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E756C777-204B-491B-82C0-4FE62E957BDA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</calcChain>
</file>

<file path=xl/sharedStrings.xml><?xml version="1.0" encoding="utf-8"?>
<sst xmlns="http://schemas.openxmlformats.org/spreadsheetml/2006/main" count="17010" uniqueCount="107">
  <si>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</si>
  <si>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</si>
  <si>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</si>
  <si>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</si>
  <si>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</si>
  <si>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</si>
  <si>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</si>
  <si>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</si>
  <si>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</si>
  <si>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</si>
  <si>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</si>
  <si>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</si>
  <si>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</si>
  <si>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</si>
  <si>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</si>
  <si>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</si>
  <si>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</si>
  <si>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</si>
  <si>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</si>
  <si>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</si>
  <si>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</si>
  <si>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</si>
  <si>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</si>
  <si>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</si>
  <si>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</si>
  <si>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</si>
  <si>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</si>
  <si>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</si>
  <si>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</si>
  <si>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</si>
  <si>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</si>
  <si>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</si>
  <si>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</si>
  <si>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</si>
  <si>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</si>
  <si>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</si>
  <si>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</si>
  <si>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</si>
  <si>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</si>
  <si>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</si>
  <si>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</si>
  <si>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Kooper</t>
  </si>
  <si>
    <t>FAR</t>
  </si>
  <si>
    <t>Building 07 (16)</t>
  </si>
  <si>
    <t>mcp_road_part_02</t>
  </si>
  <si>
    <t>Plane_01</t>
  </si>
  <si>
    <t>Floor 01</t>
  </si>
  <si>
    <t>Building 18 (9)</t>
  </si>
  <si>
    <t>Box001</t>
  </si>
  <si>
    <t>Tree 04 (23)</t>
  </si>
  <si>
    <t>Building 03</t>
  </si>
  <si>
    <t>Building 15 (22)</t>
  </si>
  <si>
    <t>Building 15 (24)</t>
  </si>
  <si>
    <t>mcp_roads_turn_01 (1)</t>
  </si>
  <si>
    <t>mcp_roads_T_cross_01</t>
  </si>
  <si>
    <t>Building 15 (34)</t>
  </si>
  <si>
    <t>Tong (5)</t>
  </si>
  <si>
    <t>mcp_building_24_fountain_marble</t>
  </si>
  <si>
    <t>Building 29 (5)</t>
  </si>
  <si>
    <t>Tree 05 (15)</t>
  </si>
  <si>
    <t>mcp_road_part_01</t>
  </si>
  <si>
    <t>mcp_roads_cross_01</t>
  </si>
  <si>
    <t>Building 15 (33)</t>
  </si>
  <si>
    <t>Building 15 (31)</t>
  </si>
  <si>
    <t>Building 01 (9)</t>
  </si>
  <si>
    <t>Building 02 (8)</t>
  </si>
  <si>
    <t>Building 07 (15)</t>
  </si>
  <si>
    <t>Building 15 (30)</t>
  </si>
  <si>
    <t>mcp_roads_turn_01</t>
  </si>
  <si>
    <t>Stand 02 (19)</t>
  </si>
  <si>
    <t>Building 24</t>
  </si>
  <si>
    <t>Building 07 (18)</t>
  </si>
  <si>
    <t>Building 11 (3)</t>
  </si>
  <si>
    <t>Tree 02 (3)</t>
  </si>
  <si>
    <t>Bannar Stand</t>
  </si>
  <si>
    <t>Bannar 14 (1)</t>
  </si>
  <si>
    <t>Canopi 01 (5)</t>
  </si>
  <si>
    <t>Tree 02 (6)</t>
  </si>
  <si>
    <t>Tree 02 (7)</t>
  </si>
  <si>
    <t>mcp_roads_cross_02</t>
  </si>
  <si>
    <t>Stand 03 (4)</t>
  </si>
  <si>
    <t>Building 15 (32)</t>
  </si>
  <si>
    <t>Tree 02 (2)</t>
  </si>
  <si>
    <t>Building 09 (4)</t>
  </si>
  <si>
    <t>Building 15 (7)</t>
  </si>
  <si>
    <t>Building 13 (1)</t>
  </si>
  <si>
    <t>mcp_road_part_02 (1)</t>
  </si>
  <si>
    <t>Building 01</t>
  </si>
  <si>
    <t>Building 23 (4)</t>
  </si>
  <si>
    <t>Shurbs (3)</t>
  </si>
  <si>
    <t>Shurbs (2)</t>
  </si>
  <si>
    <t>mcp_road_part_02 (3)</t>
  </si>
  <si>
    <t>Building 30 (4)</t>
  </si>
  <si>
    <t>Tree 04 (7)</t>
  </si>
  <si>
    <t>Tree 04 (6)</t>
  </si>
  <si>
    <t>Shurbs (1)</t>
  </si>
  <si>
    <t>Building 04 (3)</t>
  </si>
  <si>
    <t>Building 07 (14)</t>
  </si>
  <si>
    <t>mcp_road_part_02 (7)</t>
  </si>
  <si>
    <t>mcp_road_part_02 (6)</t>
  </si>
  <si>
    <t>mcp_road_part_02 (9)</t>
  </si>
  <si>
    <t>mcp_road_part_02 (4)</t>
  </si>
  <si>
    <t>mcp_road_part_02 (10)</t>
  </si>
  <si>
    <t>mcp_road_part_02 (12)</t>
  </si>
  <si>
    <t>mcp_road_part_02 (11)</t>
  </si>
  <si>
    <t>Building 07 (17)</t>
  </si>
  <si>
    <t>Stand 01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</si>
</sst>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486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"20190304154728280"</f>
        <v>20190304154728280</v>
      </c>
      <c r="B2" t="str">
        <f>"1551685648277545"</f>
        <v>1551685648277545</v>
      </c>
      <c r="C2" t="s">
        <v>40</v>
      </c>
      <c r="D2">
        <v>4.6964519999999998</v>
      </c>
      <c r="E2">
        <v>0.6360249</v>
      </c>
      <c r="F2" t="s">
        <v>41</v>
      </c>
      <c r="G2">
        <v>-475.90640000000002</v>
      </c>
      <c r="H2">
        <v>0.96721360000000001</v>
      </c>
      <c r="I2">
        <v>367.0496</v>
      </c>
      <c r="J2">
        <v>-476.59649999999999</v>
      </c>
      <c r="K2">
        <v>1.1096839999999999</v>
      </c>
      <c r="L2">
        <v>367.2174</v>
      </c>
      <c r="M2">
        <v>0.99996499999999999</v>
      </c>
      <c r="N2">
        <v>-8.368403E-3</v>
      </c>
      <c r="O2">
        <v>-1.0171240000000001E-4</v>
      </c>
      <c r="P2">
        <v>0.99313649999999998</v>
      </c>
      <c r="Q2">
        <v>3.1363670000000003E-2</v>
      </c>
      <c r="R2">
        <v>0.1126779</v>
      </c>
      <c r="S2">
        <v>3.1247250000000002</v>
      </c>
      <c r="T2">
        <v>-0.63874640000000005</v>
      </c>
      <c r="U2">
        <v>-0.74942019999999998</v>
      </c>
      <c r="V2">
        <v>-0.11277280000000001</v>
      </c>
      <c r="W2">
        <v>3.9690389999999999E-2</v>
      </c>
      <c r="X2">
        <v>0.99282780000000004</v>
      </c>
      <c r="Y2">
        <v>0.2284601</v>
      </c>
      <c r="Z2">
        <v>-2.3757440000000001E-2</v>
      </c>
      <c r="AA2">
        <v>0.9732634</v>
      </c>
      <c r="AB2">
        <v>1</v>
      </c>
      <c r="AC2">
        <v>0.69009999999997196</v>
      </c>
      <c r="AD2">
        <v>-0.1424704</v>
      </c>
      <c r="AE2">
        <v>-0.16779999999999901</v>
      </c>
      <c r="AF2">
        <v>0.161241152146442</v>
      </c>
      <c r="AG2">
        <v>-0.1424704</v>
      </c>
      <c r="AH2">
        <v>0.663419781647831</v>
      </c>
      <c r="AI2">
        <v>101.787135106417</v>
      </c>
      <c r="AJ2">
        <v>76.339393591721802</v>
      </c>
      <c r="AK2">
        <v>0.697439840203675</v>
      </c>
      <c r="AL2">
        <v>87.725310750897705</v>
      </c>
      <c r="AM2">
        <v>96.4803081095598</v>
      </c>
      <c r="AN2">
        <v>1.0000000359655099</v>
      </c>
    </row>
    <row r="3" spans="1:40" x14ac:dyDescent="0.25">
      <c r="A3" t="str">
        <f>"20190304154728293"</f>
        <v>20190304154728293</v>
      </c>
      <c r="B3" t="str">
        <f>"1551685648287305"</f>
        <v>1551685648287305</v>
      </c>
      <c r="C3" t="s">
        <v>40</v>
      </c>
      <c r="D3">
        <v>4.6555309999999999</v>
      </c>
      <c r="E3">
        <v>0.63608240000000005</v>
      </c>
      <c r="F3" t="s">
        <v>41</v>
      </c>
      <c r="G3">
        <v>-475.89589999999998</v>
      </c>
      <c r="H3">
        <v>0.96795379999999998</v>
      </c>
      <c r="I3">
        <v>367.04880000000003</v>
      </c>
      <c r="J3">
        <v>-476.58960000000002</v>
      </c>
      <c r="K3">
        <v>1.109559</v>
      </c>
      <c r="L3">
        <v>367.21730000000002</v>
      </c>
      <c r="M3">
        <v>0.99997060000000004</v>
      </c>
      <c r="N3">
        <v>-7.6691980000000003E-3</v>
      </c>
      <c r="O3">
        <v>-1.6399890000000001E-4</v>
      </c>
      <c r="P3">
        <v>0.99304820000000005</v>
      </c>
      <c r="Q3">
        <v>3.2260629999999998E-2</v>
      </c>
      <c r="R3">
        <v>0.1132027</v>
      </c>
      <c r="S3">
        <v>3.1257630000000001</v>
      </c>
      <c r="T3">
        <v>-0.63240549999999995</v>
      </c>
      <c r="U3">
        <v>-0.74975590000000003</v>
      </c>
      <c r="V3">
        <v>-0.1133589</v>
      </c>
      <c r="W3">
        <v>3.9894310000000002E-2</v>
      </c>
      <c r="X3">
        <v>0.99275290000000005</v>
      </c>
      <c r="Y3">
        <v>0.22853329999999999</v>
      </c>
      <c r="Z3">
        <v>-2.344185E-2</v>
      </c>
      <c r="AA3">
        <v>0.97325379999999995</v>
      </c>
      <c r="AB3">
        <v>1</v>
      </c>
      <c r="AC3">
        <v>0.69370000000003496</v>
      </c>
      <c r="AD3">
        <v>-0.14160519999999899</v>
      </c>
      <c r="AE3">
        <v>-0.16849999999999399</v>
      </c>
      <c r="AF3">
        <v>0.16201145807314901</v>
      </c>
      <c r="AG3">
        <v>-0.14160519999999899</v>
      </c>
      <c r="AH3">
        <v>0.66746446653580005</v>
      </c>
      <c r="AI3">
        <v>101.649307486117</v>
      </c>
      <c r="AJ3">
        <v>76.356637777844995</v>
      </c>
      <c r="AK3">
        <v>0.70129063825346205</v>
      </c>
      <c r="AL3">
        <v>87.713617785865296</v>
      </c>
      <c r="AM3">
        <v>96.514185917455904</v>
      </c>
      <c r="AN3">
        <v>1.0000000583189901</v>
      </c>
    </row>
    <row r="4" spans="1:40" x14ac:dyDescent="0.25">
      <c r="A4" t="str">
        <f>"20190304154728305"</f>
        <v>20190304154728305</v>
      </c>
      <c r="B4" t="str">
        <f>"1551685648297065"</f>
        <v>1551685648297065</v>
      </c>
      <c r="C4" t="s">
        <v>40</v>
      </c>
      <c r="D4">
        <v>4.6785269999999999</v>
      </c>
      <c r="E4">
        <v>0.63613690000000001</v>
      </c>
      <c r="F4" t="s">
        <v>41</v>
      </c>
      <c r="G4">
        <v>-475.88409999999999</v>
      </c>
      <c r="H4">
        <v>0.96769139999999998</v>
      </c>
      <c r="I4">
        <v>367.04840000000002</v>
      </c>
      <c r="J4">
        <v>-476.58170000000001</v>
      </c>
      <c r="K4">
        <v>1.1094790000000001</v>
      </c>
      <c r="L4">
        <v>367.21730000000002</v>
      </c>
      <c r="M4">
        <v>0.99997510000000001</v>
      </c>
      <c r="N4">
        <v>-7.0682719999999996E-3</v>
      </c>
      <c r="O4">
        <v>-2.2612439999999999E-4</v>
      </c>
      <c r="P4">
        <v>0.9929808</v>
      </c>
      <c r="Q4">
        <v>3.289305E-2</v>
      </c>
      <c r="R4">
        <v>0.1136104</v>
      </c>
      <c r="S4">
        <v>3.126709</v>
      </c>
      <c r="T4">
        <v>-0.62869909999999996</v>
      </c>
      <c r="U4">
        <v>-0.74816890000000003</v>
      </c>
      <c r="V4">
        <v>-0.11382829999999999</v>
      </c>
      <c r="W4">
        <v>3.993004E-2</v>
      </c>
      <c r="X4">
        <v>0.99269770000000002</v>
      </c>
      <c r="Y4">
        <v>0.22801759999999999</v>
      </c>
      <c r="Z4">
        <v>-2.3172169999999999E-2</v>
      </c>
      <c r="AA4">
        <v>0.97338119999999995</v>
      </c>
      <c r="AB4">
        <v>1</v>
      </c>
      <c r="AC4">
        <v>0.69760000000002198</v>
      </c>
      <c r="AD4">
        <v>-0.14178759999999899</v>
      </c>
      <c r="AE4">
        <v>-0.16890000000000699</v>
      </c>
      <c r="AF4">
        <v>0.162404688638114</v>
      </c>
      <c r="AG4">
        <v>-0.14178759999999899</v>
      </c>
      <c r="AH4">
        <v>0.67143653969228301</v>
      </c>
      <c r="AI4">
        <v>101.59897098892</v>
      </c>
      <c r="AJ4">
        <v>76.402652722290497</v>
      </c>
      <c r="AK4">
        <v>0.70519928618749295</v>
      </c>
      <c r="AL4">
        <v>87.711568857267906</v>
      </c>
      <c r="AM4">
        <v>96.541287342807195</v>
      </c>
      <c r="AN4">
        <v>1.0000000067802901</v>
      </c>
    </row>
    <row r="5" spans="1:40" x14ac:dyDescent="0.25">
      <c r="A5" t="str">
        <f>"20190304154728318"</f>
        <v>20190304154728318</v>
      </c>
      <c r="B5" t="str">
        <f>"1551685648306825"</f>
        <v>1551685648306825</v>
      </c>
      <c r="C5" t="s">
        <v>40</v>
      </c>
      <c r="D5">
        <v>4.6349939999999998</v>
      </c>
      <c r="E5">
        <v>0.63623039999999997</v>
      </c>
      <c r="F5" t="s">
        <v>41</v>
      </c>
      <c r="G5">
        <v>-475.88319999999999</v>
      </c>
      <c r="H5">
        <v>0.96967210000000004</v>
      </c>
      <c r="I5">
        <v>367.05029999999999</v>
      </c>
      <c r="J5">
        <v>-476.5752</v>
      </c>
      <c r="K5">
        <v>1.109542</v>
      </c>
      <c r="L5">
        <v>367.21719999999999</v>
      </c>
      <c r="M5">
        <v>0.99997579999999997</v>
      </c>
      <c r="N5">
        <v>-6.9601430000000002E-3</v>
      </c>
      <c r="O5">
        <v>-2.6621149999999998E-4</v>
      </c>
      <c r="P5">
        <v>0.99296309999999999</v>
      </c>
      <c r="Q5">
        <v>3.2960690000000001E-2</v>
      </c>
      <c r="R5">
        <v>0.1137461</v>
      </c>
      <c r="S5">
        <v>3.127472</v>
      </c>
      <c r="T5">
        <v>-0.62599110000000002</v>
      </c>
      <c r="U5">
        <v>-0.74722290000000002</v>
      </c>
      <c r="V5">
        <v>-0.1140042</v>
      </c>
      <c r="W5">
        <v>3.9888590000000002E-2</v>
      </c>
      <c r="X5">
        <v>0.99267919999999998</v>
      </c>
      <c r="Y5">
        <v>0.22769490000000001</v>
      </c>
      <c r="Z5">
        <v>-2.3020289999999999E-2</v>
      </c>
      <c r="AA5">
        <v>0.9734604</v>
      </c>
      <c r="AB5">
        <v>1</v>
      </c>
      <c r="AC5">
        <v>0.69200000000000705</v>
      </c>
      <c r="AD5">
        <v>-0.13986989999999999</v>
      </c>
      <c r="AE5">
        <v>-0.16689999999999799</v>
      </c>
      <c r="AF5">
        <v>0.16051842577200401</v>
      </c>
      <c r="AG5">
        <v>-0.13986989999999999</v>
      </c>
      <c r="AH5">
        <v>0.66631895690512599</v>
      </c>
      <c r="AI5">
        <v>101.534317789589</v>
      </c>
      <c r="AJ5">
        <v>76.455341023358102</v>
      </c>
      <c r="AK5">
        <v>0.69950747406262004</v>
      </c>
      <c r="AL5">
        <v>87.713945704106806</v>
      </c>
      <c r="AM5">
        <v>96.551428882954497</v>
      </c>
      <c r="AN5">
        <v>1.00000002567123</v>
      </c>
    </row>
    <row r="6" spans="1:40" x14ac:dyDescent="0.25">
      <c r="A6" t="str">
        <f>"20190304154728338"</f>
        <v>20190304154728338</v>
      </c>
      <c r="B6" t="str">
        <f>"1551685648327325"</f>
        <v>1551685648327325</v>
      </c>
      <c r="C6" t="s">
        <v>40</v>
      </c>
      <c r="D6">
        <v>4.6813120000000001</v>
      </c>
      <c r="E6">
        <v>0.63633269999999997</v>
      </c>
      <c r="F6" t="s">
        <v>41</v>
      </c>
      <c r="G6">
        <v>-475.87380000000002</v>
      </c>
      <c r="H6">
        <v>0.96936829999999996</v>
      </c>
      <c r="I6">
        <v>367.04910000000001</v>
      </c>
      <c r="J6">
        <v>-476.565</v>
      </c>
      <c r="K6">
        <v>1.1096870000000001</v>
      </c>
      <c r="L6">
        <v>367.21710000000002</v>
      </c>
      <c r="M6">
        <v>0.99997539999999996</v>
      </c>
      <c r="N6">
        <v>-7.0054719999999996E-3</v>
      </c>
      <c r="O6">
        <v>-3.1381809999999998E-4</v>
      </c>
      <c r="P6">
        <v>0.99293869999999895</v>
      </c>
      <c r="Q6">
        <v>3.268633E-2</v>
      </c>
      <c r="R6">
        <v>0.1140383</v>
      </c>
      <c r="S6">
        <v>3.1276549999999999</v>
      </c>
      <c r="T6">
        <v>-0.62506890000000004</v>
      </c>
      <c r="U6">
        <v>-0.74746699999999999</v>
      </c>
      <c r="V6">
        <v>-0.11434510000000001</v>
      </c>
      <c r="W6">
        <v>3.9655129999999997E-2</v>
      </c>
      <c r="X6">
        <v>0.99264929999999996</v>
      </c>
      <c r="Y6">
        <v>0.22772020000000001</v>
      </c>
      <c r="Z6">
        <v>-2.2985619999999998E-2</v>
      </c>
      <c r="AA6">
        <v>0.97345530000000002</v>
      </c>
      <c r="AB6">
        <v>1</v>
      </c>
      <c r="AC6">
        <v>0.69119999999998005</v>
      </c>
      <c r="AD6">
        <v>-0.14031869999999999</v>
      </c>
      <c r="AE6">
        <v>-0.16800000000000601</v>
      </c>
      <c r="AF6">
        <v>0.16149865217175</v>
      </c>
      <c r="AG6">
        <v>-0.14031869999999999</v>
      </c>
      <c r="AH6">
        <v>0.66536137399231399</v>
      </c>
      <c r="AI6">
        <v>101.581847205987</v>
      </c>
      <c r="AJ6">
        <v>76.356827187498098</v>
      </c>
      <c r="AK6">
        <v>0.69891123200584004</v>
      </c>
      <c r="AL6">
        <v>87.727332469065601</v>
      </c>
      <c r="AM6">
        <v>96.571044357227294</v>
      </c>
      <c r="AN6">
        <v>0.99999998200990803</v>
      </c>
    </row>
    <row r="7" spans="1:40" x14ac:dyDescent="0.25">
      <c r="A7" t="str">
        <f>"20190304154728349"</f>
        <v>20190304154728349</v>
      </c>
      <c r="B7" t="str">
        <f>"1551685648347350"</f>
        <v>1551685648347350</v>
      </c>
      <c r="C7" t="s">
        <v>40</v>
      </c>
      <c r="D7">
        <v>4.6724309999999996</v>
      </c>
      <c r="E7">
        <v>0.63650169999999995</v>
      </c>
      <c r="F7" t="s">
        <v>41</v>
      </c>
      <c r="G7">
        <v>-475.86059999999998</v>
      </c>
      <c r="H7">
        <v>0.96911740000000002</v>
      </c>
      <c r="I7">
        <v>367.04860000000002</v>
      </c>
      <c r="J7">
        <v>-476.55680000000001</v>
      </c>
      <c r="K7">
        <v>1.1096410000000001</v>
      </c>
      <c r="L7">
        <v>367.21699999999998</v>
      </c>
      <c r="M7">
        <v>0.99997809999999998</v>
      </c>
      <c r="N7">
        <v>-6.6246880000000001E-3</v>
      </c>
      <c r="O7">
        <v>-3.5515759999999998E-4</v>
      </c>
      <c r="P7">
        <v>0.99290789999999995</v>
      </c>
      <c r="Q7">
        <v>3.2955140000000001E-2</v>
      </c>
      <c r="R7">
        <v>0.1142283</v>
      </c>
      <c r="S7">
        <v>3.1276860000000002</v>
      </c>
      <c r="T7">
        <v>-0.624162199999999</v>
      </c>
      <c r="U7">
        <v>-0.7472839</v>
      </c>
      <c r="V7">
        <v>-0.1145761</v>
      </c>
      <c r="W7">
        <v>3.9545070000000002E-2</v>
      </c>
      <c r="X7">
        <v>0.99262709999999998</v>
      </c>
      <c r="Y7">
        <v>0.22764719999999999</v>
      </c>
      <c r="Z7">
        <v>-2.2894310000000001E-2</v>
      </c>
      <c r="AA7">
        <v>0.97347450000000002</v>
      </c>
      <c r="AB7">
        <v>1</v>
      </c>
      <c r="AC7">
        <v>0.69620000000003202</v>
      </c>
      <c r="AD7">
        <v>-0.140523599999999</v>
      </c>
      <c r="AE7">
        <v>-0.168399999999962</v>
      </c>
      <c r="AF7">
        <v>0.161920567205252</v>
      </c>
      <c r="AG7">
        <v>-0.140523599999999</v>
      </c>
      <c r="AH7">
        <v>0.67045465597044396</v>
      </c>
      <c r="AI7">
        <v>101.515666340718</v>
      </c>
      <c r="AJ7">
        <v>76.422565760544998</v>
      </c>
      <c r="AK7">
        <v>0.70389956524597797</v>
      </c>
      <c r="AL7">
        <v>87.733643495956301</v>
      </c>
      <c r="AM7">
        <v>96.584348699982598</v>
      </c>
      <c r="AN7">
        <v>1.0000000274534599</v>
      </c>
    </row>
    <row r="8" spans="1:40" x14ac:dyDescent="0.25">
      <c r="A8" t="str">
        <f>"20190304154728361"</f>
        <v>20190304154728361</v>
      </c>
      <c r="B8" t="str">
        <f>"1551685648357109"</f>
        <v>1551685648357109</v>
      </c>
      <c r="C8" t="s">
        <v>40</v>
      </c>
      <c r="D8">
        <v>4.6682329999999999</v>
      </c>
      <c r="E8">
        <v>0.63661749999999995</v>
      </c>
      <c r="F8" t="s">
        <v>41</v>
      </c>
      <c r="G8">
        <v>-475.85969999999998</v>
      </c>
      <c r="H8">
        <v>0.97111860000000005</v>
      </c>
      <c r="I8">
        <v>367.05020000000002</v>
      </c>
      <c r="J8">
        <v>-476.54739999999998</v>
      </c>
      <c r="K8">
        <v>1.109542</v>
      </c>
      <c r="L8">
        <v>367.21690000000001</v>
      </c>
      <c r="M8">
        <v>0.99998169999999997</v>
      </c>
      <c r="N8">
        <v>-6.0452830000000003E-3</v>
      </c>
      <c r="O8">
        <v>-4.1146370000000001E-4</v>
      </c>
      <c r="P8">
        <v>0.99291609999999997</v>
      </c>
      <c r="Q8">
        <v>3.3201410000000001E-2</v>
      </c>
      <c r="R8">
        <v>0.1140854</v>
      </c>
      <c r="S8">
        <v>3.1281430000000001</v>
      </c>
      <c r="T8">
        <v>-0.62170309999999995</v>
      </c>
      <c r="U8">
        <v>-0.74789430000000001</v>
      </c>
      <c r="V8">
        <v>-0.11448949999999999</v>
      </c>
      <c r="W8">
        <v>3.9216300000000003E-2</v>
      </c>
      <c r="X8">
        <v>0.99265009999999998</v>
      </c>
      <c r="Y8">
        <v>0.2277864</v>
      </c>
      <c r="Z8">
        <v>-2.274081E-2</v>
      </c>
      <c r="AA8">
        <v>0.97344549999999996</v>
      </c>
      <c r="AB8">
        <v>1</v>
      </c>
      <c r="AC8">
        <v>0.68770000000000597</v>
      </c>
      <c r="AD8">
        <v>-0.1384234</v>
      </c>
      <c r="AE8">
        <v>-0.16669999999999099</v>
      </c>
      <c r="AF8">
        <v>0.16028345696905599</v>
      </c>
      <c r="AG8">
        <v>-0.1384234</v>
      </c>
      <c r="AH8">
        <v>0.66241974600204701</v>
      </c>
      <c r="AI8">
        <v>101.48090069440499</v>
      </c>
      <c r="AJ8">
        <v>76.397772989620606</v>
      </c>
      <c r="AK8">
        <v>0.69545074889522396</v>
      </c>
      <c r="AL8">
        <v>87.752495173845801</v>
      </c>
      <c r="AM8">
        <v>96.579264595050404</v>
      </c>
      <c r="AN8">
        <v>0.99999999241297499</v>
      </c>
    </row>
    <row r="9" spans="1:40" x14ac:dyDescent="0.25">
      <c r="A9" t="str">
        <f>"20190304154728374"</f>
        <v>20190304154728374</v>
      </c>
      <c r="B9" t="str">
        <f>"1551685648366869"</f>
        <v>1551685648366869</v>
      </c>
      <c r="C9" t="s">
        <v>40</v>
      </c>
      <c r="D9">
        <v>4.6209230000000003</v>
      </c>
      <c r="E9">
        <v>0.63676480000000002</v>
      </c>
      <c r="F9" t="s">
        <v>41</v>
      </c>
      <c r="G9">
        <v>-475.84370000000001</v>
      </c>
      <c r="H9">
        <v>0.97002109999999997</v>
      </c>
      <c r="I9">
        <v>367.04809999999998</v>
      </c>
      <c r="J9">
        <v>-476.53649999999999</v>
      </c>
      <c r="K9">
        <v>1.109421</v>
      </c>
      <c r="L9">
        <v>367.21690000000001</v>
      </c>
      <c r="M9">
        <v>0.99998549999999997</v>
      </c>
      <c r="N9">
        <v>-5.3894499999999996E-3</v>
      </c>
      <c r="O9">
        <v>-4.7846109999999999E-4</v>
      </c>
      <c r="P9">
        <v>0.99288980000000004</v>
      </c>
      <c r="Q9">
        <v>3.4014269999999999E-2</v>
      </c>
      <c r="R9">
        <v>0.1140746</v>
      </c>
      <c r="S9">
        <v>3.1282350000000001</v>
      </c>
      <c r="T9">
        <v>-0.62029209999999901</v>
      </c>
      <c r="U9">
        <v>-0.7492065</v>
      </c>
      <c r="V9">
        <v>-0.1145451</v>
      </c>
      <c r="W9">
        <v>3.9378780000000002E-2</v>
      </c>
      <c r="X9">
        <v>0.99263729999999994</v>
      </c>
      <c r="Y9">
        <v>0.22813040000000001</v>
      </c>
      <c r="Z9">
        <v>-2.2634990000000001E-2</v>
      </c>
      <c r="AA9">
        <v>0.97336750000000005</v>
      </c>
      <c r="AB9">
        <v>2</v>
      </c>
      <c r="AC9">
        <v>0.69279999999997699</v>
      </c>
      <c r="AD9">
        <v>-0.13939989999999999</v>
      </c>
      <c r="AE9">
        <v>-0.16880000000003201</v>
      </c>
      <c r="AF9">
        <v>0.16226703828613601</v>
      </c>
      <c r="AG9">
        <v>-0.13939989999999999</v>
      </c>
      <c r="AH9">
        <v>0.66737519544051205</v>
      </c>
      <c r="AI9">
        <v>101.47316263501099</v>
      </c>
      <c r="AJ9">
        <v>76.334161774630502</v>
      </c>
      <c r="AK9">
        <v>0.700822784535026</v>
      </c>
      <c r="AL9">
        <v>87.743178663662306</v>
      </c>
      <c r="AM9">
        <v>96.582515811975696</v>
      </c>
      <c r="AN9">
        <v>1.00000003879979</v>
      </c>
    </row>
    <row r="10" spans="1:40" x14ac:dyDescent="0.25">
      <c r="A10" t="str">
        <f>"20190304154728393"</f>
        <v>20190304154728393</v>
      </c>
      <c r="B10" t="str">
        <f>"1551685648387365"</f>
        <v>1551685648387365</v>
      </c>
      <c r="C10" t="s">
        <v>40</v>
      </c>
      <c r="D10">
        <v>4.658906</v>
      </c>
      <c r="E10">
        <v>0.63699569999999905</v>
      </c>
      <c r="F10" t="s">
        <v>41</v>
      </c>
      <c r="G10">
        <v>-475.82510000000002</v>
      </c>
      <c r="H10">
        <v>0.96928409999999998</v>
      </c>
      <c r="I10">
        <v>367.04610000000002</v>
      </c>
      <c r="J10">
        <v>-476.51870000000002</v>
      </c>
      <c r="K10">
        <v>1.109278</v>
      </c>
      <c r="L10">
        <v>367.2167</v>
      </c>
      <c r="M10">
        <v>0.99998969999999998</v>
      </c>
      <c r="N10">
        <v>-4.5069200000000002E-3</v>
      </c>
      <c r="O10">
        <v>-5.9343609999999995E-4</v>
      </c>
      <c r="P10">
        <v>0.99293010000000004</v>
      </c>
      <c r="Q10">
        <v>3.5029579999999998E-2</v>
      </c>
      <c r="R10">
        <v>0.1134136</v>
      </c>
      <c r="S10">
        <v>3.128784</v>
      </c>
      <c r="T10">
        <v>-0.61633680000000002</v>
      </c>
      <c r="U10">
        <v>-0.7504883</v>
      </c>
      <c r="V10">
        <v>-0.1139978</v>
      </c>
      <c r="W10">
        <v>3.9518850000000001E-2</v>
      </c>
      <c r="X10">
        <v>0.99269470000000004</v>
      </c>
      <c r="Y10">
        <v>0.22842879999999999</v>
      </c>
      <c r="Z10">
        <v>-2.2396849999999999E-2</v>
      </c>
      <c r="AA10">
        <v>0.97330300000000003</v>
      </c>
      <c r="AB10">
        <v>2</v>
      </c>
      <c r="AC10">
        <v>0.69360000000000299</v>
      </c>
      <c r="AD10">
        <v>-0.13999389999999901</v>
      </c>
      <c r="AE10">
        <v>-0.17059999999997899</v>
      </c>
      <c r="AF10">
        <v>0.16389257835779</v>
      </c>
      <c r="AG10">
        <v>-0.13999389999999901</v>
      </c>
      <c r="AH10">
        <v>0.66803902458640796</v>
      </c>
      <c r="AI10">
        <v>101.503946490488</v>
      </c>
      <c r="AJ10">
        <v>76.215656271351193</v>
      </c>
      <c r="AK10">
        <v>0.70195100088847695</v>
      </c>
      <c r="AL10">
        <v>87.7351469103222</v>
      </c>
      <c r="AM10">
        <v>96.550962894499094</v>
      </c>
      <c r="AN10">
        <v>1.00000000265912</v>
      </c>
    </row>
    <row r="11" spans="1:40" x14ac:dyDescent="0.25">
      <c r="A11" t="str">
        <f>"20190304154728405"</f>
        <v>20190304154728405</v>
      </c>
      <c r="B11" t="str">
        <f>"1551685648397126"</f>
        <v>1551685648397126</v>
      </c>
      <c r="C11" t="s">
        <v>40</v>
      </c>
      <c r="D11">
        <v>4.6954890000000002</v>
      </c>
      <c r="E11">
        <v>0.63711600000000002</v>
      </c>
      <c r="F11" t="s">
        <v>41</v>
      </c>
      <c r="G11">
        <v>-475.80380000000002</v>
      </c>
      <c r="H11">
        <v>0.96939229999999998</v>
      </c>
      <c r="I11">
        <v>367.04379999999998</v>
      </c>
      <c r="J11">
        <v>-476.50479999999999</v>
      </c>
      <c r="K11">
        <v>1.1092120000000001</v>
      </c>
      <c r="L11">
        <v>367.21660000000003</v>
      </c>
      <c r="M11">
        <v>0.99999190000000004</v>
      </c>
      <c r="N11">
        <v>-3.9814769999999998E-3</v>
      </c>
      <c r="O11">
        <v>-6.818331E-4</v>
      </c>
      <c r="P11">
        <v>0.99296240000000002</v>
      </c>
      <c r="Q11">
        <v>3.5880139999999998E-2</v>
      </c>
      <c r="R11">
        <v>0.1128661</v>
      </c>
      <c r="S11">
        <v>3.1291500000000001</v>
      </c>
      <c r="T11">
        <v>-0.61234350000000004</v>
      </c>
      <c r="U11">
        <v>-0.75485230000000003</v>
      </c>
      <c r="V11">
        <v>-0.1135381</v>
      </c>
      <c r="W11">
        <v>3.9849049999999997E-2</v>
      </c>
      <c r="X11">
        <v>0.99273420000000001</v>
      </c>
      <c r="Y11">
        <v>0.2296472</v>
      </c>
      <c r="Z11">
        <v>-2.2292570000000001E-2</v>
      </c>
      <c r="AA11">
        <v>0.97301859999999996</v>
      </c>
      <c r="AB11">
        <v>2</v>
      </c>
      <c r="AC11">
        <v>0.70099999999996498</v>
      </c>
      <c r="AD11">
        <v>-0.13981969999999999</v>
      </c>
      <c r="AE11">
        <v>-0.172800000000052</v>
      </c>
      <c r="AF11">
        <v>0.16609278912486</v>
      </c>
      <c r="AG11">
        <v>-0.13981969999999999</v>
      </c>
      <c r="AH11">
        <v>0.67577322384785699</v>
      </c>
      <c r="AI11">
        <v>101.36080116321899</v>
      </c>
      <c r="AJ11">
        <v>76.191447232373804</v>
      </c>
      <c r="AK11">
        <v>0.70979279594617695</v>
      </c>
      <c r="AL11">
        <v>87.716212967487706</v>
      </c>
      <c r="AM11">
        <v>96.524516791265597</v>
      </c>
      <c r="AN11">
        <v>1.0000000193935701</v>
      </c>
    </row>
    <row r="12" spans="1:40" x14ac:dyDescent="0.25">
      <c r="A12" t="str">
        <f>"20190304154728418"</f>
        <v>20190304154728418</v>
      </c>
      <c r="B12" t="str">
        <f>"1551685648406885"</f>
        <v>1551685648406885</v>
      </c>
      <c r="C12" t="s">
        <v>40</v>
      </c>
      <c r="D12">
        <v>4.7159309999999897</v>
      </c>
      <c r="E12">
        <v>0.63722500000000004</v>
      </c>
      <c r="F12" t="s">
        <v>41</v>
      </c>
      <c r="G12">
        <v>-475.80250000000001</v>
      </c>
      <c r="H12">
        <v>0.97253920000000005</v>
      </c>
      <c r="I12">
        <v>367.04610000000002</v>
      </c>
      <c r="J12">
        <v>-476.49239999999998</v>
      </c>
      <c r="K12">
        <v>1.1092519999999999</v>
      </c>
      <c r="L12">
        <v>367.21660000000003</v>
      </c>
      <c r="M12">
        <v>0.9999924</v>
      </c>
      <c r="N12">
        <v>-3.8329789999999998E-3</v>
      </c>
      <c r="O12">
        <v>-7.4517669999999998E-4</v>
      </c>
      <c r="P12">
        <v>0.99297849999999999</v>
      </c>
      <c r="Q12">
        <v>3.6044430000000002E-2</v>
      </c>
      <c r="R12">
        <v>0.1126704</v>
      </c>
      <c r="S12">
        <v>3.1293639999999998</v>
      </c>
      <c r="T12">
        <v>-0.60899329999999996</v>
      </c>
      <c r="U12">
        <v>-0.75738530000000004</v>
      </c>
      <c r="V12">
        <v>-0.11340450000000001</v>
      </c>
      <c r="W12">
        <v>3.986572E-2</v>
      </c>
      <c r="X12">
        <v>0.99274879999999999</v>
      </c>
      <c r="Y12">
        <v>0.23035259999999999</v>
      </c>
      <c r="Z12">
        <v>-2.2210980000000002E-2</v>
      </c>
      <c r="AA12">
        <v>0.97285370000000004</v>
      </c>
      <c r="AB12">
        <v>2</v>
      </c>
      <c r="AC12">
        <v>0.68989999999996598</v>
      </c>
      <c r="AD12">
        <v>-0.1367128</v>
      </c>
      <c r="AE12">
        <v>-0.17050000000000401</v>
      </c>
      <c r="AF12">
        <v>0.163919469204658</v>
      </c>
      <c r="AG12">
        <v>-0.1367128</v>
      </c>
      <c r="AH12">
        <v>0.66540147879996503</v>
      </c>
      <c r="AI12">
        <v>101.28210417907999</v>
      </c>
      <c r="AJ12">
        <v>76.160930183029194</v>
      </c>
      <c r="AK12">
        <v>0.69879833289537596</v>
      </c>
      <c r="AL12">
        <v>87.715257084287998</v>
      </c>
      <c r="AM12">
        <v>96.516810473975198</v>
      </c>
      <c r="AN12">
        <v>1.0000000180763999</v>
      </c>
    </row>
    <row r="13" spans="1:40" x14ac:dyDescent="0.25">
      <c r="A13" t="str">
        <f>"20190304154728432"</f>
        <v>20190304154728432</v>
      </c>
      <c r="B13" t="str">
        <f>"1551685648427381"</f>
        <v>1551685648427381</v>
      </c>
      <c r="C13" t="s">
        <v>40</v>
      </c>
      <c r="D13">
        <v>4.7176080000000002</v>
      </c>
      <c r="E13">
        <v>0.63741930000000002</v>
      </c>
      <c r="F13" t="s">
        <v>41</v>
      </c>
      <c r="G13">
        <v>-475.78309999999999</v>
      </c>
      <c r="H13">
        <v>0.97140660000000001</v>
      </c>
      <c r="I13">
        <v>367.0446</v>
      </c>
      <c r="J13">
        <v>-476.47879999999998</v>
      </c>
      <c r="K13">
        <v>1.1093959999999901</v>
      </c>
      <c r="L13">
        <v>367.21640000000002</v>
      </c>
      <c r="M13">
        <v>0.99999170000000004</v>
      </c>
      <c r="N13">
        <v>-4.0036940000000003E-3</v>
      </c>
      <c r="O13">
        <v>-7.973298E-4</v>
      </c>
      <c r="P13">
        <v>0.99301110000000004</v>
      </c>
      <c r="Q13">
        <v>3.6372799999999997E-2</v>
      </c>
      <c r="R13">
        <v>0.1122759</v>
      </c>
      <c r="S13">
        <v>3.1293329999999999</v>
      </c>
      <c r="T13">
        <v>-0.60813159999999999</v>
      </c>
      <c r="U13">
        <v>-0.75869750000000002</v>
      </c>
      <c r="V13">
        <v>-0.11306330000000001</v>
      </c>
      <c r="W13">
        <v>4.0360279999999998E-2</v>
      </c>
      <c r="X13">
        <v>0.99276770000000003</v>
      </c>
      <c r="Y13">
        <v>0.23069219999999999</v>
      </c>
      <c r="Z13">
        <v>-2.2223409999999999E-2</v>
      </c>
      <c r="AA13">
        <v>0.972773</v>
      </c>
      <c r="AB13">
        <v>2</v>
      </c>
      <c r="AC13">
        <v>0.695699999999987</v>
      </c>
      <c r="AD13">
        <v>-0.13798939999999901</v>
      </c>
      <c r="AE13">
        <v>-0.17180000000001799</v>
      </c>
      <c r="AF13">
        <v>0.16512250097710299</v>
      </c>
      <c r="AG13">
        <v>-0.13798939999999901</v>
      </c>
      <c r="AH13">
        <v>0.67095766988113004</v>
      </c>
      <c r="AI13">
        <v>101.293502157616</v>
      </c>
      <c r="AJ13">
        <v>76.174272586481194</v>
      </c>
      <c r="AK13">
        <v>0.70462096875810398</v>
      </c>
      <c r="AL13">
        <v>87.686897980358907</v>
      </c>
      <c r="AM13">
        <v>96.497248627828995</v>
      </c>
      <c r="AN13">
        <v>0.99999998408592905</v>
      </c>
    </row>
    <row r="14" spans="1:40" x14ac:dyDescent="0.25">
      <c r="A14" t="str">
        <f>"20190304154728448"</f>
        <v>20190304154728448</v>
      </c>
      <c r="B14" t="str">
        <f>"1551685648437141"</f>
        <v>1551685648437141</v>
      </c>
      <c r="C14" t="s">
        <v>40</v>
      </c>
      <c r="D14">
        <v>4.7425269999999999</v>
      </c>
      <c r="E14">
        <v>0.63749460000000002</v>
      </c>
      <c r="F14" t="s">
        <v>41</v>
      </c>
      <c r="G14">
        <v>-475.76609999999999</v>
      </c>
      <c r="H14">
        <v>0.97135749999999998</v>
      </c>
      <c r="I14">
        <v>367.04239999999999</v>
      </c>
      <c r="J14">
        <v>-476.46390000000002</v>
      </c>
      <c r="K14">
        <v>1.1098250000000001</v>
      </c>
      <c r="L14">
        <v>367.21640000000002</v>
      </c>
      <c r="M14">
        <v>0.99998620000000005</v>
      </c>
      <c r="N14">
        <v>-5.1904259999999997E-3</v>
      </c>
      <c r="O14">
        <v>-8.3525530000000002E-4</v>
      </c>
      <c r="P14">
        <v>0.99306369999999999</v>
      </c>
      <c r="Q14">
        <v>3.5485299999999997E-2</v>
      </c>
      <c r="R14">
        <v>0.11209619999999999</v>
      </c>
      <c r="S14">
        <v>3.1293950000000001</v>
      </c>
      <c r="T14">
        <v>-0.60610989999999998</v>
      </c>
      <c r="U14">
        <v>-0.76171880000000003</v>
      </c>
      <c r="V14">
        <v>-0.1129238</v>
      </c>
      <c r="W14">
        <v>4.0644720000000002E-2</v>
      </c>
      <c r="X14">
        <v>0.99277199999999999</v>
      </c>
      <c r="Y14">
        <v>0.23152510000000001</v>
      </c>
      <c r="Z14">
        <v>-2.236469E-2</v>
      </c>
      <c r="AA14">
        <v>0.97257179999999999</v>
      </c>
      <c r="AB14">
        <v>2</v>
      </c>
      <c r="AC14">
        <v>0.69780000000002895</v>
      </c>
      <c r="AD14">
        <v>-0.13846749999999899</v>
      </c>
      <c r="AE14">
        <v>-0.17400000000003499</v>
      </c>
      <c r="AF14">
        <v>0.16721811641269499</v>
      </c>
      <c r="AG14">
        <v>-0.13846749999999899</v>
      </c>
      <c r="AH14">
        <v>0.67299632113928398</v>
      </c>
      <c r="AI14">
        <v>101.292105343866</v>
      </c>
      <c r="AJ14">
        <v>76.0463947070605</v>
      </c>
      <c r="AK14">
        <v>0.70714863733155198</v>
      </c>
      <c r="AL14">
        <v>87.670587447207893</v>
      </c>
      <c r="AM14">
        <v>96.489272732714994</v>
      </c>
      <c r="AN14">
        <v>1.0000000109271501</v>
      </c>
    </row>
    <row r="15" spans="1:40" x14ac:dyDescent="0.25">
      <c r="A15" t="str">
        <f>"20190304154728463"</f>
        <v>20190304154728463</v>
      </c>
      <c r="B15" t="str">
        <f>"1551685648456661"</f>
        <v>1551685648456661</v>
      </c>
      <c r="C15" t="s">
        <v>40</v>
      </c>
      <c r="D15">
        <v>4.7612489999999896</v>
      </c>
      <c r="E15">
        <v>0.6376674</v>
      </c>
      <c r="F15" t="s">
        <v>41</v>
      </c>
      <c r="G15">
        <v>-475.76499999999999</v>
      </c>
      <c r="H15">
        <v>0.97403720000000005</v>
      </c>
      <c r="I15">
        <v>367.0455</v>
      </c>
      <c r="J15">
        <v>-476.4502</v>
      </c>
      <c r="K15">
        <v>1.1098619999999999</v>
      </c>
      <c r="L15">
        <v>367.21629999999999</v>
      </c>
      <c r="M15">
        <v>0.99998580000000004</v>
      </c>
      <c r="N15">
        <v>-5.2529639999999997E-3</v>
      </c>
      <c r="O15">
        <v>-8.7533139999999897E-4</v>
      </c>
      <c r="P15">
        <v>0.99307029999999996</v>
      </c>
      <c r="Q15">
        <v>3.5693849999999999E-2</v>
      </c>
      <c r="R15">
        <v>0.111971</v>
      </c>
      <c r="S15">
        <v>3.1288450000000001</v>
      </c>
      <c r="T15">
        <v>-0.60780049999999997</v>
      </c>
      <c r="U15">
        <v>-0.7629089</v>
      </c>
      <c r="V15">
        <v>-0.1128387</v>
      </c>
      <c r="W15">
        <v>4.091438E-2</v>
      </c>
      <c r="X15">
        <v>0.99277059999999995</v>
      </c>
      <c r="Y15">
        <v>0.23184440000000001</v>
      </c>
      <c r="Z15">
        <v>-2.2458260000000001E-2</v>
      </c>
      <c r="AA15">
        <v>0.97249359999999996</v>
      </c>
      <c r="AB15">
        <v>2</v>
      </c>
      <c r="AC15">
        <v>0.68520000000000802</v>
      </c>
      <c r="AD15">
        <v>-0.1358248</v>
      </c>
      <c r="AE15">
        <v>-0.17079999999998499</v>
      </c>
      <c r="AF15">
        <v>0.16412821994722501</v>
      </c>
      <c r="AG15">
        <v>-0.1358248</v>
      </c>
      <c r="AH15">
        <v>0.66089925503529001</v>
      </c>
      <c r="AI15">
        <v>101.279991978513</v>
      </c>
      <c r="AJ15">
        <v>76.053266923236507</v>
      </c>
      <c r="AK15">
        <v>0.69438769731633798</v>
      </c>
      <c r="AL15">
        <v>87.655124205874401</v>
      </c>
      <c r="AM15">
        <v>96.484433114619307</v>
      </c>
      <c r="AN15">
        <v>1.00000001146641</v>
      </c>
    </row>
    <row r="16" spans="1:40" x14ac:dyDescent="0.25">
      <c r="A16" t="str">
        <f>"20190304154728482"</f>
        <v>20190304154728482</v>
      </c>
      <c r="B16" t="str">
        <f>"1551685648477157"</f>
        <v>1551685648477157</v>
      </c>
      <c r="C16" t="s">
        <v>40</v>
      </c>
      <c r="D16">
        <v>4.7275839999999896</v>
      </c>
      <c r="E16">
        <v>0.63775159999999997</v>
      </c>
      <c r="F16" t="s">
        <v>41</v>
      </c>
      <c r="G16">
        <v>-475.74419999999998</v>
      </c>
      <c r="H16">
        <v>0.97305549999999996</v>
      </c>
      <c r="I16">
        <v>367.04329999999999</v>
      </c>
      <c r="J16">
        <v>-476.42849999999999</v>
      </c>
      <c r="K16">
        <v>1.10972</v>
      </c>
      <c r="L16">
        <v>367.21620000000001</v>
      </c>
      <c r="M16">
        <v>0.99998830000000005</v>
      </c>
      <c r="N16">
        <v>-4.7537660000000004E-3</v>
      </c>
      <c r="O16">
        <v>-9.5312450000000003E-4</v>
      </c>
      <c r="P16">
        <v>0.99302760000000001</v>
      </c>
      <c r="Q16">
        <v>3.643623E-2</v>
      </c>
      <c r="R16">
        <v>0.1121103</v>
      </c>
      <c r="S16">
        <v>3.1289980000000002</v>
      </c>
      <c r="T16">
        <v>-0.60628839999999995</v>
      </c>
      <c r="U16">
        <v>-0.76473999999999998</v>
      </c>
      <c r="V16">
        <v>-0.1130544</v>
      </c>
      <c r="W16">
        <v>4.116214E-2</v>
      </c>
      <c r="X16">
        <v>0.99273579999999995</v>
      </c>
      <c r="Y16">
        <v>0.23232040000000001</v>
      </c>
      <c r="Z16">
        <v>-2.2374620000000001E-2</v>
      </c>
      <c r="AA16">
        <v>0.97238190000000002</v>
      </c>
      <c r="AB16">
        <v>2</v>
      </c>
      <c r="AC16">
        <v>0.68430000000000701</v>
      </c>
      <c r="AD16">
        <v>-0.136664499999999</v>
      </c>
      <c r="AE16">
        <v>-0.17290000000002601</v>
      </c>
      <c r="AF16">
        <v>0.166023107013958</v>
      </c>
      <c r="AG16">
        <v>-0.136664499999999</v>
      </c>
      <c r="AH16">
        <v>0.65972971809422498</v>
      </c>
      <c r="AI16">
        <v>101.358891104989</v>
      </c>
      <c r="AJ16">
        <v>75.874640725647495</v>
      </c>
      <c r="AK16">
        <v>0.69389059552605603</v>
      </c>
      <c r="AL16">
        <v>87.640916593320398</v>
      </c>
      <c r="AM16">
        <v>96.4969485345149</v>
      </c>
      <c r="AN16">
        <v>0.99999999386518901</v>
      </c>
    </row>
    <row r="17" spans="1:40" x14ac:dyDescent="0.25">
      <c r="A17" t="str">
        <f>"20190304154728493"</f>
        <v>20190304154728493</v>
      </c>
      <c r="B17" t="str">
        <f>"1551685648486917"</f>
        <v>1551685648486917</v>
      </c>
      <c r="C17" t="s">
        <v>40</v>
      </c>
      <c r="D17">
        <v>4.6938649999999997</v>
      </c>
      <c r="E17">
        <v>0.63785990000000004</v>
      </c>
      <c r="F17" t="s">
        <v>41</v>
      </c>
      <c r="G17">
        <v>-475.71949999999998</v>
      </c>
      <c r="H17">
        <v>0.97297199999999995</v>
      </c>
      <c r="I17">
        <v>367.0428</v>
      </c>
      <c r="J17">
        <v>-476.41390000000001</v>
      </c>
      <c r="K17">
        <v>1.109588</v>
      </c>
      <c r="L17">
        <v>367.21609999999998</v>
      </c>
      <c r="M17">
        <v>0.9999905</v>
      </c>
      <c r="N17">
        <v>-4.2544610000000002E-3</v>
      </c>
      <c r="O17">
        <v>-1.0130460000000001E-3</v>
      </c>
      <c r="P17">
        <v>0.99301830000000002</v>
      </c>
      <c r="Q17">
        <v>3.6799650000000003E-2</v>
      </c>
      <c r="R17">
        <v>0.1120743</v>
      </c>
      <c r="S17">
        <v>3.129486</v>
      </c>
      <c r="T17">
        <v>-0.60359719999999994</v>
      </c>
      <c r="U17">
        <v>-0.76416019999999996</v>
      </c>
      <c r="V17">
        <v>-0.1130777</v>
      </c>
      <c r="W17">
        <v>4.1030629999999998E-2</v>
      </c>
      <c r="X17">
        <v>0.99273860000000003</v>
      </c>
      <c r="Y17">
        <v>0.23211029999999999</v>
      </c>
      <c r="Z17">
        <v>-2.218556E-2</v>
      </c>
      <c r="AA17">
        <v>0.97243639999999998</v>
      </c>
      <c r="AB17">
        <v>2</v>
      </c>
      <c r="AC17">
        <v>0.69440000000002999</v>
      </c>
      <c r="AD17">
        <v>-0.13661599999999999</v>
      </c>
      <c r="AE17">
        <v>-0.173299999999983</v>
      </c>
      <c r="AF17">
        <v>0.166528636335357</v>
      </c>
      <c r="AG17">
        <v>-0.13661599999999999</v>
      </c>
      <c r="AH17">
        <v>0.67015668544391305</v>
      </c>
      <c r="AI17">
        <v>101.190892216983</v>
      </c>
      <c r="AJ17">
        <v>76.045099972003797</v>
      </c>
      <c r="AK17">
        <v>0.70392165843997601</v>
      </c>
      <c r="AL17">
        <v>87.6484579547528</v>
      </c>
      <c r="AM17">
        <v>96.498257902837494</v>
      </c>
      <c r="AN17">
        <v>1.0000000033827201</v>
      </c>
    </row>
    <row r="18" spans="1:40" x14ac:dyDescent="0.25">
      <c r="A18" t="str">
        <f>"20190304154728505"</f>
        <v>20190304154728505</v>
      </c>
      <c r="B18" t="str">
        <f>"1551685648496677"</f>
        <v>1551685648496677</v>
      </c>
      <c r="C18" t="s">
        <v>40</v>
      </c>
      <c r="D18">
        <v>4.7416489999999998</v>
      </c>
      <c r="E18">
        <v>0.63786480000000001</v>
      </c>
      <c r="F18" t="s">
        <v>41</v>
      </c>
      <c r="G18">
        <v>-475.69330000000002</v>
      </c>
      <c r="H18">
        <v>0.97084340000000002</v>
      </c>
      <c r="I18">
        <v>367.03969999999998</v>
      </c>
      <c r="J18">
        <v>-476.39600000000002</v>
      </c>
      <c r="K18">
        <v>1.1094520000000001</v>
      </c>
      <c r="L18">
        <v>367.21600000000001</v>
      </c>
      <c r="M18">
        <v>0.99999260000000001</v>
      </c>
      <c r="N18">
        <v>-3.7185600000000001E-3</v>
      </c>
      <c r="O18">
        <v>-1.0949670000000001E-3</v>
      </c>
      <c r="P18">
        <v>0.99299059999999995</v>
      </c>
      <c r="Q18">
        <v>3.7339450000000003E-2</v>
      </c>
      <c r="R18">
        <v>0.1121423</v>
      </c>
      <c r="S18">
        <v>3.1298520000000001</v>
      </c>
      <c r="T18">
        <v>-0.60257209999999894</v>
      </c>
      <c r="U18">
        <v>-0.76544190000000001</v>
      </c>
      <c r="V18">
        <v>-0.1132263</v>
      </c>
      <c r="W18">
        <v>4.1040630000000002E-2</v>
      </c>
      <c r="X18">
        <v>0.99272130000000003</v>
      </c>
      <c r="Y18">
        <v>0.23240350000000001</v>
      </c>
      <c r="Z18">
        <v>-2.2094800000000001E-2</v>
      </c>
      <c r="AA18">
        <v>0.97236849999999997</v>
      </c>
      <c r="AB18">
        <v>3</v>
      </c>
      <c r="AC18">
        <v>0.70269999999993604</v>
      </c>
      <c r="AD18">
        <v>-0.138608599999999</v>
      </c>
      <c r="AE18">
        <v>-0.17630000000002599</v>
      </c>
      <c r="AF18">
        <v>0.16933220681287001</v>
      </c>
      <c r="AG18">
        <v>-0.138608599999999</v>
      </c>
      <c r="AH18">
        <v>0.67807240880327402</v>
      </c>
      <c r="AI18">
        <v>101.217627913084</v>
      </c>
      <c r="AJ18">
        <v>75.978541290807101</v>
      </c>
      <c r="AK18">
        <v>0.71250819773413898</v>
      </c>
      <c r="AL18">
        <v>87.647884632825793</v>
      </c>
      <c r="AM18">
        <v>96.506836761217897</v>
      </c>
      <c r="AN18">
        <v>1.00000005389808</v>
      </c>
    </row>
    <row r="19" spans="1:40" x14ac:dyDescent="0.25">
      <c r="A19" t="str">
        <f>"20190304154728518"</f>
        <v>20190304154728518</v>
      </c>
      <c r="B19" t="str">
        <f>"1551685648507413"</f>
        <v>1551685648507413</v>
      </c>
      <c r="C19" t="s">
        <v>40</v>
      </c>
      <c r="D19">
        <v>4.7324659999999996</v>
      </c>
      <c r="E19">
        <v>0.63786430000000005</v>
      </c>
      <c r="F19" t="s">
        <v>41</v>
      </c>
      <c r="G19">
        <v>-475.69170000000003</v>
      </c>
      <c r="H19">
        <v>0.97445760000000003</v>
      </c>
      <c r="I19">
        <v>367.04360000000003</v>
      </c>
      <c r="J19">
        <v>-476.37950000000001</v>
      </c>
      <c r="K19">
        <v>1.1093630000000001</v>
      </c>
      <c r="L19">
        <v>367.21589999999998</v>
      </c>
      <c r="M19">
        <v>0.99999369999999999</v>
      </c>
      <c r="N19">
        <v>-3.3312289999999998E-3</v>
      </c>
      <c r="O19">
        <v>-1.1719009999999999E-3</v>
      </c>
      <c r="P19">
        <v>0.99297239999999998</v>
      </c>
      <c r="Q19">
        <v>3.7771619999999999E-2</v>
      </c>
      <c r="R19">
        <v>0.1121569</v>
      </c>
      <c r="S19">
        <v>3.1302189999999999</v>
      </c>
      <c r="T19">
        <v>-0.60004999999999997</v>
      </c>
      <c r="U19">
        <v>-0.76531979999999999</v>
      </c>
      <c r="V19">
        <v>-0.1133165</v>
      </c>
      <c r="W19">
        <v>4.1089710000000002E-2</v>
      </c>
      <c r="X19">
        <v>0.99270890000000001</v>
      </c>
      <c r="Y19">
        <v>0.23231270000000001</v>
      </c>
      <c r="Z19">
        <v>-2.1934100000000002E-2</v>
      </c>
      <c r="AA19">
        <v>0.97239379999999997</v>
      </c>
      <c r="AB19">
        <v>3</v>
      </c>
      <c r="AC19">
        <v>0.68779999999998098</v>
      </c>
      <c r="AD19">
        <v>-0.13490539999999901</v>
      </c>
      <c r="AE19">
        <v>-0.17229999999994999</v>
      </c>
      <c r="AF19">
        <v>0.16550274468343701</v>
      </c>
      <c r="AG19">
        <v>-0.13490539999999901</v>
      </c>
      <c r="AH19">
        <v>0.66396627110269302</v>
      </c>
      <c r="AI19">
        <v>101.152764166054</v>
      </c>
      <c r="AJ19">
        <v>76.003464216184597</v>
      </c>
      <c r="AK19">
        <v>0.69745382256384902</v>
      </c>
      <c r="AL19">
        <v>87.645070000358402</v>
      </c>
      <c r="AM19">
        <v>96.512056469351705</v>
      </c>
      <c r="AN19">
        <v>0.99999997678967101</v>
      </c>
    </row>
    <row r="20" spans="1:40" x14ac:dyDescent="0.25">
      <c r="A20" t="str">
        <f>"20190304154728528"</f>
        <v>20190304154728528</v>
      </c>
      <c r="B20" t="str">
        <f>"1551685648526934"</f>
        <v>1551685648526934</v>
      </c>
      <c r="C20" t="s">
        <v>40</v>
      </c>
      <c r="D20">
        <v>4.6821650000000004</v>
      </c>
      <c r="E20">
        <v>0.63793949999999999</v>
      </c>
      <c r="F20" t="s">
        <v>41</v>
      </c>
      <c r="G20">
        <v>-475.66370000000001</v>
      </c>
      <c r="H20">
        <v>0.97253849999999997</v>
      </c>
      <c r="I20">
        <v>367.04059999999998</v>
      </c>
      <c r="J20">
        <v>-476.36270000000002</v>
      </c>
      <c r="K20">
        <v>1.1093010000000001</v>
      </c>
      <c r="L20">
        <v>367.21589999999998</v>
      </c>
      <c r="M20">
        <v>0.99999479999999996</v>
      </c>
      <c r="N20">
        <v>-3.0174770000000002E-3</v>
      </c>
      <c r="O20">
        <v>-1.2523549999999999E-3</v>
      </c>
      <c r="P20">
        <v>0.99295440000000001</v>
      </c>
      <c r="Q20">
        <v>3.794997E-2</v>
      </c>
      <c r="R20">
        <v>0.1122566</v>
      </c>
      <c r="S20">
        <v>3.1304319999999999</v>
      </c>
      <c r="T20">
        <v>-0.59838400000000003</v>
      </c>
      <c r="U20">
        <v>-0.76522829999999997</v>
      </c>
      <c r="V20">
        <v>-0.1134951</v>
      </c>
      <c r="W20">
        <v>4.0958210000000002E-2</v>
      </c>
      <c r="X20">
        <v>0.99269399999999997</v>
      </c>
      <c r="Y20">
        <v>0.23222480000000001</v>
      </c>
      <c r="Z20">
        <v>-2.181321E-2</v>
      </c>
      <c r="AA20">
        <v>0.97241750000000005</v>
      </c>
      <c r="AB20">
        <v>3</v>
      </c>
      <c r="AC20">
        <v>0.69900000000001195</v>
      </c>
      <c r="AD20">
        <v>-0.13676250000000001</v>
      </c>
      <c r="AE20">
        <v>-0.17529999999999199</v>
      </c>
      <c r="AF20">
        <v>0.168360857974612</v>
      </c>
      <c r="AG20">
        <v>-0.13676250000000001</v>
      </c>
      <c r="AH20">
        <v>0.67491169229914405</v>
      </c>
      <c r="AI20">
        <v>101.123187192112</v>
      </c>
      <c r="AJ20">
        <v>75.993088782113404</v>
      </c>
      <c r="AK20">
        <v>0.70891124430798202</v>
      </c>
      <c r="AL20">
        <v>87.652610904210704</v>
      </c>
      <c r="AM20">
        <v>96.522328912697105</v>
      </c>
      <c r="AN20">
        <v>1.0000000451632001</v>
      </c>
    </row>
    <row r="21" spans="1:40" x14ac:dyDescent="0.25">
      <c r="A21" t="str">
        <f>"20190304154728541"</f>
        <v>20190304154728541</v>
      </c>
      <c r="B21" t="str">
        <f>"1551685648536693"</f>
        <v>1551685648536693</v>
      </c>
      <c r="C21" t="s">
        <v>40</v>
      </c>
      <c r="D21">
        <v>4.6945269999999999</v>
      </c>
      <c r="E21">
        <v>0.63802019999999904</v>
      </c>
      <c r="F21" t="s">
        <v>41</v>
      </c>
      <c r="G21">
        <v>-475.66230000000002</v>
      </c>
      <c r="H21">
        <v>0.97576309999999999</v>
      </c>
      <c r="I21">
        <v>367.04419999999999</v>
      </c>
      <c r="J21">
        <v>-476.34750000000003</v>
      </c>
      <c r="K21">
        <v>1.109475</v>
      </c>
      <c r="L21">
        <v>367.21570000000003</v>
      </c>
      <c r="M21">
        <v>0.99999300000000002</v>
      </c>
      <c r="N21">
        <v>-3.504278E-3</v>
      </c>
      <c r="O21">
        <v>-1.3119270000000001E-3</v>
      </c>
      <c r="P21">
        <v>0.99293109999999996</v>
      </c>
      <c r="Q21">
        <v>3.74455E-2</v>
      </c>
      <c r="R21">
        <v>0.1126312</v>
      </c>
      <c r="S21">
        <v>3.1306759999999998</v>
      </c>
      <c r="T21">
        <v>-0.59696099999999996</v>
      </c>
      <c r="U21">
        <v>-0.76571659999999997</v>
      </c>
      <c r="V21">
        <v>-0.11392969999999999</v>
      </c>
      <c r="W21">
        <v>4.0935819999999998E-2</v>
      </c>
      <c r="X21">
        <v>0.99264509999999995</v>
      </c>
      <c r="Y21">
        <v>0.2323009</v>
      </c>
      <c r="Z21">
        <v>-2.1815850000000001E-2</v>
      </c>
      <c r="AA21">
        <v>0.97239929999999997</v>
      </c>
      <c r="AB21">
        <v>3</v>
      </c>
      <c r="AC21">
        <v>0.68520000000000802</v>
      </c>
      <c r="AD21">
        <v>-0.13371189999999999</v>
      </c>
      <c r="AE21">
        <v>-0.17150000000003701</v>
      </c>
      <c r="AF21">
        <v>0.16469880535409701</v>
      </c>
      <c r="AG21">
        <v>-0.13371189999999999</v>
      </c>
      <c r="AH21">
        <v>0.66171146472794196</v>
      </c>
      <c r="AI21">
        <v>101.094208182112</v>
      </c>
      <c r="AJ21">
        <v>76.023185918341994</v>
      </c>
      <c r="AK21">
        <v>0.69488605629921496</v>
      </c>
      <c r="AL21">
        <v>87.653894742064594</v>
      </c>
      <c r="AM21">
        <v>96.547407768245407</v>
      </c>
      <c r="AN21">
        <v>1.00000000622758</v>
      </c>
    </row>
    <row r="22" spans="1:40" x14ac:dyDescent="0.25">
      <c r="A22" t="str">
        <f>"20190304154728561"</f>
        <v>20190304154728561</v>
      </c>
      <c r="B22" t="str">
        <f>"1551685648557189"</f>
        <v>1551685648557189</v>
      </c>
      <c r="C22" t="s">
        <v>40</v>
      </c>
      <c r="D22">
        <v>4.676418</v>
      </c>
      <c r="E22">
        <v>0.63811090000000004</v>
      </c>
      <c r="F22" t="s">
        <v>41</v>
      </c>
      <c r="G22">
        <v>-475.63780000000003</v>
      </c>
      <c r="H22">
        <v>0.97392420000000002</v>
      </c>
      <c r="I22">
        <v>367.0421</v>
      </c>
      <c r="J22">
        <v>-476.32470000000001</v>
      </c>
      <c r="K22">
        <v>1.109909</v>
      </c>
      <c r="L22">
        <v>367.21559999999999</v>
      </c>
      <c r="M22">
        <v>0.99998710000000002</v>
      </c>
      <c r="N22">
        <v>-4.9179310000000004E-3</v>
      </c>
      <c r="O22">
        <v>-1.387597E-3</v>
      </c>
      <c r="P22">
        <v>0.99300840000000001</v>
      </c>
      <c r="Q22">
        <v>3.6022609999999997E-2</v>
      </c>
      <c r="R22">
        <v>0.112414</v>
      </c>
      <c r="S22">
        <v>3.1307680000000002</v>
      </c>
      <c r="T22">
        <v>-0.59797009999999995</v>
      </c>
      <c r="U22">
        <v>-0.76507569999999903</v>
      </c>
      <c r="V22">
        <v>-0.1137888</v>
      </c>
      <c r="W22">
        <v>4.0912480000000001E-2</v>
      </c>
      <c r="X22">
        <v>0.99266220000000005</v>
      </c>
      <c r="Y22">
        <v>0.2319947</v>
      </c>
      <c r="Z22">
        <v>-2.1978049999999999E-2</v>
      </c>
      <c r="AA22">
        <v>0.97246869999999996</v>
      </c>
      <c r="AB22">
        <v>3</v>
      </c>
      <c r="AC22">
        <v>0.68689999999997997</v>
      </c>
      <c r="AD22">
        <v>-0.13598479999999999</v>
      </c>
      <c r="AE22">
        <v>-0.173499999999989</v>
      </c>
      <c r="AF22">
        <v>0.16641571972751201</v>
      </c>
      <c r="AG22">
        <v>-0.13598479999999999</v>
      </c>
      <c r="AH22">
        <v>0.66272449734873895</v>
      </c>
      <c r="AI22">
        <v>101.255494149963</v>
      </c>
      <c r="AJ22">
        <v>75.903998614284106</v>
      </c>
      <c r="AK22">
        <v>0.69669922993326505</v>
      </c>
      <c r="AL22">
        <v>87.655233091515598</v>
      </c>
      <c r="AM22">
        <v>96.539268914364897</v>
      </c>
      <c r="AN22">
        <v>0.99999998266701495</v>
      </c>
    </row>
    <row r="23" spans="1:40" x14ac:dyDescent="0.25">
      <c r="A23" t="str">
        <f>"20190304154728582"</f>
        <v>20190304154728582</v>
      </c>
      <c r="B23" t="str">
        <f>"1551685648576709"</f>
        <v>1551685648576709</v>
      </c>
      <c r="C23" t="s">
        <v>40</v>
      </c>
      <c r="D23">
        <v>4.599558</v>
      </c>
      <c r="E23">
        <v>0.63825859999999901</v>
      </c>
      <c r="F23" t="s">
        <v>41</v>
      </c>
      <c r="G23">
        <v>-475.61590000000001</v>
      </c>
      <c r="H23">
        <v>0.97353979999999996</v>
      </c>
      <c r="I23">
        <v>367.04160000000002</v>
      </c>
      <c r="J23">
        <v>-476.29840000000002</v>
      </c>
      <c r="K23">
        <v>1.1101669999999999</v>
      </c>
      <c r="L23">
        <v>367.21539999999999</v>
      </c>
      <c r="M23">
        <v>0.99998100000000001</v>
      </c>
      <c r="N23">
        <v>-5.9797369999999997E-3</v>
      </c>
      <c r="O23">
        <v>-1.465077E-3</v>
      </c>
      <c r="P23">
        <v>0.99306729999999999</v>
      </c>
      <c r="Q23">
        <v>3.4681740000000003E-2</v>
      </c>
      <c r="R23">
        <v>0.11231439999999999</v>
      </c>
      <c r="S23">
        <v>3.1297609999999998</v>
      </c>
      <c r="T23">
        <v>-0.60231109999999999</v>
      </c>
      <c r="U23">
        <v>-0.76632690000000003</v>
      </c>
      <c r="V23">
        <v>-0.1137674</v>
      </c>
      <c r="W23">
        <v>4.0623279999999998E-2</v>
      </c>
      <c r="X23">
        <v>0.99267660000000002</v>
      </c>
      <c r="Y23">
        <v>0.23227120000000001</v>
      </c>
      <c r="Z23">
        <v>-2.2276629999999999E-2</v>
      </c>
      <c r="AA23">
        <v>0.97239600000000004</v>
      </c>
      <c r="AB23">
        <v>3</v>
      </c>
      <c r="AC23">
        <v>0.68250000000000399</v>
      </c>
      <c r="AD23">
        <v>-0.136627199999999</v>
      </c>
      <c r="AE23">
        <v>-0.17379999999997101</v>
      </c>
      <c r="AF23">
        <v>0.166532576643425</v>
      </c>
      <c r="AG23">
        <v>-0.136627199999999</v>
      </c>
      <c r="AH23">
        <v>0.65799100245875697</v>
      </c>
      <c r="AI23">
        <v>101.381310568</v>
      </c>
      <c r="AJ23">
        <v>75.797114749747806</v>
      </c>
      <c r="AK23">
        <v>0.69235269204359895</v>
      </c>
      <c r="AL23">
        <v>87.671816980208405</v>
      </c>
      <c r="AM23">
        <v>96.537955716735894</v>
      </c>
      <c r="AN23">
        <v>1.0000000521841299</v>
      </c>
    </row>
    <row r="24" spans="1:40" x14ac:dyDescent="0.25">
      <c r="A24" t="str">
        <f>"20190304154728595"</f>
        <v>20190304154728595</v>
      </c>
      <c r="B24" t="str">
        <f>"1551685648587446"</f>
        <v>1551685648587446</v>
      </c>
      <c r="C24" t="s">
        <v>40</v>
      </c>
      <c r="D24">
        <v>4.6843490000000001</v>
      </c>
      <c r="E24">
        <v>0.63829460000000005</v>
      </c>
      <c r="F24" t="s">
        <v>41</v>
      </c>
      <c r="G24">
        <v>-475.58969999999999</v>
      </c>
      <c r="H24">
        <v>0.97282089999999999</v>
      </c>
      <c r="I24">
        <v>367.04149999999998</v>
      </c>
      <c r="J24">
        <v>-476.28050000000002</v>
      </c>
      <c r="K24">
        <v>1.1100680000000001</v>
      </c>
      <c r="L24">
        <v>367.21530000000001</v>
      </c>
      <c r="M24">
        <v>0.99998180000000003</v>
      </c>
      <c r="N24">
        <v>-5.8305919999999999E-3</v>
      </c>
      <c r="O24">
        <v>-1.5247450000000001E-3</v>
      </c>
      <c r="P24">
        <v>0.99303869999999905</v>
      </c>
      <c r="Q24">
        <v>3.5020170000000003E-2</v>
      </c>
      <c r="R24">
        <v>0.1124619</v>
      </c>
      <c r="S24">
        <v>3.128876</v>
      </c>
      <c r="T24">
        <v>-0.60643649999999905</v>
      </c>
      <c r="U24">
        <v>-0.76739499999999905</v>
      </c>
      <c r="V24">
        <v>-0.1139738</v>
      </c>
      <c r="W24">
        <v>4.0814330000000003E-2</v>
      </c>
      <c r="X24">
        <v>0.992645</v>
      </c>
      <c r="Y24">
        <v>0.2325323</v>
      </c>
      <c r="Z24">
        <v>-2.2423419999999999E-2</v>
      </c>
      <c r="AA24">
        <v>0.97233020000000003</v>
      </c>
      <c r="AB24">
        <v>2</v>
      </c>
      <c r="AC24">
        <v>0.69080000000002395</v>
      </c>
      <c r="AD24">
        <v>-0.13724709999999901</v>
      </c>
      <c r="AE24">
        <v>-0.17380000000002799</v>
      </c>
      <c r="AF24">
        <v>0.16656311603858401</v>
      </c>
      <c r="AG24">
        <v>-0.13724709999999901</v>
      </c>
      <c r="AH24">
        <v>0.66632792044705902</v>
      </c>
      <c r="AI24">
        <v>101.300386529337</v>
      </c>
      <c r="AJ24">
        <v>75.965283198122705</v>
      </c>
      <c r="AK24">
        <v>0.70040912019347301</v>
      </c>
      <c r="AL24">
        <v>87.660861335187306</v>
      </c>
      <c r="AM24">
        <v>96.549920779690098</v>
      </c>
      <c r="AN24">
        <v>0.99999996632239296</v>
      </c>
    </row>
    <row r="25" spans="1:40" x14ac:dyDescent="0.25">
      <c r="A25" t="str">
        <f>"20190304154728606"</f>
        <v>20190304154728606</v>
      </c>
      <c r="B25" t="str">
        <f>"1551685648597206"</f>
        <v>1551685648597206</v>
      </c>
      <c r="C25" t="s">
        <v>40</v>
      </c>
      <c r="D25">
        <v>4.639316</v>
      </c>
      <c r="E25">
        <v>0.63833030000000002</v>
      </c>
      <c r="F25" t="s">
        <v>41</v>
      </c>
      <c r="G25">
        <v>-475.56</v>
      </c>
      <c r="H25">
        <v>0.97077259999999999</v>
      </c>
      <c r="I25">
        <v>367.0385</v>
      </c>
      <c r="J25">
        <v>-476.26209999999998</v>
      </c>
      <c r="K25">
        <v>1.109861</v>
      </c>
      <c r="L25">
        <v>367.21519999999998</v>
      </c>
      <c r="M25">
        <v>0.99998489999999995</v>
      </c>
      <c r="N25">
        <v>-5.2779699999999999E-3</v>
      </c>
      <c r="O25">
        <v>-1.595962E-3</v>
      </c>
      <c r="P25">
        <v>0.99303350000000001</v>
      </c>
      <c r="Q25">
        <v>3.5694320000000002E-2</v>
      </c>
      <c r="R25">
        <v>0.1122971</v>
      </c>
      <c r="S25">
        <v>3.129181</v>
      </c>
      <c r="T25">
        <v>-0.60501309999999997</v>
      </c>
      <c r="U25">
        <v>-0.76684569999999996</v>
      </c>
      <c r="V25">
        <v>-0.1138791</v>
      </c>
      <c r="W25">
        <v>4.0942020000000003E-2</v>
      </c>
      <c r="X25">
        <v>0.99265060000000005</v>
      </c>
      <c r="Y25">
        <v>0.23231740000000001</v>
      </c>
      <c r="Z25">
        <v>-2.227115E-2</v>
      </c>
      <c r="AA25">
        <v>0.97238500000000005</v>
      </c>
      <c r="AB25">
        <v>3</v>
      </c>
      <c r="AC25">
        <v>0.70209999999997297</v>
      </c>
      <c r="AD25">
        <v>-0.139088399999999</v>
      </c>
      <c r="AE25">
        <v>-0.17669999999998201</v>
      </c>
      <c r="AF25">
        <v>0.16932973657738001</v>
      </c>
      <c r="AG25">
        <v>-0.139088399999999</v>
      </c>
      <c r="AH25">
        <v>0.67738084000587795</v>
      </c>
      <c r="AI25">
        <v>101.26601717853499</v>
      </c>
      <c r="AJ25">
        <v>75.964988358589196</v>
      </c>
      <c r="AK25">
        <v>0.711943077156449</v>
      </c>
      <c r="AL25">
        <v>87.653539092366998</v>
      </c>
      <c r="AM25">
        <v>96.544489130847396</v>
      </c>
      <c r="AN25">
        <v>0.99999995604942404</v>
      </c>
    </row>
    <row r="26" spans="1:40" x14ac:dyDescent="0.25">
      <c r="A26" t="str">
        <f>"20190304154728618"</f>
        <v>20190304154728618</v>
      </c>
      <c r="B26" t="str">
        <f>"1551685648616726"</f>
        <v>1551685648616726</v>
      </c>
      <c r="C26" t="s">
        <v>40</v>
      </c>
      <c r="D26">
        <v>4.6296350000000004</v>
      </c>
      <c r="E26">
        <v>0.63844840000000003</v>
      </c>
      <c r="F26" t="s">
        <v>41</v>
      </c>
      <c r="G26">
        <v>-475.55849999999998</v>
      </c>
      <c r="H26">
        <v>0.97439849999999995</v>
      </c>
      <c r="I26">
        <v>367.04230000000001</v>
      </c>
      <c r="J26">
        <v>-476.24340000000001</v>
      </c>
      <c r="K26">
        <v>1.1096809999999999</v>
      </c>
      <c r="L26">
        <v>367.21510000000001</v>
      </c>
      <c r="M26">
        <v>0.99998739999999997</v>
      </c>
      <c r="N26">
        <v>-4.7531429999999996E-3</v>
      </c>
      <c r="O26">
        <v>-1.674069E-3</v>
      </c>
      <c r="P26">
        <v>0.99303030000000003</v>
      </c>
      <c r="Q26">
        <v>3.6238449999999998E-2</v>
      </c>
      <c r="R26">
        <v>0.1121501</v>
      </c>
      <c r="S26">
        <v>3.1295169999999999</v>
      </c>
      <c r="T26">
        <v>-0.60252899999999998</v>
      </c>
      <c r="U26">
        <v>-0.76782229999999996</v>
      </c>
      <c r="V26">
        <v>-0.1138084</v>
      </c>
      <c r="W26">
        <v>4.096727E-2</v>
      </c>
      <c r="X26">
        <v>0.99265769999999998</v>
      </c>
      <c r="Y26">
        <v>0.23254710000000001</v>
      </c>
      <c r="Z26">
        <v>-2.2125470000000001E-2</v>
      </c>
      <c r="AA26">
        <v>0.97233340000000001</v>
      </c>
      <c r="AB26">
        <v>3</v>
      </c>
      <c r="AC26">
        <v>0.68490000000002704</v>
      </c>
      <c r="AD26">
        <v>-0.135282499999999</v>
      </c>
      <c r="AE26">
        <v>-0.17279999999999501</v>
      </c>
      <c r="AF26">
        <v>0.165579728099437</v>
      </c>
      <c r="AG26">
        <v>-0.135282499999999</v>
      </c>
      <c r="AH26">
        <v>0.66094493184474801</v>
      </c>
      <c r="AI26">
        <v>101.22974514657101</v>
      </c>
      <c r="AJ26">
        <v>75.935734742127806</v>
      </c>
      <c r="AK26">
        <v>0.69466985258825797</v>
      </c>
      <c r="AL26">
        <v>87.652091237049206</v>
      </c>
      <c r="AM26">
        <v>96.540414930435006</v>
      </c>
      <c r="AN26">
        <v>0.999999989245551</v>
      </c>
    </row>
    <row r="27" spans="1:40" x14ac:dyDescent="0.25">
      <c r="A27" t="str">
        <f>"20190304154728633"</f>
        <v>20190304154728633</v>
      </c>
      <c r="B27" t="str">
        <f>"1551685648627463"</f>
        <v>1551685648627463</v>
      </c>
      <c r="C27" t="s">
        <v>40</v>
      </c>
      <c r="D27">
        <v>4.6429169999999997</v>
      </c>
      <c r="E27">
        <v>0.63850769999999901</v>
      </c>
      <c r="F27" t="s">
        <v>41</v>
      </c>
      <c r="G27">
        <v>-475.52629999999999</v>
      </c>
      <c r="H27">
        <v>0.97225269999999997</v>
      </c>
      <c r="I27">
        <v>367.03910000000002</v>
      </c>
      <c r="J27">
        <v>-476.22050000000002</v>
      </c>
      <c r="K27">
        <v>1.1094889999999999</v>
      </c>
      <c r="L27">
        <v>367.21499999999997</v>
      </c>
      <c r="M27">
        <v>0.99998969999999998</v>
      </c>
      <c r="N27">
        <v>-4.1646779999999998E-3</v>
      </c>
      <c r="O27">
        <v>-1.7737530000000001E-3</v>
      </c>
      <c r="P27">
        <v>0.9930736</v>
      </c>
      <c r="Q27">
        <v>3.6711170000000001E-2</v>
      </c>
      <c r="R27">
        <v>0.11161219999999999</v>
      </c>
      <c r="S27">
        <v>3.129791</v>
      </c>
      <c r="T27">
        <v>-0.59977209999999903</v>
      </c>
      <c r="U27">
        <v>-0.76907349999999997</v>
      </c>
      <c r="V27">
        <v>-0.1133687</v>
      </c>
      <c r="W27">
        <v>4.0858640000000002E-2</v>
      </c>
      <c r="X27">
        <v>0.9927125</v>
      </c>
      <c r="Y27">
        <v>0.23284469999999999</v>
      </c>
      <c r="Z27">
        <v>-2.196497E-2</v>
      </c>
      <c r="AA27">
        <v>0.97226579999999996</v>
      </c>
      <c r="AB27">
        <v>3</v>
      </c>
      <c r="AC27">
        <v>0.69420000000002302</v>
      </c>
      <c r="AD27">
        <v>-0.13723629999999901</v>
      </c>
      <c r="AE27">
        <v>-0.17589999999995501</v>
      </c>
      <c r="AF27">
        <v>0.16848115814252099</v>
      </c>
      <c r="AG27">
        <v>-0.13723629999999901</v>
      </c>
      <c r="AH27">
        <v>0.66990950308910602</v>
      </c>
      <c r="AI27">
        <v>101.236706359959</v>
      </c>
      <c r="AJ27">
        <v>75.882983991569503</v>
      </c>
      <c r="AK27">
        <v>0.70427157050091804</v>
      </c>
      <c r="AL27">
        <v>87.658320516471093</v>
      </c>
      <c r="AM27">
        <v>96.515007083172407</v>
      </c>
      <c r="AN27">
        <v>0.99999999912929405</v>
      </c>
    </row>
    <row r="28" spans="1:40" x14ac:dyDescent="0.25">
      <c r="A28" t="str">
        <f>"20190304154728650"</f>
        <v>20190304154728650</v>
      </c>
      <c r="B28" t="str">
        <f>"1551685648646981"</f>
        <v>1551685648646981</v>
      </c>
      <c r="C28" t="s">
        <v>40</v>
      </c>
      <c r="D28">
        <v>4.6238440000000001</v>
      </c>
      <c r="E28">
        <v>0.63860879999999998</v>
      </c>
      <c r="F28" t="s">
        <v>41</v>
      </c>
      <c r="G28">
        <v>-475.49329999999998</v>
      </c>
      <c r="H28">
        <v>0.97060009999999997</v>
      </c>
      <c r="I28">
        <v>367.03530000000001</v>
      </c>
      <c r="J28">
        <v>-476.19049999999999</v>
      </c>
      <c r="K28">
        <v>1.109416</v>
      </c>
      <c r="L28">
        <v>367.21480000000003</v>
      </c>
      <c r="M28">
        <v>0.99999079999999996</v>
      </c>
      <c r="N28">
        <v>-3.8729179999999999E-3</v>
      </c>
      <c r="O28">
        <v>-1.903009E-3</v>
      </c>
      <c r="P28">
        <v>0.99312940000000005</v>
      </c>
      <c r="Q28">
        <v>3.7091440000000003E-2</v>
      </c>
      <c r="R28">
        <v>0.1109887</v>
      </c>
      <c r="S28">
        <v>3.1296390000000001</v>
      </c>
      <c r="T28">
        <v>-0.59784349999999997</v>
      </c>
      <c r="U28">
        <v>-0.7712097</v>
      </c>
      <c r="V28">
        <v>-0.1128731</v>
      </c>
      <c r="W28">
        <v>4.0951540000000002E-2</v>
      </c>
      <c r="X28">
        <v>0.99276509999999996</v>
      </c>
      <c r="Y28">
        <v>0.23338110000000001</v>
      </c>
      <c r="Z28">
        <v>-2.1888680000000001E-2</v>
      </c>
      <c r="AA28">
        <v>0.97213890000000003</v>
      </c>
      <c r="AB28">
        <v>4</v>
      </c>
      <c r="AC28">
        <v>0.69720000000000903</v>
      </c>
      <c r="AD28">
        <v>-0.13881589999999999</v>
      </c>
      <c r="AE28">
        <v>-0.17950000000001801</v>
      </c>
      <c r="AF28">
        <v>0.171786156624673</v>
      </c>
      <c r="AG28">
        <v>-0.13881589999999999</v>
      </c>
      <c r="AH28">
        <v>0.67253651346526999</v>
      </c>
      <c r="AI28">
        <v>101.309137839206</v>
      </c>
      <c r="AJ28">
        <v>75.671305176421797</v>
      </c>
      <c r="AK28">
        <v>0.70787407047066497</v>
      </c>
      <c r="AL28">
        <v>87.652993175170593</v>
      </c>
      <c r="AM28">
        <v>96.486428742724399</v>
      </c>
      <c r="AN28">
        <v>0.99999995455499402</v>
      </c>
    </row>
    <row r="29" spans="1:40" x14ac:dyDescent="0.25">
      <c r="A29" t="str">
        <f>"20190304154728665"</f>
        <v>20190304154728665</v>
      </c>
      <c r="B29" t="str">
        <f>"1551685648656742"</f>
        <v>1551685648656742</v>
      </c>
      <c r="C29" t="s">
        <v>40</v>
      </c>
      <c r="D29">
        <v>4.5614379999999999</v>
      </c>
      <c r="E29">
        <v>0.63869519999999902</v>
      </c>
      <c r="F29" t="s">
        <v>41</v>
      </c>
      <c r="G29">
        <v>-475.49090000000001</v>
      </c>
      <c r="H29">
        <v>0.97619840000000002</v>
      </c>
      <c r="I29">
        <v>367.04149999999998</v>
      </c>
      <c r="J29">
        <v>-476.16879999999998</v>
      </c>
      <c r="K29">
        <v>1.109685</v>
      </c>
      <c r="L29">
        <v>367.21469999999999</v>
      </c>
      <c r="M29">
        <v>0.99998679999999995</v>
      </c>
      <c r="N29">
        <v>-4.7237850000000003E-3</v>
      </c>
      <c r="O29">
        <v>-1.9795920000000001E-3</v>
      </c>
      <c r="P29">
        <v>0.99320929999999996</v>
      </c>
      <c r="Q29">
        <v>3.6318509999999998E-2</v>
      </c>
      <c r="R29">
        <v>0.110526399999999</v>
      </c>
      <c r="S29">
        <v>3.1294249999999999</v>
      </c>
      <c r="T29">
        <v>-0.59600069999999905</v>
      </c>
      <c r="U29">
        <v>-0.77322389999999996</v>
      </c>
      <c r="V29">
        <v>-0.1124879</v>
      </c>
      <c r="W29">
        <v>4.1022059999999999E-2</v>
      </c>
      <c r="X29">
        <v>0.99280599999999997</v>
      </c>
      <c r="Y29">
        <v>0.23390939999999999</v>
      </c>
      <c r="Z29">
        <v>-2.1963340000000001E-2</v>
      </c>
      <c r="AA29">
        <v>0.97201029999999999</v>
      </c>
      <c r="AB29">
        <v>4</v>
      </c>
      <c r="AC29">
        <v>0.67789999999996498</v>
      </c>
      <c r="AD29">
        <v>-0.13348660000000001</v>
      </c>
      <c r="AE29">
        <v>-0.17320000000000799</v>
      </c>
      <c r="AF29">
        <v>0.16582203763321099</v>
      </c>
      <c r="AG29">
        <v>-0.13348660000000001</v>
      </c>
      <c r="AH29">
        <v>0.65442169495143199</v>
      </c>
      <c r="AI29">
        <v>101.184687478358</v>
      </c>
      <c r="AJ29">
        <v>75.781249919300294</v>
      </c>
      <c r="AK29">
        <v>0.68817394266819998</v>
      </c>
      <c r="AL29">
        <v>87.648949492050605</v>
      </c>
      <c r="AM29">
        <v>96.464216262865193</v>
      </c>
      <c r="AN29">
        <v>1.0000000453445199</v>
      </c>
    </row>
    <row r="30" spans="1:40" x14ac:dyDescent="0.25">
      <c r="A30" t="str">
        <f>"20190304154728684"</f>
        <v>20190304154728684</v>
      </c>
      <c r="B30" t="str">
        <f>"1551685648677238"</f>
        <v>1551685648677238</v>
      </c>
      <c r="C30" t="s">
        <v>40</v>
      </c>
      <c r="D30">
        <v>4.642245</v>
      </c>
      <c r="E30">
        <v>0.63879229999999998</v>
      </c>
      <c r="F30" t="s">
        <v>41</v>
      </c>
      <c r="G30">
        <v>-475.46199999999999</v>
      </c>
      <c r="H30">
        <v>0.97453020000000001</v>
      </c>
      <c r="I30">
        <v>367.0394</v>
      </c>
      <c r="J30">
        <v>-476.1395</v>
      </c>
      <c r="K30">
        <v>1.109802</v>
      </c>
      <c r="L30">
        <v>367.21449999999999</v>
      </c>
      <c r="M30">
        <v>0.9999846</v>
      </c>
      <c r="N30">
        <v>-5.1722060000000004E-3</v>
      </c>
      <c r="O30">
        <v>-2.0868100000000001E-3</v>
      </c>
      <c r="P30">
        <v>0.99326009999999998</v>
      </c>
      <c r="Q30">
        <v>3.6553919999999997E-2</v>
      </c>
      <c r="R30">
        <v>0.1099936</v>
      </c>
      <c r="S30">
        <v>3.1286619999999998</v>
      </c>
      <c r="T30">
        <v>-0.59827039999999998</v>
      </c>
      <c r="U30">
        <v>-0.77563479999999996</v>
      </c>
      <c r="V30">
        <v>-0.11206149999999999</v>
      </c>
      <c r="W30">
        <v>4.1701920000000003E-2</v>
      </c>
      <c r="X30">
        <v>0.99282590000000004</v>
      </c>
      <c r="Y30">
        <v>0.23451610000000001</v>
      </c>
      <c r="Z30">
        <v>-2.213992E-2</v>
      </c>
      <c r="AA30">
        <v>0.9718601</v>
      </c>
      <c r="AB30">
        <v>4</v>
      </c>
      <c r="AC30">
        <v>0.67750000000000898</v>
      </c>
      <c r="AD30">
        <v>-0.135271799999999</v>
      </c>
      <c r="AE30">
        <v>-0.17509999999998599</v>
      </c>
      <c r="AF30">
        <v>0.16742908718868799</v>
      </c>
      <c r="AG30">
        <v>-0.135271799999999</v>
      </c>
      <c r="AH30">
        <v>0.65344517527498802</v>
      </c>
      <c r="AI30">
        <v>101.33941301873</v>
      </c>
      <c r="AJ30">
        <v>75.628557462962803</v>
      </c>
      <c r="AK30">
        <v>0.68798368890711203</v>
      </c>
      <c r="AL30">
        <v>87.609963029117495</v>
      </c>
      <c r="AM30">
        <v>96.439791053125006</v>
      </c>
      <c r="AN30">
        <v>1.0000000488123699</v>
      </c>
    </row>
    <row r="31" spans="1:40" x14ac:dyDescent="0.25">
      <c r="A31" t="str">
        <f>"20190304154728696"</f>
        <v>20190304154728696</v>
      </c>
      <c r="B31" t="str">
        <f>"1551685648686998"</f>
        <v>1551685648686998</v>
      </c>
      <c r="C31" t="s">
        <v>40</v>
      </c>
      <c r="D31">
        <v>4.6026189999999998</v>
      </c>
      <c r="E31">
        <v>0.63882609999999995</v>
      </c>
      <c r="F31" t="s">
        <v>41</v>
      </c>
      <c r="G31">
        <v>-475.42899999999997</v>
      </c>
      <c r="H31">
        <v>0.97418199999999999</v>
      </c>
      <c r="I31">
        <v>367.03739999999999</v>
      </c>
      <c r="J31">
        <v>-476.11649999999997</v>
      </c>
      <c r="K31">
        <v>1.109728</v>
      </c>
      <c r="L31">
        <v>367.21440000000001</v>
      </c>
      <c r="M31">
        <v>0.99998529999999997</v>
      </c>
      <c r="N31">
        <v>-4.9891329999999998E-3</v>
      </c>
      <c r="O31">
        <v>-2.176838E-3</v>
      </c>
      <c r="P31">
        <v>0.99325410000000003</v>
      </c>
      <c r="Q31">
        <v>3.7306730000000003E-2</v>
      </c>
      <c r="R31">
        <v>0.10979410000000001</v>
      </c>
      <c r="S31">
        <v>3.128479</v>
      </c>
      <c r="T31">
        <v>-0.5971978</v>
      </c>
      <c r="U31">
        <v>-0.77804569999999995</v>
      </c>
      <c r="V31">
        <v>-0.11195090000000001</v>
      </c>
      <c r="W31">
        <v>4.2274100000000002E-2</v>
      </c>
      <c r="X31">
        <v>0.99281410000000003</v>
      </c>
      <c r="Y31">
        <v>0.23515639999999999</v>
      </c>
      <c r="Z31">
        <v>-2.2123960000000002E-2</v>
      </c>
      <c r="AA31">
        <v>0.97170570000000001</v>
      </c>
      <c r="AB31">
        <v>3</v>
      </c>
      <c r="AC31">
        <v>0.68749999999994305</v>
      </c>
      <c r="AD31">
        <v>-0.135546</v>
      </c>
      <c r="AE31">
        <v>-0.17700000000002</v>
      </c>
      <c r="AF31">
        <v>0.169330079552797</v>
      </c>
      <c r="AG31">
        <v>-0.135546</v>
      </c>
      <c r="AH31">
        <v>0.66368897891460499</v>
      </c>
      <c r="AI31">
        <v>101.193750209615</v>
      </c>
      <c r="AJ31">
        <v>75.687202579116402</v>
      </c>
      <c r="AK31">
        <v>0.698232378717907</v>
      </c>
      <c r="AL31">
        <v>87.577150404127394</v>
      </c>
      <c r="AM31">
        <v>96.4335643872692</v>
      </c>
      <c r="AN31">
        <v>0.99999997035021404</v>
      </c>
    </row>
    <row r="32" spans="1:40" x14ac:dyDescent="0.25">
      <c r="A32" t="str">
        <f>"20190304154728708"</f>
        <v>20190304154728708</v>
      </c>
      <c r="B32" t="str">
        <f>"1551685648696758"</f>
        <v>1551685648696758</v>
      </c>
      <c r="C32" t="s">
        <v>40</v>
      </c>
      <c r="D32">
        <v>4.6031050000000002</v>
      </c>
      <c r="E32">
        <v>0.63887890000000003</v>
      </c>
      <c r="F32" t="s">
        <v>41</v>
      </c>
      <c r="G32">
        <v>-475.3929</v>
      </c>
      <c r="H32">
        <v>0.9722655</v>
      </c>
      <c r="I32">
        <v>367.03410000000002</v>
      </c>
      <c r="J32">
        <v>-476.09469999999999</v>
      </c>
      <c r="K32">
        <v>1.1095790000000001</v>
      </c>
      <c r="L32">
        <v>367.21420000000001</v>
      </c>
      <c r="M32">
        <v>0.99998719999999996</v>
      </c>
      <c r="N32">
        <v>-4.5310760000000002E-3</v>
      </c>
      <c r="O32">
        <v>-2.268258E-3</v>
      </c>
      <c r="P32">
        <v>0.99325580000000002</v>
      </c>
      <c r="Q32">
        <v>3.7841319999999998E-2</v>
      </c>
      <c r="R32">
        <v>0.1095957</v>
      </c>
      <c r="S32">
        <v>3.1288149999999999</v>
      </c>
      <c r="T32">
        <v>-0.59438610000000003</v>
      </c>
      <c r="U32">
        <v>-0.77905269999999904</v>
      </c>
      <c r="V32">
        <v>-0.111843</v>
      </c>
      <c r="W32">
        <v>4.2355089999999998E-2</v>
      </c>
      <c r="X32">
        <v>0.99282280000000001</v>
      </c>
      <c r="Y32">
        <v>0.23538429999999999</v>
      </c>
      <c r="Z32">
        <v>-2.1970369999999999E-2</v>
      </c>
      <c r="AA32">
        <v>0.97165400000000002</v>
      </c>
      <c r="AB32">
        <v>4</v>
      </c>
      <c r="AC32">
        <v>0.70179999999999099</v>
      </c>
      <c r="AD32">
        <v>-0.13731349999999901</v>
      </c>
      <c r="AE32">
        <v>-0.180099999999981</v>
      </c>
      <c r="AF32">
        <v>0.172318482227478</v>
      </c>
      <c r="AG32">
        <v>-0.13731349999999901</v>
      </c>
      <c r="AH32">
        <v>0.67785996915757896</v>
      </c>
      <c r="AI32">
        <v>101.10732227624401</v>
      </c>
      <c r="AJ32">
        <v>75.736980143424603</v>
      </c>
      <c r="AK32">
        <v>0.71277120760153201</v>
      </c>
      <c r="AL32">
        <v>87.572505836748704</v>
      </c>
      <c r="AM32">
        <v>96.427359682778203</v>
      </c>
      <c r="AN32">
        <v>0.99999996124887303</v>
      </c>
    </row>
    <row r="33" spans="1:40" x14ac:dyDescent="0.25">
      <c r="A33" t="str">
        <f>"20190304154728721"</f>
        <v>20190304154728721</v>
      </c>
      <c r="B33" t="str">
        <f>"1551685648717254"</f>
        <v>1551685648717254</v>
      </c>
      <c r="C33" t="s">
        <v>40</v>
      </c>
      <c r="D33">
        <v>4.5484039999999997</v>
      </c>
      <c r="E33">
        <v>0.63897740000000003</v>
      </c>
      <c r="F33" t="s">
        <v>41</v>
      </c>
      <c r="G33">
        <v>-475.39109999999999</v>
      </c>
      <c r="H33">
        <v>0.97644109999999995</v>
      </c>
      <c r="I33">
        <v>367.03879999999998</v>
      </c>
      <c r="J33">
        <v>-476.07049999999998</v>
      </c>
      <c r="K33">
        <v>1.1094250000000001</v>
      </c>
      <c r="L33">
        <v>367.21409999999997</v>
      </c>
      <c r="M33">
        <v>0.99998920000000002</v>
      </c>
      <c r="N33">
        <v>-3.9968950000000003E-3</v>
      </c>
      <c r="O33">
        <v>-2.375477E-3</v>
      </c>
      <c r="P33">
        <v>0.99327379999999998</v>
      </c>
      <c r="Q33">
        <v>3.841406E-2</v>
      </c>
      <c r="R33">
        <v>0.10923239999999899</v>
      </c>
      <c r="S33">
        <v>3.1289370000000001</v>
      </c>
      <c r="T33">
        <v>-0.59212140000000002</v>
      </c>
      <c r="U33">
        <v>-0.78009030000000001</v>
      </c>
      <c r="V33">
        <v>-0.1115853</v>
      </c>
      <c r="W33">
        <v>4.2399390000000002E-2</v>
      </c>
      <c r="X33">
        <v>0.99284989999999995</v>
      </c>
      <c r="Y33">
        <v>0.2356153</v>
      </c>
      <c r="Z33">
        <v>-2.1825379999999998E-2</v>
      </c>
      <c r="AA33">
        <v>0.9716013</v>
      </c>
      <c r="AB33">
        <v>4</v>
      </c>
      <c r="AC33">
        <v>0.67939999999998602</v>
      </c>
      <c r="AD33">
        <v>-0.13298389999999999</v>
      </c>
      <c r="AE33">
        <v>-0.17529999999999199</v>
      </c>
      <c r="AF33">
        <v>0.16766287639364599</v>
      </c>
      <c r="AG33">
        <v>-0.13298389999999999</v>
      </c>
      <c r="AH33">
        <v>0.65624127762103102</v>
      </c>
      <c r="AI33">
        <v>101.108051245087</v>
      </c>
      <c r="AJ33">
        <v>75.668107444719993</v>
      </c>
      <c r="AK33">
        <v>0.69025225261022105</v>
      </c>
      <c r="AL33">
        <v>87.569965337933795</v>
      </c>
      <c r="AM33">
        <v>96.412500185715004</v>
      </c>
      <c r="AN33">
        <v>0.99999995568923505</v>
      </c>
    </row>
    <row r="34" spans="1:40" x14ac:dyDescent="0.25">
      <c r="A34" t="str">
        <f>"20190304154728739"</f>
        <v>20190304154728739</v>
      </c>
      <c r="B34" t="str">
        <f>"1551685648727013"</f>
        <v>1551685648727013</v>
      </c>
      <c r="C34" t="s">
        <v>40</v>
      </c>
      <c r="D34">
        <v>4.5612899999999996</v>
      </c>
      <c r="E34">
        <v>0.63904810000000001</v>
      </c>
      <c r="F34" t="s">
        <v>41</v>
      </c>
      <c r="G34">
        <v>-475.35239999999999</v>
      </c>
      <c r="H34">
        <v>0.97410940000000001</v>
      </c>
      <c r="I34">
        <v>367.03410000000002</v>
      </c>
      <c r="J34">
        <v>-476.03550000000001</v>
      </c>
      <c r="K34">
        <v>1.109361</v>
      </c>
      <c r="L34">
        <v>367.21379999999999</v>
      </c>
      <c r="M34">
        <v>0.99999000000000005</v>
      </c>
      <c r="N34">
        <v>-3.7063590000000002E-3</v>
      </c>
      <c r="O34">
        <v>-2.520581E-3</v>
      </c>
      <c r="P34">
        <v>0.99325030000000003</v>
      </c>
      <c r="Q34">
        <v>3.9301950000000002E-2</v>
      </c>
      <c r="R34">
        <v>0.1091317</v>
      </c>
      <c r="S34">
        <v>3.129089</v>
      </c>
      <c r="T34">
        <v>-0.58970999999999996</v>
      </c>
      <c r="U34">
        <v>-0.78216549999999996</v>
      </c>
      <c r="V34">
        <v>-0.1116288</v>
      </c>
      <c r="W34">
        <v>4.299919E-2</v>
      </c>
      <c r="X34">
        <v>0.99281920000000001</v>
      </c>
      <c r="Y34">
        <v>0.23610339999999999</v>
      </c>
      <c r="Z34">
        <v>-2.1721259999999999E-2</v>
      </c>
      <c r="AA34">
        <v>0.97148509999999999</v>
      </c>
      <c r="AB34">
        <v>4</v>
      </c>
      <c r="AC34">
        <v>0.68310000000002402</v>
      </c>
      <c r="AD34">
        <v>-0.135251599999999</v>
      </c>
      <c r="AE34">
        <v>-0.179699999999968</v>
      </c>
      <c r="AF34">
        <v>0.171682797549076</v>
      </c>
      <c r="AG34">
        <v>-0.135251599999999</v>
      </c>
      <c r="AH34">
        <v>0.65937457757260498</v>
      </c>
      <c r="AI34">
        <v>101.227422468683</v>
      </c>
      <c r="AJ34">
        <v>75.405811408761295</v>
      </c>
      <c r="AK34">
        <v>0.69465301541552904</v>
      </c>
      <c r="AL34">
        <v>87.535567921152705</v>
      </c>
      <c r="AM34">
        <v>96.415175886747804</v>
      </c>
      <c r="AN34">
        <v>0.99999994160936601</v>
      </c>
    </row>
    <row r="35" spans="1:40" x14ac:dyDescent="0.25">
      <c r="A35" t="str">
        <f>"20190304154728752"</f>
        <v>20190304154728752</v>
      </c>
      <c r="B35" t="str">
        <f>"1551685648747510"</f>
        <v>1551685648747510</v>
      </c>
      <c r="C35" t="s">
        <v>40</v>
      </c>
      <c r="D35">
        <v>4.5096669999999897</v>
      </c>
      <c r="E35">
        <v>0.63919780000000004</v>
      </c>
      <c r="F35" t="s">
        <v>41</v>
      </c>
      <c r="G35">
        <v>-475.31490000000002</v>
      </c>
      <c r="H35">
        <v>0.97433689999999995</v>
      </c>
      <c r="I35">
        <v>367.0333</v>
      </c>
      <c r="J35">
        <v>-476.01060000000001</v>
      </c>
      <c r="K35">
        <v>1.1094999999999999</v>
      </c>
      <c r="L35">
        <v>367.21359999999999</v>
      </c>
      <c r="M35">
        <v>0.9999884</v>
      </c>
      <c r="N35">
        <v>-4.0795800000000002E-3</v>
      </c>
      <c r="O35">
        <v>-2.6092770000000001E-3</v>
      </c>
      <c r="P35">
        <v>0.99327299999999996</v>
      </c>
      <c r="Q35">
        <v>3.8953620000000001E-2</v>
      </c>
      <c r="R35">
        <v>0.1090482</v>
      </c>
      <c r="S35">
        <v>3.129578</v>
      </c>
      <c r="T35">
        <v>-0.58646799999999999</v>
      </c>
      <c r="U35">
        <v>-0.78277589999999997</v>
      </c>
      <c r="V35">
        <v>-0.11163389999999999</v>
      </c>
      <c r="W35">
        <v>4.3019670000000003E-2</v>
      </c>
      <c r="X35">
        <v>0.99281779999999997</v>
      </c>
      <c r="Y35">
        <v>0.2361953</v>
      </c>
      <c r="Z35">
        <v>-2.164137E-2</v>
      </c>
      <c r="AA35">
        <v>0.97146460000000001</v>
      </c>
      <c r="AB35">
        <v>4</v>
      </c>
      <c r="AC35">
        <v>0.695699999999987</v>
      </c>
      <c r="AD35">
        <v>-0.13516309999999901</v>
      </c>
      <c r="AE35">
        <v>-0.180299999999988</v>
      </c>
      <c r="AF35">
        <v>0.17238670421910501</v>
      </c>
      <c r="AG35">
        <v>-0.13516309999999901</v>
      </c>
      <c r="AH35">
        <v>0.67238551836268301</v>
      </c>
      <c r="AI35">
        <v>101.018887060136</v>
      </c>
      <c r="AJ35">
        <v>75.620191661206306</v>
      </c>
      <c r="AK35">
        <v>0.70716937482967301</v>
      </c>
      <c r="AL35">
        <v>87.5343935652499</v>
      </c>
      <c r="AM35">
        <v>96.415475505390305</v>
      </c>
      <c r="AN35">
        <v>1.0000000018164701</v>
      </c>
    </row>
    <row r="36" spans="1:40" x14ac:dyDescent="0.25">
      <c r="A36" t="str">
        <f>"20190304154728765"</f>
        <v>20190304154728765</v>
      </c>
      <c r="B36" t="str">
        <f>"1551685648757270"</f>
        <v>1551685648757270</v>
      </c>
      <c r="C36" t="s">
        <v>40</v>
      </c>
      <c r="D36">
        <v>4.5936349999999999</v>
      </c>
      <c r="E36">
        <v>0.63922690000000004</v>
      </c>
      <c r="F36" t="s">
        <v>41</v>
      </c>
      <c r="G36">
        <v>-475.28160000000003</v>
      </c>
      <c r="H36">
        <v>0.97288810000000003</v>
      </c>
      <c r="I36">
        <v>367.03030000000001</v>
      </c>
      <c r="J36">
        <v>-475.9889</v>
      </c>
      <c r="K36">
        <v>1.109823</v>
      </c>
      <c r="L36">
        <v>367.21350000000001</v>
      </c>
      <c r="M36">
        <v>0.99998310000000001</v>
      </c>
      <c r="N36">
        <v>-5.166113E-3</v>
      </c>
      <c r="O36">
        <v>-2.6760180000000001E-3</v>
      </c>
      <c r="P36">
        <v>0.99330510000000005</v>
      </c>
      <c r="Q36">
        <v>3.7962210000000003E-2</v>
      </c>
      <c r="R36">
        <v>0.10910400000000001</v>
      </c>
      <c r="S36">
        <v>3.1294559999999998</v>
      </c>
      <c r="T36">
        <v>-0.58650849999999999</v>
      </c>
      <c r="U36">
        <v>-0.78451539999999997</v>
      </c>
      <c r="V36">
        <v>-0.1117571</v>
      </c>
      <c r="W36">
        <v>4.3103040000000002E-2</v>
      </c>
      <c r="X36">
        <v>0.99280029999999997</v>
      </c>
      <c r="Y36">
        <v>0.23661689999999999</v>
      </c>
      <c r="Z36">
        <v>-2.1804210000000001E-2</v>
      </c>
      <c r="AA36">
        <v>0.97135839999999996</v>
      </c>
      <c r="AB36">
        <v>4</v>
      </c>
      <c r="AC36">
        <v>0.70729999999997495</v>
      </c>
      <c r="AD36">
        <v>-0.1369349</v>
      </c>
      <c r="AE36">
        <v>-0.183199999999999</v>
      </c>
      <c r="AF36">
        <v>0.175154215851204</v>
      </c>
      <c r="AG36">
        <v>-0.1369349</v>
      </c>
      <c r="AH36">
        <v>0.68377004917389494</v>
      </c>
      <c r="AI36">
        <v>100.979041971716</v>
      </c>
      <c r="AJ36">
        <v>75.632085458519597</v>
      </c>
      <c r="AK36">
        <v>0.71900740351941494</v>
      </c>
      <c r="AL36">
        <v>87.529612323768404</v>
      </c>
      <c r="AM36">
        <v>96.4226088073856</v>
      </c>
      <c r="AN36">
        <v>0.99999997856887002</v>
      </c>
    </row>
    <row r="37" spans="1:40" x14ac:dyDescent="0.25">
      <c r="A37" t="str">
        <f>"20190304154728784"</f>
        <v>20190304154728784</v>
      </c>
      <c r="B37" t="str">
        <f>"1551685648776790"</f>
        <v>1551685648776790</v>
      </c>
      <c r="C37" t="s">
        <v>40</v>
      </c>
      <c r="D37">
        <v>4.5429430000000002</v>
      </c>
      <c r="E37">
        <v>0.6393065</v>
      </c>
      <c r="F37" t="s">
        <v>41</v>
      </c>
      <c r="G37">
        <v>-475.28019999999998</v>
      </c>
      <c r="H37">
        <v>0.97637200000000002</v>
      </c>
      <c r="I37">
        <v>367.03519999999997</v>
      </c>
      <c r="J37">
        <v>-475.95960000000002</v>
      </c>
      <c r="K37">
        <v>1.110322</v>
      </c>
      <c r="L37">
        <v>367.21319999999997</v>
      </c>
      <c r="M37">
        <v>0.99997170000000002</v>
      </c>
      <c r="N37">
        <v>-6.9976880000000002E-3</v>
      </c>
      <c r="O37">
        <v>-2.7576380000000002E-3</v>
      </c>
      <c r="P37">
        <v>0.99335229999999997</v>
      </c>
      <c r="Q37">
        <v>3.6407670000000003E-2</v>
      </c>
      <c r="R37">
        <v>0.1092047</v>
      </c>
      <c r="S37">
        <v>3.128876</v>
      </c>
      <c r="T37">
        <v>-0.58918930000000003</v>
      </c>
      <c r="U37">
        <v>-0.78448490000000004</v>
      </c>
      <c r="V37">
        <v>-0.1119414</v>
      </c>
      <c r="W37">
        <v>4.336077E-2</v>
      </c>
      <c r="X37">
        <v>0.99276830000000005</v>
      </c>
      <c r="Y37">
        <v>0.2364964</v>
      </c>
      <c r="Z37">
        <v>-2.2103919999999999E-2</v>
      </c>
      <c r="AA37">
        <v>0.97138089999999999</v>
      </c>
      <c r="AB37">
        <v>4</v>
      </c>
      <c r="AC37">
        <v>0.67940000000004297</v>
      </c>
      <c r="AD37">
        <v>-0.13395000000000001</v>
      </c>
      <c r="AE37">
        <v>-0.17799999999999699</v>
      </c>
      <c r="AF37">
        <v>0.169944035460252</v>
      </c>
      <c r="AG37">
        <v>-0.13395000000000001</v>
      </c>
      <c r="AH37">
        <v>0.65602540926892605</v>
      </c>
      <c r="AI37">
        <v>101.18093898556</v>
      </c>
      <c r="AJ37">
        <v>75.476726568745605</v>
      </c>
      <c r="AK37">
        <v>0.69079151362402902</v>
      </c>
      <c r="AL37">
        <v>87.514831630556003</v>
      </c>
      <c r="AM37">
        <v>96.433317311243698</v>
      </c>
      <c r="AN37">
        <v>0.99999996544692005</v>
      </c>
    </row>
    <row r="38" spans="1:40" x14ac:dyDescent="0.25">
      <c r="A38" t="str">
        <f>"20190304154728797"</f>
        <v>20190304154728797</v>
      </c>
      <c r="B38" t="str">
        <f>"1551685648787525"</f>
        <v>1551685648787525</v>
      </c>
      <c r="C38" t="s">
        <v>40</v>
      </c>
      <c r="D38">
        <v>4.5666869999999999</v>
      </c>
      <c r="E38">
        <v>0.63932119999999903</v>
      </c>
      <c r="F38" t="s">
        <v>41</v>
      </c>
      <c r="G38">
        <v>-475.24979999999999</v>
      </c>
      <c r="H38">
        <v>0.975796</v>
      </c>
      <c r="I38">
        <v>367.03480000000002</v>
      </c>
      <c r="J38">
        <v>-475.93810000000002</v>
      </c>
      <c r="K38">
        <v>1.110509</v>
      </c>
      <c r="L38">
        <v>367.2131</v>
      </c>
      <c r="M38">
        <v>0.99996510000000005</v>
      </c>
      <c r="N38">
        <v>-7.8663880000000002E-3</v>
      </c>
      <c r="O38">
        <v>-2.8163350000000001E-3</v>
      </c>
      <c r="P38">
        <v>0.99335870000000004</v>
      </c>
      <c r="Q38">
        <v>3.5590289999999997E-2</v>
      </c>
      <c r="R38">
        <v>0.1094161</v>
      </c>
      <c r="S38">
        <v>3.128082</v>
      </c>
      <c r="T38">
        <v>-0.59286830000000001</v>
      </c>
      <c r="U38">
        <v>-0.78488159999999996</v>
      </c>
      <c r="V38">
        <v>-0.1122124</v>
      </c>
      <c r="W38">
        <v>4.3403160000000003E-2</v>
      </c>
      <c r="X38">
        <v>0.9927359</v>
      </c>
      <c r="Y38">
        <v>0.2365429</v>
      </c>
      <c r="Z38">
        <v>-2.2340929999999998E-2</v>
      </c>
      <c r="AA38">
        <v>0.97136409999999995</v>
      </c>
      <c r="AB38">
        <v>4</v>
      </c>
      <c r="AC38">
        <v>0.688300000000026</v>
      </c>
      <c r="AD38">
        <v>-0.134713</v>
      </c>
      <c r="AE38">
        <v>-0.178299999999978</v>
      </c>
      <c r="AF38">
        <v>0.170249328310421</v>
      </c>
      <c r="AG38">
        <v>-0.134713</v>
      </c>
      <c r="AH38">
        <v>0.66493050198711601</v>
      </c>
      <c r="AI38">
        <v>101.104068189776</v>
      </c>
      <c r="AJ38">
        <v>75.638470345308406</v>
      </c>
      <c r="AK38">
        <v>0.69947480199932</v>
      </c>
      <c r="AL38">
        <v>87.512400689760597</v>
      </c>
      <c r="AM38">
        <v>96.448969443682898</v>
      </c>
      <c r="AN38">
        <v>1.0000000120802699</v>
      </c>
    </row>
    <row r="39" spans="1:40" x14ac:dyDescent="0.25">
      <c r="A39" t="str">
        <f>"20190304154728808"</f>
        <v>20190304154728808</v>
      </c>
      <c r="B39" t="str">
        <f>"1551685648797287"</f>
        <v>1551685648797287</v>
      </c>
      <c r="C39" t="s">
        <v>40</v>
      </c>
      <c r="D39">
        <v>4.3726500000000001</v>
      </c>
      <c r="E39">
        <v>0.63932119999999903</v>
      </c>
      <c r="F39" t="s">
        <v>41</v>
      </c>
      <c r="G39">
        <v>-475.21589999999998</v>
      </c>
      <c r="H39">
        <v>0.97309480000000004</v>
      </c>
      <c r="I39">
        <v>367.0317</v>
      </c>
      <c r="J39">
        <v>-475.91660000000002</v>
      </c>
      <c r="K39">
        <v>1.11043799999999</v>
      </c>
      <c r="L39">
        <v>367.21300000000002</v>
      </c>
      <c r="M39">
        <v>0.99996439999999998</v>
      </c>
      <c r="N39">
        <v>-7.9456330000000006E-3</v>
      </c>
      <c r="O39">
        <v>-2.8784190000000001E-3</v>
      </c>
      <c r="P39">
        <v>0.99333130000000003</v>
      </c>
      <c r="Q39">
        <v>3.5536230000000002E-2</v>
      </c>
      <c r="R39">
        <v>0.1096816</v>
      </c>
      <c r="S39">
        <v>3.1278380000000001</v>
      </c>
      <c r="T39">
        <v>-0.59510759999999996</v>
      </c>
      <c r="U39">
        <v>-0.78445430000000005</v>
      </c>
      <c r="V39">
        <v>-0.112538899999999</v>
      </c>
      <c r="W39">
        <v>4.3428410000000001E-2</v>
      </c>
      <c r="X39">
        <v>0.99269779999999996</v>
      </c>
      <c r="Y39">
        <v>0.23634749999999999</v>
      </c>
      <c r="Z39">
        <v>-2.2402080000000001E-2</v>
      </c>
      <c r="AA39">
        <v>0.97141029999999995</v>
      </c>
      <c r="AB39">
        <v>3</v>
      </c>
      <c r="AC39">
        <v>0.70070000000003996</v>
      </c>
      <c r="AD39">
        <v>-0.137343199999999</v>
      </c>
      <c r="AE39">
        <v>-0.181300000000021</v>
      </c>
      <c r="AF39">
        <v>0.17305094093280099</v>
      </c>
      <c r="AG39">
        <v>-0.137343199999999</v>
      </c>
      <c r="AH39">
        <v>0.67684661622265896</v>
      </c>
      <c r="AI39">
        <v>101.122085300066</v>
      </c>
      <c r="AJ39">
        <v>75.6582850787307</v>
      </c>
      <c r="AK39">
        <v>0.71199095825440895</v>
      </c>
      <c r="AL39">
        <v>87.510952517233093</v>
      </c>
      <c r="AM39">
        <v>96.4678211165145</v>
      </c>
      <c r="AN39">
        <v>0.999999976466588</v>
      </c>
    </row>
    <row r="40" spans="1:40" x14ac:dyDescent="0.25">
      <c r="A40" t="str">
        <f>"20190304154728823"</f>
        <v>20190304154728823</v>
      </c>
      <c r="B40" t="str">
        <f>"1551685648816805"</f>
        <v>1551685648816805</v>
      </c>
      <c r="C40" t="s">
        <v>40</v>
      </c>
      <c r="D40">
        <v>3.6985869999999998</v>
      </c>
      <c r="E40">
        <v>0.58016789999999996</v>
      </c>
      <c r="F40" t="s">
        <v>41</v>
      </c>
      <c r="G40">
        <v>-475.21429999999998</v>
      </c>
      <c r="H40">
        <v>0.9768656</v>
      </c>
      <c r="I40">
        <v>367.03680000000003</v>
      </c>
      <c r="J40">
        <v>-475.89</v>
      </c>
      <c r="K40">
        <v>1.11019</v>
      </c>
      <c r="L40">
        <v>367.21280000000002</v>
      </c>
      <c r="M40">
        <v>0.99996839999999998</v>
      </c>
      <c r="N40">
        <v>-7.3864459999999996E-3</v>
      </c>
      <c r="O40">
        <v>-2.9700500000000001E-3</v>
      </c>
      <c r="P40">
        <v>0.99331849999999999</v>
      </c>
      <c r="Q40">
        <v>3.6219950000000001E-2</v>
      </c>
      <c r="R40">
        <v>0.10957550000000001</v>
      </c>
      <c r="S40">
        <v>3.1278990000000002</v>
      </c>
      <c r="T40">
        <v>-0.59491859999999996</v>
      </c>
      <c r="U40">
        <v>-0.7834778</v>
      </c>
      <c r="V40">
        <v>-0.1125232</v>
      </c>
      <c r="W40">
        <v>4.3559420000000001E-2</v>
      </c>
      <c r="X40">
        <v>0.99269379999999996</v>
      </c>
      <c r="Y40">
        <v>0.23599149999999999</v>
      </c>
      <c r="Z40">
        <v>-2.2275719999999999E-2</v>
      </c>
      <c r="AA40">
        <v>0.97149969999999997</v>
      </c>
      <c r="AB40">
        <v>3</v>
      </c>
      <c r="AC40">
        <v>0.67570000000000596</v>
      </c>
      <c r="AD40">
        <v>-0.13332440000000001</v>
      </c>
      <c r="AE40">
        <v>-0.175999999999987</v>
      </c>
      <c r="AF40">
        <v>0.167871886522341</v>
      </c>
      <c r="AG40">
        <v>-0.13332440000000001</v>
      </c>
      <c r="AH40">
        <v>0.65243279798019505</v>
      </c>
      <c r="AI40">
        <v>101.19439098857499</v>
      </c>
      <c r="AJ40">
        <v>75.570705585119597</v>
      </c>
      <c r="AK40">
        <v>0.68674953352746904</v>
      </c>
      <c r="AL40">
        <v>87.503438988572896</v>
      </c>
      <c r="AM40">
        <v>96.466952289784103</v>
      </c>
      <c r="AN40">
        <v>0.99999993708370605</v>
      </c>
    </row>
    <row r="41" spans="1:40" x14ac:dyDescent="0.25">
      <c r="A41" t="str">
        <f>"20190304154728950"</f>
        <v>20190304154728950</v>
      </c>
      <c r="B41" t="str">
        <f>"1551685648947590"</f>
        <v>1551685648947590</v>
      </c>
      <c r="C41" t="s">
        <v>40</v>
      </c>
      <c r="D41">
        <v>4.1840549999999999</v>
      </c>
      <c r="E41">
        <v>0.56177129999999997</v>
      </c>
      <c r="F41" t="s">
        <v>41</v>
      </c>
      <c r="G41">
        <v>-475.16480000000001</v>
      </c>
      <c r="H41">
        <v>1.002553</v>
      </c>
      <c r="I41">
        <v>367.13850000000002</v>
      </c>
      <c r="J41">
        <v>-475.65480000000002</v>
      </c>
      <c r="K41">
        <v>1.1102129999999999</v>
      </c>
      <c r="L41">
        <v>367.21120000000002</v>
      </c>
      <c r="M41">
        <v>0.99995049999999996</v>
      </c>
      <c r="N41">
        <v>-9.2115389999999995E-3</v>
      </c>
      <c r="O41">
        <v>-3.7515790000000001E-3</v>
      </c>
      <c r="P41">
        <v>0.99332569999999998</v>
      </c>
      <c r="Q41">
        <v>3.7675559999999997E-2</v>
      </c>
      <c r="R41">
        <v>0.10901669999999999</v>
      </c>
      <c r="S41">
        <v>3.0713499999999998</v>
      </c>
      <c r="T41">
        <v>-0.4559243</v>
      </c>
      <c r="U41">
        <v>-0.31347659999999899</v>
      </c>
      <c r="V41">
        <v>-0.1127384</v>
      </c>
      <c r="W41">
        <v>4.6829559999999999E-2</v>
      </c>
      <c r="X41">
        <v>0.99252059999999998</v>
      </c>
      <c r="Y41">
        <v>9.6724710000000005E-2</v>
      </c>
      <c r="Z41">
        <v>-7.0528739999999998E-3</v>
      </c>
      <c r="AA41">
        <v>0.99528620000000001</v>
      </c>
      <c r="AB41">
        <v>4</v>
      </c>
      <c r="AC41">
        <v>0.49000000000000898</v>
      </c>
      <c r="AD41">
        <v>-0.10765999999999901</v>
      </c>
      <c r="AE41">
        <v>-7.2699999999997503E-2</v>
      </c>
      <c r="AF41">
        <v>6.7665007150103207E-2</v>
      </c>
      <c r="AG41">
        <v>-0.10765999999999901</v>
      </c>
      <c r="AH41">
        <v>0.468156135840956</v>
      </c>
      <c r="AI41">
        <v>102.822147611622</v>
      </c>
      <c r="AJ41">
        <v>81.775701205856905</v>
      </c>
      <c r="AK41">
        <v>0.48511792001343301</v>
      </c>
      <c r="AL41">
        <v>87.315882325646598</v>
      </c>
      <c r="AM41">
        <v>96.480336267788601</v>
      </c>
      <c r="AN41">
        <v>1.00000004797435</v>
      </c>
    </row>
    <row r="42" spans="1:40" x14ac:dyDescent="0.25">
      <c r="A42" t="str">
        <f>"20190304154728962"</f>
        <v>20190304154728962</v>
      </c>
      <c r="B42" t="str">
        <f>"1551685648957350"</f>
        <v>1551685648957350</v>
      </c>
      <c r="C42" t="s">
        <v>40</v>
      </c>
      <c r="D42">
        <v>4.1791989999999997</v>
      </c>
      <c r="E42">
        <v>0.56032309999999996</v>
      </c>
      <c r="F42" t="s">
        <v>42</v>
      </c>
      <c r="G42">
        <v>0</v>
      </c>
      <c r="H42">
        <v>0</v>
      </c>
      <c r="I42">
        <v>0</v>
      </c>
      <c r="J42">
        <v>-475.63060000000002</v>
      </c>
      <c r="K42">
        <v>1.1099730000000001</v>
      </c>
      <c r="L42">
        <v>367.21100000000001</v>
      </c>
      <c r="M42">
        <v>0.99995690000000004</v>
      </c>
      <c r="N42">
        <v>-8.4578489999999999E-3</v>
      </c>
      <c r="O42">
        <v>-3.8503750000000001E-3</v>
      </c>
      <c r="P42">
        <v>0.99331380000000002</v>
      </c>
      <c r="Q42">
        <v>3.8366259999999999E-2</v>
      </c>
      <c r="R42">
        <v>0.1088836</v>
      </c>
      <c r="S42">
        <v>3.029785</v>
      </c>
      <c r="T42">
        <v>0.2140205</v>
      </c>
      <c r="U42">
        <v>-0.16171259999999901</v>
      </c>
      <c r="V42">
        <v>-0.11270230000000001</v>
      </c>
      <c r="W42">
        <v>4.6774780000000002E-2</v>
      </c>
      <c r="X42">
        <v>0.99252720000000005</v>
      </c>
      <c r="Y42">
        <v>4.9357110000000003E-2</v>
      </c>
      <c r="Z42">
        <v>1.226808E-3</v>
      </c>
      <c r="AA42">
        <v>0.99878040000000001</v>
      </c>
      <c r="AB42">
        <v>4</v>
      </c>
      <c r="AC42">
        <v>3.029785</v>
      </c>
      <c r="AD42">
        <v>0.2140205</v>
      </c>
      <c r="AE42">
        <v>-0.16171259999999901</v>
      </c>
      <c r="AF42">
        <v>0.14930229731265801</v>
      </c>
      <c r="AG42">
        <v>0.2140205</v>
      </c>
      <c r="AH42">
        <v>3.0153816685297499</v>
      </c>
      <c r="AI42">
        <v>85.945119099999502</v>
      </c>
      <c r="AJ42">
        <v>87.165396595547406</v>
      </c>
      <c r="AK42">
        <v>3.0266520376991402</v>
      </c>
      <c r="AL42">
        <v>87.319024210493794</v>
      </c>
      <c r="AM42">
        <v>96.478236127893595</v>
      </c>
      <c r="AN42">
        <v>0.99999996560458804</v>
      </c>
    </row>
    <row r="43" spans="1:40" x14ac:dyDescent="0.25">
      <c r="A43" t="str">
        <f>"20190304154728975"</f>
        <v>20190304154728975</v>
      </c>
      <c r="B43" t="str">
        <f>"1551685648967110"</f>
        <v>1551685648967110</v>
      </c>
      <c r="C43" t="s">
        <v>40</v>
      </c>
      <c r="D43">
        <v>4.143497</v>
      </c>
      <c r="E43">
        <v>0.561191</v>
      </c>
      <c r="F43" t="s">
        <v>43</v>
      </c>
      <c r="G43">
        <v>-158.78319999999999</v>
      </c>
      <c r="H43">
        <v>22.449649999999998</v>
      </c>
      <c r="I43">
        <v>351.44369999999998</v>
      </c>
      <c r="J43">
        <v>-475.60050000000001</v>
      </c>
      <c r="K43">
        <v>1.109715</v>
      </c>
      <c r="L43">
        <v>367.21080000000001</v>
      </c>
      <c r="M43">
        <v>0.9999633</v>
      </c>
      <c r="N43">
        <v>-7.6046439999999998E-3</v>
      </c>
      <c r="O43">
        <v>-3.9779189999999999E-3</v>
      </c>
      <c r="P43">
        <v>0.99329880000000004</v>
      </c>
      <c r="Q43">
        <v>3.9065830000000003E-2</v>
      </c>
      <c r="R43">
        <v>0.1087737</v>
      </c>
      <c r="S43">
        <v>3.02887</v>
      </c>
      <c r="T43">
        <v>0.20399519999999999</v>
      </c>
      <c r="U43">
        <v>-0.15072629999999901</v>
      </c>
      <c r="V43">
        <v>-0.1127182</v>
      </c>
      <c r="W43">
        <v>4.6630459999999999E-2</v>
      </c>
      <c r="X43">
        <v>0.99253230000000003</v>
      </c>
      <c r="Y43">
        <v>4.5647890000000003E-2</v>
      </c>
      <c r="Z43">
        <v>1.0630279999999999E-3</v>
      </c>
      <c r="AA43">
        <v>0.99895699999999998</v>
      </c>
      <c r="AB43">
        <v>5</v>
      </c>
      <c r="AC43">
        <v>316.81729999999999</v>
      </c>
      <c r="AD43">
        <v>21.339935000000001</v>
      </c>
      <c r="AE43">
        <v>-15.767099999999999</v>
      </c>
      <c r="AF43">
        <v>14.441307128644601</v>
      </c>
      <c r="AG43">
        <v>21.339935000000001</v>
      </c>
      <c r="AH43">
        <v>315.44985647508503</v>
      </c>
      <c r="AI43">
        <v>86.133918962448803</v>
      </c>
      <c r="AJ43">
        <v>87.378827047008599</v>
      </c>
      <c r="AK43">
        <v>316.50048361343698</v>
      </c>
      <c r="AL43">
        <v>87.327302474853994</v>
      </c>
      <c r="AM43">
        <v>96.479109294938297</v>
      </c>
      <c r="AN43">
        <v>1.00000007947716</v>
      </c>
    </row>
    <row r="44" spans="1:40" x14ac:dyDescent="0.25">
      <c r="A44" t="str">
        <f>"20190304154728987"</f>
        <v>20190304154728987</v>
      </c>
      <c r="B44" t="str">
        <f>"1551685648976870"</f>
        <v>1551685648976870</v>
      </c>
      <c r="C44" t="s">
        <v>40</v>
      </c>
      <c r="D44">
        <v>4.3946339999999999</v>
      </c>
      <c r="E44">
        <v>0.56250169999999999</v>
      </c>
      <c r="F44" t="s">
        <v>42</v>
      </c>
      <c r="G44">
        <v>0</v>
      </c>
      <c r="H44">
        <v>0</v>
      </c>
      <c r="I44">
        <v>0</v>
      </c>
      <c r="J44">
        <v>-475.57420000000002</v>
      </c>
      <c r="K44">
        <v>1.1095630000000001</v>
      </c>
      <c r="L44">
        <v>367.2106</v>
      </c>
      <c r="M44">
        <v>0.99996719999999895</v>
      </c>
      <c r="N44">
        <v>-7.0161719999999898E-3</v>
      </c>
      <c r="O44">
        <v>-4.0953880000000002E-3</v>
      </c>
      <c r="P44">
        <v>0.99329250000000002</v>
      </c>
      <c r="Q44">
        <v>3.9626399999999999E-2</v>
      </c>
      <c r="R44">
        <v>0.10862819999999999</v>
      </c>
      <c r="S44">
        <v>3.0289920000000001</v>
      </c>
      <c r="T44">
        <v>0.2163669</v>
      </c>
      <c r="U44">
        <v>-0.1578369</v>
      </c>
      <c r="V44">
        <v>-0.112688</v>
      </c>
      <c r="W44">
        <v>4.6609970000000001E-2</v>
      </c>
      <c r="X44">
        <v>0.99253659999999999</v>
      </c>
      <c r="Y44">
        <v>4.7850719999999999E-2</v>
      </c>
      <c r="Z44">
        <v>1.216897E-3</v>
      </c>
      <c r="AA44">
        <v>0.99885369999999996</v>
      </c>
      <c r="AB44">
        <v>5</v>
      </c>
      <c r="AC44">
        <v>3.0289920000000001</v>
      </c>
      <c r="AD44">
        <v>0.2163669</v>
      </c>
      <c r="AE44">
        <v>-0.1578369</v>
      </c>
      <c r="AF44">
        <v>0.144694069718555</v>
      </c>
      <c r="AG44">
        <v>0.2163669</v>
      </c>
      <c r="AH44">
        <v>3.0142742473774602</v>
      </c>
      <c r="AI44">
        <v>85.899013226415093</v>
      </c>
      <c r="AJ44">
        <v>87.251742925468804</v>
      </c>
      <c r="AK44">
        <v>3.0254917365000802</v>
      </c>
      <c r="AL44">
        <v>87.328477499926393</v>
      </c>
      <c r="AM44">
        <v>96.477360312211303</v>
      </c>
      <c r="AN44">
        <v>0.99999998849348004</v>
      </c>
    </row>
    <row r="45" spans="1:40" x14ac:dyDescent="0.25">
      <c r="A45" t="str">
        <f>"20190304154728998"</f>
        <v>20190304154728998</v>
      </c>
      <c r="B45" t="str">
        <f>"1551685648986630"</f>
        <v>1551685648986630</v>
      </c>
      <c r="C45" t="s">
        <v>40</v>
      </c>
      <c r="D45">
        <v>4.1562449999999904</v>
      </c>
      <c r="E45">
        <v>0.56242389999999998</v>
      </c>
      <c r="F45" t="s">
        <v>42</v>
      </c>
      <c r="G45">
        <v>0</v>
      </c>
      <c r="H45">
        <v>0</v>
      </c>
      <c r="I45">
        <v>0</v>
      </c>
      <c r="J45">
        <v>-475.55119999999999</v>
      </c>
      <c r="K45">
        <v>1.1096109999999999</v>
      </c>
      <c r="L45">
        <v>367.21039999999999</v>
      </c>
      <c r="M45">
        <v>0.99996640000000003</v>
      </c>
      <c r="N45">
        <v>-7.0633739999999999E-3</v>
      </c>
      <c r="O45">
        <v>-4.1865289999999996E-3</v>
      </c>
      <c r="P45">
        <v>0.99327049999999995</v>
      </c>
      <c r="Q45">
        <v>4.0096E-2</v>
      </c>
      <c r="R45">
        <v>0.1086569</v>
      </c>
      <c r="S45">
        <v>3.0299680000000002</v>
      </c>
      <c r="T45">
        <v>0.2182356</v>
      </c>
      <c r="U45">
        <v>-0.16815189999999999</v>
      </c>
      <c r="V45">
        <v>-0.1128069</v>
      </c>
      <c r="W45">
        <v>4.7126300000000003E-2</v>
      </c>
      <c r="X45">
        <v>0.99249880000000001</v>
      </c>
      <c r="Y45">
        <v>5.1124309999999999E-2</v>
      </c>
      <c r="Z45">
        <v>1.3260209999999999E-3</v>
      </c>
      <c r="AA45">
        <v>0.99869140000000001</v>
      </c>
      <c r="AB45">
        <v>5</v>
      </c>
      <c r="AC45">
        <v>3.0299680000000002</v>
      </c>
      <c r="AD45">
        <v>0.2182356</v>
      </c>
      <c r="AE45">
        <v>-0.16815189999999999</v>
      </c>
      <c r="AF45">
        <v>0.15466516892983001</v>
      </c>
      <c r="AG45">
        <v>0.2182356</v>
      </c>
      <c r="AH45">
        <v>3.0150522642075899</v>
      </c>
      <c r="AI45">
        <v>85.865452603551404</v>
      </c>
      <c r="AJ45">
        <v>87.063433771407304</v>
      </c>
      <c r="AK45">
        <v>3.0268941586204701</v>
      </c>
      <c r="AL45">
        <v>87.298861661550902</v>
      </c>
      <c r="AM45">
        <v>96.484381416433806</v>
      </c>
      <c r="AN45">
        <v>1.00000007642036</v>
      </c>
    </row>
    <row r="46" spans="1:40" x14ac:dyDescent="0.25">
      <c r="A46" t="str">
        <f>"20190304154729010"</f>
        <v>20190304154729010</v>
      </c>
      <c r="B46" t="str">
        <f>"1551685649007125"</f>
        <v>1551685649007125</v>
      </c>
      <c r="C46" t="s">
        <v>40</v>
      </c>
      <c r="D46">
        <v>4.1762439999999996</v>
      </c>
      <c r="E46">
        <v>0.55770299999999995</v>
      </c>
      <c r="F46" t="s">
        <v>42</v>
      </c>
      <c r="G46">
        <v>0</v>
      </c>
      <c r="H46">
        <v>0</v>
      </c>
      <c r="I46">
        <v>0</v>
      </c>
      <c r="J46">
        <v>-475.52800000000002</v>
      </c>
      <c r="K46">
        <v>1.109758</v>
      </c>
      <c r="L46">
        <v>367.21019999999999</v>
      </c>
      <c r="M46">
        <v>0.9999633</v>
      </c>
      <c r="N46">
        <v>-7.4318279999999997E-3</v>
      </c>
      <c r="O46">
        <v>-4.2719109999999998E-3</v>
      </c>
      <c r="P46">
        <v>0.99323989999999995</v>
      </c>
      <c r="Q46">
        <v>4.0038829999999997E-2</v>
      </c>
      <c r="R46">
        <v>0.1089571</v>
      </c>
      <c r="S46">
        <v>3.029785</v>
      </c>
      <c r="T46">
        <v>0.22038460000000001</v>
      </c>
      <c r="U46">
        <v>-0.1677246</v>
      </c>
      <c r="V46">
        <v>-0.1131914</v>
      </c>
      <c r="W46">
        <v>4.7433990000000002E-2</v>
      </c>
      <c r="X46">
        <v>0.99244030000000005</v>
      </c>
      <c r="Y46">
        <v>5.090132E-2</v>
      </c>
      <c r="Z46">
        <v>1.316139E-3</v>
      </c>
      <c r="AA46">
        <v>0.9987028</v>
      </c>
      <c r="AB46">
        <v>5</v>
      </c>
      <c r="AC46">
        <v>3.029785</v>
      </c>
      <c r="AD46">
        <v>0.22038460000000001</v>
      </c>
      <c r="AE46">
        <v>-0.1677246</v>
      </c>
      <c r="AF46">
        <v>0.15396758505146399</v>
      </c>
      <c r="AG46">
        <v>0.22038460000000001</v>
      </c>
      <c r="AH46">
        <v>3.0145724646507599</v>
      </c>
      <c r="AI46">
        <v>85.824172760058204</v>
      </c>
      <c r="AJ46">
        <v>87.076191021291095</v>
      </c>
      <c r="AK46">
        <v>3.0265363922798501</v>
      </c>
      <c r="AL46">
        <v>87.281212413689602</v>
      </c>
      <c r="AM46">
        <v>96.5066743299857</v>
      </c>
      <c r="AN46">
        <v>1.00000001275268</v>
      </c>
    </row>
    <row r="47" spans="1:40" x14ac:dyDescent="0.25">
      <c r="A47" t="str">
        <f>"20190304154729028"</f>
        <v>20190304154729028</v>
      </c>
      <c r="B47" t="str">
        <f>"1551685649016886"</f>
        <v>1551685649016886</v>
      </c>
      <c r="C47" t="s">
        <v>40</v>
      </c>
      <c r="D47">
        <v>4.152215</v>
      </c>
      <c r="E47">
        <v>0.55637530000000002</v>
      </c>
      <c r="F47" t="s">
        <v>43</v>
      </c>
      <c r="G47">
        <v>-158.78319999999999</v>
      </c>
      <c r="H47">
        <v>20.349710000000002</v>
      </c>
      <c r="I47">
        <v>353.63</v>
      </c>
      <c r="J47">
        <v>-475.49360000000001</v>
      </c>
      <c r="K47">
        <v>1.1102129999999999</v>
      </c>
      <c r="L47">
        <v>367.2099</v>
      </c>
      <c r="M47">
        <v>0.99995100000000003</v>
      </c>
      <c r="N47">
        <v>-8.8806749999999993E-3</v>
      </c>
      <c r="O47">
        <v>-4.3812030000000002E-3</v>
      </c>
      <c r="P47">
        <v>0.99327460000000001</v>
      </c>
      <c r="Q47">
        <v>3.8750319999999998E-2</v>
      </c>
      <c r="R47">
        <v>0.1091061</v>
      </c>
      <c r="S47">
        <v>3.0272519999999998</v>
      </c>
      <c r="T47">
        <v>0.1838844</v>
      </c>
      <c r="U47">
        <v>-0.1297913</v>
      </c>
      <c r="V47">
        <v>-0.11345139999999999</v>
      </c>
      <c r="W47">
        <v>4.7579259999999998E-2</v>
      </c>
      <c r="X47">
        <v>0.99240360000000005</v>
      </c>
      <c r="Y47">
        <v>3.8407459999999997E-2</v>
      </c>
      <c r="Z47">
        <v>6.8952239999999995E-4</v>
      </c>
      <c r="AA47">
        <v>0.99926190000000004</v>
      </c>
      <c r="AB47">
        <v>5</v>
      </c>
      <c r="AC47">
        <v>316.71039999999999</v>
      </c>
      <c r="AD47">
        <v>19.239497</v>
      </c>
      <c r="AE47">
        <v>-13.5799</v>
      </c>
      <c r="AF47">
        <v>12.1473970384046</v>
      </c>
      <c r="AG47">
        <v>19.239497</v>
      </c>
      <c r="AH47">
        <v>315.60431854594998</v>
      </c>
      <c r="AI47">
        <v>86.514094269293096</v>
      </c>
      <c r="AJ47">
        <v>87.795812167279806</v>
      </c>
      <c r="AK47">
        <v>316.42345580641597</v>
      </c>
      <c r="AL47">
        <v>87.272879491906593</v>
      </c>
      <c r="AM47">
        <v>96.521730611277206</v>
      </c>
      <c r="AN47">
        <v>0.99999995571853195</v>
      </c>
    </row>
    <row r="48" spans="1:40" x14ac:dyDescent="0.25">
      <c r="A48" t="str">
        <f>"20190304154729042"</f>
        <v>20190304154729042</v>
      </c>
      <c r="B48" t="str">
        <f>"1551685649037382"</f>
        <v>1551685649037382</v>
      </c>
      <c r="C48" t="s">
        <v>40</v>
      </c>
      <c r="D48">
        <v>4.3137829999999999</v>
      </c>
      <c r="E48">
        <v>0.55112419999999995</v>
      </c>
      <c r="F48" t="s">
        <v>43</v>
      </c>
      <c r="G48">
        <v>-158.19499999999999</v>
      </c>
      <c r="H48">
        <v>19.029440000000001</v>
      </c>
      <c r="I48">
        <v>354.72019999999998</v>
      </c>
      <c r="J48">
        <v>-475.47030000000001</v>
      </c>
      <c r="K48">
        <v>1.110549</v>
      </c>
      <c r="L48">
        <v>367.2097</v>
      </c>
      <c r="M48">
        <v>0.99993900000000002</v>
      </c>
      <c r="N48">
        <v>-1.012275E-2</v>
      </c>
      <c r="O48">
        <v>-4.4453610000000001E-3</v>
      </c>
      <c r="P48">
        <v>0.99331119999999995</v>
      </c>
      <c r="Q48">
        <v>3.8018280000000002E-2</v>
      </c>
      <c r="R48">
        <v>0.10903110000000001</v>
      </c>
      <c r="S48">
        <v>3.0267330000000001</v>
      </c>
      <c r="T48">
        <v>0.17093349999999999</v>
      </c>
      <c r="U48">
        <v>-0.1191406</v>
      </c>
      <c r="V48">
        <v>-0.113442</v>
      </c>
      <c r="W48">
        <v>4.8075560000000003E-2</v>
      </c>
      <c r="X48">
        <v>0.99238079999999995</v>
      </c>
      <c r="Y48">
        <v>3.4854129999999997E-2</v>
      </c>
      <c r="Z48">
        <v>5.1073639999999897E-4</v>
      </c>
      <c r="AA48">
        <v>0.99939230000000001</v>
      </c>
      <c r="AB48">
        <v>5</v>
      </c>
      <c r="AC48">
        <v>317.27530000000002</v>
      </c>
      <c r="AD48">
        <v>17.918890999999999</v>
      </c>
      <c r="AE48">
        <v>-12.4895</v>
      </c>
      <c r="AF48">
        <v>11.043729562571899</v>
      </c>
      <c r="AG48">
        <v>17.918890999999999</v>
      </c>
      <c r="AH48">
        <v>316.32028248121702</v>
      </c>
      <c r="AI48">
        <v>86.759747495198297</v>
      </c>
      <c r="AJ48">
        <v>88.000437463711904</v>
      </c>
      <c r="AK48">
        <v>317.01982860117403</v>
      </c>
      <c r="AL48">
        <v>87.244411136864699</v>
      </c>
      <c r="AM48">
        <v>96.521343443077896</v>
      </c>
      <c r="AN48">
        <v>0.99999999952097596</v>
      </c>
    </row>
    <row r="49" spans="1:40" x14ac:dyDescent="0.25">
      <c r="A49" t="str">
        <f>"20190304154729057"</f>
        <v>20190304154729057</v>
      </c>
      <c r="B49" t="str">
        <f>"1551685649047142"</f>
        <v>1551685649047142</v>
      </c>
      <c r="C49" t="s">
        <v>40</v>
      </c>
      <c r="D49">
        <v>4.280341</v>
      </c>
      <c r="E49">
        <v>0.54934169999999904</v>
      </c>
      <c r="F49" t="s">
        <v>43</v>
      </c>
      <c r="G49">
        <v>-170.08879999999999</v>
      </c>
      <c r="H49">
        <v>13.11713</v>
      </c>
      <c r="I49">
        <v>359.34210000000002</v>
      </c>
      <c r="J49">
        <v>-475.44319999999999</v>
      </c>
      <c r="K49">
        <v>1.1107469999999999</v>
      </c>
      <c r="L49">
        <v>367.20949999999999</v>
      </c>
      <c r="M49">
        <v>0.99992939999999997</v>
      </c>
      <c r="N49">
        <v>-1.0993090000000001E-2</v>
      </c>
      <c r="O49">
        <v>-4.5202669999999997E-3</v>
      </c>
      <c r="P49">
        <v>0.99335490000000004</v>
      </c>
      <c r="Q49">
        <v>3.7031019999999998E-2</v>
      </c>
      <c r="R49">
        <v>0.10897270000000001</v>
      </c>
      <c r="S49">
        <v>3.0241389999999999</v>
      </c>
      <c r="T49">
        <v>0.1188998</v>
      </c>
      <c r="U49">
        <v>-7.7911380000000002E-2</v>
      </c>
      <c r="V49">
        <v>-0.1134593</v>
      </c>
      <c r="W49">
        <v>4.7949350000000002E-2</v>
      </c>
      <c r="X49">
        <v>0.99238490000000001</v>
      </c>
      <c r="Y49">
        <v>2.122922E-2</v>
      </c>
      <c r="Z49" s="1">
        <v>7.3077740000000003E-5</v>
      </c>
      <c r="AA49">
        <v>0.99977459999999996</v>
      </c>
      <c r="AB49">
        <v>4</v>
      </c>
      <c r="AC49">
        <v>305.3544</v>
      </c>
      <c r="AD49">
        <v>12.006383</v>
      </c>
      <c r="AE49">
        <v>-7.8673999999999698</v>
      </c>
      <c r="AF49">
        <v>6.4769459788422497</v>
      </c>
      <c r="AG49">
        <v>12.006383</v>
      </c>
      <c r="AH49">
        <v>304.91575076224598</v>
      </c>
      <c r="AI49">
        <v>87.745590495276502</v>
      </c>
      <c r="AJ49">
        <v>88.783120033319705</v>
      </c>
      <c r="AK49">
        <v>305.22077112290299</v>
      </c>
      <c r="AL49">
        <v>87.2516507089003</v>
      </c>
      <c r="AM49">
        <v>96.522302670054799</v>
      </c>
      <c r="AN49">
        <v>0.99999997133495999</v>
      </c>
    </row>
    <row r="50" spans="1:40" x14ac:dyDescent="0.25">
      <c r="A50" t="str">
        <f>"20190304154729076"</f>
        <v>20190304154729076</v>
      </c>
      <c r="B50" t="str">
        <f>"1551685649066662"</f>
        <v>1551685649066662</v>
      </c>
      <c r="C50" t="s">
        <v>40</v>
      </c>
      <c r="D50">
        <v>4.1577109999999999</v>
      </c>
      <c r="E50">
        <v>0.54722199999999999</v>
      </c>
      <c r="F50" t="s">
        <v>43</v>
      </c>
      <c r="G50">
        <v>-168.84350000000001</v>
      </c>
      <c r="H50">
        <v>11.16887</v>
      </c>
      <c r="I50">
        <v>360.66730000000001</v>
      </c>
      <c r="J50">
        <v>-475.40719999999999</v>
      </c>
      <c r="K50">
        <v>1.110549</v>
      </c>
      <c r="L50">
        <v>367.20920000000001</v>
      </c>
      <c r="M50">
        <v>0.99993279999999995</v>
      </c>
      <c r="N50">
        <v>-1.064055E-2</v>
      </c>
      <c r="O50">
        <v>-4.6324959999999998E-3</v>
      </c>
      <c r="P50">
        <v>0.99333700000000003</v>
      </c>
      <c r="Q50">
        <v>3.7151579999999997E-2</v>
      </c>
      <c r="R50">
        <v>0.1090951</v>
      </c>
      <c r="S50">
        <v>3.0234679999999998</v>
      </c>
      <c r="T50">
        <v>9.9186899999999995E-2</v>
      </c>
      <c r="U50">
        <v>-6.4514160000000001E-2</v>
      </c>
      <c r="V50">
        <v>-0.1136929</v>
      </c>
      <c r="W50">
        <v>4.7720720000000001E-2</v>
      </c>
      <c r="X50">
        <v>0.99236919999999995</v>
      </c>
      <c r="Y50">
        <v>1.669932E-2</v>
      </c>
      <c r="Z50" s="1">
        <v>-1.624532E-5</v>
      </c>
      <c r="AA50">
        <v>0.99986059999999999</v>
      </c>
      <c r="AB50">
        <v>4</v>
      </c>
      <c r="AC50">
        <v>306.56369999999998</v>
      </c>
      <c r="AD50">
        <v>10.058320999999999</v>
      </c>
      <c r="AE50">
        <v>-6.5418999999999903</v>
      </c>
      <c r="AF50">
        <v>5.1160895768514996</v>
      </c>
      <c r="AG50">
        <v>10.058320999999999</v>
      </c>
      <c r="AH50">
        <v>306.26118054039699</v>
      </c>
      <c r="AI50">
        <v>88.119213259047399</v>
      </c>
      <c r="AJ50">
        <v>89.042963663384</v>
      </c>
      <c r="AK50">
        <v>306.46901132071298</v>
      </c>
      <c r="AL50">
        <v>87.264765296042398</v>
      </c>
      <c r="AM50">
        <v>96.535717800260997</v>
      </c>
      <c r="AN50">
        <v>0.99999998586818395</v>
      </c>
    </row>
    <row r="51" spans="1:40" x14ac:dyDescent="0.25">
      <c r="A51" t="str">
        <f>"20190304154729098"</f>
        <v>20190304154729098</v>
      </c>
      <c r="B51" t="str">
        <f>"1551685649087157"</f>
        <v>1551685649087157</v>
      </c>
      <c r="C51" t="s">
        <v>40</v>
      </c>
      <c r="D51">
        <v>4.1690550000000002</v>
      </c>
      <c r="E51">
        <v>0.54569630000000002</v>
      </c>
      <c r="F51" t="s">
        <v>43</v>
      </c>
      <c r="G51">
        <v>-168.84350000000001</v>
      </c>
      <c r="H51">
        <v>9.7345989999999993</v>
      </c>
      <c r="I51">
        <v>362.40789999999998</v>
      </c>
      <c r="J51">
        <v>-475.35680000000002</v>
      </c>
      <c r="K51">
        <v>1.1100380000000001</v>
      </c>
      <c r="L51">
        <v>367.2088</v>
      </c>
      <c r="M51">
        <v>0.99994709999999998</v>
      </c>
      <c r="N51">
        <v>-9.0875090000000006E-3</v>
      </c>
      <c r="O51">
        <v>-4.8245420000000002E-3</v>
      </c>
      <c r="P51">
        <v>0.99328959999999999</v>
      </c>
      <c r="Q51">
        <v>3.9175309999999998E-2</v>
      </c>
      <c r="R51">
        <v>0.1088162</v>
      </c>
      <c r="S51">
        <v>3.022186</v>
      </c>
      <c r="T51">
        <v>8.5018990000000003E-2</v>
      </c>
      <c r="U51">
        <v>-4.7332760000000001E-2</v>
      </c>
      <c r="V51">
        <v>-0.1136022</v>
      </c>
      <c r="W51">
        <v>4.8207010000000002E-2</v>
      </c>
      <c r="X51">
        <v>0.99235609999999996</v>
      </c>
      <c r="Y51">
        <v>1.083595E-2</v>
      </c>
      <c r="Z51" s="1">
        <v>-7.6385259999999999E-5</v>
      </c>
      <c r="AA51">
        <v>0.99994130000000003</v>
      </c>
      <c r="AB51">
        <v>4</v>
      </c>
      <c r="AC51">
        <v>306.51330000000002</v>
      </c>
      <c r="AD51">
        <v>8.6245609999999999</v>
      </c>
      <c r="AE51">
        <v>-4.8009000000000102</v>
      </c>
      <c r="AF51">
        <v>3.3193694238756302</v>
      </c>
      <c r="AG51">
        <v>8.6245609999999999</v>
      </c>
      <c r="AH51">
        <v>306.29045666336498</v>
      </c>
      <c r="AI51">
        <v>88.387179870496198</v>
      </c>
      <c r="AJ51">
        <v>89.379091286084105</v>
      </c>
      <c r="AK51">
        <v>306.42983717136201</v>
      </c>
      <c r="AL51">
        <v>87.236870872016297</v>
      </c>
      <c r="AM51">
        <v>96.530634368292993</v>
      </c>
      <c r="AN51">
        <v>1.0000000024325899</v>
      </c>
    </row>
    <row r="52" spans="1:40" x14ac:dyDescent="0.25">
      <c r="A52" t="str">
        <f>"20190304154729111"</f>
        <v>20190304154729111</v>
      </c>
      <c r="B52" t="str">
        <f>"1551685649106678"</f>
        <v>1551685649106678</v>
      </c>
      <c r="C52" t="s">
        <v>40</v>
      </c>
      <c r="D52">
        <v>4.2358099999999999</v>
      </c>
      <c r="E52">
        <v>0.54408909999999999</v>
      </c>
      <c r="F52" t="s">
        <v>43</v>
      </c>
      <c r="G52">
        <v>-168.84350000000001</v>
      </c>
      <c r="H52">
        <v>9.4949870000000001</v>
      </c>
      <c r="I52">
        <v>363.49020000000002</v>
      </c>
      <c r="J52">
        <v>-475.32749999999999</v>
      </c>
      <c r="K52">
        <v>1.109785</v>
      </c>
      <c r="L52">
        <v>367.20850000000002</v>
      </c>
      <c r="M52">
        <v>0.99995400000000001</v>
      </c>
      <c r="N52">
        <v>-8.2189940000000003E-3</v>
      </c>
      <c r="O52">
        <v>-4.9450780000000003E-3</v>
      </c>
      <c r="P52">
        <v>0.99326749999999997</v>
      </c>
      <c r="Q52">
        <v>4.074937E-2</v>
      </c>
      <c r="R52">
        <v>0.10843999999999999</v>
      </c>
      <c r="S52">
        <v>3.0210569999999999</v>
      </c>
      <c r="T52">
        <v>8.2644579999999995E-2</v>
      </c>
      <c r="U52">
        <v>-3.6651610000000001E-2</v>
      </c>
      <c r="V52">
        <v>-0.1133446</v>
      </c>
      <c r="W52">
        <v>4.892142E-2</v>
      </c>
      <c r="X52">
        <v>0.99235059999999997</v>
      </c>
      <c r="Y52">
        <v>7.1873750000000002E-3</v>
      </c>
      <c r="Z52">
        <v>-1.071345E-4</v>
      </c>
      <c r="AA52">
        <v>0.99997420000000004</v>
      </c>
      <c r="AB52">
        <v>5</v>
      </c>
      <c r="AC52">
        <v>306.48399999999998</v>
      </c>
      <c r="AD52">
        <v>8.3852019999999996</v>
      </c>
      <c r="AE52">
        <v>-3.7182999999999899</v>
      </c>
      <c r="AF52">
        <v>2.2009688033564601</v>
      </c>
      <c r="AG52">
        <v>8.3852019999999996</v>
      </c>
      <c r="AH52">
        <v>306.26942098958398</v>
      </c>
      <c r="AI52">
        <v>88.431758877901203</v>
      </c>
      <c r="AJ52">
        <v>89.588257776266502</v>
      </c>
      <c r="AK52">
        <v>306.39209211327397</v>
      </c>
      <c r="AL52">
        <v>87.195889855365607</v>
      </c>
      <c r="AM52">
        <v>96.5159890513021</v>
      </c>
      <c r="AN52">
        <v>1.0000000085021601</v>
      </c>
    </row>
    <row r="53" spans="1:40" x14ac:dyDescent="0.25">
      <c r="A53" t="str">
        <f>"20190304154729131"</f>
        <v>20190304154729131</v>
      </c>
      <c r="B53" t="str">
        <f>"1551685649127174"</f>
        <v>1551685649127174</v>
      </c>
      <c r="C53" t="s">
        <v>40</v>
      </c>
      <c r="D53">
        <v>4.2597319999999996</v>
      </c>
      <c r="E53">
        <v>0.54283130000000002</v>
      </c>
      <c r="F53" t="s">
        <v>43</v>
      </c>
      <c r="G53">
        <v>-170.08879999999999</v>
      </c>
      <c r="H53">
        <v>8.3308389999999992</v>
      </c>
      <c r="I53">
        <v>364.69779999999997</v>
      </c>
      <c r="J53">
        <v>-475.28910000000002</v>
      </c>
      <c r="K53">
        <v>1.109979</v>
      </c>
      <c r="L53">
        <v>367.2081</v>
      </c>
      <c r="M53">
        <v>0.99994930000000004</v>
      </c>
      <c r="N53">
        <v>-8.6942719999999994E-3</v>
      </c>
      <c r="O53">
        <v>-5.0848839999999996E-3</v>
      </c>
      <c r="P53">
        <v>0.99328819999999995</v>
      </c>
      <c r="Q53">
        <v>4.1154160000000002E-2</v>
      </c>
      <c r="R53">
        <v>0.1080967</v>
      </c>
      <c r="S53">
        <v>3.020111</v>
      </c>
      <c r="T53">
        <v>7.1447849999999993E-2</v>
      </c>
      <c r="U53">
        <v>-2.4841309999999998E-2</v>
      </c>
      <c r="V53">
        <v>-0.1131405</v>
      </c>
      <c r="W53">
        <v>4.9797260000000003E-2</v>
      </c>
      <c r="X53">
        <v>0.9923303</v>
      </c>
      <c r="Y53">
        <v>3.1421130000000002E-3</v>
      </c>
      <c r="Z53">
        <v>-1.4097609999999999E-4</v>
      </c>
      <c r="AA53">
        <v>0.99999510000000003</v>
      </c>
      <c r="AB53">
        <v>5</v>
      </c>
      <c r="AC53">
        <v>305.20030000000003</v>
      </c>
      <c r="AD53">
        <v>7.2208599999999903</v>
      </c>
      <c r="AE53">
        <v>-2.51030000000002</v>
      </c>
      <c r="AF53">
        <v>0.95776471228402205</v>
      </c>
      <c r="AG53">
        <v>7.2208599999999903</v>
      </c>
      <c r="AH53">
        <v>305.03837998470999</v>
      </c>
      <c r="AI53">
        <v>88.643955846889</v>
      </c>
      <c r="AJ53">
        <v>89.820102324652098</v>
      </c>
      <c r="AK53">
        <v>305.12533719125997</v>
      </c>
      <c r="AL53">
        <v>87.145646600968902</v>
      </c>
      <c r="AM53">
        <v>96.5044882445778</v>
      </c>
      <c r="AN53">
        <v>0.999999982070923</v>
      </c>
    </row>
    <row r="54" spans="1:40" x14ac:dyDescent="0.25">
      <c r="A54" t="str">
        <f>"20190304154729143"</f>
        <v>20190304154729143</v>
      </c>
      <c r="B54" t="str">
        <f>"1551685649136934"</f>
        <v>1551685649136934</v>
      </c>
      <c r="C54" t="s">
        <v>40</v>
      </c>
      <c r="D54">
        <v>4.2209839999999996</v>
      </c>
      <c r="E54">
        <v>0.54232440000000004</v>
      </c>
      <c r="F54" t="s">
        <v>43</v>
      </c>
      <c r="G54">
        <v>-170.08879999999999</v>
      </c>
      <c r="H54">
        <v>7.1272149999999996</v>
      </c>
      <c r="I54">
        <v>365.59800000000001</v>
      </c>
      <c r="J54">
        <v>-475.26420000000002</v>
      </c>
      <c r="K54">
        <v>1.1102909999999999</v>
      </c>
      <c r="L54">
        <v>367.2079</v>
      </c>
      <c r="M54">
        <v>0.99993969999999999</v>
      </c>
      <c r="N54">
        <v>-9.7044620000000005E-3</v>
      </c>
      <c r="O54">
        <v>-5.1639629999999997E-3</v>
      </c>
      <c r="P54">
        <v>0.99331210000000003</v>
      </c>
      <c r="Q54">
        <v>4.0821049999999998E-2</v>
      </c>
      <c r="R54">
        <v>0.1080034</v>
      </c>
      <c r="S54">
        <v>3.0195620000000001</v>
      </c>
      <c r="T54">
        <v>5.9533599999999999E-2</v>
      </c>
      <c r="U54">
        <v>-1.5930179999999999E-2</v>
      </c>
      <c r="V54">
        <v>-0.1131268</v>
      </c>
      <c r="W54">
        <v>5.0464000000000002E-2</v>
      </c>
      <c r="X54">
        <v>0.99229820000000002</v>
      </c>
      <c r="Y54">
        <v>1.136029E-4</v>
      </c>
      <c r="Z54">
        <v>-1.5134020000000001E-4</v>
      </c>
      <c r="AA54">
        <v>1</v>
      </c>
      <c r="AB54">
        <v>5</v>
      </c>
      <c r="AC54">
        <v>305.17540000000002</v>
      </c>
      <c r="AD54">
        <v>6.0169240000000004</v>
      </c>
      <c r="AE54">
        <v>-1.6098999999999799</v>
      </c>
      <c r="AF54">
        <v>3.3876871951326902E-2</v>
      </c>
      <c r="AG54">
        <v>6.0169240000000004</v>
      </c>
      <c r="AH54">
        <v>305.06106084494002</v>
      </c>
      <c r="AI54">
        <v>88.870063410628205</v>
      </c>
      <c r="AJ54">
        <v>89.993637333546999</v>
      </c>
      <c r="AK54">
        <v>305.12039487045797</v>
      </c>
      <c r="AL54">
        <v>87.107397179738797</v>
      </c>
      <c r="AM54">
        <v>96.503915961869296</v>
      </c>
      <c r="AN54">
        <v>1.0000000029487399</v>
      </c>
    </row>
    <row r="55" spans="1:40" x14ac:dyDescent="0.25">
      <c r="A55" t="str">
        <f>"20190304154729156"</f>
        <v>20190304154729156</v>
      </c>
      <c r="B55" t="str">
        <f>"1551685649146694"</f>
        <v>1551685649146694</v>
      </c>
      <c r="C55" t="s">
        <v>40</v>
      </c>
      <c r="D55">
        <v>4.1202269999999999</v>
      </c>
      <c r="E55">
        <v>0.5421087</v>
      </c>
      <c r="F55" t="s">
        <v>43</v>
      </c>
      <c r="G55">
        <v>-164.08250000000001</v>
      </c>
      <c r="H55">
        <v>6.6740890000000004</v>
      </c>
      <c r="I55">
        <v>365.94029999999998</v>
      </c>
      <c r="J55">
        <v>-475.24059999999997</v>
      </c>
      <c r="K55">
        <v>1.110627</v>
      </c>
      <c r="L55">
        <v>367.20769999999999</v>
      </c>
      <c r="M55">
        <v>0.99992729999999996</v>
      </c>
      <c r="N55">
        <v>-1.087779E-2</v>
      </c>
      <c r="O55">
        <v>-5.2338890000000002E-3</v>
      </c>
      <c r="P55">
        <v>0.99336729999999995</v>
      </c>
      <c r="Q55">
        <v>4.0123869999999999E-2</v>
      </c>
      <c r="R55">
        <v>0.1077592</v>
      </c>
      <c r="S55">
        <v>3.0192869999999998</v>
      </c>
      <c r="T55">
        <v>5.3984400000000002E-2</v>
      </c>
      <c r="U55">
        <v>-1.229858E-2</v>
      </c>
      <c r="V55">
        <v>-0.11295379999999999</v>
      </c>
      <c r="W55">
        <v>5.0928319999999999E-2</v>
      </c>
      <c r="X55">
        <v>0.99229420000000002</v>
      </c>
      <c r="Y55">
        <v>-1.1586680000000001E-3</v>
      </c>
      <c r="Z55">
        <v>-1.545556E-4</v>
      </c>
      <c r="AA55">
        <v>0.99999930000000004</v>
      </c>
      <c r="AB55">
        <v>5</v>
      </c>
      <c r="AC55">
        <v>311.15809999999999</v>
      </c>
      <c r="AD55">
        <v>5.5634620000000004</v>
      </c>
      <c r="AE55">
        <v>-1.2674000000000001</v>
      </c>
      <c r="AF55">
        <v>-0.36116495456932202</v>
      </c>
      <c r="AG55">
        <v>5.5634620000000004</v>
      </c>
      <c r="AH55">
        <v>311.061030203759</v>
      </c>
      <c r="AI55">
        <v>88.975349968967095</v>
      </c>
      <c r="AJ55">
        <v>90.066524624741604</v>
      </c>
      <c r="AK55">
        <v>311.11098833209599</v>
      </c>
      <c r="AL55">
        <v>87.0807593914097</v>
      </c>
      <c r="AM55">
        <v>96.494080782530901</v>
      </c>
      <c r="AN55">
        <v>1.0000000170330501</v>
      </c>
    </row>
    <row r="56" spans="1:40" x14ac:dyDescent="0.25">
      <c r="A56" t="str">
        <f>"20190304154729174"</f>
        <v>20190304154729174</v>
      </c>
      <c r="B56" t="str">
        <f>"1551685649167190"</f>
        <v>1551685649167190</v>
      </c>
      <c r="C56" t="s">
        <v>40</v>
      </c>
      <c r="D56">
        <v>4.199535</v>
      </c>
      <c r="E56">
        <v>0.54119709999999999</v>
      </c>
      <c r="F56" t="s">
        <v>43</v>
      </c>
      <c r="G56">
        <v>-161.0976</v>
      </c>
      <c r="H56">
        <v>6.6740890000000004</v>
      </c>
      <c r="I56">
        <v>366.03590000000003</v>
      </c>
      <c r="J56">
        <v>-475.209</v>
      </c>
      <c r="K56">
        <v>1.110994</v>
      </c>
      <c r="L56">
        <v>367.20740000000001</v>
      </c>
      <c r="M56">
        <v>0.99990959999999995</v>
      </c>
      <c r="N56">
        <v>-1.236203E-2</v>
      </c>
      <c r="O56">
        <v>-5.3174009999999898E-3</v>
      </c>
      <c r="P56">
        <v>0.99337850000000005</v>
      </c>
      <c r="Q56">
        <v>3.9833019999999997E-2</v>
      </c>
      <c r="R56">
        <v>0.1077645</v>
      </c>
      <c r="S56">
        <v>3.019104</v>
      </c>
      <c r="T56">
        <v>5.3469059999999999E-2</v>
      </c>
      <c r="U56">
        <v>-1.126099E-2</v>
      </c>
      <c r="V56">
        <v>-0.1130439</v>
      </c>
      <c r="W56">
        <v>5.2106920000000001E-2</v>
      </c>
      <c r="X56">
        <v>0.99222270000000001</v>
      </c>
      <c r="Y56">
        <v>-1.585459E-3</v>
      </c>
      <c r="Z56">
        <v>-1.6412990000000001E-4</v>
      </c>
      <c r="AA56">
        <v>0.99999870000000002</v>
      </c>
      <c r="AB56">
        <v>4</v>
      </c>
      <c r="AC56">
        <v>314.1114</v>
      </c>
      <c r="AD56">
        <v>5.5630949999999997</v>
      </c>
      <c r="AE56">
        <v>-1.17149999999998</v>
      </c>
      <c r="AF56">
        <v>-0.49874378681148501</v>
      </c>
      <c r="AG56">
        <v>5.5630949999999997</v>
      </c>
      <c r="AH56">
        <v>314.01469445586702</v>
      </c>
      <c r="AI56">
        <v>88.985053476857402</v>
      </c>
      <c r="AJ56">
        <v>90.091001760485497</v>
      </c>
      <c r="AK56">
        <v>314.064364590374</v>
      </c>
      <c r="AL56">
        <v>87.0131406518137</v>
      </c>
      <c r="AM56">
        <v>96.499680949458195</v>
      </c>
      <c r="AN56">
        <v>0.99999997041719202</v>
      </c>
    </row>
    <row r="57" spans="1:40" x14ac:dyDescent="0.25">
      <c r="A57" t="str">
        <f>"20190304154729186"</f>
        <v>20190304154729186</v>
      </c>
      <c r="B57" t="str">
        <f>"1551685649176950"</f>
        <v>1551685649176950</v>
      </c>
      <c r="C57" t="s">
        <v>40</v>
      </c>
      <c r="D57">
        <v>4.2129919999999998</v>
      </c>
      <c r="E57">
        <v>0.54083809999999999</v>
      </c>
      <c r="F57" t="s">
        <v>43</v>
      </c>
      <c r="G57">
        <v>-158.19499999999999</v>
      </c>
      <c r="H57">
        <v>5.6337710000000003</v>
      </c>
      <c r="I57">
        <v>366.7876</v>
      </c>
      <c r="J57">
        <v>-475.18520000000001</v>
      </c>
      <c r="K57">
        <v>1.110892</v>
      </c>
      <c r="L57">
        <v>367.2072</v>
      </c>
      <c r="M57">
        <v>0.99991010000000002</v>
      </c>
      <c r="N57">
        <v>-1.227979E-2</v>
      </c>
      <c r="O57">
        <v>-5.3869499999999997E-3</v>
      </c>
      <c r="P57">
        <v>0.9934115</v>
      </c>
      <c r="Q57">
        <v>4.0205789999999998E-2</v>
      </c>
      <c r="R57">
        <v>0.1073177</v>
      </c>
      <c r="S57">
        <v>3.0186769999999998</v>
      </c>
      <c r="T57">
        <v>4.3067689999999999E-2</v>
      </c>
      <c r="U57">
        <v>-3.9978030000000003E-3</v>
      </c>
      <c r="V57">
        <v>-0.1126651</v>
      </c>
      <c r="W57">
        <v>5.239978E-2</v>
      </c>
      <c r="X57">
        <v>0.99225039999999998</v>
      </c>
      <c r="Y57">
        <v>-4.0610610000000004E-3</v>
      </c>
      <c r="Z57">
        <v>-1.470315E-4</v>
      </c>
      <c r="AA57">
        <v>0.99999170000000004</v>
      </c>
      <c r="AB57">
        <v>4</v>
      </c>
      <c r="AC57">
        <v>316.99020000000002</v>
      </c>
      <c r="AD57">
        <v>4.5228789999999996</v>
      </c>
      <c r="AE57">
        <v>-0.41960000000000203</v>
      </c>
      <c r="AF57">
        <v>-1.2878830034787501</v>
      </c>
      <c r="AG57">
        <v>4.5228789999999996</v>
      </c>
      <c r="AH57">
        <v>316.92334079223798</v>
      </c>
      <c r="AI57">
        <v>89.182382252753698</v>
      </c>
      <c r="AJ57">
        <v>90.232831871083206</v>
      </c>
      <c r="AK57">
        <v>316.95822913436399</v>
      </c>
      <c r="AL57">
        <v>86.996338170575299</v>
      </c>
      <c r="AM57">
        <v>96.477907240064695</v>
      </c>
      <c r="AN57">
        <v>1.0000000090011001</v>
      </c>
    </row>
    <row r="58" spans="1:40" x14ac:dyDescent="0.25">
      <c r="A58" t="str">
        <f>"20190304154729198"</f>
        <v>20190304154729198</v>
      </c>
      <c r="B58" t="str">
        <f>"1551685649186710"</f>
        <v>1551685649186710</v>
      </c>
      <c r="C58" t="s">
        <v>40</v>
      </c>
      <c r="D58">
        <v>4.1860860000000004</v>
      </c>
      <c r="E58">
        <v>0.54057429999999995</v>
      </c>
      <c r="F58" t="s">
        <v>43</v>
      </c>
      <c r="G58">
        <v>-158.19499999999999</v>
      </c>
      <c r="H58">
        <v>5.3356130000000004</v>
      </c>
      <c r="I58">
        <v>366.94119999999998</v>
      </c>
      <c r="J58">
        <v>-475.16180000000003</v>
      </c>
      <c r="K58">
        <v>1.110689</v>
      </c>
      <c r="L58">
        <v>367.20699999999999</v>
      </c>
      <c r="M58">
        <v>0.99991600000000003</v>
      </c>
      <c r="N58">
        <v>-1.176293E-2</v>
      </c>
      <c r="O58">
        <v>-5.4647790000000003E-3</v>
      </c>
      <c r="P58">
        <v>0.99337450000000005</v>
      </c>
      <c r="Q58">
        <v>4.1104219999999997E-2</v>
      </c>
      <c r="R58">
        <v>0.1073207</v>
      </c>
      <c r="S58">
        <v>3.0185240000000002</v>
      </c>
      <c r="T58">
        <v>4.0230509999999997E-2</v>
      </c>
      <c r="U58">
        <v>-2.532959E-3</v>
      </c>
      <c r="V58">
        <v>-0.1127446</v>
      </c>
      <c r="W58">
        <v>5.2786909999999999E-2</v>
      </c>
      <c r="X58">
        <v>0.99222080000000001</v>
      </c>
      <c r="Y58">
        <v>-4.6242619999999996E-3</v>
      </c>
      <c r="Z58">
        <v>-1.4072520000000001E-4</v>
      </c>
      <c r="AA58">
        <v>0.99998929999999997</v>
      </c>
      <c r="AB58">
        <v>4</v>
      </c>
      <c r="AC58">
        <v>316.96679999999998</v>
      </c>
      <c r="AD58">
        <v>4.2249239999999997</v>
      </c>
      <c r="AE58">
        <v>-0.26580000000001203</v>
      </c>
      <c r="AF58">
        <v>-1.4662166244283299</v>
      </c>
      <c r="AG58">
        <v>4.2249239999999997</v>
      </c>
      <c r="AH58">
        <v>316.90721466535501</v>
      </c>
      <c r="AI58">
        <v>89.236201094641004</v>
      </c>
      <c r="AJ58">
        <v>90.2650852398789</v>
      </c>
      <c r="AK58">
        <v>316.938767715388</v>
      </c>
      <c r="AL58">
        <v>86.974126364399893</v>
      </c>
      <c r="AM58">
        <v>96.482631096747497</v>
      </c>
      <c r="AN58">
        <v>0.99999995932457297</v>
      </c>
    </row>
    <row r="59" spans="1:40" x14ac:dyDescent="0.25">
      <c r="A59" t="str">
        <f>"20190304154729211"</f>
        <v>20190304154729211</v>
      </c>
      <c r="B59" t="str">
        <f>"1551685649207207"</f>
        <v>1551685649207207</v>
      </c>
      <c r="C59" t="s">
        <v>40</v>
      </c>
      <c r="D59">
        <v>4.1676099999999998</v>
      </c>
      <c r="E59">
        <v>0.54010499999999995</v>
      </c>
      <c r="F59" t="s">
        <v>43</v>
      </c>
      <c r="G59">
        <v>-158.19499999999999</v>
      </c>
      <c r="H59">
        <v>5.2899430000000001</v>
      </c>
      <c r="I59">
        <v>367.15899999999999</v>
      </c>
      <c r="J59">
        <v>-475.13580000000002</v>
      </c>
      <c r="K59">
        <v>1.1103889999999901</v>
      </c>
      <c r="L59">
        <v>367.20679999999999</v>
      </c>
      <c r="M59">
        <v>0.99992510000000001</v>
      </c>
      <c r="N59">
        <v>-1.090445E-2</v>
      </c>
      <c r="O59">
        <v>-5.5573169999999896E-3</v>
      </c>
      <c r="P59">
        <v>0.99338309999999996</v>
      </c>
      <c r="Q59">
        <v>4.215319E-2</v>
      </c>
      <c r="R59">
        <v>0.10683239999999899</v>
      </c>
      <c r="S59">
        <v>3.0183719999999998</v>
      </c>
      <c r="T59">
        <v>3.9798500000000001E-2</v>
      </c>
      <c r="U59">
        <v>-4.577637E-4</v>
      </c>
      <c r="V59">
        <v>-0.1123469</v>
      </c>
      <c r="W59">
        <v>5.2986419999999999E-2</v>
      </c>
      <c r="X59">
        <v>0.99225529999999995</v>
      </c>
      <c r="Y59">
        <v>-5.4042969999999997E-3</v>
      </c>
      <c r="Z59">
        <v>-1.4002970000000001E-4</v>
      </c>
      <c r="AA59">
        <v>0.99998540000000002</v>
      </c>
      <c r="AB59">
        <v>4</v>
      </c>
      <c r="AC59">
        <v>316.94080000000002</v>
      </c>
      <c r="AD59">
        <v>4.1795540000000004</v>
      </c>
      <c r="AE59">
        <v>-4.7799999999995103E-2</v>
      </c>
      <c r="AF59">
        <v>-1.7133480104763601</v>
      </c>
      <c r="AG59">
        <v>4.1795540000000004</v>
      </c>
      <c r="AH59">
        <v>316.88106474854902</v>
      </c>
      <c r="AI59">
        <v>89.244342921980703</v>
      </c>
      <c r="AJ59">
        <v>90.309790215135294</v>
      </c>
      <c r="AK59">
        <v>316.91325852544901</v>
      </c>
      <c r="AL59">
        <v>86.962679336497402</v>
      </c>
      <c r="AM59">
        <v>96.459734920740303</v>
      </c>
      <c r="AN59">
        <v>0.99999998351105701</v>
      </c>
    </row>
    <row r="60" spans="1:40" x14ac:dyDescent="0.25">
      <c r="A60" t="str">
        <f>"20190304154729222"</f>
        <v>20190304154729222</v>
      </c>
      <c r="B60" t="str">
        <f>"1551685649216966"</f>
        <v>1551685649216966</v>
      </c>
      <c r="C60" t="s">
        <v>40</v>
      </c>
      <c r="D60">
        <v>4.1672099999999999</v>
      </c>
      <c r="E60">
        <v>0.53997689999999998</v>
      </c>
      <c r="F60" t="s">
        <v>43</v>
      </c>
      <c r="G60">
        <v>-158.19499999999999</v>
      </c>
      <c r="H60">
        <v>5.1634270000000004</v>
      </c>
      <c r="I60">
        <v>367.3766</v>
      </c>
      <c r="J60">
        <v>-475.10829999999999</v>
      </c>
      <c r="K60">
        <v>1.1101209999999999</v>
      </c>
      <c r="L60">
        <v>367.20650000000001</v>
      </c>
      <c r="M60">
        <v>0.99993410000000005</v>
      </c>
      <c r="N60">
        <v>-9.9961660000000008E-3</v>
      </c>
      <c r="O60">
        <v>-5.6668819999999998E-3</v>
      </c>
      <c r="P60">
        <v>0.99335560000000001</v>
      </c>
      <c r="Q60">
        <v>4.3549699999999997E-2</v>
      </c>
      <c r="R60">
        <v>0.1065281</v>
      </c>
      <c r="S60">
        <v>3.0181269999999998</v>
      </c>
      <c r="T60">
        <v>3.859663E-2</v>
      </c>
      <c r="U60">
        <v>1.617432E-3</v>
      </c>
      <c r="V60">
        <v>-0.1121495</v>
      </c>
      <c r="W60">
        <v>5.3484480000000001E-2</v>
      </c>
      <c r="X60">
        <v>0.99225090000000005</v>
      </c>
      <c r="Y60">
        <v>-6.2014799999999997E-3</v>
      </c>
      <c r="Z60">
        <v>-1.3776589999999999E-4</v>
      </c>
      <c r="AA60">
        <v>0.99998069999999895</v>
      </c>
      <c r="AB60">
        <v>4</v>
      </c>
      <c r="AC60">
        <v>316.91329999999999</v>
      </c>
      <c r="AD60">
        <v>4.0533059999999903</v>
      </c>
      <c r="AE60">
        <v>0.17009999999999001</v>
      </c>
      <c r="AF60">
        <v>-1.9657754934048901</v>
      </c>
      <c r="AG60">
        <v>4.0533059999999903</v>
      </c>
      <c r="AH60">
        <v>316.85541475480699</v>
      </c>
      <c r="AI60">
        <v>89.267109915739098</v>
      </c>
      <c r="AJ60">
        <v>90.355459269394402</v>
      </c>
      <c r="AK60">
        <v>316.88743651691402</v>
      </c>
      <c r="AL60">
        <v>86.934102048469796</v>
      </c>
      <c r="AM60">
        <v>96.448508834561196</v>
      </c>
      <c r="AN60">
        <v>0.99999997425096399</v>
      </c>
    </row>
    <row r="61" spans="1:40" x14ac:dyDescent="0.25">
      <c r="A61" t="str">
        <f>"20190304154729241"</f>
        <v>20190304154729241</v>
      </c>
      <c r="B61" t="str">
        <f>"1551685649237461"</f>
        <v>1551685649237461</v>
      </c>
      <c r="C61" t="s">
        <v>40</v>
      </c>
      <c r="D61">
        <v>4.2715880000000004</v>
      </c>
      <c r="E61">
        <v>0.53972880000000001</v>
      </c>
      <c r="F61" t="s">
        <v>43</v>
      </c>
      <c r="G61">
        <v>-158.19499999999999</v>
      </c>
      <c r="H61">
        <v>5.4241970000000004</v>
      </c>
      <c r="I61">
        <v>367.3732</v>
      </c>
      <c r="J61">
        <v>-475.06509999999997</v>
      </c>
      <c r="K61">
        <v>1.1097900000000001</v>
      </c>
      <c r="L61">
        <v>367.20609999999999</v>
      </c>
      <c r="M61">
        <v>0.99994459999999996</v>
      </c>
      <c r="N61">
        <v>-8.7622369999999904E-3</v>
      </c>
      <c r="O61">
        <v>-5.848018E-3</v>
      </c>
      <c r="P61">
        <v>0.99332679999999995</v>
      </c>
      <c r="Q61">
        <v>4.4796530000000001E-2</v>
      </c>
      <c r="R61">
        <v>0.1062809</v>
      </c>
      <c r="S61">
        <v>3.0181269999999998</v>
      </c>
      <c r="T61">
        <v>4.1085959999999998E-2</v>
      </c>
      <c r="U61">
        <v>1.586914E-3</v>
      </c>
      <c r="V61">
        <v>-0.11208029999999999</v>
      </c>
      <c r="W61">
        <v>5.3509719999999997E-2</v>
      </c>
      <c r="X61">
        <v>0.99225739999999996</v>
      </c>
      <c r="Y61">
        <v>-6.3723540000000002E-3</v>
      </c>
      <c r="Z61">
        <v>-1.4629700000000001E-4</v>
      </c>
      <c r="AA61">
        <v>0.99997970000000003</v>
      </c>
      <c r="AB61">
        <v>5</v>
      </c>
      <c r="AC61">
        <v>316.87009999999998</v>
      </c>
      <c r="AD61">
        <v>4.3144070000000001</v>
      </c>
      <c r="AE61">
        <v>0.167100000000004</v>
      </c>
      <c r="AF61">
        <v>-2.0198557097578802</v>
      </c>
      <c r="AG61">
        <v>4.3144070000000001</v>
      </c>
      <c r="AH61">
        <v>316.80497236264802</v>
      </c>
      <c r="AI61">
        <v>89.219781789144804</v>
      </c>
      <c r="AJ61">
        <v>90.365296158241406</v>
      </c>
      <c r="AK61">
        <v>316.84078720794099</v>
      </c>
      <c r="AL61">
        <v>86.932653956738804</v>
      </c>
      <c r="AM61">
        <v>96.444521512252905</v>
      </c>
      <c r="AN61">
        <v>1.0000000158186599</v>
      </c>
    </row>
    <row r="62" spans="1:40" x14ac:dyDescent="0.25">
      <c r="A62" t="str">
        <f>"20190304154729256"</f>
        <v>20190304154729256</v>
      </c>
      <c r="B62" t="str">
        <f>"1551685649247222"</f>
        <v>1551685649247222</v>
      </c>
      <c r="C62" t="s">
        <v>40</v>
      </c>
      <c r="D62">
        <v>4.1757549999999997</v>
      </c>
      <c r="E62">
        <v>0.53939559999999998</v>
      </c>
      <c r="F62" t="s">
        <v>43</v>
      </c>
      <c r="G62">
        <v>-158.78319999999999</v>
      </c>
      <c r="H62">
        <v>5.7637489999999998</v>
      </c>
      <c r="I62">
        <v>367.50349999999997</v>
      </c>
      <c r="J62">
        <v>-475.03250000000003</v>
      </c>
      <c r="K62">
        <v>1.1097079999999999</v>
      </c>
      <c r="L62">
        <v>367.20569999999998</v>
      </c>
      <c r="M62">
        <v>0.99994769999999999</v>
      </c>
      <c r="N62">
        <v>-8.2951459999999998E-3</v>
      </c>
      <c r="O62">
        <v>-5.9833999999999998E-3</v>
      </c>
      <c r="P62">
        <v>0.99331809999999998</v>
      </c>
      <c r="Q62">
        <v>4.5196699999999999E-2</v>
      </c>
      <c r="R62">
        <v>0.1061912</v>
      </c>
      <c r="S62">
        <v>3.0178829999999999</v>
      </c>
      <c r="T62">
        <v>4.4407729999999999E-2</v>
      </c>
      <c r="U62">
        <v>2.8381349999999999E-3</v>
      </c>
      <c r="V62">
        <v>-0.11212419999999999</v>
      </c>
      <c r="W62">
        <v>5.344877E-2</v>
      </c>
      <c r="X62">
        <v>0.99225569999999996</v>
      </c>
      <c r="Y62">
        <v>-6.9221159999999999E-3</v>
      </c>
      <c r="Z62">
        <v>-1.598848E-4</v>
      </c>
      <c r="AA62">
        <v>0.99997599999999998</v>
      </c>
      <c r="AB62">
        <v>5</v>
      </c>
      <c r="AC62">
        <v>316.24930000000001</v>
      </c>
      <c r="AD62">
        <v>4.6540409999999897</v>
      </c>
      <c r="AE62">
        <v>0.29779999999999501</v>
      </c>
      <c r="AF62">
        <v>-2.1896316121050199</v>
      </c>
      <c r="AG62">
        <v>4.6540409999999897</v>
      </c>
      <c r="AH62">
        <v>316.17338253286999</v>
      </c>
      <c r="AI62">
        <v>89.156692903715594</v>
      </c>
      <c r="AJ62">
        <v>90.396790657784507</v>
      </c>
      <c r="AK62">
        <v>316.21521533048201</v>
      </c>
      <c r="AL62">
        <v>86.9361510620502</v>
      </c>
      <c r="AM62">
        <v>96.447035428930903</v>
      </c>
      <c r="AN62">
        <v>0.99999999071132095</v>
      </c>
    </row>
    <row r="63" spans="1:40" x14ac:dyDescent="0.25">
      <c r="A63" t="str">
        <f>"20190304154729276"</f>
        <v>20190304154729276</v>
      </c>
      <c r="B63" t="str">
        <f>"1551685649266742"</f>
        <v>1551685649266742</v>
      </c>
      <c r="C63" t="s">
        <v>40</v>
      </c>
      <c r="D63">
        <v>4.1064280000000002</v>
      </c>
      <c r="E63">
        <v>0.53911589999999998</v>
      </c>
      <c r="F63" t="s">
        <v>43</v>
      </c>
      <c r="G63">
        <v>-158.78319999999999</v>
      </c>
      <c r="H63">
        <v>5.62073</v>
      </c>
      <c r="I63">
        <v>367.76870000000002</v>
      </c>
      <c r="J63">
        <v>-474.98910000000001</v>
      </c>
      <c r="K63">
        <v>1.1100429999999999</v>
      </c>
      <c r="L63">
        <v>367.20530000000002</v>
      </c>
      <c r="M63">
        <v>0.99993949999999998</v>
      </c>
      <c r="N63">
        <v>-9.1386060000000005E-3</v>
      </c>
      <c r="O63">
        <v>-6.1373449999999998E-3</v>
      </c>
      <c r="P63">
        <v>0.99336210000000003</v>
      </c>
      <c r="Q63">
        <v>4.4212639999999997E-2</v>
      </c>
      <c r="R63">
        <v>0.1061951</v>
      </c>
      <c r="S63">
        <v>3.017639</v>
      </c>
      <c r="T63">
        <v>4.3044810000000003E-2</v>
      </c>
      <c r="U63">
        <v>5.3710939999999999E-3</v>
      </c>
      <c r="V63">
        <v>-0.1122826</v>
      </c>
      <c r="W63">
        <v>5.3299260000000001E-2</v>
      </c>
      <c r="X63">
        <v>0.99224590000000001</v>
      </c>
      <c r="Y63">
        <v>-7.9154859999999994E-3</v>
      </c>
      <c r="Z63">
        <v>-1.6390630000000001E-4</v>
      </c>
      <c r="AA63">
        <v>0.99996859999999999</v>
      </c>
      <c r="AB63">
        <v>5</v>
      </c>
      <c r="AC63">
        <v>316.20589999999999</v>
      </c>
      <c r="AD63">
        <v>4.5106869999999999</v>
      </c>
      <c r="AE63">
        <v>0.56340000000000101</v>
      </c>
      <c r="AF63">
        <v>-2.50362548584248</v>
      </c>
      <c r="AG63">
        <v>4.5106869999999999</v>
      </c>
      <c r="AH63">
        <v>316.13215637899901</v>
      </c>
      <c r="AI63">
        <v>89.182564368789897</v>
      </c>
      <c r="AJ63">
        <v>90.453747497901006</v>
      </c>
      <c r="AK63">
        <v>316.17424742477198</v>
      </c>
      <c r="AL63">
        <v>86.944729793079105</v>
      </c>
      <c r="AM63">
        <v>96.456129660569303</v>
      </c>
      <c r="AN63">
        <v>1.0000000597230501</v>
      </c>
    </row>
    <row r="64" spans="1:40" x14ac:dyDescent="0.25">
      <c r="A64" t="str">
        <f>"20190304154729289"</f>
        <v>20190304154729289</v>
      </c>
      <c r="B64" t="str">
        <f>"1551685649277478"</f>
        <v>1551685649277478</v>
      </c>
      <c r="C64" t="s">
        <v>40</v>
      </c>
      <c r="D64">
        <v>4.0856659999999998</v>
      </c>
      <c r="E64">
        <v>0.53903080000000003</v>
      </c>
      <c r="F64" t="s">
        <v>43</v>
      </c>
      <c r="G64">
        <v>-158.78319999999999</v>
      </c>
      <c r="H64">
        <v>5.1055820000000001</v>
      </c>
      <c r="I64">
        <v>367.98559999999998</v>
      </c>
      <c r="J64">
        <v>-474.96230000000003</v>
      </c>
      <c r="K64">
        <v>1.1103909999999999</v>
      </c>
      <c r="L64">
        <v>367.20499999999998</v>
      </c>
      <c r="M64">
        <v>0.99992859999999995</v>
      </c>
      <c r="N64">
        <v>-1.02118E-2</v>
      </c>
      <c r="O64">
        <v>-6.2216930000000004E-3</v>
      </c>
      <c r="P64">
        <v>0.99341639999999998</v>
      </c>
      <c r="Q64">
        <v>4.3181669999999998E-2</v>
      </c>
      <c r="R64">
        <v>0.1061102</v>
      </c>
      <c r="S64">
        <v>3.0175480000000001</v>
      </c>
      <c r="T64">
        <v>3.8130160000000003E-2</v>
      </c>
      <c r="U64">
        <v>7.446289E-3</v>
      </c>
      <c r="V64">
        <v>-0.1122829</v>
      </c>
      <c r="W64">
        <v>5.3330210000000003E-2</v>
      </c>
      <c r="X64">
        <v>0.99224409999999996</v>
      </c>
      <c r="Y64">
        <v>-8.6878470000000003E-3</v>
      </c>
      <c r="Z64">
        <v>-1.5267389999999999E-4</v>
      </c>
      <c r="AA64">
        <v>0.99996229999999997</v>
      </c>
      <c r="AB64">
        <v>5</v>
      </c>
      <c r="AC64">
        <v>316.17910000000001</v>
      </c>
      <c r="AD64">
        <v>3.9951910000000002</v>
      </c>
      <c r="AE64">
        <v>0.78059999999999197</v>
      </c>
      <c r="AF64">
        <v>-2.7474179051785499</v>
      </c>
      <c r="AG64">
        <v>3.9951910000000002</v>
      </c>
      <c r="AH64">
        <v>316.11765032908801</v>
      </c>
      <c r="AI64">
        <v>89.275944406919393</v>
      </c>
      <c r="AJ64">
        <v>90.4979522245862</v>
      </c>
      <c r="AK64">
        <v>316.15483343744103</v>
      </c>
      <c r="AL64">
        <v>86.942953650223401</v>
      </c>
      <c r="AM64">
        <v>96.456158377620994</v>
      </c>
      <c r="AN64">
        <v>0.99999995745793102</v>
      </c>
    </row>
    <row r="65" spans="1:40" x14ac:dyDescent="0.25">
      <c r="A65" t="str">
        <f>"20190304154729300"</f>
        <v>20190304154729300</v>
      </c>
      <c r="B65" t="str">
        <f>"1551685649296998"</f>
        <v>1551685649296998</v>
      </c>
      <c r="C65" t="s">
        <v>40</v>
      </c>
      <c r="D65">
        <v>4.0568470000000003</v>
      </c>
      <c r="E65">
        <v>0.5388288</v>
      </c>
      <c r="F65" t="s">
        <v>43</v>
      </c>
      <c r="G65">
        <v>-158.78319999999999</v>
      </c>
      <c r="H65">
        <v>4.683039</v>
      </c>
      <c r="I65">
        <v>368.0333</v>
      </c>
      <c r="J65">
        <v>-474.94130000000001</v>
      </c>
      <c r="K65">
        <v>1.1106819999999999</v>
      </c>
      <c r="L65">
        <v>367.20479999999998</v>
      </c>
      <c r="M65">
        <v>0.99991730000000001</v>
      </c>
      <c r="N65">
        <v>-1.121924E-2</v>
      </c>
      <c r="O65">
        <v>-6.2798519999999998E-3</v>
      </c>
      <c r="P65">
        <v>0.99344659999999996</v>
      </c>
      <c r="Q65">
        <v>4.2450960000000003E-2</v>
      </c>
      <c r="R65">
        <v>0.1061222</v>
      </c>
      <c r="S65">
        <v>3.0175169999999998</v>
      </c>
      <c r="T65">
        <v>3.4097080000000002E-2</v>
      </c>
      <c r="U65">
        <v>7.9040529999999994E-3</v>
      </c>
      <c r="V65">
        <v>-0.1123551</v>
      </c>
      <c r="W65">
        <v>5.3595419999999998E-2</v>
      </c>
      <c r="X65">
        <v>0.99222169999999998</v>
      </c>
      <c r="Y65">
        <v>-8.8979579999999992E-3</v>
      </c>
      <c r="Z65">
        <v>-1.4176559999999901E-4</v>
      </c>
      <c r="AA65">
        <v>0.99996039999999997</v>
      </c>
      <c r="AB65">
        <v>5</v>
      </c>
      <c r="AC65">
        <v>316.15809999999999</v>
      </c>
      <c r="AD65">
        <v>3.5723569999999998</v>
      </c>
      <c r="AE65">
        <v>0.828500000000019</v>
      </c>
      <c r="AF65">
        <v>-2.8136755587856199</v>
      </c>
      <c r="AG65">
        <v>3.5723569999999998</v>
      </c>
      <c r="AH65">
        <v>316.10630372674098</v>
      </c>
      <c r="AI65">
        <v>89.3525464160101</v>
      </c>
      <c r="AJ65">
        <v>90.5099786850664</v>
      </c>
      <c r="AK65">
        <v>316.13901018455198</v>
      </c>
      <c r="AL65">
        <v>86.927736664411498</v>
      </c>
      <c r="AM65">
        <v>96.460419334526904</v>
      </c>
      <c r="AN65">
        <v>1.00000001974593</v>
      </c>
    </row>
    <row r="66" spans="1:40" x14ac:dyDescent="0.25">
      <c r="A66" t="str">
        <f>"20190304154729319"</f>
        <v>20190304154729319</v>
      </c>
      <c r="B66" t="str">
        <f>"1551685649306758"</f>
        <v>1551685649306758</v>
      </c>
      <c r="C66" t="s">
        <v>40</v>
      </c>
      <c r="D66">
        <v>3.9794580000000002</v>
      </c>
      <c r="E66">
        <v>0.53867200000000004</v>
      </c>
      <c r="F66" t="s">
        <v>43</v>
      </c>
      <c r="G66">
        <v>-158.78319999999999</v>
      </c>
      <c r="H66">
        <v>4.2785830000000002</v>
      </c>
      <c r="I66">
        <v>368.19279999999998</v>
      </c>
      <c r="J66">
        <v>-474.90690000000001</v>
      </c>
      <c r="K66">
        <v>1.1108960000000001</v>
      </c>
      <c r="L66">
        <v>367.20440000000002</v>
      </c>
      <c r="M66">
        <v>0.99990619999999997</v>
      </c>
      <c r="N66">
        <v>-1.21228E-2</v>
      </c>
      <c r="O66">
        <v>-6.3738639999999999E-3</v>
      </c>
      <c r="P66">
        <v>0.99347240000000003</v>
      </c>
      <c r="Q66">
        <v>4.1732390000000001E-2</v>
      </c>
      <c r="R66">
        <v>0.1061666</v>
      </c>
      <c r="S66">
        <v>3.017487</v>
      </c>
      <c r="T66">
        <v>3.0236010000000001E-2</v>
      </c>
      <c r="U66">
        <v>9.4299320000000002E-3</v>
      </c>
      <c r="V66">
        <v>-0.1124946</v>
      </c>
      <c r="W66">
        <v>5.3770650000000003E-2</v>
      </c>
      <c r="X66">
        <v>0.99219639999999998</v>
      </c>
      <c r="Y66">
        <v>-9.4978549999999995E-3</v>
      </c>
      <c r="Z66">
        <v>-1.311455E-4</v>
      </c>
      <c r="AA66">
        <v>0.99995489999999998</v>
      </c>
      <c r="AB66">
        <v>4</v>
      </c>
      <c r="AC66">
        <v>316.12369999999999</v>
      </c>
      <c r="AD66">
        <v>3.1676869999999999</v>
      </c>
      <c r="AE66">
        <v>0.98839999999995498</v>
      </c>
      <c r="AF66">
        <v>-3.0031559294311401</v>
      </c>
      <c r="AG66">
        <v>3.1676869999999999</v>
      </c>
      <c r="AH66">
        <v>316.079240430288</v>
      </c>
      <c r="AI66">
        <v>89.425837555825794</v>
      </c>
      <c r="AJ66">
        <v>90.544366603287301</v>
      </c>
      <c r="AK66">
        <v>316.109378882459</v>
      </c>
      <c r="AL66">
        <v>86.917682187598601</v>
      </c>
      <c r="AM66">
        <v>96.468536185309205</v>
      </c>
      <c r="AN66">
        <v>1.0000000070017701</v>
      </c>
    </row>
    <row r="67" spans="1:40" x14ac:dyDescent="0.25">
      <c r="A67" t="str">
        <f>"20190304154729330"</f>
        <v>20190304154729330</v>
      </c>
      <c r="B67" t="str">
        <f>"1551685649327254"</f>
        <v>1551685649327254</v>
      </c>
      <c r="C67" t="s">
        <v>40</v>
      </c>
      <c r="D67">
        <v>4.0822979999999998</v>
      </c>
      <c r="E67">
        <v>0.53848509999999905</v>
      </c>
      <c r="F67" t="s">
        <v>43</v>
      </c>
      <c r="G67">
        <v>-158.78319999999999</v>
      </c>
      <c r="H67">
        <v>3.8442400000000001</v>
      </c>
      <c r="I67">
        <v>368.35539999999997</v>
      </c>
      <c r="J67">
        <v>-474.88409999999999</v>
      </c>
      <c r="K67">
        <v>1.1108169999999999</v>
      </c>
      <c r="L67">
        <v>367.20429999999999</v>
      </c>
      <c r="M67">
        <v>0.99990690000000004</v>
      </c>
      <c r="N67">
        <v>-1.2036460000000001E-2</v>
      </c>
      <c r="O67">
        <v>-6.4374860000000001E-3</v>
      </c>
      <c r="P67">
        <v>0.9934982</v>
      </c>
      <c r="Q67">
        <v>4.1488539999999997E-2</v>
      </c>
      <c r="R67">
        <v>0.1060195</v>
      </c>
      <c r="S67">
        <v>3.017487</v>
      </c>
      <c r="T67">
        <v>2.6091340000000001E-2</v>
      </c>
      <c r="U67">
        <v>1.0986330000000001E-2</v>
      </c>
      <c r="V67">
        <v>-0.11241039999999999</v>
      </c>
      <c r="W67">
        <v>5.344115E-2</v>
      </c>
      <c r="X67">
        <v>0.99222370000000004</v>
      </c>
      <c r="Y67">
        <v>-1.007747E-2</v>
      </c>
      <c r="Z67">
        <v>-1.160626E-4</v>
      </c>
      <c r="AA67">
        <v>0.99994919999999998</v>
      </c>
      <c r="AB67">
        <v>4</v>
      </c>
      <c r="AC67">
        <v>316.10090000000002</v>
      </c>
      <c r="AD67">
        <v>2.7334230000000002</v>
      </c>
      <c r="AE67">
        <v>1.15109999999998</v>
      </c>
      <c r="AF67">
        <v>-3.1858803305471</v>
      </c>
      <c r="AG67">
        <v>2.7334230000000002</v>
      </c>
      <c r="AH67">
        <v>316.06330481700201</v>
      </c>
      <c r="AI67">
        <v>89.504524126479097</v>
      </c>
      <c r="AJ67">
        <v>90.577515049642599</v>
      </c>
      <c r="AK67">
        <v>316.09118002029498</v>
      </c>
      <c r="AL67">
        <v>86.9365881948507</v>
      </c>
      <c r="AM67">
        <v>96.463559264466198</v>
      </c>
      <c r="AN67">
        <v>0.99999996269158498</v>
      </c>
    </row>
    <row r="68" spans="1:40" x14ac:dyDescent="0.25">
      <c r="A68" t="str">
        <f>"20190304154729341"</f>
        <v>20190304154729341</v>
      </c>
      <c r="B68" t="str">
        <f>"1551685649337014"</f>
        <v>1551685649337014</v>
      </c>
      <c r="C68" t="s">
        <v>40</v>
      </c>
      <c r="D68">
        <v>4.060721</v>
      </c>
      <c r="E68">
        <v>0.53841499999999998</v>
      </c>
      <c r="F68" t="s">
        <v>43</v>
      </c>
      <c r="G68">
        <v>-158.78319999999999</v>
      </c>
      <c r="H68">
        <v>3.665143</v>
      </c>
      <c r="I68">
        <v>368.45760000000001</v>
      </c>
      <c r="J68">
        <v>-474.85939999999999</v>
      </c>
      <c r="K68">
        <v>1.110574</v>
      </c>
      <c r="L68">
        <v>367.20400000000001</v>
      </c>
      <c r="M68">
        <v>0.99991450000000004</v>
      </c>
      <c r="N68">
        <v>-1.1333370000000001E-2</v>
      </c>
      <c r="O68">
        <v>-6.5194110000000001E-3</v>
      </c>
      <c r="P68">
        <v>0.99346299999999998</v>
      </c>
      <c r="Q68">
        <v>4.2430679999999998E-2</v>
      </c>
      <c r="R68">
        <v>0.1059759</v>
      </c>
      <c r="S68">
        <v>3.0173030000000001</v>
      </c>
      <c r="T68">
        <v>2.4382830000000001E-2</v>
      </c>
      <c r="U68">
        <v>1.196289E-2</v>
      </c>
      <c r="V68">
        <v>-0.1124478</v>
      </c>
      <c r="W68">
        <v>5.3686379999999999E-2</v>
      </c>
      <c r="X68">
        <v>0.99220629999999999</v>
      </c>
      <c r="Y68">
        <v>-1.0483340000000001E-2</v>
      </c>
      <c r="Z68">
        <v>-1.09518E-4</v>
      </c>
      <c r="AA68">
        <v>0.99994499999999997</v>
      </c>
      <c r="AB68">
        <v>4</v>
      </c>
      <c r="AC68">
        <v>316.07619999999997</v>
      </c>
      <c r="AD68">
        <v>2.5545689999999999</v>
      </c>
      <c r="AE68">
        <v>1.2536</v>
      </c>
      <c r="AF68">
        <v>-3.3141199309968901</v>
      </c>
      <c r="AG68">
        <v>2.5545689999999999</v>
      </c>
      <c r="AH68">
        <v>316.04066504425703</v>
      </c>
      <c r="AI68">
        <v>89.536911528966698</v>
      </c>
      <c r="AJ68">
        <v>90.600802827397999</v>
      </c>
      <c r="AK68">
        <v>316.06836471768099</v>
      </c>
      <c r="AL68">
        <v>86.922517583955099</v>
      </c>
      <c r="AM68">
        <v>96.465803970509299</v>
      </c>
      <c r="AN68">
        <v>1.0000000384410099</v>
      </c>
    </row>
    <row r="69" spans="1:40" x14ac:dyDescent="0.25">
      <c r="A69" t="str">
        <f>"20190304154729355"</f>
        <v>20190304154729355</v>
      </c>
      <c r="B69" t="str">
        <f>"1551685649346776"</f>
        <v>1551685649346776</v>
      </c>
      <c r="C69" t="s">
        <v>40</v>
      </c>
      <c r="D69">
        <v>4.0286350000000004</v>
      </c>
      <c r="E69">
        <v>0.53832979999999997</v>
      </c>
      <c r="F69" t="s">
        <v>43</v>
      </c>
      <c r="G69">
        <v>-158.78319999999999</v>
      </c>
      <c r="H69">
        <v>3.9088419999999999</v>
      </c>
      <c r="I69">
        <v>368.49560000000002</v>
      </c>
      <c r="J69">
        <v>-474.82560000000001</v>
      </c>
      <c r="K69">
        <v>1.110239</v>
      </c>
      <c r="L69">
        <v>367.20359999999999</v>
      </c>
      <c r="M69">
        <v>0.99992530000000002</v>
      </c>
      <c r="N69">
        <v>-1.027376E-2</v>
      </c>
      <c r="O69">
        <v>-6.6380149999999997E-3</v>
      </c>
      <c r="P69">
        <v>0.99344969999999999</v>
      </c>
      <c r="Q69">
        <v>4.3420830000000001E-2</v>
      </c>
      <c r="R69">
        <v>0.1056998</v>
      </c>
      <c r="S69">
        <v>3.017242</v>
      </c>
      <c r="T69">
        <v>2.671289E-2</v>
      </c>
      <c r="U69">
        <v>1.2329100000000001E-2</v>
      </c>
      <c r="V69">
        <v>-0.1122877</v>
      </c>
      <c r="W69">
        <v>5.3627330000000001E-2</v>
      </c>
      <c r="X69">
        <v>0.99222759999999999</v>
      </c>
      <c r="Y69">
        <v>-1.072325E-2</v>
      </c>
      <c r="Z69">
        <v>-1.193457E-4</v>
      </c>
      <c r="AA69">
        <v>0.99994249999999996</v>
      </c>
      <c r="AB69">
        <v>5</v>
      </c>
      <c r="AC69">
        <v>316.04239999999999</v>
      </c>
      <c r="AD69">
        <v>2.798603</v>
      </c>
      <c r="AE69">
        <v>1.29200000000003</v>
      </c>
      <c r="AF69">
        <v>-3.3897104239712901</v>
      </c>
      <c r="AG69">
        <v>2.798603</v>
      </c>
      <c r="AH69">
        <v>316.00208102119302</v>
      </c>
      <c r="AI69">
        <v>89.492614972264704</v>
      </c>
      <c r="AJ69">
        <v>90.6145802956664</v>
      </c>
      <c r="AK69">
        <v>316.032652625065</v>
      </c>
      <c r="AL69">
        <v>86.925905705777694</v>
      </c>
      <c r="AM69">
        <v>96.456538501551293</v>
      </c>
      <c r="AN69">
        <v>1.0000000141479799</v>
      </c>
    </row>
    <row r="70" spans="1:40" x14ac:dyDescent="0.25">
      <c r="A70" t="str">
        <f>"20190304154729366"</f>
        <v>20190304154729366</v>
      </c>
      <c r="B70" t="str">
        <f>"1551685649357511"</f>
        <v>1551685649357511</v>
      </c>
      <c r="C70" t="s">
        <v>40</v>
      </c>
      <c r="D70">
        <v>4.0540839999999996</v>
      </c>
      <c r="E70">
        <v>0.53826589999999996</v>
      </c>
      <c r="F70" t="s">
        <v>43</v>
      </c>
      <c r="G70">
        <v>-158.78319999999999</v>
      </c>
      <c r="H70">
        <v>4.1794029999999998</v>
      </c>
      <c r="I70">
        <v>368.45030000000003</v>
      </c>
      <c r="J70">
        <v>-474.79820000000001</v>
      </c>
      <c r="K70">
        <v>1.110007</v>
      </c>
      <c r="L70">
        <v>367.20339999999999</v>
      </c>
      <c r="M70">
        <v>0.99993290000000001</v>
      </c>
      <c r="N70">
        <v>-9.4239709999999997E-3</v>
      </c>
      <c r="O70">
        <v>-6.7423919999999998E-3</v>
      </c>
      <c r="P70">
        <v>0.99341480000000004</v>
      </c>
      <c r="Q70">
        <v>4.4236999999999999E-2</v>
      </c>
      <c r="R70">
        <v>0.10568959999999999</v>
      </c>
      <c r="S70">
        <v>3.017242</v>
      </c>
      <c r="T70">
        <v>2.9302000000000002E-2</v>
      </c>
      <c r="U70">
        <v>1.190186E-2</v>
      </c>
      <c r="V70">
        <v>-0.1123801</v>
      </c>
      <c r="W70">
        <v>5.3602570000000002E-2</v>
      </c>
      <c r="X70">
        <v>0.99221839999999994</v>
      </c>
      <c r="Y70">
        <v>-1.068588E-2</v>
      </c>
      <c r="Z70">
        <v>-1.3054890000000001E-4</v>
      </c>
      <c r="AA70">
        <v>0.99994289999999997</v>
      </c>
      <c r="AB70">
        <v>5</v>
      </c>
      <c r="AC70">
        <v>316.01499999999999</v>
      </c>
      <c r="AD70">
        <v>3.0693959999999998</v>
      </c>
      <c r="AE70">
        <v>1.2469000000000301</v>
      </c>
      <c r="AF70">
        <v>-3.3773445940291</v>
      </c>
      <c r="AG70">
        <v>3.0693959999999998</v>
      </c>
      <c r="AH70">
        <v>315.96960108603599</v>
      </c>
      <c r="AI70">
        <v>89.443465890887296</v>
      </c>
      <c r="AJ70">
        <v>90.612401387849701</v>
      </c>
      <c r="AK70">
        <v>316.00255767759302</v>
      </c>
      <c r="AL70">
        <v>86.927326157968096</v>
      </c>
      <c r="AM70">
        <v>96.461865987162597</v>
      </c>
      <c r="AN70">
        <v>0.99999993784258501</v>
      </c>
    </row>
    <row r="71" spans="1:40" x14ac:dyDescent="0.25">
      <c r="A71" t="str">
        <f>"20190304154729378"</f>
        <v>20190304154729378</v>
      </c>
      <c r="B71" t="str">
        <f>"1551685649367270"</f>
        <v>1551685649367270</v>
      </c>
      <c r="C71" t="s">
        <v>40</v>
      </c>
      <c r="D71">
        <v>4.0246959999999996</v>
      </c>
      <c r="E71">
        <v>0.53818269999999901</v>
      </c>
      <c r="F71" t="s">
        <v>43</v>
      </c>
      <c r="G71">
        <v>-158.78319999999999</v>
      </c>
      <c r="H71">
        <v>4.3989010000000004</v>
      </c>
      <c r="I71">
        <v>368.51389999999998</v>
      </c>
      <c r="J71">
        <v>-474.77109999999999</v>
      </c>
      <c r="K71">
        <v>1.1098330000000001</v>
      </c>
      <c r="L71">
        <v>367.20310000000001</v>
      </c>
      <c r="M71">
        <v>0.99993860000000001</v>
      </c>
      <c r="N71">
        <v>-8.7231010000000005E-3</v>
      </c>
      <c r="O71">
        <v>-6.8507419999999999E-3</v>
      </c>
      <c r="P71">
        <v>0.99340340000000005</v>
      </c>
      <c r="Q71">
        <v>4.4774979999999999E-2</v>
      </c>
      <c r="R71">
        <v>0.10557080000000001</v>
      </c>
      <c r="S71">
        <v>3.0171510000000001</v>
      </c>
      <c r="T71">
        <v>3.1401520000000002E-2</v>
      </c>
      <c r="U71">
        <v>1.2512209999999999E-2</v>
      </c>
      <c r="V71">
        <v>-0.11236740000000001</v>
      </c>
      <c r="W71">
        <v>5.3446390000000003E-2</v>
      </c>
      <c r="X71">
        <v>0.99222829999999995</v>
      </c>
      <c r="Y71">
        <v>-1.0996489999999999E-2</v>
      </c>
      <c r="Z71">
        <v>-1.4031469999999999E-4</v>
      </c>
      <c r="AA71">
        <v>0.99993949999999998</v>
      </c>
      <c r="AB71">
        <v>5</v>
      </c>
      <c r="AC71">
        <v>315.98790000000002</v>
      </c>
      <c r="AD71">
        <v>3.2890679999999999</v>
      </c>
      <c r="AE71">
        <v>1.31079999999997</v>
      </c>
      <c r="AF71">
        <v>-3.4752264198202099</v>
      </c>
      <c r="AG71">
        <v>3.2890679999999999</v>
      </c>
      <c r="AH71">
        <v>315.937274666002</v>
      </c>
      <c r="AI71">
        <v>89.4035793680723</v>
      </c>
      <c r="AJ71">
        <v>90.630212996816098</v>
      </c>
      <c r="AK71">
        <v>315.97350631082702</v>
      </c>
      <c r="AL71">
        <v>86.9362875707276</v>
      </c>
      <c r="AM71">
        <v>96.461077990347505</v>
      </c>
      <c r="AN71">
        <v>0.99999997425384002</v>
      </c>
    </row>
    <row r="72" spans="1:40" x14ac:dyDescent="0.25">
      <c r="A72" t="str">
        <f>"20190304154729390"</f>
        <v>20190304154729390</v>
      </c>
      <c r="B72" t="str">
        <f>"1551685649386790"</f>
        <v>1551685649386790</v>
      </c>
      <c r="C72" t="s">
        <v>40</v>
      </c>
      <c r="D72">
        <v>4.0000929999999997</v>
      </c>
      <c r="E72">
        <v>0.53806759999999998</v>
      </c>
      <c r="F72" t="s">
        <v>43</v>
      </c>
      <c r="G72">
        <v>-158.78319999999999</v>
      </c>
      <c r="H72">
        <v>4.5560369999999999</v>
      </c>
      <c r="I72">
        <v>368.56150000000002</v>
      </c>
      <c r="J72">
        <v>-474.7405</v>
      </c>
      <c r="K72">
        <v>1.109677</v>
      </c>
      <c r="L72">
        <v>367.20280000000002</v>
      </c>
      <c r="M72">
        <v>0.99994360000000004</v>
      </c>
      <c r="N72">
        <v>-8.0275639999999992E-3</v>
      </c>
      <c r="O72">
        <v>-6.9762840000000001E-3</v>
      </c>
      <c r="P72">
        <v>0.99338139999999997</v>
      </c>
      <c r="Q72">
        <v>4.552051E-2</v>
      </c>
      <c r="R72">
        <v>0.1054587</v>
      </c>
      <c r="S72">
        <v>3.01709</v>
      </c>
      <c r="T72">
        <v>3.2905579999999997E-2</v>
      </c>
      <c r="U72">
        <v>1.2969970000000001E-2</v>
      </c>
      <c r="V72">
        <v>-0.1123784</v>
      </c>
      <c r="W72">
        <v>5.350448E-2</v>
      </c>
      <c r="X72">
        <v>0.99222399999999999</v>
      </c>
      <c r="Y72">
        <v>-1.1273709999999999E-2</v>
      </c>
      <c r="Z72">
        <v>-1.4830790000000001E-4</v>
      </c>
      <c r="AA72">
        <v>0.99993650000000001</v>
      </c>
      <c r="AB72">
        <v>5</v>
      </c>
      <c r="AC72">
        <v>315.95729999999998</v>
      </c>
      <c r="AD72">
        <v>3.4463599999999999</v>
      </c>
      <c r="AE72">
        <v>1.35869999999999</v>
      </c>
      <c r="AF72">
        <v>-3.5625216188669402</v>
      </c>
      <c r="AG72">
        <v>3.4463599999999999</v>
      </c>
      <c r="AH72">
        <v>315.90254727189301</v>
      </c>
      <c r="AI72">
        <v>89.374992391020299</v>
      </c>
      <c r="AJ72">
        <v>90.646113184554096</v>
      </c>
      <c r="AK72">
        <v>315.941431804069</v>
      </c>
      <c r="AL72">
        <v>86.932954722786207</v>
      </c>
      <c r="AM72">
        <v>96.461732902731399</v>
      </c>
      <c r="AN72">
        <v>1.00000005017131</v>
      </c>
    </row>
    <row r="73" spans="1:40" x14ac:dyDescent="0.25">
      <c r="A73" t="str">
        <f>"20190304154729408"</f>
        <v>20190304154729408</v>
      </c>
      <c r="B73" t="str">
        <f>"1551685649397526"</f>
        <v>1551685649397526</v>
      </c>
      <c r="C73" t="s">
        <v>40</v>
      </c>
      <c r="D73">
        <v>4.0062049999999996</v>
      </c>
      <c r="E73">
        <v>0.53802740000000004</v>
      </c>
      <c r="F73" t="s">
        <v>43</v>
      </c>
      <c r="G73">
        <v>-158.78319999999999</v>
      </c>
      <c r="H73">
        <v>4.732278</v>
      </c>
      <c r="I73">
        <v>368.64420000000001</v>
      </c>
      <c r="J73">
        <v>-474.7004</v>
      </c>
      <c r="K73">
        <v>1.1099429999999999</v>
      </c>
      <c r="L73">
        <v>367.20229999999998</v>
      </c>
      <c r="M73">
        <v>0.99993770000000004</v>
      </c>
      <c r="N73">
        <v>-8.6123740000000008E-3</v>
      </c>
      <c r="O73">
        <v>-7.116743E-3</v>
      </c>
      <c r="P73">
        <v>0.99342260000000004</v>
      </c>
      <c r="Q73">
        <v>4.5025309999999999E-2</v>
      </c>
      <c r="R73">
        <v>0.10528369999999999</v>
      </c>
      <c r="S73">
        <v>3.016937</v>
      </c>
      <c r="T73">
        <v>3.4591440000000001E-2</v>
      </c>
      <c r="U73">
        <v>1.376343E-2</v>
      </c>
      <c r="V73">
        <v>-0.11234429999999999</v>
      </c>
      <c r="W73">
        <v>5.3588759999999999E-2</v>
      </c>
      <c r="X73">
        <v>0.99222330000000003</v>
      </c>
      <c r="Y73">
        <v>-1.16772E-2</v>
      </c>
      <c r="Z73">
        <v>-1.5954049999999999E-4</v>
      </c>
      <c r="AA73">
        <v>0.99993180000000004</v>
      </c>
      <c r="AB73">
        <v>5</v>
      </c>
      <c r="AC73">
        <v>315.91719999999998</v>
      </c>
      <c r="AD73">
        <v>3.6223350000000001</v>
      </c>
      <c r="AE73">
        <v>1.4419000000000299</v>
      </c>
      <c r="AF73">
        <v>-3.6897630496974698</v>
      </c>
      <c r="AG73">
        <v>3.6223350000000001</v>
      </c>
      <c r="AH73">
        <v>315.85741171071402</v>
      </c>
      <c r="AI73">
        <v>89.342990716924902</v>
      </c>
      <c r="AJ73">
        <v>90.669283754798698</v>
      </c>
      <c r="AK73">
        <v>315.899731235731</v>
      </c>
      <c r="AL73">
        <v>86.928118856522204</v>
      </c>
      <c r="AM73">
        <v>96.459793255185403</v>
      </c>
      <c r="AN73">
        <v>1.00000003700185</v>
      </c>
    </row>
    <row r="74" spans="1:40" x14ac:dyDescent="0.25">
      <c r="A74" t="str">
        <f>"20190304154729420"</f>
        <v>20190304154729420</v>
      </c>
      <c r="B74" t="str">
        <f>"1551685649417046"</f>
        <v>1551685649417046</v>
      </c>
      <c r="C74" t="s">
        <v>40</v>
      </c>
      <c r="D74">
        <v>3.9927730000000001</v>
      </c>
      <c r="E74">
        <v>0.53787099999999999</v>
      </c>
      <c r="F74" t="s">
        <v>43</v>
      </c>
      <c r="G74">
        <v>-158.78319999999999</v>
      </c>
      <c r="H74">
        <v>4.5703170000000002</v>
      </c>
      <c r="I74">
        <v>368.59879999999998</v>
      </c>
      <c r="J74">
        <v>-474.6748</v>
      </c>
      <c r="K74">
        <v>1.1102299999999901</v>
      </c>
      <c r="L74">
        <v>367.20209999999997</v>
      </c>
      <c r="M74">
        <v>0.99992939999999997</v>
      </c>
      <c r="N74">
        <v>-9.4681999999999995E-3</v>
      </c>
      <c r="O74">
        <v>-7.1955269999999898E-3</v>
      </c>
      <c r="P74">
        <v>0.99345910000000004</v>
      </c>
      <c r="Q74">
        <v>4.403605E-2</v>
      </c>
      <c r="R74">
        <v>0.10535750000000001</v>
      </c>
      <c r="S74">
        <v>3.016937</v>
      </c>
      <c r="T74">
        <v>3.3046600000000002E-2</v>
      </c>
      <c r="U74">
        <v>1.333618E-2</v>
      </c>
      <c r="V74">
        <v>-0.112497</v>
      </c>
      <c r="W74">
        <v>5.3446399999999998E-2</v>
      </c>
      <c r="X74">
        <v>0.99221369999999998</v>
      </c>
      <c r="Y74">
        <v>-1.161447E-2</v>
      </c>
      <c r="Z74">
        <v>-1.5556359999999999E-4</v>
      </c>
      <c r="AA74">
        <v>0.9999325</v>
      </c>
      <c r="AB74">
        <v>6</v>
      </c>
      <c r="AC74">
        <v>315.89159999999998</v>
      </c>
      <c r="AD74">
        <v>3.4600870000000001</v>
      </c>
      <c r="AE74">
        <v>1.3967000000000001</v>
      </c>
      <c r="AF74">
        <v>-3.66933178124374</v>
      </c>
      <c r="AG74">
        <v>3.4600870000000001</v>
      </c>
      <c r="AH74">
        <v>315.83547873857702</v>
      </c>
      <c r="AI74">
        <v>89.372372363964303</v>
      </c>
      <c r="AJ74">
        <v>90.665624290871406</v>
      </c>
      <c r="AK74">
        <v>315.87574428530303</v>
      </c>
      <c r="AL74">
        <v>86.936287258598099</v>
      </c>
      <c r="AM74">
        <v>96.468561187401605</v>
      </c>
      <c r="AN74">
        <v>1.00000005957482</v>
      </c>
    </row>
    <row r="75" spans="1:40" x14ac:dyDescent="0.25">
      <c r="A75" t="str">
        <f>"20190304154729432"</f>
        <v>20190304154729432</v>
      </c>
      <c r="B75" t="str">
        <f>"1551685649426806"</f>
        <v>1551685649426806</v>
      </c>
      <c r="C75" t="s">
        <v>40</v>
      </c>
      <c r="D75">
        <v>4.00413</v>
      </c>
      <c r="E75">
        <v>0.53783359999999902</v>
      </c>
      <c r="F75" t="s">
        <v>43</v>
      </c>
      <c r="G75">
        <v>-158.78319999999999</v>
      </c>
      <c r="H75">
        <v>4.171894</v>
      </c>
      <c r="I75">
        <v>368.73590000000002</v>
      </c>
      <c r="J75">
        <v>-474.65089999999998</v>
      </c>
      <c r="K75">
        <v>1.1105339999999999</v>
      </c>
      <c r="L75">
        <v>367.20179999999999</v>
      </c>
      <c r="M75">
        <v>0.99991929999999996</v>
      </c>
      <c r="N75">
        <v>-1.0431609999999999E-2</v>
      </c>
      <c r="O75">
        <v>-7.26554E-3</v>
      </c>
      <c r="P75">
        <v>0.99348040000000004</v>
      </c>
      <c r="Q75">
        <v>4.3232420000000001E-2</v>
      </c>
      <c r="R75">
        <v>0.10548829999999999</v>
      </c>
      <c r="S75">
        <v>3.0169069999999998</v>
      </c>
      <c r="T75">
        <v>2.9241090000000001E-2</v>
      </c>
      <c r="U75">
        <v>1.464844E-2</v>
      </c>
      <c r="V75">
        <v>-0.1126991</v>
      </c>
      <c r="W75">
        <v>5.3595900000000002E-2</v>
      </c>
      <c r="X75">
        <v>0.99218269999999997</v>
      </c>
      <c r="Y75">
        <v>-1.2119690000000001E-2</v>
      </c>
      <c r="Z75">
        <v>-1.4172459999999999E-4</v>
      </c>
      <c r="AA75">
        <v>0.9999266</v>
      </c>
      <c r="AB75">
        <v>5</v>
      </c>
      <c r="AC75">
        <v>315.86770000000001</v>
      </c>
      <c r="AD75">
        <v>3.0613599999999899</v>
      </c>
      <c r="AE75">
        <v>1.53410000000002</v>
      </c>
      <c r="AF75">
        <v>-3.82877390527173</v>
      </c>
      <c r="AG75">
        <v>3.0613599999999899</v>
      </c>
      <c r="AH75">
        <v>315.81855019455401</v>
      </c>
      <c r="AI75">
        <v>89.444666481121402</v>
      </c>
      <c r="AJ75">
        <v>90.694581869394497</v>
      </c>
      <c r="AK75">
        <v>315.85659417156</v>
      </c>
      <c r="AL75">
        <v>86.927709243286998</v>
      </c>
      <c r="AM75">
        <v>96.480283895475694</v>
      </c>
      <c r="AN75">
        <v>1.0000000589084499</v>
      </c>
    </row>
    <row r="76" spans="1:40" x14ac:dyDescent="0.25">
      <c r="A76" t="str">
        <f>"20190304154729444"</f>
        <v>20190304154729444</v>
      </c>
      <c r="B76" t="str">
        <f>"1551685649437543"</f>
        <v>1551685649437543</v>
      </c>
      <c r="C76" t="s">
        <v>40</v>
      </c>
      <c r="D76">
        <v>3.9937070000000001</v>
      </c>
      <c r="E76">
        <v>0.53777350000000002</v>
      </c>
      <c r="F76" t="s">
        <v>43</v>
      </c>
      <c r="G76">
        <v>-158.78319999999999</v>
      </c>
      <c r="H76">
        <v>3.8627210000000001</v>
      </c>
      <c r="I76">
        <v>368.81209999999999</v>
      </c>
      <c r="J76">
        <v>-474.62630000000001</v>
      </c>
      <c r="K76">
        <v>1.110859</v>
      </c>
      <c r="L76">
        <v>367.20150000000001</v>
      </c>
      <c r="M76">
        <v>0.9999055</v>
      </c>
      <c r="N76">
        <v>-1.162442E-2</v>
      </c>
      <c r="O76">
        <v>-7.3265140000000001E-3</v>
      </c>
      <c r="P76">
        <v>0.99351670000000003</v>
      </c>
      <c r="Q76">
        <v>4.2123859999999999E-2</v>
      </c>
      <c r="R76">
        <v>0.1055943</v>
      </c>
      <c r="S76">
        <v>3.0169069999999998</v>
      </c>
      <c r="T76">
        <v>2.6287439999999999E-2</v>
      </c>
      <c r="U76">
        <v>1.538086E-2</v>
      </c>
      <c r="V76">
        <v>-0.112868</v>
      </c>
      <c r="W76">
        <v>5.3667810000000003E-2</v>
      </c>
      <c r="X76">
        <v>0.99215949999999997</v>
      </c>
      <c r="Y76">
        <v>-1.242358E-2</v>
      </c>
      <c r="Z76">
        <v>-1.3091549999999901E-4</v>
      </c>
      <c r="AA76">
        <v>0.9999228</v>
      </c>
      <c r="AB76">
        <v>5</v>
      </c>
      <c r="AC76">
        <v>315.84309999999999</v>
      </c>
      <c r="AD76">
        <v>2.751862</v>
      </c>
      <c r="AE76">
        <v>1.6105999999999701</v>
      </c>
      <c r="AF76">
        <v>-3.9244443313471198</v>
      </c>
      <c r="AG76">
        <v>2.751862</v>
      </c>
      <c r="AH76">
        <v>315.79884867125998</v>
      </c>
      <c r="AI76">
        <v>89.500777421503003</v>
      </c>
      <c r="AJ76">
        <v>90.711980187082901</v>
      </c>
      <c r="AK76">
        <v>315.835221009105</v>
      </c>
      <c r="AL76">
        <v>86.923582819057899</v>
      </c>
      <c r="AM76">
        <v>96.490063438904997</v>
      </c>
      <c r="AN76">
        <v>0.999999946347221</v>
      </c>
    </row>
    <row r="77" spans="1:40" x14ac:dyDescent="0.25">
      <c r="A77" t="str">
        <f>"20190304154729458"</f>
        <v>20190304154729458</v>
      </c>
      <c r="B77" t="str">
        <f>"1551685649447302"</f>
        <v>1551685649447302</v>
      </c>
      <c r="C77" t="s">
        <v>40</v>
      </c>
      <c r="D77">
        <v>3.9918650000000002</v>
      </c>
      <c r="E77">
        <v>0.53771329999999995</v>
      </c>
      <c r="F77" t="s">
        <v>43</v>
      </c>
      <c r="G77">
        <v>-158.78319999999999</v>
      </c>
      <c r="H77">
        <v>3.4776950000000002</v>
      </c>
      <c r="I77">
        <v>368.88839999999999</v>
      </c>
      <c r="J77">
        <v>-474.60059999999999</v>
      </c>
      <c r="K77">
        <v>1.110994</v>
      </c>
      <c r="L77">
        <v>367.20119999999997</v>
      </c>
      <c r="M77">
        <v>0.99989790000000001</v>
      </c>
      <c r="N77">
        <v>-1.2241989999999999E-2</v>
      </c>
      <c r="O77">
        <v>-7.3918359999999997E-3</v>
      </c>
      <c r="P77">
        <v>0.99355839999999995</v>
      </c>
      <c r="Q77">
        <v>4.1363990000000003E-2</v>
      </c>
      <c r="R77">
        <v>0.105504</v>
      </c>
      <c r="S77">
        <v>3.016937</v>
      </c>
      <c r="T77">
        <v>2.2608880000000001E-2</v>
      </c>
      <c r="U77">
        <v>1.6113280000000001E-2</v>
      </c>
      <c r="V77">
        <v>-0.11284379999999999</v>
      </c>
      <c r="W77">
        <v>5.3518759999999999E-2</v>
      </c>
      <c r="X77">
        <v>0.99217029999999995</v>
      </c>
      <c r="Y77">
        <v>-1.273179E-2</v>
      </c>
      <c r="Z77">
        <v>-1.1565429999999999E-4</v>
      </c>
      <c r="AA77">
        <v>0.99991890000000005</v>
      </c>
      <c r="AB77">
        <v>5</v>
      </c>
      <c r="AC77">
        <v>315.81740000000002</v>
      </c>
      <c r="AD77">
        <v>2.3667009999999999</v>
      </c>
      <c r="AE77">
        <v>1.68720000000001</v>
      </c>
      <c r="AF77">
        <v>-4.0215730669199701</v>
      </c>
      <c r="AG77">
        <v>2.3667009999999999</v>
      </c>
      <c r="AH77">
        <v>315.77856503093801</v>
      </c>
      <c r="AI77">
        <v>89.570621758419193</v>
      </c>
      <c r="AJ77">
        <v>90.729646445844295</v>
      </c>
      <c r="AK77">
        <v>315.81304035228499</v>
      </c>
      <c r="AL77">
        <v>86.932135034616493</v>
      </c>
      <c r="AM77">
        <v>96.488613746224402</v>
      </c>
      <c r="AN77">
        <v>0.99999994253623203</v>
      </c>
    </row>
    <row r="78" spans="1:40" x14ac:dyDescent="0.25">
      <c r="A78" t="str">
        <f>"20190304154729477"</f>
        <v>20190304154729477</v>
      </c>
      <c r="B78" t="str">
        <f>"1551685649466822"</f>
        <v>1551685649466822</v>
      </c>
      <c r="C78" t="s">
        <v>40</v>
      </c>
      <c r="D78">
        <v>4.0525799999999998</v>
      </c>
      <c r="E78">
        <v>0.53752599999999995</v>
      </c>
      <c r="F78" t="s">
        <v>43</v>
      </c>
      <c r="G78">
        <v>-158.78319999999999</v>
      </c>
      <c r="H78">
        <v>3.1893319999999998</v>
      </c>
      <c r="I78">
        <v>368.91039999999998</v>
      </c>
      <c r="J78">
        <v>-474.55790000000002</v>
      </c>
      <c r="K78">
        <v>1.110781</v>
      </c>
      <c r="L78">
        <v>367.20069999999998</v>
      </c>
      <c r="M78">
        <v>0.99990159999999995</v>
      </c>
      <c r="N78">
        <v>-1.1848529999999999E-2</v>
      </c>
      <c r="O78">
        <v>-7.5098309999999998E-3</v>
      </c>
      <c r="P78">
        <v>0.99353630000000004</v>
      </c>
      <c r="Q78">
        <v>4.1937490000000001E-2</v>
      </c>
      <c r="R78">
        <v>0.1054837</v>
      </c>
      <c r="S78">
        <v>3.0169069999999998</v>
      </c>
      <c r="T78">
        <v>1.9854549999999999E-2</v>
      </c>
      <c r="U78">
        <v>1.6326899999999998E-2</v>
      </c>
      <c r="V78">
        <v>-0.1129397</v>
      </c>
      <c r="W78">
        <v>5.370304E-2</v>
      </c>
      <c r="X78">
        <v>0.99214950000000002</v>
      </c>
      <c r="Y78">
        <v>-1.292077E-2</v>
      </c>
      <c r="Z78">
        <v>-1.043693E-4</v>
      </c>
      <c r="AA78">
        <v>0.99991649999999999</v>
      </c>
      <c r="AB78">
        <v>4</v>
      </c>
      <c r="AC78">
        <v>315.7747</v>
      </c>
      <c r="AD78">
        <v>2.078551</v>
      </c>
      <c r="AE78">
        <v>1.70969999999999</v>
      </c>
      <c r="AF78">
        <v>-4.0810560763917296</v>
      </c>
      <c r="AG78">
        <v>2.078551</v>
      </c>
      <c r="AH78">
        <v>315.739273813838</v>
      </c>
      <c r="AI78">
        <v>89.622851691605803</v>
      </c>
      <c r="AJ78">
        <v>90.740529570772694</v>
      </c>
      <c r="AK78">
        <v>315.77248838593903</v>
      </c>
      <c r="AL78">
        <v>86.921561573792602</v>
      </c>
      <c r="AM78">
        <v>96.494215973584602</v>
      </c>
      <c r="AN78">
        <v>1.0000000113457901</v>
      </c>
    </row>
    <row r="79" spans="1:40" x14ac:dyDescent="0.25">
      <c r="A79" t="str">
        <f>"20190304154729492"</f>
        <v>20190304154729492</v>
      </c>
      <c r="B79" t="str">
        <f>"1551685649487317"</f>
        <v>1551685649487317</v>
      </c>
      <c r="C79" t="s">
        <v>40</v>
      </c>
      <c r="D79">
        <v>4.0247830000000002</v>
      </c>
      <c r="E79">
        <v>0.53744590000000003</v>
      </c>
      <c r="F79" t="s">
        <v>43</v>
      </c>
      <c r="G79">
        <v>-158.78319999999999</v>
      </c>
      <c r="H79">
        <v>3.2220300000000002</v>
      </c>
      <c r="I79">
        <v>369.05990000000003</v>
      </c>
      <c r="J79">
        <v>-474.52319999999997</v>
      </c>
      <c r="K79">
        <v>1.110433</v>
      </c>
      <c r="L79">
        <v>367.2004</v>
      </c>
      <c r="M79">
        <v>0.99991240000000003</v>
      </c>
      <c r="N79">
        <v>-1.083189E-2</v>
      </c>
      <c r="O79">
        <v>-7.6211450000000002E-3</v>
      </c>
      <c r="P79">
        <v>0.9934887</v>
      </c>
      <c r="Q79">
        <v>4.2752600000000002E-2</v>
      </c>
      <c r="R79">
        <v>0.105606199999999</v>
      </c>
      <c r="S79">
        <v>3.0168149999999998</v>
      </c>
      <c r="T79">
        <v>2.0171049999999999E-2</v>
      </c>
      <c r="U79">
        <v>1.7761229999999999E-2</v>
      </c>
      <c r="V79">
        <v>-0.1131713</v>
      </c>
      <c r="W79">
        <v>5.3511620000000003E-2</v>
      </c>
      <c r="X79">
        <v>0.99213340000000005</v>
      </c>
      <c r="Y79">
        <v>-1.350762E-2</v>
      </c>
      <c r="Z79">
        <v>-1.055039E-4</v>
      </c>
      <c r="AA79">
        <v>0.99990869999999998</v>
      </c>
      <c r="AB79">
        <v>5</v>
      </c>
      <c r="AC79">
        <v>315.74</v>
      </c>
      <c r="AD79">
        <v>2.1115970000000002</v>
      </c>
      <c r="AE79">
        <v>1.8595000000000199</v>
      </c>
      <c r="AF79">
        <v>-4.2656964452999002</v>
      </c>
      <c r="AG79">
        <v>2.1115970000000002</v>
      </c>
      <c r="AH79">
        <v>315.70253734889701</v>
      </c>
      <c r="AI79">
        <v>89.616814134587003</v>
      </c>
      <c r="AJ79">
        <v>90.774119628926698</v>
      </c>
      <c r="AK79">
        <v>315.73841561739903</v>
      </c>
      <c r="AL79">
        <v>86.932544767203595</v>
      </c>
      <c r="AM79">
        <v>96.507523929212397</v>
      </c>
      <c r="AN79">
        <v>0.99999996000713598</v>
      </c>
    </row>
    <row r="80" spans="1:40" x14ac:dyDescent="0.25">
      <c r="A80" t="str">
        <f>"20190304154729508"</f>
        <v>20190304154729508</v>
      </c>
      <c r="B80" t="str">
        <f>"1551685649497078"</f>
        <v>1551685649497078</v>
      </c>
      <c r="C80" t="s">
        <v>40</v>
      </c>
      <c r="D80">
        <v>4.007574</v>
      </c>
      <c r="E80">
        <v>0.53742519999999905</v>
      </c>
      <c r="F80" t="s">
        <v>43</v>
      </c>
      <c r="G80">
        <v>-158.78319999999999</v>
      </c>
      <c r="H80">
        <v>3.4538690000000001</v>
      </c>
      <c r="I80">
        <v>369.16480000000001</v>
      </c>
      <c r="J80">
        <v>-474.48219999999998</v>
      </c>
      <c r="K80">
        <v>1.1100669999999999</v>
      </c>
      <c r="L80">
        <v>367.2</v>
      </c>
      <c r="M80">
        <v>0.99992400000000004</v>
      </c>
      <c r="N80">
        <v>-9.5806439999999993E-3</v>
      </c>
      <c r="O80">
        <v>-7.7724959999999899E-3</v>
      </c>
      <c r="P80">
        <v>0.99343970000000004</v>
      </c>
      <c r="Q80">
        <v>4.3966539999999998E-2</v>
      </c>
      <c r="R80">
        <v>0.10556889999999899</v>
      </c>
      <c r="S80">
        <v>3.0166930000000001</v>
      </c>
      <c r="T80">
        <v>2.2390839999999999E-2</v>
      </c>
      <c r="U80">
        <v>1.876831E-2</v>
      </c>
      <c r="V80">
        <v>-0.1132816</v>
      </c>
      <c r="W80">
        <v>5.348638E-2</v>
      </c>
      <c r="X80">
        <v>0.99212219999999995</v>
      </c>
      <c r="Y80">
        <v>-1.3992869999999999E-2</v>
      </c>
      <c r="Z80">
        <v>-1.17049E-4</v>
      </c>
      <c r="AA80">
        <v>0.99990210000000002</v>
      </c>
      <c r="AB80">
        <v>5</v>
      </c>
      <c r="AC80">
        <v>315.69900000000001</v>
      </c>
      <c r="AD80">
        <v>2.3438020000000002</v>
      </c>
      <c r="AE80">
        <v>1.9648000000000201</v>
      </c>
      <c r="AF80">
        <v>-4.41837870496399</v>
      </c>
      <c r="AG80">
        <v>2.3438020000000002</v>
      </c>
      <c r="AH80">
        <v>315.65679315086498</v>
      </c>
      <c r="AI80">
        <v>89.574619191548294</v>
      </c>
      <c r="AJ80">
        <v>90.801940354863305</v>
      </c>
      <c r="AK80">
        <v>315.696415153045</v>
      </c>
      <c r="AL80">
        <v>86.933993068764096</v>
      </c>
      <c r="AM80">
        <v>96.513884768396196</v>
      </c>
      <c r="AN80">
        <v>0.99999998673845203</v>
      </c>
    </row>
    <row r="81" spans="1:40" x14ac:dyDescent="0.25">
      <c r="A81" t="str">
        <f>"20190304154729520"</f>
        <v>20190304154729520</v>
      </c>
      <c r="B81" t="str">
        <f>"1551685649516598"</f>
        <v>1551685649516598</v>
      </c>
      <c r="C81" t="s">
        <v>40</v>
      </c>
      <c r="D81">
        <v>4.045617</v>
      </c>
      <c r="E81">
        <v>0.53736809999999902</v>
      </c>
      <c r="F81" t="s">
        <v>43</v>
      </c>
      <c r="G81">
        <v>-158.78319999999999</v>
      </c>
      <c r="H81">
        <v>3.8501059999999998</v>
      </c>
      <c r="I81">
        <v>369.17689999999999</v>
      </c>
      <c r="J81">
        <v>-474.45240000000001</v>
      </c>
      <c r="K81">
        <v>1.1098840000000001</v>
      </c>
      <c r="L81">
        <v>367.19959999999998</v>
      </c>
      <c r="M81">
        <v>0.99992979999999998</v>
      </c>
      <c r="N81">
        <v>-8.8523719999999903E-3</v>
      </c>
      <c r="O81">
        <v>-7.8890309999999995E-3</v>
      </c>
      <c r="P81">
        <v>0.9934113</v>
      </c>
      <c r="Q81">
        <v>4.4564569999999998E-2</v>
      </c>
      <c r="R81">
        <v>0.1055847</v>
      </c>
      <c r="S81">
        <v>3.016632</v>
      </c>
      <c r="T81">
        <v>2.618301E-2</v>
      </c>
      <c r="U81">
        <v>1.8890379999999998E-2</v>
      </c>
      <c r="V81">
        <v>-0.113412</v>
      </c>
      <c r="W81">
        <v>5.3364019999999998E-2</v>
      </c>
      <c r="X81">
        <v>0.99211389999999999</v>
      </c>
      <c r="Y81">
        <v>-1.4149739999999999E-2</v>
      </c>
      <c r="Z81">
        <v>-1.3707969999999999E-4</v>
      </c>
      <c r="AA81">
        <v>0.99989989999999995</v>
      </c>
      <c r="AB81">
        <v>5</v>
      </c>
      <c r="AC81">
        <v>315.66919999999999</v>
      </c>
      <c r="AD81">
        <v>2.7402220000000002</v>
      </c>
      <c r="AE81">
        <v>1.97730000000001</v>
      </c>
      <c r="AF81">
        <v>-4.4673232756971499</v>
      </c>
      <c r="AG81">
        <v>2.7402220000000002</v>
      </c>
      <c r="AH81">
        <v>315.61999402871402</v>
      </c>
      <c r="AI81">
        <v>89.502618685613797</v>
      </c>
      <c r="AJ81">
        <v>90.810917189859794</v>
      </c>
      <c r="AK81">
        <v>315.66350188855301</v>
      </c>
      <c r="AL81">
        <v>86.941013833827895</v>
      </c>
      <c r="AM81">
        <v>96.521372523840299</v>
      </c>
      <c r="AN81">
        <v>0.99999999547388496</v>
      </c>
    </row>
    <row r="82" spans="1:40" x14ac:dyDescent="0.25">
      <c r="A82" t="str">
        <f>"20190304154729533"</f>
        <v>20190304154729533</v>
      </c>
      <c r="B82" t="str">
        <f>"1551685649527334"</f>
        <v>1551685649527334</v>
      </c>
      <c r="C82" t="s">
        <v>40</v>
      </c>
      <c r="D82">
        <v>4.034891</v>
      </c>
      <c r="E82">
        <v>0.53733500000000001</v>
      </c>
      <c r="F82" t="s">
        <v>43</v>
      </c>
      <c r="G82">
        <v>-158.78319999999999</v>
      </c>
      <c r="H82">
        <v>4.0157280000000002</v>
      </c>
      <c r="I82">
        <v>369.20510000000002</v>
      </c>
      <c r="J82">
        <v>-474.42180000000002</v>
      </c>
      <c r="K82">
        <v>1.1097459999999999</v>
      </c>
      <c r="L82">
        <v>367.19920000000002</v>
      </c>
      <c r="M82">
        <v>0.99993410000000005</v>
      </c>
      <c r="N82">
        <v>-8.2429949999999995E-3</v>
      </c>
      <c r="O82">
        <v>-8.0098759999999904E-3</v>
      </c>
      <c r="P82">
        <v>0.99337319999999996</v>
      </c>
      <c r="Q82">
        <v>4.5239750000000002E-2</v>
      </c>
      <c r="R82">
        <v>0.1056571</v>
      </c>
      <c r="S82">
        <v>3.0166019999999998</v>
      </c>
      <c r="T82">
        <v>2.7769680000000001E-2</v>
      </c>
      <c r="U82">
        <v>1.9165040000000001E-2</v>
      </c>
      <c r="V82">
        <v>-0.1136027</v>
      </c>
      <c r="W82">
        <v>5.3436879999999999E-2</v>
      </c>
      <c r="X82">
        <v>0.99208810000000003</v>
      </c>
      <c r="Y82">
        <v>-1.4361560000000001E-2</v>
      </c>
      <c r="Z82">
        <v>-1.466653E-4</v>
      </c>
      <c r="AA82">
        <v>0.99989689999999998</v>
      </c>
      <c r="AB82">
        <v>6</v>
      </c>
      <c r="AC82">
        <v>315.6386</v>
      </c>
      <c r="AD82">
        <v>2.9059819999999998</v>
      </c>
      <c r="AE82">
        <v>2.0058999999999898</v>
      </c>
      <c r="AF82">
        <v>-4.5337629206755601</v>
      </c>
      <c r="AG82">
        <v>2.9059819999999998</v>
      </c>
      <c r="AH82">
        <v>315.58565734654297</v>
      </c>
      <c r="AI82">
        <v>89.472477228641793</v>
      </c>
      <c r="AJ82">
        <v>90.823065326521899</v>
      </c>
      <c r="AK82">
        <v>315.63159990795401</v>
      </c>
      <c r="AL82">
        <v>86.9368331157022</v>
      </c>
      <c r="AM82">
        <v>96.532411792714001</v>
      </c>
      <c r="AN82">
        <v>0.99999993587651503</v>
      </c>
    </row>
    <row r="83" spans="1:40" x14ac:dyDescent="0.25">
      <c r="A83" t="str">
        <f>"20190304154729543"</f>
        <v>20190304154729543</v>
      </c>
      <c r="B83" t="str">
        <f>"1551685649537094"</f>
        <v>1551685649537094</v>
      </c>
      <c r="C83" t="s">
        <v>40</v>
      </c>
      <c r="D83">
        <v>4.0585440000000004</v>
      </c>
      <c r="E83">
        <v>0.53728109999999996</v>
      </c>
      <c r="F83" t="s">
        <v>43</v>
      </c>
      <c r="G83">
        <v>-158.78319999999999</v>
      </c>
      <c r="H83">
        <v>4.2053269999999996</v>
      </c>
      <c r="I83">
        <v>369.2525</v>
      </c>
      <c r="J83">
        <v>-474.3929</v>
      </c>
      <c r="K83">
        <v>1.109939</v>
      </c>
      <c r="L83">
        <v>367.19889999999998</v>
      </c>
      <c r="M83">
        <v>0.99992919999999996</v>
      </c>
      <c r="N83">
        <v>-8.7104859999999999E-3</v>
      </c>
      <c r="O83">
        <v>-8.1084039999999996E-3</v>
      </c>
      <c r="P83">
        <v>0.99339449999999996</v>
      </c>
      <c r="Q83">
        <v>4.4730289999999999E-2</v>
      </c>
      <c r="R83">
        <v>0.1056729</v>
      </c>
      <c r="S83">
        <v>3.0166019999999998</v>
      </c>
      <c r="T83">
        <v>2.9585719999999999E-2</v>
      </c>
      <c r="U83">
        <v>1.9622799999999999E-2</v>
      </c>
      <c r="V83">
        <v>-0.113717</v>
      </c>
      <c r="W83">
        <v>5.3390680000000003E-2</v>
      </c>
      <c r="X83">
        <v>0.9920776</v>
      </c>
      <c r="Y83">
        <v>-1.461166E-2</v>
      </c>
      <c r="Z83">
        <v>-1.5815809999999999E-4</v>
      </c>
      <c r="AA83">
        <v>0.99989320000000004</v>
      </c>
      <c r="AB83">
        <v>6</v>
      </c>
      <c r="AC83">
        <v>315.60969999999998</v>
      </c>
      <c r="AD83">
        <v>3.0953879999999998</v>
      </c>
      <c r="AE83">
        <v>2.0536000000000101</v>
      </c>
      <c r="AF83">
        <v>-4.6122768612493603</v>
      </c>
      <c r="AG83">
        <v>3.0953879999999998</v>
      </c>
      <c r="AH83">
        <v>315.55232025751599</v>
      </c>
      <c r="AI83">
        <v>89.438039182320296</v>
      </c>
      <c r="AJ83">
        <v>90.837405286505401</v>
      </c>
      <c r="AK83">
        <v>315.60120618371701</v>
      </c>
      <c r="AL83">
        <v>86.939484292039097</v>
      </c>
      <c r="AM83">
        <v>96.538996015196801</v>
      </c>
      <c r="AN83">
        <v>1.00000004261081</v>
      </c>
    </row>
    <row r="84" spans="1:40" x14ac:dyDescent="0.25">
      <c r="A84" t="str">
        <f>"20190304154729556"</f>
        <v>20190304154729556</v>
      </c>
      <c r="B84" t="str">
        <f>"1551685649546854"</f>
        <v>1551685649546854</v>
      </c>
      <c r="C84" t="s">
        <v>40</v>
      </c>
      <c r="D84">
        <v>4.0741350000000001</v>
      </c>
      <c r="E84">
        <v>0.53724959999999999</v>
      </c>
      <c r="F84" t="s">
        <v>43</v>
      </c>
      <c r="G84">
        <v>-158.78319999999999</v>
      </c>
      <c r="H84">
        <v>4.0317420000000004</v>
      </c>
      <c r="I84">
        <v>369.29989999999998</v>
      </c>
      <c r="J84">
        <v>-474.36700000000002</v>
      </c>
      <c r="K84">
        <v>1.110169</v>
      </c>
      <c r="L84">
        <v>367.1986</v>
      </c>
      <c r="M84">
        <v>0.99992270000000005</v>
      </c>
      <c r="N84">
        <v>-9.3570489999999992E-3</v>
      </c>
      <c r="O84">
        <v>-8.1919890000000002E-3</v>
      </c>
      <c r="P84">
        <v>0.99344489999999996</v>
      </c>
      <c r="Q84">
        <v>4.3916419999999998E-2</v>
      </c>
      <c r="R84">
        <v>0.1055396</v>
      </c>
      <c r="S84">
        <v>3.0165709999999999</v>
      </c>
      <c r="T84">
        <v>2.7927159999999999E-2</v>
      </c>
      <c r="U84">
        <v>2.0080569999999999E-2</v>
      </c>
      <c r="V84">
        <v>-0.1136674</v>
      </c>
      <c r="W84">
        <v>5.3216880000000001E-2</v>
      </c>
      <c r="X84">
        <v>0.99209250000000004</v>
      </c>
      <c r="Y84">
        <v>-1.484714E-2</v>
      </c>
      <c r="Z84">
        <v>-1.5174819999999901E-4</v>
      </c>
      <c r="AA84">
        <v>0.99988980000000005</v>
      </c>
      <c r="AB84">
        <v>6</v>
      </c>
      <c r="AC84">
        <v>315.5838</v>
      </c>
      <c r="AD84">
        <v>2.9215729999999902</v>
      </c>
      <c r="AE84">
        <v>2.1012999999999802</v>
      </c>
      <c r="AF84">
        <v>-4.6861999855979901</v>
      </c>
      <c r="AG84">
        <v>2.9215729999999902</v>
      </c>
      <c r="AH84">
        <v>315.528954028795</v>
      </c>
      <c r="AI84">
        <v>89.469555615594999</v>
      </c>
      <c r="AJ84">
        <v>90.850887814175906</v>
      </c>
      <c r="AK84">
        <v>315.57727562295202</v>
      </c>
      <c r="AL84">
        <v>86.949456104862406</v>
      </c>
      <c r="AM84">
        <v>96.536071267763901</v>
      </c>
      <c r="AN84">
        <v>0.999999921347969</v>
      </c>
    </row>
    <row r="85" spans="1:40" x14ac:dyDescent="0.25">
      <c r="A85" t="str">
        <f>"20190304154729568"</f>
        <v>20190304154729568</v>
      </c>
      <c r="B85" t="str">
        <f>"1551685649556614"</f>
        <v>1551685649556614</v>
      </c>
      <c r="C85" t="s">
        <v>40</v>
      </c>
      <c r="D85">
        <v>4.1261939999999999</v>
      </c>
      <c r="E85">
        <v>0.53718259999999995</v>
      </c>
      <c r="F85" t="s">
        <v>43</v>
      </c>
      <c r="G85">
        <v>-158.78319999999999</v>
      </c>
      <c r="H85">
        <v>3.7628029999999999</v>
      </c>
      <c r="I85">
        <v>369.30579999999998</v>
      </c>
      <c r="J85">
        <v>-474.33920000000001</v>
      </c>
      <c r="K85">
        <v>1.1105080000000001</v>
      </c>
      <c r="L85">
        <v>367.19830000000002</v>
      </c>
      <c r="M85">
        <v>0.99991140000000001</v>
      </c>
      <c r="N85">
        <v>-1.043672E-2</v>
      </c>
      <c r="O85">
        <v>-8.2737539999999995E-3</v>
      </c>
      <c r="P85">
        <v>0.99350349999999998</v>
      </c>
      <c r="Q85">
        <v>4.2683680000000002E-2</v>
      </c>
      <c r="R85">
        <v>0.10549409999999999</v>
      </c>
      <c r="S85">
        <v>3.0165410000000001</v>
      </c>
      <c r="T85">
        <v>2.535629E-2</v>
      </c>
      <c r="U85">
        <v>2.0141599999999999E-2</v>
      </c>
      <c r="V85">
        <v>-0.11370479999999999</v>
      </c>
      <c r="W85">
        <v>5.3053080000000002E-2</v>
      </c>
      <c r="X85">
        <v>0.99209709999999995</v>
      </c>
      <c r="Y85">
        <v>-1.494936E-2</v>
      </c>
      <c r="Z85">
        <v>-1.4070869999999999E-4</v>
      </c>
      <c r="AA85">
        <v>0.9998882</v>
      </c>
      <c r="AB85">
        <v>5</v>
      </c>
      <c r="AC85">
        <v>315.55599999999998</v>
      </c>
      <c r="AD85">
        <v>2.6522950000000001</v>
      </c>
      <c r="AE85">
        <v>2.1074999999999502</v>
      </c>
      <c r="AF85">
        <v>-4.7180692322060098</v>
      </c>
      <c r="AG85">
        <v>2.6522950000000001</v>
      </c>
      <c r="AH85">
        <v>315.50547169289098</v>
      </c>
      <c r="AI85">
        <v>89.518408534242894</v>
      </c>
      <c r="AJ85">
        <v>90.856737303017994</v>
      </c>
      <c r="AK85">
        <v>315.55189353607199</v>
      </c>
      <c r="AL85">
        <v>86.958854771832193</v>
      </c>
      <c r="AM85">
        <v>96.538173161429896</v>
      </c>
      <c r="AN85">
        <v>1.0000000333344601</v>
      </c>
    </row>
    <row r="86" spans="1:40" x14ac:dyDescent="0.25">
      <c r="A86" t="str">
        <f>"20190304154729581"</f>
        <v>20190304154729581</v>
      </c>
      <c r="B86" t="str">
        <f>"1551685649577110"</f>
        <v>1551685649577110</v>
      </c>
      <c r="C86" t="s">
        <v>40</v>
      </c>
      <c r="D86">
        <v>4.0950490000000004</v>
      </c>
      <c r="E86">
        <v>0.53709019999999996</v>
      </c>
      <c r="F86" t="s">
        <v>43</v>
      </c>
      <c r="G86">
        <v>-158.78319999999999</v>
      </c>
      <c r="H86">
        <v>3.317161</v>
      </c>
      <c r="I86">
        <v>369.29570000000001</v>
      </c>
      <c r="J86">
        <v>-474.31619999999998</v>
      </c>
      <c r="K86">
        <v>1.1107940000000001</v>
      </c>
      <c r="L86">
        <v>367.19799999999998</v>
      </c>
      <c r="M86">
        <v>0.99989939999999999</v>
      </c>
      <c r="N86">
        <v>-1.147288E-2</v>
      </c>
      <c r="O86">
        <v>-8.3329179999999999E-3</v>
      </c>
      <c r="P86">
        <v>0.99356290000000003</v>
      </c>
      <c r="Q86">
        <v>4.14683E-2</v>
      </c>
      <c r="R86">
        <v>0.10541879999999999</v>
      </c>
      <c r="S86">
        <v>3.0166019999999998</v>
      </c>
      <c r="T86">
        <v>2.1095630000000001E-2</v>
      </c>
      <c r="U86">
        <v>2.005005E-2</v>
      </c>
      <c r="V86">
        <v>-0.11369079999999999</v>
      </c>
      <c r="W86">
        <v>5.2863090000000001E-2</v>
      </c>
      <c r="X86">
        <v>0.99210880000000001</v>
      </c>
      <c r="Y86">
        <v>-1.497829E-2</v>
      </c>
      <c r="Z86">
        <v>-1.2032049999999999E-4</v>
      </c>
      <c r="AA86">
        <v>0.99988779999999999</v>
      </c>
      <c r="AB86">
        <v>5</v>
      </c>
      <c r="AC86">
        <v>315.53300000000002</v>
      </c>
      <c r="AD86">
        <v>2.20636699999999</v>
      </c>
      <c r="AE86">
        <v>2.0976999999999699</v>
      </c>
      <c r="AF86">
        <v>-4.7268798895735697</v>
      </c>
      <c r="AG86">
        <v>2.20636699999999</v>
      </c>
      <c r="AH86">
        <v>315.48913712538001</v>
      </c>
      <c r="AI86">
        <v>89.599354603633799</v>
      </c>
      <c r="AJ86">
        <v>90.858381393680105</v>
      </c>
      <c r="AK86">
        <v>315.53225998770102</v>
      </c>
      <c r="AL86">
        <v>86.969755554980793</v>
      </c>
      <c r="AM86">
        <v>96.537298684023</v>
      </c>
      <c r="AN86">
        <v>0.99999998766321396</v>
      </c>
    </row>
    <row r="87" spans="1:40" x14ac:dyDescent="0.25">
      <c r="A87" t="str">
        <f>"20190304154729599"</f>
        <v>20190304154729599</v>
      </c>
      <c r="B87" t="str">
        <f>"1551685649596630"</f>
        <v>1551685649596630</v>
      </c>
      <c r="C87" t="s">
        <v>40</v>
      </c>
      <c r="D87">
        <v>4.0985459999999998</v>
      </c>
      <c r="E87">
        <v>0.53696469999999996</v>
      </c>
      <c r="F87" t="s">
        <v>43</v>
      </c>
      <c r="G87">
        <v>-158.78319999999999</v>
      </c>
      <c r="H87">
        <v>2.8757079999999999</v>
      </c>
      <c r="I87">
        <v>369.3623</v>
      </c>
      <c r="J87">
        <v>-474.27789999999999</v>
      </c>
      <c r="K87">
        <v>1.1110279999999999</v>
      </c>
      <c r="L87">
        <v>367.19749999999999</v>
      </c>
      <c r="M87">
        <v>0.99988589999999999</v>
      </c>
      <c r="N87">
        <v>-1.2541109999999999E-2</v>
      </c>
      <c r="O87">
        <v>-8.4286750000000001E-3</v>
      </c>
      <c r="P87">
        <v>0.99359430000000004</v>
      </c>
      <c r="Q87">
        <v>4.0134749999999997E-2</v>
      </c>
      <c r="R87">
        <v>0.1056401</v>
      </c>
      <c r="S87">
        <v>3.0165709999999999</v>
      </c>
      <c r="T87">
        <v>1.6873840000000001E-2</v>
      </c>
      <c r="U87">
        <v>2.0690920000000002E-2</v>
      </c>
      <c r="V87">
        <v>-0.114009</v>
      </c>
      <c r="W87">
        <v>5.2586910000000001E-2</v>
      </c>
      <c r="X87">
        <v>0.99208689999999999</v>
      </c>
      <c r="Y87">
        <v>-1.528673E-2</v>
      </c>
      <c r="Z87" s="1">
        <v>-9.9745679999999995E-5</v>
      </c>
      <c r="AA87">
        <v>0.99988319999999997</v>
      </c>
      <c r="AB87">
        <v>5</v>
      </c>
      <c r="AC87">
        <v>315.49470000000002</v>
      </c>
      <c r="AD87">
        <v>1.76468</v>
      </c>
      <c r="AE87">
        <v>2.1648000000000098</v>
      </c>
      <c r="AF87">
        <v>-4.8239834293705197</v>
      </c>
      <c r="AG87">
        <v>1.76468</v>
      </c>
      <c r="AH87">
        <v>315.45537461304002</v>
      </c>
      <c r="AI87">
        <v>89.679524110188893</v>
      </c>
      <c r="AJ87">
        <v>90.8761060085982</v>
      </c>
      <c r="AK87">
        <v>315.497192196512</v>
      </c>
      <c r="AL87">
        <v>86.985601358735394</v>
      </c>
      <c r="AM87">
        <v>96.555579811592693</v>
      </c>
      <c r="AN87">
        <v>0.99999992616797595</v>
      </c>
    </row>
    <row r="88" spans="1:40" x14ac:dyDescent="0.25">
      <c r="A88" t="str">
        <f>"20190304154729611"</f>
        <v>20190304154729611</v>
      </c>
      <c r="B88" t="str">
        <f>"1551685649607367"</f>
        <v>1551685649607367</v>
      </c>
      <c r="C88" t="s">
        <v>40</v>
      </c>
      <c r="D88">
        <v>4.1151049999999998</v>
      </c>
      <c r="E88">
        <v>0.53691309999999903</v>
      </c>
      <c r="F88" t="s">
        <v>43</v>
      </c>
      <c r="G88">
        <v>-158.78319999999999</v>
      </c>
      <c r="H88">
        <v>2.4232010000000002</v>
      </c>
      <c r="I88">
        <v>369.54680000000002</v>
      </c>
      <c r="J88">
        <v>-474.25110000000001</v>
      </c>
      <c r="K88">
        <v>1.110976</v>
      </c>
      <c r="L88">
        <v>367.19720000000001</v>
      </c>
      <c r="M88">
        <v>0.99988469999999996</v>
      </c>
      <c r="N88">
        <v>-1.260232E-2</v>
      </c>
      <c r="O88">
        <v>-8.4959549999999995E-3</v>
      </c>
      <c r="P88">
        <v>0.99362899999999998</v>
      </c>
      <c r="Q88">
        <v>3.9828240000000001E-2</v>
      </c>
      <c r="R88">
        <v>0.1054295</v>
      </c>
      <c r="S88">
        <v>3.0164789999999999</v>
      </c>
      <c r="T88">
        <v>1.2546659999999999E-2</v>
      </c>
      <c r="U88">
        <v>2.2460939999999999E-2</v>
      </c>
      <c r="V88">
        <v>-0.1138652</v>
      </c>
      <c r="W88">
        <v>5.2341680000000002E-2</v>
      </c>
      <c r="X88">
        <v>0.99211649999999996</v>
      </c>
      <c r="Y88">
        <v>-1.594108E-2</v>
      </c>
      <c r="Z88" s="1">
        <v>-7.5106949999999994E-5</v>
      </c>
      <c r="AA88">
        <v>0.99987289999999995</v>
      </c>
      <c r="AB88">
        <v>4</v>
      </c>
      <c r="AC88">
        <v>315.46789999999999</v>
      </c>
      <c r="AD88">
        <v>1.31222499999999</v>
      </c>
      <c r="AE88">
        <v>2.3496000000000001</v>
      </c>
      <c r="AF88">
        <v>-5.0298415498168003</v>
      </c>
      <c r="AG88">
        <v>1.31222499999999</v>
      </c>
      <c r="AH88">
        <v>315.43109146852697</v>
      </c>
      <c r="AI88">
        <v>89.761675478951105</v>
      </c>
      <c r="AJ88">
        <v>90.913556963084901</v>
      </c>
      <c r="AK88">
        <v>315.473920800901</v>
      </c>
      <c r="AL88">
        <v>86.999671730114599</v>
      </c>
      <c r="AM88">
        <v>96.547189426466502</v>
      </c>
      <c r="AN88">
        <v>1.0000000424042499</v>
      </c>
    </row>
    <row r="89" spans="1:40" x14ac:dyDescent="0.25">
      <c r="A89" t="str">
        <f>"20190304154729623"</f>
        <v>20190304154729623</v>
      </c>
      <c r="B89" t="str">
        <f>"1551685649617127"</f>
        <v>1551685649617127</v>
      </c>
      <c r="C89" t="s">
        <v>40</v>
      </c>
      <c r="D89">
        <v>4.1420579999999996</v>
      </c>
      <c r="E89">
        <v>0.5368714</v>
      </c>
      <c r="F89" t="s">
        <v>43</v>
      </c>
      <c r="G89">
        <v>-158.78319999999999</v>
      </c>
      <c r="H89">
        <v>2.3111929999999998</v>
      </c>
      <c r="I89">
        <v>369.51440000000002</v>
      </c>
      <c r="J89">
        <v>-474.22190000000001</v>
      </c>
      <c r="K89">
        <v>1.110689</v>
      </c>
      <c r="L89">
        <v>367.19690000000003</v>
      </c>
      <c r="M89">
        <v>0.9998937</v>
      </c>
      <c r="N89">
        <v>-1.179293E-2</v>
      </c>
      <c r="O89">
        <v>-8.5861440000000004E-3</v>
      </c>
      <c r="P89">
        <v>0.99359699999999995</v>
      </c>
      <c r="Q89">
        <v>4.078938E-2</v>
      </c>
      <c r="R89">
        <v>0.1053622</v>
      </c>
      <c r="S89">
        <v>3.0163880000000001</v>
      </c>
      <c r="T89">
        <v>1.147687E-2</v>
      </c>
      <c r="U89">
        <v>2.215576E-2</v>
      </c>
      <c r="V89">
        <v>-0.1138865</v>
      </c>
      <c r="W89">
        <v>5.2501199999999901E-2</v>
      </c>
      <c r="X89">
        <v>0.99210560000000003</v>
      </c>
      <c r="Y89">
        <v>-1.5930369999999999E-2</v>
      </c>
      <c r="Z89" s="1">
        <v>-7.0293939999999997E-5</v>
      </c>
      <c r="AA89">
        <v>0.99987309999999996</v>
      </c>
      <c r="AB89">
        <v>4</v>
      </c>
      <c r="AC89">
        <v>315.43869999999998</v>
      </c>
      <c r="AD89">
        <v>1.20050399999999</v>
      </c>
      <c r="AE89">
        <v>2.3174999999999901</v>
      </c>
      <c r="AF89">
        <v>-5.0259319427781097</v>
      </c>
      <c r="AG89">
        <v>1.20050399999999</v>
      </c>
      <c r="AH89">
        <v>315.40260289819798</v>
      </c>
      <c r="AI89">
        <v>89.7819461584359</v>
      </c>
      <c r="AJ89">
        <v>90.912929430049303</v>
      </c>
      <c r="AK89">
        <v>315.44492881754502</v>
      </c>
      <c r="AL89">
        <v>86.990519244772997</v>
      </c>
      <c r="AM89">
        <v>96.548474849380298</v>
      </c>
      <c r="AN89">
        <v>1.00000001621752</v>
      </c>
    </row>
    <row r="90" spans="1:40" x14ac:dyDescent="0.25">
      <c r="A90" t="str">
        <f>"20190304154729636"</f>
        <v>20190304154729636</v>
      </c>
      <c r="B90" t="str">
        <f>"1551685649626886"</f>
        <v>1551685649626886</v>
      </c>
      <c r="C90" t="s">
        <v>40</v>
      </c>
      <c r="D90">
        <v>4.1472689999999997</v>
      </c>
      <c r="E90">
        <v>0.53684009999999904</v>
      </c>
      <c r="F90" t="s">
        <v>43</v>
      </c>
      <c r="G90">
        <v>-158.78319999999999</v>
      </c>
      <c r="H90">
        <v>2.567151</v>
      </c>
      <c r="I90">
        <v>369.54570000000001</v>
      </c>
      <c r="J90">
        <v>-474.1909</v>
      </c>
      <c r="K90">
        <v>1.110395</v>
      </c>
      <c r="L90">
        <v>367.19650000000001</v>
      </c>
      <c r="M90">
        <v>0.99990299999999999</v>
      </c>
      <c r="N90">
        <v>-1.089824E-2</v>
      </c>
      <c r="O90">
        <v>-8.6875149999999998E-3</v>
      </c>
      <c r="P90">
        <v>0.99355139999999997</v>
      </c>
      <c r="Q90">
        <v>4.1565629999999999E-2</v>
      </c>
      <c r="R90">
        <v>0.1054913</v>
      </c>
      <c r="S90">
        <v>3.0164179999999998</v>
      </c>
      <c r="T90">
        <v>1.392841E-2</v>
      </c>
      <c r="U90">
        <v>2.2460939999999999E-2</v>
      </c>
      <c r="V90">
        <v>-0.1141147</v>
      </c>
      <c r="W90">
        <v>5.2391199999999902E-2</v>
      </c>
      <c r="X90">
        <v>0.9920852</v>
      </c>
      <c r="Y90">
        <v>-1.613272E-2</v>
      </c>
      <c r="Z90" s="1">
        <v>-8.4126299999999994E-5</v>
      </c>
      <c r="AA90">
        <v>0.99986989999999998</v>
      </c>
      <c r="AB90">
        <v>5</v>
      </c>
      <c r="AC90">
        <v>315.40769999999998</v>
      </c>
      <c r="AD90">
        <v>1.4567559999999999</v>
      </c>
      <c r="AE90">
        <v>2.34919999999999</v>
      </c>
      <c r="AF90">
        <v>-5.08927429456583</v>
      </c>
      <c r="AG90">
        <v>1.4567559999999999</v>
      </c>
      <c r="AH90">
        <v>315.36865904333899</v>
      </c>
      <c r="AI90">
        <v>89.735374746999398</v>
      </c>
      <c r="AJ90">
        <v>90.924532673555703</v>
      </c>
      <c r="AK90">
        <v>315.41308463296599</v>
      </c>
      <c r="AL90">
        <v>86.996830487600604</v>
      </c>
      <c r="AM90">
        <v>96.561615787351798</v>
      </c>
      <c r="AN90">
        <v>1.00000002332628</v>
      </c>
    </row>
    <row r="91" spans="1:40" x14ac:dyDescent="0.25">
      <c r="A91" t="str">
        <f>"20190304154729656"</f>
        <v>20190304154729656</v>
      </c>
      <c r="B91" t="str">
        <f>"1551685649647381"</f>
        <v>1551685649647381</v>
      </c>
      <c r="C91" t="s">
        <v>40</v>
      </c>
      <c r="D91">
        <v>4.1541449999999998</v>
      </c>
      <c r="E91">
        <v>0.5367556</v>
      </c>
      <c r="F91" t="s">
        <v>43</v>
      </c>
      <c r="G91">
        <v>-158.78319999999999</v>
      </c>
      <c r="H91">
        <v>2.777355</v>
      </c>
      <c r="I91">
        <v>369.58339999999998</v>
      </c>
      <c r="J91">
        <v>-474.14049999999997</v>
      </c>
      <c r="K91">
        <v>1.1099840000000001</v>
      </c>
      <c r="L91">
        <v>367.19589999999999</v>
      </c>
      <c r="M91">
        <v>0.99991609999999997</v>
      </c>
      <c r="N91">
        <v>-9.4553550000000004E-3</v>
      </c>
      <c r="O91">
        <v>-8.8691529999999994E-3</v>
      </c>
      <c r="P91">
        <v>0.99344719999999997</v>
      </c>
      <c r="Q91">
        <v>4.3367019999999999E-2</v>
      </c>
      <c r="R91">
        <v>0.1057456</v>
      </c>
      <c r="S91">
        <v>3.0164490000000002</v>
      </c>
      <c r="T91">
        <v>1.594305E-2</v>
      </c>
      <c r="U91">
        <v>2.2827150000000001E-2</v>
      </c>
      <c r="V91">
        <v>-0.1145462</v>
      </c>
      <c r="W91">
        <v>5.2763570000000003E-2</v>
      </c>
      <c r="X91">
        <v>0.99201569999999994</v>
      </c>
      <c r="Y91">
        <v>-1.6435559999999998E-2</v>
      </c>
      <c r="Z91" s="1">
        <v>-9.6464489999999997E-5</v>
      </c>
      <c r="AA91">
        <v>0.99986489999999995</v>
      </c>
      <c r="AB91">
        <v>5</v>
      </c>
      <c r="AC91">
        <v>315.35730000000001</v>
      </c>
      <c r="AD91">
        <v>1.6673709999999999</v>
      </c>
      <c r="AE91">
        <v>2.3874999999999802</v>
      </c>
      <c r="AF91">
        <v>-5.1843379669610696</v>
      </c>
      <c r="AG91">
        <v>1.6673709999999999</v>
      </c>
      <c r="AH91">
        <v>315.31490519861802</v>
      </c>
      <c r="AI91">
        <v>89.697066268385896</v>
      </c>
      <c r="AJ91">
        <v>90.941959666278194</v>
      </c>
      <c r="AK91">
        <v>315.36193005279</v>
      </c>
      <c r="AL91">
        <v>86.975465599917001</v>
      </c>
      <c r="AM91">
        <v>96.586666901021601</v>
      </c>
      <c r="AN91">
        <v>0.99999998765003695</v>
      </c>
    </row>
    <row r="92" spans="1:40" x14ac:dyDescent="0.25">
      <c r="A92" t="str">
        <f>"20190304154729669"</f>
        <v>20190304154729669</v>
      </c>
      <c r="B92" t="str">
        <f>"1551685649666902"</f>
        <v>1551685649666902</v>
      </c>
      <c r="C92" t="s">
        <v>40</v>
      </c>
      <c r="D92">
        <v>4.151586</v>
      </c>
      <c r="E92">
        <v>0.53673439999999994</v>
      </c>
      <c r="F92" t="s">
        <v>43</v>
      </c>
      <c r="G92">
        <v>-158.78319999999999</v>
      </c>
      <c r="H92">
        <v>3.2812640000000002</v>
      </c>
      <c r="I92">
        <v>369.7165</v>
      </c>
      <c r="J92">
        <v>-474.1044</v>
      </c>
      <c r="K92">
        <v>1.109793</v>
      </c>
      <c r="L92">
        <v>367.19549999999998</v>
      </c>
      <c r="M92">
        <v>0.99992210000000004</v>
      </c>
      <c r="N92">
        <v>-8.6370969999999998E-3</v>
      </c>
      <c r="O92">
        <v>-9.0071549999999993E-3</v>
      </c>
      <c r="P92">
        <v>0.99340419999999996</v>
      </c>
      <c r="Q92">
        <v>4.4226759999999997E-2</v>
      </c>
      <c r="R92">
        <v>0.1057916</v>
      </c>
      <c r="S92">
        <v>3.0163570000000002</v>
      </c>
      <c r="T92">
        <v>2.076888E-2</v>
      </c>
      <c r="U92">
        <v>2.4108890000000001E-2</v>
      </c>
      <c r="V92">
        <v>-0.1147276</v>
      </c>
      <c r="W92">
        <v>5.2813569999999997E-2</v>
      </c>
      <c r="X92">
        <v>0.99199210000000004</v>
      </c>
      <c r="Y92">
        <v>-1.6998360000000001E-2</v>
      </c>
      <c r="Z92">
        <v>-1.2491840000000001E-4</v>
      </c>
      <c r="AA92">
        <v>0.99985550000000001</v>
      </c>
      <c r="AB92">
        <v>6</v>
      </c>
      <c r="AC92">
        <v>315.32119999999998</v>
      </c>
      <c r="AD92">
        <v>2.1714709999999902</v>
      </c>
      <c r="AE92">
        <v>2.5210000000000101</v>
      </c>
      <c r="AF92">
        <v>-5.3608964654435898</v>
      </c>
      <c r="AG92">
        <v>2.1714709999999902</v>
      </c>
      <c r="AH92">
        <v>315.27074951173699</v>
      </c>
      <c r="AI92">
        <v>89.605430651557697</v>
      </c>
      <c r="AJ92">
        <v>90.9741694837453</v>
      </c>
      <c r="AK92">
        <v>315.323801821095</v>
      </c>
      <c r="AL92">
        <v>86.972596881499598</v>
      </c>
      <c r="AM92">
        <v>96.597161502778405</v>
      </c>
      <c r="AN92">
        <v>1.0000000109201499</v>
      </c>
    </row>
    <row r="93" spans="1:40" x14ac:dyDescent="0.25">
      <c r="A93" t="str">
        <f>"20190304154729690"</f>
        <v>20190304154729690</v>
      </c>
      <c r="B93" t="str">
        <f>"1551685649687398"</f>
        <v>1551685649687398</v>
      </c>
      <c r="C93" t="s">
        <v>40</v>
      </c>
      <c r="D93">
        <v>4.1248100000000001</v>
      </c>
      <c r="E93">
        <v>0.53658409999999901</v>
      </c>
      <c r="F93" t="s">
        <v>43</v>
      </c>
      <c r="G93">
        <v>-158.78319999999999</v>
      </c>
      <c r="H93">
        <v>3.5364270000000002</v>
      </c>
      <c r="I93">
        <v>369.76690000000002</v>
      </c>
      <c r="J93">
        <v>-474.0557</v>
      </c>
      <c r="K93">
        <v>1.110047</v>
      </c>
      <c r="L93">
        <v>367.19490000000002</v>
      </c>
      <c r="M93">
        <v>0.99991569999999996</v>
      </c>
      <c r="N93">
        <v>-9.1957080000000004E-3</v>
      </c>
      <c r="O93">
        <v>-9.1697210000000005E-3</v>
      </c>
      <c r="P93">
        <v>0.99337810000000004</v>
      </c>
      <c r="Q93">
        <v>4.3872460000000002E-2</v>
      </c>
      <c r="R93">
        <v>0.1061855</v>
      </c>
      <c r="S93">
        <v>3.0162659999999999</v>
      </c>
      <c r="T93">
        <v>2.3213270000000001E-2</v>
      </c>
      <c r="U93">
        <v>2.4597170000000002E-2</v>
      </c>
      <c r="V93">
        <v>-0.1152831</v>
      </c>
      <c r="W93">
        <v>5.3012610000000002E-2</v>
      </c>
      <c r="X93">
        <v>0.9919171</v>
      </c>
      <c r="Y93">
        <v>-1.7322830000000001E-2</v>
      </c>
      <c r="Z93">
        <v>-1.41893799999999E-4</v>
      </c>
      <c r="AA93">
        <v>0.99984989999999996</v>
      </c>
      <c r="AB93">
        <v>6</v>
      </c>
      <c r="AC93">
        <v>315.27249999999998</v>
      </c>
      <c r="AD93">
        <v>2.42638</v>
      </c>
      <c r="AE93">
        <v>2.5720000000000001</v>
      </c>
      <c r="AF93">
        <v>-5.4626513507435197</v>
      </c>
      <c r="AG93">
        <v>2.42638</v>
      </c>
      <c r="AH93">
        <v>315.216989210029</v>
      </c>
      <c r="AI93">
        <v>89.559041159130601</v>
      </c>
      <c r="AJ93">
        <v>90.992825740310195</v>
      </c>
      <c r="AK93">
        <v>315.27365599796002</v>
      </c>
      <c r="AL93">
        <v>86.961176794362999</v>
      </c>
      <c r="AM93">
        <v>96.6293174707166</v>
      </c>
      <c r="AN93">
        <v>1.00000003161851</v>
      </c>
    </row>
    <row r="94" spans="1:40" x14ac:dyDescent="0.25">
      <c r="A94" t="str">
        <f>"20190304154729703"</f>
        <v>20190304154729703</v>
      </c>
      <c r="B94" t="str">
        <f>"1551685649697159"</f>
        <v>1551685649697159</v>
      </c>
      <c r="C94" t="s">
        <v>40</v>
      </c>
      <c r="D94">
        <v>4.0937010000000003</v>
      </c>
      <c r="E94">
        <v>0.53658409999999901</v>
      </c>
      <c r="F94" t="s">
        <v>43</v>
      </c>
      <c r="G94">
        <v>-158.78319999999999</v>
      </c>
      <c r="H94">
        <v>3.358107</v>
      </c>
      <c r="I94">
        <v>370.0052</v>
      </c>
      <c r="J94">
        <v>-474.02719999999999</v>
      </c>
      <c r="K94">
        <v>1.110357</v>
      </c>
      <c r="L94">
        <v>367.19450000000001</v>
      </c>
      <c r="M94">
        <v>0.99990559999999995</v>
      </c>
      <c r="N94">
        <v>-1.017065E-2</v>
      </c>
      <c r="O94">
        <v>-9.2532650000000001E-3</v>
      </c>
      <c r="P94">
        <v>0.99342030000000003</v>
      </c>
      <c r="Q94">
        <v>4.2865889999999997E-2</v>
      </c>
      <c r="R94">
        <v>0.1062023</v>
      </c>
      <c r="S94">
        <v>3.0161739999999999</v>
      </c>
      <c r="T94">
        <v>2.1507740000000001E-2</v>
      </c>
      <c r="U94">
        <v>2.6885989999999999E-2</v>
      </c>
      <c r="V94">
        <v>-0.1153846</v>
      </c>
      <c r="W94">
        <v>5.2970700000000003E-2</v>
      </c>
      <c r="X94">
        <v>0.99190750000000005</v>
      </c>
      <c r="Y94">
        <v>-1.816539E-2</v>
      </c>
      <c r="Z94">
        <v>-1.32474599999999E-4</v>
      </c>
      <c r="AA94">
        <v>0.99983500000000003</v>
      </c>
      <c r="AB94">
        <v>6</v>
      </c>
      <c r="AC94">
        <v>315.24400000000003</v>
      </c>
      <c r="AD94">
        <v>2.2477499999999999</v>
      </c>
      <c r="AE94">
        <v>2.81069999999999</v>
      </c>
      <c r="AF94">
        <v>-5.7274752512473004</v>
      </c>
      <c r="AG94">
        <v>2.2477499999999999</v>
      </c>
      <c r="AH94">
        <v>315.18846997959997</v>
      </c>
      <c r="AI94">
        <v>89.591472529210094</v>
      </c>
      <c r="AJ94">
        <v>91.041040765599803</v>
      </c>
      <c r="AK94">
        <v>315.24851777747801</v>
      </c>
      <c r="AL94">
        <v>86.9635813270352</v>
      </c>
      <c r="AM94">
        <v>96.635165819010098</v>
      </c>
      <c r="AN94">
        <v>0.99999999476595003</v>
      </c>
    </row>
    <row r="95" spans="1:40" x14ac:dyDescent="0.25">
      <c r="A95" t="str">
        <f>"20190304154729714"</f>
        <v>20190304154729714</v>
      </c>
      <c r="B95" t="str">
        <f>"1551685649706918"</f>
        <v>1551685649706918</v>
      </c>
      <c r="C95" t="s">
        <v>40</v>
      </c>
      <c r="D95">
        <v>4.2570319999999997</v>
      </c>
      <c r="E95">
        <v>0.53130230000000001</v>
      </c>
      <c r="F95" t="s">
        <v>43</v>
      </c>
      <c r="G95">
        <v>-158.78319999999999</v>
      </c>
      <c r="H95">
        <v>3.0233699999999999</v>
      </c>
      <c r="I95">
        <v>370.02370000000002</v>
      </c>
      <c r="J95">
        <v>-474.00020000000001</v>
      </c>
      <c r="K95">
        <v>1.1106769999999999</v>
      </c>
      <c r="L95">
        <v>367.19420000000002</v>
      </c>
      <c r="M95">
        <v>0.99989340000000004</v>
      </c>
      <c r="N95">
        <v>-1.1236909999999999E-2</v>
      </c>
      <c r="O95">
        <v>-9.3272579999999997E-3</v>
      </c>
      <c r="P95">
        <v>0.99347260000000004</v>
      </c>
      <c r="Q95">
        <v>4.1485960000000002E-2</v>
      </c>
      <c r="R95">
        <v>0.10625900000000001</v>
      </c>
      <c r="S95">
        <v>3.0161440000000002</v>
      </c>
      <c r="T95">
        <v>1.830387E-2</v>
      </c>
      <c r="U95">
        <v>2.7069090000000001E-2</v>
      </c>
      <c r="V95">
        <v>-0.1155166</v>
      </c>
      <c r="W95">
        <v>5.2645959999999999E-2</v>
      </c>
      <c r="X95">
        <v>0.99190940000000005</v>
      </c>
      <c r="Y95">
        <v>-1.830035E-2</v>
      </c>
      <c r="Z95">
        <v>-1.141133E-4</v>
      </c>
      <c r="AA95">
        <v>0.99983250000000001</v>
      </c>
      <c r="AB95">
        <v>5</v>
      </c>
      <c r="AC95">
        <v>315.21699999999998</v>
      </c>
      <c r="AD95">
        <v>1.912693</v>
      </c>
      <c r="AE95">
        <v>2.8294999999999901</v>
      </c>
      <c r="AF95">
        <v>-5.7694603035575396</v>
      </c>
      <c r="AG95">
        <v>1.912693</v>
      </c>
      <c r="AH95">
        <v>315.165290128962</v>
      </c>
      <c r="AI95">
        <v>89.652342636578794</v>
      </c>
      <c r="AJ95">
        <v>91.048747490330399</v>
      </c>
      <c r="AK95">
        <v>315.223896887244</v>
      </c>
      <c r="AL95">
        <v>86.982213481698693</v>
      </c>
      <c r="AM95">
        <v>96.642676041376205</v>
      </c>
      <c r="AN95">
        <v>0.99999996989411999</v>
      </c>
    </row>
    <row r="96" spans="1:40" x14ac:dyDescent="0.25">
      <c r="A96" t="str">
        <f>"20190304154729732"</f>
        <v>20190304154729732</v>
      </c>
      <c r="B96" t="str">
        <f>"1551685649727414"</f>
        <v>1551685649727414</v>
      </c>
      <c r="C96" t="s">
        <v>40</v>
      </c>
      <c r="D96">
        <v>4.106331</v>
      </c>
      <c r="E96">
        <v>0.52757089999999995</v>
      </c>
      <c r="F96" t="s">
        <v>44</v>
      </c>
      <c r="G96">
        <v>-451.90089999999998</v>
      </c>
      <c r="H96" s="1">
        <v>-3.799138E-6</v>
      </c>
      <c r="I96">
        <v>367.68650000000002</v>
      </c>
      <c r="J96">
        <v>-473.9631</v>
      </c>
      <c r="K96">
        <v>1.111083</v>
      </c>
      <c r="L96">
        <v>367.1936</v>
      </c>
      <c r="M96">
        <v>0.99987400000000004</v>
      </c>
      <c r="N96">
        <v>-1.2775689999999999E-2</v>
      </c>
      <c r="O96">
        <v>-9.4162010000000008E-3</v>
      </c>
      <c r="P96">
        <v>0.99355199999999999</v>
      </c>
      <c r="Q96">
        <v>3.9658039999999999E-2</v>
      </c>
      <c r="R96">
        <v>0.1062159</v>
      </c>
      <c r="S96">
        <v>3.0188600000000001</v>
      </c>
      <c r="T96">
        <v>-0.1517231</v>
      </c>
      <c r="U96">
        <v>6.7260739999999999E-2</v>
      </c>
      <c r="V96">
        <v>-0.1155648</v>
      </c>
      <c r="W96">
        <v>5.2340730000000002E-2</v>
      </c>
      <c r="X96">
        <v>0.99192000000000002</v>
      </c>
      <c r="Y96">
        <v>-3.1631619999999999E-2</v>
      </c>
      <c r="Z96">
        <v>1.3491929999999901E-3</v>
      </c>
      <c r="AA96">
        <v>0.99949869999999996</v>
      </c>
      <c r="AB96">
        <v>5</v>
      </c>
      <c r="AC96">
        <v>22.062200000000001</v>
      </c>
      <c r="AD96">
        <v>-1.111086799138</v>
      </c>
      <c r="AE96">
        <v>0.49290000000001999</v>
      </c>
      <c r="AF96">
        <v>-0.69886558124857601</v>
      </c>
      <c r="AG96">
        <v>-1.111086799138</v>
      </c>
      <c r="AH96">
        <v>22.0008076061468</v>
      </c>
      <c r="AI96">
        <v>92.889645440115999</v>
      </c>
      <c r="AJ96">
        <v>91.819414498582006</v>
      </c>
      <c r="AK96">
        <v>22.0399288179104</v>
      </c>
      <c r="AL96">
        <v>86.999726200691796</v>
      </c>
      <c r="AM96">
        <v>96.645352572566395</v>
      </c>
      <c r="AN96">
        <v>1.0000000307079799</v>
      </c>
    </row>
    <row r="97" spans="1:40" x14ac:dyDescent="0.25">
      <c r="A97" t="str">
        <f>"20190304154729746"</f>
        <v>20190304154729746</v>
      </c>
      <c r="B97" t="str">
        <f>"1551685649737682"</f>
        <v>1551685649737682</v>
      </c>
      <c r="C97" t="s">
        <v>40</v>
      </c>
      <c r="D97">
        <v>4.1281860000000004</v>
      </c>
      <c r="E97">
        <v>0.52716490000000005</v>
      </c>
      <c r="F97" t="s">
        <v>44</v>
      </c>
      <c r="G97">
        <v>-451.48950000000002</v>
      </c>
      <c r="H97" s="1">
        <v>-3.9354849999999996E-6</v>
      </c>
      <c r="I97">
        <v>367.9126</v>
      </c>
      <c r="J97">
        <v>-473.9325</v>
      </c>
      <c r="K97">
        <v>1.111029</v>
      </c>
      <c r="L97">
        <v>367.19330000000002</v>
      </c>
      <c r="M97">
        <v>0.99987239999999999</v>
      </c>
      <c r="N97">
        <v>-1.2853389999999999E-2</v>
      </c>
      <c r="O97">
        <v>-9.4879879999999993E-3</v>
      </c>
      <c r="P97">
        <v>0.99355870000000002</v>
      </c>
      <c r="Q97">
        <v>3.9419860000000001E-2</v>
      </c>
      <c r="R97">
        <v>0.10624210000000001</v>
      </c>
      <c r="S97">
        <v>3.0151059999999998</v>
      </c>
      <c r="T97">
        <v>-0.14906529999999901</v>
      </c>
      <c r="U97">
        <v>9.6466060000000006E-2</v>
      </c>
      <c r="V97">
        <v>-0.1156628</v>
      </c>
      <c r="W97">
        <v>5.2179780000000002E-2</v>
      </c>
      <c r="X97">
        <v>0.99191700000000005</v>
      </c>
      <c r="Y97">
        <v>-4.1390370000000003E-2</v>
      </c>
      <c r="Z97">
        <v>1.635379E-3</v>
      </c>
      <c r="AA97">
        <v>0.99914170000000002</v>
      </c>
      <c r="AB97">
        <v>4</v>
      </c>
      <c r="AC97">
        <v>22.442999999999898</v>
      </c>
      <c r="AD97">
        <v>-1.1110329354849999</v>
      </c>
      <c r="AE97">
        <v>0.71929999999997496</v>
      </c>
      <c r="AF97">
        <v>-0.92994742561695198</v>
      </c>
      <c r="AG97">
        <v>-1.1110329354849999</v>
      </c>
      <c r="AH97">
        <v>22.380372819070399</v>
      </c>
      <c r="AI97">
        <v>92.8395654481359</v>
      </c>
      <c r="AJ97">
        <v>92.379380803364597</v>
      </c>
      <c r="AK97">
        <v>22.4272219393916</v>
      </c>
      <c r="AL97">
        <v>87.008960404591804</v>
      </c>
      <c r="AM97">
        <v>96.650957361445506</v>
      </c>
      <c r="AN97">
        <v>0.99999997381684302</v>
      </c>
    </row>
    <row r="98" spans="1:40" x14ac:dyDescent="0.25">
      <c r="A98" t="str">
        <f>"20190304154729758"</f>
        <v>20190304154729758</v>
      </c>
      <c r="B98" t="str">
        <f>"1551685649747442"</f>
        <v>1551685649747442</v>
      </c>
      <c r="C98" t="s">
        <v>40</v>
      </c>
      <c r="D98">
        <v>4.3412670000000002</v>
      </c>
      <c r="E98">
        <v>0.52660309999999999</v>
      </c>
      <c r="F98" t="s">
        <v>44</v>
      </c>
      <c r="G98">
        <v>-452.18439999999998</v>
      </c>
      <c r="H98" s="1">
        <v>-3.6372889999999998E-6</v>
      </c>
      <c r="I98">
        <v>367.91309999999999</v>
      </c>
      <c r="J98">
        <v>-473.9051</v>
      </c>
      <c r="K98">
        <v>1.110851</v>
      </c>
      <c r="L98">
        <v>367.19290000000001</v>
      </c>
      <c r="M98">
        <v>0.99987729999999997</v>
      </c>
      <c r="N98">
        <v>-1.2420799999999999E-2</v>
      </c>
      <c r="O98">
        <v>-9.5606670000000001E-3</v>
      </c>
      <c r="P98">
        <v>0.99354949999999997</v>
      </c>
      <c r="Q98">
        <v>4.0018419999999999E-2</v>
      </c>
      <c r="R98">
        <v>0.1061064</v>
      </c>
      <c r="S98">
        <v>3.0148619999999999</v>
      </c>
      <c r="T98">
        <v>-0.1540183</v>
      </c>
      <c r="U98">
        <v>9.9792480000000003E-2</v>
      </c>
      <c r="V98">
        <v>-0.1155984</v>
      </c>
      <c r="W98">
        <v>5.2349779999999999E-2</v>
      </c>
      <c r="X98">
        <v>0.99191560000000001</v>
      </c>
      <c r="Y98">
        <v>-4.2560630000000002E-2</v>
      </c>
      <c r="Z98">
        <v>1.7200640000000001E-3</v>
      </c>
      <c r="AA98">
        <v>0.99909239999999999</v>
      </c>
      <c r="AB98">
        <v>4</v>
      </c>
      <c r="AC98">
        <v>21.720700000000001</v>
      </c>
      <c r="AD98">
        <v>-1.110854637289</v>
      </c>
      <c r="AE98">
        <v>0.72019999999997697</v>
      </c>
      <c r="AF98">
        <v>-0.92542957793143898</v>
      </c>
      <c r="AG98">
        <v>-1.110854637289</v>
      </c>
      <c r="AH98">
        <v>21.656239728845801</v>
      </c>
      <c r="AI98">
        <v>92.9337349381845</v>
      </c>
      <c r="AJ98">
        <v>92.446914611879905</v>
      </c>
      <c r="AK98">
        <v>21.704449707885601</v>
      </c>
      <c r="AL98">
        <v>86.999206940510206</v>
      </c>
      <c r="AM98">
        <v>96.647296616317604</v>
      </c>
      <c r="AN98">
        <v>1.0000000235359801</v>
      </c>
    </row>
    <row r="99" spans="1:40" x14ac:dyDescent="0.25">
      <c r="A99" t="str">
        <f>"20190304154729770"</f>
        <v>20190304154729770</v>
      </c>
      <c r="B99" t="str">
        <f>"1551685649766962"</f>
        <v>1551685649766962</v>
      </c>
      <c r="C99" t="s">
        <v>40</v>
      </c>
      <c r="D99">
        <v>4.2458499999999999</v>
      </c>
      <c r="E99">
        <v>0.5277404</v>
      </c>
      <c r="F99" t="s">
        <v>44</v>
      </c>
      <c r="G99">
        <v>-451.40449999999998</v>
      </c>
      <c r="H99" s="1">
        <v>-3.9624530000000004E-6</v>
      </c>
      <c r="I99">
        <v>367.96620000000001</v>
      </c>
      <c r="J99">
        <v>-473.87490000000003</v>
      </c>
      <c r="K99">
        <v>1.11056</v>
      </c>
      <c r="L99">
        <v>367.19260000000003</v>
      </c>
      <c r="M99">
        <v>0.99988630000000001</v>
      </c>
      <c r="N99">
        <v>-1.159167E-2</v>
      </c>
      <c r="O99">
        <v>-9.6462849999999992E-3</v>
      </c>
      <c r="P99">
        <v>0.99350459999999996</v>
      </c>
      <c r="Q99">
        <v>4.0978130000000001E-2</v>
      </c>
      <c r="R99">
        <v>0.1061579</v>
      </c>
      <c r="S99">
        <v>3.0144350000000002</v>
      </c>
      <c r="T99">
        <v>-0.14882219999999999</v>
      </c>
      <c r="U99">
        <v>0.103607199999999</v>
      </c>
      <c r="V99">
        <v>-0.1157333</v>
      </c>
      <c r="W99">
        <v>5.2488819999999999E-2</v>
      </c>
      <c r="X99">
        <v>0.99189249999999995</v>
      </c>
      <c r="Y99">
        <v>-4.3916839999999999E-2</v>
      </c>
      <c r="Z99">
        <v>1.702002E-3</v>
      </c>
      <c r="AA99">
        <v>0.99903370000000002</v>
      </c>
      <c r="AB99">
        <v>5</v>
      </c>
      <c r="AC99">
        <v>22.470400000000001</v>
      </c>
      <c r="AD99">
        <v>-1.1105639624529999</v>
      </c>
      <c r="AE99">
        <v>0.77359999999998696</v>
      </c>
      <c r="AF99">
        <v>-0.98792412535243201</v>
      </c>
      <c r="AG99">
        <v>-1.1105639624529999</v>
      </c>
      <c r="AH99">
        <v>22.407222774590199</v>
      </c>
      <c r="AI99">
        <v>92.834666251971996</v>
      </c>
      <c r="AJ99">
        <v>92.524509572501699</v>
      </c>
      <c r="AK99">
        <v>22.456468530520699</v>
      </c>
      <c r="AL99">
        <v>86.991229503836195</v>
      </c>
      <c r="AM99">
        <v>96.655137875202499</v>
      </c>
      <c r="AN99">
        <v>1.0000000022550599</v>
      </c>
    </row>
    <row r="100" spans="1:40" x14ac:dyDescent="0.25">
      <c r="A100" t="str">
        <f>"20190304154729789"</f>
        <v>20190304154729789</v>
      </c>
      <c r="B100" t="str">
        <f>"1551685649776722"</f>
        <v>1551685649776722</v>
      </c>
      <c r="C100" t="s">
        <v>40</v>
      </c>
      <c r="D100">
        <v>4.1625430000000003</v>
      </c>
      <c r="E100">
        <v>0.52765740000000005</v>
      </c>
      <c r="F100" t="s">
        <v>44</v>
      </c>
      <c r="G100">
        <v>-451.13889999999998</v>
      </c>
      <c r="H100" s="1">
        <v>-4.086515E-6</v>
      </c>
      <c r="I100">
        <v>367.9092</v>
      </c>
      <c r="J100">
        <v>-473.82670000000002</v>
      </c>
      <c r="K100">
        <v>1.110131</v>
      </c>
      <c r="L100">
        <v>367.19200000000001</v>
      </c>
      <c r="M100">
        <v>0.99990069999999998</v>
      </c>
      <c r="N100">
        <v>-1.0141259999999999E-2</v>
      </c>
      <c r="O100">
        <v>-9.8054630000000004E-3</v>
      </c>
      <c r="P100">
        <v>0.99346460000000003</v>
      </c>
      <c r="Q100">
        <v>4.2545319999999998E-2</v>
      </c>
      <c r="R100">
        <v>0.1059158</v>
      </c>
      <c r="S100">
        <v>3.015533</v>
      </c>
      <c r="T100">
        <v>-0.14729629999999999</v>
      </c>
      <c r="U100">
        <v>9.5062259999999996E-2</v>
      </c>
      <c r="V100">
        <v>-0.11564679999999999</v>
      </c>
      <c r="W100">
        <v>5.2619289999999999E-2</v>
      </c>
      <c r="X100">
        <v>0.99189570000000005</v>
      </c>
      <c r="Y100">
        <v>-4.1241439999999997E-2</v>
      </c>
      <c r="Z100">
        <v>1.594912E-3</v>
      </c>
      <c r="AA100">
        <v>0.99914800000000004</v>
      </c>
      <c r="AB100">
        <v>5</v>
      </c>
      <c r="AC100">
        <v>22.687799999999999</v>
      </c>
      <c r="AD100">
        <v>-1.1101350865149999</v>
      </c>
      <c r="AE100">
        <v>0.71720000000004802</v>
      </c>
      <c r="AF100">
        <v>-0.93739918260704602</v>
      </c>
      <c r="AG100">
        <v>-1.1101350865149999</v>
      </c>
      <c r="AH100">
        <v>22.625559499035301</v>
      </c>
      <c r="AI100">
        <v>92.806591223722194</v>
      </c>
      <c r="AJ100">
        <v>92.3724636517628</v>
      </c>
      <c r="AK100">
        <v>22.672164867569499</v>
      </c>
      <c r="AL100">
        <v>86.983743850075101</v>
      </c>
      <c r="AM100">
        <v>96.650187078803498</v>
      </c>
      <c r="AN100">
        <v>1.0000000258544099</v>
      </c>
    </row>
    <row r="101" spans="1:40" x14ac:dyDescent="0.25">
      <c r="A101" t="str">
        <f>"20190304154729802"</f>
        <v>20190304154729802</v>
      </c>
      <c r="B101" t="str">
        <f>"1551685649797218"</f>
        <v>1551685649797218</v>
      </c>
      <c r="C101" t="s">
        <v>40</v>
      </c>
      <c r="D101">
        <v>4.1801620000000002</v>
      </c>
      <c r="E101">
        <v>0.52772640000000004</v>
      </c>
      <c r="F101" t="s">
        <v>44</v>
      </c>
      <c r="G101">
        <v>-450.25130000000001</v>
      </c>
      <c r="H101" s="1">
        <v>-4.4628970000000002E-6</v>
      </c>
      <c r="I101">
        <v>367.93389999999999</v>
      </c>
      <c r="J101">
        <v>-473.79349999999999</v>
      </c>
      <c r="K101">
        <v>1.1099289999999999</v>
      </c>
      <c r="L101">
        <v>367.19150000000002</v>
      </c>
      <c r="M101">
        <v>0.99990730000000005</v>
      </c>
      <c r="N101">
        <v>-9.3264520000000007E-3</v>
      </c>
      <c r="O101">
        <v>-9.9230599999999992E-3</v>
      </c>
      <c r="P101">
        <v>0.99344319999999997</v>
      </c>
      <c r="Q101">
        <v>4.3400130000000002E-2</v>
      </c>
      <c r="R101">
        <v>0.1057695</v>
      </c>
      <c r="S101">
        <v>3.0156559999999999</v>
      </c>
      <c r="T101">
        <v>-0.14200309999999999</v>
      </c>
      <c r="U101">
        <v>9.4909670000000002E-2</v>
      </c>
      <c r="V101">
        <v>-0.1156158</v>
      </c>
      <c r="W101">
        <v>5.2668340000000001E-2</v>
      </c>
      <c r="X101">
        <v>0.99189669999999996</v>
      </c>
      <c r="Y101">
        <v>-4.131191E-2</v>
      </c>
      <c r="Z101">
        <v>1.5391269999999999E-3</v>
      </c>
      <c r="AA101">
        <v>0.99914510000000001</v>
      </c>
      <c r="AB101">
        <v>6</v>
      </c>
      <c r="AC101">
        <v>23.542199999999902</v>
      </c>
      <c r="AD101">
        <v>-1.1099334628969999</v>
      </c>
      <c r="AE101">
        <v>0.74239999999997497</v>
      </c>
      <c r="AF101">
        <v>-0.97382180421659503</v>
      </c>
      <c r="AG101">
        <v>-1.1099334628969999</v>
      </c>
      <c r="AH101">
        <v>23.481530781782901</v>
      </c>
      <c r="AI101">
        <v>92.703942411479204</v>
      </c>
      <c r="AJ101">
        <v>92.374799363374095</v>
      </c>
      <c r="AK101">
        <v>23.527910426857801</v>
      </c>
      <c r="AL101">
        <v>86.9809295580624</v>
      </c>
      <c r="AM101">
        <v>96.648413763730105</v>
      </c>
      <c r="AN101">
        <v>1.0000000153594399</v>
      </c>
    </row>
    <row r="102" spans="1:40" x14ac:dyDescent="0.25">
      <c r="A102" t="str">
        <f>"20190304154729814"</f>
        <v>20190304154729814</v>
      </c>
      <c r="B102" t="str">
        <f>"1551685649806978"</f>
        <v>1551685649806978</v>
      </c>
      <c r="C102" t="s">
        <v>40</v>
      </c>
      <c r="D102">
        <v>4.3414010000000003</v>
      </c>
      <c r="E102">
        <v>0.52693029999999996</v>
      </c>
      <c r="F102" t="s">
        <v>44</v>
      </c>
      <c r="G102">
        <v>-449.45440000000002</v>
      </c>
      <c r="H102" s="1">
        <v>-6.3728249999999996E-7</v>
      </c>
      <c r="I102">
        <v>367.94929999999999</v>
      </c>
      <c r="J102">
        <v>-473.75810000000001</v>
      </c>
      <c r="K102">
        <v>1.109753</v>
      </c>
      <c r="L102">
        <v>367.19099999999997</v>
      </c>
      <c r="M102">
        <v>0.99991289999999999</v>
      </c>
      <c r="N102">
        <v>-8.5523349999999995E-3</v>
      </c>
      <c r="O102">
        <v>-1.0052480000000001E-2</v>
      </c>
      <c r="P102">
        <v>0.99339460000000002</v>
      </c>
      <c r="Q102">
        <v>4.402698E-2</v>
      </c>
      <c r="R102">
        <v>0.10596609999999999</v>
      </c>
      <c r="S102">
        <v>3.0157780000000001</v>
      </c>
      <c r="T102">
        <v>-0.13752729999999999</v>
      </c>
      <c r="U102">
        <v>9.3902589999999994E-2</v>
      </c>
      <c r="V102">
        <v>-0.11593920000000001</v>
      </c>
      <c r="W102">
        <v>5.2529300000000001E-2</v>
      </c>
      <c r="X102">
        <v>0.99186629999999998</v>
      </c>
      <c r="Y102">
        <v>-4.1110830000000001E-2</v>
      </c>
      <c r="Z102">
        <v>1.4847860000000001E-3</v>
      </c>
      <c r="AA102">
        <v>0.99915350000000003</v>
      </c>
      <c r="AB102">
        <v>6</v>
      </c>
      <c r="AC102">
        <v>24.3036999999999</v>
      </c>
      <c r="AD102">
        <v>-1.1097536372824901</v>
      </c>
      <c r="AE102">
        <v>0.75830000000001896</v>
      </c>
      <c r="AF102">
        <v>-1.0004990526226301</v>
      </c>
      <c r="AG102">
        <v>-1.1097536372824901</v>
      </c>
      <c r="AH102">
        <v>24.244348259956801</v>
      </c>
      <c r="AI102">
        <v>92.618585051340702</v>
      </c>
      <c r="AJ102">
        <v>92.363101897194099</v>
      </c>
      <c r="AK102">
        <v>24.290347342922601</v>
      </c>
      <c r="AL102">
        <v>86.988906933503699</v>
      </c>
      <c r="AM102">
        <v>96.667045996630094</v>
      </c>
      <c r="AN102">
        <v>0.99999999126540995</v>
      </c>
    </row>
    <row r="103" spans="1:40" x14ac:dyDescent="0.25">
      <c r="A103" t="str">
        <f>"20190304154729833"</f>
        <v>20190304154729833</v>
      </c>
      <c r="B103" t="str">
        <f>"1551685649827474"</f>
        <v>1551685649827474</v>
      </c>
      <c r="C103" t="s">
        <v>40</v>
      </c>
      <c r="D103">
        <v>4.0939370000000004</v>
      </c>
      <c r="E103">
        <v>0.52726059999999997</v>
      </c>
      <c r="F103" t="s">
        <v>44</v>
      </c>
      <c r="G103">
        <v>-449.85789999999997</v>
      </c>
      <c r="H103" s="1">
        <v>-4.711917E-7</v>
      </c>
      <c r="I103">
        <v>367.99119999999999</v>
      </c>
      <c r="J103">
        <v>-473.70769999999999</v>
      </c>
      <c r="K103">
        <v>1.10964</v>
      </c>
      <c r="L103">
        <v>367.19029999999998</v>
      </c>
      <c r="M103">
        <v>0.99991699999999994</v>
      </c>
      <c r="N103">
        <v>-7.8188159999999993E-3</v>
      </c>
      <c r="O103">
        <v>-1.0239689999999999E-2</v>
      </c>
      <c r="P103">
        <v>0.99337609999999998</v>
      </c>
      <c r="Q103">
        <v>4.4724809999999997E-2</v>
      </c>
      <c r="R103">
        <v>0.1058468</v>
      </c>
      <c r="S103">
        <v>3.0153810000000001</v>
      </c>
      <c r="T103">
        <v>-0.1400129</v>
      </c>
      <c r="U103">
        <v>0.1009521</v>
      </c>
      <c r="V103">
        <v>-0.1160042</v>
      </c>
      <c r="W103">
        <v>5.2502140000000003E-2</v>
      </c>
      <c r="X103">
        <v>0.99186019999999997</v>
      </c>
      <c r="Y103">
        <v>-4.3630349999999998E-2</v>
      </c>
      <c r="Z103">
        <v>1.57792E-3</v>
      </c>
      <c r="AA103">
        <v>0.99904649999999995</v>
      </c>
      <c r="AB103">
        <v>6</v>
      </c>
      <c r="AC103">
        <v>23.849799999999998</v>
      </c>
      <c r="AD103">
        <v>-1.1096404711917001</v>
      </c>
      <c r="AE103">
        <v>0.80090000000001205</v>
      </c>
      <c r="AF103">
        <v>-1.0428251861304401</v>
      </c>
      <c r="AG103">
        <v>-1.1096404711917001</v>
      </c>
      <c r="AH103">
        <v>23.7889107928168</v>
      </c>
      <c r="AI103">
        <v>92.668083427911697</v>
      </c>
      <c r="AJ103">
        <v>92.510045711028894</v>
      </c>
      <c r="AK103">
        <v>23.837597677885402</v>
      </c>
      <c r="AL103">
        <v>86.990465422355598</v>
      </c>
      <c r="AM103">
        <v>96.670790779385996</v>
      </c>
      <c r="AN103">
        <v>1.0000000527331201</v>
      </c>
    </row>
    <row r="104" spans="1:40" x14ac:dyDescent="0.25">
      <c r="A104" t="str">
        <f>"20190304154729845"</f>
        <v>20190304154729845</v>
      </c>
      <c r="B104" t="str">
        <f>"1551685649837234"</f>
        <v>1551685649837234</v>
      </c>
      <c r="C104" t="s">
        <v>40</v>
      </c>
      <c r="D104">
        <v>4.2433149999999999</v>
      </c>
      <c r="E104">
        <v>0.52724519999999997</v>
      </c>
      <c r="F104" t="s">
        <v>44</v>
      </c>
      <c r="G104">
        <v>-448.99079999999998</v>
      </c>
      <c r="H104" s="1">
        <v>-8.0308160000000005E-7</v>
      </c>
      <c r="I104">
        <v>367.99529999999999</v>
      </c>
      <c r="J104">
        <v>-473.6764</v>
      </c>
      <c r="K104">
        <v>1.1098570000000001</v>
      </c>
      <c r="L104">
        <v>367.18990000000002</v>
      </c>
      <c r="M104">
        <v>0.99991200000000002</v>
      </c>
      <c r="N104">
        <v>-8.3213929999999998E-3</v>
      </c>
      <c r="O104">
        <v>-1.033921E-2</v>
      </c>
      <c r="P104">
        <v>0.99340830000000002</v>
      </c>
      <c r="Q104">
        <v>4.4102040000000002E-2</v>
      </c>
      <c r="R104">
        <v>0.1058075</v>
      </c>
      <c r="S104">
        <v>3.0155940000000001</v>
      </c>
      <c r="T104">
        <v>-0.13538220000000001</v>
      </c>
      <c r="U104">
        <v>9.8205570000000006E-2</v>
      </c>
      <c r="V104">
        <v>-0.1160645</v>
      </c>
      <c r="W104">
        <v>5.237692E-2</v>
      </c>
      <c r="X104">
        <v>0.99185970000000001</v>
      </c>
      <c r="Y104">
        <v>-4.2822989999999998E-2</v>
      </c>
      <c r="Z104">
        <v>1.516688E-3</v>
      </c>
      <c r="AA104">
        <v>0.99908160000000001</v>
      </c>
      <c r="AB104">
        <v>6</v>
      </c>
      <c r="AC104">
        <v>24.685600000000001</v>
      </c>
      <c r="AD104">
        <v>-1.1098578030816</v>
      </c>
      <c r="AE104">
        <v>0.80539999999996303</v>
      </c>
      <c r="AF104">
        <v>-1.0584580999494699</v>
      </c>
      <c r="AG104">
        <v>-1.1098578030816</v>
      </c>
      <c r="AH104">
        <v>24.6262269948989</v>
      </c>
      <c r="AI104">
        <v>92.578090018958704</v>
      </c>
      <c r="AJ104">
        <v>92.461111024890499</v>
      </c>
      <c r="AK104">
        <v>24.6739371381362</v>
      </c>
      <c r="AL104">
        <v>86.997649687639694</v>
      </c>
      <c r="AM104">
        <v>96.674230374116803</v>
      </c>
      <c r="AN104">
        <v>0.99999998719651295</v>
      </c>
    </row>
    <row r="105" spans="1:40" x14ac:dyDescent="0.25">
      <c r="A105" t="str">
        <f>"20190304154729858"</f>
        <v>20190304154729858</v>
      </c>
      <c r="B105" t="str">
        <f>"1551685649846993"</f>
        <v>1551685649846993</v>
      </c>
      <c r="C105" t="s">
        <v>40</v>
      </c>
      <c r="D105">
        <v>4.2122979999999997</v>
      </c>
      <c r="E105">
        <v>0.52727369999999996</v>
      </c>
      <c r="F105" t="s">
        <v>44</v>
      </c>
      <c r="G105">
        <v>-449.22620000000001</v>
      </c>
      <c r="H105" s="1">
        <v>-7.1558160000000004E-7</v>
      </c>
      <c r="I105">
        <v>367.98439999999999</v>
      </c>
      <c r="J105">
        <v>-473.64569999999998</v>
      </c>
      <c r="K105">
        <v>1.1101270000000001</v>
      </c>
      <c r="L105">
        <v>367.18950000000001</v>
      </c>
      <c r="M105">
        <v>0.99990460000000003</v>
      </c>
      <c r="N105">
        <v>-9.0625080000000004E-3</v>
      </c>
      <c r="O105">
        <v>-1.043082E-2</v>
      </c>
      <c r="P105">
        <v>0.99344900000000003</v>
      </c>
      <c r="Q105">
        <v>4.3348299999999999E-2</v>
      </c>
      <c r="R105">
        <v>0.1057356</v>
      </c>
      <c r="S105">
        <v>3.0155940000000001</v>
      </c>
      <c r="T105">
        <v>-0.1368856</v>
      </c>
      <c r="U105">
        <v>9.799194E-2</v>
      </c>
      <c r="V105">
        <v>-0.11608499999999999</v>
      </c>
      <c r="W105">
        <v>5.2356439999999997E-2</v>
      </c>
      <c r="X105">
        <v>0.99185840000000003</v>
      </c>
      <c r="Y105">
        <v>-4.2842129999999999E-2</v>
      </c>
      <c r="Z105">
        <v>1.5445669999999999E-3</v>
      </c>
      <c r="AA105">
        <v>0.99908070000000004</v>
      </c>
      <c r="AB105">
        <v>6</v>
      </c>
      <c r="AC105">
        <v>24.4194999999999</v>
      </c>
      <c r="AD105">
        <v>-1.1101277155816001</v>
      </c>
      <c r="AE105">
        <v>0.79489999999998395</v>
      </c>
      <c r="AF105">
        <v>-1.0474202167598801</v>
      </c>
      <c r="AG105">
        <v>-1.1101277155816001</v>
      </c>
      <c r="AH105">
        <v>24.3595895250217</v>
      </c>
      <c r="AI105">
        <v>92.606901838640198</v>
      </c>
      <c r="AJ105">
        <v>92.4621028125907</v>
      </c>
      <c r="AK105">
        <v>24.407356974546101</v>
      </c>
      <c r="AL105">
        <v>86.998824770456494</v>
      </c>
      <c r="AM105">
        <v>96.675407248621795</v>
      </c>
      <c r="AN105">
        <v>1.0000000048425099</v>
      </c>
    </row>
    <row r="106" spans="1:40" x14ac:dyDescent="0.25">
      <c r="A106" t="str">
        <f>"20190304154729871"</f>
        <v>20190304154729871</v>
      </c>
      <c r="B106" t="str">
        <f>"1551685649867490"</f>
        <v>1551685649867490</v>
      </c>
      <c r="C106" t="s">
        <v>40</v>
      </c>
      <c r="D106">
        <v>4.2456269999999998</v>
      </c>
      <c r="E106">
        <v>0.52717729999999996</v>
      </c>
      <c r="F106" t="s">
        <v>44</v>
      </c>
      <c r="G106">
        <v>-449.38049999999998</v>
      </c>
      <c r="H106" s="1">
        <v>-6.5868919999999898E-7</v>
      </c>
      <c r="I106">
        <v>367.97559999999999</v>
      </c>
      <c r="J106">
        <v>-473.61349999999999</v>
      </c>
      <c r="K106">
        <v>1.1104670000000001</v>
      </c>
      <c r="L106">
        <v>367.18900000000002</v>
      </c>
      <c r="M106">
        <v>0.99989380000000005</v>
      </c>
      <c r="N106">
        <v>-1.0106499999999999E-2</v>
      </c>
      <c r="O106">
        <v>-1.052034E-2</v>
      </c>
      <c r="P106">
        <v>0.99352940000000001</v>
      </c>
      <c r="Q106">
        <v>4.250934E-2</v>
      </c>
      <c r="R106">
        <v>0.105320899999999</v>
      </c>
      <c r="S106">
        <v>3.0153810000000001</v>
      </c>
      <c r="T106">
        <v>-0.13795289999999999</v>
      </c>
      <c r="U106">
        <v>9.7686770000000006E-2</v>
      </c>
      <c r="V106">
        <v>-0.1157617</v>
      </c>
      <c r="W106">
        <v>5.255025E-2</v>
      </c>
      <c r="X106">
        <v>0.99188589999999999</v>
      </c>
      <c r="Y106">
        <v>-4.283141E-2</v>
      </c>
      <c r="Z106">
        <v>1.57032E-3</v>
      </c>
      <c r="AA106">
        <v>0.99908110000000006</v>
      </c>
      <c r="AB106">
        <v>6</v>
      </c>
      <c r="AC106">
        <v>24.233000000000001</v>
      </c>
      <c r="AD106">
        <v>-1.1104676586891999</v>
      </c>
      <c r="AE106">
        <v>0.78659999999996399</v>
      </c>
      <c r="AF106">
        <v>-1.03932864686949</v>
      </c>
      <c r="AG106">
        <v>-1.1104676586891999</v>
      </c>
      <c r="AH106">
        <v>24.1726764392989</v>
      </c>
      <c r="AI106">
        <v>92.627834921973204</v>
      </c>
      <c r="AJ106">
        <v>92.461973562502195</v>
      </c>
      <c r="AK106">
        <v>24.220479530683001</v>
      </c>
      <c r="AL106">
        <v>86.987704860483007</v>
      </c>
      <c r="AM106">
        <v>96.656800232944306</v>
      </c>
      <c r="AN106">
        <v>0.99999996929038004</v>
      </c>
    </row>
    <row r="107" spans="1:40" x14ac:dyDescent="0.25">
      <c r="A107" t="str">
        <f>"20190304154729891"</f>
        <v>20190304154729891</v>
      </c>
      <c r="B107" t="str">
        <f>"1551685649887010"</f>
        <v>1551685649887010</v>
      </c>
      <c r="C107" t="s">
        <v>40</v>
      </c>
      <c r="D107">
        <v>4.2615749999999997</v>
      </c>
      <c r="E107">
        <v>0.5272</v>
      </c>
      <c r="F107" t="s">
        <v>44</v>
      </c>
      <c r="G107">
        <v>-449.7919</v>
      </c>
      <c r="H107" s="1">
        <v>-5.0537869999999999E-7</v>
      </c>
      <c r="I107">
        <v>367.9579</v>
      </c>
      <c r="J107">
        <v>-473.56979999999999</v>
      </c>
      <c r="K107">
        <v>1.110932</v>
      </c>
      <c r="L107">
        <v>367.18830000000003</v>
      </c>
      <c r="M107">
        <v>0.99987400000000004</v>
      </c>
      <c r="N107">
        <v>-1.1793990000000001E-2</v>
      </c>
      <c r="O107">
        <v>-1.062654E-2</v>
      </c>
      <c r="P107">
        <v>0.99365300000000001</v>
      </c>
      <c r="Q107">
        <v>4.107479E-2</v>
      </c>
      <c r="R107">
        <v>0.1047207</v>
      </c>
      <c r="S107">
        <v>3.015228</v>
      </c>
      <c r="T107">
        <v>-0.14055790000000001</v>
      </c>
      <c r="U107">
        <v>9.732056E-2</v>
      </c>
      <c r="V107">
        <v>-0.1152712</v>
      </c>
      <c r="W107">
        <v>5.2784999999999999E-2</v>
      </c>
      <c r="X107">
        <v>0.9919306</v>
      </c>
      <c r="Y107">
        <v>-4.2814820000000003E-2</v>
      </c>
      <c r="Z107">
        <v>1.6195889999999901E-3</v>
      </c>
      <c r="AA107">
        <v>0.99908169999999996</v>
      </c>
      <c r="AB107">
        <v>6</v>
      </c>
      <c r="AC107">
        <v>23.777899999999899</v>
      </c>
      <c r="AD107">
        <v>-1.11093250537869</v>
      </c>
      <c r="AE107">
        <v>0.76959999999996798</v>
      </c>
      <c r="AF107">
        <v>-1.02002665783375</v>
      </c>
      <c r="AG107">
        <v>-1.11093250537869</v>
      </c>
      <c r="AH107">
        <v>23.716662209729002</v>
      </c>
      <c r="AI107">
        <v>92.679407006167907</v>
      </c>
      <c r="AJ107">
        <v>92.462708561362106</v>
      </c>
      <c r="AK107">
        <v>23.7645679906997</v>
      </c>
      <c r="AL107">
        <v>86.974236107099898</v>
      </c>
      <c r="AM107">
        <v>96.628549843331101</v>
      </c>
      <c r="AN107">
        <v>1.0000000104953899</v>
      </c>
    </row>
    <row r="108" spans="1:40" x14ac:dyDescent="0.25">
      <c r="A108" t="str">
        <f>"20190304154729907"</f>
        <v>20190304154729907</v>
      </c>
      <c r="B108" t="str">
        <f>"1551685649897746"</f>
        <v>1551685649897746</v>
      </c>
      <c r="C108" t="s">
        <v>40</v>
      </c>
      <c r="D108">
        <v>4.2382169999999997</v>
      </c>
      <c r="E108">
        <v>0.52720100000000003</v>
      </c>
      <c r="F108" t="s">
        <v>44</v>
      </c>
      <c r="G108">
        <v>-450.15710000000001</v>
      </c>
      <c r="H108" s="1">
        <v>-4.5041279999999997E-6</v>
      </c>
      <c r="I108">
        <v>367.92930000000001</v>
      </c>
      <c r="J108">
        <v>-473.53190000000001</v>
      </c>
      <c r="K108">
        <v>1.1110199999999999</v>
      </c>
      <c r="L108">
        <v>367.18790000000001</v>
      </c>
      <c r="M108">
        <v>0.99986620000000004</v>
      </c>
      <c r="N108">
        <v>-1.23692E-2</v>
      </c>
      <c r="O108">
        <v>-1.070346E-2</v>
      </c>
      <c r="P108">
        <v>0.99374879999999999</v>
      </c>
      <c r="Q108">
        <v>4.0393209999999999E-2</v>
      </c>
      <c r="R108">
        <v>0.1040764</v>
      </c>
      <c r="S108">
        <v>3.015015</v>
      </c>
      <c r="T108">
        <v>-0.14306240000000001</v>
      </c>
      <c r="U108">
        <v>9.5428470000000001E-2</v>
      </c>
      <c r="V108">
        <v>-0.1147048</v>
      </c>
      <c r="W108">
        <v>5.26731E-2</v>
      </c>
      <c r="X108">
        <v>0.99200219999999995</v>
      </c>
      <c r="Y108">
        <v>-4.2265850000000001E-2</v>
      </c>
      <c r="Z108">
        <v>1.6387750000000001E-3</v>
      </c>
      <c r="AA108">
        <v>0.99910500000000002</v>
      </c>
      <c r="AB108">
        <v>5</v>
      </c>
      <c r="AC108">
        <v>23.3748</v>
      </c>
      <c r="AD108">
        <v>-1.111024504128</v>
      </c>
      <c r="AE108">
        <v>0.74139999999999795</v>
      </c>
      <c r="AF108">
        <v>-0.98933506133577598</v>
      </c>
      <c r="AG108">
        <v>-1.111024504128</v>
      </c>
      <c r="AH108">
        <v>23.312909445045001</v>
      </c>
      <c r="AI108">
        <v>92.726033601132102</v>
      </c>
      <c r="AJ108">
        <v>92.430015533747095</v>
      </c>
      <c r="AK108">
        <v>23.360327611256501</v>
      </c>
      <c r="AL108">
        <v>86.980656421890799</v>
      </c>
      <c r="AM108">
        <v>96.595795428451396</v>
      </c>
      <c r="AN108">
        <v>1.0000000057057401</v>
      </c>
    </row>
    <row r="109" spans="1:40" x14ac:dyDescent="0.25">
      <c r="A109" t="str">
        <f>"20190304154729926"</f>
        <v>20190304154729926</v>
      </c>
      <c r="B109" t="str">
        <f>"1551685649917266"</f>
        <v>1551685649917266</v>
      </c>
      <c r="C109" t="s">
        <v>40</v>
      </c>
      <c r="D109">
        <v>4.2821730000000002</v>
      </c>
      <c r="E109">
        <v>0.52715559999999995</v>
      </c>
      <c r="F109" t="s">
        <v>44</v>
      </c>
      <c r="G109">
        <v>-450.45030000000003</v>
      </c>
      <c r="H109" s="1">
        <v>-4.3833229999999996E-6</v>
      </c>
      <c r="I109">
        <v>367.90129999999999</v>
      </c>
      <c r="J109">
        <v>-473.48500000000001</v>
      </c>
      <c r="K109">
        <v>1.110752</v>
      </c>
      <c r="L109">
        <v>367.18720000000002</v>
      </c>
      <c r="M109">
        <v>0.99987210000000004</v>
      </c>
      <c r="N109">
        <v>-1.1777630000000001E-2</v>
      </c>
      <c r="O109">
        <v>-1.081525E-2</v>
      </c>
      <c r="P109">
        <v>0.99379870000000003</v>
      </c>
      <c r="Q109">
        <v>4.1225159999999997E-2</v>
      </c>
      <c r="R109">
        <v>0.1032685</v>
      </c>
      <c r="S109">
        <v>3.015015</v>
      </c>
      <c r="T109">
        <v>-0.1451259</v>
      </c>
      <c r="U109">
        <v>9.3200679999999994E-2</v>
      </c>
      <c r="V109">
        <v>-0.1140079</v>
      </c>
      <c r="W109">
        <v>5.2920229999999999E-2</v>
      </c>
      <c r="X109">
        <v>0.99206939999999999</v>
      </c>
      <c r="Y109">
        <v>-4.1639349999999999E-2</v>
      </c>
      <c r="Z109">
        <v>1.6396550000000001E-3</v>
      </c>
      <c r="AA109">
        <v>0.9991314</v>
      </c>
      <c r="AB109">
        <v>5</v>
      </c>
      <c r="AC109">
        <v>23.034699999999901</v>
      </c>
      <c r="AD109">
        <v>-1.1107563833230001</v>
      </c>
      <c r="AE109">
        <v>0.71409999999997298</v>
      </c>
      <c r="AF109">
        <v>-0.96096919813613801</v>
      </c>
      <c r="AG109">
        <v>-1.1107563833230001</v>
      </c>
      <c r="AH109">
        <v>22.9722635669862</v>
      </c>
      <c r="AI109">
        <v>92.765798208618193</v>
      </c>
      <c r="AJ109">
        <v>92.395384188286002</v>
      </c>
      <c r="AK109">
        <v>23.0191688584523</v>
      </c>
      <c r="AL109">
        <v>86.966477193017596</v>
      </c>
      <c r="AM109">
        <v>96.555631743593096</v>
      </c>
      <c r="AN109">
        <v>1.00000002321101</v>
      </c>
    </row>
    <row r="110" spans="1:40" x14ac:dyDescent="0.25">
      <c r="A110" t="str">
        <f>"20190304154729937"</f>
        <v>20190304154729937</v>
      </c>
      <c r="B110" t="str">
        <f>"1551685649927026"</f>
        <v>1551685649927026</v>
      </c>
      <c r="C110" t="s">
        <v>40</v>
      </c>
      <c r="D110">
        <v>4.2565439999999999</v>
      </c>
      <c r="E110">
        <v>0.52706509999999995</v>
      </c>
      <c r="F110" t="s">
        <v>44</v>
      </c>
      <c r="G110">
        <v>-449.91840000000002</v>
      </c>
      <c r="H110" s="1">
        <v>-4.720696E-7</v>
      </c>
      <c r="I110">
        <v>367.9006</v>
      </c>
      <c r="J110">
        <v>-473.45359999999999</v>
      </c>
      <c r="K110">
        <v>1.1104989999999999</v>
      </c>
      <c r="L110">
        <v>367.18680000000001</v>
      </c>
      <c r="M110">
        <v>0.99987979999999999</v>
      </c>
      <c r="N110">
        <v>-1.1027220000000001E-2</v>
      </c>
      <c r="O110">
        <v>-1.090322E-2</v>
      </c>
      <c r="P110">
        <v>0.99380429999999997</v>
      </c>
      <c r="Q110">
        <v>4.2019769999999998E-2</v>
      </c>
      <c r="R110">
        <v>0.102894899999999</v>
      </c>
      <c r="S110">
        <v>3.0151669999999999</v>
      </c>
      <c r="T110">
        <v>-0.142112299999999</v>
      </c>
      <c r="U110">
        <v>9.1278079999999998E-2</v>
      </c>
      <c r="V110">
        <v>-0.1137214</v>
      </c>
      <c r="W110">
        <v>5.2971659999999997E-2</v>
      </c>
      <c r="X110">
        <v>0.99209950000000002</v>
      </c>
      <c r="Y110">
        <v>-4.1092839999999999E-2</v>
      </c>
      <c r="Z110">
        <v>1.5877809999999999E-3</v>
      </c>
      <c r="AA110">
        <v>0.99915410000000004</v>
      </c>
      <c r="AB110">
        <v>5</v>
      </c>
      <c r="AC110">
        <v>23.5351999999999</v>
      </c>
      <c r="AD110">
        <v>-1.1104994720696</v>
      </c>
      <c r="AE110">
        <v>0.713799999999992</v>
      </c>
      <c r="AF110">
        <v>-0.96822894709433804</v>
      </c>
      <c r="AG110">
        <v>-1.1104994720696</v>
      </c>
      <c r="AH110">
        <v>23.473803887098601</v>
      </c>
      <c r="AI110">
        <v>92.706233484187905</v>
      </c>
      <c r="AJ110">
        <v>92.361952238174993</v>
      </c>
      <c r="AK110">
        <v>23.519994585488899</v>
      </c>
      <c r="AL110">
        <v>86.963526218324105</v>
      </c>
      <c r="AM110">
        <v>96.539103734494603</v>
      </c>
      <c r="AN110">
        <v>0.99999998574068205</v>
      </c>
    </row>
    <row r="111" spans="1:40" x14ac:dyDescent="0.25">
      <c r="A111" t="str">
        <f>"20190304154729956"</f>
        <v>20190304154729956</v>
      </c>
      <c r="B111" t="str">
        <f>"1551685649947522"</f>
        <v>1551685649947522</v>
      </c>
      <c r="C111" t="s">
        <v>40</v>
      </c>
      <c r="D111">
        <v>4.2845550000000001</v>
      </c>
      <c r="E111">
        <v>0.52701500000000001</v>
      </c>
      <c r="F111" t="s">
        <v>44</v>
      </c>
      <c r="G111">
        <v>-449.6386</v>
      </c>
      <c r="H111" s="1">
        <v>-5.7844009999999897E-7</v>
      </c>
      <c r="I111">
        <v>367.90460000000002</v>
      </c>
      <c r="J111">
        <v>-473.4015</v>
      </c>
      <c r="K111">
        <v>1.110109</v>
      </c>
      <c r="L111">
        <v>367.18599999999998</v>
      </c>
      <c r="M111">
        <v>0.99989189999999994</v>
      </c>
      <c r="N111">
        <v>-9.6954550000000004E-3</v>
      </c>
      <c r="O111">
        <v>-1.1066690000000001E-2</v>
      </c>
      <c r="P111">
        <v>0.99381220000000003</v>
      </c>
      <c r="Q111">
        <v>4.3507450000000003E-2</v>
      </c>
      <c r="R111">
        <v>0.10220029999999999</v>
      </c>
      <c r="S111">
        <v>3.015228</v>
      </c>
      <c r="T111">
        <v>-0.14060120000000001</v>
      </c>
      <c r="U111">
        <v>9.088135E-2</v>
      </c>
      <c r="V111">
        <v>-0.1131877</v>
      </c>
      <c r="W111">
        <v>5.3140699999999902E-2</v>
      </c>
      <c r="X111">
        <v>0.99215149999999996</v>
      </c>
      <c r="Y111">
        <v>-4.1125960000000003E-2</v>
      </c>
      <c r="Z111">
        <v>1.5661029999999999E-3</v>
      </c>
      <c r="AA111">
        <v>0.9991527</v>
      </c>
      <c r="AB111">
        <v>6</v>
      </c>
      <c r="AC111">
        <v>23.762899999999998</v>
      </c>
      <c r="AD111">
        <v>-1.1101095784401001</v>
      </c>
      <c r="AE111">
        <v>0.71860000000003699</v>
      </c>
      <c r="AF111">
        <v>-0.97940945901627197</v>
      </c>
      <c r="AG111">
        <v>-1.1101095784401001</v>
      </c>
      <c r="AH111">
        <v>23.701812389685401</v>
      </c>
      <c r="AI111">
        <v>92.679290084588104</v>
      </c>
      <c r="AJ111">
        <v>92.366237672221899</v>
      </c>
      <c r="AK111">
        <v>23.747999846732299</v>
      </c>
      <c r="AL111">
        <v>86.953827304692496</v>
      </c>
      <c r="AM111">
        <v>96.508341147406696</v>
      </c>
      <c r="AN111">
        <v>0.99999999419001495</v>
      </c>
    </row>
    <row r="112" spans="1:40" x14ac:dyDescent="0.25">
      <c r="A112" t="str">
        <f>"20190304154729969"</f>
        <v>20190304154729969</v>
      </c>
      <c r="B112" t="str">
        <f>"1551685649956740"</f>
        <v>1551685649956740</v>
      </c>
      <c r="C112" t="s">
        <v>40</v>
      </c>
      <c r="D112">
        <v>4.276319</v>
      </c>
      <c r="E112">
        <v>0.52702289999999996</v>
      </c>
      <c r="F112" t="s">
        <v>44</v>
      </c>
      <c r="G112">
        <v>-448.74169999999998</v>
      </c>
      <c r="H112" s="1">
        <v>-9.2024739999999999E-7</v>
      </c>
      <c r="I112">
        <v>367.91449999999998</v>
      </c>
      <c r="J112">
        <v>-473.3646</v>
      </c>
      <c r="K112">
        <v>1.1099019999999999</v>
      </c>
      <c r="L112">
        <v>367.18549999999999</v>
      </c>
      <c r="M112">
        <v>0.99989799999999995</v>
      </c>
      <c r="N112">
        <v>-8.8873800000000003E-3</v>
      </c>
      <c r="O112">
        <v>-1.118951E-2</v>
      </c>
      <c r="P112">
        <v>0.99382389999999998</v>
      </c>
      <c r="Q112">
        <v>4.4283169999999997E-2</v>
      </c>
      <c r="R112">
        <v>0.1017508</v>
      </c>
      <c r="S112">
        <v>3.0155029999999998</v>
      </c>
      <c r="T112">
        <v>-0.13574890000000001</v>
      </c>
      <c r="U112">
        <v>8.9080809999999996E-2</v>
      </c>
      <c r="V112">
        <v>-0.112859</v>
      </c>
      <c r="W112">
        <v>5.311689E-2</v>
      </c>
      <c r="X112">
        <v>0.99219020000000002</v>
      </c>
      <c r="Y112">
        <v>-4.0654719999999998E-2</v>
      </c>
      <c r="Z112">
        <v>1.499207E-3</v>
      </c>
      <c r="AA112">
        <v>0.99917219999999995</v>
      </c>
      <c r="AB112">
        <v>6</v>
      </c>
      <c r="AC112">
        <v>24.622900000000001</v>
      </c>
      <c r="AD112">
        <v>-1.1099029202474</v>
      </c>
      <c r="AE112">
        <v>0.72899999999998499</v>
      </c>
      <c r="AF112">
        <v>-1.0024483567923099</v>
      </c>
      <c r="AG112">
        <v>-1.1099029202474</v>
      </c>
      <c r="AH112">
        <v>24.563335602022399</v>
      </c>
      <c r="AI112">
        <v>92.585021180626001</v>
      </c>
      <c r="AJ112">
        <v>92.336987364030193</v>
      </c>
      <c r="AK112">
        <v>24.6088244964686</v>
      </c>
      <c r="AL112">
        <v>86.955193389482403</v>
      </c>
      <c r="AM112">
        <v>96.489351256976406</v>
      </c>
      <c r="AN112">
        <v>0.99999997543015495</v>
      </c>
    </row>
    <row r="113" spans="1:40" x14ac:dyDescent="0.25">
      <c r="A113" t="str">
        <f>"20190304154729982"</f>
        <v>20190304154729982</v>
      </c>
      <c r="B113" t="str">
        <f>"1551685649977236"</f>
        <v>1551685649977236</v>
      </c>
      <c r="C113" t="s">
        <v>40</v>
      </c>
      <c r="D113">
        <v>4.2543129999999998</v>
      </c>
      <c r="E113">
        <v>0.52694759999999996</v>
      </c>
      <c r="F113" t="s">
        <v>44</v>
      </c>
      <c r="G113">
        <v>-448.12259999999998</v>
      </c>
      <c r="H113" s="1">
        <v>-1.1686069999999999E-6</v>
      </c>
      <c r="I113">
        <v>367.9212</v>
      </c>
      <c r="J113">
        <v>-473.33229999999998</v>
      </c>
      <c r="K113">
        <v>1.109783</v>
      </c>
      <c r="L113">
        <v>367.185</v>
      </c>
      <c r="M113">
        <v>0.9999015</v>
      </c>
      <c r="N113">
        <v>-8.3229189999999998E-3</v>
      </c>
      <c r="O113">
        <v>-1.130038E-2</v>
      </c>
      <c r="P113">
        <v>0.99381140000000001</v>
      </c>
      <c r="Q113">
        <v>4.4753099999999997E-2</v>
      </c>
      <c r="R113">
        <v>0.1016671</v>
      </c>
      <c r="S113">
        <v>3.015533</v>
      </c>
      <c r="T113">
        <v>-0.13259470000000001</v>
      </c>
      <c r="U113">
        <v>8.7890629999999997E-2</v>
      </c>
      <c r="V113">
        <v>-0.1128837</v>
      </c>
      <c r="W113">
        <v>5.3028319999999997E-2</v>
      </c>
      <c r="X113">
        <v>0.99219210000000002</v>
      </c>
      <c r="Y113">
        <v>-4.0374170000000001E-2</v>
      </c>
      <c r="Z113">
        <v>1.4577279999999999E-3</v>
      </c>
      <c r="AA113">
        <v>0.99918359999999995</v>
      </c>
      <c r="AB113">
        <v>6</v>
      </c>
      <c r="AC113">
        <v>25.209700000000002</v>
      </c>
      <c r="AD113">
        <v>-1.109784168607</v>
      </c>
      <c r="AE113">
        <v>0.73619999999999597</v>
      </c>
      <c r="AF113">
        <v>-1.0190688317938099</v>
      </c>
      <c r="AG113">
        <v>-1.109784168607</v>
      </c>
      <c r="AH113">
        <v>25.1510707001067</v>
      </c>
      <c r="AI113">
        <v>92.524453199643204</v>
      </c>
      <c r="AJ113">
        <v>92.320236110781906</v>
      </c>
      <c r="AK113">
        <v>25.196160015895099</v>
      </c>
      <c r="AL113">
        <v>86.960275155035006</v>
      </c>
      <c r="AM113">
        <v>96.490747055860794</v>
      </c>
      <c r="AN113">
        <v>0.99999994787505897</v>
      </c>
    </row>
    <row r="114" spans="1:40" x14ac:dyDescent="0.25">
      <c r="A114" t="str">
        <f>"20190304154729994"</f>
        <v>20190304154729994</v>
      </c>
      <c r="B114" t="str">
        <f>"1551685649986995"</f>
        <v>1551685649986995</v>
      </c>
      <c r="C114" t="s">
        <v>40</v>
      </c>
      <c r="D114">
        <v>4.2937789999999998</v>
      </c>
      <c r="E114">
        <v>0.52679489999999995</v>
      </c>
      <c r="F114" t="s">
        <v>44</v>
      </c>
      <c r="G114">
        <v>-447.62060000000002</v>
      </c>
      <c r="H114" s="1">
        <v>-1.4033200000000001E-6</v>
      </c>
      <c r="I114">
        <v>367.9357</v>
      </c>
      <c r="J114">
        <v>-473.29590000000002</v>
      </c>
      <c r="K114">
        <v>1.109669</v>
      </c>
      <c r="L114">
        <v>367.18450000000001</v>
      </c>
      <c r="M114">
        <v>0.99990489999999999</v>
      </c>
      <c r="N114">
        <v>-7.727696E-3</v>
      </c>
      <c r="O114">
        <v>-1.142512E-2</v>
      </c>
      <c r="P114">
        <v>0.99380230000000003</v>
      </c>
      <c r="Q114">
        <v>4.5411229999999997E-2</v>
      </c>
      <c r="R114">
        <v>0.10146380000000001</v>
      </c>
      <c r="S114">
        <v>3.0155639999999999</v>
      </c>
      <c r="T114">
        <v>-0.13015969999999999</v>
      </c>
      <c r="U114">
        <v>8.8043209999999997E-2</v>
      </c>
      <c r="V114">
        <v>-0.1128038</v>
      </c>
      <c r="W114">
        <v>5.309784E-2</v>
      </c>
      <c r="X114">
        <v>0.99219749999999995</v>
      </c>
      <c r="Y114">
        <v>-4.0550879999999997E-2</v>
      </c>
      <c r="Z114">
        <v>1.4359329999999999E-3</v>
      </c>
      <c r="AA114">
        <v>0.99917639999999996</v>
      </c>
      <c r="AB114">
        <v>6</v>
      </c>
      <c r="AC114">
        <v>25.6753</v>
      </c>
      <c r="AD114">
        <v>-1.10967040332</v>
      </c>
      <c r="AE114">
        <v>0.75119999999998199</v>
      </c>
      <c r="AF114">
        <v>-1.0425573589056401</v>
      </c>
      <c r="AG114">
        <v>-1.10967040332</v>
      </c>
      <c r="AH114">
        <v>25.617231429832099</v>
      </c>
      <c r="AI114">
        <v>92.478301366631499</v>
      </c>
      <c r="AJ114">
        <v>92.330509075916694</v>
      </c>
      <c r="AK114">
        <v>25.662440265496802</v>
      </c>
      <c r="AL114">
        <v>86.956286425800499</v>
      </c>
      <c r="AM114">
        <v>96.486157016739298</v>
      </c>
      <c r="AN114">
        <v>0.99999997845667699</v>
      </c>
    </row>
    <row r="115" spans="1:40" x14ac:dyDescent="0.25">
      <c r="A115" t="str">
        <f>"20190304154730012"</f>
        <v>20190304154730012</v>
      </c>
      <c r="B115" t="str">
        <f>"1551685650007492"</f>
        <v>1551685650007492</v>
      </c>
      <c r="C115" t="s">
        <v>40</v>
      </c>
      <c r="D115">
        <v>4.2685849999999999</v>
      </c>
      <c r="E115">
        <v>0.52673199999999998</v>
      </c>
      <c r="F115" t="s">
        <v>44</v>
      </c>
      <c r="G115">
        <v>-447.1748</v>
      </c>
      <c r="H115" s="1">
        <v>-1.610504E-6</v>
      </c>
      <c r="I115">
        <v>367.95589999999999</v>
      </c>
      <c r="J115">
        <v>-473.24310000000003</v>
      </c>
      <c r="K115">
        <v>1.1095569999999999</v>
      </c>
      <c r="L115">
        <v>367.18369999999999</v>
      </c>
      <c r="M115">
        <v>0.99990820000000002</v>
      </c>
      <c r="N115">
        <v>-7.0040839999999998E-3</v>
      </c>
      <c r="O115">
        <v>-1.1602390000000001E-2</v>
      </c>
      <c r="P115">
        <v>0.99380950000000001</v>
      </c>
      <c r="Q115">
        <v>4.5883050000000002E-2</v>
      </c>
      <c r="R115">
        <v>0.10118000000000001</v>
      </c>
      <c r="S115">
        <v>3.015533</v>
      </c>
      <c r="T115">
        <v>-0.12810489999999999</v>
      </c>
      <c r="U115">
        <v>8.9050290000000004E-2</v>
      </c>
      <c r="V115">
        <v>-0.1126945</v>
      </c>
      <c r="W115">
        <v>5.2853570000000002E-2</v>
      </c>
      <c r="X115">
        <v>0.99222299999999997</v>
      </c>
      <c r="Y115">
        <v>-4.1062889999999998E-2</v>
      </c>
      <c r="Z115">
        <v>1.42689799999999E-3</v>
      </c>
      <c r="AA115">
        <v>0.99915549999999997</v>
      </c>
      <c r="AB115">
        <v>6</v>
      </c>
      <c r="AC115">
        <v>26.068300000000001</v>
      </c>
      <c r="AD115">
        <v>-1.1095586105039901</v>
      </c>
      <c r="AE115">
        <v>0.772199999999997</v>
      </c>
      <c r="AF115">
        <v>-1.0726684112115199</v>
      </c>
      <c r="AG115">
        <v>-1.1095586105039901</v>
      </c>
      <c r="AH115">
        <v>26.010504968467401</v>
      </c>
      <c r="AI115">
        <v>92.440575947513196</v>
      </c>
      <c r="AJ115">
        <v>92.361529181707894</v>
      </c>
      <c r="AK115">
        <v>26.056248896286299</v>
      </c>
      <c r="AL115">
        <v>86.970301860223898</v>
      </c>
      <c r="AM115">
        <v>96.479760688544005</v>
      </c>
      <c r="AN115">
        <v>1.00000001596049</v>
      </c>
    </row>
    <row r="116" spans="1:40" x14ac:dyDescent="0.25">
      <c r="A116" t="str">
        <f>"20190304154730025"</f>
        <v>20190304154730025</v>
      </c>
      <c r="B116" t="str">
        <f>"1551685650017253"</f>
        <v>1551685650017253</v>
      </c>
      <c r="C116" t="s">
        <v>40</v>
      </c>
      <c r="D116">
        <v>4.3705889999999998</v>
      </c>
      <c r="E116">
        <v>0.52645399999999998</v>
      </c>
      <c r="F116" t="s">
        <v>44</v>
      </c>
      <c r="G116">
        <v>-446.77760000000001</v>
      </c>
      <c r="H116" s="1">
        <v>-1.797624E-6</v>
      </c>
      <c r="I116">
        <v>367.95940000000002</v>
      </c>
      <c r="J116">
        <v>-473.2047</v>
      </c>
      <c r="K116">
        <v>1.109793</v>
      </c>
      <c r="L116">
        <v>367.18310000000002</v>
      </c>
      <c r="M116">
        <v>0.99990299999999999</v>
      </c>
      <c r="N116">
        <v>-7.5463659999999997E-3</v>
      </c>
      <c r="O116">
        <v>-1.1711030000000001E-2</v>
      </c>
      <c r="P116">
        <v>0.99381229999999998</v>
      </c>
      <c r="Q116">
        <v>4.5473020000000003E-2</v>
      </c>
      <c r="R116">
        <v>0.1013389</v>
      </c>
      <c r="S116">
        <v>3.0155639999999999</v>
      </c>
      <c r="T116">
        <v>-0.12642680000000001</v>
      </c>
      <c r="U116">
        <v>8.8378910000000005E-2</v>
      </c>
      <c r="V116">
        <v>-0.11296249999999999</v>
      </c>
      <c r="W116">
        <v>5.2980239999999998E-2</v>
      </c>
      <c r="X116">
        <v>0.99218580000000001</v>
      </c>
      <c r="Y116">
        <v>-4.0950010000000002E-2</v>
      </c>
      <c r="Z116">
        <v>1.414827E-3</v>
      </c>
      <c r="AA116">
        <v>0.99916020000000005</v>
      </c>
      <c r="AB116">
        <v>7</v>
      </c>
      <c r="AC116">
        <v>26.427099999999999</v>
      </c>
      <c r="AD116">
        <v>-1.1097947976239999</v>
      </c>
      <c r="AE116">
        <v>0.776299999999992</v>
      </c>
      <c r="AF116">
        <v>-1.0838343764528</v>
      </c>
      <c r="AG116">
        <v>-1.1097947976239999</v>
      </c>
      <c r="AH116">
        <v>26.3697319944154</v>
      </c>
      <c r="AI116">
        <v>92.407893611724205</v>
      </c>
      <c r="AJ116">
        <v>92.353615206974098</v>
      </c>
      <c r="AK116">
        <v>26.415319549566501</v>
      </c>
      <c r="AL116">
        <v>86.963034115404398</v>
      </c>
      <c r="AM116">
        <v>96.495280193898196</v>
      </c>
      <c r="AN116">
        <v>1.0000000469791701</v>
      </c>
    </row>
    <row r="117" spans="1:40" x14ac:dyDescent="0.25">
      <c r="A117" t="str">
        <f>"20190304154730037"</f>
        <v>20190304154730037</v>
      </c>
      <c r="B117" t="str">
        <f>"1551685650027012"</f>
        <v>1551685650027012</v>
      </c>
      <c r="C117" t="s">
        <v>40</v>
      </c>
      <c r="D117">
        <v>4.2551489999999896</v>
      </c>
      <c r="E117">
        <v>0.52642630000000001</v>
      </c>
      <c r="F117" t="s">
        <v>44</v>
      </c>
      <c r="G117">
        <v>-447.37380000000002</v>
      </c>
      <c r="H117" s="1">
        <v>-1.5153910000000001E-6</v>
      </c>
      <c r="I117">
        <v>367.96159999999998</v>
      </c>
      <c r="J117">
        <v>-473.17140000000001</v>
      </c>
      <c r="K117">
        <v>1.1100490000000001</v>
      </c>
      <c r="L117">
        <v>367.18259999999998</v>
      </c>
      <c r="M117">
        <v>0.99989640000000002</v>
      </c>
      <c r="N117">
        <v>-8.2506439999999997E-3</v>
      </c>
      <c r="O117">
        <v>-1.180054E-2</v>
      </c>
      <c r="P117">
        <v>0.99385140000000005</v>
      </c>
      <c r="Q117">
        <v>4.47467E-2</v>
      </c>
      <c r="R117">
        <v>0.1012791</v>
      </c>
      <c r="S117">
        <v>3.0153500000000002</v>
      </c>
      <c r="T117">
        <v>-0.12955120000000001</v>
      </c>
      <c r="U117">
        <v>9.088135E-2</v>
      </c>
      <c r="V117">
        <v>-0.1129925</v>
      </c>
      <c r="W117">
        <v>5.2950709999999998E-2</v>
      </c>
      <c r="X117">
        <v>0.99218390000000001</v>
      </c>
      <c r="Y117">
        <v>-4.1866269999999997E-2</v>
      </c>
      <c r="Z117">
        <v>1.480959E-3</v>
      </c>
      <c r="AA117">
        <v>0.99912210000000001</v>
      </c>
      <c r="AB117">
        <v>7</v>
      </c>
      <c r="AC117">
        <v>25.7975999999999</v>
      </c>
      <c r="AD117">
        <v>-1.1100505153910001</v>
      </c>
      <c r="AE117">
        <v>0.77899999999999603</v>
      </c>
      <c r="AF117">
        <v>-1.0813813394096501</v>
      </c>
      <c r="AG117">
        <v>-1.1100505153910001</v>
      </c>
      <c r="AH117">
        <v>25.738998002551298</v>
      </c>
      <c r="AI117">
        <v>92.467301485831698</v>
      </c>
      <c r="AJ117">
        <v>92.405772382671501</v>
      </c>
      <c r="AK117">
        <v>25.785608697940098</v>
      </c>
      <c r="AL117">
        <v>86.964728255966705</v>
      </c>
      <c r="AM117">
        <v>96.497002765327906</v>
      </c>
      <c r="AN117">
        <v>0.99999998708248194</v>
      </c>
    </row>
    <row r="118" spans="1:40" x14ac:dyDescent="0.25">
      <c r="A118" t="str">
        <f>"20190304154730050"</f>
        <v>20190304154730050</v>
      </c>
      <c r="B118" t="str">
        <f>"1551685650047508"</f>
        <v>1551685650047508</v>
      </c>
      <c r="C118" t="s">
        <v>40</v>
      </c>
      <c r="D118">
        <v>4.358549</v>
      </c>
      <c r="E118">
        <v>0.52625330000000003</v>
      </c>
      <c r="F118" t="s">
        <v>44</v>
      </c>
      <c r="G118">
        <v>-447.7088</v>
      </c>
      <c r="H118" s="1">
        <v>-1.3589659999999999E-6</v>
      </c>
      <c r="I118">
        <v>367.95089999999999</v>
      </c>
      <c r="J118">
        <v>-473.1386</v>
      </c>
      <c r="K118">
        <v>1.1103459999999901</v>
      </c>
      <c r="L118">
        <v>367.18209999999999</v>
      </c>
      <c r="M118">
        <v>0.99988750000000004</v>
      </c>
      <c r="N118">
        <v>-9.1623509999999991E-3</v>
      </c>
      <c r="O118">
        <v>-1.1884520000000001E-2</v>
      </c>
      <c r="P118">
        <v>0.99387760000000003</v>
      </c>
      <c r="Q118">
        <v>4.3886210000000002E-2</v>
      </c>
      <c r="R118">
        <v>0.1013975</v>
      </c>
      <c r="S118">
        <v>3.0151370000000002</v>
      </c>
      <c r="T118">
        <v>-0.13144549999999999</v>
      </c>
      <c r="U118">
        <v>9.0972899999999995E-2</v>
      </c>
      <c r="V118">
        <v>-0.11319659999999999</v>
      </c>
      <c r="W118">
        <v>5.299214E-2</v>
      </c>
      <c r="X118">
        <v>0.9921584</v>
      </c>
      <c r="Y118">
        <v>-4.198056E-2</v>
      </c>
      <c r="Z118">
        <v>1.5158470000000001E-3</v>
      </c>
      <c r="AA118">
        <v>0.99911729999999999</v>
      </c>
      <c r="AB118">
        <v>6</v>
      </c>
      <c r="AC118">
        <v>25.4298</v>
      </c>
      <c r="AD118">
        <v>-1.11034735896599</v>
      </c>
      <c r="AE118">
        <v>0.76879999999999804</v>
      </c>
      <c r="AF118">
        <v>-1.06894326642037</v>
      </c>
      <c r="AG118">
        <v>-1.11034735896599</v>
      </c>
      <c r="AH118">
        <v>25.3705424911747</v>
      </c>
      <c r="AI118">
        <v>92.503744688689807</v>
      </c>
      <c r="AJ118">
        <v>92.412630112510001</v>
      </c>
      <c r="AK118">
        <v>25.417315697391999</v>
      </c>
      <c r="AL118">
        <v>86.962351083988096</v>
      </c>
      <c r="AM118">
        <v>96.508803632314994</v>
      </c>
      <c r="AN118">
        <v>0.99999996392194901</v>
      </c>
    </row>
    <row r="119" spans="1:40" x14ac:dyDescent="0.25">
      <c r="A119" t="str">
        <f>"20190304154730070"</f>
        <v>20190304154730070</v>
      </c>
      <c r="B119" t="str">
        <f>"1551685650067536"</f>
        <v>1551685650067536</v>
      </c>
      <c r="C119" t="s">
        <v>40</v>
      </c>
      <c r="D119">
        <v>4.2861370000000001</v>
      </c>
      <c r="E119">
        <v>0.52616209999999997</v>
      </c>
      <c r="F119" t="s">
        <v>44</v>
      </c>
      <c r="G119">
        <v>-448.4117</v>
      </c>
      <c r="H119" s="1">
        <v>-1.039331E-6</v>
      </c>
      <c r="I119">
        <v>367.94319999999999</v>
      </c>
      <c r="J119">
        <v>-473.08940000000001</v>
      </c>
      <c r="K119">
        <v>1.110797</v>
      </c>
      <c r="L119">
        <v>367.1814</v>
      </c>
      <c r="M119">
        <v>0.99986949999999997</v>
      </c>
      <c r="N119">
        <v>-1.081202E-2</v>
      </c>
      <c r="O119">
        <v>-1.1998480000000001E-2</v>
      </c>
      <c r="P119">
        <v>0.99393830000000005</v>
      </c>
      <c r="Q119">
        <v>4.2091139999999999E-2</v>
      </c>
      <c r="R119">
        <v>0.101562</v>
      </c>
      <c r="S119">
        <v>3.0149840000000001</v>
      </c>
      <c r="T119">
        <v>-0.1353858</v>
      </c>
      <c r="U119">
        <v>9.2803960000000005E-2</v>
      </c>
      <c r="V119">
        <v>-0.1134777</v>
      </c>
      <c r="W119">
        <v>5.2829760000000003E-2</v>
      </c>
      <c r="X119">
        <v>0.99213499999999999</v>
      </c>
      <c r="Y119">
        <v>-4.2697310000000002E-2</v>
      </c>
      <c r="Z119">
        <v>1.597717E-3</v>
      </c>
      <c r="AA119">
        <v>0.99908680000000005</v>
      </c>
      <c r="AB119">
        <v>6</v>
      </c>
      <c r="AC119">
        <v>24.677700000000002</v>
      </c>
      <c r="AD119">
        <v>-1.110798039331</v>
      </c>
      <c r="AE119">
        <v>0.76179999999999304</v>
      </c>
      <c r="AF119">
        <v>-1.05572041318528</v>
      </c>
      <c r="AG119">
        <v>-1.110798039331</v>
      </c>
      <c r="AH119">
        <v>24.6169534854548</v>
      </c>
      <c r="AI119">
        <v>92.581252346488796</v>
      </c>
      <c r="AJ119">
        <v>92.455676797189298</v>
      </c>
      <c r="AK119">
        <v>24.664606560414502</v>
      </c>
      <c r="AL119">
        <v>86.971667978652704</v>
      </c>
      <c r="AM119">
        <v>96.524980233605504</v>
      </c>
      <c r="AN119">
        <v>1.0000000150819699</v>
      </c>
    </row>
    <row r="120" spans="1:40" x14ac:dyDescent="0.25">
      <c r="A120" t="str">
        <f>"20190304154730093"</f>
        <v>20190304154730093</v>
      </c>
      <c r="B120" t="str">
        <f>"1551685650087056"</f>
        <v>1551685650087056</v>
      </c>
      <c r="C120" t="s">
        <v>40</v>
      </c>
      <c r="D120">
        <v>4.3631570000000002</v>
      </c>
      <c r="E120">
        <v>0.52601119999999901</v>
      </c>
      <c r="F120" t="s">
        <v>44</v>
      </c>
      <c r="G120">
        <v>-449.2903</v>
      </c>
      <c r="H120" s="1">
        <v>-7.0745809999999899E-7</v>
      </c>
      <c r="I120">
        <v>367.92250000000001</v>
      </c>
      <c r="J120">
        <v>-473.03489999999999</v>
      </c>
      <c r="K120">
        <v>1.1110880000000001</v>
      </c>
      <c r="L120">
        <v>367.18060000000003</v>
      </c>
      <c r="M120">
        <v>0.99985310000000005</v>
      </c>
      <c r="N120">
        <v>-1.216211E-2</v>
      </c>
      <c r="O120">
        <v>-1.2087799999999999E-2</v>
      </c>
      <c r="P120">
        <v>0.9940158</v>
      </c>
      <c r="Q120">
        <v>4.0451279999999999E-2</v>
      </c>
      <c r="R120">
        <v>0.1014733</v>
      </c>
      <c r="S120">
        <v>3.0146480000000002</v>
      </c>
      <c r="T120">
        <v>-0.14070559999999999</v>
      </c>
      <c r="U120">
        <v>9.3872070000000002E-2</v>
      </c>
      <c r="V120">
        <v>-0.1134809</v>
      </c>
      <c r="W120">
        <v>5.2525009999999997E-2</v>
      </c>
      <c r="X120">
        <v>0.9921508</v>
      </c>
      <c r="Y120">
        <v>-4.3137759999999997E-2</v>
      </c>
      <c r="Z120">
        <v>1.685329E-3</v>
      </c>
      <c r="AA120">
        <v>0.9990677</v>
      </c>
      <c r="AB120">
        <v>6</v>
      </c>
      <c r="AC120">
        <v>23.744599999999899</v>
      </c>
      <c r="AD120">
        <v>-1.1110887074581</v>
      </c>
      <c r="AE120">
        <v>0.74189999999998602</v>
      </c>
      <c r="AF120">
        <v>-1.0266412015915001</v>
      </c>
      <c r="AG120">
        <v>-1.1110887074581</v>
      </c>
      <c r="AH120">
        <v>23.682092269601299</v>
      </c>
      <c r="AI120">
        <v>92.683649783316099</v>
      </c>
      <c r="AJ120">
        <v>92.482272278249496</v>
      </c>
      <c r="AK120">
        <v>23.730360396305802</v>
      </c>
      <c r="AL120">
        <v>86.989153100448306</v>
      </c>
      <c r="AM120">
        <v>96.525059630064305</v>
      </c>
      <c r="AN120">
        <v>1.0000000006404699</v>
      </c>
    </row>
    <row r="121" spans="1:40" x14ac:dyDescent="0.25">
      <c r="A121" t="str">
        <f>"20190304154730108"</f>
        <v>20190304154730108</v>
      </c>
      <c r="B121" t="str">
        <f>"1551685650096817"</f>
        <v>1551685650096817</v>
      </c>
      <c r="C121" t="s">
        <v>40</v>
      </c>
      <c r="D121">
        <v>4.2381799999999998</v>
      </c>
      <c r="E121">
        <v>0.52597179999999999</v>
      </c>
      <c r="F121" t="s">
        <v>44</v>
      </c>
      <c r="G121">
        <v>-450.04730000000001</v>
      </c>
      <c r="H121" s="1">
        <v>-4.5558609999999998E-6</v>
      </c>
      <c r="I121">
        <v>367.90309999999999</v>
      </c>
      <c r="J121">
        <v>-472.99200000000002</v>
      </c>
      <c r="K121">
        <v>1.110849</v>
      </c>
      <c r="L121">
        <v>367.18</v>
      </c>
      <c r="M121">
        <v>0.99985809999999997</v>
      </c>
      <c r="N121">
        <v>-1.166943E-2</v>
      </c>
      <c r="O121">
        <v>-1.2156409999999999E-2</v>
      </c>
      <c r="P121">
        <v>0.99402950000000001</v>
      </c>
      <c r="Q121">
        <v>4.0771469999999997E-2</v>
      </c>
      <c r="R121">
        <v>0.1012089</v>
      </c>
      <c r="S121">
        <v>3.0142820000000001</v>
      </c>
      <c r="T121">
        <v>-0.14569370000000001</v>
      </c>
      <c r="U121">
        <v>9.4757079999999994E-2</v>
      </c>
      <c r="V121">
        <v>-0.1132847</v>
      </c>
      <c r="W121">
        <v>5.2356439999999997E-2</v>
      </c>
      <c r="X121">
        <v>0.99218209999999996</v>
      </c>
      <c r="Y121">
        <v>-4.3498259999999997E-2</v>
      </c>
      <c r="Z121">
        <v>1.7497560000000001E-3</v>
      </c>
      <c r="AA121">
        <v>0.99905200000000005</v>
      </c>
      <c r="AB121">
        <v>5</v>
      </c>
      <c r="AC121">
        <v>22.944699999999902</v>
      </c>
      <c r="AD121">
        <v>-1.110853555861</v>
      </c>
      <c r="AE121">
        <v>0.72309999999998797</v>
      </c>
      <c r="AF121">
        <v>-0.99964990383312302</v>
      </c>
      <c r="AG121">
        <v>-1.110853555861</v>
      </c>
      <c r="AH121">
        <v>22.880635529005801</v>
      </c>
      <c r="AI121">
        <v>92.776879510172407</v>
      </c>
      <c r="AJ121">
        <v>92.501649026215404</v>
      </c>
      <c r="AK121">
        <v>22.9293867725242</v>
      </c>
      <c r="AL121">
        <v>86.998824665227502</v>
      </c>
      <c r="AM121">
        <v>96.513671604603005</v>
      </c>
      <c r="AN121">
        <v>0.99999996981198602</v>
      </c>
    </row>
    <row r="122" spans="1:40" x14ac:dyDescent="0.25">
      <c r="A122" t="str">
        <f>"20190304154730126"</f>
        <v>20190304154730126</v>
      </c>
      <c r="B122" t="str">
        <f>"1551685650117312"</f>
        <v>1551685650117312</v>
      </c>
      <c r="C122" t="s">
        <v>40</v>
      </c>
      <c r="D122">
        <v>4.2399750000000003</v>
      </c>
      <c r="E122">
        <v>0.52591390000000005</v>
      </c>
      <c r="F122" t="s">
        <v>44</v>
      </c>
      <c r="G122">
        <v>-449.8229</v>
      </c>
      <c r="H122" s="1">
        <v>-5.0775000000000003E-7</v>
      </c>
      <c r="I122">
        <v>367.90429999999998</v>
      </c>
      <c r="J122">
        <v>-472.9427</v>
      </c>
      <c r="K122">
        <v>1.110487</v>
      </c>
      <c r="L122">
        <v>367.17930000000001</v>
      </c>
      <c r="M122">
        <v>0.9998686</v>
      </c>
      <c r="N122">
        <v>-1.0618529999999999E-2</v>
      </c>
      <c r="O122">
        <v>-1.225648E-2</v>
      </c>
      <c r="P122">
        <v>0.99403439999999998</v>
      </c>
      <c r="Q122">
        <v>4.1625750000000003E-2</v>
      </c>
      <c r="R122">
        <v>0.1008114</v>
      </c>
      <c r="S122">
        <v>3.014313</v>
      </c>
      <c r="T122">
        <v>-0.14452209999999999</v>
      </c>
      <c r="U122">
        <v>9.4238279999999994E-2</v>
      </c>
      <c r="V122">
        <v>-0.1129863</v>
      </c>
      <c r="W122">
        <v>5.2167869999999998E-2</v>
      </c>
      <c r="X122">
        <v>0.9922261</v>
      </c>
      <c r="Y122">
        <v>-4.3427739999999999E-2</v>
      </c>
      <c r="Z122">
        <v>1.7281410000000001E-3</v>
      </c>
      <c r="AA122">
        <v>0.99905509999999997</v>
      </c>
      <c r="AB122">
        <v>5</v>
      </c>
      <c r="AC122">
        <v>23.119800000000001</v>
      </c>
      <c r="AD122">
        <v>-1.11048750775</v>
      </c>
      <c r="AE122">
        <v>0.72499999999996501</v>
      </c>
      <c r="AF122">
        <v>-1.0060102048002999</v>
      </c>
      <c r="AG122">
        <v>-1.11048750775</v>
      </c>
      <c r="AH122">
        <v>23.0560373019728</v>
      </c>
      <c r="AI122">
        <v>92.754886819188002</v>
      </c>
      <c r="AJ122">
        <v>92.498417236026896</v>
      </c>
      <c r="AK122">
        <v>23.104676909816199</v>
      </c>
      <c r="AL122">
        <v>87.009643842555903</v>
      </c>
      <c r="AM122">
        <v>96.496375372260701</v>
      </c>
      <c r="AN122">
        <v>1.00000001208461</v>
      </c>
    </row>
    <row r="123" spans="1:40" x14ac:dyDescent="0.25">
      <c r="A123" t="str">
        <f>"20190304154730147"</f>
        <v>20190304154730147</v>
      </c>
      <c r="B123" t="str">
        <f>"1551685650136846"</f>
        <v>1551685650136846</v>
      </c>
      <c r="C123" t="s">
        <v>40</v>
      </c>
      <c r="D123">
        <v>4.2381510000000002</v>
      </c>
      <c r="E123">
        <v>0.52584019999999898</v>
      </c>
      <c r="F123" t="s">
        <v>44</v>
      </c>
      <c r="G123">
        <v>-449.2167</v>
      </c>
      <c r="H123" s="1">
        <v>-7.3764579999999995E-7</v>
      </c>
      <c r="I123">
        <v>367.91520000000003</v>
      </c>
      <c r="J123">
        <v>-472.88</v>
      </c>
      <c r="K123">
        <v>1.1100939999999999</v>
      </c>
      <c r="L123">
        <v>367.17840000000001</v>
      </c>
      <c r="M123">
        <v>0.9998802</v>
      </c>
      <c r="N123">
        <v>-9.2866330000000007E-3</v>
      </c>
      <c r="O123">
        <v>-1.2395410000000001E-2</v>
      </c>
      <c r="P123">
        <v>0.99400809999999995</v>
      </c>
      <c r="Q123">
        <v>4.311893E-2</v>
      </c>
      <c r="R123">
        <v>0.10044459999999999</v>
      </c>
      <c r="S123">
        <v>3.0144350000000002</v>
      </c>
      <c r="T123">
        <v>-0.14108979999999999</v>
      </c>
      <c r="U123">
        <v>9.3505859999999996E-2</v>
      </c>
      <c r="V123">
        <v>-0.1127563</v>
      </c>
      <c r="W123">
        <v>5.2340249999999998E-2</v>
      </c>
      <c r="X123">
        <v>0.99224319999999999</v>
      </c>
      <c r="Y123">
        <v>-4.3326530000000002E-2</v>
      </c>
      <c r="Z123">
        <v>1.6792000000000001E-3</v>
      </c>
      <c r="AA123">
        <v>0.99905960000000005</v>
      </c>
      <c r="AB123">
        <v>6</v>
      </c>
      <c r="AC123">
        <v>23.6632999999999</v>
      </c>
      <c r="AD123">
        <v>-1.1100947376457999</v>
      </c>
      <c r="AE123">
        <v>0.736800000000016</v>
      </c>
      <c r="AF123">
        <v>-1.0278125385595001</v>
      </c>
      <c r="AG123">
        <v>-1.1100947376457999</v>
      </c>
      <c r="AH123">
        <v>23.6004602967339</v>
      </c>
      <c r="AI123">
        <v>92.690489885163203</v>
      </c>
      <c r="AJ123">
        <v>92.493685774702797</v>
      </c>
      <c r="AK123">
        <v>23.648899237780299</v>
      </c>
      <c r="AL123">
        <v>86.999753727636204</v>
      </c>
      <c r="AM123">
        <v>96.483152985182997</v>
      </c>
      <c r="AN123">
        <v>1.00000002645299</v>
      </c>
    </row>
    <row r="124" spans="1:40" x14ac:dyDescent="0.25">
      <c r="A124" t="str">
        <f>"20190304154730159"</f>
        <v>20190304154730159</v>
      </c>
      <c r="B124" t="str">
        <f>"1551685650147570"</f>
        <v>1551685650147570</v>
      </c>
      <c r="C124" t="s">
        <v>40</v>
      </c>
      <c r="D124">
        <v>4.1804430000000004</v>
      </c>
      <c r="E124">
        <v>0.52582109999999904</v>
      </c>
      <c r="F124" t="s">
        <v>44</v>
      </c>
      <c r="G124">
        <v>-448.22739999999999</v>
      </c>
      <c r="H124" s="1">
        <v>-1.1159209999999999E-6</v>
      </c>
      <c r="I124">
        <v>367.9391</v>
      </c>
      <c r="J124">
        <v>-472.8426</v>
      </c>
      <c r="K124">
        <v>1.1099289999999999</v>
      </c>
      <c r="L124">
        <v>367.17790000000002</v>
      </c>
      <c r="M124">
        <v>0.99988500000000002</v>
      </c>
      <c r="N124">
        <v>-8.6262769999999999E-3</v>
      </c>
      <c r="O124">
        <v>-1.247967E-2</v>
      </c>
      <c r="P124">
        <v>0.99399850000000001</v>
      </c>
      <c r="Q124">
        <v>4.3947369999999999E-2</v>
      </c>
      <c r="R124">
        <v>0.10017959999999999</v>
      </c>
      <c r="S124">
        <v>3.0145870000000001</v>
      </c>
      <c r="T124">
        <v>-0.13574530000000001</v>
      </c>
      <c r="U124">
        <v>9.3017580000000002E-2</v>
      </c>
      <c r="V124">
        <v>-0.11257449999999999</v>
      </c>
      <c r="W124">
        <v>5.2514529999999997E-2</v>
      </c>
      <c r="X124">
        <v>0.99225459999999999</v>
      </c>
      <c r="Y124">
        <v>-4.3252489999999998E-2</v>
      </c>
      <c r="Z124">
        <v>1.613777E-3</v>
      </c>
      <c r="AA124">
        <v>0.99906289999999998</v>
      </c>
      <c r="AB124">
        <v>6</v>
      </c>
      <c r="AC124">
        <v>24.615200000000002</v>
      </c>
      <c r="AD124">
        <v>-1.109930115921</v>
      </c>
      <c r="AE124">
        <v>0.76119999999997301</v>
      </c>
      <c r="AF124">
        <v>-1.06617599491508</v>
      </c>
      <c r="AG124">
        <v>-1.109930115921</v>
      </c>
      <c r="AH124">
        <v>24.553907275439101</v>
      </c>
      <c r="AI124">
        <v>92.585792236360703</v>
      </c>
      <c r="AJ124">
        <v>92.486326712697306</v>
      </c>
      <c r="AK124">
        <v>24.602094191454999</v>
      </c>
      <c r="AL124">
        <v>86.989754365738605</v>
      </c>
      <c r="AM124">
        <v>96.472715071026798</v>
      </c>
      <c r="AN124">
        <v>0.99999999256626504</v>
      </c>
    </row>
    <row r="125" spans="1:40" x14ac:dyDescent="0.25">
      <c r="A125" t="str">
        <f>"20190304154730170"</f>
        <v>20190304154730170</v>
      </c>
      <c r="B125" t="str">
        <f>"1551685650167089"</f>
        <v>1551685650167089</v>
      </c>
      <c r="C125" t="s">
        <v>40</v>
      </c>
      <c r="D125">
        <v>4.3374069999999998</v>
      </c>
      <c r="E125">
        <v>0.52588859999999904</v>
      </c>
      <c r="F125" t="s">
        <v>44</v>
      </c>
      <c r="G125">
        <v>-447.61660000000001</v>
      </c>
      <c r="H125" s="1">
        <v>-1.4027989999999999E-6</v>
      </c>
      <c r="I125">
        <v>367.94929999999999</v>
      </c>
      <c r="J125">
        <v>-472.80759999999998</v>
      </c>
      <c r="K125">
        <v>1.109802</v>
      </c>
      <c r="L125">
        <v>367.17739999999998</v>
      </c>
      <c r="M125">
        <v>0.99988869999999996</v>
      </c>
      <c r="N125">
        <v>-8.0634460000000002E-3</v>
      </c>
      <c r="O125">
        <v>-1.2558690000000001E-2</v>
      </c>
      <c r="P125">
        <v>0.99399539999999997</v>
      </c>
      <c r="Q125">
        <v>4.4553469999999998E-2</v>
      </c>
      <c r="R125">
        <v>9.9942710000000004E-2</v>
      </c>
      <c r="S125">
        <v>3.0147089999999999</v>
      </c>
      <c r="T125">
        <v>-0.13264599999999999</v>
      </c>
      <c r="U125">
        <v>9.2193600000000001E-2</v>
      </c>
      <c r="V125">
        <v>-0.11241520000000001</v>
      </c>
      <c r="W125">
        <v>5.2563579999999999E-2</v>
      </c>
      <c r="X125">
        <v>0.99227010000000004</v>
      </c>
      <c r="Y125">
        <v>-4.306041E-2</v>
      </c>
      <c r="Z125">
        <v>1.5713859999999999E-3</v>
      </c>
      <c r="AA125">
        <v>0.99907120000000005</v>
      </c>
      <c r="AB125">
        <v>7</v>
      </c>
      <c r="AC125">
        <v>25.190999999999899</v>
      </c>
      <c r="AD125">
        <v>-1.109803402799</v>
      </c>
      <c r="AE125">
        <v>0.77190000000001602</v>
      </c>
      <c r="AF125">
        <v>-1.08610929944374</v>
      </c>
      <c r="AG125">
        <v>-1.109803402799</v>
      </c>
      <c r="AH125">
        <v>25.130588858678902</v>
      </c>
      <c r="AI125">
        <v>92.526266935668602</v>
      </c>
      <c r="AJ125">
        <v>92.474704336399</v>
      </c>
      <c r="AK125">
        <v>25.178518490712602</v>
      </c>
      <c r="AL125">
        <v>86.986940231507901</v>
      </c>
      <c r="AM125">
        <v>96.463533226654505</v>
      </c>
      <c r="AN125">
        <v>1.0000000292437301</v>
      </c>
    </row>
    <row r="126" spans="1:40" x14ac:dyDescent="0.25">
      <c r="A126" t="str">
        <f>"20190304154730183"</f>
        <v>20190304154730183</v>
      </c>
      <c r="B126" t="str">
        <f>"1551685650176849"</f>
        <v>1551685650176849</v>
      </c>
      <c r="C126" t="s">
        <v>40</v>
      </c>
      <c r="D126">
        <v>4.1983459999999999</v>
      </c>
      <c r="E126">
        <v>0.52598420000000001</v>
      </c>
      <c r="F126" t="s">
        <v>44</v>
      </c>
      <c r="G126">
        <v>-446.9024</v>
      </c>
      <c r="H126" s="1">
        <v>-1.7385E-6</v>
      </c>
      <c r="I126">
        <v>367.96010000000001</v>
      </c>
      <c r="J126">
        <v>-472.76940000000002</v>
      </c>
      <c r="K126">
        <v>1.109702</v>
      </c>
      <c r="L126">
        <v>367.17680000000001</v>
      </c>
      <c r="M126">
        <v>0.9998918</v>
      </c>
      <c r="N126">
        <v>-7.5307780000000001E-3</v>
      </c>
      <c r="O126">
        <v>-1.2639869999999999E-2</v>
      </c>
      <c r="P126">
        <v>0.99394839999999995</v>
      </c>
      <c r="Q126">
        <v>4.5321720000000003E-2</v>
      </c>
      <c r="R126">
        <v>0.1000645</v>
      </c>
      <c r="S126">
        <v>3.0148009999999998</v>
      </c>
      <c r="T126">
        <v>-0.1291573</v>
      </c>
      <c r="U126">
        <v>9.1094969999999997E-2</v>
      </c>
      <c r="V126">
        <v>-0.1126163</v>
      </c>
      <c r="W126">
        <v>5.2804530000000002E-2</v>
      </c>
      <c r="X126">
        <v>0.99223450000000002</v>
      </c>
      <c r="Y126">
        <v>-4.2780209999999999E-2</v>
      </c>
      <c r="Z126">
        <v>1.5229760000000001E-3</v>
      </c>
      <c r="AA126">
        <v>0.99908330000000001</v>
      </c>
      <c r="AB126">
        <v>7</v>
      </c>
      <c r="AC126">
        <v>25.867000000000001</v>
      </c>
      <c r="AD126">
        <v>-1.1097037384999999</v>
      </c>
      <c r="AE126">
        <v>0.783299999999997</v>
      </c>
      <c r="AF126">
        <v>-1.1081645522768899</v>
      </c>
      <c r="AG126">
        <v>-1.1097037384999999</v>
      </c>
      <c r="AH126">
        <v>25.807578553361001</v>
      </c>
      <c r="AI126">
        <v>92.4598887287883</v>
      </c>
      <c r="AJ126">
        <v>92.458741796575396</v>
      </c>
      <c r="AK126">
        <v>25.855184815623801</v>
      </c>
      <c r="AL126">
        <v>86.973115605388699</v>
      </c>
      <c r="AM126">
        <v>96.475228099237995</v>
      </c>
      <c r="AN126">
        <v>1.0000000262022299</v>
      </c>
    </row>
    <row r="127" spans="1:40" x14ac:dyDescent="0.25">
      <c r="A127" t="str">
        <f>"20190304154730203"</f>
        <v>20190304154730203</v>
      </c>
      <c r="B127" t="str">
        <f>"1551685650197344"</f>
        <v>1551685650197344</v>
      </c>
      <c r="C127" t="s">
        <v>40</v>
      </c>
      <c r="D127">
        <v>4.186998</v>
      </c>
      <c r="E127">
        <v>0.52617979999999998</v>
      </c>
      <c r="F127" t="s">
        <v>44</v>
      </c>
      <c r="G127">
        <v>-446.11009999999999</v>
      </c>
      <c r="H127" s="1">
        <v>-2.1097610000000001E-6</v>
      </c>
      <c r="I127">
        <v>367.9785</v>
      </c>
      <c r="J127">
        <v>-472.70929999999998</v>
      </c>
      <c r="K127">
        <v>1.1095600000000001</v>
      </c>
      <c r="L127">
        <v>367.17590000000001</v>
      </c>
      <c r="M127">
        <v>0.99989609999999995</v>
      </c>
      <c r="N127">
        <v>-6.7252630000000004E-3</v>
      </c>
      <c r="O127">
        <v>-1.276009E-2</v>
      </c>
      <c r="P127">
        <v>0.99390769999999995</v>
      </c>
      <c r="Q127">
        <v>4.6183149999999999E-2</v>
      </c>
      <c r="R127">
        <v>0.1000745</v>
      </c>
      <c r="S127">
        <v>3.0148619999999999</v>
      </c>
      <c r="T127">
        <v>-0.125495</v>
      </c>
      <c r="U127">
        <v>9.0667719999999993E-2</v>
      </c>
      <c r="V127">
        <v>-0.1127437</v>
      </c>
      <c r="W127">
        <v>5.2867850000000001E-2</v>
      </c>
      <c r="X127">
        <v>0.9922166</v>
      </c>
      <c r="Y127">
        <v>-4.276141E-2</v>
      </c>
      <c r="Z127">
        <v>1.478339E-3</v>
      </c>
      <c r="AA127">
        <v>0.99908419999999998</v>
      </c>
      <c r="AB127">
        <v>7</v>
      </c>
      <c r="AC127">
        <v>26.5992</v>
      </c>
      <c r="AD127">
        <v>-1.109562109761</v>
      </c>
      <c r="AE127">
        <v>0.80259999999998399</v>
      </c>
      <c r="AF127">
        <v>-1.13996865444477</v>
      </c>
      <c r="AG127">
        <v>-1.109562109761</v>
      </c>
      <c r="AH127">
        <v>26.540652380010599</v>
      </c>
      <c r="AI127">
        <v>92.391718502629303</v>
      </c>
      <c r="AJ127">
        <v>92.459444865855403</v>
      </c>
      <c r="AK127">
        <v>26.588284739055599</v>
      </c>
      <c r="AL127">
        <v>86.9694823806161</v>
      </c>
      <c r="AM127">
        <v>96.482606995544799</v>
      </c>
      <c r="AN127">
        <v>0.999999966384435</v>
      </c>
    </row>
    <row r="128" spans="1:40" x14ac:dyDescent="0.25">
      <c r="A128" t="str">
        <f>"20190304154730214"</f>
        <v>20190304154730214</v>
      </c>
      <c r="B128" t="str">
        <f>"1551685650207104"</f>
        <v>1551685650207104</v>
      </c>
      <c r="C128" t="s">
        <v>40</v>
      </c>
      <c r="D128">
        <v>4.1964949999999996</v>
      </c>
      <c r="E128">
        <v>0.52624609999999905</v>
      </c>
      <c r="F128" t="s">
        <v>44</v>
      </c>
      <c r="G128">
        <v>-444.8023</v>
      </c>
      <c r="H128" s="1">
        <v>-2.7241860000000001E-6</v>
      </c>
      <c r="I128">
        <v>367.99990000000003</v>
      </c>
      <c r="J128">
        <v>-472.66899999999998</v>
      </c>
      <c r="K128">
        <v>1.109551</v>
      </c>
      <c r="L128">
        <v>367.17529999999999</v>
      </c>
      <c r="M128">
        <v>0.99989689999999998</v>
      </c>
      <c r="N128">
        <v>-6.45848E-3</v>
      </c>
      <c r="O128">
        <v>-1.2834089999999999E-2</v>
      </c>
      <c r="P128">
        <v>0.99388670000000001</v>
      </c>
      <c r="Q128">
        <v>4.6589119999999998E-2</v>
      </c>
      <c r="R128">
        <v>0.10009469999999999</v>
      </c>
      <c r="S128">
        <v>3.0149840000000001</v>
      </c>
      <c r="T128">
        <v>-0.11987390000000001</v>
      </c>
      <c r="U128">
        <v>8.9019780000000007E-2</v>
      </c>
      <c r="V128">
        <v>-0.11283700000000001</v>
      </c>
      <c r="W128">
        <v>5.3009750000000001E-2</v>
      </c>
      <c r="X128">
        <v>0.99219849999999998</v>
      </c>
      <c r="Y128">
        <v>-4.2293339999999999E-2</v>
      </c>
      <c r="Z128">
        <v>1.4040669999999999E-3</v>
      </c>
      <c r="AA128">
        <v>0.99910429999999995</v>
      </c>
      <c r="AB128">
        <v>7</v>
      </c>
      <c r="AC128">
        <v>27.866700000000002</v>
      </c>
      <c r="AD128">
        <v>-1.1095537241859901</v>
      </c>
      <c r="AE128">
        <v>0.82460000000003197</v>
      </c>
      <c r="AF128">
        <v>-1.18031366054465</v>
      </c>
      <c r="AG128">
        <v>-1.1095537241859901</v>
      </c>
      <c r="AH128">
        <v>27.809771889568001</v>
      </c>
      <c r="AI128">
        <v>92.282721147251905</v>
      </c>
      <c r="AJ128">
        <v>92.430312213483305</v>
      </c>
      <c r="AK128">
        <v>27.856914085266698</v>
      </c>
      <c r="AL128">
        <v>86.961340924977705</v>
      </c>
      <c r="AM128">
        <v>96.488043240494605</v>
      </c>
      <c r="AN128">
        <v>1.0000000427831499</v>
      </c>
    </row>
    <row r="129" spans="1:40" x14ac:dyDescent="0.25">
      <c r="A129" t="str">
        <f>"20190304154730226"</f>
        <v>20190304154730226</v>
      </c>
      <c r="B129" t="str">
        <f>"1551685650216864"</f>
        <v>1551685650216864</v>
      </c>
      <c r="C129" t="s">
        <v>40</v>
      </c>
      <c r="D129">
        <v>4.1874589999999996</v>
      </c>
      <c r="E129">
        <v>0.52619689999999997</v>
      </c>
      <c r="F129" t="s">
        <v>44</v>
      </c>
      <c r="G129">
        <v>-444.21</v>
      </c>
      <c r="H129" s="1">
        <v>-3.0020720000000001E-6</v>
      </c>
      <c r="I129">
        <v>368.01179999999999</v>
      </c>
      <c r="J129">
        <v>-472.63240000000002</v>
      </c>
      <c r="K129">
        <v>1.1097349999999999</v>
      </c>
      <c r="L129">
        <v>367.17469999999997</v>
      </c>
      <c r="M129">
        <v>0.99989329999999998</v>
      </c>
      <c r="N129">
        <v>-6.8762709999999998E-3</v>
      </c>
      <c r="O129">
        <v>-1.289352E-2</v>
      </c>
      <c r="P129">
        <v>0.99389649999999996</v>
      </c>
      <c r="Q129">
        <v>4.6125050000000001E-2</v>
      </c>
      <c r="R129">
        <v>0.10021099999999999</v>
      </c>
      <c r="S129">
        <v>3.0150760000000001</v>
      </c>
      <c r="T129">
        <v>-0.11755110000000001</v>
      </c>
      <c r="U129">
        <v>8.8623049999999995E-2</v>
      </c>
      <c r="V129">
        <v>-0.1130128</v>
      </c>
      <c r="W129">
        <v>5.2959279999999997E-2</v>
      </c>
      <c r="X129">
        <v>0.99218110000000004</v>
      </c>
      <c r="Y129">
        <v>-4.2222080000000002E-2</v>
      </c>
      <c r="Z129">
        <v>1.3816379999999999E-3</v>
      </c>
      <c r="AA129">
        <v>0.99910730000000003</v>
      </c>
      <c r="AB129">
        <v>7</v>
      </c>
      <c r="AC129">
        <v>28.4224</v>
      </c>
      <c r="AD129">
        <v>-1.109738002072</v>
      </c>
      <c r="AE129">
        <v>0.83710000000002005</v>
      </c>
      <c r="AF129">
        <v>-1.2016735048545399</v>
      </c>
      <c r="AG129">
        <v>-1.109738002072</v>
      </c>
      <c r="AH129">
        <v>28.366038109840499</v>
      </c>
      <c r="AI129">
        <v>92.238381119051894</v>
      </c>
      <c r="AJ129">
        <v>92.425776800175399</v>
      </c>
      <c r="AK129">
        <v>28.413159903369301</v>
      </c>
      <c r="AL129">
        <v>86.964236449035099</v>
      </c>
      <c r="AM129">
        <v>96.498178202156794</v>
      </c>
      <c r="AN129">
        <v>0.99999995674958297</v>
      </c>
    </row>
    <row r="130" spans="1:40" x14ac:dyDescent="0.25">
      <c r="A130" t="str">
        <f>"20190304154730238"</f>
        <v>20190304154730238</v>
      </c>
      <c r="B130" t="str">
        <f>"1551685650227602"</f>
        <v>1551685650227602</v>
      </c>
      <c r="C130" t="s">
        <v>40</v>
      </c>
      <c r="D130">
        <v>4.2236379999999896</v>
      </c>
      <c r="E130">
        <v>0.52619169999999904</v>
      </c>
      <c r="F130" t="s">
        <v>44</v>
      </c>
      <c r="G130">
        <v>-444.46769999999998</v>
      </c>
      <c r="H130" s="1">
        <v>-2.8809889999999999E-6</v>
      </c>
      <c r="I130">
        <v>368.00779999999997</v>
      </c>
      <c r="J130">
        <v>-472.59910000000002</v>
      </c>
      <c r="K130">
        <v>1.1099589999999999</v>
      </c>
      <c r="L130">
        <v>367.17419999999998</v>
      </c>
      <c r="M130">
        <v>0.99988809999999995</v>
      </c>
      <c r="N130">
        <v>-7.50739099999999E-3</v>
      </c>
      <c r="O130">
        <v>-1.2945099999999999E-2</v>
      </c>
      <c r="P130">
        <v>0.99394950000000004</v>
      </c>
      <c r="Q130">
        <v>4.5561749999999998E-2</v>
      </c>
      <c r="R130">
        <v>9.9944169999999999E-2</v>
      </c>
      <c r="S130">
        <v>3.0149539999999999</v>
      </c>
      <c r="T130">
        <v>-0.1187942</v>
      </c>
      <c r="U130">
        <v>8.9172360000000006E-2</v>
      </c>
      <c r="V130">
        <v>-0.1127981</v>
      </c>
      <c r="W130">
        <v>5.3021659999999998E-2</v>
      </c>
      <c r="X130">
        <v>0.99220220000000003</v>
      </c>
      <c r="Y130">
        <v>-4.2455319999999998E-2</v>
      </c>
      <c r="Z130">
        <v>1.4080049999999999E-3</v>
      </c>
      <c r="AA130">
        <v>0.99909729999999997</v>
      </c>
      <c r="AB130">
        <v>7</v>
      </c>
      <c r="AC130">
        <v>28.131399999999999</v>
      </c>
      <c r="AD130">
        <v>-1.1099618809889999</v>
      </c>
      <c r="AE130">
        <v>0.83359999999998902</v>
      </c>
      <c r="AF130">
        <v>-1.1958441099007799</v>
      </c>
      <c r="AG130">
        <v>-1.1099618809889999</v>
      </c>
      <c r="AH130">
        <v>28.074583133063602</v>
      </c>
      <c r="AI130">
        <v>92.262028299513403</v>
      </c>
      <c r="AJ130">
        <v>92.439054115668995</v>
      </c>
      <c r="AK130">
        <v>28.121953641376599</v>
      </c>
      <c r="AL130">
        <v>86.960657309494195</v>
      </c>
      <c r="AM130">
        <v>96.4858016013916</v>
      </c>
      <c r="AN130">
        <v>0.99999995673880104</v>
      </c>
    </row>
    <row r="131" spans="1:40" x14ac:dyDescent="0.25">
      <c r="A131" t="str">
        <f>"20190304154730251"</f>
        <v>20190304154730251</v>
      </c>
      <c r="B131" t="str">
        <f>"1551685650247121"</f>
        <v>1551685650247121</v>
      </c>
      <c r="C131" t="s">
        <v>40</v>
      </c>
      <c r="D131">
        <v>4.1250819999999999</v>
      </c>
      <c r="E131">
        <v>0.5262386</v>
      </c>
      <c r="F131" t="s">
        <v>44</v>
      </c>
      <c r="G131">
        <v>-444.79520000000002</v>
      </c>
      <c r="H131" s="1">
        <v>-2.7288750000000002E-6</v>
      </c>
      <c r="I131">
        <v>367.99239999999998</v>
      </c>
      <c r="J131">
        <v>-472.56229999999999</v>
      </c>
      <c r="K131">
        <v>1.11025</v>
      </c>
      <c r="L131">
        <v>367.1737</v>
      </c>
      <c r="M131">
        <v>0.99988030000000006</v>
      </c>
      <c r="N131">
        <v>-8.4007660000000005E-3</v>
      </c>
      <c r="O131">
        <v>-1.300021E-2</v>
      </c>
      <c r="P131">
        <v>0.99398330000000001</v>
      </c>
      <c r="Q131">
        <v>4.456355E-2</v>
      </c>
      <c r="R131">
        <v>0.1000577</v>
      </c>
      <c r="S131">
        <v>3.0148929999999998</v>
      </c>
      <c r="T131">
        <v>-0.1203578</v>
      </c>
      <c r="U131">
        <v>8.8714600000000005E-2</v>
      </c>
      <c r="V131">
        <v>-0.1129682</v>
      </c>
      <c r="W131">
        <v>5.2908810000000001E-2</v>
      </c>
      <c r="X131">
        <v>0.99218890000000004</v>
      </c>
      <c r="Y131">
        <v>-4.2358010000000001E-2</v>
      </c>
      <c r="Z131">
        <v>1.4325410000000001E-3</v>
      </c>
      <c r="AA131">
        <v>0.99910149999999998</v>
      </c>
      <c r="AB131">
        <v>7</v>
      </c>
      <c r="AC131">
        <v>27.7670999999999</v>
      </c>
      <c r="AD131">
        <v>-1.1102527288749999</v>
      </c>
      <c r="AE131">
        <v>0.818699999999978</v>
      </c>
      <c r="AF131">
        <v>-1.1777403584450099</v>
      </c>
      <c r="AG131">
        <v>-1.1102527288749999</v>
      </c>
      <c r="AH131">
        <v>27.709846841735001</v>
      </c>
      <c r="AI131">
        <v>92.292380042827403</v>
      </c>
      <c r="AJ131">
        <v>92.433754433895899</v>
      </c>
      <c r="AK131">
        <v>27.757077394176299</v>
      </c>
      <c r="AL131">
        <v>86.967132312261796</v>
      </c>
      <c r="AM131">
        <v>96.495585018233299</v>
      </c>
      <c r="AN131">
        <v>0.99999998483503305</v>
      </c>
    </row>
    <row r="132" spans="1:40" x14ac:dyDescent="0.25">
      <c r="A132" t="str">
        <f>"20190304154730262"</f>
        <v>20190304154730262</v>
      </c>
      <c r="B132" t="str">
        <f>"1551685650256881"</f>
        <v>1551685650256881</v>
      </c>
      <c r="C132" t="s">
        <v>40</v>
      </c>
      <c r="D132">
        <v>4.3220010000000002</v>
      </c>
      <c r="E132">
        <v>0.52610459999999903</v>
      </c>
      <c r="F132" t="s">
        <v>44</v>
      </c>
      <c r="G132">
        <v>-445.44279999999998</v>
      </c>
      <c r="H132" s="1">
        <v>-2.426799E-6</v>
      </c>
      <c r="I132">
        <v>367.96949999999998</v>
      </c>
      <c r="J132">
        <v>-472.5308</v>
      </c>
      <c r="K132">
        <v>1.11052</v>
      </c>
      <c r="L132">
        <v>367.17320000000001</v>
      </c>
      <c r="M132">
        <v>0.99987110000000001</v>
      </c>
      <c r="N132">
        <v>-9.3522469999999993E-3</v>
      </c>
      <c r="O132">
        <v>-1.304379E-2</v>
      </c>
      <c r="P132">
        <v>0.99404910000000002</v>
      </c>
      <c r="Q132">
        <v>4.3732140000000003E-2</v>
      </c>
      <c r="R132">
        <v>9.9769179999999999E-2</v>
      </c>
      <c r="S132">
        <v>3.0148009999999998</v>
      </c>
      <c r="T132">
        <v>-0.1234237</v>
      </c>
      <c r="U132">
        <v>8.8470460000000001E-2</v>
      </c>
      <c r="V132">
        <v>-0.1127248</v>
      </c>
      <c r="W132">
        <v>5.3020240000000003E-2</v>
      </c>
      <c r="X132">
        <v>0.99221060000000005</v>
      </c>
      <c r="Y132">
        <v>-4.2318979999999999E-2</v>
      </c>
      <c r="Z132">
        <v>1.4754989999999999E-3</v>
      </c>
      <c r="AA132">
        <v>0.99910310000000002</v>
      </c>
      <c r="AB132">
        <v>7</v>
      </c>
      <c r="AC132">
        <v>27.088000000000001</v>
      </c>
      <c r="AD132">
        <v>-1.1105224267989999</v>
      </c>
      <c r="AE132">
        <v>0.79629999999997303</v>
      </c>
      <c r="AF132">
        <v>-1.1476506796921899</v>
      </c>
      <c r="AG132">
        <v>-1.1105224267989999</v>
      </c>
      <c r="AH132">
        <v>27.029917029237598</v>
      </c>
      <c r="AI132">
        <v>92.3505549433971</v>
      </c>
      <c r="AJ132">
        <v>92.431234613636406</v>
      </c>
      <c r="AK132">
        <v>27.0770525861012</v>
      </c>
      <c r="AL132">
        <v>86.960738765336203</v>
      </c>
      <c r="AM132">
        <v>96.481568380905003</v>
      </c>
      <c r="AN132">
        <v>0.99999995056852697</v>
      </c>
    </row>
    <row r="133" spans="1:40" x14ac:dyDescent="0.25">
      <c r="A133" t="str">
        <f>"20190304154730281"</f>
        <v>20190304154730281</v>
      </c>
      <c r="B133" t="str">
        <f>"1551685650277376"</f>
        <v>1551685650277376</v>
      </c>
      <c r="C133" t="s">
        <v>40</v>
      </c>
      <c r="D133">
        <v>4.0880700000000001</v>
      </c>
      <c r="E133">
        <v>0.52593570000000001</v>
      </c>
      <c r="F133" t="s">
        <v>44</v>
      </c>
      <c r="G133">
        <v>-445.91410000000002</v>
      </c>
      <c r="H133" s="1">
        <v>-2.2065439999999999E-6</v>
      </c>
      <c r="I133">
        <v>367.9554</v>
      </c>
      <c r="J133">
        <v>-472.4796</v>
      </c>
      <c r="K133">
        <v>1.110895</v>
      </c>
      <c r="L133">
        <v>367.17250000000001</v>
      </c>
      <c r="M133">
        <v>0.99985520000000006</v>
      </c>
      <c r="N133">
        <v>-1.0860470000000001E-2</v>
      </c>
      <c r="O133">
        <v>-1.3106990000000001E-2</v>
      </c>
      <c r="P133">
        <v>0.99413110000000005</v>
      </c>
      <c r="Q133">
        <v>4.2036690000000002E-2</v>
      </c>
      <c r="R133">
        <v>9.9682939999999998E-2</v>
      </c>
      <c r="S133">
        <v>3.014618</v>
      </c>
      <c r="T133">
        <v>-0.1257778</v>
      </c>
      <c r="U133">
        <v>8.8592530000000003E-2</v>
      </c>
      <c r="V133">
        <v>-0.11270380000000001</v>
      </c>
      <c r="W133">
        <v>5.2818810000000001E-2</v>
      </c>
      <c r="X133">
        <v>0.99222379999999999</v>
      </c>
      <c r="Y133">
        <v>-4.2421830000000001E-2</v>
      </c>
      <c r="Z133">
        <v>1.519189E-3</v>
      </c>
      <c r="AA133">
        <v>0.99909870000000001</v>
      </c>
      <c r="AB133">
        <v>6</v>
      </c>
      <c r="AC133">
        <v>26.565499999999901</v>
      </c>
      <c r="AD133">
        <v>-1.1108972065439999</v>
      </c>
      <c r="AE133">
        <v>0.78289999999998305</v>
      </c>
      <c r="AF133">
        <v>-1.1290743087442301</v>
      </c>
      <c r="AG133">
        <v>-1.1108972065439999</v>
      </c>
      <c r="AH133">
        <v>26.5066441128394</v>
      </c>
      <c r="AI133">
        <v>92.3976981172449</v>
      </c>
      <c r="AJ133">
        <v>92.439090721965599</v>
      </c>
      <c r="AK133">
        <v>26.553927836063998</v>
      </c>
      <c r="AL133">
        <v>86.972296263307996</v>
      </c>
      <c r="AM133">
        <v>96.480285695400696</v>
      </c>
      <c r="AN133">
        <v>1.0000000212553399</v>
      </c>
    </row>
    <row r="134" spans="1:40" x14ac:dyDescent="0.25">
      <c r="A134" t="str">
        <f>"20190304154730303"</f>
        <v>20190304154730303</v>
      </c>
      <c r="B134" t="str">
        <f>"1551685650296896"</f>
        <v>1551685650296896</v>
      </c>
      <c r="C134" t="s">
        <v>40</v>
      </c>
      <c r="D134">
        <v>4.3108009999999997</v>
      </c>
      <c r="E134">
        <v>0.52564169999999999</v>
      </c>
      <c r="F134" t="s">
        <v>44</v>
      </c>
      <c r="G134">
        <v>-447.14429999999999</v>
      </c>
      <c r="H134" s="1">
        <v>-1.6301010000000001E-6</v>
      </c>
      <c r="I134">
        <v>367.92660000000001</v>
      </c>
      <c r="J134">
        <v>-472.41559999999998</v>
      </c>
      <c r="K134">
        <v>1.110932</v>
      </c>
      <c r="L134">
        <v>367.17149999999998</v>
      </c>
      <c r="M134">
        <v>0.9998475</v>
      </c>
      <c r="N134">
        <v>-1.146318E-2</v>
      </c>
      <c r="O134">
        <v>-1.3172929999999999E-2</v>
      </c>
      <c r="P134">
        <v>0.99415149999999997</v>
      </c>
      <c r="Q134">
        <v>4.1462840000000001E-2</v>
      </c>
      <c r="R134">
        <v>9.9717169999999994E-2</v>
      </c>
      <c r="S134">
        <v>3.014313</v>
      </c>
      <c r="T134">
        <v>-0.13217089999999901</v>
      </c>
      <c r="U134">
        <v>8.9721679999999998E-2</v>
      </c>
      <c r="V134">
        <v>-0.1128049</v>
      </c>
      <c r="W134">
        <v>5.284167E-2</v>
      </c>
      <c r="X134">
        <v>0.99221110000000001</v>
      </c>
      <c r="Y134">
        <v>-4.2858599999999997E-2</v>
      </c>
      <c r="Z134">
        <v>1.6111249999999999E-3</v>
      </c>
      <c r="AA134">
        <v>0.99907979999999996</v>
      </c>
      <c r="AB134">
        <v>6</v>
      </c>
      <c r="AC134">
        <v>25.2713</v>
      </c>
      <c r="AD134">
        <v>-1.110933630101</v>
      </c>
      <c r="AE134">
        <v>0.75510000000002697</v>
      </c>
      <c r="AF134">
        <v>-1.0858568674812601</v>
      </c>
      <c r="AG134">
        <v>-1.110933630101</v>
      </c>
      <c r="AH134">
        <v>25.210483492138099</v>
      </c>
      <c r="AI134">
        <v>92.520848501108802</v>
      </c>
      <c r="AJ134">
        <v>92.466298807201397</v>
      </c>
      <c r="AK134">
        <v>25.258300350073299</v>
      </c>
      <c r="AL134">
        <v>86.970984668357204</v>
      </c>
      <c r="AM134">
        <v>96.486131579699602</v>
      </c>
      <c r="AN134">
        <v>1.0000000272578</v>
      </c>
    </row>
    <row r="135" spans="1:40" x14ac:dyDescent="0.25">
      <c r="A135" t="str">
        <f>"20190304154730317"</f>
        <v>20190304154730317</v>
      </c>
      <c r="B135" t="str">
        <f>"1551685650307632"</f>
        <v>1551685650307632</v>
      </c>
      <c r="C135" t="s">
        <v>40</v>
      </c>
      <c r="D135">
        <v>4.196402</v>
      </c>
      <c r="E135">
        <v>0.52559149999999999</v>
      </c>
      <c r="F135" t="s">
        <v>44</v>
      </c>
      <c r="G135">
        <v>-447.59399999999999</v>
      </c>
      <c r="H135" s="1">
        <v>-1.416788E-6</v>
      </c>
      <c r="I135">
        <v>367.93079999999998</v>
      </c>
      <c r="J135">
        <v>-472.37430000000001</v>
      </c>
      <c r="K135">
        <v>1.110711</v>
      </c>
      <c r="L135">
        <v>367.17099999999999</v>
      </c>
      <c r="M135">
        <v>0.99985259999999998</v>
      </c>
      <c r="N135">
        <v>-1.096739E-2</v>
      </c>
      <c r="O135">
        <v>-1.321669E-2</v>
      </c>
      <c r="P135">
        <v>0.99414290000000005</v>
      </c>
      <c r="Q135">
        <v>4.195902E-2</v>
      </c>
      <c r="R135">
        <v>9.9595959999999997E-2</v>
      </c>
      <c r="S135">
        <v>3.0140380000000002</v>
      </c>
      <c r="T135">
        <v>-0.1348982</v>
      </c>
      <c r="U135">
        <v>9.2193600000000001E-2</v>
      </c>
      <c r="V135">
        <v>-0.1127263</v>
      </c>
      <c r="W135">
        <v>5.2845950000000003E-2</v>
      </c>
      <c r="X135">
        <v>0.99221979999999999</v>
      </c>
      <c r="Y135">
        <v>-4.3720420000000003E-2</v>
      </c>
      <c r="Z135">
        <v>1.663887E-3</v>
      </c>
      <c r="AA135">
        <v>0.9990424</v>
      </c>
      <c r="AB135">
        <v>6</v>
      </c>
      <c r="AC135">
        <v>24.7803</v>
      </c>
      <c r="AD135">
        <v>-1.110712416788</v>
      </c>
      <c r="AE135">
        <v>0.75979999999998404</v>
      </c>
      <c r="AF135">
        <v>-1.08508889236633</v>
      </c>
      <c r="AG135">
        <v>-1.110712416788</v>
      </c>
      <c r="AH135">
        <v>24.7184787323562</v>
      </c>
      <c r="AI135">
        <v>92.570354326813003</v>
      </c>
      <c r="AJ135">
        <v>92.513549708974793</v>
      </c>
      <c r="AK135">
        <v>24.7672019174369</v>
      </c>
      <c r="AL135">
        <v>86.970739084367096</v>
      </c>
      <c r="AM135">
        <v>96.481594308142803</v>
      </c>
      <c r="AN135">
        <v>1.00000002232756</v>
      </c>
    </row>
    <row r="136" spans="1:40" x14ac:dyDescent="0.25">
      <c r="A136" t="str">
        <f>"20190304154730329"</f>
        <v>20190304154730329</v>
      </c>
      <c r="B136" t="str">
        <f>"1551685650317392"</f>
        <v>1551685650317392</v>
      </c>
      <c r="C136" t="s">
        <v>40</v>
      </c>
      <c r="D136">
        <v>4.0991989999999996</v>
      </c>
      <c r="E136">
        <v>0.52555850000000004</v>
      </c>
      <c r="F136" t="s">
        <v>44</v>
      </c>
      <c r="G136">
        <v>-447.25549999999998</v>
      </c>
      <c r="H136" s="1">
        <v>-1.5757049999999999E-6</v>
      </c>
      <c r="I136">
        <v>367.93700000000001</v>
      </c>
      <c r="J136">
        <v>-472.33629999999999</v>
      </c>
      <c r="K136">
        <v>1.1104449999999999</v>
      </c>
      <c r="L136">
        <v>367.17039999999997</v>
      </c>
      <c r="M136">
        <v>0.99985990000000002</v>
      </c>
      <c r="N136">
        <v>-1.0226890000000001E-2</v>
      </c>
      <c r="O136">
        <v>-1.325994E-2</v>
      </c>
      <c r="P136">
        <v>0.99411579999999999</v>
      </c>
      <c r="Q136">
        <v>4.2659030000000001E-2</v>
      </c>
      <c r="R136">
        <v>9.9570160000000005E-2</v>
      </c>
      <c r="S136">
        <v>3.0140989999999999</v>
      </c>
      <c r="T136">
        <v>-0.13327829999999999</v>
      </c>
      <c r="U136">
        <v>9.1918949999999999E-2</v>
      </c>
      <c r="V136">
        <v>-0.1127431</v>
      </c>
      <c r="W136">
        <v>5.2811660000000003E-2</v>
      </c>
      <c r="X136">
        <v>0.99221970000000004</v>
      </c>
      <c r="Y136">
        <v>-4.3673780000000002E-2</v>
      </c>
      <c r="Z136">
        <v>1.6388100000000001E-3</v>
      </c>
      <c r="AA136">
        <v>0.9990445</v>
      </c>
      <c r="AB136">
        <v>7</v>
      </c>
      <c r="AC136">
        <v>25.0808</v>
      </c>
      <c r="AD136">
        <v>-1.1104465757049999</v>
      </c>
      <c r="AE136">
        <v>0.76659999999998196</v>
      </c>
      <c r="AF136">
        <v>-1.09697151612022</v>
      </c>
      <c r="AG136">
        <v>-1.1104465757049999</v>
      </c>
      <c r="AH136">
        <v>25.019430456744601</v>
      </c>
      <c r="AI136">
        <v>92.538875860824007</v>
      </c>
      <c r="AJ136">
        <v>92.510513174651507</v>
      </c>
      <c r="AK136">
        <v>25.068074088061799</v>
      </c>
      <c r="AL136">
        <v>86.972706453097999</v>
      </c>
      <c r="AM136">
        <v>96.482552708890296</v>
      </c>
      <c r="AN136">
        <v>1.0000000055488201</v>
      </c>
    </row>
    <row r="137" spans="1:40" x14ac:dyDescent="0.25">
      <c r="A137" t="str">
        <f>"20190304154730347"</f>
        <v>20190304154730347</v>
      </c>
      <c r="B137" t="str">
        <f>"1551685650336915"</f>
        <v>1551685650336915</v>
      </c>
      <c r="C137" t="s">
        <v>40</v>
      </c>
      <c r="D137">
        <v>4.3483960000000002</v>
      </c>
      <c r="E137">
        <v>0.5256748</v>
      </c>
      <c r="F137" t="s">
        <v>44</v>
      </c>
      <c r="G137">
        <v>-446.9076</v>
      </c>
      <c r="H137" s="1">
        <v>-1.7380849999999999E-6</v>
      </c>
      <c r="I137">
        <v>367.94869999999997</v>
      </c>
      <c r="J137">
        <v>-472.27940000000001</v>
      </c>
      <c r="K137">
        <v>1.1101270000000001</v>
      </c>
      <c r="L137">
        <v>367.1696</v>
      </c>
      <c r="M137">
        <v>0.99986889999999995</v>
      </c>
      <c r="N137">
        <v>-9.1887500000000007E-3</v>
      </c>
      <c r="O137">
        <v>-1.333024E-2</v>
      </c>
      <c r="P137">
        <v>0.99405310000000002</v>
      </c>
      <c r="Q137">
        <v>4.375387E-2</v>
      </c>
      <c r="R137">
        <v>9.9720349999999999E-2</v>
      </c>
      <c r="S137">
        <v>3.01416</v>
      </c>
      <c r="T137">
        <v>-0.1316254</v>
      </c>
      <c r="U137">
        <v>9.2254639999999999E-2</v>
      </c>
      <c r="V137">
        <v>-0.1129612</v>
      </c>
      <c r="W137">
        <v>5.2877380000000002E-2</v>
      </c>
      <c r="X137">
        <v>0.99219139999999995</v>
      </c>
      <c r="Y137">
        <v>-4.3856119999999998E-2</v>
      </c>
      <c r="Z137">
        <v>1.617865E-3</v>
      </c>
      <c r="AA137">
        <v>0.99903660000000005</v>
      </c>
      <c r="AB137">
        <v>7</v>
      </c>
      <c r="AC137">
        <v>25.3718</v>
      </c>
      <c r="AD137">
        <v>-1.110128738085</v>
      </c>
      <c r="AE137">
        <v>0.77909999999997104</v>
      </c>
      <c r="AF137">
        <v>-1.1151244020781299</v>
      </c>
      <c r="AG137">
        <v>-1.110128738085</v>
      </c>
      <c r="AH137">
        <v>25.310748929145099</v>
      </c>
      <c r="AI137">
        <v>92.508951024111894</v>
      </c>
      <c r="AJ137">
        <v>92.522668570450193</v>
      </c>
      <c r="AK137">
        <v>25.3596115822276</v>
      </c>
      <c r="AL137">
        <v>86.968935725779403</v>
      </c>
      <c r="AM137">
        <v>96.495169737251004</v>
      </c>
      <c r="AN137">
        <v>1.0000000121275301</v>
      </c>
    </row>
    <row r="138" spans="1:40" x14ac:dyDescent="0.25">
      <c r="A138" t="str">
        <f>"20190304154730360"</f>
        <v>20190304154730360</v>
      </c>
      <c r="B138" t="str">
        <f>"1551685650357408"</f>
        <v>1551685650357408</v>
      </c>
      <c r="C138" t="s">
        <v>40</v>
      </c>
      <c r="D138">
        <v>4.2857580000000004</v>
      </c>
      <c r="E138">
        <v>0.52579549999999997</v>
      </c>
      <c r="F138" t="s">
        <v>44</v>
      </c>
      <c r="G138">
        <v>-446.23020000000002</v>
      </c>
      <c r="H138" s="1">
        <v>-2.0561110000000002E-6</v>
      </c>
      <c r="I138">
        <v>367.96100000000001</v>
      </c>
      <c r="J138">
        <v>-472.23970000000003</v>
      </c>
      <c r="K138">
        <v>1.1099669999999999</v>
      </c>
      <c r="L138">
        <v>367.16899999999998</v>
      </c>
      <c r="M138">
        <v>0.99987380000000003</v>
      </c>
      <c r="N138">
        <v>-8.5695119999999996E-3</v>
      </c>
      <c r="O138">
        <v>-1.338131E-2</v>
      </c>
      <c r="P138">
        <v>0.99405030000000005</v>
      </c>
      <c r="Q138">
        <v>4.4407839999999997E-2</v>
      </c>
      <c r="R138">
        <v>9.9457409999999996E-2</v>
      </c>
      <c r="S138">
        <v>3.0144039999999999</v>
      </c>
      <c r="T138">
        <v>-0.12846359999999901</v>
      </c>
      <c r="U138">
        <v>9.1583250000000005E-2</v>
      </c>
      <c r="V138">
        <v>-0.1127481</v>
      </c>
      <c r="W138">
        <v>5.2917850000000002E-2</v>
      </c>
      <c r="X138">
        <v>0.99221349999999997</v>
      </c>
      <c r="Y138">
        <v>-4.3685429999999997E-2</v>
      </c>
      <c r="Z138">
        <v>1.572845E-3</v>
      </c>
      <c r="AA138">
        <v>0.99904409999999999</v>
      </c>
      <c r="AB138">
        <v>7</v>
      </c>
      <c r="AC138">
        <v>26.009499999999999</v>
      </c>
      <c r="AD138">
        <v>-1.1099690561109901</v>
      </c>
      <c r="AE138">
        <v>0.79199999999997295</v>
      </c>
      <c r="AF138">
        <v>-1.13791258015345</v>
      </c>
      <c r="AG138">
        <v>-1.1099690561109901</v>
      </c>
      <c r="AH138">
        <v>25.949357514449702</v>
      </c>
      <c r="AI138">
        <v>92.446952750966503</v>
      </c>
      <c r="AJ138">
        <v>92.510884755900605</v>
      </c>
      <c r="AK138">
        <v>25.998000533854999</v>
      </c>
      <c r="AL138">
        <v>86.9666137726947</v>
      </c>
      <c r="AM138">
        <v>96.482877917904503</v>
      </c>
      <c r="AN138">
        <v>1.0000000312422399</v>
      </c>
    </row>
    <row r="139" spans="1:40" x14ac:dyDescent="0.25">
      <c r="A139" t="str">
        <f>"20190304154730373"</f>
        <v>20190304154730373</v>
      </c>
      <c r="B139" t="str">
        <f>"1551685650367168"</f>
        <v>1551685650367168</v>
      </c>
      <c r="C139" t="s">
        <v>40</v>
      </c>
      <c r="D139">
        <v>4.3678160000000004</v>
      </c>
      <c r="E139">
        <v>0.52584390000000003</v>
      </c>
      <c r="F139" t="s">
        <v>44</v>
      </c>
      <c r="G139">
        <v>-445.32220000000001</v>
      </c>
      <c r="H139" s="1">
        <v>-2.4834560000000001E-6</v>
      </c>
      <c r="I139">
        <v>367.97149999999999</v>
      </c>
      <c r="J139">
        <v>-472.1995</v>
      </c>
      <c r="K139">
        <v>1.109829</v>
      </c>
      <c r="L139">
        <v>367.16840000000002</v>
      </c>
      <c r="M139">
        <v>0.99987789999999999</v>
      </c>
      <c r="N139">
        <v>-7.9946559999999993E-3</v>
      </c>
      <c r="O139">
        <v>-1.3433820000000001E-2</v>
      </c>
      <c r="P139">
        <v>0.99400960000000005</v>
      </c>
      <c r="Q139">
        <v>4.5078300000000002E-2</v>
      </c>
      <c r="R139">
        <v>9.9565189999999998E-2</v>
      </c>
      <c r="S139">
        <v>3.0144959999999998</v>
      </c>
      <c r="T139">
        <v>-0.1243061</v>
      </c>
      <c r="U139">
        <v>8.9874270000000006E-2</v>
      </c>
      <c r="V139">
        <v>-0.1129074</v>
      </c>
      <c r="W139">
        <v>5.3018330000000002E-2</v>
      </c>
      <c r="X139">
        <v>0.99219000000000002</v>
      </c>
      <c r="Y139">
        <v>-4.3175190000000002E-2</v>
      </c>
      <c r="Z139">
        <v>1.508606E-3</v>
      </c>
      <c r="AA139">
        <v>0.99906640000000002</v>
      </c>
      <c r="AB139">
        <v>7</v>
      </c>
      <c r="AC139">
        <v>26.877299999999899</v>
      </c>
      <c r="AD139">
        <v>-1.1098314834559999</v>
      </c>
      <c r="AE139">
        <v>0.80309999999997195</v>
      </c>
      <c r="AF139">
        <v>-1.16212410123348</v>
      </c>
      <c r="AG139">
        <v>-1.1098314834559999</v>
      </c>
      <c r="AH139">
        <v>26.818398932208801</v>
      </c>
      <c r="AI139">
        <v>92.367511988099295</v>
      </c>
      <c r="AJ139">
        <v>92.481250899530295</v>
      </c>
      <c r="AK139">
        <v>26.8664992069201</v>
      </c>
      <c r="AL139">
        <v>86.960848535803905</v>
      </c>
      <c r="AM139">
        <v>96.492111782655002</v>
      </c>
      <c r="AN139">
        <v>1.0000000101953701</v>
      </c>
    </row>
    <row r="140" spans="1:40" x14ac:dyDescent="0.25">
      <c r="A140" t="str">
        <f>"20190304154730385"</f>
        <v>20190304154730385</v>
      </c>
      <c r="B140" t="str">
        <f>"1551685650376928"</f>
        <v>1551685650376928</v>
      </c>
      <c r="C140" t="s">
        <v>40</v>
      </c>
      <c r="D140">
        <v>4.4523199999999896</v>
      </c>
      <c r="E140">
        <v>0.52588279999999998</v>
      </c>
      <c r="F140" t="s">
        <v>44</v>
      </c>
      <c r="G140">
        <v>-444.59190000000001</v>
      </c>
      <c r="H140" s="1">
        <v>-2.824876E-6</v>
      </c>
      <c r="I140">
        <v>367.99290000000002</v>
      </c>
      <c r="J140">
        <v>-472.154</v>
      </c>
      <c r="K140">
        <v>1.1097189999999999</v>
      </c>
      <c r="L140">
        <v>367.1678</v>
      </c>
      <c r="M140">
        <v>0.99988140000000003</v>
      </c>
      <c r="N140">
        <v>-7.43744099999999E-3</v>
      </c>
      <c r="O140">
        <v>-1.349264E-2</v>
      </c>
      <c r="P140">
        <v>0.99398109999999995</v>
      </c>
      <c r="Q140">
        <v>4.5866650000000002E-2</v>
      </c>
      <c r="R140">
        <v>9.9488010000000002E-2</v>
      </c>
      <c r="S140">
        <v>3.0145569999999999</v>
      </c>
      <c r="T140">
        <v>-0.1211861</v>
      </c>
      <c r="U140">
        <v>9.002686E-2</v>
      </c>
      <c r="V140">
        <v>-0.1128871</v>
      </c>
      <c r="W140">
        <v>5.3254500000000003E-2</v>
      </c>
      <c r="X140">
        <v>0.99217960000000005</v>
      </c>
      <c r="Y140">
        <v>-4.3286390000000001E-2</v>
      </c>
      <c r="Z140">
        <v>1.47239299999999E-3</v>
      </c>
      <c r="AA140">
        <v>0.99906159999999999</v>
      </c>
      <c r="AB140">
        <v>7</v>
      </c>
      <c r="AC140">
        <v>27.562099999999901</v>
      </c>
      <c r="AD140">
        <v>-1.1097218248759999</v>
      </c>
      <c r="AE140">
        <v>0.82510000000002004</v>
      </c>
      <c r="AF140">
        <v>-1.1949852038338</v>
      </c>
      <c r="AG140">
        <v>-1.1097218248759999</v>
      </c>
      <c r="AH140">
        <v>27.503911766357898</v>
      </c>
      <c r="AI140">
        <v>92.308329005731494</v>
      </c>
      <c r="AJ140">
        <v>92.487812484937393</v>
      </c>
      <c r="AK140">
        <v>27.5522165100667</v>
      </c>
      <c r="AL140">
        <v>86.947297660766793</v>
      </c>
      <c r="AM140">
        <v>96.491021963857605</v>
      </c>
      <c r="AN140">
        <v>0.99999994888640797</v>
      </c>
    </row>
    <row r="141" spans="1:40" x14ac:dyDescent="0.25">
      <c r="A141" t="str">
        <f>"20190304154730403"</f>
        <v>20190304154730403</v>
      </c>
      <c r="B141" t="str">
        <f>"1551685650397425"</f>
        <v>1551685650397425</v>
      </c>
      <c r="C141" t="s">
        <v>40</v>
      </c>
      <c r="D141">
        <v>4.2078129999999998</v>
      </c>
      <c r="E141">
        <v>0.52591599999999905</v>
      </c>
      <c r="F141" t="s">
        <v>44</v>
      </c>
      <c r="G141">
        <v>-443.75510000000003</v>
      </c>
      <c r="H141" s="1">
        <v>-3.2173600000000001E-6</v>
      </c>
      <c r="I141">
        <v>368.0104</v>
      </c>
      <c r="J141">
        <v>-472.09410000000003</v>
      </c>
      <c r="K141">
        <v>1.109599</v>
      </c>
      <c r="L141">
        <v>367.1669</v>
      </c>
      <c r="M141">
        <v>0.99988529999999998</v>
      </c>
      <c r="N141">
        <v>-6.7288399999999998E-3</v>
      </c>
      <c r="O141">
        <v>-1.356778E-2</v>
      </c>
      <c r="P141">
        <v>0.993919</v>
      </c>
      <c r="Q141">
        <v>4.6946019999999998E-2</v>
      </c>
      <c r="R141">
        <v>9.9606089999999994E-2</v>
      </c>
      <c r="S141">
        <v>3.014618</v>
      </c>
      <c r="T141">
        <v>-0.1178</v>
      </c>
      <c r="U141">
        <v>8.9447020000000002E-2</v>
      </c>
      <c r="V141">
        <v>-0.11307830000000001</v>
      </c>
      <c r="W141">
        <v>5.3631610000000003E-2</v>
      </c>
      <c r="X141">
        <v>0.99213759999999995</v>
      </c>
      <c r="Y141">
        <v>-4.3171750000000002E-2</v>
      </c>
      <c r="Z141">
        <v>1.426964E-3</v>
      </c>
      <c r="AA141">
        <v>0.99906669999999997</v>
      </c>
      <c r="AB141">
        <v>7</v>
      </c>
      <c r="AC141">
        <v>28.338999999999999</v>
      </c>
      <c r="AD141">
        <v>-1.10960221736</v>
      </c>
      <c r="AE141">
        <v>0.84350000000000502</v>
      </c>
      <c r="AF141">
        <v>-1.22605040926632</v>
      </c>
      <c r="AG141">
        <v>-1.10960221736</v>
      </c>
      <c r="AH141">
        <v>28.281626997229601</v>
      </c>
      <c r="AI141">
        <v>92.244685873833703</v>
      </c>
      <c r="AJ141">
        <v>92.482302623821596</v>
      </c>
      <c r="AK141">
        <v>28.3299283849652</v>
      </c>
      <c r="AL141">
        <v>86.925660188839998</v>
      </c>
      <c r="AM141">
        <v>96.502194810967097</v>
      </c>
      <c r="AN141">
        <v>1.0000000344279201</v>
      </c>
    </row>
    <row r="142" spans="1:40" x14ac:dyDescent="0.25">
      <c r="A142" t="str">
        <f>"20190304154730415"</f>
        <v>20190304154730415</v>
      </c>
      <c r="B142" t="str">
        <f>"1551685650407185"</f>
        <v>1551685650407185</v>
      </c>
      <c r="C142" t="s">
        <v>40</v>
      </c>
      <c r="D142">
        <v>4.233441</v>
      </c>
      <c r="E142">
        <v>0.5258429</v>
      </c>
      <c r="F142" t="s">
        <v>44</v>
      </c>
      <c r="G142">
        <v>-442.54039999999998</v>
      </c>
      <c r="H142" s="1">
        <v>-3.7852510000000001E-6</v>
      </c>
      <c r="I142">
        <v>368.04579999999999</v>
      </c>
      <c r="J142">
        <v>-472.05119999999999</v>
      </c>
      <c r="K142">
        <v>1.109524</v>
      </c>
      <c r="L142">
        <v>367.1662</v>
      </c>
      <c r="M142">
        <v>0.99988779999999999</v>
      </c>
      <c r="N142">
        <v>-6.2542099999999996E-3</v>
      </c>
      <c r="O142">
        <v>-1.3619910000000001E-2</v>
      </c>
      <c r="P142">
        <v>0.99385820000000002</v>
      </c>
      <c r="Q142">
        <v>4.8044049999999998E-2</v>
      </c>
      <c r="R142">
        <v>9.9688250000000006E-2</v>
      </c>
      <c r="S142">
        <v>3.0146790000000001</v>
      </c>
      <c r="T142">
        <v>-0.1131871</v>
      </c>
      <c r="U142">
        <v>8.966064E-2</v>
      </c>
      <c r="V142">
        <v>-0.1132107</v>
      </c>
      <c r="W142">
        <v>5.4259170000000002E-2</v>
      </c>
      <c r="X142">
        <v>0.99208830000000003</v>
      </c>
      <c r="Y142">
        <v>-4.3297380000000003E-2</v>
      </c>
      <c r="Z142">
        <v>1.3737720000000001E-3</v>
      </c>
      <c r="AA142">
        <v>0.99906130000000004</v>
      </c>
      <c r="AB142">
        <v>8</v>
      </c>
      <c r="AC142">
        <v>29.5108</v>
      </c>
      <c r="AD142">
        <v>-1.1095277852509999</v>
      </c>
      <c r="AE142">
        <v>0.87959999999998195</v>
      </c>
      <c r="AF142">
        <v>-1.2796534023202899</v>
      </c>
      <c r="AG142">
        <v>-1.1095277852509999</v>
      </c>
      <c r="AH142">
        <v>29.454483567330399</v>
      </c>
      <c r="AI142">
        <v>92.155236947688493</v>
      </c>
      <c r="AJ142">
        <v>92.487657338400098</v>
      </c>
      <c r="AK142">
        <v>29.5031382560305</v>
      </c>
      <c r="AL142">
        <v>86.889650977652195</v>
      </c>
      <c r="AM142">
        <v>96.510063437942406</v>
      </c>
      <c r="AN142">
        <v>0.99999995756023297</v>
      </c>
    </row>
    <row r="143" spans="1:40" x14ac:dyDescent="0.25">
      <c r="A143" t="str">
        <f>"20190304154730426"</f>
        <v>20190304154730426</v>
      </c>
      <c r="B143" t="str">
        <f>"1551685650416945"</f>
        <v>1551685650416945</v>
      </c>
      <c r="C143" t="s">
        <v>40</v>
      </c>
      <c r="D143">
        <v>4.2497499999999997</v>
      </c>
      <c r="E143">
        <v>0.52570749999999999</v>
      </c>
      <c r="F143" t="s">
        <v>44</v>
      </c>
      <c r="G143">
        <v>-441.62459999999999</v>
      </c>
      <c r="H143" s="1">
        <v>-4.2116420000000004E-6</v>
      </c>
      <c r="I143">
        <v>368.08249999999998</v>
      </c>
      <c r="J143">
        <v>-472.01010000000002</v>
      </c>
      <c r="K143">
        <v>1.1094729999999999</v>
      </c>
      <c r="L143">
        <v>367.16559999999998</v>
      </c>
      <c r="M143">
        <v>0.99988960000000005</v>
      </c>
      <c r="N143">
        <v>-5.8460789999999997E-3</v>
      </c>
      <c r="O143">
        <v>-1.366756E-2</v>
      </c>
      <c r="P143">
        <v>0.99382599999999999</v>
      </c>
      <c r="Q143">
        <v>4.8700109999999998E-2</v>
      </c>
      <c r="R143">
        <v>9.9690150000000005E-2</v>
      </c>
      <c r="S143">
        <v>3.0147710000000001</v>
      </c>
      <c r="T143">
        <v>-0.1099359</v>
      </c>
      <c r="U143">
        <v>9.0789789999999995E-2</v>
      </c>
      <c r="V143">
        <v>-0.1132597</v>
      </c>
      <c r="W143">
        <v>5.4511049999999998E-2</v>
      </c>
      <c r="X143">
        <v>0.99206890000000003</v>
      </c>
      <c r="Y143">
        <v>-4.3720050000000003E-2</v>
      </c>
      <c r="Z143">
        <v>1.342846E-3</v>
      </c>
      <c r="AA143">
        <v>0.99904289999999996</v>
      </c>
      <c r="AB143">
        <v>8</v>
      </c>
      <c r="AC143">
        <v>30.3855</v>
      </c>
      <c r="AD143">
        <v>-1.109477211642</v>
      </c>
      <c r="AE143">
        <v>0.91689999999999805</v>
      </c>
      <c r="AF143">
        <v>-1.33034501729726</v>
      </c>
      <c r="AG143">
        <v>-1.109477211642</v>
      </c>
      <c r="AH143">
        <v>30.329730114082398</v>
      </c>
      <c r="AI143">
        <v>92.092964514761505</v>
      </c>
      <c r="AJ143">
        <v>92.5115399290152</v>
      </c>
      <c r="AK143">
        <v>30.379158749729701</v>
      </c>
      <c r="AL143">
        <v>86.875197928298206</v>
      </c>
      <c r="AM143">
        <v>96.512983193274806</v>
      </c>
      <c r="AN143">
        <v>0.99999995828169996</v>
      </c>
    </row>
    <row r="144" spans="1:40" x14ac:dyDescent="0.25">
      <c r="A144" t="str">
        <f>"20190304154730439"</f>
        <v>20190304154730439</v>
      </c>
      <c r="B144" t="str">
        <f>"1551685650426705"</f>
        <v>1551685650426705</v>
      </c>
      <c r="C144" t="s">
        <v>40</v>
      </c>
      <c r="D144">
        <v>4.2371189999999999</v>
      </c>
      <c r="E144">
        <v>0.52564060000000001</v>
      </c>
      <c r="F144" t="s">
        <v>44</v>
      </c>
      <c r="G144">
        <v>-441.24299999999999</v>
      </c>
      <c r="H144" s="1">
        <v>-4.3888000000000002E-6</v>
      </c>
      <c r="I144">
        <v>368.10090000000002</v>
      </c>
      <c r="J144">
        <v>-471.9674</v>
      </c>
      <c r="K144">
        <v>1.109586</v>
      </c>
      <c r="L144">
        <v>367.16489999999999</v>
      </c>
      <c r="M144">
        <v>0.99988809999999995</v>
      </c>
      <c r="N144">
        <v>-6.0009620000000003E-3</v>
      </c>
      <c r="O144">
        <v>-1.371439E-2</v>
      </c>
      <c r="P144">
        <v>0.99384110000000003</v>
      </c>
      <c r="Q144">
        <v>4.8867010000000002E-2</v>
      </c>
      <c r="R144">
        <v>9.9459309999999995E-2</v>
      </c>
      <c r="S144">
        <v>3.0147710000000001</v>
      </c>
      <c r="T144">
        <v>-0.10871400000000001</v>
      </c>
      <c r="U144">
        <v>9.1644290000000003E-2</v>
      </c>
      <c r="V144">
        <v>-0.1130751</v>
      </c>
      <c r="W144">
        <v>5.4830999999999998E-2</v>
      </c>
      <c r="X144">
        <v>0.99207230000000002</v>
      </c>
      <c r="Y144">
        <v>-4.4050279999999997E-2</v>
      </c>
      <c r="Z144">
        <v>1.338079E-3</v>
      </c>
      <c r="AA144">
        <v>0.99902840000000004</v>
      </c>
      <c r="AB144">
        <v>8</v>
      </c>
      <c r="AC144">
        <v>30.7243999999999</v>
      </c>
      <c r="AD144">
        <v>-1.1095903888</v>
      </c>
      <c r="AE144">
        <v>0.93600000000003503</v>
      </c>
      <c r="AF144">
        <v>-1.3555196076559699</v>
      </c>
      <c r="AG144">
        <v>-1.1095903888</v>
      </c>
      <c r="AH144">
        <v>30.668711104202799</v>
      </c>
      <c r="AI144">
        <v>92.070031648716395</v>
      </c>
      <c r="AJ144">
        <v>92.530756426235001</v>
      </c>
      <c r="AK144">
        <v>30.718698947558099</v>
      </c>
      <c r="AL144">
        <v>86.8568386043424</v>
      </c>
      <c r="AM144">
        <v>96.502436690267203</v>
      </c>
      <c r="AN144">
        <v>0.99999993261414699</v>
      </c>
    </row>
    <row r="145" spans="1:40" x14ac:dyDescent="0.25">
      <c r="A145" t="str">
        <f>"20190304154730452"</f>
        <v>20190304154730452</v>
      </c>
      <c r="B145" t="str">
        <f>"1551685650447201"</f>
        <v>1551685650447201</v>
      </c>
      <c r="C145" t="s">
        <v>40</v>
      </c>
      <c r="D145">
        <v>4.2016229999999997</v>
      </c>
      <c r="E145">
        <v>0.52554129999999999</v>
      </c>
      <c r="F145" t="s">
        <v>44</v>
      </c>
      <c r="G145">
        <v>-441.08969999999999</v>
      </c>
      <c r="H145" s="1">
        <v>-4.4611770000000002E-6</v>
      </c>
      <c r="I145">
        <v>368.10140000000001</v>
      </c>
      <c r="J145">
        <v>-471.92660000000001</v>
      </c>
      <c r="K145">
        <v>1.1097840000000001</v>
      </c>
      <c r="L145">
        <v>367.16430000000003</v>
      </c>
      <c r="M145">
        <v>0.99988449999999995</v>
      </c>
      <c r="N145">
        <v>-6.4617190000000003E-3</v>
      </c>
      <c r="O145">
        <v>-1.375705E-2</v>
      </c>
      <c r="P145">
        <v>0.99386699999999994</v>
      </c>
      <c r="Q145">
        <v>4.8200439999999997E-2</v>
      </c>
      <c r="R145">
        <v>9.9522979999999997E-2</v>
      </c>
      <c r="S145">
        <v>3.0147710000000001</v>
      </c>
      <c r="T145">
        <v>-0.1083356</v>
      </c>
      <c r="U145">
        <v>9.1430659999999997E-2</v>
      </c>
      <c r="V145">
        <v>-0.1131824</v>
      </c>
      <c r="W145">
        <v>5.4621030000000001E-2</v>
      </c>
      <c r="X145">
        <v>0.9920717</v>
      </c>
      <c r="Y145">
        <v>-4.4022319999999997E-2</v>
      </c>
      <c r="Z145">
        <v>1.33810299999999E-3</v>
      </c>
      <c r="AA145">
        <v>0.99902959999999996</v>
      </c>
      <c r="AB145">
        <v>8</v>
      </c>
      <c r="AC145">
        <v>30.8369</v>
      </c>
      <c r="AD145">
        <v>-1.1097884611769999</v>
      </c>
      <c r="AE145">
        <v>0.93709999999998606</v>
      </c>
      <c r="AF145">
        <v>-1.3594857528531901</v>
      </c>
      <c r="AG145">
        <v>-1.1097884611769999</v>
      </c>
      <c r="AH145">
        <v>30.781258399327498</v>
      </c>
      <c r="AI145">
        <v>92.062840250252293</v>
      </c>
      <c r="AJ145">
        <v>92.528883233417503</v>
      </c>
      <c r="AK145">
        <v>30.831245524418001</v>
      </c>
      <c r="AL145">
        <v>86.868887220724403</v>
      </c>
      <c r="AM145">
        <v>96.508558009983403</v>
      </c>
      <c r="AN145">
        <v>0.99999998526445499</v>
      </c>
    </row>
    <row r="146" spans="1:40" x14ac:dyDescent="0.25">
      <c r="A146" t="str">
        <f>"20190304154730469"</f>
        <v>20190304154730469</v>
      </c>
      <c r="B146" t="str">
        <f>"1551685650456960"</f>
        <v>1551685650456960</v>
      </c>
      <c r="C146" t="s">
        <v>40</v>
      </c>
      <c r="D146">
        <v>4.2261360000000003</v>
      </c>
      <c r="E146">
        <v>0.5254993</v>
      </c>
      <c r="F146" t="s">
        <v>44</v>
      </c>
      <c r="G146">
        <v>-441.64210000000003</v>
      </c>
      <c r="H146" s="1">
        <v>-4.2013720000000002E-6</v>
      </c>
      <c r="I146">
        <v>368.09379999999999</v>
      </c>
      <c r="J146">
        <v>-471.86880000000002</v>
      </c>
      <c r="K146">
        <v>1.110204</v>
      </c>
      <c r="L146">
        <v>367.1635</v>
      </c>
      <c r="M146">
        <v>0.99987440000000005</v>
      </c>
      <c r="N146">
        <v>-7.7800539999999998E-3</v>
      </c>
      <c r="O146">
        <v>-1.3813529999999999E-2</v>
      </c>
      <c r="P146">
        <v>0.99392150000000001</v>
      </c>
      <c r="Q146">
        <v>4.7432910000000002E-2</v>
      </c>
      <c r="R146">
        <v>9.9350740000000007E-2</v>
      </c>
      <c r="S146">
        <v>3.0146480000000002</v>
      </c>
      <c r="T146">
        <v>-0.11047319999999999</v>
      </c>
      <c r="U146">
        <v>9.2529299999999995E-2</v>
      </c>
      <c r="V146">
        <v>-0.1130679</v>
      </c>
      <c r="W146">
        <v>5.5160000000000001E-2</v>
      </c>
      <c r="X146">
        <v>0.99205489999999996</v>
      </c>
      <c r="Y146">
        <v>-4.4441410000000001E-2</v>
      </c>
      <c r="Z146">
        <v>1.385329E-3</v>
      </c>
      <c r="AA146">
        <v>0.99901099999999998</v>
      </c>
      <c r="AB146">
        <v>8</v>
      </c>
      <c r="AC146">
        <v>30.226699999999902</v>
      </c>
      <c r="AD146">
        <v>-1.110208201372</v>
      </c>
      <c r="AE146">
        <v>0.93029999999998803</v>
      </c>
      <c r="AF146">
        <v>-1.3459472357317399</v>
      </c>
      <c r="AG146">
        <v>-1.110208201372</v>
      </c>
      <c r="AH146">
        <v>30.1703020736154</v>
      </c>
      <c r="AI146">
        <v>92.105329842415998</v>
      </c>
      <c r="AJ146">
        <v>92.554366124190096</v>
      </c>
      <c r="AK146">
        <v>30.220709181370498</v>
      </c>
      <c r="AL146">
        <v>86.837959775648599</v>
      </c>
      <c r="AM146">
        <v>96.502139261279595</v>
      </c>
      <c r="AN146">
        <v>0.99999995011220799</v>
      </c>
    </row>
    <row r="147" spans="1:40" x14ac:dyDescent="0.25">
      <c r="A147" t="str">
        <f>"20190304154730483"</f>
        <v>20190304154730483</v>
      </c>
      <c r="B147" t="str">
        <f>"1551685650477457"</f>
        <v>1551685650477457</v>
      </c>
      <c r="C147" t="s">
        <v>40</v>
      </c>
      <c r="D147">
        <v>4.2032999999999996</v>
      </c>
      <c r="E147">
        <v>0.52527409999999997</v>
      </c>
      <c r="F147" t="s">
        <v>44</v>
      </c>
      <c r="G147">
        <v>-442.18990000000002</v>
      </c>
      <c r="H147" s="1">
        <v>-3.9461740000000001E-6</v>
      </c>
      <c r="I147">
        <v>368.0727</v>
      </c>
      <c r="J147">
        <v>-471.82810000000001</v>
      </c>
      <c r="K147">
        <v>1.110473</v>
      </c>
      <c r="L147">
        <v>367.16289999999998</v>
      </c>
      <c r="M147">
        <v>0.99986560000000002</v>
      </c>
      <c r="N147">
        <v>-8.7695669999999903E-3</v>
      </c>
      <c r="O147">
        <v>-1.3850690000000001E-2</v>
      </c>
      <c r="P147">
        <v>0.9940002</v>
      </c>
      <c r="Q147">
        <v>4.6577630000000002E-2</v>
      </c>
      <c r="R147">
        <v>9.8965670000000006E-2</v>
      </c>
      <c r="S147">
        <v>3.014526</v>
      </c>
      <c r="T147">
        <v>-0.1127653</v>
      </c>
      <c r="U147">
        <v>9.2346189999999995E-2</v>
      </c>
      <c r="V147">
        <v>-0.1127213</v>
      </c>
      <c r="W147">
        <v>5.5286170000000003E-2</v>
      </c>
      <c r="X147">
        <v>0.99208739999999995</v>
      </c>
      <c r="Y147">
        <v>-4.4417159999999997E-2</v>
      </c>
      <c r="Z147">
        <v>1.421599E-3</v>
      </c>
      <c r="AA147">
        <v>0.99901209999999996</v>
      </c>
      <c r="AB147">
        <v>8</v>
      </c>
      <c r="AC147">
        <v>29.638199999999902</v>
      </c>
      <c r="AD147">
        <v>-1.1104769461740001</v>
      </c>
      <c r="AE147">
        <v>0.90980000000001804</v>
      </c>
      <c r="AF147">
        <v>-1.31838897840083</v>
      </c>
      <c r="AG147">
        <v>-1.1104769461740001</v>
      </c>
      <c r="AH147">
        <v>29.5812668180195</v>
      </c>
      <c r="AI147">
        <v>92.147736658320497</v>
      </c>
      <c r="AJ147">
        <v>92.551891012893705</v>
      </c>
      <c r="AK147">
        <v>29.631447063976001</v>
      </c>
      <c r="AL147">
        <v>86.830719974268604</v>
      </c>
      <c r="AM147">
        <v>96.482166869951897</v>
      </c>
      <c r="AN147">
        <v>1.00000003065285</v>
      </c>
    </row>
    <row r="148" spans="1:40" x14ac:dyDescent="0.25">
      <c r="A148" t="str">
        <f>"20190304154730498"</f>
        <v>20190304154730498</v>
      </c>
      <c r="B148" t="str">
        <f>"1551685650487217"</f>
        <v>1551685650487217</v>
      </c>
      <c r="C148" t="s">
        <v>40</v>
      </c>
      <c r="D148">
        <v>4.1827750000000004</v>
      </c>
      <c r="E148">
        <v>0.52524320000000002</v>
      </c>
      <c r="F148" t="s">
        <v>44</v>
      </c>
      <c r="G148">
        <v>-443.18790000000001</v>
      </c>
      <c r="H148" s="1">
        <v>-3.478874E-6</v>
      </c>
      <c r="I148">
        <v>368.04750000000001</v>
      </c>
      <c r="J148">
        <v>-471.77609999999999</v>
      </c>
      <c r="K148">
        <v>1.110622</v>
      </c>
      <c r="L148">
        <v>367.16199999999998</v>
      </c>
      <c r="M148">
        <v>0.99985869999999999</v>
      </c>
      <c r="N148">
        <v>-9.4594959999999995E-3</v>
      </c>
      <c r="O148">
        <v>-1.3899089999999999E-2</v>
      </c>
      <c r="P148">
        <v>0.99404360000000003</v>
      </c>
      <c r="Q148">
        <v>4.5885240000000001E-2</v>
      </c>
      <c r="R148">
        <v>9.88536E-2</v>
      </c>
      <c r="S148">
        <v>3.0142820000000001</v>
      </c>
      <c r="T148">
        <v>-0.1168737</v>
      </c>
      <c r="U148">
        <v>9.3109129999999998E-2</v>
      </c>
      <c r="V148">
        <v>-0.11265799999999999</v>
      </c>
      <c r="W148">
        <v>5.5278069999999999E-2</v>
      </c>
      <c r="X148">
        <v>0.99209499999999995</v>
      </c>
      <c r="Y148">
        <v>-4.471696E-2</v>
      </c>
      <c r="Z148">
        <v>1.485225E-3</v>
      </c>
      <c r="AA148">
        <v>0.99899859999999896</v>
      </c>
      <c r="AB148">
        <v>7</v>
      </c>
      <c r="AC148">
        <v>28.588199999999901</v>
      </c>
      <c r="AD148">
        <v>-1.110625478874</v>
      </c>
      <c r="AE148">
        <v>0.88550000000003504</v>
      </c>
      <c r="AF148">
        <v>-1.2808509088508699</v>
      </c>
      <c r="AG148">
        <v>-1.110625478874</v>
      </c>
      <c r="AH148">
        <v>28.530112178484501</v>
      </c>
      <c r="AI148">
        <v>92.227054093096598</v>
      </c>
      <c r="AJ148">
        <v>92.570550912474403</v>
      </c>
      <c r="AK148">
        <v>28.580436821748101</v>
      </c>
      <c r="AL148">
        <v>86.831184650342493</v>
      </c>
      <c r="AM148">
        <v>96.478508480070204</v>
      </c>
      <c r="AN148">
        <v>0.99999998950596203</v>
      </c>
    </row>
    <row r="149" spans="1:40" x14ac:dyDescent="0.25">
      <c r="A149" t="str">
        <f>"20190304154730516"</f>
        <v>20190304154730516</v>
      </c>
      <c r="B149" t="str">
        <f>"1551685650506736"</f>
        <v>1551685650506736</v>
      </c>
      <c r="C149" t="s">
        <v>40</v>
      </c>
      <c r="D149">
        <v>4.2319509999999996</v>
      </c>
      <c r="E149">
        <v>0.5251538</v>
      </c>
      <c r="F149" t="s">
        <v>44</v>
      </c>
      <c r="G149">
        <v>-443.61759999999998</v>
      </c>
      <c r="H149" s="1">
        <v>-3.2788249999999999E-6</v>
      </c>
      <c r="I149">
        <v>368.03019999999998</v>
      </c>
      <c r="J149">
        <v>-471.71859999999998</v>
      </c>
      <c r="K149">
        <v>1.11049</v>
      </c>
      <c r="L149">
        <v>367.16120000000001</v>
      </c>
      <c r="M149">
        <v>0.99985970000000002</v>
      </c>
      <c r="N149">
        <v>-9.2640429999999996E-3</v>
      </c>
      <c r="O149">
        <v>-1.3956639999999999E-2</v>
      </c>
      <c r="P149">
        <v>0.9940042</v>
      </c>
      <c r="Q149">
        <v>4.6391340000000003E-2</v>
      </c>
      <c r="R149">
        <v>9.9012729999999993E-2</v>
      </c>
      <c r="S149">
        <v>3.0142519999999999</v>
      </c>
      <c r="T149">
        <v>-0.1188879</v>
      </c>
      <c r="U149">
        <v>9.2926030000000007E-2</v>
      </c>
      <c r="V149">
        <v>-0.1128736</v>
      </c>
      <c r="W149">
        <v>5.5590870000000001E-2</v>
      </c>
      <c r="X149">
        <v>0.99205299999999996</v>
      </c>
      <c r="Y149">
        <v>-4.4712599999999998E-2</v>
      </c>
      <c r="Z149">
        <v>1.5094100000000001E-3</v>
      </c>
      <c r="AA149">
        <v>0.99899879999999996</v>
      </c>
      <c r="AB149">
        <v>7</v>
      </c>
      <c r="AC149">
        <v>28.100999999999999</v>
      </c>
      <c r="AD149">
        <v>-1.1104932788249999</v>
      </c>
      <c r="AE149">
        <v>0.86899999999997102</v>
      </c>
      <c r="AF149">
        <v>-1.2591632043274299</v>
      </c>
      <c r="AG149">
        <v>-1.1104932788249999</v>
      </c>
      <c r="AH149">
        <v>28.0423829122368</v>
      </c>
      <c r="AI149">
        <v>92.265478105026801</v>
      </c>
      <c r="AJ149">
        <v>92.570976581455994</v>
      </c>
      <c r="AK149">
        <v>28.0925955848505</v>
      </c>
      <c r="AL149">
        <v>86.813234881927301</v>
      </c>
      <c r="AM149">
        <v>96.491073515647301</v>
      </c>
      <c r="AN149">
        <v>0.99999997460665802</v>
      </c>
    </row>
    <row r="150" spans="1:40" x14ac:dyDescent="0.25">
      <c r="A150" t="str">
        <f>"20190304154730528"</f>
        <v>20190304154730528</v>
      </c>
      <c r="B150" t="str">
        <f>"1551685650517472"</f>
        <v>1551685650517472</v>
      </c>
      <c r="C150" t="s">
        <v>40</v>
      </c>
      <c r="D150">
        <v>4.4318999999999997</v>
      </c>
      <c r="E150">
        <v>0.52502850000000001</v>
      </c>
      <c r="F150" t="s">
        <v>44</v>
      </c>
      <c r="G150">
        <v>-443.15629999999999</v>
      </c>
      <c r="H150" s="1">
        <v>-3.492946E-6</v>
      </c>
      <c r="I150">
        <v>368.05250000000001</v>
      </c>
      <c r="J150">
        <v>-471.67410000000001</v>
      </c>
      <c r="K150">
        <v>1.1102780000000001</v>
      </c>
      <c r="L150">
        <v>367.16050000000001</v>
      </c>
      <c r="M150">
        <v>0.99986430000000004</v>
      </c>
      <c r="N150">
        <v>-8.6860110000000004E-3</v>
      </c>
      <c r="O150">
        <v>-1.400442E-2</v>
      </c>
      <c r="P150">
        <v>0.99397820000000003</v>
      </c>
      <c r="Q150">
        <v>4.7245089999999997E-2</v>
      </c>
      <c r="R150">
        <v>9.8870990000000006E-2</v>
      </c>
      <c r="S150">
        <v>3.014221</v>
      </c>
      <c r="T150">
        <v>-0.117192</v>
      </c>
      <c r="U150">
        <v>9.4055180000000002E-2</v>
      </c>
      <c r="V150">
        <v>-0.1127782</v>
      </c>
      <c r="W150">
        <v>5.5872239999999997E-2</v>
      </c>
      <c r="X150">
        <v>0.99204809999999999</v>
      </c>
      <c r="Y150">
        <v>-4.5135620000000001E-2</v>
      </c>
      <c r="Z150">
        <v>1.4956419999999999E-3</v>
      </c>
      <c r="AA150">
        <v>0.99897970000000003</v>
      </c>
      <c r="AB150">
        <v>7</v>
      </c>
      <c r="AC150">
        <v>28.517800000000001</v>
      </c>
      <c r="AD150">
        <v>-1.1102814929459901</v>
      </c>
      <c r="AE150">
        <v>0.89199999999999502</v>
      </c>
      <c r="AF150">
        <v>-1.2893503432712701</v>
      </c>
      <c r="AG150">
        <v>-1.1102814929459901</v>
      </c>
      <c r="AH150">
        <v>28.459414881096901</v>
      </c>
      <c r="AI150">
        <v>92.231848882689604</v>
      </c>
      <c r="AJ150">
        <v>92.594004560531403</v>
      </c>
      <c r="AK150">
        <v>28.510234034038898</v>
      </c>
      <c r="AL150">
        <v>86.797088654367201</v>
      </c>
      <c r="AM150">
        <v>96.485665829516805</v>
      </c>
      <c r="AN150">
        <v>1.00000003115573</v>
      </c>
    </row>
    <row r="151" spans="1:40" x14ac:dyDescent="0.25">
      <c r="A151" t="str">
        <f>"20190304154730540"</f>
        <v>20190304154730540</v>
      </c>
      <c r="B151" t="str">
        <f>"1551685650536992"</f>
        <v>1551685650536992</v>
      </c>
      <c r="C151" t="s">
        <v>40</v>
      </c>
      <c r="D151">
        <v>4.2330220000000001</v>
      </c>
      <c r="E151">
        <v>0.52483480000000005</v>
      </c>
      <c r="F151" t="s">
        <v>44</v>
      </c>
      <c r="G151">
        <v>-442.45499999999998</v>
      </c>
      <c r="H151" s="1">
        <v>-3.8200590000000004E-6</v>
      </c>
      <c r="I151">
        <v>368.07729999999998</v>
      </c>
      <c r="J151">
        <v>-471.63170000000002</v>
      </c>
      <c r="K151">
        <v>1.1101030000000001</v>
      </c>
      <c r="L151">
        <v>367.15989999999999</v>
      </c>
      <c r="M151">
        <v>0.99986819999999998</v>
      </c>
      <c r="N151">
        <v>-8.1374900000000007E-3</v>
      </c>
      <c r="O151">
        <v>-1.405235E-2</v>
      </c>
      <c r="P151">
        <v>0.99392749999999996</v>
      </c>
      <c r="Q151">
        <v>4.78168E-2</v>
      </c>
      <c r="R151">
        <v>9.9104499999999998E-2</v>
      </c>
      <c r="S151">
        <v>3.0141909999999998</v>
      </c>
      <c r="T151">
        <v>-0.1145347</v>
      </c>
      <c r="U151">
        <v>9.4573969999999993E-2</v>
      </c>
      <c r="V151">
        <v>-0.11305800000000001</v>
      </c>
      <c r="W151">
        <v>5.590034E-2</v>
      </c>
      <c r="X151">
        <v>0.99201459999999997</v>
      </c>
      <c r="Y151">
        <v>-4.5357639999999998E-2</v>
      </c>
      <c r="Z151">
        <v>1.465289E-3</v>
      </c>
      <c r="AA151">
        <v>0.99896969999999996</v>
      </c>
      <c r="AB151">
        <v>7</v>
      </c>
      <c r="AC151">
        <v>29.1767</v>
      </c>
      <c r="AD151">
        <v>-1.1101068200589901</v>
      </c>
      <c r="AE151">
        <v>0.917399999999986</v>
      </c>
      <c r="AF151">
        <v>-1.32540736230941</v>
      </c>
      <c r="AG151">
        <v>-1.1101068200589901</v>
      </c>
      <c r="AH151">
        <v>29.118815274545501</v>
      </c>
      <c r="AI151">
        <v>92.180993870744004</v>
      </c>
      <c r="AJ151">
        <v>92.606145463562996</v>
      </c>
      <c r="AK151">
        <v>29.170095043059298</v>
      </c>
      <c r="AL151">
        <v>86.795475904200302</v>
      </c>
      <c r="AM151">
        <v>96.501836682680803</v>
      </c>
      <c r="AN151">
        <v>0.999999962994637</v>
      </c>
    </row>
    <row r="152" spans="1:40" x14ac:dyDescent="0.25">
      <c r="A152" t="str">
        <f>"20190304154730559"</f>
        <v>20190304154730559</v>
      </c>
      <c r="B152" t="str">
        <f>"1551685650546752"</f>
        <v>1551685650546752</v>
      </c>
      <c r="C152" t="s">
        <v>40</v>
      </c>
      <c r="D152">
        <v>4.2171510000000003</v>
      </c>
      <c r="E152">
        <v>0.52480340000000003</v>
      </c>
      <c r="F152" t="s">
        <v>44</v>
      </c>
      <c r="G152">
        <v>-442.26010000000002</v>
      </c>
      <c r="H152" s="1">
        <v>-3.9076669999999996E-6</v>
      </c>
      <c r="I152">
        <v>368.1026</v>
      </c>
      <c r="J152">
        <v>-471.56509999999997</v>
      </c>
      <c r="K152">
        <v>1.10988</v>
      </c>
      <c r="L152">
        <v>367.15879999999999</v>
      </c>
      <c r="M152">
        <v>0.99987300000000001</v>
      </c>
      <c r="N152">
        <v>-7.3732950000000002E-3</v>
      </c>
      <c r="O152">
        <v>-1.4131110000000001E-2</v>
      </c>
      <c r="P152">
        <v>0.99387159999999997</v>
      </c>
      <c r="Q152">
        <v>4.8932360000000001E-2</v>
      </c>
      <c r="R152">
        <v>9.9120769999999997E-2</v>
      </c>
      <c r="S152">
        <v>3.0141300000000002</v>
      </c>
      <c r="T152">
        <v>-0.113919699999999</v>
      </c>
      <c r="U152">
        <v>9.6740720000000002E-2</v>
      </c>
      <c r="V152">
        <v>-0.113150399999999</v>
      </c>
      <c r="W152">
        <v>5.6258820000000001E-2</v>
      </c>
      <c r="X152">
        <v>0.99198379999999997</v>
      </c>
      <c r="Y152">
        <v>-4.6154359999999998E-2</v>
      </c>
      <c r="Z152">
        <v>1.4715889999999999E-3</v>
      </c>
      <c r="AA152">
        <v>0.99893330000000002</v>
      </c>
      <c r="AB152">
        <v>8</v>
      </c>
      <c r="AC152">
        <v>29.3049999999999</v>
      </c>
      <c r="AD152">
        <v>-1.109883907667</v>
      </c>
      <c r="AE152">
        <v>0.94380000000000996</v>
      </c>
      <c r="AF152">
        <v>-1.3558863042404199</v>
      </c>
      <c r="AG152">
        <v>-1.109883907667</v>
      </c>
      <c r="AH152">
        <v>29.2468281439536</v>
      </c>
      <c r="AI152">
        <v>92.170937432414505</v>
      </c>
      <c r="AJ152">
        <v>92.654338371298707</v>
      </c>
      <c r="AK152">
        <v>29.299270066683899</v>
      </c>
      <c r="AL152">
        <v>86.774904140674593</v>
      </c>
      <c r="AM152">
        <v>96.507305250336202</v>
      </c>
      <c r="AN152">
        <v>0.99999996365519495</v>
      </c>
    </row>
    <row r="153" spans="1:40" x14ac:dyDescent="0.25">
      <c r="A153" t="str">
        <f>"20190304154730571"</f>
        <v>20190304154730571</v>
      </c>
      <c r="B153" t="str">
        <f>"1551685650567248"</f>
        <v>1551685650567248</v>
      </c>
      <c r="C153" t="s">
        <v>40</v>
      </c>
      <c r="D153">
        <v>4.2276350000000003</v>
      </c>
      <c r="E153">
        <v>0.52467050000000004</v>
      </c>
      <c r="F153" t="s">
        <v>44</v>
      </c>
      <c r="G153">
        <v>-441.28050000000002</v>
      </c>
      <c r="H153" s="1">
        <v>-4.3652769999999999E-6</v>
      </c>
      <c r="I153">
        <v>368.1336</v>
      </c>
      <c r="J153">
        <v>-471.52050000000003</v>
      </c>
      <c r="K153">
        <v>1.109775</v>
      </c>
      <c r="L153">
        <v>367.15809999999999</v>
      </c>
      <c r="M153">
        <v>0.99987519999999996</v>
      </c>
      <c r="N153">
        <v>-6.9540940000000001E-3</v>
      </c>
      <c r="O153">
        <v>-1.418555E-2</v>
      </c>
      <c r="P153">
        <v>0.99386129999999995</v>
      </c>
      <c r="Q153">
        <v>4.9233409999999998E-2</v>
      </c>
      <c r="R153">
        <v>9.9076609999999996E-2</v>
      </c>
      <c r="S153">
        <v>3.0142519999999999</v>
      </c>
      <c r="T153">
        <v>-0.1104676</v>
      </c>
      <c r="U153">
        <v>9.7015379999999998E-2</v>
      </c>
      <c r="V153">
        <v>-0.1131596</v>
      </c>
      <c r="W153">
        <v>5.614504E-2</v>
      </c>
      <c r="X153">
        <v>0.99198929999999996</v>
      </c>
      <c r="Y153">
        <v>-4.6301019999999998E-2</v>
      </c>
      <c r="Z153">
        <v>1.430017E-3</v>
      </c>
      <c r="AA153">
        <v>0.99892650000000005</v>
      </c>
      <c r="AB153">
        <v>8</v>
      </c>
      <c r="AC153">
        <v>30.24</v>
      </c>
      <c r="AD153">
        <v>-1.1097793652770001</v>
      </c>
      <c r="AE153">
        <v>0.97550000000001003</v>
      </c>
      <c r="AF153">
        <v>-1.40249629703212</v>
      </c>
      <c r="AG153">
        <v>-1.1097793652770001</v>
      </c>
      <c r="AH153">
        <v>30.1825105997778</v>
      </c>
      <c r="AI153">
        <v>92.103489640193601</v>
      </c>
      <c r="AJ153">
        <v>92.660459853797207</v>
      </c>
      <c r="AK153">
        <v>30.235451910108502</v>
      </c>
      <c r="AL153">
        <v>86.781433904580894</v>
      </c>
      <c r="AM153">
        <v>96.507794033161403</v>
      </c>
      <c r="AN153">
        <v>1.0000000659516199</v>
      </c>
    </row>
    <row r="154" spans="1:40" x14ac:dyDescent="0.25">
      <c r="A154" t="str">
        <f>"20190304154730583"</f>
        <v>20190304154730583</v>
      </c>
      <c r="B154" t="str">
        <f>"1551685650577009"</f>
        <v>1551685650577009</v>
      </c>
      <c r="C154" t="s">
        <v>40</v>
      </c>
      <c r="D154">
        <v>4.1037559999999997</v>
      </c>
      <c r="E154">
        <v>0.52458979999999999</v>
      </c>
      <c r="F154" t="s">
        <v>44</v>
      </c>
      <c r="G154">
        <v>-441.19159999999999</v>
      </c>
      <c r="H154" s="1">
        <v>-4.4054570000000003E-6</v>
      </c>
      <c r="I154">
        <v>368.1438</v>
      </c>
      <c r="J154">
        <v>-471.47579999999999</v>
      </c>
      <c r="K154">
        <v>1.109721</v>
      </c>
      <c r="L154">
        <v>367.15750000000003</v>
      </c>
      <c r="M154">
        <v>0.99987649999999995</v>
      </c>
      <c r="N154">
        <v>-6.6600749999999997E-3</v>
      </c>
      <c r="O154">
        <v>-1.4240239999999999E-2</v>
      </c>
      <c r="P154">
        <v>0.99384839999999997</v>
      </c>
      <c r="Q154">
        <v>4.9555750000000003E-2</v>
      </c>
      <c r="R154">
        <v>9.9044019999999997E-2</v>
      </c>
      <c r="S154">
        <v>3.0141909999999998</v>
      </c>
      <c r="T154">
        <v>-0.11029369999999999</v>
      </c>
      <c r="U154">
        <v>9.7961430000000002E-2</v>
      </c>
      <c r="V154">
        <v>-0.1131807</v>
      </c>
      <c r="W154">
        <v>5.617598E-2</v>
      </c>
      <c r="X154">
        <v>0.99198509999999995</v>
      </c>
      <c r="Y154">
        <v>-4.6669420000000003E-2</v>
      </c>
      <c r="Z154">
        <v>1.4348449999999999E-3</v>
      </c>
      <c r="AA154">
        <v>0.99890939999999995</v>
      </c>
      <c r="AB154">
        <v>8</v>
      </c>
      <c r="AC154">
        <v>30.284199999999998</v>
      </c>
      <c r="AD154">
        <v>-1.109725405457</v>
      </c>
      <c r="AE154">
        <v>0.98629999999997098</v>
      </c>
      <c r="AF154">
        <v>-1.4155650425619699</v>
      </c>
      <c r="AG154">
        <v>-1.109725405457</v>
      </c>
      <c r="AH154">
        <v>30.226539641161001</v>
      </c>
      <c r="AI154">
        <v>92.100290713119406</v>
      </c>
      <c r="AJ154">
        <v>92.681308776612497</v>
      </c>
      <c r="AK154">
        <v>30.280010131172698</v>
      </c>
      <c r="AL154">
        <v>86.779658239360501</v>
      </c>
      <c r="AM154">
        <v>96.509024401101698</v>
      </c>
      <c r="AN154">
        <v>1.00000002510172</v>
      </c>
    </row>
    <row r="155" spans="1:40" x14ac:dyDescent="0.25">
      <c r="A155" t="str">
        <f>"20190304154730595"</f>
        <v>20190304154730595</v>
      </c>
      <c r="B155" t="str">
        <f>"1551685650586769"</f>
        <v>1551685650586769</v>
      </c>
      <c r="C155" t="s">
        <v>40</v>
      </c>
      <c r="D155">
        <v>4.2171539999999998</v>
      </c>
      <c r="E155">
        <v>0.52456159999999996</v>
      </c>
      <c r="F155" t="s">
        <v>44</v>
      </c>
      <c r="G155">
        <v>-441.1918</v>
      </c>
      <c r="H155" s="1">
        <v>-4.40444E-6</v>
      </c>
      <c r="I155">
        <v>368.149</v>
      </c>
      <c r="J155">
        <v>-471.42919999999998</v>
      </c>
      <c r="K155">
        <v>1.1096779999999999</v>
      </c>
      <c r="L155">
        <v>367.1567</v>
      </c>
      <c r="M155">
        <v>0.99987749999999997</v>
      </c>
      <c r="N155">
        <v>-6.3798079999999998E-3</v>
      </c>
      <c r="O155">
        <v>-1.429656E-2</v>
      </c>
      <c r="P155">
        <v>0.99385480000000004</v>
      </c>
      <c r="Q155">
        <v>4.946329E-2</v>
      </c>
      <c r="R155">
        <v>9.9025790000000002E-2</v>
      </c>
      <c r="S155">
        <v>3.014221</v>
      </c>
      <c r="T155">
        <v>-0.11045290000000001</v>
      </c>
      <c r="U155">
        <v>9.869385E-2</v>
      </c>
      <c r="V155">
        <v>-0.113218</v>
      </c>
      <c r="W155">
        <v>5.5806540000000002E-2</v>
      </c>
      <c r="X155">
        <v>0.99200169999999999</v>
      </c>
      <c r="Y155">
        <v>-4.696753E-2</v>
      </c>
      <c r="Z155">
        <v>1.442367E-3</v>
      </c>
      <c r="AA155">
        <v>0.99889530000000004</v>
      </c>
      <c r="AB155">
        <v>8</v>
      </c>
      <c r="AC155">
        <v>30.237399999999901</v>
      </c>
      <c r="AD155">
        <v>-1.10968240444</v>
      </c>
      <c r="AE155">
        <v>0.99229999999999996</v>
      </c>
      <c r="AF155">
        <v>-1.42258426034427</v>
      </c>
      <c r="AG155">
        <v>-1.10968240444</v>
      </c>
      <c r="AH155">
        <v>30.179520260141</v>
      </c>
      <c r="AI155">
        <v>92.103448465200898</v>
      </c>
      <c r="AJ155">
        <v>92.698776694441506</v>
      </c>
      <c r="AK155">
        <v>30.233401795841001</v>
      </c>
      <c r="AL155">
        <v>86.800858862859599</v>
      </c>
      <c r="AM155">
        <v>96.5110430860653</v>
      </c>
      <c r="AN155">
        <v>1.0000000291168301</v>
      </c>
    </row>
    <row r="156" spans="1:40" x14ac:dyDescent="0.25">
      <c r="A156" t="str">
        <f>"20190304154730607"</f>
        <v>20190304154730607</v>
      </c>
      <c r="B156" t="str">
        <f>"1551685650597505"</f>
        <v>1551685650597505</v>
      </c>
      <c r="C156" t="s">
        <v>40</v>
      </c>
      <c r="D156">
        <v>4.3341349999999998</v>
      </c>
      <c r="E156">
        <v>0.52445209999999998</v>
      </c>
      <c r="F156" t="s">
        <v>44</v>
      </c>
      <c r="G156">
        <v>-441.23219999999998</v>
      </c>
      <c r="H156" s="1">
        <v>-4.3857430000000003E-6</v>
      </c>
      <c r="I156">
        <v>368.14670000000001</v>
      </c>
      <c r="J156">
        <v>-471.38490000000002</v>
      </c>
      <c r="K156">
        <v>1.109648</v>
      </c>
      <c r="L156">
        <v>367.15600000000001</v>
      </c>
      <c r="M156">
        <v>0.99987820000000005</v>
      </c>
      <c r="N156">
        <v>-6.1541319999999997E-3</v>
      </c>
      <c r="O156">
        <v>-1.434879E-2</v>
      </c>
      <c r="P156">
        <v>0.99387060000000005</v>
      </c>
      <c r="Q156">
        <v>4.9529629999999998E-2</v>
      </c>
      <c r="R156">
        <v>9.8834920000000007E-2</v>
      </c>
      <c r="S156">
        <v>3.0141909999999998</v>
      </c>
      <c r="T156">
        <v>-0.1107659</v>
      </c>
      <c r="U156">
        <v>9.8815920000000002E-2</v>
      </c>
      <c r="V156">
        <v>-0.1130795</v>
      </c>
      <c r="W156">
        <v>5.5648959999999997E-2</v>
      </c>
      <c r="X156">
        <v>0.99202630000000003</v>
      </c>
      <c r="Y156">
        <v>-4.706018E-2</v>
      </c>
      <c r="Z156">
        <v>1.447804E-3</v>
      </c>
      <c r="AA156">
        <v>0.99889099999999997</v>
      </c>
      <c r="AB156">
        <v>8</v>
      </c>
      <c r="AC156">
        <v>30.152699999999999</v>
      </c>
      <c r="AD156">
        <v>-1.1096523857430001</v>
      </c>
      <c r="AE156">
        <v>0.99070000000000402</v>
      </c>
      <c r="AF156">
        <v>-1.42133804820304</v>
      </c>
      <c r="AG156">
        <v>-1.1096523857430001</v>
      </c>
      <c r="AH156">
        <v>30.094666197594499</v>
      </c>
      <c r="AI156">
        <v>92.109307850268905</v>
      </c>
      <c r="AJ156">
        <v>92.704007472718004</v>
      </c>
      <c r="AK156">
        <v>30.148639501793301</v>
      </c>
      <c r="AL156">
        <v>86.809901427004206</v>
      </c>
      <c r="AM156">
        <v>96.502986492345599</v>
      </c>
      <c r="AN156">
        <v>0.99999997998051005</v>
      </c>
    </row>
    <row r="157" spans="1:40" x14ac:dyDescent="0.25">
      <c r="A157" t="str">
        <f>"20190304154730619"</f>
        <v>20190304154730619</v>
      </c>
      <c r="B157" t="str">
        <f>"1551685650617024"</f>
        <v>1551685650617024</v>
      </c>
      <c r="C157" t="s">
        <v>40</v>
      </c>
      <c r="D157">
        <v>4.2532329999999998</v>
      </c>
      <c r="E157">
        <v>0.52439399999999903</v>
      </c>
      <c r="F157" t="s">
        <v>44</v>
      </c>
      <c r="G157">
        <v>-441.38130000000001</v>
      </c>
      <c r="H157" s="1">
        <v>-4.316096E-6</v>
      </c>
      <c r="I157">
        <v>368.14210000000003</v>
      </c>
      <c r="J157">
        <v>-471.33870000000002</v>
      </c>
      <c r="K157">
        <v>1.1096140000000001</v>
      </c>
      <c r="L157">
        <v>367.15530000000001</v>
      </c>
      <c r="M157">
        <v>0.99987999999999999</v>
      </c>
      <c r="N157">
        <v>-5.9129150000000004E-3</v>
      </c>
      <c r="O157">
        <v>-1.431841E-2</v>
      </c>
      <c r="P157">
        <v>0.99388750000000003</v>
      </c>
      <c r="Q157">
        <v>4.9466570000000001E-2</v>
      </c>
      <c r="R157">
        <v>9.8695959999999999E-2</v>
      </c>
      <c r="S157">
        <v>3.0142519999999999</v>
      </c>
      <c r="T157">
        <v>-0.11147890000000001</v>
      </c>
      <c r="U157">
        <v>9.9060060000000005E-2</v>
      </c>
      <c r="V157">
        <v>-0.1129097</v>
      </c>
      <c r="W157">
        <v>5.5348059999999998E-2</v>
      </c>
      <c r="X157">
        <v>0.99206249999999996</v>
      </c>
      <c r="Y157">
        <v>-4.7109499999999999E-2</v>
      </c>
      <c r="Z157">
        <v>1.4546170000000001E-3</v>
      </c>
      <c r="AA157">
        <v>0.99888869999999996</v>
      </c>
      <c r="AB157">
        <v>8</v>
      </c>
      <c r="AC157">
        <v>29.9574</v>
      </c>
      <c r="AD157">
        <v>-1.10961831609599</v>
      </c>
      <c r="AE157">
        <v>0.986800000000016</v>
      </c>
      <c r="AF157">
        <v>-1.41371122958865</v>
      </c>
      <c r="AG157">
        <v>-1.10961831609599</v>
      </c>
      <c r="AH157">
        <v>29.899223349073299</v>
      </c>
      <c r="AI157">
        <v>92.123012738502098</v>
      </c>
      <c r="AJ157">
        <v>92.707073852426404</v>
      </c>
      <c r="AK157">
        <v>29.953186627232999</v>
      </c>
      <c r="AL157">
        <v>86.827168422405407</v>
      </c>
      <c r="AM157">
        <v>96.493070161142498</v>
      </c>
      <c r="AN157">
        <v>1.0000000060030501</v>
      </c>
    </row>
    <row r="158" spans="1:40" x14ac:dyDescent="0.25">
      <c r="A158" t="str">
        <f>"20190304154730638"</f>
        <v>20190304154730638</v>
      </c>
      <c r="B158" t="str">
        <f>"1551685650626788"</f>
        <v>1551685650626788</v>
      </c>
      <c r="C158" t="s">
        <v>40</v>
      </c>
      <c r="D158">
        <v>4.2116499999999997</v>
      </c>
      <c r="E158">
        <v>0.52438499999999999</v>
      </c>
      <c r="F158" t="s">
        <v>44</v>
      </c>
      <c r="G158">
        <v>-441.38229999999999</v>
      </c>
      <c r="H158" s="1">
        <v>-4.3158219999999996E-6</v>
      </c>
      <c r="I158">
        <v>368.14100000000002</v>
      </c>
      <c r="J158">
        <v>-471.26920000000001</v>
      </c>
      <c r="K158">
        <v>1.1095889999999999</v>
      </c>
      <c r="L158">
        <v>367.15410000000003</v>
      </c>
      <c r="M158">
        <v>0.99988259999999995</v>
      </c>
      <c r="N158">
        <v>-5.6262919999999998E-3</v>
      </c>
      <c r="O158">
        <v>-1.4256660000000001E-2</v>
      </c>
      <c r="P158">
        <v>0.99388710000000002</v>
      </c>
      <c r="Q158">
        <v>4.9970670000000002E-2</v>
      </c>
      <c r="R158">
        <v>9.8445679999999994E-2</v>
      </c>
      <c r="S158">
        <v>3.0141909999999998</v>
      </c>
      <c r="T158">
        <v>-0.111649</v>
      </c>
      <c r="U158">
        <v>9.9182129999999993E-2</v>
      </c>
      <c r="V158">
        <v>-0.1126004</v>
      </c>
      <c r="W158">
        <v>5.5563260000000003E-2</v>
      </c>
      <c r="X158">
        <v>0.99208560000000001</v>
      </c>
      <c r="Y158">
        <v>-4.7088900000000003E-2</v>
      </c>
      <c r="Z158">
        <v>1.451747E-3</v>
      </c>
      <c r="AA158">
        <v>0.99888960000000004</v>
      </c>
      <c r="AB158">
        <v>8</v>
      </c>
      <c r="AC158">
        <v>29.886900000000001</v>
      </c>
      <c r="AD158">
        <v>-1.1095933158219999</v>
      </c>
      <c r="AE158">
        <v>0.98689999999993405</v>
      </c>
      <c r="AF158">
        <v>-1.41095109202487</v>
      </c>
      <c r="AG158">
        <v>-1.1095933158219999</v>
      </c>
      <c r="AH158">
        <v>29.828722095574602</v>
      </c>
      <c r="AI158">
        <v>92.127976117605797</v>
      </c>
      <c r="AJ158">
        <v>92.708172682628501</v>
      </c>
      <c r="AK158">
        <v>29.882681308169499</v>
      </c>
      <c r="AL158">
        <v>86.814819290311505</v>
      </c>
      <c r="AM158">
        <v>96.4752851063338</v>
      </c>
      <c r="AN158">
        <v>0.99999998183467298</v>
      </c>
    </row>
    <row r="159" spans="1:40" x14ac:dyDescent="0.25">
      <c r="A159" t="str">
        <f>"20190304154730649"</f>
        <v>20190304154730649</v>
      </c>
      <c r="B159" t="str">
        <f>"1551685650637521"</f>
        <v>1551685650637521</v>
      </c>
      <c r="C159" t="s">
        <v>40</v>
      </c>
      <c r="D159">
        <v>4.3211810000000002</v>
      </c>
      <c r="E159">
        <v>0.52430619999999994</v>
      </c>
      <c r="F159" t="s">
        <v>44</v>
      </c>
      <c r="G159">
        <v>-440.90499999999997</v>
      </c>
      <c r="H159" s="1">
        <v>-4.540316E-6</v>
      </c>
      <c r="I159">
        <v>368.1474</v>
      </c>
      <c r="J159">
        <v>-471.22329999999999</v>
      </c>
      <c r="K159">
        <v>1.109613</v>
      </c>
      <c r="L159">
        <v>367.15339999999998</v>
      </c>
      <c r="M159">
        <v>0.99988310000000002</v>
      </c>
      <c r="N159">
        <v>-5.5303189999999997E-3</v>
      </c>
      <c r="O159">
        <v>-1.4263619999999999E-2</v>
      </c>
      <c r="P159">
        <v>0.99390659999999997</v>
      </c>
      <c r="Q159">
        <v>4.9954020000000002E-2</v>
      </c>
      <c r="R159">
        <v>9.8257549999999999E-2</v>
      </c>
      <c r="S159">
        <v>3.014221</v>
      </c>
      <c r="T159">
        <v>-0.110148</v>
      </c>
      <c r="U159">
        <v>9.8602289999999995E-2</v>
      </c>
      <c r="V159">
        <v>-0.1124252</v>
      </c>
      <c r="W159">
        <v>5.5439950000000002E-2</v>
      </c>
      <c r="X159">
        <v>0.99211240000000001</v>
      </c>
      <c r="Y159">
        <v>-4.6904889999999998E-2</v>
      </c>
      <c r="Z159">
        <v>1.428386E-3</v>
      </c>
      <c r="AA159">
        <v>0.99889830000000002</v>
      </c>
      <c r="AB159">
        <v>9</v>
      </c>
      <c r="AC159">
        <v>30.318300000000001</v>
      </c>
      <c r="AD159">
        <v>-1.109617540316</v>
      </c>
      <c r="AE159">
        <v>0.99400000000002797</v>
      </c>
      <c r="AF159">
        <v>-1.4244481721687401</v>
      </c>
      <c r="AG159">
        <v>-1.109617540316</v>
      </c>
      <c r="AH159">
        <v>30.2605474128362</v>
      </c>
      <c r="AI159">
        <v>92.097705057152695</v>
      </c>
      <c r="AJ159">
        <v>92.695082322526602</v>
      </c>
      <c r="AK159">
        <v>30.314370080961201</v>
      </c>
      <c r="AL159">
        <v>86.8218954422005</v>
      </c>
      <c r="AM159">
        <v>96.465122124844598</v>
      </c>
      <c r="AN159">
        <v>1.0000000139423999</v>
      </c>
    </row>
    <row r="160" spans="1:40" x14ac:dyDescent="0.25">
      <c r="A160" t="str">
        <f>"20190304154730661"</f>
        <v>20190304154730661</v>
      </c>
      <c r="B160" t="str">
        <f>"1551685650657041"</f>
        <v>1551685650657041</v>
      </c>
      <c r="C160" t="s">
        <v>40</v>
      </c>
      <c r="D160">
        <v>4.1833269999999896</v>
      </c>
      <c r="E160">
        <v>0.524258</v>
      </c>
      <c r="F160" t="s">
        <v>44</v>
      </c>
      <c r="G160">
        <v>-441.07260000000002</v>
      </c>
      <c r="H160" s="1">
        <v>-4.4621199999999997E-6</v>
      </c>
      <c r="I160">
        <v>368.14150000000001</v>
      </c>
      <c r="J160">
        <v>-471.17739999999998</v>
      </c>
      <c r="K160">
        <v>1.109685</v>
      </c>
      <c r="L160">
        <v>367.15260000000001</v>
      </c>
      <c r="M160">
        <v>0.99988129999999997</v>
      </c>
      <c r="N160">
        <v>-5.5413900000000002E-3</v>
      </c>
      <c r="O160">
        <v>-1.437892E-2</v>
      </c>
      <c r="P160">
        <v>0.99392409999999998</v>
      </c>
      <c r="Q160">
        <v>5.0276580000000001E-2</v>
      </c>
      <c r="R160">
        <v>9.7914669999999995E-2</v>
      </c>
      <c r="S160">
        <v>3.0141909999999998</v>
      </c>
      <c r="T160">
        <v>-0.110929399999999</v>
      </c>
      <c r="U160">
        <v>9.8785399999999995E-2</v>
      </c>
      <c r="V160">
        <v>-0.112207</v>
      </c>
      <c r="W160">
        <v>5.5753699999999899E-2</v>
      </c>
      <c r="X160">
        <v>0.99211950000000004</v>
      </c>
      <c r="Y160">
        <v>-4.7080230000000001E-2</v>
      </c>
      <c r="Z160">
        <v>1.4455799999999999E-3</v>
      </c>
      <c r="AA160">
        <v>0.99888999999999994</v>
      </c>
      <c r="AB160">
        <v>9</v>
      </c>
      <c r="AC160">
        <v>30.104799999999901</v>
      </c>
      <c r="AD160">
        <v>-1.10968946212</v>
      </c>
      <c r="AE160">
        <v>0.988900000000001</v>
      </c>
      <c r="AF160">
        <v>-1.4197519308103701</v>
      </c>
      <c r="AG160">
        <v>-1.10968946212</v>
      </c>
      <c r="AH160">
        <v>30.046686910132301</v>
      </c>
      <c r="AI160">
        <v>92.112741269715599</v>
      </c>
      <c r="AJ160">
        <v>92.705301065734702</v>
      </c>
      <c r="AK160">
        <v>30.100672758642698</v>
      </c>
      <c r="AL160">
        <v>86.803890980663894</v>
      </c>
      <c r="AM160">
        <v>96.452634461713401</v>
      </c>
      <c r="AN160">
        <v>0.99999999409647</v>
      </c>
    </row>
    <row r="161" spans="1:40" x14ac:dyDescent="0.25">
      <c r="A161" t="str">
        <f>"20190304154730674"</f>
        <v>20190304154730674</v>
      </c>
      <c r="B161" t="str">
        <f>"1551685650666801"</f>
        <v>1551685650666801</v>
      </c>
      <c r="C161" t="s">
        <v>40</v>
      </c>
      <c r="D161">
        <v>4.3331879999999998</v>
      </c>
      <c r="E161">
        <v>0.5243099</v>
      </c>
      <c r="F161" t="s">
        <v>44</v>
      </c>
      <c r="G161">
        <v>-440.83510000000001</v>
      </c>
      <c r="H161" s="1">
        <v>-4.5747490000000003E-6</v>
      </c>
      <c r="I161">
        <v>368.13959999999997</v>
      </c>
      <c r="J161">
        <v>-471.1309</v>
      </c>
      <c r="K161">
        <v>1.109761</v>
      </c>
      <c r="L161">
        <v>367.15179999999998</v>
      </c>
      <c r="M161">
        <v>0.99987910000000002</v>
      </c>
      <c r="N161">
        <v>-5.5776760000000002E-3</v>
      </c>
      <c r="O161">
        <v>-1.4522419999999999E-2</v>
      </c>
      <c r="P161">
        <v>0.99394859999999896</v>
      </c>
      <c r="Q161">
        <v>5.050031E-2</v>
      </c>
      <c r="R161">
        <v>9.7550769999999995E-2</v>
      </c>
      <c r="S161">
        <v>3.014221</v>
      </c>
      <c r="T161">
        <v>-0.110236899999999</v>
      </c>
      <c r="U161">
        <v>9.8052979999999998E-2</v>
      </c>
      <c r="V161">
        <v>-0.111995899999999</v>
      </c>
      <c r="W161">
        <v>5.5993649999999999E-2</v>
      </c>
      <c r="X161">
        <v>0.99212990000000001</v>
      </c>
      <c r="Y161">
        <v>-4.6981330000000002E-2</v>
      </c>
      <c r="Z161">
        <v>1.4395650000000001E-3</v>
      </c>
      <c r="AA161">
        <v>0.99889479999999997</v>
      </c>
      <c r="AB161">
        <v>9</v>
      </c>
      <c r="AC161">
        <v>30.2957999999999</v>
      </c>
      <c r="AD161">
        <v>-1.1097655747490001</v>
      </c>
      <c r="AE161">
        <v>0.98779999999999202</v>
      </c>
      <c r="AF161">
        <v>-1.42575985725372</v>
      </c>
      <c r="AG161">
        <v>-1.1097655747490001</v>
      </c>
      <c r="AH161">
        <v>30.237728745057201</v>
      </c>
      <c r="AI161">
        <v>92.099558693703003</v>
      </c>
      <c r="AJ161">
        <v>92.699593073596105</v>
      </c>
      <c r="AK161">
        <v>30.291659090599801</v>
      </c>
      <c r="AL161">
        <v>86.790121541949404</v>
      </c>
      <c r="AM161">
        <v>96.440529988692305</v>
      </c>
      <c r="AN161">
        <v>1.0000000544655601</v>
      </c>
    </row>
    <row r="162" spans="1:40" x14ac:dyDescent="0.25">
      <c r="A162" t="str">
        <f>"20190304154730688"</f>
        <v>20190304154730688</v>
      </c>
      <c r="B162" t="str">
        <f>"1551685650677537"</f>
        <v>1551685650677537</v>
      </c>
      <c r="C162" t="s">
        <v>40</v>
      </c>
      <c r="D162">
        <v>4.2059819999999997</v>
      </c>
      <c r="E162">
        <v>0.52435619999999905</v>
      </c>
      <c r="F162" t="s">
        <v>44</v>
      </c>
      <c r="G162">
        <v>-440.47320000000002</v>
      </c>
      <c r="H162" s="1">
        <v>-4.7467650000000001E-6</v>
      </c>
      <c r="I162">
        <v>368.13420000000002</v>
      </c>
      <c r="J162">
        <v>-471.07229999999998</v>
      </c>
      <c r="K162">
        <v>1.1098330000000001</v>
      </c>
      <c r="L162">
        <v>367.1508</v>
      </c>
      <c r="M162">
        <v>0.99987510000000002</v>
      </c>
      <c r="N162">
        <v>-5.6673369999999997E-3</v>
      </c>
      <c r="O162">
        <v>-1.475711E-2</v>
      </c>
      <c r="P162">
        <v>0.99399479999999996</v>
      </c>
      <c r="Q162">
        <v>5.055333E-2</v>
      </c>
      <c r="R162">
        <v>9.7050460000000005E-2</v>
      </c>
      <c r="S162">
        <v>3.0143430000000002</v>
      </c>
      <c r="T162">
        <v>-0.109115</v>
      </c>
      <c r="U162">
        <v>9.6588129999999994E-2</v>
      </c>
      <c r="V162">
        <v>-0.1117378</v>
      </c>
      <c r="W162">
        <v>5.611886E-2</v>
      </c>
      <c r="X162">
        <v>0.99215189999999998</v>
      </c>
      <c r="Y162">
        <v>-4.6730460000000001E-2</v>
      </c>
      <c r="Z162">
        <v>1.4281039999999999E-3</v>
      </c>
      <c r="AA162">
        <v>0.99890650000000003</v>
      </c>
      <c r="AB162">
        <v>9</v>
      </c>
      <c r="AC162">
        <v>30.5990999999999</v>
      </c>
      <c r="AD162">
        <v>-1.109837746765</v>
      </c>
      <c r="AE162">
        <v>0.98340000000001704</v>
      </c>
      <c r="AF162">
        <v>-1.43297124887969</v>
      </c>
      <c r="AG162">
        <v>-1.109837746765</v>
      </c>
      <c r="AH162">
        <v>30.541119131312598</v>
      </c>
      <c r="AI162">
        <v>92.078878126660896</v>
      </c>
      <c r="AJ162">
        <v>92.686314003378897</v>
      </c>
      <c r="AK162">
        <v>30.594854211407601</v>
      </c>
      <c r="AL162">
        <v>86.782936152972098</v>
      </c>
      <c r="AM162">
        <v>96.425670467591701</v>
      </c>
      <c r="AN162">
        <v>1.00000002753507</v>
      </c>
    </row>
    <row r="163" spans="1:40" x14ac:dyDescent="0.25">
      <c r="A163" t="str">
        <f>"20190304154730706"</f>
        <v>20190304154730706</v>
      </c>
      <c r="B163" t="str">
        <f>"1551685650697056"</f>
        <v>1551685650697056</v>
      </c>
      <c r="C163" t="s">
        <v>40</v>
      </c>
      <c r="D163">
        <v>4.1699570000000001</v>
      </c>
      <c r="E163">
        <v>0.5244415</v>
      </c>
      <c r="F163" t="s">
        <v>44</v>
      </c>
      <c r="G163">
        <v>-440.15530000000001</v>
      </c>
      <c r="H163" s="1">
        <v>-4.8989559999999997E-6</v>
      </c>
      <c r="I163">
        <v>368.12329999999997</v>
      </c>
      <c r="J163">
        <v>-470.99970000000002</v>
      </c>
      <c r="K163">
        <v>1.109853</v>
      </c>
      <c r="L163">
        <v>367.14960000000002</v>
      </c>
      <c r="M163">
        <v>0.99987110000000001</v>
      </c>
      <c r="N163">
        <v>-5.7424490000000002E-3</v>
      </c>
      <c r="O163">
        <v>-1.4995939999999999E-2</v>
      </c>
      <c r="P163">
        <v>0.99403470000000005</v>
      </c>
      <c r="Q163">
        <v>5.0815319999999997E-2</v>
      </c>
      <c r="R163">
        <v>9.6502649999999995E-2</v>
      </c>
      <c r="S163">
        <v>3.0143430000000002</v>
      </c>
      <c r="T163">
        <v>-0.108207</v>
      </c>
      <c r="U163">
        <v>9.4818120000000006E-2</v>
      </c>
      <c r="V163">
        <v>-0.1114305</v>
      </c>
      <c r="W163">
        <v>5.6450210000000001E-2</v>
      </c>
      <c r="X163">
        <v>0.99216769999999999</v>
      </c>
      <c r="Y163">
        <v>-4.6383899999999999E-2</v>
      </c>
      <c r="Z163">
        <v>1.417277E-3</v>
      </c>
      <c r="AA163">
        <v>0.99892270000000005</v>
      </c>
      <c r="AB163">
        <v>9</v>
      </c>
      <c r="AC163">
        <v>30.8444</v>
      </c>
      <c r="AD163">
        <v>-1.109857898956</v>
      </c>
      <c r="AE163">
        <v>0.97369999999995105</v>
      </c>
      <c r="AF163">
        <v>-1.43428371644835</v>
      </c>
      <c r="AG163">
        <v>-1.109857898956</v>
      </c>
      <c r="AH163">
        <v>30.786508988239799</v>
      </c>
      <c r="AI163">
        <v>92.062391657579496</v>
      </c>
      <c r="AJ163">
        <v>92.667370512287405</v>
      </c>
      <c r="AK163">
        <v>30.8398782425955</v>
      </c>
      <c r="AL163">
        <v>86.763921170801794</v>
      </c>
      <c r="AM163">
        <v>96.408044665946804</v>
      </c>
      <c r="AN163">
        <v>1.00000006373129</v>
      </c>
    </row>
    <row r="164" spans="1:40" x14ac:dyDescent="0.25">
      <c r="A164" t="str">
        <f>"20190304154730720"</f>
        <v>20190304154730720</v>
      </c>
      <c r="B164" t="str">
        <f>"1551685650717552"</f>
        <v>1551685650717552</v>
      </c>
      <c r="C164" t="s">
        <v>40</v>
      </c>
      <c r="D164">
        <v>4.2704570000000004</v>
      </c>
      <c r="E164">
        <v>0.52430379999999999</v>
      </c>
      <c r="F164" t="s">
        <v>45</v>
      </c>
      <c r="G164">
        <v>-438.02339999999998</v>
      </c>
      <c r="H164">
        <v>-0.05</v>
      </c>
      <c r="I164">
        <v>368.16079999999999</v>
      </c>
      <c r="J164">
        <v>-470.9436</v>
      </c>
      <c r="K164">
        <v>1.109829</v>
      </c>
      <c r="L164">
        <v>367.14879999999999</v>
      </c>
      <c r="M164">
        <v>0.99986909999999896</v>
      </c>
      <c r="N164">
        <v>-5.7620989999999997E-3</v>
      </c>
      <c r="O164">
        <v>-1.511411E-2</v>
      </c>
      <c r="P164">
        <v>0.99405290000000002</v>
      </c>
      <c r="Q164">
        <v>5.1003380000000001E-2</v>
      </c>
      <c r="R164">
        <v>9.6216780000000002E-2</v>
      </c>
      <c r="S164">
        <v>3.014465</v>
      </c>
      <c r="T164">
        <v>-0.1060258</v>
      </c>
      <c r="U164">
        <v>9.2437740000000004E-2</v>
      </c>
      <c r="V164">
        <v>-0.11126080000000001</v>
      </c>
      <c r="W164">
        <v>5.6662070000000002E-2</v>
      </c>
      <c r="X164">
        <v>0.99217460000000002</v>
      </c>
      <c r="Y164">
        <v>-4.5714669999999999E-2</v>
      </c>
      <c r="Z164">
        <v>1.379576E-3</v>
      </c>
      <c r="AA164">
        <v>0.9989536</v>
      </c>
      <c r="AB164">
        <v>9</v>
      </c>
      <c r="AC164">
        <v>32.920200000000001</v>
      </c>
      <c r="AD164">
        <v>-1.159829</v>
      </c>
      <c r="AE164">
        <v>1.012</v>
      </c>
      <c r="AF164">
        <v>-1.5075826845659099</v>
      </c>
      <c r="AG164">
        <v>-1.159829</v>
      </c>
      <c r="AH164">
        <v>32.860394034816302</v>
      </c>
      <c r="AI164">
        <v>92.019330392555801</v>
      </c>
      <c r="AJ164">
        <v>92.626797405561206</v>
      </c>
      <c r="AK164">
        <v>32.915399207414097</v>
      </c>
      <c r="AL164">
        <v>86.751762808493496</v>
      </c>
      <c r="AM164">
        <v>96.398322576701602</v>
      </c>
      <c r="AN164">
        <v>0.99999999633924197</v>
      </c>
    </row>
    <row r="165" spans="1:40" x14ac:dyDescent="0.25">
      <c r="A165" t="str">
        <f>"20190304154730739"</f>
        <v>20190304154730739</v>
      </c>
      <c r="B165" t="str">
        <f>"1551685650727312"</f>
        <v>1551685650727312</v>
      </c>
      <c r="C165" t="s">
        <v>40</v>
      </c>
      <c r="D165">
        <v>4.1981539999999997</v>
      </c>
      <c r="E165">
        <v>0.52427609999999902</v>
      </c>
      <c r="F165" t="s">
        <v>45</v>
      </c>
      <c r="G165">
        <v>-438.10140000000001</v>
      </c>
      <c r="H165">
        <v>-0.05</v>
      </c>
      <c r="I165">
        <v>368.16149999999999</v>
      </c>
      <c r="J165">
        <v>-470.87189999999998</v>
      </c>
      <c r="K165">
        <v>1.109772</v>
      </c>
      <c r="L165">
        <v>367.14760000000001</v>
      </c>
      <c r="M165">
        <v>0.99986810000000004</v>
      </c>
      <c r="N165">
        <v>-5.750598E-3</v>
      </c>
      <c r="O165">
        <v>-1.5194330000000001E-2</v>
      </c>
      <c r="P165">
        <v>0.99408350000000001</v>
      </c>
      <c r="Q165">
        <v>5.1011149999999998E-2</v>
      </c>
      <c r="R165">
        <v>9.5897309999999999E-2</v>
      </c>
      <c r="S165">
        <v>3.0144350000000002</v>
      </c>
      <c r="T165">
        <v>-0.10645540000000001</v>
      </c>
      <c r="U165">
        <v>9.2956540000000004E-2</v>
      </c>
      <c r="V165">
        <v>-0.11101560000000001</v>
      </c>
      <c r="W165">
        <v>5.6670159999999997E-2</v>
      </c>
      <c r="X165">
        <v>0.99220160000000002</v>
      </c>
      <c r="Y165">
        <v>-4.5966359999999998E-2</v>
      </c>
      <c r="Z165">
        <v>1.3924390000000001E-3</v>
      </c>
      <c r="AA165">
        <v>0.998942</v>
      </c>
      <c r="AB165">
        <v>9</v>
      </c>
      <c r="AC165">
        <v>32.770499999999899</v>
      </c>
      <c r="AD165">
        <v>-1.159772</v>
      </c>
      <c r="AE165">
        <v>1.01389999999997</v>
      </c>
      <c r="AF165">
        <v>-1.5098276804493</v>
      </c>
      <c r="AG165">
        <v>-1.159772</v>
      </c>
      <c r="AH165">
        <v>32.710380348253402</v>
      </c>
      <c r="AI165">
        <v>92.028457979686806</v>
      </c>
      <c r="AJ165">
        <v>92.6427512267541</v>
      </c>
      <c r="AK165">
        <v>32.765738710489003</v>
      </c>
      <c r="AL165">
        <v>86.751298528001399</v>
      </c>
      <c r="AM165">
        <v>96.384166013407807</v>
      </c>
      <c r="AN165">
        <v>0.99999999276017204</v>
      </c>
    </row>
    <row r="166" spans="1:40" x14ac:dyDescent="0.25">
      <c r="A166" t="str">
        <f>"20190304154730751"</f>
        <v>20190304154730751</v>
      </c>
      <c r="B166" t="str">
        <f>"1551685650746834"</f>
        <v>1551685650746834</v>
      </c>
      <c r="C166" t="s">
        <v>40</v>
      </c>
      <c r="D166">
        <v>4.2004219999999997</v>
      </c>
      <c r="E166">
        <v>0.52421240000000002</v>
      </c>
      <c r="F166" t="s">
        <v>45</v>
      </c>
      <c r="G166">
        <v>-438.01310000000001</v>
      </c>
      <c r="H166">
        <v>-0.05</v>
      </c>
      <c r="I166">
        <v>368.15050000000002</v>
      </c>
      <c r="J166">
        <v>-470.81689999999998</v>
      </c>
      <c r="K166">
        <v>1.10972</v>
      </c>
      <c r="L166">
        <v>367.14670000000001</v>
      </c>
      <c r="M166">
        <v>0.99986799999999998</v>
      </c>
      <c r="N166">
        <v>-5.7241280000000002E-3</v>
      </c>
      <c r="O166">
        <v>-1.521691E-2</v>
      </c>
      <c r="P166">
        <v>0.99409959999999997</v>
      </c>
      <c r="Q166">
        <v>5.1182850000000002E-2</v>
      </c>
      <c r="R166">
        <v>9.5638749999999995E-2</v>
      </c>
      <c r="S166">
        <v>3.0144350000000002</v>
      </c>
      <c r="T166">
        <v>-0.1063964</v>
      </c>
      <c r="U166">
        <v>9.2010499999999995E-2</v>
      </c>
      <c r="V166">
        <v>-0.11077480000000001</v>
      </c>
      <c r="W166">
        <v>5.6825840000000002E-2</v>
      </c>
      <c r="X166">
        <v>0.99221959999999998</v>
      </c>
      <c r="Y166">
        <v>-4.5675960000000002E-2</v>
      </c>
      <c r="Z166">
        <v>1.3862049999999999E-3</v>
      </c>
      <c r="AA166">
        <v>0.99895540000000005</v>
      </c>
      <c r="AB166">
        <v>9</v>
      </c>
      <c r="AC166">
        <v>32.803799999999903</v>
      </c>
      <c r="AD166">
        <v>-1.1597200000000001</v>
      </c>
      <c r="AE166">
        <v>1.00380000000001</v>
      </c>
      <c r="AF166">
        <v>-1.50099008062678</v>
      </c>
      <c r="AG166">
        <v>-1.1597200000000001</v>
      </c>
      <c r="AH166">
        <v>32.743840131670098</v>
      </c>
      <c r="AI166">
        <v>92.026325584617993</v>
      </c>
      <c r="AJ166">
        <v>92.624622936602705</v>
      </c>
      <c r="AK166">
        <v>32.798734552859003</v>
      </c>
      <c r="AL166">
        <v>86.742364293656706</v>
      </c>
      <c r="AM166">
        <v>96.370317693009696</v>
      </c>
      <c r="AN166">
        <v>0.99999998351545205</v>
      </c>
    </row>
    <row r="167" spans="1:40" x14ac:dyDescent="0.25">
      <c r="A167" t="str">
        <f>"20190304154730764"</f>
        <v>20190304154730764</v>
      </c>
      <c r="B167" t="str">
        <f>"1551685650757569"</f>
        <v>1551685650757569</v>
      </c>
      <c r="C167" t="s">
        <v>40</v>
      </c>
      <c r="D167">
        <v>4.1458120000000003</v>
      </c>
      <c r="E167">
        <v>0.52418030000000004</v>
      </c>
      <c r="F167" t="s">
        <v>45</v>
      </c>
      <c r="G167">
        <v>-437.85550000000001</v>
      </c>
      <c r="H167">
        <v>-0.05</v>
      </c>
      <c r="I167">
        <v>368.15109999999999</v>
      </c>
      <c r="J167">
        <v>-470.76479999999998</v>
      </c>
      <c r="K167">
        <v>1.1096839999999999</v>
      </c>
      <c r="L167">
        <v>367.14580000000001</v>
      </c>
      <c r="M167">
        <v>0.99986799999999998</v>
      </c>
      <c r="N167">
        <v>-5.6908949999999996E-3</v>
      </c>
      <c r="O167">
        <v>-1.522166E-2</v>
      </c>
      <c r="P167">
        <v>0.9941065</v>
      </c>
      <c r="Q167">
        <v>5.1092650000000003E-2</v>
      </c>
      <c r="R167">
        <v>9.5613130000000005E-2</v>
      </c>
      <c r="S167">
        <v>3.014465</v>
      </c>
      <c r="T167">
        <v>-0.1060613</v>
      </c>
      <c r="U167">
        <v>9.1857910000000001E-2</v>
      </c>
      <c r="V167">
        <v>-0.11075</v>
      </c>
      <c r="W167">
        <v>5.6709669999999997E-2</v>
      </c>
      <c r="X167">
        <v>0.99222900000000003</v>
      </c>
      <c r="Y167">
        <v>-4.5630160000000003E-2</v>
      </c>
      <c r="Z167">
        <v>1.380916E-3</v>
      </c>
      <c r="AA167">
        <v>0.99895750000000005</v>
      </c>
      <c r="AB167">
        <v>9</v>
      </c>
      <c r="AC167">
        <v>32.909299999999902</v>
      </c>
      <c r="AD167">
        <v>-1.1596839999999999</v>
      </c>
      <c r="AE167">
        <v>1.0052999999999701</v>
      </c>
      <c r="AF167">
        <v>-1.50425958091402</v>
      </c>
      <c r="AG167">
        <v>-1.1596839999999999</v>
      </c>
      <c r="AH167">
        <v>32.8494310582754</v>
      </c>
      <c r="AI167">
        <v>92.019759349815203</v>
      </c>
      <c r="AJ167">
        <v>92.621888847257594</v>
      </c>
      <c r="AK167">
        <v>32.904297359448599</v>
      </c>
      <c r="AL167">
        <v>86.749031047418597</v>
      </c>
      <c r="AM167">
        <v>96.3688434008982</v>
      </c>
      <c r="AN167">
        <v>0.99999996880625397</v>
      </c>
    </row>
    <row r="168" spans="1:40" x14ac:dyDescent="0.25">
      <c r="A168" t="str">
        <f>"20190304154730782"</f>
        <v>20190304154730782</v>
      </c>
      <c r="B168" t="str">
        <f>"1551685650777089"</f>
        <v>1551685650777089</v>
      </c>
      <c r="C168" t="s">
        <v>40</v>
      </c>
      <c r="D168">
        <v>4.1759469999999999</v>
      </c>
      <c r="E168">
        <v>0.52410219999999996</v>
      </c>
      <c r="F168" t="s">
        <v>45</v>
      </c>
      <c r="G168">
        <v>-437.86070000000001</v>
      </c>
      <c r="H168">
        <v>-0.05</v>
      </c>
      <c r="I168">
        <v>368.1508</v>
      </c>
      <c r="J168">
        <v>-470.68990000000002</v>
      </c>
      <c r="K168">
        <v>1.1096410000000001</v>
      </c>
      <c r="L168">
        <v>367.14460000000003</v>
      </c>
      <c r="M168">
        <v>0.99986799999999998</v>
      </c>
      <c r="N168">
        <v>-5.6420359999999996E-3</v>
      </c>
      <c r="O168">
        <v>-1.523818E-2</v>
      </c>
      <c r="P168">
        <v>0.99412670000000003</v>
      </c>
      <c r="Q168">
        <v>5.1109979999999999E-2</v>
      </c>
      <c r="R168">
        <v>9.5391710000000005E-2</v>
      </c>
      <c r="S168">
        <v>3.0143740000000001</v>
      </c>
      <c r="T168">
        <v>-0.1062396</v>
      </c>
      <c r="U168">
        <v>9.2071529999999999E-2</v>
      </c>
      <c r="V168">
        <v>-0.110541</v>
      </c>
      <c r="W168">
        <v>5.6686809999999997E-2</v>
      </c>
      <c r="X168">
        <v>0.99225370000000002</v>
      </c>
      <c r="Y168">
        <v>-4.5718130000000003E-2</v>
      </c>
      <c r="Z168">
        <v>1.3851169999999999E-3</v>
      </c>
      <c r="AA168">
        <v>0.99895339999999999</v>
      </c>
      <c r="AB168">
        <v>9</v>
      </c>
      <c r="AC168">
        <v>32.8292</v>
      </c>
      <c r="AD168">
        <v>-1.1596409999999999</v>
      </c>
      <c r="AE168">
        <v>1.00619999999997</v>
      </c>
      <c r="AF168">
        <v>-1.50447293708643</v>
      </c>
      <c r="AG168">
        <v>-1.1596409999999999</v>
      </c>
      <c r="AH168">
        <v>32.769205948291003</v>
      </c>
      <c r="AI168">
        <v>92.024613994820996</v>
      </c>
      <c r="AJ168">
        <v>92.628670989783004</v>
      </c>
      <c r="AK168">
        <v>32.824214606732298</v>
      </c>
      <c r="AL168">
        <v>86.750343223437397</v>
      </c>
      <c r="AM168">
        <v>96.356766080617504</v>
      </c>
      <c r="AN168">
        <v>1.00000005613633</v>
      </c>
    </row>
    <row r="169" spans="1:40" x14ac:dyDescent="0.25">
      <c r="A169" t="str">
        <f>"20190304154730794"</f>
        <v>20190304154730794</v>
      </c>
      <c r="B169" t="str">
        <f>"1551685650786849"</f>
        <v>1551685650786849</v>
      </c>
      <c r="C169" t="s">
        <v>40</v>
      </c>
      <c r="D169">
        <v>4.1201549999999996</v>
      </c>
      <c r="E169">
        <v>0.52406819999999998</v>
      </c>
      <c r="F169" t="s">
        <v>45</v>
      </c>
      <c r="G169">
        <v>-437.77159999999998</v>
      </c>
      <c r="H169">
        <v>-0.05</v>
      </c>
      <c r="I169">
        <v>368.14699999999999</v>
      </c>
      <c r="J169">
        <v>-470.63929999999999</v>
      </c>
      <c r="K169">
        <v>1.1096239999999999</v>
      </c>
      <c r="L169">
        <v>367.14370000000002</v>
      </c>
      <c r="M169">
        <v>0.99986799999999998</v>
      </c>
      <c r="N169">
        <v>-5.608343E-3</v>
      </c>
      <c r="O169">
        <v>-1.525868E-2</v>
      </c>
      <c r="P169">
        <v>0.99414970000000003</v>
      </c>
      <c r="Q169">
        <v>5.0836569999999998E-2</v>
      </c>
      <c r="R169">
        <v>9.530139E-2</v>
      </c>
      <c r="S169">
        <v>3.0144039999999999</v>
      </c>
      <c r="T169">
        <v>-0.1061909</v>
      </c>
      <c r="U169">
        <v>9.1796879999999997E-2</v>
      </c>
      <c r="V169">
        <v>-0.1104696</v>
      </c>
      <c r="W169">
        <v>5.6384040000000003E-2</v>
      </c>
      <c r="X169">
        <v>0.99227889999999996</v>
      </c>
      <c r="Y169">
        <v>-4.5647449999999999E-2</v>
      </c>
      <c r="Z169">
        <v>1.383397E-3</v>
      </c>
      <c r="AA169">
        <v>0.99895670000000003</v>
      </c>
      <c r="AB169">
        <v>9</v>
      </c>
      <c r="AC169">
        <v>32.867699999999999</v>
      </c>
      <c r="AD169">
        <v>-1.159624</v>
      </c>
      <c r="AE169">
        <v>1.0032999999999599</v>
      </c>
      <c r="AF169">
        <v>-1.50283974406151</v>
      </c>
      <c r="AG169">
        <v>-1.159624</v>
      </c>
      <c r="AH169">
        <v>32.807763410011198</v>
      </c>
      <c r="AI169">
        <v>92.022216506883794</v>
      </c>
      <c r="AJ169">
        <v>92.622739714386398</v>
      </c>
      <c r="AK169">
        <v>32.862632199581597</v>
      </c>
      <c r="AL169">
        <v>86.767718448631797</v>
      </c>
      <c r="AM169">
        <v>96.352533719078494</v>
      </c>
      <c r="AN169">
        <v>1.00000005393804</v>
      </c>
    </row>
    <row r="170" spans="1:40" x14ac:dyDescent="0.25">
      <c r="A170" t="str">
        <f>"20190304154730806"</f>
        <v>20190304154730806</v>
      </c>
      <c r="B170" t="str">
        <f>"1551685650797585"</f>
        <v>1551685650797585</v>
      </c>
      <c r="C170" t="s">
        <v>40</v>
      </c>
      <c r="D170">
        <v>4.1565440000000002</v>
      </c>
      <c r="E170">
        <v>0.52403250000000001</v>
      </c>
      <c r="F170" t="s">
        <v>45</v>
      </c>
      <c r="G170">
        <v>-438.05529999999999</v>
      </c>
      <c r="H170">
        <v>-0.05</v>
      </c>
      <c r="I170">
        <v>368.13900000000001</v>
      </c>
      <c r="J170">
        <v>-470.58550000000002</v>
      </c>
      <c r="K170">
        <v>1.1096159999999999</v>
      </c>
      <c r="L170">
        <v>367.14280000000002</v>
      </c>
      <c r="M170">
        <v>0.99986759999999997</v>
      </c>
      <c r="N170">
        <v>-5.5722319999999999E-3</v>
      </c>
      <c r="O170">
        <v>-1.529605E-2</v>
      </c>
      <c r="P170">
        <v>0.99418010000000001</v>
      </c>
      <c r="Q170">
        <v>5.0583820000000002E-2</v>
      </c>
      <c r="R170">
        <v>9.511696E-2</v>
      </c>
      <c r="S170">
        <v>3.014313</v>
      </c>
      <c r="T170">
        <v>-0.1072757</v>
      </c>
      <c r="U170">
        <v>9.2071529999999999E-2</v>
      </c>
      <c r="V170">
        <v>-0.1103213</v>
      </c>
      <c r="W170">
        <v>5.6097439999999998E-2</v>
      </c>
      <c r="X170">
        <v>0.99231159999999996</v>
      </c>
      <c r="Y170">
        <v>-4.5775759999999999E-2</v>
      </c>
      <c r="Z170">
        <v>1.4006139999999999E-3</v>
      </c>
      <c r="AA170">
        <v>0.99895080000000003</v>
      </c>
      <c r="AB170">
        <v>9</v>
      </c>
      <c r="AC170">
        <v>32.530200000000001</v>
      </c>
      <c r="AD170">
        <v>-1.159616</v>
      </c>
      <c r="AE170">
        <v>0.99619999999998698</v>
      </c>
      <c r="AF170">
        <v>-1.4917807998596999</v>
      </c>
      <c r="AG170">
        <v>-1.159616</v>
      </c>
      <c r="AH170">
        <v>32.4699339518626</v>
      </c>
      <c r="AI170">
        <v>92.043211874715595</v>
      </c>
      <c r="AJ170">
        <v>92.630516012949002</v>
      </c>
      <c r="AK170">
        <v>32.524863259675698</v>
      </c>
      <c r="AL170">
        <v>86.784165314105607</v>
      </c>
      <c r="AM170">
        <v>96.343867978577407</v>
      </c>
      <c r="AN170">
        <v>1.0000000117514001</v>
      </c>
    </row>
    <row r="171" spans="1:40" x14ac:dyDescent="0.25">
      <c r="A171" t="str">
        <f>"20190304154730820"</f>
        <v>20190304154730820</v>
      </c>
      <c r="B171" t="str">
        <f>"1551685650817105"</f>
        <v>1551685650817105</v>
      </c>
      <c r="C171" t="s">
        <v>40</v>
      </c>
      <c r="D171">
        <v>4.134887</v>
      </c>
      <c r="E171">
        <v>0.52395800000000003</v>
      </c>
      <c r="F171" t="s">
        <v>45</v>
      </c>
      <c r="G171">
        <v>-438.27640000000002</v>
      </c>
      <c r="H171">
        <v>-0.05</v>
      </c>
      <c r="I171">
        <v>368.1284</v>
      </c>
      <c r="J171">
        <v>-470.53219999999999</v>
      </c>
      <c r="K171">
        <v>1.10961</v>
      </c>
      <c r="L171">
        <v>367.14190000000002</v>
      </c>
      <c r="M171">
        <v>0.99986699999999995</v>
      </c>
      <c r="N171">
        <v>-5.5362400000000004E-3</v>
      </c>
      <c r="O171">
        <v>-1.534164E-2</v>
      </c>
      <c r="P171">
        <v>0.99417759999999999</v>
      </c>
      <c r="Q171">
        <v>5.0839839999999997E-2</v>
      </c>
      <c r="R171">
        <v>9.5005759999999995E-2</v>
      </c>
      <c r="S171">
        <v>3.0142820000000001</v>
      </c>
      <c r="T171">
        <v>-0.1081865</v>
      </c>
      <c r="U171">
        <v>9.1949459999999997E-2</v>
      </c>
      <c r="V171">
        <v>-0.1102556</v>
      </c>
      <c r="W171">
        <v>5.6318340000000001E-2</v>
      </c>
      <c r="X171">
        <v>0.99230640000000003</v>
      </c>
      <c r="Y171">
        <v>-4.5780510000000003E-2</v>
      </c>
      <c r="Z171">
        <v>1.4133609999999999E-3</v>
      </c>
      <c r="AA171">
        <v>0.99895049999999996</v>
      </c>
      <c r="AB171">
        <v>9</v>
      </c>
      <c r="AC171">
        <v>32.255799999999901</v>
      </c>
      <c r="AD171">
        <v>-1.15961</v>
      </c>
      <c r="AE171">
        <v>0.98649999999997795</v>
      </c>
      <c r="AF171">
        <v>-1.4793381826141101</v>
      </c>
      <c r="AG171">
        <v>-1.15961</v>
      </c>
      <c r="AH171">
        <v>32.195297540018998</v>
      </c>
      <c r="AI171">
        <v>92.060615011627505</v>
      </c>
      <c r="AJ171">
        <v>92.630827018213495</v>
      </c>
      <c r="AK171">
        <v>32.250121247849499</v>
      </c>
      <c r="AL171">
        <v>86.771488669306393</v>
      </c>
      <c r="AM171">
        <v>96.3401537219993</v>
      </c>
      <c r="AN171">
        <v>1.0000000221163301</v>
      </c>
    </row>
    <row r="172" spans="1:40" x14ac:dyDescent="0.25">
      <c r="A172" t="str">
        <f>"20190304154730832"</f>
        <v>20190304154730832</v>
      </c>
      <c r="B172" t="str">
        <f>"1551685650826865"</f>
        <v>1551685650826865</v>
      </c>
      <c r="C172" t="s">
        <v>40</v>
      </c>
      <c r="D172">
        <v>4.0514720000000004</v>
      </c>
      <c r="E172">
        <v>0.52396659999999995</v>
      </c>
      <c r="F172" t="s">
        <v>45</v>
      </c>
      <c r="G172">
        <v>-438.02550000000002</v>
      </c>
      <c r="H172">
        <v>-0.05</v>
      </c>
      <c r="I172">
        <v>368.13150000000002</v>
      </c>
      <c r="J172">
        <v>-470.476</v>
      </c>
      <c r="K172">
        <v>1.109604</v>
      </c>
      <c r="L172">
        <v>367.14100000000002</v>
      </c>
      <c r="M172">
        <v>0.99986640000000004</v>
      </c>
      <c r="N172">
        <v>-5.4985959999999997E-3</v>
      </c>
      <c r="O172">
        <v>-1.5394959999999999E-2</v>
      </c>
      <c r="P172">
        <v>0.99420920000000002</v>
      </c>
      <c r="Q172">
        <v>5.0701219999999998E-2</v>
      </c>
      <c r="R172">
        <v>9.4750520000000005E-2</v>
      </c>
      <c r="S172">
        <v>3.0142519999999999</v>
      </c>
      <c r="T172">
        <v>-0.1075274</v>
      </c>
      <c r="U172">
        <v>9.1766360000000005E-2</v>
      </c>
      <c r="V172">
        <v>-0.1100532</v>
      </c>
      <c r="W172">
        <v>5.6143619999999998E-2</v>
      </c>
      <c r="X172">
        <v>0.99233870000000002</v>
      </c>
      <c r="Y172">
        <v>-4.5773939999999999E-2</v>
      </c>
      <c r="Z172">
        <v>1.4062129999999999E-3</v>
      </c>
      <c r="AA172">
        <v>0.99895080000000003</v>
      </c>
      <c r="AB172">
        <v>9</v>
      </c>
      <c r="AC172">
        <v>32.450499999999899</v>
      </c>
      <c r="AD172">
        <v>-1.1596040000000001</v>
      </c>
      <c r="AE172">
        <v>0.990500000000054</v>
      </c>
      <c r="AF172">
        <v>-1.4880658715027599</v>
      </c>
      <c r="AG172">
        <v>-1.1596040000000001</v>
      </c>
      <c r="AH172">
        <v>32.390082978566298</v>
      </c>
      <c r="AI172">
        <v>92.048223657415093</v>
      </c>
      <c r="AJ172">
        <v>92.630434285554699</v>
      </c>
      <c r="AK172">
        <v>32.444976449878297</v>
      </c>
      <c r="AL172">
        <v>86.781515033091196</v>
      </c>
      <c r="AM172">
        <v>96.328405082657298</v>
      </c>
      <c r="AN172">
        <v>0.99999995420731602</v>
      </c>
    </row>
    <row r="173" spans="1:40" x14ac:dyDescent="0.25">
      <c r="A173" t="str">
        <f>"20190304154730848"</f>
        <v>20190304154730848</v>
      </c>
      <c r="B173" t="str">
        <f>"1551685650837601"</f>
        <v>1551685650837601</v>
      </c>
      <c r="C173" t="s">
        <v>40</v>
      </c>
      <c r="D173">
        <v>4.1224360000000004</v>
      </c>
      <c r="E173">
        <v>0.52394549999999995</v>
      </c>
      <c r="F173" t="s">
        <v>45</v>
      </c>
      <c r="G173">
        <v>-438.03269999999998</v>
      </c>
      <c r="H173">
        <v>-0.05</v>
      </c>
      <c r="I173">
        <v>368.1234</v>
      </c>
      <c r="J173">
        <v>-470.40499999999997</v>
      </c>
      <c r="K173">
        <v>1.1096079999999999</v>
      </c>
      <c r="L173">
        <v>367.13979999999998</v>
      </c>
      <c r="M173">
        <v>0.99986549999999996</v>
      </c>
      <c r="N173">
        <v>-5.4533019999999897E-3</v>
      </c>
      <c r="O173">
        <v>-1.546615E-2</v>
      </c>
      <c r="P173">
        <v>0.99425169999999996</v>
      </c>
      <c r="Q173">
        <v>5.0626329999999997E-2</v>
      </c>
      <c r="R173">
        <v>9.4343709999999997E-2</v>
      </c>
      <c r="S173">
        <v>3.0142820000000001</v>
      </c>
      <c r="T173">
        <v>-0.10773770000000001</v>
      </c>
      <c r="U173">
        <v>9.1278079999999998E-2</v>
      </c>
      <c r="V173">
        <v>-0.109717</v>
      </c>
      <c r="W173">
        <v>5.6024589999999999E-2</v>
      </c>
      <c r="X173">
        <v>0.99238269999999995</v>
      </c>
      <c r="Y173">
        <v>-4.5682979999999998E-2</v>
      </c>
      <c r="Z173">
        <v>1.408811E-3</v>
      </c>
      <c r="AA173">
        <v>0.99895500000000004</v>
      </c>
      <c r="AB173">
        <v>10</v>
      </c>
      <c r="AC173">
        <v>32.372300000000003</v>
      </c>
      <c r="AD173">
        <v>-1.159608</v>
      </c>
      <c r="AE173">
        <v>0.98360000000002401</v>
      </c>
      <c r="AF173">
        <v>-1.4822644488749499</v>
      </c>
      <c r="AG173">
        <v>-1.159608</v>
      </c>
      <c r="AH173">
        <v>32.311792733006499</v>
      </c>
      <c r="AI173">
        <v>92.053195671547698</v>
      </c>
      <c r="AJ173">
        <v>92.626533257027802</v>
      </c>
      <c r="AK173">
        <v>32.366552924752902</v>
      </c>
      <c r="AL173">
        <v>86.788345845250802</v>
      </c>
      <c r="AM173">
        <v>96.308951182125796</v>
      </c>
      <c r="AN173">
        <v>0.99999999901647896</v>
      </c>
    </row>
    <row r="174" spans="1:40" x14ac:dyDescent="0.25">
      <c r="A174" t="str">
        <f>"20190304154730861"</f>
        <v>20190304154730861</v>
      </c>
      <c r="B174" t="str">
        <f>"1551685650857121"</f>
        <v>1551685650857121</v>
      </c>
      <c r="C174" t="s">
        <v>40</v>
      </c>
      <c r="D174">
        <v>4.1559609999999996</v>
      </c>
      <c r="E174">
        <v>0.52392150000000004</v>
      </c>
      <c r="F174" t="s">
        <v>45</v>
      </c>
      <c r="G174">
        <v>-438.01839999999999</v>
      </c>
      <c r="H174">
        <v>-0.05</v>
      </c>
      <c r="I174">
        <v>368.10840000000002</v>
      </c>
      <c r="J174">
        <v>-470.35399999999998</v>
      </c>
      <c r="K174">
        <v>1.109604</v>
      </c>
      <c r="L174">
        <v>367.13900000000001</v>
      </c>
      <c r="M174">
        <v>0.999865</v>
      </c>
      <c r="N174">
        <v>-5.4235339999999998E-3</v>
      </c>
      <c r="O174">
        <v>-1.551605E-2</v>
      </c>
      <c r="P174">
        <v>0.99427209999999999</v>
      </c>
      <c r="Q174">
        <v>5.0427010000000001E-2</v>
      </c>
      <c r="R174">
        <v>9.4235200000000005E-2</v>
      </c>
      <c r="S174">
        <v>3.0142519999999999</v>
      </c>
      <c r="T174">
        <v>-0.10792590000000001</v>
      </c>
      <c r="U174">
        <v>9.0148930000000002E-2</v>
      </c>
      <c r="V174">
        <v>-0.1096579</v>
      </c>
      <c r="W174">
        <v>5.5796539999999999E-2</v>
      </c>
      <c r="X174">
        <v>0.99240209999999995</v>
      </c>
      <c r="Y174">
        <v>-4.535935E-2</v>
      </c>
      <c r="Z174">
        <v>1.405847E-3</v>
      </c>
      <c r="AA174">
        <v>0.99896969999999996</v>
      </c>
      <c r="AB174">
        <v>10</v>
      </c>
      <c r="AC174">
        <v>32.335599999999999</v>
      </c>
      <c r="AD174">
        <v>-1.1596040000000001</v>
      </c>
      <c r="AE174">
        <v>0.96940000000000703</v>
      </c>
      <c r="AF174">
        <v>-1.46912375052073</v>
      </c>
      <c r="AG174">
        <v>-1.1596040000000001</v>
      </c>
      <c r="AH174">
        <v>32.275195595176001</v>
      </c>
      <c r="AI174">
        <v>92.0555479876665</v>
      </c>
      <c r="AJ174">
        <v>92.606228280179195</v>
      </c>
      <c r="AK174">
        <v>32.329417822441997</v>
      </c>
      <c r="AL174">
        <v>86.801432680762503</v>
      </c>
      <c r="AM174">
        <v>96.305457920589802</v>
      </c>
      <c r="AN174">
        <v>1.00000001849639</v>
      </c>
    </row>
    <row r="175" spans="1:40" x14ac:dyDescent="0.25">
      <c r="A175" t="str">
        <f>"20190304154730873"</f>
        <v>20190304154730873</v>
      </c>
      <c r="B175" t="str">
        <f>"1551685650866881"</f>
        <v>1551685650866881</v>
      </c>
      <c r="C175" t="s">
        <v>40</v>
      </c>
      <c r="D175">
        <v>4.1505549999999998</v>
      </c>
      <c r="E175">
        <v>0.52390740000000002</v>
      </c>
      <c r="F175" t="s">
        <v>45</v>
      </c>
      <c r="G175">
        <v>-438.10730000000001</v>
      </c>
      <c r="H175">
        <v>-0.05</v>
      </c>
      <c r="I175">
        <v>368.1035</v>
      </c>
      <c r="J175">
        <v>-470.29739999999998</v>
      </c>
      <c r="K175">
        <v>1.109602</v>
      </c>
      <c r="L175">
        <v>367.13810000000001</v>
      </c>
      <c r="M175">
        <v>0.99986439999999999</v>
      </c>
      <c r="N175">
        <v>-5.3919800000000002E-3</v>
      </c>
      <c r="O175">
        <v>-1.557072E-2</v>
      </c>
      <c r="P175">
        <v>0.99429509999999999</v>
      </c>
      <c r="Q175">
        <v>5.0653900000000002E-2</v>
      </c>
      <c r="R175">
        <v>9.3871679999999999E-2</v>
      </c>
      <c r="S175">
        <v>3.014221</v>
      </c>
      <c r="T175">
        <v>-0.10839260000000001</v>
      </c>
      <c r="U175">
        <v>9.0148930000000002E-2</v>
      </c>
      <c r="V175">
        <v>-0.1093486</v>
      </c>
      <c r="W175">
        <v>5.5994120000000001E-2</v>
      </c>
      <c r="X175">
        <v>0.99242509999999995</v>
      </c>
      <c r="Y175">
        <v>-4.541386E-2</v>
      </c>
      <c r="Z175">
        <v>1.4143389999999999E-3</v>
      </c>
      <c r="AA175">
        <v>0.99896719999999894</v>
      </c>
      <c r="AB175">
        <v>10</v>
      </c>
      <c r="AC175">
        <v>32.190099999999902</v>
      </c>
      <c r="AD175">
        <v>-1.159602</v>
      </c>
      <c r="AE175">
        <v>0.96539999999998805</v>
      </c>
      <c r="AF175">
        <v>-1.4646142779696401</v>
      </c>
      <c r="AG175">
        <v>-1.159602</v>
      </c>
      <c r="AH175">
        <v>32.129508365479303</v>
      </c>
      <c r="AI175">
        <v>92.064850810316599</v>
      </c>
      <c r="AJ175">
        <v>92.610004583462</v>
      </c>
      <c r="AK175">
        <v>32.183770437738303</v>
      </c>
      <c r="AL175">
        <v>86.790094454902402</v>
      </c>
      <c r="AM175">
        <v>96.287670903748307</v>
      </c>
      <c r="AN175">
        <v>1.00000001845327</v>
      </c>
    </row>
    <row r="176" spans="1:40" x14ac:dyDescent="0.25">
      <c r="A176" t="str">
        <f>"20190304154730887"</f>
        <v>20190304154730887</v>
      </c>
      <c r="B176" t="str">
        <f>"1551685650877617"</f>
        <v>1551685650877617</v>
      </c>
      <c r="C176" t="s">
        <v>40</v>
      </c>
      <c r="D176">
        <v>4.1576959999999996</v>
      </c>
      <c r="E176">
        <v>0.52394030000000003</v>
      </c>
      <c r="F176" t="s">
        <v>45</v>
      </c>
      <c r="G176">
        <v>-437.84640000000002</v>
      </c>
      <c r="H176">
        <v>-0.05</v>
      </c>
      <c r="I176">
        <v>368.09910000000002</v>
      </c>
      <c r="J176">
        <v>-470.23570000000001</v>
      </c>
      <c r="K176">
        <v>1.109599</v>
      </c>
      <c r="L176">
        <v>367.13709999999998</v>
      </c>
      <c r="M176">
        <v>0.99986359999999996</v>
      </c>
      <c r="N176">
        <v>-5.3608960000000004E-3</v>
      </c>
      <c r="O176">
        <v>-1.5628510000000002E-2</v>
      </c>
      <c r="P176">
        <v>0.99430839999999998</v>
      </c>
      <c r="Q176">
        <v>5.0738119999999998E-2</v>
      </c>
      <c r="R176">
        <v>9.3684320000000001E-2</v>
      </c>
      <c r="S176">
        <v>3.0142519999999999</v>
      </c>
      <c r="T176">
        <v>-0.1077113</v>
      </c>
      <c r="U176">
        <v>8.9263919999999997E-2</v>
      </c>
      <c r="V176">
        <v>-0.1092177</v>
      </c>
      <c r="W176">
        <v>5.6049830000000002E-2</v>
      </c>
      <c r="X176">
        <v>0.99243630000000005</v>
      </c>
      <c r="Y176">
        <v>-4.5178910000000003E-2</v>
      </c>
      <c r="Z176">
        <v>1.4023929999999901E-3</v>
      </c>
      <c r="AA176">
        <v>0.99897789999999997</v>
      </c>
      <c r="AB176">
        <v>10</v>
      </c>
      <c r="AC176">
        <v>32.389299999999899</v>
      </c>
      <c r="AD176">
        <v>-1.159599</v>
      </c>
      <c r="AE176">
        <v>0.96200000000004604</v>
      </c>
      <c r="AF176">
        <v>-1.46620852910109</v>
      </c>
      <c r="AG176">
        <v>-1.159599</v>
      </c>
      <c r="AH176">
        <v>32.328907322926703</v>
      </c>
      <c r="AI176">
        <v>92.052142365250802</v>
      </c>
      <c r="AJ176">
        <v>92.596748255584899</v>
      </c>
      <c r="AK176">
        <v>32.382907312129802</v>
      </c>
      <c r="AL176">
        <v>86.786897264564203</v>
      </c>
      <c r="AM176">
        <v>96.280133872752103</v>
      </c>
      <c r="AN176">
        <v>0.99999994949700299</v>
      </c>
    </row>
    <row r="177" spans="1:40" x14ac:dyDescent="0.25">
      <c r="A177" t="str">
        <f>"20190304154730901"</f>
        <v>20190304154730901</v>
      </c>
      <c r="B177" t="str">
        <f>"1551685650897137"</f>
        <v>1551685650897137</v>
      </c>
      <c r="C177" t="s">
        <v>40</v>
      </c>
      <c r="D177">
        <v>4.1423509999999997</v>
      </c>
      <c r="E177">
        <v>0.52396019999999999</v>
      </c>
      <c r="F177" t="s">
        <v>45</v>
      </c>
      <c r="G177">
        <v>-437.75510000000003</v>
      </c>
      <c r="H177">
        <v>-0.05</v>
      </c>
      <c r="I177">
        <v>368.09010000000001</v>
      </c>
      <c r="J177">
        <v>-470.17559999999997</v>
      </c>
      <c r="K177">
        <v>1.1096010000000001</v>
      </c>
      <c r="L177">
        <v>367.1361</v>
      </c>
      <c r="M177">
        <v>0.99986269999999999</v>
      </c>
      <c r="N177">
        <v>-5.3314909999999998E-3</v>
      </c>
      <c r="O177">
        <v>-1.5684400000000001E-2</v>
      </c>
      <c r="P177">
        <v>0.9943611</v>
      </c>
      <c r="Q177">
        <v>5.0243650000000001E-2</v>
      </c>
      <c r="R177">
        <v>9.3390440000000005E-2</v>
      </c>
      <c r="S177">
        <v>3.0143430000000002</v>
      </c>
      <c r="T177">
        <v>-0.10761569999999999</v>
      </c>
      <c r="U177">
        <v>8.8439939999999995E-2</v>
      </c>
      <c r="V177">
        <v>-0.10897900000000001</v>
      </c>
      <c r="W177">
        <v>5.5528979999999999E-2</v>
      </c>
      <c r="X177">
        <v>0.99249180000000004</v>
      </c>
      <c r="Y177">
        <v>-4.4961229999999998E-2</v>
      </c>
      <c r="Z177">
        <v>1.398172E-3</v>
      </c>
      <c r="AA177">
        <v>0.99898770000000003</v>
      </c>
      <c r="AB177">
        <v>10</v>
      </c>
      <c r="AC177">
        <v>32.420499999999898</v>
      </c>
      <c r="AD177">
        <v>-1.1596010000000001</v>
      </c>
      <c r="AE177">
        <v>0.95400000000000695</v>
      </c>
      <c r="AF177">
        <v>-1.46051915550149</v>
      </c>
      <c r="AG177">
        <v>-1.1596010000000001</v>
      </c>
      <c r="AH177">
        <v>32.360185701555601</v>
      </c>
      <c r="AI177">
        <v>92.0501843678027</v>
      </c>
      <c r="AJ177">
        <v>92.584188905341804</v>
      </c>
      <c r="AK177">
        <v>32.413876801795098</v>
      </c>
      <c r="AL177">
        <v>86.816786266499705</v>
      </c>
      <c r="AM177">
        <v>96.266170047491798</v>
      </c>
      <c r="AN177">
        <v>0.99999993156403699</v>
      </c>
    </row>
    <row r="178" spans="1:40" x14ac:dyDescent="0.25">
      <c r="A178" t="str">
        <f>"20190304154730918"</f>
        <v>20190304154730918</v>
      </c>
      <c r="B178" t="str">
        <f>"1551685650906897"</f>
        <v>1551685650906897</v>
      </c>
      <c r="C178" t="s">
        <v>40</v>
      </c>
      <c r="D178">
        <v>4.1913029999999996</v>
      </c>
      <c r="E178">
        <v>0.52395069999999999</v>
      </c>
      <c r="F178" t="s">
        <v>45</v>
      </c>
      <c r="G178">
        <v>-438.3546</v>
      </c>
      <c r="H178">
        <v>-0.05</v>
      </c>
      <c r="I178">
        <v>368.05489999999998</v>
      </c>
      <c r="J178">
        <v>-470.09699999999998</v>
      </c>
      <c r="K178">
        <v>1.1096010000000001</v>
      </c>
      <c r="L178">
        <v>367.13490000000002</v>
      </c>
      <c r="M178">
        <v>0.99986200000000003</v>
      </c>
      <c r="N178">
        <v>-5.2933980000000004E-3</v>
      </c>
      <c r="O178">
        <v>-1.5757210000000001E-2</v>
      </c>
      <c r="P178">
        <v>0.99435479999999998</v>
      </c>
      <c r="Q178">
        <v>5.1102179999999997E-2</v>
      </c>
      <c r="R178">
        <v>9.2991030000000002E-2</v>
      </c>
      <c r="S178">
        <v>3.0144039999999999</v>
      </c>
      <c r="T178">
        <v>-0.10984919999999999</v>
      </c>
      <c r="U178">
        <v>8.7036130000000003E-2</v>
      </c>
      <c r="V178">
        <v>-0.1086502</v>
      </c>
      <c r="W178">
        <v>5.635308E-2</v>
      </c>
      <c r="X178">
        <v>0.99248150000000002</v>
      </c>
      <c r="Y178">
        <v>-4.4567179999999998E-2</v>
      </c>
      <c r="Z178">
        <v>1.4201870000000001E-3</v>
      </c>
      <c r="AA178">
        <v>0.99900540000000004</v>
      </c>
      <c r="AB178">
        <v>10</v>
      </c>
      <c r="AC178">
        <v>31.7423999999999</v>
      </c>
      <c r="AD178">
        <v>-1.1596010000000001</v>
      </c>
      <c r="AE178">
        <v>0.91999999999995896</v>
      </c>
      <c r="AF178">
        <v>-1.41817331771616</v>
      </c>
      <c r="AG178">
        <v>-1.1596010000000001</v>
      </c>
      <c r="AH178">
        <v>31.681716538356099</v>
      </c>
      <c r="AI178">
        <v>92.094085455778298</v>
      </c>
      <c r="AJ178">
        <v>92.563028403775704</v>
      </c>
      <c r="AK178">
        <v>31.7346349097485</v>
      </c>
      <c r="AL178">
        <v>86.769495078903603</v>
      </c>
      <c r="AM178">
        <v>96.247478456985405</v>
      </c>
      <c r="AN178">
        <v>1.00000003171388</v>
      </c>
    </row>
    <row r="179" spans="1:40" x14ac:dyDescent="0.25">
      <c r="A179" t="str">
        <f>"20190304154730934"</f>
        <v>20190304154730934</v>
      </c>
      <c r="B179" t="str">
        <f>"1551685650927393"</f>
        <v>1551685650927393</v>
      </c>
      <c r="C179" t="s">
        <v>40</v>
      </c>
      <c r="D179">
        <v>4.2486730000000001</v>
      </c>
      <c r="E179">
        <v>0.49510589999999999</v>
      </c>
      <c r="F179" t="s">
        <v>45</v>
      </c>
      <c r="G179">
        <v>-437.54629999999997</v>
      </c>
      <c r="H179">
        <v>-0.05</v>
      </c>
      <c r="I179">
        <v>368.06380000000001</v>
      </c>
      <c r="J179">
        <v>-470.02870000000001</v>
      </c>
      <c r="K179">
        <v>1.109594</v>
      </c>
      <c r="L179">
        <v>367.13380000000001</v>
      </c>
      <c r="M179">
        <v>0.999861</v>
      </c>
      <c r="N179">
        <v>-5.2599040000000001E-3</v>
      </c>
      <c r="O179">
        <v>-1.5820020000000001E-2</v>
      </c>
      <c r="P179">
        <v>0.99435399999999996</v>
      </c>
      <c r="Q179">
        <v>5.1445499999999998E-2</v>
      </c>
      <c r="R179">
        <v>9.2807879999999995E-2</v>
      </c>
      <c r="S179">
        <v>3.0144959999999998</v>
      </c>
      <c r="T179">
        <v>-0.1073897</v>
      </c>
      <c r="U179">
        <v>8.6029049999999996E-2</v>
      </c>
      <c r="V179">
        <v>-0.1085277</v>
      </c>
      <c r="W179">
        <v>5.6665880000000002E-2</v>
      </c>
      <c r="X179">
        <v>0.9924771</v>
      </c>
      <c r="Y179">
        <v>-4.429756E-2</v>
      </c>
      <c r="Z179">
        <v>1.3853239999999901E-3</v>
      </c>
      <c r="AA179">
        <v>0.99901740000000006</v>
      </c>
      <c r="AB179">
        <v>10</v>
      </c>
      <c r="AC179">
        <v>32.482399999999998</v>
      </c>
      <c r="AD179">
        <v>-1.159594</v>
      </c>
      <c r="AE179">
        <v>0.93000000000000604</v>
      </c>
      <c r="AF179">
        <v>-1.44192682096582</v>
      </c>
      <c r="AG179">
        <v>-1.159594</v>
      </c>
      <c r="AH179">
        <v>32.422335949309698</v>
      </c>
      <c r="AI179">
        <v>92.046305711971598</v>
      </c>
      <c r="AJ179">
        <v>92.546451858320395</v>
      </c>
      <c r="AK179">
        <v>32.475093219446698</v>
      </c>
      <c r="AL179">
        <v>86.751544298429707</v>
      </c>
      <c r="AM179">
        <v>96.240517657442794</v>
      </c>
      <c r="AN179">
        <v>1.0000000388239301</v>
      </c>
    </row>
    <row r="180" spans="1:40" x14ac:dyDescent="0.25">
      <c r="A180" t="str">
        <f>"20190304154730949"</f>
        <v>20190304154730949</v>
      </c>
      <c r="B180" t="str">
        <f>"1551685650946912"</f>
        <v>1551685650946912</v>
      </c>
      <c r="C180" t="s">
        <v>40</v>
      </c>
      <c r="D180">
        <v>4.1179750000000004</v>
      </c>
      <c r="E180">
        <v>0.49046600000000001</v>
      </c>
      <c r="F180" t="s">
        <v>44</v>
      </c>
      <c r="G180">
        <v>-453.08819999999997</v>
      </c>
      <c r="H180" s="1">
        <v>-3.0735759999999999E-6</v>
      </c>
      <c r="I180">
        <v>368.90539999999999</v>
      </c>
      <c r="J180">
        <v>-469.9529</v>
      </c>
      <c r="K180">
        <v>1.109591</v>
      </c>
      <c r="L180">
        <v>367.13249999999999</v>
      </c>
      <c r="M180">
        <v>0.99986019999999998</v>
      </c>
      <c r="N180">
        <v>-5.2216179999999999E-3</v>
      </c>
      <c r="O180">
        <v>-1.5887700000000001E-2</v>
      </c>
      <c r="P180">
        <v>0.99440110000000004</v>
      </c>
      <c r="Q180">
        <v>5.0995150000000003E-2</v>
      </c>
      <c r="R180">
        <v>9.255476E-2</v>
      </c>
      <c r="S180">
        <v>2.997925</v>
      </c>
      <c r="T180">
        <v>-0.19636139999999999</v>
      </c>
      <c r="U180">
        <v>0.31353760000000003</v>
      </c>
      <c r="V180">
        <v>-0.1083413</v>
      </c>
      <c r="W180">
        <v>5.6180750000000002E-2</v>
      </c>
      <c r="X180">
        <v>0.99252499999999999</v>
      </c>
      <c r="Y180">
        <v>-0.11950379999999999</v>
      </c>
      <c r="Z180">
        <v>5.16636E-3</v>
      </c>
      <c r="AA180">
        <v>0.99282029999999999</v>
      </c>
      <c r="AB180">
        <v>10</v>
      </c>
      <c r="AC180">
        <v>16.864699999999999</v>
      </c>
      <c r="AD180">
        <v>-1.1095940735759999</v>
      </c>
      <c r="AE180">
        <v>1.7728999999999899</v>
      </c>
      <c r="AF180">
        <v>-2.0319214463397</v>
      </c>
      <c r="AG180">
        <v>-1.1095940735759999</v>
      </c>
      <c r="AH180">
        <v>16.762634104662101</v>
      </c>
      <c r="AI180">
        <v>93.759698868220099</v>
      </c>
      <c r="AJ180">
        <v>96.911520216399097</v>
      </c>
      <c r="AK180">
        <v>16.92175540241</v>
      </c>
      <c r="AL180">
        <v>86.779384408482301</v>
      </c>
      <c r="AM180">
        <v>96.229585413295197</v>
      </c>
      <c r="AN180">
        <v>0.99999999479062596</v>
      </c>
    </row>
    <row r="181" spans="1:40" x14ac:dyDescent="0.25">
      <c r="A181" t="str">
        <f>"20190304154730962"</f>
        <v>20190304154730962</v>
      </c>
      <c r="B181" t="str">
        <f>"1551685650957648"</f>
        <v>1551685650957648</v>
      </c>
      <c r="C181" t="s">
        <v>40</v>
      </c>
      <c r="D181">
        <v>4.1443310000000002</v>
      </c>
      <c r="E181">
        <v>0.48976039999999998</v>
      </c>
      <c r="F181" t="s">
        <v>44</v>
      </c>
      <c r="G181">
        <v>-451.48770000000002</v>
      </c>
      <c r="H181" s="1">
        <v>-3.692191E-6</v>
      </c>
      <c r="I181">
        <v>369.28870000000001</v>
      </c>
      <c r="J181">
        <v>-469.89789999999999</v>
      </c>
      <c r="K181">
        <v>1.1095930000000001</v>
      </c>
      <c r="L181">
        <v>367.13159999999999</v>
      </c>
      <c r="M181">
        <v>0.99985950000000001</v>
      </c>
      <c r="N181">
        <v>-5.193586E-3</v>
      </c>
      <c r="O181">
        <v>-1.5933799999999901E-2</v>
      </c>
      <c r="P181">
        <v>0.9943864</v>
      </c>
      <c r="Q181">
        <v>5.1097839999999999E-2</v>
      </c>
      <c r="R181">
        <v>9.2651990000000004E-2</v>
      </c>
      <c r="S181">
        <v>2.9936219999999998</v>
      </c>
      <c r="T181">
        <v>-0.1798891</v>
      </c>
      <c r="U181">
        <v>0.34957890000000003</v>
      </c>
      <c r="V181">
        <v>-0.1084828</v>
      </c>
      <c r="W181">
        <v>5.6256920000000002E-2</v>
      </c>
      <c r="X181">
        <v>0.99250530000000003</v>
      </c>
      <c r="Y181">
        <v>-0.1315199</v>
      </c>
      <c r="Z181">
        <v>5.1488740000000003E-3</v>
      </c>
      <c r="AA181">
        <v>0.99130019999999996</v>
      </c>
      <c r="AB181">
        <v>10</v>
      </c>
      <c r="AC181">
        <v>18.4101999999999</v>
      </c>
      <c r="AD181">
        <v>-1.1095966921909901</v>
      </c>
      <c r="AE181">
        <v>2.15710000000001</v>
      </c>
      <c r="AF181">
        <v>-2.44142603293488</v>
      </c>
      <c r="AG181">
        <v>-1.1095966921909901</v>
      </c>
      <c r="AH181">
        <v>18.307887545217501</v>
      </c>
      <c r="AI181">
        <v>93.437955485025199</v>
      </c>
      <c r="AJ181">
        <v>97.595794486961694</v>
      </c>
      <c r="AK181">
        <v>18.503256801491499</v>
      </c>
      <c r="AL181">
        <v>86.775013501669505</v>
      </c>
      <c r="AM181">
        <v>96.237780351493697</v>
      </c>
      <c r="AN181">
        <v>1.0000000647359</v>
      </c>
    </row>
    <row r="182" spans="1:40" x14ac:dyDescent="0.25">
      <c r="A182" t="str">
        <f>"20190304154730975"</f>
        <v>20190304154730975</v>
      </c>
      <c r="B182" t="str">
        <f>"1551685650967409"</f>
        <v>1551685650967409</v>
      </c>
      <c r="C182" t="s">
        <v>40</v>
      </c>
      <c r="D182">
        <v>4.144825</v>
      </c>
      <c r="E182">
        <v>0.48911320000000003</v>
      </c>
      <c r="F182" t="s">
        <v>44</v>
      </c>
      <c r="G182">
        <v>-450.8263</v>
      </c>
      <c r="H182" s="1">
        <v>-3.9567209999999997E-6</v>
      </c>
      <c r="I182">
        <v>369.39699999999999</v>
      </c>
      <c r="J182">
        <v>-469.8347</v>
      </c>
      <c r="K182">
        <v>1.109591</v>
      </c>
      <c r="L182">
        <v>367.13060000000002</v>
      </c>
      <c r="M182">
        <v>0.99985889999999999</v>
      </c>
      <c r="N182">
        <v>-5.1613140000000002E-3</v>
      </c>
      <c r="O182">
        <v>-1.5985610000000001E-2</v>
      </c>
      <c r="P182">
        <v>0.99438769999999999</v>
      </c>
      <c r="Q182">
        <v>5.1536789999999999E-2</v>
      </c>
      <c r="R182">
        <v>9.239762E-2</v>
      </c>
      <c r="S182">
        <v>2.9927670000000002</v>
      </c>
      <c r="T182">
        <v>-0.17411940000000001</v>
      </c>
      <c r="U182">
        <v>0.35549930000000002</v>
      </c>
      <c r="V182">
        <v>-0.10827920000000001</v>
      </c>
      <c r="W182">
        <v>5.6665390000000003E-2</v>
      </c>
      <c r="X182">
        <v>0.99250419999999995</v>
      </c>
      <c r="Y182">
        <v>-0.133551</v>
      </c>
      <c r="Z182">
        <v>5.0583920000000001E-3</v>
      </c>
      <c r="AA182">
        <v>0.99102900000000005</v>
      </c>
      <c r="AB182">
        <v>10</v>
      </c>
      <c r="AC182">
        <v>19.008399999999899</v>
      </c>
      <c r="AD182">
        <v>-1.1095949567209999</v>
      </c>
      <c r="AE182">
        <v>2.2663999999999702</v>
      </c>
      <c r="AF182">
        <v>-2.5613697441346002</v>
      </c>
      <c r="AG182">
        <v>-1.1095949567209999</v>
      </c>
      <c r="AH182">
        <v>18.906220586134101</v>
      </c>
      <c r="AI182">
        <v>93.328465257031098</v>
      </c>
      <c r="AJ182">
        <v>97.715321793289107</v>
      </c>
      <c r="AK182">
        <v>19.1111745527508</v>
      </c>
      <c r="AL182">
        <v>86.751572192448293</v>
      </c>
      <c r="AM182">
        <v>96.2261721913965</v>
      </c>
      <c r="AN182">
        <v>0.99999996929706503</v>
      </c>
    </row>
    <row r="183" spans="1:40" x14ac:dyDescent="0.25">
      <c r="A183" t="str">
        <f>"20190304154730986"</f>
        <v>20190304154730986</v>
      </c>
      <c r="B183" t="str">
        <f>"1551685650977169"</f>
        <v>1551685650977169</v>
      </c>
      <c r="C183" t="s">
        <v>40</v>
      </c>
      <c r="D183">
        <v>4.093801</v>
      </c>
      <c r="E183">
        <v>0.4883786</v>
      </c>
      <c r="F183" t="s">
        <v>44</v>
      </c>
      <c r="G183">
        <v>-450.35500000000002</v>
      </c>
      <c r="H183" s="1">
        <v>-4.1456130000000003E-6</v>
      </c>
      <c r="I183">
        <v>369.4717</v>
      </c>
      <c r="J183">
        <v>-469.77780000000001</v>
      </c>
      <c r="K183">
        <v>1.1095900000000001</v>
      </c>
      <c r="L183">
        <v>367.12959999999998</v>
      </c>
      <c r="M183">
        <v>0.99985840000000004</v>
      </c>
      <c r="N183">
        <v>-5.1324170000000002E-3</v>
      </c>
      <c r="O183">
        <v>-1.60286E-2</v>
      </c>
      <c r="P183">
        <v>0.99436809999999998</v>
      </c>
      <c r="Q183">
        <v>5.1876079999999998E-2</v>
      </c>
      <c r="R183">
        <v>9.2418319999999998E-2</v>
      </c>
      <c r="S183">
        <v>2.9923709999999999</v>
      </c>
      <c r="T183">
        <v>-0.1704494</v>
      </c>
      <c r="U183">
        <v>0.35964970000000002</v>
      </c>
      <c r="V183">
        <v>-0.1083416</v>
      </c>
      <c r="W183">
        <v>5.6976739999999998E-2</v>
      </c>
      <c r="X183">
        <v>0.99247960000000002</v>
      </c>
      <c r="Y183">
        <v>-0.13497239999999999</v>
      </c>
      <c r="Z183">
        <v>5.0024659999999997E-3</v>
      </c>
      <c r="AA183">
        <v>0.99083670000000001</v>
      </c>
      <c r="AB183">
        <v>10</v>
      </c>
      <c r="AC183">
        <v>19.422799999999899</v>
      </c>
      <c r="AD183">
        <v>-1.1095941456129901</v>
      </c>
      <c r="AE183">
        <v>2.3421000000000101</v>
      </c>
      <c r="AF183">
        <v>-2.64461607372799</v>
      </c>
      <c r="AG183">
        <v>-1.1095941456129901</v>
      </c>
      <c r="AH183">
        <v>19.3206115546276</v>
      </c>
      <c r="AI183">
        <v>93.256619328043797</v>
      </c>
      <c r="AJ183">
        <v>97.7942406998975</v>
      </c>
      <c r="AK183">
        <v>19.532312310379599</v>
      </c>
      <c r="AL183">
        <v>86.733704395921706</v>
      </c>
      <c r="AM183">
        <v>96.229885253892903</v>
      </c>
      <c r="AN183">
        <v>1.0000000038038701</v>
      </c>
    </row>
    <row r="184" spans="1:40" x14ac:dyDescent="0.25">
      <c r="A184" t="str">
        <f>"20190304154730999"</f>
        <v>20190304154730999</v>
      </c>
      <c r="B184" t="str">
        <f>"1551685650986929"</f>
        <v>1551685650986929</v>
      </c>
      <c r="C184" t="s">
        <v>40</v>
      </c>
      <c r="D184">
        <v>4.2428330000000001</v>
      </c>
      <c r="E184">
        <v>0.4878091</v>
      </c>
      <c r="F184" t="s">
        <v>44</v>
      </c>
      <c r="G184">
        <v>-450.25700000000001</v>
      </c>
      <c r="H184" s="1">
        <v>-4.1802040000000003E-6</v>
      </c>
      <c r="I184">
        <v>369.51400000000001</v>
      </c>
      <c r="J184">
        <v>-469.72129999999999</v>
      </c>
      <c r="K184">
        <v>1.1095870000000001</v>
      </c>
      <c r="L184">
        <v>367.12869999999998</v>
      </c>
      <c r="M184">
        <v>0.99985800000000002</v>
      </c>
      <c r="N184">
        <v>-5.1042470000000001E-3</v>
      </c>
      <c r="O184">
        <v>-1.606848E-2</v>
      </c>
      <c r="P184">
        <v>0.99437390000000003</v>
      </c>
      <c r="Q184">
        <v>5.1841360000000003E-2</v>
      </c>
      <c r="R184">
        <v>9.2375020000000002E-2</v>
      </c>
      <c r="S184">
        <v>2.9918520000000002</v>
      </c>
      <c r="T184">
        <v>-0.1700604</v>
      </c>
      <c r="U184">
        <v>0.365448</v>
      </c>
      <c r="V184">
        <v>-0.1083378</v>
      </c>
      <c r="W184">
        <v>5.691533E-2</v>
      </c>
      <c r="X184">
        <v>0.99248360000000002</v>
      </c>
      <c r="Y184">
        <v>-0.13692219999999999</v>
      </c>
      <c r="Z184">
        <v>5.0527509999999899E-3</v>
      </c>
      <c r="AA184">
        <v>0.99056889999999997</v>
      </c>
      <c r="AB184">
        <v>10</v>
      </c>
      <c r="AC184">
        <v>19.464300000000001</v>
      </c>
      <c r="AD184">
        <v>-1.1095911802039999</v>
      </c>
      <c r="AE184">
        <v>2.38530000000002</v>
      </c>
      <c r="AF184">
        <v>-2.68914805399509</v>
      </c>
      <c r="AG184">
        <v>-1.1095911802039999</v>
      </c>
      <c r="AH184">
        <v>19.3614695577484</v>
      </c>
      <c r="AI184">
        <v>93.248870678717097</v>
      </c>
      <c r="AJ184">
        <v>97.907322556204406</v>
      </c>
      <c r="AK184">
        <v>19.578794990476599</v>
      </c>
      <c r="AL184">
        <v>86.737228848512899</v>
      </c>
      <c r="AM184">
        <v>96.229643553454196</v>
      </c>
      <c r="AN184">
        <v>1.0000000649834</v>
      </c>
    </row>
    <row r="185" spans="1:40" x14ac:dyDescent="0.25">
      <c r="A185" t="str">
        <f>"20190304154731018"</f>
        <v>20190304154731018</v>
      </c>
      <c r="B185" t="str">
        <f>"1551685651007425"</f>
        <v>1551685651007425</v>
      </c>
      <c r="C185" t="s">
        <v>40</v>
      </c>
      <c r="D185">
        <v>4.1530310000000004</v>
      </c>
      <c r="E185">
        <v>0.48767559999999899</v>
      </c>
      <c r="F185" t="s">
        <v>44</v>
      </c>
      <c r="G185">
        <v>-450.52960000000002</v>
      </c>
      <c r="H185" s="1">
        <v>-4.0655250000000003E-6</v>
      </c>
      <c r="I185">
        <v>369.50099999999998</v>
      </c>
      <c r="J185">
        <v>-469.63119999999998</v>
      </c>
      <c r="K185">
        <v>1.109588</v>
      </c>
      <c r="L185">
        <v>367.12720000000002</v>
      </c>
      <c r="M185">
        <v>0.9998572</v>
      </c>
      <c r="N185">
        <v>-5.0603799999999997E-3</v>
      </c>
      <c r="O185">
        <v>-1.6127499999999999E-2</v>
      </c>
      <c r="P185">
        <v>0.99438349999999998</v>
      </c>
      <c r="Q185">
        <v>5.172744E-2</v>
      </c>
      <c r="R185">
        <v>9.2337859999999994E-2</v>
      </c>
      <c r="S185">
        <v>2.9916079999999998</v>
      </c>
      <c r="T185">
        <v>-0.1729628</v>
      </c>
      <c r="U185">
        <v>0.36981199999999997</v>
      </c>
      <c r="V185">
        <v>-0.1083596</v>
      </c>
      <c r="W185">
        <v>5.675823E-2</v>
      </c>
      <c r="X185">
        <v>0.99249019999999999</v>
      </c>
      <c r="Y185">
        <v>-0.13840259999999999</v>
      </c>
      <c r="Z185">
        <v>5.181415E-3</v>
      </c>
      <c r="AA185">
        <v>0.99036250000000003</v>
      </c>
      <c r="AB185">
        <v>11</v>
      </c>
      <c r="AC185">
        <v>19.101599999999902</v>
      </c>
      <c r="AD185">
        <v>-1.109592065525</v>
      </c>
      <c r="AE185">
        <v>2.3737999999999602</v>
      </c>
      <c r="AF185">
        <v>-2.6726749230414399</v>
      </c>
      <c r="AG185">
        <v>-1.109592065525</v>
      </c>
      <c r="AH185">
        <v>18.9977021848329</v>
      </c>
      <c r="AI185">
        <v>93.3101337205551</v>
      </c>
      <c r="AJ185">
        <v>98.008050201279502</v>
      </c>
      <c r="AK185">
        <v>19.2168434999022</v>
      </c>
      <c r="AL185">
        <v>86.746244534778498</v>
      </c>
      <c r="AM185">
        <v>96.230846129628702</v>
      </c>
      <c r="AN185">
        <v>1.0000000483404601</v>
      </c>
    </row>
    <row r="186" spans="1:40" x14ac:dyDescent="0.25">
      <c r="A186" t="str">
        <f>"20190304154731031"</f>
        <v>20190304154731031</v>
      </c>
      <c r="B186" t="str">
        <f>"1551685651026944"</f>
        <v>1551685651026944</v>
      </c>
      <c r="C186" t="s">
        <v>40</v>
      </c>
      <c r="D186">
        <v>4.1677289999999996</v>
      </c>
      <c r="E186">
        <v>0.48755490000000001</v>
      </c>
      <c r="F186" t="s">
        <v>44</v>
      </c>
      <c r="G186">
        <v>-450.28190000000001</v>
      </c>
      <c r="H186" s="1">
        <v>-4.1677339999999996E-6</v>
      </c>
      <c r="I186">
        <v>369.52379999999999</v>
      </c>
      <c r="J186">
        <v>-469.56849999999997</v>
      </c>
      <c r="K186">
        <v>1.109594</v>
      </c>
      <c r="L186">
        <v>367.12610000000001</v>
      </c>
      <c r="M186">
        <v>0.99985679999999999</v>
      </c>
      <c r="N186">
        <v>-5.0305139999999998E-3</v>
      </c>
      <c r="O186">
        <v>-1.6166170000000001E-2</v>
      </c>
      <c r="P186">
        <v>0.99439889999999997</v>
      </c>
      <c r="Q186">
        <v>5.1547389999999998E-2</v>
      </c>
      <c r="R186">
        <v>9.2272119999999999E-2</v>
      </c>
      <c r="S186">
        <v>2.9914550000000002</v>
      </c>
      <c r="T186">
        <v>-0.17154529999999901</v>
      </c>
      <c r="U186">
        <v>0.3705444</v>
      </c>
      <c r="V186">
        <v>-0.108332</v>
      </c>
      <c r="W186">
        <v>5.6548760000000003E-2</v>
      </c>
      <c r="X186">
        <v>0.99250510000000003</v>
      </c>
      <c r="Y186">
        <v>-0.1386896</v>
      </c>
      <c r="Z186">
        <v>5.1507430000000002E-3</v>
      </c>
      <c r="AA186">
        <v>0.99032249999999999</v>
      </c>
      <c r="AB186">
        <v>11</v>
      </c>
      <c r="AC186">
        <v>19.2865999999999</v>
      </c>
      <c r="AD186">
        <v>-1.1095981677340001</v>
      </c>
      <c r="AE186">
        <v>2.39769999999998</v>
      </c>
      <c r="AF186">
        <v>-2.7003789617590299</v>
      </c>
      <c r="AG186">
        <v>-1.1095981677340001</v>
      </c>
      <c r="AH186">
        <v>19.182789932933701</v>
      </c>
      <c r="AI186">
        <v>93.278244250957002</v>
      </c>
      <c r="AJ186">
        <v>98.012927090425805</v>
      </c>
      <c r="AK186">
        <v>19.403677080440499</v>
      </c>
      <c r="AL186">
        <v>86.758265363144105</v>
      </c>
      <c r="AM186">
        <v>96.229178782956595</v>
      </c>
      <c r="AN186">
        <v>0.99999997900377302</v>
      </c>
    </row>
    <row r="187" spans="1:40" x14ac:dyDescent="0.25">
      <c r="A187" t="str">
        <f>"20190304154731043"</f>
        <v>20190304154731043</v>
      </c>
      <c r="B187" t="str">
        <f>"1551685651037681"</f>
        <v>1551685651037681</v>
      </c>
      <c r="C187" t="s">
        <v>40</v>
      </c>
      <c r="D187">
        <v>4.1921350000000004</v>
      </c>
      <c r="E187">
        <v>0.48750749999999998</v>
      </c>
      <c r="F187" t="s">
        <v>44</v>
      </c>
      <c r="G187">
        <v>-450.03370000000001</v>
      </c>
      <c r="H187" s="1">
        <v>-4.2695709999999996E-6</v>
      </c>
      <c r="I187">
        <v>369.55</v>
      </c>
      <c r="J187">
        <v>-469.5086</v>
      </c>
      <c r="K187">
        <v>1.1095980000000001</v>
      </c>
      <c r="L187">
        <v>367.12509999999997</v>
      </c>
      <c r="M187">
        <v>0.99985639999999998</v>
      </c>
      <c r="N187">
        <v>-5.0031329999999999E-3</v>
      </c>
      <c r="O187">
        <v>-1.620079E-2</v>
      </c>
      <c r="P187">
        <v>0.99440620000000002</v>
      </c>
      <c r="Q187">
        <v>5.1418680000000001E-2</v>
      </c>
      <c r="R187">
        <v>9.2263369999999997E-2</v>
      </c>
      <c r="S187">
        <v>2.9913020000000001</v>
      </c>
      <c r="T187">
        <v>-0.1699089</v>
      </c>
      <c r="U187">
        <v>0.3711853</v>
      </c>
      <c r="V187">
        <v>-0.108358</v>
      </c>
      <c r="W187">
        <v>5.6392610000000003E-2</v>
      </c>
      <c r="X187">
        <v>0.99251120000000004</v>
      </c>
      <c r="Y187">
        <v>-0.1389435</v>
      </c>
      <c r="Z187">
        <v>5.1125709999999998E-3</v>
      </c>
      <c r="AA187">
        <v>0.99028709999999998</v>
      </c>
      <c r="AB187">
        <v>11</v>
      </c>
      <c r="AC187">
        <v>19.474899999999899</v>
      </c>
      <c r="AD187">
        <v>-1.1096022695709999</v>
      </c>
      <c r="AE187">
        <v>2.4249000000000298</v>
      </c>
      <c r="AF187">
        <v>-2.7313630448441799</v>
      </c>
      <c r="AG187">
        <v>-1.1096022695709999</v>
      </c>
      <c r="AH187">
        <v>19.371134425600999</v>
      </c>
      <c r="AI187">
        <v>93.246347264172897</v>
      </c>
      <c r="AJ187">
        <v>98.025892999088896</v>
      </c>
      <c r="AK187">
        <v>19.594193277960802</v>
      </c>
      <c r="AL187">
        <v>86.767226571540306</v>
      </c>
      <c r="AM187">
        <v>96.230624054523801</v>
      </c>
      <c r="AN187">
        <v>1.0000000323760201</v>
      </c>
    </row>
    <row r="188" spans="1:40" x14ac:dyDescent="0.25">
      <c r="A188" t="str">
        <f>"20190304154731056"</f>
        <v>20190304154731056</v>
      </c>
      <c r="B188" t="str">
        <f>"1551685651047441"</f>
        <v>1551685651047441</v>
      </c>
      <c r="C188" t="s">
        <v>40</v>
      </c>
      <c r="D188">
        <v>4.1551349999999996</v>
      </c>
      <c r="E188">
        <v>0.48747010000000002</v>
      </c>
      <c r="F188" t="s">
        <v>44</v>
      </c>
      <c r="G188">
        <v>-449.96190000000001</v>
      </c>
      <c r="H188" s="1">
        <v>-4.3001840000000003E-6</v>
      </c>
      <c r="I188">
        <v>369.55110000000002</v>
      </c>
      <c r="J188">
        <v>-469.44589999999999</v>
      </c>
      <c r="K188">
        <v>1.1096010000000001</v>
      </c>
      <c r="L188">
        <v>367.1241</v>
      </c>
      <c r="M188">
        <v>0.99985590000000002</v>
      </c>
      <c r="N188">
        <v>-4.9747690000000004E-3</v>
      </c>
      <c r="O188">
        <v>-1.6235880000000001E-2</v>
      </c>
      <c r="P188">
        <v>0.99439520000000003</v>
      </c>
      <c r="Q188">
        <v>5.1643460000000002E-2</v>
      </c>
      <c r="R188">
        <v>9.2258480000000004E-2</v>
      </c>
      <c r="S188">
        <v>2.9911500000000002</v>
      </c>
      <c r="T188">
        <v>-0.16979720000000001</v>
      </c>
      <c r="U188">
        <v>0.37124629999999997</v>
      </c>
      <c r="V188">
        <v>-0.1083881</v>
      </c>
      <c r="W188">
        <v>5.658875E-2</v>
      </c>
      <c r="X188">
        <v>0.99249670000000001</v>
      </c>
      <c r="Y188">
        <v>-0.1390045</v>
      </c>
      <c r="Z188">
        <v>5.1117940000000002E-3</v>
      </c>
      <c r="AA188">
        <v>0.99027849999999995</v>
      </c>
      <c r="AB188">
        <v>11</v>
      </c>
      <c r="AC188">
        <v>19.483999999999899</v>
      </c>
      <c r="AD188">
        <v>-1.1096053001840001</v>
      </c>
      <c r="AE188">
        <v>2.42700000000002</v>
      </c>
      <c r="AF188">
        <v>-2.7342913574261098</v>
      </c>
      <c r="AG188">
        <v>-1.1096053001840001</v>
      </c>
      <c r="AH188">
        <v>19.380132465266801</v>
      </c>
      <c r="AI188">
        <v>93.2448137316984</v>
      </c>
      <c r="AJ188">
        <v>98.030703691224204</v>
      </c>
      <c r="AK188">
        <v>19.603497328812999</v>
      </c>
      <c r="AL188">
        <v>86.755970443570803</v>
      </c>
      <c r="AM188">
        <v>96.232431532902694</v>
      </c>
      <c r="AN188">
        <v>0.99999998317953098</v>
      </c>
    </row>
    <row r="189" spans="1:40" x14ac:dyDescent="0.25">
      <c r="A189" t="str">
        <f>"20190304154731074"</f>
        <v>20190304154731074</v>
      </c>
      <c r="B189" t="str">
        <f>"1551685651066962"</f>
        <v>1551685651066962</v>
      </c>
      <c r="C189" t="s">
        <v>40</v>
      </c>
      <c r="D189">
        <v>4.1668690000000002</v>
      </c>
      <c r="E189">
        <v>0.48723949999999999</v>
      </c>
      <c r="F189" t="s">
        <v>44</v>
      </c>
      <c r="G189">
        <v>-449.80939999999998</v>
      </c>
      <c r="H189" s="1">
        <v>-7.9684669999999996E-8</v>
      </c>
      <c r="I189">
        <v>369.565</v>
      </c>
      <c r="J189">
        <v>-469.35649999999998</v>
      </c>
      <c r="K189">
        <v>1.1096060000000001</v>
      </c>
      <c r="L189">
        <v>367.12259999999998</v>
      </c>
      <c r="M189">
        <v>0.9998553</v>
      </c>
      <c r="N189">
        <v>-4.9352720000000001E-3</v>
      </c>
      <c r="O189">
        <v>-1.6282970000000001E-2</v>
      </c>
      <c r="P189">
        <v>0.99436869999999999</v>
      </c>
      <c r="Q189">
        <v>5.1951009999999999E-2</v>
      </c>
      <c r="R189">
        <v>9.237136E-2</v>
      </c>
      <c r="S189">
        <v>2.9911799999999999</v>
      </c>
      <c r="T189">
        <v>-0.1690226</v>
      </c>
      <c r="U189">
        <v>0.3718262</v>
      </c>
      <c r="V189">
        <v>-0.1085478</v>
      </c>
      <c r="W189">
        <v>5.685631E-2</v>
      </c>
      <c r="X189">
        <v>0.99246389999999995</v>
      </c>
      <c r="Y189">
        <v>-0.139241</v>
      </c>
      <c r="Z189">
        <v>5.0971580000000001E-3</v>
      </c>
      <c r="AA189">
        <v>0.99024540000000005</v>
      </c>
      <c r="AB189">
        <v>11</v>
      </c>
      <c r="AC189">
        <v>19.5471</v>
      </c>
      <c r="AD189">
        <v>-1.1096060796846601</v>
      </c>
      <c r="AE189">
        <v>2.4424000000000201</v>
      </c>
      <c r="AF189">
        <v>-2.7516344567267299</v>
      </c>
      <c r="AG189">
        <v>-1.1096060796846601</v>
      </c>
      <c r="AH189">
        <v>19.443049212016899</v>
      </c>
      <c r="AI189">
        <v>93.234143576169302</v>
      </c>
      <c r="AJ189">
        <v>98.055164337504706</v>
      </c>
      <c r="AK189">
        <v>19.668118377120599</v>
      </c>
      <c r="AL189">
        <v>86.740615485700999</v>
      </c>
      <c r="AM189">
        <v>96.241746678602894</v>
      </c>
      <c r="AN189">
        <v>0.99999992883743005</v>
      </c>
    </row>
    <row r="190" spans="1:40" x14ac:dyDescent="0.25">
      <c r="A190" t="str">
        <f>"20190304154731088"</f>
        <v>20190304154731088</v>
      </c>
      <c r="B190" t="str">
        <f>"1551685651077697"</f>
        <v>1551685651077697</v>
      </c>
      <c r="C190" t="s">
        <v>40</v>
      </c>
      <c r="D190">
        <v>4.1853429999999996</v>
      </c>
      <c r="E190">
        <v>0.4871875</v>
      </c>
      <c r="F190" t="s">
        <v>44</v>
      </c>
      <c r="G190">
        <v>-449.94499999999999</v>
      </c>
      <c r="H190" s="1">
        <v>-2.4193520000000001E-8</v>
      </c>
      <c r="I190">
        <v>369.54539999999997</v>
      </c>
      <c r="J190">
        <v>-469.28820000000002</v>
      </c>
      <c r="K190">
        <v>1.10961</v>
      </c>
      <c r="L190">
        <v>367.12139999999999</v>
      </c>
      <c r="M190">
        <v>0.99985489999999999</v>
      </c>
      <c r="N190">
        <v>-4.905927E-3</v>
      </c>
      <c r="O190">
        <v>-1.6316509999999999E-2</v>
      </c>
      <c r="P190">
        <v>0.99437980000000004</v>
      </c>
      <c r="Q190">
        <v>5.1898989999999999E-2</v>
      </c>
      <c r="R190">
        <v>9.2278940000000004E-2</v>
      </c>
      <c r="S190">
        <v>2.9911799999999999</v>
      </c>
      <c r="T190">
        <v>-0.170983</v>
      </c>
      <c r="U190">
        <v>0.37335210000000002</v>
      </c>
      <c r="V190">
        <v>-0.1084886</v>
      </c>
      <c r="W190">
        <v>5.6774900000000003E-2</v>
      </c>
      <c r="X190">
        <v>0.99247510000000005</v>
      </c>
      <c r="Y190">
        <v>-0.1397649</v>
      </c>
      <c r="Z190">
        <v>5.1693429999999999E-3</v>
      </c>
      <c r="AA190">
        <v>0.99017129999999998</v>
      </c>
      <c r="AB190">
        <v>11</v>
      </c>
      <c r="AC190">
        <v>19.3432</v>
      </c>
      <c r="AD190">
        <v>-1.1096100241935101</v>
      </c>
      <c r="AE190">
        <v>2.4239999999999702</v>
      </c>
      <c r="AF190">
        <v>-2.73044851583116</v>
      </c>
      <c r="AG190">
        <v>-1.1096100241935101</v>
      </c>
      <c r="AH190">
        <v>19.238743713442901</v>
      </c>
      <c r="AI190">
        <v>93.268244028774404</v>
      </c>
      <c r="AJ190">
        <v>98.077726107370594</v>
      </c>
      <c r="AK190">
        <v>19.463192008890399</v>
      </c>
      <c r="AL190">
        <v>86.7452876972891</v>
      </c>
      <c r="AM190">
        <v>96.238299546065306</v>
      </c>
      <c r="AN190">
        <v>0.99999999485999003</v>
      </c>
    </row>
    <row r="191" spans="1:40" x14ac:dyDescent="0.25">
      <c r="A191" t="str">
        <f>"20190304154731104"</f>
        <v>20190304154731104</v>
      </c>
      <c r="B191" t="str">
        <f>"1551685651097218"</f>
        <v>1551685651097218</v>
      </c>
      <c r="C191" t="s">
        <v>40</v>
      </c>
      <c r="D191">
        <v>4.1660870000000001</v>
      </c>
      <c r="E191">
        <v>0.48701699999999998</v>
      </c>
      <c r="F191" t="s">
        <v>44</v>
      </c>
      <c r="G191">
        <v>-449.8415</v>
      </c>
      <c r="H191" s="1">
        <v>-6.7480459999999994E-8</v>
      </c>
      <c r="I191">
        <v>369.54820000000001</v>
      </c>
      <c r="J191">
        <v>-469.21260000000001</v>
      </c>
      <c r="K191">
        <v>1.1096140000000001</v>
      </c>
      <c r="L191">
        <v>367.12009999999998</v>
      </c>
      <c r="M191">
        <v>0.99985449999999998</v>
      </c>
      <c r="N191">
        <v>-4.8741710000000001E-3</v>
      </c>
      <c r="O191">
        <v>-1.6350750000000001E-2</v>
      </c>
      <c r="P191">
        <v>0.99433660000000001</v>
      </c>
      <c r="Q191">
        <v>5.2488189999999997E-2</v>
      </c>
      <c r="R191">
        <v>9.2412380000000002E-2</v>
      </c>
      <c r="S191">
        <v>2.991241</v>
      </c>
      <c r="T191">
        <v>-0.17067679999999999</v>
      </c>
      <c r="U191">
        <v>0.37329099999999998</v>
      </c>
      <c r="V191">
        <v>-0.1086555</v>
      </c>
      <c r="W191">
        <v>5.7331399999999998E-2</v>
      </c>
      <c r="X191">
        <v>0.9924248</v>
      </c>
      <c r="Y191">
        <v>-0.1397774</v>
      </c>
      <c r="Z191">
        <v>5.1609309999999997E-3</v>
      </c>
      <c r="AA191">
        <v>0.99016950000000004</v>
      </c>
      <c r="AB191">
        <v>11</v>
      </c>
      <c r="AC191">
        <v>19.371099999999998</v>
      </c>
      <c r="AD191">
        <v>-1.10961406748046</v>
      </c>
      <c r="AE191">
        <v>2.4281000000000201</v>
      </c>
      <c r="AF191">
        <v>-2.7356736593943101</v>
      </c>
      <c r="AG191">
        <v>-1.10961406748046</v>
      </c>
      <c r="AH191">
        <v>19.266568686799001</v>
      </c>
      <c r="AI191">
        <v>93.263516059832796</v>
      </c>
      <c r="AJ191">
        <v>98.081446062847803</v>
      </c>
      <c r="AK191">
        <v>19.4914294681687</v>
      </c>
      <c r="AL191">
        <v>86.713350411585097</v>
      </c>
      <c r="AM191">
        <v>96.248134931481502</v>
      </c>
      <c r="AN191">
        <v>0.99999994538062298</v>
      </c>
    </row>
    <row r="192" spans="1:40" x14ac:dyDescent="0.25">
      <c r="A192" t="str">
        <f>"20190304154731121"</f>
        <v>20190304154731121</v>
      </c>
      <c r="B192" t="str">
        <f>"1551685651117713"</f>
        <v>1551685651117713</v>
      </c>
      <c r="C192" t="s">
        <v>40</v>
      </c>
      <c r="D192">
        <v>4.1886640000000002</v>
      </c>
      <c r="E192">
        <v>0.48694130000000002</v>
      </c>
      <c r="F192" t="s">
        <v>44</v>
      </c>
      <c r="G192">
        <v>-449.488</v>
      </c>
      <c r="H192" s="1">
        <v>-2.2633709999999999E-7</v>
      </c>
      <c r="I192">
        <v>369.59460000000001</v>
      </c>
      <c r="J192">
        <v>-469.1266</v>
      </c>
      <c r="K192">
        <v>1.1096200000000001</v>
      </c>
      <c r="L192">
        <v>367.11869999999999</v>
      </c>
      <c r="M192">
        <v>0.99985400000000002</v>
      </c>
      <c r="N192">
        <v>-4.8388809999999997E-3</v>
      </c>
      <c r="O192">
        <v>-1.638593E-2</v>
      </c>
      <c r="P192">
        <v>0.99428119999999998</v>
      </c>
      <c r="Q192">
        <v>5.3192400000000001E-2</v>
      </c>
      <c r="R192">
        <v>9.2603459999999999E-2</v>
      </c>
      <c r="S192">
        <v>2.9911189999999999</v>
      </c>
      <c r="T192">
        <v>-0.168267</v>
      </c>
      <c r="U192">
        <v>0.37524410000000002</v>
      </c>
      <c r="V192">
        <v>-0.1088809</v>
      </c>
      <c r="W192">
        <v>5.7999769999999999E-2</v>
      </c>
      <c r="X192">
        <v>0.9923613</v>
      </c>
      <c r="Y192">
        <v>-0.1404599</v>
      </c>
      <c r="Z192">
        <v>5.1125579999999997E-3</v>
      </c>
      <c r="AA192">
        <v>0.99007310000000004</v>
      </c>
      <c r="AB192">
        <v>11</v>
      </c>
      <c r="AC192">
        <v>19.638599999999901</v>
      </c>
      <c r="AD192">
        <v>-1.1096202263371</v>
      </c>
      <c r="AE192">
        <v>2.4759000000000202</v>
      </c>
      <c r="AF192">
        <v>-2.7886048172193099</v>
      </c>
      <c r="AG192">
        <v>-1.1096202263371</v>
      </c>
      <c r="AH192">
        <v>19.534006736483601</v>
      </c>
      <c r="AI192">
        <v>93.218604830272298</v>
      </c>
      <c r="AJ192">
        <v>98.124446548105297</v>
      </c>
      <c r="AK192">
        <v>19.763223245571599</v>
      </c>
      <c r="AL192">
        <v>86.674991935788896</v>
      </c>
      <c r="AM192">
        <v>96.261390972934095</v>
      </c>
      <c r="AN192">
        <v>0.99999998672127599</v>
      </c>
    </row>
    <row r="193" spans="1:40" x14ac:dyDescent="0.25">
      <c r="A193" t="str">
        <f>"20190304154731143"</f>
        <v>20190304154731143</v>
      </c>
      <c r="B193" t="str">
        <f>"1551685651137233"</f>
        <v>1551685651137233</v>
      </c>
      <c r="C193" t="s">
        <v>40</v>
      </c>
      <c r="D193">
        <v>4.1536600000000004</v>
      </c>
      <c r="E193">
        <v>0.48683029999999999</v>
      </c>
      <c r="F193" t="s">
        <v>44</v>
      </c>
      <c r="G193">
        <v>-449.10410000000002</v>
      </c>
      <c r="H193" s="1">
        <v>-4.0915749999999998E-7</v>
      </c>
      <c r="I193">
        <v>369.63589999999999</v>
      </c>
      <c r="J193">
        <v>-469.01569999999998</v>
      </c>
      <c r="K193">
        <v>1.1096200000000001</v>
      </c>
      <c r="L193">
        <v>367.11680000000001</v>
      </c>
      <c r="M193">
        <v>0.99985380000000001</v>
      </c>
      <c r="N193">
        <v>-4.7947670000000001E-3</v>
      </c>
      <c r="O193">
        <v>-1.6423710000000001E-2</v>
      </c>
      <c r="P193">
        <v>0.99421490000000001</v>
      </c>
      <c r="Q193">
        <v>5.4204950000000002E-2</v>
      </c>
      <c r="R193">
        <v>9.2729740000000005E-2</v>
      </c>
      <c r="S193">
        <v>2.9911189999999999</v>
      </c>
      <c r="T193">
        <v>-0.165764299999999</v>
      </c>
      <c r="U193">
        <v>0.37603760000000003</v>
      </c>
      <c r="V193">
        <v>-0.1090441</v>
      </c>
      <c r="W193">
        <v>5.8967039999999998E-2</v>
      </c>
      <c r="X193">
        <v>0.99228640000000001</v>
      </c>
      <c r="Y193">
        <v>-0.1407629</v>
      </c>
      <c r="Z193">
        <v>5.0490489999999999E-3</v>
      </c>
      <c r="AA193">
        <v>0.99003050000000004</v>
      </c>
      <c r="AB193">
        <v>11</v>
      </c>
      <c r="AC193">
        <v>19.9115999999999</v>
      </c>
      <c r="AD193">
        <v>-1.1096204091574999</v>
      </c>
      <c r="AE193">
        <v>2.5190999999999799</v>
      </c>
      <c r="AF193">
        <v>-2.8371143082896899</v>
      </c>
      <c r="AG193">
        <v>-1.1096204091574999</v>
      </c>
      <c r="AH193">
        <v>19.806998547429998</v>
      </c>
      <c r="AI193">
        <v>93.174122218789705</v>
      </c>
      <c r="AJ193">
        <v>98.151484731716494</v>
      </c>
      <c r="AK193">
        <v>20.039901858757101</v>
      </c>
      <c r="AL193">
        <v>86.619476513724805</v>
      </c>
      <c r="AM193">
        <v>96.271170927350198</v>
      </c>
      <c r="AN193">
        <v>1.00000001358806</v>
      </c>
    </row>
    <row r="194" spans="1:40" x14ac:dyDescent="0.25">
      <c r="A194" t="str">
        <f>"20190304154731162"</f>
        <v>20190304154731162</v>
      </c>
      <c r="B194" t="str">
        <f>"1551685651157729"</f>
        <v>1551685651157729</v>
      </c>
      <c r="C194" t="s">
        <v>40</v>
      </c>
      <c r="D194">
        <v>4.1641139999999996</v>
      </c>
      <c r="E194">
        <v>0.48668810000000001</v>
      </c>
      <c r="F194" t="s">
        <v>44</v>
      </c>
      <c r="G194">
        <v>-448.58949999999999</v>
      </c>
      <c r="H194" s="1">
        <v>-6.6717369999999898E-7</v>
      </c>
      <c r="I194">
        <v>369.69139999999999</v>
      </c>
      <c r="J194">
        <v>-468.9119</v>
      </c>
      <c r="K194">
        <v>1.1096299999999999</v>
      </c>
      <c r="L194">
        <v>367.11509999999998</v>
      </c>
      <c r="M194">
        <v>0.9998534</v>
      </c>
      <c r="N194">
        <v>-4.7547730000000003E-3</v>
      </c>
      <c r="O194">
        <v>-1.644994E-2</v>
      </c>
      <c r="P194">
        <v>0.99415419999999999</v>
      </c>
      <c r="Q194">
        <v>5.498977E-2</v>
      </c>
      <c r="R194">
        <v>9.2918139999999996E-2</v>
      </c>
      <c r="S194">
        <v>2.9911799999999999</v>
      </c>
      <c r="T194">
        <v>-0.1624912</v>
      </c>
      <c r="U194">
        <v>0.37701420000000002</v>
      </c>
      <c r="V194">
        <v>-0.1092583</v>
      </c>
      <c r="W194">
        <v>5.971104E-2</v>
      </c>
      <c r="X194">
        <v>0.9922183</v>
      </c>
      <c r="Y194">
        <v>-0.14111360000000001</v>
      </c>
      <c r="Z194">
        <v>4.9638859999999998E-3</v>
      </c>
      <c r="AA194">
        <v>0.98998090000000005</v>
      </c>
      <c r="AB194">
        <v>11</v>
      </c>
      <c r="AC194">
        <v>20.322399999999998</v>
      </c>
      <c r="AD194">
        <v>-1.1096306671737</v>
      </c>
      <c r="AE194">
        <v>2.5762999999999998</v>
      </c>
      <c r="AF194">
        <v>-2.9017432684651401</v>
      </c>
      <c r="AG194">
        <v>-1.1096306671737</v>
      </c>
      <c r="AH194">
        <v>20.217947103212602</v>
      </c>
      <c r="AI194">
        <v>93.1096375224638</v>
      </c>
      <c r="AJ194">
        <v>98.167494555395095</v>
      </c>
      <c r="AK194">
        <v>20.455238431314299</v>
      </c>
      <c r="AL194">
        <v>86.576773054643297</v>
      </c>
      <c r="AM194">
        <v>96.283819026678202</v>
      </c>
      <c r="AN194">
        <v>0.99999996963583004</v>
      </c>
    </row>
    <row r="195" spans="1:40" x14ac:dyDescent="0.25">
      <c r="A195" t="str">
        <f>"20190304154731175"</f>
        <v>20190304154731175</v>
      </c>
      <c r="B195" t="str">
        <f>"1551685651167489"</f>
        <v>1551685651167489</v>
      </c>
      <c r="C195" t="s">
        <v>40</v>
      </c>
      <c r="D195">
        <v>4.2196210000000001</v>
      </c>
      <c r="E195">
        <v>0.48662329999999998</v>
      </c>
      <c r="F195" t="s">
        <v>44</v>
      </c>
      <c r="G195">
        <v>-448.17950000000002</v>
      </c>
      <c r="H195" s="1">
        <v>-8.7424959999999996E-7</v>
      </c>
      <c r="I195">
        <v>369.74119999999999</v>
      </c>
      <c r="J195">
        <v>-468.84739999999999</v>
      </c>
      <c r="K195">
        <v>1.1096330000000001</v>
      </c>
      <c r="L195">
        <v>367.11399999999998</v>
      </c>
      <c r="M195">
        <v>0.99985329999999994</v>
      </c>
      <c r="N195">
        <v>-4.7304030000000002E-3</v>
      </c>
      <c r="O195">
        <v>-1.6462259999999999E-2</v>
      </c>
      <c r="P195">
        <v>0.99410969999999999</v>
      </c>
      <c r="Q195">
        <v>5.5419469999999998E-2</v>
      </c>
      <c r="R195">
        <v>9.3138360000000003E-2</v>
      </c>
      <c r="S195">
        <v>2.9910890000000001</v>
      </c>
      <c r="T195">
        <v>-0.1600878</v>
      </c>
      <c r="U195">
        <v>0.37887569999999998</v>
      </c>
      <c r="V195">
        <v>-0.1094903</v>
      </c>
      <c r="W195">
        <v>6.011561E-2</v>
      </c>
      <c r="X195">
        <v>0.9921683</v>
      </c>
      <c r="Y195">
        <v>-0.14174200000000001</v>
      </c>
      <c r="Z195">
        <v>4.9118690000000001E-3</v>
      </c>
      <c r="AA195">
        <v>0.98989150000000004</v>
      </c>
      <c r="AB195">
        <v>11</v>
      </c>
      <c r="AC195">
        <v>20.6678999999999</v>
      </c>
      <c r="AD195">
        <v>-1.1096338742495999</v>
      </c>
      <c r="AE195">
        <v>2.6271999999999598</v>
      </c>
      <c r="AF195">
        <v>-2.9586953481357599</v>
      </c>
      <c r="AG195">
        <v>-1.1096338742495999</v>
      </c>
      <c r="AH195">
        <v>20.563517600623001</v>
      </c>
      <c r="AI195">
        <v>93.057335122222796</v>
      </c>
      <c r="AJ195">
        <v>98.187572266921606</v>
      </c>
      <c r="AK195">
        <v>20.804889367864799</v>
      </c>
      <c r="AL195">
        <v>86.553551198960307</v>
      </c>
      <c r="AM195">
        <v>96.297369853897493</v>
      </c>
      <c r="AN195">
        <v>0.99999997394232498</v>
      </c>
    </row>
    <row r="196" spans="1:40" x14ac:dyDescent="0.25">
      <c r="A196" t="str">
        <f>"20190304154731186"</f>
        <v>20190304154731186</v>
      </c>
      <c r="B196" t="str">
        <f>"1551685651177249"</f>
        <v>1551685651177249</v>
      </c>
      <c r="C196" t="s">
        <v>40</v>
      </c>
      <c r="D196">
        <v>4.1894179999999999</v>
      </c>
      <c r="E196">
        <v>0.4865797</v>
      </c>
      <c r="F196" t="s">
        <v>44</v>
      </c>
      <c r="G196">
        <v>-447.92910000000001</v>
      </c>
      <c r="H196" s="1">
        <v>-9.9952879999999999E-7</v>
      </c>
      <c r="I196">
        <v>369.76710000000003</v>
      </c>
      <c r="J196">
        <v>-468.78469999999999</v>
      </c>
      <c r="K196">
        <v>1.109637</v>
      </c>
      <c r="L196">
        <v>367.113</v>
      </c>
      <c r="M196">
        <v>0.99985329999999994</v>
      </c>
      <c r="N196">
        <v>-4.7072499999999996E-3</v>
      </c>
      <c r="O196">
        <v>-1.6470539999999999E-2</v>
      </c>
      <c r="P196">
        <v>0.99406159999999999</v>
      </c>
      <c r="Q196">
        <v>5.5732379999999998E-2</v>
      </c>
      <c r="R196">
        <v>9.3462939999999994E-2</v>
      </c>
      <c r="S196">
        <v>2.9911189999999999</v>
      </c>
      <c r="T196">
        <v>-0.1586668</v>
      </c>
      <c r="U196">
        <v>0.37936399999999998</v>
      </c>
      <c r="V196">
        <v>-0.1098229</v>
      </c>
      <c r="W196">
        <v>6.0404050000000001E-2</v>
      </c>
      <c r="X196">
        <v>0.9921141</v>
      </c>
      <c r="Y196">
        <v>-0.14191189999999901</v>
      </c>
      <c r="Z196">
        <v>4.8745489999999997E-3</v>
      </c>
      <c r="AA196">
        <v>0.98986730000000001</v>
      </c>
      <c r="AB196">
        <v>12</v>
      </c>
      <c r="AC196">
        <v>20.8555999999999</v>
      </c>
      <c r="AD196">
        <v>-1.1096379995287999</v>
      </c>
      <c r="AE196">
        <v>2.6540999999999699</v>
      </c>
      <c r="AF196">
        <v>-2.98892041146035</v>
      </c>
      <c r="AG196">
        <v>-1.1096379995287999</v>
      </c>
      <c r="AH196">
        <v>20.751248446281998</v>
      </c>
      <c r="AI196">
        <v>93.029673197064</v>
      </c>
      <c r="AJ196">
        <v>98.1962667321406</v>
      </c>
      <c r="AK196">
        <v>20.9947434801038</v>
      </c>
      <c r="AL196">
        <v>86.536994990327898</v>
      </c>
      <c r="AM196">
        <v>96.316687346210998</v>
      </c>
      <c r="AN196">
        <v>1.0000000530198001</v>
      </c>
    </row>
    <row r="197" spans="1:40" x14ac:dyDescent="0.25">
      <c r="A197" t="str">
        <f>"20190304154731198"</f>
        <v>20190304154731198</v>
      </c>
      <c r="B197" t="str">
        <f>"1551685651187010"</f>
        <v>1551685651187010</v>
      </c>
      <c r="C197" t="s">
        <v>40</v>
      </c>
      <c r="D197">
        <v>4.176863</v>
      </c>
      <c r="E197">
        <v>0.48657099999999998</v>
      </c>
      <c r="F197" t="s">
        <v>44</v>
      </c>
      <c r="G197">
        <v>-447.7577</v>
      </c>
      <c r="H197" s="1">
        <v>-1.086856E-6</v>
      </c>
      <c r="I197">
        <v>369.79090000000002</v>
      </c>
      <c r="J197">
        <v>-468.72309999999999</v>
      </c>
      <c r="K197">
        <v>1.1096410000000001</v>
      </c>
      <c r="L197">
        <v>367.11200000000002</v>
      </c>
      <c r="M197">
        <v>0.9998534</v>
      </c>
      <c r="N197">
        <v>-4.6850059999999898E-3</v>
      </c>
      <c r="O197">
        <v>-1.6475710000000001E-2</v>
      </c>
      <c r="P197">
        <v>0.99399709999999997</v>
      </c>
      <c r="Q197">
        <v>5.6411120000000002E-2</v>
      </c>
      <c r="R197">
        <v>9.3741699999999997E-2</v>
      </c>
      <c r="S197">
        <v>2.9909669999999999</v>
      </c>
      <c r="T197">
        <v>-0.1578398</v>
      </c>
      <c r="U197">
        <v>0.38092039999999999</v>
      </c>
      <c r="V197">
        <v>-0.1101061</v>
      </c>
      <c r="W197">
        <v>6.1059919999999997E-2</v>
      </c>
      <c r="X197">
        <v>0.99204250000000005</v>
      </c>
      <c r="Y197">
        <v>-0.1424318</v>
      </c>
      <c r="Z197">
        <v>4.8645190000000003E-3</v>
      </c>
      <c r="AA197">
        <v>0.98979260000000002</v>
      </c>
      <c r="AB197">
        <v>12</v>
      </c>
      <c r="AC197">
        <v>20.965399999999899</v>
      </c>
      <c r="AD197">
        <v>-1.109642086856</v>
      </c>
      <c r="AE197">
        <v>2.6789000000000498</v>
      </c>
      <c r="AF197">
        <v>-3.0156479559623701</v>
      </c>
      <c r="AG197">
        <v>-1.109642086856</v>
      </c>
      <c r="AH197">
        <v>20.860918074172201</v>
      </c>
      <c r="AI197">
        <v>93.013563364218697</v>
      </c>
      <c r="AJ197">
        <v>98.225677560263904</v>
      </c>
      <c r="AK197">
        <v>21.1069500651456</v>
      </c>
      <c r="AL197">
        <v>86.499346709204701</v>
      </c>
      <c r="AM197">
        <v>96.333297353245896</v>
      </c>
      <c r="AN197">
        <v>0.99999999444693299</v>
      </c>
    </row>
    <row r="198" spans="1:40" x14ac:dyDescent="0.25">
      <c r="A198" t="str">
        <f>"20190304154731210"</f>
        <v>20190304154731210</v>
      </c>
      <c r="B198" t="str">
        <f>"1551685651207505"</f>
        <v>1551685651207505</v>
      </c>
      <c r="C198" t="s">
        <v>40</v>
      </c>
      <c r="D198">
        <v>4.1950229999999999</v>
      </c>
      <c r="E198">
        <v>0.4865295</v>
      </c>
      <c r="F198" t="s">
        <v>44</v>
      </c>
      <c r="G198">
        <v>-447.40589999999997</v>
      </c>
      <c r="H198" s="1">
        <v>-1.263942E-6</v>
      </c>
      <c r="I198">
        <v>369.83139999999997</v>
      </c>
      <c r="J198">
        <v>-468.6576</v>
      </c>
      <c r="K198">
        <v>1.1096440000000001</v>
      </c>
      <c r="L198">
        <v>367.11090000000002</v>
      </c>
      <c r="M198">
        <v>0.99985349999999995</v>
      </c>
      <c r="N198">
        <v>-4.661676E-3</v>
      </c>
      <c r="O198">
        <v>-1.6478980000000001E-2</v>
      </c>
      <c r="P198">
        <v>0.9939462</v>
      </c>
      <c r="Q198">
        <v>5.7172590000000002E-2</v>
      </c>
      <c r="R198">
        <v>9.3821399999999999E-2</v>
      </c>
      <c r="S198">
        <v>2.9909669999999999</v>
      </c>
      <c r="T198">
        <v>-0.15569160000000001</v>
      </c>
      <c r="U198">
        <v>0.38156129999999999</v>
      </c>
      <c r="V198">
        <v>-0.1101886</v>
      </c>
      <c r="W198">
        <v>6.179714E-2</v>
      </c>
      <c r="X198">
        <v>0.99198770000000003</v>
      </c>
      <c r="Y198">
        <v>-0.14264949999999901</v>
      </c>
      <c r="Z198">
        <v>4.8068700000000004E-3</v>
      </c>
      <c r="AA198">
        <v>0.98976160000000002</v>
      </c>
      <c r="AB198">
        <v>12</v>
      </c>
      <c r="AC198">
        <v>21.2517</v>
      </c>
      <c r="AD198">
        <v>-1.109645263942</v>
      </c>
      <c r="AE198">
        <v>2.7204999999999502</v>
      </c>
      <c r="AF198">
        <v>-3.06212685793616</v>
      </c>
      <c r="AG198">
        <v>-1.109645263942</v>
      </c>
      <c r="AH198">
        <v>21.147257512014502</v>
      </c>
      <c r="AI198">
        <v>92.972739979952195</v>
      </c>
      <c r="AJ198">
        <v>98.239174257734604</v>
      </c>
      <c r="AK198">
        <v>21.3965986499101</v>
      </c>
      <c r="AL198">
        <v>86.457027231636502</v>
      </c>
      <c r="AM198">
        <v>96.338351424884607</v>
      </c>
      <c r="AN198">
        <v>1.00000000551671</v>
      </c>
    </row>
    <row r="199" spans="1:40" x14ac:dyDescent="0.25">
      <c r="A199" t="str">
        <f>"20190304154731228"</f>
        <v>20190304154731228</v>
      </c>
      <c r="B199" t="str">
        <f>"1551685651217265"</f>
        <v>1551685651217265</v>
      </c>
      <c r="C199" t="s">
        <v>40</v>
      </c>
      <c r="D199">
        <v>4.187729</v>
      </c>
      <c r="E199">
        <v>0.48672359999999998</v>
      </c>
      <c r="F199" t="s">
        <v>44</v>
      </c>
      <c r="G199">
        <v>-447.0147</v>
      </c>
      <c r="H199" s="1">
        <v>-1.460431E-6</v>
      </c>
      <c r="I199">
        <v>369.87490000000003</v>
      </c>
      <c r="J199">
        <v>-468.5609</v>
      </c>
      <c r="K199">
        <v>1.1096469999999901</v>
      </c>
      <c r="L199">
        <v>367.10930000000002</v>
      </c>
      <c r="M199">
        <v>0.99985360000000001</v>
      </c>
      <c r="N199">
        <v>-4.6284050000000004E-3</v>
      </c>
      <c r="O199">
        <v>-1.647889E-2</v>
      </c>
      <c r="P199">
        <v>0.99384810000000001</v>
      </c>
      <c r="Q199">
        <v>5.8348560000000001E-2</v>
      </c>
      <c r="R199">
        <v>9.4135689999999994E-2</v>
      </c>
      <c r="S199">
        <v>2.9909970000000001</v>
      </c>
      <c r="T199">
        <v>-0.15335070000000001</v>
      </c>
      <c r="U199">
        <v>0.38198850000000001</v>
      </c>
      <c r="V199">
        <v>-0.1105014</v>
      </c>
      <c r="W199">
        <v>6.2938850000000005E-2</v>
      </c>
      <c r="X199">
        <v>0.99188109999999996</v>
      </c>
      <c r="Y199">
        <v>-0.1427937</v>
      </c>
      <c r="Z199">
        <v>4.7406409999999899E-3</v>
      </c>
      <c r="AA199">
        <v>0.98974110000000004</v>
      </c>
      <c r="AB199">
        <v>12</v>
      </c>
      <c r="AC199">
        <v>21.546199999999999</v>
      </c>
      <c r="AD199">
        <v>-1.10964846043099</v>
      </c>
      <c r="AE199">
        <v>2.7656000000000001</v>
      </c>
      <c r="AF199">
        <v>-3.1121649578611499</v>
      </c>
      <c r="AG199">
        <v>-1.10964846043099</v>
      </c>
      <c r="AH199">
        <v>21.4417506998617</v>
      </c>
      <c r="AI199">
        <v>92.931847512669904</v>
      </c>
      <c r="AJ199">
        <v>98.258529244391397</v>
      </c>
      <c r="AK199">
        <v>21.694828035863601</v>
      </c>
      <c r="AL199">
        <v>86.391484401225298</v>
      </c>
      <c r="AM199">
        <v>96.356875008501007</v>
      </c>
      <c r="AN199">
        <v>0.999999987389246</v>
      </c>
    </row>
    <row r="200" spans="1:40" x14ac:dyDescent="0.25">
      <c r="A200" t="str">
        <f>"20190304154731241"</f>
        <v>20190304154731241</v>
      </c>
      <c r="B200" t="str">
        <f>"1551685651237760"</f>
        <v>1551685651237760</v>
      </c>
      <c r="C200" t="s">
        <v>40</v>
      </c>
      <c r="D200">
        <v>4.161308</v>
      </c>
      <c r="E200">
        <v>0.48709039999999998</v>
      </c>
      <c r="F200" t="s">
        <v>44</v>
      </c>
      <c r="G200">
        <v>-446.28059999999999</v>
      </c>
      <c r="H200" s="1">
        <v>-1.827513E-6</v>
      </c>
      <c r="I200">
        <v>369.95030000000003</v>
      </c>
      <c r="J200">
        <v>-468.49599999999998</v>
      </c>
      <c r="K200">
        <v>1.109648</v>
      </c>
      <c r="L200">
        <v>367.10820000000001</v>
      </c>
      <c r="M200">
        <v>0.99985369999999996</v>
      </c>
      <c r="N200">
        <v>-4.6068300000000001E-3</v>
      </c>
      <c r="O200">
        <v>-1.6476810000000001E-2</v>
      </c>
      <c r="P200">
        <v>0.99383310000000002</v>
      </c>
      <c r="Q200">
        <v>5.8589990000000002E-2</v>
      </c>
      <c r="R200">
        <v>9.4145229999999996E-2</v>
      </c>
      <c r="S200">
        <v>2.9911799999999999</v>
      </c>
      <c r="T200">
        <v>-0.1489731</v>
      </c>
      <c r="U200">
        <v>0.38140869999999999</v>
      </c>
      <c r="V200">
        <v>-0.1105088</v>
      </c>
      <c r="W200">
        <v>6.3158710000000007E-2</v>
      </c>
      <c r="X200">
        <v>0.99186629999999998</v>
      </c>
      <c r="Y200">
        <v>-0.1426076</v>
      </c>
      <c r="Z200">
        <v>4.6062179999999996E-3</v>
      </c>
      <c r="AA200">
        <v>0.9897686</v>
      </c>
      <c r="AB200">
        <v>12</v>
      </c>
      <c r="AC200">
        <v>22.215399999999899</v>
      </c>
      <c r="AD200">
        <v>-1.109649827513</v>
      </c>
      <c r="AE200">
        <v>2.8421000000000101</v>
      </c>
      <c r="AF200">
        <v>-3.1999018932597099</v>
      </c>
      <c r="AG200">
        <v>-1.109649827513</v>
      </c>
      <c r="AH200">
        <v>22.1112765408167</v>
      </c>
      <c r="AI200">
        <v>92.843395139122094</v>
      </c>
      <c r="AJ200">
        <v>98.234567419843202</v>
      </c>
      <c r="AK200">
        <v>22.369158346496999</v>
      </c>
      <c r="AL200">
        <v>86.378862238168296</v>
      </c>
      <c r="AM200">
        <v>96.357391310046793</v>
      </c>
      <c r="AN200">
        <v>0.99999998730099604</v>
      </c>
    </row>
    <row r="201" spans="1:40" x14ac:dyDescent="0.25">
      <c r="A201" t="str">
        <f>"20190304154731266"</f>
        <v>20190304154731266</v>
      </c>
      <c r="B201" t="str">
        <f>"1551685651257281"</f>
        <v>1551685651257281</v>
      </c>
      <c r="C201" t="s">
        <v>40</v>
      </c>
      <c r="D201">
        <v>3.1673010000000001</v>
      </c>
      <c r="E201">
        <v>0.48709039999999998</v>
      </c>
      <c r="F201" t="s">
        <v>44</v>
      </c>
      <c r="G201">
        <v>-445.935</v>
      </c>
      <c r="H201" s="1">
        <v>-1.9937559999999999E-6</v>
      </c>
      <c r="I201">
        <v>369.96109999999999</v>
      </c>
      <c r="J201">
        <v>-468.35579999999999</v>
      </c>
      <c r="K201">
        <v>1.1096440000000001</v>
      </c>
      <c r="L201">
        <v>367.10590000000002</v>
      </c>
      <c r="M201">
        <v>0.99985409999999997</v>
      </c>
      <c r="N201">
        <v>-4.5614549999999999E-3</v>
      </c>
      <c r="O201">
        <v>-1.646705E-2</v>
      </c>
      <c r="P201">
        <v>0.99376089999999995</v>
      </c>
      <c r="Q201">
        <v>5.8960230000000002E-2</v>
      </c>
      <c r="R201">
        <v>9.4672909999999999E-2</v>
      </c>
      <c r="S201">
        <v>2.9914550000000002</v>
      </c>
      <c r="T201">
        <v>-0.1471326</v>
      </c>
      <c r="U201">
        <v>0.37826539999999997</v>
      </c>
      <c r="V201">
        <v>-0.1110254</v>
      </c>
      <c r="W201">
        <v>6.3483269999999994E-2</v>
      </c>
      <c r="X201">
        <v>0.99178789999999994</v>
      </c>
      <c r="Y201">
        <v>-0.14156930000000001</v>
      </c>
      <c r="Z201">
        <v>4.5216409999999999E-3</v>
      </c>
      <c r="AA201">
        <v>0.98991799999999996</v>
      </c>
      <c r="AB201">
        <v>12</v>
      </c>
      <c r="AC201">
        <v>22.4207999999999</v>
      </c>
      <c r="AD201">
        <v>-1.1096459937559999</v>
      </c>
      <c r="AE201">
        <v>2.85519999999996</v>
      </c>
      <c r="AF201">
        <v>-3.21626875717631</v>
      </c>
      <c r="AG201">
        <v>-1.1096459937559999</v>
      </c>
      <c r="AH201">
        <v>22.316950993967598</v>
      </c>
      <c r="AI201">
        <v>92.817461812299797</v>
      </c>
      <c r="AJ201">
        <v>98.2008727303364</v>
      </c>
      <c r="AK201">
        <v>22.574808982957101</v>
      </c>
      <c r="AL201">
        <v>86.360228979399807</v>
      </c>
      <c r="AM201">
        <v>96.387366152734003</v>
      </c>
      <c r="AN201">
        <v>1.00000000180073</v>
      </c>
    </row>
    <row r="202" spans="1:40" x14ac:dyDescent="0.25">
      <c r="A202" t="str">
        <f>"20190304154731343"</f>
        <v>20190304154731343</v>
      </c>
      <c r="B202" t="str">
        <f>"1551685651337313"</f>
        <v>1551685651337313</v>
      </c>
      <c r="C202" t="s">
        <v>40</v>
      </c>
      <c r="D202">
        <v>3.9768349999999999</v>
      </c>
      <c r="E202">
        <v>0.59253520000000004</v>
      </c>
      <c r="F202" t="s">
        <v>44</v>
      </c>
      <c r="G202">
        <v>-445.64460000000003</v>
      </c>
      <c r="H202" s="1">
        <v>-2.1382239999999999E-6</v>
      </c>
      <c r="I202">
        <v>369.98809999999997</v>
      </c>
      <c r="J202">
        <v>-467.93759999999997</v>
      </c>
      <c r="K202">
        <v>1.1096440000000001</v>
      </c>
      <c r="L202">
        <v>367.0992</v>
      </c>
      <c r="M202">
        <v>0.99985619999999997</v>
      </c>
      <c r="N202">
        <v>-4.4384109999999997E-3</v>
      </c>
      <c r="O202">
        <v>-1.6370889999999999E-2</v>
      </c>
      <c r="P202">
        <v>0.99349339999999997</v>
      </c>
      <c r="Q202">
        <v>6.0753080000000001E-2</v>
      </c>
      <c r="R202">
        <v>9.6334169999999997E-2</v>
      </c>
      <c r="S202">
        <v>2.9912719999999999</v>
      </c>
      <c r="T202">
        <v>-0.14615049999999999</v>
      </c>
      <c r="U202">
        <v>0.37960820000000001</v>
      </c>
      <c r="V202">
        <v>-0.11258840000000001</v>
      </c>
      <c r="W202">
        <v>6.5150639999999996E-2</v>
      </c>
      <c r="X202">
        <v>0.99150349999999998</v>
      </c>
      <c r="Y202">
        <v>-0.14192149999999901</v>
      </c>
      <c r="Z202">
        <v>4.4916670000000004E-3</v>
      </c>
      <c r="AA202">
        <v>0.98986770000000002</v>
      </c>
      <c r="AB202">
        <v>12</v>
      </c>
      <c r="AC202">
        <v>22.2929999999999</v>
      </c>
      <c r="AD202">
        <v>-1.1096461382239999</v>
      </c>
      <c r="AE202">
        <v>2.8888999999999698</v>
      </c>
      <c r="AF202">
        <v>-3.2455642490870402</v>
      </c>
      <c r="AG202">
        <v>-1.1096461382239999</v>
      </c>
      <c r="AH202">
        <v>22.1886513252696</v>
      </c>
      <c r="AI202">
        <v>92.832860643875094</v>
      </c>
      <c r="AJ202">
        <v>98.321717986180602</v>
      </c>
      <c r="AK202">
        <v>22.452199212580801</v>
      </c>
      <c r="AL202">
        <v>86.264497383356897</v>
      </c>
      <c r="AM202">
        <v>96.478369741541698</v>
      </c>
      <c r="AN202">
        <v>0.999999972109609</v>
      </c>
    </row>
    <row r="203" spans="1:40" x14ac:dyDescent="0.25">
      <c r="A203" t="str">
        <f>"20190304154731387"</f>
        <v>20190304154731387</v>
      </c>
      <c r="B203" t="str">
        <f>"1551685651377332"</f>
        <v>1551685651377332</v>
      </c>
      <c r="C203" t="s">
        <v>40</v>
      </c>
      <c r="D203">
        <v>4.0968999999999998</v>
      </c>
      <c r="E203">
        <v>0.54348619999999903</v>
      </c>
      <c r="F203" t="s">
        <v>41</v>
      </c>
      <c r="G203">
        <v>-467.17129999999997</v>
      </c>
      <c r="H203">
        <v>1.0121599999999999</v>
      </c>
      <c r="I203">
        <v>366.9853</v>
      </c>
      <c r="J203">
        <v>-467.67829999999998</v>
      </c>
      <c r="K203">
        <v>1.109648</v>
      </c>
      <c r="L203">
        <v>367.0951</v>
      </c>
      <c r="M203">
        <v>0.99985849999999998</v>
      </c>
      <c r="N203">
        <v>-4.3712070000000002E-3</v>
      </c>
      <c r="O203">
        <v>-1.6252550000000001E-2</v>
      </c>
      <c r="P203">
        <v>0.99332920000000002</v>
      </c>
      <c r="Q203">
        <v>6.1784840000000001E-2</v>
      </c>
      <c r="R203">
        <v>9.736612E-2</v>
      </c>
      <c r="S203">
        <v>3.088165</v>
      </c>
      <c r="T203">
        <v>-0.39288879999999998</v>
      </c>
      <c r="U203">
        <v>-0.45916750000000001</v>
      </c>
      <c r="V203">
        <v>-0.1135022</v>
      </c>
      <c r="W203">
        <v>6.611177E-2</v>
      </c>
      <c r="X203">
        <v>0.99133570000000004</v>
      </c>
      <c r="Y203">
        <v>0.13003239999999999</v>
      </c>
      <c r="Z203">
        <v>-6.5036249999999999E-3</v>
      </c>
      <c r="AA203">
        <v>0.99148840000000005</v>
      </c>
      <c r="AB203">
        <v>13</v>
      </c>
      <c r="AC203">
        <v>0.507000000000005</v>
      </c>
      <c r="AD203">
        <v>-9.7488000000000005E-2</v>
      </c>
      <c r="AE203">
        <v>-0.109800000000006</v>
      </c>
      <c r="AF203">
        <v>9.8081460249794597E-2</v>
      </c>
      <c r="AG203">
        <v>-9.7488000000000005E-2</v>
      </c>
      <c r="AH203">
        <v>0.49136420317146701</v>
      </c>
      <c r="AI203">
        <v>101.010165683446</v>
      </c>
      <c r="AJ203">
        <v>78.711526833924395</v>
      </c>
      <c r="AK203">
        <v>0.51045338978898203</v>
      </c>
      <c r="AL203">
        <v>86.209309778194793</v>
      </c>
      <c r="AM203">
        <v>96.531593506439705</v>
      </c>
      <c r="AN203">
        <v>0.99999999281593099</v>
      </c>
    </row>
    <row r="204" spans="1:40" x14ac:dyDescent="0.25">
      <c r="A204" t="str">
        <f>"20190304154731398"</f>
        <v>20190304154731398</v>
      </c>
      <c r="B204" t="str">
        <f>"1551685651387090"</f>
        <v>1551685651387090</v>
      </c>
      <c r="C204" t="s">
        <v>40</v>
      </c>
      <c r="D204">
        <v>4.0756779999999999</v>
      </c>
      <c r="E204">
        <v>0.54756729999999998</v>
      </c>
      <c r="F204" t="s">
        <v>45</v>
      </c>
      <c r="G204">
        <v>-304.5976</v>
      </c>
      <c r="H204">
        <v>-0.05</v>
      </c>
      <c r="I204">
        <v>363.96980000000002</v>
      </c>
      <c r="J204">
        <v>-467.61160000000001</v>
      </c>
      <c r="K204">
        <v>1.109648</v>
      </c>
      <c r="L204">
        <v>367.09410000000003</v>
      </c>
      <c r="M204">
        <v>0.99985919999999895</v>
      </c>
      <c r="N204">
        <v>-4.3550419999999999E-3</v>
      </c>
      <c r="O204">
        <v>-1.6215070000000002E-2</v>
      </c>
      <c r="P204">
        <v>0.99328550000000004</v>
      </c>
      <c r="Q204">
        <v>6.2398309999999998E-2</v>
      </c>
      <c r="R204">
        <v>9.7419549999999994E-2</v>
      </c>
      <c r="S204">
        <v>3.0272220000000001</v>
      </c>
      <c r="T204">
        <v>-2.1526219999999999E-2</v>
      </c>
      <c r="U204">
        <v>-5.8013919999999997E-2</v>
      </c>
      <c r="V204">
        <v>-0.11351799999999999</v>
      </c>
      <c r="W204">
        <v>6.6707929999999999E-2</v>
      </c>
      <c r="X204">
        <v>0.99129400000000001</v>
      </c>
      <c r="Y204">
        <v>2.9457429999999998E-3</v>
      </c>
      <c r="Z204" s="1">
        <v>2.77797599999999E-5</v>
      </c>
      <c r="AA204">
        <v>0.99999559999999998</v>
      </c>
      <c r="AB204">
        <v>13</v>
      </c>
      <c r="AC204">
        <v>163.01400000000001</v>
      </c>
      <c r="AD204">
        <v>-1.159648</v>
      </c>
      <c r="AE204">
        <v>-3.1242999999999999</v>
      </c>
      <c r="AF204">
        <v>0.48055684926324799</v>
      </c>
      <c r="AG204">
        <v>-1.159648</v>
      </c>
      <c r="AH204">
        <v>163.03498136507599</v>
      </c>
      <c r="AI204">
        <v>90.407529270496198</v>
      </c>
      <c r="AJ204">
        <v>89.831117228283404</v>
      </c>
      <c r="AK204">
        <v>163.039813748298</v>
      </c>
      <c r="AL204">
        <v>86.175076931919804</v>
      </c>
      <c r="AM204">
        <v>96.532767296307995</v>
      </c>
      <c r="AN204">
        <v>1.00000003934244</v>
      </c>
    </row>
    <row r="205" spans="1:40" x14ac:dyDescent="0.25">
      <c r="A205" t="str">
        <f>"20190304154731410"</f>
        <v>20190304154731410</v>
      </c>
      <c r="B205" t="str">
        <f>"1551685651407585"</f>
        <v>1551685651407585</v>
      </c>
      <c r="C205" t="s">
        <v>40</v>
      </c>
      <c r="D205">
        <v>4.0429250000000003</v>
      </c>
      <c r="E205">
        <v>0.5541644</v>
      </c>
      <c r="F205" t="s">
        <v>45</v>
      </c>
      <c r="G205">
        <v>-308.65879999999999</v>
      </c>
      <c r="H205">
        <v>-0.05</v>
      </c>
      <c r="I205">
        <v>362.34500000000003</v>
      </c>
      <c r="J205">
        <v>-467.5385</v>
      </c>
      <c r="K205">
        <v>1.10965</v>
      </c>
      <c r="L205">
        <v>367.09289999999999</v>
      </c>
      <c r="M205">
        <v>0.99985979999999997</v>
      </c>
      <c r="N205">
        <v>-4.3376760000000004E-3</v>
      </c>
      <c r="O205">
        <v>-1.6172570000000001E-2</v>
      </c>
      <c r="P205">
        <v>0.99323019999999995</v>
      </c>
      <c r="Q205">
        <v>6.3009079999999995E-2</v>
      </c>
      <c r="R205">
        <v>9.7589079999999995E-2</v>
      </c>
      <c r="S205">
        <v>3.030548</v>
      </c>
      <c r="T205">
        <v>-2.2109509999999999E-2</v>
      </c>
      <c r="U205">
        <v>-9.0545650000000005E-2</v>
      </c>
      <c r="V205">
        <v>-0.1136453</v>
      </c>
      <c r="W205">
        <v>6.7300269999999995E-2</v>
      </c>
      <c r="X205">
        <v>0.99123930000000005</v>
      </c>
      <c r="Y205">
        <v>1.3694390000000001E-2</v>
      </c>
      <c r="Z205" s="1">
        <v>-3.184387E-5</v>
      </c>
      <c r="AA205">
        <v>0.99990619999999997</v>
      </c>
      <c r="AB205">
        <v>13</v>
      </c>
      <c r="AC205">
        <v>158.87970000000001</v>
      </c>
      <c r="AD205">
        <v>-1.1596500000000001</v>
      </c>
      <c r="AE205">
        <v>-4.7478999999999498</v>
      </c>
      <c r="AF205">
        <v>2.1776458676295798</v>
      </c>
      <c r="AG205">
        <v>-1.1596500000000001</v>
      </c>
      <c r="AH205">
        <v>158.92724789491101</v>
      </c>
      <c r="AI205">
        <v>90.418025457152694</v>
      </c>
      <c r="AJ205">
        <v>89.214973445127598</v>
      </c>
      <c r="AK205">
        <v>158.946396791805</v>
      </c>
      <c r="AL205">
        <v>86.141061622253005</v>
      </c>
      <c r="AM205">
        <v>96.540387536129899</v>
      </c>
      <c r="AN205">
        <v>0.99999996520932599</v>
      </c>
    </row>
    <row r="206" spans="1:40" x14ac:dyDescent="0.25">
      <c r="A206" t="str">
        <f>"20190304154731422"</f>
        <v>20190304154731422</v>
      </c>
      <c r="B206" t="str">
        <f>"1551685651417345"</f>
        <v>1551685651417345</v>
      </c>
      <c r="C206" t="s">
        <v>40</v>
      </c>
      <c r="D206">
        <v>4.0260099999999897</v>
      </c>
      <c r="E206">
        <v>0.555562</v>
      </c>
      <c r="F206" t="s">
        <v>43</v>
      </c>
      <c r="G206">
        <v>-158.78319999999999</v>
      </c>
      <c r="H206">
        <v>1.261771</v>
      </c>
      <c r="I206">
        <v>352.65320000000003</v>
      </c>
      <c r="J206">
        <v>-467.47190000000001</v>
      </c>
      <c r="K206">
        <v>1.1096520000000001</v>
      </c>
      <c r="L206">
        <v>367.09190000000001</v>
      </c>
      <c r="M206">
        <v>0.99986059999999999</v>
      </c>
      <c r="N206">
        <v>-4.322518E-3</v>
      </c>
      <c r="O206">
        <v>-1.613057E-2</v>
      </c>
      <c r="P206">
        <v>0.99319469999999999</v>
      </c>
      <c r="Q206">
        <v>6.3672190000000004E-2</v>
      </c>
      <c r="R206">
        <v>9.7520319999999994E-2</v>
      </c>
      <c r="S206">
        <v>3.0343019999999998</v>
      </c>
      <c r="T206">
        <v>1.495838E-3</v>
      </c>
      <c r="U206">
        <v>-0.1419067</v>
      </c>
      <c r="V206">
        <v>-0.113534</v>
      </c>
      <c r="W206">
        <v>6.7947750000000001E-2</v>
      </c>
      <c r="X206">
        <v>0.99120790000000003</v>
      </c>
      <c r="Y206">
        <v>3.059748E-2</v>
      </c>
      <c r="Z206">
        <v>-1.3626999999999999E-4</v>
      </c>
      <c r="AA206">
        <v>0.99953179999999997</v>
      </c>
      <c r="AB206">
        <v>13</v>
      </c>
      <c r="AC206">
        <v>308.68869999999998</v>
      </c>
      <c r="AD206">
        <v>0.15211899999999901</v>
      </c>
      <c r="AE206">
        <v>-14.4386999999999</v>
      </c>
      <c r="AF206">
        <v>9.4574481550868406</v>
      </c>
      <c r="AG206">
        <v>0.15211899999999901</v>
      </c>
      <c r="AH206">
        <v>308.88136874763097</v>
      </c>
      <c r="AI206">
        <v>89.971795989414801</v>
      </c>
      <c r="AJ206">
        <v>88.246243762417095</v>
      </c>
      <c r="AK206">
        <v>309.02615815688898</v>
      </c>
      <c r="AL206">
        <v>86.103878703719303</v>
      </c>
      <c r="AM206">
        <v>96.534242739695003</v>
      </c>
      <c r="AN206">
        <v>0.99999998345423602</v>
      </c>
    </row>
    <row r="207" spans="1:40" x14ac:dyDescent="0.25">
      <c r="A207" t="str">
        <f>"20190304154731434"</f>
        <v>20190304154731434</v>
      </c>
      <c r="B207" t="str">
        <f>"1551685651427106"</f>
        <v>1551685651427106</v>
      </c>
      <c r="C207" t="s">
        <v>40</v>
      </c>
      <c r="D207">
        <v>4.0066990000000002</v>
      </c>
      <c r="E207">
        <v>0.55644749999999998</v>
      </c>
      <c r="F207" t="s">
        <v>43</v>
      </c>
      <c r="G207">
        <v>-158.78319999999999</v>
      </c>
      <c r="H207">
        <v>3.0106899999999999</v>
      </c>
      <c r="I207">
        <v>351.5412</v>
      </c>
      <c r="J207">
        <v>-467.39330000000001</v>
      </c>
      <c r="K207">
        <v>1.109658</v>
      </c>
      <c r="L207">
        <v>367.09059999999999</v>
      </c>
      <c r="M207">
        <v>0.99986149999999996</v>
      </c>
      <c r="N207">
        <v>-4.3049350000000002E-3</v>
      </c>
      <c r="O207">
        <v>-1.6079980000000001E-2</v>
      </c>
      <c r="P207">
        <v>0.99313850000000004</v>
      </c>
      <c r="Q207">
        <v>6.4339309999999997E-2</v>
      </c>
      <c r="R207">
        <v>9.7654939999999996E-2</v>
      </c>
      <c r="S207">
        <v>3.0343930000000001</v>
      </c>
      <c r="T207">
        <v>1.868796E-2</v>
      </c>
      <c r="U207">
        <v>-0.15286250000000001</v>
      </c>
      <c r="V207">
        <v>-0.1136182</v>
      </c>
      <c r="W207">
        <v>6.8597110000000003E-2</v>
      </c>
      <c r="X207">
        <v>0.99115350000000002</v>
      </c>
      <c r="Y207">
        <v>3.424725E-2</v>
      </c>
      <c r="Z207">
        <v>-1.3651469999999901E-4</v>
      </c>
      <c r="AA207">
        <v>0.99941340000000001</v>
      </c>
      <c r="AB207">
        <v>13</v>
      </c>
      <c r="AC207">
        <v>308.61009999999999</v>
      </c>
      <c r="AD207">
        <v>1.9010320000000001</v>
      </c>
      <c r="AE207">
        <v>-15.549399999999901</v>
      </c>
      <c r="AF207">
        <v>10.584499018029501</v>
      </c>
      <c r="AG207">
        <v>1.9010320000000001</v>
      </c>
      <c r="AH207">
        <v>308.80854685048701</v>
      </c>
      <c r="AI207">
        <v>89.647497407980893</v>
      </c>
      <c r="AJ207">
        <v>88.036939677335894</v>
      </c>
      <c r="AK207">
        <v>308.995734841174</v>
      </c>
      <c r="AL207">
        <v>86.066586007283803</v>
      </c>
      <c r="AM207">
        <v>96.5394025529788</v>
      </c>
      <c r="AN207">
        <v>0.99999995971692002</v>
      </c>
    </row>
    <row r="208" spans="1:40" x14ac:dyDescent="0.25">
      <c r="A208" t="str">
        <f>"20190304154731453"</f>
        <v>20190304154731453</v>
      </c>
      <c r="B208" t="str">
        <f>"1551685651447602"</f>
        <v>1551685651447602</v>
      </c>
      <c r="C208" t="s">
        <v>40</v>
      </c>
      <c r="D208">
        <v>4.0064640000000002</v>
      </c>
      <c r="E208">
        <v>0.55734910000000004</v>
      </c>
      <c r="F208" t="s">
        <v>43</v>
      </c>
      <c r="G208">
        <v>-158.78319999999999</v>
      </c>
      <c r="H208">
        <v>4.759029</v>
      </c>
      <c r="I208">
        <v>350.90620000000001</v>
      </c>
      <c r="J208">
        <v>-467.2894</v>
      </c>
      <c r="K208">
        <v>1.1096629999999901</v>
      </c>
      <c r="L208">
        <v>367.08909999999997</v>
      </c>
      <c r="M208">
        <v>0.99986260000000005</v>
      </c>
      <c r="N208">
        <v>-4.2825720000000001E-3</v>
      </c>
      <c r="O208">
        <v>-1.6010670000000001E-2</v>
      </c>
      <c r="P208">
        <v>0.99304890000000001</v>
      </c>
      <c r="Q208">
        <v>6.5631780000000001E-2</v>
      </c>
      <c r="R208">
        <v>9.7705059999999996E-2</v>
      </c>
      <c r="S208">
        <v>3.034119</v>
      </c>
      <c r="T208">
        <v>3.5879849999999998E-2</v>
      </c>
      <c r="U208">
        <v>-0.1591187</v>
      </c>
      <c r="V208">
        <v>-0.1135983</v>
      </c>
      <c r="W208">
        <v>6.9866750000000005E-2</v>
      </c>
      <c r="X208">
        <v>0.99106709999999998</v>
      </c>
      <c r="Y208">
        <v>3.637605E-2</v>
      </c>
      <c r="Z208">
        <v>-1.207179E-4</v>
      </c>
      <c r="AA208">
        <v>0.99933819999999995</v>
      </c>
      <c r="AB208">
        <v>13</v>
      </c>
      <c r="AC208">
        <v>308.50619999999998</v>
      </c>
      <c r="AD208">
        <v>3.6493660000000001</v>
      </c>
      <c r="AE208">
        <v>-16.182899999999901</v>
      </c>
      <c r="AF208">
        <v>11.2398206934004</v>
      </c>
      <c r="AG208">
        <v>3.6493660000000001</v>
      </c>
      <c r="AH208">
        <v>308.68268165141501</v>
      </c>
      <c r="AI208">
        <v>89.323107238345997</v>
      </c>
      <c r="AJ208">
        <v>87.914654953116795</v>
      </c>
      <c r="AK208">
        <v>308.90880433055099</v>
      </c>
      <c r="AL208">
        <v>85.993666048675095</v>
      </c>
      <c r="AM208">
        <v>96.538832169931894</v>
      </c>
      <c r="AN208">
        <v>0.99999996661043</v>
      </c>
    </row>
    <row r="209" spans="1:40" x14ac:dyDescent="0.25">
      <c r="A209" t="str">
        <f>"20190304154731464"</f>
        <v>20190304154731464</v>
      </c>
      <c r="B209" t="str">
        <f>"1551685651457361"</f>
        <v>1551685651457361</v>
      </c>
      <c r="C209" t="s">
        <v>40</v>
      </c>
      <c r="D209">
        <v>3.9691909999999999</v>
      </c>
      <c r="E209">
        <v>0.55779060000000003</v>
      </c>
      <c r="F209" t="s">
        <v>42</v>
      </c>
      <c r="G209">
        <v>0</v>
      </c>
      <c r="H209">
        <v>0</v>
      </c>
      <c r="I209">
        <v>0</v>
      </c>
      <c r="J209">
        <v>-467.21839999999997</v>
      </c>
      <c r="K209">
        <v>1.1096619999999999</v>
      </c>
      <c r="L209">
        <v>367.08800000000002</v>
      </c>
      <c r="M209">
        <v>0.99986370000000002</v>
      </c>
      <c r="N209">
        <v>-4.2679679999999996E-3</v>
      </c>
      <c r="O209">
        <v>-1.5962130000000001E-2</v>
      </c>
      <c r="P209">
        <v>0.99297760000000002</v>
      </c>
      <c r="Q209">
        <v>6.6302600000000003E-2</v>
      </c>
      <c r="R209">
        <v>9.7979839999999999E-2</v>
      </c>
      <c r="S209">
        <v>3.034027</v>
      </c>
      <c r="T209">
        <v>5.0465110000000001E-2</v>
      </c>
      <c r="U209">
        <v>-0.16601560000000001</v>
      </c>
      <c r="V209">
        <v>-0.1138241</v>
      </c>
      <c r="W209">
        <v>7.0522680000000004E-2</v>
      </c>
      <c r="X209">
        <v>0.99099479999999995</v>
      </c>
      <c r="Y209">
        <v>3.8690299999999997E-2</v>
      </c>
      <c r="Z209" s="1">
        <v>-9.4448190000000001E-5</v>
      </c>
      <c r="AA209">
        <v>0.99925120000000001</v>
      </c>
      <c r="AB209">
        <v>13</v>
      </c>
      <c r="AC209">
        <v>3.034027</v>
      </c>
      <c r="AD209">
        <v>5.0465110000000001E-2</v>
      </c>
      <c r="AE209">
        <v>-0.16601560000000001</v>
      </c>
      <c r="AF209">
        <v>0.11753206537786599</v>
      </c>
      <c r="AG209">
        <v>5.0465110000000001E-2</v>
      </c>
      <c r="AH209">
        <v>3.0354531592103902</v>
      </c>
      <c r="AI209">
        <v>89.048245223425695</v>
      </c>
      <c r="AJ209">
        <v>87.7826279380903</v>
      </c>
      <c r="AK209">
        <v>3.0381468686486501</v>
      </c>
      <c r="AL209">
        <v>85.955991366083197</v>
      </c>
      <c r="AM209">
        <v>96.552190389291795</v>
      </c>
      <c r="AN209">
        <v>1.0000000338811099</v>
      </c>
    </row>
    <row r="210" spans="1:40" x14ac:dyDescent="0.25">
      <c r="A210" t="str">
        <f>"20190304154731475"</f>
        <v>20190304154731475</v>
      </c>
      <c r="B210" t="str">
        <f>"1551685651467121"</f>
        <v>1551685651467121</v>
      </c>
      <c r="C210" t="s">
        <v>40</v>
      </c>
      <c r="D210">
        <v>3.9951810000000001</v>
      </c>
      <c r="E210">
        <v>0.55794619999999995</v>
      </c>
      <c r="F210" t="s">
        <v>42</v>
      </c>
      <c r="G210">
        <v>0</v>
      </c>
      <c r="H210">
        <v>0</v>
      </c>
      <c r="I210">
        <v>0</v>
      </c>
      <c r="J210">
        <v>-467.14870000000002</v>
      </c>
      <c r="K210">
        <v>1.1096600000000001</v>
      </c>
      <c r="L210">
        <v>367.08690000000001</v>
      </c>
      <c r="M210">
        <v>0.99986450000000004</v>
      </c>
      <c r="N210">
        <v>-4.2539860000000004E-3</v>
      </c>
      <c r="O210">
        <v>-1.5914060000000001E-2</v>
      </c>
      <c r="P210">
        <v>0.99290069999999997</v>
      </c>
      <c r="Q210">
        <v>6.7082879999999998E-2</v>
      </c>
      <c r="R210">
        <v>9.8225690000000004E-2</v>
      </c>
      <c r="S210">
        <v>3.0340579999999999</v>
      </c>
      <c r="T210">
        <v>5.6806089999999997E-2</v>
      </c>
      <c r="U210">
        <v>-0.16864009999999999</v>
      </c>
      <c r="V210">
        <v>-0.1140206</v>
      </c>
      <c r="W210">
        <v>7.1289399999999906E-2</v>
      </c>
      <c r="X210">
        <v>0.9909173</v>
      </c>
      <c r="Y210">
        <v>3.959886E-2</v>
      </c>
      <c r="Z210" s="1">
        <v>-7.9221269999999998E-5</v>
      </c>
      <c r="AA210">
        <v>0.99921570000000004</v>
      </c>
      <c r="AB210">
        <v>13</v>
      </c>
      <c r="AC210">
        <v>3.0340579999999999</v>
      </c>
      <c r="AD210">
        <v>5.6806089999999997E-2</v>
      </c>
      <c r="AE210">
        <v>-0.16864009999999999</v>
      </c>
      <c r="AF210">
        <v>0.12029209688403</v>
      </c>
      <c r="AG210">
        <v>5.6806089999999997E-2</v>
      </c>
      <c r="AH210">
        <v>3.0352968157843399</v>
      </c>
      <c r="AI210">
        <v>88.928665829599595</v>
      </c>
      <c r="AJ210">
        <v>87.730493948034706</v>
      </c>
      <c r="AK210">
        <v>3.0382106379157499</v>
      </c>
      <c r="AL210">
        <v>85.911950498328295</v>
      </c>
      <c r="AM210">
        <v>96.563911984843301</v>
      </c>
      <c r="AN210">
        <v>0.99999998560800496</v>
      </c>
    </row>
    <row r="211" spans="1:40" x14ac:dyDescent="0.25">
      <c r="A211" t="str">
        <f>"20190304154731487"</f>
        <v>20190304154731487</v>
      </c>
      <c r="B211" t="str">
        <f>"1551685651476882"</f>
        <v>1551685651476882</v>
      </c>
      <c r="C211" t="s">
        <v>40</v>
      </c>
      <c r="D211">
        <v>3.9905590000000002</v>
      </c>
      <c r="E211">
        <v>0.55822799999999995</v>
      </c>
      <c r="F211" t="s">
        <v>42</v>
      </c>
      <c r="G211">
        <v>0</v>
      </c>
      <c r="H211">
        <v>0</v>
      </c>
      <c r="I211">
        <v>0</v>
      </c>
      <c r="J211">
        <v>-467.07589999999999</v>
      </c>
      <c r="K211">
        <v>1.109659</v>
      </c>
      <c r="L211">
        <v>367.08580000000001</v>
      </c>
      <c r="M211">
        <v>0.99986529999999996</v>
      </c>
      <c r="N211">
        <v>-4.2398160000000004E-3</v>
      </c>
      <c r="O211">
        <v>-1.586338E-2</v>
      </c>
      <c r="P211">
        <v>0.99286750000000001</v>
      </c>
      <c r="Q211">
        <v>6.7393590000000003E-2</v>
      </c>
      <c r="R211">
        <v>9.8349649999999997E-2</v>
      </c>
      <c r="S211">
        <v>3.034119</v>
      </c>
      <c r="T211">
        <v>5.9400799999999997E-2</v>
      </c>
      <c r="U211">
        <v>-0.16897579999999901</v>
      </c>
      <c r="V211">
        <v>-0.1140938</v>
      </c>
      <c r="W211">
        <v>7.1586189999999994E-2</v>
      </c>
      <c r="X211">
        <v>0.99088750000000003</v>
      </c>
      <c r="Y211">
        <v>3.9758309999999998E-2</v>
      </c>
      <c r="Z211" s="1">
        <v>-7.2968660000000002E-5</v>
      </c>
      <c r="AA211">
        <v>0.99920929999999997</v>
      </c>
      <c r="AB211">
        <v>13</v>
      </c>
      <c r="AC211">
        <v>3.034119</v>
      </c>
      <c r="AD211">
        <v>5.9400799999999997E-2</v>
      </c>
      <c r="AE211">
        <v>-0.16897579999999901</v>
      </c>
      <c r="AF211">
        <v>0.12077657924361999</v>
      </c>
      <c r="AG211">
        <v>5.9400799999999997E-2</v>
      </c>
      <c r="AH211">
        <v>3.0352579919268599</v>
      </c>
      <c r="AI211">
        <v>88.879735892549206</v>
      </c>
      <c r="AJ211">
        <v>87.7213339007656</v>
      </c>
      <c r="AK211">
        <v>3.0382406940020901</v>
      </c>
      <c r="AL211">
        <v>85.894902216950001</v>
      </c>
      <c r="AM211">
        <v>96.568284939879106</v>
      </c>
      <c r="AN211">
        <v>1.0000000077266999</v>
      </c>
    </row>
    <row r="212" spans="1:40" x14ac:dyDescent="0.25">
      <c r="A212" t="str">
        <f>"20190304154731501"</f>
        <v>20190304154731501</v>
      </c>
      <c r="B212" t="str">
        <f>"1551685651497380"</f>
        <v>1551685651497380</v>
      </c>
      <c r="C212" t="s">
        <v>40</v>
      </c>
      <c r="D212">
        <v>3.984667</v>
      </c>
      <c r="E212">
        <v>0.55875090000000005</v>
      </c>
      <c r="F212" t="s">
        <v>42</v>
      </c>
      <c r="G212">
        <v>0</v>
      </c>
      <c r="H212">
        <v>0</v>
      </c>
      <c r="I212">
        <v>0</v>
      </c>
      <c r="J212">
        <v>-466.9991</v>
      </c>
      <c r="K212">
        <v>1.1096569999999999</v>
      </c>
      <c r="L212">
        <v>367.0847</v>
      </c>
      <c r="M212">
        <v>0.99986609999999998</v>
      </c>
      <c r="N212">
        <v>-4.2254770000000001E-3</v>
      </c>
      <c r="O212">
        <v>-1.581055E-2</v>
      </c>
      <c r="P212">
        <v>0.99283929999999998</v>
      </c>
      <c r="Q212">
        <v>6.7591150000000003E-2</v>
      </c>
      <c r="R212">
        <v>9.8496379999999994E-2</v>
      </c>
      <c r="S212">
        <v>3.034332</v>
      </c>
      <c r="T212">
        <v>6.0814739999999999E-2</v>
      </c>
      <c r="U212">
        <v>-0.17086789999999999</v>
      </c>
      <c r="V212">
        <v>-0.1141872</v>
      </c>
      <c r="W212">
        <v>7.1769769999999997E-2</v>
      </c>
      <c r="X212">
        <v>0.99086339999999995</v>
      </c>
      <c r="Y212">
        <v>4.0428029999999997E-2</v>
      </c>
      <c r="Z212" s="1">
        <v>-6.4022780000000005E-5</v>
      </c>
      <c r="AA212">
        <v>0.99918249999999997</v>
      </c>
      <c r="AB212">
        <v>13</v>
      </c>
      <c r="AC212">
        <v>3.034332</v>
      </c>
      <c r="AD212">
        <v>6.0814739999999999E-2</v>
      </c>
      <c r="AE212">
        <v>-0.17086789999999999</v>
      </c>
      <c r="AF212">
        <v>0.12282247640997</v>
      </c>
      <c r="AG212">
        <v>6.0814739999999999E-2</v>
      </c>
      <c r="AH212">
        <v>3.0354388051773999</v>
      </c>
      <c r="AI212">
        <v>88.853176008069994</v>
      </c>
      <c r="AJ212">
        <v>87.682914000149296</v>
      </c>
      <c r="AK212">
        <v>3.0385313118823598</v>
      </c>
      <c r="AL212">
        <v>85.884356482606904</v>
      </c>
      <c r="AM212">
        <v>96.573773343016796</v>
      </c>
      <c r="AN212">
        <v>0.99999994699462502</v>
      </c>
    </row>
    <row r="213" spans="1:40" x14ac:dyDescent="0.25">
      <c r="A213" t="str">
        <f>"20190304154731515"</f>
        <v>20190304154731515</v>
      </c>
      <c r="B213" t="str">
        <f>"1551685651507137"</f>
        <v>1551685651507137</v>
      </c>
      <c r="C213" t="s">
        <v>40</v>
      </c>
      <c r="D213">
        <v>4.0185129999999996</v>
      </c>
      <c r="E213">
        <v>0.55885989999999997</v>
      </c>
      <c r="F213" t="s">
        <v>42</v>
      </c>
      <c r="G213">
        <v>0</v>
      </c>
      <c r="H213">
        <v>0</v>
      </c>
      <c r="I213">
        <v>0</v>
      </c>
      <c r="J213">
        <v>-466.90899999999999</v>
      </c>
      <c r="K213">
        <v>1.1096539999999999</v>
      </c>
      <c r="L213">
        <v>367.08330000000001</v>
      </c>
      <c r="M213">
        <v>0.99986710000000001</v>
      </c>
      <c r="N213">
        <v>-4.2091180000000004E-3</v>
      </c>
      <c r="O213">
        <v>-1.5748890000000001E-2</v>
      </c>
      <c r="P213">
        <v>0.99278560000000005</v>
      </c>
      <c r="Q213">
        <v>6.8051899999999901E-2</v>
      </c>
      <c r="R213">
        <v>9.8720600000000006E-2</v>
      </c>
      <c r="S213">
        <v>3.0347599999999999</v>
      </c>
      <c r="T213">
        <v>6.131089E-2</v>
      </c>
      <c r="U213">
        <v>-0.17480470000000001</v>
      </c>
      <c r="V213">
        <v>-0.1143489</v>
      </c>
      <c r="W213">
        <v>7.221495E-2</v>
      </c>
      <c r="X213">
        <v>0.99081249999999998</v>
      </c>
      <c r="Y213">
        <v>4.1773379999999999E-2</v>
      </c>
      <c r="Z213" s="1">
        <v>-5.0482919999999999E-5</v>
      </c>
      <c r="AA213">
        <v>0.99912710000000005</v>
      </c>
      <c r="AB213">
        <v>14</v>
      </c>
      <c r="AC213">
        <v>3.0347599999999999</v>
      </c>
      <c r="AD213">
        <v>6.131089E-2</v>
      </c>
      <c r="AE213">
        <v>-0.17480470000000001</v>
      </c>
      <c r="AF213">
        <v>0.12693685562023799</v>
      </c>
      <c r="AG213">
        <v>6.131089E-2</v>
      </c>
      <c r="AH213">
        <v>3.0359015975594401</v>
      </c>
      <c r="AI213">
        <v>88.844062534155199</v>
      </c>
      <c r="AJ213">
        <v>87.605748400409198</v>
      </c>
      <c r="AK213">
        <v>3.0391726671269099</v>
      </c>
      <c r="AL213">
        <v>85.8587835739187</v>
      </c>
      <c r="AM213">
        <v>96.5833359958052</v>
      </c>
      <c r="AN213">
        <v>1.00000004004548</v>
      </c>
    </row>
    <row r="214" spans="1:40" x14ac:dyDescent="0.25">
      <c r="A214" t="str">
        <f>"20190304154731531"</f>
        <v>20190304154731531</v>
      </c>
      <c r="B214" t="str">
        <f>"1551685651527633"</f>
        <v>1551685651527633</v>
      </c>
      <c r="C214" t="s">
        <v>40</v>
      </c>
      <c r="D214">
        <v>4.0134629999999998</v>
      </c>
      <c r="E214">
        <v>0.55879540000000005</v>
      </c>
      <c r="F214" t="s">
        <v>42</v>
      </c>
      <c r="G214">
        <v>0</v>
      </c>
      <c r="H214">
        <v>0</v>
      </c>
      <c r="I214">
        <v>0</v>
      </c>
      <c r="J214">
        <v>-466.81</v>
      </c>
      <c r="K214">
        <v>1.109648</v>
      </c>
      <c r="L214">
        <v>367.08190000000002</v>
      </c>
      <c r="M214">
        <v>0.99986830000000004</v>
      </c>
      <c r="N214">
        <v>-4.1917980000000001E-3</v>
      </c>
      <c r="O214">
        <v>-1.5681750000000001E-2</v>
      </c>
      <c r="P214">
        <v>0.99270579999999997</v>
      </c>
      <c r="Q214">
        <v>6.8535890000000002E-2</v>
      </c>
      <c r="R214">
        <v>9.9189159999999998E-2</v>
      </c>
      <c r="S214">
        <v>3.0349729999999999</v>
      </c>
      <c r="T214">
        <v>6.1368819999999998E-2</v>
      </c>
      <c r="U214">
        <v>-0.17480470000000001</v>
      </c>
      <c r="V214">
        <v>-0.1147494</v>
      </c>
      <c r="W214">
        <v>7.2681969999999999E-2</v>
      </c>
      <c r="X214">
        <v>0.99073199999999995</v>
      </c>
      <c r="Y214">
        <v>4.1836379999999999E-2</v>
      </c>
      <c r="Z214" s="1">
        <v>-4.7616249999999997E-5</v>
      </c>
      <c r="AA214">
        <v>0.99912449999999997</v>
      </c>
      <c r="AB214">
        <v>14</v>
      </c>
      <c r="AC214">
        <v>3.0349729999999999</v>
      </c>
      <c r="AD214">
        <v>6.1368819999999998E-2</v>
      </c>
      <c r="AE214">
        <v>-0.17480470000000001</v>
      </c>
      <c r="AF214">
        <v>0.12713729026236001</v>
      </c>
      <c r="AG214">
        <v>6.1368819999999998E-2</v>
      </c>
      <c r="AH214">
        <v>3.0361037928513999</v>
      </c>
      <c r="AI214">
        <v>88.843050724417907</v>
      </c>
      <c r="AJ214">
        <v>87.602131776613106</v>
      </c>
      <c r="AK214">
        <v>3.0393841915115098</v>
      </c>
      <c r="AL214">
        <v>85.831954608640601</v>
      </c>
      <c r="AM214">
        <v>96.606722293550703</v>
      </c>
      <c r="AN214">
        <v>0.99999999469372003</v>
      </c>
    </row>
    <row r="215" spans="1:40" x14ac:dyDescent="0.25">
      <c r="A215" t="str">
        <f>"20190304154731544"</f>
        <v>20190304154731544</v>
      </c>
      <c r="B215" t="str">
        <f>"1551685651537394"</f>
        <v>1551685651537394</v>
      </c>
      <c r="C215" t="s">
        <v>40</v>
      </c>
      <c r="D215">
        <v>3.9873850000000002</v>
      </c>
      <c r="E215">
        <v>0.55862999999999996</v>
      </c>
      <c r="F215" t="s">
        <v>42</v>
      </c>
      <c r="G215">
        <v>0</v>
      </c>
      <c r="H215">
        <v>0</v>
      </c>
      <c r="I215">
        <v>0</v>
      </c>
      <c r="J215">
        <v>-466.73099999999999</v>
      </c>
      <c r="K215">
        <v>1.1096429999999999</v>
      </c>
      <c r="L215">
        <v>367.08069999999998</v>
      </c>
      <c r="M215">
        <v>0.99986920000000001</v>
      </c>
      <c r="N215">
        <v>-4.1789740000000002E-3</v>
      </c>
      <c r="O215">
        <v>-1.562881E-2</v>
      </c>
      <c r="P215">
        <v>0.99266489999999996</v>
      </c>
      <c r="Q215">
        <v>6.8806300000000001E-2</v>
      </c>
      <c r="R215">
        <v>9.9409349999999994E-2</v>
      </c>
      <c r="S215">
        <v>3.035126</v>
      </c>
      <c r="T215">
        <v>6.0693499999999997E-2</v>
      </c>
      <c r="U215">
        <v>-0.17303470000000001</v>
      </c>
      <c r="V215">
        <v>-0.1149159</v>
      </c>
      <c r="W215">
        <v>7.2939729999999994E-2</v>
      </c>
      <c r="X215">
        <v>0.99069370000000001</v>
      </c>
      <c r="Y215">
        <v>4.130578E-2</v>
      </c>
      <c r="Z215" s="1">
        <v>-5.1226639999999998E-5</v>
      </c>
      <c r="AA215">
        <v>0.9991466</v>
      </c>
      <c r="AB215">
        <v>14</v>
      </c>
      <c r="AC215">
        <v>3.035126</v>
      </c>
      <c r="AD215">
        <v>6.0693499999999997E-2</v>
      </c>
      <c r="AE215">
        <v>-0.17303470000000001</v>
      </c>
      <c r="AF215">
        <v>0.125527713645053</v>
      </c>
      <c r="AG215">
        <v>6.0693499999999997E-2</v>
      </c>
      <c r="AH215">
        <v>3.0362494358951699</v>
      </c>
      <c r="AI215">
        <v>88.855808308993801</v>
      </c>
      <c r="AJ215">
        <v>87.632567809730403</v>
      </c>
      <c r="AK215">
        <v>3.0394492173433298</v>
      </c>
      <c r="AL215">
        <v>85.817146506279897</v>
      </c>
      <c r="AM215">
        <v>96.616477151265002</v>
      </c>
      <c r="AN215">
        <v>0.99999993775248397</v>
      </c>
    </row>
    <row r="216" spans="1:40" x14ac:dyDescent="0.25">
      <c r="A216" t="str">
        <f>"20190304154731562"</f>
        <v>20190304154731562</v>
      </c>
      <c r="B216" t="str">
        <f>"1551685651556913"</f>
        <v>1551685651556913</v>
      </c>
      <c r="C216" t="s">
        <v>40</v>
      </c>
      <c r="D216">
        <v>4.0206660000000003</v>
      </c>
      <c r="E216">
        <v>0.55848560000000003</v>
      </c>
      <c r="F216" t="s">
        <v>42</v>
      </c>
      <c r="G216">
        <v>0</v>
      </c>
      <c r="H216">
        <v>0</v>
      </c>
      <c r="I216">
        <v>0</v>
      </c>
      <c r="J216">
        <v>-466.613</v>
      </c>
      <c r="K216">
        <v>1.109637</v>
      </c>
      <c r="L216">
        <v>367.07889999999998</v>
      </c>
      <c r="M216">
        <v>0.99987040000000005</v>
      </c>
      <c r="N216">
        <v>-4.1604839999999999E-3</v>
      </c>
      <c r="O216">
        <v>-1.555082E-2</v>
      </c>
      <c r="P216">
        <v>0.99261869999999996</v>
      </c>
      <c r="Q216">
        <v>6.9006509999999993E-2</v>
      </c>
      <c r="R216">
        <v>9.9731390000000003E-2</v>
      </c>
      <c r="S216">
        <v>3.0350950000000001</v>
      </c>
      <c r="T216">
        <v>6.0256839999999999E-2</v>
      </c>
      <c r="U216">
        <v>-0.17102049999999999</v>
      </c>
      <c r="V216">
        <v>-0.115159999999999</v>
      </c>
      <c r="W216">
        <v>7.3122329999999999E-2</v>
      </c>
      <c r="X216">
        <v>0.99065199999999998</v>
      </c>
      <c r="Y216">
        <v>4.072344E-2</v>
      </c>
      <c r="Z216" s="1">
        <v>-5.3967469999999898E-5</v>
      </c>
      <c r="AA216">
        <v>0.99917049999999996</v>
      </c>
      <c r="AB216">
        <v>14</v>
      </c>
      <c r="AC216">
        <v>3.0350950000000001</v>
      </c>
      <c r="AD216">
        <v>6.0256839999999999E-2</v>
      </c>
      <c r="AE216">
        <v>-0.17102049999999999</v>
      </c>
      <c r="AF216">
        <v>0.123752570583042</v>
      </c>
      <c r="AG216">
        <v>6.0256839999999999E-2</v>
      </c>
      <c r="AH216">
        <v>3.0361945714600198</v>
      </c>
      <c r="AI216">
        <v>88.8639903440544</v>
      </c>
      <c r="AJ216">
        <v>87.665967299725395</v>
      </c>
      <c r="AK216">
        <v>3.03931292585282</v>
      </c>
      <c r="AL216">
        <v>85.806656725715897</v>
      </c>
      <c r="AM216">
        <v>96.630683224114904</v>
      </c>
      <c r="AN216">
        <v>1.0000000429243101</v>
      </c>
    </row>
    <row r="217" spans="1:40" x14ac:dyDescent="0.25">
      <c r="A217" t="str">
        <f>"20190304154731577"</f>
        <v>20190304154731577</v>
      </c>
      <c r="B217" t="str">
        <f>"1551685651567649"</f>
        <v>1551685651567649</v>
      </c>
      <c r="C217" t="s">
        <v>40</v>
      </c>
      <c r="D217">
        <v>4.0113440000000002</v>
      </c>
      <c r="E217">
        <v>0.55841079999999998</v>
      </c>
      <c r="F217" t="s">
        <v>42</v>
      </c>
      <c r="G217">
        <v>0</v>
      </c>
      <c r="H217">
        <v>0</v>
      </c>
      <c r="I217">
        <v>0</v>
      </c>
      <c r="J217">
        <v>-466.52289999999999</v>
      </c>
      <c r="K217">
        <v>1.109637</v>
      </c>
      <c r="L217">
        <v>367.07760000000002</v>
      </c>
      <c r="M217">
        <v>0.99987139999999997</v>
      </c>
      <c r="N217">
        <v>-4.1470359999999998E-3</v>
      </c>
      <c r="O217">
        <v>-1.5492270000000001E-2</v>
      </c>
      <c r="P217">
        <v>0.99252280000000004</v>
      </c>
      <c r="Q217">
        <v>6.9626720000000003E-2</v>
      </c>
      <c r="R217">
        <v>0.1002537</v>
      </c>
      <c r="S217">
        <v>3.0352480000000002</v>
      </c>
      <c r="T217">
        <v>5.8557749999999999E-2</v>
      </c>
      <c r="U217">
        <v>-0.1690063</v>
      </c>
      <c r="V217">
        <v>-0.1156225</v>
      </c>
      <c r="W217">
        <v>7.3728669999999996E-2</v>
      </c>
      <c r="X217">
        <v>0.99055309999999996</v>
      </c>
      <c r="Y217">
        <v>4.0118420000000002E-2</v>
      </c>
      <c r="Z217" s="1">
        <v>-5.9383340000000001E-5</v>
      </c>
      <c r="AA217">
        <v>0.9991949</v>
      </c>
      <c r="AB217">
        <v>14</v>
      </c>
      <c r="AC217">
        <v>3.0352480000000002</v>
      </c>
      <c r="AD217">
        <v>5.8557749999999999E-2</v>
      </c>
      <c r="AE217">
        <v>-0.1690063</v>
      </c>
      <c r="AF217">
        <v>0.12191749363941801</v>
      </c>
      <c r="AG217">
        <v>5.8557749999999999E-2</v>
      </c>
      <c r="AH217">
        <v>3.0363753836876901</v>
      </c>
      <c r="AI217">
        <v>88.896053567325893</v>
      </c>
      <c r="AJ217">
        <v>87.700677080785695</v>
      </c>
      <c r="AK217">
        <v>3.0393861807945601</v>
      </c>
      <c r="AL217">
        <v>85.771821629980394</v>
      </c>
      <c r="AM217">
        <v>96.657733204959996</v>
      </c>
      <c r="AN217">
        <v>0.99999996160291305</v>
      </c>
    </row>
    <row r="218" spans="1:40" x14ac:dyDescent="0.25">
      <c r="A218" t="str">
        <f>"20190304154731589"</f>
        <v>20190304154731589</v>
      </c>
      <c r="B218" t="str">
        <f>"1551685651577410"</f>
        <v>1551685651577410</v>
      </c>
      <c r="C218" t="s">
        <v>40</v>
      </c>
      <c r="D218">
        <v>4.0386649999999999</v>
      </c>
      <c r="E218">
        <v>0.5583553</v>
      </c>
      <c r="F218" t="s">
        <v>42</v>
      </c>
      <c r="G218">
        <v>0</v>
      </c>
      <c r="H218">
        <v>0</v>
      </c>
      <c r="I218">
        <v>0</v>
      </c>
      <c r="J218">
        <v>-466.44319999999999</v>
      </c>
      <c r="K218">
        <v>1.1096349999999999</v>
      </c>
      <c r="L218">
        <v>367.07639999999998</v>
      </c>
      <c r="M218">
        <v>0.99987230000000005</v>
      </c>
      <c r="N218">
        <v>-4.135657E-3</v>
      </c>
      <c r="O218">
        <v>-1.544122E-2</v>
      </c>
      <c r="P218">
        <v>0.99247359999999896</v>
      </c>
      <c r="Q218">
        <v>6.9824750000000005E-2</v>
      </c>
      <c r="R218">
        <v>0.10060189999999999</v>
      </c>
      <c r="S218">
        <v>3.0352480000000002</v>
      </c>
      <c r="T218">
        <v>5.9743879999999999E-2</v>
      </c>
      <c r="U218">
        <v>-0.1667786</v>
      </c>
      <c r="V218">
        <v>-0.11591940000000001</v>
      </c>
      <c r="W218">
        <v>7.3915549999999997E-2</v>
      </c>
      <c r="X218">
        <v>0.99050450000000001</v>
      </c>
      <c r="Y218">
        <v>3.9438229999999998E-2</v>
      </c>
      <c r="Z218" s="1">
        <v>-6.1259580000000004E-5</v>
      </c>
      <c r="AA218">
        <v>0.99922200000000005</v>
      </c>
      <c r="AB218">
        <v>14</v>
      </c>
      <c r="AC218">
        <v>3.0352480000000002</v>
      </c>
      <c r="AD218">
        <v>5.9743879999999999E-2</v>
      </c>
      <c r="AE218">
        <v>-0.1667786</v>
      </c>
      <c r="AF218">
        <v>0.119844094477846</v>
      </c>
      <c r="AG218">
        <v>5.9743879999999999E-2</v>
      </c>
      <c r="AH218">
        <v>3.0362885876636798</v>
      </c>
      <c r="AI218">
        <v>88.873635327135005</v>
      </c>
      <c r="AJ218">
        <v>87.739675239345303</v>
      </c>
      <c r="AK218">
        <v>3.0392400901796801</v>
      </c>
      <c r="AL218">
        <v>85.7610850196359</v>
      </c>
      <c r="AM218">
        <v>96.674999677494498</v>
      </c>
      <c r="AN218">
        <v>0.99999999017420604</v>
      </c>
    </row>
    <row r="219" spans="1:40" x14ac:dyDescent="0.25">
      <c r="A219" t="str">
        <f>"20190304154731604"</f>
        <v>20190304154731604</v>
      </c>
      <c r="B219" t="str">
        <f>"1551685651596930"</f>
        <v>1551685651596930</v>
      </c>
      <c r="C219" t="s">
        <v>40</v>
      </c>
      <c r="D219">
        <v>4.0634199999999998</v>
      </c>
      <c r="E219">
        <v>0.55715040000000005</v>
      </c>
      <c r="F219" t="s">
        <v>43</v>
      </c>
      <c r="G219">
        <v>-159.35079999999999</v>
      </c>
      <c r="H219">
        <v>7.0852440000000003</v>
      </c>
      <c r="I219">
        <v>350.35739999999998</v>
      </c>
      <c r="J219">
        <v>-466.34840000000003</v>
      </c>
      <c r="K219">
        <v>1.1096330000000001</v>
      </c>
      <c r="L219">
        <v>367.07499999999999</v>
      </c>
      <c r="M219">
        <v>0.99987329999999996</v>
      </c>
      <c r="N219">
        <v>-4.1229140000000001E-3</v>
      </c>
      <c r="O219">
        <v>-1.538136E-2</v>
      </c>
      <c r="P219">
        <v>0.99243809999999999</v>
      </c>
      <c r="Q219">
        <v>7.0019479999999995E-2</v>
      </c>
      <c r="R219">
        <v>0.1008174</v>
      </c>
      <c r="S219">
        <v>3.035339</v>
      </c>
      <c r="T219">
        <v>5.9064510000000001E-2</v>
      </c>
      <c r="U219">
        <v>-0.1652527</v>
      </c>
      <c r="V219">
        <v>-0.1160751</v>
      </c>
      <c r="W219">
        <v>7.4097189999999993E-2</v>
      </c>
      <c r="X219">
        <v>0.99047269999999998</v>
      </c>
      <c r="Y219">
        <v>3.8995700000000001E-2</v>
      </c>
      <c r="Z219" s="1">
        <v>-6.3748480000000007E-5</v>
      </c>
      <c r="AA219">
        <v>0.9992394</v>
      </c>
      <c r="AB219">
        <v>14</v>
      </c>
      <c r="AC219">
        <v>306.99759999999998</v>
      </c>
      <c r="AD219">
        <v>5.9756109999999998</v>
      </c>
      <c r="AE219">
        <v>-16.717600000000001</v>
      </c>
      <c r="AF219">
        <v>11.9890131135943</v>
      </c>
      <c r="AG219">
        <v>5.9756109999999998</v>
      </c>
      <c r="AH219">
        <v>307.102414045329</v>
      </c>
      <c r="AI219">
        <v>88.886125375951593</v>
      </c>
      <c r="AJ219">
        <v>87.7643575185255</v>
      </c>
      <c r="AK219">
        <v>307.39443240685102</v>
      </c>
      <c r="AL219">
        <v>85.750649221171798</v>
      </c>
      <c r="AM219">
        <v>96.684096952771199</v>
      </c>
      <c r="AN219">
        <v>0.99999999592559796</v>
      </c>
    </row>
    <row r="220" spans="1:40" x14ac:dyDescent="0.25">
      <c r="A220" t="str">
        <f>"20190304154731621"</f>
        <v>20190304154731621</v>
      </c>
      <c r="B220" t="str">
        <f>"1551685651617673"</f>
        <v>1551685651617673</v>
      </c>
      <c r="C220" t="s">
        <v>40</v>
      </c>
      <c r="D220">
        <v>4.1071530000000003</v>
      </c>
      <c r="E220">
        <v>0.55609629999999999</v>
      </c>
      <c r="F220" t="s">
        <v>43</v>
      </c>
      <c r="G220">
        <v>-158.78319999999999</v>
      </c>
      <c r="H220">
        <v>6.2461289999999998</v>
      </c>
      <c r="I220">
        <v>351.31560000000002</v>
      </c>
      <c r="J220">
        <v>-466.24099999999999</v>
      </c>
      <c r="K220">
        <v>1.1096299999999999</v>
      </c>
      <c r="L220">
        <v>367.07339999999999</v>
      </c>
      <c r="M220">
        <v>0.99987440000000005</v>
      </c>
      <c r="N220">
        <v>-4.1093129999999999E-3</v>
      </c>
      <c r="O220">
        <v>-1.531362E-2</v>
      </c>
      <c r="P220">
        <v>0.99237759999999997</v>
      </c>
      <c r="Q220">
        <v>6.9985939999999996E-2</v>
      </c>
      <c r="R220">
        <v>0.1014327</v>
      </c>
      <c r="S220">
        <v>3.035126</v>
      </c>
      <c r="T220">
        <v>5.0688980000000002E-2</v>
      </c>
      <c r="U220">
        <v>-0.15551760000000001</v>
      </c>
      <c r="V220">
        <v>-0.1166219</v>
      </c>
      <c r="W220">
        <v>7.4050130000000006E-2</v>
      </c>
      <c r="X220">
        <v>0.99041199999999996</v>
      </c>
      <c r="Y220">
        <v>3.5871979999999998E-2</v>
      </c>
      <c r="Z220" s="1">
        <v>-9.2850649999999998E-5</v>
      </c>
      <c r="AA220">
        <v>0.99935640000000003</v>
      </c>
      <c r="AB220">
        <v>14</v>
      </c>
      <c r="AC220">
        <v>307.45780000000002</v>
      </c>
      <c r="AD220">
        <v>5.1364989999999997</v>
      </c>
      <c r="AE220">
        <v>-15.7577999999999</v>
      </c>
      <c r="AF220">
        <v>11.044546545324501</v>
      </c>
      <c r="AG220">
        <v>5.1364989999999997</v>
      </c>
      <c r="AH220">
        <v>307.57743710238202</v>
      </c>
      <c r="AI220">
        <v>89.043873749818403</v>
      </c>
      <c r="AJ220">
        <v>87.943496309719805</v>
      </c>
      <c r="AK220">
        <v>307.818526805712</v>
      </c>
      <c r="AL220">
        <v>85.753353046301797</v>
      </c>
      <c r="AM220">
        <v>96.715704924737196</v>
      </c>
      <c r="AN220">
        <v>1.0000000095283099</v>
      </c>
    </row>
    <row r="221" spans="1:40" x14ac:dyDescent="0.25">
      <c r="A221" t="str">
        <f>"20190304154731643"</f>
        <v>20190304154731643</v>
      </c>
      <c r="B221" t="str">
        <f>"1551685651637193"</f>
        <v>1551685651637193</v>
      </c>
      <c r="C221" t="s">
        <v>40</v>
      </c>
      <c r="D221">
        <v>4.1189710000000002</v>
      </c>
      <c r="E221">
        <v>0.55521509999999996</v>
      </c>
      <c r="F221" t="s">
        <v>43</v>
      </c>
      <c r="G221">
        <v>-158.78319999999999</v>
      </c>
      <c r="H221">
        <v>5.4431919999999998</v>
      </c>
      <c r="I221">
        <v>352.36009999999999</v>
      </c>
      <c r="J221">
        <v>-466.0992</v>
      </c>
      <c r="K221">
        <v>1.1096200000000001</v>
      </c>
      <c r="L221">
        <v>367.07139999999998</v>
      </c>
      <c r="M221">
        <v>0.99987579999999998</v>
      </c>
      <c r="N221">
        <v>-4.0928120000000004E-3</v>
      </c>
      <c r="O221">
        <v>-1.5224420000000001E-2</v>
      </c>
      <c r="P221">
        <v>0.99235030000000002</v>
      </c>
      <c r="Q221">
        <v>6.9993189999999997E-2</v>
      </c>
      <c r="R221">
        <v>0.10169599999999999</v>
      </c>
      <c r="S221">
        <v>3.0348820000000001</v>
      </c>
      <c r="T221">
        <v>4.2776939999999999E-2</v>
      </c>
      <c r="U221">
        <v>-0.14523320000000001</v>
      </c>
      <c r="V221">
        <v>-0.1167967</v>
      </c>
      <c r="W221">
        <v>7.4041079999999995E-2</v>
      </c>
      <c r="X221">
        <v>0.9903921</v>
      </c>
      <c r="Y221">
        <v>3.2587480000000002E-2</v>
      </c>
      <c r="Z221">
        <v>-1.139182E-4</v>
      </c>
      <c r="AA221">
        <v>0.99946889999999999</v>
      </c>
      <c r="AB221">
        <v>14</v>
      </c>
      <c r="AC221">
        <v>307.31599999999997</v>
      </c>
      <c r="AD221">
        <v>4.3335720000000002</v>
      </c>
      <c r="AE221">
        <v>-14.7112999999999</v>
      </c>
      <c r="AF221">
        <v>10.028858603116699</v>
      </c>
      <c r="AG221">
        <v>4.3335720000000002</v>
      </c>
      <c r="AH221">
        <v>307.44336011808298</v>
      </c>
      <c r="AI221">
        <v>89.192869305964805</v>
      </c>
      <c r="AJ221">
        <v>88.131663695677005</v>
      </c>
      <c r="AK221">
        <v>307.63741243850302</v>
      </c>
      <c r="AL221">
        <v>85.753873092641697</v>
      </c>
      <c r="AM221">
        <v>96.725812588387001</v>
      </c>
      <c r="AN221">
        <v>1.00000003120043</v>
      </c>
    </row>
    <row r="222" spans="1:40" x14ac:dyDescent="0.25">
      <c r="A222" t="str">
        <f>"20190304154731654"</f>
        <v>20190304154731654</v>
      </c>
      <c r="B222" t="str">
        <f>"1551685651646953"</f>
        <v>1551685651646953</v>
      </c>
      <c r="C222" t="s">
        <v>40</v>
      </c>
      <c r="D222">
        <v>4.1333019999999996</v>
      </c>
      <c r="E222">
        <v>0.55484929999999999</v>
      </c>
      <c r="F222" t="s">
        <v>43</v>
      </c>
      <c r="G222">
        <v>-158.78319999999999</v>
      </c>
      <c r="H222">
        <v>4.7457219999999998</v>
      </c>
      <c r="I222">
        <v>353.13940000000002</v>
      </c>
      <c r="J222">
        <v>-466.01749999999998</v>
      </c>
      <c r="K222">
        <v>1.109623</v>
      </c>
      <c r="L222">
        <v>367.0702</v>
      </c>
      <c r="M222">
        <v>0.9998766</v>
      </c>
      <c r="N222">
        <v>-4.0839650000000002E-3</v>
      </c>
      <c r="O222">
        <v>-1.517338E-2</v>
      </c>
      <c r="P222">
        <v>0.99233680000000002</v>
      </c>
      <c r="Q222">
        <v>7.0009779999999994E-2</v>
      </c>
      <c r="R222">
        <v>0.1018158</v>
      </c>
      <c r="S222">
        <v>3.034637</v>
      </c>
      <c r="T222">
        <v>3.590608E-2</v>
      </c>
      <c r="U222">
        <v>-0.13757320000000001</v>
      </c>
      <c r="V222">
        <v>-0.1168656</v>
      </c>
      <c r="W222">
        <v>7.404869E-2</v>
      </c>
      <c r="X222">
        <v>0.99038340000000002</v>
      </c>
      <c r="Y222">
        <v>3.0125200000000001E-2</v>
      </c>
      <c r="Z222">
        <v>-1.247779E-4</v>
      </c>
      <c r="AA222">
        <v>0.99954609999999999</v>
      </c>
      <c r="AB222">
        <v>15</v>
      </c>
      <c r="AC222">
        <v>307.23430000000002</v>
      </c>
      <c r="AD222">
        <v>3.6360990000000002</v>
      </c>
      <c r="AE222">
        <v>-13.9307999999999</v>
      </c>
      <c r="AF222">
        <v>9.2660796618553007</v>
      </c>
      <c r="AG222">
        <v>3.6360990000000002</v>
      </c>
      <c r="AH222">
        <v>307.36734563717403</v>
      </c>
      <c r="AI222">
        <v>89.322540857599193</v>
      </c>
      <c r="AJ222">
        <v>88.273250168376094</v>
      </c>
      <c r="AK222">
        <v>307.52848097741997</v>
      </c>
      <c r="AL222">
        <v>85.753435857839094</v>
      </c>
      <c r="AM222">
        <v>96.729802433393701</v>
      </c>
      <c r="AN222">
        <v>1.00000002797481</v>
      </c>
    </row>
    <row r="223" spans="1:40" x14ac:dyDescent="0.25">
      <c r="A223" t="str">
        <f>"20190304154731666"</f>
        <v>20190304154731666</v>
      </c>
      <c r="B223" t="str">
        <f>"1551685651656713"</f>
        <v>1551685651656713</v>
      </c>
      <c r="C223" t="s">
        <v>40</v>
      </c>
      <c r="D223">
        <v>4.3707019999999996</v>
      </c>
      <c r="E223">
        <v>0.55470830000000004</v>
      </c>
      <c r="F223" t="s">
        <v>43</v>
      </c>
      <c r="G223">
        <v>-169.2955</v>
      </c>
      <c r="H223">
        <v>4.31745</v>
      </c>
      <c r="I223">
        <v>353.95530000000002</v>
      </c>
      <c r="J223">
        <v>-465.9359</v>
      </c>
      <c r="K223">
        <v>1.109623</v>
      </c>
      <c r="L223">
        <v>367.06900000000002</v>
      </c>
      <c r="M223">
        <v>0.99987740000000003</v>
      </c>
      <c r="N223">
        <v>-4.0757160000000001E-3</v>
      </c>
      <c r="O223">
        <v>-1.512293E-2</v>
      </c>
      <c r="P223">
        <v>0.99231610000000003</v>
      </c>
      <c r="Q223">
        <v>7.0009699999999994E-2</v>
      </c>
      <c r="R223">
        <v>0.1020175</v>
      </c>
      <c r="S223">
        <v>3.0345460000000002</v>
      </c>
      <c r="T223">
        <v>3.2806990000000001E-2</v>
      </c>
      <c r="U223">
        <v>-0.13412479999999999</v>
      </c>
      <c r="V223">
        <v>-0.1170168</v>
      </c>
      <c r="W223">
        <v>7.4040140000000004E-2</v>
      </c>
      <c r="X223">
        <v>0.99036619999999997</v>
      </c>
      <c r="Y223">
        <v>2.904344E-2</v>
      </c>
      <c r="Z223">
        <v>-1.273061E-4</v>
      </c>
      <c r="AA223">
        <v>0.99957810000000002</v>
      </c>
      <c r="AB223">
        <v>15</v>
      </c>
      <c r="AC223">
        <v>296.6404</v>
      </c>
      <c r="AD223">
        <v>3.207827</v>
      </c>
      <c r="AE223">
        <v>-13.1136999999999</v>
      </c>
      <c r="AF223">
        <v>8.6250846978142199</v>
      </c>
      <c r="AG223">
        <v>3.207827</v>
      </c>
      <c r="AH223">
        <v>296.770158958168</v>
      </c>
      <c r="AI223">
        <v>89.380967995834695</v>
      </c>
      <c r="AJ223">
        <v>88.3352710270877</v>
      </c>
      <c r="AK223">
        <v>296.91279778440497</v>
      </c>
      <c r="AL223">
        <v>85.753927144668694</v>
      </c>
      <c r="AM223">
        <v>96.738545348167406</v>
      </c>
      <c r="AN223">
        <v>1.00000004195794</v>
      </c>
    </row>
    <row r="224" spans="1:40" x14ac:dyDescent="0.25">
      <c r="A224" t="str">
        <f>"20190304154731679"</f>
        <v>20190304154731679</v>
      </c>
      <c r="B224" t="str">
        <f>"1551685651676740"</f>
        <v>1551685651676740</v>
      </c>
      <c r="C224" t="s">
        <v>40</v>
      </c>
      <c r="D224">
        <v>4.1181760000000001</v>
      </c>
      <c r="E224">
        <v>0.5449349</v>
      </c>
      <c r="F224" t="s">
        <v>43</v>
      </c>
      <c r="G224">
        <v>-169.2955</v>
      </c>
      <c r="H224">
        <v>4.1746780000000001</v>
      </c>
      <c r="I224">
        <v>354.11329999999998</v>
      </c>
      <c r="J224">
        <v>-465.85770000000002</v>
      </c>
      <c r="K224">
        <v>1.109623</v>
      </c>
      <c r="L224">
        <v>367.06790000000001</v>
      </c>
      <c r="M224">
        <v>0.99987820000000005</v>
      </c>
      <c r="N224">
        <v>-4.0683270000000001E-3</v>
      </c>
      <c r="O224">
        <v>-1.5074519999999999E-2</v>
      </c>
      <c r="P224">
        <v>0.99230649999999998</v>
      </c>
      <c r="Q224">
        <v>7.0372699999999996E-2</v>
      </c>
      <c r="R224">
        <v>0.1018613</v>
      </c>
      <c r="S224">
        <v>3.034637</v>
      </c>
      <c r="T224">
        <v>3.1356450000000001E-2</v>
      </c>
      <c r="U224">
        <v>-0.13253779999999901</v>
      </c>
      <c r="V224">
        <v>-0.116813</v>
      </c>
      <c r="W224">
        <v>7.4395829999999996E-2</v>
      </c>
      <c r="X224">
        <v>0.99036349999999995</v>
      </c>
      <c r="Y224">
        <v>2.8568820000000002E-2</v>
      </c>
      <c r="Z224">
        <v>-1.2758879999999999E-4</v>
      </c>
      <c r="AA224">
        <v>0.99959180000000003</v>
      </c>
      <c r="AB224">
        <v>15</v>
      </c>
      <c r="AC224">
        <v>296.56220000000002</v>
      </c>
      <c r="AD224">
        <v>3.0650550000000001</v>
      </c>
      <c r="AE224">
        <v>-12.954599999999999</v>
      </c>
      <c r="AF224">
        <v>8.4816543654490797</v>
      </c>
      <c r="AG224">
        <v>3.0650550000000001</v>
      </c>
      <c r="AH224">
        <v>296.69215619777799</v>
      </c>
      <c r="AI224">
        <v>89.408353888842598</v>
      </c>
      <c r="AJ224">
        <v>88.362509184894606</v>
      </c>
      <c r="AK224">
        <v>296.829190903143</v>
      </c>
      <c r="AL224">
        <v>85.733490809509505</v>
      </c>
      <c r="AM224">
        <v>96.726935109912404</v>
      </c>
      <c r="AN224">
        <v>0.99999993931131703</v>
      </c>
    </row>
    <row r="225" spans="1:40" x14ac:dyDescent="0.25">
      <c r="A225" t="str">
        <f>"20190304154731690"</f>
        <v>20190304154731690</v>
      </c>
      <c r="B225" t="str">
        <f>"1551685651687476"</f>
        <v>1551685651687476</v>
      </c>
      <c r="C225" t="s">
        <v>40</v>
      </c>
      <c r="D225">
        <v>4.1229060000000004</v>
      </c>
      <c r="E225">
        <v>0.54540509999999998</v>
      </c>
      <c r="F225" t="s">
        <v>44</v>
      </c>
      <c r="G225">
        <v>-396.27100000000002</v>
      </c>
      <c r="H225" s="1">
        <v>-2.2826629999999998E-6</v>
      </c>
      <c r="I225">
        <v>365.75420000000003</v>
      </c>
      <c r="J225">
        <v>-465.77820000000003</v>
      </c>
      <c r="K225">
        <v>1.1096220000000001</v>
      </c>
      <c r="L225">
        <v>367.06670000000003</v>
      </c>
      <c r="M225">
        <v>0.99987890000000001</v>
      </c>
      <c r="N225">
        <v>-4.0610940000000003E-3</v>
      </c>
      <c r="O225">
        <v>-1.502527E-2</v>
      </c>
      <c r="P225">
        <v>0.99229690000000004</v>
      </c>
      <c r="Q225">
        <v>7.0524680000000006E-2</v>
      </c>
      <c r="R225">
        <v>0.101851</v>
      </c>
      <c r="S225">
        <v>3.032562</v>
      </c>
      <c r="T225">
        <v>-4.8357009999999999E-2</v>
      </c>
      <c r="U225">
        <v>-5.725098E-2</v>
      </c>
      <c r="V225">
        <v>-0.1167537</v>
      </c>
      <c r="W225">
        <v>7.4540399999999896E-2</v>
      </c>
      <c r="X225">
        <v>0.99035969999999995</v>
      </c>
      <c r="Y225">
        <v>3.8509849999999999E-3</v>
      </c>
      <c r="Z225">
        <v>1.4000509999999999E-4</v>
      </c>
      <c r="AA225">
        <v>0.99999249999999995</v>
      </c>
      <c r="AB225">
        <v>15</v>
      </c>
      <c r="AC225">
        <v>69.507199999999997</v>
      </c>
      <c r="AD225">
        <v>-1.1096242826629901</v>
      </c>
      <c r="AE225">
        <v>-1.3125</v>
      </c>
      <c r="AF225">
        <v>0.267910556429373</v>
      </c>
      <c r="AG225">
        <v>-1.1096242826629901</v>
      </c>
      <c r="AH225">
        <v>69.501367904901002</v>
      </c>
      <c r="AI225">
        <v>90.914671421761298</v>
      </c>
      <c r="AJ225">
        <v>89.779140057182204</v>
      </c>
      <c r="AK225">
        <v>69.510741491997706</v>
      </c>
      <c r="AL225">
        <v>85.725184825550897</v>
      </c>
      <c r="AM225">
        <v>96.723577022087298</v>
      </c>
      <c r="AN225">
        <v>1.0000000165399601</v>
      </c>
    </row>
    <row r="226" spans="1:40" x14ac:dyDescent="0.25">
      <c r="A226" t="str">
        <f>"20190304154731710"</f>
        <v>20190304154731710</v>
      </c>
      <c r="B226" t="str">
        <f>"1551685651706996"</f>
        <v>1551685651706996</v>
      </c>
      <c r="C226" t="s">
        <v>40</v>
      </c>
      <c r="D226">
        <v>4.1479749999999997</v>
      </c>
      <c r="E226">
        <v>0.54547299999999999</v>
      </c>
      <c r="F226" t="s">
        <v>44</v>
      </c>
      <c r="G226">
        <v>-396.56130000000002</v>
      </c>
      <c r="H226" s="1">
        <v>-2.2045210000000002E-6</v>
      </c>
      <c r="I226">
        <v>365.67660000000001</v>
      </c>
      <c r="J226">
        <v>-465.65030000000002</v>
      </c>
      <c r="K226">
        <v>1.1096189999999999</v>
      </c>
      <c r="L226">
        <v>367.06490000000002</v>
      </c>
      <c r="M226">
        <v>0.99988010000000005</v>
      </c>
      <c r="N226">
        <v>-4.0504850000000004E-3</v>
      </c>
      <c r="O226">
        <v>-1.4945490000000001E-2</v>
      </c>
      <c r="P226">
        <v>0.99230529999999995</v>
      </c>
      <c r="Q226">
        <v>7.0956889999999995E-2</v>
      </c>
      <c r="R226">
        <v>0.10146479999999999</v>
      </c>
      <c r="S226">
        <v>3.0329899999999999</v>
      </c>
      <c r="T226">
        <v>-4.862213E-2</v>
      </c>
      <c r="U226">
        <v>-6.0913090000000003E-2</v>
      </c>
      <c r="V226">
        <v>-0.116289</v>
      </c>
      <c r="W226">
        <v>7.4962150000000005E-2</v>
      </c>
      <c r="X226">
        <v>0.99038250000000005</v>
      </c>
      <c r="Y226">
        <v>5.1348660000000001E-3</v>
      </c>
      <c r="Z226">
        <v>1.2745240000000001E-4</v>
      </c>
      <c r="AA226">
        <v>0.99998679999999995</v>
      </c>
      <c r="AB226">
        <v>15</v>
      </c>
      <c r="AC226">
        <v>69.088999999999999</v>
      </c>
      <c r="AD226">
        <v>-1.1096212045209899</v>
      </c>
      <c r="AE226">
        <v>-1.3883000000000101</v>
      </c>
      <c r="AF226">
        <v>0.35547584590548897</v>
      </c>
      <c r="AG226">
        <v>-1.1096212045209899</v>
      </c>
      <c r="AH226">
        <v>69.0842193881318</v>
      </c>
      <c r="AI226">
        <v>90.920185602968303</v>
      </c>
      <c r="AJ226">
        <v>89.705184684427493</v>
      </c>
      <c r="AK226">
        <v>69.0940445390344</v>
      </c>
      <c r="AL226">
        <v>85.700952358759594</v>
      </c>
      <c r="AM226">
        <v>96.6969068002537</v>
      </c>
      <c r="AN226">
        <v>0.99999997587993605</v>
      </c>
    </row>
    <row r="227" spans="1:40" x14ac:dyDescent="0.25">
      <c r="A227" t="str">
        <f>"20190304154731725"</f>
        <v>20190304154731725</v>
      </c>
      <c r="B227" t="str">
        <f>"1551685651716756"</f>
        <v>1551685651716756</v>
      </c>
      <c r="C227" t="s">
        <v>40</v>
      </c>
      <c r="D227">
        <v>4.1346590000000001</v>
      </c>
      <c r="E227">
        <v>0.54487509999999995</v>
      </c>
      <c r="F227" t="s">
        <v>44</v>
      </c>
      <c r="G227">
        <v>-382.65199999999999</v>
      </c>
      <c r="H227" s="1">
        <v>-3.8904419999999999E-6</v>
      </c>
      <c r="I227">
        <v>365.35509999999999</v>
      </c>
      <c r="J227">
        <v>-465.55259999999998</v>
      </c>
      <c r="K227">
        <v>1.1096170000000001</v>
      </c>
      <c r="L227">
        <v>367.06349999999998</v>
      </c>
      <c r="M227">
        <v>0.99988109999999997</v>
      </c>
      <c r="N227">
        <v>-4.0433409999999998E-3</v>
      </c>
      <c r="O227">
        <v>-1.4884919999999999E-2</v>
      </c>
      <c r="P227">
        <v>0.9922725</v>
      </c>
      <c r="Q227">
        <v>7.1397820000000001E-2</v>
      </c>
      <c r="R227">
        <v>0.10147920000000001</v>
      </c>
      <c r="S227">
        <v>3.032562</v>
      </c>
      <c r="T227">
        <v>-4.0542960000000003E-2</v>
      </c>
      <c r="U227">
        <v>-6.2469480000000001E-2</v>
      </c>
      <c r="V227">
        <v>-0.1162427</v>
      </c>
      <c r="W227">
        <v>7.5395340000000005E-2</v>
      </c>
      <c r="X227">
        <v>0.99035510000000004</v>
      </c>
      <c r="Y227">
        <v>5.7110199999999998E-3</v>
      </c>
      <c r="Z227" s="1">
        <v>8.90578E-5</v>
      </c>
      <c r="AA227">
        <v>0.99998370000000003</v>
      </c>
      <c r="AB227">
        <v>15</v>
      </c>
      <c r="AC227">
        <v>82.900599999999997</v>
      </c>
      <c r="AD227">
        <v>-1.109620890442</v>
      </c>
      <c r="AE227">
        <v>-1.7083999999999799</v>
      </c>
      <c r="AF227">
        <v>0.47414700879560001</v>
      </c>
      <c r="AG227">
        <v>-1.109620890442</v>
      </c>
      <c r="AH227">
        <v>82.901999009795503</v>
      </c>
      <c r="AI227">
        <v>90.766830219116798</v>
      </c>
      <c r="AJ227">
        <v>89.672307946904297</v>
      </c>
      <c r="AK227">
        <v>82.910780443357197</v>
      </c>
      <c r="AL227">
        <v>85.676062166879404</v>
      </c>
      <c r="AM227">
        <v>96.694448185697695</v>
      </c>
      <c r="AN227">
        <v>1.0000000233465001</v>
      </c>
    </row>
    <row r="228" spans="1:40" x14ac:dyDescent="0.25">
      <c r="A228" t="str">
        <f>"20190304154731739"</f>
        <v>20190304154731739</v>
      </c>
      <c r="B228" t="str">
        <f>"1551685651727492"</f>
        <v>1551685651727492</v>
      </c>
      <c r="C228" t="s">
        <v>40</v>
      </c>
      <c r="D228">
        <v>4.1151169999999997</v>
      </c>
      <c r="E228">
        <v>0.54510769999999997</v>
      </c>
      <c r="F228" t="s">
        <v>44</v>
      </c>
      <c r="G228">
        <v>-387.92540000000002</v>
      </c>
      <c r="H228" s="1">
        <v>-1.766034E-6</v>
      </c>
      <c r="I228">
        <v>365.57990000000001</v>
      </c>
      <c r="J228">
        <v>-465.45920000000001</v>
      </c>
      <c r="K228">
        <v>1.109615</v>
      </c>
      <c r="L228">
        <v>367.06220000000002</v>
      </c>
      <c r="M228">
        <v>0.99988200000000005</v>
      </c>
      <c r="N228">
        <v>-4.037049E-3</v>
      </c>
      <c r="O228">
        <v>-1.482661E-2</v>
      </c>
      <c r="P228">
        <v>0.99226590000000003</v>
      </c>
      <c r="Q228">
        <v>7.1591230000000006E-2</v>
      </c>
      <c r="R228">
        <v>0.10140730000000001</v>
      </c>
      <c r="S228">
        <v>3.03241</v>
      </c>
      <c r="T228">
        <v>-4.3345809999999999E-2</v>
      </c>
      <c r="U228">
        <v>-5.7952879999999998E-2</v>
      </c>
      <c r="V228">
        <v>-0.1161131</v>
      </c>
      <c r="W228">
        <v>7.5583150000000002E-2</v>
      </c>
      <c r="X228">
        <v>0.99035600000000001</v>
      </c>
      <c r="Y228">
        <v>4.2817699999999998E-3</v>
      </c>
      <c r="Z228">
        <v>1.127966E-4</v>
      </c>
      <c r="AA228">
        <v>0.99999079999999996</v>
      </c>
      <c r="AB228">
        <v>15</v>
      </c>
      <c r="AC228">
        <v>77.5337999999999</v>
      </c>
      <c r="AD228">
        <v>-1.1096167660339999</v>
      </c>
      <c r="AE228">
        <v>-1.4823</v>
      </c>
      <c r="AF228">
        <v>0.33249628525494801</v>
      </c>
      <c r="AG228">
        <v>-1.1096167660339999</v>
      </c>
      <c r="AH228">
        <v>77.531381125781905</v>
      </c>
      <c r="AI228">
        <v>90.819944542696007</v>
      </c>
      <c r="AJ228">
        <v>89.754286370457095</v>
      </c>
      <c r="AK228">
        <v>77.540033933565098</v>
      </c>
      <c r="AL228">
        <v>85.665270707852997</v>
      </c>
      <c r="AM228">
        <v>96.687046095608096</v>
      </c>
      <c r="AN228">
        <v>1.0000000356457599</v>
      </c>
    </row>
    <row r="229" spans="1:40" x14ac:dyDescent="0.25">
      <c r="A229" t="str">
        <f>"20190304154731756"</f>
        <v>20190304154731756</v>
      </c>
      <c r="B229" t="str">
        <f>"1551685651747011"</f>
        <v>1551685651747011</v>
      </c>
      <c r="C229" t="s">
        <v>40</v>
      </c>
      <c r="D229">
        <v>4.142048</v>
      </c>
      <c r="E229">
        <v>0.54488939999999997</v>
      </c>
      <c r="F229" t="s">
        <v>44</v>
      </c>
      <c r="G229">
        <v>-387.13029999999998</v>
      </c>
      <c r="H229" s="1">
        <v>-2.0530800000000002E-6</v>
      </c>
      <c r="I229">
        <v>365.51799999999997</v>
      </c>
      <c r="J229">
        <v>-465.33929999999998</v>
      </c>
      <c r="K229">
        <v>1.1096140000000001</v>
      </c>
      <c r="L229">
        <v>367.06049999999999</v>
      </c>
      <c r="M229">
        <v>0.99988299999999997</v>
      </c>
      <c r="N229">
        <v>-4.029815E-3</v>
      </c>
      <c r="O229">
        <v>-1.475126E-2</v>
      </c>
      <c r="P229">
        <v>0.99224920000000005</v>
      </c>
      <c r="Q229">
        <v>7.2132160000000001E-2</v>
      </c>
      <c r="R229">
        <v>0.10118480000000001</v>
      </c>
      <c r="S229">
        <v>3.0325929999999999</v>
      </c>
      <c r="T229">
        <v>-4.296005E-2</v>
      </c>
      <c r="U229">
        <v>-5.9783940000000001E-2</v>
      </c>
      <c r="V229">
        <v>-0.1158156</v>
      </c>
      <c r="W229">
        <v>7.6116600000000006E-2</v>
      </c>
      <c r="X229">
        <v>0.99034990000000001</v>
      </c>
      <c r="Y229">
        <v>4.9594359999999898E-3</v>
      </c>
      <c r="Z229">
        <v>1.043657E-4</v>
      </c>
      <c r="AA229">
        <v>0.99998770000000003</v>
      </c>
      <c r="AB229">
        <v>15</v>
      </c>
      <c r="AC229">
        <v>78.209000000000003</v>
      </c>
      <c r="AD229">
        <v>-1.1096160530800001</v>
      </c>
      <c r="AE229">
        <v>-1.54249999999996</v>
      </c>
      <c r="AF229">
        <v>0.38856323319202901</v>
      </c>
      <c r="AG229">
        <v>-1.1096160530800001</v>
      </c>
      <c r="AH229">
        <v>78.207507653263093</v>
      </c>
      <c r="AI229">
        <v>90.812853760718497</v>
      </c>
      <c r="AJ229">
        <v>89.715336150943301</v>
      </c>
      <c r="AK229">
        <v>78.216344088091006</v>
      </c>
      <c r="AL229">
        <v>85.634617629046801</v>
      </c>
      <c r="AM229">
        <v>96.670108120771502</v>
      </c>
      <c r="AN229">
        <v>0.999999957214464</v>
      </c>
    </row>
    <row r="230" spans="1:40" x14ac:dyDescent="0.25">
      <c r="A230" t="str">
        <f>"20190304154731768"</f>
        <v>20190304154731768</v>
      </c>
      <c r="B230" t="str">
        <f>"1551685651756772"</f>
        <v>1551685651756772</v>
      </c>
      <c r="C230" t="s">
        <v>40</v>
      </c>
      <c r="D230">
        <v>3.9773999999999998</v>
      </c>
      <c r="E230">
        <v>0.54488939999999997</v>
      </c>
      <c r="F230" t="s">
        <v>44</v>
      </c>
      <c r="G230">
        <v>-388.56389999999999</v>
      </c>
      <c r="H230" s="1">
        <v>-1.552363E-6</v>
      </c>
      <c r="I230">
        <v>365.56630000000001</v>
      </c>
      <c r="J230">
        <v>-465.24619999999999</v>
      </c>
      <c r="K230">
        <v>1.1096159999999999</v>
      </c>
      <c r="L230">
        <v>367.05919999999998</v>
      </c>
      <c r="M230">
        <v>0.99988390000000005</v>
      </c>
      <c r="N230">
        <v>-4.0248509999999899E-3</v>
      </c>
      <c r="O230">
        <v>-1.469295E-2</v>
      </c>
      <c r="P230">
        <v>0.99223910000000004</v>
      </c>
      <c r="Q230">
        <v>7.2291010000000003E-2</v>
      </c>
      <c r="R230">
        <v>0.10117080000000001</v>
      </c>
      <c r="S230">
        <v>3.032654</v>
      </c>
      <c r="T230">
        <v>-4.383016E-2</v>
      </c>
      <c r="U230">
        <v>-5.9020999999999997E-2</v>
      </c>
      <c r="V230">
        <v>-0.1157434</v>
      </c>
      <c r="W230">
        <v>7.6270180000000007E-2</v>
      </c>
      <c r="X230">
        <v>0.99034659999999997</v>
      </c>
      <c r="Y230">
        <v>4.7659209999999898E-3</v>
      </c>
      <c r="Z230">
        <v>1.091479E-4</v>
      </c>
      <c r="AA230">
        <v>0.99998860000000001</v>
      </c>
      <c r="AB230">
        <v>15</v>
      </c>
      <c r="AC230">
        <v>76.682299999999998</v>
      </c>
      <c r="AD230">
        <v>-1.1096175523630001</v>
      </c>
      <c r="AE230">
        <v>-1.4928999999999599</v>
      </c>
      <c r="AF230">
        <v>0.36596385823564098</v>
      </c>
      <c r="AG230">
        <v>-1.1096175523630001</v>
      </c>
      <c r="AH230">
        <v>76.679907569430895</v>
      </c>
      <c r="AI230">
        <v>90.829046924943498</v>
      </c>
      <c r="AJ230">
        <v>89.726551244068105</v>
      </c>
      <c r="AK230">
        <v>76.688808867490707</v>
      </c>
      <c r="AL230">
        <v>85.625792814538102</v>
      </c>
      <c r="AM230">
        <v>96.666009388563793</v>
      </c>
      <c r="AN230">
        <v>1.0000000315661699</v>
      </c>
    </row>
    <row r="231" spans="1:40" x14ac:dyDescent="0.25">
      <c r="A231" t="str">
        <f>"20190304154731788"</f>
        <v>20190304154731788</v>
      </c>
      <c r="B231" t="str">
        <f>"1551685651776803"</f>
        <v>1551685651776803</v>
      </c>
      <c r="C231" t="s">
        <v>40</v>
      </c>
      <c r="D231">
        <v>4.1422410000000003</v>
      </c>
      <c r="E231">
        <v>0.5450528</v>
      </c>
      <c r="F231" t="s">
        <v>44</v>
      </c>
      <c r="G231">
        <v>-387.61630000000002</v>
      </c>
      <c r="H231" s="1">
        <v>-1.8796270000000001E-6</v>
      </c>
      <c r="I231">
        <v>365.54829999999998</v>
      </c>
      <c r="J231">
        <v>-465.1157</v>
      </c>
      <c r="K231">
        <v>1.1096140000000001</v>
      </c>
      <c r="L231">
        <v>367.0573</v>
      </c>
      <c r="M231">
        <v>0.99988520000000003</v>
      </c>
      <c r="N231">
        <v>-4.0189229999999998E-3</v>
      </c>
      <c r="O231">
        <v>-1.461164E-2</v>
      </c>
      <c r="P231">
        <v>0.99221930000000003</v>
      </c>
      <c r="Q231">
        <v>7.2509480000000001E-2</v>
      </c>
      <c r="R231">
        <v>0.1012093</v>
      </c>
      <c r="S231">
        <v>3.0326840000000002</v>
      </c>
      <c r="T231">
        <v>-4.3348190000000002E-2</v>
      </c>
      <c r="U231">
        <v>-5.9020999999999997E-2</v>
      </c>
      <c r="V231">
        <v>-0.1157014</v>
      </c>
      <c r="W231">
        <v>7.6482690000000006E-2</v>
      </c>
      <c r="X231">
        <v>0.99033510000000002</v>
      </c>
      <c r="Y231">
        <v>4.8470249999999996E-3</v>
      </c>
      <c r="Z231">
        <v>1.05714E-4</v>
      </c>
      <c r="AA231">
        <v>0.99998830000000005</v>
      </c>
      <c r="AB231">
        <v>15</v>
      </c>
      <c r="AC231">
        <v>77.499399999999895</v>
      </c>
      <c r="AD231">
        <v>-1.1096158796269999</v>
      </c>
      <c r="AE231">
        <v>-1.5090000000000101</v>
      </c>
      <c r="AF231">
        <v>0.37635933812628503</v>
      </c>
      <c r="AG231">
        <v>-1.1096158796269999</v>
      </c>
      <c r="AH231">
        <v>77.497294771638906</v>
      </c>
      <c r="AI231">
        <v>90.820302352354801</v>
      </c>
      <c r="AJ231">
        <v>89.721749872754998</v>
      </c>
      <c r="AK231">
        <v>77.506151953725606</v>
      </c>
      <c r="AL231">
        <v>85.613581138061605</v>
      </c>
      <c r="AM231">
        <v>96.663688923449698</v>
      </c>
      <c r="AN231">
        <v>1.0000000130618001</v>
      </c>
    </row>
    <row r="232" spans="1:40" x14ac:dyDescent="0.25">
      <c r="A232" t="str">
        <f>"20190304154731801"</f>
        <v>20190304154731801</v>
      </c>
      <c r="B232" t="str">
        <f>"1551685651797295"</f>
        <v>1551685651797295</v>
      </c>
      <c r="C232" t="s">
        <v>40</v>
      </c>
      <c r="D232">
        <v>4.1886679999999998</v>
      </c>
      <c r="E232">
        <v>0.54527040000000004</v>
      </c>
      <c r="F232" t="s">
        <v>44</v>
      </c>
      <c r="G232">
        <v>-385.1927</v>
      </c>
      <c r="H232" s="1">
        <v>-2.780157E-6</v>
      </c>
      <c r="I232">
        <v>365.46969999999999</v>
      </c>
      <c r="J232">
        <v>-465.02890000000002</v>
      </c>
      <c r="K232">
        <v>1.109613</v>
      </c>
      <c r="L232">
        <v>367.05619999999999</v>
      </c>
      <c r="M232">
        <v>0.99988600000000005</v>
      </c>
      <c r="N232">
        <v>-4.0156430000000002E-3</v>
      </c>
      <c r="O232">
        <v>-1.4557270000000001E-2</v>
      </c>
      <c r="P232">
        <v>0.99224330000000005</v>
      </c>
      <c r="Q232">
        <v>7.2314870000000003E-2</v>
      </c>
      <c r="R232">
        <v>0.10111390000000001</v>
      </c>
      <c r="S232">
        <v>3.0327449999999998</v>
      </c>
      <c r="T232">
        <v>-4.2105320000000002E-2</v>
      </c>
      <c r="U232">
        <v>-6.0241699999999898E-2</v>
      </c>
      <c r="V232">
        <v>-0.1155529</v>
      </c>
      <c r="W232">
        <v>7.6284920000000006E-2</v>
      </c>
      <c r="X232">
        <v>0.99036769999999996</v>
      </c>
      <c r="Y232">
        <v>5.3032660000000001E-3</v>
      </c>
      <c r="Z232" s="1">
        <v>9.6153060000000003E-5</v>
      </c>
      <c r="AA232">
        <v>0.99998589999999998</v>
      </c>
      <c r="AB232">
        <v>15</v>
      </c>
      <c r="AC232">
        <v>79.836200000000005</v>
      </c>
      <c r="AD232">
        <v>-1.1096157801569999</v>
      </c>
      <c r="AE232">
        <v>-1.5865</v>
      </c>
      <c r="AF232">
        <v>0.42404354703956199</v>
      </c>
      <c r="AG232">
        <v>-1.1096157801569999</v>
      </c>
      <c r="AH232">
        <v>79.835419573429206</v>
      </c>
      <c r="AI232">
        <v>90.796279539563699</v>
      </c>
      <c r="AJ232">
        <v>89.695677968095893</v>
      </c>
      <c r="AK232">
        <v>79.844256390643693</v>
      </c>
      <c r="AL232">
        <v>85.624945762824794</v>
      </c>
      <c r="AM232">
        <v>96.654995902142602</v>
      </c>
      <c r="AN232">
        <v>1.00000002146055</v>
      </c>
    </row>
    <row r="233" spans="1:40" x14ac:dyDescent="0.25">
      <c r="A233" t="str">
        <f>"20190304154731813"</f>
        <v>20190304154731813</v>
      </c>
      <c r="B233" t="str">
        <f>"1551685651807056"</f>
        <v>1551685651807056</v>
      </c>
      <c r="C233" t="s">
        <v>40</v>
      </c>
      <c r="D233">
        <v>4.6651179999999997</v>
      </c>
      <c r="E233">
        <v>0.54527040000000004</v>
      </c>
      <c r="F233" t="s">
        <v>44</v>
      </c>
      <c r="G233">
        <v>-391.18400000000003</v>
      </c>
      <c r="H233" s="1">
        <v>-4.48666999999999E-6</v>
      </c>
      <c r="I233">
        <v>365.54410000000001</v>
      </c>
      <c r="J233">
        <v>-464.93599999999998</v>
      </c>
      <c r="K233">
        <v>1.109613</v>
      </c>
      <c r="L233">
        <v>367.0548</v>
      </c>
      <c r="M233">
        <v>0.99988690000000002</v>
      </c>
      <c r="N233">
        <v>-4.012509E-3</v>
      </c>
      <c r="O233">
        <v>-1.449921E-2</v>
      </c>
      <c r="P233">
        <v>0.99221760000000003</v>
      </c>
      <c r="Q233">
        <v>7.2313459999999996E-2</v>
      </c>
      <c r="R233">
        <v>0.1013666</v>
      </c>
      <c r="S233">
        <v>3.0331419999999998</v>
      </c>
      <c r="T233">
        <v>-4.5576930000000002E-2</v>
      </c>
      <c r="U233">
        <v>-6.2103270000000002E-2</v>
      </c>
      <c r="V233">
        <v>-0.11574760000000001</v>
      </c>
      <c r="W233">
        <v>7.628016E-2</v>
      </c>
      <c r="X233">
        <v>0.99034529999999998</v>
      </c>
      <c r="Y233">
        <v>5.9721969999999899E-3</v>
      </c>
      <c r="Z233">
        <v>1.028003E-4</v>
      </c>
      <c r="AA233">
        <v>0.99998220000000004</v>
      </c>
      <c r="AB233">
        <v>16</v>
      </c>
      <c r="AC233">
        <v>73.751999999999896</v>
      </c>
      <c r="AD233">
        <v>-1.1096174866699999</v>
      </c>
      <c r="AE233">
        <v>-1.5106999999999799</v>
      </c>
      <c r="AF233">
        <v>0.44108712217724499</v>
      </c>
      <c r="AG233">
        <v>-1.1096174866699999</v>
      </c>
      <c r="AH233">
        <v>73.749464365654902</v>
      </c>
      <c r="AI233">
        <v>90.861978671674805</v>
      </c>
      <c r="AJ233">
        <v>89.657324573375803</v>
      </c>
      <c r="AK233">
        <v>73.759130302879001</v>
      </c>
      <c r="AL233">
        <v>85.625219156273502</v>
      </c>
      <c r="AM233">
        <v>96.666257773988704</v>
      </c>
      <c r="AN233">
        <v>0.99999999147373697</v>
      </c>
    </row>
    <row r="234" spans="1:40" x14ac:dyDescent="0.25">
      <c r="A234" t="str">
        <f>"20190304154731834"</f>
        <v>20190304154731834</v>
      </c>
      <c r="B234" t="str">
        <f>"1551685651827553"</f>
        <v>1551685651827553</v>
      </c>
      <c r="C234" t="s">
        <v>40</v>
      </c>
      <c r="D234">
        <v>4.1287849999999997</v>
      </c>
      <c r="E234">
        <v>0.55286190000000002</v>
      </c>
      <c r="F234" t="s">
        <v>44</v>
      </c>
      <c r="G234">
        <v>-391.18490000000003</v>
      </c>
      <c r="H234" s="1">
        <v>-4.4836940000000002E-6</v>
      </c>
      <c r="I234">
        <v>365.55880000000002</v>
      </c>
      <c r="J234">
        <v>-464.79360000000003</v>
      </c>
      <c r="K234">
        <v>1.109613</v>
      </c>
      <c r="L234">
        <v>367.05290000000002</v>
      </c>
      <c r="M234">
        <v>0.9998882</v>
      </c>
      <c r="N234">
        <v>-4.008915E-3</v>
      </c>
      <c r="O234">
        <v>-1.441014E-2</v>
      </c>
      <c r="P234">
        <v>0.99221289999999995</v>
      </c>
      <c r="Q234">
        <v>7.2459120000000002E-2</v>
      </c>
      <c r="R234">
        <v>0.10130790000000001</v>
      </c>
      <c r="S234">
        <v>3.033112</v>
      </c>
      <c r="T234">
        <v>-4.5634389999999997E-2</v>
      </c>
      <c r="U234">
        <v>-6.1523439999999999E-2</v>
      </c>
      <c r="V234">
        <v>-0.1156008</v>
      </c>
      <c r="W234">
        <v>7.6422320000000002E-2</v>
      </c>
      <c r="X234">
        <v>0.99035150000000005</v>
      </c>
      <c r="Y234">
        <v>5.8703990000000001E-3</v>
      </c>
      <c r="Z234">
        <v>1.030705E-4</v>
      </c>
      <c r="AA234">
        <v>0.99998279999999995</v>
      </c>
      <c r="AB234">
        <v>16</v>
      </c>
      <c r="AC234">
        <v>73.608699999999999</v>
      </c>
      <c r="AD234">
        <v>-1.109617483694</v>
      </c>
      <c r="AE234">
        <v>-1.4941</v>
      </c>
      <c r="AF234">
        <v>0.43312635532008897</v>
      </c>
      <c r="AG234">
        <v>-1.109617483694</v>
      </c>
      <c r="AH234">
        <v>73.605867897305203</v>
      </c>
      <c r="AI234">
        <v>90.863660529082793</v>
      </c>
      <c r="AJ234">
        <v>89.662852617061802</v>
      </c>
      <c r="AK234">
        <v>73.615505420497698</v>
      </c>
      <c r="AL234">
        <v>85.617050201016099</v>
      </c>
      <c r="AM234">
        <v>96.657837757279395</v>
      </c>
      <c r="AN234">
        <v>1.00000000475353</v>
      </c>
    </row>
    <row r="235" spans="1:40" x14ac:dyDescent="0.25">
      <c r="A235" t="str">
        <f>"20190304154731846"</f>
        <v>20190304154731846</v>
      </c>
      <c r="B235" t="str">
        <f>"1551685651837313"</f>
        <v>1551685651837313</v>
      </c>
      <c r="C235" t="s">
        <v>40</v>
      </c>
      <c r="D235">
        <v>4.1590600000000002</v>
      </c>
      <c r="E235">
        <v>0.55599639999999995</v>
      </c>
      <c r="F235" t="s">
        <v>44</v>
      </c>
      <c r="G235">
        <v>-270.16800000000001</v>
      </c>
      <c r="H235">
        <v>7.9986769999999999E-2</v>
      </c>
      <c r="I235">
        <v>359.27710000000002</v>
      </c>
      <c r="J235">
        <v>-464.70420000000001</v>
      </c>
      <c r="K235">
        <v>1.109612</v>
      </c>
      <c r="L235">
        <v>367.05160000000001</v>
      </c>
      <c r="M235">
        <v>0.99988909999999998</v>
      </c>
      <c r="N235">
        <v>-4.007353E-3</v>
      </c>
      <c r="O235">
        <v>-1.435411E-2</v>
      </c>
      <c r="P235">
        <v>0.99222460000000001</v>
      </c>
      <c r="Q235">
        <v>7.2364960000000006E-2</v>
      </c>
      <c r="R235">
        <v>0.1012615</v>
      </c>
      <c r="S235">
        <v>3.0370789999999999</v>
      </c>
      <c r="T235">
        <v>-1.606703E-2</v>
      </c>
      <c r="U235">
        <v>-0.121337899999999</v>
      </c>
      <c r="V235">
        <v>-0.1154988</v>
      </c>
      <c r="W235">
        <v>7.6325809999999994E-2</v>
      </c>
      <c r="X235">
        <v>0.99037090000000005</v>
      </c>
      <c r="Y235">
        <v>2.5572810000000001E-2</v>
      </c>
      <c r="Z235">
        <v>-1.0048280000000001E-4</v>
      </c>
      <c r="AA235">
        <v>0.99967289999999998</v>
      </c>
      <c r="AB235">
        <v>16</v>
      </c>
      <c r="AC235">
        <v>194.53620000000001</v>
      </c>
      <c r="AD235">
        <v>-1.0296252299999999</v>
      </c>
      <c r="AE235">
        <v>-7.7744999999999802</v>
      </c>
      <c r="AF235">
        <v>4.9811437014286897</v>
      </c>
      <c r="AG235">
        <v>-1.0296252299999999</v>
      </c>
      <c r="AH235">
        <v>194.62231115890401</v>
      </c>
      <c r="AI235">
        <v>90.303014170391506</v>
      </c>
      <c r="AJ235">
        <v>88.533897694048306</v>
      </c>
      <c r="AK235">
        <v>194.68876680877599</v>
      </c>
      <c r="AL235">
        <v>85.622596260592502</v>
      </c>
      <c r="AM235">
        <v>96.651886768805198</v>
      </c>
      <c r="AN235">
        <v>1.0000000608202</v>
      </c>
    </row>
    <row r="236" spans="1:40" x14ac:dyDescent="0.25">
      <c r="A236" t="str">
        <f>"20190304154731858"</f>
        <v>20190304154731858</v>
      </c>
      <c r="B236" t="str">
        <f>"1551685651847072"</f>
        <v>1551685651847072</v>
      </c>
      <c r="C236" t="s">
        <v>40</v>
      </c>
      <c r="D236">
        <v>4.2042630000000001</v>
      </c>
      <c r="E236">
        <v>0.55791480000000004</v>
      </c>
      <c r="F236" t="s">
        <v>43</v>
      </c>
      <c r="G236">
        <v>-158.78319999999999</v>
      </c>
      <c r="H236">
        <v>0.2358971</v>
      </c>
      <c r="I236">
        <v>352.358</v>
      </c>
      <c r="J236">
        <v>-464.61880000000002</v>
      </c>
      <c r="K236">
        <v>1.109613</v>
      </c>
      <c r="L236">
        <v>367.0505</v>
      </c>
      <c r="M236">
        <v>0.9998899</v>
      </c>
      <c r="N236">
        <v>-4.0062930000000002E-3</v>
      </c>
      <c r="O236">
        <v>-1.43007E-2</v>
      </c>
      <c r="P236">
        <v>0.99223090000000003</v>
      </c>
      <c r="Q236">
        <v>7.233291E-2</v>
      </c>
      <c r="R236">
        <v>0.1012227</v>
      </c>
      <c r="S236">
        <v>3.0390009999999998</v>
      </c>
      <c r="T236">
        <v>-8.6785549999999993E-3</v>
      </c>
      <c r="U236">
        <v>-0.1459656</v>
      </c>
      <c r="V236">
        <v>-0.11540739999999899</v>
      </c>
      <c r="W236">
        <v>7.6292990000000005E-2</v>
      </c>
      <c r="X236">
        <v>0.99038400000000004</v>
      </c>
      <c r="Y236">
        <v>3.3685890000000003E-2</v>
      </c>
      <c r="Z236">
        <v>-1.32044E-4</v>
      </c>
      <c r="AA236">
        <v>0.9994324</v>
      </c>
      <c r="AB236">
        <v>16</v>
      </c>
      <c r="AC236">
        <v>305.8356</v>
      </c>
      <c r="AD236">
        <v>-0.87371589999999999</v>
      </c>
      <c r="AE236">
        <v>-14.6924999999999</v>
      </c>
      <c r="AF236">
        <v>10.3172160587338</v>
      </c>
      <c r="AG236">
        <v>-0.87371589999999999</v>
      </c>
      <c r="AH236">
        <v>306.01194763620998</v>
      </c>
      <c r="AI236">
        <v>90.163495806266795</v>
      </c>
      <c r="AJ236">
        <v>88.068999880001101</v>
      </c>
      <c r="AK236">
        <v>306.18706769356402</v>
      </c>
      <c r="AL236">
        <v>85.624481843401995</v>
      </c>
      <c r="AM236">
        <v>96.646582784515104</v>
      </c>
      <c r="AN236">
        <v>0.99999997787694905</v>
      </c>
    </row>
    <row r="237" spans="1:40" x14ac:dyDescent="0.25">
      <c r="A237" t="str">
        <f>"20190304154731888"</f>
        <v>20190304154731888</v>
      </c>
      <c r="B237" t="str">
        <f>"1551685651876795"</f>
        <v>1551685651876795</v>
      </c>
      <c r="C237" t="s">
        <v>40</v>
      </c>
      <c r="D237">
        <v>4.0582279999999997</v>
      </c>
      <c r="E237">
        <v>0.56026940000000003</v>
      </c>
      <c r="F237" t="s">
        <v>45</v>
      </c>
      <c r="G237">
        <v>-121.2689</v>
      </c>
      <c r="H237">
        <v>-0.05</v>
      </c>
      <c r="I237">
        <v>348.82499999999999</v>
      </c>
      <c r="J237">
        <v>-464.40289999999999</v>
      </c>
      <c r="K237">
        <v>1.10961</v>
      </c>
      <c r="L237">
        <v>367.04750000000001</v>
      </c>
      <c r="M237">
        <v>0.99989189999999994</v>
      </c>
      <c r="N237">
        <v>-4.0054369999999997E-3</v>
      </c>
      <c r="O237">
        <v>-1.41648E-2</v>
      </c>
      <c r="P237">
        <v>0.99224699999999999</v>
      </c>
      <c r="Q237">
        <v>7.2143330000000006E-2</v>
      </c>
      <c r="R237">
        <v>0.1012006</v>
      </c>
      <c r="S237">
        <v>3.0407410000000001</v>
      </c>
      <c r="T237">
        <v>-1.026964E-2</v>
      </c>
      <c r="U237">
        <v>-0.16140750000000001</v>
      </c>
      <c r="V237">
        <v>-0.1152514</v>
      </c>
      <c r="W237">
        <v>7.6102349999999999E-2</v>
      </c>
      <c r="X237">
        <v>0.99041690000000004</v>
      </c>
      <c r="Y237">
        <v>3.88562E-2</v>
      </c>
      <c r="Z237">
        <v>-1.5234600000000001E-4</v>
      </c>
      <c r="AA237">
        <v>0.99924480000000004</v>
      </c>
      <c r="AB237">
        <v>16</v>
      </c>
      <c r="AC237">
        <v>343.13400000000001</v>
      </c>
      <c r="AD237">
        <v>-1.15961</v>
      </c>
      <c r="AE237">
        <v>-18.2225</v>
      </c>
      <c r="AF237">
        <v>13.360057365521399</v>
      </c>
      <c r="AG237">
        <v>-1.15961</v>
      </c>
      <c r="AH237">
        <v>343.35378399644497</v>
      </c>
      <c r="AI237">
        <v>90.193358193509596</v>
      </c>
      <c r="AJ237">
        <v>87.771718351927504</v>
      </c>
      <c r="AK237">
        <v>343.61556544027502</v>
      </c>
      <c r="AL237">
        <v>85.635436850020994</v>
      </c>
      <c r="AM237">
        <v>96.637460078411493</v>
      </c>
      <c r="AN237">
        <v>1.00000004434154</v>
      </c>
    </row>
    <row r="238" spans="1:40" x14ac:dyDescent="0.25">
      <c r="A238" t="str">
        <f>"20190304154731901"</f>
        <v>20190304154731901</v>
      </c>
      <c r="B238" t="str">
        <f>"1551685651897288"</f>
        <v>1551685651897288</v>
      </c>
      <c r="C238" t="s">
        <v>40</v>
      </c>
      <c r="D238">
        <v>4.2328159999999997</v>
      </c>
      <c r="E238">
        <v>0.56357800000000002</v>
      </c>
      <c r="F238" t="s">
        <v>42</v>
      </c>
      <c r="G238">
        <v>0</v>
      </c>
      <c r="H238">
        <v>0</v>
      </c>
      <c r="I238">
        <v>0</v>
      </c>
      <c r="J238">
        <v>-464.3141</v>
      </c>
      <c r="K238">
        <v>1.10961</v>
      </c>
      <c r="L238">
        <v>367.04629999999997</v>
      </c>
      <c r="M238">
        <v>0.99989260000000002</v>
      </c>
      <c r="N238">
        <v>-4.0059620000000001E-3</v>
      </c>
      <c r="O238">
        <v>-1.410901E-2</v>
      </c>
      <c r="P238">
        <v>0.99225660000000004</v>
      </c>
      <c r="Q238">
        <v>7.2019029999999998E-2</v>
      </c>
      <c r="R238">
        <v>0.1011954</v>
      </c>
      <c r="S238">
        <v>3.0422359999999999</v>
      </c>
      <c r="T238">
        <v>-5.8019159999999998E-3</v>
      </c>
      <c r="U238">
        <v>-0.18005370000000001</v>
      </c>
      <c r="V238">
        <v>-0.1151911</v>
      </c>
      <c r="W238">
        <v>7.5978729999999994E-2</v>
      </c>
      <c r="X238">
        <v>0.99043329999999996</v>
      </c>
      <c r="Y238">
        <v>4.4990700000000002E-2</v>
      </c>
      <c r="Z238">
        <v>-1.6265649999999999E-4</v>
      </c>
      <c r="AA238">
        <v>0.99898739999999997</v>
      </c>
      <c r="AB238">
        <v>16</v>
      </c>
      <c r="AC238">
        <v>3.0422359999999999</v>
      </c>
      <c r="AD238">
        <v>-5.8019159999999998E-3</v>
      </c>
      <c r="AE238">
        <v>-0.18005370000000001</v>
      </c>
      <c r="AF238">
        <v>0.137112005138256</v>
      </c>
      <c r="AG238">
        <v>-5.8019159999999998E-3</v>
      </c>
      <c r="AH238">
        <v>3.0444625451028502</v>
      </c>
      <c r="AI238">
        <v>90.109079444583998</v>
      </c>
      <c r="AJ238">
        <v>87.421339831520996</v>
      </c>
      <c r="AK238">
        <v>3.0475540278584701</v>
      </c>
      <c r="AL238">
        <v>85.642539862037395</v>
      </c>
      <c r="AM238">
        <v>96.633909425299393</v>
      </c>
      <c r="AN238">
        <v>0.999999939340254</v>
      </c>
    </row>
    <row r="239" spans="1:40" x14ac:dyDescent="0.25">
      <c r="A239" t="str">
        <f>"20190304154731913"</f>
        <v>20190304154731913</v>
      </c>
      <c r="B239" t="str">
        <f>"1551685651907048"</f>
        <v>1551685651907048</v>
      </c>
      <c r="C239" t="s">
        <v>40</v>
      </c>
      <c r="D239">
        <v>4.2017759999999997</v>
      </c>
      <c r="E239">
        <v>0.56475549999999997</v>
      </c>
      <c r="F239" t="s">
        <v>42</v>
      </c>
      <c r="G239">
        <v>0</v>
      </c>
      <c r="H239">
        <v>0</v>
      </c>
      <c r="I239">
        <v>0</v>
      </c>
      <c r="J239">
        <v>-464.22190000000001</v>
      </c>
      <c r="K239">
        <v>1.1096079999999999</v>
      </c>
      <c r="L239">
        <v>367.04509999999999</v>
      </c>
      <c r="M239">
        <v>0.99989340000000004</v>
      </c>
      <c r="N239">
        <v>-4.0068079999999997E-3</v>
      </c>
      <c r="O239">
        <v>-1.4051070000000001E-2</v>
      </c>
      <c r="P239">
        <v>0.99225739999999996</v>
      </c>
      <c r="Q239">
        <v>7.2178590000000001E-2</v>
      </c>
      <c r="R239">
        <v>0.1010735</v>
      </c>
      <c r="S239">
        <v>3.0448</v>
      </c>
      <c r="T239">
        <v>-4.4341090000000003E-3</v>
      </c>
      <c r="U239">
        <v>-0.20651249999999999</v>
      </c>
      <c r="V239">
        <v>-0.11501210000000001</v>
      </c>
      <c r="W239">
        <v>7.6138949999999997E-2</v>
      </c>
      <c r="X239">
        <v>0.99044189999999999</v>
      </c>
      <c r="Y239">
        <v>5.3643360000000001E-2</v>
      </c>
      <c r="Z239">
        <v>-1.8241629999999999E-4</v>
      </c>
      <c r="AA239">
        <v>0.99856009999999995</v>
      </c>
      <c r="AB239">
        <v>16</v>
      </c>
      <c r="AC239">
        <v>3.0448</v>
      </c>
      <c r="AD239">
        <v>-4.4341090000000003E-3</v>
      </c>
      <c r="AE239">
        <v>-0.20651249999999999</v>
      </c>
      <c r="AF239">
        <v>0.163708731942247</v>
      </c>
      <c r="AG239">
        <v>-4.4341090000000003E-3</v>
      </c>
      <c r="AH239">
        <v>3.0473947202850802</v>
      </c>
      <c r="AI239">
        <v>90.083248077131003</v>
      </c>
      <c r="AJ239">
        <v>86.924976025548702</v>
      </c>
      <c r="AK239">
        <v>3.0517920622903101</v>
      </c>
      <c r="AL239">
        <v>85.633333703887999</v>
      </c>
      <c r="AM239">
        <v>96.623635401604801</v>
      </c>
      <c r="AN239">
        <v>1.0000000400645599</v>
      </c>
    </row>
    <row r="240" spans="1:40" x14ac:dyDescent="0.25">
      <c r="A240" t="str">
        <f>"20190304154731926"</f>
        <v>20190304154731926</v>
      </c>
      <c r="B240" t="str">
        <f>"1551685651916807"</f>
        <v>1551685651916807</v>
      </c>
      <c r="C240" t="s">
        <v>40</v>
      </c>
      <c r="D240">
        <v>4.2105509999999997</v>
      </c>
      <c r="E240">
        <v>0.56576660000000001</v>
      </c>
      <c r="F240" t="s">
        <v>42</v>
      </c>
      <c r="G240">
        <v>0</v>
      </c>
      <c r="H240">
        <v>0</v>
      </c>
      <c r="I240">
        <v>0</v>
      </c>
      <c r="J240">
        <v>-464.11939999999998</v>
      </c>
      <c r="K240">
        <v>1.109607</v>
      </c>
      <c r="L240">
        <v>367.04379999999998</v>
      </c>
      <c r="M240">
        <v>0.99989439999999996</v>
      </c>
      <c r="N240">
        <v>-4.0084830000000002E-3</v>
      </c>
      <c r="O240">
        <v>-1.398634E-2</v>
      </c>
      <c r="P240">
        <v>0.99224109999999999</v>
      </c>
      <c r="Q240">
        <v>7.2364559999999994E-2</v>
      </c>
      <c r="R240">
        <v>0.1011005</v>
      </c>
      <c r="S240">
        <v>3.045868</v>
      </c>
      <c r="T240">
        <v>-6.1005349999999998E-3</v>
      </c>
      <c r="U240">
        <v>-0.21606449999999999</v>
      </c>
      <c r="V240">
        <v>-0.11497449999999999</v>
      </c>
      <c r="W240">
        <v>7.6326279999999996E-2</v>
      </c>
      <c r="X240">
        <v>0.99043179999999997</v>
      </c>
      <c r="Y240">
        <v>5.680048E-2</v>
      </c>
      <c r="Z240">
        <v>-1.988251E-4</v>
      </c>
      <c r="AA240">
        <v>0.99838550000000004</v>
      </c>
      <c r="AB240">
        <v>16</v>
      </c>
      <c r="AC240">
        <v>3.045868</v>
      </c>
      <c r="AD240">
        <v>-6.1005349999999998E-3</v>
      </c>
      <c r="AE240">
        <v>-0.21606449999999999</v>
      </c>
      <c r="AF240">
        <v>0.17344179621057099</v>
      </c>
      <c r="AG240">
        <v>-6.1005349999999998E-3</v>
      </c>
      <c r="AH240">
        <v>3.0485798746797701</v>
      </c>
      <c r="AI240">
        <v>90.114469735128395</v>
      </c>
      <c r="AJ240">
        <v>86.743801277557495</v>
      </c>
      <c r="AK240">
        <v>3.0535157647378499</v>
      </c>
      <c r="AL240">
        <v>85.622568957792893</v>
      </c>
      <c r="AM240">
        <v>96.621556144194102</v>
      </c>
      <c r="AN240">
        <v>0.99999999356006397</v>
      </c>
    </row>
    <row r="241" spans="1:40" x14ac:dyDescent="0.25">
      <c r="A241" t="str">
        <f>"20190304154731946"</f>
        <v>20190304154731946</v>
      </c>
      <c r="B241" t="str">
        <f>"1551685651937304"</f>
        <v>1551685651937304</v>
      </c>
      <c r="C241" t="s">
        <v>40</v>
      </c>
      <c r="D241">
        <v>4.2051819999999998</v>
      </c>
      <c r="E241">
        <v>0.56763680000000005</v>
      </c>
      <c r="F241" t="s">
        <v>42</v>
      </c>
      <c r="G241">
        <v>0</v>
      </c>
      <c r="H241">
        <v>0</v>
      </c>
      <c r="I241">
        <v>0</v>
      </c>
      <c r="J241">
        <v>-463.9828</v>
      </c>
      <c r="K241">
        <v>1.1096090000000001</v>
      </c>
      <c r="L241">
        <v>367.0419</v>
      </c>
      <c r="M241">
        <v>0.99989539999999999</v>
      </c>
      <c r="N241">
        <v>-4.0115319999999999E-3</v>
      </c>
      <c r="O241">
        <v>-1.390016E-2</v>
      </c>
      <c r="P241">
        <v>0.99227089999999996</v>
      </c>
      <c r="Q241">
        <v>7.2394689999999998E-2</v>
      </c>
      <c r="R241">
        <v>0.1007849</v>
      </c>
      <c r="S241">
        <v>3.0469059999999999</v>
      </c>
      <c r="T241">
        <v>-8.1000329999999995E-3</v>
      </c>
      <c r="U241">
        <v>-0.2241821</v>
      </c>
      <c r="V241">
        <v>-0.1145737</v>
      </c>
      <c r="W241">
        <v>7.6360040000000004E-2</v>
      </c>
      <c r="X241">
        <v>0.99047569999999996</v>
      </c>
      <c r="Y241">
        <v>5.9508249999999999E-2</v>
      </c>
      <c r="Z241">
        <v>-2.173117E-4</v>
      </c>
      <c r="AA241">
        <v>0.9982278</v>
      </c>
      <c r="AB241">
        <v>16</v>
      </c>
      <c r="AC241">
        <v>3.0469059999999999</v>
      </c>
      <c r="AD241">
        <v>-8.1000329999999995E-3</v>
      </c>
      <c r="AE241">
        <v>-0.2241821</v>
      </c>
      <c r="AF241">
        <v>0.18180634383884001</v>
      </c>
      <c r="AG241">
        <v>-8.1000329999999995E-3</v>
      </c>
      <c r="AH241">
        <v>3.0497063826622202</v>
      </c>
      <c r="AI241">
        <v>90.151907784037405</v>
      </c>
      <c r="AJ241">
        <v>86.588385500395503</v>
      </c>
      <c r="AK241">
        <v>3.0551314501417699</v>
      </c>
      <c r="AL241">
        <v>85.620629239926203</v>
      </c>
      <c r="AM241">
        <v>96.598387494778905</v>
      </c>
      <c r="AN241">
        <v>1.00000005036548</v>
      </c>
    </row>
    <row r="242" spans="1:40" x14ac:dyDescent="0.25">
      <c r="A242" t="str">
        <f>"20190304154731966"</f>
        <v>20190304154731966</v>
      </c>
      <c r="B242" t="str">
        <f>"1551685651956823"</f>
        <v>1551685651956823</v>
      </c>
      <c r="C242" t="s">
        <v>40</v>
      </c>
      <c r="D242">
        <v>4.3038809999999996</v>
      </c>
      <c r="E242">
        <v>0.56917430000000002</v>
      </c>
      <c r="F242" t="s">
        <v>46</v>
      </c>
      <c r="G242">
        <v>-228.5985</v>
      </c>
      <c r="H242">
        <v>0.24675920000000001</v>
      </c>
      <c r="I242">
        <v>348.51170000000002</v>
      </c>
      <c r="J242">
        <v>-463.82260000000002</v>
      </c>
      <c r="K242">
        <v>1.109605</v>
      </c>
      <c r="L242">
        <v>367.03989999999999</v>
      </c>
      <c r="M242">
        <v>0.99989669999999997</v>
      </c>
      <c r="N242">
        <v>-4.0162490000000004E-3</v>
      </c>
      <c r="O242">
        <v>-1.379931E-2</v>
      </c>
      <c r="P242">
        <v>0.99224349999999994</v>
      </c>
      <c r="Q242">
        <v>7.2490979999999997E-2</v>
      </c>
      <c r="R242">
        <v>0.10098550000000001</v>
      </c>
      <c r="S242">
        <v>3.0485229999999999</v>
      </c>
      <c r="T242">
        <v>-1.117396E-2</v>
      </c>
      <c r="U242">
        <v>-0.23999019999999999</v>
      </c>
      <c r="V242">
        <v>-0.1146749</v>
      </c>
      <c r="W242">
        <v>7.6460360000000005E-2</v>
      </c>
      <c r="X242">
        <v>0.99045620000000001</v>
      </c>
      <c r="Y242">
        <v>6.4715389999999998E-2</v>
      </c>
      <c r="Z242">
        <v>-2.534298E-4</v>
      </c>
      <c r="AA242">
        <v>0.99790369999999995</v>
      </c>
      <c r="AB242">
        <v>16</v>
      </c>
      <c r="AC242">
        <v>235.22409999999999</v>
      </c>
      <c r="AD242">
        <v>-0.862845799999999</v>
      </c>
      <c r="AE242">
        <v>-18.528199999999899</v>
      </c>
      <c r="AF242">
        <v>15.2802749549931</v>
      </c>
      <c r="AG242">
        <v>-0.862845799999999</v>
      </c>
      <c r="AH242">
        <v>235.45423257496901</v>
      </c>
      <c r="AI242">
        <v>90.209524475711902</v>
      </c>
      <c r="AJ242">
        <v>86.2868823090745</v>
      </c>
      <c r="AK242">
        <v>235.951111340978</v>
      </c>
      <c r="AL242">
        <v>85.614864260440896</v>
      </c>
      <c r="AM242">
        <v>96.604293091754002</v>
      </c>
      <c r="AN242">
        <v>1.00000000172988</v>
      </c>
    </row>
    <row r="243" spans="1:40" x14ac:dyDescent="0.25">
      <c r="A243" t="str">
        <f>"20190304154731989"</f>
        <v>20190304154731989</v>
      </c>
      <c r="B243" t="str">
        <f>"1551685651977323"</f>
        <v>1551685651977323</v>
      </c>
      <c r="C243" t="s">
        <v>40</v>
      </c>
      <c r="D243">
        <v>4.2033230000000001</v>
      </c>
      <c r="E243">
        <v>0.57051580000000002</v>
      </c>
      <c r="F243" t="s">
        <v>46</v>
      </c>
      <c r="G243">
        <v>-239.17150000000001</v>
      </c>
      <c r="H243">
        <v>4.6342620000000001E-2</v>
      </c>
      <c r="I243">
        <v>348.51170000000002</v>
      </c>
      <c r="J243">
        <v>-463.66090000000003</v>
      </c>
      <c r="K243">
        <v>1.1096090000000001</v>
      </c>
      <c r="L243">
        <v>367.03769999999997</v>
      </c>
      <c r="M243">
        <v>0.99989810000000001</v>
      </c>
      <c r="N243">
        <v>-4.0222030000000002E-3</v>
      </c>
      <c r="O243">
        <v>-1.3698470000000001E-2</v>
      </c>
      <c r="P243">
        <v>0.99219979999999997</v>
      </c>
      <c r="Q243">
        <v>7.3069220000000004E-2</v>
      </c>
      <c r="R243">
        <v>0.10099809999999999</v>
      </c>
      <c r="S243">
        <v>3.0500790000000002</v>
      </c>
      <c r="T243">
        <v>-1.4434809999999999E-2</v>
      </c>
      <c r="U243">
        <v>-0.25155640000000001</v>
      </c>
      <c r="V243">
        <v>-0.1145866</v>
      </c>
      <c r="W243">
        <v>7.7044180000000004E-2</v>
      </c>
      <c r="X243">
        <v>0.9904212</v>
      </c>
      <c r="Y243">
        <v>6.8534929999999994E-2</v>
      </c>
      <c r="Z243">
        <v>-2.9027019999999998E-4</v>
      </c>
      <c r="AA243">
        <v>0.99764870000000005</v>
      </c>
      <c r="AB243">
        <v>17</v>
      </c>
      <c r="AC243">
        <v>224.48939999999999</v>
      </c>
      <c r="AD243">
        <v>-1.06326638</v>
      </c>
      <c r="AE243">
        <v>-18.5259999999999</v>
      </c>
      <c r="AF243">
        <v>15.4487313545856</v>
      </c>
      <c r="AG243">
        <v>-1.06326638</v>
      </c>
      <c r="AH243">
        <v>224.717109034163</v>
      </c>
      <c r="AI243">
        <v>90.270459027981602</v>
      </c>
      <c r="AJ243">
        <v>86.067248348607507</v>
      </c>
      <c r="AK243">
        <v>225.25002314879501</v>
      </c>
      <c r="AL243">
        <v>85.5813149723881</v>
      </c>
      <c r="AM243">
        <v>96.599483790693</v>
      </c>
      <c r="AN243">
        <v>1.0000000239904301</v>
      </c>
    </row>
    <row r="244" spans="1:40" x14ac:dyDescent="0.25">
      <c r="A244" t="str">
        <f>"20190304154732012"</f>
        <v>20190304154732012</v>
      </c>
      <c r="B244" t="str">
        <f>"1551685652007575"</f>
        <v>1551685652007575</v>
      </c>
      <c r="C244" t="s">
        <v>40</v>
      </c>
      <c r="D244">
        <v>4.076397</v>
      </c>
      <c r="E244">
        <v>0.57275710000000002</v>
      </c>
      <c r="F244" t="s">
        <v>45</v>
      </c>
      <c r="G244">
        <v>-243.04759999999999</v>
      </c>
      <c r="H244">
        <v>-0.05</v>
      </c>
      <c r="I244">
        <v>348.07420000000002</v>
      </c>
      <c r="J244">
        <v>-463.48059999999998</v>
      </c>
      <c r="K244">
        <v>1.1096060000000001</v>
      </c>
      <c r="L244">
        <v>367.03539999999998</v>
      </c>
      <c r="M244">
        <v>0.9998996</v>
      </c>
      <c r="N244">
        <v>-4.0300809999999996E-3</v>
      </c>
      <c r="O244">
        <v>-1.3586300000000001E-2</v>
      </c>
      <c r="P244">
        <v>0.99222580000000005</v>
      </c>
      <c r="Q244">
        <v>7.2774660000000005E-2</v>
      </c>
      <c r="R244">
        <v>0.1009549</v>
      </c>
      <c r="S244">
        <v>3.0514830000000002</v>
      </c>
      <c r="T244">
        <v>-1.603949E-2</v>
      </c>
      <c r="U244">
        <v>-0.26229859999999999</v>
      </c>
      <c r="V244">
        <v>-0.1144333</v>
      </c>
      <c r="W244">
        <v>7.6757039999999999E-2</v>
      </c>
      <c r="X244">
        <v>0.99046120000000004</v>
      </c>
      <c r="Y244">
        <v>7.2095800000000002E-2</v>
      </c>
      <c r="Z244">
        <v>-3.1806690000000002E-4</v>
      </c>
      <c r="AA244">
        <v>0.99739770000000005</v>
      </c>
      <c r="AB244">
        <v>17</v>
      </c>
      <c r="AC244">
        <v>220.43299999999999</v>
      </c>
      <c r="AD244">
        <v>-1.1596059999999999</v>
      </c>
      <c r="AE244">
        <v>-18.961199999999899</v>
      </c>
      <c r="AF244">
        <v>15.9641182181176</v>
      </c>
      <c r="AG244">
        <v>-1.1596059999999999</v>
      </c>
      <c r="AH244">
        <v>220.66420702647</v>
      </c>
      <c r="AI244">
        <v>90.300305751977504</v>
      </c>
      <c r="AJ244">
        <v>85.862102763424801</v>
      </c>
      <c r="AK244">
        <v>221.24396041288401</v>
      </c>
      <c r="AL244">
        <v>85.597815665609303</v>
      </c>
      <c r="AM244">
        <v>96.590468556012496</v>
      </c>
      <c r="AN244">
        <v>1.0000000060219401</v>
      </c>
    </row>
    <row r="245" spans="1:40" x14ac:dyDescent="0.25">
      <c r="A245" t="str">
        <f>"20190304154732070"</f>
        <v>20190304154732070</v>
      </c>
      <c r="B245" t="str">
        <f>"1551685652067619"</f>
        <v>1551685652067619</v>
      </c>
      <c r="C245" t="s">
        <v>40</v>
      </c>
      <c r="D245">
        <v>4.2077280000000004</v>
      </c>
      <c r="E245">
        <v>0.57387639999999995</v>
      </c>
      <c r="F245" t="s">
        <v>46</v>
      </c>
      <c r="G245">
        <v>-245.3451</v>
      </c>
      <c r="H245">
        <v>0.4814775</v>
      </c>
      <c r="I245">
        <v>347.03809999999999</v>
      </c>
      <c r="J245">
        <v>-463.0324</v>
      </c>
      <c r="K245">
        <v>1.109602</v>
      </c>
      <c r="L245">
        <v>367.02960000000002</v>
      </c>
      <c r="M245">
        <v>0.99990319999999999</v>
      </c>
      <c r="N245">
        <v>-4.0544960000000003E-3</v>
      </c>
      <c r="O245">
        <v>-1.330751E-2</v>
      </c>
      <c r="P245">
        <v>0.99217619999999895</v>
      </c>
      <c r="Q245">
        <v>7.2939660000000003E-2</v>
      </c>
      <c r="R245">
        <v>0.10132140000000001</v>
      </c>
      <c r="S245">
        <v>3.0526430000000002</v>
      </c>
      <c r="T245">
        <v>-8.7890629999999997E-3</v>
      </c>
      <c r="U245">
        <v>-0.27984619999999999</v>
      </c>
      <c r="V245">
        <v>-0.11452320000000001</v>
      </c>
      <c r="W245">
        <v>7.6945769999999997E-2</v>
      </c>
      <c r="X245">
        <v>0.99043610000000004</v>
      </c>
      <c r="Y245">
        <v>7.8029710000000002E-2</v>
      </c>
      <c r="Z245">
        <v>-2.8623739999999998E-4</v>
      </c>
      <c r="AA245">
        <v>0.99695100000000003</v>
      </c>
      <c r="AB245">
        <v>17</v>
      </c>
      <c r="AC245">
        <v>217.68729999999999</v>
      </c>
      <c r="AD245">
        <v>-0.62812449999999997</v>
      </c>
      <c r="AE245">
        <v>-19.991499999999998</v>
      </c>
      <c r="AF245">
        <v>17.092688804604801</v>
      </c>
      <c r="AG245">
        <v>-0.62812449999999997</v>
      </c>
      <c r="AH245">
        <v>217.932263724226</v>
      </c>
      <c r="AI245">
        <v>90.164631888949401</v>
      </c>
      <c r="AJ245">
        <v>85.5154038576283</v>
      </c>
      <c r="AK245">
        <v>218.60243851092901</v>
      </c>
      <c r="AL245">
        <v>85.586969873018802</v>
      </c>
      <c r="AM245">
        <v>96.595766171341097</v>
      </c>
      <c r="AN245">
        <v>0.999999941521169</v>
      </c>
    </row>
    <row r="246" spans="1:40" x14ac:dyDescent="0.25">
      <c r="A246" t="str">
        <f>"20190304154732083"</f>
        <v>20190304154732083</v>
      </c>
      <c r="B246" t="str">
        <f>"1551685652077379"</f>
        <v>1551685652077379</v>
      </c>
      <c r="C246" t="s">
        <v>40</v>
      </c>
      <c r="D246">
        <v>4.1906809999999997</v>
      </c>
      <c r="E246">
        <v>0.57436369999999903</v>
      </c>
      <c r="F246" t="s">
        <v>46</v>
      </c>
      <c r="G246">
        <v>-266.60989999999998</v>
      </c>
      <c r="H246">
        <v>0.41920639999999998</v>
      </c>
      <c r="I246">
        <v>348.51170000000002</v>
      </c>
      <c r="J246">
        <v>-462.93720000000002</v>
      </c>
      <c r="K246">
        <v>1.109602</v>
      </c>
      <c r="L246">
        <v>367.02839999999998</v>
      </c>
      <c r="M246">
        <v>0.99990400000000002</v>
      </c>
      <c r="N246">
        <v>-4.0604700000000001E-3</v>
      </c>
      <c r="O246">
        <v>-1.324815E-2</v>
      </c>
      <c r="P246">
        <v>0.99218689999999998</v>
      </c>
      <c r="Q246">
        <v>7.2842989999999996E-2</v>
      </c>
      <c r="R246">
        <v>0.1012868</v>
      </c>
      <c r="S246">
        <v>3.053833</v>
      </c>
      <c r="T246">
        <v>-1.0732530000000001E-2</v>
      </c>
      <c r="U246">
        <v>-0.28790280000000001</v>
      </c>
      <c r="V246">
        <v>-0.11442960000000001</v>
      </c>
      <c r="W246">
        <v>7.6854969999999995E-2</v>
      </c>
      <c r="X246">
        <v>0.99045399999999995</v>
      </c>
      <c r="Y246">
        <v>8.0660629999999997E-2</v>
      </c>
      <c r="Z246">
        <v>-3.1278490000000001E-4</v>
      </c>
      <c r="AA246">
        <v>0.99674160000000001</v>
      </c>
      <c r="AB246">
        <v>17</v>
      </c>
      <c r="AC246">
        <v>196.32730000000001</v>
      </c>
      <c r="AD246">
        <v>-0.6903956</v>
      </c>
      <c r="AE246">
        <v>-18.516699999999901</v>
      </c>
      <c r="AF246">
        <v>15.9138849300006</v>
      </c>
      <c r="AG246">
        <v>-0.6903956</v>
      </c>
      <c r="AH246">
        <v>196.55297478281099</v>
      </c>
      <c r="AI246">
        <v>90.200595150611406</v>
      </c>
      <c r="AJ246">
        <v>85.371151876830297</v>
      </c>
      <c r="AK246">
        <v>197.197363764382</v>
      </c>
      <c r="AL246">
        <v>85.592187920245294</v>
      </c>
      <c r="AM246">
        <v>96.590304825045806</v>
      </c>
      <c r="AN246">
        <v>0.99999997294292997</v>
      </c>
    </row>
    <row r="247" spans="1:40" x14ac:dyDescent="0.25">
      <c r="A247" t="str">
        <f>"20190304154732136"</f>
        <v>20190304154732136</v>
      </c>
      <c r="B247" t="str">
        <f>"1551685652127155"</f>
        <v>1551685652127155</v>
      </c>
      <c r="C247" t="s">
        <v>40</v>
      </c>
      <c r="D247">
        <v>4.1893469999999997</v>
      </c>
      <c r="E247">
        <v>0.57527569999999995</v>
      </c>
      <c r="F247" t="s">
        <v>46</v>
      </c>
      <c r="G247">
        <v>-269.0061</v>
      </c>
      <c r="H247">
        <v>0.32030459999999999</v>
      </c>
      <c r="I247">
        <v>348.51170000000002</v>
      </c>
      <c r="J247">
        <v>-462.51580000000001</v>
      </c>
      <c r="K247">
        <v>1.1095950000000001</v>
      </c>
      <c r="L247">
        <v>367.0231</v>
      </c>
      <c r="M247">
        <v>0.9999074</v>
      </c>
      <c r="N247">
        <v>-4.089105E-3</v>
      </c>
      <c r="O247">
        <v>-1.2985460000000001E-2</v>
      </c>
      <c r="P247">
        <v>0.99214029999999998</v>
      </c>
      <c r="Q247">
        <v>7.2592320000000002E-2</v>
      </c>
      <c r="R247">
        <v>0.1019227</v>
      </c>
      <c r="S247">
        <v>3.0542910000000001</v>
      </c>
      <c r="T247">
        <v>-1.242971E-2</v>
      </c>
      <c r="U247">
        <v>-0.291626</v>
      </c>
      <c r="V247">
        <v>-0.11480509999999999</v>
      </c>
      <c r="W247">
        <v>7.6631989999999997E-2</v>
      </c>
      <c r="X247">
        <v>0.99042790000000003</v>
      </c>
      <c r="Y247">
        <v>8.2112309999999994E-2</v>
      </c>
      <c r="Z247">
        <v>-3.3523979999999998E-4</v>
      </c>
      <c r="AA247">
        <v>0.99662300000000004</v>
      </c>
      <c r="AB247">
        <v>18</v>
      </c>
      <c r="AC247">
        <v>193.50970000000001</v>
      </c>
      <c r="AD247">
        <v>-0.78929039999999995</v>
      </c>
      <c r="AE247">
        <v>-18.511399999999899</v>
      </c>
      <c r="AF247">
        <v>15.996742184902599</v>
      </c>
      <c r="AG247">
        <v>-0.78929039999999995</v>
      </c>
      <c r="AH247">
        <v>193.73057124692201</v>
      </c>
      <c r="AI247">
        <v>90.232639463990296</v>
      </c>
      <c r="AJ247">
        <v>85.279675079095099</v>
      </c>
      <c r="AK247">
        <v>194.39149409252599</v>
      </c>
      <c r="AL247">
        <v>85.6050018573834</v>
      </c>
      <c r="AM247">
        <v>96.611912391914103</v>
      </c>
      <c r="AN247">
        <v>1.00000004898788</v>
      </c>
    </row>
    <row r="248" spans="1:40" x14ac:dyDescent="0.25">
      <c r="A248" t="str">
        <f>"20190304154732158"</f>
        <v>20190304154732158</v>
      </c>
      <c r="B248" t="str">
        <f>"1551685652147651"</f>
        <v>1551685652147651</v>
      </c>
      <c r="C248" t="s">
        <v>40</v>
      </c>
      <c r="D248">
        <v>4.0205409999999997</v>
      </c>
      <c r="E248">
        <v>0.57647530000000002</v>
      </c>
      <c r="F248" t="s">
        <v>46</v>
      </c>
      <c r="G248">
        <v>-272.07330000000002</v>
      </c>
      <c r="H248">
        <v>0.12464500000000001</v>
      </c>
      <c r="I248">
        <v>348.51170000000002</v>
      </c>
      <c r="J248">
        <v>-462.34039999999999</v>
      </c>
      <c r="K248">
        <v>1.10959599999999</v>
      </c>
      <c r="L248">
        <v>367.02100000000002</v>
      </c>
      <c r="M248">
        <v>0.99990889999999999</v>
      </c>
      <c r="N248">
        <v>-4.1021290000000004E-3</v>
      </c>
      <c r="O248">
        <v>-1.287486E-2</v>
      </c>
      <c r="P248">
        <v>0.99212900000000004</v>
      </c>
      <c r="Q248">
        <v>7.2424600000000006E-2</v>
      </c>
      <c r="R248">
        <v>0.1021532</v>
      </c>
      <c r="S248">
        <v>3.05545</v>
      </c>
      <c r="T248">
        <v>-1.580119E-2</v>
      </c>
      <c r="U248">
        <v>-0.29699710000000001</v>
      </c>
      <c r="V248">
        <v>-0.114926</v>
      </c>
      <c r="W248">
        <v>7.6476989999999995E-2</v>
      </c>
      <c r="X248">
        <v>0.99042580000000002</v>
      </c>
      <c r="Y248">
        <v>8.3921839999999998E-2</v>
      </c>
      <c r="Z248">
        <v>-3.7531119999999999E-4</v>
      </c>
      <c r="AA248">
        <v>0.99647220000000003</v>
      </c>
      <c r="AB248">
        <v>18</v>
      </c>
      <c r="AC248">
        <v>190.2671</v>
      </c>
      <c r="AD248">
        <v>-0.98495099999999902</v>
      </c>
      <c r="AE248">
        <v>-18.5092999999999</v>
      </c>
      <c r="AF248">
        <v>16.057657164319899</v>
      </c>
      <c r="AG248">
        <v>-0.98495099999999902</v>
      </c>
      <c r="AH248">
        <v>190.48457941683</v>
      </c>
      <c r="AI248">
        <v>90.295213307690403</v>
      </c>
      <c r="AJ248">
        <v>85.181416384872193</v>
      </c>
      <c r="AK248">
        <v>191.16274081966401</v>
      </c>
      <c r="AL248">
        <v>85.613908583705793</v>
      </c>
      <c r="AM248">
        <v>96.6188274849398</v>
      </c>
      <c r="AN248">
        <v>0.99999999039054999</v>
      </c>
    </row>
    <row r="249" spans="1:40" x14ac:dyDescent="0.25">
      <c r="A249" t="str">
        <f>"20190304154732173"</f>
        <v>20190304154732173</v>
      </c>
      <c r="B249" t="str">
        <f>"1551685652167677"</f>
        <v>1551685652167677</v>
      </c>
      <c r="C249" t="s">
        <v>40</v>
      </c>
      <c r="D249">
        <v>4.4149940000000001</v>
      </c>
      <c r="E249">
        <v>0.57584569999999902</v>
      </c>
      <c r="F249" t="s">
        <v>46</v>
      </c>
      <c r="G249">
        <v>-277.42259999999999</v>
      </c>
      <c r="H249">
        <v>0.39950730000000001</v>
      </c>
      <c r="I249">
        <v>348.51170000000002</v>
      </c>
      <c r="J249">
        <v>-462.22050000000002</v>
      </c>
      <c r="K249">
        <v>1.10959599999999</v>
      </c>
      <c r="L249">
        <v>367.01949999999999</v>
      </c>
      <c r="M249">
        <v>0.99990959999999995</v>
      </c>
      <c r="N249">
        <v>-4.1114050000000003E-3</v>
      </c>
      <c r="O249">
        <v>-1.2798459999999999E-2</v>
      </c>
      <c r="P249">
        <v>0.99210699999999996</v>
      </c>
      <c r="Q249">
        <v>7.2452130000000003E-2</v>
      </c>
      <c r="R249">
        <v>0.1023432</v>
      </c>
      <c r="S249">
        <v>3.0561829999999999</v>
      </c>
      <c r="T249">
        <v>-1.173449E-2</v>
      </c>
      <c r="U249">
        <v>-0.30590820000000002</v>
      </c>
      <c r="V249">
        <v>-0.1150404</v>
      </c>
      <c r="W249">
        <v>7.6513129999999999E-2</v>
      </c>
      <c r="X249">
        <v>0.99040969999999995</v>
      </c>
      <c r="Y249">
        <v>8.6852760000000001E-2</v>
      </c>
      <c r="Z249">
        <v>-3.488028E-4</v>
      </c>
      <c r="AA249">
        <v>0.99622109999999997</v>
      </c>
      <c r="AB249">
        <v>18</v>
      </c>
      <c r="AC249">
        <v>184.7979</v>
      </c>
      <c r="AD249">
        <v>-0.71008869999999902</v>
      </c>
      <c r="AE249">
        <v>-18.5077999999999</v>
      </c>
      <c r="AF249">
        <v>16.140899540827501</v>
      </c>
      <c r="AG249">
        <v>-0.71008869999999902</v>
      </c>
      <c r="AH249">
        <v>185.016932839812</v>
      </c>
      <c r="AI249">
        <v>90.219066124599493</v>
      </c>
      <c r="AJ249">
        <v>85.014132590970803</v>
      </c>
      <c r="AK249">
        <v>185.72102277717599</v>
      </c>
      <c r="AL249">
        <v>85.611831710017398</v>
      </c>
      <c r="AM249">
        <v>96.625464216704401</v>
      </c>
      <c r="AN249">
        <v>0.99999996327432195</v>
      </c>
    </row>
    <row r="250" spans="1:40" x14ac:dyDescent="0.25">
      <c r="A250" t="str">
        <f>"20190304154732189"</f>
        <v>20190304154732189</v>
      </c>
      <c r="B250" t="str">
        <f>"1551685652177438"</f>
        <v>1551685652177438</v>
      </c>
      <c r="C250" t="s">
        <v>40</v>
      </c>
      <c r="D250">
        <v>4.2398389999999999</v>
      </c>
      <c r="E250">
        <v>0.57584569999999902</v>
      </c>
      <c r="F250" t="s">
        <v>46</v>
      </c>
      <c r="G250">
        <v>-273.71530000000001</v>
      </c>
      <c r="H250">
        <v>0.57320190000000004</v>
      </c>
      <c r="I250">
        <v>348.51170000000002</v>
      </c>
      <c r="J250">
        <v>-462.0856</v>
      </c>
      <c r="K250">
        <v>1.1095999999999999</v>
      </c>
      <c r="L250">
        <v>367.0179</v>
      </c>
      <c r="M250">
        <v>0.99991079999999999</v>
      </c>
      <c r="N250">
        <v>-4.1225860000000001E-3</v>
      </c>
      <c r="O250">
        <v>-1.271074E-2</v>
      </c>
      <c r="P250">
        <v>0.99214150000000001</v>
      </c>
      <c r="Q250">
        <v>7.2534230000000005E-2</v>
      </c>
      <c r="R250">
        <v>0.10195220000000001</v>
      </c>
      <c r="S250">
        <v>3.0554199999999998</v>
      </c>
      <c r="T250">
        <v>-8.6929799999999995E-3</v>
      </c>
      <c r="U250">
        <v>-0.29998780000000003</v>
      </c>
      <c r="V250">
        <v>-0.1145631</v>
      </c>
      <c r="W250">
        <v>7.6605850000000003E-2</v>
      </c>
      <c r="X250">
        <v>0.9904579</v>
      </c>
      <c r="Y250">
        <v>8.5053589999999998E-2</v>
      </c>
      <c r="Z250">
        <v>-3.1265980000000002E-4</v>
      </c>
      <c r="AA250">
        <v>0.99637629999999999</v>
      </c>
      <c r="AB250">
        <v>18</v>
      </c>
      <c r="AC250">
        <v>188.37029999999999</v>
      </c>
      <c r="AD250">
        <v>-0.53639809999999899</v>
      </c>
      <c r="AE250">
        <v>-18.5061999999999</v>
      </c>
      <c r="AF250">
        <v>16.110229518448701</v>
      </c>
      <c r="AG250">
        <v>-0.53639809999999899</v>
      </c>
      <c r="AH250">
        <v>188.58879719241401</v>
      </c>
      <c r="AI250">
        <v>90.162373047103003</v>
      </c>
      <c r="AJ250">
        <v>85.117352408717394</v>
      </c>
      <c r="AK250">
        <v>189.27641597552599</v>
      </c>
      <c r="AL250">
        <v>85.606503794903801</v>
      </c>
      <c r="AM250">
        <v>96.597899941660899</v>
      </c>
      <c r="AN250">
        <v>1.0000000059041201</v>
      </c>
    </row>
    <row r="251" spans="1:40" x14ac:dyDescent="0.25">
      <c r="A251" t="str">
        <f>"20190304154732201"</f>
        <v>20190304154732201</v>
      </c>
      <c r="B251" t="str">
        <f>"1551685652196958"</f>
        <v>1551685652196958</v>
      </c>
      <c r="C251" t="s">
        <v>40</v>
      </c>
      <c r="D251">
        <v>4.2182719999999998</v>
      </c>
      <c r="E251">
        <v>0.57334510000000005</v>
      </c>
      <c r="F251" t="s">
        <v>46</v>
      </c>
      <c r="G251">
        <v>-274.53210000000001</v>
      </c>
      <c r="H251">
        <v>0.57780810000000005</v>
      </c>
      <c r="I251">
        <v>348.51170000000002</v>
      </c>
      <c r="J251">
        <v>-461.99059999999997</v>
      </c>
      <c r="K251">
        <v>1.109602</v>
      </c>
      <c r="L251">
        <v>367.01670000000001</v>
      </c>
      <c r="M251">
        <v>0.99991149999999995</v>
      </c>
      <c r="N251">
        <v>-4.1310280000000001E-3</v>
      </c>
      <c r="O251">
        <v>-1.264697E-2</v>
      </c>
      <c r="P251">
        <v>0.99215739999999997</v>
      </c>
      <c r="Q251">
        <v>7.2483759999999994E-2</v>
      </c>
      <c r="R251">
        <v>0.1018334</v>
      </c>
      <c r="S251">
        <v>3.0554199999999998</v>
      </c>
      <c r="T251">
        <v>-8.6621049999999998E-3</v>
      </c>
      <c r="U251">
        <v>-0.30148320000000001</v>
      </c>
      <c r="V251">
        <v>-0.1143816</v>
      </c>
      <c r="W251">
        <v>7.6563530000000005E-2</v>
      </c>
      <c r="X251">
        <v>0.99048219999999998</v>
      </c>
      <c r="Y251">
        <v>8.5600120000000002E-2</v>
      </c>
      <c r="Z251">
        <v>-3.1464900000000002E-4</v>
      </c>
      <c r="AA251">
        <v>0.99632949999999998</v>
      </c>
      <c r="AB251">
        <v>18</v>
      </c>
      <c r="AC251">
        <v>187.45849999999999</v>
      </c>
      <c r="AD251">
        <v>-0.53179389999999904</v>
      </c>
      <c r="AE251">
        <v>-18.5049999999999</v>
      </c>
      <c r="AF251">
        <v>16.132589205387099</v>
      </c>
      <c r="AG251">
        <v>-0.53179389999999904</v>
      </c>
      <c r="AH251">
        <v>187.67604591432999</v>
      </c>
      <c r="AI251">
        <v>90.161754870157594</v>
      </c>
      <c r="AJ251">
        <v>85.086945369631707</v>
      </c>
      <c r="AK251">
        <v>188.36889724490001</v>
      </c>
      <c r="AL251">
        <v>85.608935917314497</v>
      </c>
      <c r="AM251">
        <v>96.587378774656798</v>
      </c>
      <c r="AN251">
        <v>1.0000000565307201</v>
      </c>
    </row>
    <row r="252" spans="1:40" x14ac:dyDescent="0.25">
      <c r="A252" t="str">
        <f>"20190304154732214"</f>
        <v>20190304154732214</v>
      </c>
      <c r="B252" t="str">
        <f>"1551685652207694"</f>
        <v>1551685652207694</v>
      </c>
      <c r="C252" t="s">
        <v>40</v>
      </c>
      <c r="D252">
        <v>4.3445239999999998</v>
      </c>
      <c r="E252">
        <v>0.57269130000000001</v>
      </c>
      <c r="F252" t="s">
        <v>46</v>
      </c>
      <c r="G252">
        <v>-245.3451</v>
      </c>
      <c r="H252">
        <v>0.35307860000000002</v>
      </c>
      <c r="I252">
        <v>347.0138</v>
      </c>
      <c r="J252">
        <v>-461.88350000000003</v>
      </c>
      <c r="K252">
        <v>1.109607</v>
      </c>
      <c r="L252">
        <v>367.0154</v>
      </c>
      <c r="M252">
        <v>0.99991240000000003</v>
      </c>
      <c r="N252">
        <v>-4.1408590000000002E-3</v>
      </c>
      <c r="O252">
        <v>-1.257342E-2</v>
      </c>
      <c r="P252">
        <v>0.99216260000000001</v>
      </c>
      <c r="Q252">
        <v>7.2639670000000003E-2</v>
      </c>
      <c r="R252">
        <v>0.1016712</v>
      </c>
      <c r="S252">
        <v>3.0534059999999998</v>
      </c>
      <c r="T252">
        <v>-1.066136E-2</v>
      </c>
      <c r="U252">
        <v>-0.28192139999999999</v>
      </c>
      <c r="V252">
        <v>-0.11414729999999999</v>
      </c>
      <c r="W252">
        <v>7.6728499999999894E-2</v>
      </c>
      <c r="X252">
        <v>0.99049640000000005</v>
      </c>
      <c r="Y252">
        <v>7.9410499999999995E-2</v>
      </c>
      <c r="Z252">
        <v>-3.1126789999999998E-4</v>
      </c>
      <c r="AA252">
        <v>0.99684200000000001</v>
      </c>
      <c r="AB252">
        <v>18</v>
      </c>
      <c r="AC252">
        <v>216.5384</v>
      </c>
      <c r="AD252">
        <v>-0.75652839999999999</v>
      </c>
      <c r="AE252">
        <v>-20.0016</v>
      </c>
      <c r="AF252">
        <v>17.2771582406336</v>
      </c>
      <c r="AG252">
        <v>-0.75652839999999999</v>
      </c>
      <c r="AH252">
        <v>216.77014976833999</v>
      </c>
      <c r="AI252">
        <v>90.199329496903502</v>
      </c>
      <c r="AJ252">
        <v>85.443006945011305</v>
      </c>
      <c r="AK252">
        <v>217.458893501002</v>
      </c>
      <c r="AL252">
        <v>85.599455669079802</v>
      </c>
      <c r="AM252">
        <v>96.573909959807594</v>
      </c>
      <c r="AN252">
        <v>0.99999999361125003</v>
      </c>
    </row>
    <row r="253" spans="1:40" x14ac:dyDescent="0.25">
      <c r="A253" t="str">
        <f>"20190304154732227"</f>
        <v>20190304154732227</v>
      </c>
      <c r="B253" t="str">
        <f>"1551685652217454"</f>
        <v>1551685652217454</v>
      </c>
      <c r="C253" t="s">
        <v>40</v>
      </c>
      <c r="D253">
        <v>4.1982119999999998</v>
      </c>
      <c r="E253">
        <v>0.57199409999999995</v>
      </c>
      <c r="F253" t="s">
        <v>46</v>
      </c>
      <c r="G253">
        <v>-245.3451</v>
      </c>
      <c r="H253">
        <v>0.346132</v>
      </c>
      <c r="I253">
        <v>347.36520000000002</v>
      </c>
      <c r="J253">
        <v>-461.7749</v>
      </c>
      <c r="K253">
        <v>1.1096170000000001</v>
      </c>
      <c r="L253">
        <v>367.01420000000002</v>
      </c>
      <c r="M253">
        <v>0.99991339999999995</v>
      </c>
      <c r="N253">
        <v>-4.151498E-3</v>
      </c>
      <c r="O253">
        <v>-1.2494740000000001E-2</v>
      </c>
      <c r="P253">
        <v>0.99217599999999995</v>
      </c>
      <c r="Q253">
        <v>7.2760660000000005E-2</v>
      </c>
      <c r="R253">
        <v>0.1014543</v>
      </c>
      <c r="S253">
        <v>3.0528559999999998</v>
      </c>
      <c r="T253">
        <v>-1.076269E-2</v>
      </c>
      <c r="U253">
        <v>-0.27703860000000002</v>
      </c>
      <c r="V253">
        <v>-0.1138533</v>
      </c>
      <c r="W253">
        <v>7.6859250000000004E-2</v>
      </c>
      <c r="X253">
        <v>0.99052010000000001</v>
      </c>
      <c r="Y253">
        <v>7.7924140000000003E-2</v>
      </c>
      <c r="Z253">
        <v>-3.0698329999999998E-4</v>
      </c>
      <c r="AA253">
        <v>0.99695929999999999</v>
      </c>
      <c r="AB253">
        <v>18</v>
      </c>
      <c r="AC253">
        <v>216.4298</v>
      </c>
      <c r="AD253">
        <v>-0.76348499999999997</v>
      </c>
      <c r="AE253">
        <v>-19.649000000000001</v>
      </c>
      <c r="AF253">
        <v>16.9429998434805</v>
      </c>
      <c r="AG253">
        <v>-0.76348499999999997</v>
      </c>
      <c r="AH253">
        <v>216.65574187691499</v>
      </c>
      <c r="AI253">
        <v>90.201292320484399</v>
      </c>
      <c r="AJ253">
        <v>85.528432950078297</v>
      </c>
      <c r="AK253">
        <v>217.31856487948201</v>
      </c>
      <c r="AL253">
        <v>85.591942057012702</v>
      </c>
      <c r="AM253">
        <v>96.556970187180099</v>
      </c>
      <c r="AN253">
        <v>0.99999999336773104</v>
      </c>
    </row>
    <row r="254" spans="1:40" x14ac:dyDescent="0.25">
      <c r="A254" t="str">
        <f>"20190304154732246"</f>
        <v>20190304154732246</v>
      </c>
      <c r="B254" t="str">
        <f>"1551685652236974"</f>
        <v>1551685652236974</v>
      </c>
      <c r="C254" t="s">
        <v>40</v>
      </c>
      <c r="D254">
        <v>4.1693300000000004</v>
      </c>
      <c r="E254">
        <v>0.57072089999999998</v>
      </c>
      <c r="F254" t="s">
        <v>46</v>
      </c>
      <c r="G254">
        <v>-245.3451</v>
      </c>
      <c r="H254">
        <v>0.35432979999999997</v>
      </c>
      <c r="I254">
        <v>347.70310000000001</v>
      </c>
      <c r="J254">
        <v>-461.61880000000002</v>
      </c>
      <c r="K254">
        <v>1.1096280000000001</v>
      </c>
      <c r="L254">
        <v>367.01240000000001</v>
      </c>
      <c r="M254">
        <v>0.99991490000000005</v>
      </c>
      <c r="N254">
        <v>-4.1675970000000003E-3</v>
      </c>
      <c r="O254">
        <v>-1.2372910000000001E-2</v>
      </c>
      <c r="P254">
        <v>0.99213079999999998</v>
      </c>
      <c r="Q254">
        <v>7.3366899999999999E-2</v>
      </c>
      <c r="R254">
        <v>0.1014593</v>
      </c>
      <c r="S254">
        <v>3.0522459999999998</v>
      </c>
      <c r="T254">
        <v>-1.065052E-2</v>
      </c>
      <c r="U254">
        <v>-0.27233889999999999</v>
      </c>
      <c r="V254">
        <v>-0.1137388</v>
      </c>
      <c r="W254">
        <v>7.7478710000000006E-2</v>
      </c>
      <c r="X254">
        <v>0.99048499999999995</v>
      </c>
      <c r="Y254">
        <v>7.6540810000000001E-2</v>
      </c>
      <c r="Z254">
        <v>-3.01479E-4</v>
      </c>
      <c r="AA254">
        <v>0.99706640000000002</v>
      </c>
      <c r="AB254">
        <v>18</v>
      </c>
      <c r="AC254">
        <v>216.27369999999999</v>
      </c>
      <c r="AD254">
        <v>-0.75529820000000003</v>
      </c>
      <c r="AE254">
        <v>-19.3093</v>
      </c>
      <c r="AF254">
        <v>16.631662746963698</v>
      </c>
      <c r="AG254">
        <v>-0.75529820000000003</v>
      </c>
      <c r="AH254">
        <v>216.493439259523</v>
      </c>
      <c r="AI254">
        <v>90.199304362869498</v>
      </c>
      <c r="AJ254">
        <v>85.606998295790504</v>
      </c>
      <c r="AK254">
        <v>217.13265973481899</v>
      </c>
      <c r="AL254">
        <v>85.556343488918699</v>
      </c>
      <c r="AM254">
        <v>96.550663422579603</v>
      </c>
      <c r="AN254">
        <v>1.0000000001768501</v>
      </c>
    </row>
    <row r="255" spans="1:40" x14ac:dyDescent="0.25">
      <c r="A255" t="str">
        <f>"20190304154732258"</f>
        <v>20190304154732258</v>
      </c>
      <c r="B255" t="str">
        <f>"1551685652247711"</f>
        <v>1551685652247711</v>
      </c>
      <c r="C255" t="s">
        <v>40</v>
      </c>
      <c r="D255">
        <v>4.2073150000000004</v>
      </c>
      <c r="E255">
        <v>0.57010629999999995</v>
      </c>
      <c r="F255" t="s">
        <v>46</v>
      </c>
      <c r="G255">
        <v>-245.3451</v>
      </c>
      <c r="H255">
        <v>0.46800969999999997</v>
      </c>
      <c r="I255">
        <v>348.43150000000003</v>
      </c>
      <c r="J255">
        <v>-461.51979999999998</v>
      </c>
      <c r="K255">
        <v>1.1096360000000001</v>
      </c>
      <c r="L255">
        <v>367.01119999999997</v>
      </c>
      <c r="M255">
        <v>0.99991580000000002</v>
      </c>
      <c r="N255">
        <v>-4.1780640000000004E-3</v>
      </c>
      <c r="O255">
        <v>-1.2289090000000001E-2</v>
      </c>
      <c r="P255">
        <v>0.9921122</v>
      </c>
      <c r="Q255">
        <v>7.3866360000000006E-2</v>
      </c>
      <c r="R255">
        <v>0.1012784</v>
      </c>
      <c r="S255">
        <v>3.0512700000000001</v>
      </c>
      <c r="T255">
        <v>-9.0510850000000004E-3</v>
      </c>
      <c r="U255">
        <v>-0.26214599999999999</v>
      </c>
      <c r="V255">
        <v>-0.1134759</v>
      </c>
      <c r="W255">
        <v>7.7986899999999998E-2</v>
      </c>
      <c r="X255">
        <v>0.99047529999999995</v>
      </c>
      <c r="Y255">
        <v>7.3347109999999993E-2</v>
      </c>
      <c r="Z255">
        <v>-2.7697060000000001E-4</v>
      </c>
      <c r="AA255">
        <v>0.99730640000000004</v>
      </c>
      <c r="AB255">
        <v>18</v>
      </c>
      <c r="AC255">
        <v>216.1747</v>
      </c>
      <c r="AD255">
        <v>-0.64162629999999998</v>
      </c>
      <c r="AE255">
        <v>-18.5796999999999</v>
      </c>
      <c r="AF255">
        <v>15.9215443016294</v>
      </c>
      <c r="AG255">
        <v>-0.64162629999999998</v>
      </c>
      <c r="AH255">
        <v>216.38481287145299</v>
      </c>
      <c r="AI255">
        <v>90.169435452594399</v>
      </c>
      <c r="AJ255">
        <v>85.791773331691104</v>
      </c>
      <c r="AK255">
        <v>216.970722676289</v>
      </c>
      <c r="AL255">
        <v>85.527138102703503</v>
      </c>
      <c r="AM255">
        <v>96.535716584339795</v>
      </c>
      <c r="AN255">
        <v>1.00000002818125</v>
      </c>
    </row>
    <row r="256" spans="1:40" x14ac:dyDescent="0.25">
      <c r="A256" t="str">
        <f>"20190304154732270"</f>
        <v>20190304154732270</v>
      </c>
      <c r="B256" t="str">
        <f>"1551685652267738"</f>
        <v>1551685652267738</v>
      </c>
      <c r="C256" t="s">
        <v>40</v>
      </c>
      <c r="D256">
        <v>4.2002870000000003</v>
      </c>
      <c r="E256">
        <v>0.5690153</v>
      </c>
      <c r="F256" t="s">
        <v>46</v>
      </c>
      <c r="G256">
        <v>-242.5067</v>
      </c>
      <c r="H256">
        <v>0.53788159999999996</v>
      </c>
      <c r="I256">
        <v>348.51170000000002</v>
      </c>
      <c r="J256">
        <v>-461.42070000000001</v>
      </c>
      <c r="K256">
        <v>1.109645</v>
      </c>
      <c r="L256">
        <v>367.01010000000002</v>
      </c>
      <c r="M256">
        <v>0.9999169</v>
      </c>
      <c r="N256">
        <v>-4.1886279999999998E-3</v>
      </c>
      <c r="O256">
        <v>-1.220218E-2</v>
      </c>
      <c r="P256">
        <v>0.99207889999999999</v>
      </c>
      <c r="Q256">
        <v>7.4210319999999996E-2</v>
      </c>
      <c r="R256">
        <v>0.1013525</v>
      </c>
      <c r="S256">
        <v>3.050751</v>
      </c>
      <c r="T256">
        <v>-7.9631809999999997E-3</v>
      </c>
      <c r="U256">
        <v>-0.25769039999999999</v>
      </c>
      <c r="V256">
        <v>-0.1134642</v>
      </c>
      <c r="W256">
        <v>7.8339640000000002E-2</v>
      </c>
      <c r="X256">
        <v>0.99044880000000002</v>
      </c>
      <c r="Y256">
        <v>7.2002269999999993E-2</v>
      </c>
      <c r="Z256">
        <v>-2.641071E-4</v>
      </c>
      <c r="AA256">
        <v>0.99740450000000003</v>
      </c>
      <c r="AB256">
        <v>18</v>
      </c>
      <c r="AC256">
        <v>218.91399999999999</v>
      </c>
      <c r="AD256">
        <v>-0.57176340000000003</v>
      </c>
      <c r="AE256">
        <v>-18.4984</v>
      </c>
      <c r="AF256">
        <v>15.8256644523312</v>
      </c>
      <c r="AG256">
        <v>-0.57176340000000003</v>
      </c>
      <c r="AH256">
        <v>219.121940305104</v>
      </c>
      <c r="AI256">
        <v>90.149115367927095</v>
      </c>
      <c r="AJ256">
        <v>85.869094087074203</v>
      </c>
      <c r="AK256">
        <v>219.69343024272899</v>
      </c>
      <c r="AL256">
        <v>85.506865551630497</v>
      </c>
      <c r="AM256">
        <v>96.535221881115007</v>
      </c>
      <c r="AN256">
        <v>1.0000000246492</v>
      </c>
    </row>
    <row r="257" spans="1:40" x14ac:dyDescent="0.25">
      <c r="A257" t="str">
        <f>"20190304154732282"</f>
        <v>20190304154732282</v>
      </c>
      <c r="B257" t="str">
        <f>"1551685652277498"</f>
        <v>1551685652277498</v>
      </c>
      <c r="C257" t="s">
        <v>40</v>
      </c>
      <c r="D257">
        <v>4.191211</v>
      </c>
      <c r="E257">
        <v>0.56847809999999999</v>
      </c>
      <c r="F257" t="s">
        <v>46</v>
      </c>
      <c r="G257">
        <v>-234.6652</v>
      </c>
      <c r="H257">
        <v>0.53326200000000001</v>
      </c>
      <c r="I257">
        <v>348.51170000000002</v>
      </c>
      <c r="J257">
        <v>-461.32040000000001</v>
      </c>
      <c r="K257">
        <v>1.109656</v>
      </c>
      <c r="L257">
        <v>367.00900000000001</v>
      </c>
      <c r="M257">
        <v>0.99991790000000003</v>
      </c>
      <c r="N257">
        <v>-4.1994390000000001E-3</v>
      </c>
      <c r="O257">
        <v>-1.2104770000000001E-2</v>
      </c>
      <c r="P257">
        <v>0.9920542</v>
      </c>
      <c r="Q257">
        <v>7.4468049999999994E-2</v>
      </c>
      <c r="R257">
        <v>0.1014048</v>
      </c>
      <c r="S257">
        <v>3.0499269999999998</v>
      </c>
      <c r="T257">
        <v>-7.7514649999999999E-3</v>
      </c>
      <c r="U257">
        <v>-0.2488098</v>
      </c>
      <c r="V257">
        <v>-0.1134217</v>
      </c>
      <c r="W257">
        <v>7.8605850000000005E-2</v>
      </c>
      <c r="X257">
        <v>0.9904326</v>
      </c>
      <c r="Y257">
        <v>6.9237519999999997E-2</v>
      </c>
      <c r="Z257">
        <v>-2.5350740000000001E-4</v>
      </c>
      <c r="AA257">
        <v>0.99760020000000005</v>
      </c>
      <c r="AB257">
        <v>18</v>
      </c>
      <c r="AC257">
        <v>226.65520000000001</v>
      </c>
      <c r="AD257">
        <v>-0.57639399999999996</v>
      </c>
      <c r="AE257">
        <v>-18.497299999999999</v>
      </c>
      <c r="AF257">
        <v>15.752210264695499</v>
      </c>
      <c r="AG257">
        <v>-0.57639399999999996</v>
      </c>
      <c r="AH257">
        <v>226.86104384054801</v>
      </c>
      <c r="AI257">
        <v>90.145223471392796</v>
      </c>
      <c r="AJ257">
        <v>86.028014014777398</v>
      </c>
      <c r="AK257">
        <v>227.40799803588601</v>
      </c>
      <c r="AL257">
        <v>85.491565768970105</v>
      </c>
      <c r="AM257">
        <v>96.532901093636497</v>
      </c>
      <c r="AN257">
        <v>1.00000004841393</v>
      </c>
    </row>
    <row r="258" spans="1:40" x14ac:dyDescent="0.25">
      <c r="A258" t="str">
        <f>"20190304154732302"</f>
        <v>20190304154732302</v>
      </c>
      <c r="B258" t="str">
        <f>"1551685652297018"</f>
        <v>1551685652297018</v>
      </c>
      <c r="C258" t="s">
        <v>40</v>
      </c>
      <c r="D258">
        <v>4.2187140000000003</v>
      </c>
      <c r="E258">
        <v>0.5674458</v>
      </c>
      <c r="F258" t="s">
        <v>46</v>
      </c>
      <c r="G258">
        <v>-230.58519999999999</v>
      </c>
      <c r="H258">
        <v>0.54370280000000004</v>
      </c>
      <c r="I258">
        <v>348.51170000000002</v>
      </c>
      <c r="J258">
        <v>-461.16140000000001</v>
      </c>
      <c r="K258">
        <v>1.109675</v>
      </c>
      <c r="L258">
        <v>367.00720000000001</v>
      </c>
      <c r="M258">
        <v>0.99992000000000003</v>
      </c>
      <c r="N258">
        <v>-4.2166790000000001E-3</v>
      </c>
      <c r="O258">
        <v>-1.1941429999999999E-2</v>
      </c>
      <c r="P258">
        <v>0.99198359999999997</v>
      </c>
      <c r="Q258">
        <v>7.4983369999999994E-2</v>
      </c>
      <c r="R258">
        <v>0.1017161</v>
      </c>
      <c r="S258">
        <v>3.0495909999999999</v>
      </c>
      <c r="T258">
        <v>-7.4790719999999998E-3</v>
      </c>
      <c r="U258">
        <v>-0.24447630000000001</v>
      </c>
      <c r="V258">
        <v>-0.1135723</v>
      </c>
      <c r="W258">
        <v>7.913444E-2</v>
      </c>
      <c r="X258">
        <v>0.99037319999999995</v>
      </c>
      <c r="Y258">
        <v>6.8000969999999994E-2</v>
      </c>
      <c r="Z258">
        <v>-2.4789650000000001E-4</v>
      </c>
      <c r="AA258">
        <v>0.99768520000000005</v>
      </c>
      <c r="AB258">
        <v>19</v>
      </c>
      <c r="AC258">
        <v>230.5762</v>
      </c>
      <c r="AD258">
        <v>-0.56597219999999904</v>
      </c>
      <c r="AE258">
        <v>-18.4955</v>
      </c>
      <c r="AF258">
        <v>15.7406534884359</v>
      </c>
      <c r="AG258">
        <v>-0.56597219999999904</v>
      </c>
      <c r="AH258">
        <v>230.77924237491001</v>
      </c>
      <c r="AI258">
        <v>90.1401884606518</v>
      </c>
      <c r="AJ258">
        <v>86.098096392482404</v>
      </c>
      <c r="AK258">
        <v>231.31611964563001</v>
      </c>
      <c r="AL258">
        <v>85.461184940086</v>
      </c>
      <c r="AM258">
        <v>96.541889210118001</v>
      </c>
      <c r="AN258">
        <v>1.00000000109982</v>
      </c>
    </row>
    <row r="259" spans="1:40" x14ac:dyDescent="0.25">
      <c r="A259" t="str">
        <f>"20190304154732315"</f>
        <v>20190304154732315</v>
      </c>
      <c r="B259" t="str">
        <f>"1551685652307754"</f>
        <v>1551685652307754</v>
      </c>
      <c r="C259" t="s">
        <v>40</v>
      </c>
      <c r="D259">
        <v>4.2131850000000002</v>
      </c>
      <c r="E259">
        <v>0.56693979999999999</v>
      </c>
      <c r="F259" t="s">
        <v>47</v>
      </c>
      <c r="G259">
        <v>-143.6301</v>
      </c>
      <c r="H259">
        <v>0.43937690000000001</v>
      </c>
      <c r="I259">
        <v>342.51179999999999</v>
      </c>
      <c r="J259">
        <v>-461.04020000000003</v>
      </c>
      <c r="K259">
        <v>1.1096839999999999</v>
      </c>
      <c r="L259">
        <v>367.00599999999997</v>
      </c>
      <c r="M259">
        <v>0.99992139999999996</v>
      </c>
      <c r="N259">
        <v>-4.2298639999999998E-3</v>
      </c>
      <c r="O259">
        <v>-1.180729E-2</v>
      </c>
      <c r="P259">
        <v>0.99194709999999997</v>
      </c>
      <c r="Q259">
        <v>7.5206350000000005E-2</v>
      </c>
      <c r="R259">
        <v>0.1019062</v>
      </c>
      <c r="S259">
        <v>3.0488590000000002</v>
      </c>
      <c r="T259">
        <v>-6.4359899999999999E-3</v>
      </c>
      <c r="U259">
        <v>-0.23519899999999999</v>
      </c>
      <c r="V259">
        <v>-0.1136311</v>
      </c>
      <c r="W259">
        <v>7.9367820000000006E-2</v>
      </c>
      <c r="X259">
        <v>0.9903478</v>
      </c>
      <c r="Y259">
        <v>6.5136570000000005E-2</v>
      </c>
      <c r="Z259">
        <v>-2.3160450000000001E-4</v>
      </c>
      <c r="AA259">
        <v>0.99787630000000005</v>
      </c>
      <c r="AB259">
        <v>19</v>
      </c>
      <c r="AC259">
        <v>317.4101</v>
      </c>
      <c r="AD259">
        <v>-0.67030710000000004</v>
      </c>
      <c r="AE259">
        <v>-24.4941999999999</v>
      </c>
      <c r="AF259">
        <v>20.7446141282037</v>
      </c>
      <c r="AG259">
        <v>-0.67030710000000004</v>
      </c>
      <c r="AH259">
        <v>317.67577777205599</v>
      </c>
      <c r="AI259">
        <v>90.120638994038899</v>
      </c>
      <c r="AJ259">
        <v>86.263820648426503</v>
      </c>
      <c r="AK259">
        <v>318.35308716897498</v>
      </c>
      <c r="AL259">
        <v>85.447771152524197</v>
      </c>
      <c r="AM259">
        <v>96.545413185716498</v>
      </c>
      <c r="AN259">
        <v>1.0000000213518001</v>
      </c>
    </row>
    <row r="260" spans="1:40" x14ac:dyDescent="0.25">
      <c r="A260" t="str">
        <f>"20190304154732337"</f>
        <v>20190304154732337</v>
      </c>
      <c r="B260" t="str">
        <f>"1551685652327274"</f>
        <v>1551685652327274</v>
      </c>
      <c r="C260" t="s">
        <v>40</v>
      </c>
      <c r="D260">
        <v>4.230677</v>
      </c>
      <c r="E260">
        <v>0.56601369999999995</v>
      </c>
      <c r="F260" t="s">
        <v>42</v>
      </c>
      <c r="G260">
        <v>0</v>
      </c>
      <c r="H260">
        <v>0</v>
      </c>
      <c r="I260">
        <v>0</v>
      </c>
      <c r="J260">
        <v>-460.86489999999998</v>
      </c>
      <c r="K260">
        <v>1.1096969999999999</v>
      </c>
      <c r="L260">
        <v>367.00409999999999</v>
      </c>
      <c r="M260">
        <v>0.99992380000000003</v>
      </c>
      <c r="N260">
        <v>-4.2487410000000003E-3</v>
      </c>
      <c r="O260">
        <v>-1.159758E-2</v>
      </c>
      <c r="P260">
        <v>0.99187000000000003</v>
      </c>
      <c r="Q260">
        <v>7.5523740000000006E-2</v>
      </c>
      <c r="R260">
        <v>0.1024211</v>
      </c>
      <c r="S260">
        <v>3.048492</v>
      </c>
      <c r="T260">
        <v>-5.9872869999999896E-3</v>
      </c>
      <c r="U260">
        <v>-0.23083500000000001</v>
      </c>
      <c r="V260">
        <v>-0.11394020000000001</v>
      </c>
      <c r="W260">
        <v>7.9700080000000006E-2</v>
      </c>
      <c r="X260">
        <v>0.99028559999999999</v>
      </c>
      <c r="Y260">
        <v>6.3934859999999996E-2</v>
      </c>
      <c r="Z260">
        <v>-2.2518000000000001E-4</v>
      </c>
      <c r="AA260">
        <v>0.99795409999999996</v>
      </c>
      <c r="AB260">
        <v>19</v>
      </c>
      <c r="AC260">
        <v>3.048492</v>
      </c>
      <c r="AD260">
        <v>-5.9872869999999896E-3</v>
      </c>
      <c r="AE260">
        <v>-0.23083500000000001</v>
      </c>
      <c r="AF260">
        <v>0.19546327931600899</v>
      </c>
      <c r="AG260">
        <v>-5.9872869999999896E-3</v>
      </c>
      <c r="AH260">
        <v>3.05095242226575</v>
      </c>
      <c r="AI260">
        <v>90.112208889270306</v>
      </c>
      <c r="AJ260">
        <v>86.334280363284805</v>
      </c>
      <c r="AK260">
        <v>3.05721317936709</v>
      </c>
      <c r="AL260">
        <v>85.428673556212104</v>
      </c>
      <c r="AM260">
        <v>96.563471558693806</v>
      </c>
      <c r="AN260">
        <v>1.0000000207477</v>
      </c>
    </row>
    <row r="261" spans="1:40" x14ac:dyDescent="0.25">
      <c r="A261" t="str">
        <f>"20190304154732350"</f>
        <v>20190304154732350</v>
      </c>
      <c r="B261" t="str">
        <f>"1551685652347770"</f>
        <v>1551685652347770</v>
      </c>
      <c r="C261" t="s">
        <v>40</v>
      </c>
      <c r="D261">
        <v>4.4056419999999896</v>
      </c>
      <c r="E261">
        <v>0.56524490000000005</v>
      </c>
      <c r="F261" t="s">
        <v>42</v>
      </c>
      <c r="G261">
        <v>0</v>
      </c>
      <c r="H261">
        <v>0</v>
      </c>
      <c r="I261">
        <v>0</v>
      </c>
      <c r="J261">
        <v>-460.74180000000001</v>
      </c>
      <c r="K261">
        <v>1.1097079999999999</v>
      </c>
      <c r="L261">
        <v>367.00290000000001</v>
      </c>
      <c r="M261">
        <v>0.99992550000000002</v>
      </c>
      <c r="N261">
        <v>-4.2617599999999999E-3</v>
      </c>
      <c r="O261">
        <v>-1.144331E-2</v>
      </c>
      <c r="P261">
        <v>0.99184170000000005</v>
      </c>
      <c r="Q261">
        <v>7.5443709999999997E-2</v>
      </c>
      <c r="R261">
        <v>0.102754399999999</v>
      </c>
      <c r="S261">
        <v>3.0479430000000001</v>
      </c>
      <c r="T261">
        <v>-5.474329E-3</v>
      </c>
      <c r="U261">
        <v>-0.22183230000000001</v>
      </c>
      <c r="V261">
        <v>-0.11412170000000001</v>
      </c>
      <c r="W261">
        <v>7.9630690000000004E-2</v>
      </c>
      <c r="X261">
        <v>0.99027030000000005</v>
      </c>
      <c r="Y261">
        <v>6.1170700000000001E-2</v>
      </c>
      <c r="Z261">
        <v>-2.135684E-4</v>
      </c>
      <c r="AA261">
        <v>0.99812730000000005</v>
      </c>
      <c r="AB261">
        <v>19</v>
      </c>
      <c r="AC261">
        <v>3.0479430000000001</v>
      </c>
      <c r="AD261">
        <v>-5.474329E-3</v>
      </c>
      <c r="AE261">
        <v>-0.22183230000000001</v>
      </c>
      <c r="AF261">
        <v>0.18693830369321501</v>
      </c>
      <c r="AG261">
        <v>-5.474329E-3</v>
      </c>
      <c r="AH261">
        <v>3.0502721575159599</v>
      </c>
      <c r="AI261">
        <v>90.102636162594195</v>
      </c>
      <c r="AJ261">
        <v>86.492969900212003</v>
      </c>
      <c r="AK261">
        <v>3.0560000216922001</v>
      </c>
      <c r="AL261">
        <v>85.432662066415702</v>
      </c>
      <c r="AM261">
        <v>96.573936016625495</v>
      </c>
      <c r="AN261">
        <v>1.00000003813142</v>
      </c>
    </row>
    <row r="262" spans="1:40" x14ac:dyDescent="0.25">
      <c r="A262" t="str">
        <f>"20190304154732370"</f>
        <v>20190304154732370</v>
      </c>
      <c r="B262" t="str">
        <f>"1551685652367798"</f>
        <v>1551685652367798</v>
      </c>
      <c r="C262" t="s">
        <v>40</v>
      </c>
      <c r="D262">
        <v>4.2398369999999996</v>
      </c>
      <c r="E262">
        <v>0.56442740000000002</v>
      </c>
      <c r="F262" t="s">
        <v>42</v>
      </c>
      <c r="G262">
        <v>0</v>
      </c>
      <c r="H262">
        <v>0</v>
      </c>
      <c r="I262">
        <v>0</v>
      </c>
      <c r="J262">
        <v>-460.5754</v>
      </c>
      <c r="K262">
        <v>1.1097140000000001</v>
      </c>
      <c r="L262">
        <v>367.00119999999998</v>
      </c>
      <c r="M262">
        <v>0.99992789999999998</v>
      </c>
      <c r="N262">
        <v>-4.279283E-3</v>
      </c>
      <c r="O262">
        <v>-1.122396E-2</v>
      </c>
      <c r="P262">
        <v>0.99177459999999995</v>
      </c>
      <c r="Q262">
        <v>7.5572730000000005E-2</v>
      </c>
      <c r="R262">
        <v>0.1033061</v>
      </c>
      <c r="S262">
        <v>3.0474239999999999</v>
      </c>
      <c r="T262">
        <v>-6.4935679999999999E-3</v>
      </c>
      <c r="U262">
        <v>-0.21487429999999999</v>
      </c>
      <c r="V262">
        <v>-0.11445710000000001</v>
      </c>
      <c r="W262">
        <v>7.9773759999999999E-2</v>
      </c>
      <c r="X262">
        <v>0.99021999999999999</v>
      </c>
      <c r="Y262">
        <v>5.9134440000000003E-2</v>
      </c>
      <c r="Z262">
        <v>-2.1370180000000001E-4</v>
      </c>
      <c r="AA262">
        <v>0.99824999999999997</v>
      </c>
      <c r="AB262">
        <v>19</v>
      </c>
      <c r="AC262">
        <v>3.0474239999999999</v>
      </c>
      <c r="AD262">
        <v>-6.4935679999999999E-3</v>
      </c>
      <c r="AE262">
        <v>-0.21487429999999999</v>
      </c>
      <c r="AF262">
        <v>0.18065547184326999</v>
      </c>
      <c r="AG262">
        <v>-6.4935679999999999E-3</v>
      </c>
      <c r="AH262">
        <v>3.0496300216239902</v>
      </c>
      <c r="AI262">
        <v>90.121786048072707</v>
      </c>
      <c r="AJ262">
        <v>86.609846514985605</v>
      </c>
      <c r="AK262">
        <v>3.0549831152925599</v>
      </c>
      <c r="AL262">
        <v>85.424438260577006</v>
      </c>
      <c r="AM262">
        <v>96.593418704703097</v>
      </c>
      <c r="AN262">
        <v>0.99999996446247297</v>
      </c>
    </row>
    <row r="263" spans="1:40" x14ac:dyDescent="0.25">
      <c r="A263" t="str">
        <f>"20190304154732383"</f>
        <v>20190304154732383</v>
      </c>
      <c r="B263" t="str">
        <f>"1551685652377557"</f>
        <v>1551685652377557</v>
      </c>
      <c r="C263" t="s">
        <v>40</v>
      </c>
      <c r="D263">
        <v>4.2365700000000004</v>
      </c>
      <c r="E263">
        <v>0.56402050000000004</v>
      </c>
      <c r="F263" t="s">
        <v>48</v>
      </c>
      <c r="G263">
        <v>-325.83530000000002</v>
      </c>
      <c r="H263">
        <v>0.77204680000000003</v>
      </c>
      <c r="I263">
        <v>357.8596</v>
      </c>
      <c r="J263">
        <v>-460.46469999999999</v>
      </c>
      <c r="K263">
        <v>1.1097189999999999</v>
      </c>
      <c r="L263">
        <v>367.00009999999997</v>
      </c>
      <c r="M263">
        <v>0.99992950000000003</v>
      </c>
      <c r="N263">
        <v>-4.2908599999999996E-3</v>
      </c>
      <c r="O263">
        <v>-1.107352E-2</v>
      </c>
      <c r="P263">
        <v>0.99174510000000005</v>
      </c>
      <c r="Q263">
        <v>7.5394379999999997E-2</v>
      </c>
      <c r="R263">
        <v>0.103719699999999</v>
      </c>
      <c r="S263">
        <v>3.0469970000000002</v>
      </c>
      <c r="T263">
        <v>-7.6340440000000004E-3</v>
      </c>
      <c r="U263">
        <v>-0.2067261</v>
      </c>
      <c r="V263">
        <v>-0.11472209999999999</v>
      </c>
      <c r="W263">
        <v>7.9605969999999998E-2</v>
      </c>
      <c r="X263">
        <v>0.99020280000000005</v>
      </c>
      <c r="Y263">
        <v>5.6637390000000003E-2</v>
      </c>
      <c r="Z263">
        <v>-2.1227790000000001E-4</v>
      </c>
      <c r="AA263">
        <v>0.99839480000000003</v>
      </c>
      <c r="AB263">
        <v>19</v>
      </c>
      <c r="AC263">
        <v>134.62939999999901</v>
      </c>
      <c r="AD263">
        <v>-0.33767219999999998</v>
      </c>
      <c r="AE263">
        <v>-9.1404999999999692</v>
      </c>
      <c r="AF263">
        <v>7.6490566085256102</v>
      </c>
      <c r="AG263">
        <v>-0.33767219999999998</v>
      </c>
      <c r="AH263">
        <v>134.721520087632</v>
      </c>
      <c r="AI263">
        <v>90.143377560817896</v>
      </c>
      <c r="AJ263">
        <v>86.750417860906794</v>
      </c>
      <c r="AK263">
        <v>134.938912342724</v>
      </c>
      <c r="AL263">
        <v>85.434082424329901</v>
      </c>
      <c r="AM263">
        <v>96.608663200544598</v>
      </c>
      <c r="AN263">
        <v>0.99999992790794201</v>
      </c>
    </row>
    <row r="264" spans="1:40" x14ac:dyDescent="0.25">
      <c r="A264" t="str">
        <f>"20190304154732402"</f>
        <v>20190304154732402</v>
      </c>
      <c r="B264" t="str">
        <f>"1551685652397077"</f>
        <v>1551685652397077</v>
      </c>
      <c r="C264" t="s">
        <v>40</v>
      </c>
      <c r="D264">
        <v>4.2146150000000002</v>
      </c>
      <c r="E264">
        <v>0.56326419999999999</v>
      </c>
      <c r="F264" t="s">
        <v>48</v>
      </c>
      <c r="G264">
        <v>-325.84739999999999</v>
      </c>
      <c r="H264">
        <v>0.7181959</v>
      </c>
      <c r="I264">
        <v>358.0711</v>
      </c>
      <c r="J264">
        <v>-460.29570000000001</v>
      </c>
      <c r="K264">
        <v>1.1097220000000001</v>
      </c>
      <c r="L264">
        <v>366.99849999999998</v>
      </c>
      <c r="M264">
        <v>0.99993209999999999</v>
      </c>
      <c r="N264">
        <v>-4.3085170000000004E-3</v>
      </c>
      <c r="O264">
        <v>-1.0839659999999999E-2</v>
      </c>
      <c r="P264">
        <v>0.9916701</v>
      </c>
      <c r="Q264">
        <v>7.5696559999999996E-2</v>
      </c>
      <c r="R264">
        <v>0.104214</v>
      </c>
      <c r="S264">
        <v>3.046783</v>
      </c>
      <c r="T264">
        <v>-8.8593960000000003E-3</v>
      </c>
      <c r="U264">
        <v>-0.2020874</v>
      </c>
      <c r="V264">
        <v>-0.1149845</v>
      </c>
      <c r="W264">
        <v>7.9924430000000005E-2</v>
      </c>
      <c r="X264">
        <v>0.99014679999999999</v>
      </c>
      <c r="Y264">
        <v>5.5362250000000002E-2</v>
      </c>
      <c r="Z264">
        <v>-2.1497430000000001E-4</v>
      </c>
      <c r="AA264">
        <v>0.99846630000000003</v>
      </c>
      <c r="AB264">
        <v>19</v>
      </c>
      <c r="AC264">
        <v>134.44829999999999</v>
      </c>
      <c r="AD264">
        <v>-0.39152609999999899</v>
      </c>
      <c r="AE264">
        <v>-8.9273999999999702</v>
      </c>
      <c r="AF264">
        <v>7.4694252406337798</v>
      </c>
      <c r="AG264">
        <v>-0.39152609999999899</v>
      </c>
      <c r="AH264">
        <v>134.53603587416001</v>
      </c>
      <c r="AI264">
        <v>90.166485028149395</v>
      </c>
      <c r="AJ264">
        <v>86.822207367685095</v>
      </c>
      <c r="AK264">
        <v>134.74379597905701</v>
      </c>
      <c r="AL264">
        <v>85.4157780965066</v>
      </c>
      <c r="AM264">
        <v>96.624016095109198</v>
      </c>
      <c r="AN264">
        <v>1.0000000176506501</v>
      </c>
    </row>
    <row r="265" spans="1:40" x14ac:dyDescent="0.25">
      <c r="A265" t="str">
        <f>"20190304154732414"</f>
        <v>20190304154732414</v>
      </c>
      <c r="B265" t="str">
        <f>"1551685652406838"</f>
        <v>1551685652406838</v>
      </c>
      <c r="C265" t="s">
        <v>40</v>
      </c>
      <c r="D265">
        <v>4.2392649999999996</v>
      </c>
      <c r="E265">
        <v>0.56290189999999996</v>
      </c>
      <c r="F265" t="s">
        <v>45</v>
      </c>
      <c r="G265">
        <v>-80.589969999999994</v>
      </c>
      <c r="H265">
        <v>-0.05</v>
      </c>
      <c r="I265">
        <v>342.74529999999999</v>
      </c>
      <c r="J265">
        <v>-460.18729999999999</v>
      </c>
      <c r="K265">
        <v>1.1097250000000001</v>
      </c>
      <c r="L265">
        <v>366.9975</v>
      </c>
      <c r="M265">
        <v>0.99993359999999998</v>
      </c>
      <c r="N265">
        <v>-4.3198230000000004E-3</v>
      </c>
      <c r="O265">
        <v>-1.0688039999999999E-2</v>
      </c>
      <c r="P265">
        <v>0.99165899999999996</v>
      </c>
      <c r="Q265">
        <v>7.5606690000000004E-2</v>
      </c>
      <c r="R265">
        <v>0.1043853</v>
      </c>
      <c r="S265">
        <v>3.0463260000000001</v>
      </c>
      <c r="T265">
        <v>-9.3042850000000007E-3</v>
      </c>
      <c r="U265">
        <v>-0.19458010000000001</v>
      </c>
      <c r="V265">
        <v>-0.115006</v>
      </c>
      <c r="W265">
        <v>7.9845529999999998E-2</v>
      </c>
      <c r="X265">
        <v>0.99015059999999999</v>
      </c>
      <c r="Y265">
        <v>5.3073170000000003E-2</v>
      </c>
      <c r="Z265">
        <v>-2.0923900000000001E-4</v>
      </c>
      <c r="AA265">
        <v>0.99859059999999999</v>
      </c>
      <c r="AB265">
        <v>19</v>
      </c>
      <c r="AC265">
        <v>379.59733</v>
      </c>
      <c r="AD265">
        <v>-1.1597249999999999</v>
      </c>
      <c r="AE265">
        <v>-24.252199999999998</v>
      </c>
      <c r="AF265">
        <v>20.193437901200902</v>
      </c>
      <c r="AG265">
        <v>-1.1597249999999999</v>
      </c>
      <c r="AH265">
        <v>379.83132746925401</v>
      </c>
      <c r="AI265">
        <v>90.174691847497698</v>
      </c>
      <c r="AJ265">
        <v>86.956779321858605</v>
      </c>
      <c r="AK265">
        <v>380.36950091115398</v>
      </c>
      <c r="AL265">
        <v>85.420312915400501</v>
      </c>
      <c r="AM265">
        <v>96.625218454763797</v>
      </c>
      <c r="AN265">
        <v>0.99999994968866901</v>
      </c>
    </row>
    <row r="266" spans="1:40" x14ac:dyDescent="0.25">
      <c r="A266" t="str">
        <f>"20190304154732426"</f>
        <v>20190304154732426</v>
      </c>
      <c r="B266" t="str">
        <f>"1551685652417574"</f>
        <v>1551685652417574</v>
      </c>
      <c r="C266" t="s">
        <v>40</v>
      </c>
      <c r="D266">
        <v>4.1350480000000003</v>
      </c>
      <c r="E266">
        <v>0.56263599999999903</v>
      </c>
      <c r="F266" t="s">
        <v>45</v>
      </c>
      <c r="G266">
        <v>-115.0201</v>
      </c>
      <c r="H266">
        <v>-0.05</v>
      </c>
      <c r="I266">
        <v>345.3329</v>
      </c>
      <c r="J266">
        <v>-460.08150000000001</v>
      </c>
      <c r="K266">
        <v>1.1097220000000001</v>
      </c>
      <c r="L266">
        <v>366.99650000000003</v>
      </c>
      <c r="M266">
        <v>0.99993509999999997</v>
      </c>
      <c r="N266">
        <v>-4.3308390000000004E-3</v>
      </c>
      <c r="O266">
        <v>-1.053893E-2</v>
      </c>
      <c r="P266">
        <v>0.9916701</v>
      </c>
      <c r="Q266">
        <v>7.5429309999999999E-2</v>
      </c>
      <c r="R266">
        <v>0.1044069</v>
      </c>
      <c r="S266">
        <v>3.0461429999999998</v>
      </c>
      <c r="T266">
        <v>-1.0234709999999999E-2</v>
      </c>
      <c r="U266">
        <v>-0.19119259999999999</v>
      </c>
      <c r="V266">
        <v>-0.1148791</v>
      </c>
      <c r="W266">
        <v>7.9679169999999994E-2</v>
      </c>
      <c r="X266">
        <v>0.99017880000000003</v>
      </c>
      <c r="Y266">
        <v>5.2119749999999999E-2</v>
      </c>
      <c r="Z266">
        <v>-2.1067619999999999E-4</v>
      </c>
      <c r="AA266">
        <v>0.9986408</v>
      </c>
      <c r="AB266">
        <v>19</v>
      </c>
      <c r="AC266">
        <v>345.06139999999999</v>
      </c>
      <c r="AD266">
        <v>-1.1597219999999999</v>
      </c>
      <c r="AE266">
        <v>-21.663599999999999</v>
      </c>
      <c r="AF266">
        <v>18.025582061914299</v>
      </c>
      <c r="AG266">
        <v>-1.1597219999999999</v>
      </c>
      <c r="AH266">
        <v>345.266664856906</v>
      </c>
      <c r="AI266">
        <v>90.192189292740196</v>
      </c>
      <c r="AJ266">
        <v>87.011431821922798</v>
      </c>
      <c r="AK266">
        <v>345.73882689856998</v>
      </c>
      <c r="AL266">
        <v>85.429875415427105</v>
      </c>
      <c r="AM266">
        <v>96.617786128771996</v>
      </c>
      <c r="AN266">
        <v>1.0000000168590599</v>
      </c>
    </row>
    <row r="267" spans="1:40" x14ac:dyDescent="0.25">
      <c r="A267" t="str">
        <f>"20190304154732438"</f>
        <v>20190304154732438</v>
      </c>
      <c r="B267" t="str">
        <f>"1551685652427334"</f>
        <v>1551685652427334</v>
      </c>
      <c r="C267" t="s">
        <v>40</v>
      </c>
      <c r="D267">
        <v>4.2951360000000003</v>
      </c>
      <c r="E267">
        <v>0.56239189999999994</v>
      </c>
      <c r="F267" t="s">
        <v>44</v>
      </c>
      <c r="G267">
        <v>-178.86859999999999</v>
      </c>
      <c r="H267">
        <v>7.9986849999999998E-2</v>
      </c>
      <c r="I267">
        <v>349.53390000000002</v>
      </c>
      <c r="J267">
        <v>-459.98099999999999</v>
      </c>
      <c r="K267">
        <v>1.1097220000000001</v>
      </c>
      <c r="L267">
        <v>366.9957</v>
      </c>
      <c r="M267">
        <v>0.99993679999999996</v>
      </c>
      <c r="N267">
        <v>-4.3413330000000002E-3</v>
      </c>
      <c r="O267">
        <v>-1.039733E-2</v>
      </c>
      <c r="P267">
        <v>0.99164759999999996</v>
      </c>
      <c r="Q267">
        <v>7.5519760000000005E-2</v>
      </c>
      <c r="R267">
        <v>0.1045589</v>
      </c>
      <c r="S267">
        <v>3.0459900000000002</v>
      </c>
      <c r="T267">
        <v>-1.1153700000000001E-2</v>
      </c>
      <c r="U267">
        <v>-0.18914790000000001</v>
      </c>
      <c r="V267">
        <v>-0.1148909</v>
      </c>
      <c r="W267">
        <v>7.9780409999999996E-2</v>
      </c>
      <c r="X267">
        <v>0.99016919999999997</v>
      </c>
      <c r="Y267">
        <v>5.159644E-2</v>
      </c>
      <c r="Z267">
        <v>-2.1355070000000001E-4</v>
      </c>
      <c r="AA267">
        <v>0.998668</v>
      </c>
      <c r="AB267">
        <v>19</v>
      </c>
      <c r="AC267">
        <v>281.11239999999998</v>
      </c>
      <c r="AD267">
        <v>-1.0297351499999901</v>
      </c>
      <c r="AE267">
        <v>-17.461799999999901</v>
      </c>
      <c r="AF267">
        <v>14.537816666106901</v>
      </c>
      <c r="AG267">
        <v>-1.0297351499999901</v>
      </c>
      <c r="AH267">
        <v>281.275002645352</v>
      </c>
      <c r="AI267">
        <v>90.209476730876005</v>
      </c>
      <c r="AJ267">
        <v>87.041276321286304</v>
      </c>
      <c r="AK267">
        <v>281.652331041374</v>
      </c>
      <c r="AL267">
        <v>85.424055907091599</v>
      </c>
      <c r="AM267">
        <v>96.618523454087295</v>
      </c>
      <c r="AN267">
        <v>0.99999993867560699</v>
      </c>
    </row>
    <row r="268" spans="1:40" x14ac:dyDescent="0.25">
      <c r="A268" t="str">
        <f>"20190304154732449"</f>
        <v>20190304154732449</v>
      </c>
      <c r="B268" t="str">
        <f>"1551685652447830"</f>
        <v>1551685652447830</v>
      </c>
      <c r="C268" t="s">
        <v>40</v>
      </c>
      <c r="D268">
        <v>4.1516869999999999</v>
      </c>
      <c r="E268">
        <v>0.56194709999999903</v>
      </c>
      <c r="F268" t="s">
        <v>45</v>
      </c>
      <c r="G268">
        <v>-122.774</v>
      </c>
      <c r="H268">
        <v>-0.05</v>
      </c>
      <c r="I268">
        <v>346.31790000000001</v>
      </c>
      <c r="J268">
        <v>-459.87290000000002</v>
      </c>
      <c r="K268">
        <v>1.109721</v>
      </c>
      <c r="L268">
        <v>366.99470000000002</v>
      </c>
      <c r="M268">
        <v>0.9999382</v>
      </c>
      <c r="N268">
        <v>-4.3526229999999999E-3</v>
      </c>
      <c r="O268">
        <v>-1.024489E-2</v>
      </c>
      <c r="P268">
        <v>0.99162439999999996</v>
      </c>
      <c r="Q268">
        <v>7.5539990000000001E-2</v>
      </c>
      <c r="R268">
        <v>0.1047614</v>
      </c>
      <c r="S268">
        <v>3.0457459999999998</v>
      </c>
      <c r="T268">
        <v>-1.047492E-2</v>
      </c>
      <c r="U268">
        <v>-0.18676760000000001</v>
      </c>
      <c r="V268">
        <v>-0.11494260000000001</v>
      </c>
      <c r="W268">
        <v>7.9811300000000002E-2</v>
      </c>
      <c r="X268">
        <v>0.99016079999999995</v>
      </c>
      <c r="Y268">
        <v>5.0976180000000003E-2</v>
      </c>
      <c r="Z268">
        <v>-2.0797829999999999E-4</v>
      </c>
      <c r="AA268">
        <v>0.99869980000000003</v>
      </c>
      <c r="AB268">
        <v>20</v>
      </c>
      <c r="AC268">
        <v>337.09890000000001</v>
      </c>
      <c r="AD268">
        <v>-1.159721</v>
      </c>
      <c r="AE268">
        <v>-20.6768</v>
      </c>
      <c r="AF268">
        <v>17.221938452598</v>
      </c>
      <c r="AG268">
        <v>-1.159721</v>
      </c>
      <c r="AH268">
        <v>337.28906507232699</v>
      </c>
      <c r="AI268">
        <v>90.196746400171406</v>
      </c>
      <c r="AJ268">
        <v>87.077022910226702</v>
      </c>
      <c r="AK268">
        <v>337.73044508043301</v>
      </c>
      <c r="AL268">
        <v>85.4222807855231</v>
      </c>
      <c r="AM268">
        <v>96.6215309704872</v>
      </c>
      <c r="AN268">
        <v>1.00000002737954</v>
      </c>
    </row>
    <row r="269" spans="1:40" x14ac:dyDescent="0.25">
      <c r="A269" t="str">
        <f>"20190304154732462"</f>
        <v>20190304154732462</v>
      </c>
      <c r="B269" t="str">
        <f>"1551685652457589"</f>
        <v>1551685652457589</v>
      </c>
      <c r="C269" t="s">
        <v>40</v>
      </c>
      <c r="D269">
        <v>4.1731989999999897</v>
      </c>
      <c r="E269">
        <v>0.5617297</v>
      </c>
      <c r="F269" t="s">
        <v>45</v>
      </c>
      <c r="G269">
        <v>-79.342299999999994</v>
      </c>
      <c r="H269">
        <v>-0.05</v>
      </c>
      <c r="I269">
        <v>344.19459999999998</v>
      </c>
      <c r="J269">
        <v>-459.77109999999999</v>
      </c>
      <c r="K269">
        <v>1.1097220000000001</v>
      </c>
      <c r="L269">
        <v>366.99380000000002</v>
      </c>
      <c r="M269">
        <v>0.99993949999999998</v>
      </c>
      <c r="N269">
        <v>-4.3632760000000001E-3</v>
      </c>
      <c r="O269">
        <v>-1.0102099999999999E-2</v>
      </c>
      <c r="P269">
        <v>0.9916528</v>
      </c>
      <c r="Q269">
        <v>7.5330499999999995E-2</v>
      </c>
      <c r="R269">
        <v>0.104642899999999</v>
      </c>
      <c r="S269">
        <v>3.0453190000000001</v>
      </c>
      <c r="T269">
        <v>-9.2810389999999996E-3</v>
      </c>
      <c r="U269">
        <v>-0.1824646</v>
      </c>
      <c r="V269">
        <v>-0.1146824</v>
      </c>
      <c r="W269">
        <v>7.9613100000000006E-2</v>
      </c>
      <c r="X269">
        <v>0.9902069</v>
      </c>
      <c r="Y269">
        <v>4.972145E-2</v>
      </c>
      <c r="Z269">
        <v>-1.9755679999999999E-4</v>
      </c>
      <c r="AA269">
        <v>0.99876310000000001</v>
      </c>
      <c r="AB269">
        <v>20</v>
      </c>
      <c r="AC269">
        <v>380.42880000000002</v>
      </c>
      <c r="AD269">
        <v>-1.1597219999999999</v>
      </c>
      <c r="AE269">
        <v>-22.799199999999999</v>
      </c>
      <c r="AF269">
        <v>18.954694890856199</v>
      </c>
      <c r="AG269">
        <v>-1.1597219999999999</v>
      </c>
      <c r="AH269">
        <v>380.63618464197702</v>
      </c>
      <c r="AI269">
        <v>90.174352149126094</v>
      </c>
      <c r="AJ269">
        <v>87.149173684865602</v>
      </c>
      <c r="AK269">
        <v>381.10960427719999</v>
      </c>
      <c r="AL269">
        <v>85.433672942278605</v>
      </c>
      <c r="AM269">
        <v>96.606369355734998</v>
      </c>
      <c r="AN269">
        <v>1.0000000016844801</v>
      </c>
    </row>
    <row r="270" spans="1:40" x14ac:dyDescent="0.25">
      <c r="A270" t="str">
        <f>"20190304154732479"</f>
        <v>20190304154732479</v>
      </c>
      <c r="B270" t="str">
        <f>"1551685652477617"</f>
        <v>1551685652477617</v>
      </c>
      <c r="C270" t="s">
        <v>40</v>
      </c>
      <c r="D270">
        <v>4.1582970000000001</v>
      </c>
      <c r="E270">
        <v>0.56123210000000001</v>
      </c>
      <c r="F270" t="s">
        <v>45</v>
      </c>
      <c r="G270">
        <v>-108.55880000000001</v>
      </c>
      <c r="H270">
        <v>-0.05</v>
      </c>
      <c r="I270">
        <v>346.10070000000002</v>
      </c>
      <c r="J270">
        <v>-459.61419999999998</v>
      </c>
      <c r="K270">
        <v>1.10972</v>
      </c>
      <c r="L270">
        <v>366.99239999999998</v>
      </c>
      <c r="M270">
        <v>0.99994170000000004</v>
      </c>
      <c r="N270">
        <v>-4.3796219999999997E-3</v>
      </c>
      <c r="O270">
        <v>-9.8837509999999996E-3</v>
      </c>
      <c r="P270">
        <v>0.99160000000000004</v>
      </c>
      <c r="Q270">
        <v>7.5672749999999997E-2</v>
      </c>
      <c r="R270">
        <v>0.104897</v>
      </c>
      <c r="S270">
        <v>3.045166</v>
      </c>
      <c r="T270">
        <v>-1.00553E-2</v>
      </c>
      <c r="U270">
        <v>-0.18115229999999999</v>
      </c>
      <c r="V270">
        <v>-0.11471969999999999</v>
      </c>
      <c r="W270">
        <v>7.9971959999999995E-2</v>
      </c>
      <c r="X270">
        <v>0.99017359999999999</v>
      </c>
      <c r="Y270">
        <v>4.9513590000000003E-2</v>
      </c>
      <c r="Z270">
        <v>-2.0084599999999999E-4</v>
      </c>
      <c r="AA270">
        <v>0.99877349999999998</v>
      </c>
      <c r="AB270">
        <v>20</v>
      </c>
      <c r="AC270">
        <v>351.05540000000002</v>
      </c>
      <c r="AD270">
        <v>-1.1597200000000001</v>
      </c>
      <c r="AE270">
        <v>-20.891699999999901</v>
      </c>
      <c r="AF270">
        <v>17.420713105619001</v>
      </c>
      <c r="AG270">
        <v>-1.1597200000000001</v>
      </c>
      <c r="AH270">
        <v>351.24092286614598</v>
      </c>
      <c r="AI270">
        <v>90.188945079135905</v>
      </c>
      <c r="AJ270">
        <v>87.160592533363399</v>
      </c>
      <c r="AK270">
        <v>351.67458266336001</v>
      </c>
      <c r="AL270">
        <v>85.413045730897394</v>
      </c>
      <c r="AM270">
        <v>96.608719329518095</v>
      </c>
      <c r="AN270">
        <v>0.99999994104564405</v>
      </c>
    </row>
    <row r="271" spans="1:40" x14ac:dyDescent="0.25">
      <c r="A271" t="str">
        <f>"20190304154732492"</f>
        <v>20190304154732492</v>
      </c>
      <c r="B271" t="str">
        <f>"1551685652487377"</f>
        <v>1551685652487377</v>
      </c>
      <c r="C271" t="s">
        <v>40</v>
      </c>
      <c r="D271">
        <v>4.1941439999999997</v>
      </c>
      <c r="E271">
        <v>0.56101020000000001</v>
      </c>
      <c r="F271" t="s">
        <v>45</v>
      </c>
      <c r="G271">
        <v>-105.39230000000001</v>
      </c>
      <c r="H271">
        <v>-0.05</v>
      </c>
      <c r="I271">
        <v>346.4896</v>
      </c>
      <c r="J271">
        <v>-459.5043</v>
      </c>
      <c r="K271">
        <v>1.10972</v>
      </c>
      <c r="L271">
        <v>366.99149999999997</v>
      </c>
      <c r="M271">
        <v>0.99994309999999997</v>
      </c>
      <c r="N271">
        <v>-4.3910249999999998E-3</v>
      </c>
      <c r="O271">
        <v>-9.7314289999999998E-3</v>
      </c>
      <c r="P271">
        <v>0.99153670000000005</v>
      </c>
      <c r="Q271">
        <v>7.5939560000000003E-2</v>
      </c>
      <c r="R271">
        <v>0.1053009</v>
      </c>
      <c r="S271">
        <v>3.0448300000000001</v>
      </c>
      <c r="T271">
        <v>-9.9687579999999994E-3</v>
      </c>
      <c r="U271">
        <v>-0.17623900000000001</v>
      </c>
      <c r="V271">
        <v>-0.11497209999999999</v>
      </c>
      <c r="W271">
        <v>8.0249529999999999E-2</v>
      </c>
      <c r="X271">
        <v>0.99012199999999995</v>
      </c>
      <c r="Y271">
        <v>4.8066079999999997E-2</v>
      </c>
      <c r="Z271">
        <v>-1.9510480000000001E-4</v>
      </c>
      <c r="AA271">
        <v>0.99884410000000001</v>
      </c>
      <c r="AB271">
        <v>20</v>
      </c>
      <c r="AC271">
        <v>354.11200000000002</v>
      </c>
      <c r="AD271">
        <v>-1.1597200000000001</v>
      </c>
      <c r="AE271">
        <v>-20.5018999999999</v>
      </c>
      <c r="AF271">
        <v>17.0546981848697</v>
      </c>
      <c r="AG271">
        <v>-1.1597200000000001</v>
      </c>
      <c r="AH271">
        <v>354.290959325252</v>
      </c>
      <c r="AI271">
        <v>90.187331825327405</v>
      </c>
      <c r="AJ271">
        <v>87.244049047739495</v>
      </c>
      <c r="AK271">
        <v>354.70310336993498</v>
      </c>
      <c r="AL271">
        <v>85.397091468995299</v>
      </c>
      <c r="AM271">
        <v>96.623472526991804</v>
      </c>
      <c r="AN271">
        <v>1.0000000728638101</v>
      </c>
    </row>
    <row r="272" spans="1:40" x14ac:dyDescent="0.25">
      <c r="A272" t="str">
        <f>"20190304154732504"</f>
        <v>20190304154732504</v>
      </c>
      <c r="B272" t="str">
        <f>"1551685652497138"</f>
        <v>1551685652497138</v>
      </c>
      <c r="C272" t="s">
        <v>40</v>
      </c>
      <c r="D272">
        <v>4.1424599999999998</v>
      </c>
      <c r="E272">
        <v>0.56079179999999995</v>
      </c>
      <c r="F272" t="s">
        <v>45</v>
      </c>
      <c r="G272">
        <v>-87.788539999999998</v>
      </c>
      <c r="H272">
        <v>-0.05</v>
      </c>
      <c r="I272">
        <v>345.84800000000001</v>
      </c>
      <c r="J272">
        <v>-459.38420000000002</v>
      </c>
      <c r="K272">
        <v>1.10972</v>
      </c>
      <c r="L272">
        <v>366.9905</v>
      </c>
      <c r="M272">
        <v>0.99994459999999996</v>
      </c>
      <c r="N272">
        <v>-4.4037030000000001E-3</v>
      </c>
      <c r="O272">
        <v>-9.5668300000000001E-3</v>
      </c>
      <c r="P272">
        <v>0.99149640000000006</v>
      </c>
      <c r="Q272">
        <v>7.5999440000000001E-2</v>
      </c>
      <c r="R272">
        <v>0.10563699999999999</v>
      </c>
      <c r="S272">
        <v>3.0447389999999999</v>
      </c>
      <c r="T272">
        <v>-9.4993109999999999E-3</v>
      </c>
      <c r="U272">
        <v>-0.17318729999999999</v>
      </c>
      <c r="V272">
        <v>-0.1151446</v>
      </c>
      <c r="W272">
        <v>8.0322249999999998E-2</v>
      </c>
      <c r="X272">
        <v>0.99009599999999998</v>
      </c>
      <c r="Y272">
        <v>4.7234400000000003E-2</v>
      </c>
      <c r="Z272">
        <v>-1.899901E-4</v>
      </c>
      <c r="AA272">
        <v>0.99888379999999999</v>
      </c>
      <c r="AB272">
        <v>20</v>
      </c>
      <c r="AC272">
        <v>371.59566000000001</v>
      </c>
      <c r="AD272">
        <v>-1.1597200000000001</v>
      </c>
      <c r="AE272">
        <v>-21.142499999999899</v>
      </c>
      <c r="AF272">
        <v>17.5863349274622</v>
      </c>
      <c r="AG272">
        <v>-1.1597200000000001</v>
      </c>
      <c r="AH272">
        <v>371.77731345406198</v>
      </c>
      <c r="AI272">
        <v>90.178527918055394</v>
      </c>
      <c r="AJ272">
        <v>87.291733026927503</v>
      </c>
      <c r="AK272">
        <v>372.19483463070702</v>
      </c>
      <c r="AL272">
        <v>85.392911163913297</v>
      </c>
      <c r="AM272">
        <v>96.633494290042094</v>
      </c>
      <c r="AN272">
        <v>1.0000000159851099</v>
      </c>
    </row>
    <row r="273" spans="1:40" x14ac:dyDescent="0.25">
      <c r="A273" t="str">
        <f>"20190304154732516"</f>
        <v>20190304154732516</v>
      </c>
      <c r="B273" t="str">
        <f>"1551685652506897"</f>
        <v>1551685652506897</v>
      </c>
      <c r="C273" t="s">
        <v>40</v>
      </c>
      <c r="D273">
        <v>4.1766209999999999</v>
      </c>
      <c r="E273">
        <v>0.56059040000000004</v>
      </c>
      <c r="F273" t="s">
        <v>45</v>
      </c>
      <c r="G273">
        <v>-90.631900000000002</v>
      </c>
      <c r="H273">
        <v>-0.05</v>
      </c>
      <c r="I273">
        <v>346.32920000000001</v>
      </c>
      <c r="J273">
        <v>-459.28070000000002</v>
      </c>
      <c r="K273">
        <v>1.1097220000000001</v>
      </c>
      <c r="L273">
        <v>366.98970000000003</v>
      </c>
      <c r="M273">
        <v>0.99994590000000005</v>
      </c>
      <c r="N273">
        <v>-4.4146050000000003E-3</v>
      </c>
      <c r="O273">
        <v>-9.4254720000000007E-3</v>
      </c>
      <c r="P273">
        <v>0.99145499999999998</v>
      </c>
      <c r="Q273">
        <v>7.6285939999999997E-2</v>
      </c>
      <c r="R273">
        <v>0.1058183</v>
      </c>
      <c r="S273">
        <v>3.0446469999999999</v>
      </c>
      <c r="T273">
        <v>-9.5753669999999996E-3</v>
      </c>
      <c r="U273">
        <v>-0.1705933</v>
      </c>
      <c r="V273">
        <v>-0.1151853</v>
      </c>
      <c r="W273">
        <v>8.0619780000000002E-2</v>
      </c>
      <c r="X273">
        <v>0.99006709999999998</v>
      </c>
      <c r="Y273">
        <v>4.6528979999999998E-2</v>
      </c>
      <c r="Z273">
        <v>-1.878572E-4</v>
      </c>
      <c r="AA273">
        <v>0.9989169</v>
      </c>
      <c r="AB273">
        <v>20</v>
      </c>
      <c r="AC273">
        <v>368.64879999999999</v>
      </c>
      <c r="AD273">
        <v>-1.1597219999999999</v>
      </c>
      <c r="AE273">
        <v>-20.660499999999999</v>
      </c>
      <c r="AF273">
        <v>17.184690117928898</v>
      </c>
      <c r="AG273">
        <v>-1.1597219999999999</v>
      </c>
      <c r="AH273">
        <v>368.82352223904002</v>
      </c>
      <c r="AI273">
        <v>90.179963979536396</v>
      </c>
      <c r="AJ273">
        <v>87.332332196580396</v>
      </c>
      <c r="AK273">
        <v>369.22547188185399</v>
      </c>
      <c r="AL273">
        <v>85.375808561982396</v>
      </c>
      <c r="AM273">
        <v>96.636010085894398</v>
      </c>
      <c r="AN273">
        <v>1.0000000323828699</v>
      </c>
    </row>
    <row r="274" spans="1:40" x14ac:dyDescent="0.25">
      <c r="A274" t="str">
        <f>"20190304154732528"</f>
        <v>20190304154732528</v>
      </c>
      <c r="B274" t="str">
        <f>"1551685652517633"</f>
        <v>1551685652517633</v>
      </c>
      <c r="C274" t="s">
        <v>40</v>
      </c>
      <c r="D274">
        <v>4.1322570000000001</v>
      </c>
      <c r="E274">
        <v>0.56038030000000005</v>
      </c>
      <c r="F274" t="s">
        <v>45</v>
      </c>
      <c r="G274">
        <v>-71.912989999999994</v>
      </c>
      <c r="H274">
        <v>-0.05</v>
      </c>
      <c r="I274">
        <v>345.57170000000002</v>
      </c>
      <c r="J274">
        <v>-459.1748</v>
      </c>
      <c r="K274">
        <v>1.1097250000000001</v>
      </c>
      <c r="L274">
        <v>366.9889</v>
      </c>
      <c r="M274">
        <v>0.99994709999999998</v>
      </c>
      <c r="N274">
        <v>-4.4257180000000004E-3</v>
      </c>
      <c r="O274">
        <v>-9.2816099999999992E-3</v>
      </c>
      <c r="P274">
        <v>0.99141389999999996</v>
      </c>
      <c r="Q274">
        <v>7.624127E-2</v>
      </c>
      <c r="R274">
        <v>0.1062351</v>
      </c>
      <c r="S274">
        <v>3.0445250000000001</v>
      </c>
      <c r="T274">
        <v>-9.1148610000000001E-3</v>
      </c>
      <c r="U274">
        <v>-0.16833499999999901</v>
      </c>
      <c r="V274">
        <v>-0.1154594</v>
      </c>
      <c r="W274">
        <v>8.0585580000000004E-2</v>
      </c>
      <c r="X274">
        <v>0.99003790000000003</v>
      </c>
      <c r="Y274">
        <v>4.5936310000000001E-2</v>
      </c>
      <c r="Z274">
        <v>-1.8372509999999999E-4</v>
      </c>
      <c r="AA274">
        <v>0.99894430000000001</v>
      </c>
      <c r="AB274">
        <v>20</v>
      </c>
      <c r="AC274">
        <v>387.26181000000003</v>
      </c>
      <c r="AD274">
        <v>-1.1597249999999999</v>
      </c>
      <c r="AE274">
        <v>-21.417199999999902</v>
      </c>
      <c r="AF274">
        <v>17.8216696932272</v>
      </c>
      <c r="AG274">
        <v>-1.1597249999999999</v>
      </c>
      <c r="AH274">
        <v>387.44045238150397</v>
      </c>
      <c r="AI274">
        <v>90.171321720256202</v>
      </c>
      <c r="AJ274">
        <v>87.3663379978248</v>
      </c>
      <c r="AK274">
        <v>387.85185446806202</v>
      </c>
      <c r="AL274">
        <v>85.377774213300796</v>
      </c>
      <c r="AM274">
        <v>96.651854512373504</v>
      </c>
      <c r="AN274">
        <v>0.99999997609435198</v>
      </c>
    </row>
    <row r="275" spans="1:40" x14ac:dyDescent="0.25">
      <c r="A275" t="str">
        <f>"20190304154732543"</f>
        <v>20190304154732543</v>
      </c>
      <c r="B275" t="str">
        <f>"1551685652537153"</f>
        <v>1551685652537153</v>
      </c>
      <c r="C275" t="s">
        <v>40</v>
      </c>
      <c r="D275">
        <v>4.0423989999999996</v>
      </c>
      <c r="E275">
        <v>0.56007810000000002</v>
      </c>
      <c r="F275" t="s">
        <v>45</v>
      </c>
      <c r="G275">
        <v>-90.457660000000004</v>
      </c>
      <c r="H275">
        <v>-0.05</v>
      </c>
      <c r="I275">
        <v>346.95670000000001</v>
      </c>
      <c r="J275">
        <v>-459.04390000000001</v>
      </c>
      <c r="K275">
        <v>1.109726</v>
      </c>
      <c r="L275">
        <v>366.98779999999999</v>
      </c>
      <c r="M275">
        <v>0.99994870000000002</v>
      </c>
      <c r="N275">
        <v>-4.4394309999999998E-3</v>
      </c>
      <c r="O275">
        <v>-9.1047320000000008E-3</v>
      </c>
      <c r="P275">
        <v>0.99136809999999997</v>
      </c>
      <c r="Q275">
        <v>7.6224860000000005E-2</v>
      </c>
      <c r="R275">
        <v>0.10667210000000001</v>
      </c>
      <c r="S275">
        <v>3.044495</v>
      </c>
      <c r="T275">
        <v>-9.575844E-3</v>
      </c>
      <c r="U275">
        <v>-0.16540529999999901</v>
      </c>
      <c r="V275">
        <v>-0.1157205</v>
      </c>
      <c r="W275">
        <v>8.0582249999999994E-2</v>
      </c>
      <c r="X275">
        <v>0.99000770000000005</v>
      </c>
      <c r="Y275">
        <v>4.515512E-2</v>
      </c>
      <c r="Z275">
        <v>-1.830464E-4</v>
      </c>
      <c r="AA275">
        <v>0.99897999999999998</v>
      </c>
      <c r="AB275">
        <v>20</v>
      </c>
      <c r="AC275">
        <v>368.58623999999998</v>
      </c>
      <c r="AD275">
        <v>-1.159726</v>
      </c>
      <c r="AE275">
        <v>-20.031099999999899</v>
      </c>
      <c r="AF275">
        <v>16.674193136510901</v>
      </c>
      <c r="AG275">
        <v>-1.159726</v>
      </c>
      <c r="AH275">
        <v>368.749701937277</v>
      </c>
      <c r="AI275">
        <v>90.180011965954506</v>
      </c>
      <c r="AJ275">
        <v>87.410952337170201</v>
      </c>
      <c r="AK275">
        <v>369.12831963963299</v>
      </c>
      <c r="AL275">
        <v>85.377965693320505</v>
      </c>
      <c r="AM275">
        <v>96.666963304938704</v>
      </c>
      <c r="AN275">
        <v>0.99999998959730096</v>
      </c>
    </row>
    <row r="276" spans="1:40" x14ac:dyDescent="0.25">
      <c r="A276" t="str">
        <f>"20190304154732559"</f>
        <v>20190304154732559</v>
      </c>
      <c r="B276" t="str">
        <f>"1551685652557649"</f>
        <v>1551685652557649</v>
      </c>
      <c r="C276" t="s">
        <v>40</v>
      </c>
      <c r="D276">
        <v>4.0621369999999999</v>
      </c>
      <c r="E276">
        <v>0.51344499999999904</v>
      </c>
      <c r="F276" t="s">
        <v>43</v>
      </c>
      <c r="G276">
        <v>-158.78319999999999</v>
      </c>
      <c r="H276">
        <v>9.2203140000000003E-2</v>
      </c>
      <c r="I276">
        <v>351.0591</v>
      </c>
      <c r="J276">
        <v>-458.89550000000003</v>
      </c>
      <c r="K276">
        <v>1.109726</v>
      </c>
      <c r="L276">
        <v>366.98669999999998</v>
      </c>
      <c r="M276">
        <v>0.99995040000000002</v>
      </c>
      <c r="N276">
        <v>-4.4549660000000003E-3</v>
      </c>
      <c r="O276">
        <v>-8.9050880000000002E-3</v>
      </c>
      <c r="P276">
        <v>0.99128190000000005</v>
      </c>
      <c r="Q276">
        <v>7.6294699999999993E-2</v>
      </c>
      <c r="R276">
        <v>0.107421699999999</v>
      </c>
      <c r="S276">
        <v>3.0443120000000001</v>
      </c>
      <c r="T276">
        <v>-1.0315660000000001E-2</v>
      </c>
      <c r="U276">
        <v>-0.161499</v>
      </c>
      <c r="V276">
        <v>-0.1162716</v>
      </c>
      <c r="W276">
        <v>8.0667329999999995E-2</v>
      </c>
      <c r="X276">
        <v>0.98993620000000004</v>
      </c>
      <c r="Y276">
        <v>4.4079599999999997E-2</v>
      </c>
      <c r="Z276">
        <v>-1.8238130000000001E-4</v>
      </c>
      <c r="AA276">
        <v>0.99902800000000003</v>
      </c>
      <c r="AB276">
        <v>20</v>
      </c>
      <c r="AC276">
        <v>300.1123</v>
      </c>
      <c r="AD276">
        <v>-1.0175228599999999</v>
      </c>
      <c r="AE276">
        <v>-15.927599999999901</v>
      </c>
      <c r="AF276">
        <v>13.254263477569801</v>
      </c>
      <c r="AG276">
        <v>-1.0175228599999999</v>
      </c>
      <c r="AH276">
        <v>300.23879643174001</v>
      </c>
      <c r="AI276">
        <v>90.193988311426594</v>
      </c>
      <c r="AJ276">
        <v>87.472276680221796</v>
      </c>
      <c r="AK276">
        <v>300.532936191499</v>
      </c>
      <c r="AL276">
        <v>85.373075056166499</v>
      </c>
      <c r="AM276">
        <v>96.698905197301997</v>
      </c>
      <c r="AN276">
        <v>0.99999999158316399</v>
      </c>
    </row>
    <row r="277" spans="1:40" x14ac:dyDescent="0.25">
      <c r="A277" t="str">
        <f>"20190304154732574"</f>
        <v>20190304154732574</v>
      </c>
      <c r="B277" t="str">
        <f>"1551685652566939"</f>
        <v>1551685652566939</v>
      </c>
      <c r="C277" t="s">
        <v>40</v>
      </c>
      <c r="D277">
        <v>4.1061030000000001</v>
      </c>
      <c r="E277">
        <v>0.50829230000000003</v>
      </c>
      <c r="F277" t="s">
        <v>44</v>
      </c>
      <c r="G277">
        <v>-371.59339999999997</v>
      </c>
      <c r="H277" s="1">
        <v>-4.3479950000000002E-6</v>
      </c>
      <c r="I277">
        <v>373.0788</v>
      </c>
      <c r="J277">
        <v>-458.7638</v>
      </c>
      <c r="K277">
        <v>1.109726</v>
      </c>
      <c r="L277">
        <v>366.98570000000001</v>
      </c>
      <c r="M277">
        <v>0.99995199999999995</v>
      </c>
      <c r="N277">
        <v>-4.4687809999999998E-3</v>
      </c>
      <c r="O277">
        <v>-8.7286849999999999E-3</v>
      </c>
      <c r="P277">
        <v>0.99123700000000003</v>
      </c>
      <c r="Q277">
        <v>7.6310139999999999E-2</v>
      </c>
      <c r="R277">
        <v>0.10782559999999999</v>
      </c>
      <c r="S277">
        <v>3.0065919999999999</v>
      </c>
      <c r="T277">
        <v>-3.8217899999999999E-2</v>
      </c>
      <c r="U277">
        <v>0.2098083</v>
      </c>
      <c r="V277">
        <v>-0.1165007</v>
      </c>
      <c r="W277">
        <v>8.0695840000000005E-2</v>
      </c>
      <c r="X277">
        <v>0.98990699999999998</v>
      </c>
      <c r="Y277">
        <v>-7.830964E-2</v>
      </c>
      <c r="Z277">
        <v>7.4415009999999999E-4</v>
      </c>
      <c r="AA277">
        <v>0.99692879999999995</v>
      </c>
      <c r="AB277">
        <v>20</v>
      </c>
      <c r="AC277">
        <v>87.170400000000001</v>
      </c>
      <c r="AD277">
        <v>-1.109730347995</v>
      </c>
      <c r="AE277">
        <v>6.09309999999999</v>
      </c>
      <c r="AF277">
        <v>-6.85265317832779</v>
      </c>
      <c r="AG277">
        <v>-1.109730347995</v>
      </c>
      <c r="AH277">
        <v>87.099846389175994</v>
      </c>
      <c r="AI277">
        <v>90.727711735540097</v>
      </c>
      <c r="AJ277">
        <v>94.498526798801805</v>
      </c>
      <c r="AK277">
        <v>87.376047049782201</v>
      </c>
      <c r="AL277">
        <v>85.371436482493493</v>
      </c>
      <c r="AM277">
        <v>96.712180500342996</v>
      </c>
      <c r="AN277">
        <v>1.0000000501713899</v>
      </c>
    </row>
    <row r="278" spans="1:40" x14ac:dyDescent="0.25">
      <c r="A278" t="str">
        <f>"20190304154732591"</f>
        <v>20190304154732591</v>
      </c>
      <c r="B278" t="str">
        <f>"1551685652587436"</f>
        <v>1551685652587436</v>
      </c>
      <c r="C278" t="s">
        <v>40</v>
      </c>
      <c r="D278">
        <v>4.0630220000000001</v>
      </c>
      <c r="E278">
        <v>0.50314029999999998</v>
      </c>
      <c r="F278" t="s">
        <v>44</v>
      </c>
      <c r="G278">
        <v>-393.16030000000001</v>
      </c>
      <c r="H278" s="1">
        <v>-3.6797009999999999E-6</v>
      </c>
      <c r="I278">
        <v>372.48439999999999</v>
      </c>
      <c r="J278">
        <v>-458.60300000000001</v>
      </c>
      <c r="K278">
        <v>1.1097269999999999</v>
      </c>
      <c r="L278">
        <v>366.9846</v>
      </c>
      <c r="M278">
        <v>0.9999538</v>
      </c>
      <c r="N278">
        <v>-4.4858670000000002E-3</v>
      </c>
      <c r="O278">
        <v>-8.5136629999999994E-3</v>
      </c>
      <c r="P278">
        <v>0.99121250000000005</v>
      </c>
      <c r="Q278">
        <v>7.6178889999999999E-2</v>
      </c>
      <c r="R278">
        <v>0.1081435</v>
      </c>
      <c r="S278">
        <v>3.0030519999999998</v>
      </c>
      <c r="T278">
        <v>-5.0798650000000001E-2</v>
      </c>
      <c r="U278">
        <v>0.25170900000000002</v>
      </c>
      <c r="V278">
        <v>-0.11660520000000001</v>
      </c>
      <c r="W278">
        <v>8.058129E-2</v>
      </c>
      <c r="X278">
        <v>0.98990400000000001</v>
      </c>
      <c r="Y278">
        <v>-9.1988609999999998E-2</v>
      </c>
      <c r="Z278">
        <v>1.088957E-3</v>
      </c>
      <c r="AA278">
        <v>0.99575950000000002</v>
      </c>
      <c r="AB278">
        <v>20</v>
      </c>
      <c r="AC278">
        <v>65.442700000000002</v>
      </c>
      <c r="AD278">
        <v>-1.109730679701</v>
      </c>
      <c r="AE278">
        <v>5.4997999999999898</v>
      </c>
      <c r="AF278">
        <v>-6.0550344026900103</v>
      </c>
      <c r="AG278">
        <v>-1.109730679701</v>
      </c>
      <c r="AH278">
        <v>65.374837604779003</v>
      </c>
      <c r="AI278">
        <v>90.968352309760405</v>
      </c>
      <c r="AJ278">
        <v>95.291652905143494</v>
      </c>
      <c r="AK278">
        <v>65.664026191290304</v>
      </c>
      <c r="AL278">
        <v>85.378021031867604</v>
      </c>
      <c r="AM278">
        <v>96.718166426926402</v>
      </c>
      <c r="AN278">
        <v>1.0000000230905499</v>
      </c>
    </row>
    <row r="279" spans="1:40" x14ac:dyDescent="0.25">
      <c r="A279" t="str">
        <f>"20190304154732604"</f>
        <v>20190304154732604</v>
      </c>
      <c r="B279" t="str">
        <f>"1551685652597196"</f>
        <v>1551685652597196</v>
      </c>
      <c r="C279" t="s">
        <v>40</v>
      </c>
      <c r="D279">
        <v>4.0892739999999996</v>
      </c>
      <c r="E279">
        <v>0.50202040000000003</v>
      </c>
      <c r="F279" t="s">
        <v>45</v>
      </c>
      <c r="G279">
        <v>-409.37439999999998</v>
      </c>
      <c r="H279">
        <v>-0.05</v>
      </c>
      <c r="I279">
        <v>371.7971</v>
      </c>
      <c r="J279">
        <v>-458.48480000000001</v>
      </c>
      <c r="K279">
        <v>1.1097269999999999</v>
      </c>
      <c r="L279">
        <v>366.9837</v>
      </c>
      <c r="M279">
        <v>0.99995520000000004</v>
      </c>
      <c r="N279">
        <v>-4.4984530000000003E-3</v>
      </c>
      <c r="O279">
        <v>-8.3560919999999903E-3</v>
      </c>
      <c r="P279">
        <v>0.99118790000000001</v>
      </c>
      <c r="Q279">
        <v>7.6022309999999996E-2</v>
      </c>
      <c r="R279">
        <v>0.1084788</v>
      </c>
      <c r="S279">
        <v>3</v>
      </c>
      <c r="T279">
        <v>-7.0673940000000005E-2</v>
      </c>
      <c r="U279">
        <v>0.29327389999999998</v>
      </c>
      <c r="V279">
        <v>-0.116785</v>
      </c>
      <c r="W279">
        <v>8.0436800000000003E-2</v>
      </c>
      <c r="X279">
        <v>0.98989450000000001</v>
      </c>
      <c r="Y279">
        <v>-0.1055712</v>
      </c>
      <c r="Z279">
        <v>1.6373360000000001E-3</v>
      </c>
      <c r="AA279">
        <v>0.99441040000000003</v>
      </c>
      <c r="AB279">
        <v>20</v>
      </c>
      <c r="AC279">
        <v>49.110399999999998</v>
      </c>
      <c r="AD279">
        <v>-1.159727</v>
      </c>
      <c r="AE279">
        <v>4.8133999999999997</v>
      </c>
      <c r="AF279">
        <v>-5.2207233711222099</v>
      </c>
      <c r="AG279">
        <v>-1.159727</v>
      </c>
      <c r="AH279">
        <v>49.041375886089199</v>
      </c>
      <c r="AI279">
        <v>91.347065411632201</v>
      </c>
      <c r="AJ279">
        <v>96.076564093063993</v>
      </c>
      <c r="AK279">
        <v>49.332113962742397</v>
      </c>
      <c r="AL279">
        <v>85.386326405569903</v>
      </c>
      <c r="AM279">
        <v>96.728494615150098</v>
      </c>
      <c r="AN279">
        <v>0.99999996807474401</v>
      </c>
    </row>
    <row r="280" spans="1:40" x14ac:dyDescent="0.25">
      <c r="A280" t="str">
        <f>"20190304154732616"</f>
        <v>20190304154732616</v>
      </c>
      <c r="B280" t="str">
        <f>"1551685652606955"</f>
        <v>1551685652606955</v>
      </c>
      <c r="C280" t="s">
        <v>40</v>
      </c>
      <c r="D280">
        <v>4.0831489999999997</v>
      </c>
      <c r="E280">
        <v>0.50117889999999998</v>
      </c>
      <c r="F280" t="s">
        <v>45</v>
      </c>
      <c r="G280">
        <v>-411.62759999999997</v>
      </c>
      <c r="H280">
        <v>-0.05</v>
      </c>
      <c r="I280">
        <v>371.72059999999999</v>
      </c>
      <c r="J280">
        <v>-458.36950000000002</v>
      </c>
      <c r="K280">
        <v>1.1097269999999999</v>
      </c>
      <c r="L280">
        <v>366.98289999999997</v>
      </c>
      <c r="M280">
        <v>0.99995619999999996</v>
      </c>
      <c r="N280">
        <v>-4.5107120000000001E-3</v>
      </c>
      <c r="O280">
        <v>-8.2020959999999903E-3</v>
      </c>
      <c r="P280">
        <v>0.99116850000000001</v>
      </c>
      <c r="Q280">
        <v>7.5957940000000002E-2</v>
      </c>
      <c r="R280">
        <v>0.1086984</v>
      </c>
      <c r="S280">
        <v>2.9991759999999998</v>
      </c>
      <c r="T280">
        <v>-7.4230309999999994E-2</v>
      </c>
      <c r="U280">
        <v>0.30319210000000002</v>
      </c>
      <c r="V280">
        <v>-0.116852</v>
      </c>
      <c r="W280">
        <v>8.0384529999999996E-2</v>
      </c>
      <c r="X280">
        <v>0.98989090000000002</v>
      </c>
      <c r="Y280">
        <v>-0.10869570000000001</v>
      </c>
      <c r="Z280">
        <v>1.7528960000000001E-3</v>
      </c>
      <c r="AA280">
        <v>0.99407350000000005</v>
      </c>
      <c r="AB280">
        <v>21</v>
      </c>
      <c r="AC280">
        <v>46.741900000000001</v>
      </c>
      <c r="AD280">
        <v>-1.159727</v>
      </c>
      <c r="AE280">
        <v>4.73770000000001</v>
      </c>
      <c r="AF280">
        <v>-5.1178075923574102</v>
      </c>
      <c r="AG280">
        <v>-1.159727</v>
      </c>
      <c r="AH280">
        <v>46.673028459157202</v>
      </c>
      <c r="AI280">
        <v>91.414909931945402</v>
      </c>
      <c r="AJ280">
        <v>96.257617418596297</v>
      </c>
      <c r="AK280">
        <v>46.967100259822502</v>
      </c>
      <c r="AL280">
        <v>85.389331263412899</v>
      </c>
      <c r="AM280">
        <v>96.732343615017299</v>
      </c>
      <c r="AN280">
        <v>1.0000000282350601</v>
      </c>
    </row>
    <row r="281" spans="1:40" x14ac:dyDescent="0.25">
      <c r="A281" t="str">
        <f>"20190304154732628"</f>
        <v>20190304154732628</v>
      </c>
      <c r="B281" t="str">
        <f>"1551685652617692"</f>
        <v>1551685652617692</v>
      </c>
      <c r="C281" t="s">
        <v>40</v>
      </c>
      <c r="D281">
        <v>4.1063499999999999</v>
      </c>
      <c r="E281">
        <v>0.50060099999999996</v>
      </c>
      <c r="F281" t="s">
        <v>45</v>
      </c>
      <c r="G281">
        <v>-412.86130000000003</v>
      </c>
      <c r="H281">
        <v>-0.05</v>
      </c>
      <c r="I281">
        <v>371.68709999999999</v>
      </c>
      <c r="J281">
        <v>-458.25319999999999</v>
      </c>
      <c r="K281">
        <v>1.1097269999999999</v>
      </c>
      <c r="L281">
        <v>366.9821</v>
      </c>
      <c r="M281">
        <v>0.9999574</v>
      </c>
      <c r="N281">
        <v>-4.5230599999999998E-3</v>
      </c>
      <c r="O281">
        <v>-8.0470279999999995E-3</v>
      </c>
      <c r="P281">
        <v>0.99112670000000003</v>
      </c>
      <c r="Q281">
        <v>7.5836459999999994E-2</v>
      </c>
      <c r="R281">
        <v>0.10916380000000001</v>
      </c>
      <c r="S281">
        <v>2.998596</v>
      </c>
      <c r="T281">
        <v>-7.6415899999999995E-2</v>
      </c>
      <c r="U281">
        <v>0.30996699999999999</v>
      </c>
      <c r="V281">
        <v>-0.11716360000000001</v>
      </c>
      <c r="W281">
        <v>8.0275199999999894E-2</v>
      </c>
      <c r="X281">
        <v>0.98986289999999999</v>
      </c>
      <c r="Y281">
        <v>-0.1107802</v>
      </c>
      <c r="Z281">
        <v>1.8270440000000001E-3</v>
      </c>
      <c r="AA281">
        <v>0.99384329999999999</v>
      </c>
      <c r="AB281">
        <v>21</v>
      </c>
      <c r="AC281">
        <v>45.3918999999999</v>
      </c>
      <c r="AD281">
        <v>-1.159727</v>
      </c>
      <c r="AE281">
        <v>4.7049999999999796</v>
      </c>
      <c r="AF281">
        <v>-5.0668489942138502</v>
      </c>
      <c r="AG281">
        <v>-1.159727</v>
      </c>
      <c r="AH281">
        <v>45.323297784263701</v>
      </c>
      <c r="AI281">
        <v>91.456687090063298</v>
      </c>
      <c r="AJ281">
        <v>96.378808676890998</v>
      </c>
      <c r="AK281">
        <v>45.6203819305114</v>
      </c>
      <c r="AL281">
        <v>85.395615538330006</v>
      </c>
      <c r="AM281">
        <v>96.750319961378295</v>
      </c>
      <c r="AN281">
        <v>0.99999998884820496</v>
      </c>
    </row>
    <row r="282" spans="1:40" x14ac:dyDescent="0.25">
      <c r="A282" t="str">
        <f>"20190304154732641"</f>
        <v>20190304154732641</v>
      </c>
      <c r="B282" t="str">
        <f>"1551685652637212"</f>
        <v>1551685652637212</v>
      </c>
      <c r="C282" t="s">
        <v>40</v>
      </c>
      <c r="D282">
        <v>4.0714569999999997</v>
      </c>
      <c r="E282">
        <v>0.49975760000000002</v>
      </c>
      <c r="F282" t="s">
        <v>45</v>
      </c>
      <c r="G282">
        <v>-413.56979999999999</v>
      </c>
      <c r="H282">
        <v>-0.05</v>
      </c>
      <c r="I282">
        <v>371.69299999999998</v>
      </c>
      <c r="J282">
        <v>-458.14179999999999</v>
      </c>
      <c r="K282">
        <v>1.109728</v>
      </c>
      <c r="L282">
        <v>366.98140000000001</v>
      </c>
      <c r="M282">
        <v>0.99995860000000003</v>
      </c>
      <c r="N282">
        <v>-4.5347470000000004E-3</v>
      </c>
      <c r="O282">
        <v>-7.8983960000000002E-3</v>
      </c>
      <c r="P282">
        <v>0.99110140000000002</v>
      </c>
      <c r="Q282">
        <v>7.5699760000000005E-2</v>
      </c>
      <c r="R282">
        <v>0.109488</v>
      </c>
      <c r="S282">
        <v>2.997986</v>
      </c>
      <c r="T282">
        <v>-7.7810530000000003E-2</v>
      </c>
      <c r="U282">
        <v>0.31607059999999998</v>
      </c>
      <c r="V282">
        <v>-0.1173404</v>
      </c>
      <c r="W282">
        <v>8.0149250000000005E-2</v>
      </c>
      <c r="X282">
        <v>0.98985219999999896</v>
      </c>
      <c r="Y282">
        <v>-0.1126523</v>
      </c>
      <c r="Z282">
        <v>1.8825090000000001E-3</v>
      </c>
      <c r="AA282">
        <v>0.99363270000000004</v>
      </c>
      <c r="AB282">
        <v>21</v>
      </c>
      <c r="AC282">
        <v>44.571999999999903</v>
      </c>
      <c r="AD282">
        <v>-1.1597280000000001</v>
      </c>
      <c r="AE282">
        <v>4.71160000000003</v>
      </c>
      <c r="AF282">
        <v>-5.0601160911655301</v>
      </c>
      <c r="AG282">
        <v>-1.1597280000000001</v>
      </c>
      <c r="AH282">
        <v>44.503599232740697</v>
      </c>
      <c r="AI282">
        <v>91.483191851553201</v>
      </c>
      <c r="AJ282">
        <v>96.486745547257797</v>
      </c>
      <c r="AK282">
        <v>44.805357810851802</v>
      </c>
      <c r="AL282">
        <v>85.402855435262396</v>
      </c>
      <c r="AM282">
        <v>96.760484394260303</v>
      </c>
      <c r="AN282">
        <v>1.0000000247962799</v>
      </c>
    </row>
    <row r="283" spans="1:40" x14ac:dyDescent="0.25">
      <c r="A283" t="str">
        <f>"20190304154732659"</f>
        <v>20190304154732659</v>
      </c>
      <c r="B283" t="str">
        <f>"1551685652646971"</f>
        <v>1551685652646971</v>
      </c>
      <c r="C283" t="s">
        <v>40</v>
      </c>
      <c r="D283">
        <v>4.1014599999999897</v>
      </c>
      <c r="E283">
        <v>0.49949569999999999</v>
      </c>
      <c r="F283" t="s">
        <v>45</v>
      </c>
      <c r="G283">
        <v>-415.15870000000001</v>
      </c>
      <c r="H283">
        <v>-0.05</v>
      </c>
      <c r="I283">
        <v>371.62119999999999</v>
      </c>
      <c r="J283">
        <v>-457.97230000000002</v>
      </c>
      <c r="K283">
        <v>1.109729</v>
      </c>
      <c r="L283">
        <v>366.98039999999997</v>
      </c>
      <c r="M283">
        <v>0.99996030000000002</v>
      </c>
      <c r="N283">
        <v>-4.5536220000000002E-3</v>
      </c>
      <c r="O283">
        <v>-7.6725309999999998E-3</v>
      </c>
      <c r="P283">
        <v>0.99104639999999999</v>
      </c>
      <c r="Q283">
        <v>7.553899E-2</v>
      </c>
      <c r="R283">
        <v>0.1100975</v>
      </c>
      <c r="S283">
        <v>2.9973450000000001</v>
      </c>
      <c r="T283">
        <v>-8.0871579999999998E-2</v>
      </c>
      <c r="U283">
        <v>0.32354739999999999</v>
      </c>
      <c r="V283">
        <v>-0.11772589999999999</v>
      </c>
      <c r="W283">
        <v>8.0006670000000002E-2</v>
      </c>
      <c r="X283">
        <v>0.98981790000000003</v>
      </c>
      <c r="Y283">
        <v>-0.1148961</v>
      </c>
      <c r="Z283">
        <v>1.9792199999999999E-3</v>
      </c>
      <c r="AA283">
        <v>0.99337549999999997</v>
      </c>
      <c r="AB283">
        <v>21</v>
      </c>
      <c r="AC283">
        <v>42.813600000000001</v>
      </c>
      <c r="AD283">
        <v>-1.159729</v>
      </c>
      <c r="AE283">
        <v>4.6408000000000103</v>
      </c>
      <c r="AF283">
        <v>-4.9655542686999903</v>
      </c>
      <c r="AG283">
        <v>-1.159729</v>
      </c>
      <c r="AH283">
        <v>42.745732197687602</v>
      </c>
      <c r="AI283">
        <v>91.543727459310006</v>
      </c>
      <c r="AJ283">
        <v>96.626061094588295</v>
      </c>
      <c r="AK283">
        <v>43.048801628678099</v>
      </c>
      <c r="AL283">
        <v>85.4110507113338</v>
      </c>
      <c r="AM283">
        <v>96.782720972662702</v>
      </c>
      <c r="AN283">
        <v>0.99999996496785304</v>
      </c>
    </row>
    <row r="284" spans="1:40" x14ac:dyDescent="0.25">
      <c r="A284" t="str">
        <f>"20190304154732673"</f>
        <v>20190304154732673</v>
      </c>
      <c r="B284" t="str">
        <f>"1551685652667468"</f>
        <v>1551685652667468</v>
      </c>
      <c r="C284" t="s">
        <v>40</v>
      </c>
      <c r="D284">
        <v>4.0906750000000001</v>
      </c>
      <c r="E284">
        <v>0.4990057</v>
      </c>
      <c r="F284" t="s">
        <v>45</v>
      </c>
      <c r="G284">
        <v>-415.88670000000002</v>
      </c>
      <c r="H284">
        <v>-0.05</v>
      </c>
      <c r="I284">
        <v>371.57690000000002</v>
      </c>
      <c r="J284">
        <v>-457.8417</v>
      </c>
      <c r="K284">
        <v>1.1097300000000001</v>
      </c>
      <c r="L284">
        <v>366.97949999999997</v>
      </c>
      <c r="M284">
        <v>0.99996149999999995</v>
      </c>
      <c r="N284">
        <v>-4.5696460000000001E-3</v>
      </c>
      <c r="O284">
        <v>-7.4991140000000003E-3</v>
      </c>
      <c r="P284">
        <v>0.99104119999999996</v>
      </c>
      <c r="Q284">
        <v>7.5091550000000007E-2</v>
      </c>
      <c r="R284">
        <v>0.1104478</v>
      </c>
      <c r="S284">
        <v>2.9970089999999998</v>
      </c>
      <c r="T284">
        <v>-8.2586999999999994E-2</v>
      </c>
      <c r="U284">
        <v>0.3273315</v>
      </c>
      <c r="V284">
        <v>-0.1179037</v>
      </c>
      <c r="W284">
        <v>7.9575080000000006E-2</v>
      </c>
      <c r="X284">
        <v>0.98983160000000003</v>
      </c>
      <c r="Y284">
        <v>-0.1159728</v>
      </c>
      <c r="Z284">
        <v>2.0305449999999999E-3</v>
      </c>
      <c r="AA284">
        <v>0.99325030000000003</v>
      </c>
      <c r="AB284">
        <v>21</v>
      </c>
      <c r="AC284">
        <v>41.954999999999899</v>
      </c>
      <c r="AD284">
        <v>-1.1597299999999999</v>
      </c>
      <c r="AE284">
        <v>4.5974000000000501</v>
      </c>
      <c r="AF284">
        <v>-4.9081934990183003</v>
      </c>
      <c r="AG284">
        <v>-1.1597299999999999</v>
      </c>
      <c r="AH284">
        <v>41.887717106583402</v>
      </c>
      <c r="AI284">
        <v>91.575151227428293</v>
      </c>
      <c r="AJ284">
        <v>96.683157945356299</v>
      </c>
      <c r="AK284">
        <v>42.190237988163297</v>
      </c>
      <c r="AL284">
        <v>85.4358584184329</v>
      </c>
      <c r="AM284">
        <v>96.792776043037506</v>
      </c>
      <c r="AN284">
        <v>1.00000003609462</v>
      </c>
    </row>
    <row r="285" spans="1:40" x14ac:dyDescent="0.25">
      <c r="A285" t="str">
        <f>"20190304154732685"</f>
        <v>20190304154732685</v>
      </c>
      <c r="B285" t="str">
        <f>"1551685652677228"</f>
        <v>1551685652677228</v>
      </c>
      <c r="C285" t="s">
        <v>40</v>
      </c>
      <c r="D285">
        <v>4.083596</v>
      </c>
      <c r="E285">
        <v>0.49882979999999999</v>
      </c>
      <c r="F285" t="s">
        <v>45</v>
      </c>
      <c r="G285">
        <v>-417.72890000000001</v>
      </c>
      <c r="H285">
        <v>-0.05</v>
      </c>
      <c r="I285">
        <v>371.42739999999998</v>
      </c>
      <c r="J285">
        <v>-457.71980000000002</v>
      </c>
      <c r="K285">
        <v>1.109729</v>
      </c>
      <c r="L285">
        <v>366.97879999999998</v>
      </c>
      <c r="M285">
        <v>0.99996260000000003</v>
      </c>
      <c r="N285">
        <v>-4.5868389999999997E-3</v>
      </c>
      <c r="O285">
        <v>-7.3397710000000001E-3</v>
      </c>
      <c r="P285">
        <v>0.99100359999999998</v>
      </c>
      <c r="Q285">
        <v>7.5232480000000004E-2</v>
      </c>
      <c r="R285">
        <v>0.1106901</v>
      </c>
      <c r="S285">
        <v>2.9965820000000001</v>
      </c>
      <c r="T285">
        <v>-8.6636299999999999E-2</v>
      </c>
      <c r="U285">
        <v>0.3322754</v>
      </c>
      <c r="V285">
        <v>-0.1179881</v>
      </c>
      <c r="W285">
        <v>7.9732880000000006E-2</v>
      </c>
      <c r="X285">
        <v>0.98980880000000004</v>
      </c>
      <c r="Y285">
        <v>-0.11744309999999999</v>
      </c>
      <c r="Z285">
        <v>2.1404169999999999E-3</v>
      </c>
      <c r="AA285">
        <v>0.99307730000000005</v>
      </c>
      <c r="AB285">
        <v>21</v>
      </c>
      <c r="AC285">
        <v>39.990900000000003</v>
      </c>
      <c r="AD285">
        <v>-1.159729</v>
      </c>
      <c r="AE285">
        <v>4.4485999999999901</v>
      </c>
      <c r="AF285">
        <v>-4.7380713232087697</v>
      </c>
      <c r="AG285">
        <v>-1.159729</v>
      </c>
      <c r="AH285">
        <v>39.924005439518503</v>
      </c>
      <c r="AI285">
        <v>91.652295050564803</v>
      </c>
      <c r="AJ285">
        <v>96.768049835269693</v>
      </c>
      <c r="AK285">
        <v>40.220896329544402</v>
      </c>
      <c r="AL285">
        <v>85.426788124144593</v>
      </c>
      <c r="AM285">
        <v>96.797748204663804</v>
      </c>
      <c r="AN285">
        <v>0.99999999222607205</v>
      </c>
    </row>
    <row r="286" spans="1:40" x14ac:dyDescent="0.25">
      <c r="A286" t="str">
        <f>"20190304154732704"</f>
        <v>20190304154732704</v>
      </c>
      <c r="B286" t="str">
        <f>"1551685652697724"</f>
        <v>1551685652697724</v>
      </c>
      <c r="C286" t="s">
        <v>40</v>
      </c>
      <c r="D286">
        <v>4.1390549999999999</v>
      </c>
      <c r="E286">
        <v>0.49851050000000002</v>
      </c>
      <c r="F286" t="s">
        <v>45</v>
      </c>
      <c r="G286">
        <v>-417.64760000000001</v>
      </c>
      <c r="H286">
        <v>-0.05</v>
      </c>
      <c r="I286">
        <v>371.44889999999998</v>
      </c>
      <c r="J286">
        <v>-457.54109999999997</v>
      </c>
      <c r="K286">
        <v>1.1097300000000001</v>
      </c>
      <c r="L286">
        <v>366.9778</v>
      </c>
      <c r="M286">
        <v>0.99996419999999997</v>
      </c>
      <c r="N286">
        <v>-4.6156359999999898E-3</v>
      </c>
      <c r="O286">
        <v>-7.1100060000000003E-3</v>
      </c>
      <c r="P286">
        <v>0.99092930000000001</v>
      </c>
      <c r="Q286">
        <v>7.5284439999999994E-2</v>
      </c>
      <c r="R286">
        <v>0.111317899999999</v>
      </c>
      <c r="S286">
        <v>2.9964599999999999</v>
      </c>
      <c r="T286">
        <v>-8.672059E-2</v>
      </c>
      <c r="U286">
        <v>0.33425899999999997</v>
      </c>
      <c r="V286">
        <v>-0.1183876</v>
      </c>
      <c r="W286">
        <v>7.9813670000000003E-2</v>
      </c>
      <c r="X286">
        <v>0.98975460000000004</v>
      </c>
      <c r="Y286">
        <v>-0.1178685</v>
      </c>
      <c r="Z286">
        <v>2.1453209999999999E-3</v>
      </c>
      <c r="AA286">
        <v>0.99302690000000005</v>
      </c>
      <c r="AB286">
        <v>21</v>
      </c>
      <c r="AC286">
        <v>39.893499999999896</v>
      </c>
      <c r="AD286">
        <v>-1.1597299999999999</v>
      </c>
      <c r="AE286">
        <v>4.4710999999999697</v>
      </c>
      <c r="AF286">
        <v>-4.7506679954099598</v>
      </c>
      <c r="AG286">
        <v>-1.1597299999999999</v>
      </c>
      <c r="AH286">
        <v>39.827460973428103</v>
      </c>
      <c r="AI286">
        <v>91.656182235670997</v>
      </c>
      <c r="AJ286">
        <v>96.802171327095195</v>
      </c>
      <c r="AK286">
        <v>40.126555641687602</v>
      </c>
      <c r="AL286">
        <v>85.422144466401804</v>
      </c>
      <c r="AM286">
        <v>96.820918450292496</v>
      </c>
      <c r="AN286">
        <v>1.00000000698689</v>
      </c>
    </row>
    <row r="287" spans="1:40" x14ac:dyDescent="0.25">
      <c r="A287" t="str">
        <f>"20190304154732717"</f>
        <v>20190304154732717</v>
      </c>
      <c r="B287" t="str">
        <f>"1551685652707484"</f>
        <v>1551685652707484</v>
      </c>
      <c r="C287" t="s">
        <v>40</v>
      </c>
      <c r="D287">
        <v>4.1545430000000003</v>
      </c>
      <c r="E287">
        <v>0.49832900000000002</v>
      </c>
      <c r="F287" t="s">
        <v>45</v>
      </c>
      <c r="G287">
        <v>-418.28570000000002</v>
      </c>
      <c r="H287">
        <v>-0.05</v>
      </c>
      <c r="I287">
        <v>371.41399999999999</v>
      </c>
      <c r="J287">
        <v>-457.42349999999999</v>
      </c>
      <c r="K287">
        <v>1.1097330000000001</v>
      </c>
      <c r="L287">
        <v>366.97710000000001</v>
      </c>
      <c r="M287">
        <v>0.99996499999999999</v>
      </c>
      <c r="N287">
        <v>-4.6376780000000001E-3</v>
      </c>
      <c r="O287">
        <v>-6.9633209999999997E-3</v>
      </c>
      <c r="P287">
        <v>0.99090480000000003</v>
      </c>
      <c r="Q287">
        <v>7.5160679999999994E-2</v>
      </c>
      <c r="R287">
        <v>0.1116182</v>
      </c>
      <c r="S287">
        <v>2.996124</v>
      </c>
      <c r="T287">
        <v>-8.8515040000000003E-2</v>
      </c>
      <c r="U287">
        <v>0.33859250000000002</v>
      </c>
      <c r="V287">
        <v>-0.11854190000000001</v>
      </c>
      <c r="W287">
        <v>7.9712439999999996E-2</v>
      </c>
      <c r="X287">
        <v>0.98974430000000002</v>
      </c>
      <c r="Y287">
        <v>-0.1191504</v>
      </c>
      <c r="Z287">
        <v>2.2041740000000002E-3</v>
      </c>
      <c r="AA287">
        <v>0.99287380000000003</v>
      </c>
      <c r="AB287">
        <v>21</v>
      </c>
      <c r="AC287">
        <v>39.137799999999899</v>
      </c>
      <c r="AD287">
        <v>-1.1597329999999999</v>
      </c>
      <c r="AE287">
        <v>4.4368999999999801</v>
      </c>
      <c r="AF287">
        <v>-4.7052453694891998</v>
      </c>
      <c r="AG287">
        <v>-1.1597329999999999</v>
      </c>
      <c r="AH287">
        <v>39.072082989254604</v>
      </c>
      <c r="AI287">
        <v>91.687959158986999</v>
      </c>
      <c r="AJ287">
        <v>96.866762459223395</v>
      </c>
      <c r="AK287">
        <v>39.371461539262</v>
      </c>
      <c r="AL287">
        <v>85.427963104105103</v>
      </c>
      <c r="AM287">
        <v>96.829794951628699</v>
      </c>
      <c r="AN287">
        <v>1.0000000172644199</v>
      </c>
    </row>
    <row r="288" spans="1:40" x14ac:dyDescent="0.25">
      <c r="A288" t="str">
        <f>"20190304154732727"</f>
        <v>20190304154732727</v>
      </c>
      <c r="B288" t="str">
        <f>"1551685652717245"</f>
        <v>1551685652717245</v>
      </c>
      <c r="C288" t="s">
        <v>40</v>
      </c>
      <c r="D288">
        <v>4.1686379999999996</v>
      </c>
      <c r="E288">
        <v>0.498172</v>
      </c>
      <c r="F288" t="s">
        <v>45</v>
      </c>
      <c r="G288">
        <v>-418.65199999999999</v>
      </c>
      <c r="H288">
        <v>-0.05</v>
      </c>
      <c r="I288">
        <v>371.38650000000001</v>
      </c>
      <c r="J288">
        <v>-457.3125</v>
      </c>
      <c r="K288">
        <v>1.109731</v>
      </c>
      <c r="L288">
        <v>366.97649999999999</v>
      </c>
      <c r="M288">
        <v>0.99996600000000002</v>
      </c>
      <c r="N288">
        <v>-4.660918E-3</v>
      </c>
      <c r="O288">
        <v>-6.8290419999999996E-3</v>
      </c>
      <c r="P288">
        <v>0.99085160000000005</v>
      </c>
      <c r="Q288">
        <v>7.523937E-2</v>
      </c>
      <c r="R288">
        <v>0.1120375</v>
      </c>
      <c r="S288">
        <v>2.9959720000000001</v>
      </c>
      <c r="T288">
        <v>-8.961558E-2</v>
      </c>
      <c r="U288">
        <v>0.3407288</v>
      </c>
      <c r="V288">
        <v>-0.1188274</v>
      </c>
      <c r="W288">
        <v>7.9814629999999998E-2</v>
      </c>
      <c r="X288">
        <v>0.98970179999999996</v>
      </c>
      <c r="Y288">
        <v>-0.1197199</v>
      </c>
      <c r="Z288">
        <v>2.2362250000000001E-3</v>
      </c>
      <c r="AA288">
        <v>0.99280520000000005</v>
      </c>
      <c r="AB288">
        <v>21</v>
      </c>
      <c r="AC288">
        <v>38.660499999999999</v>
      </c>
      <c r="AD288">
        <v>-1.1597309999999901</v>
      </c>
      <c r="AE288">
        <v>4.4100000000000197</v>
      </c>
      <c r="AF288">
        <v>-4.6697659585933797</v>
      </c>
      <c r="AG288">
        <v>-1.1597309999999901</v>
      </c>
      <c r="AH288">
        <v>38.5951975534201</v>
      </c>
      <c r="AI288">
        <v>91.708684936960594</v>
      </c>
      <c r="AJ288">
        <v>96.898879058768998</v>
      </c>
      <c r="AK288">
        <v>38.893970796100596</v>
      </c>
      <c r="AL288">
        <v>85.422089206366707</v>
      </c>
      <c r="AM288">
        <v>96.846379305898296</v>
      </c>
      <c r="AN288">
        <v>0.99999998953801805</v>
      </c>
    </row>
    <row r="289" spans="1:40" x14ac:dyDescent="0.25">
      <c r="A289" t="str">
        <f>"20190304154732742"</f>
        <v>20190304154732742</v>
      </c>
      <c r="B289" t="str">
        <f>"1551685652737740"</f>
        <v>1551685652737740</v>
      </c>
      <c r="C289" t="s">
        <v>40</v>
      </c>
      <c r="D289">
        <v>4.1336060000000003</v>
      </c>
      <c r="E289">
        <v>0.49804799999999999</v>
      </c>
      <c r="F289" t="s">
        <v>45</v>
      </c>
      <c r="G289">
        <v>-418.6832</v>
      </c>
      <c r="H289">
        <v>-0.05</v>
      </c>
      <c r="I289">
        <v>371.40600000000001</v>
      </c>
      <c r="J289">
        <v>-457.18700000000001</v>
      </c>
      <c r="K289">
        <v>1.109728</v>
      </c>
      <c r="L289">
        <v>366.97579999999999</v>
      </c>
      <c r="M289">
        <v>0.99996660000000004</v>
      </c>
      <c r="N289">
        <v>-4.6918109999999997E-3</v>
      </c>
      <c r="O289">
        <v>-6.6859739999999999E-3</v>
      </c>
      <c r="P289">
        <v>0.99081160000000001</v>
      </c>
      <c r="Q289">
        <v>7.5396050000000006E-2</v>
      </c>
      <c r="R289">
        <v>0.1122846</v>
      </c>
      <c r="S289">
        <v>2.9956670000000001</v>
      </c>
      <c r="T289">
        <v>-8.9936139999999998E-2</v>
      </c>
      <c r="U289">
        <v>0.34350589999999998</v>
      </c>
      <c r="V289">
        <v>-0.1189313</v>
      </c>
      <c r="W289">
        <v>8.00038E-2</v>
      </c>
      <c r="X289">
        <v>0.98967400000000005</v>
      </c>
      <c r="Y289">
        <v>-0.1204969</v>
      </c>
      <c r="Z289">
        <v>2.2549330000000002E-3</v>
      </c>
      <c r="AA289">
        <v>0.99271109999999896</v>
      </c>
      <c r="AB289">
        <v>21</v>
      </c>
      <c r="AC289">
        <v>38.503799999999899</v>
      </c>
      <c r="AD289">
        <v>-1.1597280000000001</v>
      </c>
      <c r="AE289">
        <v>4.4302000000000099</v>
      </c>
      <c r="AF289">
        <v>-4.6833459874041701</v>
      </c>
      <c r="AG289">
        <v>-1.1597280000000001</v>
      </c>
      <c r="AH289">
        <v>38.438902522381198</v>
      </c>
      <c r="AI289">
        <v>91.7154505798662</v>
      </c>
      <c r="AJ289">
        <v>96.946605072606602</v>
      </c>
      <c r="AK289">
        <v>38.740520463680397</v>
      </c>
      <c r="AL289">
        <v>85.411215583559894</v>
      </c>
      <c r="AM289">
        <v>96.852499382975907</v>
      </c>
      <c r="AN289">
        <v>0.999999944205063</v>
      </c>
    </row>
    <row r="290" spans="1:40" x14ac:dyDescent="0.25">
      <c r="A290" t="str">
        <f>"20190304154732761"</f>
        <v>20190304154732761</v>
      </c>
      <c r="B290" t="str">
        <f>"1551685652757261"</f>
        <v>1551685652757261</v>
      </c>
      <c r="C290" t="s">
        <v>40</v>
      </c>
      <c r="D290">
        <v>4.1506470000000002</v>
      </c>
      <c r="E290">
        <v>0.49787550000000003</v>
      </c>
      <c r="F290" t="s">
        <v>45</v>
      </c>
      <c r="G290">
        <v>-418.87459999999999</v>
      </c>
      <c r="H290">
        <v>-0.05</v>
      </c>
      <c r="I290">
        <v>371.38659999999999</v>
      </c>
      <c r="J290">
        <v>-456.99959999999999</v>
      </c>
      <c r="K290">
        <v>1.10972</v>
      </c>
      <c r="L290">
        <v>366.97469999999998</v>
      </c>
      <c r="M290">
        <v>0.99996779999999996</v>
      </c>
      <c r="N290">
        <v>-4.7473059999999997E-3</v>
      </c>
      <c r="O290">
        <v>-6.4882819999999997E-3</v>
      </c>
      <c r="P290">
        <v>0.99073389999999995</v>
      </c>
      <c r="Q290">
        <v>7.5534799999999999E-2</v>
      </c>
      <c r="R290">
        <v>0.1128762</v>
      </c>
      <c r="S290">
        <v>2.9956049999999999</v>
      </c>
      <c r="T290">
        <v>-9.0677859999999999E-2</v>
      </c>
      <c r="U290">
        <v>0.3448792</v>
      </c>
      <c r="V290">
        <v>-0.119324</v>
      </c>
      <c r="W290">
        <v>8.0201049999999996E-2</v>
      </c>
      <c r="X290">
        <v>0.98961089999999996</v>
      </c>
      <c r="Y290">
        <v>-0.12075089999999999</v>
      </c>
      <c r="Z290">
        <v>2.273831E-3</v>
      </c>
      <c r="AA290">
        <v>0.99268029999999996</v>
      </c>
      <c r="AB290">
        <v>21</v>
      </c>
      <c r="AC290">
        <v>38.125</v>
      </c>
      <c r="AD290">
        <v>-1.1597200000000001</v>
      </c>
      <c r="AE290">
        <v>4.4119000000000002</v>
      </c>
      <c r="AF290">
        <v>-4.6549253170612399</v>
      </c>
      <c r="AG290">
        <v>-1.1597200000000001</v>
      </c>
      <c r="AH290">
        <v>38.060818903589002</v>
      </c>
      <c r="AI290">
        <v>91.732372482159306</v>
      </c>
      <c r="AJ290">
        <v>96.972776730893699</v>
      </c>
      <c r="AK290">
        <v>38.361950104206301</v>
      </c>
      <c r="AL290">
        <v>85.399878180456994</v>
      </c>
      <c r="AM290">
        <v>96.875343658210994</v>
      </c>
      <c r="AN290">
        <v>1.00000007939795</v>
      </c>
    </row>
    <row r="291" spans="1:40" x14ac:dyDescent="0.25">
      <c r="A291" t="str">
        <f>"20190304154732782"</f>
        <v>20190304154732782</v>
      </c>
      <c r="B291" t="str">
        <f>"1551685652777755"</f>
        <v>1551685652777755</v>
      </c>
      <c r="C291" t="s">
        <v>40</v>
      </c>
      <c r="D291">
        <v>4.1537220000000001</v>
      </c>
      <c r="E291">
        <v>0.49782490000000001</v>
      </c>
      <c r="F291" t="s">
        <v>45</v>
      </c>
      <c r="G291">
        <v>-419.2158</v>
      </c>
      <c r="H291">
        <v>-0.05</v>
      </c>
      <c r="I291">
        <v>371.36349999999999</v>
      </c>
      <c r="J291">
        <v>-456.78980000000001</v>
      </c>
      <c r="K291">
        <v>1.1097159999999999</v>
      </c>
      <c r="L291">
        <v>366.97359999999998</v>
      </c>
      <c r="M291">
        <v>0.99996859999999999</v>
      </c>
      <c r="N291">
        <v>-4.8293609999999999E-3</v>
      </c>
      <c r="O291">
        <v>-6.2953419999999998E-3</v>
      </c>
      <c r="P291">
        <v>0.99064470000000004</v>
      </c>
      <c r="Q291">
        <v>7.6123270000000007E-2</v>
      </c>
      <c r="R291">
        <v>0.1132639</v>
      </c>
      <c r="S291">
        <v>2.995422</v>
      </c>
      <c r="T291">
        <v>-9.1940160000000007E-2</v>
      </c>
      <c r="U291">
        <v>0.34793089999999999</v>
      </c>
      <c r="V291">
        <v>-0.1195165</v>
      </c>
      <c r="W291">
        <v>8.0875959999999997E-2</v>
      </c>
      <c r="X291">
        <v>0.98953259999999998</v>
      </c>
      <c r="Y291">
        <v>-0.121562</v>
      </c>
      <c r="Z291">
        <v>2.3157579999999998E-3</v>
      </c>
      <c r="AA291">
        <v>0.99258109999999999</v>
      </c>
      <c r="AB291">
        <v>21</v>
      </c>
      <c r="AC291">
        <v>37.573999999999998</v>
      </c>
      <c r="AD291">
        <v>-1.159716</v>
      </c>
      <c r="AE291">
        <v>4.3899000000000097</v>
      </c>
      <c r="AF291">
        <v>-4.6220131113428202</v>
      </c>
      <c r="AG291">
        <v>-1.159716</v>
      </c>
      <c r="AH291">
        <v>37.510366535553899</v>
      </c>
      <c r="AI291">
        <v>91.757577715018002</v>
      </c>
      <c r="AJ291">
        <v>97.024555537560403</v>
      </c>
      <c r="AK291">
        <v>37.811843965002403</v>
      </c>
      <c r="AL291">
        <v>85.3610820155087</v>
      </c>
      <c r="AM291">
        <v>96.886868585319704</v>
      </c>
      <c r="AN291">
        <v>0.99999994057046404</v>
      </c>
    </row>
    <row r="292" spans="1:40" x14ac:dyDescent="0.25">
      <c r="A292" t="str">
        <f>"20190304154732795"</f>
        <v>20190304154732795</v>
      </c>
      <c r="B292" t="str">
        <f>"1551685652787516"</f>
        <v>1551685652787516</v>
      </c>
      <c r="C292" t="s">
        <v>40</v>
      </c>
      <c r="D292">
        <v>4.1560779999999999</v>
      </c>
      <c r="E292">
        <v>0.49782490000000001</v>
      </c>
      <c r="F292" t="s">
        <v>45</v>
      </c>
      <c r="G292">
        <v>-418.7328</v>
      </c>
      <c r="H292">
        <v>-0.05</v>
      </c>
      <c r="I292">
        <v>371.41390000000001</v>
      </c>
      <c r="J292">
        <v>-456.66719999999998</v>
      </c>
      <c r="K292">
        <v>1.10971</v>
      </c>
      <c r="L292">
        <v>366.97300000000001</v>
      </c>
      <c r="M292">
        <v>0.999969</v>
      </c>
      <c r="N292">
        <v>-4.8875910000000002E-3</v>
      </c>
      <c r="O292">
        <v>-6.1962509999999998E-3</v>
      </c>
      <c r="P292">
        <v>0.99062729999999999</v>
      </c>
      <c r="Q292">
        <v>7.603422E-2</v>
      </c>
      <c r="R292">
        <v>0.11347550000000001</v>
      </c>
      <c r="S292">
        <v>2.9953919999999998</v>
      </c>
      <c r="T292">
        <v>-9.1278910000000005E-2</v>
      </c>
      <c r="U292">
        <v>0.3494873</v>
      </c>
      <c r="V292">
        <v>-0.1196272</v>
      </c>
      <c r="W292">
        <v>8.0848399999999904E-2</v>
      </c>
      <c r="X292">
        <v>0.9895216</v>
      </c>
      <c r="Y292">
        <v>-0.12197429999999999</v>
      </c>
      <c r="Z292">
        <v>2.3089080000000001E-3</v>
      </c>
      <c r="AA292">
        <v>0.99253060000000004</v>
      </c>
      <c r="AB292">
        <v>22</v>
      </c>
      <c r="AC292">
        <v>37.934399999999897</v>
      </c>
      <c r="AD292">
        <v>-1.15971</v>
      </c>
      <c r="AE292">
        <v>4.4408999999999903</v>
      </c>
      <c r="AF292">
        <v>-4.6715615049275101</v>
      </c>
      <c r="AG292">
        <v>-1.15971</v>
      </c>
      <c r="AH292">
        <v>37.871238032603699</v>
      </c>
      <c r="AI292">
        <v>91.740802923393403</v>
      </c>
      <c r="AJ292">
        <v>97.032128950409302</v>
      </c>
      <c r="AK292">
        <v>38.175896640426799</v>
      </c>
      <c r="AL292">
        <v>85.3626668480494</v>
      </c>
      <c r="AM292">
        <v>96.893261967176102</v>
      </c>
      <c r="AN292">
        <v>1.0000000638144699</v>
      </c>
    </row>
    <row r="293" spans="1:40" x14ac:dyDescent="0.25">
      <c r="A293" t="str">
        <f>"20190304154732808"</f>
        <v>20190304154732808</v>
      </c>
      <c r="B293" t="str">
        <f>"1551685652797276"</f>
        <v>1551685652797276</v>
      </c>
      <c r="C293" t="s">
        <v>40</v>
      </c>
      <c r="D293">
        <v>4.2890499999999996</v>
      </c>
      <c r="E293">
        <v>0.53111600000000003</v>
      </c>
      <c r="F293" t="s">
        <v>45</v>
      </c>
      <c r="G293">
        <v>-418.72190000000001</v>
      </c>
      <c r="H293">
        <v>-0.05</v>
      </c>
      <c r="I293">
        <v>371.40730000000002</v>
      </c>
      <c r="J293">
        <v>-456.54469999999998</v>
      </c>
      <c r="K293">
        <v>1.1097060000000001</v>
      </c>
      <c r="L293">
        <v>366.97230000000002</v>
      </c>
      <c r="M293">
        <v>0.99996910000000006</v>
      </c>
      <c r="N293">
        <v>-4.9546779999999997E-3</v>
      </c>
      <c r="O293">
        <v>-6.1097080000000002E-3</v>
      </c>
      <c r="P293">
        <v>0.99062280000000003</v>
      </c>
      <c r="Q293">
        <v>7.5932470000000002E-2</v>
      </c>
      <c r="R293">
        <v>0.1135823</v>
      </c>
      <c r="S293">
        <v>2.9953609999999999</v>
      </c>
      <c r="T293">
        <v>-9.1546180000000005E-2</v>
      </c>
      <c r="U293">
        <v>0.35003659999999998</v>
      </c>
      <c r="V293">
        <v>-0.1196459</v>
      </c>
      <c r="W293">
        <v>8.0817509999999995E-2</v>
      </c>
      <c r="X293">
        <v>0.98952180000000001</v>
      </c>
      <c r="Y293">
        <v>-0.1220686</v>
      </c>
      <c r="Z293">
        <v>2.3180369999999998E-3</v>
      </c>
      <c r="AA293">
        <v>0.99251900000000004</v>
      </c>
      <c r="AB293">
        <v>22</v>
      </c>
      <c r="AC293">
        <v>37.822799999999901</v>
      </c>
      <c r="AD293">
        <v>-1.1597059999999999</v>
      </c>
      <c r="AE293">
        <v>4.4349999999999996</v>
      </c>
      <c r="AF293">
        <v>-4.66168315893559</v>
      </c>
      <c r="AG293">
        <v>-1.1597059999999999</v>
      </c>
      <c r="AH293">
        <v>37.759979291349403</v>
      </c>
      <c r="AI293">
        <v>91.745901361837895</v>
      </c>
      <c r="AJ293">
        <v>97.037876974903696</v>
      </c>
      <c r="AK293">
        <v>38.064317200809903</v>
      </c>
      <c r="AL293">
        <v>85.364442237972597</v>
      </c>
      <c r="AM293">
        <v>96.894327764356206</v>
      </c>
      <c r="AN293">
        <v>1.0000000019923201</v>
      </c>
    </row>
    <row r="294" spans="1:40" x14ac:dyDescent="0.25">
      <c r="A294" t="str">
        <f>"20190304154732821"</f>
        <v>20190304154732821</v>
      </c>
      <c r="B294" t="str">
        <f>"1551685652817772"</f>
        <v>1551685652817772</v>
      </c>
      <c r="C294" t="s">
        <v>40</v>
      </c>
      <c r="D294">
        <v>4.0667090000000004</v>
      </c>
      <c r="E294">
        <v>0.5494156</v>
      </c>
      <c r="F294" t="s">
        <v>43</v>
      </c>
      <c r="G294">
        <v>-158.19499999999999</v>
      </c>
      <c r="H294">
        <v>1.5373159999999999</v>
      </c>
      <c r="I294">
        <v>375.74579999999997</v>
      </c>
      <c r="J294">
        <v>-456.41250000000002</v>
      </c>
      <c r="K294">
        <v>1.1097060000000001</v>
      </c>
      <c r="L294">
        <v>366.97160000000002</v>
      </c>
      <c r="M294">
        <v>0.99996910000000006</v>
      </c>
      <c r="N294">
        <v>-5.0397719999999997E-3</v>
      </c>
      <c r="O294">
        <v>-6.0335980000000003E-3</v>
      </c>
      <c r="P294">
        <v>0.99060400000000004</v>
      </c>
      <c r="Q294">
        <v>7.5452039999999998E-2</v>
      </c>
      <c r="R294">
        <v>0.114065</v>
      </c>
      <c r="S294">
        <v>3.0178530000000001</v>
      </c>
      <c r="T294">
        <v>4.326224E-3</v>
      </c>
      <c r="U294">
        <v>8.8745119999999997E-2</v>
      </c>
      <c r="V294">
        <v>-0.1200498</v>
      </c>
      <c r="W294">
        <v>8.0425880000000005E-2</v>
      </c>
      <c r="X294">
        <v>0.98950479999999996</v>
      </c>
      <c r="Y294">
        <v>-3.5424499999999998E-2</v>
      </c>
      <c r="Z294" s="1">
        <v>2.4850979999999998E-5</v>
      </c>
      <c r="AA294">
        <v>0.99937240000000005</v>
      </c>
      <c r="AB294">
        <v>22</v>
      </c>
      <c r="AC294">
        <v>298.21749999999997</v>
      </c>
      <c r="AD294">
        <v>0.42760999999999999</v>
      </c>
      <c r="AE294">
        <v>8.7741999999999507</v>
      </c>
      <c r="AF294">
        <v>-10.5733659234988</v>
      </c>
      <c r="AG294">
        <v>0.42760999999999999</v>
      </c>
      <c r="AH294">
        <v>298.15851845191401</v>
      </c>
      <c r="AI294">
        <v>89.917879788349097</v>
      </c>
      <c r="AJ294">
        <v>92.030985021409805</v>
      </c>
      <c r="AK294">
        <v>298.34624355386899</v>
      </c>
      <c r="AL294">
        <v>85.386954316573494</v>
      </c>
      <c r="AM294">
        <v>96.917494163622607</v>
      </c>
      <c r="AN294">
        <v>1.0000000129384199</v>
      </c>
    </row>
    <row r="295" spans="1:40" x14ac:dyDescent="0.25">
      <c r="A295" t="str">
        <f>"20190304154732838"</f>
        <v>20190304154732838</v>
      </c>
      <c r="B295" t="str">
        <f>"1551685652827532"</f>
        <v>1551685652827532</v>
      </c>
      <c r="C295" t="s">
        <v>40</v>
      </c>
      <c r="D295">
        <v>4.043984</v>
      </c>
      <c r="E295">
        <v>0.55711569999999899</v>
      </c>
      <c r="F295" t="s">
        <v>43</v>
      </c>
      <c r="G295">
        <v>-158.19499999999999</v>
      </c>
      <c r="H295">
        <v>5.479228</v>
      </c>
      <c r="I295">
        <v>361.63049999999998</v>
      </c>
      <c r="J295">
        <v>-456.25290000000001</v>
      </c>
      <c r="K295">
        <v>1.109702</v>
      </c>
      <c r="L295">
        <v>366.97070000000002</v>
      </c>
      <c r="M295">
        <v>0.999969</v>
      </c>
      <c r="N295">
        <v>-5.1580009999999997E-3</v>
      </c>
      <c r="O295">
        <v>-5.960824E-3</v>
      </c>
      <c r="P295">
        <v>0.99057300000000004</v>
      </c>
      <c r="Q295">
        <v>7.4972200000000003E-2</v>
      </c>
      <c r="R295">
        <v>0.1146491</v>
      </c>
      <c r="S295">
        <v>3.0312809999999999</v>
      </c>
      <c r="T295">
        <v>4.4415589999999998E-2</v>
      </c>
      <c r="U295">
        <v>-5.4290770000000002E-2</v>
      </c>
      <c r="V295">
        <v>-0.1205567</v>
      </c>
      <c r="W295">
        <v>8.0068929999999996E-2</v>
      </c>
      <c r="X295">
        <v>0.98947209999999997</v>
      </c>
      <c r="Y295">
        <v>1.194738E-2</v>
      </c>
      <c r="Z295" s="1">
        <v>-6.1367969999999997E-5</v>
      </c>
      <c r="AA295">
        <v>0.9999287</v>
      </c>
      <c r="AB295">
        <v>22</v>
      </c>
      <c r="AC295">
        <v>298.05790000000002</v>
      </c>
      <c r="AD295">
        <v>4.3695259999999996</v>
      </c>
      <c r="AE295">
        <v>-5.3402000000000296</v>
      </c>
      <c r="AF295">
        <v>3.5626455064937401</v>
      </c>
      <c r="AG295">
        <v>4.3695259999999996</v>
      </c>
      <c r="AH295">
        <v>298.020408416973</v>
      </c>
      <c r="AI295">
        <v>89.160058939130096</v>
      </c>
      <c r="AJ295">
        <v>89.3150978158219</v>
      </c>
      <c r="AK295">
        <v>298.073730867866</v>
      </c>
      <c r="AL295">
        <v>85.407472128790999</v>
      </c>
      <c r="AM295">
        <v>96.946645226195898</v>
      </c>
      <c r="AN295">
        <v>0.99999999407232198</v>
      </c>
    </row>
    <row r="296" spans="1:40" x14ac:dyDescent="0.25">
      <c r="A296" t="str">
        <f>"20190304154732849"</f>
        <v>20190304154732849</v>
      </c>
      <c r="B296" t="str">
        <f>"1551685652847052"</f>
        <v>1551685652847052</v>
      </c>
      <c r="C296" t="s">
        <v>40</v>
      </c>
      <c r="D296">
        <v>4.3677510000000002</v>
      </c>
      <c r="E296">
        <v>0.55719390000000002</v>
      </c>
      <c r="F296" t="s">
        <v>43</v>
      </c>
      <c r="G296">
        <v>-168.84350000000001</v>
      </c>
      <c r="H296">
        <v>8.7455239999999996</v>
      </c>
      <c r="I296">
        <v>356.30270000000002</v>
      </c>
      <c r="J296">
        <v>-456.1327</v>
      </c>
      <c r="K296">
        <v>1.109702</v>
      </c>
      <c r="L296">
        <v>366.97</v>
      </c>
      <c r="M296">
        <v>0.99996870000000004</v>
      </c>
      <c r="N296">
        <v>-5.2587859999999997E-3</v>
      </c>
      <c r="O296">
        <v>-5.9202949999999999E-3</v>
      </c>
      <c r="P296">
        <v>0.99057580000000001</v>
      </c>
      <c r="Q296">
        <v>7.4882770000000001E-2</v>
      </c>
      <c r="R296">
        <v>0.1146841</v>
      </c>
      <c r="S296">
        <v>3.0354920000000001</v>
      </c>
      <c r="T296">
        <v>8.0647109999999994E-2</v>
      </c>
      <c r="U296">
        <v>-0.11267089999999901</v>
      </c>
      <c r="V296">
        <v>-0.12054910000000001</v>
      </c>
      <c r="W296">
        <v>8.0083669999999996E-2</v>
      </c>
      <c r="X296">
        <v>0.98947189999999996</v>
      </c>
      <c r="Y296">
        <v>3.1169539999999999E-2</v>
      </c>
      <c r="Z296">
        <v>1.4352279999999999E-4</v>
      </c>
      <c r="AA296">
        <v>0.99951409999999996</v>
      </c>
      <c r="AB296">
        <v>22</v>
      </c>
      <c r="AC296">
        <v>287.28919999999999</v>
      </c>
      <c r="AD296">
        <v>7.6358220000000001</v>
      </c>
      <c r="AE296">
        <v>-10.667299999999999</v>
      </c>
      <c r="AF296">
        <v>8.95993189999683</v>
      </c>
      <c r="AG296">
        <v>7.6358220000000001</v>
      </c>
      <c r="AH296">
        <v>287.14474933889699</v>
      </c>
      <c r="AI296">
        <v>88.477476568897103</v>
      </c>
      <c r="AJ296">
        <v>88.212748914339599</v>
      </c>
      <c r="AK296">
        <v>287.38596561099899</v>
      </c>
      <c r="AL296">
        <v>85.406625173083796</v>
      </c>
      <c r="AM296">
        <v>96.946212972421705</v>
      </c>
      <c r="AN296">
        <v>1.0000000603005399</v>
      </c>
    </row>
    <row r="297" spans="1:40" x14ac:dyDescent="0.25">
      <c r="A297" t="str">
        <f>"20190304154732862"</f>
        <v>20190304154732862</v>
      </c>
      <c r="B297" t="str">
        <f>"1551685652857788"</f>
        <v>1551685652857788</v>
      </c>
      <c r="C297" t="s">
        <v>40</v>
      </c>
      <c r="D297">
        <v>4.3796309999999998</v>
      </c>
      <c r="E297">
        <v>0.55533080000000001</v>
      </c>
      <c r="F297" t="s">
        <v>43</v>
      </c>
      <c r="G297">
        <v>-169.2955</v>
      </c>
      <c r="H297">
        <v>5.9098949999999997</v>
      </c>
      <c r="I297">
        <v>356.21069999999997</v>
      </c>
      <c r="J297">
        <v>-456.0179</v>
      </c>
      <c r="K297">
        <v>1.1097159999999999</v>
      </c>
      <c r="L297">
        <v>366.96940000000001</v>
      </c>
      <c r="M297">
        <v>0.99996830000000003</v>
      </c>
      <c r="N297">
        <v>-5.3702039999999999E-3</v>
      </c>
      <c r="O297">
        <v>-5.8985060000000004E-3</v>
      </c>
      <c r="P297">
        <v>0.99055000000000004</v>
      </c>
      <c r="Q297">
        <v>7.4581239999999993E-2</v>
      </c>
      <c r="R297">
        <v>0.115102</v>
      </c>
      <c r="S297">
        <v>3.037903</v>
      </c>
      <c r="T297">
        <v>5.08399E-2</v>
      </c>
      <c r="U297">
        <v>-0.1139526</v>
      </c>
      <c r="V297">
        <v>-0.12094249999999999</v>
      </c>
      <c r="W297">
        <v>7.9896380000000003E-2</v>
      </c>
      <c r="X297">
        <v>0.98943899999999996</v>
      </c>
      <c r="Y297">
        <v>3.1587280000000002E-2</v>
      </c>
      <c r="Z297" s="1">
        <v>4.9017490000000002E-5</v>
      </c>
      <c r="AA297">
        <v>0.99950099999999997</v>
      </c>
      <c r="AB297">
        <v>22</v>
      </c>
      <c r="AC297">
        <v>286.72239999999999</v>
      </c>
      <c r="AD297">
        <v>4.800179</v>
      </c>
      <c r="AE297">
        <v>-10.758699999999999</v>
      </c>
      <c r="AF297">
        <v>9.0647177611046192</v>
      </c>
      <c r="AG297">
        <v>4.800179</v>
      </c>
      <c r="AH297">
        <v>286.70062972099697</v>
      </c>
      <c r="AI297">
        <v>89.041275295671994</v>
      </c>
      <c r="AJ297">
        <v>88.189061843566407</v>
      </c>
      <c r="AK297">
        <v>286.88405656107199</v>
      </c>
      <c r="AL297">
        <v>85.4173904433883</v>
      </c>
      <c r="AM297">
        <v>96.968888149585396</v>
      </c>
      <c r="AN297">
        <v>1.0000000272821701</v>
      </c>
    </row>
    <row r="298" spans="1:40" x14ac:dyDescent="0.25">
      <c r="A298" t="str">
        <f>"20190304154732874"</f>
        <v>20190304154732874</v>
      </c>
      <c r="B298" t="str">
        <f>"1551685652867549"</f>
        <v>1551685652867549</v>
      </c>
      <c r="C298" t="s">
        <v>40</v>
      </c>
      <c r="D298">
        <v>4.3815980000000003</v>
      </c>
      <c r="E298">
        <v>0.55401</v>
      </c>
      <c r="F298" t="s">
        <v>43</v>
      </c>
      <c r="G298">
        <v>-158.19499999999999</v>
      </c>
      <c r="H298">
        <v>3.9285139999999998</v>
      </c>
      <c r="I298">
        <v>357.32400000000001</v>
      </c>
      <c r="J298">
        <v>-455.89339999999999</v>
      </c>
      <c r="K298">
        <v>1.1097239999999999</v>
      </c>
      <c r="L298">
        <v>366.96870000000001</v>
      </c>
      <c r="M298">
        <v>0.99996759999999996</v>
      </c>
      <c r="N298">
        <v>-5.4980230000000003E-3</v>
      </c>
      <c r="O298">
        <v>-5.8804690000000001E-3</v>
      </c>
      <c r="P298">
        <v>0.99054529999999996</v>
      </c>
      <c r="Q298">
        <v>7.4161450000000004E-2</v>
      </c>
      <c r="R298">
        <v>0.1154134</v>
      </c>
      <c r="S298">
        <v>3.0379640000000001</v>
      </c>
      <c r="T298">
        <v>2.8754229999999999E-2</v>
      </c>
      <c r="U298">
        <v>-9.8388669999999998E-2</v>
      </c>
      <c r="V298">
        <v>-0.12123349999999999</v>
      </c>
      <c r="W298">
        <v>7.960739E-2</v>
      </c>
      <c r="X298">
        <v>0.98942669999999999</v>
      </c>
      <c r="Y298">
        <v>2.6491549999999999E-2</v>
      </c>
      <c r="Z298" s="1">
        <v>-3.5474249999999997E-5</v>
      </c>
      <c r="AA298">
        <v>0.99964900000000001</v>
      </c>
      <c r="AB298">
        <v>22</v>
      </c>
      <c r="AC298">
        <v>297.69839999999999</v>
      </c>
      <c r="AD298">
        <v>2.8187899999999999</v>
      </c>
      <c r="AE298">
        <v>-9.6447000000000003</v>
      </c>
      <c r="AF298">
        <v>7.8931936541804797</v>
      </c>
      <c r="AG298">
        <v>2.8187899999999999</v>
      </c>
      <c r="AH298">
        <v>297.72330455480898</v>
      </c>
      <c r="AI298">
        <v>89.457740733400101</v>
      </c>
      <c r="AJ298">
        <v>88.481339005205101</v>
      </c>
      <c r="AK298">
        <v>297.84125664212797</v>
      </c>
      <c r="AL298">
        <v>85.434001347327396</v>
      </c>
      <c r="AM298">
        <v>96.985576513310406</v>
      </c>
      <c r="AN298">
        <v>1.0000000463688701</v>
      </c>
    </row>
    <row r="299" spans="1:40" x14ac:dyDescent="0.25">
      <c r="A299" t="str">
        <f>"20190304154732893"</f>
        <v>20190304154732893</v>
      </c>
      <c r="B299" t="str">
        <f>"1551685652887068"</f>
        <v>1551685652887068</v>
      </c>
      <c r="C299" t="s">
        <v>40</v>
      </c>
      <c r="D299">
        <v>4.0821209999999999</v>
      </c>
      <c r="E299">
        <v>0.56026379999999998</v>
      </c>
      <c r="F299" t="s">
        <v>43</v>
      </c>
      <c r="G299">
        <v>-158.19499999999999</v>
      </c>
      <c r="H299">
        <v>2.2287720000000002</v>
      </c>
      <c r="I299">
        <v>358.40089999999998</v>
      </c>
      <c r="J299">
        <v>-455.70370000000003</v>
      </c>
      <c r="K299">
        <v>1.1097459999999999</v>
      </c>
      <c r="L299">
        <v>366.9676</v>
      </c>
      <c r="M299">
        <v>0.99996660000000004</v>
      </c>
      <c r="N299">
        <v>-5.7209790000000002E-3</v>
      </c>
      <c r="O299">
        <v>-5.8722699999999997E-3</v>
      </c>
      <c r="P299">
        <v>0.99051579999999995</v>
      </c>
      <c r="Q299">
        <v>7.3752020000000001E-2</v>
      </c>
      <c r="R299">
        <v>0.1159287</v>
      </c>
      <c r="S299">
        <v>3.0379640000000001</v>
      </c>
      <c r="T299">
        <v>1.1420609999999999E-2</v>
      </c>
      <c r="U299">
        <v>-8.7432860000000001E-2</v>
      </c>
      <c r="V299">
        <v>-0.12173730000000001</v>
      </c>
      <c r="W299">
        <v>7.9423439999999998E-2</v>
      </c>
      <c r="X299">
        <v>0.98937960000000003</v>
      </c>
      <c r="Y299">
        <v>2.2898089999999999E-2</v>
      </c>
      <c r="Z299" s="1">
        <v>-7.8141769999999996E-5</v>
      </c>
      <c r="AA299">
        <v>0.99973780000000001</v>
      </c>
      <c r="AB299">
        <v>22</v>
      </c>
      <c r="AC299">
        <v>297.50869999999998</v>
      </c>
      <c r="AD299">
        <v>1.1190260000000001</v>
      </c>
      <c r="AE299">
        <v>-8.5667000000000204</v>
      </c>
      <c r="AF299">
        <v>6.8193762486241596</v>
      </c>
      <c r="AG299">
        <v>1.1190260000000001</v>
      </c>
      <c r="AH299">
        <v>297.54967089023</v>
      </c>
      <c r="AI299">
        <v>89.784579385088506</v>
      </c>
      <c r="AJ299">
        <v>88.687099572837298</v>
      </c>
      <c r="AK299">
        <v>297.62990904560201</v>
      </c>
      <c r="AL299">
        <v>85.444574276726399</v>
      </c>
      <c r="AM299">
        <v>97.014647895882007</v>
      </c>
      <c r="AN299">
        <v>1.0000000229644399</v>
      </c>
    </row>
    <row r="300" spans="1:40" x14ac:dyDescent="0.25">
      <c r="A300" t="str">
        <f>"20190304154732906"</f>
        <v>20190304154732906</v>
      </c>
      <c r="B300" t="str">
        <f>"1551685652896828"</f>
        <v>1551685652896828</v>
      </c>
      <c r="C300" t="s">
        <v>40</v>
      </c>
      <c r="D300">
        <v>4.0695059999999996</v>
      </c>
      <c r="E300">
        <v>0.56258640000000004</v>
      </c>
      <c r="F300" t="s">
        <v>43</v>
      </c>
      <c r="G300">
        <v>-169.2955</v>
      </c>
      <c r="H300">
        <v>5.9581169999999997</v>
      </c>
      <c r="I300">
        <v>354.32799999999997</v>
      </c>
      <c r="J300">
        <v>-455.5693</v>
      </c>
      <c r="K300">
        <v>1.1097669999999999</v>
      </c>
      <c r="L300">
        <v>366.96679999999998</v>
      </c>
      <c r="M300">
        <v>0.99996549999999995</v>
      </c>
      <c r="N300">
        <v>-5.8969110000000003E-3</v>
      </c>
      <c r="O300">
        <v>-5.8761730000000002E-3</v>
      </c>
      <c r="P300">
        <v>0.99048440000000004</v>
      </c>
      <c r="Q300">
        <v>7.3530369999999998E-2</v>
      </c>
      <c r="R300">
        <v>0.1163382</v>
      </c>
      <c r="S300">
        <v>3.0405880000000001</v>
      </c>
      <c r="T300">
        <v>5.1472539999999997E-2</v>
      </c>
      <c r="U300">
        <v>-0.13418579999999999</v>
      </c>
      <c r="V300">
        <v>-0.1221487</v>
      </c>
      <c r="W300">
        <v>7.9377820000000002E-2</v>
      </c>
      <c r="X300">
        <v>0.98933260000000001</v>
      </c>
      <c r="Y300">
        <v>3.8215260000000001E-2</v>
      </c>
      <c r="Z300" s="1">
        <v>7.6497609999999998E-5</v>
      </c>
      <c r="AA300">
        <v>0.99926950000000003</v>
      </c>
      <c r="AB300">
        <v>22</v>
      </c>
      <c r="AC300">
        <v>286.27379999999999</v>
      </c>
      <c r="AD300">
        <v>4.8483499999999999</v>
      </c>
      <c r="AE300">
        <v>-12.6387999999999</v>
      </c>
      <c r="AF300">
        <v>10.95322281624</v>
      </c>
      <c r="AG300">
        <v>4.8483499999999999</v>
      </c>
      <c r="AH300">
        <v>286.26117781919601</v>
      </c>
      <c r="AI300">
        <v>89.030394662584698</v>
      </c>
      <c r="AJ300">
        <v>87.808758265656706</v>
      </c>
      <c r="AK300">
        <v>286.51167779729002</v>
      </c>
      <c r="AL300">
        <v>85.447196595632406</v>
      </c>
      <c r="AM300">
        <v>97.038446905991094</v>
      </c>
      <c r="AN300">
        <v>1.00000006832119</v>
      </c>
    </row>
    <row r="301" spans="1:40" x14ac:dyDescent="0.25">
      <c r="A301" t="str">
        <f>"20190304154732919"</f>
        <v>20190304154732919</v>
      </c>
      <c r="B301" t="str">
        <f>"1551685652907565"</f>
        <v>1551685652907565</v>
      </c>
      <c r="C301" t="s">
        <v>40</v>
      </c>
      <c r="D301">
        <v>4.4136959999999998</v>
      </c>
      <c r="E301">
        <v>0.56112109999999904</v>
      </c>
      <c r="F301" t="s">
        <v>43</v>
      </c>
      <c r="G301">
        <v>-170.08879999999999</v>
      </c>
      <c r="H301">
        <v>7.3705039999999897</v>
      </c>
      <c r="I301">
        <v>352.79390000000001</v>
      </c>
      <c r="J301">
        <v>-455.45350000000002</v>
      </c>
      <c r="K301">
        <v>1.1097889999999999</v>
      </c>
      <c r="L301">
        <v>366.96609999999998</v>
      </c>
      <c r="M301">
        <v>0.99996439999999998</v>
      </c>
      <c r="N301">
        <v>-6.0556990000000003E-3</v>
      </c>
      <c r="O301">
        <v>-5.8834719999999998E-3</v>
      </c>
      <c r="P301">
        <v>0.99050329999999998</v>
      </c>
      <c r="Q301">
        <v>7.3203219999999999E-2</v>
      </c>
      <c r="R301">
        <v>0.1163825</v>
      </c>
      <c r="S301">
        <v>3.0415649999999999</v>
      </c>
      <c r="T301">
        <v>6.6704029999999997E-2</v>
      </c>
      <c r="U301">
        <v>-0.151001</v>
      </c>
      <c r="V301">
        <v>-0.1221998</v>
      </c>
      <c r="W301">
        <v>7.9209059999999998E-2</v>
      </c>
      <c r="X301">
        <v>0.98933979999999999</v>
      </c>
      <c r="Y301">
        <v>4.370226E-2</v>
      </c>
      <c r="Z301">
        <v>1.819108E-4</v>
      </c>
      <c r="AA301">
        <v>0.99904459999999995</v>
      </c>
      <c r="AB301">
        <v>22</v>
      </c>
      <c r="AC301">
        <v>285.36470000000003</v>
      </c>
      <c r="AD301">
        <v>6.2607149999999896</v>
      </c>
      <c r="AE301">
        <v>-14.172199999999901</v>
      </c>
      <c r="AF301">
        <v>12.4869931302573</v>
      </c>
      <c r="AG301">
        <v>6.2607149999999896</v>
      </c>
      <c r="AH301">
        <v>285.30615412482399</v>
      </c>
      <c r="AI301">
        <v>88.744113744787896</v>
      </c>
      <c r="AJ301">
        <v>87.493935230059805</v>
      </c>
      <c r="AK301">
        <v>285.64790062460401</v>
      </c>
      <c r="AL301">
        <v>85.456896302876501</v>
      </c>
      <c r="AM301">
        <v>97.041311106391603</v>
      </c>
      <c r="AN301">
        <v>1.0000000530850801</v>
      </c>
    </row>
    <row r="302" spans="1:40" x14ac:dyDescent="0.25">
      <c r="A302" t="str">
        <f>"20190304154732930"</f>
        <v>20190304154732930</v>
      </c>
      <c r="B302" t="str">
        <f>"1551685652927084"</f>
        <v>1551685652927084</v>
      </c>
      <c r="C302" t="s">
        <v>40</v>
      </c>
      <c r="D302">
        <v>4.10006</v>
      </c>
      <c r="E302">
        <v>0.56173989999999996</v>
      </c>
      <c r="F302" t="s">
        <v>43</v>
      </c>
      <c r="G302">
        <v>-169.2955</v>
      </c>
      <c r="H302">
        <v>6.0376469999999998</v>
      </c>
      <c r="I302">
        <v>353.82650000000001</v>
      </c>
      <c r="J302">
        <v>-455.33749999999998</v>
      </c>
      <c r="K302">
        <v>1.1098140000000001</v>
      </c>
      <c r="L302">
        <v>366.96539999999999</v>
      </c>
      <c r="M302">
        <v>0.99996339999999995</v>
      </c>
      <c r="N302">
        <v>-6.2188929999999996E-3</v>
      </c>
      <c r="O302">
        <v>-5.893171E-3</v>
      </c>
      <c r="P302">
        <v>0.99051639999999996</v>
      </c>
      <c r="Q302">
        <v>7.3034600000000005E-2</v>
      </c>
      <c r="R302">
        <v>0.1163763</v>
      </c>
      <c r="S302">
        <v>3.04129</v>
      </c>
      <c r="T302">
        <v>5.2374240000000002E-2</v>
      </c>
      <c r="U302">
        <v>-0.13964840000000001</v>
      </c>
      <c r="V302">
        <v>-0.1222032</v>
      </c>
      <c r="W302">
        <v>7.9201939999999998E-2</v>
      </c>
      <c r="X302">
        <v>0.98933990000000005</v>
      </c>
      <c r="Y302">
        <v>3.9979130000000002E-2</v>
      </c>
      <c r="Z302" s="1">
        <v>8.1599809999999897E-5</v>
      </c>
      <c r="AA302">
        <v>0.99920050000000005</v>
      </c>
      <c r="AB302">
        <v>22</v>
      </c>
      <c r="AC302">
        <v>286.04199999999997</v>
      </c>
      <c r="AD302">
        <v>4.9278329999999997</v>
      </c>
      <c r="AE302">
        <v>-13.1388999999999</v>
      </c>
      <c r="AF302">
        <v>11.4495540092753</v>
      </c>
      <c r="AG302">
        <v>4.9278329999999997</v>
      </c>
      <c r="AH302">
        <v>286.029751357257</v>
      </c>
      <c r="AI302">
        <v>89.013773096437902</v>
      </c>
      <c r="AJ302">
        <v>87.707717217957693</v>
      </c>
      <c r="AK302">
        <v>286.301230326699</v>
      </c>
      <c r="AL302">
        <v>85.457305309038603</v>
      </c>
      <c r="AM302">
        <v>97.041504347510894</v>
      </c>
      <c r="AN302">
        <v>1.0000000035609999</v>
      </c>
    </row>
    <row r="303" spans="1:40" x14ac:dyDescent="0.25">
      <c r="A303" t="str">
        <f>"20190304154732950"</f>
        <v>20190304154732950</v>
      </c>
      <c r="B303" t="str">
        <f>"1551685652947581"</f>
        <v>1551685652947581</v>
      </c>
      <c r="C303" t="s">
        <v>40</v>
      </c>
      <c r="D303">
        <v>4.2367610000000004</v>
      </c>
      <c r="E303">
        <v>0.56389769999999995</v>
      </c>
      <c r="F303" t="s">
        <v>43</v>
      </c>
      <c r="G303">
        <v>-158.78319999999999</v>
      </c>
      <c r="H303">
        <v>6.3730279999999997</v>
      </c>
      <c r="I303">
        <v>352.86250000000001</v>
      </c>
      <c r="J303">
        <v>-455.14240000000001</v>
      </c>
      <c r="K303">
        <v>1.1098650000000001</v>
      </c>
      <c r="L303">
        <v>366.96420000000001</v>
      </c>
      <c r="M303">
        <v>0.99996130000000005</v>
      </c>
      <c r="N303">
        <v>-6.5149319999999898E-3</v>
      </c>
      <c r="O303">
        <v>-5.9147330000000001E-3</v>
      </c>
      <c r="P303">
        <v>0.99051319999999998</v>
      </c>
      <c r="Q303">
        <v>7.3234770000000005E-2</v>
      </c>
      <c r="R303">
        <v>0.11627709999999999</v>
      </c>
      <c r="S303">
        <v>3.0417480000000001</v>
      </c>
      <c r="T303">
        <v>5.3985480000000002E-2</v>
      </c>
      <c r="U303">
        <v>-0.14465329999999901</v>
      </c>
      <c r="V303">
        <v>-0.12212580000000001</v>
      </c>
      <c r="W303">
        <v>7.9694860000000006E-2</v>
      </c>
      <c r="X303">
        <v>0.98930980000000002</v>
      </c>
      <c r="Y303">
        <v>4.1590889999999998E-2</v>
      </c>
      <c r="Z303" s="1">
        <v>8.9864130000000001E-5</v>
      </c>
      <c r="AA303">
        <v>0.99913470000000004</v>
      </c>
      <c r="AB303">
        <v>22</v>
      </c>
      <c r="AC303">
        <v>296.35919999999999</v>
      </c>
      <c r="AD303">
        <v>5.2631629999999996</v>
      </c>
      <c r="AE303">
        <v>-14.1016999999999</v>
      </c>
      <c r="AF303">
        <v>12.344645942731701</v>
      </c>
      <c r="AG303">
        <v>5.2631629999999996</v>
      </c>
      <c r="AH303">
        <v>296.34417061021099</v>
      </c>
      <c r="AI303">
        <v>88.983397891491506</v>
      </c>
      <c r="AJ303">
        <v>87.6146403625673</v>
      </c>
      <c r="AK303">
        <v>296.64786974267997</v>
      </c>
      <c r="AL303">
        <v>85.4289731837126</v>
      </c>
      <c r="AM303">
        <v>97.037301149123607</v>
      </c>
      <c r="AN303">
        <v>0.99999993105604701</v>
      </c>
    </row>
    <row r="304" spans="1:40" x14ac:dyDescent="0.25">
      <c r="A304" t="str">
        <f>"20190304154732974"</f>
        <v>20190304154732974</v>
      </c>
      <c r="B304" t="str">
        <f>"1551685652967101"</f>
        <v>1551685652967101</v>
      </c>
      <c r="C304" t="s">
        <v>40</v>
      </c>
      <c r="D304">
        <v>4.260103</v>
      </c>
      <c r="E304">
        <v>0.56486999999999998</v>
      </c>
      <c r="F304" t="s">
        <v>43</v>
      </c>
      <c r="G304">
        <v>-159.35079999999999</v>
      </c>
      <c r="H304">
        <v>7.6382919999999999</v>
      </c>
      <c r="I304">
        <v>351.26170000000002</v>
      </c>
      <c r="J304">
        <v>-454.91469999999998</v>
      </c>
      <c r="K304">
        <v>1.109931</v>
      </c>
      <c r="L304">
        <v>366.96289999999999</v>
      </c>
      <c r="M304">
        <v>0.99995869999999998</v>
      </c>
      <c r="N304">
        <v>-6.8890820000000004E-3</v>
      </c>
      <c r="O304">
        <v>-5.9413479999999999E-3</v>
      </c>
      <c r="P304">
        <v>0.9905661</v>
      </c>
      <c r="Q304">
        <v>7.3199410000000006E-2</v>
      </c>
      <c r="R304">
        <v>0.1158489</v>
      </c>
      <c r="S304">
        <v>3.0427550000000001</v>
      </c>
      <c r="T304">
        <v>6.7157629999999996E-2</v>
      </c>
      <c r="U304">
        <v>-0.16152949999999999</v>
      </c>
      <c r="V304">
        <v>-0.12172479999999999</v>
      </c>
      <c r="W304">
        <v>8.0028039999999995E-2</v>
      </c>
      <c r="X304">
        <v>0.9893324</v>
      </c>
      <c r="Y304">
        <v>4.7072530000000001E-2</v>
      </c>
      <c r="Z304">
        <v>1.8485830000000001E-4</v>
      </c>
      <c r="AA304">
        <v>0.99889150000000004</v>
      </c>
      <c r="AB304">
        <v>22</v>
      </c>
      <c r="AC304">
        <v>295.56389999999999</v>
      </c>
      <c r="AD304">
        <v>6.5283610000000003</v>
      </c>
      <c r="AE304">
        <v>-15.701199999999901</v>
      </c>
      <c r="AF304">
        <v>13.938052499988</v>
      </c>
      <c r="AG304">
        <v>6.5283610000000003</v>
      </c>
      <c r="AH304">
        <v>295.50820720435098</v>
      </c>
      <c r="AI304">
        <v>88.735833662835503</v>
      </c>
      <c r="AJ304">
        <v>87.299566805889896</v>
      </c>
      <c r="AK304">
        <v>295.90875169546501</v>
      </c>
      <c r="AL304">
        <v>85.409822550057498</v>
      </c>
      <c r="AM304">
        <v>97.014266099725802</v>
      </c>
      <c r="AN304">
        <v>1.0000000059055201</v>
      </c>
    </row>
    <row r="305" spans="1:40" x14ac:dyDescent="0.25">
      <c r="A305" t="str">
        <f>"20190304154732987"</f>
        <v>20190304154732987</v>
      </c>
      <c r="B305" t="str">
        <f>"1551685652976860"</f>
        <v>1551685652976860</v>
      </c>
      <c r="C305" t="s">
        <v>40</v>
      </c>
      <c r="D305">
        <v>4.2534269999999896</v>
      </c>
      <c r="E305">
        <v>0.56515419999999905</v>
      </c>
      <c r="F305" t="s">
        <v>43</v>
      </c>
      <c r="G305">
        <v>-159.35079999999999</v>
      </c>
      <c r="H305">
        <v>7.9152039999999904</v>
      </c>
      <c r="I305">
        <v>350.41590000000002</v>
      </c>
      <c r="J305">
        <v>-454.77120000000002</v>
      </c>
      <c r="K305">
        <v>1.1099699999999999</v>
      </c>
      <c r="L305">
        <v>366.96199999999999</v>
      </c>
      <c r="M305">
        <v>0.99995690000000004</v>
      </c>
      <c r="N305">
        <v>-7.1341149999999999E-3</v>
      </c>
      <c r="O305">
        <v>-5.9567269999999898E-3</v>
      </c>
      <c r="P305">
        <v>0.99058170000000001</v>
      </c>
      <c r="Q305">
        <v>7.3411480000000001E-2</v>
      </c>
      <c r="R305">
        <v>0.1155804</v>
      </c>
      <c r="S305">
        <v>3.0433349999999999</v>
      </c>
      <c r="T305">
        <v>7.0072770000000006E-2</v>
      </c>
      <c r="U305">
        <v>-0.17037959999999999</v>
      </c>
      <c r="V305">
        <v>-0.1214727</v>
      </c>
      <c r="W305">
        <v>8.0481960000000005E-2</v>
      </c>
      <c r="X305">
        <v>0.9893265</v>
      </c>
      <c r="Y305">
        <v>4.9942050000000002E-2</v>
      </c>
      <c r="Z305">
        <v>2.1664819999999999E-4</v>
      </c>
      <c r="AA305">
        <v>0.99875210000000003</v>
      </c>
      <c r="AB305">
        <v>22</v>
      </c>
      <c r="AC305">
        <v>295.42039999999997</v>
      </c>
      <c r="AD305">
        <v>6.8052339999999898</v>
      </c>
      <c r="AE305">
        <v>-16.5460999999999</v>
      </c>
      <c r="AF305">
        <v>14.7782056580659</v>
      </c>
      <c r="AG305">
        <v>6.8052339999999898</v>
      </c>
      <c r="AH305">
        <v>295.35748140444502</v>
      </c>
      <c r="AI305">
        <v>88.681748941297599</v>
      </c>
      <c r="AJ305">
        <v>87.135595572292104</v>
      </c>
      <c r="AK305">
        <v>295.80525416875901</v>
      </c>
      <c r="AL305">
        <v>85.383730396674196</v>
      </c>
      <c r="AM305">
        <v>96.999924695156196</v>
      </c>
      <c r="AN305">
        <v>0.99999994316648899</v>
      </c>
    </row>
    <row r="306" spans="1:40" x14ac:dyDescent="0.25">
      <c r="A306" t="str">
        <f>"20190304154733006"</f>
        <v>20190304154733006</v>
      </c>
      <c r="B306" t="str">
        <f>"1551685652997356"</f>
        <v>1551685652997356</v>
      </c>
      <c r="C306" t="s">
        <v>40</v>
      </c>
      <c r="D306">
        <v>4.2370890000000001</v>
      </c>
      <c r="E306">
        <v>0.56588579999999999</v>
      </c>
      <c r="F306" t="s">
        <v>42</v>
      </c>
      <c r="G306">
        <v>0</v>
      </c>
      <c r="H306">
        <v>0</v>
      </c>
      <c r="I306">
        <v>0</v>
      </c>
      <c r="J306">
        <v>-454.58839999999998</v>
      </c>
      <c r="K306">
        <v>1.1100179999999999</v>
      </c>
      <c r="L306">
        <v>366.96089999999998</v>
      </c>
      <c r="M306">
        <v>0.99995449999999997</v>
      </c>
      <c r="N306">
        <v>-7.4416430000000004E-3</v>
      </c>
      <c r="O306">
        <v>-5.9728419999999999E-3</v>
      </c>
      <c r="P306">
        <v>0.99057200000000001</v>
      </c>
      <c r="Q306">
        <v>7.3893849999999997E-2</v>
      </c>
      <c r="R306">
        <v>0.115355</v>
      </c>
      <c r="S306">
        <v>3.0434570000000001</v>
      </c>
      <c r="T306">
        <v>7.0947170000000004E-2</v>
      </c>
      <c r="U306">
        <v>-0.17324829999999999</v>
      </c>
      <c r="V306">
        <v>-0.1212635</v>
      </c>
      <c r="W306">
        <v>8.1267110000000004E-2</v>
      </c>
      <c r="X306">
        <v>0.98928799999999995</v>
      </c>
      <c r="Y306">
        <v>5.0861919999999998E-2</v>
      </c>
      <c r="Z306">
        <v>2.1934600000000001E-4</v>
      </c>
      <c r="AA306">
        <v>0.99870570000000003</v>
      </c>
      <c r="AB306">
        <v>22</v>
      </c>
      <c r="AC306">
        <v>3.0434570000000001</v>
      </c>
      <c r="AD306">
        <v>7.0947170000000004E-2</v>
      </c>
      <c r="AE306">
        <v>-0.17324829999999999</v>
      </c>
      <c r="AF306">
        <v>0.15498267015905201</v>
      </c>
      <c r="AG306">
        <v>7.0947170000000004E-2</v>
      </c>
      <c r="AH306">
        <v>3.0427893499059202</v>
      </c>
      <c r="AI306">
        <v>88.666034116996201</v>
      </c>
      <c r="AJ306">
        <v>87.084193229653096</v>
      </c>
      <c r="AK306">
        <v>3.04755970522015</v>
      </c>
      <c r="AL306">
        <v>85.338596860859298</v>
      </c>
      <c r="AM306">
        <v>96.988257997471294</v>
      </c>
      <c r="AN306">
        <v>0.99999996327200003</v>
      </c>
    </row>
    <row r="307" spans="1:40" x14ac:dyDescent="0.25">
      <c r="A307" t="str">
        <f>"20190304154733018"</f>
        <v>20190304154733018</v>
      </c>
      <c r="B307" t="str">
        <f>"1551685653007117"</f>
        <v>1551685653007117</v>
      </c>
      <c r="C307" t="s">
        <v>40</v>
      </c>
      <c r="D307">
        <v>4.2200600000000001</v>
      </c>
      <c r="E307">
        <v>0.56618950000000001</v>
      </c>
      <c r="F307" t="s">
        <v>42</v>
      </c>
      <c r="G307">
        <v>0</v>
      </c>
      <c r="H307">
        <v>0</v>
      </c>
      <c r="I307">
        <v>0</v>
      </c>
      <c r="J307">
        <v>-454.46499999999997</v>
      </c>
      <c r="K307">
        <v>1.110047</v>
      </c>
      <c r="L307">
        <v>366.96019999999999</v>
      </c>
      <c r="M307">
        <v>0.99995310000000004</v>
      </c>
      <c r="N307">
        <v>-7.6439319999999896E-3</v>
      </c>
      <c r="O307">
        <v>-5.9813419999999997E-3</v>
      </c>
      <c r="P307">
        <v>0.990587</v>
      </c>
      <c r="Q307">
        <v>7.4038909999999999E-2</v>
      </c>
      <c r="R307">
        <v>0.1151336</v>
      </c>
      <c r="S307">
        <v>3.0439449999999999</v>
      </c>
      <c r="T307">
        <v>7.4868920000000005E-2</v>
      </c>
      <c r="U307">
        <v>-0.1799316</v>
      </c>
      <c r="V307">
        <v>-0.12105059999999999</v>
      </c>
      <c r="W307">
        <v>8.1612149999999994E-2</v>
      </c>
      <c r="X307">
        <v>0.98928570000000005</v>
      </c>
      <c r="Y307">
        <v>5.3028270000000002E-2</v>
      </c>
      <c r="Z307">
        <v>2.5596769999999998E-4</v>
      </c>
      <c r="AA307">
        <v>0.99859299999999995</v>
      </c>
      <c r="AB307">
        <v>22</v>
      </c>
      <c r="AC307">
        <v>3.0439449999999999</v>
      </c>
      <c r="AD307">
        <v>7.4868920000000005E-2</v>
      </c>
      <c r="AE307">
        <v>-0.1799316</v>
      </c>
      <c r="AF307">
        <v>0.16162354086759401</v>
      </c>
      <c r="AG307">
        <v>7.4868920000000005E-2</v>
      </c>
      <c r="AH307">
        <v>3.0431322340519702</v>
      </c>
      <c r="AI307">
        <v>88.5926427280327</v>
      </c>
      <c r="AJ307">
        <v>86.959825056567595</v>
      </c>
      <c r="AK307">
        <v>3.0483407483532199</v>
      </c>
      <c r="AL307">
        <v>85.318761778983301</v>
      </c>
      <c r="AM307">
        <v>96.976125908024201</v>
      </c>
      <c r="AN307">
        <v>0.99999999350623603</v>
      </c>
    </row>
    <row r="308" spans="1:40" x14ac:dyDescent="0.25">
      <c r="A308" t="str">
        <f>"20190304154733030"</f>
        <v>20190304154733030</v>
      </c>
      <c r="B308" t="str">
        <f>"1551685653027612"</f>
        <v>1551685653027612</v>
      </c>
      <c r="C308" t="s">
        <v>40</v>
      </c>
      <c r="D308">
        <v>4.2335140000000004</v>
      </c>
      <c r="E308">
        <v>0.56676210000000005</v>
      </c>
      <c r="F308" t="s">
        <v>42</v>
      </c>
      <c r="G308">
        <v>0</v>
      </c>
      <c r="H308">
        <v>0</v>
      </c>
      <c r="I308">
        <v>0</v>
      </c>
      <c r="J308">
        <v>-454.34249999999997</v>
      </c>
      <c r="K308">
        <v>1.11007099999999</v>
      </c>
      <c r="L308">
        <v>366.95949999999999</v>
      </c>
      <c r="M308">
        <v>0.99995140000000005</v>
      </c>
      <c r="N308">
        <v>-7.8411230000000002E-3</v>
      </c>
      <c r="O308">
        <v>-5.9878199999999996E-3</v>
      </c>
      <c r="P308">
        <v>0.99061589999999999</v>
      </c>
      <c r="Q308">
        <v>7.4195490000000003E-2</v>
      </c>
      <c r="R308">
        <v>0.11478530000000001</v>
      </c>
      <c r="S308">
        <v>3.0441280000000002</v>
      </c>
      <c r="T308">
        <v>7.6220389999999999E-2</v>
      </c>
      <c r="U308">
        <v>-0.18283079999999999</v>
      </c>
      <c r="V308">
        <v>-0.12070939999999999</v>
      </c>
      <c r="W308">
        <v>8.1963820000000007E-2</v>
      </c>
      <c r="X308">
        <v>0.98929829999999996</v>
      </c>
      <c r="Y308">
        <v>5.3965470000000001E-2</v>
      </c>
      <c r="Z308">
        <v>2.6643959999999998E-4</v>
      </c>
      <c r="AA308">
        <v>0.99854279999999995</v>
      </c>
      <c r="AB308">
        <v>22</v>
      </c>
      <c r="AC308">
        <v>3.0441280000000002</v>
      </c>
      <c r="AD308">
        <v>7.6220389999999999E-2</v>
      </c>
      <c r="AE308">
        <v>-0.18283079999999999</v>
      </c>
      <c r="AF308">
        <v>0.16449651600732801</v>
      </c>
      <c r="AG308">
        <v>7.6220389999999999E-2</v>
      </c>
      <c r="AH308">
        <v>3.0432671687633301</v>
      </c>
      <c r="AI308">
        <v>88.567384358784906</v>
      </c>
      <c r="AJ308">
        <v>86.906024764728002</v>
      </c>
      <c r="AK308">
        <v>3.0486626104085501</v>
      </c>
      <c r="AL308">
        <v>85.298544761033995</v>
      </c>
      <c r="AM308">
        <v>96.9565678246978</v>
      </c>
      <c r="AN308">
        <v>0.99999997671011998</v>
      </c>
    </row>
    <row r="309" spans="1:40" x14ac:dyDescent="0.25">
      <c r="A309" t="str">
        <f>"20190304154733043"</f>
        <v>20190304154733043</v>
      </c>
      <c r="B309" t="str">
        <f>"1551685653037373"</f>
        <v>1551685653037373</v>
      </c>
      <c r="C309" t="s">
        <v>40</v>
      </c>
      <c r="D309">
        <v>4.1026429999999996</v>
      </c>
      <c r="E309">
        <v>0.56759749999999998</v>
      </c>
      <c r="F309" t="s">
        <v>42</v>
      </c>
      <c r="G309">
        <v>0</v>
      </c>
      <c r="H309">
        <v>0</v>
      </c>
      <c r="I309">
        <v>0</v>
      </c>
      <c r="J309">
        <v>-454.22640000000001</v>
      </c>
      <c r="K309">
        <v>1.110093</v>
      </c>
      <c r="L309">
        <v>366.95870000000002</v>
      </c>
      <c r="M309">
        <v>0.99994989999999995</v>
      </c>
      <c r="N309">
        <v>-8.0204590000000006E-3</v>
      </c>
      <c r="O309">
        <v>-5.9919839999999997E-3</v>
      </c>
      <c r="P309">
        <v>0.99065190000000003</v>
      </c>
      <c r="Q309">
        <v>7.4171539999999994E-2</v>
      </c>
      <c r="R309">
        <v>0.11448800000000001</v>
      </c>
      <c r="S309">
        <v>3.0444339999999999</v>
      </c>
      <c r="T309">
        <v>7.8034999999999993E-2</v>
      </c>
      <c r="U309">
        <v>-0.18859860000000001</v>
      </c>
      <c r="V309">
        <v>-0.1204167</v>
      </c>
      <c r="W309">
        <v>8.2117319999999994E-2</v>
      </c>
      <c r="X309">
        <v>0.98932120000000001</v>
      </c>
      <c r="Y309">
        <v>5.5839180000000002E-2</v>
      </c>
      <c r="Z309">
        <v>2.8925020000000002E-4</v>
      </c>
      <c r="AA309">
        <v>0.99843970000000004</v>
      </c>
      <c r="AB309">
        <v>22</v>
      </c>
      <c r="AC309">
        <v>3.0444339999999999</v>
      </c>
      <c r="AD309">
        <v>7.8034999999999993E-2</v>
      </c>
      <c r="AE309">
        <v>-0.18859860000000001</v>
      </c>
      <c r="AF309">
        <v>0.170241006923118</v>
      </c>
      <c r="AG309">
        <v>7.8034999999999993E-2</v>
      </c>
      <c r="AH309">
        <v>3.0435175102861298</v>
      </c>
      <c r="AI309">
        <v>88.533564146575699</v>
      </c>
      <c r="AJ309">
        <v>86.798461853329798</v>
      </c>
      <c r="AK309">
        <v>3.0492737327241501</v>
      </c>
      <c r="AL309">
        <v>85.289719920034699</v>
      </c>
      <c r="AM309">
        <v>96.939704942985898</v>
      </c>
      <c r="AN309">
        <v>0.99999993632615403</v>
      </c>
    </row>
    <row r="310" spans="1:40" x14ac:dyDescent="0.25">
      <c r="A310" t="str">
        <f>"20190304154733061"</f>
        <v>20190304154733061</v>
      </c>
      <c r="B310" t="str">
        <f>"1551685653056893"</f>
        <v>1551685653056893</v>
      </c>
      <c r="C310" t="s">
        <v>40</v>
      </c>
      <c r="D310">
        <v>4.2135239999999996</v>
      </c>
      <c r="E310">
        <v>0.56795569999999995</v>
      </c>
      <c r="F310" t="s">
        <v>42</v>
      </c>
      <c r="G310">
        <v>0</v>
      </c>
      <c r="H310">
        <v>0</v>
      </c>
      <c r="I310">
        <v>0</v>
      </c>
      <c r="J310">
        <v>-454.03879999999998</v>
      </c>
      <c r="K310">
        <v>1.1101219999999901</v>
      </c>
      <c r="L310">
        <v>366.95760000000001</v>
      </c>
      <c r="M310">
        <v>0.99994769999999999</v>
      </c>
      <c r="N310">
        <v>-8.302752E-3</v>
      </c>
      <c r="O310">
        <v>-5.9977800000000003E-3</v>
      </c>
      <c r="P310">
        <v>0.99068440000000002</v>
      </c>
      <c r="Q310">
        <v>7.4191289999999993E-2</v>
      </c>
      <c r="R310">
        <v>0.1141943</v>
      </c>
      <c r="S310">
        <v>3.044708</v>
      </c>
      <c r="T310">
        <v>8.3773020000000004E-2</v>
      </c>
      <c r="U310">
        <v>-0.19583130000000001</v>
      </c>
      <c r="V310">
        <v>-0.12012929999999999</v>
      </c>
      <c r="W310">
        <v>8.2416699999999996E-2</v>
      </c>
      <c r="X310">
        <v>0.98933130000000002</v>
      </c>
      <c r="Y310">
        <v>5.8187719999999998E-2</v>
      </c>
      <c r="Z310">
        <v>3.4312360000000002E-4</v>
      </c>
      <c r="AA310">
        <v>0.99830560000000002</v>
      </c>
      <c r="AB310">
        <v>22</v>
      </c>
      <c r="AC310">
        <v>3.044708</v>
      </c>
      <c r="AD310">
        <v>8.3773020000000004E-2</v>
      </c>
      <c r="AE310">
        <v>-0.19583130000000001</v>
      </c>
      <c r="AF310">
        <v>0.17743189290040601</v>
      </c>
      <c r="AG310">
        <v>8.3773020000000004E-2</v>
      </c>
      <c r="AH310">
        <v>3.0435332503213401</v>
      </c>
      <c r="AI310">
        <v>88.426007254653797</v>
      </c>
      <c r="AJ310">
        <v>86.663547205837602</v>
      </c>
      <c r="AK310">
        <v>3.0498515769312</v>
      </c>
      <c r="AL310">
        <v>85.272508626629303</v>
      </c>
      <c r="AM310">
        <v>96.923232815204997</v>
      </c>
      <c r="AN310">
        <v>0.999999991158535</v>
      </c>
    </row>
    <row r="311" spans="1:40" x14ac:dyDescent="0.25">
      <c r="A311" t="str">
        <f>"20190304154733076"</f>
        <v>20190304154733076</v>
      </c>
      <c r="B311" t="str">
        <f>"1551685653067629"</f>
        <v>1551685653067629</v>
      </c>
      <c r="C311" t="s">
        <v>40</v>
      </c>
      <c r="D311">
        <v>4.2316370000000001</v>
      </c>
      <c r="E311">
        <v>0.56811579999999995</v>
      </c>
      <c r="F311" t="s">
        <v>42</v>
      </c>
      <c r="G311">
        <v>0</v>
      </c>
      <c r="H311">
        <v>0</v>
      </c>
      <c r="I311">
        <v>0</v>
      </c>
      <c r="J311">
        <v>-453.8929</v>
      </c>
      <c r="K311">
        <v>1.1101430000000001</v>
      </c>
      <c r="L311">
        <v>366.95670000000001</v>
      </c>
      <c r="M311">
        <v>0.99994570000000005</v>
      </c>
      <c r="N311">
        <v>-8.514687E-3</v>
      </c>
      <c r="O311">
        <v>-6.00177E-3</v>
      </c>
      <c r="P311">
        <v>0.99071580000000004</v>
      </c>
      <c r="Q311">
        <v>7.4162240000000004E-2</v>
      </c>
      <c r="R311">
        <v>0.1139401</v>
      </c>
      <c r="S311">
        <v>3.0448909999999998</v>
      </c>
      <c r="T311">
        <v>8.4517599999999998E-2</v>
      </c>
      <c r="U311">
        <v>-0.19964599999999999</v>
      </c>
      <c r="V311">
        <v>-0.1198789</v>
      </c>
      <c r="W311">
        <v>8.2596820000000001E-2</v>
      </c>
      <c r="X311">
        <v>0.98934670000000002</v>
      </c>
      <c r="Y311">
        <v>5.9424890000000001E-2</v>
      </c>
      <c r="Z311">
        <v>3.5297749999999999E-4</v>
      </c>
      <c r="AA311">
        <v>0.99823269999999997</v>
      </c>
      <c r="AB311">
        <v>22</v>
      </c>
      <c r="AC311">
        <v>3.0448909999999998</v>
      </c>
      <c r="AD311">
        <v>8.4517599999999998E-2</v>
      </c>
      <c r="AE311">
        <v>-0.19964599999999999</v>
      </c>
      <c r="AF311">
        <v>0.18122797388870099</v>
      </c>
      <c r="AG311">
        <v>8.4517599999999998E-2</v>
      </c>
      <c r="AH311">
        <v>3.0436994139556401</v>
      </c>
      <c r="AI311">
        <v>88.412227205914206</v>
      </c>
      <c r="AJ311">
        <v>86.592517249695504</v>
      </c>
      <c r="AK311">
        <v>3.0502611241897801</v>
      </c>
      <c r="AL311">
        <v>85.262153431471305</v>
      </c>
      <c r="AM311">
        <v>96.9088350067276</v>
      </c>
      <c r="AN311">
        <v>1.0000000390701</v>
      </c>
    </row>
    <row r="312" spans="1:40" x14ac:dyDescent="0.25">
      <c r="A312" t="str">
        <f>"20190304154733089"</f>
        <v>20190304154733089</v>
      </c>
      <c r="B312" t="str">
        <f>"1551685653077389"</f>
        <v>1551685653077389</v>
      </c>
      <c r="C312" t="s">
        <v>40</v>
      </c>
      <c r="D312">
        <v>4.1814030000000004</v>
      </c>
      <c r="E312">
        <v>0.56874309999999995</v>
      </c>
      <c r="F312" t="s">
        <v>42</v>
      </c>
      <c r="G312">
        <v>0</v>
      </c>
      <c r="H312">
        <v>0</v>
      </c>
      <c r="I312">
        <v>0</v>
      </c>
      <c r="J312">
        <v>-453.75900000000001</v>
      </c>
      <c r="K312">
        <v>1.1101620000000001</v>
      </c>
      <c r="L312">
        <v>366.95589999999999</v>
      </c>
      <c r="M312">
        <v>0.9999441</v>
      </c>
      <c r="N312">
        <v>-8.7027359999999904E-3</v>
      </c>
      <c r="O312">
        <v>-6.0061539999999997E-3</v>
      </c>
      <c r="P312">
        <v>0.99072389999999999</v>
      </c>
      <c r="Q312">
        <v>7.4092130000000006E-2</v>
      </c>
      <c r="R312">
        <v>0.1139154</v>
      </c>
      <c r="S312">
        <v>3.0449519999999999</v>
      </c>
      <c r="T312">
        <v>8.4603910000000004E-2</v>
      </c>
      <c r="U312">
        <v>-0.20175170000000001</v>
      </c>
      <c r="V312">
        <v>-0.1198589</v>
      </c>
      <c r="W312">
        <v>8.2713239999999993E-2</v>
      </c>
      <c r="X312">
        <v>0.98933939999999998</v>
      </c>
      <c r="Y312">
        <v>6.01065E-2</v>
      </c>
      <c r="Z312">
        <v>3.5322210000000002E-4</v>
      </c>
      <c r="AA312">
        <v>0.99819190000000002</v>
      </c>
      <c r="AB312">
        <v>22</v>
      </c>
      <c r="AC312">
        <v>3.0449519999999999</v>
      </c>
      <c r="AD312">
        <v>8.4603910000000004E-2</v>
      </c>
      <c r="AE312">
        <v>-0.20175170000000001</v>
      </c>
      <c r="AF312">
        <v>0.18331801381038801</v>
      </c>
      <c r="AG312">
        <v>8.4603910000000004E-2</v>
      </c>
      <c r="AH312">
        <v>3.0437693377871802</v>
      </c>
      <c r="AI312">
        <v>88.4107080431003</v>
      </c>
      <c r="AJ312">
        <v>86.553393109723402</v>
      </c>
      <c r="AK312">
        <v>3.05045817827882</v>
      </c>
      <c r="AL312">
        <v>85.255460168967304</v>
      </c>
      <c r="AM312">
        <v>96.907743985760405</v>
      </c>
      <c r="AN312">
        <v>1.0000000421864299</v>
      </c>
    </row>
    <row r="313" spans="1:40" x14ac:dyDescent="0.25">
      <c r="A313" t="str">
        <f>"20190304154733107"</f>
        <v>20190304154733107</v>
      </c>
      <c r="B313" t="str">
        <f>"1551685653096909"</f>
        <v>1551685653096909</v>
      </c>
      <c r="C313" t="s">
        <v>40</v>
      </c>
      <c r="D313">
        <v>4.1020310000000002</v>
      </c>
      <c r="E313">
        <v>0.56946960000000002</v>
      </c>
      <c r="F313" t="s">
        <v>42</v>
      </c>
      <c r="G313">
        <v>0</v>
      </c>
      <c r="H313">
        <v>0</v>
      </c>
      <c r="I313">
        <v>0</v>
      </c>
      <c r="J313">
        <v>-453.57909999999998</v>
      </c>
      <c r="K313">
        <v>1.110188</v>
      </c>
      <c r="L313">
        <v>366.95479999999998</v>
      </c>
      <c r="M313">
        <v>0.999942</v>
      </c>
      <c r="N313">
        <v>-8.9466500000000004E-3</v>
      </c>
      <c r="O313">
        <v>-6.0141509999999997E-3</v>
      </c>
      <c r="P313">
        <v>0.9907127</v>
      </c>
      <c r="Q313">
        <v>7.4463230000000005E-2</v>
      </c>
      <c r="R313">
        <v>0.113771</v>
      </c>
      <c r="S313">
        <v>3.0451969999999999</v>
      </c>
      <c r="T313">
        <v>8.8972449999999995E-2</v>
      </c>
      <c r="U313">
        <v>-0.206543</v>
      </c>
      <c r="V313">
        <v>-0.1197221</v>
      </c>
      <c r="W313">
        <v>8.3325280000000002E-2</v>
      </c>
      <c r="X313">
        <v>0.98930450000000003</v>
      </c>
      <c r="Y313">
        <v>6.165474E-2</v>
      </c>
      <c r="Z313">
        <v>3.9410129999999999E-4</v>
      </c>
      <c r="AA313">
        <v>0.99809749999999997</v>
      </c>
      <c r="AB313">
        <v>22</v>
      </c>
      <c r="AC313">
        <v>3.0451969999999999</v>
      </c>
      <c r="AD313">
        <v>8.8972449999999995E-2</v>
      </c>
      <c r="AE313">
        <v>-0.206543</v>
      </c>
      <c r="AF313">
        <v>0.188064452497162</v>
      </c>
      <c r="AG313">
        <v>8.8972449999999995E-2</v>
      </c>
      <c r="AH313">
        <v>3.04379771087422</v>
      </c>
      <c r="AI313">
        <v>88.328863853968102</v>
      </c>
      <c r="AJ313">
        <v>86.464410551911897</v>
      </c>
      <c r="AK313">
        <v>3.0508996771239798</v>
      </c>
      <c r="AL313">
        <v>85.220270891135797</v>
      </c>
      <c r="AM313">
        <v>96.900177000105998</v>
      </c>
      <c r="AN313">
        <v>0.99999993861786696</v>
      </c>
    </row>
    <row r="314" spans="1:40" x14ac:dyDescent="0.25">
      <c r="A314" t="str">
        <f>"20190304154733121"</f>
        <v>20190304154733121</v>
      </c>
      <c r="B314" t="str">
        <f>"1551685653117404"</f>
        <v>1551685653117404</v>
      </c>
      <c r="C314" t="s">
        <v>40</v>
      </c>
      <c r="D314">
        <v>4.2164599999999997</v>
      </c>
      <c r="E314">
        <v>0.5701252</v>
      </c>
      <c r="F314" t="s">
        <v>48</v>
      </c>
      <c r="G314">
        <v>-325.72120000000001</v>
      </c>
      <c r="H314">
        <v>5.0819910000000004</v>
      </c>
      <c r="I314">
        <v>358.01949999999999</v>
      </c>
      <c r="J314">
        <v>-453.44310000000002</v>
      </c>
      <c r="K314">
        <v>1.1102050000000001</v>
      </c>
      <c r="L314">
        <v>366.95389999999998</v>
      </c>
      <c r="M314">
        <v>0.9999403</v>
      </c>
      <c r="N314">
        <v>-9.1273569999999991E-3</v>
      </c>
      <c r="O314">
        <v>-6.0230919999999999E-3</v>
      </c>
      <c r="P314">
        <v>0.99069799999999997</v>
      </c>
      <c r="Q314">
        <v>7.4425569999999996E-2</v>
      </c>
      <c r="R314">
        <v>0.1139231</v>
      </c>
      <c r="S314">
        <v>3.0454409999999998</v>
      </c>
      <c r="T314">
        <v>9.4606280000000001E-2</v>
      </c>
      <c r="U314">
        <v>-0.21282960000000001</v>
      </c>
      <c r="V314">
        <v>-0.1198825</v>
      </c>
      <c r="W314">
        <v>8.3466910000000005E-2</v>
      </c>
      <c r="X314">
        <v>0.98927319999999996</v>
      </c>
      <c r="Y314">
        <v>6.3687969999999997E-2</v>
      </c>
      <c r="Z314">
        <v>4.5500869999999999E-4</v>
      </c>
      <c r="AA314">
        <v>0.99796969999999996</v>
      </c>
      <c r="AB314">
        <v>22</v>
      </c>
      <c r="AC314">
        <v>127.72190000000001</v>
      </c>
      <c r="AD314">
        <v>3.9717859999999998</v>
      </c>
      <c r="AE314">
        <v>-8.9343999999999806</v>
      </c>
      <c r="AF314">
        <v>8.1570754549232305</v>
      </c>
      <c r="AG314">
        <v>3.9717859999999998</v>
      </c>
      <c r="AH314">
        <v>127.650556907366</v>
      </c>
      <c r="AI314">
        <v>88.221469399619195</v>
      </c>
      <c r="AJ314">
        <v>86.343679085152701</v>
      </c>
      <c r="AK314">
        <v>127.972565977117</v>
      </c>
      <c r="AL314">
        <v>85.212128024506299</v>
      </c>
      <c r="AM314">
        <v>96.909548834370298</v>
      </c>
      <c r="AN314">
        <v>1.0000000015547099</v>
      </c>
    </row>
    <row r="315" spans="1:40" x14ac:dyDescent="0.25">
      <c r="A315" t="str">
        <f>"20190304154733136"</f>
        <v>20190304154733136</v>
      </c>
      <c r="B315" t="str">
        <f>"1551685653127165"</f>
        <v>1551685653127165</v>
      </c>
      <c r="C315" t="s">
        <v>40</v>
      </c>
      <c r="D315">
        <v>4.0887399999999996</v>
      </c>
      <c r="E315">
        <v>0.57066430000000001</v>
      </c>
      <c r="F315" t="s">
        <v>42</v>
      </c>
      <c r="G315">
        <v>0</v>
      </c>
      <c r="H315">
        <v>0</v>
      </c>
      <c r="I315">
        <v>0</v>
      </c>
      <c r="J315">
        <v>-453.27850000000001</v>
      </c>
      <c r="K315">
        <v>1.110217</v>
      </c>
      <c r="L315">
        <v>366.9529</v>
      </c>
      <c r="M315">
        <v>0.9999382</v>
      </c>
      <c r="N315">
        <v>-9.3425660000000001E-3</v>
      </c>
      <c r="O315">
        <v>-6.0386669999999898E-3</v>
      </c>
      <c r="P315">
        <v>0.99070080000000005</v>
      </c>
      <c r="Q315">
        <v>7.4543189999999995E-2</v>
      </c>
      <c r="R315">
        <v>0.1138232</v>
      </c>
      <c r="S315">
        <v>3.0457459999999998</v>
      </c>
      <c r="T315">
        <v>9.7506399999999993E-2</v>
      </c>
      <c r="U315">
        <v>-0.2170105</v>
      </c>
      <c r="V315">
        <v>-0.1197975</v>
      </c>
      <c r="W315">
        <v>8.3798070000000002E-2</v>
      </c>
      <c r="X315">
        <v>0.98925549999999995</v>
      </c>
      <c r="Y315">
        <v>6.502695E-2</v>
      </c>
      <c r="Z315">
        <v>4.8574989999999998E-4</v>
      </c>
      <c r="AA315">
        <v>0.99788339999999998</v>
      </c>
      <c r="AB315">
        <v>22</v>
      </c>
      <c r="AC315">
        <v>3.0457459999999998</v>
      </c>
      <c r="AD315">
        <v>9.7506399999999993E-2</v>
      </c>
      <c r="AE315">
        <v>-0.2170105</v>
      </c>
      <c r="AF315">
        <v>0.19841117247384299</v>
      </c>
      <c r="AG315">
        <v>9.7506399999999993E-2</v>
      </c>
      <c r="AH315">
        <v>3.0438970596200101</v>
      </c>
      <c r="AI315">
        <v>88.1691310259678</v>
      </c>
      <c r="AJ315">
        <v>86.270549570952198</v>
      </c>
      <c r="AK315">
        <v>3.0519147761637702</v>
      </c>
      <c r="AL315">
        <v>85.193087244814294</v>
      </c>
      <c r="AM315">
        <v>96.9048194317905</v>
      </c>
      <c r="AN315">
        <v>1.0000000009111101</v>
      </c>
    </row>
    <row r="316" spans="1:40" x14ac:dyDescent="0.25">
      <c r="A316" t="str">
        <f>"20190304154733152"</f>
        <v>20190304154733152</v>
      </c>
      <c r="B316" t="str">
        <f>"1551685653147660"</f>
        <v>1551685653147660</v>
      </c>
      <c r="C316" t="s">
        <v>40</v>
      </c>
      <c r="D316">
        <v>4.0818490000000001</v>
      </c>
      <c r="E316">
        <v>0.57161340000000005</v>
      </c>
      <c r="F316" t="s">
        <v>42</v>
      </c>
      <c r="G316">
        <v>0</v>
      </c>
      <c r="H316">
        <v>0</v>
      </c>
      <c r="I316">
        <v>0</v>
      </c>
      <c r="J316">
        <v>-453.1354</v>
      </c>
      <c r="K316">
        <v>1.1102299999999901</v>
      </c>
      <c r="L316">
        <v>366.95209999999997</v>
      </c>
      <c r="M316">
        <v>0.9999363</v>
      </c>
      <c r="N316">
        <v>-9.5269199999999995E-3</v>
      </c>
      <c r="O316">
        <v>-6.0568699999999998E-3</v>
      </c>
      <c r="P316">
        <v>0.99071129999999996</v>
      </c>
      <c r="Q316">
        <v>7.4288789999999993E-2</v>
      </c>
      <c r="R316">
        <v>0.11389580000000001</v>
      </c>
      <c r="S316">
        <v>3.0459900000000002</v>
      </c>
      <c r="T316">
        <v>0.1012845</v>
      </c>
      <c r="U316">
        <v>-0.2215271</v>
      </c>
      <c r="V316">
        <v>-0.11988740000000001</v>
      </c>
      <c r="W316">
        <v>8.3727759999999998E-2</v>
      </c>
      <c r="X316">
        <v>0.98925050000000003</v>
      </c>
      <c r="Y316">
        <v>6.6472859999999995E-2</v>
      </c>
      <c r="Z316">
        <v>5.2760079999999998E-4</v>
      </c>
      <c r="AA316">
        <v>0.99778809999999996</v>
      </c>
      <c r="AB316">
        <v>22</v>
      </c>
      <c r="AC316">
        <v>3.0459900000000002</v>
      </c>
      <c r="AD316">
        <v>0.1012845</v>
      </c>
      <c r="AE316">
        <v>-0.2215271</v>
      </c>
      <c r="AF316">
        <v>0.20284992707227401</v>
      </c>
      <c r="AG316">
        <v>0.1012845</v>
      </c>
      <c r="AH316">
        <v>3.0439280449315098</v>
      </c>
      <c r="AI316">
        <v>88.098442216060704</v>
      </c>
      <c r="AJ316">
        <v>86.187398281084697</v>
      </c>
      <c r="AK316">
        <v>3.05236049403966</v>
      </c>
      <c r="AL316">
        <v>85.197129620676705</v>
      </c>
      <c r="AM316">
        <v>96.909985545021499</v>
      </c>
      <c r="AN316">
        <v>0.99999993911181195</v>
      </c>
    </row>
    <row r="317" spans="1:40" x14ac:dyDescent="0.25">
      <c r="A317" t="str">
        <f>"20190304154733166"</f>
        <v>20190304154733166</v>
      </c>
      <c r="B317" t="str">
        <f>"1551685653157420"</f>
        <v>1551685653157420</v>
      </c>
      <c r="C317" t="s">
        <v>40</v>
      </c>
      <c r="D317">
        <v>4.100873</v>
      </c>
      <c r="E317">
        <v>0.57207039999999998</v>
      </c>
      <c r="F317" t="s">
        <v>42</v>
      </c>
      <c r="G317">
        <v>0</v>
      </c>
      <c r="H317">
        <v>0</v>
      </c>
      <c r="I317">
        <v>0</v>
      </c>
      <c r="J317">
        <v>-452.99700000000001</v>
      </c>
      <c r="K317">
        <v>1.1102449999999999</v>
      </c>
      <c r="L317">
        <v>366.95119999999997</v>
      </c>
      <c r="M317">
        <v>0.99993460000000001</v>
      </c>
      <c r="N317">
        <v>-9.6968809999999992E-3</v>
      </c>
      <c r="O317">
        <v>-6.0824290000000003E-3</v>
      </c>
      <c r="P317">
        <v>0.99077899999999997</v>
      </c>
      <c r="Q317">
        <v>7.3686409999999994E-2</v>
      </c>
      <c r="R317">
        <v>0.1136995</v>
      </c>
      <c r="S317">
        <v>3.0464169999999999</v>
      </c>
      <c r="T317">
        <v>0.10662290000000001</v>
      </c>
      <c r="U317">
        <v>-0.22882079999999999</v>
      </c>
      <c r="V317">
        <v>-0.1197158</v>
      </c>
      <c r="W317">
        <v>8.3295350000000004E-2</v>
      </c>
      <c r="X317">
        <v>0.98930779999999996</v>
      </c>
      <c r="Y317">
        <v>6.8809259999999997E-2</v>
      </c>
      <c r="Z317">
        <v>5.9653089999999896E-4</v>
      </c>
      <c r="AA317">
        <v>0.99762960000000001</v>
      </c>
      <c r="AB317">
        <v>22</v>
      </c>
      <c r="AC317">
        <v>3.0464169999999999</v>
      </c>
      <c r="AD317">
        <v>0.10662290000000001</v>
      </c>
      <c r="AE317">
        <v>-0.22882079999999999</v>
      </c>
      <c r="AF317">
        <v>0.210030247120507</v>
      </c>
      <c r="AG317">
        <v>0.10662290000000001</v>
      </c>
      <c r="AH317">
        <v>3.0440445762244299</v>
      </c>
      <c r="AI317">
        <v>87.998691020044305</v>
      </c>
      <c r="AJ317">
        <v>86.053012799093196</v>
      </c>
      <c r="AK317">
        <v>3.05314404009233</v>
      </c>
      <c r="AL317">
        <v>85.221991817607005</v>
      </c>
      <c r="AM317">
        <v>96.899794606711396</v>
      </c>
      <c r="AN317">
        <v>0.99999995562105004</v>
      </c>
    </row>
    <row r="318" spans="1:40" x14ac:dyDescent="0.25">
      <c r="A318" t="str">
        <f>"20190304154733179"</f>
        <v>20190304154733179</v>
      </c>
      <c r="B318" t="str">
        <f>"1551685653176940"</f>
        <v>1551685653176940</v>
      </c>
      <c r="C318" t="s">
        <v>40</v>
      </c>
      <c r="D318">
        <v>4.2903190000000002</v>
      </c>
      <c r="E318">
        <v>0.57212569999999996</v>
      </c>
      <c r="F318" t="s">
        <v>42</v>
      </c>
      <c r="G318">
        <v>0</v>
      </c>
      <c r="H318">
        <v>0</v>
      </c>
      <c r="I318">
        <v>0</v>
      </c>
      <c r="J318">
        <v>-452.85629999999998</v>
      </c>
      <c r="K318">
        <v>1.110255</v>
      </c>
      <c r="L318">
        <v>366.95030000000003</v>
      </c>
      <c r="M318">
        <v>0.99993279999999995</v>
      </c>
      <c r="N318">
        <v>-9.8636669999999996E-3</v>
      </c>
      <c r="O318">
        <v>-6.1132469999999996E-3</v>
      </c>
      <c r="P318">
        <v>0.99077859999999995</v>
      </c>
      <c r="Q318">
        <v>7.3530559999999995E-2</v>
      </c>
      <c r="R318">
        <v>0.1138031</v>
      </c>
      <c r="S318">
        <v>3.0466920000000002</v>
      </c>
      <c r="T318">
        <v>0.107443</v>
      </c>
      <c r="U318">
        <v>-0.23297119999999999</v>
      </c>
      <c r="V318">
        <v>-0.1198482</v>
      </c>
      <c r="W318">
        <v>8.3306759999999994E-2</v>
      </c>
      <c r="X318">
        <v>0.98929080000000003</v>
      </c>
      <c r="Y318">
        <v>7.0122210000000004E-2</v>
      </c>
      <c r="Z318">
        <v>6.1245690000000003E-4</v>
      </c>
      <c r="AA318">
        <v>0.99753820000000004</v>
      </c>
      <c r="AB318">
        <v>22</v>
      </c>
      <c r="AC318">
        <v>3.0466920000000002</v>
      </c>
      <c r="AD318">
        <v>0.107443</v>
      </c>
      <c r="AE318">
        <v>-0.23297119999999999</v>
      </c>
      <c r="AF318">
        <v>0.214076073304862</v>
      </c>
      <c r="AG318">
        <v>0.107443</v>
      </c>
      <c r="AH318">
        <v>3.04429530606884</v>
      </c>
      <c r="AI318">
        <v>87.983661209241603</v>
      </c>
      <c r="AJ318">
        <v>85.977559232340695</v>
      </c>
      <c r="AK318">
        <v>3.0537037305480998</v>
      </c>
      <c r="AL318">
        <v>85.221335752023904</v>
      </c>
      <c r="AM318">
        <v>96.907469319985296</v>
      </c>
      <c r="AN318">
        <v>0.99999994713478702</v>
      </c>
    </row>
    <row r="319" spans="1:40" x14ac:dyDescent="0.25">
      <c r="A319" t="str">
        <f>"20190304154733197"</f>
        <v>20190304154733197</v>
      </c>
      <c r="B319" t="str">
        <f>"1551685653187676"</f>
        <v>1551685653187676</v>
      </c>
      <c r="C319" t="s">
        <v>40</v>
      </c>
      <c r="D319">
        <v>4.3305110000000004</v>
      </c>
      <c r="E319">
        <v>0.57212569999999996</v>
      </c>
      <c r="F319" t="s">
        <v>42</v>
      </c>
      <c r="G319">
        <v>0</v>
      </c>
      <c r="H319">
        <v>0</v>
      </c>
      <c r="I319">
        <v>0</v>
      </c>
      <c r="J319">
        <v>-452.68619999999999</v>
      </c>
      <c r="K319">
        <v>1.1102609999999999</v>
      </c>
      <c r="L319">
        <v>366.94920000000002</v>
      </c>
      <c r="M319">
        <v>0.9999306</v>
      </c>
      <c r="N319">
        <v>-1.0055619999999999E-2</v>
      </c>
      <c r="O319">
        <v>-6.1592610000000001E-3</v>
      </c>
      <c r="P319">
        <v>0.99085719999999999</v>
      </c>
      <c r="Q319">
        <v>7.3464459999999995E-2</v>
      </c>
      <c r="R319">
        <v>0.1131607</v>
      </c>
      <c r="S319">
        <v>3.046967</v>
      </c>
      <c r="T319">
        <v>0.10418330000000001</v>
      </c>
      <c r="U319">
        <v>-0.2329407</v>
      </c>
      <c r="V319">
        <v>-0.1192506</v>
      </c>
      <c r="W319">
        <v>8.3433640000000003E-2</v>
      </c>
      <c r="X319">
        <v>0.98935229999999996</v>
      </c>
      <c r="Y319">
        <v>7.0061819999999997E-2</v>
      </c>
      <c r="Z319">
        <v>5.7080269999999897E-4</v>
      </c>
      <c r="AA319">
        <v>0.9975425</v>
      </c>
      <c r="AB319">
        <v>22</v>
      </c>
      <c r="AC319">
        <v>3.046967</v>
      </c>
      <c r="AD319">
        <v>0.10418330000000001</v>
      </c>
      <c r="AE319">
        <v>-0.2329407</v>
      </c>
      <c r="AF319">
        <v>0.213919624127795</v>
      </c>
      <c r="AG319">
        <v>0.10418330000000001</v>
      </c>
      <c r="AH319">
        <v>3.0448049417047698</v>
      </c>
      <c r="AI319">
        <v>88.045104821384399</v>
      </c>
      <c r="AJ319">
        <v>85.981159813740106</v>
      </c>
      <c r="AK319">
        <v>3.05408789962169</v>
      </c>
      <c r="AL319">
        <v>85.214040563517003</v>
      </c>
      <c r="AM319">
        <v>96.8729336871057</v>
      </c>
      <c r="AN319">
        <v>0.99999992569964602</v>
      </c>
    </row>
    <row r="320" spans="1:40" x14ac:dyDescent="0.25">
      <c r="A320" t="str">
        <f>"20190304154733306"</f>
        <v>20190304154733306</v>
      </c>
      <c r="B320" t="str">
        <f>"1551685653296988"</f>
        <v>1551685653296988</v>
      </c>
      <c r="C320" t="s">
        <v>40</v>
      </c>
      <c r="D320">
        <v>4.1710229999999999</v>
      </c>
      <c r="E320">
        <v>0.65047469999999996</v>
      </c>
      <c r="F320" t="s">
        <v>42</v>
      </c>
      <c r="G320">
        <v>0</v>
      </c>
      <c r="H320">
        <v>0</v>
      </c>
      <c r="I320">
        <v>0</v>
      </c>
      <c r="J320">
        <v>-451.58150000000001</v>
      </c>
      <c r="K320">
        <v>1.1102829999999999</v>
      </c>
      <c r="L320">
        <v>366.94159999999999</v>
      </c>
      <c r="M320">
        <v>0.99991680000000005</v>
      </c>
      <c r="N320">
        <v>-1.1015570000000001E-2</v>
      </c>
      <c r="O320">
        <v>-6.7268639999999999E-3</v>
      </c>
      <c r="P320">
        <v>0.991394</v>
      </c>
      <c r="Q320">
        <v>7.1703550000000005E-2</v>
      </c>
      <c r="R320">
        <v>0.1095294</v>
      </c>
      <c r="S320">
        <v>3.046783</v>
      </c>
      <c r="T320">
        <v>0.1037917</v>
      </c>
      <c r="U320">
        <v>-0.23483280000000001</v>
      </c>
      <c r="V320">
        <v>-0.1161729</v>
      </c>
      <c r="W320">
        <v>8.2644809999999999E-2</v>
      </c>
      <c r="X320">
        <v>0.98978469999999996</v>
      </c>
      <c r="Y320">
        <v>7.0118079999999999E-2</v>
      </c>
      <c r="Z320">
        <v>5.0264859999999995E-4</v>
      </c>
      <c r="AA320">
        <v>0.99753860000000005</v>
      </c>
      <c r="AB320">
        <v>22</v>
      </c>
      <c r="AC320">
        <v>3.046783</v>
      </c>
      <c r="AD320">
        <v>0.1037917</v>
      </c>
      <c r="AE320">
        <v>-0.23483280000000001</v>
      </c>
      <c r="AF320">
        <v>0.21408397413416799</v>
      </c>
      <c r="AG320">
        <v>0.1037917</v>
      </c>
      <c r="AH320">
        <v>3.0447812626347202</v>
      </c>
      <c r="AI320">
        <v>88.052439420230101</v>
      </c>
      <c r="AJ320">
        <v>85.978051175452507</v>
      </c>
      <c r="AK320">
        <v>3.0540624751732701</v>
      </c>
      <c r="AL320">
        <v>85.259394330173293</v>
      </c>
      <c r="AM320">
        <v>96.694285481771104</v>
      </c>
      <c r="AN320">
        <v>1.00000002983421</v>
      </c>
    </row>
    <row r="321" spans="1:40" x14ac:dyDescent="0.25">
      <c r="A321" t="str">
        <f>"20190304154733331"</f>
        <v>20190304154733331</v>
      </c>
      <c r="B321" t="str">
        <f>"1551685653327245"</f>
        <v>1551685653327245</v>
      </c>
      <c r="C321" t="s">
        <v>40</v>
      </c>
      <c r="D321">
        <v>4.1438249999999996</v>
      </c>
      <c r="E321">
        <v>0.65869639999999996</v>
      </c>
      <c r="F321" t="s">
        <v>49</v>
      </c>
      <c r="G321">
        <v>-369.00330000000002</v>
      </c>
      <c r="H321">
        <v>11.81432</v>
      </c>
      <c r="I321">
        <v>343.96469999999999</v>
      </c>
      <c r="J321">
        <v>-451.34429999999998</v>
      </c>
      <c r="K321">
        <v>1.1102959999999999</v>
      </c>
      <c r="L321">
        <v>366.93979999999999</v>
      </c>
      <c r="M321">
        <v>0.99991390000000002</v>
      </c>
      <c r="N321">
        <v>-1.1183139999999999E-2</v>
      </c>
      <c r="O321">
        <v>-6.8901559999999997E-3</v>
      </c>
      <c r="P321">
        <v>0.9914925</v>
      </c>
      <c r="Q321">
        <v>7.1029159999999994E-2</v>
      </c>
      <c r="R321">
        <v>0.10907600000000001</v>
      </c>
      <c r="S321">
        <v>3.0920719999999999</v>
      </c>
      <c r="T321">
        <v>0.40080379999999999</v>
      </c>
      <c r="U321">
        <v>-0.86035159999999999</v>
      </c>
      <c r="V321">
        <v>-0.115880399999999</v>
      </c>
      <c r="W321">
        <v>8.2138699999999995E-2</v>
      </c>
      <c r="X321">
        <v>0.98986110000000005</v>
      </c>
      <c r="Y321">
        <v>0.25964870000000001</v>
      </c>
      <c r="Z321">
        <v>1.401731E-2</v>
      </c>
      <c r="AA321">
        <v>0.96560140000000005</v>
      </c>
      <c r="AB321">
        <v>22</v>
      </c>
      <c r="AC321">
        <v>82.340999999999894</v>
      </c>
      <c r="AD321">
        <v>10.704024</v>
      </c>
      <c r="AE321">
        <v>-22.975100000000001</v>
      </c>
      <c r="AF321">
        <v>22.061291036491099</v>
      </c>
      <c r="AG321">
        <v>10.704024</v>
      </c>
      <c r="AH321">
        <v>81.223896123966099</v>
      </c>
      <c r="AI321">
        <v>82.752226707417705</v>
      </c>
      <c r="AJ321">
        <v>74.804436309355907</v>
      </c>
      <c r="AK321">
        <v>84.844551937918695</v>
      </c>
      <c r="AL321">
        <v>85.288491156446298</v>
      </c>
      <c r="AM321">
        <v>96.677072278938894</v>
      </c>
      <c r="AN321">
        <v>1.0000000152175299</v>
      </c>
    </row>
    <row r="322" spans="1:40" x14ac:dyDescent="0.25">
      <c r="A322" t="str">
        <f>"20190304154733342"</f>
        <v>20190304154733342</v>
      </c>
      <c r="B322" t="str">
        <f>"1551685653337005"</f>
        <v>1551685653337005</v>
      </c>
      <c r="C322" t="s">
        <v>40</v>
      </c>
      <c r="D322">
        <v>4.1737830000000002</v>
      </c>
      <c r="E322">
        <v>0.66081959999999995</v>
      </c>
      <c r="F322" t="s">
        <v>49</v>
      </c>
      <c r="G322">
        <v>-369.14879999999999</v>
      </c>
      <c r="H322">
        <v>12.061199999999999</v>
      </c>
      <c r="I322">
        <v>342.351</v>
      </c>
      <c r="J322">
        <v>-451.2321</v>
      </c>
      <c r="K322">
        <v>1.1103000000000001</v>
      </c>
      <c r="L322">
        <v>366.93889999999999</v>
      </c>
      <c r="M322">
        <v>0.99991249999999998</v>
      </c>
      <c r="N322">
        <v>-1.1256149999999999E-2</v>
      </c>
      <c r="O322">
        <v>-6.9653519999999898E-3</v>
      </c>
      <c r="P322">
        <v>0.99148329999999996</v>
      </c>
      <c r="Q322">
        <v>7.1070999999999995E-2</v>
      </c>
      <c r="R322">
        <v>0.10913249999999999</v>
      </c>
      <c r="S322">
        <v>3.0981749999999999</v>
      </c>
      <c r="T322">
        <v>0.41277019999999998</v>
      </c>
      <c r="U322">
        <v>-0.92681880000000005</v>
      </c>
      <c r="V322">
        <v>-0.116011</v>
      </c>
      <c r="W322">
        <v>8.2253720000000002E-2</v>
      </c>
      <c r="X322">
        <v>0.98983620000000005</v>
      </c>
      <c r="Y322">
        <v>0.27793709999999899</v>
      </c>
      <c r="Z322">
        <v>1.5459290000000001E-2</v>
      </c>
      <c r="AA322">
        <v>0.96047490000000002</v>
      </c>
      <c r="AB322">
        <v>22</v>
      </c>
      <c r="AC322">
        <v>82.083299999999994</v>
      </c>
      <c r="AD322">
        <v>10.950900000000001</v>
      </c>
      <c r="AE322">
        <v>-24.587899999999902</v>
      </c>
      <c r="AF322">
        <v>23.629581381655299</v>
      </c>
      <c r="AG322">
        <v>10.950900000000001</v>
      </c>
      <c r="AH322">
        <v>80.930724476907898</v>
      </c>
      <c r="AI322">
        <v>82.599350937119794</v>
      </c>
      <c r="AJ322">
        <v>73.723624348073997</v>
      </c>
      <c r="AK322">
        <v>85.018006865836597</v>
      </c>
      <c r="AL322">
        <v>85.281878381385994</v>
      </c>
      <c r="AM322">
        <v>96.684696070783403</v>
      </c>
      <c r="AN322">
        <v>0.99999996470263797</v>
      </c>
    </row>
    <row r="323" spans="1:40" x14ac:dyDescent="0.25">
      <c r="A323" t="str">
        <f>"20190304154733355"</f>
        <v>20190304154733355</v>
      </c>
      <c r="B323" t="str">
        <f>"1551685653347741"</f>
        <v>1551685653347741</v>
      </c>
      <c r="C323" t="s">
        <v>40</v>
      </c>
      <c r="D323">
        <v>4.1704869999999996</v>
      </c>
      <c r="E323">
        <v>0.6625006</v>
      </c>
      <c r="F323" t="s">
        <v>49</v>
      </c>
      <c r="G323">
        <v>-368.82569999999998</v>
      </c>
      <c r="H323">
        <v>12.16202</v>
      </c>
      <c r="I323">
        <v>341.86399999999998</v>
      </c>
      <c r="J323">
        <v>-451.09809999999999</v>
      </c>
      <c r="K323">
        <v>1.110309</v>
      </c>
      <c r="L323">
        <v>366.93790000000001</v>
      </c>
      <c r="M323">
        <v>0.99991090000000005</v>
      </c>
      <c r="N323">
        <v>-1.134047E-2</v>
      </c>
      <c r="O323">
        <v>-7.0547980000000001E-3</v>
      </c>
      <c r="P323">
        <v>0.99152490000000004</v>
      </c>
      <c r="Q323">
        <v>7.0979020000000004E-2</v>
      </c>
      <c r="R323">
        <v>0.1088131</v>
      </c>
      <c r="S323">
        <v>3.0997620000000001</v>
      </c>
      <c r="T323">
        <v>0.41571639999999999</v>
      </c>
      <c r="U323">
        <v>-0.94320680000000001</v>
      </c>
      <c r="V323">
        <v>-0.1157803</v>
      </c>
      <c r="W323">
        <v>8.2246109999999997E-2</v>
      </c>
      <c r="X323">
        <v>0.98986390000000002</v>
      </c>
      <c r="Y323">
        <v>0.2823137</v>
      </c>
      <c r="Z323">
        <v>1.5793459999999999E-2</v>
      </c>
      <c r="AA323">
        <v>0.95919209999999999</v>
      </c>
      <c r="AB323">
        <v>22</v>
      </c>
      <c r="AC323">
        <v>82.272400000000005</v>
      </c>
      <c r="AD323">
        <v>11.051710999999999</v>
      </c>
      <c r="AE323">
        <v>-25.073899999999899</v>
      </c>
      <c r="AF323">
        <v>24.094987754751799</v>
      </c>
      <c r="AG323">
        <v>11.051710999999999</v>
      </c>
      <c r="AH323">
        <v>81.108068212499902</v>
      </c>
      <c r="AI323">
        <v>82.558309860738504</v>
      </c>
      <c r="AJ323">
        <v>73.454756088016197</v>
      </c>
      <c r="AK323">
        <v>85.330108871914007</v>
      </c>
      <c r="AL323">
        <v>85.282316148494601</v>
      </c>
      <c r="AM323">
        <v>96.671337790957807</v>
      </c>
      <c r="AN323">
        <v>1.00000002050071</v>
      </c>
    </row>
    <row r="324" spans="1:40" x14ac:dyDescent="0.25">
      <c r="A324" t="str">
        <f>"20190304154733375"</f>
        <v>20190304154733375</v>
      </c>
      <c r="B324" t="str">
        <f>"1551685653367260"</f>
        <v>1551685653367260</v>
      </c>
      <c r="C324" t="s">
        <v>40</v>
      </c>
      <c r="D324">
        <v>4.1119830000000004</v>
      </c>
      <c r="E324">
        <v>0.66403129999999999</v>
      </c>
      <c r="F324" t="s">
        <v>49</v>
      </c>
      <c r="G324">
        <v>-368.13619999999997</v>
      </c>
      <c r="H324">
        <v>12.40929</v>
      </c>
      <c r="I324">
        <v>341.31389999999999</v>
      </c>
      <c r="J324">
        <v>-450.91030000000001</v>
      </c>
      <c r="K324">
        <v>1.1103259999999999</v>
      </c>
      <c r="L324">
        <v>366.93639999999999</v>
      </c>
      <c r="M324">
        <v>0.99990869999999998</v>
      </c>
      <c r="N324">
        <v>-1.1448679999999999E-2</v>
      </c>
      <c r="O324">
        <v>-7.181308E-3</v>
      </c>
      <c r="P324">
        <v>0.99145499999999998</v>
      </c>
      <c r="Q324">
        <v>7.1630079999999999E-2</v>
      </c>
      <c r="R324">
        <v>0.1090232</v>
      </c>
      <c r="S324">
        <v>3.1005250000000002</v>
      </c>
      <c r="T324">
        <v>0.42227530000000002</v>
      </c>
      <c r="U324">
        <v>-0.95764159999999998</v>
      </c>
      <c r="V324">
        <v>-0.1161152</v>
      </c>
      <c r="W324">
        <v>8.3003590000000002E-2</v>
      </c>
      <c r="X324">
        <v>0.98976140000000001</v>
      </c>
      <c r="Y324">
        <v>0.28611760000000003</v>
      </c>
      <c r="Z324">
        <v>1.6245530000000001E-2</v>
      </c>
      <c r="AA324">
        <v>0.95805680000000004</v>
      </c>
      <c r="AB324">
        <v>22</v>
      </c>
      <c r="AC324">
        <v>82.774100000000004</v>
      </c>
      <c r="AD324">
        <v>11.2989639999999</v>
      </c>
      <c r="AE324">
        <v>-25.622499999999999</v>
      </c>
      <c r="AF324">
        <v>24.608925546141499</v>
      </c>
      <c r="AG324">
        <v>11.2989639999999</v>
      </c>
      <c r="AH324">
        <v>81.568987188509595</v>
      </c>
      <c r="AI324">
        <v>82.445719575133197</v>
      </c>
      <c r="AJ324">
        <v>73.211719160946203</v>
      </c>
      <c r="AK324">
        <v>85.946294131673199</v>
      </c>
      <c r="AL324">
        <v>85.238766651604905</v>
      </c>
      <c r="AM324">
        <v>96.691146845954606</v>
      </c>
      <c r="AN324">
        <v>0.99999998227694298</v>
      </c>
    </row>
    <row r="325" spans="1:40" x14ac:dyDescent="0.25">
      <c r="A325" t="str">
        <f>"20190304154733387"</f>
        <v>20190304154733387</v>
      </c>
      <c r="B325" t="str">
        <f>"1551685653377022"</f>
        <v>1551685653377022</v>
      </c>
      <c r="C325" t="s">
        <v>40</v>
      </c>
      <c r="D325">
        <v>4.1433939999999998</v>
      </c>
      <c r="E325">
        <v>0.66469709999999904</v>
      </c>
      <c r="F325" t="s">
        <v>49</v>
      </c>
      <c r="G325">
        <v>-368.33080000000001</v>
      </c>
      <c r="H325">
        <v>12.548360000000001</v>
      </c>
      <c r="I325">
        <v>341.13819999999998</v>
      </c>
      <c r="J325">
        <v>-450.77339999999998</v>
      </c>
      <c r="K325">
        <v>1.1103419999999999</v>
      </c>
      <c r="L325">
        <v>366.93529999999998</v>
      </c>
      <c r="M325">
        <v>0.99990730000000005</v>
      </c>
      <c r="N325">
        <v>-1.1520330000000001E-2</v>
      </c>
      <c r="O325">
        <v>-7.2805999999999999E-3</v>
      </c>
      <c r="P325">
        <v>0.99143460000000005</v>
      </c>
      <c r="Q325">
        <v>7.1856130000000004E-2</v>
      </c>
      <c r="R325">
        <v>0.1090608</v>
      </c>
      <c r="S325">
        <v>3.1013489999999999</v>
      </c>
      <c r="T325">
        <v>0.42956569999999999</v>
      </c>
      <c r="U325">
        <v>-0.96887210000000001</v>
      </c>
      <c r="V325">
        <v>-0.11625149999999999</v>
      </c>
      <c r="W325">
        <v>8.329868E-2</v>
      </c>
      <c r="X325">
        <v>0.98972059999999995</v>
      </c>
      <c r="Y325">
        <v>0.28901969999999999</v>
      </c>
      <c r="Z325">
        <v>1.6691379999999999E-2</v>
      </c>
      <c r="AA325">
        <v>0.95717759999999996</v>
      </c>
      <c r="AB325">
        <v>22</v>
      </c>
      <c r="AC325">
        <v>82.442599999999899</v>
      </c>
      <c r="AD325">
        <v>11.438018</v>
      </c>
      <c r="AE325">
        <v>-25.7971</v>
      </c>
      <c r="AF325">
        <v>24.762018178296</v>
      </c>
      <c r="AG325">
        <v>11.438018</v>
      </c>
      <c r="AH325">
        <v>81.204570289719499</v>
      </c>
      <c r="AI325">
        <v>82.326763767488302</v>
      </c>
      <c r="AJ325">
        <v>73.041764357080297</v>
      </c>
      <c r="AK325">
        <v>85.663107788408993</v>
      </c>
      <c r="AL325">
        <v>85.221800443884007</v>
      </c>
      <c r="AM325">
        <v>96.699203446786399</v>
      </c>
      <c r="AN325">
        <v>0.99999997370317495</v>
      </c>
    </row>
    <row r="326" spans="1:40" x14ac:dyDescent="0.25">
      <c r="A326" t="str">
        <f>"20190304154733402"</f>
        <v>20190304154733402</v>
      </c>
      <c r="B326" t="str">
        <f>"1551685653397517"</f>
        <v>1551685653397517</v>
      </c>
      <c r="C326" t="s">
        <v>40</v>
      </c>
      <c r="D326">
        <v>4.0119220000000002</v>
      </c>
      <c r="E326">
        <v>0.66559519999999905</v>
      </c>
      <c r="F326" t="s">
        <v>50</v>
      </c>
      <c r="G326">
        <v>-342.02420000000001</v>
      </c>
      <c r="H326">
        <v>16.30622</v>
      </c>
      <c r="I326">
        <v>332.78769999999997</v>
      </c>
      <c r="J326">
        <v>-450.63440000000003</v>
      </c>
      <c r="K326">
        <v>1.1103559999999999</v>
      </c>
      <c r="L326">
        <v>366.9341</v>
      </c>
      <c r="M326">
        <v>0.99990559999999995</v>
      </c>
      <c r="N326">
        <v>-1.1587149999999999E-2</v>
      </c>
      <c r="O326">
        <v>-7.3835559999999899E-3</v>
      </c>
      <c r="P326">
        <v>0.99133439999999995</v>
      </c>
      <c r="Q326">
        <v>7.2755459999999994E-2</v>
      </c>
      <c r="R326">
        <v>0.10937479999999999</v>
      </c>
      <c r="S326">
        <v>3.1016849999999998</v>
      </c>
      <c r="T326">
        <v>0.43340840000000003</v>
      </c>
      <c r="U326">
        <v>-0.97393799999999997</v>
      </c>
      <c r="V326">
        <v>-0.1166672</v>
      </c>
      <c r="W326">
        <v>8.4261359999999993E-2</v>
      </c>
      <c r="X326">
        <v>0.98959019999999998</v>
      </c>
      <c r="Y326">
        <v>0.29026780000000002</v>
      </c>
      <c r="Z326">
        <v>1.69003E-2</v>
      </c>
      <c r="AA326">
        <v>0.95679619999999999</v>
      </c>
      <c r="AB326">
        <v>22</v>
      </c>
      <c r="AC326">
        <v>108.61020000000001</v>
      </c>
      <c r="AD326">
        <v>15.195864</v>
      </c>
      <c r="AE326">
        <v>-34.1464</v>
      </c>
      <c r="AF326">
        <v>32.759884722004898</v>
      </c>
      <c r="AG326">
        <v>15.195864</v>
      </c>
      <c r="AH326">
        <v>106.954044782932</v>
      </c>
      <c r="AI326">
        <v>82.263801265707997</v>
      </c>
      <c r="AJ326">
        <v>72.9702417311278</v>
      </c>
      <c r="AK326">
        <v>112.886190586515</v>
      </c>
      <c r="AL326">
        <v>85.1664484063148</v>
      </c>
      <c r="AM326">
        <v>96.723817804906901</v>
      </c>
      <c r="AN326">
        <v>0.99999998814046398</v>
      </c>
    </row>
    <row r="327" spans="1:40" x14ac:dyDescent="0.25">
      <c r="A327" t="str">
        <f>"20190304154733418"</f>
        <v>20190304154733418</v>
      </c>
      <c r="B327" t="str">
        <f>"1551685653407277"</f>
        <v>1551685653407277</v>
      </c>
      <c r="C327" t="s">
        <v>40</v>
      </c>
      <c r="D327">
        <v>4.1499420000000002</v>
      </c>
      <c r="E327">
        <v>0.66620179999999996</v>
      </c>
      <c r="F327" t="s">
        <v>50</v>
      </c>
      <c r="G327">
        <v>-343.9683</v>
      </c>
      <c r="H327">
        <v>16.26295</v>
      </c>
      <c r="I327">
        <v>333.24279999999999</v>
      </c>
      <c r="J327">
        <v>-450.46949999999998</v>
      </c>
      <c r="K327">
        <v>1.110376</v>
      </c>
      <c r="L327">
        <v>366.93279999999999</v>
      </c>
      <c r="M327">
        <v>0.99990389999999996</v>
      </c>
      <c r="N327">
        <v>-1.166056E-2</v>
      </c>
      <c r="O327">
        <v>-7.5057429999999996E-3</v>
      </c>
      <c r="P327">
        <v>0.99119380000000001</v>
      </c>
      <c r="Q327">
        <v>7.3571220000000007E-2</v>
      </c>
      <c r="R327">
        <v>0.110099</v>
      </c>
      <c r="S327">
        <v>3.10202</v>
      </c>
      <c r="T327">
        <v>0.44066129999999998</v>
      </c>
      <c r="U327">
        <v>-0.97979740000000004</v>
      </c>
      <c r="V327">
        <v>-0.1175124</v>
      </c>
      <c r="W327">
        <v>8.5146979999999997E-2</v>
      </c>
      <c r="X327">
        <v>0.98941440000000003</v>
      </c>
      <c r="Y327">
        <v>0.29167870000000001</v>
      </c>
      <c r="Z327">
        <v>1.7261970000000001E-2</v>
      </c>
      <c r="AA327">
        <v>0.95636060000000001</v>
      </c>
      <c r="AB327">
        <v>22</v>
      </c>
      <c r="AC327">
        <v>106.501199999999</v>
      </c>
      <c r="AD327">
        <v>15.152574</v>
      </c>
      <c r="AE327">
        <v>-33.69</v>
      </c>
      <c r="AF327">
        <v>32.295354909878199</v>
      </c>
      <c r="AG327">
        <v>15.152574</v>
      </c>
      <c r="AH327">
        <v>104.822237653659</v>
      </c>
      <c r="AI327">
        <v>82.134550221375605</v>
      </c>
      <c r="AJ327">
        <v>72.876122629356004</v>
      </c>
      <c r="AK327">
        <v>110.726202654568</v>
      </c>
      <c r="AL327">
        <v>85.115523222382606</v>
      </c>
      <c r="AM327">
        <v>96.7732700561765</v>
      </c>
      <c r="AN327">
        <v>1.0000000136421201</v>
      </c>
    </row>
    <row r="328" spans="1:40" x14ac:dyDescent="0.25">
      <c r="A328" t="str">
        <f>"20190304154733486"</f>
        <v>20190304154733486</v>
      </c>
      <c r="B328" t="str">
        <f>"1551685653477549"</f>
        <v>1551685653477549</v>
      </c>
      <c r="C328" t="s">
        <v>40</v>
      </c>
      <c r="D328">
        <v>3.984912</v>
      </c>
      <c r="E328">
        <v>0.66667589999999999</v>
      </c>
      <c r="F328" t="s">
        <v>50</v>
      </c>
      <c r="G328">
        <v>-344.06630000000001</v>
      </c>
      <c r="H328">
        <v>16.399450000000002</v>
      </c>
      <c r="I328">
        <v>333.24279999999999</v>
      </c>
      <c r="J328">
        <v>-449.78960000000001</v>
      </c>
      <c r="K328">
        <v>1.11039</v>
      </c>
      <c r="L328">
        <v>366.9271</v>
      </c>
      <c r="M328">
        <v>0.99989760000000005</v>
      </c>
      <c r="N328">
        <v>-1.1895950000000001E-2</v>
      </c>
      <c r="O328">
        <v>-7.968569E-3</v>
      </c>
      <c r="P328">
        <v>0.99106850000000002</v>
      </c>
      <c r="Q328">
        <v>7.3501029999999995E-2</v>
      </c>
      <c r="R328">
        <v>0.1112697</v>
      </c>
      <c r="S328">
        <v>3.1026919999999998</v>
      </c>
      <c r="T328">
        <v>0.44582579999999999</v>
      </c>
      <c r="U328">
        <v>-0.98239140000000003</v>
      </c>
      <c r="V328">
        <v>-0.1191411</v>
      </c>
      <c r="W328">
        <v>8.5307090000000002E-2</v>
      </c>
      <c r="X328">
        <v>0.98920580000000002</v>
      </c>
      <c r="Y328">
        <v>0.29185630000000001</v>
      </c>
      <c r="Z328">
        <v>1.7381420000000002E-2</v>
      </c>
      <c r="AA328">
        <v>0.9563043</v>
      </c>
      <c r="AB328">
        <v>22</v>
      </c>
      <c r="AC328">
        <v>105.72329999999999</v>
      </c>
      <c r="AD328">
        <v>15.289059999999999</v>
      </c>
      <c r="AE328">
        <v>-33.6843</v>
      </c>
      <c r="AF328">
        <v>32.228814305659803</v>
      </c>
      <c r="AG328">
        <v>15.289059999999999</v>
      </c>
      <c r="AH328">
        <v>104.013585625121</v>
      </c>
      <c r="AI328">
        <v>82.007609753600505</v>
      </c>
      <c r="AJ328">
        <v>72.784302070215702</v>
      </c>
      <c r="AK328">
        <v>109.960346588334</v>
      </c>
      <c r="AL328">
        <v>85.106316068122496</v>
      </c>
      <c r="AM328">
        <v>96.867690241443597</v>
      </c>
      <c r="AN328">
        <v>1.00000000803355</v>
      </c>
    </row>
    <row r="329" spans="1:40" x14ac:dyDescent="0.25">
      <c r="A329" t="str">
        <f>"20190304154733509"</f>
        <v>20190304154733509</v>
      </c>
      <c r="B329" t="str">
        <f>"1551685653507805"</f>
        <v>1551685653507805</v>
      </c>
      <c r="C329" t="s">
        <v>40</v>
      </c>
      <c r="D329">
        <v>3.6052680000000001</v>
      </c>
      <c r="E329">
        <v>0.6009814</v>
      </c>
      <c r="F329" t="s">
        <v>50</v>
      </c>
      <c r="G329">
        <v>-342.73489999999998</v>
      </c>
      <c r="H329">
        <v>16.542899999999999</v>
      </c>
      <c r="I329">
        <v>333.03629999999998</v>
      </c>
      <c r="J329">
        <v>-449.56200000000001</v>
      </c>
      <c r="K329">
        <v>1.110401</v>
      </c>
      <c r="L329">
        <v>366.92500000000001</v>
      </c>
      <c r="M329">
        <v>0.99989570000000005</v>
      </c>
      <c r="N329">
        <v>-1.1954799999999899E-2</v>
      </c>
      <c r="O329">
        <v>-8.1193559999999994E-3</v>
      </c>
      <c r="P329">
        <v>0.99108909999999995</v>
      </c>
      <c r="Q329">
        <v>7.3133859999999995E-2</v>
      </c>
      <c r="R329">
        <v>0.1113292</v>
      </c>
      <c r="S329">
        <v>3.1041560000000001</v>
      </c>
      <c r="T329">
        <v>0.4474804</v>
      </c>
      <c r="U329">
        <v>-0.98269649999999997</v>
      </c>
      <c r="V329">
        <v>-0.11934989999999999</v>
      </c>
      <c r="W329">
        <v>8.4998270000000001E-2</v>
      </c>
      <c r="X329">
        <v>0.98920719999999995</v>
      </c>
      <c r="Y329">
        <v>0.29165609999999997</v>
      </c>
      <c r="Z329">
        <v>1.739837E-2</v>
      </c>
      <c r="AA329">
        <v>0.95636500000000002</v>
      </c>
      <c r="AB329">
        <v>22</v>
      </c>
      <c r="AC329">
        <v>106.82709999999901</v>
      </c>
      <c r="AD329">
        <v>15.4324989999999</v>
      </c>
      <c r="AE329">
        <v>-33.8887</v>
      </c>
      <c r="AF329">
        <v>32.4057016808109</v>
      </c>
      <c r="AG329">
        <v>15.4324989999999</v>
      </c>
      <c r="AH329">
        <v>105.105816671227</v>
      </c>
      <c r="AI329">
        <v>82.012928503674999</v>
      </c>
      <c r="AJ329">
        <v>72.864683827681304</v>
      </c>
      <c r="AK329">
        <v>111.065405167119</v>
      </c>
      <c r="AL329">
        <v>85.124074585383397</v>
      </c>
      <c r="AM329">
        <v>96.879601275523399</v>
      </c>
      <c r="AN329">
        <v>0.99999999453242105</v>
      </c>
    </row>
    <row r="330" spans="1:40" x14ac:dyDescent="0.25">
      <c r="A330" t="str">
        <f>"20190304154733522"</f>
        <v>20190304154733522</v>
      </c>
      <c r="B330" t="str">
        <f>"1551685653517564"</f>
        <v>1551685653517564</v>
      </c>
      <c r="C330" t="s">
        <v>40</v>
      </c>
      <c r="D330">
        <v>4.0670510000000002</v>
      </c>
      <c r="E330">
        <v>0.59525669999999897</v>
      </c>
      <c r="F330" t="s">
        <v>47</v>
      </c>
      <c r="G330">
        <v>-168.40520000000001</v>
      </c>
      <c r="H330">
        <v>15.641540000000001</v>
      </c>
      <c r="I330">
        <v>324.01130000000001</v>
      </c>
      <c r="J330">
        <v>-449.4409</v>
      </c>
      <c r="K330">
        <v>1.1104069999999999</v>
      </c>
      <c r="L330">
        <v>366.92399999999998</v>
      </c>
      <c r="M330">
        <v>0.99989459999999997</v>
      </c>
      <c r="N330">
        <v>-1.1982100000000001E-2</v>
      </c>
      <c r="O330">
        <v>-8.2014029999999995E-3</v>
      </c>
      <c r="P330">
        <v>0.99113910000000005</v>
      </c>
      <c r="Q330">
        <v>7.2763610000000006E-2</v>
      </c>
      <c r="R330">
        <v>0.1111255</v>
      </c>
      <c r="S330">
        <v>3.0679020000000001</v>
      </c>
      <c r="T330">
        <v>0.15855959999999999</v>
      </c>
      <c r="U330">
        <v>-0.4682617</v>
      </c>
      <c r="V330">
        <v>-0.1192289</v>
      </c>
      <c r="W330">
        <v>8.4655250000000001E-2</v>
      </c>
      <c r="X330">
        <v>0.9892512</v>
      </c>
      <c r="Y330">
        <v>0.1426461</v>
      </c>
      <c r="Z330">
        <v>2.2838799999999999E-3</v>
      </c>
      <c r="AA330">
        <v>0.98977110000000001</v>
      </c>
      <c r="AB330">
        <v>22</v>
      </c>
      <c r="AC330">
        <v>281.03570000000002</v>
      </c>
      <c r="AD330">
        <v>14.531133000000001</v>
      </c>
      <c r="AE330">
        <v>-42.912700000000001</v>
      </c>
      <c r="AF330">
        <v>40.500394369554698</v>
      </c>
      <c r="AG330">
        <v>14.531133000000001</v>
      </c>
      <c r="AH330">
        <v>280.64501440318998</v>
      </c>
      <c r="AI330">
        <v>87.066344019515498</v>
      </c>
      <c r="AJ330">
        <v>81.7882340952319</v>
      </c>
      <c r="AK330">
        <v>283.92439113207598</v>
      </c>
      <c r="AL330">
        <v>85.143799251940393</v>
      </c>
      <c r="AM330">
        <v>96.872390541850706</v>
      </c>
      <c r="AN330">
        <v>0.99999998932460599</v>
      </c>
    </row>
    <row r="331" spans="1:40" x14ac:dyDescent="0.25">
      <c r="A331" t="str">
        <f>"20190304154733535"</f>
        <v>20190304154733535</v>
      </c>
      <c r="B331" t="str">
        <f>"1551685653527325"</f>
        <v>1551685653527325</v>
      </c>
      <c r="C331" t="s">
        <v>40</v>
      </c>
      <c r="D331">
        <v>4.4067420000000004</v>
      </c>
      <c r="E331">
        <v>0.59525669999999897</v>
      </c>
      <c r="F331" t="s">
        <v>49</v>
      </c>
      <c r="G331">
        <v>-274.9991</v>
      </c>
      <c r="H331">
        <v>12.13124</v>
      </c>
      <c r="I331">
        <v>342.84739999999999</v>
      </c>
      <c r="J331">
        <v>-449.30560000000003</v>
      </c>
      <c r="K331">
        <v>1.110417</v>
      </c>
      <c r="L331">
        <v>366.92270000000002</v>
      </c>
      <c r="M331">
        <v>0.99989360000000005</v>
      </c>
      <c r="N331">
        <v>-1.2010939999999999E-2</v>
      </c>
      <c r="O331">
        <v>-8.2940649999999998E-3</v>
      </c>
      <c r="P331">
        <v>0.99114060000000004</v>
      </c>
      <c r="Q331">
        <v>7.269929E-2</v>
      </c>
      <c r="R331">
        <v>0.11115460000000001</v>
      </c>
      <c r="S331">
        <v>3.0599370000000001</v>
      </c>
      <c r="T331">
        <v>0.19331970000000001</v>
      </c>
      <c r="U331">
        <v>-0.42233280000000001</v>
      </c>
      <c r="V331">
        <v>-0.1193491</v>
      </c>
      <c r="W331">
        <v>8.4619120000000006E-2</v>
      </c>
      <c r="X331">
        <v>0.9892398</v>
      </c>
      <c r="Y331">
        <v>0.12832299999999999</v>
      </c>
      <c r="Z331">
        <v>2.6355900000000002E-3</v>
      </c>
      <c r="AA331">
        <v>0.99172890000000002</v>
      </c>
      <c r="AB331">
        <v>22</v>
      </c>
      <c r="AC331">
        <v>174.3065</v>
      </c>
      <c r="AD331">
        <v>11.020823</v>
      </c>
      <c r="AE331">
        <v>-24.075299999999999</v>
      </c>
      <c r="AF331">
        <v>22.540237879017301</v>
      </c>
      <c r="AG331">
        <v>11.020823</v>
      </c>
      <c r="AH331">
        <v>173.818349246232</v>
      </c>
      <c r="AI331">
        <v>86.402105192522299</v>
      </c>
      <c r="AJ331">
        <v>82.611288956833306</v>
      </c>
      <c r="AK331">
        <v>175.61987187651999</v>
      </c>
      <c r="AL331">
        <v>85.145876818629603</v>
      </c>
      <c r="AM331">
        <v>96.879331063281299</v>
      </c>
      <c r="AN331">
        <v>0.99999999252221194</v>
      </c>
    </row>
    <row r="332" spans="1:40" x14ac:dyDescent="0.25">
      <c r="A332" t="str">
        <f>"20190304154733553"</f>
        <v>20190304154733553</v>
      </c>
      <c r="B332" t="str">
        <f>"1551685653547820"</f>
        <v>1551685653547820</v>
      </c>
      <c r="C332" t="s">
        <v>40</v>
      </c>
      <c r="D332">
        <v>4.4882390000000001</v>
      </c>
      <c r="E332">
        <v>0.54555259999999905</v>
      </c>
      <c r="F332" t="s">
        <v>49</v>
      </c>
      <c r="G332">
        <v>-274.99509999999998</v>
      </c>
      <c r="H332">
        <v>12.138680000000001</v>
      </c>
      <c r="I332">
        <v>342.85669999999999</v>
      </c>
      <c r="J332">
        <v>-449.12650000000002</v>
      </c>
      <c r="K332">
        <v>1.1104270000000001</v>
      </c>
      <c r="L332">
        <v>366.92110000000002</v>
      </c>
      <c r="M332">
        <v>0.99989209999999995</v>
      </c>
      <c r="N332">
        <v>-1.2045129999999999E-2</v>
      </c>
      <c r="O332">
        <v>-8.4171579999999992E-3</v>
      </c>
      <c r="P332">
        <v>0.99109729999999996</v>
      </c>
      <c r="Q332">
        <v>7.2715340000000003E-2</v>
      </c>
      <c r="R332">
        <v>0.111528</v>
      </c>
      <c r="S332">
        <v>3.0600589999999999</v>
      </c>
      <c r="T332">
        <v>0.19360359999999999</v>
      </c>
      <c r="U332">
        <v>-0.42248540000000001</v>
      </c>
      <c r="V332">
        <v>-0.1198443</v>
      </c>
      <c r="W332">
        <v>8.4668080000000007E-2</v>
      </c>
      <c r="X332">
        <v>0.98917569999999999</v>
      </c>
      <c r="Y332">
        <v>0.1282441</v>
      </c>
      <c r="Z332">
        <v>2.626874E-3</v>
      </c>
      <c r="AA332">
        <v>0.99173920000000004</v>
      </c>
      <c r="AB332">
        <v>22</v>
      </c>
      <c r="AC332">
        <v>174.13140000000001</v>
      </c>
      <c r="AD332">
        <v>11.028252999999999</v>
      </c>
      <c r="AE332">
        <v>-24.064399999999999</v>
      </c>
      <c r="AF332">
        <v>22.509156056432701</v>
      </c>
      <c r="AG332">
        <v>11.028252999999999</v>
      </c>
      <c r="AH332">
        <v>173.644353655635</v>
      </c>
      <c r="AI332">
        <v>86.396065370162702</v>
      </c>
      <c r="AJ332">
        <v>82.614053290843799</v>
      </c>
      <c r="AK332">
        <v>175.44413933525399</v>
      </c>
      <c r="AL332">
        <v>85.143061320259605</v>
      </c>
      <c r="AM332">
        <v>96.908042672367898</v>
      </c>
      <c r="AN332">
        <v>0.99999995274193199</v>
      </c>
    </row>
    <row r="333" spans="1:40" x14ac:dyDescent="0.25">
      <c r="A333" t="str">
        <f>"20190304154733568"</f>
        <v>20190304154733568</v>
      </c>
      <c r="B333" t="str">
        <f>"1551685653557581"</f>
        <v>1551685653557581</v>
      </c>
      <c r="C333" t="s">
        <v>40</v>
      </c>
      <c r="D333">
        <v>4.3387710000000004</v>
      </c>
      <c r="E333">
        <v>0.54535269999999902</v>
      </c>
      <c r="F333" t="s">
        <v>44</v>
      </c>
      <c r="G333">
        <v>-395.77089999999998</v>
      </c>
      <c r="H333" s="1">
        <v>-2.378945E-6</v>
      </c>
      <c r="I333">
        <v>366.3331</v>
      </c>
      <c r="J333">
        <v>-448.98110000000003</v>
      </c>
      <c r="K333">
        <v>1.1104270000000001</v>
      </c>
      <c r="L333">
        <v>366.91980000000001</v>
      </c>
      <c r="M333">
        <v>0.99989099999999997</v>
      </c>
      <c r="N333">
        <v>-1.206981E-2</v>
      </c>
      <c r="O333">
        <v>-8.5169559999999991E-3</v>
      </c>
      <c r="P333">
        <v>0.99102330000000005</v>
      </c>
      <c r="Q333">
        <v>7.3430609999999993E-2</v>
      </c>
      <c r="R333">
        <v>0.1117184</v>
      </c>
      <c r="S333">
        <v>3.0353089999999998</v>
      </c>
      <c r="T333">
        <v>-6.3170309999999993E-2</v>
      </c>
      <c r="U333">
        <v>-3.3447270000000001E-2</v>
      </c>
      <c r="V333">
        <v>-0.1201329</v>
      </c>
      <c r="W333">
        <v>8.5406389999999999E-2</v>
      </c>
      <c r="X333">
        <v>0.98907730000000005</v>
      </c>
      <c r="Y333">
        <v>2.5007380000000002E-3</v>
      </c>
      <c r="Z333" s="1">
        <v>3.3314849999999998E-5</v>
      </c>
      <c r="AA333">
        <v>0.99999689999999997</v>
      </c>
      <c r="AB333">
        <v>22</v>
      </c>
      <c r="AC333">
        <v>53.2102</v>
      </c>
      <c r="AD333">
        <v>-1.1104293789449999</v>
      </c>
      <c r="AE333">
        <v>-0.58670000000000699</v>
      </c>
      <c r="AF333">
        <v>0.13339873490649101</v>
      </c>
      <c r="AG333">
        <v>-1.1104293789449999</v>
      </c>
      <c r="AH333">
        <v>53.1901053652334</v>
      </c>
      <c r="AI333">
        <v>91.195964472113801</v>
      </c>
      <c r="AJ333">
        <v>89.856304693791699</v>
      </c>
      <c r="AK333">
        <v>53.201862348913401</v>
      </c>
      <c r="AL333">
        <v>85.100605890864301</v>
      </c>
      <c r="AM333">
        <v>96.925198985008507</v>
      </c>
      <c r="AN333">
        <v>1.00000003524526</v>
      </c>
    </row>
    <row r="334" spans="1:40" x14ac:dyDescent="0.25">
      <c r="A334" t="str">
        <f>"20190304154733587"</f>
        <v>20190304154733587</v>
      </c>
      <c r="B334" t="str">
        <f>"1551685653577101"</f>
        <v>1551685653577101</v>
      </c>
      <c r="C334" t="s">
        <v>40</v>
      </c>
      <c r="D334">
        <v>4.2918289999999999</v>
      </c>
      <c r="E334">
        <v>0.5455084</v>
      </c>
      <c r="F334" t="s">
        <v>44</v>
      </c>
      <c r="G334">
        <v>-398.24869999999999</v>
      </c>
      <c r="H334" s="1">
        <v>-1.440383E-6</v>
      </c>
      <c r="I334">
        <v>366.39030000000002</v>
      </c>
      <c r="J334">
        <v>-448.7869</v>
      </c>
      <c r="K334">
        <v>1.1104350000000001</v>
      </c>
      <c r="L334">
        <v>366.91800000000001</v>
      </c>
      <c r="M334">
        <v>0.99988940000000004</v>
      </c>
      <c r="N334">
        <v>-1.2099159999999999E-2</v>
      </c>
      <c r="O334">
        <v>-8.6487400000000002E-3</v>
      </c>
      <c r="P334">
        <v>0.99092420000000003</v>
      </c>
      <c r="Q334">
        <v>7.4061890000000005E-2</v>
      </c>
      <c r="R334">
        <v>0.1121796</v>
      </c>
      <c r="S334">
        <v>3.0356749999999999</v>
      </c>
      <c r="T334">
        <v>-6.6444520000000007E-2</v>
      </c>
      <c r="U334">
        <v>-3.1677249999999997E-2</v>
      </c>
      <c r="V334">
        <v>-0.1207236</v>
      </c>
      <c r="W334">
        <v>8.6065320000000001E-2</v>
      </c>
      <c r="X334">
        <v>0.98894820000000005</v>
      </c>
      <c r="Y334">
        <v>1.7848829999999999E-3</v>
      </c>
      <c r="Z334" s="1">
        <v>5.4299680000000003E-5</v>
      </c>
      <c r="AA334">
        <v>0.99999839999999995</v>
      </c>
      <c r="AB334">
        <v>22</v>
      </c>
      <c r="AC334">
        <v>50.538200000000003</v>
      </c>
      <c r="AD334">
        <v>-1.1104364403829901</v>
      </c>
      <c r="AE334">
        <v>-0.52769999999998096</v>
      </c>
      <c r="AF334">
        <v>9.0512820030851801E-2</v>
      </c>
      <c r="AG334">
        <v>-1.1104364403829901</v>
      </c>
      <c r="AH334">
        <v>50.516488202737698</v>
      </c>
      <c r="AI334">
        <v>91.259251724500103</v>
      </c>
      <c r="AJ334">
        <v>89.897340507733901</v>
      </c>
      <c r="AK334">
        <v>50.528772417268002</v>
      </c>
      <c r="AL334">
        <v>85.062712205488495</v>
      </c>
      <c r="AM334">
        <v>96.959817006351699</v>
      </c>
      <c r="AN334">
        <v>0.99999998459345096</v>
      </c>
    </row>
    <row r="335" spans="1:40" x14ac:dyDescent="0.25">
      <c r="A335" t="str">
        <f>"20190304154733603"</f>
        <v>20190304154733603</v>
      </c>
      <c r="B335" t="str">
        <f>"1551685653597596"</f>
        <v>1551685653597596</v>
      </c>
      <c r="C335" t="s">
        <v>40</v>
      </c>
      <c r="D335">
        <v>4.5436290000000001</v>
      </c>
      <c r="E335">
        <v>0.5464869</v>
      </c>
      <c r="F335" t="s">
        <v>45</v>
      </c>
      <c r="G335">
        <v>-397.88069999999999</v>
      </c>
      <c r="H335">
        <v>-0.05</v>
      </c>
      <c r="I335">
        <v>366.3879</v>
      </c>
      <c r="J335">
        <v>-448.64</v>
      </c>
      <c r="K335">
        <v>1.110444</v>
      </c>
      <c r="L335">
        <v>366.91660000000002</v>
      </c>
      <c r="M335">
        <v>0.99988840000000001</v>
      </c>
      <c r="N335">
        <v>-1.211889E-2</v>
      </c>
      <c r="O335">
        <v>-8.7480430000000005E-3</v>
      </c>
      <c r="P335">
        <v>0.99087800000000004</v>
      </c>
      <c r="Q335">
        <v>7.4391319999999997E-2</v>
      </c>
      <c r="R335">
        <v>0.1123696</v>
      </c>
      <c r="S335">
        <v>3.0362550000000001</v>
      </c>
      <c r="T335">
        <v>-6.9213029999999995E-2</v>
      </c>
      <c r="U335">
        <v>-3.1616209999999999E-2</v>
      </c>
      <c r="V335">
        <v>-0.1210118</v>
      </c>
      <c r="W335">
        <v>8.6414019999999994E-2</v>
      </c>
      <c r="X335">
        <v>0.98888259999999994</v>
      </c>
      <c r="Y335">
        <v>1.6635619999999999E-3</v>
      </c>
      <c r="Z335" s="1">
        <v>6.432667E-5</v>
      </c>
      <c r="AA335">
        <v>0.99999859999999896</v>
      </c>
      <c r="AB335">
        <v>22</v>
      </c>
      <c r="AC335">
        <v>50.759300000000003</v>
      </c>
      <c r="AD335">
        <v>-1.160444</v>
      </c>
      <c r="AE335">
        <v>-0.52870000000001405</v>
      </c>
      <c r="AF335">
        <v>8.4558471821603295E-2</v>
      </c>
      <c r="AG335">
        <v>-1.160444</v>
      </c>
      <c r="AH335">
        <v>50.735468454231302</v>
      </c>
      <c r="AI335">
        <v>91.310264051316295</v>
      </c>
      <c r="AJ335">
        <v>89.904507847878904</v>
      </c>
      <c r="AK335">
        <v>50.7488082587424</v>
      </c>
      <c r="AL335">
        <v>85.042658618870504</v>
      </c>
      <c r="AM335">
        <v>96.976726670319394</v>
      </c>
      <c r="AN335">
        <v>1.0000000175872701</v>
      </c>
    </row>
    <row r="336" spans="1:40" x14ac:dyDescent="0.25">
      <c r="A336" t="str">
        <f>"20190304154733620"</f>
        <v>20190304154733620</v>
      </c>
      <c r="B336" t="str">
        <f>"1551685653617117"</f>
        <v>1551685653617117</v>
      </c>
      <c r="C336" t="s">
        <v>40</v>
      </c>
      <c r="D336">
        <v>4.282978</v>
      </c>
      <c r="E336">
        <v>0.54596009999999995</v>
      </c>
      <c r="F336" t="s">
        <v>45</v>
      </c>
      <c r="G336">
        <v>-402.11660000000001</v>
      </c>
      <c r="H336">
        <v>-0.05</v>
      </c>
      <c r="I336">
        <v>366.32339999999999</v>
      </c>
      <c r="J336">
        <v>-448.4699</v>
      </c>
      <c r="K336">
        <v>1.1104499999999999</v>
      </c>
      <c r="L336">
        <v>366.91489999999999</v>
      </c>
      <c r="M336">
        <v>0.99988710000000003</v>
      </c>
      <c r="N336">
        <v>-1.213964E-2</v>
      </c>
      <c r="O336">
        <v>-8.8628500000000002E-3</v>
      </c>
      <c r="P336">
        <v>0.99074969999999996</v>
      </c>
      <c r="Q336">
        <v>7.5509300000000001E-2</v>
      </c>
      <c r="R336">
        <v>0.1127547</v>
      </c>
      <c r="S336">
        <v>3.0376889999999999</v>
      </c>
      <c r="T336">
        <v>-7.5769779999999995E-2</v>
      </c>
      <c r="U336">
        <v>-3.872681E-2</v>
      </c>
      <c r="V336">
        <v>-0.12150900000000001</v>
      </c>
      <c r="W336">
        <v>8.755077E-2</v>
      </c>
      <c r="X336">
        <v>0.98872159999999998</v>
      </c>
      <c r="Y336">
        <v>3.8833840000000001E-3</v>
      </c>
      <c r="Z336" s="1">
        <v>4.1432749999999997E-5</v>
      </c>
      <c r="AA336">
        <v>0.9999924</v>
      </c>
      <c r="AB336">
        <v>22</v>
      </c>
      <c r="AC336">
        <v>46.353299999999898</v>
      </c>
      <c r="AD336">
        <v>-1.16045</v>
      </c>
      <c r="AE336">
        <v>-0.59149999999999603</v>
      </c>
      <c r="AF336">
        <v>0.18051105637037601</v>
      </c>
      <c r="AG336">
        <v>-1.16045</v>
      </c>
      <c r="AH336">
        <v>46.327690963172401</v>
      </c>
      <c r="AI336">
        <v>91.434875792131393</v>
      </c>
      <c r="AJ336">
        <v>89.776754050737395</v>
      </c>
      <c r="AK336">
        <v>46.342574145413799</v>
      </c>
      <c r="AL336">
        <v>84.977279696419302</v>
      </c>
      <c r="AM336">
        <v>97.006236997394097</v>
      </c>
      <c r="AN336">
        <v>0.99999998835757598</v>
      </c>
    </row>
    <row r="337" spans="1:40" x14ac:dyDescent="0.25">
      <c r="A337" t="str">
        <f>"20190304154733630"</f>
        <v>20190304154733630</v>
      </c>
      <c r="B337" t="str">
        <f>"1551685653626877"</f>
        <v>1551685653626877</v>
      </c>
      <c r="C337" t="s">
        <v>40</v>
      </c>
      <c r="D337">
        <v>4.1646989999999997</v>
      </c>
      <c r="E337">
        <v>0.54655750000000003</v>
      </c>
      <c r="F337" t="s">
        <v>45</v>
      </c>
      <c r="G337">
        <v>-403.06189999999998</v>
      </c>
      <c r="H337">
        <v>-0.05</v>
      </c>
      <c r="I337">
        <v>366.41090000000003</v>
      </c>
      <c r="J337">
        <v>-448.35449999999997</v>
      </c>
      <c r="K337">
        <v>1.110457</v>
      </c>
      <c r="L337">
        <v>366.91379999999998</v>
      </c>
      <c r="M337">
        <v>0.99988619999999995</v>
      </c>
      <c r="N337">
        <v>-1.215274E-2</v>
      </c>
      <c r="O337">
        <v>-8.9404169999999904E-3</v>
      </c>
      <c r="P337">
        <v>0.99072919999999998</v>
      </c>
      <c r="Q337">
        <v>7.5725819999999999E-2</v>
      </c>
      <c r="R337">
        <v>0.11278870000000001</v>
      </c>
      <c r="S337">
        <v>3.0377200000000002</v>
      </c>
      <c r="T337">
        <v>-7.7632190000000004E-2</v>
      </c>
      <c r="U337">
        <v>-3.3721920000000002E-2</v>
      </c>
      <c r="V337">
        <v>-0.1216192</v>
      </c>
      <c r="W337">
        <v>8.777973E-2</v>
      </c>
      <c r="X337">
        <v>0.98868780000000001</v>
      </c>
      <c r="Y337">
        <v>2.159172E-3</v>
      </c>
      <c r="Z337" s="1">
        <v>7.9079550000000004E-5</v>
      </c>
      <c r="AA337">
        <v>0.99999769999999999</v>
      </c>
      <c r="AB337">
        <v>22</v>
      </c>
      <c r="AC337">
        <v>45.292599999999901</v>
      </c>
      <c r="AD337">
        <v>-1.1604570000000001</v>
      </c>
      <c r="AE337">
        <v>-0.50289999999995405</v>
      </c>
      <c r="AF337">
        <v>9.7851041434490804E-2</v>
      </c>
      <c r="AG337">
        <v>-1.1604570000000001</v>
      </c>
      <c r="AH337">
        <v>45.265574964402397</v>
      </c>
      <c r="AI337">
        <v>91.468545855065699</v>
      </c>
      <c r="AJ337">
        <v>89.876143339245601</v>
      </c>
      <c r="AK337">
        <v>45.280553354978899</v>
      </c>
      <c r="AL337">
        <v>84.964110805581498</v>
      </c>
      <c r="AM337">
        <v>97.012765265490302</v>
      </c>
      <c r="AN337">
        <v>1.00000003833817</v>
      </c>
    </row>
    <row r="338" spans="1:40" x14ac:dyDescent="0.25">
      <c r="A338" t="str">
        <f>"20190304154733642"</f>
        <v>20190304154733642</v>
      </c>
      <c r="B338" t="str">
        <f>"1551685653637612"</f>
        <v>1551685653637612</v>
      </c>
      <c r="C338" t="s">
        <v>40</v>
      </c>
      <c r="D338">
        <v>4.172326</v>
      </c>
      <c r="E338">
        <v>0.5470391</v>
      </c>
      <c r="F338" t="s">
        <v>45</v>
      </c>
      <c r="G338">
        <v>-400.58629999999999</v>
      </c>
      <c r="H338">
        <v>-0.05</v>
      </c>
      <c r="I338">
        <v>366.31790000000001</v>
      </c>
      <c r="J338">
        <v>-448.24250000000001</v>
      </c>
      <c r="K338">
        <v>1.110457</v>
      </c>
      <c r="L338">
        <v>366.91269999999997</v>
      </c>
      <c r="M338">
        <v>0.99988549999999998</v>
      </c>
      <c r="N338">
        <v>-1.216383E-2</v>
      </c>
      <c r="O338">
        <v>-9.0166559999999996E-3</v>
      </c>
      <c r="P338">
        <v>0.99069929999999995</v>
      </c>
      <c r="Q338">
        <v>7.6383409999999999E-2</v>
      </c>
      <c r="R338">
        <v>0.112609</v>
      </c>
      <c r="S338">
        <v>3.0380250000000002</v>
      </c>
      <c r="T338">
        <v>-7.3804140000000004E-2</v>
      </c>
      <c r="U338">
        <v>-3.7902829999999998E-2</v>
      </c>
      <c r="V338">
        <v>-0.12151439999999999</v>
      </c>
      <c r="W338">
        <v>8.8447529999999996E-2</v>
      </c>
      <c r="X338">
        <v>0.98864110000000005</v>
      </c>
      <c r="Y338">
        <v>3.4571760000000002E-3</v>
      </c>
      <c r="Z338" s="1">
        <v>4.6310190000000002E-5</v>
      </c>
      <c r="AA338">
        <v>0.99999400000000005</v>
      </c>
      <c r="AB338">
        <v>22</v>
      </c>
      <c r="AC338">
        <v>47.656199999999998</v>
      </c>
      <c r="AD338">
        <v>-1.1604570000000001</v>
      </c>
      <c r="AE338">
        <v>-0.59479999999996302</v>
      </c>
      <c r="AF338">
        <v>0.16494673142779301</v>
      </c>
      <c r="AG338">
        <v>-1.1604570000000001</v>
      </c>
      <c r="AH338">
        <v>47.631387239998602</v>
      </c>
      <c r="AI338">
        <v>91.395628873382094</v>
      </c>
      <c r="AJ338">
        <v>89.801586425998295</v>
      </c>
      <c r="AK338">
        <v>47.645806932822097</v>
      </c>
      <c r="AL338">
        <v>84.9256989316942</v>
      </c>
      <c r="AM338">
        <v>97.007110103723903</v>
      </c>
      <c r="AN338">
        <v>0.99999996978983496</v>
      </c>
    </row>
    <row r="339" spans="1:40" x14ac:dyDescent="0.25">
      <c r="A339" t="str">
        <f>"20190304154733656"</f>
        <v>20190304154733656</v>
      </c>
      <c r="B339" t="str">
        <f>"1551685653647373"</f>
        <v>1551685653647373</v>
      </c>
      <c r="C339" t="s">
        <v>40</v>
      </c>
      <c r="D339">
        <v>4.1596039999999999</v>
      </c>
      <c r="E339">
        <v>0.54740789999999995</v>
      </c>
      <c r="F339" t="s">
        <v>45</v>
      </c>
      <c r="G339">
        <v>-397.8073</v>
      </c>
      <c r="H339">
        <v>-0.05</v>
      </c>
      <c r="I339">
        <v>366.20760000000001</v>
      </c>
      <c r="J339">
        <v>-448.1078</v>
      </c>
      <c r="K339">
        <v>1.1104620000000001</v>
      </c>
      <c r="L339">
        <v>366.91140000000001</v>
      </c>
      <c r="M339">
        <v>0.99988449999999995</v>
      </c>
      <c r="N339">
        <v>-1.2175740000000001E-2</v>
      </c>
      <c r="O339">
        <v>-9.1087560000000008E-3</v>
      </c>
      <c r="P339">
        <v>0.99062479999999997</v>
      </c>
      <c r="Q339">
        <v>7.718904E-2</v>
      </c>
      <c r="R339">
        <v>0.1127157</v>
      </c>
      <c r="S339">
        <v>3.0384220000000002</v>
      </c>
      <c r="T339">
        <v>-6.9910650000000005E-2</v>
      </c>
      <c r="U339">
        <v>-4.2480469999999999E-2</v>
      </c>
      <c r="V339">
        <v>-0.1217115</v>
      </c>
      <c r="W339">
        <v>8.9264460000000004E-2</v>
      </c>
      <c r="X339">
        <v>0.98854350000000002</v>
      </c>
      <c r="Y339">
        <v>4.8691759999999898E-3</v>
      </c>
      <c r="Z339" s="1">
        <v>1.297979E-5</v>
      </c>
      <c r="AA339">
        <v>0.99998810000000005</v>
      </c>
      <c r="AB339">
        <v>22</v>
      </c>
      <c r="AC339">
        <v>50.3005</v>
      </c>
      <c r="AD339">
        <v>-1.1604620000000001</v>
      </c>
      <c r="AE339">
        <v>-0.70380000000000098</v>
      </c>
      <c r="AF339">
        <v>0.24543129857746601</v>
      </c>
      <c r="AG339">
        <v>-1.1604620000000001</v>
      </c>
      <c r="AH339">
        <v>50.278068801634497</v>
      </c>
      <c r="AI339">
        <v>91.322186423707706</v>
      </c>
      <c r="AJ339">
        <v>89.720314120836605</v>
      </c>
      <c r="AK339">
        <v>50.292058130460902</v>
      </c>
      <c r="AL339">
        <v>84.878706779979098</v>
      </c>
      <c r="AM339">
        <v>97.019048603680204</v>
      </c>
      <c r="AN339">
        <v>1.0000000422217901</v>
      </c>
    </row>
    <row r="340" spans="1:40" x14ac:dyDescent="0.25">
      <c r="A340" t="str">
        <f>"20190304154733667"</f>
        <v>20190304154733667</v>
      </c>
      <c r="B340" t="str">
        <f>"1551685653657133"</f>
        <v>1551685653657133</v>
      </c>
      <c r="C340" t="s">
        <v>40</v>
      </c>
      <c r="D340">
        <v>3.9831729999999999</v>
      </c>
      <c r="E340">
        <v>0.55024930000000005</v>
      </c>
      <c r="F340" t="s">
        <v>44</v>
      </c>
      <c r="G340">
        <v>-397.13159999999999</v>
      </c>
      <c r="H340" s="1">
        <v>-1.8822810000000001E-6</v>
      </c>
      <c r="I340">
        <v>366.15820000000002</v>
      </c>
      <c r="J340">
        <v>-447.98829999999998</v>
      </c>
      <c r="K340">
        <v>1.1104620000000001</v>
      </c>
      <c r="L340">
        <v>366.91019999999997</v>
      </c>
      <c r="M340">
        <v>0.99988350000000004</v>
      </c>
      <c r="N340">
        <v>-1.2183909999999999E-2</v>
      </c>
      <c r="O340">
        <v>-9.1914179999999998E-3</v>
      </c>
      <c r="P340">
        <v>0.99064560000000002</v>
      </c>
      <c r="Q340">
        <v>7.7732179999999998E-2</v>
      </c>
      <c r="R340">
        <v>0.1121552</v>
      </c>
      <c r="S340">
        <v>3.0386660000000001</v>
      </c>
      <c r="T340">
        <v>-6.6194059999999999E-2</v>
      </c>
      <c r="U340">
        <v>-4.4891359999999998E-2</v>
      </c>
      <c r="V340">
        <v>-0.1212327</v>
      </c>
      <c r="W340">
        <v>8.9815359999999997E-2</v>
      </c>
      <c r="X340">
        <v>0.9885524</v>
      </c>
      <c r="Y340">
        <v>5.5784040000000003E-3</v>
      </c>
      <c r="Z340" s="1">
        <v>-6.5397329999999997E-6</v>
      </c>
      <c r="AA340">
        <v>0.9999844</v>
      </c>
      <c r="AB340">
        <v>22</v>
      </c>
      <c r="AC340">
        <v>50.856699999999897</v>
      </c>
      <c r="AD340">
        <v>-1.110463882281</v>
      </c>
      <c r="AE340">
        <v>-0.75199999999995204</v>
      </c>
      <c r="AF340">
        <v>0.284352786481402</v>
      </c>
      <c r="AG340">
        <v>-1.110463882281</v>
      </c>
      <c r="AH340">
        <v>50.837231283601</v>
      </c>
      <c r="AI340">
        <v>91.2513227205161</v>
      </c>
      <c r="AJ340">
        <v>89.679525335202698</v>
      </c>
      <c r="AK340">
        <v>50.850153108160498</v>
      </c>
      <c r="AL340">
        <v>84.847015056481993</v>
      </c>
      <c r="AM340">
        <v>96.991647924602702</v>
      </c>
      <c r="AN340">
        <v>1.00000000699348</v>
      </c>
    </row>
    <row r="341" spans="1:40" x14ac:dyDescent="0.25">
      <c r="A341" t="str">
        <f>"20190304154733681"</f>
        <v>20190304154733681</v>
      </c>
      <c r="B341" t="str">
        <f>"1551685653677629"</f>
        <v>1551685653677629</v>
      </c>
      <c r="C341" t="s">
        <v>40</v>
      </c>
      <c r="D341">
        <v>3.970612</v>
      </c>
      <c r="E341">
        <v>0.55258099999999999</v>
      </c>
      <c r="F341" t="s">
        <v>44</v>
      </c>
      <c r="G341">
        <v>-369.84820000000002</v>
      </c>
      <c r="H341" s="1">
        <v>-1.2268170000000001E-6</v>
      </c>
      <c r="I341">
        <v>365.1472</v>
      </c>
      <c r="J341">
        <v>-447.8621</v>
      </c>
      <c r="K341">
        <v>1.1104670000000001</v>
      </c>
      <c r="L341">
        <v>366.90899999999999</v>
      </c>
      <c r="M341">
        <v>0.99988270000000001</v>
      </c>
      <c r="N341">
        <v>-1.2189490000000001E-2</v>
      </c>
      <c r="O341">
        <v>-9.2812260000000001E-3</v>
      </c>
      <c r="P341">
        <v>0.99063199999999996</v>
      </c>
      <c r="Q341">
        <v>7.8455659999999997E-2</v>
      </c>
      <c r="R341">
        <v>0.1117732</v>
      </c>
      <c r="S341">
        <v>3.03952</v>
      </c>
      <c r="T341">
        <v>-4.3195129999999998E-2</v>
      </c>
      <c r="U341">
        <v>-6.8572999999999995E-2</v>
      </c>
      <c r="V341">
        <v>-0.120939</v>
      </c>
      <c r="W341">
        <v>9.0544330000000006E-2</v>
      </c>
      <c r="X341">
        <v>0.98852189999999995</v>
      </c>
      <c r="Y341">
        <v>1.3271740000000001E-2</v>
      </c>
      <c r="Z341">
        <v>-1.5645319999999999E-4</v>
      </c>
      <c r="AA341">
        <v>0.99991189999999996</v>
      </c>
      <c r="AB341">
        <v>22</v>
      </c>
      <c r="AC341">
        <v>78.013899999999893</v>
      </c>
      <c r="AD341">
        <v>-1.1104682268170001</v>
      </c>
      <c r="AE341">
        <v>-1.76179999999999</v>
      </c>
      <c r="AF341">
        <v>1.0373956372330999</v>
      </c>
      <c r="AG341">
        <v>-1.1104682268170001</v>
      </c>
      <c r="AH341">
        <v>78.011094161946502</v>
      </c>
      <c r="AI341">
        <v>90.815463783461496</v>
      </c>
      <c r="AJ341">
        <v>89.238122615129797</v>
      </c>
      <c r="AK341">
        <v>78.025894046367696</v>
      </c>
      <c r="AL341">
        <v>84.805077406589902</v>
      </c>
      <c r="AM341">
        <v>96.975089990835897</v>
      </c>
      <c r="AN341">
        <v>1.0000000320978699</v>
      </c>
    </row>
    <row r="342" spans="1:40" x14ac:dyDescent="0.25">
      <c r="A342" t="str">
        <f>"20190304154733698"</f>
        <v>20190304154733698</v>
      </c>
      <c r="B342" t="str">
        <f>"1551685653687389"</f>
        <v>1551685653687389</v>
      </c>
      <c r="C342" t="s">
        <v>40</v>
      </c>
      <c r="D342">
        <v>4.1665660000000004</v>
      </c>
      <c r="E342">
        <v>0.55245900000000003</v>
      </c>
      <c r="F342" t="s">
        <v>45</v>
      </c>
      <c r="G342">
        <v>-298.8999</v>
      </c>
      <c r="H342">
        <v>-0.05</v>
      </c>
      <c r="I342">
        <v>362.61130000000003</v>
      </c>
      <c r="J342">
        <v>-447.69319999999999</v>
      </c>
      <c r="K342">
        <v>1.1104780000000001</v>
      </c>
      <c r="L342">
        <v>366.90730000000002</v>
      </c>
      <c r="M342">
        <v>0.99988149999999998</v>
      </c>
      <c r="N342">
        <v>-1.219405E-2</v>
      </c>
      <c r="O342">
        <v>-9.4032200000000003E-3</v>
      </c>
      <c r="P342">
        <v>0.99060619999999999</v>
      </c>
      <c r="Q342">
        <v>7.9658399999999893E-2</v>
      </c>
      <c r="R342">
        <v>0.111148499999999</v>
      </c>
      <c r="S342">
        <v>3.0400999999999998</v>
      </c>
      <c r="T342">
        <v>-2.3683429999999998E-2</v>
      </c>
      <c r="U342">
        <v>-8.7707519999999997E-2</v>
      </c>
      <c r="V342">
        <v>-0.120434</v>
      </c>
      <c r="W342">
        <v>9.1751410000000005E-2</v>
      </c>
      <c r="X342">
        <v>0.98847220000000002</v>
      </c>
      <c r="Y342">
        <v>1.943551E-2</v>
      </c>
      <c r="Z342">
        <v>-2.356355E-4</v>
      </c>
      <c r="AA342">
        <v>0.99981109999999895</v>
      </c>
      <c r="AB342">
        <v>22</v>
      </c>
      <c r="AC342">
        <v>148.79329999999999</v>
      </c>
      <c r="AD342">
        <v>-1.1604779999999999</v>
      </c>
      <c r="AE342">
        <v>-4.2959999999999896</v>
      </c>
      <c r="AF342">
        <v>2.8963939260820601</v>
      </c>
      <c r="AG342">
        <v>-1.1604779999999999</v>
      </c>
      <c r="AH342">
        <v>148.818075079165</v>
      </c>
      <c r="AI342">
        <v>90.446696781471701</v>
      </c>
      <c r="AJ342">
        <v>88.885013136746593</v>
      </c>
      <c r="AK342">
        <v>148.850781916763</v>
      </c>
      <c r="AL342">
        <v>84.735627445896696</v>
      </c>
      <c r="AM342">
        <v>96.946595376929693</v>
      </c>
      <c r="AN342">
        <v>0.999999979882913</v>
      </c>
    </row>
    <row r="343" spans="1:40" x14ac:dyDescent="0.25">
      <c r="A343" t="str">
        <f>"20190304154733709"</f>
        <v>20190304154733709</v>
      </c>
      <c r="B343" t="str">
        <f>"1551685653707885"</f>
        <v>1551685653707885</v>
      </c>
      <c r="C343" t="s">
        <v>40</v>
      </c>
      <c r="D343">
        <v>3.9758450000000001</v>
      </c>
      <c r="E343">
        <v>0.55598840000000005</v>
      </c>
      <c r="F343" t="s">
        <v>45</v>
      </c>
      <c r="G343">
        <v>-280.88049999999998</v>
      </c>
      <c r="H343">
        <v>-0.05</v>
      </c>
      <c r="I343">
        <v>362.02760000000001</v>
      </c>
      <c r="J343">
        <v>-447.57060000000001</v>
      </c>
      <c r="K343">
        <v>1.1104799999999999</v>
      </c>
      <c r="L343">
        <v>366.90600000000001</v>
      </c>
      <c r="M343">
        <v>0.99988060000000001</v>
      </c>
      <c r="N343">
        <v>-1.2195640000000001E-2</v>
      </c>
      <c r="O343">
        <v>-9.4928900000000004E-3</v>
      </c>
      <c r="P343">
        <v>0.9906121</v>
      </c>
      <c r="Q343">
        <v>8.0110829999999994E-2</v>
      </c>
      <c r="R343">
        <v>0.11076999999999999</v>
      </c>
      <c r="S343">
        <v>3.0400999999999998</v>
      </c>
      <c r="T343">
        <v>-2.1149279999999999E-2</v>
      </c>
      <c r="U343">
        <v>-8.8928220000000002E-2</v>
      </c>
      <c r="V343">
        <v>-0.12014420000000001</v>
      </c>
      <c r="W343">
        <v>9.2205319999999993E-2</v>
      </c>
      <c r="X343">
        <v>0.98846520000000004</v>
      </c>
      <c r="Y343">
        <v>1.9747199999999999E-2</v>
      </c>
      <c r="Z343">
        <v>-2.3885780000000001E-4</v>
      </c>
      <c r="AA343">
        <v>0.99980500000000005</v>
      </c>
      <c r="AB343">
        <v>22</v>
      </c>
      <c r="AC343">
        <v>166.6901</v>
      </c>
      <c r="AD343">
        <v>-1.16048</v>
      </c>
      <c r="AE343">
        <v>-4.8783999999999903</v>
      </c>
      <c r="AF343">
        <v>3.2955321399100801</v>
      </c>
      <c r="AG343">
        <v>-1.16048</v>
      </c>
      <c r="AH343">
        <v>166.72082791439601</v>
      </c>
      <c r="AI343">
        <v>90.398729708231798</v>
      </c>
      <c r="AJ343">
        <v>88.867595016536697</v>
      </c>
      <c r="AK343">
        <v>166.757433736482</v>
      </c>
      <c r="AL343">
        <v>84.709509449753597</v>
      </c>
      <c r="AM343">
        <v>96.930091145431902</v>
      </c>
      <c r="AN343">
        <v>0.99999995072048997</v>
      </c>
    </row>
    <row r="344" spans="1:40" x14ac:dyDescent="0.25">
      <c r="A344" t="str">
        <f>"20190304154733722"</f>
        <v>20190304154733722</v>
      </c>
      <c r="B344" t="str">
        <f>"1551685653717645"</f>
        <v>1551685653717645</v>
      </c>
      <c r="C344" t="s">
        <v>40</v>
      </c>
      <c r="D344">
        <v>3.9681799999999998</v>
      </c>
      <c r="E344">
        <v>0.55744189999999905</v>
      </c>
      <c r="F344" t="s">
        <v>43</v>
      </c>
      <c r="G344">
        <v>-169.2955</v>
      </c>
      <c r="H344">
        <v>1.751241</v>
      </c>
      <c r="I344">
        <v>356.1463</v>
      </c>
      <c r="J344">
        <v>-447.44959999999998</v>
      </c>
      <c r="K344">
        <v>1.1104810000000001</v>
      </c>
      <c r="L344">
        <v>366.90469999999999</v>
      </c>
      <c r="M344">
        <v>0.99987990000000004</v>
      </c>
      <c r="N344">
        <v>-1.2194190000000001E-2</v>
      </c>
      <c r="O344">
        <v>-9.5812190000000002E-3</v>
      </c>
      <c r="P344">
        <v>0.9906374</v>
      </c>
      <c r="Q344">
        <v>8.0394450000000006E-2</v>
      </c>
      <c r="R344">
        <v>0.1103387</v>
      </c>
      <c r="S344">
        <v>3.0410460000000001</v>
      </c>
      <c r="T344">
        <v>7.0033069999999899E-3</v>
      </c>
      <c r="U344">
        <v>-0.1175842</v>
      </c>
      <c r="V344">
        <v>-0.1198003</v>
      </c>
      <c r="W344">
        <v>9.2488310000000004E-2</v>
      </c>
      <c r="X344">
        <v>0.98848060000000004</v>
      </c>
      <c r="Y344">
        <v>2.9061630000000001E-2</v>
      </c>
      <c r="Z344">
        <v>-2.8266940000000001E-4</v>
      </c>
      <c r="AA344">
        <v>0.99957759999999996</v>
      </c>
      <c r="AB344">
        <v>22</v>
      </c>
      <c r="AC344">
        <v>278.15410000000003</v>
      </c>
      <c r="AD344">
        <v>0.64076</v>
      </c>
      <c r="AE344">
        <v>-10.7583999999999</v>
      </c>
      <c r="AF344">
        <v>8.0926101276141598</v>
      </c>
      <c r="AG344">
        <v>0.64076</v>
      </c>
      <c r="AH344">
        <v>278.24294247736702</v>
      </c>
      <c r="AI344">
        <v>89.868110722482498</v>
      </c>
      <c r="AJ344">
        <v>88.334039582075803</v>
      </c>
      <c r="AK344">
        <v>278.36134061776397</v>
      </c>
      <c r="AL344">
        <v>84.693226251925495</v>
      </c>
      <c r="AM344">
        <v>96.910339961319494</v>
      </c>
      <c r="AN344">
        <v>1.0000000479715501</v>
      </c>
    </row>
    <row r="345" spans="1:40" x14ac:dyDescent="0.25">
      <c r="A345" t="str">
        <f>"20190304154733735"</f>
        <v>20190304154733735</v>
      </c>
      <c r="B345" t="str">
        <f>"1551685653727405"</f>
        <v>1551685653727405</v>
      </c>
      <c r="C345" t="s">
        <v>40</v>
      </c>
      <c r="D345">
        <v>3.9566750000000002</v>
      </c>
      <c r="E345">
        <v>0.55884800000000001</v>
      </c>
      <c r="F345" t="s">
        <v>43</v>
      </c>
      <c r="G345">
        <v>-169.2955</v>
      </c>
      <c r="H345">
        <v>2.8761369999999999</v>
      </c>
      <c r="I345">
        <v>355.00880000000001</v>
      </c>
      <c r="J345">
        <v>-447.32260000000002</v>
      </c>
      <c r="K345">
        <v>1.110482</v>
      </c>
      <c r="L345">
        <v>366.90339999999998</v>
      </c>
      <c r="M345">
        <v>0.99987899999999996</v>
      </c>
      <c r="N345">
        <v>-1.219132E-2</v>
      </c>
      <c r="O345">
        <v>-9.6732280000000007E-3</v>
      </c>
      <c r="P345">
        <v>0.99064490000000005</v>
      </c>
      <c r="Q345">
        <v>8.0621849999999995E-2</v>
      </c>
      <c r="R345">
        <v>0.1101034</v>
      </c>
      <c r="S345">
        <v>3.041229</v>
      </c>
      <c r="T345">
        <v>1.9305940000000001E-2</v>
      </c>
      <c r="U345">
        <v>-0.13006589999999901</v>
      </c>
      <c r="V345">
        <v>-0.11965629999999999</v>
      </c>
      <c r="W345">
        <v>9.27124E-2</v>
      </c>
      <c r="X345">
        <v>0.98847700000000005</v>
      </c>
      <c r="Y345">
        <v>3.306365E-2</v>
      </c>
      <c r="Z345">
        <v>-2.76004E-4</v>
      </c>
      <c r="AA345">
        <v>0.99945320000000004</v>
      </c>
      <c r="AB345">
        <v>22</v>
      </c>
      <c r="AC345">
        <v>278.02710000000002</v>
      </c>
      <c r="AD345">
        <v>1.765655</v>
      </c>
      <c r="AE345">
        <v>-11.894599999999899</v>
      </c>
      <c r="AF345">
        <v>9.2040537538861305</v>
      </c>
      <c r="AG345">
        <v>1.765655</v>
      </c>
      <c r="AH345">
        <v>278.11796155479902</v>
      </c>
      <c r="AI345">
        <v>89.636456886787798</v>
      </c>
      <c r="AJ345">
        <v>88.104541555646705</v>
      </c>
      <c r="AK345">
        <v>278.27582123224499</v>
      </c>
      <c r="AL345">
        <v>84.680331177662197</v>
      </c>
      <c r="AM345">
        <v>96.902138798239207</v>
      </c>
      <c r="AN345">
        <v>0.99999999938622497</v>
      </c>
    </row>
    <row r="346" spans="1:40" x14ac:dyDescent="0.25">
      <c r="A346" t="str">
        <f>"20190304154733746"</f>
        <v>20190304154733746</v>
      </c>
      <c r="B346" t="str">
        <f>"1551685653737165"</f>
        <v>1551685653737165</v>
      </c>
      <c r="C346" t="s">
        <v>40</v>
      </c>
      <c r="D346">
        <v>3.9504359999999998</v>
      </c>
      <c r="E346">
        <v>0.56012759999999995</v>
      </c>
      <c r="F346" t="s">
        <v>43</v>
      </c>
      <c r="G346">
        <v>-169.2955</v>
      </c>
      <c r="H346">
        <v>3.8737059999999999</v>
      </c>
      <c r="I346">
        <v>353.95710000000003</v>
      </c>
      <c r="J346">
        <v>-447.20710000000003</v>
      </c>
      <c r="K346">
        <v>1.1104830000000001</v>
      </c>
      <c r="L346">
        <v>366.90219999999999</v>
      </c>
      <c r="M346">
        <v>0.99987809999999999</v>
      </c>
      <c r="N346">
        <v>-1.2186529999999999E-2</v>
      </c>
      <c r="O346">
        <v>-9.7555550000000008E-3</v>
      </c>
      <c r="P346">
        <v>0.99063900000000005</v>
      </c>
      <c r="Q346">
        <v>8.0695929999999999E-2</v>
      </c>
      <c r="R346">
        <v>0.1101029</v>
      </c>
      <c r="S346">
        <v>3.041595</v>
      </c>
      <c r="T346">
        <v>3.0230400000000001E-2</v>
      </c>
      <c r="U346">
        <v>-0.14163210000000001</v>
      </c>
      <c r="V346">
        <v>-0.1197376</v>
      </c>
      <c r="W346">
        <v>9.2781249999999996E-2</v>
      </c>
      <c r="X346">
        <v>0.98846069999999997</v>
      </c>
      <c r="Y346">
        <v>3.676952E-2</v>
      </c>
      <c r="Z346">
        <v>-2.5727919999999997E-4</v>
      </c>
      <c r="AA346">
        <v>0.99932370000000004</v>
      </c>
      <c r="AB346">
        <v>22</v>
      </c>
      <c r="AC346">
        <v>277.91160000000002</v>
      </c>
      <c r="AD346">
        <v>2.763223</v>
      </c>
      <c r="AE346">
        <v>-12.945099999999901</v>
      </c>
      <c r="AF346">
        <v>10.232091164392401</v>
      </c>
      <c r="AG346">
        <v>2.763223</v>
      </c>
      <c r="AH346">
        <v>277.99724602156499</v>
      </c>
      <c r="AI346">
        <v>89.430898385228602</v>
      </c>
      <c r="AJ346">
        <v>87.892097399106305</v>
      </c>
      <c r="AK346">
        <v>278.19920899693199</v>
      </c>
      <c r="AL346">
        <v>84.676369312762205</v>
      </c>
      <c r="AM346">
        <v>96.906895939641203</v>
      </c>
      <c r="AN346">
        <v>1.0000000043249</v>
      </c>
    </row>
    <row r="347" spans="1:40" x14ac:dyDescent="0.25">
      <c r="A347" t="str">
        <f>"20190304154733766"</f>
        <v>20190304154733766</v>
      </c>
      <c r="B347" t="str">
        <f>"1551685653757661"</f>
        <v>1551685653757661</v>
      </c>
      <c r="C347" t="s">
        <v>40</v>
      </c>
      <c r="D347">
        <v>4.2751429999999999</v>
      </c>
      <c r="E347">
        <v>0.56055059999999901</v>
      </c>
      <c r="F347" t="s">
        <v>43</v>
      </c>
      <c r="G347">
        <v>-158.78319999999999</v>
      </c>
      <c r="H347">
        <v>4.8849739999999997</v>
      </c>
      <c r="I347">
        <v>352.54730000000001</v>
      </c>
      <c r="J347">
        <v>-447.01220000000001</v>
      </c>
      <c r="K347">
        <v>1.1104769999999999</v>
      </c>
      <c r="L347">
        <v>366.90010000000001</v>
      </c>
      <c r="M347">
        <v>0.99987700000000002</v>
      </c>
      <c r="N347">
        <v>-1.217612E-2</v>
      </c>
      <c r="O347">
        <v>-9.8927819999999993E-3</v>
      </c>
      <c r="P347">
        <v>0.99069960000000001</v>
      </c>
      <c r="Q347">
        <v>8.0336939999999996E-2</v>
      </c>
      <c r="R347">
        <v>0.10982020000000001</v>
      </c>
      <c r="S347">
        <v>3.0419309999999999</v>
      </c>
      <c r="T347">
        <v>3.980947E-2</v>
      </c>
      <c r="U347">
        <v>-0.1513977</v>
      </c>
      <c r="V347">
        <v>-0.1195918</v>
      </c>
      <c r="W347">
        <v>9.2412350000000004E-2</v>
      </c>
      <c r="X347">
        <v>0.98851290000000003</v>
      </c>
      <c r="Y347">
        <v>3.9827939999999999E-2</v>
      </c>
      <c r="Z347">
        <v>-2.3195E-4</v>
      </c>
      <c r="AA347">
        <v>0.9992065</v>
      </c>
      <c r="AB347">
        <v>22</v>
      </c>
      <c r="AC347">
        <v>288.22899999999998</v>
      </c>
      <c r="AD347">
        <v>3.7744970000000002</v>
      </c>
      <c r="AE347">
        <v>-14.3528</v>
      </c>
      <c r="AF347">
        <v>11.4985326640492</v>
      </c>
      <c r="AG347">
        <v>3.7744970000000002</v>
      </c>
      <c r="AH347">
        <v>288.30757310560398</v>
      </c>
      <c r="AI347">
        <v>89.250527389677998</v>
      </c>
      <c r="AJ347">
        <v>87.716090480362496</v>
      </c>
      <c r="AK347">
        <v>288.56146622699401</v>
      </c>
      <c r="AL347">
        <v>84.697596888773106</v>
      </c>
      <c r="AM347">
        <v>96.898205985717198</v>
      </c>
      <c r="AN347">
        <v>0.99999999726308597</v>
      </c>
    </row>
    <row r="348" spans="1:40" x14ac:dyDescent="0.25">
      <c r="A348" t="str">
        <f>"20190304154733781"</f>
        <v>20190304154733781</v>
      </c>
      <c r="B348" t="str">
        <f>"1551685653777181"</f>
        <v>1551685653777181</v>
      </c>
      <c r="C348" t="s">
        <v>40</v>
      </c>
      <c r="D348">
        <v>3.9625360000000001</v>
      </c>
      <c r="E348">
        <v>0.56092169999999997</v>
      </c>
      <c r="F348" t="s">
        <v>43</v>
      </c>
      <c r="G348">
        <v>-158.78319999999999</v>
      </c>
      <c r="H348">
        <v>5.0373330000000003</v>
      </c>
      <c r="I348">
        <v>352.14229999999998</v>
      </c>
      <c r="J348">
        <v>-446.87549999999999</v>
      </c>
      <c r="K348">
        <v>1.110476</v>
      </c>
      <c r="L348">
        <v>366.89870000000002</v>
      </c>
      <c r="M348">
        <v>0.99987610000000005</v>
      </c>
      <c r="N348">
        <v>-1.2166379999999999E-2</v>
      </c>
      <c r="O348">
        <v>-9.9875850000000002E-3</v>
      </c>
      <c r="P348">
        <v>0.99071350000000002</v>
      </c>
      <c r="Q348">
        <v>8.0140409999999995E-2</v>
      </c>
      <c r="R348">
        <v>0.1098379</v>
      </c>
      <c r="S348">
        <v>3.0421140000000002</v>
      </c>
      <c r="T348">
        <v>4.1446919999999998E-2</v>
      </c>
      <c r="U348">
        <v>-0.1557617</v>
      </c>
      <c r="V348">
        <v>-0.119704</v>
      </c>
      <c r="W348">
        <v>9.2205339999999997E-2</v>
      </c>
      <c r="X348">
        <v>0.98851869999999997</v>
      </c>
      <c r="Y348">
        <v>4.1159920000000003E-2</v>
      </c>
      <c r="Z348">
        <v>-2.277705E-4</v>
      </c>
      <c r="AA348">
        <v>0.9991525</v>
      </c>
      <c r="AB348">
        <v>22</v>
      </c>
      <c r="AC348">
        <v>288.09230000000002</v>
      </c>
      <c r="AD348">
        <v>3.926857</v>
      </c>
      <c r="AE348">
        <v>-14.756399999999999</v>
      </c>
      <c r="AF348">
        <v>11.875903881446799</v>
      </c>
      <c r="AG348">
        <v>3.926857</v>
      </c>
      <c r="AH348">
        <v>288.17192043239299</v>
      </c>
      <c r="AI348">
        <v>89.219953050417502</v>
      </c>
      <c r="AJ348">
        <v>87.640108894426604</v>
      </c>
      <c r="AK348">
        <v>288.44325789415399</v>
      </c>
      <c r="AL348">
        <v>84.709508806014099</v>
      </c>
      <c r="AM348">
        <v>96.904575256017594</v>
      </c>
      <c r="AN348">
        <v>1.0000000462951</v>
      </c>
    </row>
    <row r="349" spans="1:40" x14ac:dyDescent="0.25">
      <c r="A349" t="str">
        <f>"20190304154733799"</f>
        <v>20190304154733799</v>
      </c>
      <c r="B349" t="str">
        <f>"1551685653786941"</f>
        <v>1551685653786941</v>
      </c>
      <c r="C349" t="s">
        <v>40</v>
      </c>
      <c r="D349">
        <v>3.9100250000000001</v>
      </c>
      <c r="E349">
        <v>0.56183799999999995</v>
      </c>
      <c r="F349" t="s">
        <v>43</v>
      </c>
      <c r="G349">
        <v>-158.78319999999999</v>
      </c>
      <c r="H349">
        <v>5.1709259999999997</v>
      </c>
      <c r="I349">
        <v>351.87389999999999</v>
      </c>
      <c r="J349">
        <v>-446.68729999999999</v>
      </c>
      <c r="K349">
        <v>1.1104769999999999</v>
      </c>
      <c r="L349">
        <v>366.89659999999998</v>
      </c>
      <c r="M349">
        <v>0.99987499999999996</v>
      </c>
      <c r="N349">
        <v>-1.214984E-2</v>
      </c>
      <c r="O349">
        <v>-1.0117859999999999E-2</v>
      </c>
      <c r="P349">
        <v>0.99074799999999996</v>
      </c>
      <c r="Q349">
        <v>7.9738710000000004E-2</v>
      </c>
      <c r="R349">
        <v>0.109818</v>
      </c>
      <c r="S349">
        <v>3.0422359999999999</v>
      </c>
      <c r="T349">
        <v>4.2878989999999999E-2</v>
      </c>
      <c r="U349">
        <v>-0.15866089999999999</v>
      </c>
      <c r="V349">
        <v>-0.1198133</v>
      </c>
      <c r="W349">
        <v>9.1787030000000006E-2</v>
      </c>
      <c r="X349">
        <v>0.98854430000000004</v>
      </c>
      <c r="Y349">
        <v>4.197729E-2</v>
      </c>
      <c r="Z349">
        <v>-2.249245E-4</v>
      </c>
      <c r="AA349">
        <v>0.99911859999999997</v>
      </c>
      <c r="AB349">
        <v>22</v>
      </c>
      <c r="AC349">
        <v>287.90410000000003</v>
      </c>
      <c r="AD349">
        <v>4.0604490000000002</v>
      </c>
      <c r="AE349">
        <v>-15.022699999999899</v>
      </c>
      <c r="AF349">
        <v>12.106341013459801</v>
      </c>
      <c r="AG349">
        <v>4.0604490000000002</v>
      </c>
      <c r="AH349">
        <v>287.98424286101698</v>
      </c>
      <c r="AI349">
        <v>89.192921394960507</v>
      </c>
      <c r="AJ349">
        <v>87.5928055395743</v>
      </c>
      <c r="AK349">
        <v>288.26719354628102</v>
      </c>
      <c r="AL349">
        <v>84.7335778136286</v>
      </c>
      <c r="AM349">
        <v>96.910641546496606</v>
      </c>
      <c r="AN349">
        <v>0.99999995939779895</v>
      </c>
    </row>
    <row r="350" spans="1:40" x14ac:dyDescent="0.25">
      <c r="A350" t="str">
        <f>"20190304154733814"</f>
        <v>20190304154733814</v>
      </c>
      <c r="B350" t="str">
        <f>"1551685653807437"</f>
        <v>1551685653807437</v>
      </c>
      <c r="C350" t="s">
        <v>40</v>
      </c>
      <c r="D350">
        <v>3.9617399999999998</v>
      </c>
      <c r="E350">
        <v>0.56350669999999903</v>
      </c>
      <c r="F350" t="s">
        <v>43</v>
      </c>
      <c r="G350">
        <v>-158.78319999999999</v>
      </c>
      <c r="H350">
        <v>5.732405</v>
      </c>
      <c r="I350">
        <v>351.21559999999999</v>
      </c>
      <c r="J350">
        <v>-446.5446</v>
      </c>
      <c r="K350">
        <v>1.1104799999999999</v>
      </c>
      <c r="L350">
        <v>366.89510000000001</v>
      </c>
      <c r="M350">
        <v>0.99987420000000005</v>
      </c>
      <c r="N350">
        <v>-1.213501E-2</v>
      </c>
      <c r="O350">
        <v>-1.021587E-2</v>
      </c>
      <c r="P350">
        <v>0.99077870000000001</v>
      </c>
      <c r="Q350">
        <v>7.9266939999999994E-2</v>
      </c>
      <c r="R350">
        <v>0.1098838</v>
      </c>
      <c r="S350">
        <v>3.0424500000000001</v>
      </c>
      <c r="T350">
        <v>4.8843499999999998E-2</v>
      </c>
      <c r="U350">
        <v>-0.16571040000000001</v>
      </c>
      <c r="V350">
        <v>-0.1199775</v>
      </c>
      <c r="W350">
        <v>9.1300790000000007E-2</v>
      </c>
      <c r="X350">
        <v>0.98856940000000004</v>
      </c>
      <c r="Y350">
        <v>4.4183840000000002E-2</v>
      </c>
      <c r="Z350">
        <v>-2.016586E-4</v>
      </c>
      <c r="AA350">
        <v>0.99902340000000001</v>
      </c>
      <c r="AB350">
        <v>22</v>
      </c>
      <c r="AC350">
        <v>287.76139999999998</v>
      </c>
      <c r="AD350">
        <v>4.6219250000000001</v>
      </c>
      <c r="AE350">
        <v>-15.679500000000001</v>
      </c>
      <c r="AF350">
        <v>12.735456471808201</v>
      </c>
      <c r="AG350">
        <v>4.6219250000000001</v>
      </c>
      <c r="AH350">
        <v>287.832538632298</v>
      </c>
      <c r="AI350">
        <v>89.080940367534097</v>
      </c>
      <c r="AJ350">
        <v>87.466539764410797</v>
      </c>
      <c r="AK350">
        <v>288.15121783147902</v>
      </c>
      <c r="AL350">
        <v>84.761554722303899</v>
      </c>
      <c r="AM350">
        <v>96.919846574492695</v>
      </c>
      <c r="AN350">
        <v>0.99999994668861503</v>
      </c>
    </row>
    <row r="351" spans="1:40" x14ac:dyDescent="0.25">
      <c r="A351" t="str">
        <f>"20190304154733827"</f>
        <v>20190304154733827</v>
      </c>
      <c r="B351" t="str">
        <f>"1551685653817197"</f>
        <v>1551685653817197</v>
      </c>
      <c r="C351" t="s">
        <v>40</v>
      </c>
      <c r="D351">
        <v>3.9447169999999998</v>
      </c>
      <c r="E351">
        <v>0.56423970000000001</v>
      </c>
      <c r="F351" t="s">
        <v>42</v>
      </c>
      <c r="G351">
        <v>0</v>
      </c>
      <c r="H351">
        <v>0</v>
      </c>
      <c r="I351">
        <v>0</v>
      </c>
      <c r="J351">
        <v>-446.39949999999999</v>
      </c>
      <c r="K351">
        <v>1.1104780000000001</v>
      </c>
      <c r="L351">
        <v>366.89350000000002</v>
      </c>
      <c r="M351">
        <v>0.99987349999999997</v>
      </c>
      <c r="N351">
        <v>-1.211659E-2</v>
      </c>
      <c r="O351">
        <v>-1.031457E-2</v>
      </c>
      <c r="P351">
        <v>0.99078169999999999</v>
      </c>
      <c r="Q351">
        <v>7.9387219999999994E-2</v>
      </c>
      <c r="R351">
        <v>0.1097718</v>
      </c>
      <c r="S351">
        <v>3.0429080000000002</v>
      </c>
      <c r="T351">
        <v>6.01294E-2</v>
      </c>
      <c r="U351">
        <v>-0.1784973</v>
      </c>
      <c r="V351">
        <v>-0.11996320000000001</v>
      </c>
      <c r="W351">
        <v>9.1402399999999995E-2</v>
      </c>
      <c r="X351">
        <v>0.98856180000000005</v>
      </c>
      <c r="Y351">
        <v>4.8260310000000001E-2</v>
      </c>
      <c r="Z351">
        <v>-1.4475410000000001E-4</v>
      </c>
      <c r="AA351">
        <v>0.99883480000000002</v>
      </c>
      <c r="AB351">
        <v>22</v>
      </c>
      <c r="AC351">
        <v>3.0429080000000002</v>
      </c>
      <c r="AD351">
        <v>6.01294E-2</v>
      </c>
      <c r="AE351">
        <v>-0.1784973</v>
      </c>
      <c r="AF351">
        <v>0.14704199511400201</v>
      </c>
      <c r="AG351">
        <v>6.01294E-2</v>
      </c>
      <c r="AH351">
        <v>3.0434030563515502</v>
      </c>
      <c r="AI351">
        <v>88.869456290412202</v>
      </c>
      <c r="AJ351">
        <v>87.233905851414505</v>
      </c>
      <c r="AK351">
        <v>3.0475463993976302</v>
      </c>
      <c r="AL351">
        <v>84.755708734510307</v>
      </c>
      <c r="AM351">
        <v>96.9190824777112</v>
      </c>
      <c r="AN351">
        <v>1.0000000002496101</v>
      </c>
    </row>
    <row r="352" spans="1:40" x14ac:dyDescent="0.25">
      <c r="A352" t="str">
        <f>"20190304154733842"</f>
        <v>20190304154733842</v>
      </c>
      <c r="B352" t="str">
        <f>"1551685653836717"</f>
        <v>1551685653836717</v>
      </c>
      <c r="C352" t="s">
        <v>40</v>
      </c>
      <c r="D352">
        <v>3.9293290000000001</v>
      </c>
      <c r="E352">
        <v>0.56567869999999998</v>
      </c>
      <c r="F352" t="s">
        <v>42</v>
      </c>
      <c r="G352">
        <v>0</v>
      </c>
      <c r="H352">
        <v>0</v>
      </c>
      <c r="I352">
        <v>0</v>
      </c>
      <c r="J352">
        <v>-446.25650000000002</v>
      </c>
      <c r="K352">
        <v>1.1104769999999999</v>
      </c>
      <c r="L352">
        <v>366.89190000000002</v>
      </c>
      <c r="M352">
        <v>0.99987280000000001</v>
      </c>
      <c r="N352">
        <v>-1.209616E-2</v>
      </c>
      <c r="O352">
        <v>-1.041065E-2</v>
      </c>
      <c r="P352">
        <v>0.99070630000000004</v>
      </c>
      <c r="Q352">
        <v>7.9739569999999996E-2</v>
      </c>
      <c r="R352">
        <v>0.1101955</v>
      </c>
      <c r="S352">
        <v>3.043091</v>
      </c>
      <c r="T352">
        <v>6.5816520000000003E-2</v>
      </c>
      <c r="U352">
        <v>-0.1845398</v>
      </c>
      <c r="V352">
        <v>-0.1204804</v>
      </c>
      <c r="W352">
        <v>9.1733839999999997E-2</v>
      </c>
      <c r="X352">
        <v>0.98846820000000002</v>
      </c>
      <c r="Y352">
        <v>5.0136199999999999E-2</v>
      </c>
      <c r="Z352">
        <v>-1.126321E-4</v>
      </c>
      <c r="AA352">
        <v>0.99874240000000003</v>
      </c>
      <c r="AB352">
        <v>22</v>
      </c>
      <c r="AC352">
        <v>3.043091</v>
      </c>
      <c r="AD352">
        <v>6.5816520000000003E-2</v>
      </c>
      <c r="AE352">
        <v>-0.1845398</v>
      </c>
      <c r="AF352">
        <v>0.152775726317322</v>
      </c>
      <c r="AG352">
        <v>6.5816520000000003E-2</v>
      </c>
      <c r="AH352">
        <v>3.0434289500254401</v>
      </c>
      <c r="AI352">
        <v>88.762684761382204</v>
      </c>
      <c r="AJ352">
        <v>87.126247066020696</v>
      </c>
      <c r="AK352">
        <v>3.0479717864031501</v>
      </c>
      <c r="AL352">
        <v>84.736638519781906</v>
      </c>
      <c r="AM352">
        <v>96.949273395755895</v>
      </c>
      <c r="AN352">
        <v>1.0000000032982701</v>
      </c>
    </row>
    <row r="353" spans="1:40" x14ac:dyDescent="0.25">
      <c r="A353" t="str">
        <f>"20190304154733855"</f>
        <v>20190304154733855</v>
      </c>
      <c r="B353" t="str">
        <f>"1551685653847453"</f>
        <v>1551685653847453</v>
      </c>
      <c r="C353" t="s">
        <v>40</v>
      </c>
      <c r="D353">
        <v>3.9623309999999998</v>
      </c>
      <c r="E353">
        <v>0.56624370000000002</v>
      </c>
      <c r="F353" t="s">
        <v>42</v>
      </c>
      <c r="G353">
        <v>0</v>
      </c>
      <c r="H353">
        <v>0</v>
      </c>
      <c r="I353">
        <v>0</v>
      </c>
      <c r="J353">
        <v>-446.13420000000002</v>
      </c>
      <c r="K353">
        <v>1.1104750000000001</v>
      </c>
      <c r="L353">
        <v>366.89049999999997</v>
      </c>
      <c r="M353">
        <v>0.99987199999999998</v>
      </c>
      <c r="N353">
        <v>-1.2077299999999999E-2</v>
      </c>
      <c r="O353">
        <v>-1.0492430000000001E-2</v>
      </c>
      <c r="P353">
        <v>0.99073529999999999</v>
      </c>
      <c r="Q353">
        <v>7.9696310000000006E-2</v>
      </c>
      <c r="R353">
        <v>0.10996549999999999</v>
      </c>
      <c r="S353">
        <v>3.0436100000000001</v>
      </c>
      <c r="T353">
        <v>7.7052590000000004E-2</v>
      </c>
      <c r="U353">
        <v>-0.19448850000000001</v>
      </c>
      <c r="V353">
        <v>-0.1203321</v>
      </c>
      <c r="W353">
        <v>9.1672580000000004E-2</v>
      </c>
      <c r="X353">
        <v>0.98849200000000004</v>
      </c>
      <c r="Y353">
        <v>5.3293630000000002E-2</v>
      </c>
      <c r="Z353" s="1">
        <v>-4.0255020000000001E-5</v>
      </c>
      <c r="AA353">
        <v>0.99857890000000005</v>
      </c>
      <c r="AB353">
        <v>22</v>
      </c>
      <c r="AC353">
        <v>3.0436100000000001</v>
      </c>
      <c r="AD353">
        <v>7.7052590000000004E-2</v>
      </c>
      <c r="AE353">
        <v>-0.19448850000000001</v>
      </c>
      <c r="AF353">
        <v>0.16243691382692599</v>
      </c>
      <c r="AG353">
        <v>7.7052590000000004E-2</v>
      </c>
      <c r="AH353">
        <v>3.0435405392149102</v>
      </c>
      <c r="AI353">
        <v>88.551826389551806</v>
      </c>
      <c r="AJ353">
        <v>86.944963372811202</v>
      </c>
      <c r="AK353">
        <v>3.0488459892956099</v>
      </c>
      <c r="AL353">
        <v>84.740163584787197</v>
      </c>
      <c r="AM353">
        <v>96.940637502206897</v>
      </c>
      <c r="AN353">
        <v>1.0000000551391299</v>
      </c>
    </row>
    <row r="354" spans="1:40" x14ac:dyDescent="0.25">
      <c r="A354" t="str">
        <f>"20190304154733865"</f>
        <v>20190304154733865</v>
      </c>
      <c r="B354" t="str">
        <f>"1551685653857216"</f>
        <v>1551685653857216</v>
      </c>
      <c r="C354" t="s">
        <v>40</v>
      </c>
      <c r="D354">
        <v>3.953605</v>
      </c>
      <c r="E354">
        <v>0.56678459999999997</v>
      </c>
      <c r="F354" t="s">
        <v>42</v>
      </c>
      <c r="G354">
        <v>0</v>
      </c>
      <c r="H354">
        <v>0</v>
      </c>
      <c r="I354">
        <v>0</v>
      </c>
      <c r="J354">
        <v>-446.01600000000002</v>
      </c>
      <c r="K354">
        <v>1.1104689999999999</v>
      </c>
      <c r="L354">
        <v>366.88920000000002</v>
      </c>
      <c r="M354">
        <v>0.99987159999999997</v>
      </c>
      <c r="N354">
        <v>-1.205707E-2</v>
      </c>
      <c r="O354">
        <v>-1.0571819999999999E-2</v>
      </c>
      <c r="P354">
        <v>0.9907551</v>
      </c>
      <c r="Q354">
        <v>7.9694639999999997E-2</v>
      </c>
      <c r="R354">
        <v>0.109788</v>
      </c>
      <c r="S354">
        <v>3.0436709999999998</v>
      </c>
      <c r="T354">
        <v>8.0835699999999996E-2</v>
      </c>
      <c r="U354">
        <v>-0.1991272</v>
      </c>
      <c r="V354">
        <v>-0.1202329</v>
      </c>
      <c r="W354">
        <v>9.1650739999999994E-2</v>
      </c>
      <c r="X354">
        <v>0.988506</v>
      </c>
      <c r="Y354">
        <v>5.4727499999999998E-2</v>
      </c>
      <c r="Z354" s="1">
        <v>-1.2192289999999999E-5</v>
      </c>
      <c r="AA354">
        <v>0.99850130000000004</v>
      </c>
      <c r="AB354">
        <v>22</v>
      </c>
      <c r="AC354">
        <v>3.0436709999999998</v>
      </c>
      <c r="AD354">
        <v>8.0835699999999996E-2</v>
      </c>
      <c r="AE354">
        <v>-0.1991272</v>
      </c>
      <c r="AF354">
        <v>0.16681942883874701</v>
      </c>
      <c r="AG354">
        <v>8.0835699999999996E-2</v>
      </c>
      <c r="AH354">
        <v>3.0434685822133898</v>
      </c>
      <c r="AI354">
        <v>88.480838977480104</v>
      </c>
      <c r="AJ354">
        <v>86.862627573555102</v>
      </c>
      <c r="AK354">
        <v>3.04910874570793</v>
      </c>
      <c r="AL354">
        <v>84.741419714095301</v>
      </c>
      <c r="AM354">
        <v>96.934874223894994</v>
      </c>
      <c r="AN354">
        <v>0.99999996021047799</v>
      </c>
    </row>
    <row r="355" spans="1:40" x14ac:dyDescent="0.25">
      <c r="A355" t="str">
        <f>"20190304154733878"</f>
        <v>20190304154733878</v>
      </c>
      <c r="B355" t="str">
        <f>"1551685653866974"</f>
        <v>1551685653866974</v>
      </c>
      <c r="C355" t="s">
        <v>40</v>
      </c>
      <c r="D355">
        <v>3.956356</v>
      </c>
      <c r="E355">
        <v>0.56728369999999995</v>
      </c>
      <c r="F355" t="s">
        <v>42</v>
      </c>
      <c r="G355">
        <v>0</v>
      </c>
      <c r="H355">
        <v>0</v>
      </c>
      <c r="I355">
        <v>0</v>
      </c>
      <c r="J355">
        <v>-445.90309999999999</v>
      </c>
      <c r="K355">
        <v>1.110466</v>
      </c>
      <c r="L355">
        <v>366.8879</v>
      </c>
      <c r="M355">
        <v>0.99987099999999995</v>
      </c>
      <c r="N355">
        <v>-1.2036730000000001E-2</v>
      </c>
      <c r="O355">
        <v>-1.064728E-2</v>
      </c>
      <c r="P355">
        <v>0.99073180000000005</v>
      </c>
      <c r="Q355">
        <v>7.9628939999999995E-2</v>
      </c>
      <c r="R355">
        <v>0.11004609999999999</v>
      </c>
      <c r="S355">
        <v>3.043793</v>
      </c>
      <c r="T355">
        <v>8.4841730000000004E-2</v>
      </c>
      <c r="U355">
        <v>-0.204071</v>
      </c>
      <c r="V355">
        <v>-0.1205657</v>
      </c>
      <c r="W355">
        <v>9.1564800000000002E-2</v>
      </c>
      <c r="X355">
        <v>0.9884735</v>
      </c>
      <c r="Y355">
        <v>5.6262930000000003E-2</v>
      </c>
      <c r="Z355" s="1">
        <v>1.970178E-5</v>
      </c>
      <c r="AA355">
        <v>0.99841599999999997</v>
      </c>
      <c r="AB355">
        <v>22</v>
      </c>
      <c r="AC355">
        <v>3.043793</v>
      </c>
      <c r="AD355">
        <v>8.4841730000000004E-2</v>
      </c>
      <c r="AE355">
        <v>-0.204071</v>
      </c>
      <c r="AF355">
        <v>0.17151630882232</v>
      </c>
      <c r="AG355">
        <v>8.4841730000000004E-2</v>
      </c>
      <c r="AH355">
        <v>3.0434394034847601</v>
      </c>
      <c r="AI355">
        <v>88.405711864309296</v>
      </c>
      <c r="AJ355">
        <v>86.774446479742494</v>
      </c>
      <c r="AK355">
        <v>3.04944902663172</v>
      </c>
      <c r="AL355">
        <v>84.746364875437607</v>
      </c>
      <c r="AM355">
        <v>96.954108391940096</v>
      </c>
      <c r="AN355">
        <v>1.0000000304088801</v>
      </c>
    </row>
    <row r="356" spans="1:40" x14ac:dyDescent="0.25">
      <c r="A356" t="str">
        <f>"20190304154733890"</f>
        <v>20190304154733890</v>
      </c>
      <c r="B356" t="str">
        <f>"1551685653887469"</f>
        <v>1551685653887469</v>
      </c>
      <c r="C356" t="s">
        <v>40</v>
      </c>
      <c r="D356">
        <v>3.9480040000000001</v>
      </c>
      <c r="E356">
        <v>0.56818179999999996</v>
      </c>
      <c r="F356" t="s">
        <v>42</v>
      </c>
      <c r="G356">
        <v>0</v>
      </c>
      <c r="H356">
        <v>0</v>
      </c>
      <c r="I356">
        <v>0</v>
      </c>
      <c r="J356">
        <v>-445.77690000000001</v>
      </c>
      <c r="K356">
        <v>1.110463</v>
      </c>
      <c r="L356">
        <v>366.88650000000001</v>
      </c>
      <c r="M356">
        <v>0.99987040000000005</v>
      </c>
      <c r="N356">
        <v>-1.201316E-2</v>
      </c>
      <c r="O356">
        <v>-1.0731539999999999E-2</v>
      </c>
      <c r="P356">
        <v>0.99076399999999998</v>
      </c>
      <c r="Q356">
        <v>7.9597390000000004E-2</v>
      </c>
      <c r="R356">
        <v>0.1097766</v>
      </c>
      <c r="S356">
        <v>3.0439759999999998</v>
      </c>
      <c r="T356">
        <v>8.8130349999999996E-2</v>
      </c>
      <c r="U356">
        <v>-0.20730589999999999</v>
      </c>
      <c r="V356">
        <v>-0.1203791</v>
      </c>
      <c r="W356">
        <v>9.1510659999999994E-2</v>
      </c>
      <c r="X356">
        <v>0.98850119999999997</v>
      </c>
      <c r="Y356">
        <v>5.7229879999999997E-2</v>
      </c>
      <c r="Z356" s="1">
        <v>4.4134449999999999E-5</v>
      </c>
      <c r="AA356">
        <v>0.9983611</v>
      </c>
      <c r="AB356">
        <v>22</v>
      </c>
      <c r="AC356">
        <v>3.0439759999999998</v>
      </c>
      <c r="AD356">
        <v>8.8130349999999996E-2</v>
      </c>
      <c r="AE356">
        <v>-0.20730589999999999</v>
      </c>
      <c r="AF356">
        <v>0.174479477402567</v>
      </c>
      <c r="AG356">
        <v>8.8130349999999996E-2</v>
      </c>
      <c r="AH356">
        <v>3.0434861654834302</v>
      </c>
      <c r="AI356">
        <v>88.344064771660399</v>
      </c>
      <c r="AJ356">
        <v>86.718891852280095</v>
      </c>
      <c r="AK356">
        <v>3.0497570536216201</v>
      </c>
      <c r="AL356">
        <v>84.749479658056799</v>
      </c>
      <c r="AM356">
        <v>96.943257967420394</v>
      </c>
      <c r="AN356">
        <v>0.999999975505942</v>
      </c>
    </row>
    <row r="357" spans="1:40" x14ac:dyDescent="0.25">
      <c r="A357" t="str">
        <f>"20190304154733903"</f>
        <v>20190304154733903</v>
      </c>
      <c r="B357" t="str">
        <f>"1551685653897229"</f>
        <v>1551685653897229</v>
      </c>
      <c r="C357" t="s">
        <v>40</v>
      </c>
      <c r="D357">
        <v>3.9386260000000002</v>
      </c>
      <c r="E357">
        <v>0.56864119999999996</v>
      </c>
      <c r="F357" t="s">
        <v>42</v>
      </c>
      <c r="G357">
        <v>0</v>
      </c>
      <c r="H357">
        <v>0</v>
      </c>
      <c r="I357">
        <v>0</v>
      </c>
      <c r="J357">
        <v>-445.65839999999997</v>
      </c>
      <c r="K357">
        <v>1.1104540000000001</v>
      </c>
      <c r="L357">
        <v>366.88510000000002</v>
      </c>
      <c r="M357">
        <v>0.99986960000000003</v>
      </c>
      <c r="N357">
        <v>-1.198889E-2</v>
      </c>
      <c r="O357">
        <v>-1.081091E-2</v>
      </c>
      <c r="P357">
        <v>0.99077859999999995</v>
      </c>
      <c r="Q357">
        <v>7.947593E-2</v>
      </c>
      <c r="R357">
        <v>0.1097321</v>
      </c>
      <c r="S357">
        <v>3.0441590000000001</v>
      </c>
      <c r="T357">
        <v>9.4893569999999997E-2</v>
      </c>
      <c r="U357">
        <v>-0.21496580000000001</v>
      </c>
      <c r="V357">
        <v>-0.1204138</v>
      </c>
      <c r="W357">
        <v>9.1365370000000001E-2</v>
      </c>
      <c r="X357">
        <v>0.98851040000000001</v>
      </c>
      <c r="Y357">
        <v>5.9643799999999997E-2</v>
      </c>
      <c r="Z357">
        <v>1.043071E-4</v>
      </c>
      <c r="AA357">
        <v>0.99821970000000004</v>
      </c>
      <c r="AB357">
        <v>22</v>
      </c>
      <c r="AC357">
        <v>3.0441590000000001</v>
      </c>
      <c r="AD357">
        <v>9.4893569999999997E-2</v>
      </c>
      <c r="AE357">
        <v>-0.21496580000000001</v>
      </c>
      <c r="AF357">
        <v>0.18186489446159501</v>
      </c>
      <c r="AG357">
        <v>9.4893569999999997E-2</v>
      </c>
      <c r="AH357">
        <v>3.0433626106237899</v>
      </c>
      <c r="AI357">
        <v>88.217245749236298</v>
      </c>
      <c r="AJ357">
        <v>86.580192590227597</v>
      </c>
      <c r="AK357">
        <v>3.0502681208719502</v>
      </c>
      <c r="AL357">
        <v>84.757839113606195</v>
      </c>
      <c r="AM357">
        <v>96.945175850480595</v>
      </c>
      <c r="AN357">
        <v>0.99999996248691703</v>
      </c>
    </row>
    <row r="358" spans="1:40" x14ac:dyDescent="0.25">
      <c r="A358" t="str">
        <f>"20190304154733921"</f>
        <v>20190304154733921</v>
      </c>
      <c r="B358" t="str">
        <f>"1551685653916749"</f>
        <v>1551685653916749</v>
      </c>
      <c r="C358" t="s">
        <v>40</v>
      </c>
      <c r="D358">
        <v>4.000318</v>
      </c>
      <c r="E358">
        <v>0.5695095</v>
      </c>
      <c r="F358" t="s">
        <v>42</v>
      </c>
      <c r="G358">
        <v>0</v>
      </c>
      <c r="H358">
        <v>0</v>
      </c>
      <c r="I358">
        <v>0</v>
      </c>
      <c r="J358">
        <v>-445.47550000000001</v>
      </c>
      <c r="K358">
        <v>1.110447</v>
      </c>
      <c r="L358">
        <v>366.88299999999998</v>
      </c>
      <c r="M358">
        <v>0.99986900000000001</v>
      </c>
      <c r="N358">
        <v>-1.1950000000000001E-2</v>
      </c>
      <c r="O358">
        <v>-1.093382E-2</v>
      </c>
      <c r="P358">
        <v>0.99077309999999996</v>
      </c>
      <c r="Q358">
        <v>7.9702560000000006E-2</v>
      </c>
      <c r="R358">
        <v>0.1096193</v>
      </c>
      <c r="S358">
        <v>3.0443120000000001</v>
      </c>
      <c r="T358">
        <v>9.7895499999999996E-2</v>
      </c>
      <c r="U358">
        <v>-0.2186584</v>
      </c>
      <c r="V358">
        <v>-0.1204225</v>
      </c>
      <c r="W358">
        <v>9.1552930000000005E-2</v>
      </c>
      <c r="X358">
        <v>0.98849200000000004</v>
      </c>
      <c r="Y358">
        <v>6.0720940000000001E-2</v>
      </c>
      <c r="Z358">
        <v>1.2996559999999999E-4</v>
      </c>
      <c r="AA358">
        <v>0.99815480000000001</v>
      </c>
      <c r="AB358">
        <v>22</v>
      </c>
      <c r="AC358">
        <v>3.0443120000000001</v>
      </c>
      <c r="AD358">
        <v>9.7895499999999996E-2</v>
      </c>
      <c r="AE358">
        <v>-0.2186584</v>
      </c>
      <c r="AF358">
        <v>0.18516650621936001</v>
      </c>
      <c r="AG358">
        <v>9.7895499999999996E-2</v>
      </c>
      <c r="AH358">
        <v>3.0433900330375399</v>
      </c>
      <c r="AI358">
        <v>88.161023268095306</v>
      </c>
      <c r="AJ358">
        <v>86.518291385906096</v>
      </c>
      <c r="AK358">
        <v>3.05058896889404</v>
      </c>
      <c r="AL358">
        <v>84.7470475572553</v>
      </c>
      <c r="AM358">
        <v>96.945800769179499</v>
      </c>
      <c r="AN358">
        <v>0.99999997578091704</v>
      </c>
    </row>
    <row r="359" spans="1:40" x14ac:dyDescent="0.25">
      <c r="A359" t="str">
        <f>"20190304154733934"</f>
        <v>20190304154733934</v>
      </c>
      <c r="B359" t="str">
        <f>"1551685653927486"</f>
        <v>1551685653927486</v>
      </c>
      <c r="C359" t="s">
        <v>40</v>
      </c>
      <c r="D359">
        <v>3.9279679999999999</v>
      </c>
      <c r="E359">
        <v>0.56991729999999996</v>
      </c>
      <c r="F359" t="s">
        <v>48</v>
      </c>
      <c r="G359">
        <v>-325.7149</v>
      </c>
      <c r="H359">
        <v>5.2135020000000001</v>
      </c>
      <c r="I359">
        <v>358.0009</v>
      </c>
      <c r="J359">
        <v>-445.35340000000002</v>
      </c>
      <c r="K359">
        <v>1.1104499999999999</v>
      </c>
      <c r="L359">
        <v>366.88159999999999</v>
      </c>
      <c r="M359">
        <v>0.99986830000000004</v>
      </c>
      <c r="N359">
        <v>-1.1923029999999999E-2</v>
      </c>
      <c r="O359">
        <v>-1.1015540000000001E-2</v>
      </c>
      <c r="P359">
        <v>0.99084190000000005</v>
      </c>
      <c r="Q359">
        <v>7.9758670000000004E-2</v>
      </c>
      <c r="R359">
        <v>0.10895440000000001</v>
      </c>
      <c r="S359">
        <v>3.044556</v>
      </c>
      <c r="T359">
        <v>0.10431020000000001</v>
      </c>
      <c r="U359">
        <v>-0.22579959999999999</v>
      </c>
      <c r="V359">
        <v>-0.1198396</v>
      </c>
      <c r="W359">
        <v>9.1583310000000001E-2</v>
      </c>
      <c r="X359">
        <v>0.98856010000000005</v>
      </c>
      <c r="Y359">
        <v>6.2959050000000003E-2</v>
      </c>
      <c r="Z359">
        <v>1.9294129999999999E-4</v>
      </c>
      <c r="AA359">
        <v>0.99801609999999996</v>
      </c>
      <c r="AB359">
        <v>22</v>
      </c>
      <c r="AC359">
        <v>119.63849999999999</v>
      </c>
      <c r="AD359">
        <v>4.1030519999999999</v>
      </c>
      <c r="AE359">
        <v>-8.8806999999999903</v>
      </c>
      <c r="AF359">
        <v>7.5533494355849999</v>
      </c>
      <c r="AG359">
        <v>4.1030519999999999</v>
      </c>
      <c r="AH359">
        <v>119.58918571911801</v>
      </c>
      <c r="AI359">
        <v>88.038882752678205</v>
      </c>
      <c r="AJ359">
        <v>86.385953071062701</v>
      </c>
      <c r="AK359">
        <v>119.897712506838</v>
      </c>
      <c r="AL359">
        <v>84.745299968676505</v>
      </c>
      <c r="AM359">
        <v>96.912034407990802</v>
      </c>
      <c r="AN359">
        <v>1.00000005185536</v>
      </c>
    </row>
    <row r="360" spans="1:40" x14ac:dyDescent="0.25">
      <c r="A360" t="str">
        <f>"20190304154733945"</f>
        <v>20190304154733945</v>
      </c>
      <c r="B360" t="str">
        <f>"1551685653937246"</f>
        <v>1551685653937246</v>
      </c>
      <c r="C360" t="s">
        <v>40</v>
      </c>
      <c r="D360">
        <v>3.9187439999999998</v>
      </c>
      <c r="E360">
        <v>0.570279599999999</v>
      </c>
      <c r="F360" t="s">
        <v>42</v>
      </c>
      <c r="G360">
        <v>0</v>
      </c>
      <c r="H360">
        <v>0</v>
      </c>
      <c r="I360">
        <v>0</v>
      </c>
      <c r="J360">
        <v>-445.23559999999998</v>
      </c>
      <c r="K360">
        <v>1.110449</v>
      </c>
      <c r="L360">
        <v>366.8802</v>
      </c>
      <c r="M360">
        <v>0.99986790000000003</v>
      </c>
      <c r="N360">
        <v>-1.189551E-2</v>
      </c>
      <c r="O360">
        <v>-1.109393E-2</v>
      </c>
      <c r="P360">
        <v>0.99084810000000001</v>
      </c>
      <c r="Q360">
        <v>7.9985070000000005E-2</v>
      </c>
      <c r="R360">
        <v>0.108732</v>
      </c>
      <c r="S360">
        <v>3.0444339999999999</v>
      </c>
      <c r="T360">
        <v>0.1072515</v>
      </c>
      <c r="U360">
        <v>-0.23074339999999999</v>
      </c>
      <c r="V360">
        <v>-0.1196945</v>
      </c>
      <c r="W360">
        <v>9.1782260000000004E-2</v>
      </c>
      <c r="X360">
        <v>0.98855919999999997</v>
      </c>
      <c r="Y360">
        <v>6.4493469999999997E-2</v>
      </c>
      <c r="Z360">
        <v>2.2795899999999999E-4</v>
      </c>
      <c r="AA360">
        <v>0.99791810000000003</v>
      </c>
      <c r="AB360">
        <v>22</v>
      </c>
      <c r="AC360">
        <v>3.0444339999999999</v>
      </c>
      <c r="AD360">
        <v>0.1072515</v>
      </c>
      <c r="AE360">
        <v>-0.23074339999999999</v>
      </c>
      <c r="AF360">
        <v>0.19670934307895699</v>
      </c>
      <c r="AG360">
        <v>0.1072515</v>
      </c>
      <c r="AH360">
        <v>3.0430516058170798</v>
      </c>
      <c r="AI360">
        <v>87.985662552679401</v>
      </c>
      <c r="AJ360">
        <v>86.301424568171598</v>
      </c>
      <c r="AK360">
        <v>3.0512883386485599</v>
      </c>
      <c r="AL360">
        <v>84.733852615482206</v>
      </c>
      <c r="AM360">
        <v>96.903752461699</v>
      </c>
      <c r="AN360">
        <v>1.00000002424279</v>
      </c>
    </row>
    <row r="361" spans="1:40" x14ac:dyDescent="0.25">
      <c r="A361" t="str">
        <f>"20190304154733956"</f>
        <v>20190304154733956</v>
      </c>
      <c r="B361" t="str">
        <f>"1551685653947005"</f>
        <v>1551685653947005</v>
      </c>
      <c r="C361" t="s">
        <v>40</v>
      </c>
      <c r="D361">
        <v>3.954151</v>
      </c>
      <c r="E361">
        <v>0.5705962</v>
      </c>
      <c r="F361" t="s">
        <v>42</v>
      </c>
      <c r="G361">
        <v>0</v>
      </c>
      <c r="H361">
        <v>0</v>
      </c>
      <c r="I361">
        <v>0</v>
      </c>
      <c r="J361">
        <v>-445.11840000000001</v>
      </c>
      <c r="K361">
        <v>1.1104459999999901</v>
      </c>
      <c r="L361">
        <v>366.87880000000001</v>
      </c>
      <c r="M361">
        <v>0.99986719999999896</v>
      </c>
      <c r="N361">
        <v>-1.1867559999999999E-2</v>
      </c>
      <c r="O361">
        <v>-1.117172E-2</v>
      </c>
      <c r="P361">
        <v>0.99083149999999998</v>
      </c>
      <c r="Q361">
        <v>8.0296759999999995E-2</v>
      </c>
      <c r="R361">
        <v>0.10865379999999999</v>
      </c>
      <c r="S361">
        <v>3.0445250000000001</v>
      </c>
      <c r="T361">
        <v>0.1106268</v>
      </c>
      <c r="U361">
        <v>-0.23458860000000001</v>
      </c>
      <c r="V361">
        <v>-0.1196933</v>
      </c>
      <c r="W361">
        <v>9.2066209999999996E-2</v>
      </c>
      <c r="X361">
        <v>0.98853290000000005</v>
      </c>
      <c r="Y361">
        <v>6.5664570000000005E-2</v>
      </c>
      <c r="Z361">
        <v>2.6302900000000002E-4</v>
      </c>
      <c r="AA361">
        <v>0.99784170000000005</v>
      </c>
      <c r="AB361">
        <v>22</v>
      </c>
      <c r="AC361">
        <v>3.0445250000000001</v>
      </c>
      <c r="AD361">
        <v>0.1106268</v>
      </c>
      <c r="AE361">
        <v>-0.23458860000000001</v>
      </c>
      <c r="AF361">
        <v>0.200296087587998</v>
      </c>
      <c r="AG361">
        <v>0.1106268</v>
      </c>
      <c r="AH361">
        <v>3.0429619274244799</v>
      </c>
      <c r="AI361">
        <v>87.922422288661807</v>
      </c>
      <c r="AJ361">
        <v>86.234067412488102</v>
      </c>
      <c r="AK361">
        <v>3.05155273645012</v>
      </c>
      <c r="AL361">
        <v>84.717514088295502</v>
      </c>
      <c r="AM361">
        <v>96.9038658163593</v>
      </c>
      <c r="AN361">
        <v>0.99999998373553201</v>
      </c>
    </row>
    <row r="362" spans="1:40" x14ac:dyDescent="0.25">
      <c r="A362" t="str">
        <f>"20190304154733969"</f>
        <v>20190304154733969</v>
      </c>
      <c r="B362" t="str">
        <f>"1551685653967501"</f>
        <v>1551685653967501</v>
      </c>
      <c r="C362" t="s">
        <v>40</v>
      </c>
      <c r="D362">
        <v>3.9126829999999999</v>
      </c>
      <c r="E362">
        <v>0.57120819999999894</v>
      </c>
      <c r="F362" t="s">
        <v>42</v>
      </c>
      <c r="G362">
        <v>0</v>
      </c>
      <c r="H362">
        <v>0</v>
      </c>
      <c r="I362">
        <v>0</v>
      </c>
      <c r="J362">
        <v>-444.99160000000001</v>
      </c>
      <c r="K362">
        <v>1.1104459999999901</v>
      </c>
      <c r="L362">
        <v>366.87729999999999</v>
      </c>
      <c r="M362">
        <v>0.99986660000000005</v>
      </c>
      <c r="N362">
        <v>-1.1836670000000001E-2</v>
      </c>
      <c r="O362">
        <v>-1.1255569999999999E-2</v>
      </c>
      <c r="P362">
        <v>0.99084079999999997</v>
      </c>
      <c r="Q362">
        <v>8.0570249999999996E-2</v>
      </c>
      <c r="R362">
        <v>0.1083658</v>
      </c>
      <c r="S362">
        <v>3.0445250000000001</v>
      </c>
      <c r="T362">
        <v>0.1139785</v>
      </c>
      <c r="U362">
        <v>-0.23721310000000001</v>
      </c>
      <c r="V362">
        <v>-0.11948839999999999</v>
      </c>
      <c r="W362">
        <v>9.2308829999999994E-2</v>
      </c>
      <c r="X362">
        <v>0.9885351</v>
      </c>
      <c r="Y362">
        <v>6.6434000000000007E-2</v>
      </c>
      <c r="Z362">
        <v>2.9382939999999998E-4</v>
      </c>
      <c r="AA362">
        <v>0.99779079999999998</v>
      </c>
      <c r="AB362">
        <v>22</v>
      </c>
      <c r="AC362">
        <v>3.0445250000000001</v>
      </c>
      <c r="AD362">
        <v>0.1139785</v>
      </c>
      <c r="AE362">
        <v>-0.23721310000000001</v>
      </c>
      <c r="AF362">
        <v>0.20264550368769099</v>
      </c>
      <c r="AG362">
        <v>0.1139785</v>
      </c>
      <c r="AH362">
        <v>3.0427634357394302</v>
      </c>
      <c r="AI362">
        <v>87.859504815807796</v>
      </c>
      <c r="AJ362">
        <v>86.189775638433801</v>
      </c>
      <c r="AK362">
        <v>3.0516332716268302</v>
      </c>
      <c r="AL362">
        <v>84.703553734590699</v>
      </c>
      <c r="AM362">
        <v>96.892145843531495</v>
      </c>
      <c r="AN362">
        <v>1.0000000208812601</v>
      </c>
    </row>
    <row r="363" spans="1:40" x14ac:dyDescent="0.25">
      <c r="A363" t="str">
        <f>"20190304154733989"</f>
        <v>20190304154733989</v>
      </c>
      <c r="B363" t="str">
        <f>"1551685653987023"</f>
        <v>1551685653987023</v>
      </c>
      <c r="C363" t="s">
        <v>40</v>
      </c>
      <c r="D363">
        <v>3.9377909999999998</v>
      </c>
      <c r="E363">
        <v>0.57177330000000004</v>
      </c>
      <c r="F363" t="s">
        <v>47</v>
      </c>
      <c r="G363">
        <v>-141.1139</v>
      </c>
      <c r="H363">
        <v>13.002409999999999</v>
      </c>
      <c r="I363">
        <v>342.64400000000001</v>
      </c>
      <c r="J363">
        <v>-444.79759999999999</v>
      </c>
      <c r="K363">
        <v>1.110441</v>
      </c>
      <c r="L363">
        <v>366.87490000000003</v>
      </c>
      <c r="M363">
        <v>0.99986569999999997</v>
      </c>
      <c r="N363">
        <v>-1.1790200000000001E-2</v>
      </c>
      <c r="O363">
        <v>-1.138342E-2</v>
      </c>
      <c r="P363">
        <v>0.99081629999999998</v>
      </c>
      <c r="Q363">
        <v>8.0903810000000007E-2</v>
      </c>
      <c r="R363">
        <v>0.1083404</v>
      </c>
      <c r="S363">
        <v>3.0446170000000001</v>
      </c>
      <c r="T363">
        <v>0.1191483</v>
      </c>
      <c r="U363">
        <v>-0.24279790000000001</v>
      </c>
      <c r="V363">
        <v>-0.119588899999999</v>
      </c>
      <c r="W363">
        <v>9.2595609999999995E-2</v>
      </c>
      <c r="X363">
        <v>0.98849609999999999</v>
      </c>
      <c r="Y363">
        <v>6.8119449999999998E-2</v>
      </c>
      <c r="Z363">
        <v>3.4944650000000001E-4</v>
      </c>
      <c r="AA363">
        <v>0.99767709999999998</v>
      </c>
      <c r="AB363">
        <v>22</v>
      </c>
      <c r="AC363">
        <v>303.68369999999999</v>
      </c>
      <c r="AD363">
        <v>11.891969</v>
      </c>
      <c r="AE363">
        <v>-24.230899999999998</v>
      </c>
      <c r="AF363">
        <v>20.740527402320598</v>
      </c>
      <c r="AG363">
        <v>11.891969</v>
      </c>
      <c r="AH363">
        <v>303.47745216524999</v>
      </c>
      <c r="AI363">
        <v>87.761191314858607</v>
      </c>
      <c r="AJ363">
        <v>86.090320087449001</v>
      </c>
      <c r="AK363">
        <v>304.417726777425</v>
      </c>
      <c r="AL363">
        <v>84.687051642004803</v>
      </c>
      <c r="AM363">
        <v>96.898156427932193</v>
      </c>
      <c r="AN363">
        <v>0.999999995854846</v>
      </c>
    </row>
    <row r="364" spans="1:40" x14ac:dyDescent="0.25">
      <c r="A364" t="str">
        <f>"20190304154734004"</f>
        <v>20190304154734004</v>
      </c>
      <c r="B364" t="str">
        <f>"1551685653997757"</f>
        <v>1551685653997757</v>
      </c>
      <c r="C364" t="s">
        <v>40</v>
      </c>
      <c r="D364">
        <v>4.1141899999999998</v>
      </c>
      <c r="E364">
        <v>0.57145179999999995</v>
      </c>
      <c r="F364" t="s">
        <v>47</v>
      </c>
      <c r="G364">
        <v>-143.6344</v>
      </c>
      <c r="H364">
        <v>13.404199999999999</v>
      </c>
      <c r="I364">
        <v>342.40879999999999</v>
      </c>
      <c r="J364">
        <v>-444.65269999999998</v>
      </c>
      <c r="K364">
        <v>1.1104309999999999</v>
      </c>
      <c r="L364">
        <v>366.8732</v>
      </c>
      <c r="M364">
        <v>0.999865</v>
      </c>
      <c r="N364">
        <v>-1.175736E-2</v>
      </c>
      <c r="O364">
        <v>-1.1478830000000001E-2</v>
      </c>
      <c r="P364">
        <v>0.99085650000000003</v>
      </c>
      <c r="Q364">
        <v>8.0555909999999994E-2</v>
      </c>
      <c r="R364">
        <v>0.1082322</v>
      </c>
      <c r="S364">
        <v>3.0446780000000002</v>
      </c>
      <c r="T364">
        <v>0.1242867</v>
      </c>
      <c r="U364">
        <v>-0.24734500000000001</v>
      </c>
      <c r="V364">
        <v>-0.1195761</v>
      </c>
      <c r="W364">
        <v>9.2215779999999997E-2</v>
      </c>
      <c r="X364">
        <v>0.98853310000000005</v>
      </c>
      <c r="Y364">
        <v>6.9499379999999999E-2</v>
      </c>
      <c r="Z364">
        <v>4.0398620000000002E-4</v>
      </c>
      <c r="AA364">
        <v>0.99758190000000002</v>
      </c>
      <c r="AB364">
        <v>22</v>
      </c>
      <c r="AC364">
        <v>301.01829999999899</v>
      </c>
      <c r="AD364">
        <v>12.293768999999999</v>
      </c>
      <c r="AE364">
        <v>-24.464400000000001</v>
      </c>
      <c r="AF364">
        <v>20.972459676600799</v>
      </c>
      <c r="AG364">
        <v>12.293768999999999</v>
      </c>
      <c r="AH364">
        <v>300.78091008877101</v>
      </c>
      <c r="AI364">
        <v>87.665124427676801</v>
      </c>
      <c r="AJ364">
        <v>86.0114100525048</v>
      </c>
      <c r="AK364">
        <v>301.76172171920899</v>
      </c>
      <c r="AL364">
        <v>84.708907524167998</v>
      </c>
      <c r="AM364">
        <v>96.897169529966803</v>
      </c>
      <c r="AN364">
        <v>0.99999994178391205</v>
      </c>
    </row>
    <row r="365" spans="1:40" x14ac:dyDescent="0.25">
      <c r="A365" t="str">
        <f>"20190304154734022"</f>
        <v>20190304154734022</v>
      </c>
      <c r="B365" t="str">
        <f>"1551685654017278"</f>
        <v>1551685654017278</v>
      </c>
      <c r="C365" t="s">
        <v>40</v>
      </c>
      <c r="D365">
        <v>4.1494650000000002</v>
      </c>
      <c r="E365">
        <v>0.57098059999999995</v>
      </c>
      <c r="F365" t="s">
        <v>47</v>
      </c>
      <c r="G365">
        <v>-143.62020000000001</v>
      </c>
      <c r="H365">
        <v>12.98625</v>
      </c>
      <c r="I365">
        <v>342.64400000000001</v>
      </c>
      <c r="J365">
        <v>-444.47340000000003</v>
      </c>
      <c r="K365">
        <v>1.110422</v>
      </c>
      <c r="L365">
        <v>366.87099999999998</v>
      </c>
      <c r="M365">
        <v>0.99986419999999998</v>
      </c>
      <c r="N365">
        <v>-1.171927E-2</v>
      </c>
      <c r="O365">
        <v>-1.1596250000000001E-2</v>
      </c>
      <c r="P365">
        <v>0.99087389999999997</v>
      </c>
      <c r="Q365">
        <v>8.0354259999999997E-2</v>
      </c>
      <c r="R365">
        <v>0.1082234</v>
      </c>
      <c r="S365">
        <v>3.0446780000000002</v>
      </c>
      <c r="T365">
        <v>0.1201135</v>
      </c>
      <c r="U365">
        <v>-0.2450562</v>
      </c>
      <c r="V365">
        <v>-0.1196839</v>
      </c>
      <c r="W365">
        <v>9.1976479999999999E-2</v>
      </c>
      <c r="X365">
        <v>0.98854240000000004</v>
      </c>
      <c r="Y365">
        <v>6.8640110000000004E-2</v>
      </c>
      <c r="Z365">
        <v>3.561158E-4</v>
      </c>
      <c r="AA365">
        <v>0.99764140000000001</v>
      </c>
      <c r="AB365">
        <v>22</v>
      </c>
      <c r="AC365">
        <v>300.85320000000002</v>
      </c>
      <c r="AD365">
        <v>11.875828</v>
      </c>
      <c r="AE365">
        <v>-24.226999999999901</v>
      </c>
      <c r="AF365">
        <v>20.704309415815299</v>
      </c>
      <c r="AG365">
        <v>11.875828</v>
      </c>
      <c r="AH365">
        <v>300.648482698316</v>
      </c>
      <c r="AI365">
        <v>87.743291433487101</v>
      </c>
      <c r="AJ365">
        <v>86.060516996597102</v>
      </c>
      <c r="AK365">
        <v>301.59445264770898</v>
      </c>
      <c r="AL365">
        <v>84.722677192766099</v>
      </c>
      <c r="AM365">
        <v>96.903263158458401</v>
      </c>
      <c r="AN365">
        <v>0.99999999269508</v>
      </c>
    </row>
    <row r="366" spans="1:40" x14ac:dyDescent="0.25">
      <c r="A366" t="str">
        <f>"20190304154734035"</f>
        <v>20190304154734035</v>
      </c>
      <c r="B366" t="str">
        <f>"1551685654027037"</f>
        <v>1551685654027037</v>
      </c>
      <c r="C366" t="s">
        <v>40</v>
      </c>
      <c r="D366">
        <v>4.1217769999999998</v>
      </c>
      <c r="E366">
        <v>0.57073479999999999</v>
      </c>
      <c r="F366" t="s">
        <v>42</v>
      </c>
      <c r="G366">
        <v>0</v>
      </c>
      <c r="H366">
        <v>0</v>
      </c>
      <c r="I366">
        <v>0</v>
      </c>
      <c r="J366">
        <v>-444.33499999999998</v>
      </c>
      <c r="K366">
        <v>1.1104210000000001</v>
      </c>
      <c r="L366">
        <v>366.86930000000001</v>
      </c>
      <c r="M366">
        <v>0.99986330000000001</v>
      </c>
      <c r="N366">
        <v>-1.1691180000000001E-2</v>
      </c>
      <c r="O366">
        <v>-1.1686210000000001E-2</v>
      </c>
      <c r="P366">
        <v>0.99090029999999996</v>
      </c>
      <c r="Q366">
        <v>8.0064129999999997E-2</v>
      </c>
      <c r="R366">
        <v>0.1081964</v>
      </c>
      <c r="S366">
        <v>3.0448300000000001</v>
      </c>
      <c r="T366">
        <v>0.1136088</v>
      </c>
      <c r="U366">
        <v>-0.24160770000000001</v>
      </c>
      <c r="V366">
        <v>-0.1197463</v>
      </c>
      <c r="W366">
        <v>9.1658790000000004E-2</v>
      </c>
      <c r="X366">
        <v>0.98856440000000001</v>
      </c>
      <c r="Y366">
        <v>6.7427719999999997E-2</v>
      </c>
      <c r="Z366">
        <v>2.8912890000000002E-4</v>
      </c>
      <c r="AA366">
        <v>0.9977241</v>
      </c>
      <c r="AB366">
        <v>22</v>
      </c>
      <c r="AC366">
        <v>3.0448300000000001</v>
      </c>
      <c r="AD366">
        <v>0.1136088</v>
      </c>
      <c r="AE366">
        <v>-0.24160770000000001</v>
      </c>
      <c r="AF366">
        <v>0.20572163104365701</v>
      </c>
      <c r="AG366">
        <v>0.1136088</v>
      </c>
      <c r="AH366">
        <v>3.0432354775862498</v>
      </c>
      <c r="AI366">
        <v>87.866914349499794</v>
      </c>
      <c r="AJ366">
        <v>86.132709414357294</v>
      </c>
      <c r="AK366">
        <v>3.0522959425580498</v>
      </c>
      <c r="AL366">
        <v>84.740956962412994</v>
      </c>
      <c r="AM366">
        <v>96.906675355250997</v>
      </c>
      <c r="AN366">
        <v>1.00000004154765</v>
      </c>
    </row>
    <row r="367" spans="1:40" x14ac:dyDescent="0.25">
      <c r="A367" t="str">
        <f>"20190304154734048"</f>
        <v>20190304154734048</v>
      </c>
      <c r="B367" t="str">
        <f>"1551685654036798"</f>
        <v>1551685654036798</v>
      </c>
      <c r="C367" t="s">
        <v>40</v>
      </c>
      <c r="D367">
        <v>4.1393019999999998</v>
      </c>
      <c r="E367">
        <v>0.57042280000000001</v>
      </c>
      <c r="F367" t="s">
        <v>42</v>
      </c>
      <c r="G367">
        <v>0</v>
      </c>
      <c r="H367">
        <v>0</v>
      </c>
      <c r="I367">
        <v>0</v>
      </c>
      <c r="J367">
        <v>-444.2124</v>
      </c>
      <c r="K367">
        <v>1.110417</v>
      </c>
      <c r="L367">
        <v>366.86779999999999</v>
      </c>
      <c r="M367">
        <v>0.99986269999999999</v>
      </c>
      <c r="N367">
        <v>-1.1666559999999999E-2</v>
      </c>
      <c r="O367">
        <v>-1.1765690000000001E-2</v>
      </c>
      <c r="P367">
        <v>0.99088909999999997</v>
      </c>
      <c r="Q367">
        <v>8.0206899999999998E-2</v>
      </c>
      <c r="R367">
        <v>0.1081927</v>
      </c>
      <c r="S367">
        <v>3.0448909999999998</v>
      </c>
      <c r="T367">
        <v>0.1098228</v>
      </c>
      <c r="U367">
        <v>-0.2398682</v>
      </c>
      <c r="V367">
        <v>-0.11982089999999899</v>
      </c>
      <c r="W367">
        <v>9.1777049999999999E-2</v>
      </c>
      <c r="X367">
        <v>0.98854430000000004</v>
      </c>
      <c r="Y367">
        <v>6.6782560000000005E-2</v>
      </c>
      <c r="Z367">
        <v>2.5130770000000001E-4</v>
      </c>
      <c r="AA367">
        <v>0.99776750000000003</v>
      </c>
      <c r="AB367">
        <v>22</v>
      </c>
      <c r="AC367">
        <v>3.0448909999999998</v>
      </c>
      <c r="AD367">
        <v>0.1098228</v>
      </c>
      <c r="AE367">
        <v>-0.2398682</v>
      </c>
      <c r="AF367">
        <v>0.20376047617523299</v>
      </c>
      <c r="AG367">
        <v>0.1098228</v>
      </c>
      <c r="AH367">
        <v>3.0435676809249399</v>
      </c>
      <c r="AI367">
        <v>87.938071717373504</v>
      </c>
      <c r="AJ367">
        <v>86.169883066903196</v>
      </c>
      <c r="AK367">
        <v>3.05235705765591</v>
      </c>
      <c r="AL367">
        <v>84.734152020928306</v>
      </c>
      <c r="AM367">
        <v>96.911075663070903</v>
      </c>
      <c r="AN367">
        <v>0.99999995402300002</v>
      </c>
    </row>
    <row r="368" spans="1:40" x14ac:dyDescent="0.25">
      <c r="A368" t="str">
        <f>"20190304154734061"</f>
        <v>20190304154734061</v>
      </c>
      <c r="B368" t="str">
        <f>"1551685654057293"</f>
        <v>1551685654057293</v>
      </c>
      <c r="C368" t="s">
        <v>40</v>
      </c>
      <c r="D368">
        <v>4.1164930000000002</v>
      </c>
      <c r="E368">
        <v>0.56979690000000005</v>
      </c>
      <c r="F368" t="s">
        <v>42</v>
      </c>
      <c r="G368">
        <v>0</v>
      </c>
      <c r="H368">
        <v>0</v>
      </c>
      <c r="I368">
        <v>0</v>
      </c>
      <c r="J368">
        <v>-444.09289999999999</v>
      </c>
      <c r="K368">
        <v>1.1104149999999999</v>
      </c>
      <c r="L368">
        <v>366.86630000000002</v>
      </c>
      <c r="M368">
        <v>0.99986209999999998</v>
      </c>
      <c r="N368">
        <v>-1.164224E-2</v>
      </c>
      <c r="O368">
        <v>-1.184208E-2</v>
      </c>
      <c r="P368">
        <v>0.99087910000000001</v>
      </c>
      <c r="Q368">
        <v>8.019722E-2</v>
      </c>
      <c r="R368">
        <v>0.10829270000000001</v>
      </c>
      <c r="S368">
        <v>3.0448300000000001</v>
      </c>
      <c r="T368">
        <v>0.107171699999999</v>
      </c>
      <c r="U368">
        <v>-0.23767089999999999</v>
      </c>
      <c r="V368">
        <v>-0.11999659999999999</v>
      </c>
      <c r="W368">
        <v>9.1742850000000001E-2</v>
      </c>
      <c r="X368">
        <v>0.98852620000000002</v>
      </c>
      <c r="Y368">
        <v>6.5993850000000007E-2</v>
      </c>
      <c r="Z368">
        <v>2.2084280000000001E-4</v>
      </c>
      <c r="AA368">
        <v>0.99782000000000004</v>
      </c>
      <c r="AB368">
        <v>22</v>
      </c>
      <c r="AC368">
        <v>3.0448300000000001</v>
      </c>
      <c r="AD368">
        <v>0.107171699999999</v>
      </c>
      <c r="AE368">
        <v>-0.23767089999999999</v>
      </c>
      <c r="AF368">
        <v>0.20134673129539099</v>
      </c>
      <c r="AG368">
        <v>0.107171699999999</v>
      </c>
      <c r="AH368">
        <v>3.0436832117887</v>
      </c>
      <c r="AI368">
        <v>87.987775159849306</v>
      </c>
      <c r="AJ368">
        <v>86.215265182466197</v>
      </c>
      <c r="AK368">
        <v>3.0522178449790598</v>
      </c>
      <c r="AL368">
        <v>84.736120035432705</v>
      </c>
      <c r="AM368">
        <v>96.921237027368093</v>
      </c>
      <c r="AN368">
        <v>0.99999999131206097</v>
      </c>
    </row>
    <row r="369" spans="1:40" x14ac:dyDescent="0.25">
      <c r="A369" t="str">
        <f>"20190304154734078"</f>
        <v>20190304154734078</v>
      </c>
      <c r="B369" t="str">
        <f>"1551685654067053"</f>
        <v>1551685654067053</v>
      </c>
      <c r="C369" t="s">
        <v>40</v>
      </c>
      <c r="D369">
        <v>3.9097900000000001</v>
      </c>
      <c r="E369">
        <v>0.57002330000000001</v>
      </c>
      <c r="F369" t="s">
        <v>42</v>
      </c>
      <c r="G369">
        <v>0</v>
      </c>
      <c r="H369">
        <v>0</v>
      </c>
      <c r="I369">
        <v>0</v>
      </c>
      <c r="J369">
        <v>-443.91109999999998</v>
      </c>
      <c r="K369">
        <v>1.110417</v>
      </c>
      <c r="L369">
        <v>366.86399999999998</v>
      </c>
      <c r="M369">
        <v>0.99986120000000001</v>
      </c>
      <c r="N369">
        <v>-1.160538E-2</v>
      </c>
      <c r="O369">
        <v>-1.195653E-2</v>
      </c>
      <c r="P369">
        <v>0.99086529999999995</v>
      </c>
      <c r="Q369">
        <v>8.0370490000000003E-2</v>
      </c>
      <c r="R369">
        <v>0.10829039999999999</v>
      </c>
      <c r="S369">
        <v>3.0448300000000001</v>
      </c>
      <c r="T369">
        <v>0.10125770000000001</v>
      </c>
      <c r="U369">
        <v>-0.23251340000000001</v>
      </c>
      <c r="V369">
        <v>-0.1201078</v>
      </c>
      <c r="W369">
        <v>9.1879139999999998E-2</v>
      </c>
      <c r="X369">
        <v>0.98850009999999999</v>
      </c>
      <c r="Y369">
        <v>6.4202640000000005E-2</v>
      </c>
      <c r="Z369">
        <v>1.571233E-4</v>
      </c>
      <c r="AA369">
        <v>0.99793679999999996</v>
      </c>
      <c r="AB369">
        <v>22</v>
      </c>
      <c r="AC369">
        <v>3.0448300000000001</v>
      </c>
      <c r="AD369">
        <v>0.10125770000000001</v>
      </c>
      <c r="AE369">
        <v>-0.23251340000000001</v>
      </c>
      <c r="AF369">
        <v>0.19587335776186199</v>
      </c>
      <c r="AG369">
        <v>0.10125770000000001</v>
      </c>
      <c r="AH369">
        <v>3.04404555901134</v>
      </c>
      <c r="AI369">
        <v>88.098734081198899</v>
      </c>
      <c r="AJ369">
        <v>86.318298855001899</v>
      </c>
      <c r="AK369">
        <v>3.05202111058014</v>
      </c>
      <c r="AL369">
        <v>84.728278403241703</v>
      </c>
      <c r="AM369">
        <v>96.927769725989194</v>
      </c>
      <c r="AN369">
        <v>1.0000000538439899</v>
      </c>
    </row>
    <row r="370" spans="1:40" x14ac:dyDescent="0.25">
      <c r="A370" t="str">
        <f>"20190304154734090"</f>
        <v>20190304154734090</v>
      </c>
      <c r="B370" t="str">
        <f>"1551685654087081"</f>
        <v>1551685654087081</v>
      </c>
      <c r="C370" t="s">
        <v>40</v>
      </c>
      <c r="D370">
        <v>3.9225819999999998</v>
      </c>
      <c r="E370">
        <v>0.57042490000000001</v>
      </c>
      <c r="F370" t="s">
        <v>42</v>
      </c>
      <c r="G370">
        <v>0</v>
      </c>
      <c r="H370">
        <v>0</v>
      </c>
      <c r="I370">
        <v>0</v>
      </c>
      <c r="J370">
        <v>-443.78480000000002</v>
      </c>
      <c r="K370">
        <v>1.110414</v>
      </c>
      <c r="L370">
        <v>366.86239999999998</v>
      </c>
      <c r="M370">
        <v>0.99986059999999999</v>
      </c>
      <c r="N370">
        <v>-1.1580150000000001E-2</v>
      </c>
      <c r="O370">
        <v>-1.203516E-2</v>
      </c>
      <c r="P370">
        <v>0.99086549999999995</v>
      </c>
      <c r="Q370">
        <v>8.0467949999999996E-2</v>
      </c>
      <c r="R370">
        <v>0.10821500000000001</v>
      </c>
      <c r="S370">
        <v>3.0448300000000001</v>
      </c>
      <c r="T370">
        <v>0.1037341</v>
      </c>
      <c r="U370">
        <v>-0.2339783</v>
      </c>
      <c r="V370">
        <v>-0.1201103</v>
      </c>
      <c r="W370">
        <v>9.1951309999999994E-2</v>
      </c>
      <c r="X370">
        <v>0.98849299999999996</v>
      </c>
      <c r="Y370">
        <v>6.4600359999999996E-2</v>
      </c>
      <c r="Z370">
        <v>1.754386E-4</v>
      </c>
      <c r="AA370">
        <v>0.9979112</v>
      </c>
      <c r="AB370">
        <v>22</v>
      </c>
      <c r="AC370">
        <v>3.0448300000000001</v>
      </c>
      <c r="AD370">
        <v>0.1037341</v>
      </c>
      <c r="AE370">
        <v>-0.2339783</v>
      </c>
      <c r="AF370">
        <v>0.19708646752099401</v>
      </c>
      <c r="AG370">
        <v>0.1037341</v>
      </c>
      <c r="AH370">
        <v>3.04391329766338</v>
      </c>
      <c r="AI370">
        <v>88.052236969660498</v>
      </c>
      <c r="AJ370">
        <v>86.295399621929306</v>
      </c>
      <c r="AK370">
        <v>3.0520504587694202</v>
      </c>
      <c r="AL370">
        <v>84.724125341117301</v>
      </c>
      <c r="AM370">
        <v>96.927961800777894</v>
      </c>
      <c r="AN370">
        <v>0.99999996931290203</v>
      </c>
    </row>
    <row r="371" spans="1:40" x14ac:dyDescent="0.25">
      <c r="A371" t="str">
        <f>"20190304154734160"</f>
        <v>20190304154734160</v>
      </c>
      <c r="B371" t="str">
        <f>"1551685654157353"</f>
        <v>1551685654157353</v>
      </c>
      <c r="C371" t="s">
        <v>40</v>
      </c>
      <c r="D371">
        <v>3.3804780000000001</v>
      </c>
      <c r="E371">
        <v>0.57042490000000001</v>
      </c>
      <c r="F371" t="s">
        <v>42</v>
      </c>
      <c r="G371">
        <v>0</v>
      </c>
      <c r="H371">
        <v>0</v>
      </c>
      <c r="I371">
        <v>0</v>
      </c>
      <c r="J371">
        <v>-443.09989999999999</v>
      </c>
      <c r="K371">
        <v>1.110422</v>
      </c>
      <c r="L371">
        <v>366.8537</v>
      </c>
      <c r="M371">
        <v>0.9998572</v>
      </c>
      <c r="N371">
        <v>-1.1468570000000001E-2</v>
      </c>
      <c r="O371">
        <v>-1.241007E-2</v>
      </c>
      <c r="P371">
        <v>0.99091309999999999</v>
      </c>
      <c r="Q371">
        <v>7.9496490000000003E-2</v>
      </c>
      <c r="R371">
        <v>0.1084966</v>
      </c>
      <c r="S371">
        <v>3.044861</v>
      </c>
      <c r="T371">
        <v>0.10741630000000001</v>
      </c>
      <c r="U371">
        <v>-0.23742679999999999</v>
      </c>
      <c r="V371">
        <v>-0.1207681</v>
      </c>
      <c r="W371">
        <v>9.0863440000000004E-2</v>
      </c>
      <c r="X371">
        <v>0.98851350000000004</v>
      </c>
      <c r="Y371">
        <v>6.5347199999999994E-2</v>
      </c>
      <c r="Z371">
        <v>1.9615759999999999E-4</v>
      </c>
      <c r="AA371">
        <v>0.99786260000000004</v>
      </c>
      <c r="AB371">
        <v>22</v>
      </c>
      <c r="AC371">
        <v>3.044861</v>
      </c>
      <c r="AD371">
        <v>0.10741630000000001</v>
      </c>
      <c r="AE371">
        <v>-0.23742679999999999</v>
      </c>
      <c r="AF371">
        <v>0.19937246415924201</v>
      </c>
      <c r="AG371">
        <v>0.10741630000000001</v>
      </c>
      <c r="AH371">
        <v>3.0438079506569302</v>
      </c>
      <c r="AI371">
        <v>87.983182967904298</v>
      </c>
      <c r="AJ371">
        <v>86.252422547552499</v>
      </c>
      <c r="AK371">
        <v>3.0522212373045501</v>
      </c>
      <c r="AL371">
        <v>84.786718004556207</v>
      </c>
      <c r="AM371">
        <v>96.965388927672393</v>
      </c>
      <c r="AN371">
        <v>1.00000001919424</v>
      </c>
    </row>
    <row r="372" spans="1:40" x14ac:dyDescent="0.25">
      <c r="A372" t="str">
        <f>"20190304154734223"</f>
        <v>20190304154734223</v>
      </c>
      <c r="B372" t="str">
        <f>"1551685654217395"</f>
        <v>1551685654217395</v>
      </c>
      <c r="C372" t="s">
        <v>40</v>
      </c>
      <c r="D372">
        <v>3.9213580000000001</v>
      </c>
      <c r="E372">
        <v>0.48798809999999898</v>
      </c>
      <c r="F372" t="s">
        <v>42</v>
      </c>
      <c r="G372">
        <v>0</v>
      </c>
      <c r="H372">
        <v>0</v>
      </c>
      <c r="I372">
        <v>0</v>
      </c>
      <c r="J372">
        <v>-442.46980000000002</v>
      </c>
      <c r="K372">
        <v>1.1104620000000001</v>
      </c>
      <c r="L372">
        <v>366.84550000000002</v>
      </c>
      <c r="M372">
        <v>0.99985500000000005</v>
      </c>
      <c r="N372">
        <v>-1.139776E-2</v>
      </c>
      <c r="O372">
        <v>-1.264708E-2</v>
      </c>
      <c r="P372">
        <v>0.99072499999999997</v>
      </c>
      <c r="Q372">
        <v>8.0329170000000005E-2</v>
      </c>
      <c r="R372">
        <v>0.10959339999999999</v>
      </c>
      <c r="S372">
        <v>3.0450439999999999</v>
      </c>
      <c r="T372">
        <v>0.10420550000000001</v>
      </c>
      <c r="U372">
        <v>-0.23666380000000001</v>
      </c>
      <c r="V372">
        <v>-0.1221029</v>
      </c>
      <c r="W372">
        <v>9.161561E-2</v>
      </c>
      <c r="X372">
        <v>0.98828009999999999</v>
      </c>
      <c r="Y372">
        <v>6.485921E-2</v>
      </c>
      <c r="Z372">
        <v>1.6166419999999999E-4</v>
      </c>
      <c r="AA372">
        <v>0.99789439999999996</v>
      </c>
      <c r="AB372">
        <v>22</v>
      </c>
      <c r="AC372">
        <v>3.0450439999999999</v>
      </c>
      <c r="AD372">
        <v>0.10420550000000001</v>
      </c>
      <c r="AE372">
        <v>-0.23666380000000001</v>
      </c>
      <c r="AF372">
        <v>0.19790108017180499</v>
      </c>
      <c r="AG372">
        <v>0.10420550000000001</v>
      </c>
      <c r="AH372">
        <v>3.04425001741386</v>
      </c>
      <c r="AI372">
        <v>88.043641733211899</v>
      </c>
      <c r="AJ372">
        <v>86.280540686201107</v>
      </c>
      <c r="AK372">
        <v>3.0524550434507098</v>
      </c>
      <c r="AL372">
        <v>84.743441477013704</v>
      </c>
      <c r="AM372">
        <v>97.043252090266705</v>
      </c>
      <c r="AN372">
        <v>1.0000000471200401</v>
      </c>
    </row>
    <row r="373" spans="1:40" x14ac:dyDescent="0.25">
      <c r="A373" t="str">
        <f>"20190304154734235"</f>
        <v>20190304154734235</v>
      </c>
      <c r="B373" t="str">
        <f>"1551685654227155"</f>
        <v>1551685654227155</v>
      </c>
      <c r="C373" t="s">
        <v>40</v>
      </c>
      <c r="D373">
        <v>4.0031179999999997</v>
      </c>
      <c r="E373">
        <v>0.49143619999999999</v>
      </c>
      <c r="F373" t="s">
        <v>45</v>
      </c>
      <c r="G373">
        <v>-404.49799999999999</v>
      </c>
      <c r="H373">
        <v>-0.05</v>
      </c>
      <c r="I373">
        <v>372.1241</v>
      </c>
      <c r="J373">
        <v>-442.34339999999997</v>
      </c>
      <c r="K373">
        <v>1.110468</v>
      </c>
      <c r="L373">
        <v>366.84390000000002</v>
      </c>
      <c r="M373">
        <v>0.99985489999999999</v>
      </c>
      <c r="N373">
        <v>-1.138669E-2</v>
      </c>
      <c r="O373">
        <v>-1.2682229999999999E-2</v>
      </c>
      <c r="P373">
        <v>0.99067119999999997</v>
      </c>
      <c r="Q373">
        <v>8.0526829999999994E-2</v>
      </c>
      <c r="R373">
        <v>0.10993700000000001</v>
      </c>
      <c r="S373">
        <v>2.9895320000000001</v>
      </c>
      <c r="T373">
        <v>-9.1363429999999995E-2</v>
      </c>
      <c r="U373">
        <v>0.41558840000000002</v>
      </c>
      <c r="V373">
        <v>-0.1224816</v>
      </c>
      <c r="W373">
        <v>9.1800300000000001E-2</v>
      </c>
      <c r="X373">
        <v>0.98821599999999998</v>
      </c>
      <c r="Y373">
        <v>-0.15014449999999999</v>
      </c>
      <c r="Z373">
        <v>3.3840440000000001E-3</v>
      </c>
      <c r="AA373">
        <v>0.98865820000000004</v>
      </c>
      <c r="AB373">
        <v>22</v>
      </c>
      <c r="AC373">
        <v>37.845399999999898</v>
      </c>
      <c r="AD373">
        <v>-1.1604680000000001</v>
      </c>
      <c r="AE373">
        <v>5.2801999999999696</v>
      </c>
      <c r="AF373">
        <v>-5.7544631235935899</v>
      </c>
      <c r="AG373">
        <v>-1.1604680000000001</v>
      </c>
      <c r="AH373">
        <v>37.740579181152299</v>
      </c>
      <c r="AI373">
        <v>91.741097140578503</v>
      </c>
      <c r="AJ373">
        <v>98.669354596247004</v>
      </c>
      <c r="AK373">
        <v>38.194395514900499</v>
      </c>
      <c r="AL373">
        <v>84.732814225537894</v>
      </c>
      <c r="AM373">
        <v>97.065329829270894</v>
      </c>
      <c r="AN373">
        <v>0.999999950037323</v>
      </c>
    </row>
    <row r="374" spans="1:40" x14ac:dyDescent="0.25">
      <c r="A374" t="str">
        <f>"20190304154734246"</f>
        <v>20190304154734246</v>
      </c>
      <c r="B374" t="str">
        <f>"1551685654236915"</f>
        <v>1551685654236915</v>
      </c>
      <c r="C374" t="s">
        <v>40</v>
      </c>
      <c r="D374">
        <v>4.034503</v>
      </c>
      <c r="E374">
        <v>0.49307420000000002</v>
      </c>
      <c r="F374" t="s">
        <v>44</v>
      </c>
      <c r="G374">
        <v>-393.85469999999998</v>
      </c>
      <c r="H374" s="1">
        <v>-3.5644870000000002E-6</v>
      </c>
      <c r="I374">
        <v>373.17110000000002</v>
      </c>
      <c r="J374">
        <v>-442.22500000000002</v>
      </c>
      <c r="K374">
        <v>1.1104719999999999</v>
      </c>
      <c r="L374">
        <v>366.8424</v>
      </c>
      <c r="M374">
        <v>0.99985440000000003</v>
      </c>
      <c r="N374">
        <v>-1.137729E-2</v>
      </c>
      <c r="O374">
        <v>-1.271109E-2</v>
      </c>
      <c r="P374">
        <v>0.99061390000000005</v>
      </c>
      <c r="Q374">
        <v>8.0475699999999997E-2</v>
      </c>
      <c r="R374">
        <v>0.1104898</v>
      </c>
      <c r="S374">
        <v>2.9905400000000002</v>
      </c>
      <c r="T374">
        <v>-6.848812E-2</v>
      </c>
      <c r="U374">
        <v>0.39022829999999997</v>
      </c>
      <c r="V374">
        <v>-0.1230638</v>
      </c>
      <c r="W374">
        <v>9.1737639999999995E-2</v>
      </c>
      <c r="X374">
        <v>0.98814950000000001</v>
      </c>
      <c r="Y374">
        <v>-0.14192939999999901</v>
      </c>
      <c r="Z374">
        <v>2.5750289999999999E-3</v>
      </c>
      <c r="AA374">
        <v>0.98987340000000001</v>
      </c>
      <c r="AB374">
        <v>22</v>
      </c>
      <c r="AC374">
        <v>48.3703</v>
      </c>
      <c r="AD374">
        <v>-1.1104755644869999</v>
      </c>
      <c r="AE374">
        <v>6.32870000000002</v>
      </c>
      <c r="AF374">
        <v>-6.9394717645527102</v>
      </c>
      <c r="AG374">
        <v>-1.1104755644869999</v>
      </c>
      <c r="AH374">
        <v>48.260933488205197</v>
      </c>
      <c r="AI374">
        <v>91.304718874002702</v>
      </c>
      <c r="AJ374">
        <v>98.182512683231394</v>
      </c>
      <c r="AK374">
        <v>48.769940798644697</v>
      </c>
      <c r="AL374">
        <v>84.736419665949498</v>
      </c>
      <c r="AM374">
        <v>97.099044960065299</v>
      </c>
      <c r="AN374">
        <v>0.99999996390672896</v>
      </c>
    </row>
    <row r="375" spans="1:40" x14ac:dyDescent="0.25">
      <c r="A375" t="str">
        <f>"20190304154734259"</f>
        <v>20190304154734259</v>
      </c>
      <c r="B375" t="str">
        <f>"1551685654247652"</f>
        <v>1551685654247652</v>
      </c>
      <c r="C375" t="s">
        <v>40</v>
      </c>
      <c r="D375">
        <v>4.0226110000000004</v>
      </c>
      <c r="E375">
        <v>0.49462210000000001</v>
      </c>
      <c r="F375" t="s">
        <v>44</v>
      </c>
      <c r="G375">
        <v>-376.1628</v>
      </c>
      <c r="H375" s="1">
        <v>-3.1209620000000001E-6</v>
      </c>
      <c r="I375">
        <v>375.22559999999999</v>
      </c>
      <c r="J375">
        <v>-442.10750000000002</v>
      </c>
      <c r="K375">
        <v>1.110474</v>
      </c>
      <c r="L375">
        <v>366.84089999999998</v>
      </c>
      <c r="M375">
        <v>0.99985420000000003</v>
      </c>
      <c r="N375">
        <v>-1.1368730000000001E-2</v>
      </c>
      <c r="O375">
        <v>-1.273723E-2</v>
      </c>
      <c r="P375">
        <v>0.99057499999999998</v>
      </c>
      <c r="Q375">
        <v>8.0381969999999997E-2</v>
      </c>
      <c r="R375">
        <v>0.11090410000000001</v>
      </c>
      <c r="S375">
        <v>2.9902039999999999</v>
      </c>
      <c r="T375">
        <v>-5.0263879999999997E-2</v>
      </c>
      <c r="U375">
        <v>0.3794556</v>
      </c>
      <c r="V375">
        <v>-0.12350360000000001</v>
      </c>
      <c r="W375">
        <v>9.1634119999999999E-2</v>
      </c>
      <c r="X375">
        <v>0.98810430000000005</v>
      </c>
      <c r="Y375">
        <v>-0.13848379999999999</v>
      </c>
      <c r="Z375">
        <v>2.0187209999999998E-3</v>
      </c>
      <c r="AA375">
        <v>0.99036259999999998</v>
      </c>
      <c r="AB375">
        <v>22</v>
      </c>
      <c r="AC375">
        <v>65.944699999999997</v>
      </c>
      <c r="AD375">
        <v>-1.1104771209619999</v>
      </c>
      <c r="AE375">
        <v>8.3847000000000094</v>
      </c>
      <c r="AF375">
        <v>-9.2214535459715599</v>
      </c>
      <c r="AG375">
        <v>-1.1104771209619999</v>
      </c>
      <c r="AH375">
        <v>65.814179017840701</v>
      </c>
      <c r="AI375">
        <v>90.957305779827493</v>
      </c>
      <c r="AJ375">
        <v>97.975987138480505</v>
      </c>
      <c r="AK375">
        <v>66.466341291882998</v>
      </c>
      <c r="AL375">
        <v>84.742376358936696</v>
      </c>
      <c r="AM375">
        <v>97.124477528618797</v>
      </c>
      <c r="AN375">
        <v>1.0000000294198099</v>
      </c>
    </row>
    <row r="376" spans="1:40" x14ac:dyDescent="0.25">
      <c r="A376" t="str">
        <f>"20190304154734271"</f>
        <v>20190304154734271</v>
      </c>
      <c r="B376" t="str">
        <f>"1551685654267171"</f>
        <v>1551685654267171</v>
      </c>
      <c r="C376" t="s">
        <v>40</v>
      </c>
      <c r="D376">
        <v>4.0428389999999998</v>
      </c>
      <c r="E376">
        <v>0.49707059999999997</v>
      </c>
      <c r="F376" t="s">
        <v>44</v>
      </c>
      <c r="G376">
        <v>-358.02050000000003</v>
      </c>
      <c r="H376" s="1">
        <v>-2.8492880000000001E-6</v>
      </c>
      <c r="I376">
        <v>377.19970000000001</v>
      </c>
      <c r="J376">
        <v>-441.9855</v>
      </c>
      <c r="K376">
        <v>1.110476</v>
      </c>
      <c r="L376">
        <v>366.83920000000001</v>
      </c>
      <c r="M376">
        <v>0.99985409999999997</v>
      </c>
      <c r="N376">
        <v>-1.136029E-2</v>
      </c>
      <c r="O376">
        <v>-1.2762890000000001E-2</v>
      </c>
      <c r="P376">
        <v>0.99057649999999997</v>
      </c>
      <c r="Q376">
        <v>7.9780030000000002E-2</v>
      </c>
      <c r="R376">
        <v>0.1113273</v>
      </c>
      <c r="S376">
        <v>2.9905089999999999</v>
      </c>
      <c r="T376">
        <v>-3.9493439999999998E-2</v>
      </c>
      <c r="U376">
        <v>0.36840820000000002</v>
      </c>
      <c r="V376">
        <v>-0.12395249999999999</v>
      </c>
      <c r="W376">
        <v>9.1023469999999995E-2</v>
      </c>
      <c r="X376">
        <v>0.98810450000000005</v>
      </c>
      <c r="Y376">
        <v>-0.13490450000000001</v>
      </c>
      <c r="Z376">
        <v>1.6801629999999999E-3</v>
      </c>
      <c r="AA376">
        <v>0.99085719999999999</v>
      </c>
      <c r="AB376">
        <v>22</v>
      </c>
      <c r="AC376">
        <v>83.964999999999904</v>
      </c>
      <c r="AD376">
        <v>-1.110478849288</v>
      </c>
      <c r="AE376">
        <v>10.3605</v>
      </c>
      <c r="AF376">
        <v>-11.4293919877825</v>
      </c>
      <c r="AG376">
        <v>-1.110478849288</v>
      </c>
      <c r="AH376">
        <v>83.811481878863702</v>
      </c>
      <c r="AI376">
        <v>90.752147978965994</v>
      </c>
      <c r="AJ376">
        <v>97.765537531270894</v>
      </c>
      <c r="AK376">
        <v>84.594495442766203</v>
      </c>
      <c r="AL376">
        <v>84.777510699358601</v>
      </c>
      <c r="AM376">
        <v>97.150103981986803</v>
      </c>
      <c r="AN376">
        <v>0.99999999863366995</v>
      </c>
    </row>
    <row r="377" spans="1:40" x14ac:dyDescent="0.25">
      <c r="A377" t="str">
        <f>"20190304154734289"</f>
        <v>20190304154734289</v>
      </c>
      <c r="B377" t="str">
        <f>"1551685654287198"</f>
        <v>1551685654287198</v>
      </c>
      <c r="C377" t="s">
        <v>40</v>
      </c>
      <c r="D377">
        <v>4.0382389999999999</v>
      </c>
      <c r="E377">
        <v>0.49830029999999997</v>
      </c>
      <c r="F377" t="s">
        <v>44</v>
      </c>
      <c r="G377">
        <v>-321.48219999999998</v>
      </c>
      <c r="H377">
        <v>7.9985870000000001E-2</v>
      </c>
      <c r="I377">
        <v>380.96910000000003</v>
      </c>
      <c r="J377">
        <v>-441.8075</v>
      </c>
      <c r="K377">
        <v>1.110474</v>
      </c>
      <c r="L377">
        <v>366.83690000000001</v>
      </c>
      <c r="M377">
        <v>0.99985380000000001</v>
      </c>
      <c r="N377">
        <v>-1.134656E-2</v>
      </c>
      <c r="O377">
        <v>-1.2796989999999999E-2</v>
      </c>
      <c r="P377">
        <v>0.99050530000000003</v>
      </c>
      <c r="Q377">
        <v>7.9143630000000006E-2</v>
      </c>
      <c r="R377">
        <v>0.1124082</v>
      </c>
      <c r="S377">
        <v>2.9911799999999999</v>
      </c>
      <c r="T377">
        <v>-2.5579210000000002E-2</v>
      </c>
      <c r="U377">
        <v>0.35073850000000001</v>
      </c>
      <c r="V377">
        <v>-0.12506709999999999</v>
      </c>
      <c r="W377">
        <v>9.0371950000000006E-2</v>
      </c>
      <c r="X377">
        <v>0.98802389999999995</v>
      </c>
      <c r="Y377">
        <v>-0.12914990000000001</v>
      </c>
      <c r="Z377">
        <v>1.2499690000000001E-3</v>
      </c>
      <c r="AA377">
        <v>0.99162430000000001</v>
      </c>
      <c r="AB377">
        <v>22</v>
      </c>
      <c r="AC377">
        <v>120.3253</v>
      </c>
      <c r="AD377">
        <v>-1.0304881299999999</v>
      </c>
      <c r="AE377">
        <v>14.132199999999999</v>
      </c>
      <c r="AF377">
        <v>-15.6698096621024</v>
      </c>
      <c r="AG377">
        <v>-1.0304881299999999</v>
      </c>
      <c r="AH377">
        <v>120.125893882073</v>
      </c>
      <c r="AI377">
        <v>90.487365355484698</v>
      </c>
      <c r="AJ377">
        <v>97.431977697707794</v>
      </c>
      <c r="AK377">
        <v>121.147988929241</v>
      </c>
      <c r="AL377">
        <v>84.814994793351801</v>
      </c>
      <c r="AM377">
        <v>97.214306760579504</v>
      </c>
      <c r="AN377">
        <v>1.00000004791021</v>
      </c>
    </row>
    <row r="378" spans="1:40" x14ac:dyDescent="0.25">
      <c r="A378" t="str">
        <f>"20190304154734303"</f>
        <v>20190304154734303</v>
      </c>
      <c r="B378" t="str">
        <f>"1551685654296958"</f>
        <v>1551685654296958</v>
      </c>
      <c r="C378" t="s">
        <v>40</v>
      </c>
      <c r="D378">
        <v>4.035012</v>
      </c>
      <c r="E378">
        <v>0.49866899999999997</v>
      </c>
      <c r="F378" t="s">
        <v>45</v>
      </c>
      <c r="G378">
        <v>-247.96449999999999</v>
      </c>
      <c r="H378">
        <v>-0.05</v>
      </c>
      <c r="I378">
        <v>389.13749999999999</v>
      </c>
      <c r="J378">
        <v>-441.6651</v>
      </c>
      <c r="K378">
        <v>1.1104719999999999</v>
      </c>
      <c r="L378">
        <v>366.83510000000001</v>
      </c>
      <c r="M378">
        <v>0.99985360000000001</v>
      </c>
      <c r="N378">
        <v>-1.133399E-2</v>
      </c>
      <c r="O378">
        <v>-1.2822770000000001E-2</v>
      </c>
      <c r="P378">
        <v>0.99046710000000004</v>
      </c>
      <c r="Q378">
        <v>7.9091560000000005E-2</v>
      </c>
      <c r="R378">
        <v>0.11278100000000001</v>
      </c>
      <c r="S378">
        <v>2.9911500000000002</v>
      </c>
      <c r="T378">
        <v>-1.7907019999999999E-2</v>
      </c>
      <c r="U378">
        <v>0.34411619999999998</v>
      </c>
      <c r="V378">
        <v>-0.1254651</v>
      </c>
      <c r="W378">
        <v>9.0305930000000006E-2</v>
      </c>
      <c r="X378">
        <v>0.98797939999999995</v>
      </c>
      <c r="Y378">
        <v>-0.1270144</v>
      </c>
      <c r="Z378">
        <v>1.0328290000000001E-3</v>
      </c>
      <c r="AA378">
        <v>0.99190029999999996</v>
      </c>
      <c r="AB378">
        <v>22</v>
      </c>
      <c r="AC378">
        <v>193.70060000000001</v>
      </c>
      <c r="AD378">
        <v>-1.1604719999999999</v>
      </c>
      <c r="AE378">
        <v>22.302399999999899</v>
      </c>
      <c r="AF378">
        <v>-24.783625916096799</v>
      </c>
      <c r="AG378">
        <v>-1.1604719999999999</v>
      </c>
      <c r="AH378">
        <v>193.391825383472</v>
      </c>
      <c r="AI378">
        <v>90.341017611203199</v>
      </c>
      <c r="AJ378">
        <v>97.302787074842499</v>
      </c>
      <c r="AK378">
        <v>194.97685230294201</v>
      </c>
      <c r="AL378">
        <v>84.818792604829198</v>
      </c>
      <c r="AM378">
        <v>97.2373442721847</v>
      </c>
      <c r="AN378">
        <v>0.99999997356776704</v>
      </c>
    </row>
    <row r="379" spans="1:40" x14ac:dyDescent="0.25">
      <c r="A379" t="str">
        <f>"20190304154734315"</f>
        <v>20190304154734315</v>
      </c>
      <c r="B379" t="str">
        <f>"1551685654307695"</f>
        <v>1551685654307695</v>
      </c>
      <c r="C379" t="s">
        <v>40</v>
      </c>
      <c r="D379">
        <v>4.047822</v>
      </c>
      <c r="E379">
        <v>0.49893530000000003</v>
      </c>
      <c r="F379" t="s">
        <v>45</v>
      </c>
      <c r="G379">
        <v>-226.43100000000001</v>
      </c>
      <c r="H379">
        <v>-0.05</v>
      </c>
      <c r="I379">
        <v>391.46469999999999</v>
      </c>
      <c r="J379">
        <v>-441.53730000000002</v>
      </c>
      <c r="K379">
        <v>1.1104689999999999</v>
      </c>
      <c r="L379">
        <v>366.83339999999998</v>
      </c>
      <c r="M379">
        <v>0.9998534</v>
      </c>
      <c r="N379">
        <v>-1.1322179999999999E-2</v>
      </c>
      <c r="O379">
        <v>-1.284559E-2</v>
      </c>
      <c r="P379">
        <v>0.9904191</v>
      </c>
      <c r="Q379">
        <v>7.9268640000000001E-2</v>
      </c>
      <c r="R379">
        <v>0.1130776</v>
      </c>
      <c r="S379">
        <v>2.9911799999999999</v>
      </c>
      <c r="T379">
        <v>-1.6127470000000001E-2</v>
      </c>
      <c r="U379">
        <v>0.34228520000000001</v>
      </c>
      <c r="V379">
        <v>-0.12578349999999999</v>
      </c>
      <c r="W379">
        <v>9.0471200000000002E-2</v>
      </c>
      <c r="X379">
        <v>0.98792380000000002</v>
      </c>
      <c r="Y379">
        <v>-0.12643740000000001</v>
      </c>
      <c r="Z379">
        <v>9.8197949999999997E-4</v>
      </c>
      <c r="AA379">
        <v>0.99197409999999997</v>
      </c>
      <c r="AB379">
        <v>22</v>
      </c>
      <c r="AC379">
        <v>215.1063</v>
      </c>
      <c r="AD379">
        <v>-1.160469</v>
      </c>
      <c r="AE379">
        <v>24.6313</v>
      </c>
      <c r="AF379">
        <v>-27.391824981498999</v>
      </c>
      <c r="AG379">
        <v>-1.160469</v>
      </c>
      <c r="AH379">
        <v>214.76595610808701</v>
      </c>
      <c r="AI379">
        <v>90.307101994274703</v>
      </c>
      <c r="AJ379">
        <v>97.268414534855793</v>
      </c>
      <c r="AK379">
        <v>216.50883276933001</v>
      </c>
      <c r="AL379">
        <v>84.809284447413305</v>
      </c>
      <c r="AM379">
        <v>97.255919406038501</v>
      </c>
      <c r="AN379">
        <v>0.99999998075406404</v>
      </c>
    </row>
    <row r="380" spans="1:40" x14ac:dyDescent="0.25">
      <c r="A380" t="str">
        <f>"20190304154734327"</f>
        <v>20190304154734327</v>
      </c>
      <c r="B380" t="str">
        <f>"1551685654317454"</f>
        <v>1551685654317454</v>
      </c>
      <c r="C380" t="s">
        <v>40</v>
      </c>
      <c r="D380">
        <v>4.0326019999999998</v>
      </c>
      <c r="E380">
        <v>0.4992336</v>
      </c>
      <c r="F380" t="s">
        <v>51</v>
      </c>
      <c r="G380">
        <v>-222.1807</v>
      </c>
      <c r="H380">
        <v>0.1058568</v>
      </c>
      <c r="I380">
        <v>391.87</v>
      </c>
      <c r="J380">
        <v>-441.42360000000002</v>
      </c>
      <c r="K380">
        <v>1.1104639999999999</v>
      </c>
      <c r="L380">
        <v>366.83190000000002</v>
      </c>
      <c r="M380">
        <v>0.99985329999999994</v>
      </c>
      <c r="N380">
        <v>-1.131129E-2</v>
      </c>
      <c r="O380">
        <v>-1.2865909999999999E-2</v>
      </c>
      <c r="P380">
        <v>0.99035720000000005</v>
      </c>
      <c r="Q380">
        <v>7.9400449999999997E-2</v>
      </c>
      <c r="R380">
        <v>0.1135278</v>
      </c>
      <c r="S380">
        <v>2.9911500000000002</v>
      </c>
      <c r="T380">
        <v>-1.369894E-2</v>
      </c>
      <c r="U380">
        <v>0.34140009999999998</v>
      </c>
      <c r="V380">
        <v>-0.12625319999999901</v>
      </c>
      <c r="W380">
        <v>9.0591350000000001E-2</v>
      </c>
      <c r="X380">
        <v>0.98785290000000003</v>
      </c>
      <c r="Y380">
        <v>-0.12617</v>
      </c>
      <c r="Z380">
        <v>9.176004E-4</v>
      </c>
      <c r="AA380">
        <v>0.99200820000000001</v>
      </c>
      <c r="AB380">
        <v>22</v>
      </c>
      <c r="AC380">
        <v>219.24289999999999</v>
      </c>
      <c r="AD380">
        <v>-1.0046071999999999</v>
      </c>
      <c r="AE380">
        <v>25.038099999999901</v>
      </c>
      <c r="AF380">
        <v>-27.8563897503</v>
      </c>
      <c r="AG380">
        <v>-1.0046071999999999</v>
      </c>
      <c r="AH380">
        <v>218.898055709951</v>
      </c>
      <c r="AI380">
        <v>90.260846856710401</v>
      </c>
      <c r="AJ380">
        <v>97.252328442159595</v>
      </c>
      <c r="AK380">
        <v>220.66568940173701</v>
      </c>
      <c r="AL380">
        <v>84.802372114108195</v>
      </c>
      <c r="AM380">
        <v>97.283241135627406</v>
      </c>
      <c r="AN380">
        <v>1.0000000076217299</v>
      </c>
    </row>
    <row r="381" spans="1:40" x14ac:dyDescent="0.25">
      <c r="A381" t="str">
        <f>"20190304154734345"</f>
        <v>20190304154734345</v>
      </c>
      <c r="B381" t="str">
        <f>"1551685654336973"</f>
        <v>1551685654336973</v>
      </c>
      <c r="C381" t="s">
        <v>40</v>
      </c>
      <c r="D381">
        <v>4.0432319999999997</v>
      </c>
      <c r="E381">
        <v>0.49978299999999998</v>
      </c>
      <c r="F381" t="s">
        <v>51</v>
      </c>
      <c r="G381">
        <v>-221.3458</v>
      </c>
      <c r="H381">
        <v>0.237569</v>
      </c>
      <c r="I381">
        <v>391.87</v>
      </c>
      <c r="J381">
        <v>-441.24009999999998</v>
      </c>
      <c r="K381">
        <v>1.1104579999999999</v>
      </c>
      <c r="L381">
        <v>366.8295</v>
      </c>
      <c r="M381">
        <v>0.99985310000000005</v>
      </c>
      <c r="N381">
        <v>-1.129434E-2</v>
      </c>
      <c r="O381">
        <v>-1.289885E-2</v>
      </c>
      <c r="P381">
        <v>0.99032719999999996</v>
      </c>
      <c r="Q381">
        <v>7.8814250000000002E-2</v>
      </c>
      <c r="R381">
        <v>0.1141954</v>
      </c>
      <c r="S381">
        <v>2.9911500000000002</v>
      </c>
      <c r="T381">
        <v>-1.1863830000000001E-2</v>
      </c>
      <c r="U381">
        <v>0.34030149999999998</v>
      </c>
      <c r="V381">
        <v>-0.12695300000000001</v>
      </c>
      <c r="W381">
        <v>8.9988230000000002E-2</v>
      </c>
      <c r="X381">
        <v>0.98781839999999999</v>
      </c>
      <c r="Y381">
        <v>-0.1258437</v>
      </c>
      <c r="Z381">
        <v>8.6755000000000003E-4</v>
      </c>
      <c r="AA381">
        <v>0.99204970000000003</v>
      </c>
      <c r="AB381">
        <v>22</v>
      </c>
      <c r="AC381">
        <v>219.89429999999999</v>
      </c>
      <c r="AD381">
        <v>-0.87288899999999903</v>
      </c>
      <c r="AE381">
        <v>25.040500000000002</v>
      </c>
      <c r="AF381">
        <v>-27.874547195215001</v>
      </c>
      <c r="AG381">
        <v>-0.87288899999999903</v>
      </c>
      <c r="AH381">
        <v>219.54957434836001</v>
      </c>
      <c r="AI381">
        <v>90.225982296398698</v>
      </c>
      <c r="AJ381">
        <v>97.235698535389304</v>
      </c>
      <c r="AK381">
        <v>221.313731867434</v>
      </c>
      <c r="AL381">
        <v>84.837070382972996</v>
      </c>
      <c r="AM381">
        <v>97.323426850044697</v>
      </c>
      <c r="AN381">
        <v>1.0000000685630399</v>
      </c>
    </row>
    <row r="382" spans="1:40" x14ac:dyDescent="0.25">
      <c r="A382" t="str">
        <f>"20190304154734357"</f>
        <v>20190304154734357</v>
      </c>
      <c r="B382" t="str">
        <f>"1551685654347711"</f>
        <v>1551685654347711</v>
      </c>
      <c r="C382" t="s">
        <v>40</v>
      </c>
      <c r="D382">
        <v>4.0842609999999997</v>
      </c>
      <c r="E382">
        <v>0.49996699999999999</v>
      </c>
      <c r="F382" t="s">
        <v>51</v>
      </c>
      <c r="G382">
        <v>-219.73949999999999</v>
      </c>
      <c r="H382">
        <v>0.1309283</v>
      </c>
      <c r="I382">
        <v>391.87</v>
      </c>
      <c r="J382">
        <v>-441.12380000000002</v>
      </c>
      <c r="K382">
        <v>1.1104069999999999</v>
      </c>
      <c r="L382">
        <v>366.82799999999997</v>
      </c>
      <c r="M382">
        <v>0.99985469999999999</v>
      </c>
      <c r="N382">
        <v>-1.112194E-2</v>
      </c>
      <c r="O382">
        <v>-1.292102E-2</v>
      </c>
      <c r="P382">
        <v>0.99025960000000002</v>
      </c>
      <c r="Q382">
        <v>7.8869289999999995E-2</v>
      </c>
      <c r="R382">
        <v>0.1147418</v>
      </c>
      <c r="S382">
        <v>2.9913020000000001</v>
      </c>
      <c r="T382">
        <v>-1.32282999999999E-2</v>
      </c>
      <c r="U382">
        <v>0.3381653</v>
      </c>
      <c r="V382">
        <v>-0.12751999999999999</v>
      </c>
      <c r="W382">
        <v>8.9872830000000001E-2</v>
      </c>
      <c r="X382">
        <v>0.98775579999999996</v>
      </c>
      <c r="Y382">
        <v>-0.1251601</v>
      </c>
      <c r="Z382">
        <v>8.8785399999999999E-4</v>
      </c>
      <c r="AA382">
        <v>0.99213620000000002</v>
      </c>
      <c r="AB382">
        <v>22</v>
      </c>
      <c r="AC382">
        <v>221.3843</v>
      </c>
      <c r="AD382">
        <v>-0.97947870000000004</v>
      </c>
      <c r="AE382">
        <v>25.041999999999899</v>
      </c>
      <c r="AF382">
        <v>-27.9000578028947</v>
      </c>
      <c r="AG382">
        <v>-0.97947870000000004</v>
      </c>
      <c r="AH382">
        <v>221.03795629634101</v>
      </c>
      <c r="AI382">
        <v>90.251892713871101</v>
      </c>
      <c r="AJ382">
        <v>97.193996506224906</v>
      </c>
      <c r="AK382">
        <v>222.79396474678501</v>
      </c>
      <c r="AL382">
        <v>84.843708851976004</v>
      </c>
      <c r="AM382">
        <v>97.356238525420693</v>
      </c>
      <c r="AN382">
        <v>0.99999999820292396</v>
      </c>
    </row>
    <row r="383" spans="1:40" x14ac:dyDescent="0.25">
      <c r="A383" t="str">
        <f>"20190304154734369"</f>
        <v>20190304154734369</v>
      </c>
      <c r="B383" t="str">
        <f>"1551685654357470"</f>
        <v>1551685654357470</v>
      </c>
      <c r="C383" t="s">
        <v>40</v>
      </c>
      <c r="D383">
        <v>4.0823669999999996</v>
      </c>
      <c r="E383">
        <v>0.5001293</v>
      </c>
      <c r="F383" t="s">
        <v>51</v>
      </c>
      <c r="G383">
        <v>-219.8338</v>
      </c>
      <c r="H383">
        <v>0.18944720000000001</v>
      </c>
      <c r="I383">
        <v>391.87</v>
      </c>
      <c r="J383">
        <v>-441.00110000000001</v>
      </c>
      <c r="K383">
        <v>1.110311</v>
      </c>
      <c r="L383">
        <v>366.82639999999998</v>
      </c>
      <c r="M383">
        <v>0.99985829999999998</v>
      </c>
      <c r="N383">
        <v>-1.076645E-2</v>
      </c>
      <c r="O383">
        <v>-1.29452E-2</v>
      </c>
      <c r="P383">
        <v>0.99018280000000003</v>
      </c>
      <c r="Q383">
        <v>7.9560740000000005E-2</v>
      </c>
      <c r="R383">
        <v>0.1149279</v>
      </c>
      <c r="S383">
        <v>2.991241</v>
      </c>
      <c r="T383">
        <v>-1.2448910000000001E-2</v>
      </c>
      <c r="U383">
        <v>0.338501</v>
      </c>
      <c r="V383">
        <v>-0.1277286</v>
      </c>
      <c r="W383">
        <v>9.0212390000000003E-2</v>
      </c>
      <c r="X383">
        <v>0.98769790000000002</v>
      </c>
      <c r="Y383">
        <v>-0.12529660000000001</v>
      </c>
      <c r="Z383">
        <v>8.5137319999999996E-4</v>
      </c>
      <c r="AA383">
        <v>0.99211899999999997</v>
      </c>
      <c r="AB383">
        <v>22</v>
      </c>
      <c r="AC383">
        <v>221.16730000000001</v>
      </c>
      <c r="AD383">
        <v>-0.92086380000000001</v>
      </c>
      <c r="AE383">
        <v>25.043600000000001</v>
      </c>
      <c r="AF383">
        <v>-27.904244383971299</v>
      </c>
      <c r="AG383">
        <v>-0.92086380000000001</v>
      </c>
      <c r="AH383">
        <v>220.82077279748</v>
      </c>
      <c r="AI383">
        <v>90.237047585139194</v>
      </c>
      <c r="AJ383">
        <v>97.202066978492397</v>
      </c>
      <c r="AK383">
        <v>222.57876930123999</v>
      </c>
      <c r="AL383">
        <v>84.824174186360807</v>
      </c>
      <c r="AM383">
        <v>97.368567077952505</v>
      </c>
      <c r="AN383">
        <v>1.00000000611594</v>
      </c>
    </row>
    <row r="384" spans="1:40" x14ac:dyDescent="0.25">
      <c r="A384" t="str">
        <f>"20190304154734382"</f>
        <v>20190304154734382</v>
      </c>
      <c r="B384" t="str">
        <f>"1551685654377496"</f>
        <v>1551685654377496</v>
      </c>
      <c r="C384" t="s">
        <v>40</v>
      </c>
      <c r="D384">
        <v>4.0809850000000001</v>
      </c>
      <c r="E384">
        <v>0.50042370000000003</v>
      </c>
      <c r="F384" t="s">
        <v>51</v>
      </c>
      <c r="G384">
        <v>-219.27019999999999</v>
      </c>
      <c r="H384">
        <v>0.3601799</v>
      </c>
      <c r="I384">
        <v>391.87</v>
      </c>
      <c r="J384">
        <v>-440.87189999999998</v>
      </c>
      <c r="K384">
        <v>1.1101620000000001</v>
      </c>
      <c r="L384">
        <v>366.82459999999998</v>
      </c>
      <c r="M384">
        <v>0.99986200000000003</v>
      </c>
      <c r="N384">
        <v>-1.039294E-2</v>
      </c>
      <c r="O384">
        <v>-1.297209E-2</v>
      </c>
      <c r="P384">
        <v>0.99011400000000005</v>
      </c>
      <c r="Q384">
        <v>8.0063049999999997E-2</v>
      </c>
      <c r="R384">
        <v>0.1151706</v>
      </c>
      <c r="S384">
        <v>2.991333</v>
      </c>
      <c r="T384">
        <v>-1.0119919999999999E-2</v>
      </c>
      <c r="U384">
        <v>0.337860099999999</v>
      </c>
      <c r="V384">
        <v>-0.12799679999999999</v>
      </c>
      <c r="W384">
        <v>9.0344880000000002E-2</v>
      </c>
      <c r="X384">
        <v>0.9876511</v>
      </c>
      <c r="Y384">
        <v>-0.1251109</v>
      </c>
      <c r="Z384">
        <v>7.7255939999999995E-4</v>
      </c>
      <c r="AA384">
        <v>0.99214239999999998</v>
      </c>
      <c r="AB384">
        <v>22</v>
      </c>
      <c r="AC384">
        <v>221.60169999999999</v>
      </c>
      <c r="AD384">
        <v>-0.74998209999999998</v>
      </c>
      <c r="AE384">
        <v>25.045400000000001</v>
      </c>
      <c r="AF384">
        <v>-27.9177687062408</v>
      </c>
      <c r="AG384">
        <v>-0.74998209999999998</v>
      </c>
      <c r="AH384">
        <v>221.25564121011101</v>
      </c>
      <c r="AI384">
        <v>90.1926848430072</v>
      </c>
      <c r="AJ384">
        <v>97.191507194714504</v>
      </c>
      <c r="AK384">
        <v>223.011262159522</v>
      </c>
      <c r="AL384">
        <v>84.8165521026839</v>
      </c>
      <c r="AM384">
        <v>97.384214791977399</v>
      </c>
      <c r="AN384">
        <v>1.00000003674183</v>
      </c>
    </row>
    <row r="385" spans="1:40" x14ac:dyDescent="0.25">
      <c r="A385" t="str">
        <f>"20190304154734396"</f>
        <v>20190304154734396</v>
      </c>
      <c r="B385" t="str">
        <f>"1551685654387257"</f>
        <v>1551685654387257</v>
      </c>
      <c r="C385" t="s">
        <v>40</v>
      </c>
      <c r="D385">
        <v>4.0580949999999998</v>
      </c>
      <c r="E385">
        <v>0.50032719999999997</v>
      </c>
      <c r="F385" t="s">
        <v>51</v>
      </c>
      <c r="G385">
        <v>-217.94640000000001</v>
      </c>
      <c r="H385">
        <v>0.51044959999999995</v>
      </c>
      <c r="I385">
        <v>391.87</v>
      </c>
      <c r="J385">
        <v>-440.72680000000003</v>
      </c>
      <c r="K385">
        <v>1.109969</v>
      </c>
      <c r="L385">
        <v>366.8227</v>
      </c>
      <c r="M385">
        <v>0.99986489999999995</v>
      </c>
      <c r="N385">
        <v>-1.0066769999999999E-2</v>
      </c>
      <c r="O385">
        <v>-1.30025E-2</v>
      </c>
      <c r="P385">
        <v>0.9900118</v>
      </c>
      <c r="Q385">
        <v>8.0918859999999995E-2</v>
      </c>
      <c r="R385">
        <v>0.11545130000000001</v>
      </c>
      <c r="S385">
        <v>2.9914860000000001</v>
      </c>
      <c r="T385">
        <v>-8.0476999999999996E-3</v>
      </c>
      <c r="U385">
        <v>0.3360901</v>
      </c>
      <c r="V385">
        <v>-0.12830610000000001</v>
      </c>
      <c r="W385">
        <v>9.087721E-2</v>
      </c>
      <c r="X385">
        <v>0.9875621</v>
      </c>
      <c r="Y385">
        <v>-0.124556399999999</v>
      </c>
      <c r="Z385">
        <v>7.0035270000000003E-4</v>
      </c>
      <c r="AA385">
        <v>0.99221230000000005</v>
      </c>
      <c r="AB385">
        <v>23</v>
      </c>
      <c r="AC385">
        <v>222.78039999999999</v>
      </c>
      <c r="AD385">
        <v>-0.59951939999999904</v>
      </c>
      <c r="AE385">
        <v>25.0473</v>
      </c>
      <c r="AF385">
        <v>-27.941831174024699</v>
      </c>
      <c r="AG385">
        <v>-0.59951939999999904</v>
      </c>
      <c r="AH385">
        <v>222.434280390369</v>
      </c>
      <c r="AI385">
        <v>90.153222765175499</v>
      </c>
      <c r="AJ385">
        <v>97.159898462001806</v>
      </c>
      <c r="AK385">
        <v>224.183216244325</v>
      </c>
      <c r="AL385">
        <v>84.785925726233899</v>
      </c>
      <c r="AM385">
        <v>97.402520529161805</v>
      </c>
      <c r="AN385">
        <v>1.0000000119754999</v>
      </c>
    </row>
    <row r="386" spans="1:40" x14ac:dyDescent="0.25">
      <c r="A386" t="str">
        <f>"20190304154734413"</f>
        <v>20190304154734413</v>
      </c>
      <c r="B386" t="str">
        <f>"1551685654407754"</f>
        <v>1551685654407754</v>
      </c>
      <c r="C386" t="s">
        <v>40</v>
      </c>
      <c r="D386">
        <v>4.3346179999999999</v>
      </c>
      <c r="E386">
        <v>0.49996869999999999</v>
      </c>
      <c r="F386" t="s">
        <v>51</v>
      </c>
      <c r="G386">
        <v>-218.946</v>
      </c>
      <c r="H386">
        <v>0.73524929999999999</v>
      </c>
      <c r="I386">
        <v>391.87</v>
      </c>
      <c r="J386">
        <v>-440.55040000000002</v>
      </c>
      <c r="K386">
        <v>1.109696</v>
      </c>
      <c r="L386">
        <v>366.82040000000001</v>
      </c>
      <c r="M386">
        <v>0.99986569999999997</v>
      </c>
      <c r="N386">
        <v>-9.9470210000000003E-3</v>
      </c>
      <c r="O386">
        <v>-1.303995E-2</v>
      </c>
      <c r="P386">
        <v>0.99000379999999999</v>
      </c>
      <c r="Q386">
        <v>8.0943550000000003E-2</v>
      </c>
      <c r="R386">
        <v>0.1155023</v>
      </c>
      <c r="S386">
        <v>2.9913020000000001</v>
      </c>
      <c r="T386">
        <v>-5.054116E-3</v>
      </c>
      <c r="U386">
        <v>0.33782960000000001</v>
      </c>
      <c r="V386">
        <v>-0.12839339999999999</v>
      </c>
      <c r="W386">
        <v>9.0784130000000005E-2</v>
      </c>
      <c r="X386">
        <v>0.98755930000000003</v>
      </c>
      <c r="Y386">
        <v>-0.125170899999999</v>
      </c>
      <c r="Z386">
        <v>6.2262500000000002E-4</v>
      </c>
      <c r="AA386">
        <v>0.99213499999999999</v>
      </c>
      <c r="AB386">
        <v>23</v>
      </c>
      <c r="AC386">
        <v>221.6044</v>
      </c>
      <c r="AD386">
        <v>-0.37444670000000002</v>
      </c>
      <c r="AE386">
        <v>25.049600000000002</v>
      </c>
      <c r="AF386">
        <v>-27.9372439059361</v>
      </c>
      <c r="AG386">
        <v>-0.37444670000000002</v>
      </c>
      <c r="AH386">
        <v>221.25827112897599</v>
      </c>
      <c r="AI386">
        <v>90.096200662176798</v>
      </c>
      <c r="AJ386">
        <v>97.196386709467205</v>
      </c>
      <c r="AK386">
        <v>223.01536348506201</v>
      </c>
      <c r="AL386">
        <v>84.791280876889402</v>
      </c>
      <c r="AM386">
        <v>97.4075220850888</v>
      </c>
      <c r="AN386">
        <v>0.99999999721995303</v>
      </c>
    </row>
    <row r="387" spans="1:40" x14ac:dyDescent="0.25">
      <c r="A387" t="str">
        <f>"20190304154734427"</f>
        <v>20190304154734427</v>
      </c>
      <c r="B387" t="str">
        <f>"1551685654417513"</f>
        <v>1551685654417513</v>
      </c>
      <c r="C387" t="s">
        <v>40</v>
      </c>
      <c r="D387">
        <v>4.099977</v>
      </c>
      <c r="E387">
        <v>0.50010019999999999</v>
      </c>
      <c r="F387" t="s">
        <v>51</v>
      </c>
      <c r="G387">
        <v>-220.8449</v>
      </c>
      <c r="H387">
        <v>0.81372999999999995</v>
      </c>
      <c r="I387">
        <v>391.87</v>
      </c>
      <c r="J387">
        <v>-440.40320000000003</v>
      </c>
      <c r="K387">
        <v>1.1094079999999999</v>
      </c>
      <c r="L387">
        <v>366.81849999999997</v>
      </c>
      <c r="M387">
        <v>0.9998631</v>
      </c>
      <c r="N387">
        <v>-1.015156E-2</v>
      </c>
      <c r="O387">
        <v>-1.307115E-2</v>
      </c>
      <c r="P387">
        <v>0.99002509999999999</v>
      </c>
      <c r="Q387">
        <v>8.0748840000000002E-2</v>
      </c>
      <c r="R387">
        <v>0.115456</v>
      </c>
      <c r="S387">
        <v>2.990875</v>
      </c>
      <c r="T387">
        <v>-4.0290359999999997E-3</v>
      </c>
      <c r="U387">
        <v>0.34100340000000001</v>
      </c>
      <c r="V387">
        <v>-0.1283782</v>
      </c>
      <c r="W387">
        <v>9.0791730000000001E-2</v>
      </c>
      <c r="X387">
        <v>0.98756060000000001</v>
      </c>
      <c r="Y387">
        <v>-0.12625720000000001</v>
      </c>
      <c r="Z387">
        <v>6.130167E-4</v>
      </c>
      <c r="AA387">
        <v>0.99199740000000003</v>
      </c>
      <c r="AB387">
        <v>23</v>
      </c>
      <c r="AC387">
        <v>219.5583</v>
      </c>
      <c r="AD387">
        <v>-0.295677999999999</v>
      </c>
      <c r="AE387">
        <v>25.051500000000001</v>
      </c>
      <c r="AF387">
        <v>-27.919336795786801</v>
      </c>
      <c r="AG387">
        <v>-0.295677999999999</v>
      </c>
      <c r="AH387">
        <v>219.21167973794999</v>
      </c>
      <c r="AI387">
        <v>90.076662604764195</v>
      </c>
      <c r="AJ387">
        <v>97.258253395781594</v>
      </c>
      <c r="AK387">
        <v>220.98266295374799</v>
      </c>
      <c r="AL387">
        <v>84.790843739972004</v>
      </c>
      <c r="AM387">
        <v>97.406645233081704</v>
      </c>
      <c r="AN387">
        <v>1.00000001957199</v>
      </c>
    </row>
    <row r="388" spans="1:40" x14ac:dyDescent="0.25">
      <c r="A388" t="str">
        <f>"20190304154734438"</f>
        <v>20190304154734438</v>
      </c>
      <c r="B388" t="str">
        <f>"1551685654427274"</f>
        <v>1551685654427274</v>
      </c>
      <c r="C388" t="s">
        <v>40</v>
      </c>
      <c r="D388">
        <v>4.1132229999999996</v>
      </c>
      <c r="E388">
        <v>0.50028589999999995</v>
      </c>
      <c r="F388" t="s">
        <v>51</v>
      </c>
      <c r="G388">
        <v>-219.80289999999999</v>
      </c>
      <c r="H388">
        <v>0.77569100000000002</v>
      </c>
      <c r="I388">
        <v>391.87</v>
      </c>
      <c r="J388">
        <v>-440.2901</v>
      </c>
      <c r="K388">
        <v>1.109127</v>
      </c>
      <c r="L388">
        <v>366.81700000000001</v>
      </c>
      <c r="M388">
        <v>0.99985979999999997</v>
      </c>
      <c r="N388">
        <v>-1.0438299999999999E-2</v>
      </c>
      <c r="O388">
        <v>-1.309504E-2</v>
      </c>
      <c r="P388">
        <v>0.99001709999999998</v>
      </c>
      <c r="Q388">
        <v>8.0319210000000002E-2</v>
      </c>
      <c r="R388">
        <v>0.1158236</v>
      </c>
      <c r="S388">
        <v>2.9909970000000001</v>
      </c>
      <c r="T388">
        <v>-4.5247079999999997E-3</v>
      </c>
      <c r="U388">
        <v>0.33966059999999998</v>
      </c>
      <c r="V388">
        <v>-0.12876940000000001</v>
      </c>
      <c r="W388">
        <v>9.0645959999999998E-2</v>
      </c>
      <c r="X388">
        <v>0.98752300000000004</v>
      </c>
      <c r="Y388">
        <v>-0.12583659999999999</v>
      </c>
      <c r="Z388">
        <v>6.3727689999999997E-4</v>
      </c>
      <c r="AA388">
        <v>0.99205080000000001</v>
      </c>
      <c r="AB388">
        <v>23</v>
      </c>
      <c r="AC388">
        <v>220.4872</v>
      </c>
      <c r="AD388">
        <v>-0.33343599999999901</v>
      </c>
      <c r="AE388">
        <v>25.053000000000001</v>
      </c>
      <c r="AF388">
        <v>-27.938234479228701</v>
      </c>
      <c r="AG388">
        <v>-0.33343599999999901</v>
      </c>
      <c r="AH388">
        <v>220.13970761460601</v>
      </c>
      <c r="AI388">
        <v>90.086092792165303</v>
      </c>
      <c r="AJ388">
        <v>97.232820138037297</v>
      </c>
      <c r="AK388">
        <v>221.90571645188999</v>
      </c>
      <c r="AL388">
        <v>84.799230026994394</v>
      </c>
      <c r="AM388">
        <v>97.429243071119203</v>
      </c>
      <c r="AN388">
        <v>0.99999996198483998</v>
      </c>
    </row>
    <row r="389" spans="1:40" x14ac:dyDescent="0.25">
      <c r="A389" t="str">
        <f>"20190304154734457"</f>
        <v>20190304154734457</v>
      </c>
      <c r="B389" t="str">
        <f>"1551685654447769"</f>
        <v>1551685654447769</v>
      </c>
      <c r="C389" t="s">
        <v>40</v>
      </c>
      <c r="D389">
        <v>4.1342699999999999</v>
      </c>
      <c r="E389">
        <v>0.50055769999999999</v>
      </c>
      <c r="F389" t="s">
        <v>51</v>
      </c>
      <c r="G389">
        <v>-219.41640000000001</v>
      </c>
      <c r="H389">
        <v>0.67034009999999999</v>
      </c>
      <c r="I389">
        <v>391.87</v>
      </c>
      <c r="J389">
        <v>-440.1001</v>
      </c>
      <c r="K389">
        <v>1.1085469999999999</v>
      </c>
      <c r="L389">
        <v>366.81439999999998</v>
      </c>
      <c r="M389">
        <v>0.99985190000000002</v>
      </c>
      <c r="N389">
        <v>-1.11208E-2</v>
      </c>
      <c r="O389">
        <v>-1.313427E-2</v>
      </c>
      <c r="P389">
        <v>0.99001669999999997</v>
      </c>
      <c r="Q389">
        <v>8.0716239999999995E-2</v>
      </c>
      <c r="R389">
        <v>0.1155513</v>
      </c>
      <c r="S389">
        <v>2.991028</v>
      </c>
      <c r="T389">
        <v>-5.9419869999999897E-3</v>
      </c>
      <c r="U389">
        <v>0.33926390000000001</v>
      </c>
      <c r="V389">
        <v>-0.12853489999999901</v>
      </c>
      <c r="W389">
        <v>9.1717699999999999E-2</v>
      </c>
      <c r="X389">
        <v>0.98745470000000002</v>
      </c>
      <c r="Y389">
        <v>-0.12574399999999999</v>
      </c>
      <c r="Z389">
        <v>7.063859E-4</v>
      </c>
      <c r="AA389">
        <v>0.99206240000000001</v>
      </c>
      <c r="AB389">
        <v>23</v>
      </c>
      <c r="AC389">
        <v>220.68369999999999</v>
      </c>
      <c r="AD389">
        <v>-0.43820690000000001</v>
      </c>
      <c r="AE389">
        <v>25.055599999999998</v>
      </c>
      <c r="AF389">
        <v>-27.9520282161638</v>
      </c>
      <c r="AG389">
        <v>-0.43820690000000001</v>
      </c>
      <c r="AH389">
        <v>220.33469678496101</v>
      </c>
      <c r="AI389">
        <v>90.113045029016902</v>
      </c>
      <c r="AJ389">
        <v>97.2300171531529</v>
      </c>
      <c r="AK389">
        <v>222.10107274393101</v>
      </c>
      <c r="AL389">
        <v>84.737567544773299</v>
      </c>
      <c r="AM389">
        <v>97.416371746308101</v>
      </c>
      <c r="AN389">
        <v>1.0000000707816901</v>
      </c>
    </row>
    <row r="390" spans="1:40" x14ac:dyDescent="0.25">
      <c r="A390" t="str">
        <f>"20190304154734469"</f>
        <v>20190304154734469</v>
      </c>
      <c r="B390" t="str">
        <f>"1551685654457530"</f>
        <v>1551685654457530</v>
      </c>
      <c r="C390" t="s">
        <v>40</v>
      </c>
      <c r="D390">
        <v>4.1273589999999896</v>
      </c>
      <c r="E390">
        <v>0.5006758</v>
      </c>
      <c r="F390" t="s">
        <v>51</v>
      </c>
      <c r="G390">
        <v>-217.1268</v>
      </c>
      <c r="H390">
        <v>0.73985529999999999</v>
      </c>
      <c r="I390">
        <v>391.87</v>
      </c>
      <c r="J390">
        <v>-439.97719999999998</v>
      </c>
      <c r="K390">
        <v>1.108088</v>
      </c>
      <c r="L390">
        <v>366.81279999999998</v>
      </c>
      <c r="M390">
        <v>0.99984519999999999</v>
      </c>
      <c r="N390">
        <v>-1.168575E-2</v>
      </c>
      <c r="O390">
        <v>-1.3157769999999999E-2</v>
      </c>
      <c r="P390">
        <v>0.99001600000000001</v>
      </c>
      <c r="Q390">
        <v>8.0711409999999997E-2</v>
      </c>
      <c r="R390">
        <v>0.1155602</v>
      </c>
      <c r="S390">
        <v>2.9914550000000002</v>
      </c>
      <c r="T390">
        <v>-4.9464699999999997E-3</v>
      </c>
      <c r="U390">
        <v>0.33615109999999998</v>
      </c>
      <c r="V390">
        <v>-0.12856689999999901</v>
      </c>
      <c r="W390">
        <v>9.2271329999999999E-2</v>
      </c>
      <c r="X390">
        <v>0.98739889999999997</v>
      </c>
      <c r="Y390">
        <v>-0.1247323</v>
      </c>
      <c r="Z390">
        <v>7.0234679999999904E-4</v>
      </c>
      <c r="AA390">
        <v>0.99219020000000002</v>
      </c>
      <c r="AB390">
        <v>23</v>
      </c>
      <c r="AC390">
        <v>222.85040000000001</v>
      </c>
      <c r="AD390">
        <v>-0.36823269999999902</v>
      </c>
      <c r="AE390">
        <v>25.057200000000002</v>
      </c>
      <c r="AF390">
        <v>-27.987369488178199</v>
      </c>
      <c r="AG390">
        <v>-0.36823269999999902</v>
      </c>
      <c r="AH390">
        <v>222.50078654149999</v>
      </c>
      <c r="AI390">
        <v>90.094081501343794</v>
      </c>
      <c r="AJ390">
        <v>97.169324683228297</v>
      </c>
      <c r="AK390">
        <v>224.25438336357001</v>
      </c>
      <c r="AL390">
        <v>84.705711514378194</v>
      </c>
      <c r="AM390">
        <v>97.418612109543602</v>
      </c>
      <c r="AN390">
        <v>1.00000001691839</v>
      </c>
    </row>
    <row r="391" spans="1:40" x14ac:dyDescent="0.25">
      <c r="A391" t="str">
        <f>"20190304154734480"</f>
        <v>20190304154734480</v>
      </c>
      <c r="B391" t="str">
        <f>"1551685654477555"</f>
        <v>1551685654477555</v>
      </c>
      <c r="C391" t="s">
        <v>40</v>
      </c>
      <c r="D391">
        <v>4.1371929999999999</v>
      </c>
      <c r="E391">
        <v>0.50082839999999995</v>
      </c>
      <c r="F391" t="s">
        <v>51</v>
      </c>
      <c r="G391">
        <v>-216.37809999999999</v>
      </c>
      <c r="H391">
        <v>0.72257609999999906</v>
      </c>
      <c r="I391">
        <v>391.87</v>
      </c>
      <c r="J391">
        <v>-439.86320000000001</v>
      </c>
      <c r="K391">
        <v>1.107594</v>
      </c>
      <c r="L391">
        <v>366.81119999999999</v>
      </c>
      <c r="M391">
        <v>0.99983619999999995</v>
      </c>
      <c r="N391">
        <v>-1.2408819999999999E-2</v>
      </c>
      <c r="O391">
        <v>-1.317834E-2</v>
      </c>
      <c r="P391">
        <v>0.99003669999999999</v>
      </c>
      <c r="Q391">
        <v>8.0547090000000002E-2</v>
      </c>
      <c r="R391">
        <v>0.115496</v>
      </c>
      <c r="S391">
        <v>2.9914860000000001</v>
      </c>
      <c r="T391">
        <v>-5.1577089999999999E-3</v>
      </c>
      <c r="U391">
        <v>0.33523560000000002</v>
      </c>
      <c r="V391">
        <v>-0.1285231</v>
      </c>
      <c r="W391">
        <v>9.2821130000000002E-2</v>
      </c>
      <c r="X391">
        <v>0.98735300000000004</v>
      </c>
      <c r="Y391">
        <v>-0.1244516</v>
      </c>
      <c r="Z391">
        <v>7.4119910000000004E-4</v>
      </c>
      <c r="AA391">
        <v>0.99222540000000004</v>
      </c>
      <c r="AB391">
        <v>23</v>
      </c>
      <c r="AC391">
        <v>223.48509999999999</v>
      </c>
      <c r="AD391">
        <v>-0.38501790000000002</v>
      </c>
      <c r="AE391">
        <v>25.058800000000002</v>
      </c>
      <c r="AF391">
        <v>-28.001930824494298</v>
      </c>
      <c r="AG391">
        <v>-0.38501790000000002</v>
      </c>
      <c r="AH391">
        <v>223.13477714889501</v>
      </c>
      <c r="AI391">
        <v>90.098094069831205</v>
      </c>
      <c r="AJ391">
        <v>97.152846689744393</v>
      </c>
      <c r="AK391">
        <v>224.885271064981</v>
      </c>
      <c r="AL391">
        <v>84.674074153182005</v>
      </c>
      <c r="AM391">
        <v>97.416453806914305</v>
      </c>
      <c r="AN391">
        <v>0.99999994800854197</v>
      </c>
    </row>
    <row r="392" spans="1:40" x14ac:dyDescent="0.25">
      <c r="A392" t="str">
        <f>"20190304154734493"</f>
        <v>20190304154734493</v>
      </c>
      <c r="B392" t="str">
        <f>"1551685654487315"</f>
        <v>1551685654487315</v>
      </c>
      <c r="C392" t="s">
        <v>40</v>
      </c>
      <c r="D392">
        <v>4.107558</v>
      </c>
      <c r="E392">
        <v>0.50092179999999997</v>
      </c>
      <c r="F392" t="s">
        <v>51</v>
      </c>
      <c r="G392">
        <v>-215.37139999999999</v>
      </c>
      <c r="H392">
        <v>0.64245220000000003</v>
      </c>
      <c r="I392">
        <v>391.87</v>
      </c>
      <c r="J392">
        <v>-439.73390000000001</v>
      </c>
      <c r="K392">
        <v>1.107005</v>
      </c>
      <c r="L392">
        <v>366.80950000000001</v>
      </c>
      <c r="M392">
        <v>0.9998243</v>
      </c>
      <c r="N392">
        <v>-1.331511E-2</v>
      </c>
      <c r="O392">
        <v>-1.320144E-2</v>
      </c>
      <c r="P392">
        <v>0.99007199999999995</v>
      </c>
      <c r="Q392">
        <v>8.0222689999999999E-2</v>
      </c>
      <c r="R392">
        <v>0.1154211</v>
      </c>
      <c r="S392">
        <v>2.9917600000000002</v>
      </c>
      <c r="T392">
        <v>-6.1988829999999997E-3</v>
      </c>
      <c r="U392">
        <v>0.33395390000000003</v>
      </c>
      <c r="V392">
        <v>-0.12847149999999999</v>
      </c>
      <c r="W392">
        <v>9.3392749999999997E-2</v>
      </c>
      <c r="X392">
        <v>0.98730589999999996</v>
      </c>
      <c r="Y392">
        <v>-0.12404419999999999</v>
      </c>
      <c r="Z392">
        <v>8.0860000000000003E-4</v>
      </c>
      <c r="AA392">
        <v>0.99227639999999995</v>
      </c>
      <c r="AB392">
        <v>23</v>
      </c>
      <c r="AC392">
        <v>224.36250000000001</v>
      </c>
      <c r="AD392">
        <v>-0.46455279999999999</v>
      </c>
      <c r="AE392">
        <v>25.060499999999902</v>
      </c>
      <c r="AF392">
        <v>-28.020367504001101</v>
      </c>
      <c r="AG392">
        <v>-0.46455279999999999</v>
      </c>
      <c r="AH392">
        <v>224.01113243670301</v>
      </c>
      <c r="AI392">
        <v>90.117900671670398</v>
      </c>
      <c r="AJ392">
        <v>97.129795146461902</v>
      </c>
      <c r="AK392">
        <v>225.757268454279</v>
      </c>
      <c r="AL392">
        <v>84.641180321967795</v>
      </c>
      <c r="AM392">
        <v>97.413859077807899</v>
      </c>
      <c r="AN392">
        <v>1.00000003611981</v>
      </c>
    </row>
    <row r="393" spans="1:40" x14ac:dyDescent="0.25">
      <c r="A393" t="str">
        <f>"20190304154734503"</f>
        <v>20190304154734503</v>
      </c>
      <c r="B393" t="str">
        <f>"1551685654497075"</f>
        <v>1551685654497075</v>
      </c>
      <c r="C393" t="s">
        <v>40</v>
      </c>
      <c r="D393">
        <v>4.3144260000000001</v>
      </c>
      <c r="E393">
        <v>0.50079319999999905</v>
      </c>
      <c r="F393" t="s">
        <v>51</v>
      </c>
      <c r="G393">
        <v>-214.41419999999999</v>
      </c>
      <c r="H393">
        <v>0.55143069999999905</v>
      </c>
      <c r="I393">
        <v>391.87</v>
      </c>
      <c r="J393">
        <v>-439.6173</v>
      </c>
      <c r="K393">
        <v>1.1064069999999999</v>
      </c>
      <c r="L393">
        <v>366.80799999999999</v>
      </c>
      <c r="M393">
        <v>0.99981010000000003</v>
      </c>
      <c r="N393">
        <v>-1.431843E-2</v>
      </c>
      <c r="O393">
        <v>-1.322253E-2</v>
      </c>
      <c r="P393">
        <v>0.99009259999999999</v>
      </c>
      <c r="Q393">
        <v>7.9903180000000004E-2</v>
      </c>
      <c r="R393">
        <v>0.1154651</v>
      </c>
      <c r="S393">
        <v>2.9918819999999999</v>
      </c>
      <c r="T393">
        <v>-7.377148E-3</v>
      </c>
      <c r="U393">
        <v>0.3327637</v>
      </c>
      <c r="V393">
        <v>-0.12853680000000001</v>
      </c>
      <c r="W393">
        <v>9.4064040000000002E-2</v>
      </c>
      <c r="X393">
        <v>0.98723360000000004</v>
      </c>
      <c r="Y393">
        <v>-0.1236703</v>
      </c>
      <c r="Z393">
        <v>8.8394109999999999E-4</v>
      </c>
      <c r="AA393">
        <v>0.99232299999999996</v>
      </c>
      <c r="AB393">
        <v>23</v>
      </c>
      <c r="AC393">
        <v>225.20310000000001</v>
      </c>
      <c r="AD393">
        <v>-0.55497629999999998</v>
      </c>
      <c r="AE393">
        <v>25.061999999999902</v>
      </c>
      <c r="AF393">
        <v>-28.037700311578998</v>
      </c>
      <c r="AG393">
        <v>-0.55497629999999998</v>
      </c>
      <c r="AH393">
        <v>224.85064256746799</v>
      </c>
      <c r="AI393">
        <v>90.140330370650801</v>
      </c>
      <c r="AJ393">
        <v>97.107796653030206</v>
      </c>
      <c r="AK393">
        <v>226.592656766407</v>
      </c>
      <c r="AL393">
        <v>84.602547797098893</v>
      </c>
      <c r="AM393">
        <v>97.418122645539299</v>
      </c>
      <c r="AN393">
        <v>0.99999996677215996</v>
      </c>
    </row>
    <row r="394" spans="1:40" x14ac:dyDescent="0.25">
      <c r="A394" t="str">
        <f>"20190304154734515"</f>
        <v>20190304154734515</v>
      </c>
      <c r="B394" t="str">
        <f>"1551685654507812"</f>
        <v>1551685654507812</v>
      </c>
      <c r="C394" t="s">
        <v>40</v>
      </c>
      <c r="D394">
        <v>4.1221379999999996</v>
      </c>
      <c r="E394">
        <v>0.50084220000000002</v>
      </c>
      <c r="F394" t="s">
        <v>51</v>
      </c>
      <c r="G394">
        <v>-215.3032</v>
      </c>
      <c r="H394">
        <v>0.46938279999999899</v>
      </c>
      <c r="I394">
        <v>391.87</v>
      </c>
      <c r="J394">
        <v>-439.49979999999999</v>
      </c>
      <c r="K394">
        <v>1.1057729999999999</v>
      </c>
      <c r="L394">
        <v>366.8064</v>
      </c>
      <c r="M394">
        <v>0.99979439999999997</v>
      </c>
      <c r="N394">
        <v>-1.5359630000000001E-2</v>
      </c>
      <c r="O394">
        <v>-1.3244880000000001E-2</v>
      </c>
      <c r="P394">
        <v>0.99013209999999996</v>
      </c>
      <c r="Q394">
        <v>8.0050170000000004E-2</v>
      </c>
      <c r="R394">
        <v>0.115024</v>
      </c>
      <c r="S394">
        <v>2.99173</v>
      </c>
      <c r="T394">
        <v>-8.496165E-3</v>
      </c>
      <c r="U394">
        <v>0.33425899999999997</v>
      </c>
      <c r="V394">
        <v>-0.12811800000000001</v>
      </c>
      <c r="W394">
        <v>9.5239859999999996E-2</v>
      </c>
      <c r="X394">
        <v>0.98717529999999998</v>
      </c>
      <c r="Y394">
        <v>-0.1241873</v>
      </c>
      <c r="Z394">
        <v>9.6727119999999998E-4</v>
      </c>
      <c r="AA394">
        <v>0.99225830000000004</v>
      </c>
      <c r="AB394">
        <v>23</v>
      </c>
      <c r="AC394">
        <v>224.19659999999999</v>
      </c>
      <c r="AD394">
        <v>-0.63639019999999902</v>
      </c>
      <c r="AE394">
        <v>25.063600000000001</v>
      </c>
      <c r="AF394">
        <v>-28.030985026754799</v>
      </c>
      <c r="AG394">
        <v>-0.63639019999999902</v>
      </c>
      <c r="AH394">
        <v>223.843144634016</v>
      </c>
      <c r="AI394">
        <v>90.161630152402296</v>
      </c>
      <c r="AJ394">
        <v>97.137766483255604</v>
      </c>
      <c r="AK394">
        <v>225.59231927018601</v>
      </c>
      <c r="AL394">
        <v>84.534874421559806</v>
      </c>
      <c r="AM394">
        <v>97.394652587385707</v>
      </c>
      <c r="AN394">
        <v>0.99999996289345405</v>
      </c>
    </row>
    <row r="395" spans="1:40" x14ac:dyDescent="0.25">
      <c r="A395" t="str">
        <f>"20190304154734526"</f>
        <v>20190304154734526</v>
      </c>
      <c r="B395" t="str">
        <f>"1551685654517572"</f>
        <v>1551685654517572</v>
      </c>
      <c r="C395" t="s">
        <v>40</v>
      </c>
      <c r="D395">
        <v>4.1052999999999997</v>
      </c>
      <c r="E395">
        <v>0.50090760000000001</v>
      </c>
      <c r="F395" t="s">
        <v>51</v>
      </c>
      <c r="G395">
        <v>-214.09</v>
      </c>
      <c r="H395">
        <v>0.48173670000000002</v>
      </c>
      <c r="I395">
        <v>391.87</v>
      </c>
      <c r="J395">
        <v>-439.38639999999998</v>
      </c>
      <c r="K395">
        <v>1.105111</v>
      </c>
      <c r="L395">
        <v>366.8048</v>
      </c>
      <c r="M395">
        <v>0.99977740000000004</v>
      </c>
      <c r="N395">
        <v>-1.6411680000000001E-2</v>
      </c>
      <c r="O395">
        <v>-1.3267599999999999E-2</v>
      </c>
      <c r="P395">
        <v>0.99018390000000001</v>
      </c>
      <c r="Q395">
        <v>7.9558500000000004E-2</v>
      </c>
      <c r="R395">
        <v>0.1149196</v>
      </c>
      <c r="S395">
        <v>2.9918819999999999</v>
      </c>
      <c r="T395">
        <v>-8.2828999999999993E-3</v>
      </c>
      <c r="U395">
        <v>0.33267210000000003</v>
      </c>
      <c r="V395">
        <v>-0.1280374</v>
      </c>
      <c r="W395">
        <v>9.5787609999999995E-2</v>
      </c>
      <c r="X395">
        <v>0.98713280000000003</v>
      </c>
      <c r="Y395">
        <v>-0.1236844</v>
      </c>
      <c r="Z395">
        <v>1.0083830000000001E-3</v>
      </c>
      <c r="AA395">
        <v>0.99232109999999996</v>
      </c>
      <c r="AB395">
        <v>23</v>
      </c>
      <c r="AC395">
        <v>225.29640000000001</v>
      </c>
      <c r="AD395">
        <v>-0.62337429999999905</v>
      </c>
      <c r="AE395">
        <v>25.065200000000001</v>
      </c>
      <c r="AF395">
        <v>-28.052325887394701</v>
      </c>
      <c r="AG395">
        <v>-0.62337429999999905</v>
      </c>
      <c r="AH395">
        <v>224.942263556867</v>
      </c>
      <c r="AI395">
        <v>90.1575608138549</v>
      </c>
      <c r="AJ395">
        <v>97.108599484621493</v>
      </c>
      <c r="AK395">
        <v>226.685560892832</v>
      </c>
      <c r="AL395">
        <v>84.503346738207298</v>
      </c>
      <c r="AM395">
        <v>97.390366648355695</v>
      </c>
      <c r="AN395">
        <v>1.00000000343205</v>
      </c>
    </row>
    <row r="396" spans="1:40" x14ac:dyDescent="0.25">
      <c r="A396" t="str">
        <f>"20190304154734539"</f>
        <v>20190304154734539</v>
      </c>
      <c r="B396" t="str">
        <f>"1551685654527332"</f>
        <v>1551685654527332</v>
      </c>
      <c r="C396" t="s">
        <v>40</v>
      </c>
      <c r="D396">
        <v>4.148587</v>
      </c>
      <c r="E396">
        <v>0.50091839999999999</v>
      </c>
      <c r="F396" t="s">
        <v>51</v>
      </c>
      <c r="G396">
        <v>-213.47450000000001</v>
      </c>
      <c r="H396">
        <v>0.35094309999999901</v>
      </c>
      <c r="I396">
        <v>391.87</v>
      </c>
      <c r="J396">
        <v>-439.26979999999998</v>
      </c>
      <c r="K396">
        <v>1.1043860000000001</v>
      </c>
      <c r="L396">
        <v>366.80329999999998</v>
      </c>
      <c r="M396">
        <v>0.99975930000000002</v>
      </c>
      <c r="N396">
        <v>-1.7456760000000002E-2</v>
      </c>
      <c r="O396">
        <v>-1.3292129999999999E-2</v>
      </c>
      <c r="P396">
        <v>0.99029670000000003</v>
      </c>
      <c r="Q396">
        <v>7.8261230000000001E-2</v>
      </c>
      <c r="R396">
        <v>0.1148392</v>
      </c>
      <c r="S396">
        <v>2.992035</v>
      </c>
      <c r="T396">
        <v>-9.9884269999999994E-3</v>
      </c>
      <c r="U396">
        <v>0.33197019999999999</v>
      </c>
      <c r="V396">
        <v>-0.12798319999999999</v>
      </c>
      <c r="W396">
        <v>9.552418E-2</v>
      </c>
      <c r="X396">
        <v>0.98716530000000002</v>
      </c>
      <c r="Y396">
        <v>-0.1234724</v>
      </c>
      <c r="Z396">
        <v>1.0995110000000001E-3</v>
      </c>
      <c r="AA396">
        <v>0.99234739999999999</v>
      </c>
      <c r="AB396">
        <v>23</v>
      </c>
      <c r="AC396">
        <v>225.7953</v>
      </c>
      <c r="AD396">
        <v>-0.75344290000000003</v>
      </c>
      <c r="AE396">
        <v>25.066700000000001</v>
      </c>
      <c r="AF396">
        <v>-28.065933905784899</v>
      </c>
      <c r="AG396">
        <v>-0.75344290000000003</v>
      </c>
      <c r="AH396">
        <v>225.43962600062099</v>
      </c>
      <c r="AI396">
        <v>90.190020921181002</v>
      </c>
      <c r="AJ396">
        <v>97.096482225674194</v>
      </c>
      <c r="AK396">
        <v>227.18118164475601</v>
      </c>
      <c r="AL396">
        <v>84.518509396363896</v>
      </c>
      <c r="AM396">
        <v>97.387032245048005</v>
      </c>
      <c r="AN396">
        <v>0.99999994898549904</v>
      </c>
    </row>
    <row r="397" spans="1:40" x14ac:dyDescent="0.25">
      <c r="A397" t="str">
        <f>"20190304154734550"</f>
        <v>20190304154734550</v>
      </c>
      <c r="B397" t="str">
        <f>"1551685654547828"</f>
        <v>1551685654547828</v>
      </c>
      <c r="C397" t="s">
        <v>40</v>
      </c>
      <c r="D397">
        <v>4.1296540000000004</v>
      </c>
      <c r="E397">
        <v>0.50098500000000001</v>
      </c>
      <c r="F397" t="s">
        <v>51</v>
      </c>
      <c r="G397">
        <v>-213.13579999999999</v>
      </c>
      <c r="H397">
        <v>5.943727E-2</v>
      </c>
      <c r="I397">
        <v>391.87</v>
      </c>
      <c r="J397">
        <v>-439.14609999999999</v>
      </c>
      <c r="K397">
        <v>1.1035870000000001</v>
      </c>
      <c r="L397">
        <v>366.80160000000001</v>
      </c>
      <c r="M397">
        <v>0.9997395</v>
      </c>
      <c r="N397">
        <v>-1.8540939999999999E-2</v>
      </c>
      <c r="O397">
        <v>-1.33191E-2</v>
      </c>
      <c r="P397">
        <v>0.99045099999999997</v>
      </c>
      <c r="Q397">
        <v>7.6405180000000003E-2</v>
      </c>
      <c r="R397">
        <v>0.1147582</v>
      </c>
      <c r="S397">
        <v>2.992035</v>
      </c>
      <c r="T397">
        <v>-1.382601E-2</v>
      </c>
      <c r="U397">
        <v>0.33166499999999999</v>
      </c>
      <c r="V397">
        <v>-0.12793119999999999</v>
      </c>
      <c r="W397">
        <v>9.4741450000000005E-2</v>
      </c>
      <c r="X397">
        <v>0.98724749999999994</v>
      </c>
      <c r="Y397">
        <v>-0.1233971</v>
      </c>
      <c r="Z397">
        <v>1.2469930000000001E-3</v>
      </c>
      <c r="AA397">
        <v>0.99235660000000003</v>
      </c>
      <c r="AB397">
        <v>23</v>
      </c>
      <c r="AC397">
        <v>226.0103</v>
      </c>
      <c r="AD397">
        <v>-1.04414973</v>
      </c>
      <c r="AE397">
        <v>25.0684</v>
      </c>
      <c r="AF397">
        <v>-28.076354601986701</v>
      </c>
      <c r="AG397">
        <v>-1.04414973</v>
      </c>
      <c r="AH397">
        <v>225.65154169328301</v>
      </c>
      <c r="AI397">
        <v>90.263092283351895</v>
      </c>
      <c r="AJ397">
        <v>97.092491198240296</v>
      </c>
      <c r="AK397">
        <v>227.393909779815</v>
      </c>
      <c r="AL397">
        <v>84.563561022818902</v>
      </c>
      <c r="AM397">
        <v>97.383455972838505</v>
      </c>
      <c r="AN397">
        <v>0.99999998026889603</v>
      </c>
    </row>
    <row r="398" spans="1:40" x14ac:dyDescent="0.25">
      <c r="A398" t="str">
        <f>"20190304154734568"</f>
        <v>20190304154734568</v>
      </c>
      <c r="B398" t="str">
        <f>"1551685654557601"</f>
        <v>1551685654557601</v>
      </c>
      <c r="C398" t="s">
        <v>40</v>
      </c>
      <c r="D398">
        <v>4.2996290000000004</v>
      </c>
      <c r="E398">
        <v>0.50094859999999997</v>
      </c>
      <c r="F398" t="s">
        <v>45</v>
      </c>
      <c r="G398">
        <v>-262.51029999999997</v>
      </c>
      <c r="H398">
        <v>-0.05</v>
      </c>
      <c r="I398">
        <v>386.33789999999999</v>
      </c>
      <c r="J398">
        <v>-438.96550000000002</v>
      </c>
      <c r="K398">
        <v>1.102339</v>
      </c>
      <c r="L398">
        <v>366.79910000000001</v>
      </c>
      <c r="M398">
        <v>0.99971189999999999</v>
      </c>
      <c r="N398">
        <v>-1.9940019999999999E-2</v>
      </c>
      <c r="O398">
        <v>-1.335954E-2</v>
      </c>
      <c r="P398">
        <v>0.99064019999999997</v>
      </c>
      <c r="Q398">
        <v>7.3451299999999997E-2</v>
      </c>
      <c r="R398">
        <v>0.1150513</v>
      </c>
      <c r="S398">
        <v>2.9920960000000001</v>
      </c>
      <c r="T398">
        <v>-1.9541030000000001E-2</v>
      </c>
      <c r="U398">
        <v>0.33093260000000002</v>
      </c>
      <c r="V398">
        <v>-0.12826699999999999</v>
      </c>
      <c r="W398">
        <v>9.3173420000000007E-2</v>
      </c>
      <c r="X398">
        <v>0.98735309999999998</v>
      </c>
      <c r="Y398">
        <v>-0.1231915</v>
      </c>
      <c r="Z398">
        <v>1.4546050000000001E-3</v>
      </c>
      <c r="AA398">
        <v>0.99238190000000004</v>
      </c>
      <c r="AB398">
        <v>23</v>
      </c>
      <c r="AC398">
        <v>176.45519999999999</v>
      </c>
      <c r="AD398">
        <v>-1.152339</v>
      </c>
      <c r="AE398">
        <v>19.538799999999899</v>
      </c>
      <c r="AF398">
        <v>-21.893962335919898</v>
      </c>
      <c r="AG398">
        <v>-1.152339</v>
      </c>
      <c r="AH398">
        <v>176.170942902615</v>
      </c>
      <c r="AI398">
        <v>90.371907015475799</v>
      </c>
      <c r="AJ398">
        <v>97.0842143139635</v>
      </c>
      <c r="AK398">
        <v>177.52992591429199</v>
      </c>
      <c r="AL398">
        <v>84.653801454014896</v>
      </c>
      <c r="AM398">
        <v>97.401838796240895</v>
      </c>
      <c r="AN398">
        <v>0.99999992678155003</v>
      </c>
    </row>
    <row r="399" spans="1:40" x14ac:dyDescent="0.25">
      <c r="A399" t="str">
        <f>"20190304154734582"</f>
        <v>20190304154734582</v>
      </c>
      <c r="B399" t="str">
        <f>"1551685654577614"</f>
        <v>1551685654577614</v>
      </c>
      <c r="C399" t="s">
        <v>40</v>
      </c>
      <c r="D399">
        <v>4.1536619999999997</v>
      </c>
      <c r="E399">
        <v>0.50112449999999997</v>
      </c>
      <c r="F399" t="s">
        <v>44</v>
      </c>
      <c r="G399">
        <v>-323.72739999999999</v>
      </c>
      <c r="H399" s="1">
        <v>-4.7757309999999997E-6</v>
      </c>
      <c r="I399">
        <v>379.58429999999998</v>
      </c>
      <c r="J399">
        <v>-438.82979999999998</v>
      </c>
      <c r="K399">
        <v>1.1013869999999999</v>
      </c>
      <c r="L399">
        <v>366.79730000000001</v>
      </c>
      <c r="M399">
        <v>0.99969240000000004</v>
      </c>
      <c r="N399">
        <v>-2.0878130000000002E-2</v>
      </c>
      <c r="O399">
        <v>-1.3387909999999999E-2</v>
      </c>
      <c r="P399">
        <v>0.99076830000000005</v>
      </c>
      <c r="Q399">
        <v>7.1986590000000003E-2</v>
      </c>
      <c r="R399">
        <v>0.11487459999999999</v>
      </c>
      <c r="S399">
        <v>2.9919129999999998</v>
      </c>
      <c r="T399">
        <v>-2.862E-2</v>
      </c>
      <c r="U399">
        <v>0.3319397</v>
      </c>
      <c r="V399">
        <v>-0.1281204</v>
      </c>
      <c r="W399">
        <v>9.263834E-2</v>
      </c>
      <c r="X399">
        <v>0.98742249999999998</v>
      </c>
      <c r="Y399">
        <v>-0.12354950000000001</v>
      </c>
      <c r="Z399">
        <v>1.7320650000000001E-3</v>
      </c>
      <c r="AA399">
        <v>0.99233689999999997</v>
      </c>
      <c r="AB399">
        <v>23</v>
      </c>
      <c r="AC399">
        <v>115.1024</v>
      </c>
      <c r="AD399">
        <v>-1.1013917757309999</v>
      </c>
      <c r="AE399">
        <v>12.7869999999999</v>
      </c>
      <c r="AF399">
        <v>-14.3258743039945</v>
      </c>
      <c r="AG399">
        <v>-1.1013917757309999</v>
      </c>
      <c r="AH399">
        <v>114.910458103726</v>
      </c>
      <c r="AI399">
        <v>90.544932539094106</v>
      </c>
      <c r="AJ399">
        <v>97.106392731332704</v>
      </c>
      <c r="AK399">
        <v>115.80525514857101</v>
      </c>
      <c r="AL399">
        <v>84.684592560286504</v>
      </c>
      <c r="AM399">
        <v>97.392958782153997</v>
      </c>
      <c r="AN399">
        <v>0.99999994622018096</v>
      </c>
    </row>
    <row r="400" spans="1:40" x14ac:dyDescent="0.25">
      <c r="A400" t="str">
        <f>"20190304154734597"</f>
        <v>20190304154734597</v>
      </c>
      <c r="B400" t="str">
        <f>"1551685654587374"</f>
        <v>1551685654587374</v>
      </c>
      <c r="C400" t="s">
        <v>40</v>
      </c>
      <c r="D400">
        <v>4.1182970000000001</v>
      </c>
      <c r="E400">
        <v>0.50117279999999997</v>
      </c>
      <c r="F400" t="s">
        <v>44</v>
      </c>
      <c r="G400">
        <v>-337.64510000000001</v>
      </c>
      <c r="H400" s="1">
        <v>-3.154884E-6</v>
      </c>
      <c r="I400">
        <v>377.96280000000002</v>
      </c>
      <c r="J400">
        <v>-438.67910000000001</v>
      </c>
      <c r="K400">
        <v>1.1003179999999999</v>
      </c>
      <c r="L400">
        <v>366.79520000000002</v>
      </c>
      <c r="M400">
        <v>0.99967320000000004</v>
      </c>
      <c r="N400">
        <v>-2.1759959999999998E-2</v>
      </c>
      <c r="O400">
        <v>-1.341969E-2</v>
      </c>
      <c r="P400">
        <v>0.99078940000000004</v>
      </c>
      <c r="Q400">
        <v>7.1577940000000007E-2</v>
      </c>
      <c r="R400">
        <v>0.1149476</v>
      </c>
      <c r="S400">
        <v>2.9920650000000002</v>
      </c>
      <c r="T400">
        <v>-3.2568449999999999E-2</v>
      </c>
      <c r="U400">
        <v>0.33016970000000001</v>
      </c>
      <c r="V400">
        <v>-0.12822459999999999</v>
      </c>
      <c r="W400">
        <v>9.3101249999999997E-2</v>
      </c>
      <c r="X400">
        <v>0.98736550000000001</v>
      </c>
      <c r="Y400">
        <v>-0.12299209999999999</v>
      </c>
      <c r="Z400">
        <v>1.864339E-3</v>
      </c>
      <c r="AA400">
        <v>0.99240589999999995</v>
      </c>
      <c r="AB400">
        <v>23</v>
      </c>
      <c r="AC400">
        <v>101.03400000000001</v>
      </c>
      <c r="AD400">
        <v>-1.100321154884</v>
      </c>
      <c r="AE400">
        <v>11.167599999999901</v>
      </c>
      <c r="AF400">
        <v>-12.521292742431701</v>
      </c>
      <c r="AG400">
        <v>-1.100321154884</v>
      </c>
      <c r="AH400">
        <v>100.863178048546</v>
      </c>
      <c r="AI400">
        <v>90.620256797835495</v>
      </c>
      <c r="AJ400">
        <v>97.076572022330794</v>
      </c>
      <c r="AK400">
        <v>101.643367538853</v>
      </c>
      <c r="AL400">
        <v>84.657954992644605</v>
      </c>
      <c r="AM400">
        <v>97.399327262648796</v>
      </c>
      <c r="AN400">
        <v>1.0000000106934801</v>
      </c>
    </row>
    <row r="401" spans="1:40" x14ac:dyDescent="0.25">
      <c r="A401" t="str">
        <f>"20190304154734614"</f>
        <v>20190304154734614</v>
      </c>
      <c r="B401" t="str">
        <f>"1551685654607870"</f>
        <v>1551685654607870</v>
      </c>
      <c r="C401" t="s">
        <v>40</v>
      </c>
      <c r="D401">
        <v>4.1334989999999996</v>
      </c>
      <c r="E401">
        <v>0.50123249999999997</v>
      </c>
      <c r="F401" t="s">
        <v>44</v>
      </c>
      <c r="G401">
        <v>-340.6807</v>
      </c>
      <c r="H401" s="1">
        <v>-5.8646660000000003E-6</v>
      </c>
      <c r="I401">
        <v>377.59210000000002</v>
      </c>
      <c r="J401">
        <v>-438.50029999999998</v>
      </c>
      <c r="K401">
        <v>1.0990219999999999</v>
      </c>
      <c r="L401">
        <v>366.7928</v>
      </c>
      <c r="M401">
        <v>0.99965660000000001</v>
      </c>
      <c r="N401">
        <v>-2.2492430000000001E-2</v>
      </c>
      <c r="O401">
        <v>-1.3459199999999999E-2</v>
      </c>
      <c r="P401">
        <v>0.99080590000000002</v>
      </c>
      <c r="Q401">
        <v>7.1817989999999998E-2</v>
      </c>
      <c r="R401">
        <v>0.1146567</v>
      </c>
      <c r="S401">
        <v>2.9920960000000001</v>
      </c>
      <c r="T401">
        <v>-3.3595199999999999E-2</v>
      </c>
      <c r="U401">
        <v>0.32965090000000002</v>
      </c>
      <c r="V401">
        <v>-0.12797329999999901</v>
      </c>
      <c r="W401">
        <v>9.4065469999999998E-2</v>
      </c>
      <c r="X401">
        <v>0.98730669999999998</v>
      </c>
      <c r="Y401">
        <v>-0.12285889999999999</v>
      </c>
      <c r="Z401">
        <v>1.9226670000000001E-3</v>
      </c>
      <c r="AA401">
        <v>0.99242229999999998</v>
      </c>
      <c r="AB401">
        <v>23</v>
      </c>
      <c r="AC401">
        <v>97.819599999999895</v>
      </c>
      <c r="AD401">
        <v>-1.0990278646660001</v>
      </c>
      <c r="AE401">
        <v>10.799300000000001</v>
      </c>
      <c r="AF401">
        <v>-12.1137170731407</v>
      </c>
      <c r="AG401">
        <v>-1.0990278646660001</v>
      </c>
      <c r="AH401">
        <v>97.653169997972199</v>
      </c>
      <c r="AI401">
        <v>90.639898246062202</v>
      </c>
      <c r="AJ401">
        <v>97.0713248244722</v>
      </c>
      <c r="AK401">
        <v>98.407782284879602</v>
      </c>
      <c r="AL401">
        <v>84.602465673761898</v>
      </c>
      <c r="AM401">
        <v>97.385420945177302</v>
      </c>
      <c r="AN401">
        <v>0.99999999901204994</v>
      </c>
    </row>
    <row r="402" spans="1:40" x14ac:dyDescent="0.25">
      <c r="A402" t="str">
        <f>"20190304154734629"</f>
        <v>20190304154734629</v>
      </c>
      <c r="B402" t="str">
        <f>"1551685654617631"</f>
        <v>1551685654617631</v>
      </c>
      <c r="C402" t="s">
        <v>40</v>
      </c>
      <c r="D402">
        <v>4.1232620000000004</v>
      </c>
      <c r="E402">
        <v>0.50125350000000002</v>
      </c>
      <c r="F402" t="s">
        <v>44</v>
      </c>
      <c r="G402">
        <v>-337.11099999999999</v>
      </c>
      <c r="H402" s="1">
        <v>-3.3305870000000002E-6</v>
      </c>
      <c r="I402">
        <v>377.92860000000002</v>
      </c>
      <c r="J402">
        <v>-438.34930000000003</v>
      </c>
      <c r="K402">
        <v>1.0978920000000001</v>
      </c>
      <c r="L402">
        <v>366.79059999999998</v>
      </c>
      <c r="M402">
        <v>0.99964609999999998</v>
      </c>
      <c r="N402">
        <v>-2.2930820000000001E-2</v>
      </c>
      <c r="O402">
        <v>-1.349321E-2</v>
      </c>
      <c r="P402">
        <v>0.99075800000000003</v>
      </c>
      <c r="Q402">
        <v>7.2364689999999995E-2</v>
      </c>
      <c r="R402">
        <v>0.11472690000000001</v>
      </c>
      <c r="S402">
        <v>2.9922179999999998</v>
      </c>
      <c r="T402">
        <v>-3.2434579999999998E-2</v>
      </c>
      <c r="U402">
        <v>0.32864379999999999</v>
      </c>
      <c r="V402">
        <v>-0.1280762</v>
      </c>
      <c r="W402">
        <v>9.5042870000000002E-2</v>
      </c>
      <c r="X402">
        <v>0.98719970000000001</v>
      </c>
      <c r="Y402">
        <v>-0.1225591</v>
      </c>
      <c r="Z402">
        <v>1.9093129999999999E-3</v>
      </c>
      <c r="AA402">
        <v>0.99245939999999999</v>
      </c>
      <c r="AB402">
        <v>23</v>
      </c>
      <c r="AC402">
        <v>101.2383</v>
      </c>
      <c r="AD402">
        <v>-1.0978953305870001</v>
      </c>
      <c r="AE402">
        <v>11.138</v>
      </c>
      <c r="AF402">
        <v>-12.5019215461247</v>
      </c>
      <c r="AG402">
        <v>-1.0978953305870001</v>
      </c>
      <c r="AH402">
        <v>101.067007773852</v>
      </c>
      <c r="AI402">
        <v>90.617674707626307</v>
      </c>
      <c r="AJ402">
        <v>97.051628468526999</v>
      </c>
      <c r="AK402">
        <v>101.843229901954</v>
      </c>
      <c r="AL402">
        <v>84.546212500816694</v>
      </c>
      <c r="AM402">
        <v>97.392085994619194</v>
      </c>
      <c r="AN402">
        <v>0.99999995391218199</v>
      </c>
    </row>
    <row r="403" spans="1:40" x14ac:dyDescent="0.25">
      <c r="A403" t="str">
        <f>"20190304154734642"</f>
        <v>20190304154734642</v>
      </c>
      <c r="B403" t="str">
        <f>"1551685654637150"</f>
        <v>1551685654637150</v>
      </c>
      <c r="C403" t="s">
        <v>40</v>
      </c>
      <c r="D403">
        <v>4.0953609999999996</v>
      </c>
      <c r="E403">
        <v>0.50125839999999999</v>
      </c>
      <c r="F403" t="s">
        <v>44</v>
      </c>
      <c r="G403">
        <v>-330.4579</v>
      </c>
      <c r="H403" s="1">
        <v>-5.7229580000000002E-6</v>
      </c>
      <c r="I403">
        <v>378.65199999999999</v>
      </c>
      <c r="J403">
        <v>-438.21699999999998</v>
      </c>
      <c r="K403">
        <v>1.096889</v>
      </c>
      <c r="L403">
        <v>366.78879999999998</v>
      </c>
      <c r="M403">
        <v>0.99963749999999996</v>
      </c>
      <c r="N403">
        <v>-2.3283390000000001E-2</v>
      </c>
      <c r="O403">
        <v>-1.3522040000000001E-2</v>
      </c>
      <c r="P403">
        <v>0.99072789999999999</v>
      </c>
      <c r="Q403">
        <v>7.2579550000000007E-2</v>
      </c>
      <c r="R403">
        <v>0.11485090000000001</v>
      </c>
      <c r="S403">
        <v>2.9921259999999998</v>
      </c>
      <c r="T403">
        <v>-3.0447720000000001E-2</v>
      </c>
      <c r="U403">
        <v>0.32894899999999999</v>
      </c>
      <c r="V403">
        <v>-0.1282288</v>
      </c>
      <c r="W403">
        <v>9.5605809999999999E-2</v>
      </c>
      <c r="X403">
        <v>0.98712560000000005</v>
      </c>
      <c r="Y403">
        <v>-0.1226925</v>
      </c>
      <c r="Z403">
        <v>1.8786289999999999E-3</v>
      </c>
      <c r="AA403">
        <v>0.99244299999999996</v>
      </c>
      <c r="AB403">
        <v>23</v>
      </c>
      <c r="AC403">
        <v>107.7591</v>
      </c>
      <c r="AD403">
        <v>-1.0968947229579999</v>
      </c>
      <c r="AE403">
        <v>11.863200000000001</v>
      </c>
      <c r="AF403">
        <v>-13.3182692679606</v>
      </c>
      <c r="AG403">
        <v>-1.0968947229579999</v>
      </c>
      <c r="AH403">
        <v>107.577771236263</v>
      </c>
      <c r="AI403">
        <v>90.579758730293307</v>
      </c>
      <c r="AJ403">
        <v>97.057383275322906</v>
      </c>
      <c r="AK403">
        <v>108.404595559824</v>
      </c>
      <c r="AL403">
        <v>84.513811245175802</v>
      </c>
      <c r="AM403">
        <v>97.401345313705505</v>
      </c>
      <c r="AN403">
        <v>1.0000000231152699</v>
      </c>
    </row>
    <row r="404" spans="1:40" x14ac:dyDescent="0.25">
      <c r="A404" t="str">
        <f>"20190304154734658"</f>
        <v>20190304154734658</v>
      </c>
      <c r="B404" t="str">
        <f>"1551685654647886"</f>
        <v>1551685654647886</v>
      </c>
      <c r="C404" t="s">
        <v>40</v>
      </c>
      <c r="D404">
        <v>4.0998729999999997</v>
      </c>
      <c r="E404">
        <v>0.50126990000000005</v>
      </c>
      <c r="F404" t="s">
        <v>44</v>
      </c>
      <c r="G404">
        <v>-325.79730000000001</v>
      </c>
      <c r="H404" s="1">
        <v>-3.9966479999999996E-6</v>
      </c>
      <c r="I404">
        <v>379.16329999999999</v>
      </c>
      <c r="J404">
        <v>-438.05009999999999</v>
      </c>
      <c r="K404">
        <v>1.095594</v>
      </c>
      <c r="L404">
        <v>366.78660000000002</v>
      </c>
      <c r="M404">
        <v>0.99962740000000005</v>
      </c>
      <c r="N404">
        <v>-2.3694610000000001E-2</v>
      </c>
      <c r="O404">
        <v>-1.355746E-2</v>
      </c>
      <c r="P404">
        <v>0.99076209999999998</v>
      </c>
      <c r="Q404">
        <v>7.2416339999999996E-2</v>
      </c>
      <c r="R404">
        <v>0.1146595</v>
      </c>
      <c r="S404">
        <v>2.992035</v>
      </c>
      <c r="T404">
        <v>-2.919364E-2</v>
      </c>
      <c r="U404">
        <v>0.32934570000000002</v>
      </c>
      <c r="V404">
        <v>-0.1280733</v>
      </c>
      <c r="W404">
        <v>9.5848849999999999E-2</v>
      </c>
      <c r="X404">
        <v>0.98712219999999995</v>
      </c>
      <c r="Y404">
        <v>-0.12286179999999999</v>
      </c>
      <c r="Z404">
        <v>1.869484E-3</v>
      </c>
      <c r="AA404">
        <v>0.99242200000000003</v>
      </c>
      <c r="AB404">
        <v>23</v>
      </c>
      <c r="AC404">
        <v>112.252799999999</v>
      </c>
      <c r="AD404">
        <v>-1.0955979966480001</v>
      </c>
      <c r="AE404">
        <v>12.3766999999999</v>
      </c>
      <c r="AF404">
        <v>-13.8965440866222</v>
      </c>
      <c r="AG404">
        <v>-1.0955979966480001</v>
      </c>
      <c r="AH404">
        <v>112.064086763357</v>
      </c>
      <c r="AI404">
        <v>90.555878720585497</v>
      </c>
      <c r="AJ404">
        <v>97.068895892080803</v>
      </c>
      <c r="AK404">
        <v>112.92773713586401</v>
      </c>
      <c r="AL404">
        <v>84.499821734081195</v>
      </c>
      <c r="AM404">
        <v>97.392494396813305</v>
      </c>
      <c r="AN404">
        <v>1.00000000497602</v>
      </c>
    </row>
    <row r="405" spans="1:40" x14ac:dyDescent="0.25">
      <c r="A405" t="str">
        <f>"20190304154734671"</f>
        <v>20190304154734671</v>
      </c>
      <c r="B405" t="str">
        <f>"1551685654667406"</f>
        <v>1551685654667406</v>
      </c>
      <c r="C405" t="s">
        <v>40</v>
      </c>
      <c r="D405">
        <v>4.075482</v>
      </c>
      <c r="E405">
        <v>0.50128019999999995</v>
      </c>
      <c r="F405" t="s">
        <v>44</v>
      </c>
      <c r="G405">
        <v>-326.04379999999998</v>
      </c>
      <c r="H405" s="1">
        <v>-3.8987959999999997E-6</v>
      </c>
      <c r="I405">
        <v>379.08449999999999</v>
      </c>
      <c r="J405">
        <v>-437.91860000000003</v>
      </c>
      <c r="K405">
        <v>1.094538</v>
      </c>
      <c r="L405">
        <v>366.78469999999999</v>
      </c>
      <c r="M405">
        <v>0.99961999999999995</v>
      </c>
      <c r="N405">
        <v>-2.3991789999999999E-2</v>
      </c>
      <c r="O405">
        <v>-1.3585409999999999E-2</v>
      </c>
      <c r="P405">
        <v>0.99079439999999996</v>
      </c>
      <c r="Q405">
        <v>7.1873240000000005E-2</v>
      </c>
      <c r="R405">
        <v>0.11472069999999999</v>
      </c>
      <c r="S405">
        <v>2.9920650000000002</v>
      </c>
      <c r="T405">
        <v>-2.9267069999999999E-2</v>
      </c>
      <c r="U405">
        <v>0.32852170000000003</v>
      </c>
      <c r="V405">
        <v>-0.12816250000000001</v>
      </c>
      <c r="W405">
        <v>9.5600130000000005E-2</v>
      </c>
      <c r="X405">
        <v>0.98713479999999998</v>
      </c>
      <c r="Y405">
        <v>-0.1226182</v>
      </c>
      <c r="Z405">
        <v>1.8810840000000001E-3</v>
      </c>
      <c r="AA405">
        <v>0.99245209999999995</v>
      </c>
      <c r="AB405">
        <v>23</v>
      </c>
      <c r="AC405">
        <v>111.87479999999999</v>
      </c>
      <c r="AD405">
        <v>-1.0945418987960001</v>
      </c>
      <c r="AE405">
        <v>12.299799999999999</v>
      </c>
      <c r="AF405">
        <v>-13.8176598237412</v>
      </c>
      <c r="AG405">
        <v>-1.0945418987960001</v>
      </c>
      <c r="AH405">
        <v>111.68676075529</v>
      </c>
      <c r="AI405">
        <v>90.557238518580107</v>
      </c>
      <c r="AJ405">
        <v>97.052680397106101</v>
      </c>
      <c r="AK405">
        <v>112.54358388190001</v>
      </c>
      <c r="AL405">
        <v>84.5141383984312</v>
      </c>
      <c r="AM405">
        <v>97.397492705286098</v>
      </c>
      <c r="AN405">
        <v>1.0000000623166501</v>
      </c>
    </row>
    <row r="406" spans="1:40" x14ac:dyDescent="0.25">
      <c r="A406" t="str">
        <f>"20190304154734684"</f>
        <v>20190304154734684</v>
      </c>
      <c r="B406" t="str">
        <f>"1551685654677674"</f>
        <v>1551685654677674</v>
      </c>
      <c r="C406" t="s">
        <v>40</v>
      </c>
      <c r="D406">
        <v>4.0981589999999999</v>
      </c>
      <c r="E406">
        <v>0.50131020000000004</v>
      </c>
      <c r="F406" t="s">
        <v>44</v>
      </c>
      <c r="G406">
        <v>-329.24009999999998</v>
      </c>
      <c r="H406" s="1">
        <v>-2.7323020000000001E-6</v>
      </c>
      <c r="I406">
        <v>378.72649999999999</v>
      </c>
      <c r="J406">
        <v>-437.78519999999997</v>
      </c>
      <c r="K406">
        <v>1.0933839999999999</v>
      </c>
      <c r="L406">
        <v>366.78289999999998</v>
      </c>
      <c r="M406">
        <v>0.99961560000000005</v>
      </c>
      <c r="N406">
        <v>-2.4154809999999999E-2</v>
      </c>
      <c r="O406">
        <v>-1.361359E-2</v>
      </c>
      <c r="P406">
        <v>0.99084760000000005</v>
      </c>
      <c r="Q406">
        <v>7.1345350000000002E-2</v>
      </c>
      <c r="R406">
        <v>0.1145901</v>
      </c>
      <c r="S406">
        <v>2.9919739999999999</v>
      </c>
      <c r="T406">
        <v>-3.013325E-2</v>
      </c>
      <c r="U406">
        <v>0.3287659</v>
      </c>
      <c r="V406">
        <v>-0.12806020000000001</v>
      </c>
      <c r="W406">
        <v>9.5235109999999998E-2</v>
      </c>
      <c r="X406">
        <v>0.98718329999999999</v>
      </c>
      <c r="Y406">
        <v>-0.1227287</v>
      </c>
      <c r="Z406">
        <v>1.9120509999999999E-3</v>
      </c>
      <c r="AA406">
        <v>0.99243840000000005</v>
      </c>
      <c r="AB406">
        <v>23</v>
      </c>
      <c r="AC406">
        <v>108.54510000000001</v>
      </c>
      <c r="AD406">
        <v>-1.0933867323019999</v>
      </c>
      <c r="AE406">
        <v>11.9436</v>
      </c>
      <c r="AF406">
        <v>-13.4192668793146</v>
      </c>
      <c r="AG406">
        <v>-1.0933867323019999</v>
      </c>
      <c r="AH406">
        <v>108.361528975044</v>
      </c>
      <c r="AI406">
        <v>90.5737225708734</v>
      </c>
      <c r="AJ406">
        <v>97.059449335418293</v>
      </c>
      <c r="AK406">
        <v>109.19474886611501</v>
      </c>
      <c r="AL406">
        <v>84.5351480467464</v>
      </c>
      <c r="AM406">
        <v>97.391294176373506</v>
      </c>
      <c r="AN406">
        <v>1.0000000043998201</v>
      </c>
    </row>
    <row r="407" spans="1:40" x14ac:dyDescent="0.25">
      <c r="A407" t="str">
        <f>"20190304154734696"</f>
        <v>20190304154734696</v>
      </c>
      <c r="B407" t="str">
        <f>"1551685654687434"</f>
        <v>1551685654687434</v>
      </c>
      <c r="C407" t="s">
        <v>40</v>
      </c>
      <c r="D407">
        <v>4.0704050000000001</v>
      </c>
      <c r="E407">
        <v>0.50130870000000005</v>
      </c>
      <c r="F407" t="s">
        <v>44</v>
      </c>
      <c r="G407">
        <v>-333.8261</v>
      </c>
      <c r="H407" s="1">
        <v>-4.4929209999999997E-6</v>
      </c>
      <c r="I407">
        <v>378.17930000000001</v>
      </c>
      <c r="J407">
        <v>-437.66039999999998</v>
      </c>
      <c r="K407">
        <v>1.092263</v>
      </c>
      <c r="L407">
        <v>366.78109999999998</v>
      </c>
      <c r="M407">
        <v>0.99961339999999999</v>
      </c>
      <c r="N407">
        <v>-2.4226839999999999E-2</v>
      </c>
      <c r="O407">
        <v>-1.3639510000000001E-2</v>
      </c>
      <c r="P407">
        <v>0.99090180000000005</v>
      </c>
      <c r="Q407">
        <v>7.1098839999999996E-2</v>
      </c>
      <c r="R407">
        <v>0.1142745</v>
      </c>
      <c r="S407">
        <v>2.9920650000000002</v>
      </c>
      <c r="T407">
        <v>-3.1468990000000002E-2</v>
      </c>
      <c r="U407">
        <v>0.32800289999999999</v>
      </c>
      <c r="V407">
        <v>-0.12777089999999999</v>
      </c>
      <c r="W407">
        <v>9.5060909999999998E-2</v>
      </c>
      <c r="X407">
        <v>0.98723760000000005</v>
      </c>
      <c r="Y407">
        <v>-0.12249989999999999</v>
      </c>
      <c r="Z407">
        <v>1.944515E-3</v>
      </c>
      <c r="AA407">
        <v>0.99246659999999998</v>
      </c>
      <c r="AB407">
        <v>23</v>
      </c>
      <c r="AC407">
        <v>103.834299999999</v>
      </c>
      <c r="AD407">
        <v>-1.0922674929209999</v>
      </c>
      <c r="AE407">
        <v>11.398199999999999</v>
      </c>
      <c r="AF407">
        <v>-12.8124030314452</v>
      </c>
      <c r="AG407">
        <v>-1.0922674929209999</v>
      </c>
      <c r="AH407">
        <v>103.657790073973</v>
      </c>
      <c r="AI407">
        <v>90.599158115162496</v>
      </c>
      <c r="AJ407">
        <v>97.046186183163798</v>
      </c>
      <c r="AK407">
        <v>104.452324831648</v>
      </c>
      <c r="AL407">
        <v>84.5451745955299</v>
      </c>
      <c r="AM407">
        <v>97.374379405197502</v>
      </c>
      <c r="AN407">
        <v>1.00000002917529</v>
      </c>
    </row>
    <row r="408" spans="1:40" x14ac:dyDescent="0.25">
      <c r="A408" t="str">
        <f>"20190304154734714"</f>
        <v>20190304154734714</v>
      </c>
      <c r="B408" t="str">
        <f>"1551685654706953"</f>
        <v>1551685654706953</v>
      </c>
      <c r="C408" t="s">
        <v>40</v>
      </c>
      <c r="D408">
        <v>4.0874379999999997</v>
      </c>
      <c r="E408">
        <v>0.50132699999999997</v>
      </c>
      <c r="F408" t="s">
        <v>44</v>
      </c>
      <c r="G408">
        <v>-335.666</v>
      </c>
      <c r="H408" s="1">
        <v>-3.8240180000000002E-6</v>
      </c>
      <c r="I408">
        <v>377.93819999999999</v>
      </c>
      <c r="J408">
        <v>-437.47460000000001</v>
      </c>
      <c r="K408">
        <v>1.0904849999999999</v>
      </c>
      <c r="L408">
        <v>366.77850000000001</v>
      </c>
      <c r="M408">
        <v>0.99961560000000005</v>
      </c>
      <c r="N408">
        <v>-2.4117050000000001E-2</v>
      </c>
      <c r="O408">
        <v>-1.3678630000000001E-2</v>
      </c>
      <c r="P408">
        <v>0.9909734</v>
      </c>
      <c r="Q408">
        <v>7.0889380000000002E-2</v>
      </c>
      <c r="R408">
        <v>0.1137833</v>
      </c>
      <c r="S408">
        <v>2.9920650000000002</v>
      </c>
      <c r="T408">
        <v>-3.2042260000000003E-2</v>
      </c>
      <c r="U408">
        <v>0.32730100000000001</v>
      </c>
      <c r="V408">
        <v>-0.1273196</v>
      </c>
      <c r="W408">
        <v>9.4745220000000005E-2</v>
      </c>
      <c r="X408">
        <v>0.98732620000000004</v>
      </c>
      <c r="Y408">
        <v>-0.12230829999999999</v>
      </c>
      <c r="Z408">
        <v>1.9496909999999999E-3</v>
      </c>
      <c r="AA408">
        <v>0.99249019999999999</v>
      </c>
      <c r="AB408">
        <v>23</v>
      </c>
      <c r="AC408">
        <v>101.8086</v>
      </c>
      <c r="AD408">
        <v>-1.090488824018</v>
      </c>
      <c r="AE408">
        <v>11.1596999999999</v>
      </c>
      <c r="AF408">
        <v>-12.550239822929401</v>
      </c>
      <c r="AG408">
        <v>-1.090488824018</v>
      </c>
      <c r="AH408">
        <v>101.634853721848</v>
      </c>
      <c r="AI408">
        <v>90.610096671210201</v>
      </c>
      <c r="AJ408">
        <v>97.039455011571803</v>
      </c>
      <c r="AK408">
        <v>102.412602625603</v>
      </c>
      <c r="AL408">
        <v>84.563344046937104</v>
      </c>
      <c r="AM408">
        <v>97.347965305442898</v>
      </c>
      <c r="AN408">
        <v>0.99999998123172396</v>
      </c>
    </row>
    <row r="409" spans="1:40" x14ac:dyDescent="0.25">
      <c r="A409" t="str">
        <f>"20190304154734726"</f>
        <v>20190304154734726</v>
      </c>
      <c r="B409" t="str">
        <f>"1551685654717690"</f>
        <v>1551685654717690</v>
      </c>
      <c r="C409" t="s">
        <v>40</v>
      </c>
      <c r="D409">
        <v>4.0516329999999998</v>
      </c>
      <c r="E409">
        <v>0.50132089999999996</v>
      </c>
      <c r="F409" t="s">
        <v>44</v>
      </c>
      <c r="G409">
        <v>-334.88740000000001</v>
      </c>
      <c r="H409" s="1">
        <v>-4.0887329999999998E-6</v>
      </c>
      <c r="I409">
        <v>377.93689999999998</v>
      </c>
      <c r="J409">
        <v>-437.35140000000001</v>
      </c>
      <c r="K409">
        <v>1.0892280000000001</v>
      </c>
      <c r="L409">
        <v>366.77690000000001</v>
      </c>
      <c r="M409">
        <v>0.99962050000000002</v>
      </c>
      <c r="N409">
        <v>-2.3895010000000001E-2</v>
      </c>
      <c r="O409">
        <v>-1.3704030000000001E-2</v>
      </c>
      <c r="P409">
        <v>0.99099559999999998</v>
      </c>
      <c r="Q409">
        <v>7.1245890000000006E-2</v>
      </c>
      <c r="R409">
        <v>0.1133661</v>
      </c>
      <c r="S409">
        <v>2.9922789999999999</v>
      </c>
      <c r="T409">
        <v>-3.1807540000000002E-2</v>
      </c>
      <c r="U409">
        <v>0.32546999999999998</v>
      </c>
      <c r="V409">
        <v>-0.12692709999999999</v>
      </c>
      <c r="W409">
        <v>9.4882889999999998E-2</v>
      </c>
      <c r="X409">
        <v>0.98736349999999995</v>
      </c>
      <c r="Y409">
        <v>-0.1217261</v>
      </c>
      <c r="Z409">
        <v>1.92275E-3</v>
      </c>
      <c r="AA409">
        <v>0.9925619</v>
      </c>
      <c r="AB409">
        <v>23</v>
      </c>
      <c r="AC409">
        <v>102.464</v>
      </c>
      <c r="AD409">
        <v>-1.089232088733</v>
      </c>
      <c r="AE409">
        <v>11.159999999999901</v>
      </c>
      <c r="AF409">
        <v>-12.562119315256901</v>
      </c>
      <c r="AG409">
        <v>-1.089232088733</v>
      </c>
      <c r="AH409">
        <v>102.289968221059</v>
      </c>
      <c r="AI409">
        <v>90.605540613276801</v>
      </c>
      <c r="AJ409">
        <v>97.001374273642199</v>
      </c>
      <c r="AK409">
        <v>103.064207496585</v>
      </c>
      <c r="AL409">
        <v>84.5554203595958</v>
      </c>
      <c r="AM409">
        <v>97.325285744607498</v>
      </c>
      <c r="AN409">
        <v>0.99999996633070498</v>
      </c>
    </row>
    <row r="410" spans="1:40" x14ac:dyDescent="0.25">
      <c r="A410" t="str">
        <f>"20190304154734738"</f>
        <v>20190304154734738</v>
      </c>
      <c r="B410" t="str">
        <f>"1551685654727450"</f>
        <v>1551685654727450</v>
      </c>
      <c r="C410" t="s">
        <v>40</v>
      </c>
      <c r="D410">
        <v>4.0256660000000002</v>
      </c>
      <c r="E410">
        <v>0.50131619999999999</v>
      </c>
      <c r="F410" t="s">
        <v>44</v>
      </c>
      <c r="G410">
        <v>-330.4205</v>
      </c>
      <c r="H410" s="1">
        <v>-5.6853819999999997E-6</v>
      </c>
      <c r="I410">
        <v>378.36829999999998</v>
      </c>
      <c r="J410">
        <v>-437.23750000000001</v>
      </c>
      <c r="K410">
        <v>1.0880430000000001</v>
      </c>
      <c r="L410">
        <v>366.77519999999998</v>
      </c>
      <c r="M410">
        <v>0.99962600000000001</v>
      </c>
      <c r="N410">
        <v>-2.365308E-2</v>
      </c>
      <c r="O410">
        <v>-1.372635E-2</v>
      </c>
      <c r="P410">
        <v>0.99096919999999999</v>
      </c>
      <c r="Q410">
        <v>7.1570480000000006E-2</v>
      </c>
      <c r="R410">
        <v>0.1133912</v>
      </c>
      <c r="S410">
        <v>2.9923099999999998</v>
      </c>
      <c r="T410">
        <v>-3.048062E-2</v>
      </c>
      <c r="U410">
        <v>0.32437129999999997</v>
      </c>
      <c r="V410">
        <v>-0.12697410000000001</v>
      </c>
      <c r="W410">
        <v>9.4968350000000007E-2</v>
      </c>
      <c r="X410">
        <v>0.98734929999999999</v>
      </c>
      <c r="Y410">
        <v>-0.1213883</v>
      </c>
      <c r="Z410">
        <v>1.872255E-3</v>
      </c>
      <c r="AA410">
        <v>0.99260340000000002</v>
      </c>
      <c r="AB410">
        <v>23</v>
      </c>
      <c r="AC410">
        <v>106.81699999999999</v>
      </c>
      <c r="AD410">
        <v>-1.0880486853819999</v>
      </c>
      <c r="AE410">
        <v>11.5930999999999</v>
      </c>
      <c r="AF410">
        <v>-13.057286019143101</v>
      </c>
      <c r="AG410">
        <v>-1.0880486853819999</v>
      </c>
      <c r="AH410">
        <v>106.636820107774</v>
      </c>
      <c r="AI410">
        <v>90.580252983290706</v>
      </c>
      <c r="AJ410">
        <v>96.980907179391394</v>
      </c>
      <c r="AK410">
        <v>107.438763818396</v>
      </c>
      <c r="AL410">
        <v>84.550501971125001</v>
      </c>
      <c r="AM410">
        <v>97.328073000934793</v>
      </c>
      <c r="AN410">
        <v>1.00000002489151</v>
      </c>
    </row>
    <row r="411" spans="1:40" x14ac:dyDescent="0.25">
      <c r="A411" t="str">
        <f>"20190304154734748"</f>
        <v>20190304154734748</v>
      </c>
      <c r="B411" t="str">
        <f>"1551685654737210"</f>
        <v>1551685654737210</v>
      </c>
      <c r="C411" t="s">
        <v>40</v>
      </c>
      <c r="D411">
        <v>4.0435129999999999</v>
      </c>
      <c r="E411">
        <v>0.50132619999999894</v>
      </c>
      <c r="F411" t="s">
        <v>44</v>
      </c>
      <c r="G411">
        <v>-325.70650000000001</v>
      </c>
      <c r="H411" s="1">
        <v>-3.9763759999999999E-6</v>
      </c>
      <c r="I411">
        <v>378.87470000000002</v>
      </c>
      <c r="J411">
        <v>-437.11860000000001</v>
      </c>
      <c r="K411">
        <v>1.086778</v>
      </c>
      <c r="L411">
        <v>366.77359999999999</v>
      </c>
      <c r="M411">
        <v>0.99963239999999998</v>
      </c>
      <c r="N411">
        <v>-2.3371300000000001E-2</v>
      </c>
      <c r="O411">
        <v>-1.3748720000000001E-2</v>
      </c>
      <c r="P411">
        <v>0.99089740000000004</v>
      </c>
      <c r="Q411">
        <v>7.2565749999999998E-2</v>
      </c>
      <c r="R411">
        <v>0.1133883</v>
      </c>
      <c r="S411">
        <v>2.9922490000000002</v>
      </c>
      <c r="T411">
        <v>-2.9191020000000002E-2</v>
      </c>
      <c r="U411">
        <v>0.3246155</v>
      </c>
      <c r="V411">
        <v>-0.12699170000000001</v>
      </c>
      <c r="W411">
        <v>9.5683660000000004E-2</v>
      </c>
      <c r="X411">
        <v>0.98727790000000004</v>
      </c>
      <c r="Y411">
        <v>-0.1214938</v>
      </c>
      <c r="Z411">
        <v>1.8284340000000001E-3</v>
      </c>
      <c r="AA411">
        <v>0.99259050000000004</v>
      </c>
      <c r="AB411">
        <v>23</v>
      </c>
      <c r="AC411">
        <v>111.4121</v>
      </c>
      <c r="AD411">
        <v>-1.086781976376</v>
      </c>
      <c r="AE411">
        <v>12.101100000000001</v>
      </c>
      <c r="AF411">
        <v>-13.6308658559014</v>
      </c>
      <c r="AG411">
        <v>-1.086781976376</v>
      </c>
      <c r="AH411">
        <v>111.22468380125601</v>
      </c>
      <c r="AI411">
        <v>90.555665140013403</v>
      </c>
      <c r="AJ411">
        <v>96.986902416027107</v>
      </c>
      <c r="AK411">
        <v>112.06208942249501</v>
      </c>
      <c r="AL411">
        <v>84.509329840942996</v>
      </c>
      <c r="AM411">
        <v>97.329601984509495</v>
      </c>
      <c r="AN411">
        <v>0.99999995324414603</v>
      </c>
    </row>
    <row r="412" spans="1:40" x14ac:dyDescent="0.25">
      <c r="A412" t="str">
        <f>"20190304154734762"</f>
        <v>20190304154734762</v>
      </c>
      <c r="B412" t="str">
        <f>"1551685654757706"</f>
        <v>1551685654757706</v>
      </c>
      <c r="C412" t="s">
        <v>40</v>
      </c>
      <c r="D412">
        <v>4.0440579999999997</v>
      </c>
      <c r="E412">
        <v>0.50127759999999999</v>
      </c>
      <c r="F412" t="s">
        <v>45</v>
      </c>
      <c r="G412">
        <v>-306.45839999999998</v>
      </c>
      <c r="H412">
        <v>-0.05</v>
      </c>
      <c r="I412">
        <v>380.94929999999999</v>
      </c>
      <c r="J412">
        <v>-436.99349999999998</v>
      </c>
      <c r="K412">
        <v>1.085432</v>
      </c>
      <c r="L412">
        <v>366.77179999999998</v>
      </c>
      <c r="M412">
        <v>0.99963930000000001</v>
      </c>
      <c r="N412">
        <v>-2.3056259999999999E-2</v>
      </c>
      <c r="O412">
        <v>-1.3772400000000001E-2</v>
      </c>
      <c r="P412">
        <v>0.99087919999999996</v>
      </c>
      <c r="Q412">
        <v>7.3286879999999999E-2</v>
      </c>
      <c r="R412">
        <v>0.1130813</v>
      </c>
      <c r="S412">
        <v>2.9923099999999998</v>
      </c>
      <c r="T412">
        <v>-2.6033879999999999E-2</v>
      </c>
      <c r="U412">
        <v>0.32464599999999999</v>
      </c>
      <c r="V412">
        <v>-0.1267075</v>
      </c>
      <c r="W412">
        <v>9.6092800000000006E-2</v>
      </c>
      <c r="X412">
        <v>0.98727469999999995</v>
      </c>
      <c r="Y412">
        <v>-0.12152780000000001</v>
      </c>
      <c r="Z412">
        <v>1.7353539999999999E-3</v>
      </c>
      <c r="AA412">
        <v>0.99258650000000004</v>
      </c>
      <c r="AB412">
        <v>23</v>
      </c>
      <c r="AC412">
        <v>130.5351</v>
      </c>
      <c r="AD412">
        <v>-1.135432</v>
      </c>
      <c r="AE412">
        <v>14.1775</v>
      </c>
      <c r="AF412">
        <v>-15.973219830561201</v>
      </c>
      <c r="AG412">
        <v>-1.135432</v>
      </c>
      <c r="AH412">
        <v>130.31765791340601</v>
      </c>
      <c r="AI412">
        <v>90.495486204304299</v>
      </c>
      <c r="AJ412">
        <v>96.987968752564996</v>
      </c>
      <c r="AK412">
        <v>131.297848122571</v>
      </c>
      <c r="AL412">
        <v>84.4857794466093</v>
      </c>
      <c r="AM412">
        <v>97.313399995157098</v>
      </c>
      <c r="AN412">
        <v>0.99999997501408899</v>
      </c>
    </row>
    <row r="413" spans="1:40" x14ac:dyDescent="0.25">
      <c r="A413" t="str">
        <f>"20190304154734775"</f>
        <v>20190304154734775</v>
      </c>
      <c r="B413" t="str">
        <f>"1551685654767466"</f>
        <v>1551685654767466</v>
      </c>
      <c r="C413" t="s">
        <v>40</v>
      </c>
      <c r="D413">
        <v>4.0418640000000003</v>
      </c>
      <c r="E413">
        <v>0.50125989999999998</v>
      </c>
      <c r="F413" t="s">
        <v>45</v>
      </c>
      <c r="G413">
        <v>-291.74189999999999</v>
      </c>
      <c r="H413">
        <v>-0.05</v>
      </c>
      <c r="I413">
        <v>382.50839999999999</v>
      </c>
      <c r="J413">
        <v>-436.85430000000002</v>
      </c>
      <c r="K413">
        <v>1.0839219999999901</v>
      </c>
      <c r="L413">
        <v>366.76990000000001</v>
      </c>
      <c r="M413">
        <v>0.99964750000000002</v>
      </c>
      <c r="N413">
        <v>-2.268504E-2</v>
      </c>
      <c r="O413">
        <v>-1.379965E-2</v>
      </c>
      <c r="P413">
        <v>0.99080780000000002</v>
      </c>
      <c r="Q413">
        <v>7.4027380000000004E-2</v>
      </c>
      <c r="R413">
        <v>0.1132268</v>
      </c>
      <c r="S413">
        <v>2.9923099999999998</v>
      </c>
      <c r="T413">
        <v>-2.3390890000000001E-2</v>
      </c>
      <c r="U413">
        <v>0.32418819999999998</v>
      </c>
      <c r="V413">
        <v>-0.12687899999999999</v>
      </c>
      <c r="W413">
        <v>9.6464889999999998E-2</v>
      </c>
      <c r="X413">
        <v>0.98721639999999999</v>
      </c>
      <c r="Y413">
        <v>-0.1214068</v>
      </c>
      <c r="Z413">
        <v>1.6499069999999999E-3</v>
      </c>
      <c r="AA413">
        <v>0.99260150000000003</v>
      </c>
      <c r="AB413">
        <v>23</v>
      </c>
      <c r="AC413">
        <v>145.11240000000001</v>
      </c>
      <c r="AD413">
        <v>-1.1339220000000001</v>
      </c>
      <c r="AE413">
        <v>15.738499999999901</v>
      </c>
      <c r="AF413">
        <v>-17.7389456828821</v>
      </c>
      <c r="AG413">
        <v>-1.1339220000000001</v>
      </c>
      <c r="AH413">
        <v>144.87259056370101</v>
      </c>
      <c r="AI413">
        <v>90.445122314530394</v>
      </c>
      <c r="AJ413">
        <v>96.980841072906301</v>
      </c>
      <c r="AK413">
        <v>145.95897872238001</v>
      </c>
      <c r="AL413">
        <v>84.464360829016599</v>
      </c>
      <c r="AM413">
        <v>97.323619154775002</v>
      </c>
      <c r="AN413">
        <v>0.99999998803633505</v>
      </c>
    </row>
    <row r="414" spans="1:40" x14ac:dyDescent="0.25">
      <c r="A414" t="str">
        <f>"20190304154734793"</f>
        <v>20190304154734793</v>
      </c>
      <c r="B414" t="str">
        <f>"1551685654787491"</f>
        <v>1551685654787491</v>
      </c>
      <c r="C414" t="s">
        <v>40</v>
      </c>
      <c r="D414">
        <v>4.1267870000000002</v>
      </c>
      <c r="E414">
        <v>0.50138470000000002</v>
      </c>
      <c r="F414" t="s">
        <v>45</v>
      </c>
      <c r="G414">
        <v>-275.75170000000003</v>
      </c>
      <c r="H414">
        <v>-0.05</v>
      </c>
      <c r="I414">
        <v>384.26010000000002</v>
      </c>
      <c r="J414">
        <v>-436.6798</v>
      </c>
      <c r="K414">
        <v>1.0820299999999901</v>
      </c>
      <c r="L414">
        <v>366.76740000000001</v>
      </c>
      <c r="M414">
        <v>0.99965859999999995</v>
      </c>
      <c r="N414">
        <v>-2.2164110000000001E-2</v>
      </c>
      <c r="O414">
        <v>-1.383566E-2</v>
      </c>
      <c r="P414">
        <v>0.99079729999999999</v>
      </c>
      <c r="Q414">
        <v>7.4510450000000006E-2</v>
      </c>
      <c r="R414">
        <v>0.11299960000000001</v>
      </c>
      <c r="S414">
        <v>2.9922789999999999</v>
      </c>
      <c r="T414">
        <v>-2.1061179999999999E-2</v>
      </c>
      <c r="U414">
        <v>0.32485960000000003</v>
      </c>
      <c r="V414">
        <v>-0.1266873</v>
      </c>
      <c r="W414">
        <v>9.6433119999999997E-2</v>
      </c>
      <c r="X414">
        <v>0.98724409999999896</v>
      </c>
      <c r="Y414">
        <v>-0.1216655</v>
      </c>
      <c r="Z414">
        <v>1.5707620000000001E-3</v>
      </c>
      <c r="AA414">
        <v>0.9925699</v>
      </c>
      <c r="AB414">
        <v>23</v>
      </c>
      <c r="AC414">
        <v>160.92809999999901</v>
      </c>
      <c r="AD414">
        <v>-1.1320300000000001</v>
      </c>
      <c r="AE414">
        <v>17.492699999999999</v>
      </c>
      <c r="AF414">
        <v>-19.717154142580899</v>
      </c>
      <c r="AG414">
        <v>-1.1320300000000001</v>
      </c>
      <c r="AH414">
        <v>160.662749134877</v>
      </c>
      <c r="AI414">
        <v>90.400693402591102</v>
      </c>
      <c r="AJ414">
        <v>96.996574219191004</v>
      </c>
      <c r="AK414">
        <v>161.87206868073201</v>
      </c>
      <c r="AL414">
        <v>84.466189518574694</v>
      </c>
      <c r="AM414">
        <v>97.312470888683293</v>
      </c>
      <c r="AN414">
        <v>0.999999965799516</v>
      </c>
    </row>
    <row r="415" spans="1:40" x14ac:dyDescent="0.25">
      <c r="A415" t="str">
        <f>"20190304154734807"</f>
        <v>20190304154734807</v>
      </c>
      <c r="B415" t="str">
        <f>"1551685654797253"</f>
        <v>1551685654797253</v>
      </c>
      <c r="C415" t="s">
        <v>40</v>
      </c>
      <c r="D415">
        <v>4.0415089999999996</v>
      </c>
      <c r="E415">
        <v>0.53895459999999995</v>
      </c>
      <c r="F415" t="s">
        <v>45</v>
      </c>
      <c r="G415">
        <v>-261.69139999999999</v>
      </c>
      <c r="H415">
        <v>-0.05</v>
      </c>
      <c r="I415">
        <v>385.65690000000001</v>
      </c>
      <c r="J415">
        <v>-436.5378</v>
      </c>
      <c r="K415">
        <v>1.080503</v>
      </c>
      <c r="L415">
        <v>366.7654</v>
      </c>
      <c r="M415">
        <v>0.99966929999999998</v>
      </c>
      <c r="N415">
        <v>-2.1658989999999999E-2</v>
      </c>
      <c r="O415">
        <v>-1.3868510000000001E-2</v>
      </c>
      <c r="P415">
        <v>0.99075869999999999</v>
      </c>
      <c r="Q415">
        <v>7.4884030000000004E-2</v>
      </c>
      <c r="R415">
        <v>0.1130916</v>
      </c>
      <c r="S415">
        <v>2.9924620000000002</v>
      </c>
      <c r="T415">
        <v>-1.9358750000000001E-2</v>
      </c>
      <c r="U415">
        <v>0.323028599999999</v>
      </c>
      <c r="V415">
        <v>-0.12681129999999999</v>
      </c>
      <c r="W415">
        <v>9.6306370000000002E-2</v>
      </c>
      <c r="X415">
        <v>0.98724060000000002</v>
      </c>
      <c r="Y415">
        <v>-0.12109259999999999</v>
      </c>
      <c r="Z415">
        <v>1.4959000000000001E-3</v>
      </c>
      <c r="AA415">
        <v>0.99264010000000003</v>
      </c>
      <c r="AB415">
        <v>23</v>
      </c>
      <c r="AC415">
        <v>174.84639999999999</v>
      </c>
      <c r="AD415">
        <v>-1.130503</v>
      </c>
      <c r="AE415">
        <v>18.891500000000001</v>
      </c>
      <c r="AF415">
        <v>-21.314229365288298</v>
      </c>
      <c r="AG415">
        <v>-1.130503</v>
      </c>
      <c r="AH415">
        <v>174.56030498408001</v>
      </c>
      <c r="AI415">
        <v>90.368323413510694</v>
      </c>
      <c r="AJ415">
        <v>96.961491471188793</v>
      </c>
      <c r="AK415">
        <v>175.86038350522301</v>
      </c>
      <c r="AL415">
        <v>84.473485977173794</v>
      </c>
      <c r="AM415">
        <v>97.319576333439002</v>
      </c>
      <c r="AN415">
        <v>1.00000001249931</v>
      </c>
    </row>
    <row r="416" spans="1:40" x14ac:dyDescent="0.25">
      <c r="A416" t="str">
        <f>"20190304154734827"</f>
        <v>20190304154734827</v>
      </c>
      <c r="B416" t="str">
        <f>"1551685654817747"</f>
        <v>1551685654817747</v>
      </c>
      <c r="C416" t="s">
        <v>40</v>
      </c>
      <c r="D416">
        <v>4.027304</v>
      </c>
      <c r="E416">
        <v>0.54897980000000002</v>
      </c>
      <c r="F416" t="s">
        <v>43</v>
      </c>
      <c r="G416">
        <v>-158.78319999999999</v>
      </c>
      <c r="H416">
        <v>5.5709160000000004</v>
      </c>
      <c r="I416">
        <v>369.2484</v>
      </c>
      <c r="J416">
        <v>-436.3297</v>
      </c>
      <c r="K416">
        <v>1.078328</v>
      </c>
      <c r="L416">
        <v>366.76249999999999</v>
      </c>
      <c r="M416">
        <v>0.99968610000000002</v>
      </c>
      <c r="N416">
        <v>-2.084153E-2</v>
      </c>
      <c r="O416">
        <v>-1.391742E-2</v>
      </c>
      <c r="P416">
        <v>0.99071109999999896</v>
      </c>
      <c r="Q416">
        <v>7.5411980000000003E-2</v>
      </c>
      <c r="R416">
        <v>0.1131587</v>
      </c>
      <c r="S416">
        <v>3.0212400000000001</v>
      </c>
      <c r="T416">
        <v>4.8844810000000002E-2</v>
      </c>
      <c r="U416">
        <v>2.700806E-2</v>
      </c>
      <c r="V416">
        <v>-0.12692629999999999</v>
      </c>
      <c r="W416">
        <v>9.6025399999999997E-2</v>
      </c>
      <c r="X416">
        <v>0.98725320000000005</v>
      </c>
      <c r="Y416">
        <v>-2.2849399999999999E-2</v>
      </c>
      <c r="Z416">
        <v>-4.6158359999999999E-4</v>
      </c>
      <c r="AA416">
        <v>0.99973880000000004</v>
      </c>
      <c r="AB416">
        <v>23</v>
      </c>
      <c r="AC416">
        <v>277.54649999999998</v>
      </c>
      <c r="AD416">
        <v>4.4925879999999996</v>
      </c>
      <c r="AE416">
        <v>2.4859000000000102</v>
      </c>
      <c r="AF416">
        <v>-6.3475658331721503</v>
      </c>
      <c r="AG416">
        <v>4.4925879999999996</v>
      </c>
      <c r="AH416">
        <v>277.41232296569098</v>
      </c>
      <c r="AI416">
        <v>89.072440293415596</v>
      </c>
      <c r="AJ416">
        <v>91.3107755200772</v>
      </c>
      <c r="AK416">
        <v>277.52129985311899</v>
      </c>
      <c r="AL416">
        <v>84.489659382972206</v>
      </c>
      <c r="AM416">
        <v>97.326049591548895</v>
      </c>
      <c r="AN416">
        <v>1.0000000219935401</v>
      </c>
    </row>
    <row r="417" spans="1:40" x14ac:dyDescent="0.25">
      <c r="A417" t="str">
        <f>"20190304154734841"</f>
        <v>20190304154734841</v>
      </c>
      <c r="B417" t="str">
        <f>"1551685654837267"</f>
        <v>1551685654837267</v>
      </c>
      <c r="C417" t="s">
        <v>40</v>
      </c>
      <c r="D417">
        <v>4.0489240000000004</v>
      </c>
      <c r="E417">
        <v>0.55176789999999998</v>
      </c>
      <c r="F417" t="s">
        <v>43</v>
      </c>
      <c r="G417">
        <v>-168.84350000000001</v>
      </c>
      <c r="H417">
        <v>8.9795069999999999</v>
      </c>
      <c r="I417">
        <v>362.21069999999997</v>
      </c>
      <c r="J417">
        <v>-436.19130000000001</v>
      </c>
      <c r="K417">
        <v>1.0769500000000001</v>
      </c>
      <c r="L417">
        <v>366.76049999999998</v>
      </c>
      <c r="M417">
        <v>0.99969719999999995</v>
      </c>
      <c r="N417">
        <v>-2.0269100000000002E-2</v>
      </c>
      <c r="O417">
        <v>-1.394889E-2</v>
      </c>
      <c r="P417">
        <v>0.99066220000000005</v>
      </c>
      <c r="Q417">
        <v>7.5939859999999998E-2</v>
      </c>
      <c r="R417">
        <v>0.11323270000000001</v>
      </c>
      <c r="S417">
        <v>3.0271910000000002</v>
      </c>
      <c r="T417">
        <v>8.9420079999999999E-2</v>
      </c>
      <c r="U417">
        <v>-5.1513669999999998E-2</v>
      </c>
      <c r="V417">
        <v>-0.1270308</v>
      </c>
      <c r="W417">
        <v>9.5986959999999996E-2</v>
      </c>
      <c r="X417">
        <v>0.98724350000000005</v>
      </c>
      <c r="Y417">
        <v>3.0800060000000001E-3</v>
      </c>
      <c r="Z417">
        <v>-6.8029039999999998E-4</v>
      </c>
      <c r="AA417">
        <v>0.99999510000000003</v>
      </c>
      <c r="AB417">
        <v>23</v>
      </c>
      <c r="AC417">
        <v>267.34780000000001</v>
      </c>
      <c r="AD417">
        <v>7.9025569999999998</v>
      </c>
      <c r="AE417">
        <v>-4.5498000000000003</v>
      </c>
      <c r="AF417">
        <v>0.81867054395891403</v>
      </c>
      <c r="AG417">
        <v>7.9025569999999998</v>
      </c>
      <c r="AH417">
        <v>267.15190298321397</v>
      </c>
      <c r="AI417">
        <v>88.305649188434401</v>
      </c>
      <c r="AJ417">
        <v>89.824421164032898</v>
      </c>
      <c r="AK417">
        <v>267.27001308817</v>
      </c>
      <c r="AL417">
        <v>84.491872067251194</v>
      </c>
      <c r="AM417">
        <v>97.332086868353798</v>
      </c>
      <c r="AN417">
        <v>1.0000000244654601</v>
      </c>
    </row>
    <row r="418" spans="1:40" x14ac:dyDescent="0.25">
      <c r="A418" t="str">
        <f>"20190304154734858"</f>
        <v>20190304154734858</v>
      </c>
      <c r="B418" t="str">
        <f>"1551685654847027"</f>
        <v>1551685654847027</v>
      </c>
      <c r="C418" t="s">
        <v>40</v>
      </c>
      <c r="D418">
        <v>4.0148630000000001</v>
      </c>
      <c r="E418">
        <v>0.55300890000000003</v>
      </c>
      <c r="F418" t="s">
        <v>43</v>
      </c>
      <c r="G418">
        <v>-168.84350000000001</v>
      </c>
      <c r="H418">
        <v>10.12003</v>
      </c>
      <c r="I418">
        <v>360.29840000000002</v>
      </c>
      <c r="J418">
        <v>-436.01069999999999</v>
      </c>
      <c r="K418">
        <v>1.0752379999999999</v>
      </c>
      <c r="L418">
        <v>366.75799999999998</v>
      </c>
      <c r="M418">
        <v>0.99971160000000003</v>
      </c>
      <c r="N418">
        <v>-1.9525210000000001E-2</v>
      </c>
      <c r="O418">
        <v>-1.3988860000000001E-2</v>
      </c>
      <c r="P418">
        <v>0.99065689999999995</v>
      </c>
      <c r="Q418">
        <v>7.5920710000000002E-2</v>
      </c>
      <c r="R418">
        <v>0.11329160000000001</v>
      </c>
      <c r="S418">
        <v>3.0288390000000001</v>
      </c>
      <c r="T418">
        <v>0.1024519</v>
      </c>
      <c r="U418">
        <v>-7.3211670000000006E-2</v>
      </c>
      <c r="V418">
        <v>-0.12712899999999999</v>
      </c>
      <c r="W418">
        <v>9.5232730000000002E-2</v>
      </c>
      <c r="X418">
        <v>0.98730390000000001</v>
      </c>
      <c r="Y418">
        <v>1.0192089999999999E-2</v>
      </c>
      <c r="Z418">
        <v>-6.7319639999999996E-4</v>
      </c>
      <c r="AA418">
        <v>0.99994780000000005</v>
      </c>
      <c r="AB418">
        <v>23</v>
      </c>
      <c r="AC418">
        <v>267.16719999999998</v>
      </c>
      <c r="AD418">
        <v>9.0447919999999993</v>
      </c>
      <c r="AE418">
        <v>-6.4596000000000204</v>
      </c>
      <c r="AF418">
        <v>2.71777782661069</v>
      </c>
      <c r="AG418">
        <v>9.0447919999999993</v>
      </c>
      <c r="AH418">
        <v>266.92567699780801</v>
      </c>
      <c r="AI418">
        <v>88.059372261879901</v>
      </c>
      <c r="AJ418">
        <v>89.416647284701696</v>
      </c>
      <c r="AK418">
        <v>267.09270229524401</v>
      </c>
      <c r="AL418">
        <v>84.535285136528998</v>
      </c>
      <c r="AM418">
        <v>97.337249118988495</v>
      </c>
      <c r="AN418">
        <v>1.0000000232297299</v>
      </c>
    </row>
    <row r="419" spans="1:40" x14ac:dyDescent="0.25">
      <c r="A419" t="str">
        <f>"20190304154734870"</f>
        <v>20190304154734870</v>
      </c>
      <c r="B419" t="str">
        <f>"1551685654867524"</f>
        <v>1551685654867524</v>
      </c>
      <c r="C419" t="s">
        <v>40</v>
      </c>
      <c r="D419">
        <v>4.0513830000000004</v>
      </c>
      <c r="E419">
        <v>0.55226779999999998</v>
      </c>
      <c r="F419" t="s">
        <v>43</v>
      </c>
      <c r="G419">
        <v>-168.84350000000001</v>
      </c>
      <c r="H419">
        <v>10.559850000000001</v>
      </c>
      <c r="I419">
        <v>359.42439999999999</v>
      </c>
      <c r="J419">
        <v>-435.8877</v>
      </c>
      <c r="K419">
        <v>1.0741259999999999</v>
      </c>
      <c r="L419">
        <v>366.75630000000001</v>
      </c>
      <c r="M419">
        <v>0.99972079999999997</v>
      </c>
      <c r="N419">
        <v>-1.9030080000000001E-2</v>
      </c>
      <c r="O419">
        <v>-1.401499E-2</v>
      </c>
      <c r="P419">
        <v>0.99067439999999996</v>
      </c>
      <c r="Q419">
        <v>7.6134030000000005E-2</v>
      </c>
      <c r="R419">
        <v>0.11299720000000001</v>
      </c>
      <c r="S419">
        <v>3.0295719999999999</v>
      </c>
      <c r="T419">
        <v>0.1075528</v>
      </c>
      <c r="U419">
        <v>-8.3160399999999995E-2</v>
      </c>
      <c r="V419">
        <v>-0.12686120000000001</v>
      </c>
      <c r="W419">
        <v>9.4956940000000004E-2</v>
      </c>
      <c r="X419">
        <v>0.98736489999999999</v>
      </c>
      <c r="Y419">
        <v>1.3441170000000001E-2</v>
      </c>
      <c r="Z419">
        <v>-6.5331039999999996E-4</v>
      </c>
      <c r="AA419">
        <v>0.99990950000000001</v>
      </c>
      <c r="AB419">
        <v>23</v>
      </c>
      <c r="AC419">
        <v>267.04419999999999</v>
      </c>
      <c r="AD419">
        <v>9.4857239999999994</v>
      </c>
      <c r="AE419">
        <v>-7.3319000000000099</v>
      </c>
      <c r="AF419">
        <v>3.58336251437645</v>
      </c>
      <c r="AG419">
        <v>9.4857239999999994</v>
      </c>
      <c r="AH419">
        <v>266.78437523751001</v>
      </c>
      <c r="AI419">
        <v>87.963845757840204</v>
      </c>
      <c r="AJ419">
        <v>89.230467665366206</v>
      </c>
      <c r="AK419">
        <v>266.97700709533399</v>
      </c>
      <c r="AL419">
        <v>84.551158630426301</v>
      </c>
      <c r="AM419">
        <v>97.321513496951496</v>
      </c>
      <c r="AN419">
        <v>1.0000000151357999</v>
      </c>
    </row>
    <row r="420" spans="1:40" x14ac:dyDescent="0.25">
      <c r="A420" t="str">
        <f>"20190304154734882"</f>
        <v>20190304154734882</v>
      </c>
      <c r="B420" t="str">
        <f>"1551685654877789"</f>
        <v>1551685654877789</v>
      </c>
      <c r="C420" t="s">
        <v>40</v>
      </c>
      <c r="D420">
        <v>4.056076</v>
      </c>
      <c r="E420">
        <v>0.55173339999999904</v>
      </c>
      <c r="F420" t="s">
        <v>43</v>
      </c>
      <c r="G420">
        <v>-168.84350000000001</v>
      </c>
      <c r="H420">
        <v>9.9278139999999997</v>
      </c>
      <c r="I420">
        <v>359.86689999999999</v>
      </c>
      <c r="J420">
        <v>-435.76479999999998</v>
      </c>
      <c r="K420">
        <v>1.0731120000000001</v>
      </c>
      <c r="L420">
        <v>366.75450000000001</v>
      </c>
      <c r="M420">
        <v>0.99972910000000004</v>
      </c>
      <c r="N420">
        <v>-1.8566360000000001E-2</v>
      </c>
      <c r="O420">
        <v>-1.4039380000000001E-2</v>
      </c>
      <c r="P420">
        <v>0.99064980000000002</v>
      </c>
      <c r="Q420">
        <v>7.6411779999999999E-2</v>
      </c>
      <c r="R420">
        <v>0.1130239</v>
      </c>
      <c r="S420">
        <v>3.0294490000000001</v>
      </c>
      <c r="T420">
        <v>0.1004405</v>
      </c>
      <c r="U420">
        <v>-7.8155520000000006E-2</v>
      </c>
      <c r="V420">
        <v>-0.126911</v>
      </c>
      <c r="W420">
        <v>9.4776579999999999E-2</v>
      </c>
      <c r="X420">
        <v>0.98737580000000003</v>
      </c>
      <c r="Y420">
        <v>1.1766250000000001E-2</v>
      </c>
      <c r="Z420">
        <v>-6.4008149999999998E-4</v>
      </c>
      <c r="AA420">
        <v>0.9999306</v>
      </c>
      <c r="AB420">
        <v>23</v>
      </c>
      <c r="AC420">
        <v>266.92129999999997</v>
      </c>
      <c r="AD420">
        <v>8.8547019999999996</v>
      </c>
      <c r="AE420">
        <v>-6.8876000000000097</v>
      </c>
      <c r="AF420">
        <v>3.1354173342395502</v>
      </c>
      <c r="AG420">
        <v>8.8547019999999996</v>
      </c>
      <c r="AH420">
        <v>266.69839780356602</v>
      </c>
      <c r="AI420">
        <v>88.098542222175098</v>
      </c>
      <c r="AJ420">
        <v>89.326438006634007</v>
      </c>
      <c r="AK420">
        <v>266.86377045293699</v>
      </c>
      <c r="AL420">
        <v>84.561539156511699</v>
      </c>
      <c r="AM420">
        <v>97.324276412234795</v>
      </c>
      <c r="AN420">
        <v>0.99999998623156805</v>
      </c>
    </row>
    <row r="421" spans="1:40" x14ac:dyDescent="0.25">
      <c r="A421" t="str">
        <f>"20190304154734895"</f>
        <v>20190304154734895</v>
      </c>
      <c r="B421" t="str">
        <f>"1551685654887550"</f>
        <v>1551685654887550</v>
      </c>
      <c r="C421" t="s">
        <v>40</v>
      </c>
      <c r="D421">
        <v>4.0551760000000003</v>
      </c>
      <c r="E421">
        <v>0.55113999999999996</v>
      </c>
      <c r="F421" t="s">
        <v>43</v>
      </c>
      <c r="G421">
        <v>-168.84350000000001</v>
      </c>
      <c r="H421">
        <v>9.5914950000000001</v>
      </c>
      <c r="I421">
        <v>360.24720000000002</v>
      </c>
      <c r="J421">
        <v>-435.64210000000003</v>
      </c>
      <c r="K421">
        <v>1.072133</v>
      </c>
      <c r="L421">
        <v>366.7527</v>
      </c>
      <c r="M421">
        <v>0.99973710000000005</v>
      </c>
      <c r="N421">
        <v>-1.8115030000000001E-2</v>
      </c>
      <c r="O421">
        <v>-1.406375E-2</v>
      </c>
      <c r="P421">
        <v>0.9906026</v>
      </c>
      <c r="Q421">
        <v>7.7253420000000003E-2</v>
      </c>
      <c r="R421">
        <v>0.11286599999999999</v>
      </c>
      <c r="S421">
        <v>3.0293269999999999</v>
      </c>
      <c r="T421">
        <v>9.6677299999999994E-2</v>
      </c>
      <c r="U421">
        <v>-7.3852539999999994E-2</v>
      </c>
      <c r="V421">
        <v>-0.12677669999999999</v>
      </c>
      <c r="W421">
        <v>9.5171500000000006E-2</v>
      </c>
      <c r="X421">
        <v>0.98735510000000004</v>
      </c>
      <c r="Y421">
        <v>1.0322970000000001E-2</v>
      </c>
      <c r="Z421">
        <v>-6.3215629999999895E-4</v>
      </c>
      <c r="AA421">
        <v>0.99994649999999996</v>
      </c>
      <c r="AB421">
        <v>23</v>
      </c>
      <c r="AC421">
        <v>266.79860000000002</v>
      </c>
      <c r="AD421">
        <v>8.5193619999999992</v>
      </c>
      <c r="AE421">
        <v>-6.5054999999999801</v>
      </c>
      <c r="AF421">
        <v>2.7492506054059098</v>
      </c>
      <c r="AG421">
        <v>8.5193619999999992</v>
      </c>
      <c r="AH421">
        <v>266.59204533818797</v>
      </c>
      <c r="AI421">
        <v>88.169744712489404</v>
      </c>
      <c r="AJ421">
        <v>89.409153890503006</v>
      </c>
      <c r="AK421">
        <v>266.74230362913403</v>
      </c>
      <c r="AL421">
        <v>84.538809345330904</v>
      </c>
      <c r="AM421">
        <v>97.316761463728696</v>
      </c>
      <c r="AN421">
        <v>1.0000000197855701</v>
      </c>
    </row>
    <row r="422" spans="1:40" x14ac:dyDescent="0.25">
      <c r="A422" t="str">
        <f>"20190304154734907"</f>
        <v>20190304154734907</v>
      </c>
      <c r="B422" t="str">
        <f>"1551685654897311"</f>
        <v>1551685654897311</v>
      </c>
      <c r="C422" t="s">
        <v>40</v>
      </c>
      <c r="D422">
        <v>4.0361979999999997</v>
      </c>
      <c r="E422">
        <v>0.55061199999999999</v>
      </c>
      <c r="F422" t="s">
        <v>43</v>
      </c>
      <c r="G422">
        <v>-168.84350000000001</v>
      </c>
      <c r="H422">
        <v>9.4892009999999996</v>
      </c>
      <c r="I422">
        <v>360.59980000000002</v>
      </c>
      <c r="J422">
        <v>-435.51499999999999</v>
      </c>
      <c r="K422">
        <v>1.071194</v>
      </c>
      <c r="L422">
        <v>366.7509</v>
      </c>
      <c r="M422">
        <v>0.99974450000000004</v>
      </c>
      <c r="N422">
        <v>-1.7672810000000001E-2</v>
      </c>
      <c r="O422">
        <v>-1.408805E-2</v>
      </c>
      <c r="P422">
        <v>0.99054880000000001</v>
      </c>
      <c r="Q422">
        <v>7.8068609999999997E-2</v>
      </c>
      <c r="R422">
        <v>0.1127744</v>
      </c>
      <c r="S422">
        <v>3.0289920000000001</v>
      </c>
      <c r="T422">
        <v>9.5560790000000007E-2</v>
      </c>
      <c r="U422">
        <v>-6.9854739999999999E-2</v>
      </c>
      <c r="V422">
        <v>-0.12670809999999999</v>
      </c>
      <c r="W422">
        <v>9.5548389999999997E-2</v>
      </c>
      <c r="X422">
        <v>0.98732750000000002</v>
      </c>
      <c r="Y422">
        <v>8.9822089999999997E-3</v>
      </c>
      <c r="Z422">
        <v>-6.3090420000000002E-4</v>
      </c>
      <c r="AA422">
        <v>0.9999595</v>
      </c>
      <c r="AB422">
        <v>23</v>
      </c>
      <c r="AC422">
        <v>266.67149999999998</v>
      </c>
      <c r="AD422">
        <v>8.4180069999999994</v>
      </c>
      <c r="AE422">
        <v>-6.15109999999998</v>
      </c>
      <c r="AF422">
        <v>2.3906399207309699</v>
      </c>
      <c r="AG422">
        <v>8.4180069999999994</v>
      </c>
      <c r="AH422">
        <v>266.46631221546301</v>
      </c>
      <c r="AI422">
        <v>88.190628590777095</v>
      </c>
      <c r="AJ422">
        <v>89.485976663181702</v>
      </c>
      <c r="AK422">
        <v>266.60996520533803</v>
      </c>
      <c r="AL422">
        <v>84.517116253722705</v>
      </c>
      <c r="AM422">
        <v>97.313047379860095</v>
      </c>
      <c r="AN422">
        <v>1.0000000148467201</v>
      </c>
    </row>
    <row r="423" spans="1:40" x14ac:dyDescent="0.25">
      <c r="A423" t="str">
        <f>"20190304154734918"</f>
        <v>20190304154734918</v>
      </c>
      <c r="B423" t="str">
        <f>"1551685654907070"</f>
        <v>1551685654907070</v>
      </c>
      <c r="C423" t="s">
        <v>40</v>
      </c>
      <c r="D423">
        <v>4.050027</v>
      </c>
      <c r="E423">
        <v>0.55118559999999905</v>
      </c>
      <c r="F423" t="s">
        <v>43</v>
      </c>
      <c r="G423">
        <v>-168.84350000000001</v>
      </c>
      <c r="H423">
        <v>9.3959329999999994</v>
      </c>
      <c r="I423">
        <v>360.95499999999998</v>
      </c>
      <c r="J423">
        <v>-435.40309999999999</v>
      </c>
      <c r="K423">
        <v>1.0704209999999901</v>
      </c>
      <c r="L423">
        <v>366.74930000000001</v>
      </c>
      <c r="M423">
        <v>0.99975069999999999</v>
      </c>
      <c r="N423">
        <v>-1.730168E-2</v>
      </c>
      <c r="O423">
        <v>-1.410936E-2</v>
      </c>
      <c r="P423">
        <v>0.99047799999999997</v>
      </c>
      <c r="Q423">
        <v>7.8967670000000004E-2</v>
      </c>
      <c r="R423">
        <v>0.1127711</v>
      </c>
      <c r="S423">
        <v>3.0286870000000001</v>
      </c>
      <c r="T423">
        <v>9.4548110000000005E-2</v>
      </c>
      <c r="U423">
        <v>-6.5826419999999997E-2</v>
      </c>
      <c r="V423">
        <v>-0.12672510000000001</v>
      </c>
      <c r="W423">
        <v>9.6079020000000001E-2</v>
      </c>
      <c r="X423">
        <v>0.98727379999999998</v>
      </c>
      <c r="Y423">
        <v>7.6338169999999898E-3</v>
      </c>
      <c r="Z423">
        <v>-6.3124769999999995E-4</v>
      </c>
      <c r="AA423">
        <v>0.99997069999999999</v>
      </c>
      <c r="AB423">
        <v>23</v>
      </c>
      <c r="AC423">
        <v>266.55959999999999</v>
      </c>
      <c r="AD423">
        <v>8.3255119999999998</v>
      </c>
      <c r="AE423">
        <v>-5.7943000000000202</v>
      </c>
      <c r="AF423">
        <v>2.0301948803052698</v>
      </c>
      <c r="AG423">
        <v>8.3255119999999998</v>
      </c>
      <c r="AH423">
        <v>266.355114020445</v>
      </c>
      <c r="AI423">
        <v>88.209729894461205</v>
      </c>
      <c r="AJ423">
        <v>89.563292238283907</v>
      </c>
      <c r="AK423">
        <v>266.49293162513402</v>
      </c>
      <c r="AL423">
        <v>84.486572749915695</v>
      </c>
      <c r="AM423">
        <v>97.314411440641095</v>
      </c>
      <c r="AN423">
        <v>0.99999999261030503</v>
      </c>
    </row>
    <row r="424" spans="1:40" x14ac:dyDescent="0.25">
      <c r="A424" t="str">
        <f>"20190304154734930"</f>
        <v>20190304154734930</v>
      </c>
      <c r="B424" t="str">
        <f>"1551685654927565"</f>
        <v>1551685654927565</v>
      </c>
      <c r="C424" t="s">
        <v>40</v>
      </c>
      <c r="D424">
        <v>4.0418640000000003</v>
      </c>
      <c r="E424">
        <v>0.55201219999999995</v>
      </c>
      <c r="F424" t="s">
        <v>43</v>
      </c>
      <c r="G424">
        <v>-168.84350000000001</v>
      </c>
      <c r="H424">
        <v>9.9666390000000007</v>
      </c>
      <c r="I424">
        <v>360.5505</v>
      </c>
      <c r="J424">
        <v>-435.27980000000002</v>
      </c>
      <c r="K424">
        <v>1.0696019999999999</v>
      </c>
      <c r="L424">
        <v>366.7475</v>
      </c>
      <c r="M424">
        <v>0.99975729999999996</v>
      </c>
      <c r="N424">
        <v>-1.6904679999999998E-2</v>
      </c>
      <c r="O424">
        <v>-1.4132779999999999E-2</v>
      </c>
      <c r="P424">
        <v>0.99047909999999995</v>
      </c>
      <c r="Q424">
        <v>7.9348379999999996E-2</v>
      </c>
      <c r="R424">
        <v>0.112495899999999</v>
      </c>
      <c r="S424">
        <v>3.0288089999999999</v>
      </c>
      <c r="T424">
        <v>0.1010851</v>
      </c>
      <c r="U424">
        <v>-7.0434570000000002E-2</v>
      </c>
      <c r="V424">
        <v>-0.12647340000000001</v>
      </c>
      <c r="W424">
        <v>9.6067650000000004E-2</v>
      </c>
      <c r="X424">
        <v>0.98730720000000005</v>
      </c>
      <c r="Y424">
        <v>9.1306389999999994E-3</v>
      </c>
      <c r="Z424">
        <v>-6.3515849999999999E-4</v>
      </c>
      <c r="AA424">
        <v>0.99995809999999996</v>
      </c>
      <c r="AB424">
        <v>23</v>
      </c>
      <c r="AC424">
        <v>266.43630000000002</v>
      </c>
      <c r="AD424">
        <v>8.8970369999999992</v>
      </c>
      <c r="AE424">
        <v>-6.1970000000000001</v>
      </c>
      <c r="AF424">
        <v>2.4276519129865202</v>
      </c>
      <c r="AG424">
        <v>8.8970369999999992</v>
      </c>
      <c r="AH424">
        <v>266.20060293142097</v>
      </c>
      <c r="AI424">
        <v>88.085835236015996</v>
      </c>
      <c r="AJ424">
        <v>89.477497979521303</v>
      </c>
      <c r="AK424">
        <v>266.36030440409502</v>
      </c>
      <c r="AL424">
        <v>84.487227330579003</v>
      </c>
      <c r="AM424">
        <v>97.299796210792906</v>
      </c>
      <c r="AN424">
        <v>1.0000000107279601</v>
      </c>
    </row>
    <row r="425" spans="1:40" x14ac:dyDescent="0.25">
      <c r="A425" t="str">
        <f>"20190304154734949"</f>
        <v>20190304154734949</v>
      </c>
      <c r="B425" t="str">
        <f>"1551685654937325"</f>
        <v>1551685654937325</v>
      </c>
      <c r="C425" t="s">
        <v>40</v>
      </c>
      <c r="D425">
        <v>4.0672779999999999</v>
      </c>
      <c r="E425">
        <v>0.55212910000000004</v>
      </c>
      <c r="F425" t="s">
        <v>43</v>
      </c>
      <c r="G425">
        <v>-168.84350000000001</v>
      </c>
      <c r="H425">
        <v>10.489839999999999</v>
      </c>
      <c r="I425">
        <v>359.92140000000001</v>
      </c>
      <c r="J425">
        <v>-435.1028</v>
      </c>
      <c r="K425">
        <v>1.0685530000000001</v>
      </c>
      <c r="L425">
        <v>366.745</v>
      </c>
      <c r="M425">
        <v>0.99976569999999998</v>
      </c>
      <c r="N425">
        <v>-1.6378920000000002E-2</v>
      </c>
      <c r="O425">
        <v>-1.4164370000000001E-2</v>
      </c>
      <c r="P425">
        <v>0.99037560000000002</v>
      </c>
      <c r="Q425">
        <v>7.9943719999999996E-2</v>
      </c>
      <c r="R425">
        <v>0.1129831</v>
      </c>
      <c r="S425">
        <v>3.029083</v>
      </c>
      <c r="T425">
        <v>0.1070986</v>
      </c>
      <c r="U425">
        <v>-7.76062E-2</v>
      </c>
      <c r="V425">
        <v>-0.1269913</v>
      </c>
      <c r="W425">
        <v>9.6140729999999994E-2</v>
      </c>
      <c r="X425">
        <v>0.98723360000000004</v>
      </c>
      <c r="Y425">
        <v>1.146287E-2</v>
      </c>
      <c r="Z425">
        <v>-6.2378080000000005E-4</v>
      </c>
      <c r="AA425">
        <v>0.99993410000000005</v>
      </c>
      <c r="AB425">
        <v>23</v>
      </c>
      <c r="AC425">
        <v>266.2593</v>
      </c>
      <c r="AD425">
        <v>9.4212869999999995</v>
      </c>
      <c r="AE425">
        <v>-6.8235999999999901</v>
      </c>
      <c r="AF425">
        <v>3.0472020735433998</v>
      </c>
      <c r="AG425">
        <v>9.4212869999999995</v>
      </c>
      <c r="AH425">
        <v>265.99643274256499</v>
      </c>
      <c r="AI425">
        <v>87.971630488082795</v>
      </c>
      <c r="AJ425">
        <v>89.343659689724106</v>
      </c>
      <c r="AK425">
        <v>266.18066857114798</v>
      </c>
      <c r="AL425">
        <v>84.483020655312998</v>
      </c>
      <c r="AM425">
        <v>97.329904471132807</v>
      </c>
      <c r="AN425">
        <v>1.00000000560479</v>
      </c>
    </row>
    <row r="426" spans="1:40" x14ac:dyDescent="0.25">
      <c r="A426" t="str">
        <f>"20190304154734960"</f>
        <v>20190304154734960</v>
      </c>
      <c r="B426" t="str">
        <f>"1551685654957821"</f>
        <v>1551685654957821</v>
      </c>
      <c r="C426" t="s">
        <v>40</v>
      </c>
      <c r="D426">
        <v>4.0633910000000002</v>
      </c>
      <c r="E426">
        <v>0.55141229999999997</v>
      </c>
      <c r="F426" t="s">
        <v>43</v>
      </c>
      <c r="G426">
        <v>-168.84350000000001</v>
      </c>
      <c r="H426">
        <v>10.745710000000001</v>
      </c>
      <c r="I426">
        <v>359.96350000000001</v>
      </c>
      <c r="J426">
        <v>-434.97829999999999</v>
      </c>
      <c r="K426">
        <v>1.067879</v>
      </c>
      <c r="L426">
        <v>366.7432</v>
      </c>
      <c r="M426">
        <v>0.99977090000000002</v>
      </c>
      <c r="N426">
        <v>-1.6034260000000002E-2</v>
      </c>
      <c r="O426">
        <v>-1.4183950000000001E-2</v>
      </c>
      <c r="P426">
        <v>0.99032109999999995</v>
      </c>
      <c r="Q426">
        <v>8.0389240000000001E-2</v>
      </c>
      <c r="R426">
        <v>0.11314440000000001</v>
      </c>
      <c r="S426">
        <v>3.0290530000000002</v>
      </c>
      <c r="T426">
        <v>0.11009140000000001</v>
      </c>
      <c r="U426">
        <v>-7.7148439999999999E-2</v>
      </c>
      <c r="V426">
        <v>-0.1271717</v>
      </c>
      <c r="W426">
        <v>9.6243720000000005E-2</v>
      </c>
      <c r="X426">
        <v>0.98720030000000003</v>
      </c>
      <c r="Y426">
        <v>1.1292770000000001E-2</v>
      </c>
      <c r="Z426">
        <v>-6.2799799999999995E-4</v>
      </c>
      <c r="AA426">
        <v>0.99993600000000005</v>
      </c>
      <c r="AB426">
        <v>23</v>
      </c>
      <c r="AC426">
        <v>266.13479999999998</v>
      </c>
      <c r="AD426">
        <v>9.6778309999999994</v>
      </c>
      <c r="AE426">
        <v>-6.7796999999999903</v>
      </c>
      <c r="AF426">
        <v>2.9997258452198801</v>
      </c>
      <c r="AG426">
        <v>9.6778309999999994</v>
      </c>
      <c r="AH426">
        <v>265.85286831071301</v>
      </c>
      <c r="AI426">
        <v>87.9153172763003</v>
      </c>
      <c r="AJ426">
        <v>89.353535892553197</v>
      </c>
      <c r="AK426">
        <v>266.045872655533</v>
      </c>
      <c r="AL426">
        <v>84.477092039171296</v>
      </c>
      <c r="AM426">
        <v>97.340448531214506</v>
      </c>
      <c r="AN426">
        <v>0.99999996362020804</v>
      </c>
    </row>
    <row r="427" spans="1:40" x14ac:dyDescent="0.25">
      <c r="A427" t="str">
        <f>"20190304154734973"</f>
        <v>20190304154734973</v>
      </c>
      <c r="B427" t="str">
        <f>"1551685654967581"</f>
        <v>1551685654967581</v>
      </c>
      <c r="C427" t="s">
        <v>40</v>
      </c>
      <c r="D427">
        <v>4.079332</v>
      </c>
      <c r="E427">
        <v>0.55111250000000001</v>
      </c>
      <c r="F427" t="s">
        <v>43</v>
      </c>
      <c r="G427">
        <v>-168.84350000000001</v>
      </c>
      <c r="H427">
        <v>10.44557</v>
      </c>
      <c r="I427">
        <v>360.48989999999998</v>
      </c>
      <c r="J427">
        <v>-434.84440000000001</v>
      </c>
      <c r="K427">
        <v>1.0671949999999999</v>
      </c>
      <c r="L427">
        <v>366.74130000000002</v>
      </c>
      <c r="M427">
        <v>0.9997762</v>
      </c>
      <c r="N427">
        <v>-1.56788E-2</v>
      </c>
      <c r="O427">
        <v>-1.420339E-2</v>
      </c>
      <c r="P427">
        <v>0.99025070000000004</v>
      </c>
      <c r="Q427">
        <v>8.0992880000000003E-2</v>
      </c>
      <c r="R427">
        <v>0.113332</v>
      </c>
      <c r="S427">
        <v>3.028778</v>
      </c>
      <c r="T427">
        <v>0.1067249</v>
      </c>
      <c r="U427">
        <v>-7.1166989999999999E-2</v>
      </c>
      <c r="V427">
        <v>-0.12737809999999999</v>
      </c>
      <c r="W427">
        <v>9.6494330000000003E-2</v>
      </c>
      <c r="X427">
        <v>0.98714919999999995</v>
      </c>
      <c r="Y427">
        <v>9.3020610000000004E-3</v>
      </c>
      <c r="Z427">
        <v>-6.3195120000000002E-4</v>
      </c>
      <c r="AA427">
        <v>0.99995650000000003</v>
      </c>
      <c r="AB427">
        <v>23</v>
      </c>
      <c r="AC427">
        <v>266.0009</v>
      </c>
      <c r="AD427">
        <v>9.3783750000000001</v>
      </c>
      <c r="AE427">
        <v>-6.2514000000000403</v>
      </c>
      <c r="AF427">
        <v>2.4691227299084102</v>
      </c>
      <c r="AG427">
        <v>9.3783750000000001</v>
      </c>
      <c r="AH427">
        <v>265.73272600648801</v>
      </c>
      <c r="AI427">
        <v>87.978814209702605</v>
      </c>
      <c r="AJ427">
        <v>89.467637116052003</v>
      </c>
      <c r="AK427">
        <v>265.90963155842098</v>
      </c>
      <c r="AL427">
        <v>84.462665866229599</v>
      </c>
      <c r="AM427">
        <v>97.352608276799302</v>
      </c>
      <c r="AN427">
        <v>0.99999993957119704</v>
      </c>
    </row>
    <row r="428" spans="1:40" x14ac:dyDescent="0.25">
      <c r="A428" t="str">
        <f>"20190304154734984"</f>
        <v>20190304154734984</v>
      </c>
      <c r="B428" t="str">
        <f>"1551685654977849"</f>
        <v>1551685654977849</v>
      </c>
      <c r="C428" t="s">
        <v>40</v>
      </c>
      <c r="D428">
        <v>4.1366050000000003</v>
      </c>
      <c r="E428">
        <v>0.55076969999999903</v>
      </c>
      <c r="F428" t="s">
        <v>43</v>
      </c>
      <c r="G428">
        <v>-168.84350000000001</v>
      </c>
      <c r="H428">
        <v>10.39541</v>
      </c>
      <c r="I428">
        <v>360.76690000000002</v>
      </c>
      <c r="J428">
        <v>-434.72469999999998</v>
      </c>
      <c r="K428">
        <v>1.0666519999999999</v>
      </c>
      <c r="L428">
        <v>366.7396</v>
      </c>
      <c r="M428">
        <v>0.99978069999999997</v>
      </c>
      <c r="N428">
        <v>-1.538789E-2</v>
      </c>
      <c r="O428">
        <v>-1.421801E-2</v>
      </c>
      <c r="P428">
        <v>0.99017460000000002</v>
      </c>
      <c r="Q428">
        <v>8.1662129999999999E-2</v>
      </c>
      <c r="R428">
        <v>0.1135164</v>
      </c>
      <c r="S428">
        <v>3.0286249999999999</v>
      </c>
      <c r="T428">
        <v>0.1062099</v>
      </c>
      <c r="U428">
        <v>-6.8023680000000003E-2</v>
      </c>
      <c r="V428">
        <v>-0.1275762</v>
      </c>
      <c r="W428">
        <v>9.6874489999999994E-2</v>
      </c>
      <c r="X428">
        <v>0.98708640000000003</v>
      </c>
      <c r="Y428">
        <v>8.2514530000000006E-3</v>
      </c>
      <c r="Z428">
        <v>-6.3593389999999997E-4</v>
      </c>
      <c r="AA428">
        <v>0.99996569999999996</v>
      </c>
      <c r="AB428">
        <v>23</v>
      </c>
      <c r="AC428">
        <v>265.88119999999998</v>
      </c>
      <c r="AD428">
        <v>9.3287580000000005</v>
      </c>
      <c r="AE428">
        <v>-5.9726999999999704</v>
      </c>
      <c r="AF428">
        <v>2.1886546952211501</v>
      </c>
      <c r="AG428">
        <v>9.3287580000000005</v>
      </c>
      <c r="AH428">
        <v>265.61243326702697</v>
      </c>
      <c r="AI428">
        <v>87.988570334859801</v>
      </c>
      <c r="AJ428">
        <v>89.527891683139501</v>
      </c>
      <c r="AK428">
        <v>265.78521524198499</v>
      </c>
      <c r="AL428">
        <v>84.440781875297603</v>
      </c>
      <c r="AM428">
        <v>97.364381091584505</v>
      </c>
      <c r="AN428">
        <v>0.99999995734207903</v>
      </c>
    </row>
    <row r="429" spans="1:40" x14ac:dyDescent="0.25">
      <c r="A429" t="str">
        <f>"20190304154734998"</f>
        <v>20190304154734998</v>
      </c>
      <c r="B429" t="str">
        <f>"1551685654987610"</f>
        <v>1551685654987610</v>
      </c>
      <c r="C429" t="s">
        <v>40</v>
      </c>
      <c r="D429">
        <v>4.1315609999999996</v>
      </c>
      <c r="E429">
        <v>0.55046890000000004</v>
      </c>
      <c r="F429" t="s">
        <v>43</v>
      </c>
      <c r="G429">
        <v>-168.84350000000001</v>
      </c>
      <c r="H429">
        <v>10.319129999999999</v>
      </c>
      <c r="I429">
        <v>361.04899999999998</v>
      </c>
      <c r="J429">
        <v>-434.59769999999997</v>
      </c>
      <c r="K429">
        <v>1.066109</v>
      </c>
      <c r="L429">
        <v>366.73779999999999</v>
      </c>
      <c r="M429">
        <v>0.99978480000000003</v>
      </c>
      <c r="N429">
        <v>-1.509403E-2</v>
      </c>
      <c r="O429">
        <v>-1.4230980000000001E-2</v>
      </c>
      <c r="P429">
        <v>0.99014570000000002</v>
      </c>
      <c r="Q429">
        <v>8.1592570000000003E-2</v>
      </c>
      <c r="R429">
        <v>0.113816</v>
      </c>
      <c r="S429">
        <v>3.0285340000000001</v>
      </c>
      <c r="T429">
        <v>0.1053917</v>
      </c>
      <c r="U429">
        <v>-6.4819340000000003E-2</v>
      </c>
      <c r="V429">
        <v>-0.12788949999999999</v>
      </c>
      <c r="W429">
        <v>9.6512840000000003E-2</v>
      </c>
      <c r="X429">
        <v>0.98708130000000005</v>
      </c>
      <c r="Y429">
        <v>7.1817110000000003E-3</v>
      </c>
      <c r="Z429">
        <v>-6.3901620000000002E-4</v>
      </c>
      <c r="AA429">
        <v>0.99997400000000003</v>
      </c>
      <c r="AB429">
        <v>23</v>
      </c>
      <c r="AC429">
        <v>265.75420000000003</v>
      </c>
      <c r="AD429">
        <v>9.2530210000000004</v>
      </c>
      <c r="AE429">
        <v>-5.6887999999999499</v>
      </c>
      <c r="AF429">
        <v>1.9035435936669001</v>
      </c>
      <c r="AG429">
        <v>9.2530210000000004</v>
      </c>
      <c r="AH429">
        <v>265.48654905304801</v>
      </c>
      <c r="AI429">
        <v>88.003925505968297</v>
      </c>
      <c r="AJ429">
        <v>89.589195213459007</v>
      </c>
      <c r="AK429">
        <v>265.65456819700302</v>
      </c>
      <c r="AL429">
        <v>84.461600531915906</v>
      </c>
      <c r="AM429">
        <v>97.382304912983201</v>
      </c>
      <c r="AN429">
        <v>0.99999997265240204</v>
      </c>
    </row>
    <row r="430" spans="1:40" x14ac:dyDescent="0.25">
      <c r="A430" t="str">
        <f>"20190304154735016"</f>
        <v>20190304154735016</v>
      </c>
      <c r="B430" t="str">
        <f>"1551685655007129"</f>
        <v>1551685655007129</v>
      </c>
      <c r="C430" t="s">
        <v>40</v>
      </c>
      <c r="D430">
        <v>4.0843669999999896</v>
      </c>
      <c r="E430">
        <v>0.54997850000000004</v>
      </c>
      <c r="F430" t="s">
        <v>43</v>
      </c>
      <c r="G430">
        <v>-168.84350000000001</v>
      </c>
      <c r="H430">
        <v>10.05538</v>
      </c>
      <c r="I430">
        <v>361.32839999999999</v>
      </c>
      <c r="J430">
        <v>-434.40120000000002</v>
      </c>
      <c r="K430">
        <v>1.0653459999999999</v>
      </c>
      <c r="L430">
        <v>366.73500000000001</v>
      </c>
      <c r="M430">
        <v>0.99979079999999998</v>
      </c>
      <c r="N430">
        <v>-1.467656E-2</v>
      </c>
      <c r="O430">
        <v>-1.4245789999999999E-2</v>
      </c>
      <c r="P430">
        <v>0.99018139999999999</v>
      </c>
      <c r="Q430">
        <v>8.0592380000000005E-2</v>
      </c>
      <c r="R430">
        <v>0.1142181</v>
      </c>
      <c r="S430">
        <v>3.0285340000000001</v>
      </c>
      <c r="T430">
        <v>0.10244259999999999</v>
      </c>
      <c r="U430">
        <v>-6.1645510000000001E-2</v>
      </c>
      <c r="V430">
        <v>-0.12830810000000001</v>
      </c>
      <c r="W430">
        <v>9.5099349999999999E-2</v>
      </c>
      <c r="X430">
        <v>0.98716420000000005</v>
      </c>
      <c r="Y430">
        <v>6.1190100000000002E-3</v>
      </c>
      <c r="Z430">
        <v>-6.3212160000000002E-4</v>
      </c>
      <c r="AA430">
        <v>0.99998109999999996</v>
      </c>
      <c r="AB430">
        <v>23</v>
      </c>
      <c r="AC430">
        <v>265.55770000000001</v>
      </c>
      <c r="AD430">
        <v>8.9900339999999996</v>
      </c>
      <c r="AE430">
        <v>-5.4066000000000196</v>
      </c>
      <c r="AF430">
        <v>1.62070783471378</v>
      </c>
      <c r="AG430">
        <v>8.9900339999999996</v>
      </c>
      <c r="AH430">
        <v>265.30384952371003</v>
      </c>
      <c r="AI430">
        <v>88.059265284088099</v>
      </c>
      <c r="AJ430">
        <v>89.649991646100005</v>
      </c>
      <c r="AK430">
        <v>265.461070549537</v>
      </c>
      <c r="AL430">
        <v>84.542961997439207</v>
      </c>
      <c r="AM430">
        <v>97.405585331348803</v>
      </c>
      <c r="AN430">
        <v>1.0000000063288299</v>
      </c>
    </row>
    <row r="431" spans="1:40" x14ac:dyDescent="0.25">
      <c r="A431" t="str">
        <f>"20190304154735031"</f>
        <v>20190304154735031</v>
      </c>
      <c r="B431" t="str">
        <f>"1551685655027625"</f>
        <v>1551685655027625</v>
      </c>
      <c r="C431" t="s">
        <v>40</v>
      </c>
      <c r="D431">
        <v>4.0930600000000004</v>
      </c>
      <c r="E431">
        <v>0.54956859999999996</v>
      </c>
      <c r="F431" t="s">
        <v>43</v>
      </c>
      <c r="G431">
        <v>-168.84350000000001</v>
      </c>
      <c r="H431">
        <v>9.345167</v>
      </c>
      <c r="I431">
        <v>361.78199999999998</v>
      </c>
      <c r="J431">
        <v>-434.25540000000001</v>
      </c>
      <c r="K431">
        <v>1.0648409999999999</v>
      </c>
      <c r="L431">
        <v>366.7328</v>
      </c>
      <c r="M431">
        <v>0.99979490000000004</v>
      </c>
      <c r="N431">
        <v>-1.4390190000000001E-2</v>
      </c>
      <c r="O431">
        <v>-1.4253190000000001E-2</v>
      </c>
      <c r="P431">
        <v>0.99015989999999998</v>
      </c>
      <c r="Q431">
        <v>8.0381560000000005E-2</v>
      </c>
      <c r="R431">
        <v>0.1145526</v>
      </c>
      <c r="S431">
        <v>3.0286249999999999</v>
      </c>
      <c r="T431">
        <v>9.4430449999999999E-2</v>
      </c>
      <c r="U431">
        <v>-5.6488040000000003E-2</v>
      </c>
      <c r="V431">
        <v>-0.12865019999999999</v>
      </c>
      <c r="W431">
        <v>9.4604259999999996E-2</v>
      </c>
      <c r="X431">
        <v>0.98716720000000002</v>
      </c>
      <c r="Y431">
        <v>4.407696E-3</v>
      </c>
      <c r="Z431">
        <v>-6.1230059999999996E-4</v>
      </c>
      <c r="AA431">
        <v>0.99999009999999999</v>
      </c>
      <c r="AB431">
        <v>23</v>
      </c>
      <c r="AC431">
        <v>265.4119</v>
      </c>
      <c r="AD431">
        <v>8.2803259999999899</v>
      </c>
      <c r="AE431">
        <v>-4.9508000000000099</v>
      </c>
      <c r="AF431">
        <v>1.1658048366243701</v>
      </c>
      <c r="AG431">
        <v>8.2803259999999899</v>
      </c>
      <c r="AH431">
        <v>265.197474078992</v>
      </c>
      <c r="AI431">
        <v>88.211638051197596</v>
      </c>
      <c r="AJ431">
        <v>89.748130079887105</v>
      </c>
      <c r="AK431">
        <v>265.32927308810298</v>
      </c>
      <c r="AL431">
        <v>84.571456787390105</v>
      </c>
      <c r="AM431">
        <v>97.425088035360602</v>
      </c>
      <c r="AN431">
        <v>0.99999996036301297</v>
      </c>
    </row>
    <row r="432" spans="1:40" x14ac:dyDescent="0.25">
      <c r="A432" t="str">
        <f>"20190304154735049"</f>
        <v>20190304154735049</v>
      </c>
      <c r="B432" t="str">
        <f>"1551685655037385"</f>
        <v>1551685655037385</v>
      </c>
      <c r="C432" t="s">
        <v>40</v>
      </c>
      <c r="D432">
        <v>4.1548949999999998</v>
      </c>
      <c r="E432">
        <v>0.54940029999999995</v>
      </c>
      <c r="F432" t="s">
        <v>43</v>
      </c>
      <c r="G432">
        <v>-168.84350000000001</v>
      </c>
      <c r="H432">
        <v>9.0507000000000009</v>
      </c>
      <c r="I432">
        <v>362.19420000000002</v>
      </c>
      <c r="J432">
        <v>-434.07749999999999</v>
      </c>
      <c r="K432">
        <v>1.064306</v>
      </c>
      <c r="L432">
        <v>366.7303</v>
      </c>
      <c r="M432">
        <v>0.9997994</v>
      </c>
      <c r="N432">
        <v>-1.4075819999999999E-2</v>
      </c>
      <c r="O432">
        <v>-1.4257570000000001E-2</v>
      </c>
      <c r="P432">
        <v>0.99007979999999995</v>
      </c>
      <c r="Q432">
        <v>8.0771190000000007E-2</v>
      </c>
      <c r="R432">
        <v>0.1149715</v>
      </c>
      <c r="S432">
        <v>3.0284420000000001</v>
      </c>
      <c r="T432">
        <v>9.1122389999999998E-2</v>
      </c>
      <c r="U432">
        <v>-5.178833E-2</v>
      </c>
      <c r="V432">
        <v>-0.12907289999999999</v>
      </c>
      <c r="W432">
        <v>9.4680200000000006E-2</v>
      </c>
      <c r="X432">
        <v>0.9871048</v>
      </c>
      <c r="Y432">
        <v>2.8527259999999999E-3</v>
      </c>
      <c r="Z432">
        <v>-6.0664580000000001E-4</v>
      </c>
      <c r="AA432">
        <v>0.99999579999999999</v>
      </c>
      <c r="AB432">
        <v>23</v>
      </c>
      <c r="AC432">
        <v>265.23399999999998</v>
      </c>
      <c r="AD432">
        <v>7.9863939999999998</v>
      </c>
      <c r="AE432">
        <v>-4.53609999999997</v>
      </c>
      <c r="AF432">
        <v>0.75298980559607298</v>
      </c>
      <c r="AG432">
        <v>7.9863939999999998</v>
      </c>
      <c r="AH432">
        <v>265.03149287163399</v>
      </c>
      <c r="AI432">
        <v>88.273992300975493</v>
      </c>
      <c r="AJ432">
        <v>89.837215489654497</v>
      </c>
      <c r="AK432">
        <v>265.15286477150801</v>
      </c>
      <c r="AL432">
        <v>84.567086452250294</v>
      </c>
      <c r="AM432">
        <v>97.449676364873994</v>
      </c>
      <c r="AN432">
        <v>1.0000000199847401</v>
      </c>
    </row>
    <row r="433" spans="1:40" x14ac:dyDescent="0.25">
      <c r="A433" t="str">
        <f>"20190304154735061"</f>
        <v>20190304154735061</v>
      </c>
      <c r="B433" t="str">
        <f>"1551685655057881"</f>
        <v>1551685655057881</v>
      </c>
      <c r="C433" t="s">
        <v>40</v>
      </c>
      <c r="D433">
        <v>4.1135590000000004</v>
      </c>
      <c r="E433">
        <v>0.54905649999999995</v>
      </c>
      <c r="F433" t="s">
        <v>43</v>
      </c>
      <c r="G433">
        <v>-168.84350000000001</v>
      </c>
      <c r="H433">
        <v>9.1231559999999998</v>
      </c>
      <c r="I433">
        <v>362.38159999999999</v>
      </c>
      <c r="J433">
        <v>-433.9418</v>
      </c>
      <c r="K433">
        <v>1.0639379999999901</v>
      </c>
      <c r="L433">
        <v>366.72829999999999</v>
      </c>
      <c r="M433">
        <v>0.99980250000000004</v>
      </c>
      <c r="N433">
        <v>-1.3856129999999999E-2</v>
      </c>
      <c r="O433">
        <v>-1.425863E-2</v>
      </c>
      <c r="P433">
        <v>0.98999950000000003</v>
      </c>
      <c r="Q433">
        <v>8.1346810000000006E-2</v>
      </c>
      <c r="R433">
        <v>0.1152562</v>
      </c>
      <c r="S433">
        <v>3.0283199999999999</v>
      </c>
      <c r="T433">
        <v>9.2013239999999996E-2</v>
      </c>
      <c r="U433">
        <v>-4.9652099999999998E-2</v>
      </c>
      <c r="V433">
        <v>-0.1293589</v>
      </c>
      <c r="W433">
        <v>9.5037170000000004E-2</v>
      </c>
      <c r="X433">
        <v>0.98703300000000005</v>
      </c>
      <c r="Y433">
        <v>2.1473780000000001E-3</v>
      </c>
      <c r="Z433">
        <v>-6.1286230000000004E-4</v>
      </c>
      <c r="AA433">
        <v>0.99999749999999998</v>
      </c>
      <c r="AB433">
        <v>23</v>
      </c>
      <c r="AC433">
        <v>265.09829999999999</v>
      </c>
      <c r="AD433">
        <v>8.0592179999999995</v>
      </c>
      <c r="AE433">
        <v>-4.3466999999999896</v>
      </c>
      <c r="AF433">
        <v>0.56543474805917404</v>
      </c>
      <c r="AG433">
        <v>8.0592179999999995</v>
      </c>
      <c r="AH433">
        <v>264.88858143271699</v>
      </c>
      <c r="AI433">
        <v>88.257321160415302</v>
      </c>
      <c r="AJ433">
        <v>89.877695839993294</v>
      </c>
      <c r="AK433">
        <v>265.01175688007299</v>
      </c>
      <c r="AL433">
        <v>84.546540637321996</v>
      </c>
      <c r="AM433">
        <v>97.466534326118307</v>
      </c>
      <c r="AN433">
        <v>0.99999996588990803</v>
      </c>
    </row>
    <row r="434" spans="1:40" x14ac:dyDescent="0.25">
      <c r="A434" t="str">
        <f>"20190304154735075"</f>
        <v>20190304154735075</v>
      </c>
      <c r="B434" t="str">
        <f>"1551685655067642"</f>
        <v>1551685655067642</v>
      </c>
      <c r="C434" t="s">
        <v>40</v>
      </c>
      <c r="D434">
        <v>4.0599959999999999</v>
      </c>
      <c r="E434">
        <v>0.54896869999999998</v>
      </c>
      <c r="F434" t="s">
        <v>43</v>
      </c>
      <c r="G434">
        <v>-168.84350000000001</v>
      </c>
      <c r="H434">
        <v>9.0425350000000009</v>
      </c>
      <c r="I434">
        <v>362.69420000000002</v>
      </c>
      <c r="J434">
        <v>-433.80380000000002</v>
      </c>
      <c r="K434">
        <v>1.0635920000000001</v>
      </c>
      <c r="L434">
        <v>366.72629999999998</v>
      </c>
      <c r="M434">
        <v>0.99980539999999996</v>
      </c>
      <c r="N434">
        <v>-1.3644979999999999E-2</v>
      </c>
      <c r="O434">
        <v>-1.4258349999999999E-2</v>
      </c>
      <c r="P434">
        <v>0.98994139999999997</v>
      </c>
      <c r="Q434">
        <v>8.185916E-2</v>
      </c>
      <c r="R434">
        <v>0.11539290000000001</v>
      </c>
      <c r="S434">
        <v>3.0281980000000002</v>
      </c>
      <c r="T434">
        <v>9.1139910000000005E-2</v>
      </c>
      <c r="U434">
        <v>-4.6081539999999997E-2</v>
      </c>
      <c r="V434">
        <v>-0.12949440000000001</v>
      </c>
      <c r="W434">
        <v>9.5339530000000006E-2</v>
      </c>
      <c r="X434">
        <v>0.98698609999999998</v>
      </c>
      <c r="Y434">
        <v>9.6953670000000003E-4</v>
      </c>
      <c r="Z434">
        <v>-6.1551919999999999E-4</v>
      </c>
      <c r="AA434">
        <v>0.99999930000000004</v>
      </c>
      <c r="AB434">
        <v>23</v>
      </c>
      <c r="AC434">
        <v>264.96030000000002</v>
      </c>
      <c r="AD434">
        <v>7.9789430000000001</v>
      </c>
      <c r="AE434">
        <v>-4.0320999999999501</v>
      </c>
      <c r="AF434">
        <v>0.25321264414789701</v>
      </c>
      <c r="AG434">
        <v>7.9789430000000001</v>
      </c>
      <c r="AH434">
        <v>264.75082658071199</v>
      </c>
      <c r="AI434">
        <v>88.273768498709202</v>
      </c>
      <c r="AJ434">
        <v>89.945201261152903</v>
      </c>
      <c r="AK434">
        <v>264.87115324853897</v>
      </c>
      <c r="AL434">
        <v>84.529137814802596</v>
      </c>
      <c r="AM434">
        <v>97.474618089630695</v>
      </c>
      <c r="AN434">
        <v>0.99999999360259495</v>
      </c>
    </row>
    <row r="435" spans="1:40" x14ac:dyDescent="0.25">
      <c r="A435" t="str">
        <f>"20190304154735094"</f>
        <v>20190304154735094</v>
      </c>
      <c r="B435" t="str">
        <f>"1551685655087669"</f>
        <v>1551685655087669</v>
      </c>
      <c r="C435" t="s">
        <v>40</v>
      </c>
      <c r="D435">
        <v>4.0599309999999997</v>
      </c>
      <c r="E435">
        <v>0.54889860000000001</v>
      </c>
      <c r="F435" t="s">
        <v>43</v>
      </c>
      <c r="G435">
        <v>-168.84350000000001</v>
      </c>
      <c r="H435">
        <v>9.1221019999999999</v>
      </c>
      <c r="I435">
        <v>362.7903</v>
      </c>
      <c r="J435">
        <v>-433.61079999999998</v>
      </c>
      <c r="K435">
        <v>1.0631630000000001</v>
      </c>
      <c r="L435">
        <v>366.72359999999998</v>
      </c>
      <c r="M435">
        <v>0.9998089</v>
      </c>
      <c r="N435">
        <v>-1.3377190000000001E-2</v>
      </c>
      <c r="O435">
        <v>-1.425595E-2</v>
      </c>
      <c r="P435">
        <v>0.98988929999999997</v>
      </c>
      <c r="Q435">
        <v>8.2422700000000002E-2</v>
      </c>
      <c r="R435">
        <v>0.11543779999999999</v>
      </c>
      <c r="S435">
        <v>3.0281069999999999</v>
      </c>
      <c r="T435">
        <v>9.2097879999999993E-2</v>
      </c>
      <c r="U435">
        <v>-4.4982910000000001E-2</v>
      </c>
      <c r="V435">
        <v>-0.1295364</v>
      </c>
      <c r="W435">
        <v>9.5637620000000007E-2</v>
      </c>
      <c r="X435">
        <v>0.98695180000000005</v>
      </c>
      <c r="Y435">
        <v>6.0983540000000001E-4</v>
      </c>
      <c r="Z435">
        <v>-6.1889620000000003E-4</v>
      </c>
      <c r="AA435">
        <v>0.99999959999999999</v>
      </c>
      <c r="AB435">
        <v>23</v>
      </c>
      <c r="AC435">
        <v>264.76729999999998</v>
      </c>
      <c r="AD435">
        <v>8.0589390000000005</v>
      </c>
      <c r="AE435">
        <v>-3.9332999999999698</v>
      </c>
      <c r="AF435">
        <v>0.157906834684194</v>
      </c>
      <c r="AG435">
        <v>8.0589390000000005</v>
      </c>
      <c r="AH435">
        <v>264.55142471114499</v>
      </c>
      <c r="AI435">
        <v>88.255158287709506</v>
      </c>
      <c r="AJ435">
        <v>89.965801000243601</v>
      </c>
      <c r="AK435">
        <v>264.674191694375</v>
      </c>
      <c r="AL435">
        <v>84.5119803936972</v>
      </c>
      <c r="AM435">
        <v>97.477271881089194</v>
      </c>
      <c r="AN435">
        <v>1.00000004440373</v>
      </c>
    </row>
    <row r="436" spans="1:40" x14ac:dyDescent="0.25">
      <c r="A436" t="str">
        <f>"20190304154735108"</f>
        <v>20190304154735108</v>
      </c>
      <c r="B436" t="str">
        <f>"1551685655097430"</f>
        <v>1551685655097430</v>
      </c>
      <c r="C436" t="s">
        <v>40</v>
      </c>
      <c r="D436">
        <v>4.0609380000000002</v>
      </c>
      <c r="E436">
        <v>0.54890950000000005</v>
      </c>
      <c r="F436" t="s">
        <v>43</v>
      </c>
      <c r="G436">
        <v>-168.84350000000001</v>
      </c>
      <c r="H436">
        <v>9.2292489999999994</v>
      </c>
      <c r="I436">
        <v>362.83580000000001</v>
      </c>
      <c r="J436">
        <v>-433.46980000000002</v>
      </c>
      <c r="K436">
        <v>1.062889</v>
      </c>
      <c r="L436">
        <v>366.72160000000002</v>
      </c>
      <c r="M436">
        <v>0.99981129999999996</v>
      </c>
      <c r="N436">
        <v>-1.3200089999999999E-2</v>
      </c>
      <c r="O436">
        <v>-1.4252870000000001E-2</v>
      </c>
      <c r="P436">
        <v>0.9898595</v>
      </c>
      <c r="Q436">
        <v>8.2567109999999999E-2</v>
      </c>
      <c r="R436">
        <v>0.115589</v>
      </c>
      <c r="S436">
        <v>3.028076</v>
      </c>
      <c r="T436">
        <v>9.3394400000000002E-2</v>
      </c>
      <c r="U436">
        <v>-4.4464110000000001E-2</v>
      </c>
      <c r="V436">
        <v>-0.1296841</v>
      </c>
      <c r="W436">
        <v>9.5606769999999994E-2</v>
      </c>
      <c r="X436">
        <v>0.98693540000000002</v>
      </c>
      <c r="Y436">
        <v>4.4199119999999999E-4</v>
      </c>
      <c r="Z436">
        <v>-6.2363469999999999E-4</v>
      </c>
      <c r="AA436">
        <v>0.99999970000000005</v>
      </c>
      <c r="AB436">
        <v>23</v>
      </c>
      <c r="AC436">
        <v>264.62630000000001</v>
      </c>
      <c r="AD436">
        <v>8.1663599999999992</v>
      </c>
      <c r="AE436">
        <v>-3.8858000000000099</v>
      </c>
      <c r="AF436">
        <v>0.113284513234869</v>
      </c>
      <c r="AG436">
        <v>8.1663599999999992</v>
      </c>
      <c r="AH436">
        <v>264.40305716584999</v>
      </c>
      <c r="AI436">
        <v>88.230923553007699</v>
      </c>
      <c r="AJ436">
        <v>89.975451403001998</v>
      </c>
      <c r="AK436">
        <v>264.529164569199</v>
      </c>
      <c r="AL436">
        <v>84.513756147161899</v>
      </c>
      <c r="AM436">
        <v>97.485823961224796</v>
      </c>
      <c r="AN436">
        <v>1.0000000520179</v>
      </c>
    </row>
    <row r="437" spans="1:40" x14ac:dyDescent="0.25">
      <c r="A437" t="str">
        <f>"20190304154735121"</f>
        <v>20190304154735121</v>
      </c>
      <c r="B437" t="str">
        <f>"1551685655116950"</f>
        <v>1551685655116950</v>
      </c>
      <c r="C437" t="s">
        <v>40</v>
      </c>
      <c r="D437">
        <v>3.9984190000000002</v>
      </c>
      <c r="E437">
        <v>0.54958669999999898</v>
      </c>
      <c r="F437" t="s">
        <v>43</v>
      </c>
      <c r="G437">
        <v>-168.84350000000001</v>
      </c>
      <c r="H437">
        <v>9.2586410000000008</v>
      </c>
      <c r="I437">
        <v>362.8811</v>
      </c>
      <c r="J437">
        <v>-433.33629999999999</v>
      </c>
      <c r="K437">
        <v>1.0626549999999999</v>
      </c>
      <c r="L437">
        <v>366.71969999999999</v>
      </c>
      <c r="M437">
        <v>0.99981339999999996</v>
      </c>
      <c r="N437">
        <v>-1.30452E-2</v>
      </c>
      <c r="O437">
        <v>-1.424984E-2</v>
      </c>
      <c r="P437">
        <v>0.9898055</v>
      </c>
      <c r="Q437">
        <v>8.3044110000000004E-2</v>
      </c>
      <c r="R437">
        <v>0.1157104</v>
      </c>
      <c r="S437">
        <v>3.0280459999999998</v>
      </c>
      <c r="T437">
        <v>9.3782660000000004E-2</v>
      </c>
      <c r="U437">
        <v>-4.3945310000000001E-2</v>
      </c>
      <c r="V437">
        <v>-0.1298019</v>
      </c>
      <c r="W437">
        <v>9.5930000000000001E-2</v>
      </c>
      <c r="X437">
        <v>0.98688849999999995</v>
      </c>
      <c r="Y437">
        <v>2.7392900000000001E-4</v>
      </c>
      <c r="Z437">
        <v>-6.2456809999999997E-4</v>
      </c>
      <c r="AA437">
        <v>0.99999979999999999</v>
      </c>
      <c r="AB437">
        <v>23</v>
      </c>
      <c r="AC437">
        <v>264.49279999999999</v>
      </c>
      <c r="AD437">
        <v>8.1959859999999995</v>
      </c>
      <c r="AE437">
        <v>-3.83859999999998</v>
      </c>
      <c r="AF437">
        <v>6.8843405842346606E-2</v>
      </c>
      <c r="AG437">
        <v>8.1959859999999995</v>
      </c>
      <c r="AH437">
        <v>264.26694119586699</v>
      </c>
      <c r="AI437">
        <v>88.223595762037803</v>
      </c>
      <c r="AJ437">
        <v>89.985074044846399</v>
      </c>
      <c r="AK437">
        <v>264.39401493783203</v>
      </c>
      <c r="AL437">
        <v>84.495150656198604</v>
      </c>
      <c r="AM437">
        <v>97.492898594162</v>
      </c>
      <c r="AN437">
        <v>1.0000000047879201</v>
      </c>
    </row>
    <row r="438" spans="1:40" x14ac:dyDescent="0.25">
      <c r="A438" t="str">
        <f>"20190304154735139"</f>
        <v>20190304154735139</v>
      </c>
      <c r="B438" t="str">
        <f>"1551685655127686"</f>
        <v>1551685655127686</v>
      </c>
      <c r="C438" t="s">
        <v>40</v>
      </c>
      <c r="D438">
        <v>4.0213679999999998</v>
      </c>
      <c r="E438">
        <v>0.54989709999999903</v>
      </c>
      <c r="F438" t="s">
        <v>43</v>
      </c>
      <c r="G438">
        <v>-168.84350000000001</v>
      </c>
      <c r="H438">
        <v>9.7259580000000003</v>
      </c>
      <c r="I438">
        <v>362.42579999999998</v>
      </c>
      <c r="J438">
        <v>-433.15030000000002</v>
      </c>
      <c r="K438">
        <v>1.062368</v>
      </c>
      <c r="L438">
        <v>366.71710000000002</v>
      </c>
      <c r="M438">
        <v>0.99981609999999999</v>
      </c>
      <c r="N438">
        <v>-1.2846120000000001E-2</v>
      </c>
      <c r="O438">
        <v>-1.424548E-2</v>
      </c>
      <c r="P438">
        <v>0.98975239999999998</v>
      </c>
      <c r="Q438">
        <v>8.3330119999999994E-2</v>
      </c>
      <c r="R438">
        <v>0.1159594</v>
      </c>
      <c r="S438">
        <v>3.0283199999999999</v>
      </c>
      <c r="T438">
        <v>9.9191779999999993E-2</v>
      </c>
      <c r="U438">
        <v>-4.9163819999999997E-2</v>
      </c>
      <c r="V438">
        <v>-0.13004549999999901</v>
      </c>
      <c r="W438">
        <v>9.6019220000000002E-2</v>
      </c>
      <c r="X438">
        <v>0.98684780000000005</v>
      </c>
      <c r="Y438">
        <v>2.0002689999999998E-3</v>
      </c>
      <c r="Z438">
        <v>-6.2946509999999998E-4</v>
      </c>
      <c r="AA438">
        <v>0.99999780000000005</v>
      </c>
      <c r="AB438">
        <v>23</v>
      </c>
      <c r="AC438">
        <v>264.30680000000001</v>
      </c>
      <c r="AD438">
        <v>8.6635899999999992</v>
      </c>
      <c r="AE438">
        <v>-4.2913000000000299</v>
      </c>
      <c r="AF438">
        <v>0.52481317035183705</v>
      </c>
      <c r="AG438">
        <v>8.6635899999999992</v>
      </c>
      <c r="AH438">
        <v>264.057475360132</v>
      </c>
      <c r="AI438">
        <v>88.120832734089504</v>
      </c>
      <c r="AJ438">
        <v>89.886125018577403</v>
      </c>
      <c r="AK438">
        <v>264.20008235070298</v>
      </c>
      <c r="AL438">
        <v>84.4900152778592</v>
      </c>
      <c r="AM438">
        <v>97.507106404859897</v>
      </c>
      <c r="AN438">
        <v>1.00000005152224</v>
      </c>
    </row>
    <row r="439" spans="1:40" x14ac:dyDescent="0.25">
      <c r="A439" t="str">
        <f>"20190304154735160"</f>
        <v>20190304154735160</v>
      </c>
      <c r="B439" t="str">
        <f>"1551685655156966"</f>
        <v>1551685655156966</v>
      </c>
      <c r="C439" t="s">
        <v>40</v>
      </c>
      <c r="D439">
        <v>4.0476269999999896</v>
      </c>
      <c r="E439">
        <v>0.55012320000000003</v>
      </c>
      <c r="F439" t="s">
        <v>43</v>
      </c>
      <c r="G439">
        <v>-168.84350000000001</v>
      </c>
      <c r="H439">
        <v>9.9314499999999999</v>
      </c>
      <c r="I439">
        <v>362.2878</v>
      </c>
      <c r="J439">
        <v>-432.93490000000003</v>
      </c>
      <c r="K439">
        <v>1.062079</v>
      </c>
      <c r="L439">
        <v>366.714</v>
      </c>
      <c r="M439">
        <v>0.99981880000000001</v>
      </c>
      <c r="N439">
        <v>-1.264054E-2</v>
      </c>
      <c r="O439">
        <v>-1.424134E-2</v>
      </c>
      <c r="P439">
        <v>0.98962989999999995</v>
      </c>
      <c r="Q439">
        <v>8.4051360000000006E-2</v>
      </c>
      <c r="R439">
        <v>0.1164834</v>
      </c>
      <c r="S439">
        <v>3.0284420000000001</v>
      </c>
      <c r="T439">
        <v>0.1016234</v>
      </c>
      <c r="U439">
        <v>-5.0750730000000001E-2</v>
      </c>
      <c r="V439">
        <v>-0.1305636</v>
      </c>
      <c r="W439">
        <v>9.65361E-2</v>
      </c>
      <c r="X439">
        <v>0.98672890000000002</v>
      </c>
      <c r="Y439">
        <v>2.527807E-3</v>
      </c>
      <c r="Z439">
        <v>-6.3122949999999895E-4</v>
      </c>
      <c r="AA439">
        <v>0.99999660000000001</v>
      </c>
      <c r="AB439">
        <v>23</v>
      </c>
      <c r="AC439">
        <v>264.09140000000002</v>
      </c>
      <c r="AD439">
        <v>8.8693709999999992</v>
      </c>
      <c r="AE439">
        <v>-4.4261999999999899</v>
      </c>
      <c r="AF439">
        <v>0.66368718819727901</v>
      </c>
      <c r="AG439">
        <v>8.8693709999999992</v>
      </c>
      <c r="AH439">
        <v>263.83015852407999</v>
      </c>
      <c r="AI439">
        <v>88.074577173243895</v>
      </c>
      <c r="AJ439">
        <v>89.855867900769894</v>
      </c>
      <c r="AK439">
        <v>263.980034793279</v>
      </c>
      <c r="AL439">
        <v>84.460261716216394</v>
      </c>
      <c r="AM439">
        <v>97.537569230500907</v>
      </c>
      <c r="AN439">
        <v>0.99999999717168997</v>
      </c>
    </row>
    <row r="440" spans="1:40" x14ac:dyDescent="0.25">
      <c r="A440" t="str">
        <f>"20190304154735173"</f>
        <v>20190304154735173</v>
      </c>
      <c r="B440" t="str">
        <f>"1551685655167702"</f>
        <v>1551685655167702</v>
      </c>
      <c r="C440" t="s">
        <v>40</v>
      </c>
      <c r="D440">
        <v>4.0278289999999997</v>
      </c>
      <c r="E440">
        <v>0.55008519999999905</v>
      </c>
      <c r="F440" t="s">
        <v>43</v>
      </c>
      <c r="G440">
        <v>-168.84350000000001</v>
      </c>
      <c r="H440">
        <v>10.201599999999999</v>
      </c>
      <c r="I440">
        <v>362.28050000000002</v>
      </c>
      <c r="J440">
        <v>-432.80200000000002</v>
      </c>
      <c r="K440">
        <v>1.0619209999999999</v>
      </c>
      <c r="L440">
        <v>366.71210000000002</v>
      </c>
      <c r="M440">
        <v>0.99982020000000005</v>
      </c>
      <c r="N440">
        <v>-1.2523660000000001E-2</v>
      </c>
      <c r="O440">
        <v>-1.423931E-2</v>
      </c>
      <c r="P440">
        <v>0.98952079999999998</v>
      </c>
      <c r="Q440">
        <v>8.4789429999999999E-2</v>
      </c>
      <c r="R440">
        <v>0.11687450000000001</v>
      </c>
      <c r="S440">
        <v>3.0285340000000001</v>
      </c>
      <c r="T440">
        <v>0.10481070000000001</v>
      </c>
      <c r="U440">
        <v>-5.0842289999999998E-2</v>
      </c>
      <c r="V440">
        <v>-0.13095090000000001</v>
      </c>
      <c r="W440">
        <v>9.7157339999999995E-2</v>
      </c>
      <c r="X440">
        <v>0.98661659999999995</v>
      </c>
      <c r="Y440">
        <v>2.5600979999999998E-3</v>
      </c>
      <c r="Z440">
        <v>-6.425933E-4</v>
      </c>
      <c r="AA440">
        <v>0.99999649999999995</v>
      </c>
      <c r="AB440">
        <v>23</v>
      </c>
      <c r="AC440">
        <v>263.95850000000002</v>
      </c>
      <c r="AD440">
        <v>9.1396789999999992</v>
      </c>
      <c r="AE440">
        <v>-4.4316000000000004</v>
      </c>
      <c r="AF440">
        <v>0.67146419520804801</v>
      </c>
      <c r="AG440">
        <v>9.1396789999999992</v>
      </c>
      <c r="AH440">
        <v>263.67880149773299</v>
      </c>
      <c r="AI440">
        <v>88.014805274032199</v>
      </c>
      <c r="AJ440">
        <v>89.854095281454505</v>
      </c>
      <c r="AK440">
        <v>263.838008929095</v>
      </c>
      <c r="AL440">
        <v>84.424499199092097</v>
      </c>
      <c r="AM440">
        <v>97.560520750767395</v>
      </c>
      <c r="AN440">
        <v>1.0000000011611201</v>
      </c>
    </row>
    <row r="441" spans="1:40" x14ac:dyDescent="0.25">
      <c r="A441" t="str">
        <f>"20190304154735185"</f>
        <v>20190304154735185</v>
      </c>
      <c r="B441" t="str">
        <f>"1551685655177462"</f>
        <v>1551685655177462</v>
      </c>
      <c r="C441" t="s">
        <v>40</v>
      </c>
      <c r="D441">
        <v>4.0179960000000001</v>
      </c>
      <c r="E441">
        <v>0.55004339999999996</v>
      </c>
      <c r="F441" t="s">
        <v>43</v>
      </c>
      <c r="G441">
        <v>-168.84350000000001</v>
      </c>
      <c r="H441">
        <v>10.33667</v>
      </c>
      <c r="I441">
        <v>362.40320000000003</v>
      </c>
      <c r="J441">
        <v>-432.66640000000001</v>
      </c>
      <c r="K441">
        <v>1.0617810000000001</v>
      </c>
      <c r="L441">
        <v>366.71019999999999</v>
      </c>
      <c r="M441">
        <v>0.99982159999999998</v>
      </c>
      <c r="N441">
        <v>-1.2416419999999999E-2</v>
      </c>
      <c r="O441">
        <v>-1.4237929999999999E-2</v>
      </c>
      <c r="P441">
        <v>0.98944259999999995</v>
      </c>
      <c r="Q441">
        <v>8.5316139999999999E-2</v>
      </c>
      <c r="R441">
        <v>0.11715150000000001</v>
      </c>
      <c r="S441">
        <v>3.0285340000000001</v>
      </c>
      <c r="T441">
        <v>0.106415</v>
      </c>
      <c r="U441">
        <v>-4.943848E-2</v>
      </c>
      <c r="V441">
        <v>-0.13122490000000001</v>
      </c>
      <c r="W441">
        <v>9.7577330000000004E-2</v>
      </c>
      <c r="X441">
        <v>0.98653880000000005</v>
      </c>
      <c r="Y441">
        <v>2.0985159999999999E-3</v>
      </c>
      <c r="Z441">
        <v>-6.5296279999999896E-4</v>
      </c>
      <c r="AA441">
        <v>0.99999760000000004</v>
      </c>
      <c r="AB441">
        <v>23</v>
      </c>
      <c r="AC441">
        <v>263.8229</v>
      </c>
      <c r="AD441">
        <v>9.2748889999999999</v>
      </c>
      <c r="AE441">
        <v>-4.3069999999999604</v>
      </c>
      <c r="AF441">
        <v>0.54930329514369702</v>
      </c>
      <c r="AG441">
        <v>9.2748889999999999</v>
      </c>
      <c r="AH441">
        <v>263.53186200942099</v>
      </c>
      <c r="AI441">
        <v>87.984336358452595</v>
      </c>
      <c r="AJ441">
        <v>89.880573397596805</v>
      </c>
      <c r="AK441">
        <v>263.69559646347</v>
      </c>
      <c r="AL441">
        <v>84.400320973079204</v>
      </c>
      <c r="AM441">
        <v>97.576747249701199</v>
      </c>
      <c r="AN441">
        <v>1.0000000568076799</v>
      </c>
    </row>
    <row r="442" spans="1:40" x14ac:dyDescent="0.25">
      <c r="A442" t="str">
        <f>"20190304154735197"</f>
        <v>20190304154735197</v>
      </c>
      <c r="B442" t="str">
        <f>"1551685655187222"</f>
        <v>1551685655187222</v>
      </c>
      <c r="C442" t="s">
        <v>40</v>
      </c>
      <c r="D442">
        <v>4.048019</v>
      </c>
      <c r="E442">
        <v>0.55000990000000005</v>
      </c>
      <c r="F442" t="s">
        <v>43</v>
      </c>
      <c r="G442">
        <v>-168.84350000000001</v>
      </c>
      <c r="H442">
        <v>10.44355</v>
      </c>
      <c r="I442">
        <v>362.49380000000002</v>
      </c>
      <c r="J442">
        <v>-432.54730000000001</v>
      </c>
      <c r="K442">
        <v>1.061663</v>
      </c>
      <c r="L442">
        <v>366.70850000000002</v>
      </c>
      <c r="M442">
        <v>0.99982269999999895</v>
      </c>
      <c r="N442">
        <v>-1.232776E-2</v>
      </c>
      <c r="O442">
        <v>-1.4237039999999999E-2</v>
      </c>
      <c r="P442">
        <v>0.9893689</v>
      </c>
      <c r="Q442">
        <v>8.5737350000000004E-2</v>
      </c>
      <c r="R442">
        <v>0.117467</v>
      </c>
      <c r="S442">
        <v>3.0285030000000002</v>
      </c>
      <c r="T442">
        <v>0.1076971</v>
      </c>
      <c r="U442">
        <v>-4.840088E-2</v>
      </c>
      <c r="V442">
        <v>-0.13153860000000001</v>
      </c>
      <c r="W442">
        <v>9.7909999999999997E-2</v>
      </c>
      <c r="X442">
        <v>0.98646400000000001</v>
      </c>
      <c r="Y442">
        <v>1.75741E-3</v>
      </c>
      <c r="Z442">
        <v>-6.6110720000000004E-4</v>
      </c>
      <c r="AA442">
        <v>0.99999819999999995</v>
      </c>
      <c r="AB442">
        <v>23</v>
      </c>
      <c r="AC442">
        <v>263.7038</v>
      </c>
      <c r="AD442">
        <v>9.3818869999999901</v>
      </c>
      <c r="AE442">
        <v>-4.2146999999999899</v>
      </c>
      <c r="AF442">
        <v>0.45904520152415801</v>
      </c>
      <c r="AG442">
        <v>9.3818869999999901</v>
      </c>
      <c r="AH442">
        <v>263.403760575614</v>
      </c>
      <c r="AI442">
        <v>87.960110476645696</v>
      </c>
      <c r="AJ442">
        <v>89.900148251609806</v>
      </c>
      <c r="AK442">
        <v>263.57118888746697</v>
      </c>
      <c r="AL442">
        <v>84.381168343520699</v>
      </c>
      <c r="AM442">
        <v>97.595217846767696</v>
      </c>
      <c r="AN442">
        <v>0.99999999734297995</v>
      </c>
    </row>
    <row r="443" spans="1:40" x14ac:dyDescent="0.25">
      <c r="A443" t="str">
        <f>"20190304154735211"</f>
        <v>20190304154735211</v>
      </c>
      <c r="B443" t="str">
        <f>"1551685655207717"</f>
        <v>1551685655207717</v>
      </c>
      <c r="C443" t="s">
        <v>40</v>
      </c>
      <c r="D443">
        <v>4.0330779999999997</v>
      </c>
      <c r="E443">
        <v>0.54994699999999996</v>
      </c>
      <c r="F443" t="s">
        <v>43</v>
      </c>
      <c r="G443">
        <v>-168.84350000000001</v>
      </c>
      <c r="H443">
        <v>10.49718</v>
      </c>
      <c r="I443">
        <v>362.6268</v>
      </c>
      <c r="J443">
        <v>-432.40910000000002</v>
      </c>
      <c r="K443">
        <v>1.0615399999999999</v>
      </c>
      <c r="L443">
        <v>366.70650000000001</v>
      </c>
      <c r="M443">
        <v>0.99982400000000005</v>
      </c>
      <c r="N443">
        <v>-1.223055E-2</v>
      </c>
      <c r="O443">
        <v>-1.4236449999999999E-2</v>
      </c>
      <c r="P443">
        <v>0.98927980000000004</v>
      </c>
      <c r="Q443">
        <v>8.6463620000000005E-2</v>
      </c>
      <c r="R443">
        <v>0.1176836</v>
      </c>
      <c r="S443">
        <v>3.0284119999999999</v>
      </c>
      <c r="T443">
        <v>0.10835980000000001</v>
      </c>
      <c r="U443">
        <v>-4.6875E-2</v>
      </c>
      <c r="V443">
        <v>-0.13175329999999999</v>
      </c>
      <c r="W443">
        <v>9.8539230000000005E-2</v>
      </c>
      <c r="X443">
        <v>0.98637269999999999</v>
      </c>
      <c r="Y443">
        <v>1.2550489999999901E-3</v>
      </c>
      <c r="Z443">
        <v>-6.6845749999999997E-4</v>
      </c>
      <c r="AA443">
        <v>0.99999899999999997</v>
      </c>
      <c r="AB443">
        <v>23</v>
      </c>
      <c r="AC443">
        <v>263.56560000000002</v>
      </c>
      <c r="AD443">
        <v>9.4356399999999994</v>
      </c>
      <c r="AE443">
        <v>-4.0796999999999999</v>
      </c>
      <c r="AF443">
        <v>0.32634971767923099</v>
      </c>
      <c r="AG443">
        <v>9.4356399999999994</v>
      </c>
      <c r="AH443">
        <v>263.25964749417801</v>
      </c>
      <c r="AI443">
        <v>87.947309358837202</v>
      </c>
      <c r="AJ443">
        <v>89.928973346017401</v>
      </c>
      <c r="AK443">
        <v>263.42888946565199</v>
      </c>
      <c r="AL443">
        <v>84.344940991738795</v>
      </c>
      <c r="AM443">
        <v>97.608165754750004</v>
      </c>
      <c r="AN443">
        <v>1.0000000076075799</v>
      </c>
    </row>
    <row r="444" spans="1:40" x14ac:dyDescent="0.25">
      <c r="A444" t="str">
        <f>"20190304154735229"</f>
        <v>20190304154735229</v>
      </c>
      <c r="B444" t="str">
        <f>"1551685655217477"</f>
        <v>1551685655217477</v>
      </c>
      <c r="C444" t="s">
        <v>40</v>
      </c>
      <c r="D444">
        <v>4.0277690000000002</v>
      </c>
      <c r="E444">
        <v>0.55018</v>
      </c>
      <c r="F444" t="s">
        <v>43</v>
      </c>
      <c r="G444">
        <v>-168.84350000000001</v>
      </c>
      <c r="H444">
        <v>10.61453</v>
      </c>
      <c r="I444">
        <v>362.71719999999999</v>
      </c>
      <c r="J444">
        <v>-432.23059999999998</v>
      </c>
      <c r="K444">
        <v>1.061407</v>
      </c>
      <c r="L444">
        <v>366.70400000000001</v>
      </c>
      <c r="M444">
        <v>0.99982539999999998</v>
      </c>
      <c r="N444">
        <v>-1.2118749999999999E-2</v>
      </c>
      <c r="O444">
        <v>-1.4236260000000001E-2</v>
      </c>
      <c r="P444">
        <v>0.98917960000000005</v>
      </c>
      <c r="Q444">
        <v>8.7462529999999997E-2</v>
      </c>
      <c r="R444">
        <v>0.11778959999999999</v>
      </c>
      <c r="S444">
        <v>3.028381</v>
      </c>
      <c r="T444">
        <v>0.1097653</v>
      </c>
      <c r="U444">
        <v>-4.58374E-2</v>
      </c>
      <c r="V444">
        <v>-0.1318578</v>
      </c>
      <c r="W444">
        <v>9.9427020000000005E-2</v>
      </c>
      <c r="X444">
        <v>0.98626970000000003</v>
      </c>
      <c r="Y444">
        <v>9.1324400000000001E-4</v>
      </c>
      <c r="Z444">
        <v>-6.7722179999999896E-4</v>
      </c>
      <c r="AA444">
        <v>0.99999930000000004</v>
      </c>
      <c r="AB444">
        <v>23</v>
      </c>
      <c r="AC444">
        <v>263.38709999999998</v>
      </c>
      <c r="AD444">
        <v>9.5531229999999994</v>
      </c>
      <c r="AE444">
        <v>-3.9868000000000099</v>
      </c>
      <c r="AF444">
        <v>0.236163381092514</v>
      </c>
      <c r="AG444">
        <v>9.5531229999999994</v>
      </c>
      <c r="AH444">
        <v>263.071166020904</v>
      </c>
      <c r="AI444">
        <v>87.920285184291998</v>
      </c>
      <c r="AJ444">
        <v>89.948564635258506</v>
      </c>
      <c r="AK444">
        <v>263.24467007670597</v>
      </c>
      <c r="AL444">
        <v>84.293823674005694</v>
      </c>
      <c r="AM444">
        <v>97.614915239035497</v>
      </c>
      <c r="AN444">
        <v>1.0000000664324999</v>
      </c>
    </row>
    <row r="445" spans="1:40" x14ac:dyDescent="0.25">
      <c r="A445" t="str">
        <f>"20190304154735241"</f>
        <v>20190304154735241</v>
      </c>
      <c r="B445" t="str">
        <f>"1551685655236998"</f>
        <v>1551685655236998</v>
      </c>
      <c r="C445" t="s">
        <v>40</v>
      </c>
      <c r="D445">
        <v>4.0222709999999999</v>
      </c>
      <c r="E445">
        <v>0.5506297</v>
      </c>
      <c r="F445" t="s">
        <v>43</v>
      </c>
      <c r="G445">
        <v>-168.84350000000001</v>
      </c>
      <c r="H445">
        <v>10.991379999999999</v>
      </c>
      <c r="I445">
        <v>362.56619999999998</v>
      </c>
      <c r="J445">
        <v>-432.0992</v>
      </c>
      <c r="K445">
        <v>1.061318</v>
      </c>
      <c r="L445">
        <v>366.70209999999997</v>
      </c>
      <c r="M445">
        <v>0.99982610000000005</v>
      </c>
      <c r="N445">
        <v>-1.204356E-2</v>
      </c>
      <c r="O445">
        <v>-1.423641E-2</v>
      </c>
      <c r="P445">
        <v>0.98910790000000004</v>
      </c>
      <c r="Q445">
        <v>8.8126880000000005E-2</v>
      </c>
      <c r="R445">
        <v>0.1178956</v>
      </c>
      <c r="S445">
        <v>3.0284420000000001</v>
      </c>
      <c r="T445">
        <v>0.1141765</v>
      </c>
      <c r="U445">
        <v>-4.7576899999999998E-2</v>
      </c>
      <c r="V445">
        <v>-0.13196279999999999</v>
      </c>
      <c r="W445">
        <v>0.1000163</v>
      </c>
      <c r="X445">
        <v>0.98619599999999996</v>
      </c>
      <c r="Y445">
        <v>1.4876959999999999E-3</v>
      </c>
      <c r="Z445">
        <v>-6.8879089999999998E-4</v>
      </c>
      <c r="AA445">
        <v>0.99999859999999896</v>
      </c>
      <c r="AB445">
        <v>23</v>
      </c>
      <c r="AC445">
        <v>263.25569999999999</v>
      </c>
      <c r="AD445">
        <v>9.9300619999999995</v>
      </c>
      <c r="AE445">
        <v>-4.1358999999999897</v>
      </c>
      <c r="AF445">
        <v>0.38684252281071102</v>
      </c>
      <c r="AG445">
        <v>9.9300619999999995</v>
      </c>
      <c r="AH445">
        <v>262.91391620787198</v>
      </c>
      <c r="AI445">
        <v>87.837011717382396</v>
      </c>
      <c r="AJ445">
        <v>89.915697015136203</v>
      </c>
      <c r="AK445">
        <v>263.10165927683101</v>
      </c>
      <c r="AL445">
        <v>84.2598908706792</v>
      </c>
      <c r="AM445">
        <v>97.621470679585599</v>
      </c>
      <c r="AN445">
        <v>0.99999999563276498</v>
      </c>
    </row>
    <row r="446" spans="1:40" x14ac:dyDescent="0.25">
      <c r="A446" t="str">
        <f>"20190304154735253"</f>
        <v>20190304154735253</v>
      </c>
      <c r="B446" t="str">
        <f>"1551685655247735"</f>
        <v>1551685655247735</v>
      </c>
      <c r="C446" t="s">
        <v>40</v>
      </c>
      <c r="D446">
        <v>4.0070209999999999</v>
      </c>
      <c r="E446">
        <v>0.55081519999999995</v>
      </c>
      <c r="F446" t="s">
        <v>43</v>
      </c>
      <c r="G446">
        <v>-168.84350000000001</v>
      </c>
      <c r="H446">
        <v>11.35651</v>
      </c>
      <c r="I446">
        <v>362.31700000000001</v>
      </c>
      <c r="J446">
        <v>-431.96929999999998</v>
      </c>
      <c r="K446">
        <v>1.061237</v>
      </c>
      <c r="L446">
        <v>366.70030000000003</v>
      </c>
      <c r="M446">
        <v>0.99982709999999997</v>
      </c>
      <c r="N446">
        <v>-1.1972790000000001E-2</v>
      </c>
      <c r="O446">
        <v>-1.423659E-2</v>
      </c>
      <c r="P446">
        <v>0.98908090000000004</v>
      </c>
      <c r="Q446">
        <v>8.8752689999999995E-2</v>
      </c>
      <c r="R446">
        <v>0.1176523</v>
      </c>
      <c r="S446">
        <v>3.028473</v>
      </c>
      <c r="T446">
        <v>0.1184361</v>
      </c>
      <c r="U446">
        <v>-5.044556E-2</v>
      </c>
      <c r="V446">
        <v>-0.1317188</v>
      </c>
      <c r="W446">
        <v>0.10057190000000001</v>
      </c>
      <c r="X446">
        <v>0.9861721</v>
      </c>
      <c r="Y446">
        <v>2.4347359999999998E-3</v>
      </c>
      <c r="Z446">
        <v>-6.9384000000000004E-4</v>
      </c>
      <c r="AA446">
        <v>0.99999680000000002</v>
      </c>
      <c r="AB446">
        <v>23</v>
      </c>
      <c r="AC446">
        <v>263.12580000000003</v>
      </c>
      <c r="AD446">
        <v>10.295273</v>
      </c>
      <c r="AE446">
        <v>-4.3833000000000704</v>
      </c>
      <c r="AF446">
        <v>0.63560076373086305</v>
      </c>
      <c r="AG446">
        <v>10.295273</v>
      </c>
      <c r="AH446">
        <v>262.75938866646197</v>
      </c>
      <c r="AI446">
        <v>87.756227115752395</v>
      </c>
      <c r="AJ446">
        <v>89.8614048754918</v>
      </c>
      <c r="AK446">
        <v>262.96177092278703</v>
      </c>
      <c r="AL446">
        <v>84.227895921585102</v>
      </c>
      <c r="AM446">
        <v>97.607725938829802</v>
      </c>
      <c r="AN446">
        <v>0.99999998008072899</v>
      </c>
    </row>
    <row r="447" spans="1:40" x14ac:dyDescent="0.25">
      <c r="A447" t="str">
        <f>"20190304154735265"</f>
        <v>20190304154735265</v>
      </c>
      <c r="B447" t="str">
        <f>"1551685655257494"</f>
        <v>1551685655257494</v>
      </c>
      <c r="C447" t="s">
        <v>40</v>
      </c>
      <c r="D447">
        <v>3.978945</v>
      </c>
      <c r="E447">
        <v>0.55101789999999995</v>
      </c>
      <c r="F447" t="s">
        <v>43</v>
      </c>
      <c r="G447">
        <v>-168.84350000000001</v>
      </c>
      <c r="H447">
        <v>11.61764</v>
      </c>
      <c r="I447">
        <v>362.12119999999999</v>
      </c>
      <c r="J447">
        <v>-431.8501</v>
      </c>
      <c r="K447">
        <v>1.0611729999999999</v>
      </c>
      <c r="L447">
        <v>366.69850000000002</v>
      </c>
      <c r="M447">
        <v>0.99982789999999999</v>
      </c>
      <c r="N447">
        <v>-1.1914050000000001E-2</v>
      </c>
      <c r="O447">
        <v>-1.4236840000000001E-2</v>
      </c>
      <c r="P447">
        <v>0.98903969999999997</v>
      </c>
      <c r="Q447">
        <v>8.9208410000000002E-2</v>
      </c>
      <c r="R447">
        <v>0.1176551</v>
      </c>
      <c r="S447">
        <v>3.0285030000000002</v>
      </c>
      <c r="T447">
        <v>0.1215022</v>
      </c>
      <c r="U447">
        <v>-5.2703859999999998E-2</v>
      </c>
      <c r="V447">
        <v>-0.13172149999999999</v>
      </c>
      <c r="W447">
        <v>0.1009694</v>
      </c>
      <c r="X447">
        <v>0.98613110000000004</v>
      </c>
      <c r="Y447">
        <v>3.179982E-3</v>
      </c>
      <c r="Z447">
        <v>-6.9559449999999996E-4</v>
      </c>
      <c r="AA447">
        <v>0.99999470000000001</v>
      </c>
      <c r="AB447">
        <v>23</v>
      </c>
      <c r="AC447">
        <v>263.00659999999999</v>
      </c>
      <c r="AD447">
        <v>10.556467</v>
      </c>
      <c r="AE447">
        <v>-4.5773000000000303</v>
      </c>
      <c r="AF447">
        <v>0.83085011577467405</v>
      </c>
      <c r="AG447">
        <v>10.556467</v>
      </c>
      <c r="AH447">
        <v>262.62214737894902</v>
      </c>
      <c r="AI447">
        <v>87.698166176586</v>
      </c>
      <c r="AJ447">
        <v>89.8187355990447</v>
      </c>
      <c r="AK447">
        <v>262.835540978322</v>
      </c>
      <c r="AL447">
        <v>84.205004205427599</v>
      </c>
      <c r="AM447">
        <v>97.608192661953197</v>
      </c>
      <c r="AN447">
        <v>0.99999995984290901</v>
      </c>
    </row>
    <row r="448" spans="1:40" x14ac:dyDescent="0.25">
      <c r="A448" t="str">
        <f>"20190304154735283"</f>
        <v>20190304154735283</v>
      </c>
      <c r="B448" t="str">
        <f>"1551685655277014"</f>
        <v>1551685655277014</v>
      </c>
      <c r="C448" t="s">
        <v>40</v>
      </c>
      <c r="D448">
        <v>4.0234430000000003</v>
      </c>
      <c r="E448">
        <v>0.55138219999999905</v>
      </c>
      <c r="F448" t="s">
        <v>43</v>
      </c>
      <c r="G448">
        <v>-168.84350000000001</v>
      </c>
      <c r="H448">
        <v>11.818390000000001</v>
      </c>
      <c r="I448">
        <v>361.9547</v>
      </c>
      <c r="J448">
        <v>-431.66309999999999</v>
      </c>
      <c r="K448">
        <v>1.0610809999999999</v>
      </c>
      <c r="L448">
        <v>366.69589999999999</v>
      </c>
      <c r="M448">
        <v>0.99982879999999996</v>
      </c>
      <c r="N448">
        <v>-1.1828709999999999E-2</v>
      </c>
      <c r="O448">
        <v>-1.423694E-2</v>
      </c>
      <c r="P448">
        <v>0.98902789999999996</v>
      </c>
      <c r="Q448">
        <v>8.9396359999999994E-2</v>
      </c>
      <c r="R448">
        <v>0.1176114</v>
      </c>
      <c r="S448">
        <v>3.0285639999999998</v>
      </c>
      <c r="T448">
        <v>0.123872</v>
      </c>
      <c r="U448">
        <v>-5.4626460000000002E-2</v>
      </c>
      <c r="V448">
        <v>-0.1316773</v>
      </c>
      <c r="W448">
        <v>0.1010733</v>
      </c>
      <c r="X448">
        <v>0.98612639999999996</v>
      </c>
      <c r="Y448">
        <v>3.8142150000000001E-3</v>
      </c>
      <c r="Z448">
        <v>-6.9490369999999999E-4</v>
      </c>
      <c r="AA448">
        <v>0.99999249999999995</v>
      </c>
      <c r="AB448">
        <v>23</v>
      </c>
      <c r="AC448">
        <v>262.81959999999998</v>
      </c>
      <c r="AD448">
        <v>10.757308999999999</v>
      </c>
      <c r="AE448">
        <v>-4.7411999999999903</v>
      </c>
      <c r="AF448">
        <v>0.99704138612836801</v>
      </c>
      <c r="AG448">
        <v>10.757308999999999</v>
      </c>
      <c r="AH448">
        <v>262.42097428751401</v>
      </c>
      <c r="AI448">
        <v>87.6526301774514</v>
      </c>
      <c r="AJ448">
        <v>89.782311651337807</v>
      </c>
      <c r="AK448">
        <v>262.643259069132</v>
      </c>
      <c r="AL448">
        <v>84.199020796918205</v>
      </c>
      <c r="AM448">
        <v>97.605705399019598</v>
      </c>
      <c r="AN448">
        <v>1.0000000000425699</v>
      </c>
    </row>
    <row r="449" spans="1:40" x14ac:dyDescent="0.25">
      <c r="A449" t="str">
        <f>"20190304154735295"</f>
        <v>20190304154735295</v>
      </c>
      <c r="B449" t="str">
        <f>"1551685655287750"</f>
        <v>1551685655287750</v>
      </c>
      <c r="C449" t="s">
        <v>40</v>
      </c>
      <c r="D449">
        <v>4.0337420000000002</v>
      </c>
      <c r="E449">
        <v>0.55155279999999995</v>
      </c>
      <c r="F449" t="s">
        <v>48</v>
      </c>
      <c r="G449">
        <v>-249.75069999999999</v>
      </c>
      <c r="H449">
        <v>8.6575279999999992</v>
      </c>
      <c r="I449">
        <v>363.24799999999999</v>
      </c>
      <c r="J449">
        <v>-431.53809999999999</v>
      </c>
      <c r="K449">
        <v>1.0610280000000001</v>
      </c>
      <c r="L449">
        <v>366.69409999999999</v>
      </c>
      <c r="M449">
        <v>0.99982930000000003</v>
      </c>
      <c r="N449">
        <v>-1.1776180000000001E-2</v>
      </c>
      <c r="O449">
        <v>-1.423723E-2</v>
      </c>
      <c r="P449">
        <v>0.98902829999999997</v>
      </c>
      <c r="Q449">
        <v>8.9365979999999998E-2</v>
      </c>
      <c r="R449">
        <v>0.11763</v>
      </c>
      <c r="S449">
        <v>3.0286559999999998</v>
      </c>
      <c r="T449">
        <v>0.12647459999999999</v>
      </c>
      <c r="U449">
        <v>-5.7403559999999999E-2</v>
      </c>
      <c r="V449">
        <v>-0.13169629999999999</v>
      </c>
      <c r="W449">
        <v>0.10099080000000001</v>
      </c>
      <c r="X449">
        <v>0.98613229999999996</v>
      </c>
      <c r="Y449">
        <v>4.7299250000000003E-3</v>
      </c>
      <c r="Z449">
        <v>-6.9091179999999995E-4</v>
      </c>
      <c r="AA449">
        <v>0.99998860000000001</v>
      </c>
      <c r="AB449">
        <v>23</v>
      </c>
      <c r="AC449">
        <v>181.78739999999999</v>
      </c>
      <c r="AD449">
        <v>7.59649999999999</v>
      </c>
      <c r="AE449">
        <v>-3.44609999999994</v>
      </c>
      <c r="AF449">
        <v>0.85592807441062302</v>
      </c>
      <c r="AG449">
        <v>7.59649999999999</v>
      </c>
      <c r="AH449">
        <v>181.50121118864999</v>
      </c>
      <c r="AI449">
        <v>87.603384153711403</v>
      </c>
      <c r="AJ449">
        <v>89.729805094012505</v>
      </c>
      <c r="AK449">
        <v>181.662128931887</v>
      </c>
      <c r="AL449">
        <v>84.203771923026807</v>
      </c>
      <c r="AM449">
        <v>97.606745014757706</v>
      </c>
      <c r="AN449">
        <v>0.99999998511080901</v>
      </c>
    </row>
    <row r="450" spans="1:40" x14ac:dyDescent="0.25">
      <c r="A450" t="str">
        <f>"20190304154735307"</f>
        <v>20190304154735307</v>
      </c>
      <c r="B450" t="str">
        <f>"1551685655297510"</f>
        <v>1551685655297510</v>
      </c>
      <c r="C450" t="s">
        <v>40</v>
      </c>
      <c r="D450">
        <v>4.0190109999999999</v>
      </c>
      <c r="E450">
        <v>0.5517126</v>
      </c>
      <c r="F450" t="s">
        <v>48</v>
      </c>
      <c r="G450">
        <v>-249.76939999999999</v>
      </c>
      <c r="H450">
        <v>8.6891289999999994</v>
      </c>
      <c r="I450">
        <v>363.16480000000001</v>
      </c>
      <c r="J450">
        <v>-431.41559999999998</v>
      </c>
      <c r="K450">
        <v>1.0609770000000001</v>
      </c>
      <c r="L450">
        <v>366.69240000000002</v>
      </c>
      <c r="M450">
        <v>0.99982990000000005</v>
      </c>
      <c r="N450">
        <v>-1.172876E-2</v>
      </c>
      <c r="O450">
        <v>-1.423719E-2</v>
      </c>
      <c r="P450">
        <v>0.98895869999999997</v>
      </c>
      <c r="Q450">
        <v>8.9760469999999995E-2</v>
      </c>
      <c r="R450">
        <v>0.11791459999999999</v>
      </c>
      <c r="S450">
        <v>3.0287480000000002</v>
      </c>
      <c r="T450">
        <v>0.12710579999999999</v>
      </c>
      <c r="U450">
        <v>-5.8807369999999998E-2</v>
      </c>
      <c r="V450">
        <v>-0.13198029999999999</v>
      </c>
      <c r="W450">
        <v>0.1013375</v>
      </c>
      <c r="X450">
        <v>0.98605880000000001</v>
      </c>
      <c r="Y450">
        <v>5.1925039999999997E-3</v>
      </c>
      <c r="Z450">
        <v>-6.8558750000000004E-4</v>
      </c>
      <c r="AA450">
        <v>0.99998629999999999</v>
      </c>
      <c r="AB450">
        <v>23</v>
      </c>
      <c r="AC450">
        <v>181.64619999999999</v>
      </c>
      <c r="AD450">
        <v>7.6281519999999903</v>
      </c>
      <c r="AE450">
        <v>-3.5276000000000001</v>
      </c>
      <c r="AF450">
        <v>0.93927734051422196</v>
      </c>
      <c r="AG450">
        <v>7.6281519999999903</v>
      </c>
      <c r="AH450">
        <v>181.358300900253</v>
      </c>
      <c r="AI450">
        <v>87.591521351290694</v>
      </c>
      <c r="AJ450">
        <v>89.703260639497501</v>
      </c>
      <c r="AK450">
        <v>181.52108486422199</v>
      </c>
      <c r="AL450">
        <v>84.183805260545</v>
      </c>
      <c r="AM450">
        <v>97.623517620175306</v>
      </c>
      <c r="AN450">
        <v>1.0000000227758801</v>
      </c>
    </row>
    <row r="451" spans="1:40" x14ac:dyDescent="0.25">
      <c r="A451" t="str">
        <f>"20190304154735319"</f>
        <v>20190304154735319</v>
      </c>
      <c r="B451" t="str">
        <f>"1551685655317030"</f>
        <v>1551685655317030</v>
      </c>
      <c r="C451" t="s">
        <v>40</v>
      </c>
      <c r="D451">
        <v>4.0596399999999999</v>
      </c>
      <c r="E451">
        <v>0.55160849999999995</v>
      </c>
      <c r="F451" t="s">
        <v>48</v>
      </c>
      <c r="G451">
        <v>-249.8502</v>
      </c>
      <c r="H451">
        <v>8.8001620000000003</v>
      </c>
      <c r="I451">
        <v>363.13780000000003</v>
      </c>
      <c r="J451">
        <v>-431.29180000000002</v>
      </c>
      <c r="K451">
        <v>1.060934</v>
      </c>
      <c r="L451">
        <v>366.69060000000002</v>
      </c>
      <c r="M451">
        <v>0.99983029999999995</v>
      </c>
      <c r="N451">
        <v>-1.168456E-2</v>
      </c>
      <c r="O451">
        <v>-1.423753E-2</v>
      </c>
      <c r="P451">
        <v>0.98891479999999998</v>
      </c>
      <c r="Q451">
        <v>9.0216439999999995E-2</v>
      </c>
      <c r="R451">
        <v>0.1179345</v>
      </c>
      <c r="S451">
        <v>3.0288390000000001</v>
      </c>
      <c r="T451">
        <v>0.1291051</v>
      </c>
      <c r="U451">
        <v>-5.9295649999999998E-2</v>
      </c>
      <c r="V451">
        <v>-0.13199920000000001</v>
      </c>
      <c r="W451">
        <v>0.1017493</v>
      </c>
      <c r="X451">
        <v>0.98601380000000005</v>
      </c>
      <c r="Y451">
        <v>5.352964E-3</v>
      </c>
      <c r="Z451">
        <v>-6.9003649999999897E-4</v>
      </c>
      <c r="AA451">
        <v>0.99998549999999997</v>
      </c>
      <c r="AB451">
        <v>23</v>
      </c>
      <c r="AC451">
        <v>181.44159999999999</v>
      </c>
      <c r="AD451">
        <v>7.7392279999999998</v>
      </c>
      <c r="AE451">
        <v>-3.5527999999999902</v>
      </c>
      <c r="AF451">
        <v>0.96722401536660896</v>
      </c>
      <c r="AG451">
        <v>7.7392279999999998</v>
      </c>
      <c r="AH451">
        <v>181.14435066413799</v>
      </c>
      <c r="AI451">
        <v>87.553612445708396</v>
      </c>
      <c r="AJ451">
        <v>89.694070904961706</v>
      </c>
      <c r="AK451">
        <v>181.31218091971601</v>
      </c>
      <c r="AL451">
        <v>84.160087908252706</v>
      </c>
      <c r="AM451">
        <v>97.624940369901495</v>
      </c>
      <c r="AN451">
        <v>0.99999996132078395</v>
      </c>
    </row>
    <row r="452" spans="1:40" x14ac:dyDescent="0.25">
      <c r="A452" t="str">
        <f>"20190304154735330"</f>
        <v>20190304154735330</v>
      </c>
      <c r="B452" t="str">
        <f>"1551685655327766"</f>
        <v>1551685655327766</v>
      </c>
      <c r="C452" t="s">
        <v>40</v>
      </c>
      <c r="D452">
        <v>4.0784510000000003</v>
      </c>
      <c r="E452">
        <v>0.53599350000000001</v>
      </c>
      <c r="F452" t="s">
        <v>48</v>
      </c>
      <c r="G452">
        <v>-249.8502</v>
      </c>
      <c r="H452">
        <v>8.8126119999999997</v>
      </c>
      <c r="I452">
        <v>363.18970000000002</v>
      </c>
      <c r="J452">
        <v>-431.17529999999999</v>
      </c>
      <c r="K452">
        <v>1.060897</v>
      </c>
      <c r="L452">
        <v>366.68900000000002</v>
      </c>
      <c r="M452">
        <v>0.99983089999999997</v>
      </c>
      <c r="N452">
        <v>-1.1644659999999999E-2</v>
      </c>
      <c r="O452">
        <v>-1.4237659999999999E-2</v>
      </c>
      <c r="P452">
        <v>0.98887179999999997</v>
      </c>
      <c r="Q452">
        <v>9.0704460000000001E-2</v>
      </c>
      <c r="R452">
        <v>0.117922</v>
      </c>
      <c r="S452">
        <v>3.0288390000000001</v>
      </c>
      <c r="T452">
        <v>0.12940170000000001</v>
      </c>
      <c r="U452">
        <v>-5.8441159999999999E-2</v>
      </c>
      <c r="V452">
        <v>-0.13198650000000001</v>
      </c>
      <c r="W452">
        <v>0.1021975</v>
      </c>
      <c r="X452">
        <v>0.98596919999999999</v>
      </c>
      <c r="Y452">
        <v>5.0710440000000002E-3</v>
      </c>
      <c r="Z452">
        <v>-6.9487749999999995E-4</v>
      </c>
      <c r="AA452">
        <v>0.99998690000000001</v>
      </c>
      <c r="AB452">
        <v>23</v>
      </c>
      <c r="AC452">
        <v>181.32509999999999</v>
      </c>
      <c r="AD452">
        <v>7.7517149999999901</v>
      </c>
      <c r="AE452">
        <v>-3.4992999999999999</v>
      </c>
      <c r="AF452">
        <v>0.91545281104073295</v>
      </c>
      <c r="AG452">
        <v>7.7517149999999901</v>
      </c>
      <c r="AH452">
        <v>181.025824947979</v>
      </c>
      <c r="AI452">
        <v>87.548064104346807</v>
      </c>
      <c r="AJ452">
        <v>89.710256062560404</v>
      </c>
      <c r="AK452">
        <v>181.19402980613501</v>
      </c>
      <c r="AL452">
        <v>84.134273682377696</v>
      </c>
      <c r="AM452">
        <v>97.624556205527597</v>
      </c>
      <c r="AN452">
        <v>1.0000000142685599</v>
      </c>
    </row>
    <row r="453" spans="1:40" x14ac:dyDescent="0.25">
      <c r="A453" t="str">
        <f>"20190304154735342"</f>
        <v>20190304154735342</v>
      </c>
      <c r="B453" t="str">
        <f>"1551685655337526"</f>
        <v>1551685655337526</v>
      </c>
      <c r="C453" t="s">
        <v>40</v>
      </c>
      <c r="D453">
        <v>4.0678010000000002</v>
      </c>
      <c r="E453">
        <v>0.53288080000000004</v>
      </c>
      <c r="F453" t="s">
        <v>44</v>
      </c>
      <c r="G453">
        <v>-266.00810000000001</v>
      </c>
      <c r="H453" s="1">
        <v>-1.8114539999999999E-6</v>
      </c>
      <c r="I453">
        <v>370.05459999999999</v>
      </c>
      <c r="J453">
        <v>-431.05549999999999</v>
      </c>
      <c r="K453">
        <v>1.0608629999999999</v>
      </c>
      <c r="L453">
        <v>366.68729999999999</v>
      </c>
      <c r="M453">
        <v>0.99983129999999998</v>
      </c>
      <c r="N453">
        <v>-1.1608210000000001E-2</v>
      </c>
      <c r="O453">
        <v>-1.423757E-2</v>
      </c>
      <c r="P453">
        <v>0.98883410000000005</v>
      </c>
      <c r="Q453">
        <v>9.1051880000000002E-2</v>
      </c>
      <c r="R453">
        <v>0.1179684</v>
      </c>
      <c r="S453">
        <v>3.0281980000000002</v>
      </c>
      <c r="T453">
        <v>-1.9450660000000002E-2</v>
      </c>
      <c r="U453">
        <v>6.1706539999999997E-2</v>
      </c>
      <c r="V453">
        <v>-0.13203210000000001</v>
      </c>
      <c r="W453">
        <v>0.10250869999999999</v>
      </c>
      <c r="X453">
        <v>0.98593070000000005</v>
      </c>
      <c r="Y453">
        <v>-3.46044E-2</v>
      </c>
      <c r="Z453">
        <v>2.3818379999999999E-4</v>
      </c>
      <c r="AA453">
        <v>0.99940099999999998</v>
      </c>
      <c r="AB453">
        <v>23</v>
      </c>
      <c r="AC453">
        <v>165.04739999999899</v>
      </c>
      <c r="AD453">
        <v>-1.06086481145399</v>
      </c>
      <c r="AE453">
        <v>3.3673000000000002</v>
      </c>
      <c r="AF453">
        <v>-5.7167547075273104</v>
      </c>
      <c r="AG453">
        <v>-1.06086481145399</v>
      </c>
      <c r="AH453">
        <v>164.975910189312</v>
      </c>
      <c r="AI453">
        <v>90.3682099993988</v>
      </c>
      <c r="AJ453">
        <v>91.984622538828702</v>
      </c>
      <c r="AK453">
        <v>165.078337953004</v>
      </c>
      <c r="AL453">
        <v>84.116348583743004</v>
      </c>
      <c r="AM453">
        <v>97.627453737592802</v>
      </c>
      <c r="AN453">
        <v>0.99999992710429197</v>
      </c>
    </row>
    <row r="454" spans="1:40" x14ac:dyDescent="0.25">
      <c r="A454" t="str">
        <f>"20190304154735355"</f>
        <v>20190304154735355</v>
      </c>
      <c r="B454" t="str">
        <f>"1551685655347286"</f>
        <v>1551685655347286</v>
      </c>
      <c r="C454" t="s">
        <v>40</v>
      </c>
      <c r="D454">
        <v>4.0604950000000004</v>
      </c>
      <c r="E454">
        <v>0.53096969999999899</v>
      </c>
      <c r="F454" t="s">
        <v>44</v>
      </c>
      <c r="G454">
        <v>-341.18239999999997</v>
      </c>
      <c r="H454" s="1">
        <v>-4.2146019999999999E-6</v>
      </c>
      <c r="I454">
        <v>369.24439999999998</v>
      </c>
      <c r="J454">
        <v>-430.93209999999999</v>
      </c>
      <c r="K454">
        <v>1.0608280000000001</v>
      </c>
      <c r="L454">
        <v>366.68549999999999</v>
      </c>
      <c r="M454">
        <v>0.99983169999999999</v>
      </c>
      <c r="N454">
        <v>-1.1571959999999999E-2</v>
      </c>
      <c r="O454">
        <v>-1.423748E-2</v>
      </c>
      <c r="P454">
        <v>0.98882619999999999</v>
      </c>
      <c r="Q454">
        <v>9.1291109999999995E-2</v>
      </c>
      <c r="R454">
        <v>0.1178515</v>
      </c>
      <c r="S454">
        <v>3.0268860000000002</v>
      </c>
      <c r="T454">
        <v>-3.5729530000000002E-2</v>
      </c>
      <c r="U454">
        <v>8.612061E-2</v>
      </c>
      <c r="V454">
        <v>-0.13191510000000001</v>
      </c>
      <c r="W454">
        <v>0.1027117</v>
      </c>
      <c r="X454">
        <v>0.9859253</v>
      </c>
      <c r="Y454">
        <v>-4.2664290000000001E-2</v>
      </c>
      <c r="Z454">
        <v>5.0197679999999995E-4</v>
      </c>
      <c r="AA454">
        <v>0.99908940000000002</v>
      </c>
      <c r="AB454">
        <v>23</v>
      </c>
      <c r="AC454">
        <v>89.749700000000004</v>
      </c>
      <c r="AD454">
        <v>-1.0608322146019999</v>
      </c>
      <c r="AE454">
        <v>2.5588999999999902</v>
      </c>
      <c r="AF454">
        <v>-3.8360002028598101</v>
      </c>
      <c r="AG454">
        <v>-1.0608322146019999</v>
      </c>
      <c r="AH454">
        <v>89.691646561827994</v>
      </c>
      <c r="AI454">
        <v>90.677018110547394</v>
      </c>
      <c r="AJ454">
        <v>92.448976781668193</v>
      </c>
      <c r="AK454">
        <v>89.779907136929793</v>
      </c>
      <c r="AL454">
        <v>84.104656205296095</v>
      </c>
      <c r="AM454">
        <v>97.620815402119305</v>
      </c>
      <c r="AN454">
        <v>0.99999999205249501</v>
      </c>
    </row>
    <row r="455" spans="1:40" x14ac:dyDescent="0.25">
      <c r="A455" t="str">
        <f>"20190304154735365"</f>
        <v>20190304154735365</v>
      </c>
      <c r="B455" t="str">
        <f>"1551685655357046"</f>
        <v>1551685655357046</v>
      </c>
      <c r="C455" t="s">
        <v>40</v>
      </c>
      <c r="D455">
        <v>4.0748769999999999</v>
      </c>
      <c r="E455">
        <v>0.53006019999999998</v>
      </c>
      <c r="F455" t="s">
        <v>44</v>
      </c>
      <c r="G455">
        <v>-358.74009999999998</v>
      </c>
      <c r="H455" s="1">
        <v>-6.158493E-7</v>
      </c>
      <c r="I455">
        <v>369.09179999999998</v>
      </c>
      <c r="J455">
        <v>-430.8048</v>
      </c>
      <c r="K455">
        <v>1.0607899999999999</v>
      </c>
      <c r="L455">
        <v>366.68369999999999</v>
      </c>
      <c r="M455">
        <v>0.9998321</v>
      </c>
      <c r="N455">
        <v>-1.153791E-2</v>
      </c>
      <c r="O455">
        <v>-1.423753E-2</v>
      </c>
      <c r="P455">
        <v>0.98884269999999996</v>
      </c>
      <c r="Q455">
        <v>9.1096150000000001E-2</v>
      </c>
      <c r="R455">
        <v>0.1178631</v>
      </c>
      <c r="S455">
        <v>3.0260009999999999</v>
      </c>
      <c r="T455">
        <v>-4.4465659999999997E-2</v>
      </c>
      <c r="U455">
        <v>0.10086059999999999</v>
      </c>
      <c r="V455">
        <v>-0.13192670000000001</v>
      </c>
      <c r="W455">
        <v>0.10248359999999999</v>
      </c>
      <c r="X455">
        <v>0.98594749999999998</v>
      </c>
      <c r="Y455">
        <v>-4.7530790000000003E-2</v>
      </c>
      <c r="Z455">
        <v>6.6834800000000003E-4</v>
      </c>
      <c r="AA455">
        <v>0.99886949999999997</v>
      </c>
      <c r="AB455">
        <v>23</v>
      </c>
      <c r="AC455">
        <v>72.064700000000002</v>
      </c>
      <c r="AD455">
        <v>-1.0607906158492999</v>
      </c>
      <c r="AE455">
        <v>2.4080999999999899</v>
      </c>
      <c r="AF455">
        <v>-3.43320441510172</v>
      </c>
      <c r="AG455">
        <v>-1.0607906158492999</v>
      </c>
      <c r="AH455">
        <v>72.007521941274803</v>
      </c>
      <c r="AI455">
        <v>90.843043584017195</v>
      </c>
      <c r="AJ455">
        <v>92.729704710294001</v>
      </c>
      <c r="AK455">
        <v>72.097124668115001</v>
      </c>
      <c r="AL455">
        <v>84.1177947971957</v>
      </c>
      <c r="AM455">
        <v>97.621308073115202</v>
      </c>
      <c r="AN455">
        <v>1.0000000075990401</v>
      </c>
    </row>
    <row r="456" spans="1:40" x14ac:dyDescent="0.25">
      <c r="A456" t="str">
        <f>"20190304154735384"</f>
        <v>20190304154735384</v>
      </c>
      <c r="B456" t="str">
        <f>"1551685655377542"</f>
        <v>1551685655377542</v>
      </c>
      <c r="C456" t="s">
        <v>40</v>
      </c>
      <c r="D456">
        <v>4.057696</v>
      </c>
      <c r="E456">
        <v>0.52904619999999902</v>
      </c>
      <c r="F456" t="s">
        <v>44</v>
      </c>
      <c r="G456">
        <v>-364.79739999999998</v>
      </c>
      <c r="H456" s="1">
        <v>-2.316924E-6</v>
      </c>
      <c r="I456">
        <v>369.03730000000002</v>
      </c>
      <c r="J456">
        <v>-430.62259999999998</v>
      </c>
      <c r="K456">
        <v>1.0607470000000001</v>
      </c>
      <c r="L456">
        <v>366.68119999999999</v>
      </c>
      <c r="M456">
        <v>0.99983259999999996</v>
      </c>
      <c r="N456">
        <v>-1.1493339999999999E-2</v>
      </c>
      <c r="O456">
        <v>-1.4237629999999999E-2</v>
      </c>
      <c r="P456">
        <v>0.9888344</v>
      </c>
      <c r="Q456">
        <v>9.1062439999999994E-2</v>
      </c>
      <c r="R456">
        <v>0.1179582</v>
      </c>
      <c r="S456">
        <v>3.025452</v>
      </c>
      <c r="T456">
        <v>-4.8621419999999999E-2</v>
      </c>
      <c r="U456">
        <v>0.10787960000000001</v>
      </c>
      <c r="V456">
        <v>-0.13202220000000001</v>
      </c>
      <c r="W456">
        <v>0.10240580000000001</v>
      </c>
      <c r="X456">
        <v>0.98594280000000001</v>
      </c>
      <c r="Y456">
        <v>-4.9849449999999997E-2</v>
      </c>
      <c r="Z456">
        <v>7.5215690000000001E-4</v>
      </c>
      <c r="AA456">
        <v>0.99875650000000005</v>
      </c>
      <c r="AB456">
        <v>23</v>
      </c>
      <c r="AC456">
        <v>65.825199999999995</v>
      </c>
      <c r="AD456">
        <v>-1.0607493169240001</v>
      </c>
      <c r="AE456">
        <v>2.3561000000000201</v>
      </c>
      <c r="AF456">
        <v>-3.2922640395490199</v>
      </c>
      <c r="AG456">
        <v>-1.0607493169240001</v>
      </c>
      <c r="AH456">
        <v>65.767922702983498</v>
      </c>
      <c r="AI456">
        <v>90.922869393818701</v>
      </c>
      <c r="AJ456">
        <v>92.865766458838095</v>
      </c>
      <c r="AK456">
        <v>65.858817543933199</v>
      </c>
      <c r="AL456">
        <v>84.122275982260405</v>
      </c>
      <c r="AM456">
        <v>97.626796050700804</v>
      </c>
      <c r="AN456">
        <v>1.0000000070191599</v>
      </c>
    </row>
    <row r="457" spans="1:40" x14ac:dyDescent="0.25">
      <c r="A457" t="str">
        <f>"20190304154735396"</f>
        <v>20190304154735396</v>
      </c>
      <c r="B457" t="str">
        <f>"1551685655387302"</f>
        <v>1551685655387302</v>
      </c>
      <c r="C457" t="s">
        <v>40</v>
      </c>
      <c r="D457">
        <v>4.0601629999999904</v>
      </c>
      <c r="E457">
        <v>0.52882180000000001</v>
      </c>
      <c r="F457" t="s">
        <v>44</v>
      </c>
      <c r="G457">
        <v>-373.39580000000001</v>
      </c>
      <c r="H457" s="1">
        <v>-2.9468170000000001E-6</v>
      </c>
      <c r="I457">
        <v>368.8759</v>
      </c>
      <c r="J457">
        <v>-430.49869999999999</v>
      </c>
      <c r="K457">
        <v>1.0607249999999999</v>
      </c>
      <c r="L457">
        <v>366.67939999999999</v>
      </c>
      <c r="M457">
        <v>0.99983299999999997</v>
      </c>
      <c r="N457">
        <v>-1.146544E-2</v>
      </c>
      <c r="O457">
        <v>-1.423759E-2</v>
      </c>
      <c r="P457">
        <v>0.98884570000000005</v>
      </c>
      <c r="Q457">
        <v>9.1115680000000004E-2</v>
      </c>
      <c r="R457">
        <v>0.11782330000000001</v>
      </c>
      <c r="S457">
        <v>3.0252379999999999</v>
      </c>
      <c r="T457">
        <v>-5.6075449999999999E-2</v>
      </c>
      <c r="U457">
        <v>0.1160278</v>
      </c>
      <c r="V457">
        <v>-0.13188739999999999</v>
      </c>
      <c r="W457">
        <v>0.10243190000000001</v>
      </c>
      <c r="X457">
        <v>0.98595809999999995</v>
      </c>
      <c r="Y457">
        <v>-5.253435E-2</v>
      </c>
      <c r="Z457">
        <v>8.8861639999999998E-4</v>
      </c>
      <c r="AA457">
        <v>0.99861869999999997</v>
      </c>
      <c r="AB457">
        <v>23</v>
      </c>
      <c r="AC457">
        <v>57.102899999999899</v>
      </c>
      <c r="AD457">
        <v>-1.0607279468169999</v>
      </c>
      <c r="AE457">
        <v>2.1965000000000101</v>
      </c>
      <c r="AF457">
        <v>-3.0083018725622601</v>
      </c>
      <c r="AG457">
        <v>-1.0607279468169999</v>
      </c>
      <c r="AH457">
        <v>57.046181251797002</v>
      </c>
      <c r="AI457">
        <v>91.063768505579702</v>
      </c>
      <c r="AJ457">
        <v>93.018668151822695</v>
      </c>
      <c r="AK457">
        <v>57.135293990199301</v>
      </c>
      <c r="AL457">
        <v>84.120772483919495</v>
      </c>
      <c r="AM457">
        <v>97.618983464773805</v>
      </c>
      <c r="AN457">
        <v>0.99999997768598903</v>
      </c>
    </row>
    <row r="458" spans="1:40" x14ac:dyDescent="0.25">
      <c r="A458" t="str">
        <f>"20190304154735409"</f>
        <v>20190304154735409</v>
      </c>
      <c r="B458" t="str">
        <f>"1551685655397062"</f>
        <v>1551685655397062</v>
      </c>
      <c r="C458" t="s">
        <v>40</v>
      </c>
      <c r="D458">
        <v>4.0973269999999999</v>
      </c>
      <c r="E458">
        <v>0.52870130000000004</v>
      </c>
      <c r="F458" t="s">
        <v>44</v>
      </c>
      <c r="G458">
        <v>-374.38139999999999</v>
      </c>
      <c r="H458" s="1">
        <v>-2.5281360000000001E-6</v>
      </c>
      <c r="I458">
        <v>368.8526</v>
      </c>
      <c r="J458">
        <v>-430.35730000000001</v>
      </c>
      <c r="K458">
        <v>1.0607009999999999</v>
      </c>
      <c r="L458">
        <v>366.67739999999998</v>
      </c>
      <c r="M458">
        <v>0.99983330000000004</v>
      </c>
      <c r="N458">
        <v>-1.143599E-2</v>
      </c>
      <c r="O458">
        <v>-1.4237659999999999E-2</v>
      </c>
      <c r="P458">
        <v>0.9888979</v>
      </c>
      <c r="Q458">
        <v>9.0829240000000006E-2</v>
      </c>
      <c r="R458">
        <v>0.117607</v>
      </c>
      <c r="S458">
        <v>3.0251769999999998</v>
      </c>
      <c r="T458">
        <v>-5.7181839999999998E-2</v>
      </c>
      <c r="U458">
        <v>0.117157</v>
      </c>
      <c r="V458">
        <v>-0.1316717</v>
      </c>
      <c r="W458">
        <v>0.1021169</v>
      </c>
      <c r="X458">
        <v>0.9860196</v>
      </c>
      <c r="Y458">
        <v>-5.2906769999999999E-2</v>
      </c>
      <c r="Z458">
        <v>9.0873009999999999E-4</v>
      </c>
      <c r="AA458">
        <v>0.99859909999999996</v>
      </c>
      <c r="AB458">
        <v>23</v>
      </c>
      <c r="AC458">
        <v>55.975900000000003</v>
      </c>
      <c r="AD458">
        <v>-1.060703528136</v>
      </c>
      <c r="AE458">
        <v>2.17520000000001</v>
      </c>
      <c r="AF458">
        <v>-2.9709322146626498</v>
      </c>
      <c r="AG458">
        <v>-1.060703528136</v>
      </c>
      <c r="AH458">
        <v>55.919204780201802</v>
      </c>
      <c r="AI458">
        <v>91.085154686708805</v>
      </c>
      <c r="AJ458">
        <v>93.041208958109493</v>
      </c>
      <c r="AK458">
        <v>56.008115424899501</v>
      </c>
      <c r="AL458">
        <v>84.138915776917102</v>
      </c>
      <c r="AM458">
        <v>97.606199856126906</v>
      </c>
      <c r="AN458">
        <v>0.99999997471532898</v>
      </c>
    </row>
    <row r="459" spans="1:40" x14ac:dyDescent="0.25">
      <c r="A459" t="str">
        <f>"20190304154735424"</f>
        <v>20190304154735424</v>
      </c>
      <c r="B459" t="str">
        <f>"1551685655417558"</f>
        <v>1551685655417558</v>
      </c>
      <c r="C459" t="s">
        <v>40</v>
      </c>
      <c r="D459">
        <v>4.0741239999999896</v>
      </c>
      <c r="E459">
        <v>0.52853640000000002</v>
      </c>
      <c r="F459" t="s">
        <v>44</v>
      </c>
      <c r="G459">
        <v>-376.8297</v>
      </c>
      <c r="H459" s="1">
        <v>-1.4958869999999901E-6</v>
      </c>
      <c r="I459">
        <v>368.75080000000003</v>
      </c>
      <c r="J459">
        <v>-430.21519999999998</v>
      </c>
      <c r="K459">
        <v>1.060678</v>
      </c>
      <c r="L459">
        <v>366.67529999999999</v>
      </c>
      <c r="M459">
        <v>0.99983359999999999</v>
      </c>
      <c r="N459">
        <v>-1.140964E-2</v>
      </c>
      <c r="O459">
        <v>-1.423751E-2</v>
      </c>
      <c r="P459">
        <v>0.98892709999999995</v>
      </c>
      <c r="Q459">
        <v>9.0941759999999996E-2</v>
      </c>
      <c r="R459">
        <v>0.1172735</v>
      </c>
      <c r="S459">
        <v>3.0251769999999998</v>
      </c>
      <c r="T459">
        <v>-5.9946779999999998E-2</v>
      </c>
      <c r="U459">
        <v>0.1171875</v>
      </c>
      <c r="V459">
        <v>-0.1313385</v>
      </c>
      <c r="W459">
        <v>0.10220369999999999</v>
      </c>
      <c r="X459">
        <v>0.98605509999999996</v>
      </c>
      <c r="Y459">
        <v>-5.2915360000000002E-2</v>
      </c>
      <c r="Z459">
        <v>9.4571200000000003E-4</v>
      </c>
      <c r="AA459">
        <v>0.9985986</v>
      </c>
      <c r="AB459">
        <v>23</v>
      </c>
      <c r="AC459">
        <v>53.385499999999901</v>
      </c>
      <c r="AD459">
        <v>-1.0606794958870001</v>
      </c>
      <c r="AE459">
        <v>2.0755000000000301</v>
      </c>
      <c r="AF459">
        <v>-2.8342984782426002</v>
      </c>
      <c r="AG459">
        <v>-1.0606794958870001</v>
      </c>
      <c r="AH459">
        <v>53.329516313850199</v>
      </c>
      <c r="AI459">
        <v>91.1378095598524</v>
      </c>
      <c r="AJ459">
        <v>93.0422308720823</v>
      </c>
      <c r="AK459">
        <v>53.415312403148803</v>
      </c>
      <c r="AL459">
        <v>84.133916665735498</v>
      </c>
      <c r="AM459">
        <v>97.586906622769504</v>
      </c>
      <c r="AN459">
        <v>1.0000000290559701</v>
      </c>
    </row>
    <row r="460" spans="1:40" x14ac:dyDescent="0.25">
      <c r="A460" t="str">
        <f>"20190304154735440"</f>
        <v>20190304154735440</v>
      </c>
      <c r="B460" t="str">
        <f>"1551685655437079"</f>
        <v>1551685655437079</v>
      </c>
      <c r="C460" t="s">
        <v>40</v>
      </c>
      <c r="D460">
        <v>4.0400749999999999</v>
      </c>
      <c r="E460">
        <v>0.52920319999999899</v>
      </c>
      <c r="F460" t="s">
        <v>44</v>
      </c>
      <c r="G460">
        <v>-379.32799999999997</v>
      </c>
      <c r="H460" s="1">
        <v>-4.7118909999999999E-7</v>
      </c>
      <c r="I460">
        <v>368.65249999999997</v>
      </c>
      <c r="J460">
        <v>-430.04410000000001</v>
      </c>
      <c r="K460">
        <v>1.0606599999999999</v>
      </c>
      <c r="L460">
        <v>366.67290000000003</v>
      </c>
      <c r="M460">
        <v>0.99983390000000005</v>
      </c>
      <c r="N460">
        <v>-1.1380349999999999E-2</v>
      </c>
      <c r="O460">
        <v>-1.4237349999999999E-2</v>
      </c>
      <c r="P460">
        <v>0.98897959999999996</v>
      </c>
      <c r="Q460">
        <v>9.0903300000000006E-2</v>
      </c>
      <c r="R460">
        <v>0.116858199999999</v>
      </c>
      <c r="S460">
        <v>3.0253909999999999</v>
      </c>
      <c r="T460">
        <v>-6.3060279999999996E-2</v>
      </c>
      <c r="U460">
        <v>0.1175537</v>
      </c>
      <c r="V460">
        <v>-0.13092380000000001</v>
      </c>
      <c r="W460">
        <v>0.1021373</v>
      </c>
      <c r="X460">
        <v>0.98611709999999997</v>
      </c>
      <c r="Y460">
        <v>-5.3031590000000003E-2</v>
      </c>
      <c r="Z460">
        <v>9.8902429999999991E-4</v>
      </c>
      <c r="AA460">
        <v>0.99859229999999999</v>
      </c>
      <c r="AB460">
        <v>23</v>
      </c>
      <c r="AC460">
        <v>50.716099999999898</v>
      </c>
      <c r="AD460">
        <v>-1.0606604711890999</v>
      </c>
      <c r="AE460">
        <v>1.9795999999999401</v>
      </c>
      <c r="AF460">
        <v>-2.7003296636766398</v>
      </c>
      <c r="AG460">
        <v>-1.0606604711890999</v>
      </c>
      <c r="AH460">
        <v>50.660648504232597</v>
      </c>
      <c r="AI460">
        <v>91.197702446579299</v>
      </c>
      <c r="AJ460">
        <v>93.051110129019605</v>
      </c>
      <c r="AK460">
        <v>50.743650714124598</v>
      </c>
      <c r="AL460">
        <v>84.137740961048095</v>
      </c>
      <c r="AM460">
        <v>97.562758767973406</v>
      </c>
      <c r="AN460">
        <v>1.0000000021850699</v>
      </c>
    </row>
    <row r="461" spans="1:40" x14ac:dyDescent="0.25">
      <c r="A461" t="str">
        <f>"20190304154735454"</f>
        <v>20190304154735454</v>
      </c>
      <c r="B461" t="str">
        <f>"1551685655447814"</f>
        <v>1551685655447814</v>
      </c>
      <c r="C461" t="s">
        <v>40</v>
      </c>
      <c r="D461">
        <v>4.0551890000000004</v>
      </c>
      <c r="E461">
        <v>0.52977929999999995</v>
      </c>
      <c r="F461" t="s">
        <v>44</v>
      </c>
      <c r="G461">
        <v>-377.16370000000001</v>
      </c>
      <c r="H461" s="1">
        <v>-1.3777299999999999E-6</v>
      </c>
      <c r="I461">
        <v>368.60930000000002</v>
      </c>
      <c r="J461">
        <v>-429.89339999999999</v>
      </c>
      <c r="K461">
        <v>1.0606420000000001</v>
      </c>
      <c r="L461">
        <v>366.67070000000001</v>
      </c>
      <c r="M461">
        <v>0.99983409999999995</v>
      </c>
      <c r="N461">
        <v>-1.135676E-2</v>
      </c>
      <c r="O461">
        <v>-1.423697E-2</v>
      </c>
      <c r="P461">
        <v>0.98899139999999996</v>
      </c>
      <c r="Q461">
        <v>9.1002509999999995E-2</v>
      </c>
      <c r="R461">
        <v>0.11668149999999999</v>
      </c>
      <c r="S461">
        <v>3.025909</v>
      </c>
      <c r="T461">
        <v>-6.0692790000000003E-2</v>
      </c>
      <c r="U461">
        <v>0.1108093</v>
      </c>
      <c r="V461">
        <v>-0.13074729999999901</v>
      </c>
      <c r="W461">
        <v>0.1022132</v>
      </c>
      <c r="X461">
        <v>0.98613260000000003</v>
      </c>
      <c r="Y461">
        <v>-5.0803750000000002E-2</v>
      </c>
      <c r="Z461">
        <v>9.2174029999999999E-4</v>
      </c>
      <c r="AA461">
        <v>0.99870820000000005</v>
      </c>
      <c r="AB461">
        <v>23</v>
      </c>
      <c r="AC461">
        <v>52.729699999999902</v>
      </c>
      <c r="AD461">
        <v>-1.0606433777299999</v>
      </c>
      <c r="AE461">
        <v>1.9386000000000001</v>
      </c>
      <c r="AF461">
        <v>-2.68807697541867</v>
      </c>
      <c r="AG461">
        <v>-1.0606433777299999</v>
      </c>
      <c r="AH461">
        <v>52.675469702569103</v>
      </c>
      <c r="AI461">
        <v>91.152020800029305</v>
      </c>
      <c r="AJ461">
        <v>92.921321476059205</v>
      </c>
      <c r="AK461">
        <v>52.754675912062702</v>
      </c>
      <c r="AL461">
        <v>84.133369023381704</v>
      </c>
      <c r="AM461">
        <v>97.552563750842793</v>
      </c>
      <c r="AN461">
        <v>0.99999994974714301</v>
      </c>
    </row>
    <row r="462" spans="1:40" x14ac:dyDescent="0.25">
      <c r="A462" t="str">
        <f>"20190304154735466"</f>
        <v>20190304154735466</v>
      </c>
      <c r="B462" t="str">
        <f>"1551685655457574"</f>
        <v>1551685655457574</v>
      </c>
      <c r="C462" t="s">
        <v>40</v>
      </c>
      <c r="D462">
        <v>4.0804519999999904</v>
      </c>
      <c r="E462">
        <v>0.52992479999999997</v>
      </c>
      <c r="F462" t="s">
        <v>44</v>
      </c>
      <c r="G462">
        <v>-373.85129999999998</v>
      </c>
      <c r="H462" s="1">
        <v>-2.7949519999999999E-6</v>
      </c>
      <c r="I462">
        <v>368.63060000000002</v>
      </c>
      <c r="J462">
        <v>-429.76499999999999</v>
      </c>
      <c r="K462">
        <v>1.060635</v>
      </c>
      <c r="L462">
        <v>366.66890000000001</v>
      </c>
      <c r="M462">
        <v>0.99983449999999996</v>
      </c>
      <c r="N462">
        <v>-1.1338620000000001E-2</v>
      </c>
      <c r="O462">
        <v>-1.4237110000000001E-2</v>
      </c>
      <c r="P462">
        <v>0.98900160000000004</v>
      </c>
      <c r="Q462">
        <v>9.1040940000000001E-2</v>
      </c>
      <c r="R462">
        <v>0.1165663</v>
      </c>
      <c r="S462">
        <v>3.0261840000000002</v>
      </c>
      <c r="T462">
        <v>-5.7273030000000003E-2</v>
      </c>
      <c r="U462">
        <v>0.105834999999999</v>
      </c>
      <c r="V462">
        <v>-0.13063230000000001</v>
      </c>
      <c r="W462">
        <v>0.10223409999999999</v>
      </c>
      <c r="X462">
        <v>0.98614570000000001</v>
      </c>
      <c r="Y462">
        <v>-4.916301E-2</v>
      </c>
      <c r="Z462">
        <v>8.5187499999999998E-4</v>
      </c>
      <c r="AA462">
        <v>0.99879039999999997</v>
      </c>
      <c r="AB462">
        <v>23</v>
      </c>
      <c r="AC462">
        <v>55.913699999999999</v>
      </c>
      <c r="AD462">
        <v>-1.0606377949519901</v>
      </c>
      <c r="AE462">
        <v>1.9617</v>
      </c>
      <c r="AF462">
        <v>-2.75661101787678</v>
      </c>
      <c r="AG462">
        <v>-1.0606377949519901</v>
      </c>
      <c r="AH462">
        <v>55.860026114513197</v>
      </c>
      <c r="AI462">
        <v>91.086446560957398</v>
      </c>
      <c r="AJ462">
        <v>92.825171486471305</v>
      </c>
      <c r="AK462">
        <v>55.938058371291802</v>
      </c>
      <c r="AL462">
        <v>84.132165385983399</v>
      </c>
      <c r="AM462">
        <v>97.545898320995306</v>
      </c>
      <c r="AN462">
        <v>0.99999997531729401</v>
      </c>
    </row>
    <row r="463" spans="1:40" x14ac:dyDescent="0.25">
      <c r="A463" t="str">
        <f>"20190304154735484"</f>
        <v>20190304154735484</v>
      </c>
      <c r="B463" t="str">
        <f>"1551685655477094"</f>
        <v>1551685655477094</v>
      </c>
      <c r="C463" t="s">
        <v>40</v>
      </c>
      <c r="D463">
        <v>4.0487380000000002</v>
      </c>
      <c r="E463">
        <v>0.53078910000000001</v>
      </c>
      <c r="F463" t="s">
        <v>44</v>
      </c>
      <c r="G463">
        <v>-374.32220000000001</v>
      </c>
      <c r="H463" s="1">
        <v>-2.6006659999999998E-6</v>
      </c>
      <c r="I463">
        <v>368.58699999999999</v>
      </c>
      <c r="J463">
        <v>-429.58089999999999</v>
      </c>
      <c r="K463">
        <v>1.060619</v>
      </c>
      <c r="L463">
        <v>366.66629999999998</v>
      </c>
      <c r="M463">
        <v>0.99983460000000002</v>
      </c>
      <c r="N463">
        <v>-1.131505E-2</v>
      </c>
      <c r="O463">
        <v>-1.423662E-2</v>
      </c>
      <c r="P463">
        <v>0.98895080000000002</v>
      </c>
      <c r="Q463">
        <v>9.1717989999999999E-2</v>
      </c>
      <c r="R463">
        <v>0.11646479999999999</v>
      </c>
      <c r="S463">
        <v>3.026367</v>
      </c>
      <c r="T463">
        <v>-5.7895299999999997E-2</v>
      </c>
      <c r="U463">
        <v>0.1047058</v>
      </c>
      <c r="V463">
        <v>-0.13052949999999999</v>
      </c>
      <c r="W463">
        <v>0.1028872</v>
      </c>
      <c r="X463">
        <v>0.98609139999999995</v>
      </c>
      <c r="Y463">
        <v>-4.8788049999999999E-2</v>
      </c>
      <c r="Z463">
        <v>8.5385500000000004E-4</v>
      </c>
      <c r="AA463">
        <v>0.99880880000000005</v>
      </c>
      <c r="AB463">
        <v>23</v>
      </c>
      <c r="AC463">
        <v>55.258699999999898</v>
      </c>
      <c r="AD463">
        <v>-1.0606216006659901</v>
      </c>
      <c r="AE463">
        <v>1.9207000000000101</v>
      </c>
      <c r="AF463">
        <v>-2.7062570411071198</v>
      </c>
      <c r="AG463">
        <v>-1.0606216006659901</v>
      </c>
      <c r="AH463">
        <v>55.205439875054203</v>
      </c>
      <c r="AI463">
        <v>91.099326568795206</v>
      </c>
      <c r="AJ463">
        <v>92.806482101074394</v>
      </c>
      <c r="AK463">
        <v>55.281907864604101</v>
      </c>
      <c r="AL463">
        <v>84.094547213982807</v>
      </c>
      <c r="AM463">
        <v>97.540438908209495</v>
      </c>
      <c r="AN463">
        <v>0.99999998772402499</v>
      </c>
    </row>
    <row r="464" spans="1:40" x14ac:dyDescent="0.25">
      <c r="A464" t="str">
        <f>"20190304154735497"</f>
        <v>20190304154735497</v>
      </c>
      <c r="B464" t="str">
        <f>"1551685655487830"</f>
        <v>1551685655487830</v>
      </c>
      <c r="C464" t="s">
        <v>40</v>
      </c>
      <c r="D464">
        <v>4.0943250000000004</v>
      </c>
      <c r="E464">
        <v>0.53114899999999998</v>
      </c>
      <c r="F464" t="s">
        <v>44</v>
      </c>
      <c r="G464">
        <v>-366.25889999999998</v>
      </c>
      <c r="H464" s="1">
        <v>-1.748697E-6</v>
      </c>
      <c r="I464">
        <v>368.70609999999999</v>
      </c>
      <c r="J464">
        <v>-429.45389999999998</v>
      </c>
      <c r="K464">
        <v>1.060611</v>
      </c>
      <c r="L464">
        <v>366.66449999999998</v>
      </c>
      <c r="M464">
        <v>0.99983489999999997</v>
      </c>
      <c r="N464">
        <v>-1.130023E-2</v>
      </c>
      <c r="O464">
        <v>-1.423666E-2</v>
      </c>
      <c r="P464">
        <v>0.98891070000000003</v>
      </c>
      <c r="Q464">
        <v>9.2176739999999993E-2</v>
      </c>
      <c r="R464">
        <v>0.1164461</v>
      </c>
      <c r="S464">
        <v>3.0267029999999999</v>
      </c>
      <c r="T464">
        <v>-5.0696129999999999E-2</v>
      </c>
      <c r="U464">
        <v>9.7503660000000006E-2</v>
      </c>
      <c r="V464">
        <v>-0.1305103</v>
      </c>
      <c r="W464">
        <v>0.1033307</v>
      </c>
      <c r="X464">
        <v>0.98604760000000002</v>
      </c>
      <c r="Y464">
        <v>-4.6413599999999999E-2</v>
      </c>
      <c r="Z464">
        <v>7.2848200000000002E-4</v>
      </c>
      <c r="AA464">
        <v>0.99892199999999998</v>
      </c>
      <c r="AB464">
        <v>23</v>
      </c>
      <c r="AC464">
        <v>63.194999999999901</v>
      </c>
      <c r="AD464">
        <v>-1.0606127486970001</v>
      </c>
      <c r="AE464">
        <v>2.0416000000000101</v>
      </c>
      <c r="AF464">
        <v>-2.9403088017364398</v>
      </c>
      <c r="AG464">
        <v>-1.0606127486970001</v>
      </c>
      <c r="AH464">
        <v>63.141760271042699</v>
      </c>
      <c r="AI464">
        <v>90.961283907276197</v>
      </c>
      <c r="AJ464">
        <v>92.666154228832497</v>
      </c>
      <c r="AK464">
        <v>63.2190810228849</v>
      </c>
      <c r="AL464">
        <v>84.069000568694804</v>
      </c>
      <c r="AM464">
        <v>97.539673564024497</v>
      </c>
      <c r="AN464">
        <v>1.00000002071716</v>
      </c>
    </row>
    <row r="465" spans="1:40" x14ac:dyDescent="0.25">
      <c r="A465" t="str">
        <f>"20190304154735509"</f>
        <v>20190304154735509</v>
      </c>
      <c r="B465" t="str">
        <f>"1551685655497590"</f>
        <v>1551685655497590</v>
      </c>
      <c r="C465" t="s">
        <v>40</v>
      </c>
      <c r="D465">
        <v>4.0799770000000004</v>
      </c>
      <c r="E465">
        <v>0.53150540000000002</v>
      </c>
      <c r="F465" t="s">
        <v>44</v>
      </c>
      <c r="G465">
        <v>-361.61509999999998</v>
      </c>
      <c r="H465" s="1">
        <v>-3.726791E-6</v>
      </c>
      <c r="I465">
        <v>368.78530000000001</v>
      </c>
      <c r="J465">
        <v>-429.32589999999999</v>
      </c>
      <c r="K465">
        <v>1.060603</v>
      </c>
      <c r="L465">
        <v>366.6626</v>
      </c>
      <c r="M465">
        <v>0.99983500000000003</v>
      </c>
      <c r="N465">
        <v>-1.128636E-2</v>
      </c>
      <c r="O465">
        <v>-1.4236459999999999E-2</v>
      </c>
      <c r="P465">
        <v>0.9888768</v>
      </c>
      <c r="Q465">
        <v>9.2456200000000002E-2</v>
      </c>
      <c r="R465">
        <v>0.116510199999999</v>
      </c>
      <c r="S465">
        <v>3.0268860000000002</v>
      </c>
      <c r="T465">
        <v>-4.732335E-2</v>
      </c>
      <c r="U465">
        <v>9.4635010000000006E-2</v>
      </c>
      <c r="V465">
        <v>-0.13057340000000001</v>
      </c>
      <c r="W465">
        <v>0.1035963</v>
      </c>
      <c r="X465">
        <v>0.98601139999999998</v>
      </c>
      <c r="Y465">
        <v>-4.5467090000000002E-2</v>
      </c>
      <c r="Z465">
        <v>6.7387239999999998E-4</v>
      </c>
      <c r="AA465">
        <v>0.99896560000000001</v>
      </c>
      <c r="AB465">
        <v>23</v>
      </c>
      <c r="AC465">
        <v>67.710800000000006</v>
      </c>
      <c r="AD465">
        <v>-1.060606726791</v>
      </c>
      <c r="AE465">
        <v>2.1227</v>
      </c>
      <c r="AF465">
        <v>-3.0857519488157701</v>
      </c>
      <c r="AG465">
        <v>-1.060606726791</v>
      </c>
      <c r="AH465">
        <v>67.657131778439506</v>
      </c>
      <c r="AI465">
        <v>90.897174042430805</v>
      </c>
      <c r="AJ465">
        <v>92.611374747976001</v>
      </c>
      <c r="AK465">
        <v>67.735767746469506</v>
      </c>
      <c r="AL465">
        <v>84.053700835605198</v>
      </c>
      <c r="AM465">
        <v>97.543550680240102</v>
      </c>
      <c r="AN465">
        <v>1.0000000435456</v>
      </c>
    </row>
    <row r="466" spans="1:40" x14ac:dyDescent="0.25">
      <c r="A466" t="str">
        <f>"20190304154735521"</f>
        <v>20190304154735521</v>
      </c>
      <c r="B466" t="str">
        <f>"1551685655517109"</f>
        <v>1551685655517109</v>
      </c>
      <c r="C466" t="s">
        <v>40</v>
      </c>
      <c r="D466">
        <v>4.0836360000000003</v>
      </c>
      <c r="E466">
        <v>0.5319545</v>
      </c>
      <c r="F466" t="s">
        <v>44</v>
      </c>
      <c r="G466">
        <v>-357.63630000000001</v>
      </c>
      <c r="H466" s="1">
        <v>-1.1341390000000001E-6</v>
      </c>
      <c r="I466">
        <v>368.83949999999999</v>
      </c>
      <c r="J466">
        <v>-429.20940000000002</v>
      </c>
      <c r="K466">
        <v>1.060597</v>
      </c>
      <c r="L466">
        <v>366.661</v>
      </c>
      <c r="M466">
        <v>0.99983509999999998</v>
      </c>
      <c r="N466">
        <v>-1.127504E-2</v>
      </c>
      <c r="O466">
        <v>-1.4236159999999999E-2</v>
      </c>
      <c r="P466">
        <v>0.98884430000000001</v>
      </c>
      <c r="Q466">
        <v>9.250042E-2</v>
      </c>
      <c r="R466">
        <v>0.1167509</v>
      </c>
      <c r="S466">
        <v>3.0270999999999999</v>
      </c>
      <c r="T466">
        <v>-4.4784070000000002E-2</v>
      </c>
      <c r="U466">
        <v>9.1918949999999999E-2</v>
      </c>
      <c r="V466">
        <v>-0.1308137</v>
      </c>
      <c r="W466">
        <v>0.103629</v>
      </c>
      <c r="X466">
        <v>0.98597599999999996</v>
      </c>
      <c r="Y466">
        <v>-4.4570110000000003E-2</v>
      </c>
      <c r="Z466">
        <v>6.3104120000000001E-4</v>
      </c>
      <c r="AA466">
        <v>0.99900599999999995</v>
      </c>
      <c r="AB466">
        <v>23</v>
      </c>
      <c r="AC466">
        <v>71.573099999999997</v>
      </c>
      <c r="AD466">
        <v>-1.0605981341390001</v>
      </c>
      <c r="AE466">
        <v>2.1784999999999801</v>
      </c>
      <c r="AF466">
        <v>-3.1965688010028401</v>
      </c>
      <c r="AG466">
        <v>-1.0605981341390001</v>
      </c>
      <c r="AH466">
        <v>71.519140494454106</v>
      </c>
      <c r="AI466">
        <v>90.848762296830898</v>
      </c>
      <c r="AJ466">
        <v>92.559148338420798</v>
      </c>
      <c r="AK466">
        <v>71.598396473434704</v>
      </c>
      <c r="AL466">
        <v>84.051816466100306</v>
      </c>
      <c r="AM466">
        <v>97.557541294584695</v>
      </c>
      <c r="AN466">
        <v>0.99999993316234204</v>
      </c>
    </row>
    <row r="467" spans="1:40" x14ac:dyDescent="0.25">
      <c r="A467" t="str">
        <f>"20190304154735533"</f>
        <v>20190304154735533</v>
      </c>
      <c r="B467" t="str">
        <f>"1551685655527846"</f>
        <v>1551685655527846</v>
      </c>
      <c r="C467" t="s">
        <v>40</v>
      </c>
      <c r="D467">
        <v>4.0807289999999998</v>
      </c>
      <c r="E467">
        <v>0.53214659999999903</v>
      </c>
      <c r="F467" t="s">
        <v>44</v>
      </c>
      <c r="G467">
        <v>-352.66140000000001</v>
      </c>
      <c r="H467" s="1">
        <v>-3.2560630000000001E-6</v>
      </c>
      <c r="I467">
        <v>368.90879999999999</v>
      </c>
      <c r="J467">
        <v>-429.07859999999999</v>
      </c>
      <c r="K467">
        <v>1.0605830000000001</v>
      </c>
      <c r="L467">
        <v>366.65910000000002</v>
      </c>
      <c r="M467">
        <v>0.99983529999999998</v>
      </c>
      <c r="N467">
        <v>-1.1262879999999999E-2</v>
      </c>
      <c r="O467">
        <v>-1.423609E-2</v>
      </c>
      <c r="P467">
        <v>0.98881669999999999</v>
      </c>
      <c r="Q467">
        <v>9.2824149999999994E-2</v>
      </c>
      <c r="R467">
        <v>0.116728399999999</v>
      </c>
      <c r="S467">
        <v>3.0272830000000002</v>
      </c>
      <c r="T467">
        <v>-4.194403E-2</v>
      </c>
      <c r="U467">
        <v>8.8897710000000005E-2</v>
      </c>
      <c r="V467">
        <v>-0.13079060000000001</v>
      </c>
      <c r="W467">
        <v>0.10394009999999999</v>
      </c>
      <c r="X467">
        <v>0.9859464</v>
      </c>
      <c r="Y467">
        <v>-4.357312E-2</v>
      </c>
      <c r="Z467">
        <v>5.8413699999999998E-4</v>
      </c>
      <c r="AA467">
        <v>0.99905010000000005</v>
      </c>
      <c r="AB467">
        <v>23</v>
      </c>
      <c r="AC467">
        <v>76.417199999999895</v>
      </c>
      <c r="AD467">
        <v>-1.0605862560629999</v>
      </c>
      <c r="AE467">
        <v>2.2496999999999598</v>
      </c>
      <c r="AF467">
        <v>-3.33678086810859</v>
      </c>
      <c r="AG467">
        <v>-1.0605862560629999</v>
      </c>
      <c r="AH467">
        <v>76.362729536338904</v>
      </c>
      <c r="AI467">
        <v>90.794959663427093</v>
      </c>
      <c r="AJ467">
        <v>92.502031038116698</v>
      </c>
      <c r="AK467">
        <v>76.442955280446697</v>
      </c>
      <c r="AL467">
        <v>84.033895455544496</v>
      </c>
      <c r="AM467">
        <v>97.556446383833105</v>
      </c>
      <c r="AN467">
        <v>1.0000000145546599</v>
      </c>
    </row>
    <row r="468" spans="1:40" x14ac:dyDescent="0.25">
      <c r="A468" t="str">
        <f>"20190304154735545"</f>
        <v>20190304154735545</v>
      </c>
      <c r="B468" t="str">
        <f>"1551685655537606"</f>
        <v>1551685655537606</v>
      </c>
      <c r="C468" t="s">
        <v>40</v>
      </c>
      <c r="D468">
        <v>4.100778</v>
      </c>
      <c r="E468">
        <v>0.53229729999999997</v>
      </c>
      <c r="F468" t="s">
        <v>44</v>
      </c>
      <c r="G468">
        <v>-348.43669999999997</v>
      </c>
      <c r="H468" s="1">
        <v>-8.3016580000000004E-7</v>
      </c>
      <c r="I468">
        <v>368.99220000000003</v>
      </c>
      <c r="J468">
        <v>-428.95420000000001</v>
      </c>
      <c r="K468">
        <v>1.060576</v>
      </c>
      <c r="L468">
        <v>366.65730000000002</v>
      </c>
      <c r="M468">
        <v>0.99983540000000004</v>
      </c>
      <c r="N468">
        <v>-1.125262E-2</v>
      </c>
      <c r="O468">
        <v>-1.423603E-2</v>
      </c>
      <c r="P468">
        <v>0.98880080000000004</v>
      </c>
      <c r="Q468">
        <v>9.2708780000000005E-2</v>
      </c>
      <c r="R468">
        <v>0.1169544</v>
      </c>
      <c r="S468">
        <v>3.0272830000000002</v>
      </c>
      <c r="T468">
        <v>-3.981411E-2</v>
      </c>
      <c r="U468">
        <v>8.7585449999999995E-2</v>
      </c>
      <c r="V468">
        <v>-0.1310161</v>
      </c>
      <c r="W468">
        <v>0.1038144</v>
      </c>
      <c r="X468">
        <v>0.98592970000000002</v>
      </c>
      <c r="Y468">
        <v>-4.3141039999999999E-2</v>
      </c>
      <c r="Z468">
        <v>5.5344919999999998E-4</v>
      </c>
      <c r="AA468">
        <v>0.99906890000000004</v>
      </c>
      <c r="AB468">
        <v>23</v>
      </c>
      <c r="AC468">
        <v>80.517499999999998</v>
      </c>
      <c r="AD468">
        <v>-1.0605768301658001</v>
      </c>
      <c r="AE468">
        <v>2.3349000000000002</v>
      </c>
      <c r="AF468">
        <v>-3.4803820700211401</v>
      </c>
      <c r="AG468">
        <v>-1.0605768301658001</v>
      </c>
      <c r="AH468">
        <v>80.462149134424493</v>
      </c>
      <c r="AI468">
        <v>90.754470279714496</v>
      </c>
      <c r="AJ468">
        <v>92.476779206986606</v>
      </c>
      <c r="AK468">
        <v>80.544368678985705</v>
      </c>
      <c r="AL468">
        <v>84.041136686297605</v>
      </c>
      <c r="AM468">
        <v>97.569450472663902</v>
      </c>
      <c r="AN468">
        <v>1.0000000107243201</v>
      </c>
    </row>
    <row r="469" spans="1:40" x14ac:dyDescent="0.25">
      <c r="A469" t="str">
        <f>"20190304154735562"</f>
        <v>20190304154735562</v>
      </c>
      <c r="B469" t="str">
        <f>"1551685655557126"</f>
        <v>1551685655557126</v>
      </c>
      <c r="C469" t="s">
        <v>40</v>
      </c>
      <c r="D469">
        <v>4.0889939999999996</v>
      </c>
      <c r="E469">
        <v>0.53254559999999995</v>
      </c>
      <c r="F469" t="s">
        <v>44</v>
      </c>
      <c r="G469">
        <v>-347.73880000000003</v>
      </c>
      <c r="H469" s="1">
        <v>-1.1616860000000001E-6</v>
      </c>
      <c r="I469">
        <v>368.98320000000001</v>
      </c>
      <c r="J469">
        <v>-428.76949999999999</v>
      </c>
      <c r="K469">
        <v>1.060565</v>
      </c>
      <c r="L469">
        <v>366.65469999999999</v>
      </c>
      <c r="M469">
        <v>0.99983549999999999</v>
      </c>
      <c r="N469">
        <v>-1.1238629999999999E-2</v>
      </c>
      <c r="O469">
        <v>-1.4235960000000001E-2</v>
      </c>
      <c r="P469">
        <v>0.98870650000000004</v>
      </c>
      <c r="Q469">
        <v>9.2518139999999999E-2</v>
      </c>
      <c r="R469">
        <v>0.1178971</v>
      </c>
      <c r="S469">
        <v>3.0274049999999999</v>
      </c>
      <c r="T469">
        <v>-3.9534329999999999E-2</v>
      </c>
      <c r="U469">
        <v>8.6700440000000004E-2</v>
      </c>
      <c r="V469">
        <v>-0.1319573</v>
      </c>
      <c r="W469">
        <v>0.1036091</v>
      </c>
      <c r="X469">
        <v>0.98582579999999997</v>
      </c>
      <c r="Y469">
        <v>-4.28481E-2</v>
      </c>
      <c r="Z469">
        <v>5.4646019999999998E-4</v>
      </c>
      <c r="AA469">
        <v>0.99908140000000001</v>
      </c>
      <c r="AB469">
        <v>23</v>
      </c>
      <c r="AC469">
        <v>81.030699999999896</v>
      </c>
      <c r="AD469">
        <v>-1.06056616168599</v>
      </c>
      <c r="AE469">
        <v>2.32850000000002</v>
      </c>
      <c r="AF469">
        <v>-3.4812907927504901</v>
      </c>
      <c r="AG469">
        <v>-1.06056616168599</v>
      </c>
      <c r="AH469">
        <v>80.975476815152106</v>
      </c>
      <c r="AI469">
        <v>90.749688960256094</v>
      </c>
      <c r="AJ469">
        <v>92.461739331344404</v>
      </c>
      <c r="AK469">
        <v>81.057214556190104</v>
      </c>
      <c r="AL469">
        <v>84.052963468295701</v>
      </c>
      <c r="AM469">
        <v>97.623985023687993</v>
      </c>
      <c r="AN469">
        <v>1.0000000412858601</v>
      </c>
    </row>
    <row r="470" spans="1:40" x14ac:dyDescent="0.25">
      <c r="A470" t="str">
        <f>"20190304154735574"</f>
        <v>20190304154735574</v>
      </c>
      <c r="B470" t="str">
        <f>"1551685655567862"</f>
        <v>1551685655567862</v>
      </c>
      <c r="C470" t="s">
        <v>40</v>
      </c>
      <c r="D470">
        <v>4.1011730000000002</v>
      </c>
      <c r="E470">
        <v>0.53265660000000004</v>
      </c>
      <c r="F470" t="s">
        <v>44</v>
      </c>
      <c r="G470">
        <v>-346.81900000000002</v>
      </c>
      <c r="H470" s="1">
        <v>-1.588957E-6</v>
      </c>
      <c r="I470">
        <v>369.02550000000002</v>
      </c>
      <c r="J470">
        <v>-428.64920000000001</v>
      </c>
      <c r="K470">
        <v>1.060557</v>
      </c>
      <c r="L470">
        <v>366.65300000000002</v>
      </c>
      <c r="M470">
        <v>0.99983569999999999</v>
      </c>
      <c r="N470">
        <v>-1.1230260000000001E-2</v>
      </c>
      <c r="O470">
        <v>-1.4235909999999999E-2</v>
      </c>
      <c r="P470">
        <v>0.98871869999999995</v>
      </c>
      <c r="Q470">
        <v>9.2447000000000001E-2</v>
      </c>
      <c r="R470">
        <v>0.1178515</v>
      </c>
      <c r="S470">
        <v>3.0274960000000002</v>
      </c>
      <c r="T470">
        <v>-3.9180520000000003E-2</v>
      </c>
      <c r="U470">
        <v>8.7585449999999995E-2</v>
      </c>
      <c r="V470">
        <v>-0.1319118</v>
      </c>
      <c r="W470">
        <v>0.10352939999999999</v>
      </c>
      <c r="X470">
        <v>0.98584020000000006</v>
      </c>
      <c r="Y470">
        <v>-4.3139049999999998E-2</v>
      </c>
      <c r="Z470">
        <v>5.4573580000000005E-4</v>
      </c>
      <c r="AA470">
        <v>0.99906890000000004</v>
      </c>
      <c r="AB470">
        <v>23</v>
      </c>
      <c r="AC470">
        <v>81.830199999999905</v>
      </c>
      <c r="AD470">
        <v>-1.0605585889569999</v>
      </c>
      <c r="AE470">
        <v>2.3725000000000001</v>
      </c>
      <c r="AF470">
        <v>-3.5366666901150299</v>
      </c>
      <c r="AG470">
        <v>-1.0605585889569999</v>
      </c>
      <c r="AH470">
        <v>81.774405373397599</v>
      </c>
      <c r="AI470">
        <v>90.742351875018301</v>
      </c>
      <c r="AJ470">
        <v>92.476445694800105</v>
      </c>
      <c r="AK470">
        <v>81.857719061615299</v>
      </c>
      <c r="AL470">
        <v>84.057554265133206</v>
      </c>
      <c r="AM470">
        <v>97.621277097919602</v>
      </c>
      <c r="AN470">
        <v>0.99999997978981903</v>
      </c>
    </row>
    <row r="471" spans="1:40" x14ac:dyDescent="0.25">
      <c r="A471" t="str">
        <f>"20190304154735585"</f>
        <v>20190304154735585</v>
      </c>
      <c r="B471" t="str">
        <f>"1551685655577622"</f>
        <v>1551685655577622</v>
      </c>
      <c r="C471" t="s">
        <v>40</v>
      </c>
      <c r="D471">
        <v>4.0957790000000003</v>
      </c>
      <c r="E471">
        <v>0.53278440000000005</v>
      </c>
      <c r="F471" t="s">
        <v>44</v>
      </c>
      <c r="G471">
        <v>-346.35759999999999</v>
      </c>
      <c r="H471" s="1">
        <v>-1.8093129999999999E-6</v>
      </c>
      <c r="I471">
        <v>369.0129</v>
      </c>
      <c r="J471">
        <v>-428.52940000000001</v>
      </c>
      <c r="K471">
        <v>1.0605519999999999</v>
      </c>
      <c r="L471">
        <v>366.65129999999999</v>
      </c>
      <c r="M471">
        <v>0.9998359</v>
      </c>
      <c r="N471">
        <v>-1.122277E-2</v>
      </c>
      <c r="O471">
        <v>-1.4235869999999999E-2</v>
      </c>
      <c r="P471">
        <v>0.98871960000000003</v>
      </c>
      <c r="Q471">
        <v>9.2224680000000003E-2</v>
      </c>
      <c r="R471">
        <v>0.11801879999999999</v>
      </c>
      <c r="S471">
        <v>3.0274960000000002</v>
      </c>
      <c r="T471">
        <v>-3.9017799999999998E-2</v>
      </c>
      <c r="U471">
        <v>8.6822510000000006E-2</v>
      </c>
      <c r="V471">
        <v>-0.13207949999999999</v>
      </c>
      <c r="W471">
        <v>0.1032999</v>
      </c>
      <c r="X471">
        <v>0.98584190000000005</v>
      </c>
      <c r="Y471">
        <v>-4.288753E-2</v>
      </c>
      <c r="Z471">
        <v>5.4072440000000005E-4</v>
      </c>
      <c r="AA471">
        <v>0.99907979999999996</v>
      </c>
      <c r="AB471">
        <v>23</v>
      </c>
      <c r="AC471">
        <v>82.171800000000005</v>
      </c>
      <c r="AD471">
        <v>-1.060553809313</v>
      </c>
      <c r="AE471">
        <v>2.3616000000000099</v>
      </c>
      <c r="AF471">
        <v>-3.5306334946458402</v>
      </c>
      <c r="AG471">
        <v>-1.060553809313</v>
      </c>
      <c r="AH471">
        <v>82.116182994973101</v>
      </c>
      <c r="AI471">
        <v>90.739267192546706</v>
      </c>
      <c r="AJ471">
        <v>92.461949353101403</v>
      </c>
      <c r="AK471">
        <v>82.198890849693697</v>
      </c>
      <c r="AL471">
        <v>84.0707749932767</v>
      </c>
      <c r="AM471">
        <v>97.630838957067596</v>
      </c>
      <c r="AN471">
        <v>1.00000005772793</v>
      </c>
    </row>
    <row r="472" spans="1:40" x14ac:dyDescent="0.25">
      <c r="A472" t="str">
        <f>"20190304154735597"</f>
        <v>20190304154735597</v>
      </c>
      <c r="B472" t="str">
        <f>"1551685655587381"</f>
        <v>1551685655587381</v>
      </c>
      <c r="C472" t="s">
        <v>40</v>
      </c>
      <c r="D472">
        <v>4.119478</v>
      </c>
      <c r="E472">
        <v>0.53290289999999996</v>
      </c>
      <c r="F472" t="s">
        <v>44</v>
      </c>
      <c r="G472">
        <v>-346.161</v>
      </c>
      <c r="H472" s="1">
        <v>-1.905107E-6</v>
      </c>
      <c r="I472">
        <v>368.99680000000001</v>
      </c>
      <c r="J472">
        <v>-428.4153</v>
      </c>
      <c r="K472">
        <v>1.0605439999999999</v>
      </c>
      <c r="L472">
        <v>366.6497</v>
      </c>
      <c r="M472">
        <v>0.99983569999999999</v>
      </c>
      <c r="N472">
        <v>-1.1216179999999999E-2</v>
      </c>
      <c r="O472">
        <v>-1.423571E-2</v>
      </c>
      <c r="P472">
        <v>0.98870100000000005</v>
      </c>
      <c r="Q472">
        <v>9.1936599999999993E-2</v>
      </c>
      <c r="R472">
        <v>0.1183966</v>
      </c>
      <c r="S472">
        <v>3.0275569999999998</v>
      </c>
      <c r="T472">
        <v>-3.8982030000000001E-2</v>
      </c>
      <c r="U472">
        <v>8.6212159999999996E-2</v>
      </c>
      <c r="V472">
        <v>-0.13245689999999999</v>
      </c>
      <c r="W472">
        <v>0.10300479999999999</v>
      </c>
      <c r="X472">
        <v>0.98582210000000003</v>
      </c>
      <c r="Y472">
        <v>-4.2685599999999997E-2</v>
      </c>
      <c r="Z472">
        <v>5.3781360000000004E-4</v>
      </c>
      <c r="AA472">
        <v>0.99908839999999999</v>
      </c>
      <c r="AB472">
        <v>23</v>
      </c>
      <c r="AC472">
        <v>82.254300000000001</v>
      </c>
      <c r="AD472">
        <v>-1.0605459051070001</v>
      </c>
      <c r="AE472">
        <v>2.34710000000001</v>
      </c>
      <c r="AF472">
        <v>-3.51729997263392</v>
      </c>
      <c r="AG472">
        <v>-1.0605459051070001</v>
      </c>
      <c r="AH472">
        <v>82.198895326734501</v>
      </c>
      <c r="AI472">
        <v>90.738524382794594</v>
      </c>
      <c r="AJ472">
        <v>92.450198144110999</v>
      </c>
      <c r="AK472">
        <v>82.280948886420802</v>
      </c>
      <c r="AL472">
        <v>84.0877734075913</v>
      </c>
      <c r="AM472">
        <v>97.652536950938199</v>
      </c>
      <c r="AN472">
        <v>1.0000000160145299</v>
      </c>
    </row>
    <row r="473" spans="1:40" x14ac:dyDescent="0.25">
      <c r="A473" t="str">
        <f>"20190304154735608"</f>
        <v>20190304154735608</v>
      </c>
      <c r="B473" t="str">
        <f>"1551685655597143"</f>
        <v>1551685655597143</v>
      </c>
      <c r="C473" t="s">
        <v>40</v>
      </c>
      <c r="D473">
        <v>4.1259589999999999</v>
      </c>
      <c r="E473">
        <v>0.53304640000000003</v>
      </c>
      <c r="F473" t="s">
        <v>44</v>
      </c>
      <c r="G473">
        <v>-346.52809999999999</v>
      </c>
      <c r="H473" s="1">
        <v>-1.733093E-6</v>
      </c>
      <c r="I473">
        <v>368.98809999999997</v>
      </c>
      <c r="J473">
        <v>-428.29169999999999</v>
      </c>
      <c r="K473">
        <v>1.060538</v>
      </c>
      <c r="L473">
        <v>366.64789999999999</v>
      </c>
      <c r="M473">
        <v>0.99983580000000005</v>
      </c>
      <c r="N473">
        <v>-1.120961E-2</v>
      </c>
      <c r="O473">
        <v>-1.4235680000000001E-2</v>
      </c>
      <c r="P473">
        <v>0.98869450000000003</v>
      </c>
      <c r="Q473">
        <v>9.1891360000000005E-2</v>
      </c>
      <c r="R473">
        <v>0.1184873</v>
      </c>
      <c r="S473">
        <v>3.0275569999999998</v>
      </c>
      <c r="T473">
        <v>-3.9210799999999997E-2</v>
      </c>
      <c r="U473">
        <v>8.64563E-2</v>
      </c>
      <c r="V473">
        <v>-0.13254730000000001</v>
      </c>
      <c r="W473">
        <v>0.10295360000000001</v>
      </c>
      <c r="X473">
        <v>0.98581529999999995</v>
      </c>
      <c r="Y473">
        <v>-4.2765989999999997E-2</v>
      </c>
      <c r="Z473">
        <v>5.4142570000000002E-4</v>
      </c>
      <c r="AA473">
        <v>0.99908490000000005</v>
      </c>
      <c r="AB473">
        <v>23</v>
      </c>
      <c r="AC473">
        <v>81.763599999999997</v>
      </c>
      <c r="AD473">
        <v>-1.060539733093</v>
      </c>
      <c r="AE473">
        <v>2.3401999999999799</v>
      </c>
      <c r="AF473">
        <v>-3.5034075127428701</v>
      </c>
      <c r="AG473">
        <v>-1.060539733093</v>
      </c>
      <c r="AH473">
        <v>81.708261729423896</v>
      </c>
      <c r="AI473">
        <v>90.742951420652702</v>
      </c>
      <c r="AJ473">
        <v>92.455168980213003</v>
      </c>
      <c r="AK473">
        <v>81.790211172057994</v>
      </c>
      <c r="AL473">
        <v>84.090722643353303</v>
      </c>
      <c r="AM473">
        <v>97.657749943266793</v>
      </c>
      <c r="AN473">
        <v>1.00000001810216</v>
      </c>
    </row>
    <row r="474" spans="1:40" x14ac:dyDescent="0.25">
      <c r="A474" t="str">
        <f>"20190304154735631"</f>
        <v>20190304154735631</v>
      </c>
      <c r="B474" t="str">
        <f>"1551685655627398"</f>
        <v>1551685655627398</v>
      </c>
      <c r="C474" t="s">
        <v>40</v>
      </c>
      <c r="D474">
        <v>4.1680769999999896</v>
      </c>
      <c r="E474">
        <v>0.55397050000000003</v>
      </c>
      <c r="F474" t="s">
        <v>44</v>
      </c>
      <c r="G474">
        <v>-344.68329999999997</v>
      </c>
      <c r="H474" s="1">
        <v>-2.601861E-6</v>
      </c>
      <c r="I474">
        <v>369.00670000000002</v>
      </c>
      <c r="J474">
        <v>-428.07029999999997</v>
      </c>
      <c r="K474">
        <v>1.06053</v>
      </c>
      <c r="L474">
        <v>366.64479999999998</v>
      </c>
      <c r="M474">
        <v>0.99983599999999995</v>
      </c>
      <c r="N474">
        <v>-1.119913E-2</v>
      </c>
      <c r="O474">
        <v>-1.4235619999999999E-2</v>
      </c>
      <c r="P474">
        <v>0.98877610000000005</v>
      </c>
      <c r="Q474">
        <v>9.1469560000000005E-2</v>
      </c>
      <c r="R474">
        <v>0.1181331</v>
      </c>
      <c r="S474">
        <v>3.027679</v>
      </c>
      <c r="T474">
        <v>-3.8404939999999999E-2</v>
      </c>
      <c r="U474">
        <v>8.54187E-2</v>
      </c>
      <c r="V474">
        <v>-0.13219410000000001</v>
      </c>
      <c r="W474">
        <v>0.1025225</v>
      </c>
      <c r="X474">
        <v>0.9859076</v>
      </c>
      <c r="Y474">
        <v>-4.2422929999999998E-2</v>
      </c>
      <c r="Z474">
        <v>5.2775700000000001E-4</v>
      </c>
      <c r="AA474">
        <v>0.99909959999999998</v>
      </c>
      <c r="AB474">
        <v>23</v>
      </c>
      <c r="AC474">
        <v>83.387</v>
      </c>
      <c r="AD474">
        <v>-1.060532601861</v>
      </c>
      <c r="AE474">
        <v>2.3619000000000399</v>
      </c>
      <c r="AF474">
        <v>-3.54822719357113</v>
      </c>
      <c r="AG474">
        <v>-1.060532601861</v>
      </c>
      <c r="AH474">
        <v>83.331455710448097</v>
      </c>
      <c r="AI474">
        <v>90.728485557952695</v>
      </c>
      <c r="AJ474">
        <v>92.438163508098199</v>
      </c>
      <c r="AK474">
        <v>83.413704847819702</v>
      </c>
      <c r="AL474">
        <v>84.115553963895707</v>
      </c>
      <c r="AM474">
        <v>97.636878866507899</v>
      </c>
      <c r="AN474">
        <v>0.99999996940940905</v>
      </c>
    </row>
    <row r="475" spans="1:40" x14ac:dyDescent="0.25">
      <c r="A475" t="str">
        <f>"20190304154735655"</f>
        <v>20190304154735655</v>
      </c>
      <c r="B475" t="str">
        <f>"1551685655647894"</f>
        <v>1551685655647894</v>
      </c>
      <c r="C475" t="s">
        <v>40</v>
      </c>
      <c r="D475">
        <v>4.1758300000000004</v>
      </c>
      <c r="E475">
        <v>0.56109629999999999</v>
      </c>
      <c r="F475" t="s">
        <v>43</v>
      </c>
      <c r="G475">
        <v>-158.19499999999999</v>
      </c>
      <c r="H475">
        <v>5.7627220000000001</v>
      </c>
      <c r="I475">
        <v>359.61939999999998</v>
      </c>
      <c r="J475">
        <v>-427.81240000000003</v>
      </c>
      <c r="K475">
        <v>1.0605230000000001</v>
      </c>
      <c r="L475">
        <v>366.64109999999999</v>
      </c>
      <c r="M475">
        <v>0.99983610000000001</v>
      </c>
      <c r="N475">
        <v>-1.118881E-2</v>
      </c>
      <c r="O475">
        <v>-1.4235319999999999E-2</v>
      </c>
      <c r="P475">
        <v>0.98877780000000004</v>
      </c>
      <c r="Q475">
        <v>9.1498109999999994E-2</v>
      </c>
      <c r="R475">
        <v>0.1180956</v>
      </c>
      <c r="S475">
        <v>3.038605</v>
      </c>
      <c r="T475">
        <v>5.29443E-2</v>
      </c>
      <c r="U475">
        <v>-7.9101560000000001E-2</v>
      </c>
      <c r="V475">
        <v>-0.13215669999999999</v>
      </c>
      <c r="W475">
        <v>0.10254099999999999</v>
      </c>
      <c r="X475">
        <v>0.98591070000000003</v>
      </c>
      <c r="Y475">
        <v>1.1794539999999999E-2</v>
      </c>
      <c r="Z475">
        <v>-3.7047239999999997E-4</v>
      </c>
      <c r="AA475">
        <v>0.9999304</v>
      </c>
      <c r="AB475">
        <v>23</v>
      </c>
      <c r="AC475">
        <v>269.61739999999998</v>
      </c>
      <c r="AD475">
        <v>4.7021990000000002</v>
      </c>
      <c r="AE475">
        <v>-7.0217000000000098</v>
      </c>
      <c r="AF475">
        <v>3.1816912077886101</v>
      </c>
      <c r="AG475">
        <v>4.7021990000000002</v>
      </c>
      <c r="AH475">
        <v>269.60809019340002</v>
      </c>
      <c r="AI475">
        <v>89.000882756299902</v>
      </c>
      <c r="AJ475">
        <v>89.323874087816407</v>
      </c>
      <c r="AK475">
        <v>269.66786262383903</v>
      </c>
      <c r="AL475">
        <v>84.114488433865304</v>
      </c>
      <c r="AM475">
        <v>97.634720027043997</v>
      </c>
      <c r="AN475">
        <v>0.99999997920518902</v>
      </c>
    </row>
    <row r="476" spans="1:40" x14ac:dyDescent="0.25">
      <c r="A476" t="str">
        <f>"20190304154735667"</f>
        <v>20190304154735667</v>
      </c>
      <c r="B476" t="str">
        <f>"1551685655657655"</f>
        <v>1551685655657655</v>
      </c>
      <c r="C476" t="s">
        <v>40</v>
      </c>
      <c r="D476">
        <v>4.1949420000000002</v>
      </c>
      <c r="E476">
        <v>0.56232859999999996</v>
      </c>
      <c r="F476" t="s">
        <v>43</v>
      </c>
      <c r="G476">
        <v>-169.2955</v>
      </c>
      <c r="H476">
        <v>5.3161120000000004</v>
      </c>
      <c r="I476">
        <v>355.1062</v>
      </c>
      <c r="J476">
        <v>-427.6798</v>
      </c>
      <c r="K476">
        <v>1.060522</v>
      </c>
      <c r="L476">
        <v>366.63929999999999</v>
      </c>
      <c r="M476">
        <v>0.99983630000000001</v>
      </c>
      <c r="N476">
        <v>-1.118429E-2</v>
      </c>
      <c r="O476">
        <v>-1.423554E-2</v>
      </c>
      <c r="P476">
        <v>0.98876399999999998</v>
      </c>
      <c r="Q476">
        <v>9.1860460000000005E-2</v>
      </c>
      <c r="R476">
        <v>0.1179312</v>
      </c>
      <c r="S476">
        <v>3.0456240000000001</v>
      </c>
      <c r="T476">
        <v>5.0136689999999998E-2</v>
      </c>
      <c r="U476">
        <v>-0.13589479999999901</v>
      </c>
      <c r="V476">
        <v>-0.131992</v>
      </c>
      <c r="W476">
        <v>0.10289860000000001</v>
      </c>
      <c r="X476">
        <v>0.98589550000000004</v>
      </c>
      <c r="Y476">
        <v>3.035266E-2</v>
      </c>
      <c r="Z476">
        <v>-3.1346549999999998E-4</v>
      </c>
      <c r="AA476">
        <v>0.99953919999999996</v>
      </c>
      <c r="AB476">
        <v>23</v>
      </c>
      <c r="AC476">
        <v>258.3843</v>
      </c>
      <c r="AD476">
        <v>4.2555899999999998</v>
      </c>
      <c r="AE476">
        <v>-11.5330999999999</v>
      </c>
      <c r="AF476">
        <v>7.8513362345008604</v>
      </c>
      <c r="AG476">
        <v>4.2555899999999998</v>
      </c>
      <c r="AH476">
        <v>258.45233605439</v>
      </c>
      <c r="AI476">
        <v>89.057106931971106</v>
      </c>
      <c r="AJ476">
        <v>88.259988151417105</v>
      </c>
      <c r="AK476">
        <v>258.606580617909</v>
      </c>
      <c r="AL476">
        <v>84.093890472137403</v>
      </c>
      <c r="AM476">
        <v>97.625433475672693</v>
      </c>
      <c r="AN476">
        <v>0.99999997343310398</v>
      </c>
    </row>
    <row r="477" spans="1:40" x14ac:dyDescent="0.25">
      <c r="A477" t="str">
        <f>"20190304154735679"</f>
        <v>20190304154735679</v>
      </c>
      <c r="B477" t="str">
        <f>"1551685655677174"</f>
        <v>1551685655677174</v>
      </c>
      <c r="C477" t="s">
        <v>40</v>
      </c>
      <c r="D477">
        <v>4.191192</v>
      </c>
      <c r="E477">
        <v>0.56483629999999996</v>
      </c>
      <c r="F477" t="s">
        <v>48</v>
      </c>
      <c r="G477">
        <v>-249.64189999999999</v>
      </c>
      <c r="H477">
        <v>3.7873109999999999</v>
      </c>
      <c r="I477">
        <v>358.11619999999999</v>
      </c>
      <c r="J477">
        <v>-427.55889999999999</v>
      </c>
      <c r="K477">
        <v>1.060519</v>
      </c>
      <c r="L477">
        <v>366.63749999999999</v>
      </c>
      <c r="M477">
        <v>0.99983630000000001</v>
      </c>
      <c r="N477">
        <v>-1.1180560000000001E-2</v>
      </c>
      <c r="O477">
        <v>-1.4235279999999999E-2</v>
      </c>
      <c r="P477">
        <v>0.98878710000000003</v>
      </c>
      <c r="Q477">
        <v>9.1790990000000003E-2</v>
      </c>
      <c r="R477">
        <v>0.1177902</v>
      </c>
      <c r="S477">
        <v>3.04718</v>
      </c>
      <c r="T477">
        <v>4.667139E-2</v>
      </c>
      <c r="U477">
        <v>-0.145874</v>
      </c>
      <c r="V477">
        <v>-0.131851</v>
      </c>
      <c r="W477">
        <v>0.1028256</v>
      </c>
      <c r="X477">
        <v>0.98592199999999997</v>
      </c>
      <c r="Y477">
        <v>3.3596250000000001E-2</v>
      </c>
      <c r="Z477">
        <v>-3.0774989999999999E-4</v>
      </c>
      <c r="AA477">
        <v>0.99943539999999997</v>
      </c>
      <c r="AB477">
        <v>23</v>
      </c>
      <c r="AC477">
        <v>177.917</v>
      </c>
      <c r="AD477">
        <v>2.7267920000000001</v>
      </c>
      <c r="AE477">
        <v>-8.5212999999999894</v>
      </c>
      <c r="AF477">
        <v>5.9861772885578999</v>
      </c>
      <c r="AG477">
        <v>2.7267920000000001</v>
      </c>
      <c r="AH477">
        <v>177.978570510238</v>
      </c>
      <c r="AI477">
        <v>89.122741714680103</v>
      </c>
      <c r="AJ477">
        <v>88.073625121274105</v>
      </c>
      <c r="AK477">
        <v>178.100087798993</v>
      </c>
      <c r="AL477">
        <v>84.098095467511101</v>
      </c>
      <c r="AM477">
        <v>97.617180991696898</v>
      </c>
      <c r="AN477">
        <v>0.99999999015017904</v>
      </c>
    </row>
    <row r="478" spans="1:40" x14ac:dyDescent="0.25">
      <c r="A478" t="str">
        <f>"20190304154735696"</f>
        <v>20190304154735696</v>
      </c>
      <c r="B478" t="str">
        <f>"1551685655687914"</f>
        <v>1551685655687914</v>
      </c>
      <c r="C478" t="s">
        <v>40</v>
      </c>
      <c r="D478">
        <v>4.1930199999999997</v>
      </c>
      <c r="E478">
        <v>0.56558980000000003</v>
      </c>
      <c r="F478" t="s">
        <v>43</v>
      </c>
      <c r="G478">
        <v>-158.78319999999999</v>
      </c>
      <c r="H478">
        <v>5.231223</v>
      </c>
      <c r="I478">
        <v>351.97019999999998</v>
      </c>
      <c r="J478">
        <v>-427.37389999999999</v>
      </c>
      <c r="K478">
        <v>1.060522</v>
      </c>
      <c r="L478">
        <v>366.63490000000002</v>
      </c>
      <c r="M478">
        <v>0.99983630000000001</v>
      </c>
      <c r="N478">
        <v>-1.117544E-2</v>
      </c>
      <c r="O478">
        <v>-1.423513E-2</v>
      </c>
      <c r="P478">
        <v>0.9887785</v>
      </c>
      <c r="Q478">
        <v>9.2162069999999999E-2</v>
      </c>
      <c r="R478">
        <v>0.1175736</v>
      </c>
      <c r="S478">
        <v>3.0494690000000002</v>
      </c>
      <c r="T478">
        <v>4.7320840000000003E-2</v>
      </c>
      <c r="U478">
        <v>-0.16641239999999999</v>
      </c>
      <c r="V478">
        <v>-0.131634</v>
      </c>
      <c r="W478">
        <v>0.1031912</v>
      </c>
      <c r="X478">
        <v>0.98591280000000003</v>
      </c>
      <c r="Y478">
        <v>4.0273179999999999E-2</v>
      </c>
      <c r="Z478">
        <v>-2.9265600000000003E-4</v>
      </c>
      <c r="AA478">
        <v>0.99918870000000004</v>
      </c>
      <c r="AB478">
        <v>23</v>
      </c>
      <c r="AC478">
        <v>268.59070000000003</v>
      </c>
      <c r="AD478">
        <v>4.1707010000000002</v>
      </c>
      <c r="AE478">
        <v>-14.6647</v>
      </c>
      <c r="AF478">
        <v>10.836946654306701</v>
      </c>
      <c r="AG478">
        <v>4.1707010000000002</v>
      </c>
      <c r="AH478">
        <v>268.70765003523798</v>
      </c>
      <c r="AI478">
        <v>89.111486686762007</v>
      </c>
      <c r="AJ478">
        <v>87.690519801171405</v>
      </c>
      <c r="AK478">
        <v>268.958426800648</v>
      </c>
      <c r="AL478">
        <v>84.077036112396001</v>
      </c>
      <c r="AM478">
        <v>97.604861625143698</v>
      </c>
      <c r="AN478">
        <v>0.99999999145864005</v>
      </c>
    </row>
    <row r="479" spans="1:40" x14ac:dyDescent="0.25">
      <c r="A479" t="str">
        <f>"20190304154735708"</f>
        <v>20190304154735708</v>
      </c>
      <c r="B479" t="str">
        <f>"1551685655697670"</f>
        <v>1551685655697670</v>
      </c>
      <c r="C479" t="s">
        <v>40</v>
      </c>
      <c r="D479">
        <v>4.2180600000000004</v>
      </c>
      <c r="E479">
        <v>0.56596569999999902</v>
      </c>
      <c r="F479" t="s">
        <v>43</v>
      </c>
      <c r="G479">
        <v>-158.78319999999999</v>
      </c>
      <c r="H479">
        <v>5.4314830000000001</v>
      </c>
      <c r="I479">
        <v>351.39159999999998</v>
      </c>
      <c r="J479">
        <v>-427.2509</v>
      </c>
      <c r="K479">
        <v>1.0605199999999999</v>
      </c>
      <c r="L479">
        <v>366.63310000000001</v>
      </c>
      <c r="M479">
        <v>0.99983619999999995</v>
      </c>
      <c r="N479">
        <v>-1.1172420000000001E-2</v>
      </c>
      <c r="O479">
        <v>-1.4234999999999999E-2</v>
      </c>
      <c r="P479">
        <v>0.98876249999999999</v>
      </c>
      <c r="Q479">
        <v>9.2343430000000004E-2</v>
      </c>
      <c r="R479">
        <v>0.1175654</v>
      </c>
      <c r="S479">
        <v>3.0499879999999999</v>
      </c>
      <c r="T479">
        <v>4.9635529999999997E-2</v>
      </c>
      <c r="U479">
        <v>-0.17309569999999999</v>
      </c>
      <c r="V479">
        <v>-0.13162589999999999</v>
      </c>
      <c r="W479">
        <v>0.10336960000000001</v>
      </c>
      <c r="X479">
        <v>0.98589519999999997</v>
      </c>
      <c r="Y479">
        <v>4.2446579999999998E-2</v>
      </c>
      <c r="Z479">
        <v>-2.8257949999999999E-4</v>
      </c>
      <c r="AA479">
        <v>0.99909870000000001</v>
      </c>
      <c r="AB479">
        <v>23</v>
      </c>
      <c r="AC479">
        <v>268.46769999999998</v>
      </c>
      <c r="AD479">
        <v>4.3709629999999997</v>
      </c>
      <c r="AE479">
        <v>-15.2415</v>
      </c>
      <c r="AF479">
        <v>11.415062894403899</v>
      </c>
      <c r="AG479">
        <v>4.3709629999999997</v>
      </c>
      <c r="AH479">
        <v>268.58650395820803</v>
      </c>
      <c r="AI479">
        <v>89.068494480952197</v>
      </c>
      <c r="AJ479">
        <v>87.566364838212706</v>
      </c>
      <c r="AK479">
        <v>268.864499491701</v>
      </c>
      <c r="AL479">
        <v>84.066759631603603</v>
      </c>
      <c r="AM479">
        <v>97.604533305478995</v>
      </c>
      <c r="AN479">
        <v>0.99999999856900401</v>
      </c>
    </row>
    <row r="480" spans="1:40" x14ac:dyDescent="0.25">
      <c r="A480" t="str">
        <f>"20190304154735720"</f>
        <v>20190304154735720</v>
      </c>
      <c r="B480" t="str">
        <f>"1551685655717191"</f>
        <v>1551685655717191</v>
      </c>
      <c r="C480" t="s">
        <v>40</v>
      </c>
      <c r="D480">
        <v>4.2227129999999997</v>
      </c>
      <c r="E480">
        <v>0.56608340000000001</v>
      </c>
      <c r="F480" t="s">
        <v>43</v>
      </c>
      <c r="G480">
        <v>-158.78319999999999</v>
      </c>
      <c r="H480">
        <v>5.3318379999999896</v>
      </c>
      <c r="I480">
        <v>351.13369999999998</v>
      </c>
      <c r="J480">
        <v>-427.13679999999999</v>
      </c>
      <c r="K480">
        <v>1.0605169999999999</v>
      </c>
      <c r="L480">
        <v>366.63150000000002</v>
      </c>
      <c r="M480">
        <v>0.99983630000000001</v>
      </c>
      <c r="N480">
        <v>-1.116996E-2</v>
      </c>
      <c r="O480">
        <v>-1.423498E-2</v>
      </c>
      <c r="P480">
        <v>0.98872090000000001</v>
      </c>
      <c r="Q480">
        <v>9.2693629999999999E-2</v>
      </c>
      <c r="R480">
        <v>0.11763899999999999</v>
      </c>
      <c r="S480">
        <v>3.0505369999999998</v>
      </c>
      <c r="T480">
        <v>4.853499E-2</v>
      </c>
      <c r="U480">
        <v>-0.17611689999999999</v>
      </c>
      <c r="V480">
        <v>-0.1316987</v>
      </c>
      <c r="W480">
        <v>0.1037168</v>
      </c>
      <c r="X480">
        <v>0.98584899999999998</v>
      </c>
      <c r="Y480">
        <v>4.3422660000000002E-2</v>
      </c>
      <c r="Z480">
        <v>-2.8273529999999999E-4</v>
      </c>
      <c r="AA480">
        <v>0.99905679999999997</v>
      </c>
      <c r="AB480">
        <v>23</v>
      </c>
      <c r="AC480">
        <v>268.35359999999997</v>
      </c>
      <c r="AD480">
        <v>4.2713210000000004</v>
      </c>
      <c r="AE480">
        <v>-15.4978</v>
      </c>
      <c r="AF480">
        <v>11.673035670558701</v>
      </c>
      <c r="AG480">
        <v>4.2713210000000004</v>
      </c>
      <c r="AH480">
        <v>268.47923965410899</v>
      </c>
      <c r="AI480">
        <v>89.089400377746699</v>
      </c>
      <c r="AJ480">
        <v>87.510441699427105</v>
      </c>
      <c r="AK480">
        <v>268.76682472005302</v>
      </c>
      <c r="AL480">
        <v>84.046758960596904</v>
      </c>
      <c r="AM480">
        <v>97.609042370320097</v>
      </c>
      <c r="AN480">
        <v>0.99999998649246402</v>
      </c>
    </row>
    <row r="481" spans="1:40" x14ac:dyDescent="0.25">
      <c r="A481" t="str">
        <f>"20190304154735730"</f>
        <v>20190304154735730</v>
      </c>
      <c r="B481" t="str">
        <f>"1551685655727927"</f>
        <v>1551685655727927</v>
      </c>
      <c r="C481" t="s">
        <v>40</v>
      </c>
      <c r="D481">
        <v>4.2380610000000001</v>
      </c>
      <c r="E481">
        <v>0.56592410000000004</v>
      </c>
      <c r="F481" t="s">
        <v>43</v>
      </c>
      <c r="G481">
        <v>-158.78319999999999</v>
      </c>
      <c r="H481">
        <v>5.0096809999999996</v>
      </c>
      <c r="I481">
        <v>351.07679999999999</v>
      </c>
      <c r="J481">
        <v>-427.01580000000001</v>
      </c>
      <c r="K481">
        <v>1.0605180000000001</v>
      </c>
      <c r="L481">
        <v>366.62979999999999</v>
      </c>
      <c r="M481">
        <v>0.99983630000000001</v>
      </c>
      <c r="N481">
        <v>-1.1167470000000001E-2</v>
      </c>
      <c r="O481">
        <v>-1.4234729999999999E-2</v>
      </c>
      <c r="P481">
        <v>0.98870690000000006</v>
      </c>
      <c r="Q481">
        <v>9.2827099999999996E-2</v>
      </c>
      <c r="R481">
        <v>0.11765150000000001</v>
      </c>
      <c r="S481">
        <v>3.051056</v>
      </c>
      <c r="T481">
        <v>4.4901129999999997E-2</v>
      </c>
      <c r="U481">
        <v>-0.17684939999999999</v>
      </c>
      <c r="V481">
        <v>-0.13171050000000001</v>
      </c>
      <c r="W481">
        <v>0.1038476</v>
      </c>
      <c r="X481">
        <v>0.98583359999999998</v>
      </c>
      <c r="Y481">
        <v>4.3652200000000002E-2</v>
      </c>
      <c r="Z481">
        <v>-2.9115430000000001E-4</v>
      </c>
      <c r="AA481">
        <v>0.99904669999999896</v>
      </c>
      <c r="AB481">
        <v>23</v>
      </c>
      <c r="AC481">
        <v>268.23259999999999</v>
      </c>
      <c r="AD481">
        <v>3.949163</v>
      </c>
      <c r="AE481">
        <v>-15.5529999999999</v>
      </c>
      <c r="AF481">
        <v>11.7304329624383</v>
      </c>
      <c r="AG481">
        <v>3.949163</v>
      </c>
      <c r="AH481">
        <v>268.36884838307202</v>
      </c>
      <c r="AI481">
        <v>89.157732925125899</v>
      </c>
      <c r="AJ481">
        <v>87.497188069156195</v>
      </c>
      <c r="AK481">
        <v>268.65412285751898</v>
      </c>
      <c r="AL481">
        <v>84.039223666171296</v>
      </c>
      <c r="AM481">
        <v>97.609833620594799</v>
      </c>
      <c r="AN481">
        <v>0.99999993336248205</v>
      </c>
    </row>
    <row r="482" spans="1:40" x14ac:dyDescent="0.25">
      <c r="A482" t="str">
        <f>"20190304154735742"</f>
        <v>20190304154735742</v>
      </c>
      <c r="B482" t="str">
        <f>"1551685655737686"</f>
        <v>1551685655737686</v>
      </c>
      <c r="C482" t="s">
        <v>40</v>
      </c>
      <c r="D482">
        <v>4.202985</v>
      </c>
      <c r="E482">
        <v>0.56593700000000002</v>
      </c>
      <c r="F482" t="s">
        <v>43</v>
      </c>
      <c r="G482">
        <v>-158.78319999999999</v>
      </c>
      <c r="H482">
        <v>4.720421</v>
      </c>
      <c r="I482">
        <v>351.15570000000002</v>
      </c>
      <c r="J482">
        <v>-426.89879999999999</v>
      </c>
      <c r="K482">
        <v>1.060514</v>
      </c>
      <c r="L482">
        <v>366.62810000000002</v>
      </c>
      <c r="M482">
        <v>0.99983639999999996</v>
      </c>
      <c r="N482">
        <v>-1.116549E-2</v>
      </c>
      <c r="O482">
        <v>-1.4234719999999999E-2</v>
      </c>
      <c r="P482">
        <v>0.98867510000000003</v>
      </c>
      <c r="Q482">
        <v>9.3057710000000002E-2</v>
      </c>
      <c r="R482">
        <v>0.11773649999999999</v>
      </c>
      <c r="S482">
        <v>3.0512700000000001</v>
      </c>
      <c r="T482">
        <v>4.1634079999999997E-2</v>
      </c>
      <c r="U482">
        <v>-0.1760254</v>
      </c>
      <c r="V482">
        <v>-0.1317952</v>
      </c>
      <c r="W482">
        <v>0.10407619999999999</v>
      </c>
      <c r="X482">
        <v>0.98579819999999996</v>
      </c>
      <c r="Y482">
        <v>4.3379309999999997E-2</v>
      </c>
      <c r="Z482">
        <v>-2.9954660000000002E-4</v>
      </c>
      <c r="AA482">
        <v>0.99905860000000002</v>
      </c>
      <c r="AB482">
        <v>23</v>
      </c>
      <c r="AC482">
        <v>268.11559999999997</v>
      </c>
      <c r="AD482">
        <v>3.659907</v>
      </c>
      <c r="AE482">
        <v>-15.472399999999899</v>
      </c>
      <c r="AF482">
        <v>11.6518800223771</v>
      </c>
      <c r="AG482">
        <v>3.659907</v>
      </c>
      <c r="AH482">
        <v>268.25887019764701</v>
      </c>
      <c r="AI482">
        <v>89.219087435967296</v>
      </c>
      <c r="AJ482">
        <v>87.512909133977502</v>
      </c>
      <c r="AK482">
        <v>268.536743606946</v>
      </c>
      <c r="AL482">
        <v>84.026054653515303</v>
      </c>
      <c r="AM482">
        <v>97.614940161286498</v>
      </c>
      <c r="AN482">
        <v>0.99999996063635899</v>
      </c>
    </row>
    <row r="483" spans="1:40" x14ac:dyDescent="0.25">
      <c r="A483" t="str">
        <f>"20190304154735755"</f>
        <v>20190304154735755</v>
      </c>
      <c r="B483" t="str">
        <f>"1551685655747446"</f>
        <v>1551685655747446</v>
      </c>
      <c r="C483" t="s">
        <v>40</v>
      </c>
      <c r="D483">
        <v>4.2287889999999999</v>
      </c>
      <c r="E483">
        <v>0.56584609999999902</v>
      </c>
      <c r="F483" t="s">
        <v>43</v>
      </c>
      <c r="G483">
        <v>-158.78319999999999</v>
      </c>
      <c r="H483">
        <v>4.5662919999999998</v>
      </c>
      <c r="I483">
        <v>351.19670000000002</v>
      </c>
      <c r="J483">
        <v>-426.77</v>
      </c>
      <c r="K483">
        <v>1.06051299999999</v>
      </c>
      <c r="L483">
        <v>366.62630000000001</v>
      </c>
      <c r="M483">
        <v>0.99983639999999996</v>
      </c>
      <c r="N483">
        <v>-1.116342E-2</v>
      </c>
      <c r="O483">
        <v>-1.4234709999999999E-2</v>
      </c>
      <c r="P483">
        <v>0.98864850000000004</v>
      </c>
      <c r="Q483">
        <v>9.3036569999999999E-2</v>
      </c>
      <c r="R483">
        <v>0.1179769</v>
      </c>
      <c r="S483">
        <v>3.0514830000000002</v>
      </c>
      <c r="T483">
        <v>3.9901020000000002E-2</v>
      </c>
      <c r="U483">
        <v>-0.1756287</v>
      </c>
      <c r="V483">
        <v>-0.13203529999999999</v>
      </c>
      <c r="W483">
        <v>0.10405250000000001</v>
      </c>
      <c r="X483">
        <v>0.98576859999999999</v>
      </c>
      <c r="Y483">
        <v>4.3245829999999999E-2</v>
      </c>
      <c r="Z483">
        <v>-3.0383599999999998E-4</v>
      </c>
      <c r="AA483">
        <v>0.99906439999999996</v>
      </c>
      <c r="AB483">
        <v>23</v>
      </c>
      <c r="AC483">
        <v>267.98680000000002</v>
      </c>
      <c r="AD483">
        <v>3.505779</v>
      </c>
      <c r="AE483">
        <v>-15.429599999999899</v>
      </c>
      <c r="AF483">
        <v>11.6111040247273</v>
      </c>
      <c r="AG483">
        <v>3.505779</v>
      </c>
      <c r="AH483">
        <v>268.13355834117698</v>
      </c>
      <c r="AI483">
        <v>89.251616013314305</v>
      </c>
      <c r="AJ483">
        <v>87.520445057876302</v>
      </c>
      <c r="AK483">
        <v>268.40773709371899</v>
      </c>
      <c r="AL483">
        <v>84.027420140345598</v>
      </c>
      <c r="AM483">
        <v>97.628875943405802</v>
      </c>
      <c r="AN483">
        <v>0.99999998797415002</v>
      </c>
    </row>
    <row r="484" spans="1:40" x14ac:dyDescent="0.25">
      <c r="A484" t="str">
        <f>"20190304154735765"</f>
        <v>20190304154735765</v>
      </c>
      <c r="B484" t="str">
        <f>"1551685655757206"</f>
        <v>1551685655757206</v>
      </c>
      <c r="C484" t="s">
        <v>40</v>
      </c>
      <c r="D484">
        <v>4.3906660000000004</v>
      </c>
      <c r="E484">
        <v>0.56626980000000005</v>
      </c>
      <c r="F484" t="s">
        <v>43</v>
      </c>
      <c r="G484">
        <v>-158.78319999999999</v>
      </c>
      <c r="H484">
        <v>4.4291980000000004</v>
      </c>
      <c r="I484">
        <v>351.3236</v>
      </c>
      <c r="J484">
        <v>-426.6456</v>
      </c>
      <c r="K484">
        <v>1.0605119999999999</v>
      </c>
      <c r="L484">
        <v>366.62450000000001</v>
      </c>
      <c r="M484">
        <v>0.99983639999999996</v>
      </c>
      <c r="N484">
        <v>-1.11617E-2</v>
      </c>
      <c r="O484">
        <v>-1.4234699999999999E-2</v>
      </c>
      <c r="P484">
        <v>0.988649</v>
      </c>
      <c r="Q484">
        <v>9.3152869999999999E-2</v>
      </c>
      <c r="R484">
        <v>0.117881399999999</v>
      </c>
      <c r="S484">
        <v>3.0516359999999998</v>
      </c>
      <c r="T484">
        <v>3.8361069999999997E-2</v>
      </c>
      <c r="U484">
        <v>-0.17425539999999901</v>
      </c>
      <c r="V484">
        <v>-0.13193969999999999</v>
      </c>
      <c r="W484">
        <v>0.1041673</v>
      </c>
      <c r="X484">
        <v>0.98576929999999996</v>
      </c>
      <c r="Y484">
        <v>4.2794829999999999E-2</v>
      </c>
      <c r="Z484">
        <v>-3.0781599999999998E-4</v>
      </c>
      <c r="AA484">
        <v>0.99908379999999997</v>
      </c>
      <c r="AB484">
        <v>23</v>
      </c>
      <c r="AC484">
        <v>267.86239999999998</v>
      </c>
      <c r="AD484">
        <v>3.3686859999999998</v>
      </c>
      <c r="AE484">
        <v>-15.3009</v>
      </c>
      <c r="AF484">
        <v>11.4843607084689</v>
      </c>
      <c r="AG484">
        <v>3.3686859999999998</v>
      </c>
      <c r="AH484">
        <v>268.01082367834698</v>
      </c>
      <c r="AI484">
        <v>89.280535030193704</v>
      </c>
      <c r="AJ484">
        <v>87.546356150424899</v>
      </c>
      <c r="AK484">
        <v>268.27791596587798</v>
      </c>
      <c r="AL484">
        <v>84.020806788837604</v>
      </c>
      <c r="AM484">
        <v>97.623411899400594</v>
      </c>
      <c r="AN484">
        <v>1.0000000118239301</v>
      </c>
    </row>
    <row r="485" spans="1:40" x14ac:dyDescent="0.25">
      <c r="A485" t="str">
        <f>"20190304154735777"</f>
        <v>20190304154735777</v>
      </c>
      <c r="B485" t="str">
        <f>"1551685655767942"</f>
        <v>1551685655767942</v>
      </c>
      <c r="C485" t="s">
        <v>40</v>
      </c>
      <c r="D485">
        <v>4.1606059999999996</v>
      </c>
      <c r="E485">
        <v>0.5664401</v>
      </c>
      <c r="F485" t="s">
        <v>43</v>
      </c>
      <c r="G485">
        <v>-158.78319999999999</v>
      </c>
      <c r="H485">
        <v>4.2992150000000002</v>
      </c>
      <c r="I485">
        <v>350.9889</v>
      </c>
      <c r="J485">
        <v>-426.53250000000003</v>
      </c>
      <c r="K485">
        <v>1.0605089999999999</v>
      </c>
      <c r="L485">
        <v>366.62290000000002</v>
      </c>
      <c r="M485">
        <v>0.99983659999999996</v>
      </c>
      <c r="N485">
        <v>-1.116031E-2</v>
      </c>
      <c r="O485">
        <v>-1.4234689999999999E-2</v>
      </c>
      <c r="P485">
        <v>0.98864750000000001</v>
      </c>
      <c r="Q485">
        <v>9.2899380000000004E-2</v>
      </c>
      <c r="R485">
        <v>0.11809450000000001</v>
      </c>
      <c r="S485">
        <v>3.0521850000000001</v>
      </c>
      <c r="T485">
        <v>3.6904689999999997E-2</v>
      </c>
      <c r="U485">
        <v>-0.1781616</v>
      </c>
      <c r="V485">
        <v>-0.13215289999999999</v>
      </c>
      <c r="W485">
        <v>0.10391259999999999</v>
      </c>
      <c r="X485">
        <v>0.98576759999999997</v>
      </c>
      <c r="Y485">
        <v>4.4058939999999998E-2</v>
      </c>
      <c r="Z485">
        <v>-3.1062860000000001E-4</v>
      </c>
      <c r="AA485">
        <v>0.9990289</v>
      </c>
      <c r="AB485">
        <v>23</v>
      </c>
      <c r="AC485">
        <v>267.74930000000001</v>
      </c>
      <c r="AD485">
        <v>3.2387060000000001</v>
      </c>
      <c r="AE485">
        <v>-15.634</v>
      </c>
      <c r="AF485">
        <v>11.8191274751695</v>
      </c>
      <c r="AG485">
        <v>3.2387060000000001</v>
      </c>
      <c r="AH485">
        <v>267.90566247605398</v>
      </c>
      <c r="AI485">
        <v>89.308059213289397</v>
      </c>
      <c r="AJ485">
        <v>87.473934313621996</v>
      </c>
      <c r="AK485">
        <v>268.18580308726598</v>
      </c>
      <c r="AL485">
        <v>84.035479516877103</v>
      </c>
      <c r="AM485">
        <v>97.635598285861406</v>
      </c>
      <c r="AN485">
        <v>0.99999998931346401</v>
      </c>
    </row>
    <row r="486" spans="1:40" x14ac:dyDescent="0.25">
      <c r="A486" t="str">
        <f>"20190304154735789"</f>
        <v>20190304154735789</v>
      </c>
      <c r="B486" t="str">
        <f>"1551685655777703"</f>
        <v>1551685655777703</v>
      </c>
      <c r="C486" t="s">
        <v>40</v>
      </c>
      <c r="D486">
        <v>4.1554279999999997</v>
      </c>
      <c r="E486">
        <v>0.56664899999999996</v>
      </c>
      <c r="F486" t="s">
        <v>43</v>
      </c>
      <c r="G486">
        <v>-158.78319999999999</v>
      </c>
      <c r="H486">
        <v>4.1937499999999996</v>
      </c>
      <c r="I486">
        <v>350.96300000000002</v>
      </c>
      <c r="J486">
        <v>-426.40839999999997</v>
      </c>
      <c r="K486">
        <v>1.0605059999999999</v>
      </c>
      <c r="L486">
        <v>366.62119999999999</v>
      </c>
      <c r="M486">
        <v>0.99983659999999996</v>
      </c>
      <c r="N486">
        <v>-1.1158919999999999E-2</v>
      </c>
      <c r="O486">
        <v>-1.423456E-2</v>
      </c>
      <c r="P486">
        <v>0.98865119999999895</v>
      </c>
      <c r="Q486">
        <v>9.2781660000000002E-2</v>
      </c>
      <c r="R486">
        <v>0.1181561</v>
      </c>
      <c r="S486">
        <v>3.0524290000000001</v>
      </c>
      <c r="T486">
        <v>3.572094E-2</v>
      </c>
      <c r="U486">
        <v>-0.17852779999999999</v>
      </c>
      <c r="V486">
        <v>-0.1322142</v>
      </c>
      <c r="W486">
        <v>0.1037931</v>
      </c>
      <c r="X486">
        <v>0.98577199999999998</v>
      </c>
      <c r="Y486">
        <v>4.4173860000000002E-2</v>
      </c>
      <c r="Z486">
        <v>-3.1357439999999998E-4</v>
      </c>
      <c r="AA486">
        <v>0.99902380000000002</v>
      </c>
      <c r="AB486">
        <v>23</v>
      </c>
      <c r="AC486">
        <v>267.62519999999898</v>
      </c>
      <c r="AD486">
        <v>3.1332439999999901</v>
      </c>
      <c r="AE486">
        <v>-15.6581999999999</v>
      </c>
      <c r="AF486">
        <v>11.845231845646399</v>
      </c>
      <c r="AG486">
        <v>3.1332439999999901</v>
      </c>
      <c r="AH486">
        <v>267.78440389842598</v>
      </c>
      <c r="AI486">
        <v>89.330289171454595</v>
      </c>
      <c r="AJ486">
        <v>87.467217470040595</v>
      </c>
      <c r="AK486">
        <v>268.06457003243798</v>
      </c>
      <c r="AL486">
        <v>84.042363765342898</v>
      </c>
      <c r="AM486">
        <v>97.639064599342902</v>
      </c>
      <c r="AN486">
        <v>1.0000000191366201</v>
      </c>
    </row>
    <row r="487" spans="1:40" x14ac:dyDescent="0.25">
      <c r="A487" t="str">
        <f>"20190304154735800"</f>
        <v>20190304154735800</v>
      </c>
      <c r="B487" t="str">
        <f>"1551685655797222"</f>
        <v>1551685655797222</v>
      </c>
      <c r="C487" t="s">
        <v>40</v>
      </c>
      <c r="D487">
        <v>4.2037309999999897</v>
      </c>
      <c r="E487">
        <v>0.56665959999999904</v>
      </c>
      <c r="F487" t="s">
        <v>42</v>
      </c>
      <c r="G487">
        <v>0</v>
      </c>
      <c r="H487">
        <v>0</v>
      </c>
      <c r="I487">
        <v>0</v>
      </c>
      <c r="J487">
        <v>-426.29360000000003</v>
      </c>
      <c r="K487">
        <v>1.060505</v>
      </c>
      <c r="L487">
        <v>366.61950000000002</v>
      </c>
      <c r="M487">
        <v>0.99983639999999996</v>
      </c>
      <c r="N487">
        <v>-1.115936E-2</v>
      </c>
      <c r="O487">
        <v>-1.423433E-2</v>
      </c>
      <c r="P487">
        <v>0.98867360000000004</v>
      </c>
      <c r="Q487">
        <v>9.2396619999999999E-2</v>
      </c>
      <c r="R487">
        <v>0.1182696</v>
      </c>
      <c r="S487">
        <v>3.0526430000000002</v>
      </c>
      <c r="T487">
        <v>3.4978389999999998E-2</v>
      </c>
      <c r="U487">
        <v>-0.17962649999999999</v>
      </c>
      <c r="V487">
        <v>-0.13232769999999999</v>
      </c>
      <c r="W487">
        <v>0.1034085</v>
      </c>
      <c r="X487">
        <v>0.98579720000000004</v>
      </c>
      <c r="Y487">
        <v>4.45283E-2</v>
      </c>
      <c r="Z487">
        <v>-3.1545290000000001E-4</v>
      </c>
      <c r="AA487">
        <v>0.99900809999999995</v>
      </c>
      <c r="AB487">
        <v>23</v>
      </c>
      <c r="AC487">
        <v>3.0526430000000002</v>
      </c>
      <c r="AD487">
        <v>3.4978389999999998E-2</v>
      </c>
      <c r="AE487">
        <v>-0.17962649999999999</v>
      </c>
      <c r="AF487">
        <v>0.136135452756007</v>
      </c>
      <c r="AG487">
        <v>3.4978389999999998E-2</v>
      </c>
      <c r="AH487">
        <v>3.0544910554929401</v>
      </c>
      <c r="AI487">
        <v>89.344558804905205</v>
      </c>
      <c r="AJ487">
        <v>87.448076199332803</v>
      </c>
      <c r="AK487">
        <v>3.05772332910459</v>
      </c>
      <c r="AL487">
        <v>84.064518997279194</v>
      </c>
      <c r="AM487">
        <v>97.645351727151507</v>
      </c>
      <c r="AN487">
        <v>1.0000000287936801</v>
      </c>
    </row>
    <row r="488" spans="1:40" x14ac:dyDescent="0.25">
      <c r="A488" t="str">
        <f>"20190304154735813"</f>
        <v>20190304154735813</v>
      </c>
      <c r="B488" t="str">
        <f>"1551685655807958"</f>
        <v>1551685655807958</v>
      </c>
      <c r="C488" t="s">
        <v>40</v>
      </c>
      <c r="D488">
        <v>4.1976139999999997</v>
      </c>
      <c r="E488">
        <v>0.56662330000000005</v>
      </c>
      <c r="F488" t="s">
        <v>42</v>
      </c>
      <c r="G488">
        <v>0</v>
      </c>
      <c r="H488">
        <v>0</v>
      </c>
      <c r="I488">
        <v>0</v>
      </c>
      <c r="J488">
        <v>-426.1542</v>
      </c>
      <c r="K488">
        <v>1.0605059999999999</v>
      </c>
      <c r="L488">
        <v>366.61750000000001</v>
      </c>
      <c r="M488">
        <v>0.99983639999999996</v>
      </c>
      <c r="N488">
        <v>-1.1161269999999999E-2</v>
      </c>
      <c r="O488">
        <v>-1.423434E-2</v>
      </c>
      <c r="P488">
        <v>0.98870049999999998</v>
      </c>
      <c r="Q488">
        <v>9.2078549999999995E-2</v>
      </c>
      <c r="R488">
        <v>0.1182918</v>
      </c>
      <c r="S488">
        <v>3.0529169999999999</v>
      </c>
      <c r="T488">
        <v>3.2316449999999997E-2</v>
      </c>
      <c r="U488">
        <v>-0.18002319999999999</v>
      </c>
      <c r="V488">
        <v>-0.1323503</v>
      </c>
      <c r="W488">
        <v>0.10309309999999999</v>
      </c>
      <c r="X488">
        <v>0.98582709999999996</v>
      </c>
      <c r="Y488">
        <v>4.4652339999999999E-2</v>
      </c>
      <c r="Z488">
        <v>-3.2256560000000001E-4</v>
      </c>
      <c r="AA488">
        <v>0.99900250000000002</v>
      </c>
      <c r="AB488">
        <v>23</v>
      </c>
      <c r="AC488">
        <v>3.0529169999999999</v>
      </c>
      <c r="AD488">
        <v>3.2316449999999997E-2</v>
      </c>
      <c r="AE488">
        <v>-0.18002319999999999</v>
      </c>
      <c r="AF488">
        <v>0.13653074831474901</v>
      </c>
      <c r="AG488">
        <v>3.2316449999999997E-2</v>
      </c>
      <c r="AH488">
        <v>3.0548292194664</v>
      </c>
      <c r="AI488">
        <v>89.394505982644603</v>
      </c>
      <c r="AJ488">
        <v>87.440958970463299</v>
      </c>
      <c r="AK488">
        <v>3.0580494695609</v>
      </c>
      <c r="AL488">
        <v>84.082686602375006</v>
      </c>
      <c r="AM488">
        <v>97.646412836671701</v>
      </c>
      <c r="AN488">
        <v>0.99999993013605204</v>
      </c>
    </row>
    <row r="489" spans="1:40" x14ac:dyDescent="0.25">
      <c r="A489" t="str">
        <f>"20190304154735831"</f>
        <v>20190304154735831</v>
      </c>
      <c r="B489" t="str">
        <f>"1551685655827478"</f>
        <v>1551685655827478</v>
      </c>
      <c r="C489" t="s">
        <v>40</v>
      </c>
      <c r="D489">
        <v>4.1446370000000003</v>
      </c>
      <c r="E489">
        <v>0.56683339999999904</v>
      </c>
      <c r="F489" t="s">
        <v>42</v>
      </c>
      <c r="G489">
        <v>0</v>
      </c>
      <c r="H489">
        <v>0</v>
      </c>
      <c r="I489">
        <v>0</v>
      </c>
      <c r="J489">
        <v>-425.96839999999997</v>
      </c>
      <c r="K489">
        <v>1.060505</v>
      </c>
      <c r="L489">
        <v>366.6148</v>
      </c>
      <c r="M489">
        <v>0.99983639999999996</v>
      </c>
      <c r="N489">
        <v>-1.1169800000000001E-2</v>
      </c>
      <c r="O489">
        <v>-1.423439E-2</v>
      </c>
      <c r="P489">
        <v>0.98871200000000004</v>
      </c>
      <c r="Q489">
        <v>9.162178E-2</v>
      </c>
      <c r="R489">
        <v>0.1185509</v>
      </c>
      <c r="S489">
        <v>3.0529480000000002</v>
      </c>
      <c r="T489">
        <v>3.0881519999999999E-2</v>
      </c>
      <c r="U489">
        <v>-0.1796875</v>
      </c>
      <c r="V489">
        <v>-0.1326099</v>
      </c>
      <c r="W489">
        <v>0.10264479999999999</v>
      </c>
      <c r="X489">
        <v>0.98583909999999997</v>
      </c>
      <c r="Y489">
        <v>4.4542190000000002E-2</v>
      </c>
      <c r="Z489">
        <v>-3.266206E-4</v>
      </c>
      <c r="AA489">
        <v>0.99900750000000005</v>
      </c>
      <c r="AB489">
        <v>23</v>
      </c>
      <c r="AC489">
        <v>3.0529480000000002</v>
      </c>
      <c r="AD489">
        <v>3.0881519999999999E-2</v>
      </c>
      <c r="AE489">
        <v>-0.1796875</v>
      </c>
      <c r="AF489">
        <v>0.13619584634825099</v>
      </c>
      <c r="AG489">
        <v>3.0881519999999999E-2</v>
      </c>
      <c r="AH489">
        <v>3.0548850608376599</v>
      </c>
      <c r="AI489">
        <v>89.421397267712294</v>
      </c>
      <c r="AJ489">
        <v>87.447274436224902</v>
      </c>
      <c r="AK489">
        <v>3.0580754915091801</v>
      </c>
      <c r="AL489">
        <v>84.1085099186962</v>
      </c>
      <c r="AM489">
        <v>97.661140869950501</v>
      </c>
      <c r="AN489">
        <v>1.0000000358169201</v>
      </c>
    </row>
    <row r="490" spans="1:40" x14ac:dyDescent="0.25">
      <c r="A490" t="str">
        <f>"20190304154735846"</f>
        <v>20190304154735846</v>
      </c>
      <c r="B490" t="str">
        <f>"1551685655837239"</f>
        <v>1551685655837239</v>
      </c>
      <c r="C490" t="s">
        <v>40</v>
      </c>
      <c r="D490">
        <v>4.1405279999999998</v>
      </c>
      <c r="E490">
        <v>0.56711049999999996</v>
      </c>
      <c r="F490" t="s">
        <v>42</v>
      </c>
      <c r="G490">
        <v>0</v>
      </c>
      <c r="H490">
        <v>0</v>
      </c>
      <c r="I490">
        <v>0</v>
      </c>
      <c r="J490">
        <v>-425.82069999999999</v>
      </c>
      <c r="K490">
        <v>1.060508</v>
      </c>
      <c r="L490">
        <v>366.61270000000002</v>
      </c>
      <c r="M490">
        <v>0.99983630000000001</v>
      </c>
      <c r="N490">
        <v>-1.11815E-2</v>
      </c>
      <c r="O490">
        <v>-1.423433E-2</v>
      </c>
      <c r="P490">
        <v>0.98877809999999999</v>
      </c>
      <c r="Q490">
        <v>9.1126639999999995E-2</v>
      </c>
      <c r="R490">
        <v>0.11838120000000001</v>
      </c>
      <c r="S490">
        <v>3.0530089999999999</v>
      </c>
      <c r="T490">
        <v>3.0867700000000001E-2</v>
      </c>
      <c r="U490">
        <v>-0.1806335</v>
      </c>
      <c r="V490">
        <v>-0.13244120000000001</v>
      </c>
      <c r="W490">
        <v>0.102162</v>
      </c>
      <c r="X490">
        <v>0.98591189999999995</v>
      </c>
      <c r="Y490">
        <v>4.4849569999999998E-2</v>
      </c>
      <c r="Z490">
        <v>-3.2725350000000001E-4</v>
      </c>
      <c r="AA490">
        <v>0.99899369999999998</v>
      </c>
      <c r="AB490">
        <v>23</v>
      </c>
      <c r="AC490">
        <v>3.0530089999999999</v>
      </c>
      <c r="AD490">
        <v>3.0867700000000001E-2</v>
      </c>
      <c r="AE490">
        <v>-0.1806335</v>
      </c>
      <c r="AF490">
        <v>0.137140978307942</v>
      </c>
      <c r="AG490">
        <v>3.0867700000000001E-2</v>
      </c>
      <c r="AH490">
        <v>3.05495980805114</v>
      </c>
      <c r="AI490">
        <v>89.421678293924103</v>
      </c>
      <c r="AJ490">
        <v>87.429646265230303</v>
      </c>
      <c r="AK490">
        <v>3.0581922587768098</v>
      </c>
      <c r="AL490">
        <v>84.136318360247898</v>
      </c>
      <c r="AM490">
        <v>97.650951969194793</v>
      </c>
      <c r="AN490">
        <v>1.0000000101315201</v>
      </c>
    </row>
    <row r="491" spans="1:40" x14ac:dyDescent="0.25">
      <c r="A491" t="str">
        <f>"20190304154735865"</f>
        <v>20190304154735865</v>
      </c>
      <c r="B491" t="str">
        <f>"1551685655857734"</f>
        <v>1551685655857734</v>
      </c>
      <c r="C491" t="s">
        <v>40</v>
      </c>
      <c r="D491">
        <v>4.1611190000000002</v>
      </c>
      <c r="E491">
        <v>0.56735930000000001</v>
      </c>
      <c r="F491" t="s">
        <v>42</v>
      </c>
      <c r="G491">
        <v>0</v>
      </c>
      <c r="H491">
        <v>0</v>
      </c>
      <c r="I491">
        <v>0</v>
      </c>
      <c r="J491">
        <v>-425.61610000000002</v>
      </c>
      <c r="K491">
        <v>1.060508</v>
      </c>
      <c r="L491">
        <v>366.60980000000001</v>
      </c>
      <c r="M491">
        <v>0.99983599999999995</v>
      </c>
      <c r="N491">
        <v>-1.1202220000000001E-2</v>
      </c>
      <c r="O491">
        <v>-1.423409E-2</v>
      </c>
      <c r="P491">
        <v>0.98880769999999996</v>
      </c>
      <c r="Q491">
        <v>9.0895770000000001E-2</v>
      </c>
      <c r="R491">
        <v>0.1183111</v>
      </c>
      <c r="S491">
        <v>3.0531920000000001</v>
      </c>
      <c r="T491">
        <v>3.0741810000000001E-2</v>
      </c>
      <c r="U491">
        <v>-0.1835938</v>
      </c>
      <c r="V491">
        <v>-0.13237070000000001</v>
      </c>
      <c r="W491">
        <v>0.1019518</v>
      </c>
      <c r="X491">
        <v>0.98594309999999996</v>
      </c>
      <c r="Y491">
        <v>4.5811400000000002E-2</v>
      </c>
      <c r="Z491">
        <v>-3.2891019999999998E-4</v>
      </c>
      <c r="AA491">
        <v>0.99895009999999995</v>
      </c>
      <c r="AB491">
        <v>23</v>
      </c>
      <c r="AC491">
        <v>3.0531920000000001</v>
      </c>
      <c r="AD491">
        <v>3.0741810000000001E-2</v>
      </c>
      <c r="AE491">
        <v>-0.1835938</v>
      </c>
      <c r="AF491">
        <v>0.14009891172635999</v>
      </c>
      <c r="AG491">
        <v>3.0741810000000001E-2</v>
      </c>
      <c r="AH491">
        <v>3.05518747964611</v>
      </c>
      <c r="AI491">
        <v>89.424104822469204</v>
      </c>
      <c r="AJ491">
        <v>87.374479600206797</v>
      </c>
      <c r="AK491">
        <v>3.0585524843846201</v>
      </c>
      <c r="AL491">
        <v>84.148424994913597</v>
      </c>
      <c r="AM491">
        <v>97.646688359726895</v>
      </c>
      <c r="AN491">
        <v>0.99999998408966895</v>
      </c>
    </row>
    <row r="492" spans="1:40" x14ac:dyDescent="0.25">
      <c r="A492" t="str">
        <f>"20190304154735877"</f>
        <v>20190304154735877</v>
      </c>
      <c r="B492" t="str">
        <f>"1551685655867494"</f>
        <v>1551685655867494</v>
      </c>
      <c r="C492" t="s">
        <v>40</v>
      </c>
      <c r="D492">
        <v>4.1649919999999998</v>
      </c>
      <c r="E492">
        <v>0.5674534</v>
      </c>
      <c r="F492" t="s">
        <v>42</v>
      </c>
      <c r="G492">
        <v>0</v>
      </c>
      <c r="H492">
        <v>0</v>
      </c>
      <c r="I492">
        <v>0</v>
      </c>
      <c r="J492">
        <v>-425.49189999999999</v>
      </c>
      <c r="K492">
        <v>1.0605100000000001</v>
      </c>
      <c r="L492">
        <v>366.608</v>
      </c>
      <c r="M492">
        <v>0.99983569999999999</v>
      </c>
      <c r="N492">
        <v>-1.121718E-2</v>
      </c>
      <c r="O492">
        <v>-1.423381E-2</v>
      </c>
      <c r="P492">
        <v>0.98881010000000003</v>
      </c>
      <c r="Q492">
        <v>9.0924779999999997E-2</v>
      </c>
      <c r="R492">
        <v>0.118268</v>
      </c>
      <c r="S492">
        <v>3.0532840000000001</v>
      </c>
      <c r="T492">
        <v>3.1043049999999999E-2</v>
      </c>
      <c r="U492">
        <v>-0.18545529999999999</v>
      </c>
      <c r="V492">
        <v>-0.132327799999999</v>
      </c>
      <c r="W492">
        <v>0.1019955</v>
      </c>
      <c r="X492">
        <v>0.98594440000000005</v>
      </c>
      <c r="Y492">
        <v>4.6416730000000003E-2</v>
      </c>
      <c r="Z492">
        <v>-3.2893540000000001E-4</v>
      </c>
      <c r="AA492">
        <v>0.99892210000000004</v>
      </c>
      <c r="AB492">
        <v>23</v>
      </c>
      <c r="AC492">
        <v>3.0532840000000001</v>
      </c>
      <c r="AD492">
        <v>3.1043049999999999E-2</v>
      </c>
      <c r="AE492">
        <v>-0.18545529999999999</v>
      </c>
      <c r="AF492">
        <v>0.14195928760068999</v>
      </c>
      <c r="AG492">
        <v>3.1043049999999999E-2</v>
      </c>
      <c r="AH492">
        <v>3.0552998820763699</v>
      </c>
      <c r="AI492">
        <v>89.418499648643305</v>
      </c>
      <c r="AJ492">
        <v>87.339762760842206</v>
      </c>
      <c r="AK492">
        <v>3.0587535827041199</v>
      </c>
      <c r="AL492">
        <v>84.145908402324196</v>
      </c>
      <c r="AM492">
        <v>97.644229494169593</v>
      </c>
      <c r="AN492">
        <v>1.0000000442822199</v>
      </c>
    </row>
    <row r="493" spans="1:40" x14ac:dyDescent="0.25">
      <c r="A493" t="str">
        <f>"20190304154735888"</f>
        <v>20190304154735888</v>
      </c>
      <c r="B493" t="str">
        <f>"1551685655877254"</f>
        <v>1551685655877254</v>
      </c>
      <c r="C493" t="s">
        <v>40</v>
      </c>
      <c r="D493">
        <v>4.1537269999999999</v>
      </c>
      <c r="E493">
        <v>0.56752400000000003</v>
      </c>
      <c r="F493" t="s">
        <v>42</v>
      </c>
      <c r="G493">
        <v>0</v>
      </c>
      <c r="H493">
        <v>0</v>
      </c>
      <c r="I493">
        <v>0</v>
      </c>
      <c r="J493">
        <v>-425.36630000000002</v>
      </c>
      <c r="K493">
        <v>1.060511</v>
      </c>
      <c r="L493">
        <v>366.60629999999998</v>
      </c>
      <c r="M493">
        <v>0.99983560000000005</v>
      </c>
      <c r="N493">
        <v>-1.123381E-2</v>
      </c>
      <c r="O493">
        <v>-1.423379E-2</v>
      </c>
      <c r="P493">
        <v>0.98885630000000002</v>
      </c>
      <c r="Q493">
        <v>9.0751390000000001E-2</v>
      </c>
      <c r="R493">
        <v>0.11801590000000001</v>
      </c>
      <c r="S493">
        <v>3.0533450000000002</v>
      </c>
      <c r="T493">
        <v>3.1609650000000003E-2</v>
      </c>
      <c r="U493">
        <v>-0.1862183</v>
      </c>
      <c r="V493">
        <v>-0.132076</v>
      </c>
      <c r="W493">
        <v>0.101839399999999</v>
      </c>
      <c r="X493">
        <v>0.98599420000000004</v>
      </c>
      <c r="Y493">
        <v>4.6664249999999997E-2</v>
      </c>
      <c r="Z493">
        <v>-3.2800849999999997E-4</v>
      </c>
      <c r="AA493">
        <v>0.99891059999999998</v>
      </c>
      <c r="AB493">
        <v>23</v>
      </c>
      <c r="AC493">
        <v>3.0533450000000002</v>
      </c>
      <c r="AD493">
        <v>3.1609650000000003E-2</v>
      </c>
      <c r="AE493">
        <v>-0.1862183</v>
      </c>
      <c r="AF493">
        <v>0.14272077991704801</v>
      </c>
      <c r="AG493">
        <v>3.1609650000000003E-2</v>
      </c>
      <c r="AH493">
        <v>3.0553601593480302</v>
      </c>
      <c r="AI493">
        <v>89.407905325822995</v>
      </c>
      <c r="AJ493">
        <v>87.3255661738486</v>
      </c>
      <c r="AK493">
        <v>3.0588550299620998</v>
      </c>
      <c r="AL493">
        <v>84.154898522976097</v>
      </c>
      <c r="AM493">
        <v>97.629474358838806</v>
      </c>
      <c r="AN493">
        <v>0.99999994780099799</v>
      </c>
    </row>
    <row r="494" spans="1:40" x14ac:dyDescent="0.25">
      <c r="A494" t="str">
        <f>"20190304154735901"</f>
        <v>20190304154735901</v>
      </c>
      <c r="B494" t="str">
        <f>"1551685655897751"</f>
        <v>1551685655897751</v>
      </c>
      <c r="C494" t="s">
        <v>40</v>
      </c>
      <c r="D494">
        <v>4.1319839999999903</v>
      </c>
      <c r="E494">
        <v>0.56787790000000005</v>
      </c>
      <c r="F494" t="s">
        <v>42</v>
      </c>
      <c r="G494">
        <v>0</v>
      </c>
      <c r="H494">
        <v>0</v>
      </c>
      <c r="I494">
        <v>0</v>
      </c>
      <c r="J494">
        <v>-425.23540000000003</v>
      </c>
      <c r="K494">
        <v>1.060511</v>
      </c>
      <c r="L494">
        <v>366.6044</v>
      </c>
      <c r="M494">
        <v>0.99983549999999999</v>
      </c>
      <c r="N494">
        <v>-1.1251830000000001E-2</v>
      </c>
      <c r="O494">
        <v>-1.4233890000000001E-2</v>
      </c>
      <c r="P494">
        <v>0.98889990000000005</v>
      </c>
      <c r="Q494">
        <v>9.0409799999999998E-2</v>
      </c>
      <c r="R494">
        <v>0.117912</v>
      </c>
      <c r="S494">
        <v>3.0533139999999999</v>
      </c>
      <c r="T494">
        <v>3.1387449999999997E-2</v>
      </c>
      <c r="U494">
        <v>-0.1875916</v>
      </c>
      <c r="V494">
        <v>-0.13197320000000001</v>
      </c>
      <c r="W494">
        <v>0.10151590000000001</v>
      </c>
      <c r="X494">
        <v>0.98604139999999996</v>
      </c>
      <c r="Y494">
        <v>4.7112359999999999E-2</v>
      </c>
      <c r="Z494">
        <v>-3.295735E-4</v>
      </c>
      <c r="AA494">
        <v>0.99888960000000004</v>
      </c>
      <c r="AB494">
        <v>23</v>
      </c>
      <c r="AC494">
        <v>3.0533139999999999</v>
      </c>
      <c r="AD494">
        <v>3.1387449999999997E-2</v>
      </c>
      <c r="AE494">
        <v>-0.1875916</v>
      </c>
      <c r="AF494">
        <v>0.14409414157827899</v>
      </c>
      <c r="AG494">
        <v>3.1387449999999997E-2</v>
      </c>
      <c r="AH494">
        <v>3.0553533079527999</v>
      </c>
      <c r="AI494">
        <v>89.412078221811697</v>
      </c>
      <c r="AJ494">
        <v>87.299862713710297</v>
      </c>
      <c r="AK494">
        <v>3.05891028473749</v>
      </c>
      <c r="AL494">
        <v>84.173530709254194</v>
      </c>
      <c r="AM494">
        <v>97.623245266938198</v>
      </c>
      <c r="AN494">
        <v>1.0000000229924999</v>
      </c>
    </row>
    <row r="495" spans="1:40" x14ac:dyDescent="0.25">
      <c r="A495" t="str">
        <f>"20190304154735914"</f>
        <v>20190304154735914</v>
      </c>
      <c r="B495" t="str">
        <f>"1551685655907511"</f>
        <v>1551685655907511</v>
      </c>
      <c r="C495" t="s">
        <v>40</v>
      </c>
      <c r="D495">
        <v>4.174385</v>
      </c>
      <c r="E495">
        <v>0.5680248</v>
      </c>
      <c r="F495" t="s">
        <v>42</v>
      </c>
      <c r="G495">
        <v>0</v>
      </c>
      <c r="H495">
        <v>0</v>
      </c>
      <c r="I495">
        <v>0</v>
      </c>
      <c r="J495">
        <v>-425.10109999999997</v>
      </c>
      <c r="K495">
        <v>1.0605119999999999</v>
      </c>
      <c r="L495">
        <v>366.60239999999999</v>
      </c>
      <c r="M495">
        <v>0.99983520000000004</v>
      </c>
      <c r="N495">
        <v>-1.127093E-2</v>
      </c>
      <c r="O495">
        <v>-1.423375E-2</v>
      </c>
      <c r="P495">
        <v>0.9889251</v>
      </c>
      <c r="Q495">
        <v>9.0381580000000003E-2</v>
      </c>
      <c r="R495">
        <v>0.1177226</v>
      </c>
      <c r="S495">
        <v>3.0533450000000002</v>
      </c>
      <c r="T495">
        <v>3.2938839999999997E-2</v>
      </c>
      <c r="U495">
        <v>-0.1904602</v>
      </c>
      <c r="V495">
        <v>-0.13178389999999901</v>
      </c>
      <c r="W495">
        <v>0.1015069</v>
      </c>
      <c r="X495">
        <v>0.98606769999999999</v>
      </c>
      <c r="Y495">
        <v>4.8046789999999999E-2</v>
      </c>
      <c r="Z495">
        <v>-3.258027E-4</v>
      </c>
      <c r="AA495">
        <v>0.99884499999999998</v>
      </c>
      <c r="AB495">
        <v>23</v>
      </c>
      <c r="AC495">
        <v>3.0533450000000002</v>
      </c>
      <c r="AD495">
        <v>3.2938839999999997E-2</v>
      </c>
      <c r="AE495">
        <v>-0.1904602</v>
      </c>
      <c r="AF495">
        <v>0.14696055771977801</v>
      </c>
      <c r="AG495">
        <v>3.2938839999999997E-2</v>
      </c>
      <c r="AH495">
        <v>3.0553925793897201</v>
      </c>
      <c r="AI495">
        <v>89.383056573906202</v>
      </c>
      <c r="AJ495">
        <v>87.246267008680604</v>
      </c>
      <c r="AK495">
        <v>3.05910218640954</v>
      </c>
      <c r="AL495">
        <v>84.174049370473099</v>
      </c>
      <c r="AM495">
        <v>97.612238283353406</v>
      </c>
      <c r="AN495">
        <v>1.00000007801505</v>
      </c>
    </row>
    <row r="496" spans="1:40" x14ac:dyDescent="0.25">
      <c r="A496" t="str">
        <f>"20190304154735930"</f>
        <v>20190304154735930</v>
      </c>
      <c r="B496" t="str">
        <f>"1551685655927031"</f>
        <v>1551685655927031</v>
      </c>
      <c r="C496" t="s">
        <v>40</v>
      </c>
      <c r="D496">
        <v>4.0966529999999999</v>
      </c>
      <c r="E496">
        <v>0.56845950000000001</v>
      </c>
      <c r="F496" t="s">
        <v>42</v>
      </c>
      <c r="G496">
        <v>0</v>
      </c>
      <c r="H496">
        <v>0</v>
      </c>
      <c r="I496">
        <v>0</v>
      </c>
      <c r="J496">
        <v>-424.92680000000001</v>
      </c>
      <c r="K496">
        <v>1.060511</v>
      </c>
      <c r="L496">
        <v>366.6</v>
      </c>
      <c r="M496">
        <v>0.99983500000000003</v>
      </c>
      <c r="N496">
        <v>-1.1297720000000001E-2</v>
      </c>
      <c r="O496">
        <v>-1.423378E-2</v>
      </c>
      <c r="P496">
        <v>0.98900080000000001</v>
      </c>
      <c r="Q496">
        <v>9.0155029999999997E-2</v>
      </c>
      <c r="R496">
        <v>0.11725869999999999</v>
      </c>
      <c r="S496">
        <v>3.053436</v>
      </c>
      <c r="T496">
        <v>3.3969279999999998E-2</v>
      </c>
      <c r="U496">
        <v>-0.1925964</v>
      </c>
      <c r="V496">
        <v>-0.13132099999999999</v>
      </c>
      <c r="W496">
        <v>0.1013077</v>
      </c>
      <c r="X496">
        <v>0.98614979999999997</v>
      </c>
      <c r="Y496">
        <v>4.8740989999999998E-2</v>
      </c>
      <c r="Z496">
        <v>-3.2360320000000001E-4</v>
      </c>
      <c r="AA496">
        <v>0.99881140000000002</v>
      </c>
      <c r="AB496">
        <v>23</v>
      </c>
      <c r="AC496">
        <v>3.053436</v>
      </c>
      <c r="AD496">
        <v>3.3969279999999998E-2</v>
      </c>
      <c r="AE496">
        <v>-0.1925964</v>
      </c>
      <c r="AF496">
        <v>0.149093802654644</v>
      </c>
      <c r="AG496">
        <v>3.3969279999999998E-2</v>
      </c>
      <c r="AH496">
        <v>3.0554915185780702</v>
      </c>
      <c r="AI496">
        <v>89.363800047524805</v>
      </c>
      <c r="AJ496">
        <v>87.2064476554187</v>
      </c>
      <c r="AK496">
        <v>3.0593154943673699</v>
      </c>
      <c r="AL496">
        <v>84.185521033449703</v>
      </c>
      <c r="AM496">
        <v>97.585187497313598</v>
      </c>
      <c r="AN496">
        <v>0.99999994158016303</v>
      </c>
    </row>
    <row r="497" spans="1:40" x14ac:dyDescent="0.25">
      <c r="A497" t="str">
        <f>"20190304154735942"</f>
        <v>20190304154735942</v>
      </c>
      <c r="B497" t="str">
        <f>"1551685655937767"</f>
        <v>1551685655937767</v>
      </c>
      <c r="C497" t="s">
        <v>40</v>
      </c>
      <c r="D497">
        <v>4.1351620000000002</v>
      </c>
      <c r="E497">
        <v>0.56860549999999999</v>
      </c>
      <c r="F497" t="s">
        <v>42</v>
      </c>
      <c r="G497">
        <v>0</v>
      </c>
      <c r="H497">
        <v>0</v>
      </c>
      <c r="I497">
        <v>0</v>
      </c>
      <c r="J497">
        <v>-424.80840000000001</v>
      </c>
      <c r="K497">
        <v>1.0605150000000001</v>
      </c>
      <c r="L497">
        <v>366.59829999999999</v>
      </c>
      <c r="M497">
        <v>0.99983480000000002</v>
      </c>
      <c r="N497">
        <v>-1.131735E-2</v>
      </c>
      <c r="O497">
        <v>-1.423366E-2</v>
      </c>
      <c r="P497">
        <v>0.98906899999999998</v>
      </c>
      <c r="Q497">
        <v>8.999567E-2</v>
      </c>
      <c r="R497">
        <v>0.11680599999999999</v>
      </c>
      <c r="S497">
        <v>3.0534669999999999</v>
      </c>
      <c r="T497">
        <v>3.6331889999999999E-2</v>
      </c>
      <c r="U497">
        <v>-0.1973877</v>
      </c>
      <c r="V497">
        <v>-0.1308696</v>
      </c>
      <c r="W497">
        <v>0.1011686</v>
      </c>
      <c r="X497">
        <v>0.9862242</v>
      </c>
      <c r="Y497">
        <v>5.0301350000000002E-2</v>
      </c>
      <c r="Z497">
        <v>-3.1610049999999999E-4</v>
      </c>
      <c r="AA497">
        <v>0.99873409999999996</v>
      </c>
      <c r="AB497">
        <v>23</v>
      </c>
      <c r="AC497">
        <v>3.0534669999999999</v>
      </c>
      <c r="AD497">
        <v>3.6331889999999999E-2</v>
      </c>
      <c r="AE497">
        <v>-0.1973877</v>
      </c>
      <c r="AF497">
        <v>0.15388121806688301</v>
      </c>
      <c r="AG497">
        <v>3.6331889999999999E-2</v>
      </c>
      <c r="AH497">
        <v>3.0555365716466198</v>
      </c>
      <c r="AI497">
        <v>89.319618220638603</v>
      </c>
      <c r="AJ497">
        <v>87.116937872318502</v>
      </c>
      <c r="AK497">
        <v>3.0596246789720398</v>
      </c>
      <c r="AL497">
        <v>84.193532697899698</v>
      </c>
      <c r="AM497">
        <v>97.558852687690703</v>
      </c>
      <c r="AN497">
        <v>1.0000000552478701</v>
      </c>
    </row>
    <row r="498" spans="1:40" x14ac:dyDescent="0.25">
      <c r="A498" t="str">
        <f>"20190304154735954"</f>
        <v>20190304154735954</v>
      </c>
      <c r="B498" t="str">
        <f>"1551685655947527"</f>
        <v>1551685655947527</v>
      </c>
      <c r="C498" t="s">
        <v>40</v>
      </c>
      <c r="D498">
        <v>4.1067720000000003</v>
      </c>
      <c r="E498">
        <v>0.56884849999999998</v>
      </c>
      <c r="F498" t="s">
        <v>42</v>
      </c>
      <c r="G498">
        <v>0</v>
      </c>
      <c r="H498">
        <v>0</v>
      </c>
      <c r="I498">
        <v>0</v>
      </c>
      <c r="J498">
        <v>-424.69040000000001</v>
      </c>
      <c r="K498">
        <v>1.0605169999999999</v>
      </c>
      <c r="L498">
        <v>366.59660000000002</v>
      </c>
      <c r="M498">
        <v>0.99983440000000001</v>
      </c>
      <c r="N498">
        <v>-1.133705E-2</v>
      </c>
      <c r="O498">
        <v>-1.4233289999999999E-2</v>
      </c>
      <c r="P498">
        <v>0.98910750000000003</v>
      </c>
      <c r="Q498">
        <v>8.9853290000000002E-2</v>
      </c>
      <c r="R498">
        <v>0.1165881</v>
      </c>
      <c r="S498">
        <v>3.053436</v>
      </c>
      <c r="T498">
        <v>3.6962509999999997E-2</v>
      </c>
      <c r="U498">
        <v>-0.19973750000000001</v>
      </c>
      <c r="V498">
        <v>-0.13065209999999999</v>
      </c>
      <c r="W498">
        <v>0.10104630000000001</v>
      </c>
      <c r="X498">
        <v>0.98626550000000002</v>
      </c>
      <c r="Y498">
        <v>5.1067719999999997E-2</v>
      </c>
      <c r="Z498">
        <v>-3.1433660000000001E-4</v>
      </c>
      <c r="AA498">
        <v>0.99869509999999995</v>
      </c>
      <c r="AB498">
        <v>23</v>
      </c>
      <c r="AC498">
        <v>3.053436</v>
      </c>
      <c r="AD498">
        <v>3.6962509999999997E-2</v>
      </c>
      <c r="AE498">
        <v>-0.19973750000000001</v>
      </c>
      <c r="AF498">
        <v>0.156231233746015</v>
      </c>
      <c r="AG498">
        <v>3.6962509999999997E-2</v>
      </c>
      <c r="AH498">
        <v>3.0555239191084298</v>
      </c>
      <c r="AI498">
        <v>89.307833919418499</v>
      </c>
      <c r="AJ498">
        <v>87.072972730119304</v>
      </c>
      <c r="AK498">
        <v>3.0597386891345901</v>
      </c>
      <c r="AL498">
        <v>84.200575634291894</v>
      </c>
      <c r="AM498">
        <v>97.546122713964607</v>
      </c>
      <c r="AN498">
        <v>0.999999981234174</v>
      </c>
    </row>
    <row r="499" spans="1:40" x14ac:dyDescent="0.25">
      <c r="A499" t="str">
        <f>"20190304154735966"</f>
        <v>20190304154735966</v>
      </c>
      <c r="B499" t="str">
        <f>"1551685655957286"</f>
        <v>1551685655957286</v>
      </c>
      <c r="C499" t="s">
        <v>40</v>
      </c>
      <c r="D499">
        <v>4.1329599999999997</v>
      </c>
      <c r="E499">
        <v>0.56904480000000002</v>
      </c>
      <c r="F499" t="s">
        <v>42</v>
      </c>
      <c r="G499">
        <v>0</v>
      </c>
      <c r="H499">
        <v>0</v>
      </c>
      <c r="I499">
        <v>0</v>
      </c>
      <c r="J499">
        <v>-424.55759999999998</v>
      </c>
      <c r="K499">
        <v>1.0605199999999999</v>
      </c>
      <c r="L499">
        <v>366.59469999999999</v>
      </c>
      <c r="M499">
        <v>0.99983420000000001</v>
      </c>
      <c r="N499">
        <v>-1.135951E-2</v>
      </c>
      <c r="O499">
        <v>-1.4233300000000001E-2</v>
      </c>
      <c r="P499">
        <v>0.98917169999999999</v>
      </c>
      <c r="Q499">
        <v>8.9668709999999999E-2</v>
      </c>
      <c r="R499">
        <v>0.1161855</v>
      </c>
      <c r="S499">
        <v>3.053436</v>
      </c>
      <c r="T499">
        <v>3.8011789999999997E-2</v>
      </c>
      <c r="U499">
        <v>-0.20242309999999999</v>
      </c>
      <c r="V499">
        <v>-0.13025019999999901</v>
      </c>
      <c r="W499">
        <v>0.1008845</v>
      </c>
      <c r="X499">
        <v>0.98633519999999997</v>
      </c>
      <c r="Y499">
        <v>5.1942269999999999E-2</v>
      </c>
      <c r="Z499">
        <v>-3.1089369999999999E-4</v>
      </c>
      <c r="AA499">
        <v>0.99865000000000004</v>
      </c>
      <c r="AB499">
        <v>23</v>
      </c>
      <c r="AC499">
        <v>3.053436</v>
      </c>
      <c r="AD499">
        <v>3.8011789999999997E-2</v>
      </c>
      <c r="AE499">
        <v>-0.20242309999999999</v>
      </c>
      <c r="AF499">
        <v>0.15891479850000101</v>
      </c>
      <c r="AG499">
        <v>3.8011789999999997E-2</v>
      </c>
      <c r="AH499">
        <v>3.0555365290987102</v>
      </c>
      <c r="AI499">
        <v>89.288222001489004</v>
      </c>
      <c r="AJ499">
        <v>87.022797496973695</v>
      </c>
      <c r="AK499">
        <v>3.0599023334116202</v>
      </c>
      <c r="AL499">
        <v>84.209893594916807</v>
      </c>
      <c r="AM499">
        <v>97.522650770248404</v>
      </c>
      <c r="AN499">
        <v>0.999999961849664</v>
      </c>
    </row>
    <row r="500" spans="1:40" x14ac:dyDescent="0.25">
      <c r="A500" t="str">
        <f>"20190304154735976"</f>
        <v>20190304154735976</v>
      </c>
      <c r="B500" t="str">
        <f>"1551685655967047"</f>
        <v>1551685655967047</v>
      </c>
      <c r="C500" t="s">
        <v>40</v>
      </c>
      <c r="D500">
        <v>4.1146719999999997</v>
      </c>
      <c r="E500">
        <v>0.56924919999999901</v>
      </c>
      <c r="F500" t="s">
        <v>42</v>
      </c>
      <c r="G500">
        <v>0</v>
      </c>
      <c r="H500">
        <v>0</v>
      </c>
      <c r="I500">
        <v>0</v>
      </c>
      <c r="J500">
        <v>-424.44490000000002</v>
      </c>
      <c r="K500">
        <v>1.060522</v>
      </c>
      <c r="L500">
        <v>366.59309999999999</v>
      </c>
      <c r="M500">
        <v>0.999834</v>
      </c>
      <c r="N500">
        <v>-1.137811E-2</v>
      </c>
      <c r="O500">
        <v>-1.423316E-2</v>
      </c>
      <c r="P500">
        <v>0.98920189999999997</v>
      </c>
      <c r="Q500">
        <v>8.9685440000000005E-2</v>
      </c>
      <c r="R500">
        <v>0.1159154</v>
      </c>
      <c r="S500">
        <v>3.053375</v>
      </c>
      <c r="T500">
        <v>3.8796780000000003E-2</v>
      </c>
      <c r="U500">
        <v>-0.20501710000000001</v>
      </c>
      <c r="V500">
        <v>-0.1299807</v>
      </c>
      <c r="W500">
        <v>0.1009201</v>
      </c>
      <c r="X500">
        <v>0.9863672</v>
      </c>
      <c r="Y500">
        <v>5.2788349999999998E-2</v>
      </c>
      <c r="Z500">
        <v>-3.0807890000000002E-4</v>
      </c>
      <c r="AA500">
        <v>0.99860570000000004</v>
      </c>
      <c r="AB500">
        <v>23</v>
      </c>
      <c r="AC500">
        <v>3.053375</v>
      </c>
      <c r="AD500">
        <v>3.8796780000000003E-2</v>
      </c>
      <c r="AE500">
        <v>-0.20501710000000001</v>
      </c>
      <c r="AF500">
        <v>0.16150838493532799</v>
      </c>
      <c r="AG500">
        <v>3.8796780000000003E-2</v>
      </c>
      <c r="AH500">
        <v>3.0554928062157001</v>
      </c>
      <c r="AI500">
        <v>89.273546348588994</v>
      </c>
      <c r="AJ500">
        <v>86.974254082948704</v>
      </c>
      <c r="AK500">
        <v>3.0600043198300702</v>
      </c>
      <c r="AL500">
        <v>84.207843920294096</v>
      </c>
      <c r="AM500">
        <v>97.507022635254302</v>
      </c>
      <c r="AN500">
        <v>1.00000005109616</v>
      </c>
    </row>
    <row r="501" spans="1:40" x14ac:dyDescent="0.25">
      <c r="A501" t="str">
        <f>"20190304154735988"</f>
        <v>20190304154735988</v>
      </c>
      <c r="B501" t="str">
        <f>"1551685655977784"</f>
        <v>1551685655977784</v>
      </c>
      <c r="C501" t="s">
        <v>40</v>
      </c>
      <c r="D501">
        <v>4.1150589999999996</v>
      </c>
      <c r="E501">
        <v>0.56940000000000002</v>
      </c>
      <c r="F501" t="s">
        <v>42</v>
      </c>
      <c r="G501">
        <v>0</v>
      </c>
      <c r="H501">
        <v>0</v>
      </c>
      <c r="I501">
        <v>0</v>
      </c>
      <c r="J501">
        <v>-424.32089999999999</v>
      </c>
      <c r="K501">
        <v>1.0605249999999999</v>
      </c>
      <c r="L501">
        <v>366.59129999999999</v>
      </c>
      <c r="M501">
        <v>0.99983370000000005</v>
      </c>
      <c r="N501">
        <v>-1.139805E-2</v>
      </c>
      <c r="O501">
        <v>-1.423316E-2</v>
      </c>
      <c r="P501">
        <v>0.98920909999999995</v>
      </c>
      <c r="Q501">
        <v>8.9706910000000001E-2</v>
      </c>
      <c r="R501">
        <v>0.1158377</v>
      </c>
      <c r="S501">
        <v>3.0534059999999998</v>
      </c>
      <c r="T501">
        <v>4.0115709999999999E-2</v>
      </c>
      <c r="U501">
        <v>-0.20794679999999999</v>
      </c>
      <c r="V501">
        <v>-0.12990309999999999</v>
      </c>
      <c r="W501">
        <v>0.10096140000000001</v>
      </c>
      <c r="X501">
        <v>0.9863731</v>
      </c>
      <c r="Y501">
        <v>5.374143E-2</v>
      </c>
      <c r="Z501">
        <v>-3.0283760000000002E-4</v>
      </c>
      <c r="AA501">
        <v>0.99855479999999996</v>
      </c>
      <c r="AB501">
        <v>23</v>
      </c>
      <c r="AC501">
        <v>3.0534059999999998</v>
      </c>
      <c r="AD501">
        <v>4.0115709999999999E-2</v>
      </c>
      <c r="AE501">
        <v>-0.20794679999999999</v>
      </c>
      <c r="AF501">
        <v>0.16443504020107</v>
      </c>
      <c r="AG501">
        <v>4.0115709999999999E-2</v>
      </c>
      <c r="AH501">
        <v>3.0555316196894902</v>
      </c>
      <c r="AI501">
        <v>89.248900486309296</v>
      </c>
      <c r="AJ501">
        <v>86.919568972343697</v>
      </c>
      <c r="AK501">
        <v>3.0602159452491202</v>
      </c>
      <c r="AL501">
        <v>84.2054649038908</v>
      </c>
      <c r="AM501">
        <v>97.502547560262798</v>
      </c>
      <c r="AN501">
        <v>0.99999995604158898</v>
      </c>
    </row>
    <row r="502" spans="1:40" x14ac:dyDescent="0.25">
      <c r="A502" t="str">
        <f>"20190304154735999"</f>
        <v>20190304154735999</v>
      </c>
      <c r="B502" t="str">
        <f>"1551685655997303"</f>
        <v>1551685655997303</v>
      </c>
      <c r="C502" t="s">
        <v>40</v>
      </c>
      <c r="D502">
        <v>4.1219999999999999</v>
      </c>
      <c r="E502">
        <v>0.56968819999999998</v>
      </c>
      <c r="F502" t="s">
        <v>42</v>
      </c>
      <c r="G502">
        <v>0</v>
      </c>
      <c r="H502">
        <v>0</v>
      </c>
      <c r="I502">
        <v>0</v>
      </c>
      <c r="J502">
        <v>-424.2056</v>
      </c>
      <c r="K502">
        <v>1.0605309999999999</v>
      </c>
      <c r="L502">
        <v>366.58969999999999</v>
      </c>
      <c r="M502">
        <v>0.99983359999999999</v>
      </c>
      <c r="N502">
        <v>-1.141554E-2</v>
      </c>
      <c r="O502">
        <v>-1.4233249999999999E-2</v>
      </c>
      <c r="P502">
        <v>0.98924489999999998</v>
      </c>
      <c r="Q502">
        <v>8.9730690000000002E-2</v>
      </c>
      <c r="R502">
        <v>0.1155125</v>
      </c>
      <c r="S502">
        <v>3.053436</v>
      </c>
      <c r="T502">
        <v>4.1687969999999998E-2</v>
      </c>
      <c r="U502">
        <v>-0.2089539</v>
      </c>
      <c r="V502">
        <v>-0.12957839999999901</v>
      </c>
      <c r="W502">
        <v>0.1010026</v>
      </c>
      <c r="X502">
        <v>0.98641160000000006</v>
      </c>
      <c r="Y502">
        <v>5.4068449999999997E-2</v>
      </c>
      <c r="Z502">
        <v>-2.967035E-4</v>
      </c>
      <c r="AA502">
        <v>0.99853720000000001</v>
      </c>
      <c r="AB502">
        <v>23</v>
      </c>
      <c r="AC502">
        <v>3.053436</v>
      </c>
      <c r="AD502">
        <v>4.1687969999999998E-2</v>
      </c>
      <c r="AE502">
        <v>-0.2089539</v>
      </c>
      <c r="AF502">
        <v>0.16543888953748001</v>
      </c>
      <c r="AG502">
        <v>4.1687969999999998E-2</v>
      </c>
      <c r="AH502">
        <v>3.05553404589394</v>
      </c>
      <c r="AI502">
        <v>89.219480541199403</v>
      </c>
      <c r="AJ502">
        <v>86.900802444277502</v>
      </c>
      <c r="AK502">
        <v>3.0602934857021702</v>
      </c>
      <c r="AL502">
        <v>84.203092245620098</v>
      </c>
      <c r="AM502">
        <v>97.483718575217694</v>
      </c>
      <c r="AN502">
        <v>0.99999996578393902</v>
      </c>
    </row>
    <row r="503" spans="1:40" x14ac:dyDescent="0.25">
      <c r="A503" t="str">
        <f>"20190304154736010"</f>
        <v>20190304154736010</v>
      </c>
      <c r="B503" t="str">
        <f>"1551685656007062"</f>
        <v>1551685656007062</v>
      </c>
      <c r="C503" t="s">
        <v>40</v>
      </c>
      <c r="D503">
        <v>4.1084129999999996</v>
      </c>
      <c r="E503">
        <v>0.5698107</v>
      </c>
      <c r="F503" t="s">
        <v>42</v>
      </c>
      <c r="G503">
        <v>0</v>
      </c>
      <c r="H503">
        <v>0</v>
      </c>
      <c r="I503">
        <v>0</v>
      </c>
      <c r="J503">
        <v>-424.08640000000003</v>
      </c>
      <c r="K503">
        <v>1.0605309999999999</v>
      </c>
      <c r="L503">
        <v>366.58800000000002</v>
      </c>
      <c r="M503">
        <v>0.99983350000000004</v>
      </c>
      <c r="N503">
        <v>-1.1433219999999999E-2</v>
      </c>
      <c r="O503">
        <v>-1.423312E-2</v>
      </c>
      <c r="P503">
        <v>0.98921009999999998</v>
      </c>
      <c r="Q503">
        <v>9.0171979999999999E-2</v>
      </c>
      <c r="R503">
        <v>0.11546670000000001</v>
      </c>
      <c r="S503">
        <v>3.053375</v>
      </c>
      <c r="T503">
        <v>4.404545E-2</v>
      </c>
      <c r="U503">
        <v>-0.2120667</v>
      </c>
      <c r="V503">
        <v>-0.12953190000000001</v>
      </c>
      <c r="W503">
        <v>0.10146090000000001</v>
      </c>
      <c r="X503">
        <v>0.98637070000000004</v>
      </c>
      <c r="Y503">
        <v>5.5082989999999998E-2</v>
      </c>
      <c r="Z503">
        <v>-2.8606390000000001E-4</v>
      </c>
      <c r="AA503">
        <v>0.99848179999999997</v>
      </c>
      <c r="AB503">
        <v>23</v>
      </c>
      <c r="AC503">
        <v>3.053375</v>
      </c>
      <c r="AD503">
        <v>4.404545E-2</v>
      </c>
      <c r="AE503">
        <v>-0.2120667</v>
      </c>
      <c r="AF503">
        <v>0.168548425197042</v>
      </c>
      <c r="AG503">
        <v>4.404545E-2</v>
      </c>
      <c r="AH503">
        <v>3.0554514896849798</v>
      </c>
      <c r="AI503">
        <v>89.175371136878297</v>
      </c>
      <c r="AJ503">
        <v>86.8425825679562</v>
      </c>
      <c r="AK503">
        <v>3.0604137594646099</v>
      </c>
      <c r="AL503">
        <v>84.176698154672195</v>
      </c>
      <c r="AM503">
        <v>97.481370111126907</v>
      </c>
      <c r="AN503">
        <v>0.99999999258245498</v>
      </c>
    </row>
    <row r="504" spans="1:40" x14ac:dyDescent="0.25">
      <c r="A504" t="str">
        <f>"20190304154736025"</f>
        <v>20190304154736025</v>
      </c>
      <c r="B504" t="str">
        <f>"1551685656017798"</f>
        <v>1551685656017798</v>
      </c>
      <c r="C504" t="s">
        <v>40</v>
      </c>
      <c r="D504">
        <v>4.1516289999999998</v>
      </c>
      <c r="E504">
        <v>0.56989719999999999</v>
      </c>
      <c r="F504" t="s">
        <v>42</v>
      </c>
      <c r="G504">
        <v>0</v>
      </c>
      <c r="H504">
        <v>0</v>
      </c>
      <c r="I504">
        <v>0</v>
      </c>
      <c r="J504">
        <v>-423.94279999999998</v>
      </c>
      <c r="K504">
        <v>1.0605329999999999</v>
      </c>
      <c r="L504">
        <v>366.58589999999998</v>
      </c>
      <c r="M504">
        <v>0.99983319999999998</v>
      </c>
      <c r="N504">
        <v>-1.1452779999999999E-2</v>
      </c>
      <c r="O504">
        <v>-1.423311E-2</v>
      </c>
      <c r="P504">
        <v>0.98920220000000003</v>
      </c>
      <c r="Q504">
        <v>9.0453240000000004E-2</v>
      </c>
      <c r="R504">
        <v>0.11531470000000001</v>
      </c>
      <c r="S504">
        <v>3.0533450000000002</v>
      </c>
      <c r="T504">
        <v>4.665685E-2</v>
      </c>
      <c r="U504">
        <v>-0.2132568</v>
      </c>
      <c r="V504">
        <v>-0.12937979999999999</v>
      </c>
      <c r="W504">
        <v>0.10176159999999999</v>
      </c>
      <c r="X504">
        <v>0.98635969999999995</v>
      </c>
      <c r="Y504">
        <v>5.5470909999999998E-2</v>
      </c>
      <c r="Z504">
        <v>-2.7477969999999997E-4</v>
      </c>
      <c r="AA504">
        <v>0.99846029999999997</v>
      </c>
      <c r="AB504">
        <v>23</v>
      </c>
      <c r="AC504">
        <v>3.0533450000000002</v>
      </c>
      <c r="AD504">
        <v>4.665685E-2</v>
      </c>
      <c r="AE504">
        <v>-0.2132568</v>
      </c>
      <c r="AF504">
        <v>0.16973431341706899</v>
      </c>
      <c r="AG504">
        <v>4.665685E-2</v>
      </c>
      <c r="AH504">
        <v>3.0553612238666599</v>
      </c>
      <c r="AI504">
        <v>89.126480264518094</v>
      </c>
      <c r="AJ504">
        <v>86.8203190051033</v>
      </c>
      <c r="AK504">
        <v>3.0604278797434601</v>
      </c>
      <c r="AL504">
        <v>84.159379759814101</v>
      </c>
      <c r="AM504">
        <v>97.472767010174906</v>
      </c>
      <c r="AN504">
        <v>1.0000000068333399</v>
      </c>
    </row>
    <row r="505" spans="1:40" x14ac:dyDescent="0.25">
      <c r="A505" t="str">
        <f>"20190304154736040"</f>
        <v>20190304154736040</v>
      </c>
      <c r="B505" t="str">
        <f>"1551685656037319"</f>
        <v>1551685656037319</v>
      </c>
      <c r="C505" t="s">
        <v>40</v>
      </c>
      <c r="D505">
        <v>4.1567129999999999</v>
      </c>
      <c r="E505">
        <v>0.57014129999999996</v>
      </c>
      <c r="F505" t="s">
        <v>42</v>
      </c>
      <c r="G505">
        <v>0</v>
      </c>
      <c r="H505">
        <v>0</v>
      </c>
      <c r="I505">
        <v>0</v>
      </c>
      <c r="J505">
        <v>-423.7878</v>
      </c>
      <c r="K505">
        <v>1.060535</v>
      </c>
      <c r="L505">
        <v>366.58370000000002</v>
      </c>
      <c r="M505">
        <v>0.99983290000000002</v>
      </c>
      <c r="N505">
        <v>-1.147272E-2</v>
      </c>
      <c r="O505">
        <v>-1.423286E-2</v>
      </c>
      <c r="P505">
        <v>0.9892225</v>
      </c>
      <c r="Q505">
        <v>9.0539369999999994E-2</v>
      </c>
      <c r="R505">
        <v>0.11507100000000001</v>
      </c>
      <c r="S505">
        <v>3.0533139999999999</v>
      </c>
      <c r="T505">
        <v>4.8341040000000002E-2</v>
      </c>
      <c r="U505">
        <v>-0.21441650000000001</v>
      </c>
      <c r="V505">
        <v>-0.1291361</v>
      </c>
      <c r="W505">
        <v>0.1018674</v>
      </c>
      <c r="X505">
        <v>0.9863807</v>
      </c>
      <c r="Y505">
        <v>5.5849120000000002E-2</v>
      </c>
      <c r="Z505">
        <v>-2.6735680000000001E-4</v>
      </c>
      <c r="AA505">
        <v>0.99843919999999997</v>
      </c>
      <c r="AB505">
        <v>23</v>
      </c>
      <c r="AC505">
        <v>3.0533139999999999</v>
      </c>
      <c r="AD505">
        <v>4.8341040000000002E-2</v>
      </c>
      <c r="AE505">
        <v>-0.21441650000000001</v>
      </c>
      <c r="AF505">
        <v>0.17089190202447799</v>
      </c>
      <c r="AG505">
        <v>4.8341040000000002E-2</v>
      </c>
      <c r="AH505">
        <v>3.0552945539955099</v>
      </c>
      <c r="AI505">
        <v>89.094953012452393</v>
      </c>
      <c r="AJ505">
        <v>86.798608810783904</v>
      </c>
      <c r="AK505">
        <v>3.0604518800334799</v>
      </c>
      <c r="AL505">
        <v>84.153286116030699</v>
      </c>
      <c r="AM505">
        <v>97.458692921818596</v>
      </c>
      <c r="AN505">
        <v>0.99999999241922999</v>
      </c>
    </row>
    <row r="506" spans="1:40" x14ac:dyDescent="0.25">
      <c r="A506" t="str">
        <f>"20190304154736057"</f>
        <v>20190304154736057</v>
      </c>
      <c r="B506" t="str">
        <f>"1551685656047079"</f>
        <v>1551685656047079</v>
      </c>
      <c r="C506" t="s">
        <v>40</v>
      </c>
      <c r="D506">
        <v>4.1334929999999996</v>
      </c>
      <c r="E506">
        <v>0.57022050000000002</v>
      </c>
      <c r="F506" t="s">
        <v>42</v>
      </c>
      <c r="G506">
        <v>0</v>
      </c>
      <c r="H506">
        <v>0</v>
      </c>
      <c r="I506">
        <v>0</v>
      </c>
      <c r="J506">
        <v>-423.59629999999999</v>
      </c>
      <c r="K506">
        <v>1.0605340000000001</v>
      </c>
      <c r="L506">
        <v>366.58100000000002</v>
      </c>
      <c r="M506">
        <v>0.99983270000000002</v>
      </c>
      <c r="N506">
        <v>-1.1495470000000001E-2</v>
      </c>
      <c r="O506">
        <v>-1.423287E-2</v>
      </c>
      <c r="P506">
        <v>0.98928110000000002</v>
      </c>
      <c r="Q506">
        <v>9.0377089999999993E-2</v>
      </c>
      <c r="R506">
        <v>0.1146958</v>
      </c>
      <c r="S506">
        <v>3.0532530000000002</v>
      </c>
      <c r="T506">
        <v>5.0597549999999998E-2</v>
      </c>
      <c r="U506">
        <v>-0.21673580000000001</v>
      </c>
      <c r="V506">
        <v>-0.12876170000000001</v>
      </c>
      <c r="W506">
        <v>0.1017279</v>
      </c>
      <c r="X506">
        <v>0.98644410000000005</v>
      </c>
      <c r="Y506">
        <v>5.6605019999999999E-2</v>
      </c>
      <c r="Z506">
        <v>-2.5631189999999999E-4</v>
      </c>
      <c r="AA506">
        <v>0.99839659999999997</v>
      </c>
      <c r="AB506">
        <v>23</v>
      </c>
      <c r="AC506">
        <v>3.0532530000000002</v>
      </c>
      <c r="AD506">
        <v>5.0597549999999998E-2</v>
      </c>
      <c r="AE506">
        <v>-0.21673580000000001</v>
      </c>
      <c r="AF506">
        <v>0.173207094233645</v>
      </c>
      <c r="AG506">
        <v>5.0597549999999998E-2</v>
      </c>
      <c r="AH506">
        <v>3.0551938506789802</v>
      </c>
      <c r="AI506">
        <v>89.052723046128605</v>
      </c>
      <c r="AJ506">
        <v>86.755222654287493</v>
      </c>
      <c r="AK506">
        <v>3.0605179749162601</v>
      </c>
      <c r="AL506">
        <v>84.161320963025801</v>
      </c>
      <c r="AM506">
        <v>97.436837965907898</v>
      </c>
      <c r="AN506">
        <v>1.00000005172505</v>
      </c>
    </row>
    <row r="507" spans="1:40" x14ac:dyDescent="0.25">
      <c r="A507" t="str">
        <f>"20190304154736072"</f>
        <v>20190304154736072</v>
      </c>
      <c r="B507" t="str">
        <f>"1551685656067574"</f>
        <v>1551685656067574</v>
      </c>
      <c r="C507" t="s">
        <v>40</v>
      </c>
      <c r="D507">
        <v>4.1443949999999896</v>
      </c>
      <c r="E507">
        <v>0.57038109999999997</v>
      </c>
      <c r="F507" t="s">
        <v>42</v>
      </c>
      <c r="G507">
        <v>0</v>
      </c>
      <c r="H507">
        <v>0</v>
      </c>
      <c r="I507">
        <v>0</v>
      </c>
      <c r="J507">
        <v>-423.44540000000001</v>
      </c>
      <c r="K507">
        <v>1.0605340000000001</v>
      </c>
      <c r="L507">
        <v>366.57889999999998</v>
      </c>
      <c r="M507">
        <v>0.99983239999999995</v>
      </c>
      <c r="N507">
        <v>-1.151228E-2</v>
      </c>
      <c r="O507">
        <v>-1.423261E-2</v>
      </c>
      <c r="P507">
        <v>0.98928729999999998</v>
      </c>
      <c r="Q507">
        <v>9.0271909999999997E-2</v>
      </c>
      <c r="R507">
        <v>0.1147238</v>
      </c>
      <c r="S507">
        <v>3.0531920000000001</v>
      </c>
      <c r="T507">
        <v>5.0672050000000003E-2</v>
      </c>
      <c r="U507">
        <v>-0.2185974</v>
      </c>
      <c r="V507">
        <v>-0.1287896</v>
      </c>
      <c r="W507">
        <v>0.1016397</v>
      </c>
      <c r="X507">
        <v>0.98644949999999998</v>
      </c>
      <c r="Y507">
        <v>5.7212319999999997E-2</v>
      </c>
      <c r="Z507">
        <v>-2.5514869999999999E-4</v>
      </c>
      <c r="AA507">
        <v>0.99836199999999997</v>
      </c>
      <c r="AB507">
        <v>23</v>
      </c>
      <c r="AC507">
        <v>3.0531920000000001</v>
      </c>
      <c r="AD507">
        <v>5.0672050000000003E-2</v>
      </c>
      <c r="AE507">
        <v>-0.2185974</v>
      </c>
      <c r="AF507">
        <v>0.17506950776112401</v>
      </c>
      <c r="AG507">
        <v>5.0672050000000003E-2</v>
      </c>
      <c r="AH507">
        <v>3.0551568988226201</v>
      </c>
      <c r="AI507">
        <v>89.051349941384998</v>
      </c>
      <c r="AJ507">
        <v>86.720369280518497</v>
      </c>
      <c r="AK507">
        <v>3.0605882875065702</v>
      </c>
      <c r="AL507">
        <v>84.166400494374997</v>
      </c>
      <c r="AM507">
        <v>97.438391068198698</v>
      </c>
      <c r="AN507">
        <v>1.00000000286724</v>
      </c>
    </row>
    <row r="508" spans="1:40" x14ac:dyDescent="0.25">
      <c r="A508" t="str">
        <f>"20190304154736088"</f>
        <v>20190304154736088</v>
      </c>
      <c r="B508" t="str">
        <f>"1551685656077335"</f>
        <v>1551685656077335</v>
      </c>
      <c r="C508" t="s">
        <v>40</v>
      </c>
      <c r="D508">
        <v>4.1630820000000002</v>
      </c>
      <c r="E508">
        <v>0.57045049999999997</v>
      </c>
      <c r="F508" t="s">
        <v>42</v>
      </c>
      <c r="G508">
        <v>0</v>
      </c>
      <c r="H508">
        <v>0</v>
      </c>
      <c r="I508">
        <v>0</v>
      </c>
      <c r="J508">
        <v>-423.2715</v>
      </c>
      <c r="K508">
        <v>1.060532</v>
      </c>
      <c r="L508">
        <v>366.57639999999998</v>
      </c>
      <c r="M508">
        <v>0.99983219999999995</v>
      </c>
      <c r="N508">
        <v>-1.1529579999999999E-2</v>
      </c>
      <c r="O508">
        <v>-1.423235E-2</v>
      </c>
      <c r="P508">
        <v>0.98933570000000004</v>
      </c>
      <c r="Q508">
        <v>9.028485E-2</v>
      </c>
      <c r="R508">
        <v>0.11429549999999999</v>
      </c>
      <c r="S508">
        <v>3.0532840000000001</v>
      </c>
      <c r="T508">
        <v>5.1188110000000002E-2</v>
      </c>
      <c r="U508">
        <v>-0.21975710000000001</v>
      </c>
      <c r="V508">
        <v>-0.1283617</v>
      </c>
      <c r="W508">
        <v>0.1016701</v>
      </c>
      <c r="X508">
        <v>0.9865022</v>
      </c>
      <c r="Y508">
        <v>5.7587630000000001E-2</v>
      </c>
      <c r="Z508">
        <v>-2.5249389999999999E-4</v>
      </c>
      <c r="AA508">
        <v>0.99834040000000002</v>
      </c>
      <c r="AB508">
        <v>23</v>
      </c>
      <c r="AC508">
        <v>3.0532840000000001</v>
      </c>
      <c r="AD508">
        <v>5.1188110000000002E-2</v>
      </c>
      <c r="AE508">
        <v>-0.21975710000000001</v>
      </c>
      <c r="AF508">
        <v>0.17622726634827099</v>
      </c>
      <c r="AG508">
        <v>5.1188110000000002E-2</v>
      </c>
      <c r="AH508">
        <v>3.05524828290261</v>
      </c>
      <c r="AI508">
        <v>89.041739753472399</v>
      </c>
      <c r="AJ508">
        <v>86.698826971635995</v>
      </c>
      <c r="AK508">
        <v>3.06075453804928</v>
      </c>
      <c r="AL508">
        <v>84.164649984455394</v>
      </c>
      <c r="AM508">
        <v>97.413560954765103</v>
      </c>
      <c r="AN508">
        <v>1.00000006293286</v>
      </c>
    </row>
    <row r="509" spans="1:40" x14ac:dyDescent="0.25">
      <c r="A509" t="str">
        <f>"20190304154736102"</f>
        <v>20190304154736102</v>
      </c>
      <c r="B509" t="str">
        <f>"1551685656097831"</f>
        <v>1551685656097831</v>
      </c>
      <c r="C509" t="s">
        <v>40</v>
      </c>
      <c r="D509">
        <v>4.1665640000000002</v>
      </c>
      <c r="E509">
        <v>0.57059879999999996</v>
      </c>
      <c r="F509" t="s">
        <v>42</v>
      </c>
      <c r="G509">
        <v>0</v>
      </c>
      <c r="H509">
        <v>0</v>
      </c>
      <c r="I509">
        <v>0</v>
      </c>
      <c r="J509">
        <v>-423.13130000000001</v>
      </c>
      <c r="K509">
        <v>1.0605370000000001</v>
      </c>
      <c r="L509">
        <v>366.57429999999999</v>
      </c>
      <c r="M509">
        <v>0.99983219999999995</v>
      </c>
      <c r="N509">
        <v>-1.154235E-2</v>
      </c>
      <c r="O509">
        <v>-1.4232430000000001E-2</v>
      </c>
      <c r="P509">
        <v>0.98934299999999997</v>
      </c>
      <c r="Q509">
        <v>9.0297370000000002E-2</v>
      </c>
      <c r="R509">
        <v>0.11422309999999999</v>
      </c>
      <c r="S509">
        <v>3.0532530000000002</v>
      </c>
      <c r="T509">
        <v>5.1475880000000002E-2</v>
      </c>
      <c r="U509">
        <v>-0.22149659999999999</v>
      </c>
      <c r="V509">
        <v>-0.12828889999999901</v>
      </c>
      <c r="W509">
        <v>0.1016957</v>
      </c>
      <c r="X509">
        <v>0.98650899999999997</v>
      </c>
      <c r="Y509">
        <v>5.815406E-2</v>
      </c>
      <c r="Z509">
        <v>-2.5018600000000001E-4</v>
      </c>
      <c r="AA509">
        <v>0.99830759999999996</v>
      </c>
      <c r="AB509">
        <v>23</v>
      </c>
      <c r="AC509">
        <v>3.0532530000000002</v>
      </c>
      <c r="AD509">
        <v>5.1475880000000002E-2</v>
      </c>
      <c r="AE509">
        <v>-0.22149659999999999</v>
      </c>
      <c r="AF509">
        <v>0.177965742818258</v>
      </c>
      <c r="AG509">
        <v>5.1475880000000002E-2</v>
      </c>
      <c r="AH509">
        <v>3.0552324845379899</v>
      </c>
      <c r="AI509">
        <v>89.036380311962304</v>
      </c>
      <c r="AJ509">
        <v>86.666316893866394</v>
      </c>
      <c r="AK509">
        <v>3.0608441819888199</v>
      </c>
      <c r="AL509">
        <v>84.163175390328007</v>
      </c>
      <c r="AM509">
        <v>97.409352600449296</v>
      </c>
      <c r="AN509">
        <v>1.00000003217134</v>
      </c>
    </row>
    <row r="510" spans="1:40" x14ac:dyDescent="0.25">
      <c r="A510" t="str">
        <f>"20190304154736116"</f>
        <v>20190304154736116</v>
      </c>
      <c r="B510" t="str">
        <f>"1551685656107590"</f>
        <v>1551685656107590</v>
      </c>
      <c r="C510" t="s">
        <v>40</v>
      </c>
      <c r="D510">
        <v>4.1495059999999997</v>
      </c>
      <c r="E510">
        <v>0.57064499999999996</v>
      </c>
      <c r="F510" t="s">
        <v>42</v>
      </c>
      <c r="G510">
        <v>0</v>
      </c>
      <c r="H510">
        <v>0</v>
      </c>
      <c r="I510">
        <v>0</v>
      </c>
      <c r="J510">
        <v>-422.97809999999998</v>
      </c>
      <c r="K510">
        <v>1.060538</v>
      </c>
      <c r="L510">
        <v>366.57209999999998</v>
      </c>
      <c r="M510">
        <v>0.99983200000000005</v>
      </c>
      <c r="N510">
        <v>-1.155628E-2</v>
      </c>
      <c r="O510">
        <v>-1.4232150000000001E-2</v>
      </c>
      <c r="P510">
        <v>0.98938939999999997</v>
      </c>
      <c r="Q510">
        <v>9.0071830000000006E-2</v>
      </c>
      <c r="R510">
        <v>0.1139993</v>
      </c>
      <c r="S510">
        <v>3.0533139999999999</v>
      </c>
      <c r="T510">
        <v>5.2208539999999998E-2</v>
      </c>
      <c r="U510">
        <v>-0.22277830000000001</v>
      </c>
      <c r="V510">
        <v>-0.12806589999999901</v>
      </c>
      <c r="W510">
        <v>0.10148409999999999</v>
      </c>
      <c r="X510">
        <v>0.98655970000000004</v>
      </c>
      <c r="Y510">
        <v>5.8569690000000001E-2</v>
      </c>
      <c r="Z510">
        <v>-2.4609239999999998E-4</v>
      </c>
      <c r="AA510">
        <v>0.99828329999999998</v>
      </c>
      <c r="AB510">
        <v>23</v>
      </c>
      <c r="AC510">
        <v>3.0533139999999999</v>
      </c>
      <c r="AD510">
        <v>5.2208539999999998E-2</v>
      </c>
      <c r="AE510">
        <v>-0.22277830000000001</v>
      </c>
      <c r="AF510">
        <v>0.17924548216097799</v>
      </c>
      <c r="AG510">
        <v>5.2208539999999998E-2</v>
      </c>
      <c r="AH510">
        <v>3.0552869790903099</v>
      </c>
      <c r="AI510">
        <v>89.022708896784394</v>
      </c>
      <c r="AJ510">
        <v>86.642459008356397</v>
      </c>
      <c r="AK510">
        <v>3.0609856581047299</v>
      </c>
      <c r="AL510">
        <v>84.175361860755899</v>
      </c>
      <c r="AM510">
        <v>97.396240020933902</v>
      </c>
      <c r="AN510">
        <v>0.99999996947985403</v>
      </c>
    </row>
    <row r="511" spans="1:40" x14ac:dyDescent="0.25">
      <c r="A511" t="str">
        <f>"20190304154736133"</f>
        <v>20190304154736133</v>
      </c>
      <c r="B511" t="str">
        <f>"1551685656127111"</f>
        <v>1551685656127111</v>
      </c>
      <c r="C511" t="s">
        <v>40</v>
      </c>
      <c r="D511">
        <v>4.168323</v>
      </c>
      <c r="E511">
        <v>0.57072999999999996</v>
      </c>
      <c r="F511" t="s">
        <v>42</v>
      </c>
      <c r="G511">
        <v>0</v>
      </c>
      <c r="H511">
        <v>0</v>
      </c>
      <c r="I511">
        <v>0</v>
      </c>
      <c r="J511">
        <v>-422.80349999999999</v>
      </c>
      <c r="K511">
        <v>1.0605370000000001</v>
      </c>
      <c r="L511">
        <v>366.56970000000001</v>
      </c>
      <c r="M511">
        <v>0.9998319</v>
      </c>
      <c r="N511">
        <v>-1.1573079999999999E-2</v>
      </c>
      <c r="O511">
        <v>-1.4232119999999999E-2</v>
      </c>
      <c r="P511">
        <v>0.98947609999999997</v>
      </c>
      <c r="Q511">
        <v>8.9915229999999999E-2</v>
      </c>
      <c r="R511">
        <v>0.11336830000000001</v>
      </c>
      <c r="S511">
        <v>3.0531920000000001</v>
      </c>
      <c r="T511">
        <v>5.1719069999999999E-2</v>
      </c>
      <c r="U511">
        <v>-0.22372439999999999</v>
      </c>
      <c r="V511">
        <v>-0.1274363</v>
      </c>
      <c r="W511">
        <v>0.10134559999999999</v>
      </c>
      <c r="X511">
        <v>0.98665550000000002</v>
      </c>
      <c r="Y511">
        <v>5.888032E-2</v>
      </c>
      <c r="Z511">
        <v>-2.4840049999999997E-4</v>
      </c>
      <c r="AA511">
        <v>0.99826499999999996</v>
      </c>
      <c r="AB511">
        <v>23</v>
      </c>
      <c r="AC511">
        <v>3.0531920000000001</v>
      </c>
      <c r="AD511">
        <v>5.1719069999999999E-2</v>
      </c>
      <c r="AE511">
        <v>-0.22372439999999999</v>
      </c>
      <c r="AF511">
        <v>0.18019401048661801</v>
      </c>
      <c r="AG511">
        <v>5.1719069999999999E-2</v>
      </c>
      <c r="AH511">
        <v>3.0551950313553098</v>
      </c>
      <c r="AI511">
        <v>89.031858114285299</v>
      </c>
      <c r="AJ511">
        <v>86.624631251525997</v>
      </c>
      <c r="AK511">
        <v>3.0609412642576301</v>
      </c>
      <c r="AL511">
        <v>84.183338679386694</v>
      </c>
      <c r="AM511">
        <v>97.359571350582002</v>
      </c>
      <c r="AN511">
        <v>1.00000000843865</v>
      </c>
    </row>
    <row r="512" spans="1:40" x14ac:dyDescent="0.25">
      <c r="A512" t="str">
        <f>"20190304154736145"</f>
        <v>20190304154736145</v>
      </c>
      <c r="B512" t="str">
        <f>"1551685656137847"</f>
        <v>1551685656137847</v>
      </c>
      <c r="C512" t="s">
        <v>40</v>
      </c>
      <c r="D512">
        <v>4.1668770000000004</v>
      </c>
      <c r="E512">
        <v>0.57078859999999998</v>
      </c>
      <c r="F512" t="s">
        <v>42</v>
      </c>
      <c r="G512">
        <v>0</v>
      </c>
      <c r="H512">
        <v>0</v>
      </c>
      <c r="I512">
        <v>0</v>
      </c>
      <c r="J512">
        <v>-422.66539999999998</v>
      </c>
      <c r="K512">
        <v>1.0605389999999999</v>
      </c>
      <c r="L512">
        <v>366.5677</v>
      </c>
      <c r="M512">
        <v>0.99983169999999999</v>
      </c>
      <c r="N512">
        <v>-1.1587780000000001E-2</v>
      </c>
      <c r="O512">
        <v>-1.423197E-2</v>
      </c>
      <c r="P512">
        <v>0.98952810000000002</v>
      </c>
      <c r="Q512">
        <v>8.9746080000000006E-2</v>
      </c>
      <c r="R512">
        <v>0.1130491</v>
      </c>
      <c r="S512">
        <v>3.0531619999999999</v>
      </c>
      <c r="T512">
        <v>5.1275849999999998E-2</v>
      </c>
      <c r="U512">
        <v>-0.22619629999999999</v>
      </c>
      <c r="V512">
        <v>-0.12711800000000001</v>
      </c>
      <c r="W512">
        <v>0.1011914</v>
      </c>
      <c r="X512">
        <v>0.98671240000000004</v>
      </c>
      <c r="Y512">
        <v>5.9685059999999998E-2</v>
      </c>
      <c r="Z512">
        <v>-2.4917450000000002E-4</v>
      </c>
      <c r="AA512">
        <v>0.99821720000000003</v>
      </c>
      <c r="AB512">
        <v>23</v>
      </c>
      <c r="AC512">
        <v>3.0531619999999999</v>
      </c>
      <c r="AD512">
        <v>5.1275849999999998E-2</v>
      </c>
      <c r="AE512">
        <v>-0.22619629999999999</v>
      </c>
      <c r="AF512">
        <v>0.18266672586105701</v>
      </c>
      <c r="AG512">
        <v>5.1275849999999998E-2</v>
      </c>
      <c r="AH512">
        <v>3.0552151508185301</v>
      </c>
      <c r="AI512">
        <v>89.040205556317602</v>
      </c>
      <c r="AJ512">
        <v>86.578444475761799</v>
      </c>
      <c r="AK512">
        <v>3.0611004497273702</v>
      </c>
      <c r="AL512">
        <v>84.192219426750597</v>
      </c>
      <c r="AM512">
        <v>97.340971262507495</v>
      </c>
      <c r="AN512">
        <v>1.0000000228358501</v>
      </c>
    </row>
    <row r="513" spans="1:40" x14ac:dyDescent="0.25">
      <c r="A513" t="str">
        <f>"20190304154736159"</f>
        <v>20190304154736159</v>
      </c>
      <c r="B513" t="str">
        <f>"1551685656147606"</f>
        <v>1551685656147606</v>
      </c>
      <c r="C513" t="s">
        <v>40</v>
      </c>
      <c r="D513">
        <v>4.1963660000000003</v>
      </c>
      <c r="E513">
        <v>0.57081530000000003</v>
      </c>
      <c r="F513" t="s">
        <v>42</v>
      </c>
      <c r="G513">
        <v>0</v>
      </c>
      <c r="H513">
        <v>0</v>
      </c>
      <c r="I513">
        <v>0</v>
      </c>
      <c r="J513">
        <v>-422.53379999999999</v>
      </c>
      <c r="K513">
        <v>1.06054</v>
      </c>
      <c r="L513">
        <v>366.5659</v>
      </c>
      <c r="M513">
        <v>0.99983140000000004</v>
      </c>
      <c r="N513">
        <v>-1.1602070000000001E-2</v>
      </c>
      <c r="O513">
        <v>-1.4231570000000001E-2</v>
      </c>
      <c r="P513">
        <v>0.9895813</v>
      </c>
      <c r="Q513">
        <v>8.9573620000000007E-2</v>
      </c>
      <c r="R513">
        <v>0.1127201</v>
      </c>
      <c r="S513">
        <v>3.05307</v>
      </c>
      <c r="T513">
        <v>5.0991300000000003E-2</v>
      </c>
      <c r="U513">
        <v>-0.2275085</v>
      </c>
      <c r="V513">
        <v>-0.12678970000000001</v>
      </c>
      <c r="W513">
        <v>0.1010339</v>
      </c>
      <c r="X513">
        <v>0.9867707</v>
      </c>
      <c r="Y513">
        <v>6.0114359999999999E-2</v>
      </c>
      <c r="Z513">
        <v>-2.501599E-4</v>
      </c>
      <c r="AA513">
        <v>0.99819150000000001</v>
      </c>
      <c r="AB513">
        <v>23</v>
      </c>
      <c r="AC513">
        <v>3.05307</v>
      </c>
      <c r="AD513">
        <v>5.0991300000000003E-2</v>
      </c>
      <c r="AE513">
        <v>-0.2275085</v>
      </c>
      <c r="AF513">
        <v>0.18398151425767101</v>
      </c>
      <c r="AG513">
        <v>5.0991300000000003E-2</v>
      </c>
      <c r="AH513">
        <v>3.0551512699999201</v>
      </c>
      <c r="AI513">
        <v>89.0455355199678</v>
      </c>
      <c r="AJ513">
        <v>86.553804251826406</v>
      </c>
      <c r="AK513">
        <v>3.06111067961392</v>
      </c>
      <c r="AL513">
        <v>84.201289549703304</v>
      </c>
      <c r="AM513">
        <v>97.321790279726102</v>
      </c>
      <c r="AN513">
        <v>0.99999994567689299</v>
      </c>
    </row>
    <row r="514" spans="1:40" x14ac:dyDescent="0.25">
      <c r="A514" t="str">
        <f>"20190304154736176"</f>
        <v>20190304154736176</v>
      </c>
      <c r="B514" t="str">
        <f>"1551685656167126"</f>
        <v>1551685656167126</v>
      </c>
      <c r="C514" t="s">
        <v>40</v>
      </c>
      <c r="D514">
        <v>4.1890559999999999</v>
      </c>
      <c r="E514">
        <v>0.57081499999999996</v>
      </c>
      <c r="F514" t="s">
        <v>42</v>
      </c>
      <c r="G514">
        <v>0</v>
      </c>
      <c r="H514">
        <v>0</v>
      </c>
      <c r="I514">
        <v>0</v>
      </c>
      <c r="J514">
        <v>-422.33949999999999</v>
      </c>
      <c r="K514">
        <v>1.0605359999999999</v>
      </c>
      <c r="L514">
        <v>366.56310000000002</v>
      </c>
      <c r="M514">
        <v>0.99983129999999998</v>
      </c>
      <c r="N514">
        <v>-1.162416E-2</v>
      </c>
      <c r="O514">
        <v>-1.42317E-2</v>
      </c>
      <c r="P514">
        <v>0.98967130000000003</v>
      </c>
      <c r="Q514">
        <v>8.9336949999999998E-2</v>
      </c>
      <c r="R514">
        <v>0.11211500000000001</v>
      </c>
      <c r="S514">
        <v>3.053131</v>
      </c>
      <c r="T514">
        <v>5.0294760000000001E-2</v>
      </c>
      <c r="U514">
        <v>-0.22906489999999999</v>
      </c>
      <c r="V514">
        <v>-0.12618589999999999</v>
      </c>
      <c r="W514">
        <v>0.10082000000000001</v>
      </c>
      <c r="X514">
        <v>0.98687009999999997</v>
      </c>
      <c r="Y514">
        <v>6.0618829999999999E-2</v>
      </c>
      <c r="Z514">
        <v>-2.5354830000000003E-4</v>
      </c>
      <c r="AA514">
        <v>0.99816099999999996</v>
      </c>
      <c r="AB514">
        <v>23</v>
      </c>
      <c r="AC514">
        <v>3.053131</v>
      </c>
      <c r="AD514">
        <v>5.0294760000000001E-2</v>
      </c>
      <c r="AE514">
        <v>-0.22906489999999999</v>
      </c>
      <c r="AF514">
        <v>0.18553745748752501</v>
      </c>
      <c r="AG514">
        <v>5.0294760000000001E-2</v>
      </c>
      <c r="AH514">
        <v>3.0552575021951802</v>
      </c>
      <c r="AI514">
        <v>89.058632610601805</v>
      </c>
      <c r="AJ514">
        <v>86.524851229373695</v>
      </c>
      <c r="AK514">
        <v>3.06129908955893</v>
      </c>
      <c r="AL514">
        <v>84.213608762877499</v>
      </c>
      <c r="AM514">
        <v>97.286571920567596</v>
      </c>
      <c r="AN514">
        <v>1.0000000740163999</v>
      </c>
    </row>
    <row r="515" spans="1:40" x14ac:dyDescent="0.25">
      <c r="A515" t="str">
        <f>"20190304154736188"</f>
        <v>20190304154736188</v>
      </c>
      <c r="B515" t="str">
        <f>"1551685656176886"</f>
        <v>1551685656176886</v>
      </c>
      <c r="C515" t="s">
        <v>40</v>
      </c>
      <c r="D515">
        <v>4.2003979999999999</v>
      </c>
      <c r="E515">
        <v>0.57076879999999997</v>
      </c>
      <c r="F515" t="s">
        <v>42</v>
      </c>
      <c r="G515">
        <v>0</v>
      </c>
      <c r="H515">
        <v>0</v>
      </c>
      <c r="I515">
        <v>0</v>
      </c>
      <c r="J515">
        <v>-422.21519999999998</v>
      </c>
      <c r="K515">
        <v>1.0605370000000001</v>
      </c>
      <c r="L515">
        <v>366.56130000000002</v>
      </c>
      <c r="M515">
        <v>0.99983109999999997</v>
      </c>
      <c r="N515">
        <v>-1.163928E-2</v>
      </c>
      <c r="O515">
        <v>-1.423167E-2</v>
      </c>
      <c r="P515">
        <v>0.98972859999999996</v>
      </c>
      <c r="Q515">
        <v>8.9188799999999999E-2</v>
      </c>
      <c r="R515">
        <v>0.1117277</v>
      </c>
      <c r="S515">
        <v>3.0529480000000002</v>
      </c>
      <c r="T515">
        <v>4.9501179999999999E-2</v>
      </c>
      <c r="U515">
        <v>-0.23074339999999999</v>
      </c>
      <c r="V515">
        <v>-0.12579889999999999</v>
      </c>
      <c r="W515">
        <v>0.1006871</v>
      </c>
      <c r="X515">
        <v>0.98693299999999995</v>
      </c>
      <c r="Y515">
        <v>6.1169040000000001E-2</v>
      </c>
      <c r="Z515">
        <v>-2.5714070000000002E-4</v>
      </c>
      <c r="AA515">
        <v>0.9981274</v>
      </c>
      <c r="AB515">
        <v>23</v>
      </c>
      <c r="AC515">
        <v>3.0529480000000002</v>
      </c>
      <c r="AD515">
        <v>4.9501179999999999E-2</v>
      </c>
      <c r="AE515">
        <v>-0.23074339999999999</v>
      </c>
      <c r="AF515">
        <v>0.18721960100792301</v>
      </c>
      <c r="AG515">
        <v>4.9501179999999999E-2</v>
      </c>
      <c r="AH515">
        <v>3.0551242226247299</v>
      </c>
      <c r="AI515">
        <v>89.073474180655296</v>
      </c>
      <c r="AJ515">
        <v>86.493270060938002</v>
      </c>
      <c r="AK515">
        <v>3.0612555531172698</v>
      </c>
      <c r="AL515">
        <v>84.221261893325902</v>
      </c>
      <c r="AM515">
        <v>97.264005752933699</v>
      </c>
      <c r="AN515">
        <v>1.0000000009183001</v>
      </c>
    </row>
    <row r="516" spans="1:40" x14ac:dyDescent="0.25">
      <c r="A516" t="str">
        <f>"20190304154736201"</f>
        <v>20190304154736201</v>
      </c>
      <c r="B516" t="str">
        <f>"1551685656197383"</f>
        <v>1551685656197383</v>
      </c>
      <c r="C516" t="s">
        <v>40</v>
      </c>
      <c r="D516">
        <v>4.36287</v>
      </c>
      <c r="E516">
        <v>0.57053540000000003</v>
      </c>
      <c r="F516" t="s">
        <v>42</v>
      </c>
      <c r="G516">
        <v>0</v>
      </c>
      <c r="H516">
        <v>0</v>
      </c>
      <c r="I516">
        <v>0</v>
      </c>
      <c r="J516">
        <v>-422.09210000000002</v>
      </c>
      <c r="K516">
        <v>1.060538</v>
      </c>
      <c r="L516">
        <v>366.55959999999999</v>
      </c>
      <c r="M516">
        <v>0.99983089999999997</v>
      </c>
      <c r="N516">
        <v>-1.165536E-2</v>
      </c>
      <c r="O516">
        <v>-1.4231519999999999E-2</v>
      </c>
      <c r="P516">
        <v>0.98974169999999995</v>
      </c>
      <c r="Q516">
        <v>8.9175249999999998E-2</v>
      </c>
      <c r="R516">
        <v>0.1116217</v>
      </c>
      <c r="S516">
        <v>3.0529169999999999</v>
      </c>
      <c r="T516">
        <v>4.9125670000000003E-2</v>
      </c>
      <c r="U516">
        <v>-0.23156740000000001</v>
      </c>
      <c r="V516">
        <v>-0.12569340000000001</v>
      </c>
      <c r="W516">
        <v>0.10069</v>
      </c>
      <c r="X516">
        <v>0.9869462</v>
      </c>
      <c r="Y516">
        <v>6.1437829999999999E-2</v>
      </c>
      <c r="Z516">
        <v>-2.5927710000000001E-4</v>
      </c>
      <c r="AA516">
        <v>0.99811090000000002</v>
      </c>
      <c r="AB516">
        <v>23</v>
      </c>
      <c r="AC516">
        <v>3.0529169999999999</v>
      </c>
      <c r="AD516">
        <v>4.9125670000000003E-2</v>
      </c>
      <c r="AE516">
        <v>-0.23156740000000001</v>
      </c>
      <c r="AF516">
        <v>0.18804493662942501</v>
      </c>
      <c r="AG516">
        <v>4.9125670000000003E-2</v>
      </c>
      <c r="AH516">
        <v>3.0551170144270801</v>
      </c>
      <c r="AI516">
        <v>89.080514517550796</v>
      </c>
      <c r="AJ516">
        <v>86.4778415960198</v>
      </c>
      <c r="AK516">
        <v>3.0612928970431299</v>
      </c>
      <c r="AL516">
        <v>84.221095196369802</v>
      </c>
      <c r="AM516">
        <v>97.257882816978807</v>
      </c>
      <c r="AN516">
        <v>1.00000005429899</v>
      </c>
    </row>
    <row r="517" spans="1:40" x14ac:dyDescent="0.25">
      <c r="A517" t="str">
        <f>"20190304154736213"</f>
        <v>20190304154736213</v>
      </c>
      <c r="B517" t="str">
        <f>"1551685656207143"</f>
        <v>1551685656207143</v>
      </c>
      <c r="C517" t="s">
        <v>40</v>
      </c>
      <c r="D517">
        <v>4.2143169999999897</v>
      </c>
      <c r="E517">
        <v>0.57053540000000003</v>
      </c>
      <c r="F517" t="s">
        <v>42</v>
      </c>
      <c r="G517">
        <v>0</v>
      </c>
      <c r="H517">
        <v>0</v>
      </c>
      <c r="I517">
        <v>0</v>
      </c>
      <c r="J517">
        <v>-421.95839999999998</v>
      </c>
      <c r="K517">
        <v>1.0605420000000001</v>
      </c>
      <c r="L517">
        <v>366.55759999999998</v>
      </c>
      <c r="M517">
        <v>0.99983060000000001</v>
      </c>
      <c r="N517">
        <v>-1.167352E-2</v>
      </c>
      <c r="O517">
        <v>-1.4231509999999999E-2</v>
      </c>
      <c r="P517">
        <v>0.98975089999999999</v>
      </c>
      <c r="Q517">
        <v>8.9254990000000006E-2</v>
      </c>
      <c r="R517">
        <v>0.1114763</v>
      </c>
      <c r="S517">
        <v>3.0521240000000001</v>
      </c>
      <c r="T517">
        <v>5.4201600000000003E-2</v>
      </c>
      <c r="U517">
        <v>-0.2299194</v>
      </c>
      <c r="V517">
        <v>-0.1255482</v>
      </c>
      <c r="W517">
        <v>0.10078819999999999</v>
      </c>
      <c r="X517">
        <v>0.98695460000000002</v>
      </c>
      <c r="Y517">
        <v>6.0921129999999997E-2</v>
      </c>
      <c r="Z517">
        <v>-2.341981E-4</v>
      </c>
      <c r="AA517">
        <v>0.99814250000000004</v>
      </c>
      <c r="AB517">
        <v>23</v>
      </c>
      <c r="AC517">
        <v>3.0521240000000001</v>
      </c>
      <c r="AD517">
        <v>5.4201600000000003E-2</v>
      </c>
      <c r="AE517">
        <v>-0.2299194</v>
      </c>
      <c r="AF517">
        <v>0.18639836719195699</v>
      </c>
      <c r="AG517">
        <v>5.4201600000000003E-2</v>
      </c>
      <c r="AH517">
        <v>3.0541294383748201</v>
      </c>
      <c r="AI517">
        <v>88.985167091688993</v>
      </c>
      <c r="AJ517">
        <v>86.507479713328607</v>
      </c>
      <c r="AK517">
        <v>3.06029227216652</v>
      </c>
      <c r="AL517">
        <v>84.215439650488094</v>
      </c>
      <c r="AM517">
        <v>97.249526774799804</v>
      </c>
      <c r="AN517">
        <v>0.99999999712181997</v>
      </c>
    </row>
    <row r="518" spans="1:40" x14ac:dyDescent="0.25">
      <c r="A518" t="str">
        <f>"20190304154736233"</f>
        <v>20190304154736233</v>
      </c>
      <c r="B518" t="str">
        <f>"1551685656227640"</f>
        <v>1551685656227640</v>
      </c>
      <c r="C518" t="s">
        <v>40</v>
      </c>
      <c r="D518">
        <v>4.197705</v>
      </c>
      <c r="E518">
        <v>0.52963470000000001</v>
      </c>
      <c r="F518" t="s">
        <v>42</v>
      </c>
      <c r="G518">
        <v>0</v>
      </c>
      <c r="H518">
        <v>0</v>
      </c>
      <c r="I518">
        <v>0</v>
      </c>
      <c r="J518">
        <v>-421.74970000000002</v>
      </c>
      <c r="K518">
        <v>1.060548</v>
      </c>
      <c r="L518">
        <v>366.55470000000003</v>
      </c>
      <c r="M518">
        <v>0.9998302</v>
      </c>
      <c r="N518">
        <v>-1.1705449999999999E-2</v>
      </c>
      <c r="O518">
        <v>-1.423146E-2</v>
      </c>
      <c r="P518">
        <v>0.98979110000000003</v>
      </c>
      <c r="Q518">
        <v>8.9158970000000004E-2</v>
      </c>
      <c r="R518">
        <v>0.1111955</v>
      </c>
      <c r="S518">
        <v>3.0521240000000001</v>
      </c>
      <c r="T518">
        <v>5.440354E-2</v>
      </c>
      <c r="U518">
        <v>-0.23043820000000001</v>
      </c>
      <c r="V518">
        <v>-0.12526760000000001</v>
      </c>
      <c r="W518">
        <v>0.1007237</v>
      </c>
      <c r="X518">
        <v>0.98699680000000001</v>
      </c>
      <c r="Y518">
        <v>6.1089879999999999E-2</v>
      </c>
      <c r="Z518">
        <v>-2.3404280000000001E-4</v>
      </c>
      <c r="AA518">
        <v>0.99813220000000002</v>
      </c>
      <c r="AB518">
        <v>23</v>
      </c>
      <c r="AC518">
        <v>3.0521240000000001</v>
      </c>
      <c r="AD518">
        <v>5.440354E-2</v>
      </c>
      <c r="AE518">
        <v>-0.23043820000000001</v>
      </c>
      <c r="AF518">
        <v>0.186916651395509</v>
      </c>
      <c r="AG518">
        <v>5.440354E-2</v>
      </c>
      <c r="AH518">
        <v>3.0541296885481999</v>
      </c>
      <c r="AI518">
        <v>88.981397509299498</v>
      </c>
      <c r="AJ518">
        <v>86.497793117660507</v>
      </c>
      <c r="AK518">
        <v>3.0603277167984699</v>
      </c>
      <c r="AL518">
        <v>84.219153911133503</v>
      </c>
      <c r="AM518">
        <v>97.233189902821806</v>
      </c>
      <c r="AN518">
        <v>0.99999995928084395</v>
      </c>
    </row>
    <row r="519" spans="1:40" x14ac:dyDescent="0.25">
      <c r="A519" t="str">
        <f>"20190304154736248"</f>
        <v>20190304154736248</v>
      </c>
      <c r="B519" t="str">
        <f>"1551685656237398"</f>
        <v>1551685656237398</v>
      </c>
      <c r="C519" t="s">
        <v>40</v>
      </c>
      <c r="D519">
        <v>4.1623169999999998</v>
      </c>
      <c r="E519">
        <v>0.53011209999999997</v>
      </c>
      <c r="F519" t="s">
        <v>44</v>
      </c>
      <c r="G519">
        <v>-324.57330000000002</v>
      </c>
      <c r="H519" s="1">
        <v>-2.3365899999999999E-6</v>
      </c>
      <c r="I519">
        <v>369.46850000000001</v>
      </c>
      <c r="J519">
        <v>-421.60149999999999</v>
      </c>
      <c r="K519">
        <v>1.0605519999999999</v>
      </c>
      <c r="L519">
        <v>366.55259999999998</v>
      </c>
      <c r="M519">
        <v>0.99983010000000005</v>
      </c>
      <c r="N519">
        <v>-1.173014E-2</v>
      </c>
      <c r="O519">
        <v>-1.4231479999999999E-2</v>
      </c>
      <c r="P519">
        <v>0.98977009999999999</v>
      </c>
      <c r="Q519">
        <v>8.9354989999999995E-2</v>
      </c>
      <c r="R519">
        <v>0.1112253</v>
      </c>
      <c r="S519">
        <v>3.0237430000000001</v>
      </c>
      <c r="T519">
        <v>-3.3000109999999999E-2</v>
      </c>
      <c r="U519">
        <v>9.0667719999999993E-2</v>
      </c>
      <c r="V519">
        <v>-0.1252972</v>
      </c>
      <c r="W519">
        <v>0.1009438</v>
      </c>
      <c r="X519">
        <v>0.98697060000000003</v>
      </c>
      <c r="Y519">
        <v>-4.4189369999999999E-2</v>
      </c>
      <c r="Z519">
        <v>4.8871069999999997E-4</v>
      </c>
      <c r="AA519">
        <v>0.99902310000000005</v>
      </c>
      <c r="AB519">
        <v>23</v>
      </c>
      <c r="AC519">
        <v>97.028199999999899</v>
      </c>
      <c r="AD519">
        <v>-1.0605543365900001</v>
      </c>
      <c r="AE519">
        <v>2.9159000000000201</v>
      </c>
      <c r="AF519">
        <v>-4.2960415096453204</v>
      </c>
      <c r="AG519">
        <v>-1.0605543365900001</v>
      </c>
      <c r="AH519">
        <v>96.965297643584094</v>
      </c>
      <c r="AI519">
        <v>90.626031393152104</v>
      </c>
      <c r="AJ519">
        <v>92.536826963331904</v>
      </c>
      <c r="AK519">
        <v>97.066212943857593</v>
      </c>
      <c r="AL519">
        <v>84.206478756007002</v>
      </c>
      <c r="AM519">
        <v>97.235070976244799</v>
      </c>
      <c r="AN519">
        <v>1.0000000021753199</v>
      </c>
    </row>
    <row r="520" spans="1:40" x14ac:dyDescent="0.25">
      <c r="A520" t="str">
        <f>"20190304154736261"</f>
        <v>20190304154736261</v>
      </c>
      <c r="B520" t="str">
        <f>"1551685656256919"</f>
        <v>1551685656256919</v>
      </c>
      <c r="C520" t="s">
        <v>40</v>
      </c>
      <c r="D520">
        <v>4.168539</v>
      </c>
      <c r="E520">
        <v>0.53110559999999996</v>
      </c>
      <c r="F520" t="s">
        <v>45</v>
      </c>
      <c r="G520">
        <v>-307.2054</v>
      </c>
      <c r="H520">
        <v>-0.05</v>
      </c>
      <c r="I520">
        <v>369.85210000000001</v>
      </c>
      <c r="J520">
        <v>-421.45699999999999</v>
      </c>
      <c r="K520">
        <v>1.0605629999999999</v>
      </c>
      <c r="L520">
        <v>366.5505</v>
      </c>
      <c r="M520">
        <v>0.99982969999999904</v>
      </c>
      <c r="N520">
        <v>-1.17544E-2</v>
      </c>
      <c r="O520">
        <v>-1.4231499999999999E-2</v>
      </c>
      <c r="P520">
        <v>0.98975880000000005</v>
      </c>
      <c r="Q520">
        <v>8.9488310000000001E-2</v>
      </c>
      <c r="R520">
        <v>0.11121830000000001</v>
      </c>
      <c r="S520">
        <v>3.0238649999999998</v>
      </c>
      <c r="T520">
        <v>-2.9355530000000001E-2</v>
      </c>
      <c r="U520">
        <v>8.7219240000000003E-2</v>
      </c>
      <c r="V520">
        <v>-0.12529000000000001</v>
      </c>
      <c r="W520">
        <v>0.10110130000000001</v>
      </c>
      <c r="X520">
        <v>0.98695540000000004</v>
      </c>
      <c r="Y520">
        <v>-4.3050770000000002E-2</v>
      </c>
      <c r="Z520">
        <v>4.3289160000000001E-4</v>
      </c>
      <c r="AA520">
        <v>0.99907279999999998</v>
      </c>
      <c r="AB520">
        <v>23</v>
      </c>
      <c r="AC520">
        <v>114.2516</v>
      </c>
      <c r="AD520">
        <v>-1.110563</v>
      </c>
      <c r="AE520">
        <v>3.3016000000000001</v>
      </c>
      <c r="AF520">
        <v>-4.9268843418695001</v>
      </c>
      <c r="AG520">
        <v>-1.110563</v>
      </c>
      <c r="AH520">
        <v>114.18225836228</v>
      </c>
      <c r="AI520">
        <v>90.556736395315099</v>
      </c>
      <c r="AJ520">
        <v>92.470740057459693</v>
      </c>
      <c r="AK520">
        <v>114.293900380579</v>
      </c>
      <c r="AL520">
        <v>84.197408308699394</v>
      </c>
      <c r="AM520">
        <v>97.234769869496802</v>
      </c>
      <c r="AN520">
        <v>1.00000000927542</v>
      </c>
    </row>
    <row r="521" spans="1:40" x14ac:dyDescent="0.25">
      <c r="A521" t="str">
        <f>"20190304154736278"</f>
        <v>20190304154736278</v>
      </c>
      <c r="B521" t="str">
        <f>"1551685656267655"</f>
        <v>1551685656267655</v>
      </c>
      <c r="C521" t="s">
        <v>40</v>
      </c>
      <c r="D521">
        <v>4.1776669999999996</v>
      </c>
      <c r="E521">
        <v>0.53139619999999999</v>
      </c>
      <c r="F521" t="s">
        <v>45</v>
      </c>
      <c r="G521">
        <v>-290.7253</v>
      </c>
      <c r="H521">
        <v>-0.05</v>
      </c>
      <c r="I521">
        <v>369.98020000000002</v>
      </c>
      <c r="J521">
        <v>-421.27859999999998</v>
      </c>
      <c r="K521">
        <v>1.060565</v>
      </c>
      <c r="L521">
        <v>366.548</v>
      </c>
      <c r="M521">
        <v>0.99982930000000003</v>
      </c>
      <c r="N521">
        <v>-1.1784970000000001E-2</v>
      </c>
      <c r="O521">
        <v>-1.423168E-2</v>
      </c>
      <c r="P521">
        <v>0.98971750000000003</v>
      </c>
      <c r="Q521">
        <v>8.9681120000000003E-2</v>
      </c>
      <c r="R521">
        <v>0.1114309</v>
      </c>
      <c r="S521">
        <v>3.0244140000000002</v>
      </c>
      <c r="T521">
        <v>-2.5692340000000001E-2</v>
      </c>
      <c r="U521">
        <v>7.9345700000000005E-2</v>
      </c>
      <c r="V521">
        <v>-0.12550230000000001</v>
      </c>
      <c r="W521">
        <v>0.10132380000000001</v>
      </c>
      <c r="X521">
        <v>0.98690560000000005</v>
      </c>
      <c r="Y521">
        <v>-4.04476E-2</v>
      </c>
      <c r="Z521">
        <v>3.6334760000000002E-4</v>
      </c>
      <c r="AA521">
        <v>0.9991816</v>
      </c>
      <c r="AB521">
        <v>23</v>
      </c>
      <c r="AC521">
        <v>130.55329999999901</v>
      </c>
      <c r="AD521">
        <v>-1.110565</v>
      </c>
      <c r="AE521">
        <v>3.4322000000000199</v>
      </c>
      <c r="AF521">
        <v>-5.2895916261314202</v>
      </c>
      <c r="AG521">
        <v>-1.110565</v>
      </c>
      <c r="AH521">
        <v>130.48179151304799</v>
      </c>
      <c r="AI521">
        <v>90.4872475527727</v>
      </c>
      <c r="AJ521">
        <v>92.321438207039606</v>
      </c>
      <c r="AK521">
        <v>130.59368687132201</v>
      </c>
      <c r="AL521">
        <v>84.184594149943095</v>
      </c>
      <c r="AM521">
        <v>97.247260538334999</v>
      </c>
      <c r="AN521">
        <v>1.00000000153154</v>
      </c>
    </row>
    <row r="522" spans="1:40" x14ac:dyDescent="0.25">
      <c r="A522" t="str">
        <f>"20190304154736291"</f>
        <v>20190304154736291</v>
      </c>
      <c r="B522" t="str">
        <f>"1551685656287175"</f>
        <v>1551685656287175</v>
      </c>
      <c r="C522" t="s">
        <v>40</v>
      </c>
      <c r="D522">
        <v>4.1956579999999999</v>
      </c>
      <c r="E522">
        <v>0.53210019999999902</v>
      </c>
      <c r="F522" t="s">
        <v>45</v>
      </c>
      <c r="G522">
        <v>-277.74239999999998</v>
      </c>
      <c r="H522">
        <v>-0.05</v>
      </c>
      <c r="I522">
        <v>370.23090000000002</v>
      </c>
      <c r="J522">
        <v>-421.1472</v>
      </c>
      <c r="K522">
        <v>1.060568</v>
      </c>
      <c r="L522">
        <v>366.54610000000002</v>
      </c>
      <c r="M522">
        <v>0.99982910000000003</v>
      </c>
      <c r="N522">
        <v>-1.180806E-2</v>
      </c>
      <c r="O522">
        <v>-1.4231580000000001E-2</v>
      </c>
      <c r="P522">
        <v>0.98972349999999998</v>
      </c>
      <c r="Q522">
        <v>8.9499889999999999E-2</v>
      </c>
      <c r="R522">
        <v>0.11152280000000001</v>
      </c>
      <c r="S522">
        <v>3.024597</v>
      </c>
      <c r="T522">
        <v>-2.340186E-2</v>
      </c>
      <c r="U522">
        <v>7.76062E-2</v>
      </c>
      <c r="V522">
        <v>-0.12559419999999999</v>
      </c>
      <c r="W522">
        <v>0.1011653</v>
      </c>
      <c r="X522">
        <v>0.98691019999999896</v>
      </c>
      <c r="Y522">
        <v>-3.9872079999999997E-2</v>
      </c>
      <c r="Z522">
        <v>3.3175419999999998E-4</v>
      </c>
      <c r="AA522">
        <v>0.9992048</v>
      </c>
      <c r="AB522">
        <v>23</v>
      </c>
      <c r="AC522">
        <v>143.40479999999999</v>
      </c>
      <c r="AD522">
        <v>-1.110568</v>
      </c>
      <c r="AE522">
        <v>3.6847999999999899</v>
      </c>
      <c r="AF522">
        <v>-5.7251026197222998</v>
      </c>
      <c r="AG522">
        <v>-1.110568</v>
      </c>
      <c r="AH522">
        <v>143.329240259107</v>
      </c>
      <c r="AI522">
        <v>90.443586304891198</v>
      </c>
      <c r="AJ522">
        <v>92.287390412036899</v>
      </c>
      <c r="AK522">
        <v>143.44783468056201</v>
      </c>
      <c r="AL522">
        <v>84.193722613175595</v>
      </c>
      <c r="AM522">
        <v>97.252477470497993</v>
      </c>
      <c r="AN522">
        <v>1.0000000319308799</v>
      </c>
    </row>
    <row r="523" spans="1:40" x14ac:dyDescent="0.25">
      <c r="A523" t="str">
        <f>"20190304154736302"</f>
        <v>20190304154736302</v>
      </c>
      <c r="B523" t="str">
        <f>"1551685656296935"</f>
        <v>1551685656296935</v>
      </c>
      <c r="C523" t="s">
        <v>40</v>
      </c>
      <c r="D523">
        <v>4.2016689999999999</v>
      </c>
      <c r="E523">
        <v>0.53244999999999998</v>
      </c>
      <c r="F523" t="s">
        <v>45</v>
      </c>
      <c r="G523">
        <v>-274.7004</v>
      </c>
      <c r="H523">
        <v>-0.05</v>
      </c>
      <c r="I523">
        <v>370.0505</v>
      </c>
      <c r="J523">
        <v>-421.02159999999998</v>
      </c>
      <c r="K523">
        <v>1.0605690000000001</v>
      </c>
      <c r="L523">
        <v>366.54430000000002</v>
      </c>
      <c r="M523">
        <v>0.99982879999999996</v>
      </c>
      <c r="N523">
        <v>-1.1831009999999999E-2</v>
      </c>
      <c r="O523">
        <v>-1.4231590000000001E-2</v>
      </c>
      <c r="P523">
        <v>0.98971019999999998</v>
      </c>
      <c r="Q523">
        <v>8.9446659999999997E-2</v>
      </c>
      <c r="R523">
        <v>0.11168260000000001</v>
      </c>
      <c r="S523">
        <v>3.0250240000000002</v>
      </c>
      <c r="T523">
        <v>-2.2940039999999998E-2</v>
      </c>
      <c r="U523">
        <v>7.2387699999999999E-2</v>
      </c>
      <c r="V523">
        <v>-0.12575359999999999</v>
      </c>
      <c r="W523">
        <v>0.1011345</v>
      </c>
      <c r="X523">
        <v>0.98689300000000002</v>
      </c>
      <c r="Y523">
        <v>-3.8145930000000002E-2</v>
      </c>
      <c r="Z523">
        <v>3.0987119999999999E-4</v>
      </c>
      <c r="AA523">
        <v>0.9992721</v>
      </c>
      <c r="AB523">
        <v>23</v>
      </c>
      <c r="AC523">
        <v>146.32119999999901</v>
      </c>
      <c r="AD523">
        <v>-1.1105689999999999</v>
      </c>
      <c r="AE523">
        <v>3.50619999999997</v>
      </c>
      <c r="AF523">
        <v>-5.5880520700052099</v>
      </c>
      <c r="AG523">
        <v>-1.1105689999999999</v>
      </c>
      <c r="AH523">
        <v>146.24805697153101</v>
      </c>
      <c r="AI523">
        <v>90.434763367351493</v>
      </c>
      <c r="AJ523">
        <v>92.188173502675696</v>
      </c>
      <c r="AK523">
        <v>146.35898967056701</v>
      </c>
      <c r="AL523">
        <v>84.1954960845394</v>
      </c>
      <c r="AM523">
        <v>97.261709092299995</v>
      </c>
      <c r="AN523">
        <v>0.99999997422610398</v>
      </c>
    </row>
    <row r="524" spans="1:40" x14ac:dyDescent="0.25">
      <c r="A524" t="str">
        <f>"20190304154736314"</f>
        <v>20190304154736314</v>
      </c>
      <c r="B524" t="str">
        <f>"1551685656307671"</f>
        <v>1551685656307671</v>
      </c>
      <c r="C524" t="s">
        <v>40</v>
      </c>
      <c r="D524">
        <v>4.1818790000000003</v>
      </c>
      <c r="E524">
        <v>0.53274379999999999</v>
      </c>
      <c r="F524" t="s">
        <v>44</v>
      </c>
      <c r="G524">
        <v>-266.4864</v>
      </c>
      <c r="H524" s="1">
        <v>-1.6275610000000001E-6</v>
      </c>
      <c r="I524">
        <v>370.1345</v>
      </c>
      <c r="J524">
        <v>-420.89429999999999</v>
      </c>
      <c r="K524">
        <v>1.0605709999999999</v>
      </c>
      <c r="L524">
        <v>366.54250000000002</v>
      </c>
      <c r="M524">
        <v>0.99982859999999996</v>
      </c>
      <c r="N524">
        <v>-1.185486E-2</v>
      </c>
      <c r="O524">
        <v>-1.423173E-2</v>
      </c>
      <c r="P524">
        <v>0.98969580000000001</v>
      </c>
      <c r="Q524">
        <v>8.9527289999999995E-2</v>
      </c>
      <c r="R524">
        <v>0.1117465</v>
      </c>
      <c r="S524">
        <v>3.0251459999999999</v>
      </c>
      <c r="T524">
        <v>-2.076149E-2</v>
      </c>
      <c r="U524">
        <v>7.0281979999999994E-2</v>
      </c>
      <c r="V524">
        <v>-0.1258177</v>
      </c>
      <c r="W524">
        <v>0.10123840000000001</v>
      </c>
      <c r="X524">
        <v>0.98687420000000003</v>
      </c>
      <c r="Y524">
        <v>-3.7450280000000002E-2</v>
      </c>
      <c r="Z524">
        <v>2.7948209999999999E-4</v>
      </c>
      <c r="AA524">
        <v>0.99929849999999998</v>
      </c>
      <c r="AB524">
        <v>23</v>
      </c>
      <c r="AC524">
        <v>154.40789999999899</v>
      </c>
      <c r="AD524">
        <v>-1.0605726275609999</v>
      </c>
      <c r="AE524">
        <v>3.5919999999999801</v>
      </c>
      <c r="AF524">
        <v>-5.7890088316369699</v>
      </c>
      <c r="AG524">
        <v>-1.0605726275609999</v>
      </c>
      <c r="AH524">
        <v>154.33385874027999</v>
      </c>
      <c r="AI524">
        <v>90.393450135749504</v>
      </c>
      <c r="AJ524">
        <v>92.148137484443495</v>
      </c>
      <c r="AK524">
        <v>154.44603391222401</v>
      </c>
      <c r="AL524">
        <v>84.189512473679002</v>
      </c>
      <c r="AM524">
        <v>97.265507966698394</v>
      </c>
      <c r="AN524">
        <v>0.99999999694674402</v>
      </c>
    </row>
    <row r="525" spans="1:40" x14ac:dyDescent="0.25">
      <c r="A525" t="str">
        <f>"20190304154736327"</f>
        <v>20190304154736327</v>
      </c>
      <c r="B525" t="str">
        <f>"1551685656317431"</f>
        <v>1551685656317431</v>
      </c>
      <c r="C525" t="s">
        <v>40</v>
      </c>
      <c r="D525">
        <v>4.1986780000000001</v>
      </c>
      <c r="E525">
        <v>0.53294359999999996</v>
      </c>
      <c r="F525" t="s">
        <v>44</v>
      </c>
      <c r="G525">
        <v>-257.44470000000001</v>
      </c>
      <c r="H525" s="1">
        <v>-1.2403020000000001E-6</v>
      </c>
      <c r="I525">
        <v>370.2242</v>
      </c>
      <c r="J525">
        <v>-420.76499999999999</v>
      </c>
      <c r="K525">
        <v>1.060575</v>
      </c>
      <c r="L525">
        <v>366.54070000000002</v>
      </c>
      <c r="M525">
        <v>0.99982819999999994</v>
      </c>
      <c r="N525">
        <v>-1.188057E-2</v>
      </c>
      <c r="O525">
        <v>-1.423164E-2</v>
      </c>
      <c r="P525">
        <v>0.9896857</v>
      </c>
      <c r="Q525">
        <v>8.9516600000000002E-2</v>
      </c>
      <c r="R525">
        <v>0.1118451</v>
      </c>
      <c r="S525">
        <v>3.025299</v>
      </c>
      <c r="T525">
        <v>-1.9630189999999999E-2</v>
      </c>
      <c r="U525">
        <v>6.8145750000000005E-2</v>
      </c>
      <c r="V525">
        <v>-0.12591630000000001</v>
      </c>
      <c r="W525">
        <v>0.1012526</v>
      </c>
      <c r="X525">
        <v>0.98686019999999997</v>
      </c>
      <c r="Y525">
        <v>-3.6743949999999997E-2</v>
      </c>
      <c r="Z525">
        <v>2.6077460000000001E-4</v>
      </c>
      <c r="AA525">
        <v>0.99932469999999995</v>
      </c>
      <c r="AB525">
        <v>23</v>
      </c>
      <c r="AC525">
        <v>163.32029999999901</v>
      </c>
      <c r="AD525">
        <v>-1.060576240302</v>
      </c>
      <c r="AE525">
        <v>3.68349999999998</v>
      </c>
      <c r="AF525">
        <v>-6.0073533318262804</v>
      </c>
      <c r="AG525">
        <v>-1.060576240302</v>
      </c>
      <c r="AH525">
        <v>163.24445095801701</v>
      </c>
      <c r="AI525">
        <v>90.371985601563097</v>
      </c>
      <c r="AJ525">
        <v>92.107518776890302</v>
      </c>
      <c r="AK525">
        <v>163.358390921921</v>
      </c>
      <c r="AL525">
        <v>84.188694858092902</v>
      </c>
      <c r="AM525">
        <v>97.271242888204597</v>
      </c>
      <c r="AN525">
        <v>1.00000002897824</v>
      </c>
    </row>
    <row r="526" spans="1:40" x14ac:dyDescent="0.25">
      <c r="A526" t="str">
        <f>"20190304154736344"</f>
        <v>20190304154736344</v>
      </c>
      <c r="B526" t="str">
        <f>"1551685656337927"</f>
        <v>1551685656337927</v>
      </c>
      <c r="C526" t="s">
        <v>40</v>
      </c>
      <c r="D526">
        <v>4.1991909999999999</v>
      </c>
      <c r="E526">
        <v>0.53311709999999901</v>
      </c>
      <c r="F526" t="s">
        <v>44</v>
      </c>
      <c r="G526">
        <v>-252.16900000000001</v>
      </c>
      <c r="H526" s="1">
        <v>-3.5139360000000001E-6</v>
      </c>
      <c r="I526">
        <v>370.26330000000002</v>
      </c>
      <c r="J526">
        <v>-420.58</v>
      </c>
      <c r="K526">
        <v>1.0605770000000001</v>
      </c>
      <c r="L526">
        <v>366.53809999999999</v>
      </c>
      <c r="M526">
        <v>0.99982769999999999</v>
      </c>
      <c r="N526">
        <v>-1.192095E-2</v>
      </c>
      <c r="O526">
        <v>-1.4231519999999999E-2</v>
      </c>
      <c r="P526">
        <v>0.98966410000000005</v>
      </c>
      <c r="Q526">
        <v>8.9623530000000007E-2</v>
      </c>
      <c r="R526">
        <v>0.1119501</v>
      </c>
      <c r="S526">
        <v>3.0254819999999998</v>
      </c>
      <c r="T526">
        <v>-1.9032239999999999E-2</v>
      </c>
      <c r="U526">
        <v>6.6802979999999998E-2</v>
      </c>
      <c r="V526">
        <v>-0.12602079999999999</v>
      </c>
      <c r="W526">
        <v>0.1013997</v>
      </c>
      <c r="X526">
        <v>0.98683169999999998</v>
      </c>
      <c r="Y526">
        <v>-3.6299270000000002E-2</v>
      </c>
      <c r="Z526">
        <v>2.5043610000000002E-4</v>
      </c>
      <c r="AA526">
        <v>0.99934100000000003</v>
      </c>
      <c r="AB526">
        <v>23</v>
      </c>
      <c r="AC526">
        <v>168.41099999999901</v>
      </c>
      <c r="AD526">
        <v>-1.0605805139360001</v>
      </c>
      <c r="AE526">
        <v>3.7252000000000201</v>
      </c>
      <c r="AF526">
        <v>-6.12149476987216</v>
      </c>
      <c r="AG526">
        <v>-1.0605805139360001</v>
      </c>
      <c r="AH526">
        <v>168.33425025682399</v>
      </c>
      <c r="AI526">
        <v>90.360745628944898</v>
      </c>
      <c r="AJ526">
        <v>92.082650023726103</v>
      </c>
      <c r="AK526">
        <v>168.44885674521899</v>
      </c>
      <c r="AL526">
        <v>84.180222718067895</v>
      </c>
      <c r="AM526">
        <v>97.277420663459907</v>
      </c>
      <c r="AN526">
        <v>0.99999997265880902</v>
      </c>
    </row>
    <row r="527" spans="1:40" x14ac:dyDescent="0.25">
      <c r="A527" t="str">
        <f>"20190304154736357"</f>
        <v>20190304154736357</v>
      </c>
      <c r="B527" t="str">
        <f>"1551685656347687"</f>
        <v>1551685656347687</v>
      </c>
      <c r="C527" t="s">
        <v>40</v>
      </c>
      <c r="D527">
        <v>4.2250180000000004</v>
      </c>
      <c r="E527">
        <v>0.53322009999999997</v>
      </c>
      <c r="F527" t="s">
        <v>44</v>
      </c>
      <c r="G527">
        <v>-238.7285</v>
      </c>
      <c r="H527" s="1">
        <v>-7.5901409999999996E-7</v>
      </c>
      <c r="I527">
        <v>370.48540000000003</v>
      </c>
      <c r="J527">
        <v>-420.45049999999998</v>
      </c>
      <c r="K527">
        <v>1.0605819999999999</v>
      </c>
      <c r="L527">
        <v>366.53620000000001</v>
      </c>
      <c r="M527">
        <v>0.99982749999999998</v>
      </c>
      <c r="N527">
        <v>-1.1952000000000001E-2</v>
      </c>
      <c r="O527">
        <v>-1.4231229999999999E-2</v>
      </c>
      <c r="P527">
        <v>0.98969019999999996</v>
      </c>
      <c r="Q527">
        <v>8.9552099999999996E-2</v>
      </c>
      <c r="R527">
        <v>0.11177579999999999</v>
      </c>
      <c r="S527">
        <v>3.0255130000000001</v>
      </c>
      <c r="T527">
        <v>-1.764512E-2</v>
      </c>
      <c r="U527">
        <v>6.5673830000000002E-2</v>
      </c>
      <c r="V527">
        <v>-0.12584629999999999</v>
      </c>
      <c r="W527">
        <v>0.1013589</v>
      </c>
      <c r="X527">
        <v>0.98685820000000002</v>
      </c>
      <c r="Y527">
        <v>-3.5926130000000001E-2</v>
      </c>
      <c r="Z527">
        <v>2.323941E-4</v>
      </c>
      <c r="AA527">
        <v>0.99935439999999998</v>
      </c>
      <c r="AB527">
        <v>23</v>
      </c>
      <c r="AC527">
        <v>181.72200000000001</v>
      </c>
      <c r="AD527">
        <v>-1.0605827590140999</v>
      </c>
      <c r="AE527">
        <v>3.94920000000001</v>
      </c>
      <c r="AF527">
        <v>-6.5348893075780001</v>
      </c>
      <c r="AG527">
        <v>-1.0605827590140999</v>
      </c>
      <c r="AH527">
        <v>181.64120438293801</v>
      </c>
      <c r="AI527">
        <v>90.334323583549306</v>
      </c>
      <c r="AJ527">
        <v>92.060436456688905</v>
      </c>
      <c r="AK527">
        <v>181.76181321646001</v>
      </c>
      <c r="AL527">
        <v>84.182572724149196</v>
      </c>
      <c r="AM527">
        <v>97.267258420576297</v>
      </c>
      <c r="AN527">
        <v>1.0000000123700701</v>
      </c>
    </row>
    <row r="528" spans="1:40" x14ac:dyDescent="0.25">
      <c r="A528" t="str">
        <f>"20190304154736369"</f>
        <v>20190304154736369</v>
      </c>
      <c r="B528" t="str">
        <f>"1551685656357448"</f>
        <v>1551685656357448</v>
      </c>
      <c r="C528" t="s">
        <v>40</v>
      </c>
      <c r="D528">
        <v>4.2425280000000001</v>
      </c>
      <c r="E528">
        <v>0.5333002</v>
      </c>
      <c r="F528" t="s">
        <v>44</v>
      </c>
      <c r="G528">
        <v>-242.26310000000001</v>
      </c>
      <c r="H528" s="1">
        <v>-3.825804E-6</v>
      </c>
      <c r="I528">
        <v>370.32299999999998</v>
      </c>
      <c r="J528">
        <v>-420.32150000000001</v>
      </c>
      <c r="K528">
        <v>1.0605960000000001</v>
      </c>
      <c r="L528">
        <v>366.53440000000001</v>
      </c>
      <c r="M528">
        <v>0.99982700000000002</v>
      </c>
      <c r="N528">
        <v>-1.1985310000000001E-2</v>
      </c>
      <c r="O528">
        <v>-1.4230110000000001E-2</v>
      </c>
      <c r="P528">
        <v>0.98966779999999999</v>
      </c>
      <c r="Q528">
        <v>8.9703199999999997E-2</v>
      </c>
      <c r="R528">
        <v>0.1118533</v>
      </c>
      <c r="S528">
        <v>3.0256959999999999</v>
      </c>
      <c r="T528">
        <v>-1.8009190000000001E-2</v>
      </c>
      <c r="U528">
        <v>6.4300540000000003E-2</v>
      </c>
      <c r="V528">
        <v>-0.12592249999999999</v>
      </c>
      <c r="W528">
        <v>0.10154249999999999</v>
      </c>
      <c r="X528">
        <v>0.98682959999999997</v>
      </c>
      <c r="Y528">
        <v>-3.5470300000000003E-2</v>
      </c>
      <c r="Z528">
        <v>2.3229779999999999E-4</v>
      </c>
      <c r="AA528">
        <v>0.99937069999999995</v>
      </c>
      <c r="AB528">
        <v>23</v>
      </c>
      <c r="AC528">
        <v>178.05840000000001</v>
      </c>
      <c r="AD528">
        <v>-1.0605998258039999</v>
      </c>
      <c r="AE528">
        <v>3.7886000000000299</v>
      </c>
      <c r="AF528">
        <v>-6.3219645428826698</v>
      </c>
      <c r="AG528">
        <v>-1.0605998258039999</v>
      </c>
      <c r="AH528">
        <v>177.98014057901901</v>
      </c>
      <c r="AI528">
        <v>90.3412115308018</v>
      </c>
      <c r="AJ528">
        <v>92.034326191710505</v>
      </c>
      <c r="AK528">
        <v>178.09554331369301</v>
      </c>
      <c r="AL528">
        <v>84.171998633779694</v>
      </c>
      <c r="AM528">
        <v>97.271820152307399</v>
      </c>
      <c r="AN528">
        <v>1.00000000737432</v>
      </c>
    </row>
    <row r="529" spans="1:40" x14ac:dyDescent="0.25">
      <c r="A529" t="str">
        <f>"20190304154736380"</f>
        <v>20190304154736380</v>
      </c>
      <c r="B529" t="str">
        <f>"1551685656376967"</f>
        <v>1551685656376967</v>
      </c>
      <c r="C529" t="s">
        <v>40</v>
      </c>
      <c r="D529">
        <v>4.2297560000000001</v>
      </c>
      <c r="E529">
        <v>0.53343339999999995</v>
      </c>
      <c r="F529" t="s">
        <v>44</v>
      </c>
      <c r="G529">
        <v>-236.4896</v>
      </c>
      <c r="H529" s="1">
        <v>-1.6997889999999999E-6</v>
      </c>
      <c r="I529">
        <v>370.41129999999998</v>
      </c>
      <c r="J529">
        <v>-420.2056</v>
      </c>
      <c r="K529">
        <v>1.0606040000000001</v>
      </c>
      <c r="L529">
        <v>366.53269999999998</v>
      </c>
      <c r="M529">
        <v>0.99982669999999996</v>
      </c>
      <c r="N529">
        <v>-1.202014E-2</v>
      </c>
      <c r="O529">
        <v>-1.422647E-2</v>
      </c>
      <c r="P529">
        <v>0.98967830000000001</v>
      </c>
      <c r="Q529">
        <v>8.9558780000000004E-2</v>
      </c>
      <c r="R529">
        <v>0.1118772</v>
      </c>
      <c r="S529">
        <v>3.0256959999999999</v>
      </c>
      <c r="T529">
        <v>-1.7456409999999999E-2</v>
      </c>
      <c r="U529">
        <v>6.3812259999999996E-2</v>
      </c>
      <c r="V529">
        <v>-0.12594320000000001</v>
      </c>
      <c r="W529">
        <v>0.10143190000000001</v>
      </c>
      <c r="X529">
        <v>0.98683829999999995</v>
      </c>
      <c r="Y529">
        <v>-3.5305540000000003E-2</v>
      </c>
      <c r="Z529">
        <v>2.2513740000000001E-4</v>
      </c>
      <c r="AA529">
        <v>0.9993765</v>
      </c>
      <c r="AB529">
        <v>23</v>
      </c>
      <c r="AC529">
        <v>183.71599999999901</v>
      </c>
      <c r="AD529">
        <v>-1.0606056997890001</v>
      </c>
      <c r="AE529">
        <v>3.8786</v>
      </c>
      <c r="AF529">
        <v>-6.4918097551266198</v>
      </c>
      <c r="AG529">
        <v>-1.0606056997890001</v>
      </c>
      <c r="AH529">
        <v>183.636104684179</v>
      </c>
      <c r="AI529">
        <v>90.330706315621399</v>
      </c>
      <c r="AJ529">
        <v>92.024647986844002</v>
      </c>
      <c r="AK529">
        <v>183.753877297667</v>
      </c>
      <c r="AL529">
        <v>84.178368247006901</v>
      </c>
      <c r="AM529">
        <v>97.272939312532699</v>
      </c>
      <c r="AN529">
        <v>0.99999997515536898</v>
      </c>
    </row>
    <row r="530" spans="1:40" x14ac:dyDescent="0.25">
      <c r="A530" t="str">
        <f>"20190304154736393"</f>
        <v>20190304154736393</v>
      </c>
      <c r="B530" t="str">
        <f>"1551685656387703"</f>
        <v>1551685656387703</v>
      </c>
      <c r="C530" t="s">
        <v>40</v>
      </c>
      <c r="D530">
        <v>4.2336210000000003</v>
      </c>
      <c r="E530">
        <v>0.53348399999999996</v>
      </c>
      <c r="F530" t="s">
        <v>44</v>
      </c>
      <c r="G530">
        <v>-240.26400000000001</v>
      </c>
      <c r="H530" s="1">
        <v>-4.726438E-6</v>
      </c>
      <c r="I530">
        <v>370.27319999999997</v>
      </c>
      <c r="J530">
        <v>-420.07479999999998</v>
      </c>
      <c r="K530">
        <v>1.060613</v>
      </c>
      <c r="L530">
        <v>366.53089999999997</v>
      </c>
      <c r="M530">
        <v>0.99982610000000005</v>
      </c>
      <c r="N530">
        <v>-1.2061850000000001E-2</v>
      </c>
      <c r="O530">
        <v>-1.4220969999999999E-2</v>
      </c>
      <c r="P530">
        <v>0.98971750000000003</v>
      </c>
      <c r="Q530">
        <v>8.9173139999999998E-2</v>
      </c>
      <c r="R530">
        <v>0.1118369</v>
      </c>
      <c r="S530">
        <v>3.0257869999999998</v>
      </c>
      <c r="T530">
        <v>-1.7834539999999999E-2</v>
      </c>
      <c r="U530">
        <v>6.2896729999999998E-2</v>
      </c>
      <c r="V530">
        <v>-0.12589919999999999</v>
      </c>
      <c r="W530">
        <v>0.1010875</v>
      </c>
      <c r="X530">
        <v>0.98687930000000001</v>
      </c>
      <c r="Y530">
        <v>-3.4997109999999998E-2</v>
      </c>
      <c r="Z530">
        <v>2.265224E-4</v>
      </c>
      <c r="AA530">
        <v>0.99938740000000004</v>
      </c>
      <c r="AB530">
        <v>23</v>
      </c>
      <c r="AC530">
        <v>179.81079999999901</v>
      </c>
      <c r="AD530">
        <v>-1.0606177264379999</v>
      </c>
      <c r="AE530">
        <v>3.7423000000000002</v>
      </c>
      <c r="AF530">
        <v>-6.2989725333319404</v>
      </c>
      <c r="AG530">
        <v>-1.0606177264379999</v>
      </c>
      <c r="AH530">
        <v>179.733140651328</v>
      </c>
      <c r="AI530">
        <v>90.337895004013404</v>
      </c>
      <c r="AJ530">
        <v>92.007180700400696</v>
      </c>
      <c r="AK530">
        <v>179.846611903943</v>
      </c>
      <c r="AL530">
        <v>84.198203136136101</v>
      </c>
      <c r="AM530">
        <v>97.270126784071095</v>
      </c>
      <c r="AN530">
        <v>1.0000000219926799</v>
      </c>
    </row>
    <row r="531" spans="1:40" x14ac:dyDescent="0.25">
      <c r="A531" t="str">
        <f>"20190304154736405"</f>
        <v>20190304154736405</v>
      </c>
      <c r="B531" t="str">
        <f>"1551685656397463"</f>
        <v>1551685656397463</v>
      </c>
      <c r="C531" t="s">
        <v>40</v>
      </c>
      <c r="D531">
        <v>4.2436970000000001</v>
      </c>
      <c r="E531">
        <v>0.5335628</v>
      </c>
      <c r="F531" t="s">
        <v>44</v>
      </c>
      <c r="G531">
        <v>-252.32919999999999</v>
      </c>
      <c r="H531" s="1">
        <v>-3.3713199999999902E-6</v>
      </c>
      <c r="I531">
        <v>369.98559999999998</v>
      </c>
      <c r="J531">
        <v>-419.93979999999999</v>
      </c>
      <c r="K531">
        <v>1.0606199999999999</v>
      </c>
      <c r="L531">
        <v>366.52890000000002</v>
      </c>
      <c r="M531">
        <v>0.99982579999999999</v>
      </c>
      <c r="N531">
        <v>-1.211331E-2</v>
      </c>
      <c r="O531">
        <v>-1.4209640000000001E-2</v>
      </c>
      <c r="P531">
        <v>0.98974479999999998</v>
      </c>
      <c r="Q531">
        <v>8.8926450000000004E-2</v>
      </c>
      <c r="R531">
        <v>0.1117914</v>
      </c>
      <c r="S531">
        <v>3.0258180000000001</v>
      </c>
      <c r="T531">
        <v>-1.9131539999999999E-2</v>
      </c>
      <c r="U531">
        <v>6.231689E-2</v>
      </c>
      <c r="V531">
        <v>-0.12584380000000001</v>
      </c>
      <c r="W531">
        <v>0.1008902</v>
      </c>
      <c r="X531">
        <v>0.98690650000000002</v>
      </c>
      <c r="Y531">
        <v>-3.4794020000000002E-2</v>
      </c>
      <c r="Z531">
        <v>2.3847739999999999E-4</v>
      </c>
      <c r="AA531">
        <v>0.99939449999999996</v>
      </c>
      <c r="AB531">
        <v>23</v>
      </c>
      <c r="AC531">
        <v>167.61060000000001</v>
      </c>
      <c r="AD531">
        <v>-1.06062337132</v>
      </c>
      <c r="AE531">
        <v>3.4566999999999499</v>
      </c>
      <c r="AF531">
        <v>-5.8379779977334598</v>
      </c>
      <c r="AG531">
        <v>-1.06062337132</v>
      </c>
      <c r="AH531">
        <v>167.53784739975899</v>
      </c>
      <c r="AI531">
        <v>90.362494643788693</v>
      </c>
      <c r="AJ531">
        <v>91.995705575109398</v>
      </c>
      <c r="AK531">
        <v>167.642885982027</v>
      </c>
      <c r="AL531">
        <v>84.209565364623103</v>
      </c>
      <c r="AM531">
        <v>97.266763739511106</v>
      </c>
      <c r="AN531">
        <v>0.99999996709836403</v>
      </c>
    </row>
    <row r="532" spans="1:40" x14ac:dyDescent="0.25">
      <c r="A532" t="str">
        <f>"20190304154736423"</f>
        <v>20190304154736423</v>
      </c>
      <c r="B532" t="str">
        <f>"1551685656416983"</f>
        <v>1551685656416983</v>
      </c>
      <c r="C532" t="s">
        <v>40</v>
      </c>
      <c r="D532">
        <v>4.2465970000000004</v>
      </c>
      <c r="E532">
        <v>0.53360719999999995</v>
      </c>
      <c r="F532" t="s">
        <v>44</v>
      </c>
      <c r="G532">
        <v>-259.87560000000002</v>
      </c>
      <c r="H532" s="1">
        <v>-8.0102699999999996E-8</v>
      </c>
      <c r="I532">
        <v>369.7833</v>
      </c>
      <c r="J532">
        <v>-419.76249999999999</v>
      </c>
      <c r="K532">
        <v>1.0606439999999999</v>
      </c>
      <c r="L532">
        <v>366.52640000000002</v>
      </c>
      <c r="M532">
        <v>0.99982510000000002</v>
      </c>
      <c r="N532">
        <v>-1.219042E-2</v>
      </c>
      <c r="O532">
        <v>-1.41882999999999E-2</v>
      </c>
      <c r="P532">
        <v>0.98983690000000002</v>
      </c>
      <c r="Q532">
        <v>8.8072819999999996E-2</v>
      </c>
      <c r="R532">
        <v>0.1116516</v>
      </c>
      <c r="S532">
        <v>3.0259399999999999</v>
      </c>
      <c r="T532">
        <v>-2.005053E-2</v>
      </c>
      <c r="U532">
        <v>6.1523439999999999E-2</v>
      </c>
      <c r="V532">
        <v>-0.12568579999999999</v>
      </c>
      <c r="W532">
        <v>0.1001116</v>
      </c>
      <c r="X532">
        <v>0.98700589999999999</v>
      </c>
      <c r="Y532">
        <v>-3.4509819999999997E-2</v>
      </c>
      <c r="Z532">
        <v>2.4575779999999999E-4</v>
      </c>
      <c r="AA532">
        <v>0.99940430000000002</v>
      </c>
      <c r="AB532">
        <v>23</v>
      </c>
      <c r="AC532">
        <v>159.886899999999</v>
      </c>
      <c r="AD532">
        <v>-1.0606440801026999</v>
      </c>
      <c r="AE532">
        <v>3.2568999999999702</v>
      </c>
      <c r="AF532">
        <v>-5.5250207971437</v>
      </c>
      <c r="AG532">
        <v>-1.0606440801026999</v>
      </c>
      <c r="AH532">
        <v>159.817560208907</v>
      </c>
      <c r="AI532">
        <v>90.3800161673487</v>
      </c>
      <c r="AJ532">
        <v>91.979972363494895</v>
      </c>
      <c r="AK532">
        <v>159.91655127534901</v>
      </c>
      <c r="AL532">
        <v>84.254402774715899</v>
      </c>
      <c r="AM532">
        <v>97.257014357312499</v>
      </c>
      <c r="AN532">
        <v>0.99999994970550299</v>
      </c>
    </row>
    <row r="533" spans="1:40" x14ac:dyDescent="0.25">
      <c r="A533" t="str">
        <f>"20190304154736437"</f>
        <v>20190304154736437</v>
      </c>
      <c r="B533" t="str">
        <f>"1551685656427718"</f>
        <v>1551685656427718</v>
      </c>
      <c r="C533" t="s">
        <v>40</v>
      </c>
      <c r="D533">
        <v>4.2289709999999996</v>
      </c>
      <c r="E533">
        <v>0.5336187</v>
      </c>
      <c r="F533" t="s">
        <v>45</v>
      </c>
      <c r="G533">
        <v>-273.93599999999998</v>
      </c>
      <c r="H533">
        <v>-0.05</v>
      </c>
      <c r="I533">
        <v>369.44119999999998</v>
      </c>
      <c r="J533">
        <v>-419.61590000000001</v>
      </c>
      <c r="K533">
        <v>1.0606640000000001</v>
      </c>
      <c r="L533">
        <v>366.52429999999998</v>
      </c>
      <c r="M533">
        <v>0.9998245</v>
      </c>
      <c r="N533">
        <v>-1.226358E-2</v>
      </c>
      <c r="O533">
        <v>-1.4164309999999999E-2</v>
      </c>
      <c r="P533">
        <v>0.98987159999999996</v>
      </c>
      <c r="Q533">
        <v>8.8020399999999999E-2</v>
      </c>
      <c r="R533">
        <v>0.11138389999999999</v>
      </c>
      <c r="S533">
        <v>3.026062</v>
      </c>
      <c r="T533">
        <v>-2.3047089999999999E-2</v>
      </c>
      <c r="U533">
        <v>6.0485839999999999E-2</v>
      </c>
      <c r="V533">
        <v>-0.12539649999999999</v>
      </c>
      <c r="W533">
        <v>0.1001297</v>
      </c>
      <c r="X533">
        <v>0.9870409</v>
      </c>
      <c r="Y533">
        <v>-3.4142119999999998E-2</v>
      </c>
      <c r="Z533">
        <v>2.7356359999999998E-4</v>
      </c>
      <c r="AA533">
        <v>0.99941690000000005</v>
      </c>
      <c r="AB533">
        <v>23</v>
      </c>
      <c r="AC533">
        <v>145.6799</v>
      </c>
      <c r="AD533">
        <v>-1.1106639999999901</v>
      </c>
      <c r="AE533">
        <v>2.9168999999999898</v>
      </c>
      <c r="AF533">
        <v>-4.9799283848071996</v>
      </c>
      <c r="AG533">
        <v>-1.1106639999999901</v>
      </c>
      <c r="AH533">
        <v>145.61550380664701</v>
      </c>
      <c r="AI533">
        <v>90.4367525762176</v>
      </c>
      <c r="AJ533">
        <v>91.958704332213799</v>
      </c>
      <c r="AK533">
        <v>145.70486680307599</v>
      </c>
      <c r="AL533">
        <v>84.253360708433306</v>
      </c>
      <c r="AM533">
        <v>97.240233818069797</v>
      </c>
      <c r="AN533">
        <v>0.99999998865357498</v>
      </c>
    </row>
    <row r="534" spans="1:40" x14ac:dyDescent="0.25">
      <c r="A534" t="str">
        <f>"20190304154736450"</f>
        <v>20190304154736450</v>
      </c>
      <c r="B534" t="str">
        <f>"1551685656447239"</f>
        <v>1551685656447239</v>
      </c>
      <c r="C534" t="s">
        <v>40</v>
      </c>
      <c r="D534">
        <v>4.2328989999999997</v>
      </c>
      <c r="E534">
        <v>0.53361610000000004</v>
      </c>
      <c r="F534" t="s">
        <v>45</v>
      </c>
      <c r="G534">
        <v>-277.2097</v>
      </c>
      <c r="H534">
        <v>-0.05</v>
      </c>
      <c r="I534">
        <v>369.34629999999999</v>
      </c>
      <c r="J534">
        <v>-419.47669999999999</v>
      </c>
      <c r="K534">
        <v>1.0606880000000001</v>
      </c>
      <c r="L534">
        <v>366.5224</v>
      </c>
      <c r="M534">
        <v>0.99982389999999999</v>
      </c>
      <c r="N534">
        <v>-1.234154E-2</v>
      </c>
      <c r="O534">
        <v>-1.4136299999999999E-2</v>
      </c>
      <c r="P534">
        <v>0.98988770000000004</v>
      </c>
      <c r="Q534">
        <v>8.7998759999999995E-2</v>
      </c>
      <c r="R534">
        <v>0.1112597</v>
      </c>
      <c r="S534">
        <v>3.0260929999999999</v>
      </c>
      <c r="T534">
        <v>-2.360129E-2</v>
      </c>
      <c r="U534">
        <v>5.9967039999999999E-2</v>
      </c>
      <c r="V534">
        <v>-0.1252472</v>
      </c>
      <c r="W534">
        <v>0.1001833</v>
      </c>
      <c r="X534">
        <v>0.9870544</v>
      </c>
      <c r="Y534">
        <v>-3.3942569999999998E-2</v>
      </c>
      <c r="Z534">
        <v>2.7762540000000001E-4</v>
      </c>
      <c r="AA534">
        <v>0.99942370000000003</v>
      </c>
      <c r="AB534">
        <v>23</v>
      </c>
      <c r="AC534">
        <v>142.267</v>
      </c>
      <c r="AD534">
        <v>-1.1106879999999999</v>
      </c>
      <c r="AE534">
        <v>2.8238999999999801</v>
      </c>
      <c r="AF534">
        <v>-4.8346054226150503</v>
      </c>
      <c r="AG534">
        <v>-1.1106879999999999</v>
      </c>
      <c r="AH534">
        <v>142.20419564982501</v>
      </c>
      <c r="AI534">
        <v>90.447242059692499</v>
      </c>
      <c r="AJ534">
        <v>91.947170655628597</v>
      </c>
      <c r="AK534">
        <v>142.29068942780199</v>
      </c>
      <c r="AL534">
        <v>84.250274036189396</v>
      </c>
      <c r="AM534">
        <v>97.231606880387304</v>
      </c>
      <c r="AN534">
        <v>0.99999997163304399</v>
      </c>
    </row>
    <row r="535" spans="1:40" x14ac:dyDescent="0.25">
      <c r="A535" t="str">
        <f>"20190304154736468"</f>
        <v>20190304154736468</v>
      </c>
      <c r="B535" t="str">
        <f>"1551685656456999"</f>
        <v>1551685656456999</v>
      </c>
      <c r="C535" t="s">
        <v>40</v>
      </c>
      <c r="D535">
        <v>4.2312059999999896</v>
      </c>
      <c r="E535">
        <v>0.53363760000000005</v>
      </c>
      <c r="F535" t="s">
        <v>45</v>
      </c>
      <c r="G535">
        <v>-281.92649999999998</v>
      </c>
      <c r="H535">
        <v>-0.05</v>
      </c>
      <c r="I535">
        <v>369.21769999999998</v>
      </c>
      <c r="J535">
        <v>-419.28809999999999</v>
      </c>
      <c r="K535">
        <v>1.06072099999999</v>
      </c>
      <c r="L535">
        <v>366.51979999999998</v>
      </c>
      <c r="M535">
        <v>0.99982320000000002</v>
      </c>
      <c r="N535">
        <v>-1.246119E-2</v>
      </c>
      <c r="O535">
        <v>-1.40862E-2</v>
      </c>
      <c r="P535">
        <v>0.98991410000000002</v>
      </c>
      <c r="Q535">
        <v>8.8346759999999996E-2</v>
      </c>
      <c r="R535">
        <v>0.1107474</v>
      </c>
      <c r="S535">
        <v>3.0261230000000001</v>
      </c>
      <c r="T535">
        <v>-2.443528E-2</v>
      </c>
      <c r="U535">
        <v>5.9295649999999998E-2</v>
      </c>
      <c r="V535">
        <v>-0.1246882</v>
      </c>
      <c r="W535">
        <v>0.10064629999999999</v>
      </c>
      <c r="X535">
        <v>0.98707809999999996</v>
      </c>
      <c r="Y535">
        <v>-3.3670560000000002E-2</v>
      </c>
      <c r="Z535">
        <v>2.8396109999999998E-4</v>
      </c>
      <c r="AA535">
        <v>0.99943289999999996</v>
      </c>
      <c r="AB535">
        <v>23</v>
      </c>
      <c r="AC535">
        <v>137.36160000000001</v>
      </c>
      <c r="AD535">
        <v>-1.1107209999999901</v>
      </c>
      <c r="AE535">
        <v>2.6979000000000002</v>
      </c>
      <c r="AF535">
        <v>-4.6323825980623701</v>
      </c>
      <c r="AG535">
        <v>-1.1107209999999901</v>
      </c>
      <c r="AH535">
        <v>137.300989399342</v>
      </c>
      <c r="AI535">
        <v>90.463230818399197</v>
      </c>
      <c r="AJ535">
        <v>91.932362855304802</v>
      </c>
      <c r="AK535">
        <v>137.38360295069</v>
      </c>
      <c r="AL535">
        <v>84.223611492531703</v>
      </c>
      <c r="AM535">
        <v>97.199499342436894</v>
      </c>
      <c r="AN535">
        <v>1.0000000002112699</v>
      </c>
    </row>
    <row r="536" spans="1:40" x14ac:dyDescent="0.25">
      <c r="A536" t="str">
        <f>"20190304154736481"</f>
        <v>20190304154736481</v>
      </c>
      <c r="B536" t="str">
        <f>"1551685656477495"</f>
        <v>1551685656477495</v>
      </c>
      <c r="C536" t="s">
        <v>40</v>
      </c>
      <c r="D536">
        <v>4.255363</v>
      </c>
      <c r="E536">
        <v>0.53361759999999903</v>
      </c>
      <c r="F536" t="s">
        <v>45</v>
      </c>
      <c r="G536">
        <v>-277.2405</v>
      </c>
      <c r="H536">
        <v>-0.05</v>
      </c>
      <c r="I536">
        <v>369.22570000000002</v>
      </c>
      <c r="J536">
        <v>-419.15429999999998</v>
      </c>
      <c r="K536">
        <v>1.0607420000000001</v>
      </c>
      <c r="L536">
        <v>366.5179</v>
      </c>
      <c r="M536">
        <v>0.99982269999999895</v>
      </c>
      <c r="N536">
        <v>-1.255502E-2</v>
      </c>
      <c r="O536">
        <v>-1.404351E-2</v>
      </c>
      <c r="P536">
        <v>0.98989859999999996</v>
      </c>
      <c r="Q536">
        <v>8.8507440000000007E-2</v>
      </c>
      <c r="R536">
        <v>0.1107591</v>
      </c>
      <c r="S536">
        <v>3.0262150000000001</v>
      </c>
      <c r="T536">
        <v>-2.366304E-2</v>
      </c>
      <c r="U536">
        <v>5.7647709999999998E-2</v>
      </c>
      <c r="V536">
        <v>-0.1246596</v>
      </c>
      <c r="W536">
        <v>0.1008978</v>
      </c>
      <c r="X536">
        <v>0.98705600000000004</v>
      </c>
      <c r="Y536">
        <v>-3.3083389999999997E-2</v>
      </c>
      <c r="Z536">
        <v>2.7054120000000002E-4</v>
      </c>
      <c r="AA536">
        <v>0.99945249999999997</v>
      </c>
      <c r="AB536">
        <v>23</v>
      </c>
      <c r="AC536">
        <v>141.91379999999899</v>
      </c>
      <c r="AD536">
        <v>-1.1107419999999999</v>
      </c>
      <c r="AE536">
        <v>2.7078000000000202</v>
      </c>
      <c r="AF536">
        <v>-4.7003697715547297</v>
      </c>
      <c r="AG536">
        <v>-1.1107419999999999</v>
      </c>
      <c r="AH536">
        <v>141.853086206634</v>
      </c>
      <c r="AI536">
        <v>90.448383769167407</v>
      </c>
      <c r="AJ536">
        <v>91.897828646442903</v>
      </c>
      <c r="AK536">
        <v>141.935285571018</v>
      </c>
      <c r="AL536">
        <v>84.209127668331405</v>
      </c>
      <c r="AM536">
        <v>97.198024768125606</v>
      </c>
      <c r="AN536">
        <v>0.99999996452649897</v>
      </c>
    </row>
    <row r="537" spans="1:40" x14ac:dyDescent="0.25">
      <c r="A537" t="str">
        <f>"20190304154736493"</f>
        <v>20190304154736493</v>
      </c>
      <c r="B537" t="str">
        <f>"1551685656487256"</f>
        <v>1551685656487256</v>
      </c>
      <c r="C537" t="s">
        <v>40</v>
      </c>
      <c r="D537">
        <v>4.208215</v>
      </c>
      <c r="E537">
        <v>0.53359690000000004</v>
      </c>
      <c r="F537" t="s">
        <v>45</v>
      </c>
      <c r="G537">
        <v>-273.51839999999999</v>
      </c>
      <c r="H537">
        <v>-0.05</v>
      </c>
      <c r="I537">
        <v>369.31279999999998</v>
      </c>
      <c r="J537">
        <v>-419.02839999999998</v>
      </c>
      <c r="K537">
        <v>1.060765</v>
      </c>
      <c r="L537">
        <v>366.51620000000003</v>
      </c>
      <c r="M537">
        <v>0.99982210000000005</v>
      </c>
      <c r="N537">
        <v>-1.2646559999999999E-2</v>
      </c>
      <c r="O537">
        <v>-1.399999E-2</v>
      </c>
      <c r="P537">
        <v>0.98991750000000001</v>
      </c>
      <c r="Q537">
        <v>8.8436180000000003E-2</v>
      </c>
      <c r="R537">
        <v>0.11064649999999999</v>
      </c>
      <c r="S537">
        <v>3.0261840000000002</v>
      </c>
      <c r="T537">
        <v>-2.308023E-2</v>
      </c>
      <c r="U537">
        <v>5.807495E-2</v>
      </c>
      <c r="V537">
        <v>-0.12450600000000001</v>
      </c>
      <c r="W537">
        <v>0.1009149</v>
      </c>
      <c r="X537">
        <v>0.98707370000000005</v>
      </c>
      <c r="Y537">
        <v>-3.3181199999999897E-2</v>
      </c>
      <c r="Z537">
        <v>2.6609300000000002E-4</v>
      </c>
      <c r="AA537">
        <v>0.99944929999999998</v>
      </c>
      <c r="AB537">
        <v>23</v>
      </c>
      <c r="AC537">
        <v>145.51</v>
      </c>
      <c r="AD537">
        <v>-1.110765</v>
      </c>
      <c r="AE537">
        <v>2.79659999999995</v>
      </c>
      <c r="AF537">
        <v>-4.8333456322632697</v>
      </c>
      <c r="AG537">
        <v>-1.110765</v>
      </c>
      <c r="AH537">
        <v>145.44810916398799</v>
      </c>
      <c r="AI537">
        <v>90.437309233005607</v>
      </c>
      <c r="AJ537">
        <v>91.903279722613505</v>
      </c>
      <c r="AK537">
        <v>145.532633757056</v>
      </c>
      <c r="AL537">
        <v>84.208143236409001</v>
      </c>
      <c r="AM537">
        <v>97.189120970660795</v>
      </c>
      <c r="AN537">
        <v>1.00000002515484</v>
      </c>
    </row>
    <row r="538" spans="1:40" x14ac:dyDescent="0.25">
      <c r="A538" t="str">
        <f>"20190304154736512"</f>
        <v>20190304154736512</v>
      </c>
      <c r="B538" t="str">
        <f>"1551685656507751"</f>
        <v>1551685656507751</v>
      </c>
      <c r="C538" t="s">
        <v>40</v>
      </c>
      <c r="D538">
        <v>4.2274450000000003</v>
      </c>
      <c r="E538">
        <v>0.53355839999999999</v>
      </c>
      <c r="F538" t="s">
        <v>45</v>
      </c>
      <c r="G538">
        <v>-278.00670000000002</v>
      </c>
      <c r="H538">
        <v>-0.05</v>
      </c>
      <c r="I538">
        <v>369.21550000000002</v>
      </c>
      <c r="J538">
        <v>-418.83539999999999</v>
      </c>
      <c r="K538">
        <v>1.0607960000000001</v>
      </c>
      <c r="L538">
        <v>366.5136</v>
      </c>
      <c r="M538">
        <v>0.99982119999999997</v>
      </c>
      <c r="N538">
        <v>-1.2793809999999999E-2</v>
      </c>
      <c r="O538">
        <v>-1.3922820000000001E-2</v>
      </c>
      <c r="P538">
        <v>0.98993589999999998</v>
      </c>
      <c r="Q538">
        <v>8.8473079999999996E-2</v>
      </c>
      <c r="R538">
        <v>0.11045190000000001</v>
      </c>
      <c r="S538">
        <v>3.0261840000000002</v>
      </c>
      <c r="T538">
        <v>-2.38359E-2</v>
      </c>
      <c r="U538">
        <v>5.7922359999999999E-2</v>
      </c>
      <c r="V538">
        <v>-0.12423729999999999</v>
      </c>
      <c r="W538">
        <v>0.1010947</v>
      </c>
      <c r="X538">
        <v>0.9870892</v>
      </c>
      <c r="Y538">
        <v>-3.3053590000000001E-2</v>
      </c>
      <c r="Z538">
        <v>2.7317360000000002E-4</v>
      </c>
      <c r="AA538">
        <v>0.99945349999999999</v>
      </c>
      <c r="AB538">
        <v>23</v>
      </c>
      <c r="AC538">
        <v>140.828699999999</v>
      </c>
      <c r="AD538">
        <v>-1.1107959999999999</v>
      </c>
      <c r="AE538">
        <v>2.7019000000000202</v>
      </c>
      <c r="AF538">
        <v>-4.6622412901886197</v>
      </c>
      <c r="AG538">
        <v>-1.1107959999999999</v>
      </c>
      <c r="AH538">
        <v>140.76867196976499</v>
      </c>
      <c r="AI538">
        <v>90.451859958648299</v>
      </c>
      <c r="AJ538">
        <v>91.896935850195504</v>
      </c>
      <c r="AK538">
        <v>140.85023737904399</v>
      </c>
      <c r="AL538">
        <v>84.197788743893994</v>
      </c>
      <c r="AM538">
        <v>97.173656258683394</v>
      </c>
      <c r="AN538">
        <v>1.000000066918</v>
      </c>
    </row>
    <row r="539" spans="1:40" x14ac:dyDescent="0.25">
      <c r="A539" t="str">
        <f>"20190304154736525"</f>
        <v>20190304154736525</v>
      </c>
      <c r="B539" t="str">
        <f>"1551685656517511"</f>
        <v>1551685656517511</v>
      </c>
      <c r="C539" t="s">
        <v>40</v>
      </c>
      <c r="D539">
        <v>4.2061760000000001</v>
      </c>
      <c r="E539">
        <v>0.53352060000000001</v>
      </c>
      <c r="F539" t="s">
        <v>45</v>
      </c>
      <c r="G539">
        <v>-279.79160000000002</v>
      </c>
      <c r="H539">
        <v>-0.05</v>
      </c>
      <c r="I539">
        <v>369.1567</v>
      </c>
      <c r="J539">
        <v>-418.69749999999999</v>
      </c>
      <c r="K539">
        <v>1.060818</v>
      </c>
      <c r="L539">
        <v>366.51179999999999</v>
      </c>
      <c r="M539">
        <v>0.99982090000000001</v>
      </c>
      <c r="N539">
        <v>-1.2898110000000001E-2</v>
      </c>
      <c r="O539">
        <v>-1.386094E-2</v>
      </c>
      <c r="P539">
        <v>0.98994119999999997</v>
      </c>
      <c r="Q539">
        <v>8.84601E-2</v>
      </c>
      <c r="R539">
        <v>0.1104156</v>
      </c>
      <c r="S539">
        <v>3.0262760000000002</v>
      </c>
      <c r="T539">
        <v>-2.4176360000000001E-2</v>
      </c>
      <c r="U539">
        <v>5.7525630000000001E-2</v>
      </c>
      <c r="V539">
        <v>-0.1241411</v>
      </c>
      <c r="W539">
        <v>0.1011838</v>
      </c>
      <c r="X539">
        <v>0.98709210000000003</v>
      </c>
      <c r="Y539">
        <v>-3.2860149999999998E-2</v>
      </c>
      <c r="Z539">
        <v>2.7514690000000002E-4</v>
      </c>
      <c r="AA539">
        <v>0.99945989999999996</v>
      </c>
      <c r="AB539">
        <v>23</v>
      </c>
      <c r="AC539">
        <v>138.90589999999901</v>
      </c>
      <c r="AD539">
        <v>-1.1108180000000001</v>
      </c>
      <c r="AE539">
        <v>2.6448999999999998</v>
      </c>
      <c r="AF539">
        <v>-4.5698799400530303</v>
      </c>
      <c r="AG539">
        <v>-1.1108180000000001</v>
      </c>
      <c r="AH539">
        <v>138.847013477129</v>
      </c>
      <c r="AI539">
        <v>90.458125684837896</v>
      </c>
      <c r="AJ539">
        <v>91.885098875398995</v>
      </c>
      <c r="AK539">
        <v>138.92663844926901</v>
      </c>
      <c r="AL539">
        <v>84.192656953080501</v>
      </c>
      <c r="AM539">
        <v>97.168138482313097</v>
      </c>
      <c r="AN539">
        <v>0.99999999398702999</v>
      </c>
    </row>
    <row r="540" spans="1:40" x14ac:dyDescent="0.25">
      <c r="A540" t="str">
        <f>"20190304154736537"</f>
        <v>20190304154736537</v>
      </c>
      <c r="B540" t="str">
        <f>"1551685656527270"</f>
        <v>1551685656527270</v>
      </c>
      <c r="C540" t="s">
        <v>40</v>
      </c>
      <c r="D540">
        <v>4.2290749999999999</v>
      </c>
      <c r="E540">
        <v>0.53343419999999997</v>
      </c>
      <c r="F540" t="s">
        <v>45</v>
      </c>
      <c r="G540">
        <v>-282.57729999999998</v>
      </c>
      <c r="H540">
        <v>-0.05</v>
      </c>
      <c r="I540">
        <v>369.0951</v>
      </c>
      <c r="J540">
        <v>-418.5779</v>
      </c>
      <c r="K540">
        <v>1.0608340000000001</v>
      </c>
      <c r="L540">
        <v>366.5102</v>
      </c>
      <c r="M540">
        <v>0.99982040000000005</v>
      </c>
      <c r="N540">
        <v>-1.2986289999999999E-2</v>
      </c>
      <c r="O540">
        <v>-1.380519E-2</v>
      </c>
      <c r="P540">
        <v>0.98993390000000003</v>
      </c>
      <c r="Q540">
        <v>8.8213059999999996E-2</v>
      </c>
      <c r="R540">
        <v>0.1106765</v>
      </c>
      <c r="S540">
        <v>3.0263059999999999</v>
      </c>
      <c r="T540">
        <v>-2.4696349999999999E-2</v>
      </c>
      <c r="U540">
        <v>5.7434079999999998E-2</v>
      </c>
      <c r="V540">
        <v>-0.1243474</v>
      </c>
      <c r="W540">
        <v>0.1010225</v>
      </c>
      <c r="X540">
        <v>0.98708269999999998</v>
      </c>
      <c r="Y540">
        <v>-3.277393E-2</v>
      </c>
      <c r="Z540">
        <v>2.79933E-4</v>
      </c>
      <c r="AA540">
        <v>0.99946270000000004</v>
      </c>
      <c r="AB540">
        <v>23</v>
      </c>
      <c r="AC540">
        <v>136.00059999999999</v>
      </c>
      <c r="AD540">
        <v>-1.1108340000000001</v>
      </c>
      <c r="AE540">
        <v>2.5849000000000002</v>
      </c>
      <c r="AF540">
        <v>-4.4620284583064196</v>
      </c>
      <c r="AG540">
        <v>-1.1108340000000001</v>
      </c>
      <c r="AH540">
        <v>135.94288342134899</v>
      </c>
      <c r="AI540">
        <v>90.467920259117903</v>
      </c>
      <c r="AJ540">
        <v>91.879934002866193</v>
      </c>
      <c r="AK540">
        <v>136.02062785860301</v>
      </c>
      <c r="AL540">
        <v>84.201946623766503</v>
      </c>
      <c r="AM540">
        <v>97.179994074482593</v>
      </c>
      <c r="AN540">
        <v>1.0000000390161401</v>
      </c>
    </row>
    <row r="541" spans="1:40" x14ac:dyDescent="0.25">
      <c r="A541" t="str">
        <f>"20190304154736547"</f>
        <v>20190304154736547</v>
      </c>
      <c r="B541" t="str">
        <f>"1551685656537031"</f>
        <v>1551685656537031</v>
      </c>
      <c r="C541" t="s">
        <v>40</v>
      </c>
      <c r="D541">
        <v>4.1976089999999999</v>
      </c>
      <c r="E541">
        <v>0.53337909999999999</v>
      </c>
      <c r="F541" t="s">
        <v>45</v>
      </c>
      <c r="G541">
        <v>-289.11750000000001</v>
      </c>
      <c r="H541">
        <v>-0.05</v>
      </c>
      <c r="I541">
        <v>369.03379999999999</v>
      </c>
      <c r="J541">
        <v>-418.46179999999998</v>
      </c>
      <c r="K541">
        <v>1.0608489999999999</v>
      </c>
      <c r="L541">
        <v>366.50869999999998</v>
      </c>
      <c r="M541">
        <v>0.99982020000000005</v>
      </c>
      <c r="N541">
        <v>-1.3068949999999999E-2</v>
      </c>
      <c r="O541">
        <v>-1.374906E-2</v>
      </c>
      <c r="P541">
        <v>0.98996300000000004</v>
      </c>
      <c r="Q541">
        <v>8.7699620000000006E-2</v>
      </c>
      <c r="R541">
        <v>0.11082649999999999</v>
      </c>
      <c r="S541">
        <v>3.0262150000000001</v>
      </c>
      <c r="T541">
        <v>-2.5966409999999999E-2</v>
      </c>
      <c r="U541">
        <v>5.8990479999999998E-2</v>
      </c>
      <c r="V541">
        <v>-0.12444280000000001</v>
      </c>
      <c r="W541">
        <v>0.10059079999999999</v>
      </c>
      <c r="X541">
        <v>0.98711470000000001</v>
      </c>
      <c r="Y541">
        <v>-3.3232009999999999E-2</v>
      </c>
      <c r="Z541">
        <v>2.9803609999999998E-4</v>
      </c>
      <c r="AA541">
        <v>0.99944759999999999</v>
      </c>
      <c r="AB541">
        <v>23</v>
      </c>
      <c r="AC541">
        <v>129.34429999999901</v>
      </c>
      <c r="AD541">
        <v>-1.110849</v>
      </c>
      <c r="AE541">
        <v>2.5251000000000001</v>
      </c>
      <c r="AF541">
        <v>-4.3030582048500996</v>
      </c>
      <c r="AG541">
        <v>-1.110849</v>
      </c>
      <c r="AH541">
        <v>129.28781870116799</v>
      </c>
      <c r="AI541">
        <v>90.492004378105904</v>
      </c>
      <c r="AJ541">
        <v>91.906259229187796</v>
      </c>
      <c r="AK541">
        <v>129.36417726681901</v>
      </c>
      <c r="AL541">
        <v>84.226807483765</v>
      </c>
      <c r="AM541">
        <v>97.185214549611601</v>
      </c>
      <c r="AN541">
        <v>0.99999997523628403</v>
      </c>
    </row>
    <row r="542" spans="1:40" x14ac:dyDescent="0.25">
      <c r="A542" t="str">
        <f>"20190304154736559"</f>
        <v>20190304154736559</v>
      </c>
      <c r="B542" t="str">
        <f>"1551685656547768"</f>
        <v>1551685656547768</v>
      </c>
      <c r="C542" t="s">
        <v>40</v>
      </c>
      <c r="D542">
        <v>4.2149830000000001</v>
      </c>
      <c r="E542">
        <v>0.53335500000000002</v>
      </c>
      <c r="F542" t="s">
        <v>45</v>
      </c>
      <c r="G542">
        <v>-297.60649999999998</v>
      </c>
      <c r="H542">
        <v>-0.05</v>
      </c>
      <c r="I542">
        <v>368.8999</v>
      </c>
      <c r="J542">
        <v>-418.34500000000003</v>
      </c>
      <c r="K542">
        <v>1.060862</v>
      </c>
      <c r="L542">
        <v>366.50709999999998</v>
      </c>
      <c r="M542">
        <v>0.99981989999999998</v>
      </c>
      <c r="N542">
        <v>-1.314893E-2</v>
      </c>
      <c r="O542">
        <v>-1.369066E-2</v>
      </c>
      <c r="P542">
        <v>0.98996719999999905</v>
      </c>
      <c r="Q542">
        <v>8.7626220000000005E-2</v>
      </c>
      <c r="R542">
        <v>0.110846</v>
      </c>
      <c r="S542">
        <v>3.0261840000000002</v>
      </c>
      <c r="T542">
        <v>-2.7815340000000001E-2</v>
      </c>
      <c r="U542">
        <v>5.9875490000000003E-2</v>
      </c>
      <c r="V542">
        <v>-0.1244051</v>
      </c>
      <c r="W542">
        <v>0.10059609999999999</v>
      </c>
      <c r="X542">
        <v>0.98711899999999997</v>
      </c>
      <c r="Y542">
        <v>-3.3465700000000001E-2</v>
      </c>
      <c r="Z542">
        <v>3.1966150000000001E-4</v>
      </c>
      <c r="AA542">
        <v>0.99943979999999999</v>
      </c>
      <c r="AB542">
        <v>23</v>
      </c>
      <c r="AC542">
        <v>120.7385</v>
      </c>
      <c r="AD542">
        <v>-1.110862</v>
      </c>
      <c r="AE542">
        <v>2.3928000000000198</v>
      </c>
      <c r="AF542">
        <v>-4.0453659315458701</v>
      </c>
      <c r="AG542">
        <v>-1.110862</v>
      </c>
      <c r="AH542">
        <v>120.684208465832</v>
      </c>
      <c r="AI542">
        <v>90.527079583772505</v>
      </c>
      <c r="AJ542">
        <v>91.9198505343319</v>
      </c>
      <c r="AK542">
        <v>120.757099886208</v>
      </c>
      <c r="AL542">
        <v>84.2265027717512</v>
      </c>
      <c r="AM542">
        <v>97.183029562529299</v>
      </c>
      <c r="AN542">
        <v>1.0000000622011</v>
      </c>
    </row>
    <row r="543" spans="1:40" x14ac:dyDescent="0.25">
      <c r="A543" t="str">
        <f>"20190304154736571"</f>
        <v>20190304154736571</v>
      </c>
      <c r="B543" t="str">
        <f>"1551685656567287"</f>
        <v>1551685656567287</v>
      </c>
      <c r="C543" t="s">
        <v>40</v>
      </c>
      <c r="D543">
        <v>4.2270750000000001</v>
      </c>
      <c r="E543">
        <v>0.53347359999999999</v>
      </c>
      <c r="F543" t="s">
        <v>45</v>
      </c>
      <c r="G543">
        <v>-298.68130000000002</v>
      </c>
      <c r="H543">
        <v>-0.05</v>
      </c>
      <c r="I543">
        <v>368.88319999999999</v>
      </c>
      <c r="J543">
        <v>-418.22019999999998</v>
      </c>
      <c r="K543">
        <v>1.0608709999999999</v>
      </c>
      <c r="L543">
        <v>366.50549999999998</v>
      </c>
      <c r="M543">
        <v>0.99981960000000003</v>
      </c>
      <c r="N543">
        <v>-1.323265E-2</v>
      </c>
      <c r="O543">
        <v>-1.3627770000000001E-2</v>
      </c>
      <c r="P543">
        <v>0.98993679999999995</v>
      </c>
      <c r="Q543">
        <v>8.7533330000000006E-2</v>
      </c>
      <c r="R543">
        <v>0.1111892</v>
      </c>
      <c r="S543">
        <v>3.026154</v>
      </c>
      <c r="T543">
        <v>-2.809238E-2</v>
      </c>
      <c r="U543">
        <v>6.0089110000000001E-2</v>
      </c>
      <c r="V543">
        <v>-0.1246857</v>
      </c>
      <c r="W543">
        <v>0.1005856</v>
      </c>
      <c r="X543">
        <v>0.98708459999999998</v>
      </c>
      <c r="Y543">
        <v>-3.347352E-2</v>
      </c>
      <c r="Z543">
        <v>3.2304080000000003E-4</v>
      </c>
      <c r="AA543">
        <v>0.99943950000000004</v>
      </c>
      <c r="AB543">
        <v>23</v>
      </c>
      <c r="AC543">
        <v>119.538899999999</v>
      </c>
      <c r="AD543">
        <v>-1.1108709999999999</v>
      </c>
      <c r="AE543">
        <v>2.3776999999999999</v>
      </c>
      <c r="AF543">
        <v>-4.0063245537698</v>
      </c>
      <c r="AG543">
        <v>-1.1108709999999999</v>
      </c>
      <c r="AH543">
        <v>119.485077247579</v>
      </c>
      <c r="AI543">
        <v>90.532373099592306</v>
      </c>
      <c r="AJ543">
        <v>91.920403191628793</v>
      </c>
      <c r="AK543">
        <v>119.557385199195</v>
      </c>
      <c r="AL543">
        <v>84.227107067473298</v>
      </c>
      <c r="AM543">
        <v>97.199309596305596</v>
      </c>
      <c r="AN543">
        <v>0.99999999713450405</v>
      </c>
    </row>
    <row r="544" spans="1:40" x14ac:dyDescent="0.25">
      <c r="A544" t="str">
        <f>"20190304154736583"</f>
        <v>20190304154736583</v>
      </c>
      <c r="B544" t="str">
        <f>"1551685656577048"</f>
        <v>1551685656577048</v>
      </c>
      <c r="C544" t="s">
        <v>40</v>
      </c>
      <c r="D544">
        <v>4.2442419999999998</v>
      </c>
      <c r="E544">
        <v>0.53346569999999904</v>
      </c>
      <c r="F544" t="s">
        <v>45</v>
      </c>
      <c r="G544">
        <v>-289.87790000000001</v>
      </c>
      <c r="H544">
        <v>-0.05</v>
      </c>
      <c r="I544">
        <v>369.04750000000001</v>
      </c>
      <c r="J544">
        <v>-418.10500000000002</v>
      </c>
      <c r="K544">
        <v>1.0608799999999901</v>
      </c>
      <c r="L544">
        <v>366.50400000000002</v>
      </c>
      <c r="M544">
        <v>0.99981949999999997</v>
      </c>
      <c r="N544">
        <v>-1.3305569999999999E-2</v>
      </c>
      <c r="O544">
        <v>-1.356887E-2</v>
      </c>
      <c r="P544">
        <v>0.9899076</v>
      </c>
      <c r="Q544">
        <v>8.7239430000000007E-2</v>
      </c>
      <c r="R544">
        <v>0.111679</v>
      </c>
      <c r="S544">
        <v>3.026062</v>
      </c>
      <c r="T544">
        <v>-2.6192190000000001E-2</v>
      </c>
      <c r="U544">
        <v>5.993652E-2</v>
      </c>
      <c r="V544">
        <v>-0.12511639999999999</v>
      </c>
      <c r="W544">
        <v>0.1003631</v>
      </c>
      <c r="X544">
        <v>0.98705270000000001</v>
      </c>
      <c r="Y544">
        <v>-3.336517E-2</v>
      </c>
      <c r="Z544">
        <v>3.0329480000000002E-4</v>
      </c>
      <c r="AA544">
        <v>0.99944319999999998</v>
      </c>
      <c r="AB544">
        <v>23</v>
      </c>
      <c r="AC544">
        <v>128.22710000000001</v>
      </c>
      <c r="AD544">
        <v>-1.1108800000000001</v>
      </c>
      <c r="AE544">
        <v>2.5434999999999901</v>
      </c>
      <c r="AF544">
        <v>-4.2829951943720301</v>
      </c>
      <c r="AG544">
        <v>-1.1108800000000001</v>
      </c>
      <c r="AH544">
        <v>128.17116168546499</v>
      </c>
      <c r="AI544">
        <v>90.496302264487298</v>
      </c>
      <c r="AJ544">
        <v>91.913895963107606</v>
      </c>
      <c r="AK544">
        <v>128.24751377711399</v>
      </c>
      <c r="AL544">
        <v>84.239919939227605</v>
      </c>
      <c r="AM544">
        <v>97.224146800260897</v>
      </c>
      <c r="AN544">
        <v>0.99999994898392797</v>
      </c>
    </row>
    <row r="545" spans="1:40" x14ac:dyDescent="0.25">
      <c r="A545" t="str">
        <f>"20190304154736595"</f>
        <v>20190304154736595</v>
      </c>
      <c r="B545" t="str">
        <f>"1551685656587315"</f>
        <v>1551685656587315</v>
      </c>
      <c r="C545" t="s">
        <v>40</v>
      </c>
      <c r="D545">
        <v>4.216602</v>
      </c>
      <c r="E545">
        <v>0.53347519999999904</v>
      </c>
      <c r="F545" t="s">
        <v>45</v>
      </c>
      <c r="G545">
        <v>-290.85449999999997</v>
      </c>
      <c r="H545">
        <v>-0.05</v>
      </c>
      <c r="I545">
        <v>369.09629999999999</v>
      </c>
      <c r="J545">
        <v>-417.97840000000002</v>
      </c>
      <c r="K545">
        <v>1.0608900000000001</v>
      </c>
      <c r="L545">
        <v>366.50229999999999</v>
      </c>
      <c r="M545">
        <v>0.99981920000000002</v>
      </c>
      <c r="N545">
        <v>-1.338464E-2</v>
      </c>
      <c r="O545">
        <v>-1.350382E-2</v>
      </c>
      <c r="P545">
        <v>0.98985630000000002</v>
      </c>
      <c r="Q545">
        <v>8.7456300000000001E-2</v>
      </c>
      <c r="R545">
        <v>0.1119647</v>
      </c>
      <c r="S545">
        <v>3.0259399999999999</v>
      </c>
      <c r="T545">
        <v>-2.6416060000000002E-2</v>
      </c>
      <c r="U545">
        <v>6.1645510000000001E-2</v>
      </c>
      <c r="V545">
        <v>-0.12533759999999999</v>
      </c>
      <c r="W545">
        <v>0.10065730000000001</v>
      </c>
      <c r="X545">
        <v>0.9869947</v>
      </c>
      <c r="Y545">
        <v>-3.3865079999999999E-2</v>
      </c>
      <c r="Z545">
        <v>3.1162200000000001E-4</v>
      </c>
      <c r="AA545">
        <v>0.99942640000000005</v>
      </c>
      <c r="AB545">
        <v>23</v>
      </c>
      <c r="AC545">
        <v>127.12390000000001</v>
      </c>
      <c r="AD545">
        <v>-1.1108899999999999</v>
      </c>
      <c r="AE545">
        <v>2.5939999999999901</v>
      </c>
      <c r="AF545">
        <v>-4.3102465335467297</v>
      </c>
      <c r="AG545">
        <v>-1.1108899999999999</v>
      </c>
      <c r="AH545">
        <v>127.067575295257</v>
      </c>
      <c r="AI545">
        <v>90.5006084586756</v>
      </c>
      <c r="AJ545">
        <v>91.942779505732503</v>
      </c>
      <c r="AK545">
        <v>127.14551110121</v>
      </c>
      <c r="AL545">
        <v>84.222977858031598</v>
      </c>
      <c r="AM545">
        <v>97.237204227557697</v>
      </c>
      <c r="AN545">
        <v>0.99999997192256895</v>
      </c>
    </row>
    <row r="546" spans="1:40" x14ac:dyDescent="0.25">
      <c r="A546" t="str">
        <f>"20190304154736605"</f>
        <v>20190304154736605</v>
      </c>
      <c r="B546" t="str">
        <f>"1551685656597076"</f>
        <v>1551685656597076</v>
      </c>
      <c r="C546" t="s">
        <v>40</v>
      </c>
      <c r="D546">
        <v>4.2325589999999904</v>
      </c>
      <c r="E546">
        <v>0.53352040000000001</v>
      </c>
      <c r="F546" t="s">
        <v>45</v>
      </c>
      <c r="G546">
        <v>-284.291</v>
      </c>
      <c r="H546">
        <v>-0.05</v>
      </c>
      <c r="I546">
        <v>369.25959999999998</v>
      </c>
      <c r="J546">
        <v>-417.85599999999999</v>
      </c>
      <c r="K546">
        <v>1.0608979999999999</v>
      </c>
      <c r="L546">
        <v>366.50080000000003</v>
      </c>
      <c r="M546">
        <v>0.99981909999999896</v>
      </c>
      <c r="N546">
        <v>-1.345845E-2</v>
      </c>
      <c r="O546">
        <v>-1.344065E-2</v>
      </c>
      <c r="P546">
        <v>0.98979399999999995</v>
      </c>
      <c r="Q546">
        <v>8.7475960000000005E-2</v>
      </c>
      <c r="R546">
        <v>0.11249720000000001</v>
      </c>
      <c r="S546">
        <v>3.025909</v>
      </c>
      <c r="T546">
        <v>-2.5144099999999999E-2</v>
      </c>
      <c r="U546">
        <v>6.2408449999999997E-2</v>
      </c>
      <c r="V546">
        <v>-0.12580659999999999</v>
      </c>
      <c r="W546">
        <v>0.1007488</v>
      </c>
      <c r="X546">
        <v>0.98692570000000002</v>
      </c>
      <c r="Y546">
        <v>-3.40542E-2</v>
      </c>
      <c r="Z546">
        <v>3.0146939999999998E-4</v>
      </c>
      <c r="AA546">
        <v>0.99941990000000003</v>
      </c>
      <c r="AB546">
        <v>23</v>
      </c>
      <c r="AC546">
        <v>133.565</v>
      </c>
      <c r="AD546">
        <v>-1.1108979999999999</v>
      </c>
      <c r="AE546">
        <v>2.7587999999999502</v>
      </c>
      <c r="AF546">
        <v>-4.5535988918633503</v>
      </c>
      <c r="AG546">
        <v>-1.1108979999999999</v>
      </c>
      <c r="AH546">
        <v>133.50661783904101</v>
      </c>
      <c r="AI546">
        <v>90.476465593040203</v>
      </c>
      <c r="AJ546">
        <v>91.953467932398496</v>
      </c>
      <c r="AK546">
        <v>133.58887065940101</v>
      </c>
      <c r="AL546">
        <v>84.217708550332006</v>
      </c>
      <c r="AM546">
        <v>97.264498783479695</v>
      </c>
      <c r="AN546">
        <v>0.99999997931274398</v>
      </c>
    </row>
    <row r="547" spans="1:40" x14ac:dyDescent="0.25">
      <c r="A547" t="str">
        <f>"20190304154736624"</f>
        <v>20190304154736624</v>
      </c>
      <c r="B547" t="str">
        <f>"1551685656617571"</f>
        <v>1551685656617571</v>
      </c>
      <c r="C547" t="s">
        <v>40</v>
      </c>
      <c r="D547">
        <v>4.1236420000000003</v>
      </c>
      <c r="E547">
        <v>0.53376840000000003</v>
      </c>
      <c r="F547" t="s">
        <v>45</v>
      </c>
      <c r="G547">
        <v>-278.37740000000002</v>
      </c>
      <c r="H547">
        <v>-0.05</v>
      </c>
      <c r="I547">
        <v>369.44369999999998</v>
      </c>
      <c r="J547">
        <v>-417.6773</v>
      </c>
      <c r="K547">
        <v>1.060907</v>
      </c>
      <c r="L547">
        <v>366.49849999999998</v>
      </c>
      <c r="M547">
        <v>0.99981900000000001</v>
      </c>
      <c r="N547">
        <v>-1.356218E-2</v>
      </c>
      <c r="O547">
        <v>-1.3348820000000001E-2</v>
      </c>
      <c r="P547">
        <v>0.98968160000000005</v>
      </c>
      <c r="Q547">
        <v>8.7832359999999998E-2</v>
      </c>
      <c r="R547">
        <v>0.1132068</v>
      </c>
      <c r="S547">
        <v>3.0258180000000001</v>
      </c>
      <c r="T547">
        <v>-2.4099590000000001E-2</v>
      </c>
      <c r="U547">
        <v>6.3842769999999993E-2</v>
      </c>
      <c r="V547">
        <v>-0.1264247</v>
      </c>
      <c r="W547">
        <v>0.10120560000000001</v>
      </c>
      <c r="X547">
        <v>0.98680000000000001</v>
      </c>
      <c r="Y547">
        <v>-3.4436689999999999E-2</v>
      </c>
      <c r="Z547">
        <v>2.959654E-4</v>
      </c>
      <c r="AA547">
        <v>0.99940680000000004</v>
      </c>
      <c r="AB547">
        <v>23</v>
      </c>
      <c r="AC547">
        <v>139.29989999999901</v>
      </c>
      <c r="AD547">
        <v>-1.1109069999999901</v>
      </c>
      <c r="AE547">
        <v>2.9451999999999998</v>
      </c>
      <c r="AF547">
        <v>-4.8042923015343897</v>
      </c>
      <c r="AG547">
        <v>-1.1109069999999901</v>
      </c>
      <c r="AH547">
        <v>139.23931601795499</v>
      </c>
      <c r="AI547">
        <v>90.456847115671906</v>
      </c>
      <c r="AJ547">
        <v>91.976140950935303</v>
      </c>
      <c r="AK547">
        <v>139.32660357602001</v>
      </c>
      <c r="AL547">
        <v>84.191401548391198</v>
      </c>
      <c r="AM547">
        <v>97.300725742976297</v>
      </c>
      <c r="AN547">
        <v>1.00000000912072</v>
      </c>
    </row>
    <row r="548" spans="1:40" x14ac:dyDescent="0.25">
      <c r="A548" t="str">
        <f>"20190304154736638"</f>
        <v>20190304154736638</v>
      </c>
      <c r="B548" t="str">
        <f>"1551685656627331"</f>
        <v>1551685656627331</v>
      </c>
      <c r="C548" t="s">
        <v>40</v>
      </c>
      <c r="D548">
        <v>4.2583830000000003</v>
      </c>
      <c r="E548">
        <v>0.53370930000000005</v>
      </c>
      <c r="F548" t="s">
        <v>44</v>
      </c>
      <c r="G548">
        <v>-258.68439999999998</v>
      </c>
      <c r="H548" s="1">
        <v>-6.1058179999999997E-7</v>
      </c>
      <c r="I548">
        <v>369.85640000000001</v>
      </c>
      <c r="J548">
        <v>-417.53980000000001</v>
      </c>
      <c r="K548">
        <v>1.0609139999999999</v>
      </c>
      <c r="L548">
        <v>366.49669999999998</v>
      </c>
      <c r="M548">
        <v>0.99981869999999995</v>
      </c>
      <c r="N548">
        <v>-1.363817E-2</v>
      </c>
      <c r="O548">
        <v>-1.3277799999999999E-2</v>
      </c>
      <c r="P548">
        <v>0.98963120000000004</v>
      </c>
      <c r="Q548">
        <v>8.7780849999999994E-2</v>
      </c>
      <c r="R548">
        <v>0.11368549999999999</v>
      </c>
      <c r="S548">
        <v>3.025757</v>
      </c>
      <c r="T548">
        <v>-2.018988E-2</v>
      </c>
      <c r="U548">
        <v>6.3903810000000005E-2</v>
      </c>
      <c r="V548">
        <v>-0.12683239999999901</v>
      </c>
      <c r="W548">
        <v>0.1012284</v>
      </c>
      <c r="X548">
        <v>0.98674539999999999</v>
      </c>
      <c r="Y548">
        <v>-3.4386809999999997E-2</v>
      </c>
      <c r="Z548">
        <v>2.5675920000000003E-4</v>
      </c>
      <c r="AA548">
        <v>0.99940850000000003</v>
      </c>
      <c r="AB548">
        <v>23</v>
      </c>
      <c r="AC548">
        <v>158.8554</v>
      </c>
      <c r="AD548">
        <v>-1.0609146105817999</v>
      </c>
      <c r="AE548">
        <v>3.3597000000000299</v>
      </c>
      <c r="AF548">
        <v>-5.4686066706652401</v>
      </c>
      <c r="AG548">
        <v>-1.0609146105817999</v>
      </c>
      <c r="AH548">
        <v>158.78970087898699</v>
      </c>
      <c r="AI548">
        <v>90.382575257785504</v>
      </c>
      <c r="AJ548">
        <v>91.972447158127807</v>
      </c>
      <c r="AK548">
        <v>158.88738245678101</v>
      </c>
      <c r="AL548">
        <v>84.1900887900144</v>
      </c>
      <c r="AM548">
        <v>97.324415081033706</v>
      </c>
      <c r="AN548">
        <v>1.00000006553873</v>
      </c>
    </row>
    <row r="549" spans="1:40" x14ac:dyDescent="0.25">
      <c r="A549" t="str">
        <f>"20190304154736658"</f>
        <v>20190304154736658</v>
      </c>
      <c r="B549" t="str">
        <f>"1551685656647827"</f>
        <v>1551685656647827</v>
      </c>
      <c r="C549" t="s">
        <v>40</v>
      </c>
      <c r="D549">
        <v>4.1849259999999999</v>
      </c>
      <c r="E549">
        <v>0.53381499999999904</v>
      </c>
      <c r="F549" t="s">
        <v>44</v>
      </c>
      <c r="G549">
        <v>-257.14010000000002</v>
      </c>
      <c r="H549" s="1">
        <v>-1.313256E-6</v>
      </c>
      <c r="I549">
        <v>370.00740000000002</v>
      </c>
      <c r="J549">
        <v>-417.3229</v>
      </c>
      <c r="K549">
        <v>1.060924</v>
      </c>
      <c r="L549">
        <v>366.49400000000003</v>
      </c>
      <c r="M549">
        <v>0.99981880000000001</v>
      </c>
      <c r="N549">
        <v>-1.3748939999999999E-2</v>
      </c>
      <c r="O549">
        <v>-1.316457E-2</v>
      </c>
      <c r="P549">
        <v>0.98959870000000005</v>
      </c>
      <c r="Q549">
        <v>8.7216660000000001E-2</v>
      </c>
      <c r="R549">
        <v>0.11440210000000001</v>
      </c>
      <c r="S549">
        <v>3.0256349999999999</v>
      </c>
      <c r="T549">
        <v>-2.0012140000000001E-2</v>
      </c>
      <c r="U549">
        <v>6.622314E-2</v>
      </c>
      <c r="V549">
        <v>-0.12743670000000001</v>
      </c>
      <c r="W549">
        <v>0.100773</v>
      </c>
      <c r="X549">
        <v>0.98671410000000004</v>
      </c>
      <c r="Y549">
        <v>-3.5040189999999999E-2</v>
      </c>
      <c r="Z549">
        <v>2.6287480000000002E-4</v>
      </c>
      <c r="AA549">
        <v>0.99938590000000005</v>
      </c>
      <c r="AB549">
        <v>23</v>
      </c>
      <c r="AC549">
        <v>160.18279999999999</v>
      </c>
      <c r="AD549">
        <v>-1.0609253132559999</v>
      </c>
      <c r="AE549">
        <v>3.5133999999999901</v>
      </c>
      <c r="AF549">
        <v>-5.6217860424616903</v>
      </c>
      <c r="AG549">
        <v>-1.0609253132559999</v>
      </c>
      <c r="AH549">
        <v>160.11563927392399</v>
      </c>
      <c r="AI549">
        <v>90.379402174308197</v>
      </c>
      <c r="AJ549">
        <v>92.010873846043594</v>
      </c>
      <c r="AK549">
        <v>160.21781418096</v>
      </c>
      <c r="AL549">
        <v>84.216315092796805</v>
      </c>
      <c r="AM549">
        <v>97.359161909882303</v>
      </c>
      <c r="AN549">
        <v>1.0000000125873501</v>
      </c>
    </row>
    <row r="550" spans="1:40" x14ac:dyDescent="0.25">
      <c r="A550" t="str">
        <f>"20190304154736672"</f>
        <v>20190304154736672</v>
      </c>
      <c r="B550" t="str">
        <f>"1551685656667348"</f>
        <v>1551685656667348</v>
      </c>
      <c r="C550" t="s">
        <v>40</v>
      </c>
      <c r="D550">
        <v>4.229247</v>
      </c>
      <c r="E550">
        <v>0.53369529999999998</v>
      </c>
      <c r="F550" t="s">
        <v>44</v>
      </c>
      <c r="G550">
        <v>-262.3417</v>
      </c>
      <c r="H550" s="1">
        <v>-3.3561279999999999E-6</v>
      </c>
      <c r="I550">
        <v>369.9486</v>
      </c>
      <c r="J550">
        <v>-417.18689999999998</v>
      </c>
      <c r="K550">
        <v>1.060929</v>
      </c>
      <c r="L550">
        <v>366.49220000000003</v>
      </c>
      <c r="M550">
        <v>0.99981900000000001</v>
      </c>
      <c r="N550">
        <v>-1.381374E-2</v>
      </c>
      <c r="O550">
        <v>-1.309311E-2</v>
      </c>
      <c r="P550">
        <v>0.9895659</v>
      </c>
      <c r="Q550">
        <v>8.7154980000000007E-2</v>
      </c>
      <c r="R550">
        <v>0.1147338</v>
      </c>
      <c r="S550">
        <v>3.0255429999999999</v>
      </c>
      <c r="T550">
        <v>-2.0711420000000001E-2</v>
      </c>
      <c r="U550">
        <v>6.744385E-2</v>
      </c>
      <c r="V550">
        <v>-0.12769739999999999</v>
      </c>
      <c r="W550">
        <v>0.1007744</v>
      </c>
      <c r="X550">
        <v>0.98668029999999995</v>
      </c>
      <c r="Y550">
        <v>-3.5372319999999999E-2</v>
      </c>
      <c r="Z550">
        <v>2.7418510000000001E-4</v>
      </c>
      <c r="AA550">
        <v>0.99937419999999999</v>
      </c>
      <c r="AB550">
        <v>23</v>
      </c>
      <c r="AC550">
        <v>154.84519999999901</v>
      </c>
      <c r="AD550">
        <v>-1.060932356128</v>
      </c>
      <c r="AE550">
        <v>3.4563999999999702</v>
      </c>
      <c r="AF550">
        <v>-5.4834447925560301</v>
      </c>
      <c r="AG550">
        <v>-1.060932356128</v>
      </c>
      <c r="AH550">
        <v>154.77940270173801</v>
      </c>
      <c r="AI550">
        <v>90.392480420072204</v>
      </c>
      <c r="AJ550">
        <v>92.028996719352307</v>
      </c>
      <c r="AK550">
        <v>154.88013831658299</v>
      </c>
      <c r="AL550">
        <v>84.216234743639802</v>
      </c>
      <c r="AM550">
        <v>97.374301003253606</v>
      </c>
      <c r="AN550">
        <v>1.0000000600351</v>
      </c>
    </row>
    <row r="551" spans="1:40" x14ac:dyDescent="0.25">
      <c r="A551" t="str">
        <f>"20190304154736685"</f>
        <v>20190304154736685</v>
      </c>
      <c r="B551" t="str">
        <f>"1551685656677107"</f>
        <v>1551685656677107</v>
      </c>
      <c r="C551" t="s">
        <v>40</v>
      </c>
      <c r="D551">
        <v>4.2356339999999904</v>
      </c>
      <c r="E551">
        <v>0.53363260000000001</v>
      </c>
      <c r="F551" t="s">
        <v>44</v>
      </c>
      <c r="G551">
        <v>-265.88569999999999</v>
      </c>
      <c r="H551" s="1">
        <v>-1.837907E-6</v>
      </c>
      <c r="I551">
        <v>369.95659999999998</v>
      </c>
      <c r="J551">
        <v>-417.04939999999999</v>
      </c>
      <c r="K551">
        <v>1.060935</v>
      </c>
      <c r="L551">
        <v>366.4905</v>
      </c>
      <c r="M551">
        <v>0.99981900000000001</v>
      </c>
      <c r="N551">
        <v>-1.3872199999999999E-2</v>
      </c>
      <c r="O551">
        <v>-1.301766E-2</v>
      </c>
      <c r="P551">
        <v>0.98957240000000002</v>
      </c>
      <c r="Q551">
        <v>8.6961559999999993E-2</v>
      </c>
      <c r="R551">
        <v>0.1148222</v>
      </c>
      <c r="S551">
        <v>3.025452</v>
      </c>
      <c r="T551">
        <v>-2.12146E-2</v>
      </c>
      <c r="U551">
        <v>6.9274899999999903E-2</v>
      </c>
      <c r="V551">
        <v>-0.12771179999999999</v>
      </c>
      <c r="W551">
        <v>0.1006387</v>
      </c>
      <c r="X551">
        <v>0.98669220000000002</v>
      </c>
      <c r="Y551">
        <v>-3.5902000000000003E-2</v>
      </c>
      <c r="Z551">
        <v>2.8562979999999997E-4</v>
      </c>
      <c r="AA551">
        <v>0.99935529999999995</v>
      </c>
      <c r="AB551">
        <v>23</v>
      </c>
      <c r="AC551">
        <v>151.16370000000001</v>
      </c>
      <c r="AD551">
        <v>-1.0609368379070001</v>
      </c>
      <c r="AE551">
        <v>3.46609999999998</v>
      </c>
      <c r="AF551">
        <v>-5.43352582728446</v>
      </c>
      <c r="AG551">
        <v>-1.0609368379070001</v>
      </c>
      <c r="AH551">
        <v>151.09832506110999</v>
      </c>
      <c r="AI551">
        <v>90.402035834183806</v>
      </c>
      <c r="AJ551">
        <v>92.059480205822695</v>
      </c>
      <c r="AK551">
        <v>151.199711065077</v>
      </c>
      <c r="AL551">
        <v>84.224049014625294</v>
      </c>
      <c r="AM551">
        <v>97.375035454971695</v>
      </c>
      <c r="AN551">
        <v>0.99999997466888402</v>
      </c>
    </row>
    <row r="552" spans="1:40" x14ac:dyDescent="0.25">
      <c r="A552" t="str">
        <f>"20190304154736702"</f>
        <v>20190304154736702</v>
      </c>
      <c r="B552" t="str">
        <f>"1551685656697134"</f>
        <v>1551685656697134</v>
      </c>
      <c r="C552" t="s">
        <v>40</v>
      </c>
      <c r="D552">
        <v>4.2320330000000004</v>
      </c>
      <c r="E552">
        <v>0.53357209999999999</v>
      </c>
      <c r="F552" t="s">
        <v>44</v>
      </c>
      <c r="G552">
        <v>-269.85230000000001</v>
      </c>
      <c r="H552" s="1">
        <v>-1.2187650000000001E-7</v>
      </c>
      <c r="I552">
        <v>369.90260000000001</v>
      </c>
      <c r="J552">
        <v>-416.8802</v>
      </c>
      <c r="K552">
        <v>1.060943</v>
      </c>
      <c r="L552">
        <v>366.48849999999999</v>
      </c>
      <c r="M552">
        <v>0.99981929999999997</v>
      </c>
      <c r="N552">
        <v>-1.3939160000000001E-2</v>
      </c>
      <c r="O552">
        <v>-1.292187E-2</v>
      </c>
      <c r="P552">
        <v>0.98955950000000004</v>
      </c>
      <c r="Q552">
        <v>8.7335399999999994E-2</v>
      </c>
      <c r="R552">
        <v>0.11465</v>
      </c>
      <c r="S552">
        <v>3.02536</v>
      </c>
      <c r="T552">
        <v>-2.1805519999999998E-2</v>
      </c>
      <c r="U552">
        <v>7.012939E-2</v>
      </c>
      <c r="V552">
        <v>-0.12744549999999999</v>
      </c>
      <c r="W552">
        <v>0.1010776</v>
      </c>
      <c r="X552">
        <v>0.98668180000000005</v>
      </c>
      <c r="Y552">
        <v>-3.6088969999999998E-2</v>
      </c>
      <c r="Z552">
        <v>2.9463789999999997E-4</v>
      </c>
      <c r="AA552">
        <v>0.99934849999999997</v>
      </c>
      <c r="AB552">
        <v>23</v>
      </c>
      <c r="AC552">
        <v>147.02789999999999</v>
      </c>
      <c r="AD552">
        <v>-1.0609431218765</v>
      </c>
      <c r="AE552">
        <v>3.4141000000000101</v>
      </c>
      <c r="AF552">
        <v>-5.3135984683253099</v>
      </c>
      <c r="AG552">
        <v>-1.0609431218765</v>
      </c>
      <c r="AH552">
        <v>146.963853051162</v>
      </c>
      <c r="AI552">
        <v>90.413345287907006</v>
      </c>
      <c r="AJ552">
        <v>92.070673855557303</v>
      </c>
      <c r="AK552">
        <v>147.06370739456401</v>
      </c>
      <c r="AL552">
        <v>84.198773189028103</v>
      </c>
      <c r="AM552">
        <v>97.359902801818194</v>
      </c>
      <c r="AN552">
        <v>1.0000000055716201</v>
      </c>
    </row>
    <row r="553" spans="1:40" x14ac:dyDescent="0.25">
      <c r="A553" t="str">
        <f>"20190304154736713"</f>
        <v>20190304154736713</v>
      </c>
      <c r="B553" t="str">
        <f>"1551685656707871"</f>
        <v>1551685656707871</v>
      </c>
      <c r="C553" t="s">
        <v>40</v>
      </c>
      <c r="D553">
        <v>4.1698149999999998</v>
      </c>
      <c r="E553">
        <v>0.50330050000000004</v>
      </c>
      <c r="F553" t="s">
        <v>44</v>
      </c>
      <c r="G553">
        <v>-267.98329999999999</v>
      </c>
      <c r="H553" s="1">
        <v>-9.3556029999999997E-7</v>
      </c>
      <c r="I553">
        <v>369.94729999999998</v>
      </c>
      <c r="J553">
        <v>-416.75959999999998</v>
      </c>
      <c r="K553">
        <v>1.0609519999999999</v>
      </c>
      <c r="L553">
        <v>366.48700000000002</v>
      </c>
      <c r="M553">
        <v>0.99981969999999998</v>
      </c>
      <c r="N553">
        <v>-1.3983829999999999E-2</v>
      </c>
      <c r="O553">
        <v>-1.285097E-2</v>
      </c>
      <c r="P553">
        <v>0.98954920000000002</v>
      </c>
      <c r="Q553">
        <v>8.7499859999999999E-2</v>
      </c>
      <c r="R553">
        <v>0.11461399999999999</v>
      </c>
      <c r="S553">
        <v>3.0254210000000001</v>
      </c>
      <c r="T553">
        <v>-2.155721E-2</v>
      </c>
      <c r="U553">
        <v>7.0281979999999994E-2</v>
      </c>
      <c r="V553">
        <v>-0.12734019999999999</v>
      </c>
      <c r="W553">
        <v>0.1012849</v>
      </c>
      <c r="X553">
        <v>0.9866741</v>
      </c>
      <c r="Y553">
        <v>-3.6068040000000003E-2</v>
      </c>
      <c r="Z553">
        <v>2.9258669999999997E-4</v>
      </c>
      <c r="AA553">
        <v>0.9993493</v>
      </c>
      <c r="AB553">
        <v>23</v>
      </c>
      <c r="AC553">
        <v>148.77629999999999</v>
      </c>
      <c r="AD553">
        <v>-1.0609529355603</v>
      </c>
      <c r="AE553">
        <v>3.4603000000000099</v>
      </c>
      <c r="AF553">
        <v>-5.3718477796541304</v>
      </c>
      <c r="AG553">
        <v>-1.0609529355603</v>
      </c>
      <c r="AH553">
        <v>148.71198101892</v>
      </c>
      <c r="AI553">
        <v>90.408490797534796</v>
      </c>
      <c r="AJ553">
        <v>92.068767017944296</v>
      </c>
      <c r="AK553">
        <v>148.81275371509901</v>
      </c>
      <c r="AL553">
        <v>84.186834288844494</v>
      </c>
      <c r="AM553">
        <v>97.353945141652105</v>
      </c>
      <c r="AN553">
        <v>0.99999996855742901</v>
      </c>
    </row>
    <row r="554" spans="1:40" x14ac:dyDescent="0.25">
      <c r="A554" t="str">
        <f>"20190304154736726"</f>
        <v>20190304154736726</v>
      </c>
      <c r="B554" t="str">
        <f>"1551685656717630"</f>
        <v>1551685656717630</v>
      </c>
      <c r="C554" t="s">
        <v>40</v>
      </c>
      <c r="D554">
        <v>4.228478</v>
      </c>
      <c r="E554">
        <v>0.4947936</v>
      </c>
      <c r="F554" t="s">
        <v>44</v>
      </c>
      <c r="G554">
        <v>-367.32170000000002</v>
      </c>
      <c r="H554" s="1">
        <v>-1.65143E-6</v>
      </c>
      <c r="I554">
        <v>371.57100000000003</v>
      </c>
      <c r="J554">
        <v>-416.62889999999999</v>
      </c>
      <c r="K554">
        <v>1.0609519999999999</v>
      </c>
      <c r="L554">
        <v>366.48540000000003</v>
      </c>
      <c r="M554">
        <v>0.99982009999999999</v>
      </c>
      <c r="N554">
        <v>-1.402753E-2</v>
      </c>
      <c r="O554">
        <v>-1.276979E-2</v>
      </c>
      <c r="P554">
        <v>0.98955020000000005</v>
      </c>
      <c r="Q554">
        <v>8.7762969999999996E-2</v>
      </c>
      <c r="R554">
        <v>0.11440400000000001</v>
      </c>
      <c r="S554">
        <v>3.001617</v>
      </c>
      <c r="T554">
        <v>-6.4415570000000005E-2</v>
      </c>
      <c r="U554">
        <v>0.3086853</v>
      </c>
      <c r="V554">
        <v>-0.12705060000000001</v>
      </c>
      <c r="W554">
        <v>0.10159079999999999</v>
      </c>
      <c r="X554">
        <v>0.98668</v>
      </c>
      <c r="Y554">
        <v>-0.114952</v>
      </c>
      <c r="Z554">
        <v>2.1333229999999999E-3</v>
      </c>
      <c r="AA554">
        <v>0.99336869999999999</v>
      </c>
      <c r="AB554">
        <v>23</v>
      </c>
      <c r="AC554">
        <v>49.307199999999902</v>
      </c>
      <c r="AD554">
        <v>-1.06095365143</v>
      </c>
      <c r="AE554">
        <v>5.0855999999999399</v>
      </c>
      <c r="AF554">
        <v>-5.71227288763943</v>
      </c>
      <c r="AG554">
        <v>-1.06095365143</v>
      </c>
      <c r="AH554">
        <v>49.215683866148098</v>
      </c>
      <c r="AI554">
        <v>91.226714269311699</v>
      </c>
      <c r="AJ554">
        <v>96.620475298348396</v>
      </c>
      <c r="AK554">
        <v>49.557433575660198</v>
      </c>
      <c r="AL554">
        <v>84.169216725629099</v>
      </c>
      <c r="AM554">
        <v>97.337359692264997</v>
      </c>
      <c r="AN554">
        <v>0.99999998400249901</v>
      </c>
    </row>
    <row r="555" spans="1:40" x14ac:dyDescent="0.25">
      <c r="A555" t="str">
        <f>"20190304154736737"</f>
        <v>20190304154736737</v>
      </c>
      <c r="B555" t="str">
        <f>"1551685656727391"</f>
        <v>1551685656727391</v>
      </c>
      <c r="C555" t="s">
        <v>40</v>
      </c>
      <c r="D555">
        <v>4.1882820000000001</v>
      </c>
      <c r="E555">
        <v>0.48807139999999999</v>
      </c>
      <c r="F555" t="s">
        <v>44</v>
      </c>
      <c r="G555">
        <v>-321.363</v>
      </c>
      <c r="H555" s="1">
        <v>-5.3830010000000002E-6</v>
      </c>
      <c r="I555">
        <v>378.47179999999997</v>
      </c>
      <c r="J555">
        <v>-416.51589999999999</v>
      </c>
      <c r="K555">
        <v>1.0609569999999999</v>
      </c>
      <c r="L555">
        <v>366.48399999999998</v>
      </c>
      <c r="M555">
        <v>0.99982059999999995</v>
      </c>
      <c r="N555">
        <v>-1.4062969999999999E-2</v>
      </c>
      <c r="O555">
        <v>-1.2696900000000001E-2</v>
      </c>
      <c r="P555">
        <v>0.98956359999999999</v>
      </c>
      <c r="Q555">
        <v>8.7717420000000004E-2</v>
      </c>
      <c r="R555">
        <v>0.1143233</v>
      </c>
      <c r="S555">
        <v>2.9910890000000001</v>
      </c>
      <c r="T555">
        <v>-3.3311130000000001E-2</v>
      </c>
      <c r="U555">
        <v>0.37634279999999998</v>
      </c>
      <c r="V555">
        <v>-0.12689929999999999</v>
      </c>
      <c r="W555">
        <v>0.101579</v>
      </c>
      <c r="X555">
        <v>0.98670069999999999</v>
      </c>
      <c r="Y555">
        <v>-0.13740659999999999</v>
      </c>
      <c r="Z555">
        <v>1.6952239999999999E-3</v>
      </c>
      <c r="AA555">
        <v>0.99051330000000004</v>
      </c>
      <c r="AB555">
        <v>23</v>
      </c>
      <c r="AC555">
        <v>95.152900000000002</v>
      </c>
      <c r="AD555">
        <v>-1.060962383001</v>
      </c>
      <c r="AE555">
        <v>11.987799999999901</v>
      </c>
      <c r="AF555">
        <v>-13.193485055645199</v>
      </c>
      <c r="AG555">
        <v>-1.060962383001</v>
      </c>
      <c r="AH555">
        <v>94.981381387021102</v>
      </c>
      <c r="AI555">
        <v>90.633893787387393</v>
      </c>
      <c r="AJ555">
        <v>97.908125306180693</v>
      </c>
      <c r="AK555">
        <v>95.899199680072599</v>
      </c>
      <c r="AL555">
        <v>84.169896416229193</v>
      </c>
      <c r="AM555">
        <v>97.328564866718807</v>
      </c>
      <c r="AN555">
        <v>0.99999999848098997</v>
      </c>
    </row>
    <row r="556" spans="1:40" x14ac:dyDescent="0.25">
      <c r="A556" t="str">
        <f>"20190304154736748"</f>
        <v>20190304154736748</v>
      </c>
      <c r="B556" t="str">
        <f>"1551685656737150"</f>
        <v>1551685656737150</v>
      </c>
      <c r="C556" t="s">
        <v>40</v>
      </c>
      <c r="D556">
        <v>4.1763599999999999</v>
      </c>
      <c r="E556">
        <v>0.48420940000000001</v>
      </c>
      <c r="F556" t="s">
        <v>52</v>
      </c>
      <c r="G556">
        <v>-245.17230000000001</v>
      </c>
      <c r="H556">
        <v>2.7296069999999999E-2</v>
      </c>
      <c r="I556">
        <v>391.15539999999999</v>
      </c>
      <c r="J556">
        <v>-416.39280000000002</v>
      </c>
      <c r="K556">
        <v>1.0609649999999999</v>
      </c>
      <c r="L556">
        <v>366.48250000000002</v>
      </c>
      <c r="M556">
        <v>0.99982110000000002</v>
      </c>
      <c r="N556">
        <v>-1.409929E-2</v>
      </c>
      <c r="O556">
        <v>-1.261459E-2</v>
      </c>
      <c r="P556">
        <v>0.98963489999999998</v>
      </c>
      <c r="Q556">
        <v>8.7225349999999993E-2</v>
      </c>
      <c r="R556">
        <v>0.1140828</v>
      </c>
      <c r="S556">
        <v>2.9835509999999998</v>
      </c>
      <c r="T556">
        <v>-1.7998340000000002E-2</v>
      </c>
      <c r="U556">
        <v>0.42959589999999998</v>
      </c>
      <c r="V556">
        <v>-0.1265791</v>
      </c>
      <c r="W556">
        <v>0.10112309999999999</v>
      </c>
      <c r="X556">
        <v>0.98678860000000002</v>
      </c>
      <c r="Y556">
        <v>-0.15498429999999999</v>
      </c>
      <c r="Z556">
        <v>1.4621510000000001E-3</v>
      </c>
      <c r="AA556">
        <v>0.98791589999999996</v>
      </c>
      <c r="AB556">
        <v>23</v>
      </c>
      <c r="AC556">
        <v>171.22049999999999</v>
      </c>
      <c r="AD556">
        <v>-1.0336689299999999</v>
      </c>
      <c r="AE556">
        <v>24.672899999999899</v>
      </c>
      <c r="AF556">
        <v>-26.830069456549701</v>
      </c>
      <c r="AG556">
        <v>-1.0336689299999999</v>
      </c>
      <c r="AH556">
        <v>170.88950277634299</v>
      </c>
      <c r="AI556">
        <v>90.342370089829799</v>
      </c>
      <c r="AJ556">
        <v>98.922738683983198</v>
      </c>
      <c r="AK556">
        <v>172.98596260288301</v>
      </c>
      <c r="AL556">
        <v>84.196152454994206</v>
      </c>
      <c r="AM556">
        <v>97.309629134786903</v>
      </c>
      <c r="AN556">
        <v>0.999999945500188</v>
      </c>
    </row>
    <row r="557" spans="1:40" x14ac:dyDescent="0.25">
      <c r="A557" t="str">
        <f>"20190304154736761"</f>
        <v>20190304154736761</v>
      </c>
      <c r="B557" t="str">
        <f>"1551685656757646"</f>
        <v>1551685656757646</v>
      </c>
      <c r="C557" t="s">
        <v>40</v>
      </c>
      <c r="D557">
        <v>4.1429780000000003</v>
      </c>
      <c r="E557">
        <v>0.47955799999999998</v>
      </c>
      <c r="F557" t="s">
        <v>52</v>
      </c>
      <c r="G557">
        <v>-252.65860000000001</v>
      </c>
      <c r="H557">
        <v>0.4781494</v>
      </c>
      <c r="I557">
        <v>391.75</v>
      </c>
      <c r="J557">
        <v>-416.27679999999998</v>
      </c>
      <c r="K557">
        <v>1.060972</v>
      </c>
      <c r="L557">
        <v>366.4812</v>
      </c>
      <c r="M557">
        <v>0.99982170000000004</v>
      </c>
      <c r="N557">
        <v>-1.413001E-2</v>
      </c>
      <c r="O557">
        <v>-1.2531759999999999E-2</v>
      </c>
      <c r="P557">
        <v>0.98964339999999995</v>
      </c>
      <c r="Q557">
        <v>8.7157830000000006E-2</v>
      </c>
      <c r="R557">
        <v>0.11405940000000001</v>
      </c>
      <c r="S557">
        <v>2.9793699999999999</v>
      </c>
      <c r="T557">
        <v>-1.060462E-2</v>
      </c>
      <c r="U557">
        <v>0.45977780000000001</v>
      </c>
      <c r="V557">
        <v>-0.12647519999999901</v>
      </c>
      <c r="W557">
        <v>0.1010847</v>
      </c>
      <c r="X557">
        <v>0.98680590000000001</v>
      </c>
      <c r="Y557">
        <v>-0.16488359999999999</v>
      </c>
      <c r="Z557">
        <v>1.3318959999999999E-3</v>
      </c>
      <c r="AA557">
        <v>0.98631219999999997</v>
      </c>
      <c r="AB557">
        <v>23</v>
      </c>
      <c r="AC557">
        <v>163.61819999999901</v>
      </c>
      <c r="AD557">
        <v>-0.58282259999999997</v>
      </c>
      <c r="AE557">
        <v>25.268799999999999</v>
      </c>
      <c r="AF557">
        <v>-27.3171054168212</v>
      </c>
      <c r="AG557">
        <v>-0.58282259999999997</v>
      </c>
      <c r="AH557">
        <v>163.28663149379</v>
      </c>
      <c r="AI557">
        <v>90.201703122378504</v>
      </c>
      <c r="AJ557">
        <v>99.497369835058606</v>
      </c>
      <c r="AK557">
        <v>165.55690246898601</v>
      </c>
      <c r="AL557">
        <v>84.1983641955173</v>
      </c>
      <c r="AM557">
        <v>97.3035673195415</v>
      </c>
      <c r="AN557">
        <v>0.99999998853197003</v>
      </c>
    </row>
    <row r="558" spans="1:40" x14ac:dyDescent="0.25">
      <c r="A558" t="str">
        <f>"20190304154736774"</f>
        <v>20190304154736774</v>
      </c>
      <c r="B558" t="str">
        <f>"1551685656767407"</f>
        <v>1551685656767407</v>
      </c>
      <c r="C558" t="s">
        <v>40</v>
      </c>
      <c r="D558">
        <v>4.1415419999999896</v>
      </c>
      <c r="E558">
        <v>0.47830129999999998</v>
      </c>
      <c r="F558" t="s">
        <v>52</v>
      </c>
      <c r="G558">
        <v>-270.24349999999998</v>
      </c>
      <c r="H558">
        <v>1.055887</v>
      </c>
      <c r="I558">
        <v>390.88350000000003</v>
      </c>
      <c r="J558">
        <v>-416.14789999999999</v>
      </c>
      <c r="K558">
        <v>1.0609789999999999</v>
      </c>
      <c r="L558">
        <v>366.4796</v>
      </c>
      <c r="M558">
        <v>0.99982249999999995</v>
      </c>
      <c r="N558">
        <v>-1.4162599999999999E-2</v>
      </c>
      <c r="O558">
        <v>-1.2437490000000001E-2</v>
      </c>
      <c r="P558">
        <v>0.9896644</v>
      </c>
      <c r="Q558">
        <v>8.7203020000000006E-2</v>
      </c>
      <c r="R558">
        <v>0.11384379999999999</v>
      </c>
      <c r="S558">
        <v>2.9741209999999998</v>
      </c>
      <c r="T558">
        <v>-1.029968E-4</v>
      </c>
      <c r="U558">
        <v>0.4969788</v>
      </c>
      <c r="V558">
        <v>-0.1261679</v>
      </c>
      <c r="W558">
        <v>0.1011611</v>
      </c>
      <c r="X558">
        <v>0.98683739999999998</v>
      </c>
      <c r="Y558">
        <v>-0.17707039999999999</v>
      </c>
      <c r="Z558">
        <v>1.0911569999999999E-3</v>
      </c>
      <c r="AA558">
        <v>0.98419760000000001</v>
      </c>
      <c r="AB558">
        <v>23</v>
      </c>
      <c r="AC558">
        <v>145.90440000000001</v>
      </c>
      <c r="AD558">
        <v>-5.0920000000000904E-3</v>
      </c>
      <c r="AE558">
        <v>24.4039</v>
      </c>
      <c r="AF558">
        <v>-26.216878247377899</v>
      </c>
      <c r="AG558">
        <v>-5.0920000000000904E-3</v>
      </c>
      <c r="AH558">
        <v>145.58955840882001</v>
      </c>
      <c r="AI558">
        <v>90.001972201135203</v>
      </c>
      <c r="AJ558">
        <v>100.208074436904</v>
      </c>
      <c r="AK558">
        <v>147.93121458516299</v>
      </c>
      <c r="AL558">
        <v>84.193964197235502</v>
      </c>
      <c r="AM558">
        <v>97.285782504781594</v>
      </c>
      <c r="AN558">
        <v>0.999999980591189</v>
      </c>
    </row>
    <row r="559" spans="1:40" x14ac:dyDescent="0.25">
      <c r="A559" t="str">
        <f>"20190304154736790"</f>
        <v>20190304154736790</v>
      </c>
      <c r="B559" t="str">
        <f>"1551685656787433"</f>
        <v>1551685656787433</v>
      </c>
      <c r="C559" t="s">
        <v>40</v>
      </c>
      <c r="D559">
        <v>4.1333390000000003</v>
      </c>
      <c r="E559">
        <v>0.47631659999999998</v>
      </c>
      <c r="F559" t="s">
        <v>52</v>
      </c>
      <c r="G559">
        <v>-272.95979999999997</v>
      </c>
      <c r="H559">
        <v>1.224674</v>
      </c>
      <c r="I559">
        <v>390.88350000000003</v>
      </c>
      <c r="J559">
        <v>-415.97949999999997</v>
      </c>
      <c r="K559">
        <v>1.060991</v>
      </c>
      <c r="L559">
        <v>366.47770000000003</v>
      </c>
      <c r="M559">
        <v>0.99982349999999998</v>
      </c>
      <c r="N559">
        <v>-1.420048E-2</v>
      </c>
      <c r="O559">
        <v>-1.2306879999999999E-2</v>
      </c>
      <c r="P559">
        <v>0.98966900000000002</v>
      </c>
      <c r="Q559">
        <v>8.7299619999999994E-2</v>
      </c>
      <c r="R559">
        <v>0.1137285</v>
      </c>
      <c r="S559">
        <v>2.9727480000000002</v>
      </c>
      <c r="T559">
        <v>3.3991339999999998E-3</v>
      </c>
      <c r="U559">
        <v>0.50665280000000001</v>
      </c>
      <c r="V559">
        <v>-0.12592519999999999</v>
      </c>
      <c r="W559">
        <v>0.10129340000000001</v>
      </c>
      <c r="X559">
        <v>0.98685489999999998</v>
      </c>
      <c r="Y559">
        <v>-0.18013009999999999</v>
      </c>
      <c r="Z559">
        <v>9.9848340000000002E-4</v>
      </c>
      <c r="AA559">
        <v>0.98364229999999997</v>
      </c>
      <c r="AB559">
        <v>23</v>
      </c>
      <c r="AC559">
        <v>143.0197</v>
      </c>
      <c r="AD559">
        <v>0.163683</v>
      </c>
      <c r="AE559">
        <v>24.405799999999999</v>
      </c>
      <c r="AF559">
        <v>-26.164221667316902</v>
      </c>
      <c r="AG559">
        <v>0.163683</v>
      </c>
      <c r="AH559">
        <v>142.70829542155801</v>
      </c>
      <c r="AI559">
        <v>89.935360548466903</v>
      </c>
      <c r="AJ559">
        <v>100.389259522131</v>
      </c>
      <c r="AK559">
        <v>145.08704583700001</v>
      </c>
      <c r="AL559">
        <v>84.186345239553106</v>
      </c>
      <c r="AM559">
        <v>97.271789967862503</v>
      </c>
      <c r="AN559">
        <v>1.0000000512663001</v>
      </c>
    </row>
    <row r="560" spans="1:40" x14ac:dyDescent="0.25">
      <c r="A560" t="str">
        <f>"20190304154736802"</f>
        <v>20190304154736802</v>
      </c>
      <c r="B560" t="str">
        <f>"1551685656797193"</f>
        <v>1551685656797193</v>
      </c>
      <c r="C560" t="s">
        <v>40</v>
      </c>
      <c r="D560">
        <v>4.1508929999999999</v>
      </c>
      <c r="E560">
        <v>0.47570180000000001</v>
      </c>
      <c r="F560" t="s">
        <v>52</v>
      </c>
      <c r="G560">
        <v>-272.97949999999997</v>
      </c>
      <c r="H560">
        <v>1.3769180000000001</v>
      </c>
      <c r="I560">
        <v>391.5942</v>
      </c>
      <c r="J560">
        <v>-415.86419999999998</v>
      </c>
      <c r="K560">
        <v>1.060997</v>
      </c>
      <c r="L560">
        <v>366.47640000000001</v>
      </c>
      <c r="M560">
        <v>0.9998243</v>
      </c>
      <c r="N560">
        <v>-1.4223380000000001E-2</v>
      </c>
      <c r="O560">
        <v>-1.2212560000000001E-2</v>
      </c>
      <c r="P560">
        <v>0.98962209999999995</v>
      </c>
      <c r="Q560">
        <v>8.7566599999999994E-2</v>
      </c>
      <c r="R560">
        <v>0.1139309</v>
      </c>
      <c r="S560">
        <v>2.9707949999999999</v>
      </c>
      <c r="T560">
        <v>6.5639019999999999E-3</v>
      </c>
      <c r="U560">
        <v>0.52178959999999996</v>
      </c>
      <c r="V560">
        <v>-0.12603449999999999</v>
      </c>
      <c r="W560">
        <v>0.1015814</v>
      </c>
      <c r="X560">
        <v>0.98681129999999995</v>
      </c>
      <c r="Y560">
        <v>-0.18500910000000001</v>
      </c>
      <c r="Z560">
        <v>9.2381270000000001E-4</v>
      </c>
      <c r="AA560">
        <v>0.98273630000000001</v>
      </c>
      <c r="AB560">
        <v>23</v>
      </c>
      <c r="AC560">
        <v>142.88470000000001</v>
      </c>
      <c r="AD560">
        <v>0.31592100000000001</v>
      </c>
      <c r="AE560">
        <v>25.1177999999999</v>
      </c>
      <c r="AF560">
        <v>-26.860963493690601</v>
      </c>
      <c r="AG560">
        <v>0.31592100000000001</v>
      </c>
      <c r="AH560">
        <v>142.56658234096699</v>
      </c>
      <c r="AI560">
        <v>89.875230623405201</v>
      </c>
      <c r="AJ560">
        <v>100.67001291843501</v>
      </c>
      <c r="AK560">
        <v>145.07529619570499</v>
      </c>
      <c r="AL560">
        <v>84.169758252395695</v>
      </c>
      <c r="AM560">
        <v>97.278352171402702</v>
      </c>
      <c r="AN560">
        <v>1.0000000089119501</v>
      </c>
    </row>
    <row r="561" spans="1:40" x14ac:dyDescent="0.25">
      <c r="A561" t="str">
        <f>"20190304154736814"</f>
        <v>20190304154736814</v>
      </c>
      <c r="B561" t="str">
        <f>"1551685656807929"</f>
        <v>1551685656807929</v>
      </c>
      <c r="C561" t="s">
        <v>40</v>
      </c>
      <c r="D561">
        <v>4.1399339999999896</v>
      </c>
      <c r="E561">
        <v>0.47512599999999999</v>
      </c>
      <c r="F561" t="s">
        <v>52</v>
      </c>
      <c r="G561">
        <v>-273.54160000000002</v>
      </c>
      <c r="H561">
        <v>1.4230929999999999</v>
      </c>
      <c r="I561">
        <v>391.75</v>
      </c>
      <c r="J561">
        <v>-415.74220000000003</v>
      </c>
      <c r="K561">
        <v>1.0610029999999999</v>
      </c>
      <c r="L561">
        <v>366.47500000000002</v>
      </c>
      <c r="M561">
        <v>0.99982519999999997</v>
      </c>
      <c r="N561">
        <v>-1.4246669999999999E-2</v>
      </c>
      <c r="O561">
        <v>-1.211157E-2</v>
      </c>
      <c r="P561">
        <v>0.98960409999999999</v>
      </c>
      <c r="Q561">
        <v>8.7743630000000003E-2</v>
      </c>
      <c r="R561">
        <v>0.1139522</v>
      </c>
      <c r="S561">
        <v>2.9701230000000001</v>
      </c>
      <c r="T561">
        <v>7.557154E-3</v>
      </c>
      <c r="U561">
        <v>0.52743530000000005</v>
      </c>
      <c r="V561">
        <v>-0.1259575</v>
      </c>
      <c r="W561">
        <v>0.1017801</v>
      </c>
      <c r="X561">
        <v>0.98680069999999998</v>
      </c>
      <c r="Y561">
        <v>-0.18675919999999999</v>
      </c>
      <c r="Z561">
        <v>9.0322389999999996E-4</v>
      </c>
      <c r="AA561">
        <v>0.98240530000000004</v>
      </c>
      <c r="AB561">
        <v>23</v>
      </c>
      <c r="AC561">
        <v>142.20060000000001</v>
      </c>
      <c r="AD561">
        <v>0.36208999999999902</v>
      </c>
      <c r="AE561">
        <v>25.274999999999899</v>
      </c>
      <c r="AF561">
        <v>-26.995423340753899</v>
      </c>
      <c r="AG561">
        <v>0.36208999999999902</v>
      </c>
      <c r="AH561">
        <v>141.883125029544</v>
      </c>
      <c r="AI561">
        <v>89.856356646561295</v>
      </c>
      <c r="AJ561">
        <v>100.772632643717</v>
      </c>
      <c r="AK561">
        <v>144.428893088135</v>
      </c>
      <c r="AL561">
        <v>84.158314514810101</v>
      </c>
      <c r="AM561">
        <v>97.274030445145797</v>
      </c>
      <c r="AN561">
        <v>1.00000005104137</v>
      </c>
    </row>
    <row r="562" spans="1:40" x14ac:dyDescent="0.25">
      <c r="A562" t="str">
        <f>"20190304154736827"</f>
        <v>20190304154736827</v>
      </c>
      <c r="B562" t="str">
        <f>"1551685656817689"</f>
        <v>1551685656817689</v>
      </c>
      <c r="C562" t="s">
        <v>40</v>
      </c>
      <c r="D562">
        <v>4.1610899999999997</v>
      </c>
      <c r="E562">
        <v>0.47452850000000002</v>
      </c>
      <c r="F562" t="s">
        <v>52</v>
      </c>
      <c r="G562">
        <v>-274.61689999999999</v>
      </c>
      <c r="H562">
        <v>1.4883999999999999</v>
      </c>
      <c r="I562">
        <v>391.75</v>
      </c>
      <c r="J562">
        <v>-415.60680000000002</v>
      </c>
      <c r="K562">
        <v>1.0610109999999999</v>
      </c>
      <c r="L562">
        <v>366.4735</v>
      </c>
      <c r="M562">
        <v>0.9998264</v>
      </c>
      <c r="N562">
        <v>-1.426963E-2</v>
      </c>
      <c r="O562">
        <v>-1.199558E-2</v>
      </c>
      <c r="P562">
        <v>0.98959819999999998</v>
      </c>
      <c r="Q562">
        <v>8.7471380000000001E-2</v>
      </c>
      <c r="R562">
        <v>0.11421199999999999</v>
      </c>
      <c r="S562">
        <v>2.9695130000000001</v>
      </c>
      <c r="T562">
        <v>8.9937449999999992E-3</v>
      </c>
      <c r="U562">
        <v>0.53182980000000002</v>
      </c>
      <c r="V562">
        <v>-0.12610289999999999</v>
      </c>
      <c r="W562">
        <v>0.1015297</v>
      </c>
      <c r="X562">
        <v>0.98680789999999996</v>
      </c>
      <c r="Y562">
        <v>-0.18808920000000001</v>
      </c>
      <c r="Z562">
        <v>8.6420959999999999E-4</v>
      </c>
      <c r="AA562">
        <v>0.98215160000000001</v>
      </c>
      <c r="AB562">
        <v>23</v>
      </c>
      <c r="AC562">
        <v>140.98990000000001</v>
      </c>
      <c r="AD562">
        <v>0.42738899999999902</v>
      </c>
      <c r="AE562">
        <v>25.276499999999999</v>
      </c>
      <c r="AF562">
        <v>-26.965868469309001</v>
      </c>
      <c r="AG562">
        <v>0.42738899999999902</v>
      </c>
      <c r="AH562">
        <v>140.67526425821899</v>
      </c>
      <c r="AI562">
        <v>89.829041359189603</v>
      </c>
      <c r="AJ562">
        <v>100.85132621444301</v>
      </c>
      <c r="AK562">
        <v>143.23711354876301</v>
      </c>
      <c r="AL562">
        <v>84.172735941151799</v>
      </c>
      <c r="AM562">
        <v>97.282284625373507</v>
      </c>
      <c r="AN562">
        <v>1.0000000264364499</v>
      </c>
    </row>
    <row r="563" spans="1:40" x14ac:dyDescent="0.25">
      <c r="A563" t="str">
        <f>"20190304154736840"</f>
        <v>20190304154736840</v>
      </c>
      <c r="B563" t="str">
        <f>"1551685656827449"</f>
        <v>1551685656827449</v>
      </c>
      <c r="C563" t="s">
        <v>40</v>
      </c>
      <c r="D563">
        <v>4.163481</v>
      </c>
      <c r="E563">
        <v>0.47409609999999902</v>
      </c>
      <c r="F563" t="s">
        <v>52</v>
      </c>
      <c r="G563">
        <v>-275.9572</v>
      </c>
      <c r="H563">
        <v>1.440626</v>
      </c>
      <c r="I563">
        <v>391.75</v>
      </c>
      <c r="J563">
        <v>-415.48849999999999</v>
      </c>
      <c r="K563">
        <v>1.0610139999999999</v>
      </c>
      <c r="L563">
        <v>366.47219999999999</v>
      </c>
      <c r="M563">
        <v>0.99982729999999997</v>
      </c>
      <c r="N563">
        <v>-1.428663E-2</v>
      </c>
      <c r="O563">
        <v>-1.189219E-2</v>
      </c>
      <c r="P563">
        <v>0.98956</v>
      </c>
      <c r="Q563">
        <v>8.7651709999999994E-2</v>
      </c>
      <c r="R563">
        <v>0.1144037</v>
      </c>
      <c r="S563">
        <v>2.9688110000000001</v>
      </c>
      <c r="T563">
        <v>8.0708269999999992E-3</v>
      </c>
      <c r="U563">
        <v>0.53735350000000004</v>
      </c>
      <c r="V563">
        <v>-0.12619259999999999</v>
      </c>
      <c r="W563">
        <v>0.101726</v>
      </c>
      <c r="X563">
        <v>0.98677619999999999</v>
      </c>
      <c r="Y563">
        <v>-0.18979750000000001</v>
      </c>
      <c r="Z563">
        <v>9.102909E-4</v>
      </c>
      <c r="AA563">
        <v>0.9818228</v>
      </c>
      <c r="AB563">
        <v>23</v>
      </c>
      <c r="AC563">
        <v>139.53129999999999</v>
      </c>
      <c r="AD563">
        <v>0.379612</v>
      </c>
      <c r="AE563">
        <v>25.277799999999999</v>
      </c>
      <c r="AF563">
        <v>-26.935321055436098</v>
      </c>
      <c r="AG563">
        <v>0.379612</v>
      </c>
      <c r="AH563">
        <v>139.21979429925699</v>
      </c>
      <c r="AI563">
        <v>89.846615762279797</v>
      </c>
      <c r="AJ563">
        <v>100.949918940186</v>
      </c>
      <c r="AK563">
        <v>141.80199840043699</v>
      </c>
      <c r="AL563">
        <v>84.1614301489751</v>
      </c>
      <c r="AM563">
        <v>97.287640612274899</v>
      </c>
      <c r="AN563">
        <v>1.0000000101286</v>
      </c>
    </row>
    <row r="564" spans="1:40" x14ac:dyDescent="0.25">
      <c r="A564" t="str">
        <f>"20190304154736854"</f>
        <v>20190304154736854</v>
      </c>
      <c r="B564" t="str">
        <f>"1551685656847946"</f>
        <v>1551685656847946</v>
      </c>
      <c r="C564" t="s">
        <v>40</v>
      </c>
      <c r="D564">
        <v>4.1326450000000001</v>
      </c>
      <c r="E564">
        <v>0.47335539999999998</v>
      </c>
      <c r="F564" t="s">
        <v>52</v>
      </c>
      <c r="G564">
        <v>-276.94330000000002</v>
      </c>
      <c r="H564">
        <v>1.4855640000000001</v>
      </c>
      <c r="I564">
        <v>391.75</v>
      </c>
      <c r="J564">
        <v>-415.3372</v>
      </c>
      <c r="K564">
        <v>1.061018</v>
      </c>
      <c r="L564">
        <v>366.47059999999999</v>
      </c>
      <c r="M564">
        <v>0.99982859999999996</v>
      </c>
      <c r="N564">
        <v>-1.430507E-2</v>
      </c>
      <c r="O564">
        <v>-1.175819E-2</v>
      </c>
      <c r="P564">
        <v>0.98954180000000003</v>
      </c>
      <c r="Q564">
        <v>8.7498690000000004E-2</v>
      </c>
      <c r="R564">
        <v>0.11467860000000001</v>
      </c>
      <c r="S564">
        <v>2.9682620000000002</v>
      </c>
      <c r="T564">
        <v>9.0963840000000008E-3</v>
      </c>
      <c r="U564">
        <v>0.54156490000000002</v>
      </c>
      <c r="V564">
        <v>-0.126335</v>
      </c>
      <c r="W564">
        <v>0.1015904</v>
      </c>
      <c r="X564">
        <v>0.98677190000000004</v>
      </c>
      <c r="Y564">
        <v>-0.1910463</v>
      </c>
      <c r="Z564">
        <v>8.8483639999999998E-4</v>
      </c>
      <c r="AA564">
        <v>0.98158060000000003</v>
      </c>
      <c r="AB564">
        <v>23</v>
      </c>
      <c r="AC564">
        <v>138.39389999999901</v>
      </c>
      <c r="AD564">
        <v>0.42454599999999898</v>
      </c>
      <c r="AE564">
        <v>25.279399999999999</v>
      </c>
      <c r="AF564">
        <v>-26.9048352621686</v>
      </c>
      <c r="AG564">
        <v>0.42454599999999898</v>
      </c>
      <c r="AH564">
        <v>138.085802990015</v>
      </c>
      <c r="AI564">
        <v>89.827095592837793</v>
      </c>
      <c r="AJ564">
        <v>101.025456145467</v>
      </c>
      <c r="AK564">
        <v>140.68311692306199</v>
      </c>
      <c r="AL564">
        <v>84.169239635058005</v>
      </c>
      <c r="AM564">
        <v>97.295807125895095</v>
      </c>
      <c r="AN564">
        <v>0.99999996211338404</v>
      </c>
    </row>
    <row r="565" spans="1:40" x14ac:dyDescent="0.25">
      <c r="A565" t="str">
        <f>"20190304154736869"</f>
        <v>20190304154736869</v>
      </c>
      <c r="B565" t="str">
        <f>"1551685656857705"</f>
        <v>1551685656857705</v>
      </c>
      <c r="C565" t="s">
        <v>40</v>
      </c>
      <c r="D565">
        <v>4.152596</v>
      </c>
      <c r="E565">
        <v>0.47297270000000002</v>
      </c>
      <c r="F565" t="s">
        <v>52</v>
      </c>
      <c r="G565">
        <v>-278.4366</v>
      </c>
      <c r="H565">
        <v>1.4749890000000001</v>
      </c>
      <c r="I565">
        <v>391.75</v>
      </c>
      <c r="J565">
        <v>-415.18009999999998</v>
      </c>
      <c r="K565">
        <v>1.0610170000000001</v>
      </c>
      <c r="L565">
        <v>366.46890000000002</v>
      </c>
      <c r="M565">
        <v>0.99982990000000005</v>
      </c>
      <c r="N565">
        <v>-1.431867E-2</v>
      </c>
      <c r="O565">
        <v>-1.1616899999999999E-2</v>
      </c>
      <c r="P565">
        <v>0.98948749999999996</v>
      </c>
      <c r="Q565">
        <v>8.7442729999999996E-2</v>
      </c>
      <c r="R565">
        <v>0.1151865</v>
      </c>
      <c r="S565">
        <v>2.9673769999999999</v>
      </c>
      <c r="T565">
        <v>8.9735979999999993E-3</v>
      </c>
      <c r="U565">
        <v>0.54794309999999902</v>
      </c>
      <c r="V565">
        <v>-0.1267026</v>
      </c>
      <c r="W565">
        <v>0.1015467</v>
      </c>
      <c r="X565">
        <v>0.98672930000000003</v>
      </c>
      <c r="Y565">
        <v>-0.193</v>
      </c>
      <c r="Z565">
        <v>9.0426299999999999E-4</v>
      </c>
      <c r="AA565">
        <v>0.98119840000000003</v>
      </c>
      <c r="AB565">
        <v>23</v>
      </c>
      <c r="AC565">
        <v>136.74349999999899</v>
      </c>
      <c r="AD565">
        <v>0.41397199999999901</v>
      </c>
      <c r="AE565">
        <v>25.281099999999899</v>
      </c>
      <c r="AF565">
        <v>-26.867854205815402</v>
      </c>
      <c r="AG565">
        <v>0.41397199999999901</v>
      </c>
      <c r="AH565">
        <v>136.43934358812101</v>
      </c>
      <c r="AI565">
        <v>89.829434457663595</v>
      </c>
      <c r="AJ565">
        <v>101.140237149781</v>
      </c>
      <c r="AK565">
        <v>139.06022954532699</v>
      </c>
      <c r="AL565">
        <v>84.171756676412201</v>
      </c>
      <c r="AM565">
        <v>97.317118658424107</v>
      </c>
      <c r="AN565">
        <v>0.99999999630307002</v>
      </c>
    </row>
    <row r="566" spans="1:40" x14ac:dyDescent="0.25">
      <c r="A566" t="str">
        <f>"20190304154736883"</f>
        <v>20190304154736883</v>
      </c>
      <c r="B566" t="str">
        <f>"1551685656878201"</f>
        <v>1551685656878201</v>
      </c>
      <c r="C566" t="s">
        <v>40</v>
      </c>
      <c r="D566">
        <v>4.1588250000000002</v>
      </c>
      <c r="E566">
        <v>0.47241870000000002</v>
      </c>
      <c r="F566" t="s">
        <v>52</v>
      </c>
      <c r="G566">
        <v>-279.50279999999998</v>
      </c>
      <c r="H566">
        <v>1.4783759999999999</v>
      </c>
      <c r="I566">
        <v>391.75</v>
      </c>
      <c r="J566">
        <v>-415.05489999999998</v>
      </c>
      <c r="K566">
        <v>1.061018</v>
      </c>
      <c r="L566">
        <v>366.4676</v>
      </c>
      <c r="M566">
        <v>0.99983120000000003</v>
      </c>
      <c r="N566">
        <v>-1.4326159999999999E-2</v>
      </c>
      <c r="O566">
        <v>-1.150372E-2</v>
      </c>
      <c r="P566">
        <v>0.98947549999999995</v>
      </c>
      <c r="Q566">
        <v>8.7106130000000004E-2</v>
      </c>
      <c r="R566">
        <v>0.1155462</v>
      </c>
      <c r="S566">
        <v>2.9667050000000001</v>
      </c>
      <c r="T566">
        <v>9.1265440000000003E-3</v>
      </c>
      <c r="U566">
        <v>0.55279540000000005</v>
      </c>
      <c r="V566">
        <v>-0.12695010000000001</v>
      </c>
      <c r="W566">
        <v>0.101218</v>
      </c>
      <c r="X566">
        <v>0.98673129999999998</v>
      </c>
      <c r="Y566">
        <v>-0.19447990000000001</v>
      </c>
      <c r="Z566">
        <v>9.0997490000000001E-4</v>
      </c>
      <c r="AA566">
        <v>0.9809061</v>
      </c>
      <c r="AB566">
        <v>23</v>
      </c>
      <c r="AC566">
        <v>135.5521</v>
      </c>
      <c r="AD566">
        <v>0.41735799999999901</v>
      </c>
      <c r="AE566">
        <v>25.282399999999999</v>
      </c>
      <c r="AF566">
        <v>-26.839994279530998</v>
      </c>
      <c r="AG566">
        <v>0.41735799999999901</v>
      </c>
      <c r="AH566">
        <v>135.251018113105</v>
      </c>
      <c r="AI566">
        <v>89.826578804583605</v>
      </c>
      <c r="AJ566">
        <v>101.224281902274</v>
      </c>
      <c r="AK566">
        <v>137.88907636668301</v>
      </c>
      <c r="AL566">
        <v>84.190687563894102</v>
      </c>
      <c r="AM566">
        <v>97.331241820244401</v>
      </c>
      <c r="AN566">
        <v>1.0000000349068401</v>
      </c>
    </row>
    <row r="567" spans="1:40" x14ac:dyDescent="0.25">
      <c r="A567" t="str">
        <f>"20190304154736896"</f>
        <v>20190304154736896</v>
      </c>
      <c r="B567" t="str">
        <f>"1551685656887493"</f>
        <v>1551685656887493</v>
      </c>
      <c r="C567" t="s">
        <v>40</v>
      </c>
      <c r="D567">
        <v>4.1613069999999999</v>
      </c>
      <c r="E567">
        <v>0.47216439999999998</v>
      </c>
      <c r="F567" t="s">
        <v>52</v>
      </c>
      <c r="G567">
        <v>-280.7226</v>
      </c>
      <c r="H567">
        <v>1.4319010000000001</v>
      </c>
      <c r="I567">
        <v>391.75</v>
      </c>
      <c r="J567">
        <v>-414.91609999999997</v>
      </c>
      <c r="K567">
        <v>1.061016</v>
      </c>
      <c r="L567">
        <v>366.46609999999998</v>
      </c>
      <c r="M567">
        <v>0.99983259999999996</v>
      </c>
      <c r="N567">
        <v>-1.433301E-2</v>
      </c>
      <c r="O567">
        <v>-1.1378249999999999E-2</v>
      </c>
      <c r="P567">
        <v>0.98946290000000003</v>
      </c>
      <c r="Q567">
        <v>8.6863280000000001E-2</v>
      </c>
      <c r="R567">
        <v>0.1158367</v>
      </c>
      <c r="S567">
        <v>2.9660030000000002</v>
      </c>
      <c r="T567">
        <v>8.1895590000000008E-3</v>
      </c>
      <c r="U567">
        <v>0.55822749999999999</v>
      </c>
      <c r="V567">
        <v>-0.12711600000000001</v>
      </c>
      <c r="W567">
        <v>0.10098169999999999</v>
      </c>
      <c r="X567">
        <v>0.98673409999999995</v>
      </c>
      <c r="Y567">
        <v>-0.1961338</v>
      </c>
      <c r="Z567">
        <v>9.5668490000000005E-4</v>
      </c>
      <c r="AA567">
        <v>0.98057669999999997</v>
      </c>
      <c r="AB567">
        <v>22</v>
      </c>
      <c r="AC567">
        <v>134.19349999999901</v>
      </c>
      <c r="AD567">
        <v>0.37088500000000002</v>
      </c>
      <c r="AE567">
        <v>25.283899999999999</v>
      </c>
      <c r="AF567">
        <v>-26.809109118054899</v>
      </c>
      <c r="AG567">
        <v>0.37088500000000002</v>
      </c>
      <c r="AH567">
        <v>133.896107491718</v>
      </c>
      <c r="AI567">
        <v>89.844382813155406</v>
      </c>
      <c r="AJ567">
        <v>101.322229328147</v>
      </c>
      <c r="AK567">
        <v>136.554141236437</v>
      </c>
      <c r="AL567">
        <v>84.204295979442193</v>
      </c>
      <c r="AM567">
        <v>97.340697346434496</v>
      </c>
      <c r="AN567">
        <v>0.99999998264684897</v>
      </c>
    </row>
    <row r="568" spans="1:40" x14ac:dyDescent="0.25">
      <c r="A568" t="str">
        <f>"20190304154736908"</f>
        <v>20190304154736908</v>
      </c>
      <c r="B568" t="str">
        <f>"1551685656897253"</f>
        <v>1551685656897253</v>
      </c>
      <c r="C568" t="s">
        <v>40</v>
      </c>
      <c r="D568">
        <v>4.1723660000000002</v>
      </c>
      <c r="E568">
        <v>0.47196050000000001</v>
      </c>
      <c r="F568" t="s">
        <v>52</v>
      </c>
      <c r="G568">
        <v>-281.28800000000001</v>
      </c>
      <c r="H568">
        <v>1.400847</v>
      </c>
      <c r="I568">
        <v>391.75</v>
      </c>
      <c r="J568">
        <v>-414.78879999999998</v>
      </c>
      <c r="K568">
        <v>1.0610139999999999</v>
      </c>
      <c r="L568">
        <v>366.46480000000003</v>
      </c>
      <c r="M568">
        <v>0.99983379999999999</v>
      </c>
      <c r="N568">
        <v>-1.433771E-2</v>
      </c>
      <c r="O568">
        <v>-1.126339E-2</v>
      </c>
      <c r="P568">
        <v>0.9894271</v>
      </c>
      <c r="Q568">
        <v>8.674258E-2</v>
      </c>
      <c r="R568">
        <v>0.116232</v>
      </c>
      <c r="S568">
        <v>2.9656069999999999</v>
      </c>
      <c r="T568">
        <v>7.5424910000000001E-3</v>
      </c>
      <c r="U568">
        <v>0.56112669999999998</v>
      </c>
      <c r="V568">
        <v>-0.12739700000000001</v>
      </c>
      <c r="W568">
        <v>0.100866</v>
      </c>
      <c r="X568">
        <v>0.98670970000000002</v>
      </c>
      <c r="Y568">
        <v>-0.19697039999999999</v>
      </c>
      <c r="Z568">
        <v>9.8781660000000007E-4</v>
      </c>
      <c r="AA568">
        <v>0.98040890000000003</v>
      </c>
      <c r="AB568">
        <v>22</v>
      </c>
      <c r="AC568">
        <v>133.500799999999</v>
      </c>
      <c r="AD568">
        <v>0.339833</v>
      </c>
      <c r="AE568">
        <v>25.2851999999999</v>
      </c>
      <c r="AF568">
        <v>-26.787254271609498</v>
      </c>
      <c r="AG568">
        <v>0.339833</v>
      </c>
      <c r="AH568">
        <v>133.20667016895001</v>
      </c>
      <c r="AI568">
        <v>89.856697781494105</v>
      </c>
      <c r="AJ568">
        <v>101.37026995980101</v>
      </c>
      <c r="AK568">
        <v>135.873799738504</v>
      </c>
      <c r="AL568">
        <v>84.210959158092905</v>
      </c>
      <c r="AM568">
        <v>97.356926897132595</v>
      </c>
      <c r="AN568">
        <v>0.99999998881954399</v>
      </c>
    </row>
    <row r="569" spans="1:40" x14ac:dyDescent="0.25">
      <c r="A569" t="str">
        <f>"20190304154736925"</f>
        <v>20190304154736925</v>
      </c>
      <c r="B569" t="str">
        <f>"1551685656917748"</f>
        <v>1551685656917748</v>
      </c>
      <c r="C569" t="s">
        <v>40</v>
      </c>
      <c r="D569">
        <v>4.1638140000000003</v>
      </c>
      <c r="E569">
        <v>0.47156550000000003</v>
      </c>
      <c r="F569" t="s">
        <v>52</v>
      </c>
      <c r="G569">
        <v>-281.86849999999998</v>
      </c>
      <c r="H569">
        <v>1.381869</v>
      </c>
      <c r="I569">
        <v>391.75</v>
      </c>
      <c r="J569">
        <v>-414.61759999999998</v>
      </c>
      <c r="K569">
        <v>1.06101</v>
      </c>
      <c r="L569">
        <v>366.46300000000002</v>
      </c>
      <c r="M569">
        <v>0.99983560000000005</v>
      </c>
      <c r="N569">
        <v>-1.4342489999999999E-2</v>
      </c>
      <c r="O569">
        <v>-1.110979E-2</v>
      </c>
      <c r="P569">
        <v>0.98942620000000003</v>
      </c>
      <c r="Q569">
        <v>8.628972E-2</v>
      </c>
      <c r="R569">
        <v>0.1165766</v>
      </c>
      <c r="S569">
        <v>2.9651489999999998</v>
      </c>
      <c r="T569">
        <v>7.1581600000000002E-3</v>
      </c>
      <c r="U569">
        <v>0.56405640000000001</v>
      </c>
      <c r="V569">
        <v>-0.12759000000000001</v>
      </c>
      <c r="W569">
        <v>0.1004181</v>
      </c>
      <c r="X569">
        <v>0.98673049999999995</v>
      </c>
      <c r="Y569">
        <v>-0.19778229999999999</v>
      </c>
      <c r="Z569">
        <v>1.009921E-3</v>
      </c>
      <c r="AA569">
        <v>0.98024549999999999</v>
      </c>
      <c r="AB569">
        <v>22</v>
      </c>
      <c r="AC569">
        <v>132.7491</v>
      </c>
      <c r="AD569">
        <v>0.32085900000000001</v>
      </c>
      <c r="AE569">
        <v>25.2869999999999</v>
      </c>
      <c r="AF569">
        <v>-26.760254286148001</v>
      </c>
      <c r="AG569">
        <v>0.32085900000000001</v>
      </c>
      <c r="AH569">
        <v>132.459196778087</v>
      </c>
      <c r="AI569">
        <v>89.863959812035802</v>
      </c>
      <c r="AJ569">
        <v>101.421527307494</v>
      </c>
      <c r="AK569">
        <v>135.13568355935101</v>
      </c>
      <c r="AL569">
        <v>84.236753204137997</v>
      </c>
      <c r="AM569">
        <v>97.367796286050805</v>
      </c>
      <c r="AN569">
        <v>1.0000000412689201</v>
      </c>
    </row>
    <row r="570" spans="1:40" x14ac:dyDescent="0.25">
      <c r="A570" t="str">
        <f>"20190304154736937"</f>
        <v>20190304154736937</v>
      </c>
      <c r="B570" t="str">
        <f>"1551685656927509"</f>
        <v>1551685656927509</v>
      </c>
      <c r="C570" t="s">
        <v>40</v>
      </c>
      <c r="D570">
        <v>4.1782560000000002</v>
      </c>
      <c r="E570">
        <v>0.47141420000000001</v>
      </c>
      <c r="F570" t="s">
        <v>52</v>
      </c>
      <c r="G570">
        <v>-282.67649999999998</v>
      </c>
      <c r="H570">
        <v>1.3340449999999999</v>
      </c>
      <c r="I570">
        <v>391.75</v>
      </c>
      <c r="J570">
        <v>-414.5043</v>
      </c>
      <c r="K570">
        <v>1.0610090000000001</v>
      </c>
      <c r="L570">
        <v>366.46190000000001</v>
      </c>
      <c r="M570">
        <v>0.99983650000000002</v>
      </c>
      <c r="N570">
        <v>-1.434497E-2</v>
      </c>
      <c r="O570">
        <v>-1.1008860000000001E-2</v>
      </c>
      <c r="P570">
        <v>0.98940479999999997</v>
      </c>
      <c r="Q570">
        <v>8.6213369999999998E-2</v>
      </c>
      <c r="R570">
        <v>0.116813899999999</v>
      </c>
      <c r="S570">
        <v>2.9645999999999999</v>
      </c>
      <c r="T570">
        <v>6.1354640000000002E-3</v>
      </c>
      <c r="U570">
        <v>0.56817629999999997</v>
      </c>
      <c r="V570">
        <v>-0.12772700000000001</v>
      </c>
      <c r="W570">
        <v>0.10034460000000001</v>
      </c>
      <c r="X570">
        <v>0.98672020000000005</v>
      </c>
      <c r="Y570">
        <v>-0.1990306</v>
      </c>
      <c r="Z570">
        <v>1.057337E-3</v>
      </c>
      <c r="AA570">
        <v>0.97999270000000005</v>
      </c>
      <c r="AB570">
        <v>22</v>
      </c>
      <c r="AC570">
        <v>131.8278</v>
      </c>
      <c r="AD570">
        <v>0.273036</v>
      </c>
      <c r="AE570">
        <v>25.288099999999901</v>
      </c>
      <c r="AF570">
        <v>-26.7378797537759</v>
      </c>
      <c r="AG570">
        <v>0.273036</v>
      </c>
      <c r="AH570">
        <v>131.54084363547801</v>
      </c>
      <c r="AI570">
        <v>89.883456041079398</v>
      </c>
      <c r="AJ570">
        <v>101.489790985368</v>
      </c>
      <c r="AK570">
        <v>134.231078021142</v>
      </c>
      <c r="AL570">
        <v>84.2409855215829</v>
      </c>
      <c r="AM570">
        <v>97.375696551562598</v>
      </c>
      <c r="AN570">
        <v>0.99999998918309896</v>
      </c>
    </row>
    <row r="571" spans="1:40" x14ac:dyDescent="0.25">
      <c r="A571" t="str">
        <f>"20190304154736948"</f>
        <v>20190304154736948</v>
      </c>
      <c r="B571" t="str">
        <f>"1551685656937271"</f>
        <v>1551685656937271</v>
      </c>
      <c r="C571" t="s">
        <v>40</v>
      </c>
      <c r="D571">
        <v>4.2060779999999998</v>
      </c>
      <c r="E571">
        <v>0.47128490000000001</v>
      </c>
      <c r="F571" t="s">
        <v>52</v>
      </c>
      <c r="G571">
        <v>-282.9873</v>
      </c>
      <c r="H571">
        <v>1.3489709999999999</v>
      </c>
      <c r="I571">
        <v>391.75</v>
      </c>
      <c r="J571">
        <v>-414.38600000000002</v>
      </c>
      <c r="K571">
        <v>1.06101</v>
      </c>
      <c r="L571">
        <v>366.46069999999997</v>
      </c>
      <c r="M571">
        <v>0.99983759999999999</v>
      </c>
      <c r="N571">
        <v>-1.434706E-2</v>
      </c>
      <c r="O571">
        <v>-1.090411E-2</v>
      </c>
      <c r="P571">
        <v>0.98940539999999999</v>
      </c>
      <c r="Q571">
        <v>8.6039119999999997E-2</v>
      </c>
      <c r="R571">
        <v>0.1169379</v>
      </c>
      <c r="S571">
        <v>2.9642940000000002</v>
      </c>
      <c r="T571">
        <v>6.4910649999999999E-3</v>
      </c>
      <c r="U571">
        <v>0.56997679999999995</v>
      </c>
      <c r="V571">
        <v>-0.1277471</v>
      </c>
      <c r="W571">
        <v>0.10017280000000001</v>
      </c>
      <c r="X571">
        <v>0.98673500000000003</v>
      </c>
      <c r="Y571">
        <v>-0.1995207</v>
      </c>
      <c r="Z571">
        <v>1.049199E-3</v>
      </c>
      <c r="AA571">
        <v>0.97989300000000001</v>
      </c>
      <c r="AB571">
        <v>22</v>
      </c>
      <c r="AC571">
        <v>131.398699999999</v>
      </c>
      <c r="AD571">
        <v>0.28796099999999902</v>
      </c>
      <c r="AE571">
        <v>25.289300000000001</v>
      </c>
      <c r="AF571">
        <v>-26.720605842643501</v>
      </c>
      <c r="AG571">
        <v>0.28796099999999902</v>
      </c>
      <c r="AH571">
        <v>131.11449362164001</v>
      </c>
      <c r="AI571">
        <v>89.876698472264394</v>
      </c>
      <c r="AJ571">
        <v>101.518907121075</v>
      </c>
      <c r="AK571">
        <v>133.809880561169</v>
      </c>
      <c r="AL571">
        <v>84.250878476976197</v>
      </c>
      <c r="AM571">
        <v>97.3767350321789</v>
      </c>
      <c r="AN571">
        <v>0.99999993582162205</v>
      </c>
    </row>
    <row r="572" spans="1:40" x14ac:dyDescent="0.25">
      <c r="A572" t="str">
        <f>"20190304154736960"</f>
        <v>20190304154736960</v>
      </c>
      <c r="B572" t="str">
        <f>"1551685656957765"</f>
        <v>1551685656957765</v>
      </c>
      <c r="C572" t="s">
        <v>40</v>
      </c>
      <c r="D572">
        <v>4.1708590000000001</v>
      </c>
      <c r="E572">
        <v>0.47095890000000001</v>
      </c>
      <c r="F572" t="s">
        <v>52</v>
      </c>
      <c r="G572">
        <v>-283.22480000000002</v>
      </c>
      <c r="H572">
        <v>1.328978</v>
      </c>
      <c r="I572">
        <v>391.75</v>
      </c>
      <c r="J572">
        <v>-414.26990000000001</v>
      </c>
      <c r="K572">
        <v>1.061015</v>
      </c>
      <c r="L572">
        <v>366.45960000000002</v>
      </c>
      <c r="M572">
        <v>0.99983880000000003</v>
      </c>
      <c r="N572">
        <v>-1.4348380000000001E-2</v>
      </c>
      <c r="O572">
        <v>-1.0801969999999999E-2</v>
      </c>
      <c r="P572">
        <v>0.98940539999999999</v>
      </c>
      <c r="Q572">
        <v>8.5889320000000005E-2</v>
      </c>
      <c r="R572">
        <v>0.1170474</v>
      </c>
      <c r="S572">
        <v>2.9640499999999999</v>
      </c>
      <c r="T572">
        <v>6.0563090000000002E-3</v>
      </c>
      <c r="U572">
        <v>0.57150269999999903</v>
      </c>
      <c r="V572">
        <v>-0.12775549999999999</v>
      </c>
      <c r="W572">
        <v>0.1000244</v>
      </c>
      <c r="X572">
        <v>0.98674910000000005</v>
      </c>
      <c r="Y572">
        <v>-0.19992199999999999</v>
      </c>
      <c r="Z572">
        <v>1.06963E-3</v>
      </c>
      <c r="AA572">
        <v>0.97981130000000005</v>
      </c>
      <c r="AB572">
        <v>22</v>
      </c>
      <c r="AC572">
        <v>131.04509999999999</v>
      </c>
      <c r="AD572">
        <v>0.26796299999999901</v>
      </c>
      <c r="AE572">
        <v>25.290399999999899</v>
      </c>
      <c r="AF572">
        <v>-26.704507373912499</v>
      </c>
      <c r="AG572">
        <v>0.26796299999999901</v>
      </c>
      <c r="AH572">
        <v>130.76371149755599</v>
      </c>
      <c r="AI572">
        <v>89.884963108933604</v>
      </c>
      <c r="AJ572">
        <v>101.542207017615</v>
      </c>
      <c r="AK572">
        <v>133.462919055702</v>
      </c>
      <c r="AL572">
        <v>84.259424849032698</v>
      </c>
      <c r="AM572">
        <v>97.377110491375404</v>
      </c>
      <c r="AN572">
        <v>1.0000000673631999</v>
      </c>
    </row>
    <row r="573" spans="1:40" x14ac:dyDescent="0.25">
      <c r="A573" t="str">
        <f>"20190304154736973"</f>
        <v>20190304154736973</v>
      </c>
      <c r="B573" t="str">
        <f>"1551685656967525"</f>
        <v>1551685656967525</v>
      </c>
      <c r="C573" t="s">
        <v>40</v>
      </c>
      <c r="D573">
        <v>4.1739290000000002</v>
      </c>
      <c r="E573">
        <v>0.47086549999999999</v>
      </c>
      <c r="F573" t="s">
        <v>52</v>
      </c>
      <c r="G573">
        <v>-283.74509999999998</v>
      </c>
      <c r="H573">
        <v>1.3010790000000001</v>
      </c>
      <c r="I573">
        <v>391.75</v>
      </c>
      <c r="J573">
        <v>-414.15179999999998</v>
      </c>
      <c r="K573">
        <v>1.061015</v>
      </c>
      <c r="L573">
        <v>366.45839999999998</v>
      </c>
      <c r="M573">
        <v>0.99983979999999995</v>
      </c>
      <c r="N573">
        <v>-1.434946E-2</v>
      </c>
      <c r="O573">
        <v>-1.0698289999999999E-2</v>
      </c>
      <c r="P573">
        <v>0.98937739999999996</v>
      </c>
      <c r="Q573">
        <v>8.6025379999999999E-2</v>
      </c>
      <c r="R573">
        <v>0.1171837</v>
      </c>
      <c r="S573">
        <v>2.9637150000000001</v>
      </c>
      <c r="T573">
        <v>5.4515600000000003E-3</v>
      </c>
      <c r="U573">
        <v>0.57424929999999996</v>
      </c>
      <c r="V573">
        <v>-0.12778909999999999</v>
      </c>
      <c r="W573">
        <v>0.1001615</v>
      </c>
      <c r="X573">
        <v>0.98673080000000002</v>
      </c>
      <c r="Y573">
        <v>-0.20071600000000001</v>
      </c>
      <c r="Z573">
        <v>1.098946E-3</v>
      </c>
      <c r="AA573">
        <v>0.97964879999999999</v>
      </c>
      <c r="AB573">
        <v>22</v>
      </c>
      <c r="AC573">
        <v>130.4067</v>
      </c>
      <c r="AD573">
        <v>0.240064</v>
      </c>
      <c r="AE573">
        <v>25.291599999999999</v>
      </c>
      <c r="AF573">
        <v>-26.6853375106318</v>
      </c>
      <c r="AG573">
        <v>0.240064</v>
      </c>
      <c r="AH573">
        <v>130.12820576842699</v>
      </c>
      <c r="AI573">
        <v>89.896454139814793</v>
      </c>
      <c r="AJ573">
        <v>101.588952456831</v>
      </c>
      <c r="AK573">
        <v>132.83642123036299</v>
      </c>
      <c r="AL573">
        <v>84.251529711660496</v>
      </c>
      <c r="AM573">
        <v>97.379164652662098</v>
      </c>
      <c r="AN573">
        <v>1.0000000259148401</v>
      </c>
    </row>
    <row r="574" spans="1:40" x14ac:dyDescent="0.25">
      <c r="A574" t="str">
        <f>"20190304154736984"</f>
        <v>20190304154736984</v>
      </c>
      <c r="B574" t="str">
        <f>"1551685656977285"</f>
        <v>1551685656977285</v>
      </c>
      <c r="C574" t="s">
        <v>40</v>
      </c>
      <c r="D574">
        <v>4.1614170000000001</v>
      </c>
      <c r="E574">
        <v>0.47076869999999998</v>
      </c>
      <c r="F574" t="s">
        <v>52</v>
      </c>
      <c r="G574">
        <v>-283.87830000000002</v>
      </c>
      <c r="H574">
        <v>1.329825</v>
      </c>
      <c r="I574">
        <v>391.75</v>
      </c>
      <c r="J574">
        <v>-414.0367</v>
      </c>
      <c r="K574">
        <v>1.061015</v>
      </c>
      <c r="L574">
        <v>366.45729999999998</v>
      </c>
      <c r="M574">
        <v>0.99984090000000003</v>
      </c>
      <c r="N574">
        <v>-1.4349860000000001E-2</v>
      </c>
      <c r="O574">
        <v>-1.059793E-2</v>
      </c>
      <c r="P574">
        <v>0.98935700000000004</v>
      </c>
      <c r="Q574">
        <v>8.6113739999999994E-2</v>
      </c>
      <c r="R574">
        <v>0.1172904</v>
      </c>
      <c r="S574">
        <v>2.9635310000000001</v>
      </c>
      <c r="T574">
        <v>6.1156750000000001E-3</v>
      </c>
      <c r="U574">
        <v>0.57534790000000002</v>
      </c>
      <c r="V574">
        <v>-0.1277964</v>
      </c>
      <c r="W574">
        <v>0.1002507</v>
      </c>
      <c r="X574">
        <v>0.98672079999999995</v>
      </c>
      <c r="Y574">
        <v>-0.2009792</v>
      </c>
      <c r="Z574">
        <v>1.077644E-3</v>
      </c>
      <c r="AA574">
        <v>0.97959490000000005</v>
      </c>
      <c r="AB574">
        <v>22</v>
      </c>
      <c r="AC574">
        <v>130.15839999999901</v>
      </c>
      <c r="AD574">
        <v>0.26880999999999999</v>
      </c>
      <c r="AE574">
        <v>25.2927</v>
      </c>
      <c r="AF574">
        <v>-26.670721275873799</v>
      </c>
      <c r="AG574">
        <v>0.26880999999999999</v>
      </c>
      <c r="AH574">
        <v>129.88247716198401</v>
      </c>
      <c r="AI574">
        <v>89.883842214497903</v>
      </c>
      <c r="AJ574">
        <v>101.604096467704</v>
      </c>
      <c r="AK574">
        <v>132.59282599720399</v>
      </c>
      <c r="AL574">
        <v>84.246393097198904</v>
      </c>
      <c r="AM574">
        <v>97.379655508433899</v>
      </c>
      <c r="AN574">
        <v>1.00000002992804</v>
      </c>
    </row>
    <row r="575" spans="1:40" x14ac:dyDescent="0.25">
      <c r="A575" t="str">
        <f>"20190304154736995"</f>
        <v>20190304154736995</v>
      </c>
      <c r="B575" t="str">
        <f>"1551685656987551"</f>
        <v>1551685656987551</v>
      </c>
      <c r="C575" t="s">
        <v>40</v>
      </c>
      <c r="D575">
        <v>4.1649609999999999</v>
      </c>
      <c r="E575">
        <v>0.47068379999999999</v>
      </c>
      <c r="F575" t="s">
        <v>52</v>
      </c>
      <c r="G575">
        <v>-284.04680000000002</v>
      </c>
      <c r="H575">
        <v>1.337334</v>
      </c>
      <c r="I575">
        <v>391.75</v>
      </c>
      <c r="J575">
        <v>-413.9228</v>
      </c>
      <c r="K575">
        <v>1.061013</v>
      </c>
      <c r="L575">
        <v>366.45620000000002</v>
      </c>
      <c r="M575">
        <v>0.99984189999999995</v>
      </c>
      <c r="N575">
        <v>-1.435005E-2</v>
      </c>
      <c r="O575">
        <v>-1.049865E-2</v>
      </c>
      <c r="P575">
        <v>0.98936299999999999</v>
      </c>
      <c r="Q575">
        <v>8.5902270000000003E-2</v>
      </c>
      <c r="R575">
        <v>0.11739529999999999</v>
      </c>
      <c r="S575">
        <v>2.9633790000000002</v>
      </c>
      <c r="T575">
        <v>6.2998530000000002E-3</v>
      </c>
      <c r="U575">
        <v>0.57659910000000003</v>
      </c>
      <c r="V575">
        <v>-0.12780239999999901</v>
      </c>
      <c r="W575">
        <v>0.1000395</v>
      </c>
      <c r="X575">
        <v>0.98674139999999999</v>
      </c>
      <c r="Y575">
        <v>-0.20129</v>
      </c>
      <c r="Z575">
        <v>1.074427E-3</v>
      </c>
      <c r="AA575">
        <v>0.97953109999999999</v>
      </c>
      <c r="AB575">
        <v>22</v>
      </c>
      <c r="AC575">
        <v>129.87599999999901</v>
      </c>
      <c r="AD575">
        <v>0.27632099999999998</v>
      </c>
      <c r="AE575">
        <v>25.293799999999901</v>
      </c>
      <c r="AF575">
        <v>-26.655952561369901</v>
      </c>
      <c r="AG575">
        <v>0.27632099999999998</v>
      </c>
      <c r="AH575">
        <v>129.60269743294199</v>
      </c>
      <c r="AI575">
        <v>89.880346590479206</v>
      </c>
      <c r="AJ575">
        <v>101.622201310441</v>
      </c>
      <c r="AK575">
        <v>132.31581667413701</v>
      </c>
      <c r="AL575">
        <v>84.258554776366907</v>
      </c>
      <c r="AM575">
        <v>97.379845789189702</v>
      </c>
      <c r="AN575">
        <v>0.99999997273998398</v>
      </c>
    </row>
    <row r="576" spans="1:40" x14ac:dyDescent="0.25">
      <c r="A576" t="str">
        <f>"20190304154737007"</f>
        <v>20190304154737007</v>
      </c>
      <c r="B576" t="str">
        <f>"1551685656997312"</f>
        <v>1551685656997312</v>
      </c>
      <c r="C576" t="s">
        <v>40</v>
      </c>
      <c r="D576">
        <v>4.1666280000000002</v>
      </c>
      <c r="E576">
        <v>0.47054609999999902</v>
      </c>
      <c r="F576" t="s">
        <v>52</v>
      </c>
      <c r="G576">
        <v>-284.1198</v>
      </c>
      <c r="H576">
        <v>1.312603</v>
      </c>
      <c r="I576">
        <v>391.75</v>
      </c>
      <c r="J576">
        <v>-413.80680000000001</v>
      </c>
      <c r="K576">
        <v>1.061013</v>
      </c>
      <c r="L576">
        <v>366.45510000000002</v>
      </c>
      <c r="M576">
        <v>0.99984300000000004</v>
      </c>
      <c r="N576">
        <v>-1.434992E-2</v>
      </c>
      <c r="O576">
        <v>-1.0397699999999999E-2</v>
      </c>
      <c r="P576">
        <v>0.98936009999999996</v>
      </c>
      <c r="Q576">
        <v>8.5665350000000001E-2</v>
      </c>
      <c r="R576">
        <v>0.11759409999999999</v>
      </c>
      <c r="S576">
        <v>2.9632260000000001</v>
      </c>
      <c r="T576">
        <v>5.7441000000000002E-3</v>
      </c>
      <c r="U576">
        <v>0.57742309999999997</v>
      </c>
      <c r="V576">
        <v>-0.1279015</v>
      </c>
      <c r="W576">
        <v>9.9802799999999997E-2</v>
      </c>
      <c r="X576">
        <v>0.98675259999999998</v>
      </c>
      <c r="Y576">
        <v>-0.2014629</v>
      </c>
      <c r="Z576">
        <v>1.097818E-3</v>
      </c>
      <c r="AA576">
        <v>0.97949549999999996</v>
      </c>
      <c r="AB576">
        <v>22</v>
      </c>
      <c r="AC576">
        <v>129.68700000000001</v>
      </c>
      <c r="AD576">
        <v>0.25158999999999998</v>
      </c>
      <c r="AE576">
        <v>25.294899999999899</v>
      </c>
      <c r="AF576">
        <v>-26.642021084338602</v>
      </c>
      <c r="AG576">
        <v>0.25158999999999998</v>
      </c>
      <c r="AH576">
        <v>129.41648292695899</v>
      </c>
      <c r="AI576">
        <v>89.890902958748896</v>
      </c>
      <c r="AJ576">
        <v>101.63255141038699</v>
      </c>
      <c r="AK576">
        <v>132.130566630777</v>
      </c>
      <c r="AL576">
        <v>84.272185306020404</v>
      </c>
      <c r="AM576">
        <v>97.385422182049496</v>
      </c>
      <c r="AN576">
        <v>1.0000000430984199</v>
      </c>
    </row>
    <row r="577" spans="1:40" x14ac:dyDescent="0.25">
      <c r="A577" t="str">
        <f>"20190304154737018"</f>
        <v>20190304154737018</v>
      </c>
      <c r="B577" t="str">
        <f>"1551685657007072"</f>
        <v>1551685657007072</v>
      </c>
      <c r="C577" t="s">
        <v>40</v>
      </c>
      <c r="D577">
        <v>4.158099</v>
      </c>
      <c r="E577">
        <v>0.47045320000000002</v>
      </c>
      <c r="F577" t="s">
        <v>52</v>
      </c>
      <c r="G577">
        <v>-284.38499999999999</v>
      </c>
      <c r="H577">
        <v>1.290125</v>
      </c>
      <c r="I577">
        <v>391.75</v>
      </c>
      <c r="J577">
        <v>-413.69959999999998</v>
      </c>
      <c r="K577">
        <v>1.0610139999999999</v>
      </c>
      <c r="L577">
        <v>366.45409999999998</v>
      </c>
      <c r="M577">
        <v>0.99984399999999996</v>
      </c>
      <c r="N577">
        <v>-1.4348390000000001E-2</v>
      </c>
      <c r="O577">
        <v>-1.0304600000000001E-2</v>
      </c>
      <c r="P577">
        <v>0.98932419999999999</v>
      </c>
      <c r="Q577">
        <v>8.5772280000000006E-2</v>
      </c>
      <c r="R577">
        <v>0.1178172</v>
      </c>
      <c r="S577">
        <v>2.9629819999999998</v>
      </c>
      <c r="T577">
        <v>5.2459239999999999E-3</v>
      </c>
      <c r="U577">
        <v>0.57910159999999999</v>
      </c>
      <c r="V577">
        <v>-0.1280318</v>
      </c>
      <c r="W577">
        <v>9.9908109999999994E-2</v>
      </c>
      <c r="X577">
        <v>0.98672499999999996</v>
      </c>
      <c r="Y577">
        <v>-0.2019212</v>
      </c>
      <c r="Z577">
        <v>1.120673E-3</v>
      </c>
      <c r="AA577">
        <v>0.97940110000000002</v>
      </c>
      <c r="AB577">
        <v>22</v>
      </c>
      <c r="AC577">
        <v>129.31459999999899</v>
      </c>
      <c r="AD577">
        <v>0.22911100000000001</v>
      </c>
      <c r="AE577">
        <v>25.2959</v>
      </c>
      <c r="AF577">
        <v>-26.627148525028399</v>
      </c>
      <c r="AG577">
        <v>0.22911100000000001</v>
      </c>
      <c r="AH577">
        <v>129.046651673615</v>
      </c>
      <c r="AI577">
        <v>89.900375141505194</v>
      </c>
      <c r="AJ577">
        <v>101.658642947793</v>
      </c>
      <c r="AK577">
        <v>131.765305898767</v>
      </c>
      <c r="AL577">
        <v>84.266120924904897</v>
      </c>
      <c r="AM577">
        <v>97.393067411728595</v>
      </c>
      <c r="AN577">
        <v>0.99999999894000602</v>
      </c>
    </row>
    <row r="578" spans="1:40" x14ac:dyDescent="0.25">
      <c r="A578" t="str">
        <f>"20190304154737030"</f>
        <v>20190304154737030</v>
      </c>
      <c r="B578" t="str">
        <f>"1551685657027567"</f>
        <v>1551685657027567</v>
      </c>
      <c r="C578" t="s">
        <v>40</v>
      </c>
      <c r="D578">
        <v>4.1528700000000001</v>
      </c>
      <c r="E578">
        <v>0.47026459999999998</v>
      </c>
      <c r="F578" t="s">
        <v>52</v>
      </c>
      <c r="G578">
        <v>-284.5471</v>
      </c>
      <c r="H578">
        <v>1.3068550000000001</v>
      </c>
      <c r="I578">
        <v>391.75</v>
      </c>
      <c r="J578">
        <v>-413.57909999999998</v>
      </c>
      <c r="K578">
        <v>1.061018</v>
      </c>
      <c r="L578">
        <v>366.45299999999997</v>
      </c>
      <c r="M578">
        <v>0.99984519999999999</v>
      </c>
      <c r="N578">
        <v>-1.4345709999999999E-2</v>
      </c>
      <c r="O578">
        <v>-1.020041E-2</v>
      </c>
      <c r="P578">
        <v>0.98931760000000002</v>
      </c>
      <c r="Q578">
        <v>8.5812990000000006E-2</v>
      </c>
      <c r="R578">
        <v>0.1178434</v>
      </c>
      <c r="S578">
        <v>2.9627690000000002</v>
      </c>
      <c r="T578">
        <v>5.6402680000000004E-3</v>
      </c>
      <c r="U578">
        <v>0.58029169999999997</v>
      </c>
      <c r="V578">
        <v>-0.12795509999999999</v>
      </c>
      <c r="W578">
        <v>9.994654E-2</v>
      </c>
      <c r="X578">
        <v>0.98673109999999997</v>
      </c>
      <c r="Y578">
        <v>-0.20221149999999999</v>
      </c>
      <c r="Z578">
        <v>1.109318E-3</v>
      </c>
      <c r="AA578">
        <v>0.97934129999999997</v>
      </c>
      <c r="AB578">
        <v>22</v>
      </c>
      <c r="AC578">
        <v>129.03199999999899</v>
      </c>
      <c r="AD578">
        <v>0.245836999999999</v>
      </c>
      <c r="AE578">
        <v>25.296999999999901</v>
      </c>
      <c r="AF578">
        <v>-26.611905194937901</v>
      </c>
      <c r="AG578">
        <v>0.245836999999999</v>
      </c>
      <c r="AH578">
        <v>128.76676925305</v>
      </c>
      <c r="AI578">
        <v>89.892876808575494</v>
      </c>
      <c r="AJ578">
        <v>101.676783156662</v>
      </c>
      <c r="AK578">
        <v>131.488154591214</v>
      </c>
      <c r="AL578">
        <v>84.263908214276896</v>
      </c>
      <c r="AM578">
        <v>97.388642228549998</v>
      </c>
      <c r="AN578">
        <v>1.00000004109059</v>
      </c>
    </row>
    <row r="579" spans="1:40" x14ac:dyDescent="0.25">
      <c r="A579" t="str">
        <f>"20190304154737048"</f>
        <v>20190304154737048</v>
      </c>
      <c r="B579" t="str">
        <f>"1551685657037344"</f>
        <v>1551685657037344</v>
      </c>
      <c r="C579" t="s">
        <v>40</v>
      </c>
      <c r="D579">
        <v>4.1599430000000002</v>
      </c>
      <c r="E579">
        <v>0.47014119999999998</v>
      </c>
      <c r="F579" t="s">
        <v>52</v>
      </c>
      <c r="G579">
        <v>-284.86489999999998</v>
      </c>
      <c r="H579">
        <v>1.332616</v>
      </c>
      <c r="I579">
        <v>391.75</v>
      </c>
      <c r="J579">
        <v>-413.40890000000002</v>
      </c>
      <c r="K579">
        <v>1.061016</v>
      </c>
      <c r="L579">
        <v>366.45139999999998</v>
      </c>
      <c r="M579">
        <v>0.99984660000000003</v>
      </c>
      <c r="N579">
        <v>-1.4337880000000001E-2</v>
      </c>
      <c r="O579">
        <v>-1.0052800000000001E-2</v>
      </c>
      <c r="P579">
        <v>0.98920779999999997</v>
      </c>
      <c r="Q579">
        <v>8.6289060000000001E-2</v>
      </c>
      <c r="R579">
        <v>0.1184142</v>
      </c>
      <c r="S579">
        <v>2.9625240000000002</v>
      </c>
      <c r="T579">
        <v>6.2518119999999998E-3</v>
      </c>
      <c r="U579">
        <v>0.58224489999999995</v>
      </c>
      <c r="V579">
        <v>-0.12837860000000001</v>
      </c>
      <c r="W579">
        <v>0.1004139</v>
      </c>
      <c r="X579">
        <v>0.98662859999999997</v>
      </c>
      <c r="Y579">
        <v>-0.202704</v>
      </c>
      <c r="Z579">
        <v>1.09139E-3</v>
      </c>
      <c r="AA579">
        <v>0.97923950000000004</v>
      </c>
      <c r="AB579">
        <v>22</v>
      </c>
      <c r="AC579">
        <v>128.54400000000001</v>
      </c>
      <c r="AD579">
        <v>0.27160000000000001</v>
      </c>
      <c r="AE579">
        <v>25.2986</v>
      </c>
      <c r="AF579">
        <v>-26.5895671643481</v>
      </c>
      <c r="AG579">
        <v>0.27160000000000001</v>
      </c>
      <c r="AH579">
        <v>128.282603979665</v>
      </c>
      <c r="AI579">
        <v>89.881218251351001</v>
      </c>
      <c r="AJ579">
        <v>101.710071267723</v>
      </c>
      <c r="AK579">
        <v>131.00956198824201</v>
      </c>
      <c r="AL579">
        <v>84.236994860875299</v>
      </c>
      <c r="AM579">
        <v>97.4135868283267</v>
      </c>
      <c r="AN579">
        <v>1.0000000052945599</v>
      </c>
    </row>
    <row r="580" spans="1:40" x14ac:dyDescent="0.25">
      <c r="A580" t="str">
        <f>"20190304154737153"</f>
        <v>20190304154737153</v>
      </c>
      <c r="B580" t="str">
        <f>"1551685657147148"</f>
        <v>1551685657147148</v>
      </c>
      <c r="C580" t="s">
        <v>40</v>
      </c>
      <c r="D580">
        <v>3.739757</v>
      </c>
      <c r="E580">
        <v>0.61912159999999905</v>
      </c>
      <c r="F580" t="s">
        <v>52</v>
      </c>
      <c r="G580">
        <v>-285.29880000000003</v>
      </c>
      <c r="H580">
        <v>1.3860669999999999</v>
      </c>
      <c r="I580">
        <v>391.75</v>
      </c>
      <c r="J580">
        <v>-412.38159999999999</v>
      </c>
      <c r="K580">
        <v>1.0610170000000001</v>
      </c>
      <c r="L580">
        <v>366.4425</v>
      </c>
      <c r="M580">
        <v>0.99985670000000004</v>
      </c>
      <c r="N580">
        <v>-1.423527E-2</v>
      </c>
      <c r="O580">
        <v>-9.1628690000000006E-3</v>
      </c>
      <c r="P580">
        <v>0.98897679999999999</v>
      </c>
      <c r="Q580">
        <v>8.7162260000000005E-2</v>
      </c>
      <c r="R580">
        <v>0.11969730000000001</v>
      </c>
      <c r="S580">
        <v>2.9620359999999999</v>
      </c>
      <c r="T580">
        <v>7.5161459999999996E-3</v>
      </c>
      <c r="U580">
        <v>0.58493039999999996</v>
      </c>
      <c r="V580">
        <v>-0.1287797</v>
      </c>
      <c r="W580">
        <v>0.1011843</v>
      </c>
      <c r="X580">
        <v>0.98649759999999997</v>
      </c>
      <c r="Y580">
        <v>-0.20271800000000001</v>
      </c>
      <c r="Z580">
        <v>1.0497989999999999E-3</v>
      </c>
      <c r="AA580">
        <v>0.97923660000000001</v>
      </c>
      <c r="AB580">
        <v>22</v>
      </c>
      <c r="AC580">
        <v>127.082799999999</v>
      </c>
      <c r="AD580">
        <v>0.32504999999999901</v>
      </c>
      <c r="AE580">
        <v>25.307500000000001</v>
      </c>
      <c r="AF580">
        <v>-26.4708318408703</v>
      </c>
      <c r="AG580">
        <v>0.32504999999999901</v>
      </c>
      <c r="AH580">
        <v>126.844752988572</v>
      </c>
      <c r="AI580">
        <v>89.856271560050104</v>
      </c>
      <c r="AJ580">
        <v>101.78769997650301</v>
      </c>
      <c r="AK580">
        <v>129.57778342208999</v>
      </c>
      <c r="AL580">
        <v>84.192628158948196</v>
      </c>
      <c r="AM580">
        <v>97.437467088853197</v>
      </c>
      <c r="AN580">
        <v>0.99999999425216901</v>
      </c>
    </row>
    <row r="581" spans="1:40" x14ac:dyDescent="0.25">
      <c r="A581" t="str">
        <f>"20190304154737193"</f>
        <v>20190304154737193</v>
      </c>
      <c r="B581" t="str">
        <f>"1551685657187672"</f>
        <v>1551685657187672</v>
      </c>
      <c r="C581" t="s">
        <v>40</v>
      </c>
      <c r="D581">
        <v>4.1194610000000003</v>
      </c>
      <c r="E581">
        <v>0.54698659999999999</v>
      </c>
      <c r="F581" t="s">
        <v>41</v>
      </c>
      <c r="G581">
        <v>-411.4744</v>
      </c>
      <c r="H581">
        <v>0.96307549999999997</v>
      </c>
      <c r="I581">
        <v>366.26830000000001</v>
      </c>
      <c r="J581">
        <v>-411.98140000000001</v>
      </c>
      <c r="K581">
        <v>1.061005</v>
      </c>
      <c r="L581">
        <v>366.4393</v>
      </c>
      <c r="M581">
        <v>0.99986090000000005</v>
      </c>
      <c r="N581">
        <v>-1.416071E-2</v>
      </c>
      <c r="O581">
        <v>-8.8151210000000004E-3</v>
      </c>
      <c r="P581">
        <v>0.98892619999999998</v>
      </c>
      <c r="Q581">
        <v>8.7338750000000007E-2</v>
      </c>
      <c r="R581">
        <v>0.11998789999999999</v>
      </c>
      <c r="S581">
        <v>3.1361080000000001</v>
      </c>
      <c r="T581">
        <v>-0.33851730000000002</v>
      </c>
      <c r="U581">
        <v>-0.60183719999999996</v>
      </c>
      <c r="V581">
        <v>-0.12872610000000001</v>
      </c>
      <c r="W581">
        <v>0.1012873</v>
      </c>
      <c r="X581">
        <v>0.98649410000000004</v>
      </c>
      <c r="Y581">
        <v>0.17870179999999999</v>
      </c>
      <c r="Z581">
        <v>-9.9947309999999998E-3</v>
      </c>
      <c r="AA581">
        <v>0.98385250000000002</v>
      </c>
      <c r="AB581">
        <v>22</v>
      </c>
      <c r="AC581">
        <v>0.507000000000005</v>
      </c>
      <c r="AD581">
        <v>-9.7929500000000003E-2</v>
      </c>
      <c r="AE581">
        <v>-0.17099999999999199</v>
      </c>
      <c r="AF581">
        <v>0.161126209408188</v>
      </c>
      <c r="AG581">
        <v>-9.7929500000000003E-2</v>
      </c>
      <c r="AH581">
        <v>0.49200652285053897</v>
      </c>
      <c r="AI581">
        <v>100.711287897452</v>
      </c>
      <c r="AJ581">
        <v>71.867001912499404</v>
      </c>
      <c r="AK581">
        <v>0.52689871973271896</v>
      </c>
      <c r="AL581">
        <v>84.1866966461793</v>
      </c>
      <c r="AM581">
        <v>97.434432223325103</v>
      </c>
      <c r="AN581">
        <v>1.00000006764865</v>
      </c>
    </row>
    <row r="582" spans="1:40" x14ac:dyDescent="0.25">
      <c r="A582" t="str">
        <f>"20190304154737205"</f>
        <v>20190304154737205</v>
      </c>
      <c r="B582" t="str">
        <f>"1551685657197431"</f>
        <v>1551685657197431</v>
      </c>
      <c r="C582" t="s">
        <v>40</v>
      </c>
      <c r="D582">
        <v>4.1313279999999999</v>
      </c>
      <c r="E582">
        <v>0.54928080000000001</v>
      </c>
      <c r="F582" t="s">
        <v>43</v>
      </c>
      <c r="G582">
        <v>-158.19499999999999</v>
      </c>
      <c r="H582">
        <v>4.6418439999999999</v>
      </c>
      <c r="I582">
        <v>364.87349999999998</v>
      </c>
      <c r="J582">
        <v>-411.8623</v>
      </c>
      <c r="K582">
        <v>1.061002</v>
      </c>
      <c r="L582">
        <v>366.4384</v>
      </c>
      <c r="M582">
        <v>0.99986229999999998</v>
      </c>
      <c r="N582">
        <v>-1.4133649999999999E-2</v>
      </c>
      <c r="O582">
        <v>-8.7114669999999901E-3</v>
      </c>
      <c r="P582">
        <v>0.98893889999999995</v>
      </c>
      <c r="Q582">
        <v>8.7273729999999994E-2</v>
      </c>
      <c r="R582">
        <v>0.119931</v>
      </c>
      <c r="S582">
        <v>3.0320740000000002</v>
      </c>
      <c r="T582">
        <v>4.2782550000000003E-2</v>
      </c>
      <c r="U582">
        <v>-1.870728E-2</v>
      </c>
      <c r="V582">
        <v>-0.12856689999999901</v>
      </c>
      <c r="W582">
        <v>0.1011962</v>
      </c>
      <c r="X582">
        <v>0.98652419999999996</v>
      </c>
      <c r="Y582">
        <v>-2.539253E-3</v>
      </c>
      <c r="Z582">
        <v>-2.4599680000000001E-4</v>
      </c>
      <c r="AA582">
        <v>0.99999669999999896</v>
      </c>
      <c r="AB582">
        <v>22</v>
      </c>
      <c r="AC582">
        <v>253.66730000000001</v>
      </c>
      <c r="AD582">
        <v>3.5808420000000001</v>
      </c>
      <c r="AE582">
        <v>-1.5649000000000199</v>
      </c>
      <c r="AF582">
        <v>-0.64506562104196197</v>
      </c>
      <c r="AG582">
        <v>3.5808420000000001</v>
      </c>
      <c r="AH582">
        <v>253.620769448847</v>
      </c>
      <c r="AI582">
        <v>89.191103948495893</v>
      </c>
      <c r="AJ582">
        <v>90.145727252456595</v>
      </c>
      <c r="AK582">
        <v>253.64686718922701</v>
      </c>
      <c r="AL582">
        <v>84.1919431924983</v>
      </c>
      <c r="AM582">
        <v>97.425116443087902</v>
      </c>
      <c r="AN582">
        <v>1.0000000579278401</v>
      </c>
    </row>
    <row r="583" spans="1:40" x14ac:dyDescent="0.25">
      <c r="A583" t="str">
        <f>"20190304154737215"</f>
        <v>20190304154737215</v>
      </c>
      <c r="B583" t="str">
        <f>"1551685657207191"</f>
        <v>1551685657207191</v>
      </c>
      <c r="C583" t="s">
        <v>40</v>
      </c>
      <c r="D583">
        <v>4.1485120000000002</v>
      </c>
      <c r="E583">
        <v>0.55033390000000004</v>
      </c>
      <c r="F583" t="s">
        <v>43</v>
      </c>
      <c r="G583">
        <v>-158.19499999999999</v>
      </c>
      <c r="H583">
        <v>5.1104099999999999</v>
      </c>
      <c r="I583">
        <v>363.38900000000001</v>
      </c>
      <c r="J583">
        <v>-411.75700000000001</v>
      </c>
      <c r="K583">
        <v>1.0609959999999901</v>
      </c>
      <c r="L583">
        <v>366.4375</v>
      </c>
      <c r="M583">
        <v>0.99986339999999996</v>
      </c>
      <c r="N583">
        <v>-1.4109129999999999E-2</v>
      </c>
      <c r="O583">
        <v>-8.6198709999999994E-3</v>
      </c>
      <c r="P583">
        <v>0.9889829</v>
      </c>
      <c r="Q583">
        <v>8.707993E-2</v>
      </c>
      <c r="R583">
        <v>0.1197087</v>
      </c>
      <c r="S583">
        <v>3.033722</v>
      </c>
      <c r="T583">
        <v>4.8429729999999997E-2</v>
      </c>
      <c r="U583">
        <v>-3.6468510000000003E-2</v>
      </c>
      <c r="V583">
        <v>-0.1282546</v>
      </c>
      <c r="W583">
        <v>0.1009789</v>
      </c>
      <c r="X583">
        <v>0.98658699999999999</v>
      </c>
      <c r="Y583">
        <v>3.4034709999999999E-3</v>
      </c>
      <c r="Z583">
        <v>-2.5604650000000002E-4</v>
      </c>
      <c r="AA583">
        <v>0.99999420000000006</v>
      </c>
      <c r="AB583">
        <v>22</v>
      </c>
      <c r="AC583">
        <v>253.56199999999899</v>
      </c>
      <c r="AD583">
        <v>4.0494139999999996</v>
      </c>
      <c r="AE583">
        <v>-3.04849999999999</v>
      </c>
      <c r="AF583">
        <v>0.86227772762648502</v>
      </c>
      <c r="AG583">
        <v>4.0494139999999996</v>
      </c>
      <c r="AH583">
        <v>253.51421006775701</v>
      </c>
      <c r="AI583">
        <v>89.084890504380496</v>
      </c>
      <c r="AJ583">
        <v>89.805120651697294</v>
      </c>
      <c r="AK583">
        <v>253.548015142895</v>
      </c>
      <c r="AL583">
        <v>84.204457010726998</v>
      </c>
      <c r="AM583">
        <v>97.4068144710849</v>
      </c>
      <c r="AN583">
        <v>0.99999994461768305</v>
      </c>
    </row>
    <row r="584" spans="1:40" x14ac:dyDescent="0.25">
      <c r="A584" t="str">
        <f>"20190304154737226"</f>
        <v>20190304154737226</v>
      </c>
      <c r="B584" t="str">
        <f>"1551685657217929"</f>
        <v>1551685657217929</v>
      </c>
      <c r="C584" t="s">
        <v>40</v>
      </c>
      <c r="D584">
        <v>4.1314719999999996</v>
      </c>
      <c r="E584">
        <v>0.55320499999999995</v>
      </c>
      <c r="F584" t="s">
        <v>43</v>
      </c>
      <c r="G584">
        <v>-158.19499999999999</v>
      </c>
      <c r="H584">
        <v>4.4820289999999998</v>
      </c>
      <c r="I584">
        <v>362.6035</v>
      </c>
      <c r="J584">
        <v>-411.64420000000001</v>
      </c>
      <c r="K584">
        <v>1.0609930000000001</v>
      </c>
      <c r="L584">
        <v>366.43669999999997</v>
      </c>
      <c r="M584">
        <v>0.99986459999999999</v>
      </c>
      <c r="N584">
        <v>-1.4081939999999999E-2</v>
      </c>
      <c r="O584">
        <v>-8.5217030000000003E-3</v>
      </c>
      <c r="P584">
        <v>0.98899190000000003</v>
      </c>
      <c r="Q584">
        <v>8.7019399999999997E-2</v>
      </c>
      <c r="R584">
        <v>0.11967750000000001</v>
      </c>
      <c r="S584">
        <v>3.0354000000000001</v>
      </c>
      <c r="T584">
        <v>4.095435E-2</v>
      </c>
      <c r="U584">
        <v>-4.5898439999999999E-2</v>
      </c>
      <c r="V584">
        <v>-0.1281263</v>
      </c>
      <c r="W584">
        <v>0.1008921</v>
      </c>
      <c r="X584">
        <v>0.98661259999999995</v>
      </c>
      <c r="Y584">
        <v>6.6004640000000003E-3</v>
      </c>
      <c r="Z584">
        <v>-2.3691080000000001E-4</v>
      </c>
      <c r="AA584">
        <v>0.99997820000000004</v>
      </c>
      <c r="AB584">
        <v>22</v>
      </c>
      <c r="AC584">
        <v>253.44919999999999</v>
      </c>
      <c r="AD584">
        <v>3.421036</v>
      </c>
      <c r="AE584">
        <v>-3.83319999999997</v>
      </c>
      <c r="AF584">
        <v>1.6727232604285101</v>
      </c>
      <c r="AG584">
        <v>3.421036</v>
      </c>
      <c r="AH584">
        <v>253.426501808784</v>
      </c>
      <c r="AI584">
        <v>89.226620935886999</v>
      </c>
      <c r="AJ584">
        <v>89.621828851002505</v>
      </c>
      <c r="AK584">
        <v>253.45511103439401</v>
      </c>
      <c r="AL584">
        <v>84.209456097932204</v>
      </c>
      <c r="AM584">
        <v>97.399297316855396</v>
      </c>
      <c r="AN584">
        <v>0.99999999353642899</v>
      </c>
    </row>
    <row r="585" spans="1:40" x14ac:dyDescent="0.25">
      <c r="A585" t="str">
        <f>"20190304154737238"</f>
        <v>20190304154737238</v>
      </c>
      <c r="B585" t="str">
        <f>"1551685657227688"</f>
        <v>1551685657227688</v>
      </c>
      <c r="C585" t="s">
        <v>40</v>
      </c>
      <c r="D585">
        <v>4.1089180000000001</v>
      </c>
      <c r="E585">
        <v>0.5547299</v>
      </c>
      <c r="F585" t="s">
        <v>43</v>
      </c>
      <c r="G585">
        <v>-158.19499999999999</v>
      </c>
      <c r="H585">
        <v>6.2494040000000002</v>
      </c>
      <c r="I585">
        <v>360.73809999999997</v>
      </c>
      <c r="J585">
        <v>-411.53800000000001</v>
      </c>
      <c r="K585">
        <v>1.060989</v>
      </c>
      <c r="L585">
        <v>366.4359</v>
      </c>
      <c r="M585">
        <v>0.99986580000000003</v>
      </c>
      <c r="N585">
        <v>-1.405524E-2</v>
      </c>
      <c r="O585">
        <v>-8.4292599999999992E-3</v>
      </c>
      <c r="P585">
        <v>0.98898180000000002</v>
      </c>
      <c r="Q585">
        <v>8.7150980000000003E-2</v>
      </c>
      <c r="R585">
        <v>0.1196662</v>
      </c>
      <c r="S585">
        <v>3.0362239999999998</v>
      </c>
      <c r="T585">
        <v>6.2156200000000002E-2</v>
      </c>
      <c r="U585">
        <v>-6.8267820000000007E-2</v>
      </c>
      <c r="V585">
        <v>-0.12802330000000001</v>
      </c>
      <c r="W585">
        <v>0.1009974</v>
      </c>
      <c r="X585">
        <v>0.98661520000000003</v>
      </c>
      <c r="Y585">
        <v>1.40541E-2</v>
      </c>
      <c r="Z585">
        <v>-2.459297E-4</v>
      </c>
      <c r="AA585">
        <v>0.99990120000000005</v>
      </c>
      <c r="AB585">
        <v>22</v>
      </c>
      <c r="AC585">
        <v>253.34299999999999</v>
      </c>
      <c r="AD585">
        <v>5.188415</v>
      </c>
      <c r="AE585">
        <v>-5.6978000000000204</v>
      </c>
      <c r="AF585">
        <v>3.5604002332248901</v>
      </c>
      <c r="AG585">
        <v>5.188415</v>
      </c>
      <c r="AH585">
        <v>253.27585486908899</v>
      </c>
      <c r="AI585">
        <v>88.826562627971498</v>
      </c>
      <c r="AJ585">
        <v>89.194623304326299</v>
      </c>
      <c r="AK585">
        <v>253.35401074326899</v>
      </c>
      <c r="AL585">
        <v>84.203391893762102</v>
      </c>
      <c r="AM585">
        <v>97.393395632673403</v>
      </c>
      <c r="AN585">
        <v>0.99999999651034499</v>
      </c>
    </row>
    <row r="586" spans="1:40" x14ac:dyDescent="0.25">
      <c r="A586" t="str">
        <f>"20190304154737249"</f>
        <v>20190304154737249</v>
      </c>
      <c r="B586" t="str">
        <f>"1551685657237448"</f>
        <v>1551685657237448</v>
      </c>
      <c r="C586" t="s">
        <v>40</v>
      </c>
      <c r="D586">
        <v>4.0829579999999996</v>
      </c>
      <c r="E586">
        <v>0.55525550000000001</v>
      </c>
      <c r="F586" t="s">
        <v>43</v>
      </c>
      <c r="G586">
        <v>-170.08879999999999</v>
      </c>
      <c r="H586">
        <v>7.1862409999999999</v>
      </c>
      <c r="I586">
        <v>360.10930000000002</v>
      </c>
      <c r="J586">
        <v>-411.43119999999999</v>
      </c>
      <c r="K586">
        <v>1.060986</v>
      </c>
      <c r="L586">
        <v>366.43509999999998</v>
      </c>
      <c r="M586">
        <v>0.99986699999999995</v>
      </c>
      <c r="N586">
        <v>-1.4027700000000001E-2</v>
      </c>
      <c r="O586">
        <v>-8.3364530000000006E-3</v>
      </c>
      <c r="P586">
        <v>0.98895140000000004</v>
      </c>
      <c r="Q586">
        <v>8.7378819999999996E-2</v>
      </c>
      <c r="R586">
        <v>0.1197512</v>
      </c>
      <c r="S586">
        <v>3.0362849999999999</v>
      </c>
      <c r="T586">
        <v>7.7027680000000001E-2</v>
      </c>
      <c r="U586">
        <v>-7.9559329999999998E-2</v>
      </c>
      <c r="V586">
        <v>-0.12801650000000001</v>
      </c>
      <c r="W586">
        <v>0.1011976</v>
      </c>
      <c r="X586">
        <v>0.98659560000000002</v>
      </c>
      <c r="Y586">
        <v>1.786244E-2</v>
      </c>
      <c r="Z586">
        <v>-2.2713179999999999E-4</v>
      </c>
      <c r="AA586">
        <v>0.99984039999999996</v>
      </c>
      <c r="AB586">
        <v>22</v>
      </c>
      <c r="AC586">
        <v>241.3424</v>
      </c>
      <c r="AD586">
        <v>6.1252550000000001</v>
      </c>
      <c r="AE586">
        <v>-6.3257999999999504</v>
      </c>
      <c r="AF586">
        <v>4.3106681074614501</v>
      </c>
      <c r="AG586">
        <v>6.1252550000000001</v>
      </c>
      <c r="AH586">
        <v>241.23147144692001</v>
      </c>
      <c r="AI586">
        <v>88.545712626632593</v>
      </c>
      <c r="AJ586">
        <v>88.976266220950606</v>
      </c>
      <c r="AK586">
        <v>241.34772305699099</v>
      </c>
      <c r="AL586">
        <v>84.191862391410993</v>
      </c>
      <c r="AM586">
        <v>97.393152521293402</v>
      </c>
      <c r="AN586">
        <v>1.0000000282286801</v>
      </c>
    </row>
    <row r="587" spans="1:40" x14ac:dyDescent="0.25">
      <c r="A587" t="str">
        <f>"20190304154737261"</f>
        <v>20190304154737261</v>
      </c>
      <c r="B587" t="str">
        <f>"1551685657257943"</f>
        <v>1551685657257943</v>
      </c>
      <c r="C587" t="s">
        <v>40</v>
      </c>
      <c r="D587">
        <v>4.0664829999999998</v>
      </c>
      <c r="E587">
        <v>0.55608999999999997</v>
      </c>
      <c r="F587" t="s">
        <v>43</v>
      </c>
      <c r="G587">
        <v>-170.08879999999999</v>
      </c>
      <c r="H587">
        <v>7.9390140000000002</v>
      </c>
      <c r="I587">
        <v>359.79039999999998</v>
      </c>
      <c r="J587">
        <v>-411.31180000000001</v>
      </c>
      <c r="K587">
        <v>1.0609789999999999</v>
      </c>
      <c r="L587">
        <v>366.43419999999998</v>
      </c>
      <c r="M587">
        <v>0.99986830000000004</v>
      </c>
      <c r="N587">
        <v>-1.3995850000000001E-2</v>
      </c>
      <c r="O587">
        <v>-8.2324119999999997E-3</v>
      </c>
      <c r="P587">
        <v>0.98895849999999996</v>
      </c>
      <c r="Q587">
        <v>8.7632539999999995E-2</v>
      </c>
      <c r="R587">
        <v>0.1195063</v>
      </c>
      <c r="S587">
        <v>3.0360109999999998</v>
      </c>
      <c r="T587">
        <v>8.6524489999999996E-2</v>
      </c>
      <c r="U587">
        <v>-8.3587649999999999E-2</v>
      </c>
      <c r="V587">
        <v>-0.12766920000000001</v>
      </c>
      <c r="W587">
        <v>0.1014205</v>
      </c>
      <c r="X587">
        <v>0.98661770000000004</v>
      </c>
      <c r="Y587">
        <v>1.929405E-2</v>
      </c>
      <c r="Z587">
        <v>-2.099286E-4</v>
      </c>
      <c r="AA587">
        <v>0.99981390000000003</v>
      </c>
      <c r="AB587">
        <v>22</v>
      </c>
      <c r="AC587">
        <v>241.22299999999899</v>
      </c>
      <c r="AD587">
        <v>6.8780349999999997</v>
      </c>
      <c r="AE587">
        <v>-6.6437999999999899</v>
      </c>
      <c r="AF587">
        <v>4.6537528040918099</v>
      </c>
      <c r="AG587">
        <v>6.8780349999999997</v>
      </c>
      <c r="AH587">
        <v>241.07367926011901</v>
      </c>
      <c r="AI587">
        <v>88.366050772517895</v>
      </c>
      <c r="AJ587">
        <v>88.8940838288012</v>
      </c>
      <c r="AK587">
        <v>241.21667357923999</v>
      </c>
      <c r="AL587">
        <v>84.179025032804006</v>
      </c>
      <c r="AM587">
        <v>97.3731530649749</v>
      </c>
      <c r="AN587">
        <v>1.0000000142010801</v>
      </c>
    </row>
    <row r="588" spans="1:40" x14ac:dyDescent="0.25">
      <c r="A588" t="str">
        <f>"20190304154737276"</f>
        <v>20190304154737276</v>
      </c>
      <c r="B588" t="str">
        <f>"1551685657267704"</f>
        <v>1551685657267704</v>
      </c>
      <c r="C588" t="s">
        <v>40</v>
      </c>
      <c r="D588">
        <v>4.1017539999999997</v>
      </c>
      <c r="E588">
        <v>0.55663809999999903</v>
      </c>
      <c r="F588" t="s">
        <v>43</v>
      </c>
      <c r="G588">
        <v>-168.84350000000001</v>
      </c>
      <c r="H588">
        <v>8.9773589999999999</v>
      </c>
      <c r="I588">
        <v>359.20440000000002</v>
      </c>
      <c r="J588">
        <v>-411.17270000000002</v>
      </c>
      <c r="K588">
        <v>1.060975</v>
      </c>
      <c r="L588">
        <v>366.4332</v>
      </c>
      <c r="M588">
        <v>0.99986980000000003</v>
      </c>
      <c r="N588">
        <v>-1.3957799999999999E-2</v>
      </c>
      <c r="O588">
        <v>-8.1111659999999995E-3</v>
      </c>
      <c r="P588">
        <v>0.98896609999999996</v>
      </c>
      <c r="Q588">
        <v>8.7424420000000003E-2</v>
      </c>
      <c r="R588">
        <v>0.1195963</v>
      </c>
      <c r="S588">
        <v>3.0356139999999998</v>
      </c>
      <c r="T588">
        <v>9.9111199999999997E-2</v>
      </c>
      <c r="U588">
        <v>-9.0515139999999994E-2</v>
      </c>
      <c r="V588">
        <v>-0.127639</v>
      </c>
      <c r="W588">
        <v>0.1011753</v>
      </c>
      <c r="X588">
        <v>0.98664680000000005</v>
      </c>
      <c r="Y588">
        <v>2.1697350000000001E-2</v>
      </c>
      <c r="Z588">
        <v>-1.752987E-4</v>
      </c>
      <c r="AA588">
        <v>0.9997646</v>
      </c>
      <c r="AB588">
        <v>22</v>
      </c>
      <c r="AC588">
        <v>242.32919999999999</v>
      </c>
      <c r="AD588">
        <v>7.9163839999999999</v>
      </c>
      <c r="AE588">
        <v>-7.2287999999999704</v>
      </c>
      <c r="AF588">
        <v>5.2571930748626698</v>
      </c>
      <c r="AG588">
        <v>7.9163839999999999</v>
      </c>
      <c r="AH588">
        <v>242.12170606665899</v>
      </c>
      <c r="AI588">
        <v>88.127771740846001</v>
      </c>
      <c r="AJ588">
        <v>88.756131132971305</v>
      </c>
      <c r="AK588">
        <v>242.308125665012</v>
      </c>
      <c r="AL588">
        <v>84.193146699702496</v>
      </c>
      <c r="AM588">
        <v>97.371213118240902</v>
      </c>
      <c r="AN588">
        <v>1.0000000318006601</v>
      </c>
    </row>
    <row r="589" spans="1:40" x14ac:dyDescent="0.25">
      <c r="A589" t="str">
        <f>"20190304154737289"</f>
        <v>20190304154737289</v>
      </c>
      <c r="B589" t="str">
        <f>"1551685657277464"</f>
        <v>1551685657277464</v>
      </c>
      <c r="C589" t="s">
        <v>40</v>
      </c>
      <c r="D589">
        <v>4.0496230000000004</v>
      </c>
      <c r="E589">
        <v>0.55700799999999995</v>
      </c>
      <c r="F589" t="s">
        <v>43</v>
      </c>
      <c r="G589">
        <v>-168.84350000000001</v>
      </c>
      <c r="H589">
        <v>9.4821779999999993</v>
      </c>
      <c r="I589">
        <v>358.9246</v>
      </c>
      <c r="J589">
        <v>-411.03809999999999</v>
      </c>
      <c r="K589">
        <v>1.060967</v>
      </c>
      <c r="L589">
        <v>366.4323</v>
      </c>
      <c r="M589">
        <v>0.99987119999999996</v>
      </c>
      <c r="N589">
        <v>-1.3919519999999999E-2</v>
      </c>
      <c r="O589">
        <v>-7.9936119999999902E-3</v>
      </c>
      <c r="P589">
        <v>0.98896930000000005</v>
      </c>
      <c r="Q589">
        <v>8.7502380000000005E-2</v>
      </c>
      <c r="R589">
        <v>0.1195126</v>
      </c>
      <c r="S589">
        <v>3.0354920000000001</v>
      </c>
      <c r="T589">
        <v>0.1054877</v>
      </c>
      <c r="U589">
        <v>-9.4055180000000002E-2</v>
      </c>
      <c r="V589">
        <v>-0.12743950000000001</v>
      </c>
      <c r="W589">
        <v>0.1012156</v>
      </c>
      <c r="X589">
        <v>0.9866684</v>
      </c>
      <c r="Y589">
        <v>2.2979909999999999E-2</v>
      </c>
      <c r="Z589">
        <v>-1.4976510000000001E-4</v>
      </c>
      <c r="AA589">
        <v>0.99973590000000001</v>
      </c>
      <c r="AB589">
        <v>22</v>
      </c>
      <c r="AC589">
        <v>242.19460000000001</v>
      </c>
      <c r="AD589">
        <v>8.4212109999999996</v>
      </c>
      <c r="AE589">
        <v>-7.5076999999999998</v>
      </c>
      <c r="AF589">
        <v>5.5645419319176703</v>
      </c>
      <c r="AG589">
        <v>8.4212109999999996</v>
      </c>
      <c r="AH589">
        <v>241.954641748401</v>
      </c>
      <c r="AI589">
        <v>88.007156387594506</v>
      </c>
      <c r="AJ589">
        <v>88.682527551039399</v>
      </c>
      <c r="AK589">
        <v>242.165087461458</v>
      </c>
      <c r="AL589">
        <v>84.190825450140494</v>
      </c>
      <c r="AM589">
        <v>97.359658958924399</v>
      </c>
      <c r="AN589">
        <v>0.99999997770108395</v>
      </c>
    </row>
    <row r="590" spans="1:40" x14ac:dyDescent="0.25">
      <c r="A590" t="str">
        <f>"20190304154737306"</f>
        <v>20190304154737306</v>
      </c>
      <c r="B590" t="str">
        <f>"1551685657297491"</f>
        <v>1551685657297491</v>
      </c>
      <c r="C590" t="s">
        <v>40</v>
      </c>
      <c r="D590">
        <v>4.1306390000000004</v>
      </c>
      <c r="E590">
        <v>0.55781259999999999</v>
      </c>
      <c r="F590" t="s">
        <v>43</v>
      </c>
      <c r="G590">
        <v>-168.84350000000001</v>
      </c>
      <c r="H590">
        <v>9.8687679999999993</v>
      </c>
      <c r="I590">
        <v>358.66719999999998</v>
      </c>
      <c r="J590">
        <v>-410.88350000000003</v>
      </c>
      <c r="K590">
        <v>1.0609649999999999</v>
      </c>
      <c r="L590">
        <v>366.43119999999999</v>
      </c>
      <c r="M590">
        <v>0.99987289999999995</v>
      </c>
      <c r="N590">
        <v>-1.3874539999999999E-2</v>
      </c>
      <c r="O590">
        <v>-7.8590880000000002E-3</v>
      </c>
      <c r="P590">
        <v>0.98891030000000002</v>
      </c>
      <c r="Q590">
        <v>8.7637339999999994E-2</v>
      </c>
      <c r="R590">
        <v>0.1199017</v>
      </c>
      <c r="S590">
        <v>3.0354610000000002</v>
      </c>
      <c r="T590">
        <v>0.1103905</v>
      </c>
      <c r="U590">
        <v>-9.732056E-2</v>
      </c>
      <c r="V590">
        <v>-0.12769510000000001</v>
      </c>
      <c r="W590">
        <v>0.1013058</v>
      </c>
      <c r="X590">
        <v>0.98662609999999995</v>
      </c>
      <c r="Y590">
        <v>2.4187980000000001E-2</v>
      </c>
      <c r="Z590">
        <v>-1.2292560000000001E-4</v>
      </c>
      <c r="AA590">
        <v>0.99970740000000002</v>
      </c>
      <c r="AB590">
        <v>22</v>
      </c>
      <c r="AC590">
        <v>242.04</v>
      </c>
      <c r="AD590">
        <v>8.8078029999999998</v>
      </c>
      <c r="AE590">
        <v>-7.7640000000000002</v>
      </c>
      <c r="AF590">
        <v>5.8536199545156196</v>
      </c>
      <c r="AG590">
        <v>8.8078029999999998</v>
      </c>
      <c r="AH590">
        <v>241.773714394839</v>
      </c>
      <c r="AI590">
        <v>87.914251251693898</v>
      </c>
      <c r="AJ590">
        <v>88.613074172936095</v>
      </c>
      <c r="AK590">
        <v>242.00489919118601</v>
      </c>
      <c r="AL590">
        <v>84.185630696792401</v>
      </c>
      <c r="AM590">
        <v>97.374570282841802</v>
      </c>
      <c r="AN590">
        <v>0.999999982439429</v>
      </c>
    </row>
    <row r="591" spans="1:40" x14ac:dyDescent="0.25">
      <c r="A591" t="str">
        <f>"20190304154737317"</f>
        <v>20190304154737317</v>
      </c>
      <c r="B591" t="str">
        <f>"1551685657307251"</f>
        <v>1551685657307251</v>
      </c>
      <c r="C591" t="s">
        <v>40</v>
      </c>
      <c r="D591">
        <v>4.1139950000000001</v>
      </c>
      <c r="E591">
        <v>0.55795360000000005</v>
      </c>
      <c r="F591" t="s">
        <v>43</v>
      </c>
      <c r="G591">
        <v>-168.84350000000001</v>
      </c>
      <c r="H591">
        <v>10.038679999999999</v>
      </c>
      <c r="I591">
        <v>358.25900000000001</v>
      </c>
      <c r="J591">
        <v>-410.76339999999999</v>
      </c>
      <c r="K591">
        <v>1.060959</v>
      </c>
      <c r="L591">
        <v>366.43029999999999</v>
      </c>
      <c r="M591">
        <v>0.99987420000000005</v>
      </c>
      <c r="N591">
        <v>-1.3839870000000001E-2</v>
      </c>
      <c r="O591">
        <v>-7.7544329999999998E-3</v>
      </c>
      <c r="P591">
        <v>0.98890279999999997</v>
      </c>
      <c r="Q591">
        <v>8.7682109999999994E-2</v>
      </c>
      <c r="R591">
        <v>0.1199296</v>
      </c>
      <c r="S591">
        <v>3.036041</v>
      </c>
      <c r="T591">
        <v>0.11261359999999999</v>
      </c>
      <c r="U591">
        <v>-0.1025085</v>
      </c>
      <c r="V591">
        <v>-0.12761929999999999</v>
      </c>
      <c r="W591">
        <v>0.1013162</v>
      </c>
      <c r="X591">
        <v>0.98663489999999998</v>
      </c>
      <c r="Y591">
        <v>2.5991739999999999E-2</v>
      </c>
      <c r="Z591" s="1">
        <v>-9.2902339999999996E-5</v>
      </c>
      <c r="AA591">
        <v>0.99966219999999995</v>
      </c>
      <c r="AB591">
        <v>22</v>
      </c>
      <c r="AC591">
        <v>241.91990000000001</v>
      </c>
      <c r="AD591">
        <v>8.9777210000000007</v>
      </c>
      <c r="AE591">
        <v>-8.1712999999999703</v>
      </c>
      <c r="AF591">
        <v>6.2862755804312798</v>
      </c>
      <c r="AG591">
        <v>8.9777210000000007</v>
      </c>
      <c r="AH591">
        <v>241.64358870137099</v>
      </c>
      <c r="AI591">
        <v>87.873002474824403</v>
      </c>
      <c r="AJ591">
        <v>88.509805937389103</v>
      </c>
      <c r="AK591">
        <v>241.89200213215901</v>
      </c>
      <c r="AL591">
        <v>84.185032086494004</v>
      </c>
      <c r="AM591">
        <v>97.3701758577172</v>
      </c>
      <c r="AN591">
        <v>1.0000000420064601</v>
      </c>
    </row>
    <row r="592" spans="1:40" x14ac:dyDescent="0.25">
      <c r="A592" t="str">
        <f>"20190304154737329"</f>
        <v>20190304154737329</v>
      </c>
      <c r="B592" t="str">
        <f>"1551685657327747"</f>
        <v>1551685657327747</v>
      </c>
      <c r="C592" t="s">
        <v>40</v>
      </c>
      <c r="D592">
        <v>4.1011839999999999</v>
      </c>
      <c r="E592">
        <v>0.5579769</v>
      </c>
      <c r="F592" t="s">
        <v>43</v>
      </c>
      <c r="G592">
        <v>-168.84350000000001</v>
      </c>
      <c r="H592">
        <v>10.165229999999999</v>
      </c>
      <c r="I592">
        <v>358.19170000000003</v>
      </c>
      <c r="J592">
        <v>-410.64339999999999</v>
      </c>
      <c r="K592">
        <v>1.0609500000000001</v>
      </c>
      <c r="L592">
        <v>366.42950000000002</v>
      </c>
      <c r="M592">
        <v>0.99987539999999997</v>
      </c>
      <c r="N592">
        <v>-1.380558E-2</v>
      </c>
      <c r="O592">
        <v>-7.6501399999999997E-3</v>
      </c>
      <c r="P592">
        <v>0.98892789999999997</v>
      </c>
      <c r="Q592">
        <v>8.7313180000000004E-2</v>
      </c>
      <c r="R592">
        <v>0.11999219999999999</v>
      </c>
      <c r="S592">
        <v>3.0360719999999999</v>
      </c>
      <c r="T592">
        <v>0.11425879999999999</v>
      </c>
      <c r="U592">
        <v>-0.1033936</v>
      </c>
      <c r="V592">
        <v>-0.1275789</v>
      </c>
      <c r="W592">
        <v>0.1009139</v>
      </c>
      <c r="X592">
        <v>0.98668129999999998</v>
      </c>
      <c r="Y592">
        <v>2.6386179999999999E-2</v>
      </c>
      <c r="Z592" s="1">
        <v>-7.9303399999999997E-5</v>
      </c>
      <c r="AA592">
        <v>0.99965179999999998</v>
      </c>
      <c r="AB592">
        <v>22</v>
      </c>
      <c r="AC592">
        <v>241.79990000000001</v>
      </c>
      <c r="AD592">
        <v>9.1042799999999993</v>
      </c>
      <c r="AE592">
        <v>-8.2377999999999894</v>
      </c>
      <c r="AF592">
        <v>6.3785471684116901</v>
      </c>
      <c r="AG592">
        <v>9.1042799999999993</v>
      </c>
      <c r="AH592">
        <v>241.51385622803201</v>
      </c>
      <c r="AI592">
        <v>87.841911124459401</v>
      </c>
      <c r="AJ592">
        <v>88.487130717440294</v>
      </c>
      <c r="AK592">
        <v>241.76955252560799</v>
      </c>
      <c r="AL592">
        <v>84.208200618116194</v>
      </c>
      <c r="AM592">
        <v>97.367525669870602</v>
      </c>
      <c r="AN592">
        <v>0.99999998935405399</v>
      </c>
    </row>
    <row r="593" spans="1:40" x14ac:dyDescent="0.25">
      <c r="A593" t="str">
        <f>"20190304154737342"</f>
        <v>20190304154737342</v>
      </c>
      <c r="B593" t="str">
        <f>"1551685657337507"</f>
        <v>1551685657337507</v>
      </c>
      <c r="C593" t="s">
        <v>40</v>
      </c>
      <c r="D593">
        <v>4.0695480000000002</v>
      </c>
      <c r="E593">
        <v>0.55793210000000004</v>
      </c>
      <c r="F593" t="s">
        <v>43</v>
      </c>
      <c r="G593">
        <v>-168.84350000000001</v>
      </c>
      <c r="H593">
        <v>10.22749</v>
      </c>
      <c r="I593">
        <v>358.19970000000001</v>
      </c>
      <c r="J593">
        <v>-410.53620000000001</v>
      </c>
      <c r="K593">
        <v>1.0609470000000001</v>
      </c>
      <c r="L593">
        <v>366.42880000000002</v>
      </c>
      <c r="M593">
        <v>0.9998766</v>
      </c>
      <c r="N593">
        <v>-1.3776719999999999E-2</v>
      </c>
      <c r="O593">
        <v>-7.5572080000000002E-3</v>
      </c>
      <c r="P593">
        <v>0.98890060000000002</v>
      </c>
      <c r="Q593">
        <v>8.728147E-2</v>
      </c>
      <c r="R593">
        <v>0.12024020000000001</v>
      </c>
      <c r="S593">
        <v>3.0360109999999998</v>
      </c>
      <c r="T593">
        <v>0.115095</v>
      </c>
      <c r="U593">
        <v>-0.10333249999999999</v>
      </c>
      <c r="V593">
        <v>-0.12773489999999901</v>
      </c>
      <c r="W593">
        <v>0.1008537</v>
      </c>
      <c r="X593">
        <v>0.98666730000000002</v>
      </c>
      <c r="Y593">
        <v>2.6459409999999999E-2</v>
      </c>
      <c r="Z593" s="1">
        <v>-7.1490419999999997E-5</v>
      </c>
      <c r="AA593">
        <v>0.99964989999999998</v>
      </c>
      <c r="AB593">
        <v>22</v>
      </c>
      <c r="AC593">
        <v>241.6927</v>
      </c>
      <c r="AD593">
        <v>9.1665430000000008</v>
      </c>
      <c r="AE593">
        <v>-8.2291000000000096</v>
      </c>
      <c r="AF593">
        <v>6.3929845976981099</v>
      </c>
      <c r="AG593">
        <v>9.1665430000000008</v>
      </c>
      <c r="AH593">
        <v>241.40115891408499</v>
      </c>
      <c r="AI593">
        <v>87.826157063859497</v>
      </c>
      <c r="AJ593">
        <v>88.483000487304594</v>
      </c>
      <c r="AK593">
        <v>241.65970969050801</v>
      </c>
      <c r="AL593">
        <v>84.211667673071503</v>
      </c>
      <c r="AM593">
        <v>97.376538835149702</v>
      </c>
      <c r="AN593">
        <v>1.0000000171854899</v>
      </c>
    </row>
    <row r="594" spans="1:40" x14ac:dyDescent="0.25">
      <c r="A594" t="str">
        <f>"20190304154737354"</f>
        <v>20190304154737354</v>
      </c>
      <c r="B594" t="str">
        <f>"1551685657347267"</f>
        <v>1551685657347267</v>
      </c>
      <c r="C594" t="s">
        <v>40</v>
      </c>
      <c r="D594">
        <v>4.0642569999999996</v>
      </c>
      <c r="E594">
        <v>0.55782549999999997</v>
      </c>
      <c r="F594" t="s">
        <v>43</v>
      </c>
      <c r="G594">
        <v>-168.84350000000001</v>
      </c>
      <c r="H594">
        <v>10.25874</v>
      </c>
      <c r="I594">
        <v>358.28489999999999</v>
      </c>
      <c r="J594">
        <v>-410.41640000000001</v>
      </c>
      <c r="K594">
        <v>1.060943</v>
      </c>
      <c r="L594">
        <v>366.428</v>
      </c>
      <c r="M594">
        <v>0.99987780000000004</v>
      </c>
      <c r="N594">
        <v>-1.374475E-2</v>
      </c>
      <c r="O594">
        <v>-7.4532890000000001E-3</v>
      </c>
      <c r="P594">
        <v>0.98889090000000002</v>
      </c>
      <c r="Q594">
        <v>8.7323070000000003E-2</v>
      </c>
      <c r="R594">
        <v>0.12028949999999999</v>
      </c>
      <c r="S594">
        <v>3.0358890000000001</v>
      </c>
      <c r="T594">
        <v>0.11553389999999999</v>
      </c>
      <c r="U594">
        <v>-0.10229489999999999</v>
      </c>
      <c r="V594">
        <v>-0.12768119999999999</v>
      </c>
      <c r="W594">
        <v>0.1008636</v>
      </c>
      <c r="X594">
        <v>0.98667320000000003</v>
      </c>
      <c r="Y594">
        <v>2.6223280000000002E-2</v>
      </c>
      <c r="Z594" s="1">
        <v>-6.7483869999999997E-5</v>
      </c>
      <c r="AA594">
        <v>0.99965610000000005</v>
      </c>
      <c r="AB594">
        <v>22</v>
      </c>
      <c r="AC594">
        <v>241.5729</v>
      </c>
      <c r="AD594">
        <v>9.1977969999999996</v>
      </c>
      <c r="AE594">
        <v>-8.1431000000000502</v>
      </c>
      <c r="AF594">
        <v>6.3330206987883901</v>
      </c>
      <c r="AG594">
        <v>9.1977969999999996</v>
      </c>
      <c r="AH594">
        <v>241.27750993694099</v>
      </c>
      <c r="AI594">
        <v>87.817622080832194</v>
      </c>
      <c r="AJ594">
        <v>88.496453058062102</v>
      </c>
      <c r="AK594">
        <v>241.535801533013</v>
      </c>
      <c r="AL594">
        <v>84.2110973164895</v>
      </c>
      <c r="AM594">
        <v>97.373428251135195</v>
      </c>
      <c r="AN594">
        <v>0.99999997911831895</v>
      </c>
    </row>
    <row r="595" spans="1:40" x14ac:dyDescent="0.25">
      <c r="A595" t="str">
        <f>"20190304154737365"</f>
        <v>20190304154737365</v>
      </c>
      <c r="B595" t="str">
        <f>"1551685657358003"</f>
        <v>1551685657358003</v>
      </c>
      <c r="C595" t="s">
        <v>40</v>
      </c>
      <c r="D595">
        <v>4.1054240000000002</v>
      </c>
      <c r="E595">
        <v>0.55774630000000003</v>
      </c>
      <c r="F595" t="s">
        <v>43</v>
      </c>
      <c r="G595">
        <v>-168.84350000000001</v>
      </c>
      <c r="H595">
        <v>10.34699</v>
      </c>
      <c r="I595">
        <v>358.37759999999997</v>
      </c>
      <c r="J595">
        <v>-410.29640000000001</v>
      </c>
      <c r="K595">
        <v>1.0609459999999999</v>
      </c>
      <c r="L595">
        <v>366.4273</v>
      </c>
      <c r="M595">
        <v>0.99987910000000002</v>
      </c>
      <c r="N595">
        <v>-1.371319E-2</v>
      </c>
      <c r="O595">
        <v>-7.3490169999999898E-3</v>
      </c>
      <c r="P595">
        <v>0.98888670000000001</v>
      </c>
      <c r="Q595">
        <v>8.7398980000000001E-2</v>
      </c>
      <c r="R595">
        <v>0.1202699</v>
      </c>
      <c r="S595">
        <v>3.0357059999999998</v>
      </c>
      <c r="T595">
        <v>0.1166934</v>
      </c>
      <c r="U595">
        <v>-0.1011658</v>
      </c>
      <c r="V595">
        <v>-0.1275587</v>
      </c>
      <c r="W595">
        <v>0.1009087</v>
      </c>
      <c r="X595">
        <v>0.98668440000000002</v>
      </c>
      <c r="Y595">
        <v>2.5957939999999999E-2</v>
      </c>
      <c r="Z595" s="1">
        <v>-6.2503909999999895E-5</v>
      </c>
      <c r="AA595">
        <v>0.99966310000000003</v>
      </c>
      <c r="AB595">
        <v>22</v>
      </c>
      <c r="AC595">
        <v>241.4529</v>
      </c>
      <c r="AD595">
        <v>9.2860440000000004</v>
      </c>
      <c r="AE595">
        <v>-8.0497000000000298</v>
      </c>
      <c r="AF595">
        <v>6.2656173256432401</v>
      </c>
      <c r="AG595">
        <v>9.2860440000000004</v>
      </c>
      <c r="AH595">
        <v>241.14925431284701</v>
      </c>
      <c r="AI595">
        <v>87.795518160917396</v>
      </c>
      <c r="AJ595">
        <v>88.511657523815003</v>
      </c>
      <c r="AK595">
        <v>241.40930269830801</v>
      </c>
      <c r="AL595">
        <v>84.2084998354497</v>
      </c>
      <c r="AM595">
        <v>97.366349068163402</v>
      </c>
      <c r="AN595">
        <v>0.999999946442368</v>
      </c>
    </row>
    <row r="596" spans="1:40" x14ac:dyDescent="0.25">
      <c r="A596" t="str">
        <f>"20190304154737377"</f>
        <v>20190304154737377</v>
      </c>
      <c r="B596" t="str">
        <f>"1551685657367763"</f>
        <v>1551685657367763</v>
      </c>
      <c r="C596" t="s">
        <v>40</v>
      </c>
      <c r="D596">
        <v>4.1261530000000004</v>
      </c>
      <c r="E596">
        <v>0.55759689999999995</v>
      </c>
      <c r="F596" t="s">
        <v>43</v>
      </c>
      <c r="G596">
        <v>-168.84350000000001</v>
      </c>
      <c r="H596">
        <v>10.41877</v>
      </c>
      <c r="I596">
        <v>358.43369999999999</v>
      </c>
      <c r="J596">
        <v>-410.1891</v>
      </c>
      <c r="K596">
        <v>1.0609420000000001</v>
      </c>
      <c r="L596">
        <v>366.42649999999998</v>
      </c>
      <c r="M596">
        <v>0.99988010000000005</v>
      </c>
      <c r="N596">
        <v>-1.368486E-2</v>
      </c>
      <c r="O596">
        <v>-7.2554949999999998E-3</v>
      </c>
      <c r="P596">
        <v>0.98888390000000004</v>
      </c>
      <c r="Q596">
        <v>8.7650049999999993E-2</v>
      </c>
      <c r="R596">
        <v>0.12010990000000001</v>
      </c>
      <c r="S596">
        <v>3.0355219999999998</v>
      </c>
      <c r="T596">
        <v>0.11764670000000001</v>
      </c>
      <c r="U596">
        <v>-0.1004944</v>
      </c>
      <c r="V596">
        <v>-0.12730639999999999</v>
      </c>
      <c r="W596">
        <v>0.1011326</v>
      </c>
      <c r="X596">
        <v>0.98669410000000002</v>
      </c>
      <c r="Y596">
        <v>2.583237E-2</v>
      </c>
      <c r="Z596" s="1">
        <v>-5.6819520000000002E-5</v>
      </c>
      <c r="AA596">
        <v>0.99966630000000001</v>
      </c>
      <c r="AB596">
        <v>22</v>
      </c>
      <c r="AC596">
        <v>241.34559999999999</v>
      </c>
      <c r="AD596">
        <v>9.3578279999999996</v>
      </c>
      <c r="AE596">
        <v>-7.9927999999999804</v>
      </c>
      <c r="AF596">
        <v>6.2319850769879599</v>
      </c>
      <c r="AG596">
        <v>9.3578279999999996</v>
      </c>
      <c r="AH596">
        <v>241.035270640666</v>
      </c>
      <c r="AI596">
        <v>87.7774370438636</v>
      </c>
      <c r="AJ596">
        <v>88.518943267773096</v>
      </c>
      <c r="AK596">
        <v>241.29734411239701</v>
      </c>
      <c r="AL596">
        <v>84.195605568083707</v>
      </c>
      <c r="AM596">
        <v>97.351867144614403</v>
      </c>
      <c r="AN596">
        <v>0.99999998461926398</v>
      </c>
    </row>
    <row r="597" spans="1:40" x14ac:dyDescent="0.25">
      <c r="A597" t="str">
        <f>"20190304154737387"</f>
        <v>20190304154737387</v>
      </c>
      <c r="B597" t="str">
        <f>"1551685657377524"</f>
        <v>1551685657377524</v>
      </c>
      <c r="C597" t="s">
        <v>40</v>
      </c>
      <c r="D597">
        <v>4.3005589999999998</v>
      </c>
      <c r="E597">
        <v>0.55718519999999905</v>
      </c>
      <c r="F597" t="s">
        <v>43</v>
      </c>
      <c r="G597">
        <v>-168.84350000000001</v>
      </c>
      <c r="H597">
        <v>10.558120000000001</v>
      </c>
      <c r="I597">
        <v>358.4966</v>
      </c>
      <c r="J597">
        <v>-410.08120000000002</v>
      </c>
      <c r="K597">
        <v>1.06094</v>
      </c>
      <c r="L597">
        <v>366.42590000000001</v>
      </c>
      <c r="M597">
        <v>0.99988109999999997</v>
      </c>
      <c r="N597">
        <v>-1.3656389999999999E-2</v>
      </c>
      <c r="O597">
        <v>-7.1616140000000002E-3</v>
      </c>
      <c r="P597">
        <v>0.98888520000000002</v>
      </c>
      <c r="Q597">
        <v>8.7599850000000007E-2</v>
      </c>
      <c r="R597">
        <v>0.1201348</v>
      </c>
      <c r="S597">
        <v>3.0352779999999999</v>
      </c>
      <c r="T597">
        <v>0.1194421</v>
      </c>
      <c r="U597">
        <v>-9.9731449999999999E-2</v>
      </c>
      <c r="V597">
        <v>-0.1272383</v>
      </c>
      <c r="W597">
        <v>0.1010543</v>
      </c>
      <c r="X597">
        <v>0.98671089999999995</v>
      </c>
      <c r="Y597">
        <v>2.567755E-2</v>
      </c>
      <c r="Z597" s="1">
        <v>-4.9896599999999999E-5</v>
      </c>
      <c r="AA597">
        <v>0.99967030000000001</v>
      </c>
      <c r="AB597">
        <v>22</v>
      </c>
      <c r="AC597">
        <v>241.23769999999999</v>
      </c>
      <c r="AD597">
        <v>9.4971799999999895</v>
      </c>
      <c r="AE597">
        <v>-7.9293000000000102</v>
      </c>
      <c r="AF597">
        <v>6.19169815194698</v>
      </c>
      <c r="AG597">
        <v>9.4971799999999895</v>
      </c>
      <c r="AH597">
        <v>240.91531662379199</v>
      </c>
      <c r="AI597">
        <v>87.743242805695999</v>
      </c>
      <c r="AJ597">
        <v>88.527781052310502</v>
      </c>
      <c r="AK597">
        <v>241.18192995723999</v>
      </c>
      <c r="AL597">
        <v>84.200114893000702</v>
      </c>
      <c r="AM597">
        <v>97.347853660847306</v>
      </c>
      <c r="AN597">
        <v>0.99999997835709398</v>
      </c>
    </row>
    <row r="598" spans="1:40" x14ac:dyDescent="0.25">
      <c r="A598" t="str">
        <f>"20190304154737406"</f>
        <v>20190304154737406</v>
      </c>
      <c r="B598" t="str">
        <f>"1551685657397549"</f>
        <v>1551685657397549</v>
      </c>
      <c r="C598" t="s">
        <v>40</v>
      </c>
      <c r="D598">
        <v>4.1292549999999997</v>
      </c>
      <c r="E598">
        <v>0.55701610000000001</v>
      </c>
      <c r="F598" t="s">
        <v>43</v>
      </c>
      <c r="G598">
        <v>-168.84350000000001</v>
      </c>
      <c r="H598">
        <v>10.620950000000001</v>
      </c>
      <c r="I598">
        <v>358.76029999999997</v>
      </c>
      <c r="J598">
        <v>-409.9117</v>
      </c>
      <c r="K598">
        <v>1.060943</v>
      </c>
      <c r="L598">
        <v>366.42489999999998</v>
      </c>
      <c r="M598">
        <v>0.99988290000000002</v>
      </c>
      <c r="N598">
        <v>-1.361242E-2</v>
      </c>
      <c r="O598">
        <v>-7.0137560000000003E-3</v>
      </c>
      <c r="P598">
        <v>0.9888922</v>
      </c>
      <c r="Q598">
        <v>8.8083069999999999E-2</v>
      </c>
      <c r="R598">
        <v>0.1197251</v>
      </c>
      <c r="S598">
        <v>3.034821</v>
      </c>
      <c r="T598">
        <v>0.120268</v>
      </c>
      <c r="U598">
        <v>-9.6435549999999995E-2</v>
      </c>
      <c r="V598">
        <v>-0.1266825</v>
      </c>
      <c r="W598">
        <v>0.101495</v>
      </c>
      <c r="X598">
        <v>0.98673719999999998</v>
      </c>
      <c r="Y598">
        <v>2.4745880000000001E-2</v>
      </c>
      <c r="Z598" s="1">
        <v>-5.1673089999999998E-5</v>
      </c>
      <c r="AA598">
        <v>0.99969379999999997</v>
      </c>
      <c r="AB598">
        <v>22</v>
      </c>
      <c r="AC598">
        <v>241.06819999999999</v>
      </c>
      <c r="AD598">
        <v>9.5600070000000006</v>
      </c>
      <c r="AE598">
        <v>-7.6646000000000001</v>
      </c>
      <c r="AF598">
        <v>5.9640914391485396</v>
      </c>
      <c r="AG598">
        <v>9.5600070000000006</v>
      </c>
      <c r="AH598">
        <v>240.73781412468099</v>
      </c>
      <c r="AI598">
        <v>87.7266029212349</v>
      </c>
      <c r="AJ598">
        <v>88.580832080533</v>
      </c>
      <c r="AK598">
        <v>241.001367776335</v>
      </c>
      <c r="AL598">
        <v>84.174734252392298</v>
      </c>
      <c r="AM598">
        <v>97.315912515045994</v>
      </c>
      <c r="AN598">
        <v>0.99999999634754499</v>
      </c>
    </row>
    <row r="599" spans="1:40" x14ac:dyDescent="0.25">
      <c r="A599" t="str">
        <f>"20190304154737418"</f>
        <v>20190304154737418</v>
      </c>
      <c r="B599" t="str">
        <f>"1551685657407309"</f>
        <v>1551685657407309</v>
      </c>
      <c r="C599" t="s">
        <v>40</v>
      </c>
      <c r="D599">
        <v>4.1169669999999998</v>
      </c>
      <c r="E599">
        <v>0.55694399999999999</v>
      </c>
      <c r="F599" t="s">
        <v>43</v>
      </c>
      <c r="G599">
        <v>-168.84350000000001</v>
      </c>
      <c r="H599">
        <v>10.78837</v>
      </c>
      <c r="I599">
        <v>358.7808</v>
      </c>
      <c r="J599">
        <v>-409.79750000000001</v>
      </c>
      <c r="K599">
        <v>1.0609409999999999</v>
      </c>
      <c r="L599">
        <v>366.42419999999998</v>
      </c>
      <c r="M599">
        <v>0.99988390000000005</v>
      </c>
      <c r="N599">
        <v>-1.3582830000000001E-2</v>
      </c>
      <c r="O599">
        <v>-6.9141469999999998E-3</v>
      </c>
      <c r="P599">
        <v>0.9888998</v>
      </c>
      <c r="Q599">
        <v>8.8000640000000005E-2</v>
      </c>
      <c r="R599">
        <v>0.11972140000000001</v>
      </c>
      <c r="S599">
        <v>3.0344850000000001</v>
      </c>
      <c r="T599">
        <v>0.12244670000000001</v>
      </c>
      <c r="U599">
        <v>-9.6221920000000002E-2</v>
      </c>
      <c r="V599">
        <v>-0.12658050000000001</v>
      </c>
      <c r="W599">
        <v>0.1013836</v>
      </c>
      <c r="X599">
        <v>0.98676169999999996</v>
      </c>
      <c r="Y599">
        <v>2.4778169999999999E-2</v>
      </c>
      <c r="Z599" s="1">
        <v>-4.1433549999999897E-5</v>
      </c>
      <c r="AA599">
        <v>0.99969300000000005</v>
      </c>
      <c r="AB599">
        <v>22</v>
      </c>
      <c r="AC599">
        <v>240.95400000000001</v>
      </c>
      <c r="AD599">
        <v>9.7274289999999901</v>
      </c>
      <c r="AE599">
        <v>-7.6433999999999802</v>
      </c>
      <c r="AF599">
        <v>5.9673566031156504</v>
      </c>
      <c r="AG599">
        <v>9.7274289999999901</v>
      </c>
      <c r="AH599">
        <v>240.60934678581299</v>
      </c>
      <c r="AI599">
        <v>87.685600185418807</v>
      </c>
      <c r="AJ599">
        <v>88.579297612779797</v>
      </c>
      <c r="AK599">
        <v>240.87982476843999</v>
      </c>
      <c r="AL599">
        <v>84.181149855242495</v>
      </c>
      <c r="AM599">
        <v>97.309906220779197</v>
      </c>
      <c r="AN599">
        <v>0.99999995495804805</v>
      </c>
    </row>
    <row r="600" spans="1:40" x14ac:dyDescent="0.25">
      <c r="A600" t="str">
        <f>"20190304154737428"</f>
        <v>20190304154737428</v>
      </c>
      <c r="B600" t="str">
        <f>"1551685657418045"</f>
        <v>1551685657418045</v>
      </c>
      <c r="C600" t="s">
        <v>40</v>
      </c>
      <c r="D600">
        <v>4.1432190000000002</v>
      </c>
      <c r="E600">
        <v>0.55692159999999902</v>
      </c>
      <c r="F600" t="s">
        <v>43</v>
      </c>
      <c r="G600">
        <v>-168.84350000000001</v>
      </c>
      <c r="H600">
        <v>10.730880000000001</v>
      </c>
      <c r="I600">
        <v>358.82960000000003</v>
      </c>
      <c r="J600">
        <v>-409.68740000000003</v>
      </c>
      <c r="K600">
        <v>1.0609329999999999</v>
      </c>
      <c r="L600">
        <v>366.42349999999999</v>
      </c>
      <c r="M600">
        <v>0.99988500000000002</v>
      </c>
      <c r="N600">
        <v>-1.355426E-2</v>
      </c>
      <c r="O600">
        <v>-6.8184769999999999E-3</v>
      </c>
      <c r="P600">
        <v>0.98890929999999999</v>
      </c>
      <c r="Q600">
        <v>8.8150140000000002E-2</v>
      </c>
      <c r="R600">
        <v>0.11953320000000001</v>
      </c>
      <c r="S600">
        <v>3.0344540000000002</v>
      </c>
      <c r="T600">
        <v>0.121779399999999</v>
      </c>
      <c r="U600">
        <v>-9.5642089999999999E-2</v>
      </c>
      <c r="V600">
        <v>-0.12629799999999999</v>
      </c>
      <c r="W600">
        <v>0.101505</v>
      </c>
      <c r="X600">
        <v>0.98678549999999998</v>
      </c>
      <c r="Y600">
        <v>2.468329E-2</v>
      </c>
      <c r="Z600" s="1">
        <v>-3.8207680000000002E-5</v>
      </c>
      <c r="AA600">
        <v>0.99969529999999995</v>
      </c>
      <c r="AB600">
        <v>22</v>
      </c>
      <c r="AC600">
        <v>240.84389999999999</v>
      </c>
      <c r="AD600">
        <v>9.6699470000000005</v>
      </c>
      <c r="AE600">
        <v>-7.5938999999999597</v>
      </c>
      <c r="AF600">
        <v>5.9418152045714399</v>
      </c>
      <c r="AG600">
        <v>9.6699470000000005</v>
      </c>
      <c r="AH600">
        <v>240.50276789614301</v>
      </c>
      <c r="AI600">
        <v>87.698237965020894</v>
      </c>
      <c r="AJ600">
        <v>88.5847493713446</v>
      </c>
      <c r="AK600">
        <v>240.770418466667</v>
      </c>
      <c r="AL600">
        <v>84.174158554477401</v>
      </c>
      <c r="AM600">
        <v>97.293593959760798</v>
      </c>
      <c r="AN600">
        <v>1.00000003641962</v>
      </c>
    </row>
    <row r="601" spans="1:40" x14ac:dyDescent="0.25">
      <c r="A601" t="str">
        <f>"20190304154737440"</f>
        <v>20190304154737440</v>
      </c>
      <c r="B601" t="str">
        <f>"1551685657437565"</f>
        <v>1551685657437565</v>
      </c>
      <c r="C601" t="s">
        <v>40</v>
      </c>
      <c r="D601">
        <v>4.1455320000000002</v>
      </c>
      <c r="E601">
        <v>0.55670319999999995</v>
      </c>
      <c r="F601" t="s">
        <v>43</v>
      </c>
      <c r="G601">
        <v>-168.84350000000001</v>
      </c>
      <c r="H601">
        <v>10.733230000000001</v>
      </c>
      <c r="I601">
        <v>358.8032</v>
      </c>
      <c r="J601">
        <v>-409.5829</v>
      </c>
      <c r="K601">
        <v>1.060932</v>
      </c>
      <c r="L601">
        <v>366.42290000000003</v>
      </c>
      <c r="M601">
        <v>0.99988589999999999</v>
      </c>
      <c r="N601">
        <v>-1.3527050000000001E-2</v>
      </c>
      <c r="O601">
        <v>-6.7274630000000004E-3</v>
      </c>
      <c r="P601">
        <v>0.98892530000000001</v>
      </c>
      <c r="Q601">
        <v>8.8268460000000007E-2</v>
      </c>
      <c r="R601">
        <v>0.119312</v>
      </c>
      <c r="S601">
        <v>3.0343629999999999</v>
      </c>
      <c r="T601">
        <v>0.1218611</v>
      </c>
      <c r="U601">
        <v>-9.6008300000000005E-2</v>
      </c>
      <c r="V601">
        <v>-0.12598670000000001</v>
      </c>
      <c r="W601">
        <v>0.10159700000000001</v>
      </c>
      <c r="X601">
        <v>0.98681580000000002</v>
      </c>
      <c r="Y601">
        <v>2.4895489999999999E-2</v>
      </c>
      <c r="Z601" s="1">
        <v>-2.982665E-5</v>
      </c>
      <c r="AA601">
        <v>0.99969010000000003</v>
      </c>
      <c r="AB601">
        <v>22</v>
      </c>
      <c r="AC601">
        <v>240.73939999999999</v>
      </c>
      <c r="AD601">
        <v>9.6722979999999996</v>
      </c>
      <c r="AE601">
        <v>-7.6197000000000203</v>
      </c>
      <c r="AF601">
        <v>5.9901541789149899</v>
      </c>
      <c r="AG601">
        <v>9.6722979999999996</v>
      </c>
      <c r="AH601">
        <v>240.39754890801399</v>
      </c>
      <c r="AI601">
        <v>87.696684429812905</v>
      </c>
      <c r="AJ601">
        <v>88.572616281296007</v>
      </c>
      <c r="AK601">
        <v>240.666609268234</v>
      </c>
      <c r="AL601">
        <v>84.168859802544901</v>
      </c>
      <c r="AM601">
        <v>97.275588536266199</v>
      </c>
      <c r="AN601">
        <v>1.00000001105776</v>
      </c>
    </row>
    <row r="602" spans="1:40" x14ac:dyDescent="0.25">
      <c r="A602" t="str">
        <f>"20190304154737452"</f>
        <v>20190304154737452</v>
      </c>
      <c r="B602" t="str">
        <f>"1551685657447325"</f>
        <v>1551685657447325</v>
      </c>
      <c r="C602" t="s">
        <v>40</v>
      </c>
      <c r="D602">
        <v>4.1323049999999997</v>
      </c>
      <c r="E602">
        <v>0.55660419999999999</v>
      </c>
      <c r="F602" t="s">
        <v>43</v>
      </c>
      <c r="G602">
        <v>-168.84350000000001</v>
      </c>
      <c r="H602">
        <v>10.642429999999999</v>
      </c>
      <c r="I602">
        <v>358.8904</v>
      </c>
      <c r="J602">
        <v>-409.46960000000001</v>
      </c>
      <c r="K602">
        <v>1.060929</v>
      </c>
      <c r="L602">
        <v>366.42230000000001</v>
      </c>
      <c r="M602">
        <v>0.99988690000000002</v>
      </c>
      <c r="N602">
        <v>-1.349758E-2</v>
      </c>
      <c r="O602">
        <v>-6.6294020000000004E-3</v>
      </c>
      <c r="P602">
        <v>0.9889114</v>
      </c>
      <c r="Q602">
        <v>8.8260920000000007E-2</v>
      </c>
      <c r="R602">
        <v>0.1194346</v>
      </c>
      <c r="S602">
        <v>3.0342709999999999</v>
      </c>
      <c r="T602">
        <v>0.120765899999999</v>
      </c>
      <c r="U602">
        <v>-9.4940189999999994E-2</v>
      </c>
      <c r="V602">
        <v>-0.12601209999999999</v>
      </c>
      <c r="W602">
        <v>0.1015605</v>
      </c>
      <c r="X602">
        <v>0.98681629999999998</v>
      </c>
      <c r="Y602">
        <v>2.464307E-2</v>
      </c>
      <c r="Z602" s="1">
        <v>-2.9407149999999998E-5</v>
      </c>
      <c r="AA602">
        <v>0.99969629999999998</v>
      </c>
      <c r="AB602">
        <v>22</v>
      </c>
      <c r="AC602">
        <v>240.62610000000001</v>
      </c>
      <c r="AD602">
        <v>9.5815009999999994</v>
      </c>
      <c r="AE602">
        <v>-7.5319000000000003</v>
      </c>
      <c r="AF602">
        <v>5.9269935532550004</v>
      </c>
      <c r="AG602">
        <v>9.5815009999999994</v>
      </c>
      <c r="AH602">
        <v>240.29012731101</v>
      </c>
      <c r="AI602">
        <v>87.717250256354006</v>
      </c>
      <c r="AJ602">
        <v>88.587029461894502</v>
      </c>
      <c r="AK602">
        <v>240.554109707431</v>
      </c>
      <c r="AL602">
        <v>84.170961891038004</v>
      </c>
      <c r="AM602">
        <v>97.277035987822501</v>
      </c>
      <c r="AN602">
        <v>0.99999999722617505</v>
      </c>
    </row>
    <row r="603" spans="1:40" x14ac:dyDescent="0.25">
      <c r="A603" t="str">
        <f>"20190304154737463"</f>
        <v>20190304154737463</v>
      </c>
      <c r="B603" t="str">
        <f>"1551685657458061"</f>
        <v>1551685657458061</v>
      </c>
      <c r="C603" t="s">
        <v>40</v>
      </c>
      <c r="D603">
        <v>4.1692229999999997</v>
      </c>
      <c r="E603">
        <v>0.55658189999999996</v>
      </c>
      <c r="F603" t="s">
        <v>43</v>
      </c>
      <c r="G603">
        <v>-168.84350000000001</v>
      </c>
      <c r="H603">
        <v>10.57302</v>
      </c>
      <c r="I603">
        <v>358.97809999999998</v>
      </c>
      <c r="J603">
        <v>-409.35559999999998</v>
      </c>
      <c r="K603">
        <v>1.060926</v>
      </c>
      <c r="L603">
        <v>366.42160000000001</v>
      </c>
      <c r="M603">
        <v>0.99988790000000005</v>
      </c>
      <c r="N603">
        <v>-1.3468829999999999E-2</v>
      </c>
      <c r="O603">
        <v>-6.5306289999999996E-3</v>
      </c>
      <c r="P603">
        <v>0.98892930000000001</v>
      </c>
      <c r="Q603">
        <v>8.8237549999999998E-2</v>
      </c>
      <c r="R603">
        <v>0.11930159999999999</v>
      </c>
      <c r="S603">
        <v>3.0343019999999998</v>
      </c>
      <c r="T603">
        <v>0.1199489</v>
      </c>
      <c r="U603">
        <v>-9.3872070000000002E-2</v>
      </c>
      <c r="V603">
        <v>-0.1257817</v>
      </c>
      <c r="W603">
        <v>0.10150919999999999</v>
      </c>
      <c r="X603">
        <v>0.98685100000000003</v>
      </c>
      <c r="Y603">
        <v>2.439003E-2</v>
      </c>
      <c r="Z603" s="1">
        <v>-2.845557E-5</v>
      </c>
      <c r="AA603">
        <v>0.99970250000000005</v>
      </c>
      <c r="AB603">
        <v>22</v>
      </c>
      <c r="AC603">
        <v>240.5121</v>
      </c>
      <c r="AD603">
        <v>9.5120939999999994</v>
      </c>
      <c r="AE603">
        <v>-7.4435000000000198</v>
      </c>
      <c r="AF603">
        <v>5.8633409858035996</v>
      </c>
      <c r="AG603">
        <v>9.5120939999999994</v>
      </c>
      <c r="AH603">
        <v>240.18026686400401</v>
      </c>
      <c r="AI603">
        <v>87.7327192543639</v>
      </c>
      <c r="AJ603">
        <v>88.601558803053393</v>
      </c>
      <c r="AK603">
        <v>240.44005342422599</v>
      </c>
      <c r="AL603">
        <v>84.173916595861101</v>
      </c>
      <c r="AM603">
        <v>97.2636202377209</v>
      </c>
      <c r="AN603">
        <v>1.0000000249702601</v>
      </c>
    </row>
    <row r="604" spans="1:40" x14ac:dyDescent="0.25">
      <c r="A604" t="str">
        <f>"20190304154737475"</f>
        <v>20190304154737475</v>
      </c>
      <c r="B604" t="str">
        <f>"1551685657467822"</f>
        <v>1551685657467822</v>
      </c>
      <c r="C604" t="s">
        <v>40</v>
      </c>
      <c r="D604">
        <v>4.1640759999999997</v>
      </c>
      <c r="E604">
        <v>0.55646099999999998</v>
      </c>
      <c r="F604" t="s">
        <v>43</v>
      </c>
      <c r="G604">
        <v>-168.84350000000001</v>
      </c>
      <c r="H604">
        <v>10.524839999999999</v>
      </c>
      <c r="I604">
        <v>358.9615</v>
      </c>
      <c r="J604">
        <v>-409.23849999999999</v>
      </c>
      <c r="K604">
        <v>1.0609230000000001</v>
      </c>
      <c r="L604">
        <v>366.42099999999999</v>
      </c>
      <c r="M604">
        <v>0.99988900000000003</v>
      </c>
      <c r="N604">
        <v>-1.3439980000000001E-2</v>
      </c>
      <c r="O604">
        <v>-6.4292330000000003E-3</v>
      </c>
      <c r="P604">
        <v>0.98895109999999997</v>
      </c>
      <c r="Q604">
        <v>8.8028239999999994E-2</v>
      </c>
      <c r="R604">
        <v>0.11927550000000001</v>
      </c>
      <c r="S604">
        <v>3.0342709999999999</v>
      </c>
      <c r="T604">
        <v>0.119396699999999</v>
      </c>
      <c r="U604">
        <v>-9.4116210000000006E-2</v>
      </c>
      <c r="V604">
        <v>-0.125655399999999</v>
      </c>
      <c r="W604">
        <v>0.1012716</v>
      </c>
      <c r="X604">
        <v>0.98689139999999997</v>
      </c>
      <c r="Y604">
        <v>2.4571909999999999E-2</v>
      </c>
      <c r="Z604" s="1">
        <v>-2.124044E-5</v>
      </c>
      <c r="AA604">
        <v>0.99969799999999998</v>
      </c>
      <c r="AB604">
        <v>22</v>
      </c>
      <c r="AC604">
        <v>240.39500000000001</v>
      </c>
      <c r="AD604">
        <v>9.4639170000000004</v>
      </c>
      <c r="AE604">
        <v>-7.4594999999999896</v>
      </c>
      <c r="AF604">
        <v>5.9045083837258803</v>
      </c>
      <c r="AG604">
        <v>9.4639170000000004</v>
      </c>
      <c r="AH604">
        <v>240.06628392959399</v>
      </c>
      <c r="AI604">
        <v>87.743130881299294</v>
      </c>
      <c r="AJ604">
        <v>88.591075710139407</v>
      </c>
      <c r="AK604">
        <v>240.32529959203401</v>
      </c>
      <c r="AL604">
        <v>84.187600012783804</v>
      </c>
      <c r="AM604">
        <v>97.256110579935395</v>
      </c>
      <c r="AN604">
        <v>0.999999925954837</v>
      </c>
    </row>
    <row r="605" spans="1:40" x14ac:dyDescent="0.25">
      <c r="A605" t="str">
        <f>"20190304154737488"</f>
        <v>20190304154737488</v>
      </c>
      <c r="B605" t="str">
        <f>"1551685657477581"</f>
        <v>1551685657477581</v>
      </c>
      <c r="C605" t="s">
        <v>40</v>
      </c>
      <c r="D605">
        <v>4.2036519999999999</v>
      </c>
      <c r="E605">
        <v>0.55642209999999903</v>
      </c>
      <c r="F605" t="s">
        <v>43</v>
      </c>
      <c r="G605">
        <v>-168.84350000000001</v>
      </c>
      <c r="H605">
        <v>10.4046</v>
      </c>
      <c r="I605">
        <v>359.0369</v>
      </c>
      <c r="J605">
        <v>-409.11430000000001</v>
      </c>
      <c r="K605">
        <v>1.0609189999999999</v>
      </c>
      <c r="L605">
        <v>366.4203</v>
      </c>
      <c r="M605">
        <v>0.9998901</v>
      </c>
      <c r="N605">
        <v>-1.341067E-2</v>
      </c>
      <c r="O605">
        <v>-6.3223489999999997E-3</v>
      </c>
      <c r="P605">
        <v>0.98891910000000005</v>
      </c>
      <c r="Q605">
        <v>8.8395479999999998E-2</v>
      </c>
      <c r="R605">
        <v>0.1192701</v>
      </c>
      <c r="S605">
        <v>3.0342410000000002</v>
      </c>
      <c r="T605">
        <v>0.117936</v>
      </c>
      <c r="U605">
        <v>-9.3200679999999994E-2</v>
      </c>
      <c r="V605">
        <v>-0.12554419999999999</v>
      </c>
      <c r="W605">
        <v>0.1016098</v>
      </c>
      <c r="X605">
        <v>0.9868709</v>
      </c>
      <c r="Y605">
        <v>2.4377880000000001E-2</v>
      </c>
      <c r="Z605" s="1">
        <v>-2.0386069999999999E-5</v>
      </c>
      <c r="AA605">
        <v>0.9997028</v>
      </c>
      <c r="AB605">
        <v>22</v>
      </c>
      <c r="AC605">
        <v>240.27080000000001</v>
      </c>
      <c r="AD605">
        <v>9.3436810000000001</v>
      </c>
      <c r="AE605">
        <v>-7.3833999999999902</v>
      </c>
      <c r="AF605">
        <v>5.8551935841499203</v>
      </c>
      <c r="AG605">
        <v>9.3436810000000001</v>
      </c>
      <c r="AH605">
        <v>239.950150667451</v>
      </c>
      <c r="AI605">
        <v>87.770686678901995</v>
      </c>
      <c r="AJ605">
        <v>88.602162501572494</v>
      </c>
      <c r="AK605">
        <v>240.20337731154001</v>
      </c>
      <c r="AL605">
        <v>84.168122744225599</v>
      </c>
      <c r="AM605">
        <v>97.249906557032503</v>
      </c>
      <c r="AN605">
        <v>1.0000000354382399</v>
      </c>
    </row>
    <row r="606" spans="1:40" x14ac:dyDescent="0.25">
      <c r="A606" t="str">
        <f>"20190304154737501"</f>
        <v>20190304154737501</v>
      </c>
      <c r="B606" t="str">
        <f>"1551685657497609"</f>
        <v>1551685657497609</v>
      </c>
      <c r="C606" t="s">
        <v>40</v>
      </c>
      <c r="D606">
        <v>4.1852</v>
      </c>
      <c r="E606">
        <v>0.5562975</v>
      </c>
      <c r="F606" t="s">
        <v>43</v>
      </c>
      <c r="G606">
        <v>-168.84350000000001</v>
      </c>
      <c r="H606">
        <v>10.452920000000001</v>
      </c>
      <c r="I606">
        <v>359.08089999999999</v>
      </c>
      <c r="J606">
        <v>-408.99259999999998</v>
      </c>
      <c r="K606">
        <v>1.060924</v>
      </c>
      <c r="L606">
        <v>366.4196</v>
      </c>
      <c r="M606">
        <v>0.99989119999999998</v>
      </c>
      <c r="N606">
        <v>-1.3382130000000001E-2</v>
      </c>
      <c r="O606">
        <v>-6.2171459999999998E-3</v>
      </c>
      <c r="P606">
        <v>0.98895869999999997</v>
      </c>
      <c r="Q606">
        <v>8.8107500000000005E-2</v>
      </c>
      <c r="R606">
        <v>0.11915530000000001</v>
      </c>
      <c r="S606">
        <v>3.0341490000000002</v>
      </c>
      <c r="T606">
        <v>0.1186036</v>
      </c>
      <c r="U606">
        <v>-9.2681879999999994E-2</v>
      </c>
      <c r="V606">
        <v>-0.1253262</v>
      </c>
      <c r="W606">
        <v>0.10129440000000001</v>
      </c>
      <c r="X606">
        <v>0.986931</v>
      </c>
      <c r="Y606">
        <v>2.431297E-2</v>
      </c>
      <c r="Z606" s="1">
        <v>-1.3877869999999999E-5</v>
      </c>
      <c r="AA606">
        <v>0.99970440000000005</v>
      </c>
      <c r="AB606">
        <v>22</v>
      </c>
      <c r="AC606">
        <v>240.1491</v>
      </c>
      <c r="AD606">
        <v>9.3919960000000007</v>
      </c>
      <c r="AE606">
        <v>-7.33870000000001</v>
      </c>
      <c r="AF606">
        <v>5.8364638957739396</v>
      </c>
      <c r="AG606">
        <v>9.3919960000000007</v>
      </c>
      <c r="AH606">
        <v>239.82361604688299</v>
      </c>
      <c r="AI606">
        <v>87.757986253586793</v>
      </c>
      <c r="AJ606">
        <v>88.605897289094798</v>
      </c>
      <c r="AK606">
        <v>240.07840534599001</v>
      </c>
      <c r="AL606">
        <v>84.186287379512194</v>
      </c>
      <c r="AM606">
        <v>97.237015071482205</v>
      </c>
      <c r="AN606">
        <v>1.0000000053194</v>
      </c>
    </row>
    <row r="607" spans="1:40" x14ac:dyDescent="0.25">
      <c r="A607" t="str">
        <f>"20190304154737519"</f>
        <v>20190304154737519</v>
      </c>
      <c r="B607" t="str">
        <f>"1551685657507369"</f>
        <v>1551685657507369</v>
      </c>
      <c r="C607" t="s">
        <v>40</v>
      </c>
      <c r="D607">
        <v>4.1692910000000003</v>
      </c>
      <c r="E607">
        <v>0.55619799999999997</v>
      </c>
      <c r="F607" t="s">
        <v>43</v>
      </c>
      <c r="G607">
        <v>-168.84350000000001</v>
      </c>
      <c r="H607">
        <v>10.292400000000001</v>
      </c>
      <c r="I607">
        <v>359.11079999999998</v>
      </c>
      <c r="J607">
        <v>-408.82479999999998</v>
      </c>
      <c r="K607">
        <v>1.0609170000000001</v>
      </c>
      <c r="L607">
        <v>366.4187</v>
      </c>
      <c r="M607">
        <v>0.99989260000000002</v>
      </c>
      <c r="N607">
        <v>-1.3342690000000001E-2</v>
      </c>
      <c r="O607">
        <v>-6.0719420000000003E-3</v>
      </c>
      <c r="P607">
        <v>0.98894269999999995</v>
      </c>
      <c r="Q607">
        <v>8.82743E-2</v>
      </c>
      <c r="R607">
        <v>0.1191638</v>
      </c>
      <c r="S607">
        <v>3.0342410000000002</v>
      </c>
      <c r="T607">
        <v>0.1166391</v>
      </c>
      <c r="U607">
        <v>-9.2346189999999995E-2</v>
      </c>
      <c r="V607">
        <v>-0.12519089999999999</v>
      </c>
      <c r="W607">
        <v>0.1014224</v>
      </c>
      <c r="X607">
        <v>0.98693500000000001</v>
      </c>
      <c r="Y607">
        <v>2.434679E-2</v>
      </c>
      <c r="Z607" s="1">
        <v>-9.0613030000000007E-6</v>
      </c>
      <c r="AA607">
        <v>0.99970360000000003</v>
      </c>
      <c r="AB607">
        <v>22</v>
      </c>
      <c r="AC607">
        <v>239.9813</v>
      </c>
      <c r="AD607">
        <v>9.2314830000000008</v>
      </c>
      <c r="AE607">
        <v>-7.3079000000000098</v>
      </c>
      <c r="AF607">
        <v>5.8418466192286402</v>
      </c>
      <c r="AG607">
        <v>9.2314830000000008</v>
      </c>
      <c r="AH607">
        <v>239.66693397966301</v>
      </c>
      <c r="AI607">
        <v>87.794827855850798</v>
      </c>
      <c r="AJ607">
        <v>88.603700202587206</v>
      </c>
      <c r="AK607">
        <v>239.91579083818999</v>
      </c>
      <c r="AL607">
        <v>84.178915403555294</v>
      </c>
      <c r="AM607">
        <v>97.229255827342897</v>
      </c>
      <c r="AN607">
        <v>0.99999997944478403</v>
      </c>
    </row>
    <row r="608" spans="1:40" x14ac:dyDescent="0.25">
      <c r="A608" t="str">
        <f>"20190304154737530"</f>
        <v>20190304154737530</v>
      </c>
      <c r="B608" t="str">
        <f>"1551685657527866"</f>
        <v>1551685657527866</v>
      </c>
      <c r="C608" t="s">
        <v>40</v>
      </c>
      <c r="D608">
        <v>4.1604799999999997</v>
      </c>
      <c r="E608">
        <v>0.55610729999999997</v>
      </c>
      <c r="F608" t="s">
        <v>43</v>
      </c>
      <c r="G608">
        <v>-168.84350000000001</v>
      </c>
      <c r="H608">
        <v>10.265510000000001</v>
      </c>
      <c r="I608">
        <v>359.17520000000002</v>
      </c>
      <c r="J608">
        <v>-408.70620000000002</v>
      </c>
      <c r="K608">
        <v>1.0609170000000001</v>
      </c>
      <c r="L608">
        <v>366.41809999999998</v>
      </c>
      <c r="M608">
        <v>0.9998937</v>
      </c>
      <c r="N608">
        <v>-1.331456E-2</v>
      </c>
      <c r="O608">
        <v>-5.9697250000000004E-3</v>
      </c>
      <c r="P608">
        <v>0.98899700000000001</v>
      </c>
      <c r="Q608">
        <v>8.8079710000000005E-2</v>
      </c>
      <c r="R608">
        <v>0.1188578</v>
      </c>
      <c r="S608">
        <v>3.0341800000000001</v>
      </c>
      <c r="T608">
        <v>0.11637840000000001</v>
      </c>
      <c r="U608">
        <v>-9.1583250000000005E-2</v>
      </c>
      <c r="V608">
        <v>-0.1247838</v>
      </c>
      <c r="W608">
        <v>0.101201399999999</v>
      </c>
      <c r="X608">
        <v>0.98700929999999998</v>
      </c>
      <c r="Y608">
        <v>2.419841E-2</v>
      </c>
      <c r="Z608" s="1">
        <v>-5.6429999999999898E-6</v>
      </c>
      <c r="AA608">
        <v>0.99970720000000002</v>
      </c>
      <c r="AB608">
        <v>22</v>
      </c>
      <c r="AC608">
        <v>239.86269999999999</v>
      </c>
      <c r="AD608">
        <v>9.2045929999999991</v>
      </c>
      <c r="AE608">
        <v>-7.2428999999999597</v>
      </c>
      <c r="AF608">
        <v>5.8021933475487204</v>
      </c>
      <c r="AG608">
        <v>9.2045929999999991</v>
      </c>
      <c r="AH608">
        <v>239.549229097899</v>
      </c>
      <c r="AI608">
        <v>87.800157381847797</v>
      </c>
      <c r="AJ608">
        <v>88.612493124585896</v>
      </c>
      <c r="AK608">
        <v>239.79621169096001</v>
      </c>
      <c r="AL608">
        <v>84.191643607843403</v>
      </c>
      <c r="AM608">
        <v>97.205458249587295</v>
      </c>
      <c r="AN608">
        <v>1.00000003919544</v>
      </c>
    </row>
    <row r="609" spans="1:40" x14ac:dyDescent="0.25">
      <c r="A609" t="str">
        <f>"20190304154737542"</f>
        <v>20190304154737542</v>
      </c>
      <c r="B609" t="str">
        <f>"1551685657537625"</f>
        <v>1551685657537625</v>
      </c>
      <c r="C609" t="s">
        <v>40</v>
      </c>
      <c r="D609">
        <v>4.1969830000000004</v>
      </c>
      <c r="E609">
        <v>0.55608380000000002</v>
      </c>
      <c r="F609" t="s">
        <v>43</v>
      </c>
      <c r="G609">
        <v>-168.84350000000001</v>
      </c>
      <c r="H609">
        <v>10.1271</v>
      </c>
      <c r="I609">
        <v>359.16609999999997</v>
      </c>
      <c r="J609">
        <v>-408.5994</v>
      </c>
      <c r="K609">
        <v>1.0609139999999999</v>
      </c>
      <c r="L609">
        <v>366.41759999999999</v>
      </c>
      <c r="M609">
        <v>0.99989459999999997</v>
      </c>
      <c r="N609">
        <v>-1.328973E-2</v>
      </c>
      <c r="O609">
        <v>-5.8782629999999999E-3</v>
      </c>
      <c r="P609">
        <v>0.98895140000000004</v>
      </c>
      <c r="Q609">
        <v>8.8300089999999998E-2</v>
      </c>
      <c r="R609">
        <v>0.11907230000000001</v>
      </c>
      <c r="S609">
        <v>3.0341800000000001</v>
      </c>
      <c r="T609">
        <v>0.1146852</v>
      </c>
      <c r="U609">
        <v>-9.1735839999999999E-2</v>
      </c>
      <c r="V609">
        <v>-0.1249074</v>
      </c>
      <c r="W609">
        <v>0.1013968</v>
      </c>
      <c r="X609">
        <v>0.98697360000000001</v>
      </c>
      <c r="Y609">
        <v>2.4340130000000001E-2</v>
      </c>
      <c r="Z609" s="1">
        <v>-2.2058379999999999E-6</v>
      </c>
      <c r="AA609">
        <v>0.99970369999999997</v>
      </c>
      <c r="AB609">
        <v>22</v>
      </c>
      <c r="AC609">
        <v>239.7559</v>
      </c>
      <c r="AD609">
        <v>9.0661860000000001</v>
      </c>
      <c r="AE609">
        <v>-7.2515000000000196</v>
      </c>
      <c r="AF609">
        <v>5.8335683608510598</v>
      </c>
      <c r="AG609">
        <v>9.0661860000000001</v>
      </c>
      <c r="AH609">
        <v>239.452303114926</v>
      </c>
      <c r="AI609">
        <v>87.832335216965802</v>
      </c>
      <c r="AJ609">
        <v>88.604428770624807</v>
      </c>
      <c r="AK609">
        <v>239.69487210920801</v>
      </c>
      <c r="AL609">
        <v>84.180390061945403</v>
      </c>
      <c r="AM609">
        <v>97.212778366153501</v>
      </c>
      <c r="AN609">
        <v>1.00000002836097</v>
      </c>
    </row>
    <row r="610" spans="1:40" x14ac:dyDescent="0.25">
      <c r="A610" t="str">
        <f>"20190304154737554"</f>
        <v>20190304154737554</v>
      </c>
      <c r="B610" t="str">
        <f>"1551685657547385"</f>
        <v>1551685657547385</v>
      </c>
      <c r="C610" t="s">
        <v>40</v>
      </c>
      <c r="D610">
        <v>4.2071480000000001</v>
      </c>
      <c r="E610">
        <v>0.55598040000000004</v>
      </c>
      <c r="F610" t="s">
        <v>43</v>
      </c>
      <c r="G610">
        <v>-168.84350000000001</v>
      </c>
      <c r="H610">
        <v>10.141870000000001</v>
      </c>
      <c r="I610">
        <v>359.2364</v>
      </c>
      <c r="J610">
        <v>-408.48809999999997</v>
      </c>
      <c r="K610">
        <v>1.0609109999999999</v>
      </c>
      <c r="L610">
        <v>366.4171</v>
      </c>
      <c r="M610">
        <v>0.99989530000000004</v>
      </c>
      <c r="N610">
        <v>-1.326418E-2</v>
      </c>
      <c r="O610">
        <v>-5.7832219999999898E-3</v>
      </c>
      <c r="P610">
        <v>0.98895719999999998</v>
      </c>
      <c r="Q610">
        <v>8.860854E-2</v>
      </c>
      <c r="R610">
        <v>0.11879579999999999</v>
      </c>
      <c r="S610">
        <v>3.0341800000000001</v>
      </c>
      <c r="T610">
        <v>0.1149231</v>
      </c>
      <c r="U610">
        <v>-9.088135E-2</v>
      </c>
      <c r="V610">
        <v>-0.1245372</v>
      </c>
      <c r="W610">
        <v>0.10168049999999999</v>
      </c>
      <c r="X610">
        <v>0.98699119999999996</v>
      </c>
      <c r="Y610">
        <v>2.415378E-2</v>
      </c>
      <c r="Z610" s="1">
        <v>1.315901E-6</v>
      </c>
      <c r="AA610">
        <v>0.99970820000000005</v>
      </c>
      <c r="AB610">
        <v>22</v>
      </c>
      <c r="AC610">
        <v>239.6446</v>
      </c>
      <c r="AD610">
        <v>9.0809589999999893</v>
      </c>
      <c r="AE610">
        <v>-7.1806999999999999</v>
      </c>
      <c r="AF610">
        <v>5.7862389528678397</v>
      </c>
      <c r="AG610">
        <v>9.0809589999999893</v>
      </c>
      <c r="AH610">
        <v>239.33876159950299</v>
      </c>
      <c r="AI610">
        <v>87.827767647503507</v>
      </c>
      <c r="AJ610">
        <v>88.615090586195393</v>
      </c>
      <c r="AK610">
        <v>239.58085729365499</v>
      </c>
      <c r="AL610">
        <v>84.164050832303502</v>
      </c>
      <c r="AM610">
        <v>97.191498414902995</v>
      </c>
      <c r="AN610">
        <v>1.0000000335707599</v>
      </c>
    </row>
    <row r="611" spans="1:40" x14ac:dyDescent="0.25">
      <c r="A611" t="str">
        <f>"20190304154737564"</f>
        <v>20190304154737564</v>
      </c>
      <c r="B611" t="str">
        <f>"1551685657557145"</f>
        <v>1551685657557145</v>
      </c>
      <c r="C611" t="s">
        <v>40</v>
      </c>
      <c r="D611">
        <v>4.1714690000000001</v>
      </c>
      <c r="E611">
        <v>0.55595109999999903</v>
      </c>
      <c r="F611" t="s">
        <v>43</v>
      </c>
      <c r="G611">
        <v>-168.84350000000001</v>
      </c>
      <c r="H611">
        <v>10.1439</v>
      </c>
      <c r="I611">
        <v>359.23910000000001</v>
      </c>
      <c r="J611">
        <v>-408.37540000000001</v>
      </c>
      <c r="K611">
        <v>1.060907</v>
      </c>
      <c r="L611">
        <v>366.41649999999998</v>
      </c>
      <c r="M611">
        <v>0.99989620000000001</v>
      </c>
      <c r="N611">
        <v>-1.323971E-2</v>
      </c>
      <c r="O611">
        <v>-5.6884350000000004E-3</v>
      </c>
      <c r="P611">
        <v>0.98895480000000002</v>
      </c>
      <c r="Q611">
        <v>8.8753879999999993E-2</v>
      </c>
      <c r="R611">
        <v>0.1187074</v>
      </c>
      <c r="S611">
        <v>3.0341490000000002</v>
      </c>
      <c r="T611">
        <v>0.11500109999999999</v>
      </c>
      <c r="U611">
        <v>-9.088135E-2</v>
      </c>
      <c r="V611">
        <v>-0.1243549</v>
      </c>
      <c r="W611">
        <v>0.1018024</v>
      </c>
      <c r="X611">
        <v>0.98700160000000003</v>
      </c>
      <c r="Y611">
        <v>2.424865E-2</v>
      </c>
      <c r="Z611" s="1">
        <v>7.9298040000000008E-6</v>
      </c>
      <c r="AA611">
        <v>0.99970599999999998</v>
      </c>
      <c r="AB611">
        <v>22</v>
      </c>
      <c r="AC611">
        <v>239.53190000000001</v>
      </c>
      <c r="AD611">
        <v>9.0829930000000001</v>
      </c>
      <c r="AE611">
        <v>-7.1773999999999702</v>
      </c>
      <c r="AF611">
        <v>5.8062614306798297</v>
      </c>
      <c r="AG611">
        <v>9.0829930000000001</v>
      </c>
      <c r="AH611">
        <v>239.22518027877399</v>
      </c>
      <c r="AI611">
        <v>87.826255977805403</v>
      </c>
      <c r="AJ611">
        <v>88.609640620900905</v>
      </c>
      <c r="AK611">
        <v>239.46795258040601</v>
      </c>
      <c r="AL611">
        <v>84.157029931116597</v>
      </c>
      <c r="AM611">
        <v>97.181006457506001</v>
      </c>
      <c r="AN611">
        <v>1.00000001410116</v>
      </c>
    </row>
    <row r="612" spans="1:40" x14ac:dyDescent="0.25">
      <c r="A612" t="str">
        <f>"20190304154737576"</f>
        <v>20190304154737576</v>
      </c>
      <c r="B612" t="str">
        <f>"1551685657567881"</f>
        <v>1551685657567881</v>
      </c>
      <c r="C612" t="s">
        <v>40</v>
      </c>
      <c r="D612">
        <v>4.2060129999999996</v>
      </c>
      <c r="E612">
        <v>0.55595109999999903</v>
      </c>
      <c r="F612" t="s">
        <v>43</v>
      </c>
      <c r="G612">
        <v>-168.84350000000001</v>
      </c>
      <c r="H612">
        <v>10.164619999999999</v>
      </c>
      <c r="I612">
        <v>359.26089999999999</v>
      </c>
      <c r="J612">
        <v>-408.27069999999998</v>
      </c>
      <c r="K612">
        <v>1.060905</v>
      </c>
      <c r="L612">
        <v>366.416</v>
      </c>
      <c r="M612">
        <v>0.99989709999999998</v>
      </c>
      <c r="N612">
        <v>-1.3217970000000001E-2</v>
      </c>
      <c r="O612">
        <v>-5.6018919999999998E-3</v>
      </c>
      <c r="P612">
        <v>0.98896490000000004</v>
      </c>
      <c r="Q612">
        <v>8.8816370000000006E-2</v>
      </c>
      <c r="R612">
        <v>0.11857769999999999</v>
      </c>
      <c r="S612">
        <v>3.034027</v>
      </c>
      <c r="T612">
        <v>0.1153131</v>
      </c>
      <c r="U612">
        <v>-9.0637209999999996E-2</v>
      </c>
      <c r="V612">
        <v>-0.12413929999999999</v>
      </c>
      <c r="W612">
        <v>0.1018442</v>
      </c>
      <c r="X612">
        <v>0.98702440000000002</v>
      </c>
      <c r="Y612">
        <v>2.4255829999999999E-2</v>
      </c>
      <c r="Z612" s="1">
        <v>1.3507500000000001E-5</v>
      </c>
      <c r="AA612">
        <v>0.99970579999999998</v>
      </c>
      <c r="AB612">
        <v>22</v>
      </c>
      <c r="AC612">
        <v>239.4272</v>
      </c>
      <c r="AD612">
        <v>9.1037149999999993</v>
      </c>
      <c r="AE612">
        <v>-7.1551</v>
      </c>
      <c r="AF612">
        <v>5.8052400364300896</v>
      </c>
      <c r="AG612">
        <v>9.1037149999999993</v>
      </c>
      <c r="AH612">
        <v>239.11813385399401</v>
      </c>
      <c r="AI612">
        <v>87.8203275047549</v>
      </c>
      <c r="AJ612">
        <v>88.609263035819794</v>
      </c>
      <c r="AK612">
        <v>239.36177718361401</v>
      </c>
      <c r="AL612">
        <v>84.154622293024403</v>
      </c>
      <c r="AM612">
        <v>97.168522169036095</v>
      </c>
      <c r="AN612">
        <v>0.99999998653674405</v>
      </c>
    </row>
    <row r="613" spans="1:40" x14ac:dyDescent="0.25">
      <c r="A613" t="str">
        <f>"20190304154737586"</f>
        <v>20190304154737586</v>
      </c>
      <c r="B613" t="str">
        <f>"1551685657577642"</f>
        <v>1551685657577642</v>
      </c>
      <c r="C613" t="s">
        <v>40</v>
      </c>
      <c r="D613">
        <v>4.2316669999999998</v>
      </c>
      <c r="E613">
        <v>0.57036960000000003</v>
      </c>
      <c r="F613" t="s">
        <v>43</v>
      </c>
      <c r="G613">
        <v>-168.84350000000001</v>
      </c>
      <c r="H613">
        <v>10.16906</v>
      </c>
      <c r="I613">
        <v>359.21780000000001</v>
      </c>
      <c r="J613">
        <v>-408.16250000000002</v>
      </c>
      <c r="K613">
        <v>1.0609010000000001</v>
      </c>
      <c r="L613">
        <v>366.41550000000001</v>
      </c>
      <c r="M613">
        <v>0.99989779999999995</v>
      </c>
      <c r="N613">
        <v>-1.319678E-2</v>
      </c>
      <c r="O613">
        <v>-5.5144039999999997E-3</v>
      </c>
      <c r="P613">
        <v>0.98898739999999996</v>
      </c>
      <c r="Q613">
        <v>8.8865609999999998E-2</v>
      </c>
      <c r="R613">
        <v>0.11835130000000001</v>
      </c>
      <c r="S613">
        <v>3.0340579999999999</v>
      </c>
      <c r="T613">
        <v>0.11542089999999899</v>
      </c>
      <c r="U613">
        <v>-9.1217039999999999E-2</v>
      </c>
      <c r="V613">
        <v>-0.1238259</v>
      </c>
      <c r="W613">
        <v>0.10187309999999999</v>
      </c>
      <c r="X613">
        <v>0.98706079999999996</v>
      </c>
      <c r="Y613">
        <v>2.4533599999999999E-2</v>
      </c>
      <c r="Z613" s="1">
        <v>2.2037940000000001E-5</v>
      </c>
      <c r="AA613">
        <v>0.999699</v>
      </c>
      <c r="AB613">
        <v>21</v>
      </c>
      <c r="AC613">
        <v>239.31899999999999</v>
      </c>
      <c r="AD613">
        <v>9.1081589999999899</v>
      </c>
      <c r="AE613">
        <v>-7.1976999999999904</v>
      </c>
      <c r="AF613">
        <v>5.86928033519228</v>
      </c>
      <c r="AG613">
        <v>9.1081589999999899</v>
      </c>
      <c r="AH613">
        <v>239.00917250427401</v>
      </c>
      <c r="AI613">
        <v>87.818286149474105</v>
      </c>
      <c r="AJ613">
        <v>88.5932865420734</v>
      </c>
      <c r="AK613">
        <v>239.25465837304</v>
      </c>
      <c r="AL613">
        <v>84.152957881087303</v>
      </c>
      <c r="AM613">
        <v>97.150351240065802</v>
      </c>
      <c r="AN613">
        <v>1.00000000245553</v>
      </c>
    </row>
    <row r="614" spans="1:40" x14ac:dyDescent="0.25">
      <c r="A614" t="str">
        <f>"20190304154737598"</f>
        <v>20190304154737598</v>
      </c>
      <c r="B614" t="str">
        <f>"1551685657587909"</f>
        <v>1551685657587909</v>
      </c>
      <c r="C614" t="s">
        <v>40</v>
      </c>
      <c r="D614">
        <v>4.2384890000000004</v>
      </c>
      <c r="E614">
        <v>0.57193680000000002</v>
      </c>
      <c r="F614" t="s">
        <v>42</v>
      </c>
      <c r="G614">
        <v>0</v>
      </c>
      <c r="H614">
        <v>0</v>
      </c>
      <c r="I614">
        <v>0</v>
      </c>
      <c r="J614">
        <v>-408.0573</v>
      </c>
      <c r="K614">
        <v>1.0608979999999999</v>
      </c>
      <c r="L614">
        <v>366.41500000000002</v>
      </c>
      <c r="M614">
        <v>0.99989859999999997</v>
      </c>
      <c r="N614">
        <v>-1.317745E-2</v>
      </c>
      <c r="O614">
        <v>-5.4309909999999996E-3</v>
      </c>
      <c r="P614">
        <v>0.98897449999999998</v>
      </c>
      <c r="Q614">
        <v>8.8954489999999997E-2</v>
      </c>
      <c r="R614">
        <v>0.1183926</v>
      </c>
      <c r="S614">
        <v>3.0418400000000001</v>
      </c>
      <c r="T614">
        <v>0.178978</v>
      </c>
      <c r="U614">
        <v>-0.20477290000000001</v>
      </c>
      <c r="V614">
        <v>-0.12378409999999999</v>
      </c>
      <c r="W614">
        <v>0.1019438</v>
      </c>
      <c r="X614">
        <v>0.98705880000000001</v>
      </c>
      <c r="Y614">
        <v>6.1678289999999997E-2</v>
      </c>
      <c r="Z614">
        <v>1.013477E-3</v>
      </c>
      <c r="AA614">
        <v>0.99809559999999997</v>
      </c>
      <c r="AB614">
        <v>21</v>
      </c>
      <c r="AC614">
        <v>3.0418400000000001</v>
      </c>
      <c r="AD614">
        <v>0.178978</v>
      </c>
      <c r="AE614">
        <v>-0.20477290000000001</v>
      </c>
      <c r="AF614">
        <v>0.18760169591966899</v>
      </c>
      <c r="AG614">
        <v>0.178978</v>
      </c>
      <c r="AH614">
        <v>3.03245635752035</v>
      </c>
      <c r="AI614">
        <v>86.628705960485206</v>
      </c>
      <c r="AJ614">
        <v>86.459931205293103</v>
      </c>
      <c r="AK614">
        <v>3.0435208363113802</v>
      </c>
      <c r="AL614">
        <v>84.1488861970942</v>
      </c>
      <c r="AM614">
        <v>97.147976795543102</v>
      </c>
      <c r="AN614">
        <v>1.00000005821434</v>
      </c>
    </row>
    <row r="615" spans="1:40" x14ac:dyDescent="0.25">
      <c r="A615" t="str">
        <f>"20190304154737609"</f>
        <v>20190304154737609</v>
      </c>
      <c r="B615" t="str">
        <f>"1551685657607428"</f>
        <v>1551685657607428</v>
      </c>
      <c r="C615" t="s">
        <v>40</v>
      </c>
      <c r="D615">
        <v>4.1925610000000004</v>
      </c>
      <c r="E615">
        <v>0.57417059999999998</v>
      </c>
      <c r="F615" t="s">
        <v>42</v>
      </c>
      <c r="G615">
        <v>0</v>
      </c>
      <c r="H615">
        <v>0</v>
      </c>
      <c r="I615">
        <v>0</v>
      </c>
      <c r="J615">
        <v>-407.94529999999997</v>
      </c>
      <c r="K615">
        <v>1.0608959999999901</v>
      </c>
      <c r="L615">
        <v>366.41449999999998</v>
      </c>
      <c r="M615">
        <v>0.99989919999999999</v>
      </c>
      <c r="N615">
        <v>-1.31576E-2</v>
      </c>
      <c r="O615">
        <v>-5.3432920000000004E-3</v>
      </c>
      <c r="P615">
        <v>0.98897889999999999</v>
      </c>
      <c r="Q615">
        <v>8.8858569999999998E-2</v>
      </c>
      <c r="R615">
        <v>0.1184272</v>
      </c>
      <c r="S615">
        <v>3.0450439999999999</v>
      </c>
      <c r="T615">
        <v>0.16087770000000001</v>
      </c>
      <c r="U615">
        <v>-0.21768190000000001</v>
      </c>
      <c r="V615">
        <v>-0.12373140000000001</v>
      </c>
      <c r="W615">
        <v>0.1018294</v>
      </c>
      <c r="X615">
        <v>0.98707719999999999</v>
      </c>
      <c r="Y615">
        <v>6.5917130000000004E-2</v>
      </c>
      <c r="Z615">
        <v>9.5151760000000002E-4</v>
      </c>
      <c r="AA615">
        <v>0.99782470000000001</v>
      </c>
      <c r="AB615">
        <v>21</v>
      </c>
      <c r="AC615">
        <v>3.0450439999999999</v>
      </c>
      <c r="AD615">
        <v>0.16087770000000001</v>
      </c>
      <c r="AE615">
        <v>-0.21768190000000001</v>
      </c>
      <c r="AF615">
        <v>0.20084904786543001</v>
      </c>
      <c r="AG615">
        <v>0.16087770000000001</v>
      </c>
      <c r="AH615">
        <v>3.0377277024792102</v>
      </c>
      <c r="AI615">
        <v>86.975046863148904</v>
      </c>
      <c r="AJ615">
        <v>86.217212828362406</v>
      </c>
      <c r="AK615">
        <v>3.0486081363132498</v>
      </c>
      <c r="AL615">
        <v>84.155475029807604</v>
      </c>
      <c r="AM615">
        <v>97.144833252883302</v>
      </c>
      <c r="AN615">
        <v>1.0000000424050699</v>
      </c>
    </row>
    <row r="616" spans="1:40" x14ac:dyDescent="0.25">
      <c r="A616" t="str">
        <f>"20190304154737628"</f>
        <v>20190304154737628</v>
      </c>
      <c r="B616" t="str">
        <f>"1551685657617192"</f>
        <v>1551685657617192</v>
      </c>
      <c r="C616" t="s">
        <v>40</v>
      </c>
      <c r="D616">
        <v>4.1674540000000002</v>
      </c>
      <c r="E616">
        <v>0.57458529999999997</v>
      </c>
      <c r="F616" t="s">
        <v>42</v>
      </c>
      <c r="G616">
        <v>0</v>
      </c>
      <c r="H616">
        <v>0</v>
      </c>
      <c r="I616">
        <v>0</v>
      </c>
      <c r="J616">
        <v>-407.77229999999997</v>
      </c>
      <c r="K616">
        <v>1.0608799999999901</v>
      </c>
      <c r="L616">
        <v>366.41379999999998</v>
      </c>
      <c r="M616">
        <v>0.99990029999999996</v>
      </c>
      <c r="N616">
        <v>-1.312967E-2</v>
      </c>
      <c r="O616">
        <v>-5.2133969999999998E-3</v>
      </c>
      <c r="P616">
        <v>0.9890603</v>
      </c>
      <c r="Q616">
        <v>8.8259870000000004E-2</v>
      </c>
      <c r="R616">
        <v>0.1181965</v>
      </c>
      <c r="S616">
        <v>3.0475159999999999</v>
      </c>
      <c r="T616">
        <v>0.1571121</v>
      </c>
      <c r="U616">
        <v>-0.23510739999999999</v>
      </c>
      <c r="V616">
        <v>-0.1233712</v>
      </c>
      <c r="W616">
        <v>0.10120609999999999</v>
      </c>
      <c r="X616">
        <v>0.98718629999999996</v>
      </c>
      <c r="Y616">
        <v>7.1659699999999896E-2</v>
      </c>
      <c r="Z616">
        <v>1.0353560000000001E-3</v>
      </c>
      <c r="AA616">
        <v>0.9974286</v>
      </c>
      <c r="AB616">
        <v>21</v>
      </c>
      <c r="AC616">
        <v>3.0475159999999999</v>
      </c>
      <c r="AD616">
        <v>0.1571121</v>
      </c>
      <c r="AE616">
        <v>-0.23510739999999999</v>
      </c>
      <c r="AF616">
        <v>0.218637262684787</v>
      </c>
      <c r="AG616">
        <v>0.1571121</v>
      </c>
      <c r="AH616">
        <v>3.0406666293945301</v>
      </c>
      <c r="AI616">
        <v>87.049744823210403</v>
      </c>
      <c r="AJ616">
        <v>85.887260440267994</v>
      </c>
      <c r="AK616">
        <v>3.0525628602396</v>
      </c>
      <c r="AL616">
        <v>84.191372462189904</v>
      </c>
      <c r="AM616">
        <v>97.123468386097201</v>
      </c>
      <c r="AN616">
        <v>0.999999959287169</v>
      </c>
    </row>
    <row r="617" spans="1:40" x14ac:dyDescent="0.25">
      <c r="A617" t="str">
        <f>"20190304154737639"</f>
        <v>20190304154737639</v>
      </c>
      <c r="B617" t="str">
        <f>"1551685657637685"</f>
        <v>1551685657637685</v>
      </c>
      <c r="C617" t="s">
        <v>40</v>
      </c>
      <c r="D617">
        <v>4.140574</v>
      </c>
      <c r="E617">
        <v>0.57541249999999999</v>
      </c>
      <c r="F617" t="s">
        <v>42</v>
      </c>
      <c r="G617">
        <v>0</v>
      </c>
      <c r="H617">
        <v>0</v>
      </c>
      <c r="I617">
        <v>0</v>
      </c>
      <c r="J617">
        <v>-407.66129999999998</v>
      </c>
      <c r="K617">
        <v>1.0608759999999999</v>
      </c>
      <c r="L617">
        <v>366.41329999999999</v>
      </c>
      <c r="M617">
        <v>0.99990089999999998</v>
      </c>
      <c r="N617">
        <v>-1.311302E-2</v>
      </c>
      <c r="O617">
        <v>-5.1348069999999999E-3</v>
      </c>
      <c r="P617">
        <v>0.98909340000000001</v>
      </c>
      <c r="Q617">
        <v>8.7789480000000003E-2</v>
      </c>
      <c r="R617">
        <v>0.11826830000000001</v>
      </c>
      <c r="S617">
        <v>3.0482480000000001</v>
      </c>
      <c r="T617">
        <v>0.15122749999999999</v>
      </c>
      <c r="U617">
        <v>-0.2389221</v>
      </c>
      <c r="V617">
        <v>-0.1233641</v>
      </c>
      <c r="W617">
        <v>0.1007213</v>
      </c>
      <c r="X617">
        <v>0.98723680000000003</v>
      </c>
      <c r="Y617">
        <v>7.296445E-2</v>
      </c>
      <c r="Z617">
        <v>1.0053239999999999E-3</v>
      </c>
      <c r="AA617">
        <v>0.9973341</v>
      </c>
      <c r="AB617">
        <v>21</v>
      </c>
      <c r="AC617">
        <v>3.0482480000000001</v>
      </c>
      <c r="AD617">
        <v>0.15122749999999999</v>
      </c>
      <c r="AE617">
        <v>-0.2389221</v>
      </c>
      <c r="AF617">
        <v>0.222720609096728</v>
      </c>
      <c r="AG617">
        <v>0.15122749999999999</v>
      </c>
      <c r="AH617">
        <v>3.0419932521123298</v>
      </c>
      <c r="AI617">
        <v>87.161566230710505</v>
      </c>
      <c r="AJ617">
        <v>85.812540899231706</v>
      </c>
      <c r="AK617">
        <v>3.0538823114798701</v>
      </c>
      <c r="AL617">
        <v>84.2192923041451</v>
      </c>
      <c r="AM617">
        <v>97.122702019728607</v>
      </c>
      <c r="AN617">
        <v>0.99999999035836995</v>
      </c>
    </row>
    <row r="618" spans="1:40" x14ac:dyDescent="0.25">
      <c r="A618" t="str">
        <f>"20190304154737650"</f>
        <v>20190304154737650</v>
      </c>
      <c r="B618" t="str">
        <f>"1551685657647446"</f>
        <v>1551685657647446</v>
      </c>
      <c r="C618" t="s">
        <v>40</v>
      </c>
      <c r="D618">
        <v>4.2051299999999996</v>
      </c>
      <c r="E618">
        <v>0.57521869999999997</v>
      </c>
      <c r="F618" t="s">
        <v>42</v>
      </c>
      <c r="G618">
        <v>0</v>
      </c>
      <c r="H618">
        <v>0</v>
      </c>
      <c r="I618">
        <v>0</v>
      </c>
      <c r="J618">
        <v>-407.55849999999998</v>
      </c>
      <c r="K618">
        <v>1.06087</v>
      </c>
      <c r="L618">
        <v>366.4128</v>
      </c>
      <c r="M618">
        <v>0.9999015</v>
      </c>
      <c r="N618">
        <v>-1.309802E-2</v>
      </c>
      <c r="O618">
        <v>-5.0638549999999999E-3</v>
      </c>
      <c r="P618">
        <v>0.98909979999999997</v>
      </c>
      <c r="Q618">
        <v>8.7652220000000003E-2</v>
      </c>
      <c r="R618">
        <v>0.1183168</v>
      </c>
      <c r="S618">
        <v>3.049347</v>
      </c>
      <c r="T618">
        <v>0.14747270000000001</v>
      </c>
      <c r="U618">
        <v>-0.24539179999999999</v>
      </c>
      <c r="V618">
        <v>-0.12334150000000001</v>
      </c>
      <c r="W618">
        <v>0.10057140000000001</v>
      </c>
      <c r="X618">
        <v>0.98725490000000005</v>
      </c>
      <c r="Y618">
        <v>7.5111300000000006E-2</v>
      </c>
      <c r="Z618">
        <v>1.0088320000000001E-3</v>
      </c>
      <c r="AA618">
        <v>0.99717460000000002</v>
      </c>
      <c r="AB618">
        <v>21</v>
      </c>
      <c r="AC618">
        <v>3.049347</v>
      </c>
      <c r="AD618">
        <v>0.14747270000000001</v>
      </c>
      <c r="AE618">
        <v>-0.24539179999999999</v>
      </c>
      <c r="AF618">
        <v>0.22941276058746601</v>
      </c>
      <c r="AG618">
        <v>0.14747270000000001</v>
      </c>
      <c r="AH618">
        <v>3.0434780765188201</v>
      </c>
      <c r="AI618">
        <v>87.233720031872394</v>
      </c>
      <c r="AJ618">
        <v>85.689283098338095</v>
      </c>
      <c r="AK618">
        <v>3.05567295603052</v>
      </c>
      <c r="AL618">
        <v>84.227924743071</v>
      </c>
      <c r="AM618">
        <v>97.1212813356683</v>
      </c>
      <c r="AN618">
        <v>0.99999998484710995</v>
      </c>
    </row>
    <row r="619" spans="1:40" x14ac:dyDescent="0.25">
      <c r="A619" t="str">
        <f>"20190304154737662"</f>
        <v>20190304154737662</v>
      </c>
      <c r="B619" t="str">
        <f>"1551685657657206"</f>
        <v>1551685657657206</v>
      </c>
      <c r="C619" t="s">
        <v>40</v>
      </c>
      <c r="D619">
        <v>4.2046159999999997</v>
      </c>
      <c r="E619">
        <v>0.57514049999999906</v>
      </c>
      <c r="F619" t="s">
        <v>42</v>
      </c>
      <c r="G619">
        <v>0</v>
      </c>
      <c r="H619">
        <v>0</v>
      </c>
      <c r="I619">
        <v>0</v>
      </c>
      <c r="J619">
        <v>-407.45359999999999</v>
      </c>
      <c r="K619">
        <v>1.0608690000000001</v>
      </c>
      <c r="L619">
        <v>366.41239999999999</v>
      </c>
      <c r="M619">
        <v>0.99990199999999996</v>
      </c>
      <c r="N619">
        <v>-1.3084200000000001E-2</v>
      </c>
      <c r="O619">
        <v>-4.9973320000000002E-3</v>
      </c>
      <c r="P619">
        <v>0.98908280000000004</v>
      </c>
      <c r="Q619">
        <v>8.7562570000000006E-2</v>
      </c>
      <c r="R619">
        <v>0.1185253</v>
      </c>
      <c r="S619">
        <v>3.0495000000000001</v>
      </c>
      <c r="T619">
        <v>0.14368520000000001</v>
      </c>
      <c r="U619">
        <v>-0.24398800000000001</v>
      </c>
      <c r="V619">
        <v>-0.1234831</v>
      </c>
      <c r="W619">
        <v>0.1004689</v>
      </c>
      <c r="X619">
        <v>0.9872476</v>
      </c>
      <c r="Y619">
        <v>7.4721140000000005E-2</v>
      </c>
      <c r="Z619">
        <v>9.6654960000000002E-4</v>
      </c>
      <c r="AA619">
        <v>0.99720399999999998</v>
      </c>
      <c r="AB619">
        <v>21</v>
      </c>
      <c r="AC619">
        <v>3.0495000000000001</v>
      </c>
      <c r="AD619">
        <v>0.14368520000000001</v>
      </c>
      <c r="AE619">
        <v>-0.24398800000000001</v>
      </c>
      <c r="AF619">
        <v>0.22824079802734501</v>
      </c>
      <c r="AG619">
        <v>0.14368520000000001</v>
      </c>
      <c r="AH619">
        <v>3.0439664726257201</v>
      </c>
      <c r="AI619">
        <v>87.305011413883705</v>
      </c>
      <c r="AJ619">
        <v>85.711907716656398</v>
      </c>
      <c r="AK619">
        <v>3.0558912259850901</v>
      </c>
      <c r="AL619">
        <v>84.233827254786505</v>
      </c>
      <c r="AM619">
        <v>97.129424890221202</v>
      </c>
      <c r="AN619">
        <v>0.99999994977928797</v>
      </c>
    </row>
    <row r="620" spans="1:40" x14ac:dyDescent="0.25">
      <c r="A620" t="str">
        <f>"20190304154737675"</f>
        <v>20190304154737675</v>
      </c>
      <c r="B620" t="str">
        <f>"1551685657667941"</f>
        <v>1551685657667941</v>
      </c>
      <c r="C620" t="s">
        <v>40</v>
      </c>
      <c r="D620">
        <v>4.1779599999999997</v>
      </c>
      <c r="E620">
        <v>0.57531790000000005</v>
      </c>
      <c r="F620" t="s">
        <v>42</v>
      </c>
      <c r="G620">
        <v>0</v>
      </c>
      <c r="H620">
        <v>0</v>
      </c>
      <c r="I620">
        <v>0</v>
      </c>
      <c r="J620">
        <v>-407.32150000000001</v>
      </c>
      <c r="K620">
        <v>1.0608610000000001</v>
      </c>
      <c r="L620">
        <v>366.41180000000003</v>
      </c>
      <c r="M620">
        <v>0.99990250000000003</v>
      </c>
      <c r="N620">
        <v>-1.3067459999999999E-2</v>
      </c>
      <c r="O620">
        <v>-4.9169879999999997E-3</v>
      </c>
      <c r="P620">
        <v>0.98907769999999995</v>
      </c>
      <c r="Q620">
        <v>8.7384509999999999E-2</v>
      </c>
      <c r="R620">
        <v>0.1186994</v>
      </c>
      <c r="S620">
        <v>3.0498660000000002</v>
      </c>
      <c r="T620">
        <v>0.13977020000000001</v>
      </c>
      <c r="U620">
        <v>-0.24279790000000001</v>
      </c>
      <c r="V620">
        <v>-0.1235759</v>
      </c>
      <c r="W620">
        <v>0.1002768</v>
      </c>
      <c r="X620">
        <v>0.98725560000000001</v>
      </c>
      <c r="Y620">
        <v>7.4408550000000004E-2</v>
      </c>
      <c r="Z620">
        <v>9.2532650000000003E-4</v>
      </c>
      <c r="AA620">
        <v>0.99722739999999999</v>
      </c>
      <c r="AB620">
        <v>21</v>
      </c>
      <c r="AC620">
        <v>3.0498660000000002</v>
      </c>
      <c r="AD620">
        <v>0.13977020000000001</v>
      </c>
      <c r="AE620">
        <v>-0.24279790000000001</v>
      </c>
      <c r="AF620">
        <v>0.22732310404308501</v>
      </c>
      <c r="AG620">
        <v>0.13977020000000001</v>
      </c>
      <c r="AH620">
        <v>3.0446688163034401</v>
      </c>
      <c r="AI620">
        <v>87.378879914358194</v>
      </c>
      <c r="AJ620">
        <v>85.730066611934106</v>
      </c>
      <c r="AK620">
        <v>3.0563409010466098</v>
      </c>
      <c r="AL620">
        <v>84.244890102368103</v>
      </c>
      <c r="AM620">
        <v>97.134670379895397</v>
      </c>
      <c r="AN620">
        <v>1.0000000297052001</v>
      </c>
    </row>
    <row r="621" spans="1:40" x14ac:dyDescent="0.25">
      <c r="A621" t="str">
        <f>"20190304154737688"</f>
        <v>20190304154737688</v>
      </c>
      <c r="B621" t="str">
        <f>"1551685657677701"</f>
        <v>1551685657677701</v>
      </c>
      <c r="C621" t="s">
        <v>40</v>
      </c>
      <c r="D621">
        <v>4.1667009999999998</v>
      </c>
      <c r="E621">
        <v>0.57543699999999998</v>
      </c>
      <c r="F621" t="s">
        <v>42</v>
      </c>
      <c r="G621">
        <v>0</v>
      </c>
      <c r="H621">
        <v>0</v>
      </c>
      <c r="I621">
        <v>0</v>
      </c>
      <c r="J621">
        <v>-407.19630000000001</v>
      </c>
      <c r="K621">
        <v>1.0608519999999999</v>
      </c>
      <c r="L621">
        <v>366.41129999999998</v>
      </c>
      <c r="M621">
        <v>0.99990310000000004</v>
      </c>
      <c r="N621">
        <v>-1.305284E-2</v>
      </c>
      <c r="O621">
        <v>-4.8476259999999998E-3</v>
      </c>
      <c r="P621">
        <v>0.98902639999999997</v>
      </c>
      <c r="Q621">
        <v>8.7435330000000006E-2</v>
      </c>
      <c r="R621">
        <v>0.1190879</v>
      </c>
      <c r="S621">
        <v>3.0500180000000001</v>
      </c>
      <c r="T621">
        <v>0.1394986</v>
      </c>
      <c r="U621">
        <v>-0.24359130000000001</v>
      </c>
      <c r="V621">
        <v>-0.12389360000000001</v>
      </c>
      <c r="W621">
        <v>0.10031420000000001</v>
      </c>
      <c r="X621">
        <v>0.98721190000000003</v>
      </c>
      <c r="Y621">
        <v>7.4731420000000007E-2</v>
      </c>
      <c r="Z621">
        <v>9.3231E-4</v>
      </c>
      <c r="AA621">
        <v>0.99720330000000001</v>
      </c>
      <c r="AB621">
        <v>21</v>
      </c>
      <c r="AC621">
        <v>3.0500180000000001</v>
      </c>
      <c r="AD621">
        <v>0.1394986</v>
      </c>
      <c r="AE621">
        <v>-0.24359130000000001</v>
      </c>
      <c r="AF621">
        <v>0.22832722789850901</v>
      </c>
      <c r="AG621">
        <v>0.1394986</v>
      </c>
      <c r="AH621">
        <v>3.0448340665847899</v>
      </c>
      <c r="AI621">
        <v>87.384171258738803</v>
      </c>
      <c r="AJ621">
        <v>85.711507716519705</v>
      </c>
      <c r="AK621">
        <v>3.0565679569473101</v>
      </c>
      <c r="AL621">
        <v>84.242735915336695</v>
      </c>
      <c r="AM621">
        <v>97.153136431079702</v>
      </c>
      <c r="AN621">
        <v>0.999999949172103</v>
      </c>
    </row>
    <row r="622" spans="1:40" x14ac:dyDescent="0.25">
      <c r="A622" t="str">
        <f>"20190304154737701"</f>
        <v>20190304154737701</v>
      </c>
      <c r="B622" t="str">
        <f>"1551685657697221"</f>
        <v>1551685657697221</v>
      </c>
      <c r="C622" t="s">
        <v>40</v>
      </c>
      <c r="D622">
        <v>4.225441</v>
      </c>
      <c r="E622">
        <v>0.57589109999999999</v>
      </c>
      <c r="F622" t="s">
        <v>42</v>
      </c>
      <c r="G622">
        <v>0</v>
      </c>
      <c r="H622">
        <v>0</v>
      </c>
      <c r="I622">
        <v>0</v>
      </c>
      <c r="J622">
        <v>-407.0849</v>
      </c>
      <c r="K622">
        <v>1.060848</v>
      </c>
      <c r="L622">
        <v>366.41079999999999</v>
      </c>
      <c r="M622">
        <v>0.9999036</v>
      </c>
      <c r="N622">
        <v>-1.304087E-2</v>
      </c>
      <c r="O622">
        <v>-4.7919770000000002E-3</v>
      </c>
      <c r="P622">
        <v>0.98898450000000004</v>
      </c>
      <c r="Q622">
        <v>8.7448970000000001E-2</v>
      </c>
      <c r="R622">
        <v>0.1194269</v>
      </c>
      <c r="S622">
        <v>3.050354</v>
      </c>
      <c r="T622">
        <v>0.13874879999999901</v>
      </c>
      <c r="U622">
        <v>-0.24328610000000001</v>
      </c>
      <c r="V622">
        <v>-0.12417599999999999</v>
      </c>
      <c r="W622">
        <v>0.10031760000000001</v>
      </c>
      <c r="X622">
        <v>0.9871761</v>
      </c>
      <c r="Y622">
        <v>7.4679629999999997E-2</v>
      </c>
      <c r="Z622">
        <v>9.2710739999999996E-4</v>
      </c>
      <c r="AA622">
        <v>0.99720719999999996</v>
      </c>
      <c r="AB622">
        <v>21</v>
      </c>
      <c r="AC622">
        <v>3.050354</v>
      </c>
      <c r="AD622">
        <v>0.13874879999999901</v>
      </c>
      <c r="AE622">
        <v>-0.24328610000000001</v>
      </c>
      <c r="AF622">
        <v>0.22819568880764299</v>
      </c>
      <c r="AG622">
        <v>0.13874879999999901</v>
      </c>
      <c r="AH622">
        <v>3.0452241842142498</v>
      </c>
      <c r="AI622">
        <v>87.398534499257394</v>
      </c>
      <c r="AJ622">
        <v>85.714516132901196</v>
      </c>
      <c r="AK622">
        <v>3.0569126310732502</v>
      </c>
      <c r="AL622">
        <v>84.242540277748702</v>
      </c>
      <c r="AM622">
        <v>97.169528936552993</v>
      </c>
      <c r="AN622">
        <v>0.99999997612848401</v>
      </c>
    </row>
    <row r="623" spans="1:40" x14ac:dyDescent="0.25">
      <c r="A623" t="str">
        <f>"20190304154737719"</f>
        <v>20190304154737719</v>
      </c>
      <c r="B623" t="str">
        <f>"1551685657707956"</f>
        <v>1551685657707956</v>
      </c>
      <c r="C623" t="s">
        <v>40</v>
      </c>
      <c r="D623">
        <v>4.1296650000000001</v>
      </c>
      <c r="E623">
        <v>0.575928</v>
      </c>
      <c r="F623" t="s">
        <v>42</v>
      </c>
      <c r="G623">
        <v>0</v>
      </c>
      <c r="H623">
        <v>0</v>
      </c>
      <c r="I623">
        <v>0</v>
      </c>
      <c r="J623">
        <v>-406.9033</v>
      </c>
      <c r="K623">
        <v>1.0608379999999999</v>
      </c>
      <c r="L623">
        <v>366.41</v>
      </c>
      <c r="M623">
        <v>0.99990420000000002</v>
      </c>
      <c r="N623">
        <v>-1.3022789999999999E-2</v>
      </c>
      <c r="O623">
        <v>-4.7101259999999898E-3</v>
      </c>
      <c r="P623">
        <v>0.98887190000000003</v>
      </c>
      <c r="Q623">
        <v>8.7709209999999996E-2</v>
      </c>
      <c r="R623">
        <v>0.1201648</v>
      </c>
      <c r="S623">
        <v>3.0505070000000001</v>
      </c>
      <c r="T623">
        <v>0.1418344</v>
      </c>
      <c r="U623">
        <v>-0.24575810000000001</v>
      </c>
      <c r="V623">
        <v>-0.1248301</v>
      </c>
      <c r="W623">
        <v>0.1005619</v>
      </c>
      <c r="X623">
        <v>0.98706879999999997</v>
      </c>
      <c r="Y623">
        <v>7.5556689999999996E-2</v>
      </c>
      <c r="Z623">
        <v>9.8002950000000005E-4</v>
      </c>
      <c r="AA623">
        <v>0.99714100000000006</v>
      </c>
      <c r="AB623">
        <v>21</v>
      </c>
      <c r="AC623">
        <v>3.0505070000000001</v>
      </c>
      <c r="AD623">
        <v>0.1418344</v>
      </c>
      <c r="AE623">
        <v>-0.24575810000000001</v>
      </c>
      <c r="AF623">
        <v>0.230889960597046</v>
      </c>
      <c r="AG623">
        <v>0.1418344</v>
      </c>
      <c r="AH623">
        <v>3.0450903252777599</v>
      </c>
      <c r="AI623">
        <v>87.340823332198596</v>
      </c>
      <c r="AJ623">
        <v>85.663920038621796</v>
      </c>
      <c r="AK623">
        <v>3.0571232000081499</v>
      </c>
      <c r="AL623">
        <v>84.228472104022501</v>
      </c>
      <c r="AM623">
        <v>97.207673729455806</v>
      </c>
      <c r="AN623">
        <v>1.0000000327655201</v>
      </c>
    </row>
    <row r="624" spans="1:40" x14ac:dyDescent="0.25">
      <c r="A624" t="str">
        <f>"20190304154737740"</f>
        <v>20190304154737740</v>
      </c>
      <c r="B624" t="str">
        <f>"1551685657737237"</f>
        <v>1551685657737237</v>
      </c>
      <c r="C624" t="s">
        <v>40</v>
      </c>
      <c r="D624">
        <v>4.1049689999999996</v>
      </c>
      <c r="E624">
        <v>0.57636999999999905</v>
      </c>
      <c r="F624" t="s">
        <v>42</v>
      </c>
      <c r="G624">
        <v>0</v>
      </c>
      <c r="H624">
        <v>0</v>
      </c>
      <c r="I624">
        <v>0</v>
      </c>
      <c r="J624">
        <v>-406.70569999999998</v>
      </c>
      <c r="K624">
        <v>1.0608229999999901</v>
      </c>
      <c r="L624">
        <v>366.4092</v>
      </c>
      <c r="M624">
        <v>0.99990469999999998</v>
      </c>
      <c r="N624">
        <v>-1.300519E-2</v>
      </c>
      <c r="O624">
        <v>-4.6359169999999998E-3</v>
      </c>
      <c r="P624">
        <v>0.98876969999999997</v>
      </c>
      <c r="Q624">
        <v>8.7744580000000003E-2</v>
      </c>
      <c r="R624">
        <v>0.120977399999999</v>
      </c>
      <c r="S624">
        <v>3.0508120000000001</v>
      </c>
      <c r="T624">
        <v>0.14183780000000001</v>
      </c>
      <c r="U624">
        <v>-0.243866</v>
      </c>
      <c r="V624">
        <v>-0.12556639999999999</v>
      </c>
      <c r="W624">
        <v>0.1005813</v>
      </c>
      <c r="X624">
        <v>0.9869734</v>
      </c>
      <c r="Y624">
        <v>7.5008489999999997E-2</v>
      </c>
      <c r="Z624">
        <v>9.759724E-4</v>
      </c>
      <c r="AA624">
        <v>0.99718240000000002</v>
      </c>
      <c r="AB624">
        <v>21</v>
      </c>
      <c r="AC624">
        <v>3.0508120000000001</v>
      </c>
      <c r="AD624">
        <v>0.14183780000000001</v>
      </c>
      <c r="AE624">
        <v>-0.243866</v>
      </c>
      <c r="AF624">
        <v>0.229226546841302</v>
      </c>
      <c r="AG624">
        <v>0.14183780000000001</v>
      </c>
      <c r="AH624">
        <v>3.045369108714</v>
      </c>
      <c r="AI624">
        <v>87.340892435385101</v>
      </c>
      <c r="AJ624">
        <v>85.695433456708997</v>
      </c>
      <c r="AK624">
        <v>3.0572758756113401</v>
      </c>
      <c r="AL624">
        <v>84.227354743669594</v>
      </c>
      <c r="AM624">
        <v>97.250429873984103</v>
      </c>
      <c r="AN624">
        <v>1.0000000055131</v>
      </c>
    </row>
    <row r="625" spans="1:40" x14ac:dyDescent="0.25">
      <c r="A625" t="str">
        <f>"20190304154737749"</f>
        <v>20190304154737749</v>
      </c>
      <c r="B625" t="str">
        <f>"1551685657747974"</f>
        <v>1551685657747974</v>
      </c>
      <c r="C625" t="s">
        <v>40</v>
      </c>
      <c r="D625">
        <v>4.0877129999999999</v>
      </c>
      <c r="E625">
        <v>0.57674599999999998</v>
      </c>
      <c r="F625" t="s">
        <v>42</v>
      </c>
      <c r="G625">
        <v>0</v>
      </c>
      <c r="H625">
        <v>0</v>
      </c>
      <c r="I625">
        <v>0</v>
      </c>
      <c r="J625">
        <v>-406.6028</v>
      </c>
      <c r="K625">
        <v>1.0608169999999999</v>
      </c>
      <c r="L625">
        <v>366.40879999999999</v>
      </c>
      <c r="M625">
        <v>0.99990500000000004</v>
      </c>
      <c r="N625">
        <v>-1.2996550000000001E-2</v>
      </c>
      <c r="O625">
        <v>-4.6012589999999999E-3</v>
      </c>
      <c r="P625">
        <v>0.98869479999999998</v>
      </c>
      <c r="Q625">
        <v>8.8230130000000004E-2</v>
      </c>
      <c r="R625">
        <v>0.1212356</v>
      </c>
      <c r="S625">
        <v>3.0513309999999998</v>
      </c>
      <c r="T625">
        <v>0.1429724</v>
      </c>
      <c r="U625">
        <v>-0.24478150000000001</v>
      </c>
      <c r="V625">
        <v>-0.1257885</v>
      </c>
      <c r="W625">
        <v>0.1010595</v>
      </c>
      <c r="X625">
        <v>0.98689629999999995</v>
      </c>
      <c r="Y625">
        <v>7.5325569999999994E-2</v>
      </c>
      <c r="Z625">
        <v>9.9565169999999998E-4</v>
      </c>
      <c r="AA625">
        <v>0.99715849999999995</v>
      </c>
      <c r="AB625">
        <v>21</v>
      </c>
      <c r="AC625">
        <v>3.0513309999999998</v>
      </c>
      <c r="AD625">
        <v>0.1429724</v>
      </c>
      <c r="AE625">
        <v>-0.24478150000000001</v>
      </c>
      <c r="AF625">
        <v>0.23023551784836699</v>
      </c>
      <c r="AG625">
        <v>0.1429724</v>
      </c>
      <c r="AH625">
        <v>3.0457809557429298</v>
      </c>
      <c r="AI625">
        <v>87.320078744626997</v>
      </c>
      <c r="AJ625">
        <v>85.677140415999204</v>
      </c>
      <c r="AK625">
        <v>3.0578147640442501</v>
      </c>
      <c r="AL625">
        <v>84.199815769626994</v>
      </c>
      <c r="AM625">
        <v>97.263678861158695</v>
      </c>
      <c r="AN625">
        <v>1.00000003811309</v>
      </c>
    </row>
    <row r="626" spans="1:40" x14ac:dyDescent="0.25">
      <c r="A626" t="str">
        <f>"20190304154737762"</f>
        <v>20190304154737762</v>
      </c>
      <c r="B626" t="str">
        <f>"1551685657757734"</f>
        <v>1551685657757734</v>
      </c>
      <c r="C626" t="s">
        <v>40</v>
      </c>
      <c r="D626">
        <v>4.0555729999999999</v>
      </c>
      <c r="E626">
        <v>0.57711169999999901</v>
      </c>
      <c r="F626" t="s">
        <v>42</v>
      </c>
      <c r="G626">
        <v>0</v>
      </c>
      <c r="H626">
        <v>0</v>
      </c>
      <c r="I626">
        <v>0</v>
      </c>
      <c r="J626">
        <v>-406.49059999999997</v>
      </c>
      <c r="K626">
        <v>1.0608089999999999</v>
      </c>
      <c r="L626">
        <v>366.4083</v>
      </c>
      <c r="M626">
        <v>0.9999053</v>
      </c>
      <c r="N626">
        <v>-1.29861E-2</v>
      </c>
      <c r="O626">
        <v>-4.5696859999999999E-3</v>
      </c>
      <c r="P626">
        <v>0.9886876</v>
      </c>
      <c r="Q626">
        <v>8.827902E-2</v>
      </c>
      <c r="R626">
        <v>0.1212593</v>
      </c>
      <c r="S626">
        <v>3.0515439999999998</v>
      </c>
      <c r="T626">
        <v>0.1460774</v>
      </c>
      <c r="U626">
        <v>-0.2468262</v>
      </c>
      <c r="V626">
        <v>-0.12578</v>
      </c>
      <c r="W626">
        <v>0.10109940000000001</v>
      </c>
      <c r="X626">
        <v>0.98689320000000003</v>
      </c>
      <c r="Y626">
        <v>7.6011839999999997E-2</v>
      </c>
      <c r="Z626">
        <v>1.0432970000000001E-3</v>
      </c>
      <c r="AA626">
        <v>0.99710639999999995</v>
      </c>
      <c r="AB626">
        <v>21</v>
      </c>
      <c r="AC626">
        <v>3.0515439999999998</v>
      </c>
      <c r="AD626">
        <v>0.1460774</v>
      </c>
      <c r="AE626">
        <v>-0.2468262</v>
      </c>
      <c r="AF626">
        <v>0.23234887437605001</v>
      </c>
      <c r="AG626">
        <v>0.1460774</v>
      </c>
      <c r="AH626">
        <v>3.0457061650583301</v>
      </c>
      <c r="AI626">
        <v>87.262041720604898</v>
      </c>
      <c r="AJ626">
        <v>85.637506194078895</v>
      </c>
      <c r="AK626">
        <v>3.0580468685239102</v>
      </c>
      <c r="AL626">
        <v>84.197517343376504</v>
      </c>
      <c r="AM626">
        <v>97.263215840165103</v>
      </c>
      <c r="AN626">
        <v>0.99999994264329795</v>
      </c>
    </row>
    <row r="627" spans="1:40" x14ac:dyDescent="0.25">
      <c r="A627" t="str">
        <f>"20190304154737775"</f>
        <v>20190304154737775</v>
      </c>
      <c r="B627" t="str">
        <f>"1551685657767494"</f>
        <v>1551685657767494</v>
      </c>
      <c r="C627" t="s">
        <v>40</v>
      </c>
      <c r="D627">
        <v>4.0591460000000001</v>
      </c>
      <c r="E627">
        <v>0.5775207</v>
      </c>
      <c r="F627" t="s">
        <v>42</v>
      </c>
      <c r="G627">
        <v>0</v>
      </c>
      <c r="H627">
        <v>0</v>
      </c>
      <c r="I627">
        <v>0</v>
      </c>
      <c r="J627">
        <v>-406.37459999999999</v>
      </c>
      <c r="K627">
        <v>1.060808</v>
      </c>
      <c r="L627">
        <v>366.40780000000001</v>
      </c>
      <c r="M627">
        <v>0.9999055</v>
      </c>
      <c r="N627">
        <v>-1.297473E-2</v>
      </c>
      <c r="O627">
        <v>-4.5389369999999998E-3</v>
      </c>
      <c r="P627">
        <v>0.9886625</v>
      </c>
      <c r="Q627">
        <v>8.8623110000000005E-2</v>
      </c>
      <c r="R627">
        <v>0.1212125</v>
      </c>
      <c r="S627">
        <v>3.0517270000000001</v>
      </c>
      <c r="T627">
        <v>0.1473602</v>
      </c>
      <c r="U627">
        <v>-0.24948119999999999</v>
      </c>
      <c r="V627">
        <v>-0.12570129999999999</v>
      </c>
      <c r="W627">
        <v>0.10143340000000001</v>
      </c>
      <c r="X627">
        <v>0.986869</v>
      </c>
      <c r="Y627">
        <v>7.6897450000000006E-2</v>
      </c>
      <c r="Z627">
        <v>1.075075E-3</v>
      </c>
      <c r="AA627">
        <v>0.99703839999999999</v>
      </c>
      <c r="AB627">
        <v>21</v>
      </c>
      <c r="AC627">
        <v>3.0517270000000001</v>
      </c>
      <c r="AD627">
        <v>0.1473602</v>
      </c>
      <c r="AE627">
        <v>-0.24948119999999999</v>
      </c>
      <c r="AF627">
        <v>0.235081371002656</v>
      </c>
      <c r="AG627">
        <v>0.1473602</v>
      </c>
      <c r="AH627">
        <v>3.0457734104930898</v>
      </c>
      <c r="AI627">
        <v>87.238284264197901</v>
      </c>
      <c r="AJ627">
        <v>85.5865004845068</v>
      </c>
      <c r="AK627">
        <v>3.0583842053612602</v>
      </c>
      <c r="AL627">
        <v>84.178281928775405</v>
      </c>
      <c r="AM627">
        <v>97.258895863166202</v>
      </c>
      <c r="AN627">
        <v>0.99999998730912498</v>
      </c>
    </row>
    <row r="628" spans="1:40" x14ac:dyDescent="0.25">
      <c r="A628" t="str">
        <f>"20190304154737786"</f>
        <v>20190304154737786</v>
      </c>
      <c r="B628" t="str">
        <f>"1551685657777254"</f>
        <v>1551685657777254</v>
      </c>
      <c r="C628" t="s">
        <v>40</v>
      </c>
      <c r="D628">
        <v>4.1135769999999896</v>
      </c>
      <c r="E628">
        <v>0.57767990000000002</v>
      </c>
      <c r="F628" t="s">
        <v>42</v>
      </c>
      <c r="G628">
        <v>0</v>
      </c>
      <c r="H628">
        <v>0</v>
      </c>
      <c r="I628">
        <v>0</v>
      </c>
      <c r="J628">
        <v>-406.26510000000002</v>
      </c>
      <c r="K628">
        <v>1.0608040000000001</v>
      </c>
      <c r="L628">
        <v>366.4074</v>
      </c>
      <c r="M628">
        <v>0.99990579999999996</v>
      </c>
      <c r="N628">
        <v>-1.2962680000000001E-2</v>
      </c>
      <c r="O628">
        <v>-4.5137659999999998E-3</v>
      </c>
      <c r="P628">
        <v>0.98863979999999996</v>
      </c>
      <c r="Q628">
        <v>8.9266609999999996E-2</v>
      </c>
      <c r="R628">
        <v>0.120924</v>
      </c>
      <c r="S628">
        <v>3.0519099999999999</v>
      </c>
      <c r="T628">
        <v>0.15042</v>
      </c>
      <c r="U628">
        <v>-0.25296020000000002</v>
      </c>
      <c r="V628">
        <v>-0.12538630000000001</v>
      </c>
      <c r="W628">
        <v>0.1020662</v>
      </c>
      <c r="X628">
        <v>0.98684380000000005</v>
      </c>
      <c r="Y628">
        <v>7.8042529999999999E-2</v>
      </c>
      <c r="Z628">
        <v>1.1315489999999999E-3</v>
      </c>
      <c r="AA628">
        <v>0.99694939999999999</v>
      </c>
      <c r="AB628">
        <v>21</v>
      </c>
      <c r="AC628">
        <v>3.0519099999999999</v>
      </c>
      <c r="AD628">
        <v>0.15042</v>
      </c>
      <c r="AE628">
        <v>-0.25296020000000002</v>
      </c>
      <c r="AF628">
        <v>0.238605186865505</v>
      </c>
      <c r="AG628">
        <v>0.15042</v>
      </c>
      <c r="AH628">
        <v>3.0456726621182502</v>
      </c>
      <c r="AI628">
        <v>87.181190463664507</v>
      </c>
      <c r="AJ628">
        <v>85.520462836988997</v>
      </c>
      <c r="AK628">
        <v>3.05870570280528</v>
      </c>
      <c r="AL628">
        <v>84.1418358413747</v>
      </c>
      <c r="AM628">
        <v>97.241081744415098</v>
      </c>
      <c r="AN628">
        <v>0.999999959504284</v>
      </c>
    </row>
    <row r="629" spans="1:40" x14ac:dyDescent="0.25">
      <c r="A629" t="str">
        <f>"20190304154737796"</f>
        <v>20190304154737796</v>
      </c>
      <c r="B629" t="str">
        <f>"1551685657787990"</f>
        <v>1551685657787990</v>
      </c>
      <c r="C629" t="s">
        <v>40</v>
      </c>
      <c r="D629">
        <v>4.0942299999999996</v>
      </c>
      <c r="E629">
        <v>0.57782319999999998</v>
      </c>
      <c r="F629" t="s">
        <v>42</v>
      </c>
      <c r="G629">
        <v>0</v>
      </c>
      <c r="H629">
        <v>0</v>
      </c>
      <c r="I629">
        <v>0</v>
      </c>
      <c r="J629">
        <v>-406.16910000000001</v>
      </c>
      <c r="K629">
        <v>1.0608029999999999</v>
      </c>
      <c r="L629">
        <v>366.40699999999998</v>
      </c>
      <c r="M629">
        <v>0.99990599999999996</v>
      </c>
      <c r="N629">
        <v>-1.2951829999999999E-2</v>
      </c>
      <c r="O629">
        <v>-4.4929949999999996E-3</v>
      </c>
      <c r="P629">
        <v>0.98863979999999996</v>
      </c>
      <c r="Q629">
        <v>8.9545440000000004E-2</v>
      </c>
      <c r="R629">
        <v>0.120718699999999</v>
      </c>
      <c r="S629">
        <v>3.0519099999999999</v>
      </c>
      <c r="T629">
        <v>0.15266729999999901</v>
      </c>
      <c r="U629">
        <v>-0.255249</v>
      </c>
      <c r="V629">
        <v>-0.1251603</v>
      </c>
      <c r="W629">
        <v>0.1023346</v>
      </c>
      <c r="X629">
        <v>0.98684470000000002</v>
      </c>
      <c r="Y629">
        <v>7.8802750000000005E-2</v>
      </c>
      <c r="Z629">
        <v>1.172609E-3</v>
      </c>
      <c r="AA629">
        <v>0.99688949999999998</v>
      </c>
      <c r="AB629">
        <v>21</v>
      </c>
      <c r="AC629">
        <v>3.0519099999999999</v>
      </c>
      <c r="AD629">
        <v>0.15266729999999901</v>
      </c>
      <c r="AE629">
        <v>-0.255249</v>
      </c>
      <c r="AF629">
        <v>0.24093434136533101</v>
      </c>
      <c r="AG629">
        <v>0.15266729999999901</v>
      </c>
      <c r="AH629">
        <v>3.0454582437263098</v>
      </c>
      <c r="AI629">
        <v>87.139117485880107</v>
      </c>
      <c r="AJ629">
        <v>85.476599090236107</v>
      </c>
      <c r="AK629">
        <v>3.0587861277995501</v>
      </c>
      <c r="AL629">
        <v>84.126376747975598</v>
      </c>
      <c r="AM629">
        <v>97.228161841482404</v>
      </c>
      <c r="AN629">
        <v>0.99999996648566902</v>
      </c>
    </row>
    <row r="630" spans="1:40" x14ac:dyDescent="0.25">
      <c r="A630" t="str">
        <f>"20190304154737806"</f>
        <v>20190304154737806</v>
      </c>
      <c r="B630" t="str">
        <f>"1551685657797749"</f>
        <v>1551685657797749</v>
      </c>
      <c r="C630" t="s">
        <v>40</v>
      </c>
      <c r="D630">
        <v>4.108911</v>
      </c>
      <c r="E630">
        <v>0.57798079999999996</v>
      </c>
      <c r="F630" t="s">
        <v>42</v>
      </c>
      <c r="G630">
        <v>0</v>
      </c>
      <c r="H630">
        <v>0</v>
      </c>
      <c r="I630">
        <v>0</v>
      </c>
      <c r="J630">
        <v>-406.06369999999998</v>
      </c>
      <c r="K630">
        <v>1.0608</v>
      </c>
      <c r="L630">
        <v>366.40649999999999</v>
      </c>
      <c r="M630">
        <v>0.99990639999999997</v>
      </c>
      <c r="N630">
        <v>-1.2939539999999999E-2</v>
      </c>
      <c r="O630">
        <v>-4.4723219999999999E-3</v>
      </c>
      <c r="P630">
        <v>0.98862839999999996</v>
      </c>
      <c r="Q630">
        <v>9.0011670000000002E-2</v>
      </c>
      <c r="R630">
        <v>0.1204657</v>
      </c>
      <c r="S630">
        <v>3.0519099999999999</v>
      </c>
      <c r="T630">
        <v>0.15390529999999999</v>
      </c>
      <c r="U630">
        <v>-0.25698850000000001</v>
      </c>
      <c r="V630">
        <v>-0.1248866</v>
      </c>
      <c r="W630">
        <v>0.10278950000000001</v>
      </c>
      <c r="X630">
        <v>0.98683209999999999</v>
      </c>
      <c r="Y630">
        <v>7.938568E-2</v>
      </c>
      <c r="Z630">
        <v>1.1993920000000001E-3</v>
      </c>
      <c r="AA630">
        <v>0.99684329999999999</v>
      </c>
      <c r="AB630">
        <v>21</v>
      </c>
      <c r="AC630">
        <v>3.0519099999999999</v>
      </c>
      <c r="AD630">
        <v>0.15390529999999999</v>
      </c>
      <c r="AE630">
        <v>-0.25698850000000001</v>
      </c>
      <c r="AF630">
        <v>0.242722741496674</v>
      </c>
      <c r="AG630">
        <v>0.15390529999999999</v>
      </c>
      <c r="AH630">
        <v>3.0453388259384599</v>
      </c>
      <c r="AI630">
        <v>87.115978436568199</v>
      </c>
      <c r="AJ630">
        <v>85.442985880853598</v>
      </c>
      <c r="AK630">
        <v>3.0588706633945799</v>
      </c>
      <c r="AL630">
        <v>84.100174737403407</v>
      </c>
      <c r="AM630">
        <v>97.212613083716903</v>
      </c>
      <c r="AN630">
        <v>0.999999968880109</v>
      </c>
    </row>
    <row r="631" spans="1:40" x14ac:dyDescent="0.25">
      <c r="A631" t="str">
        <f>"20190304154737820"</f>
        <v>20190304154737820</v>
      </c>
      <c r="B631" t="str">
        <f>"1551685657807510"</f>
        <v>1551685657807510</v>
      </c>
      <c r="C631" t="s">
        <v>40</v>
      </c>
      <c r="D631">
        <v>4.1415410000000001</v>
      </c>
      <c r="E631">
        <v>0.57809849999999996</v>
      </c>
      <c r="F631" t="s">
        <v>42</v>
      </c>
      <c r="G631">
        <v>0</v>
      </c>
      <c r="H631">
        <v>0</v>
      </c>
      <c r="I631">
        <v>0</v>
      </c>
      <c r="J631">
        <v>-405.94839999999999</v>
      </c>
      <c r="K631">
        <v>1.060797</v>
      </c>
      <c r="L631">
        <v>366.40600000000001</v>
      </c>
      <c r="M631">
        <v>0.99990650000000003</v>
      </c>
      <c r="N631">
        <v>-1.2926419999999999E-2</v>
      </c>
      <c r="O631">
        <v>-4.4509160000000001E-3</v>
      </c>
      <c r="P631">
        <v>0.98865329999999996</v>
      </c>
      <c r="Q631">
        <v>9.0225730000000004E-2</v>
      </c>
      <c r="R631">
        <v>0.12010029999999999</v>
      </c>
      <c r="S631">
        <v>3.0519099999999999</v>
      </c>
      <c r="T631">
        <v>0.1551843</v>
      </c>
      <c r="U631">
        <v>-0.25869750000000002</v>
      </c>
      <c r="V631">
        <v>-0.1245001</v>
      </c>
      <c r="W631">
        <v>0.1029911</v>
      </c>
      <c r="X631">
        <v>0.98685999999999996</v>
      </c>
      <c r="Y631">
        <v>7.9959299999999997E-2</v>
      </c>
      <c r="Z631">
        <v>1.2268159999999999E-3</v>
      </c>
      <c r="AA631">
        <v>0.99679739999999994</v>
      </c>
      <c r="AB631">
        <v>21</v>
      </c>
      <c r="AC631">
        <v>3.0519099999999999</v>
      </c>
      <c r="AD631">
        <v>0.1551843</v>
      </c>
      <c r="AE631">
        <v>-0.25869750000000002</v>
      </c>
      <c r="AF631">
        <v>0.244482395679503</v>
      </c>
      <c r="AG631">
        <v>0.1551843</v>
      </c>
      <c r="AH631">
        <v>3.04521393338548</v>
      </c>
      <c r="AI631">
        <v>87.092067335653695</v>
      </c>
      <c r="AJ631">
        <v>85.409902352400806</v>
      </c>
      <c r="AK631">
        <v>3.0589510798391002</v>
      </c>
      <c r="AL631">
        <v>84.088562761910893</v>
      </c>
      <c r="AM631">
        <v>97.190324268968794</v>
      </c>
      <c r="AN631">
        <v>1.0000000505896001</v>
      </c>
    </row>
    <row r="632" spans="1:40" x14ac:dyDescent="0.25">
      <c r="A632" t="str">
        <f>"20190304154737832"</f>
        <v>20190304154737832</v>
      </c>
      <c r="B632" t="str">
        <f>"1551685657828005"</f>
        <v>1551685657828005</v>
      </c>
      <c r="C632" t="s">
        <v>40</v>
      </c>
      <c r="D632">
        <v>4.0934010000000001</v>
      </c>
      <c r="E632">
        <v>0.57815069999999902</v>
      </c>
      <c r="F632" t="s">
        <v>42</v>
      </c>
      <c r="G632">
        <v>0</v>
      </c>
      <c r="H632">
        <v>0</v>
      </c>
      <c r="I632">
        <v>0</v>
      </c>
      <c r="J632">
        <v>-405.8272</v>
      </c>
      <c r="K632">
        <v>1.0608</v>
      </c>
      <c r="L632">
        <v>366.40550000000002</v>
      </c>
      <c r="M632">
        <v>0.99990699999999999</v>
      </c>
      <c r="N632">
        <v>-1.291277E-2</v>
      </c>
      <c r="O632">
        <v>-4.4296159999999999E-3</v>
      </c>
      <c r="P632">
        <v>0.98868290000000003</v>
      </c>
      <c r="Q632">
        <v>9.0194129999999997E-2</v>
      </c>
      <c r="R632">
        <v>0.1198805</v>
      </c>
      <c r="S632">
        <v>3.0519099999999999</v>
      </c>
      <c r="T632">
        <v>0.15596270000000001</v>
      </c>
      <c r="U632">
        <v>-0.26080320000000001</v>
      </c>
      <c r="V632">
        <v>-0.1242587</v>
      </c>
      <c r="W632">
        <v>0.1029465</v>
      </c>
      <c r="X632">
        <v>0.98689499999999997</v>
      </c>
      <c r="Y632">
        <v>8.0661769999999994E-2</v>
      </c>
      <c r="Z632">
        <v>1.2511029999999999E-3</v>
      </c>
      <c r="AA632">
        <v>0.99674079999999998</v>
      </c>
      <c r="AB632">
        <v>21</v>
      </c>
      <c r="AC632">
        <v>3.0519099999999999</v>
      </c>
      <c r="AD632">
        <v>0.15596270000000001</v>
      </c>
      <c r="AE632">
        <v>-0.26080320000000001</v>
      </c>
      <c r="AF632">
        <v>0.24664128089797799</v>
      </c>
      <c r="AG632">
        <v>0.15596270000000001</v>
      </c>
      <c r="AH632">
        <v>3.0451405300019099</v>
      </c>
      <c r="AI632">
        <v>87.077602291463606</v>
      </c>
      <c r="AJ632">
        <v>85.369434165508196</v>
      </c>
      <c r="AK632">
        <v>3.05909089971099</v>
      </c>
      <c r="AL632">
        <v>84.091131353185503</v>
      </c>
      <c r="AM632">
        <v>97.176276197700901</v>
      </c>
      <c r="AN632">
        <v>0.99999997370646898</v>
      </c>
    </row>
    <row r="633" spans="1:40" x14ac:dyDescent="0.25">
      <c r="A633" t="str">
        <f>"20190304154737843"</f>
        <v>20190304154737843</v>
      </c>
      <c r="B633" t="str">
        <f>"1551685657837765"</f>
        <v>1551685657837765</v>
      </c>
      <c r="C633" t="s">
        <v>40</v>
      </c>
      <c r="D633">
        <v>4.1512260000000003</v>
      </c>
      <c r="E633">
        <v>0.57798229999999995</v>
      </c>
      <c r="F633" t="s">
        <v>42</v>
      </c>
      <c r="G633">
        <v>0</v>
      </c>
      <c r="H633">
        <v>0</v>
      </c>
      <c r="I633">
        <v>0</v>
      </c>
      <c r="J633">
        <v>-405.72030000000001</v>
      </c>
      <c r="K633">
        <v>1.060802</v>
      </c>
      <c r="L633">
        <v>366.40499999999997</v>
      </c>
      <c r="M633">
        <v>0.99990710000000005</v>
      </c>
      <c r="N633">
        <v>-1.2899799999999999E-2</v>
      </c>
      <c r="O633">
        <v>-4.4102179999999996E-3</v>
      </c>
      <c r="P633">
        <v>0.98870029999999998</v>
      </c>
      <c r="Q633">
        <v>9.0470930000000005E-2</v>
      </c>
      <c r="R633">
        <v>0.1195282</v>
      </c>
      <c r="S633">
        <v>3.0519409999999998</v>
      </c>
      <c r="T633">
        <v>0.15518879999999999</v>
      </c>
      <c r="U633">
        <v>-0.26202389999999998</v>
      </c>
      <c r="V633">
        <v>-0.12388780000000001</v>
      </c>
      <c r="W633">
        <v>0.1032112</v>
      </c>
      <c r="X633">
        <v>0.98691399999999996</v>
      </c>
      <c r="Y633">
        <v>8.1076380000000003E-2</v>
      </c>
      <c r="Z633">
        <v>1.251629E-3</v>
      </c>
      <c r="AA633">
        <v>0.99670709999999996</v>
      </c>
      <c r="AB633">
        <v>21</v>
      </c>
      <c r="AC633">
        <v>3.0519409999999998</v>
      </c>
      <c r="AD633">
        <v>0.15518879999999999</v>
      </c>
      <c r="AE633">
        <v>-0.26202389999999998</v>
      </c>
      <c r="AF633">
        <v>0.247924154003375</v>
      </c>
      <c r="AG633">
        <v>0.15518879999999999</v>
      </c>
      <c r="AH633">
        <v>3.0452506782056998</v>
      </c>
      <c r="AI633">
        <v>87.092281487786806</v>
      </c>
      <c r="AJ633">
        <v>85.345622041721995</v>
      </c>
      <c r="AK633">
        <v>3.05926488602997</v>
      </c>
      <c r="AL633">
        <v>84.075884043173801</v>
      </c>
      <c r="AM633">
        <v>97.154941731368396</v>
      </c>
      <c r="AN633">
        <v>0.99999999109513904</v>
      </c>
    </row>
    <row r="634" spans="1:40" x14ac:dyDescent="0.25">
      <c r="A634" t="str">
        <f>"20190304154737855"</f>
        <v>20190304154737855</v>
      </c>
      <c r="B634" t="str">
        <f>"1551685657847525"</f>
        <v>1551685657847525</v>
      </c>
      <c r="C634" t="s">
        <v>40</v>
      </c>
      <c r="D634">
        <v>4.2514240000000001</v>
      </c>
      <c r="E634">
        <v>0.57800079999999998</v>
      </c>
      <c r="F634" t="s">
        <v>42</v>
      </c>
      <c r="G634">
        <v>0</v>
      </c>
      <c r="H634">
        <v>0</v>
      </c>
      <c r="I634">
        <v>0</v>
      </c>
      <c r="J634">
        <v>-405.60480000000001</v>
      </c>
      <c r="K634">
        <v>1.060802</v>
      </c>
      <c r="L634">
        <v>366.40460000000002</v>
      </c>
      <c r="M634">
        <v>0.9999074</v>
      </c>
      <c r="N634">
        <v>-1.2885189999999999E-2</v>
      </c>
      <c r="O634">
        <v>-4.3887780000000003E-3</v>
      </c>
      <c r="P634">
        <v>0.98869620000000003</v>
      </c>
      <c r="Q634">
        <v>9.0804750000000004E-2</v>
      </c>
      <c r="R634">
        <v>0.1193076</v>
      </c>
      <c r="S634">
        <v>3.051758</v>
      </c>
      <c r="T634">
        <v>0.1552596</v>
      </c>
      <c r="U634">
        <v>-0.2618103</v>
      </c>
      <c r="V634">
        <v>-0.12364600000000001</v>
      </c>
      <c r="W634">
        <v>0.10352989999999999</v>
      </c>
      <c r="X634">
        <v>0.98691090000000004</v>
      </c>
      <c r="Y634">
        <v>8.1033469999999996E-2</v>
      </c>
      <c r="Z634">
        <v>1.2537889999999999E-3</v>
      </c>
      <c r="AA634">
        <v>0.9967106</v>
      </c>
      <c r="AB634">
        <v>21</v>
      </c>
      <c r="AC634">
        <v>3.051758</v>
      </c>
      <c r="AD634">
        <v>0.1552596</v>
      </c>
      <c r="AE634">
        <v>-0.2618103</v>
      </c>
      <c r="AF634">
        <v>0.247776540892582</v>
      </c>
      <c r="AG634">
        <v>0.1552596</v>
      </c>
      <c r="AH634">
        <v>3.04505375957892</v>
      </c>
      <c r="AI634">
        <v>87.090759263890902</v>
      </c>
      <c r="AJ634">
        <v>85.348081583991998</v>
      </c>
      <c r="AK634">
        <v>3.0590605022350501</v>
      </c>
      <c r="AL634">
        <v>84.057525278986802</v>
      </c>
      <c r="AM634">
        <v>97.141143469217894</v>
      </c>
      <c r="AN634">
        <v>0.99999994902440803</v>
      </c>
    </row>
    <row r="635" spans="1:40" x14ac:dyDescent="0.25">
      <c r="A635" t="str">
        <f>"20190304154737866"</f>
        <v>20190304154737866</v>
      </c>
      <c r="B635" t="str">
        <f>"1551685657857286"</f>
        <v>1551685657857286</v>
      </c>
      <c r="C635" t="s">
        <v>40</v>
      </c>
      <c r="D635">
        <v>4.1428469999999997</v>
      </c>
      <c r="E635">
        <v>0.57806919999999995</v>
      </c>
      <c r="F635" t="s">
        <v>42</v>
      </c>
      <c r="G635">
        <v>0</v>
      </c>
      <c r="H635">
        <v>0</v>
      </c>
      <c r="I635">
        <v>0</v>
      </c>
      <c r="J635">
        <v>-405.49470000000002</v>
      </c>
      <c r="K635">
        <v>1.0608089999999999</v>
      </c>
      <c r="L635">
        <v>366.40410000000003</v>
      </c>
      <c r="M635">
        <v>0.99990769999999995</v>
      </c>
      <c r="N635">
        <v>-1.2870120000000001E-2</v>
      </c>
      <c r="O635">
        <v>-4.3678069999999996E-3</v>
      </c>
      <c r="P635">
        <v>0.98867950000000004</v>
      </c>
      <c r="Q635">
        <v>9.133616E-2</v>
      </c>
      <c r="R635">
        <v>0.1190402</v>
      </c>
      <c r="S635">
        <v>3.0516359999999998</v>
      </c>
      <c r="T635">
        <v>0.1565589</v>
      </c>
      <c r="U635">
        <v>-0.26278689999999999</v>
      </c>
      <c r="V635">
        <v>-0.12335790000000001</v>
      </c>
      <c r="W635">
        <v>0.104045899999999</v>
      </c>
      <c r="X635">
        <v>0.98689280000000001</v>
      </c>
      <c r="Y635">
        <v>8.1372559999999997E-2</v>
      </c>
      <c r="Z635">
        <v>1.277659E-3</v>
      </c>
      <c r="AA635">
        <v>0.99668290000000004</v>
      </c>
      <c r="AB635">
        <v>21</v>
      </c>
      <c r="AC635">
        <v>3.0516359999999998</v>
      </c>
      <c r="AD635">
        <v>0.1565589</v>
      </c>
      <c r="AE635">
        <v>-0.26278689999999999</v>
      </c>
      <c r="AF635">
        <v>0.24880429377945901</v>
      </c>
      <c r="AG635">
        <v>0.1565589</v>
      </c>
      <c r="AH635">
        <v>3.0447997837214702</v>
      </c>
      <c r="AI635">
        <v>87.066292861632206</v>
      </c>
      <c r="AJ635">
        <v>85.328483184039996</v>
      </c>
      <c r="AK635">
        <v>3.0589573368588501</v>
      </c>
      <c r="AL635">
        <v>84.027800786441503</v>
      </c>
      <c r="AM635">
        <v>97.124804843631395</v>
      </c>
      <c r="AN635">
        <v>1.0000000597455201</v>
      </c>
    </row>
    <row r="636" spans="1:40" x14ac:dyDescent="0.25">
      <c r="A636" t="str">
        <f>"20190304154737879"</f>
        <v>20190304154737879</v>
      </c>
      <c r="B636" t="str">
        <f>"1551685657868022"</f>
        <v>1551685657868022</v>
      </c>
      <c r="C636" t="s">
        <v>40</v>
      </c>
      <c r="D636">
        <v>4.1357210000000002</v>
      </c>
      <c r="E636">
        <v>0.57806919999999995</v>
      </c>
      <c r="F636" t="s">
        <v>42</v>
      </c>
      <c r="G636">
        <v>0</v>
      </c>
      <c r="H636">
        <v>0</v>
      </c>
      <c r="I636">
        <v>0</v>
      </c>
      <c r="J636">
        <v>-405.38389999999998</v>
      </c>
      <c r="K636">
        <v>1.0608120000000001</v>
      </c>
      <c r="L636">
        <v>366.40370000000001</v>
      </c>
      <c r="M636">
        <v>0.99990809999999997</v>
      </c>
      <c r="N636">
        <v>-1.285328E-2</v>
      </c>
      <c r="O636">
        <v>-4.345392E-3</v>
      </c>
      <c r="P636">
        <v>0.98863199999999996</v>
      </c>
      <c r="Q636">
        <v>9.217852E-2</v>
      </c>
      <c r="R636">
        <v>0.11878619999999999</v>
      </c>
      <c r="S636">
        <v>3.0514830000000002</v>
      </c>
      <c r="T636">
        <v>0.1588109</v>
      </c>
      <c r="U636">
        <v>-0.26409909999999998</v>
      </c>
      <c r="V636">
        <v>-0.12308180000000001</v>
      </c>
      <c r="W636">
        <v>0.10487059999999999</v>
      </c>
      <c r="X636">
        <v>0.98684000000000005</v>
      </c>
      <c r="Y636">
        <v>8.1821580000000005E-2</v>
      </c>
      <c r="Z636">
        <v>1.3153749999999999E-3</v>
      </c>
      <c r="AA636">
        <v>0.99664609999999998</v>
      </c>
      <c r="AB636">
        <v>21</v>
      </c>
      <c r="AC636">
        <v>3.0514830000000002</v>
      </c>
      <c r="AD636">
        <v>0.1588109</v>
      </c>
      <c r="AE636">
        <v>-0.26409909999999998</v>
      </c>
      <c r="AF636">
        <v>0.25016307848894898</v>
      </c>
      <c r="AG636">
        <v>0.1588109</v>
      </c>
      <c r="AH636">
        <v>3.04441721038171</v>
      </c>
      <c r="AI636">
        <v>87.023905793716196</v>
      </c>
      <c r="AJ636">
        <v>85.302497065899502</v>
      </c>
      <c r="AK636">
        <v>3.0588034619220399</v>
      </c>
      <c r="AL636">
        <v>83.980289150527398</v>
      </c>
      <c r="AM636">
        <v>97.109397896896397</v>
      </c>
      <c r="AN636">
        <v>1.0000000789177901</v>
      </c>
    </row>
    <row r="637" spans="1:40" x14ac:dyDescent="0.25">
      <c r="A637" t="str">
        <f>"20190304154737891"</f>
        <v>20190304154737891</v>
      </c>
      <c r="B637" t="str">
        <f>"1551685657887541"</f>
        <v>1551685657887541</v>
      </c>
      <c r="C637" t="s">
        <v>40</v>
      </c>
      <c r="D637">
        <v>4.1664479999999999</v>
      </c>
      <c r="E637">
        <v>0.5768896</v>
      </c>
      <c r="F637" t="s">
        <v>42</v>
      </c>
      <c r="G637">
        <v>0</v>
      </c>
      <c r="H637">
        <v>0</v>
      </c>
      <c r="I637">
        <v>0</v>
      </c>
      <c r="J637">
        <v>-405.26499999999999</v>
      </c>
      <c r="K637">
        <v>1.0608120000000001</v>
      </c>
      <c r="L637">
        <v>366.40320000000003</v>
      </c>
      <c r="M637">
        <v>0.99990840000000003</v>
      </c>
      <c r="N637">
        <v>-1.2834109999999999E-2</v>
      </c>
      <c r="O637">
        <v>-4.3205750000000001E-3</v>
      </c>
      <c r="P637">
        <v>0.98859490000000005</v>
      </c>
      <c r="Q637">
        <v>9.2951210000000006E-2</v>
      </c>
      <c r="R637">
        <v>0.1184938</v>
      </c>
      <c r="S637">
        <v>3.0512999999999999</v>
      </c>
      <c r="T637">
        <v>0.16113420000000001</v>
      </c>
      <c r="U637">
        <v>-0.26473999999999998</v>
      </c>
      <c r="V637">
        <v>-0.1227652</v>
      </c>
      <c r="W637">
        <v>0.105624</v>
      </c>
      <c r="X637">
        <v>0.98679899999999998</v>
      </c>
      <c r="Y637">
        <v>8.2056249999999997E-2</v>
      </c>
      <c r="Z637">
        <v>1.350356E-3</v>
      </c>
      <c r="AA637">
        <v>0.99662680000000003</v>
      </c>
      <c r="AB637">
        <v>21</v>
      </c>
      <c r="AC637">
        <v>3.0512999999999999</v>
      </c>
      <c r="AD637">
        <v>0.16113420000000001</v>
      </c>
      <c r="AE637">
        <v>-0.26473999999999998</v>
      </c>
      <c r="AF637">
        <v>0.25085872448400498</v>
      </c>
      <c r="AG637">
        <v>0.16113420000000001</v>
      </c>
      <c r="AH637">
        <v>3.0439900135329898</v>
      </c>
      <c r="AI637">
        <v>86.980083631653599</v>
      </c>
      <c r="AJ637">
        <v>85.288834989294003</v>
      </c>
      <c r="AK637">
        <v>3.05855677281752</v>
      </c>
      <c r="AL637">
        <v>83.936880919223995</v>
      </c>
      <c r="AM637">
        <v>97.091588633565493</v>
      </c>
      <c r="AN637">
        <v>0.99999999505401904</v>
      </c>
    </row>
    <row r="638" spans="1:40" x14ac:dyDescent="0.25">
      <c r="A638" t="str">
        <f>"20190304154737909"</f>
        <v>20190304154737909</v>
      </c>
      <c r="B638" t="str">
        <f>"1551685657897301"</f>
        <v>1551685657897301</v>
      </c>
      <c r="C638" t="s">
        <v>40</v>
      </c>
      <c r="D638">
        <v>4.1584159999999999</v>
      </c>
      <c r="E638">
        <v>0.51493559999999905</v>
      </c>
      <c r="F638" t="s">
        <v>42</v>
      </c>
      <c r="G638">
        <v>0</v>
      </c>
      <c r="H638">
        <v>0</v>
      </c>
      <c r="I638">
        <v>0</v>
      </c>
      <c r="J638">
        <v>-405.09960000000001</v>
      </c>
      <c r="K638">
        <v>1.0608150000000001</v>
      </c>
      <c r="L638">
        <v>366.40249999999997</v>
      </c>
      <c r="M638">
        <v>0.99990889999999999</v>
      </c>
      <c r="N638">
        <v>-1.280126E-2</v>
      </c>
      <c r="O638">
        <v>-4.2871649999999999E-3</v>
      </c>
      <c r="P638">
        <v>0.9886395</v>
      </c>
      <c r="Q638">
        <v>9.3108800000000005E-2</v>
      </c>
      <c r="R638">
        <v>0.1179936</v>
      </c>
      <c r="S638">
        <v>3.0495610000000002</v>
      </c>
      <c r="T638">
        <v>0.16746229999999901</v>
      </c>
      <c r="U638">
        <v>-0.2562256</v>
      </c>
      <c r="V638">
        <v>-0.1222332</v>
      </c>
      <c r="W638">
        <v>0.1057483</v>
      </c>
      <c r="X638">
        <v>0.98685179999999995</v>
      </c>
      <c r="Y638">
        <v>7.9371140000000007E-2</v>
      </c>
      <c r="Z638">
        <v>1.3750240000000001E-3</v>
      </c>
      <c r="AA638">
        <v>0.99684419999999996</v>
      </c>
      <c r="AB638">
        <v>21</v>
      </c>
      <c r="AC638">
        <v>3.0495610000000002</v>
      </c>
      <c r="AD638">
        <v>0.16746229999999901</v>
      </c>
      <c r="AE638">
        <v>-0.2562256</v>
      </c>
      <c r="AF638">
        <v>0.242422302559471</v>
      </c>
      <c r="AG638">
        <v>0.16746229999999901</v>
      </c>
      <c r="AH638">
        <v>3.0415241163700699</v>
      </c>
      <c r="AI638">
        <v>86.858494761862602</v>
      </c>
      <c r="AJ638">
        <v>85.442918399348301</v>
      </c>
      <c r="AK638">
        <v>3.0557619581963902</v>
      </c>
      <c r="AL638">
        <v>83.929719379640304</v>
      </c>
      <c r="AM638">
        <v>97.060794313069593</v>
      </c>
      <c r="AN638">
        <v>1.00000006664918</v>
      </c>
    </row>
    <row r="639" spans="1:40" x14ac:dyDescent="0.25">
      <c r="A639" t="str">
        <f>"20190304154737922"</f>
        <v>20190304154737922</v>
      </c>
      <c r="B639" t="str">
        <f>"1551685657917797"</f>
        <v>1551685657917797</v>
      </c>
      <c r="C639" t="s">
        <v>40</v>
      </c>
      <c r="D639">
        <v>4.1730559999999999</v>
      </c>
      <c r="E639">
        <v>0.51126240000000001</v>
      </c>
      <c r="F639" t="s">
        <v>43</v>
      </c>
      <c r="G639">
        <v>-158.78319999999999</v>
      </c>
      <c r="H639">
        <v>5.4720269999999998</v>
      </c>
      <c r="I639">
        <v>385.3415</v>
      </c>
      <c r="J639">
        <v>-404.9742</v>
      </c>
      <c r="K639">
        <v>1.0608120000000001</v>
      </c>
      <c r="L639">
        <v>366.40199999999999</v>
      </c>
      <c r="M639">
        <v>0.99990950000000001</v>
      </c>
      <c r="N639">
        <v>-1.277201E-2</v>
      </c>
      <c r="O639">
        <v>-4.2583359999999997E-3</v>
      </c>
      <c r="P639">
        <v>0.98867680000000002</v>
      </c>
      <c r="Q639">
        <v>9.3058299999999997E-2</v>
      </c>
      <c r="R639">
        <v>0.1177213</v>
      </c>
      <c r="S639">
        <v>3.0018009999999999</v>
      </c>
      <c r="T639">
        <v>5.3759460000000002E-2</v>
      </c>
      <c r="U639">
        <v>0.23080439999999999</v>
      </c>
      <c r="V639">
        <v>-0.1219331</v>
      </c>
      <c r="W639">
        <v>0.1056691</v>
      </c>
      <c r="X639">
        <v>0.98689729999999998</v>
      </c>
      <c r="Y639">
        <v>-8.0902189999999999E-2</v>
      </c>
      <c r="Z639">
        <v>-3.3632779999999998E-4</v>
      </c>
      <c r="AA639">
        <v>0.996722</v>
      </c>
      <c r="AB639">
        <v>21</v>
      </c>
      <c r="AC639">
        <v>246.19099999999901</v>
      </c>
      <c r="AD639">
        <v>4.4112149999999897</v>
      </c>
      <c r="AE639">
        <v>18.939499999999999</v>
      </c>
      <c r="AF639">
        <v>-19.981400350359401</v>
      </c>
      <c r="AG639">
        <v>4.4112149999999897</v>
      </c>
      <c r="AH639">
        <v>246.02958718268201</v>
      </c>
      <c r="AI639">
        <v>88.976189203680406</v>
      </c>
      <c r="AJ639">
        <v>94.643111073536502</v>
      </c>
      <c r="AK639">
        <v>246.87906542884201</v>
      </c>
      <c r="AL639">
        <v>83.934282124766597</v>
      </c>
      <c r="AM639">
        <v>97.043311915169298</v>
      </c>
      <c r="AN639">
        <v>0.99999996015885395</v>
      </c>
    </row>
    <row r="640" spans="1:40" x14ac:dyDescent="0.25">
      <c r="A640" t="str">
        <f>"20190304154737935"</f>
        <v>20190304154737935</v>
      </c>
      <c r="B640" t="str">
        <f>"1551685657927557"</f>
        <v>1551685657927557</v>
      </c>
      <c r="C640" t="s">
        <v>40</v>
      </c>
      <c r="D640">
        <v>4.1839589999999998</v>
      </c>
      <c r="E640">
        <v>0.50976309999999903</v>
      </c>
      <c r="F640" t="s">
        <v>42</v>
      </c>
      <c r="G640">
        <v>0</v>
      </c>
      <c r="H640">
        <v>0</v>
      </c>
      <c r="I640">
        <v>0</v>
      </c>
      <c r="J640">
        <v>-404.84699999999998</v>
      </c>
      <c r="K640">
        <v>1.060805</v>
      </c>
      <c r="L640">
        <v>366.4015</v>
      </c>
      <c r="M640">
        <v>0.99990990000000002</v>
      </c>
      <c r="N640">
        <v>-1.2740090000000001E-2</v>
      </c>
      <c r="O640">
        <v>-4.2260329999999997E-3</v>
      </c>
      <c r="P640">
        <v>0.98863920000000005</v>
      </c>
      <c r="Q640">
        <v>9.3371179999999998E-2</v>
      </c>
      <c r="R640">
        <v>0.1177898</v>
      </c>
      <c r="S640">
        <v>2.9998469999999999</v>
      </c>
      <c r="T640">
        <v>3.9473889999999998E-2</v>
      </c>
      <c r="U640">
        <v>0.258606</v>
      </c>
      <c r="V640">
        <v>-0.12196989999999901</v>
      </c>
      <c r="W640">
        <v>0.1059493</v>
      </c>
      <c r="X640">
        <v>0.98686280000000004</v>
      </c>
      <c r="Y640">
        <v>-9.0096190000000007E-2</v>
      </c>
      <c r="Z640">
        <v>-1.258869E-4</v>
      </c>
      <c r="AA640">
        <v>0.99593310000000002</v>
      </c>
      <c r="AB640">
        <v>21</v>
      </c>
      <c r="AC640">
        <v>2.9998469999999999</v>
      </c>
      <c r="AD640">
        <v>3.9473889999999998E-2</v>
      </c>
      <c r="AE640">
        <v>0.258606</v>
      </c>
      <c r="AF640">
        <v>-0.27123555396928101</v>
      </c>
      <c r="AG640">
        <v>3.9473889999999998E-2</v>
      </c>
      <c r="AH640">
        <v>2.9982119318301801</v>
      </c>
      <c r="AI640">
        <v>89.248765662323095</v>
      </c>
      <c r="AJ640">
        <v>95.169235741021097</v>
      </c>
      <c r="AK640">
        <v>3.0107144836230502</v>
      </c>
      <c r="AL640">
        <v>83.918137754796206</v>
      </c>
      <c r="AM640">
        <v>97.045660087906995</v>
      </c>
      <c r="AN640">
        <v>1.0000000483501601</v>
      </c>
    </row>
    <row r="641" spans="1:40" x14ac:dyDescent="0.25">
      <c r="A641" t="str">
        <f>"20190304154737952"</f>
        <v>20190304154737952</v>
      </c>
      <c r="B641" t="str">
        <f>"1551685657947077"</f>
        <v>1551685657947077</v>
      </c>
      <c r="C641" t="s">
        <v>40</v>
      </c>
      <c r="D641">
        <v>4.217352</v>
      </c>
      <c r="E641">
        <v>0.50788239999999996</v>
      </c>
      <c r="F641" t="s">
        <v>42</v>
      </c>
      <c r="G641">
        <v>0</v>
      </c>
      <c r="H641">
        <v>0</v>
      </c>
      <c r="I641">
        <v>0</v>
      </c>
      <c r="J641">
        <v>-404.68209999999999</v>
      </c>
      <c r="K641">
        <v>1.060808</v>
      </c>
      <c r="L641">
        <v>366.4008</v>
      </c>
      <c r="M641">
        <v>0.99991070000000004</v>
      </c>
      <c r="N641">
        <v>-1.2695059999999999E-2</v>
      </c>
      <c r="O641">
        <v>-4.1780130000000004E-3</v>
      </c>
      <c r="P641">
        <v>0.9885294</v>
      </c>
      <c r="Q641">
        <v>9.4487810000000005E-2</v>
      </c>
      <c r="R641">
        <v>0.1178216</v>
      </c>
      <c r="S641">
        <v>2.9992679999999998</v>
      </c>
      <c r="T641">
        <v>3.1586889999999999E-2</v>
      </c>
      <c r="U641">
        <v>0.2704163</v>
      </c>
      <c r="V641">
        <v>-0.1219549</v>
      </c>
      <c r="W641">
        <v>0.1070189</v>
      </c>
      <c r="X641">
        <v>0.98674919999999999</v>
      </c>
      <c r="Y641">
        <v>-9.3957189999999996E-2</v>
      </c>
      <c r="Z641" s="1">
        <v>7.0402169999999998E-6</v>
      </c>
      <c r="AA641">
        <v>0.99557629999999997</v>
      </c>
      <c r="AB641">
        <v>21</v>
      </c>
      <c r="AC641">
        <v>2.9992679999999998</v>
      </c>
      <c r="AD641">
        <v>3.1586889999999999E-2</v>
      </c>
      <c r="AE641">
        <v>0.2704163</v>
      </c>
      <c r="AF641">
        <v>-0.28291480389692403</v>
      </c>
      <c r="AG641">
        <v>3.1586889999999999E-2</v>
      </c>
      <c r="AH641">
        <v>2.9977821119763601</v>
      </c>
      <c r="AI641">
        <v>89.398981239249906</v>
      </c>
      <c r="AJ641">
        <v>95.391304119757507</v>
      </c>
      <c r="AK641">
        <v>3.0112681894459898</v>
      </c>
      <c r="AL641">
        <v>83.856503545958702</v>
      </c>
      <c r="AM641">
        <v>97.045605197147097</v>
      </c>
      <c r="AN641">
        <v>1.0000000131459299</v>
      </c>
    </row>
    <row r="642" spans="1:40" x14ac:dyDescent="0.25">
      <c r="A642" t="str">
        <f>"20190304154737963"</f>
        <v>20190304154737963</v>
      </c>
      <c r="B642" t="str">
        <f>"1551685657957813"</f>
        <v>1551685657957813</v>
      </c>
      <c r="C642" t="s">
        <v>40</v>
      </c>
      <c r="D642">
        <v>4.423635</v>
      </c>
      <c r="E642">
        <v>0.50961250000000002</v>
      </c>
      <c r="F642" t="s">
        <v>42</v>
      </c>
      <c r="G642">
        <v>0</v>
      </c>
      <c r="H642">
        <v>0</v>
      </c>
      <c r="I642">
        <v>0</v>
      </c>
      <c r="J642">
        <v>-404.57580000000002</v>
      </c>
      <c r="K642">
        <v>1.0608089999999999</v>
      </c>
      <c r="L642">
        <v>366.40039999999999</v>
      </c>
      <c r="M642">
        <v>0.9999112</v>
      </c>
      <c r="N642">
        <v>-1.266398E-2</v>
      </c>
      <c r="O642">
        <v>-4.1477609999999998E-3</v>
      </c>
      <c r="P642">
        <v>0.98844509999999997</v>
      </c>
      <c r="Q642">
        <v>9.5416059999999997E-2</v>
      </c>
      <c r="R642">
        <v>0.1177811</v>
      </c>
      <c r="S642">
        <v>2.9987490000000001</v>
      </c>
      <c r="T642">
        <v>2.1767970000000001E-2</v>
      </c>
      <c r="U642">
        <v>0.28533940000000002</v>
      </c>
      <c r="V642">
        <v>-0.1218847</v>
      </c>
      <c r="W642">
        <v>0.10791539999999999</v>
      </c>
      <c r="X642">
        <v>0.98666019999999999</v>
      </c>
      <c r="Y642">
        <v>-9.8854689999999995E-2</v>
      </c>
      <c r="Z642">
        <v>1.8694689999999999E-4</v>
      </c>
      <c r="AA642">
        <v>0.99510189999999998</v>
      </c>
      <c r="AB642">
        <v>21</v>
      </c>
      <c r="AC642">
        <v>2.9987490000000001</v>
      </c>
      <c r="AD642">
        <v>2.1767970000000001E-2</v>
      </c>
      <c r="AE642">
        <v>0.28533940000000002</v>
      </c>
      <c r="AF642">
        <v>-0.297760487642525</v>
      </c>
      <c r="AG642">
        <v>2.1767970000000001E-2</v>
      </c>
      <c r="AH642">
        <v>2.99738306116926</v>
      </c>
      <c r="AI642">
        <v>89.585944699974903</v>
      </c>
      <c r="AJ642">
        <v>95.673158489703994</v>
      </c>
      <c r="AK642">
        <v>3.0122151928279401</v>
      </c>
      <c r="AL642">
        <v>83.8048384744163</v>
      </c>
      <c r="AM642">
        <v>97.042219110641199</v>
      </c>
      <c r="AN642">
        <v>0.99999998195764395</v>
      </c>
    </row>
    <row r="643" spans="1:40" x14ac:dyDescent="0.25">
      <c r="A643" t="str">
        <f>"20190304154737975"</f>
        <v>20190304154737975</v>
      </c>
      <c r="B643" t="str">
        <f>"1551685657967573"</f>
        <v>1551685657967573</v>
      </c>
      <c r="C643" t="s">
        <v>40</v>
      </c>
      <c r="D643">
        <v>4.2167209999999997</v>
      </c>
      <c r="E643">
        <v>0.50951340000000001</v>
      </c>
      <c r="F643" t="s">
        <v>42</v>
      </c>
      <c r="G643">
        <v>0</v>
      </c>
      <c r="H643">
        <v>0</v>
      </c>
      <c r="I643">
        <v>0</v>
      </c>
      <c r="J643">
        <v>-404.4692</v>
      </c>
      <c r="K643">
        <v>1.0608070000000001</v>
      </c>
      <c r="L643">
        <v>366.4</v>
      </c>
      <c r="M643">
        <v>0.99991189999999996</v>
      </c>
      <c r="N643">
        <v>-1.26325E-2</v>
      </c>
      <c r="O643">
        <v>-4.118348E-3</v>
      </c>
      <c r="P643">
        <v>0.98835269999999997</v>
      </c>
      <c r="Q643">
        <v>9.6196500000000004E-2</v>
      </c>
      <c r="R643">
        <v>0.1179224</v>
      </c>
      <c r="S643">
        <v>3.0007320000000002</v>
      </c>
      <c r="T643">
        <v>2.0261649999999999E-2</v>
      </c>
      <c r="U643">
        <v>0.2715149</v>
      </c>
      <c r="V643">
        <v>-0.12199649999999999</v>
      </c>
      <c r="W643">
        <v>0.108663</v>
      </c>
      <c r="X643">
        <v>0.98656429999999995</v>
      </c>
      <c r="Y643">
        <v>-9.421699E-2</v>
      </c>
      <c r="Z643">
        <v>1.9922430000000001E-4</v>
      </c>
      <c r="AA643">
        <v>0.99555159999999998</v>
      </c>
      <c r="AB643">
        <v>21</v>
      </c>
      <c r="AC643">
        <v>3.0007320000000002</v>
      </c>
      <c r="AD643">
        <v>2.0261649999999999E-2</v>
      </c>
      <c r="AE643">
        <v>0.2715149</v>
      </c>
      <c r="AF643">
        <v>-0.28385880292482202</v>
      </c>
      <c r="AG643">
        <v>2.0261649999999999E-2</v>
      </c>
      <c r="AH643">
        <v>2.9994526239831498</v>
      </c>
      <c r="AI643">
        <v>89.614687813787299</v>
      </c>
      <c r="AJ643">
        <v>95.406191974087903</v>
      </c>
      <c r="AK643">
        <v>3.0129225675377098</v>
      </c>
      <c r="AL643">
        <v>83.761750603947903</v>
      </c>
      <c r="AM643">
        <v>97.049291985986997</v>
      </c>
      <c r="AN643">
        <v>0.99999995580786805</v>
      </c>
    </row>
    <row r="644" spans="1:40" x14ac:dyDescent="0.25">
      <c r="A644" t="str">
        <f>"20190304154737987"</f>
        <v>20190304154737987</v>
      </c>
      <c r="B644" t="str">
        <f>"1551685657977333"</f>
        <v>1551685657977333</v>
      </c>
      <c r="C644" t="s">
        <v>40</v>
      </c>
      <c r="D644">
        <v>4.239306</v>
      </c>
      <c r="E644">
        <v>0.50881019999999999</v>
      </c>
      <c r="F644" t="s">
        <v>42</v>
      </c>
      <c r="G644">
        <v>0</v>
      </c>
      <c r="H644">
        <v>0</v>
      </c>
      <c r="I644">
        <v>0</v>
      </c>
      <c r="J644">
        <v>-404.3546</v>
      </c>
      <c r="K644">
        <v>1.060805</v>
      </c>
      <c r="L644">
        <v>366.39960000000002</v>
      </c>
      <c r="M644">
        <v>0.99991229999999998</v>
      </c>
      <c r="N644">
        <v>-1.2598E-2</v>
      </c>
      <c r="O644">
        <v>-4.087856E-3</v>
      </c>
      <c r="P644">
        <v>0.98829290000000003</v>
      </c>
      <c r="Q644">
        <v>9.6756320000000007E-2</v>
      </c>
      <c r="R644">
        <v>0.1179639</v>
      </c>
      <c r="S644">
        <v>3.0004580000000001</v>
      </c>
      <c r="T644">
        <v>2.4532680000000001E-2</v>
      </c>
      <c r="U644">
        <v>0.27267459999999999</v>
      </c>
      <c r="V644">
        <v>-0.1220078</v>
      </c>
      <c r="W644">
        <v>0.1091882</v>
      </c>
      <c r="X644">
        <v>0.98650499999999997</v>
      </c>
      <c r="Y644">
        <v>-9.4576199999999999E-2</v>
      </c>
      <c r="Z644">
        <v>1.2639149999999901E-4</v>
      </c>
      <c r="AA644">
        <v>0.9955176</v>
      </c>
      <c r="AB644">
        <v>21</v>
      </c>
      <c r="AC644">
        <v>3.0004580000000001</v>
      </c>
      <c r="AD644">
        <v>2.4532680000000001E-2</v>
      </c>
      <c r="AE644">
        <v>0.27267459999999999</v>
      </c>
      <c r="AF644">
        <v>-0.28491984339739101</v>
      </c>
      <c r="AG644">
        <v>2.4532680000000001E-2</v>
      </c>
      <c r="AH644">
        <v>2.99911932823913</v>
      </c>
      <c r="AI644">
        <v>89.533433803718694</v>
      </c>
      <c r="AJ644">
        <v>95.426878901811506</v>
      </c>
      <c r="AK644">
        <v>3.0127226746859899</v>
      </c>
      <c r="AL644">
        <v>83.731479272346505</v>
      </c>
      <c r="AM644">
        <v>97.050357876248896</v>
      </c>
      <c r="AN644">
        <v>1.00000004065253</v>
      </c>
    </row>
    <row r="645" spans="1:40" x14ac:dyDescent="0.25">
      <c r="A645" t="str">
        <f>"20190304154737997"</f>
        <v>20190304154737997</v>
      </c>
      <c r="B645" t="str">
        <f>"1551685657988070"</f>
        <v>1551685657988070</v>
      </c>
      <c r="C645" t="s">
        <v>40</v>
      </c>
      <c r="D645">
        <v>4.4438040000000001</v>
      </c>
      <c r="E645">
        <v>0.50885219999999998</v>
      </c>
      <c r="F645" t="s">
        <v>42</v>
      </c>
      <c r="G645">
        <v>0</v>
      </c>
      <c r="H645">
        <v>0</v>
      </c>
      <c r="I645">
        <v>0</v>
      </c>
      <c r="J645">
        <v>-404.25799999999998</v>
      </c>
      <c r="K645">
        <v>1.0608</v>
      </c>
      <c r="L645">
        <v>366.39920000000001</v>
      </c>
      <c r="M645">
        <v>0.99991269999999999</v>
      </c>
      <c r="N645">
        <v>-1.2568330000000001E-2</v>
      </c>
      <c r="O645">
        <v>-4.0628820000000003E-3</v>
      </c>
      <c r="P645">
        <v>0.98826800000000004</v>
      </c>
      <c r="Q645">
        <v>9.7071299999999999E-2</v>
      </c>
      <c r="R645">
        <v>0.1179134</v>
      </c>
      <c r="S645">
        <v>3.0001220000000002</v>
      </c>
      <c r="T645">
        <v>2.2602319999999999E-2</v>
      </c>
      <c r="U645">
        <v>0.27832030000000002</v>
      </c>
      <c r="V645">
        <v>-0.121932399999999</v>
      </c>
      <c r="W645">
        <v>0.1094735</v>
      </c>
      <c r="X645">
        <v>0.98648270000000005</v>
      </c>
      <c r="Y645">
        <v>-9.6419099999999994E-2</v>
      </c>
      <c r="Z645">
        <v>1.633157E-4</v>
      </c>
      <c r="AA645">
        <v>0.99534080000000003</v>
      </c>
      <c r="AB645">
        <v>21</v>
      </c>
      <c r="AC645">
        <v>3.0001220000000002</v>
      </c>
      <c r="AD645">
        <v>2.2602319999999999E-2</v>
      </c>
      <c r="AE645">
        <v>0.27832030000000002</v>
      </c>
      <c r="AF645">
        <v>-0.29049176067009802</v>
      </c>
      <c r="AG645">
        <v>2.2602319999999999E-2</v>
      </c>
      <c r="AH645">
        <v>2.9987976086689501</v>
      </c>
      <c r="AI645">
        <v>89.570174468674594</v>
      </c>
      <c r="AJ645">
        <v>95.532945091237494</v>
      </c>
      <c r="AK645">
        <v>3.0129194190428001</v>
      </c>
      <c r="AL645">
        <v>83.715034185102596</v>
      </c>
      <c r="AM645">
        <v>97.046202290654705</v>
      </c>
      <c r="AN645">
        <v>1.0000000373856399</v>
      </c>
    </row>
    <row r="646" spans="1:40" x14ac:dyDescent="0.25">
      <c r="A646" t="str">
        <f>"20190304154738007"</f>
        <v>20190304154738007</v>
      </c>
      <c r="B646" t="str">
        <f>"1551685657997830"</f>
        <v>1551685657997830</v>
      </c>
      <c r="C646" t="s">
        <v>40</v>
      </c>
      <c r="D646">
        <v>4.237889</v>
      </c>
      <c r="E646">
        <v>0.50831700000000002</v>
      </c>
      <c r="F646" t="s">
        <v>42</v>
      </c>
      <c r="G646">
        <v>0</v>
      </c>
      <c r="H646">
        <v>0</v>
      </c>
      <c r="I646">
        <v>0</v>
      </c>
      <c r="J646">
        <v>-404.15469999999999</v>
      </c>
      <c r="K646">
        <v>1.060797</v>
      </c>
      <c r="L646">
        <v>366.39890000000003</v>
      </c>
      <c r="M646">
        <v>0.99991339999999995</v>
      </c>
      <c r="N646">
        <v>-1.2536169999999999E-2</v>
      </c>
      <c r="O646">
        <v>-4.036825E-3</v>
      </c>
      <c r="P646">
        <v>0.98821740000000002</v>
      </c>
      <c r="Q646">
        <v>9.7367670000000003E-2</v>
      </c>
      <c r="R646">
        <v>0.1180934</v>
      </c>
      <c r="S646">
        <v>2.999908</v>
      </c>
      <c r="T646">
        <v>2.5523899999999999E-2</v>
      </c>
      <c r="U646">
        <v>0.27819820000000001</v>
      </c>
      <c r="V646">
        <v>-0.122086</v>
      </c>
      <c r="W646">
        <v>0.109738</v>
      </c>
      <c r="X646">
        <v>0.98643429999999999</v>
      </c>
      <c r="Y646">
        <v>-9.6359280000000005E-2</v>
      </c>
      <c r="Z646">
        <v>1.114921E-4</v>
      </c>
      <c r="AA646">
        <v>0.99534659999999997</v>
      </c>
      <c r="AB646">
        <v>21</v>
      </c>
      <c r="AC646">
        <v>2.999908</v>
      </c>
      <c r="AD646">
        <v>2.5523899999999999E-2</v>
      </c>
      <c r="AE646">
        <v>0.27819820000000001</v>
      </c>
      <c r="AF646">
        <v>-0.29028615200208202</v>
      </c>
      <c r="AG646">
        <v>2.5523899999999999E-2</v>
      </c>
      <c r="AH646">
        <v>2.9985452136361701</v>
      </c>
      <c r="AI646">
        <v>89.514573980851694</v>
      </c>
      <c r="AJ646">
        <v>95.529515685064396</v>
      </c>
      <c r="AK646">
        <v>3.0126717241902998</v>
      </c>
      <c r="AL646">
        <v>83.699787509510003</v>
      </c>
      <c r="AM646">
        <v>97.055331770180899</v>
      </c>
      <c r="AN646">
        <v>1.0000000241282401</v>
      </c>
    </row>
    <row r="647" spans="1:40" x14ac:dyDescent="0.25">
      <c r="A647" t="str">
        <f>"20190304154738020"</f>
        <v>20190304154738020</v>
      </c>
      <c r="B647" t="str">
        <f>"1551685658017350"</f>
        <v>1551685658017350</v>
      </c>
      <c r="C647" t="s">
        <v>40</v>
      </c>
      <c r="D647">
        <v>4.2212620000000003</v>
      </c>
      <c r="E647">
        <v>0.50900040000000002</v>
      </c>
      <c r="F647" t="s">
        <v>42</v>
      </c>
      <c r="G647">
        <v>0</v>
      </c>
      <c r="H647">
        <v>0</v>
      </c>
      <c r="I647">
        <v>0</v>
      </c>
      <c r="J647">
        <v>-404.0444</v>
      </c>
      <c r="K647">
        <v>1.0607930000000001</v>
      </c>
      <c r="L647">
        <v>366.39839999999998</v>
      </c>
      <c r="M647">
        <v>0.99991390000000002</v>
      </c>
      <c r="N647">
        <v>-1.249988E-2</v>
      </c>
      <c r="O647">
        <v>-4.0093139999999999E-3</v>
      </c>
      <c r="P647">
        <v>0.98818899999999998</v>
      </c>
      <c r="Q647">
        <v>9.7465189999999993E-2</v>
      </c>
      <c r="R647">
        <v>0.1182506</v>
      </c>
      <c r="S647">
        <v>2.9997560000000001</v>
      </c>
      <c r="T647">
        <v>2.2844429999999999E-2</v>
      </c>
      <c r="U647">
        <v>0.28265380000000001</v>
      </c>
      <c r="V647">
        <v>-0.1222154</v>
      </c>
      <c r="W647">
        <v>0.1097996</v>
      </c>
      <c r="X647">
        <v>0.98641140000000005</v>
      </c>
      <c r="Y647">
        <v>-9.7802299999999995E-2</v>
      </c>
      <c r="Z647">
        <v>1.6058309999999901E-4</v>
      </c>
      <c r="AA647">
        <v>0.99520589999999998</v>
      </c>
      <c r="AB647">
        <v>21</v>
      </c>
      <c r="AC647">
        <v>2.9997560000000001</v>
      </c>
      <c r="AD647">
        <v>2.2844429999999999E-2</v>
      </c>
      <c r="AE647">
        <v>0.28265380000000001</v>
      </c>
      <c r="AF647">
        <v>-0.29466249201883399</v>
      </c>
      <c r="AG647">
        <v>2.2844429999999999E-2</v>
      </c>
      <c r="AH647">
        <v>2.9984261871879601</v>
      </c>
      <c r="AI647">
        <v>89.5655755655158</v>
      </c>
      <c r="AJ647">
        <v>95.612571456107503</v>
      </c>
      <c r="AK647">
        <v>3.0129565964678799</v>
      </c>
      <c r="AL647">
        <v>83.696236499077003</v>
      </c>
      <c r="AM647">
        <v>97.062896602657901</v>
      </c>
      <c r="AN647">
        <v>1.00000000310364</v>
      </c>
    </row>
    <row r="648" spans="1:40" x14ac:dyDescent="0.25">
      <c r="A648" t="str">
        <f>"20190304154738030"</f>
        <v>20190304154738030</v>
      </c>
      <c r="B648" t="str">
        <f>"1551685658028085"</f>
        <v>1551685658028085</v>
      </c>
      <c r="C648" t="s">
        <v>40</v>
      </c>
      <c r="D648">
        <v>4.2039730000000004</v>
      </c>
      <c r="E648">
        <v>0.50919320000000001</v>
      </c>
      <c r="F648" t="s">
        <v>42</v>
      </c>
      <c r="G648">
        <v>0</v>
      </c>
      <c r="H648">
        <v>0</v>
      </c>
      <c r="I648">
        <v>0</v>
      </c>
      <c r="J648">
        <v>-403.94139999999999</v>
      </c>
      <c r="K648">
        <v>1.060791</v>
      </c>
      <c r="L648">
        <v>366.39800000000002</v>
      </c>
      <c r="M648">
        <v>0.99991430000000003</v>
      </c>
      <c r="N648">
        <v>-1.2465250000000001E-2</v>
      </c>
      <c r="O648">
        <v>-3.9836009999999998E-3</v>
      </c>
      <c r="P648">
        <v>0.98814080000000004</v>
      </c>
      <c r="Q648">
        <v>9.7642320000000005E-2</v>
      </c>
      <c r="R648">
        <v>0.1185071</v>
      </c>
      <c r="S648">
        <v>3.000092</v>
      </c>
      <c r="T648">
        <v>2.5332449999999999E-2</v>
      </c>
      <c r="U648">
        <v>0.27813719999999997</v>
      </c>
      <c r="V648">
        <v>-0.12244679999999999</v>
      </c>
      <c r="W648">
        <v>0.1099422</v>
      </c>
      <c r="X648">
        <v>0.98636679999999999</v>
      </c>
      <c r="Y648">
        <v>-9.6280649999999995E-2</v>
      </c>
      <c r="Z648">
        <v>1.126545E-4</v>
      </c>
      <c r="AA648">
        <v>0.99535419999999997</v>
      </c>
      <c r="AB648">
        <v>21</v>
      </c>
      <c r="AC648">
        <v>3.000092</v>
      </c>
      <c r="AD648">
        <v>2.5332449999999999E-2</v>
      </c>
      <c r="AE648">
        <v>0.27813719999999997</v>
      </c>
      <c r="AF648">
        <v>-0.290066586402558</v>
      </c>
      <c r="AG648">
        <v>2.5332449999999999E-2</v>
      </c>
      <c r="AH648">
        <v>2.9987481314670799</v>
      </c>
      <c r="AI648">
        <v>89.518243813898707</v>
      </c>
      <c r="AJ648">
        <v>95.524987607939806</v>
      </c>
      <c r="AK648">
        <v>3.0128509278667499</v>
      </c>
      <c r="AL648">
        <v>83.688016241345395</v>
      </c>
      <c r="AM648">
        <v>97.076450612435906</v>
      </c>
      <c r="AN648">
        <v>0.999999985156659</v>
      </c>
    </row>
    <row r="649" spans="1:40" x14ac:dyDescent="0.25">
      <c r="A649" t="str">
        <f>"20190304154738041"</f>
        <v>20190304154738041</v>
      </c>
      <c r="B649" t="str">
        <f>"1551685658037846"</f>
        <v>1551685658037846</v>
      </c>
      <c r="C649" t="s">
        <v>40</v>
      </c>
      <c r="D649">
        <v>4.2289260000000004</v>
      </c>
      <c r="E649">
        <v>0.50942909999999997</v>
      </c>
      <c r="F649" t="s">
        <v>42</v>
      </c>
      <c r="G649">
        <v>0</v>
      </c>
      <c r="H649">
        <v>0</v>
      </c>
      <c r="I649">
        <v>0</v>
      </c>
      <c r="J649">
        <v>-403.8383</v>
      </c>
      <c r="K649">
        <v>1.0607839999999999</v>
      </c>
      <c r="L649">
        <v>366.39769999999999</v>
      </c>
      <c r="M649">
        <v>0.99991490000000005</v>
      </c>
      <c r="N649">
        <v>-1.242735E-2</v>
      </c>
      <c r="O649">
        <v>-3.9578670000000003E-3</v>
      </c>
      <c r="P649">
        <v>0.98808580000000001</v>
      </c>
      <c r="Q649">
        <v>9.7994100000000001E-2</v>
      </c>
      <c r="R649">
        <v>0.1186749</v>
      </c>
      <c r="S649">
        <v>3.0002439999999999</v>
      </c>
      <c r="T649">
        <v>2.5635720000000001E-2</v>
      </c>
      <c r="U649">
        <v>0.27716059999999998</v>
      </c>
      <c r="V649">
        <v>-0.1225888</v>
      </c>
      <c r="W649">
        <v>0.11025600000000001</v>
      </c>
      <c r="X649">
        <v>0.98631420000000003</v>
      </c>
      <c r="Y649">
        <v>-9.592908E-2</v>
      </c>
      <c r="Z649">
        <v>1.055736E-4</v>
      </c>
      <c r="AA649">
        <v>0.99538819999999995</v>
      </c>
      <c r="AB649">
        <v>21</v>
      </c>
      <c r="AC649">
        <v>3.0002439999999999</v>
      </c>
      <c r="AD649">
        <v>2.5635720000000001E-2</v>
      </c>
      <c r="AE649">
        <v>0.27716059999999998</v>
      </c>
      <c r="AF649">
        <v>-0.28901299106441602</v>
      </c>
      <c r="AG649">
        <v>2.5635720000000001E-2</v>
      </c>
      <c r="AH649">
        <v>2.9989063525151298</v>
      </c>
      <c r="AI649">
        <v>89.512485796649401</v>
      </c>
      <c r="AJ649">
        <v>95.504754295217694</v>
      </c>
      <c r="AK649">
        <v>3.0129097248838201</v>
      </c>
      <c r="AL649">
        <v>83.669927266890994</v>
      </c>
      <c r="AM649">
        <v>97.084947718692604</v>
      </c>
      <c r="AN649">
        <v>1.00000005027153</v>
      </c>
    </row>
    <row r="650" spans="1:40" x14ac:dyDescent="0.25">
      <c r="A650" t="str">
        <f>"20190304154738053"</f>
        <v>20190304154738053</v>
      </c>
      <c r="B650" t="str">
        <f>"1551685658047606"</f>
        <v>1551685658047606</v>
      </c>
      <c r="C650" t="s">
        <v>40</v>
      </c>
      <c r="D650">
        <v>4.3446030000000002</v>
      </c>
      <c r="E650">
        <v>0.51001049999999903</v>
      </c>
      <c r="F650" t="s">
        <v>42</v>
      </c>
      <c r="G650">
        <v>0</v>
      </c>
      <c r="H650">
        <v>0</v>
      </c>
      <c r="I650">
        <v>0</v>
      </c>
      <c r="J650">
        <v>-403.72660000000002</v>
      </c>
      <c r="K650">
        <v>1.060775</v>
      </c>
      <c r="L650">
        <v>366.3972</v>
      </c>
      <c r="M650">
        <v>0.99991569999999996</v>
      </c>
      <c r="N650">
        <v>-1.2385760000000001E-2</v>
      </c>
      <c r="O650">
        <v>-3.9302019999999998E-3</v>
      </c>
      <c r="P650">
        <v>0.98810180000000003</v>
      </c>
      <c r="Q650">
        <v>9.7495289999999998E-2</v>
      </c>
      <c r="R650">
        <v>0.118951399999999</v>
      </c>
      <c r="S650">
        <v>3.0003660000000001</v>
      </c>
      <c r="T650">
        <v>2.6707410000000001E-2</v>
      </c>
      <c r="U650">
        <v>0.27578740000000002</v>
      </c>
      <c r="V650">
        <v>-0.1228374</v>
      </c>
      <c r="W650">
        <v>0.1097166</v>
      </c>
      <c r="X650">
        <v>0.98634339999999998</v>
      </c>
      <c r="Y650">
        <v>-9.5445950000000002E-2</v>
      </c>
      <c r="Z650" s="1">
        <v>8.4962930000000001E-5</v>
      </c>
      <c r="AA650">
        <v>0.99543459999999995</v>
      </c>
      <c r="AB650">
        <v>21</v>
      </c>
      <c r="AC650">
        <v>3.0003660000000001</v>
      </c>
      <c r="AD650">
        <v>2.6707410000000001E-2</v>
      </c>
      <c r="AE650">
        <v>0.27578740000000002</v>
      </c>
      <c r="AF650">
        <v>-0.28755562372889298</v>
      </c>
      <c r="AG650">
        <v>2.6707410000000001E-2</v>
      </c>
      <c r="AH650">
        <v>2.9990232049504901</v>
      </c>
      <c r="AI650">
        <v>89.492102626150299</v>
      </c>
      <c r="AJ650">
        <v>95.476953314727695</v>
      </c>
      <c r="AK650">
        <v>3.0128959003454701</v>
      </c>
      <c r="AL650">
        <v>83.701021130915393</v>
      </c>
      <c r="AM650">
        <v>97.098960934785495</v>
      </c>
      <c r="AN650">
        <v>1.0000000309389301</v>
      </c>
    </row>
    <row r="651" spans="1:40" x14ac:dyDescent="0.25">
      <c r="A651" t="str">
        <f>"20190304154738065"</f>
        <v>20190304154738065</v>
      </c>
      <c r="B651" t="str">
        <f>"1551685658057365"</f>
        <v>1551685658057365</v>
      </c>
      <c r="C651" t="s">
        <v>40</v>
      </c>
      <c r="D651">
        <v>4.2125510000000004</v>
      </c>
      <c r="E651">
        <v>0.51018869999999905</v>
      </c>
      <c r="F651" t="s">
        <v>42</v>
      </c>
      <c r="G651">
        <v>0</v>
      </c>
      <c r="H651">
        <v>0</v>
      </c>
      <c r="I651">
        <v>0</v>
      </c>
      <c r="J651">
        <v>-403.61599999999999</v>
      </c>
      <c r="K651">
        <v>1.060765</v>
      </c>
      <c r="L651">
        <v>366.39690000000002</v>
      </c>
      <c r="M651">
        <v>0.99991629999999998</v>
      </c>
      <c r="N651">
        <v>-1.2343140000000001E-2</v>
      </c>
      <c r="O651">
        <v>-3.9035939999999998E-3</v>
      </c>
      <c r="P651">
        <v>0.9881392</v>
      </c>
      <c r="Q651">
        <v>9.6982680000000002E-2</v>
      </c>
      <c r="R651">
        <v>0.119062</v>
      </c>
      <c r="S651">
        <v>3.0012819999999998</v>
      </c>
      <c r="T651">
        <v>2.103174E-2</v>
      </c>
      <c r="U651">
        <v>0.27182009999999901</v>
      </c>
      <c r="V651">
        <v>-0.12292160000000001</v>
      </c>
      <c r="W651">
        <v>0.1091626</v>
      </c>
      <c r="X651">
        <v>0.98639429999999995</v>
      </c>
      <c r="Y651">
        <v>-9.4087149999999994E-2</v>
      </c>
      <c r="Z651">
        <v>1.77501199999999E-4</v>
      </c>
      <c r="AA651">
        <v>0.99556389999999995</v>
      </c>
      <c r="AB651">
        <v>21</v>
      </c>
      <c r="AC651">
        <v>3.0012819999999998</v>
      </c>
      <c r="AD651">
        <v>2.103174E-2</v>
      </c>
      <c r="AE651">
        <v>0.27182009999999901</v>
      </c>
      <c r="AF651">
        <v>-0.28352089711323403</v>
      </c>
      <c r="AG651">
        <v>2.103174E-2</v>
      </c>
      <c r="AH651">
        <v>3.0000518508257499</v>
      </c>
      <c r="AI651">
        <v>89.600118570742097</v>
      </c>
      <c r="AJ651">
        <v>95.398722323789798</v>
      </c>
      <c r="AK651">
        <v>3.01349258184425</v>
      </c>
      <c r="AL651">
        <v>83.732954319543595</v>
      </c>
      <c r="AM651">
        <v>97.103414458727997</v>
      </c>
      <c r="AN651">
        <v>0.99999995402890296</v>
      </c>
    </row>
    <row r="652" spans="1:40" x14ac:dyDescent="0.25">
      <c r="A652" t="str">
        <f>"20190304154738078"</f>
        <v>20190304154738078</v>
      </c>
      <c r="B652" t="str">
        <f>"1551685658067125"</f>
        <v>1551685658067125</v>
      </c>
      <c r="C652" t="s">
        <v>40</v>
      </c>
      <c r="D652">
        <v>4.5516589999999999</v>
      </c>
      <c r="E652">
        <v>0.51078409999999996</v>
      </c>
      <c r="F652" t="s">
        <v>42</v>
      </c>
      <c r="G652">
        <v>0</v>
      </c>
      <c r="H652">
        <v>0</v>
      </c>
      <c r="I652">
        <v>0</v>
      </c>
      <c r="J652">
        <v>-403.49340000000001</v>
      </c>
      <c r="K652">
        <v>1.0607599999999999</v>
      </c>
      <c r="L652">
        <v>366.39640000000003</v>
      </c>
      <c r="M652">
        <v>0.99991699999999994</v>
      </c>
      <c r="N652">
        <v>-1.229659E-2</v>
      </c>
      <c r="O652">
        <v>-3.8744579999999999E-3</v>
      </c>
      <c r="P652">
        <v>0.98815109999999995</v>
      </c>
      <c r="Q652">
        <v>9.6568459999999995E-2</v>
      </c>
      <c r="R652">
        <v>0.11929919999999999</v>
      </c>
      <c r="S652">
        <v>3.0015559999999999</v>
      </c>
      <c r="T652">
        <v>1.9114490000000001E-2</v>
      </c>
      <c r="U652">
        <v>0.27069090000000001</v>
      </c>
      <c r="V652">
        <v>-0.12313060000000001</v>
      </c>
      <c r="W652">
        <v>0.1087028</v>
      </c>
      <c r="X652">
        <v>0.98641909999999999</v>
      </c>
      <c r="Y652">
        <v>-9.3678499999999998E-2</v>
      </c>
      <c r="Z652">
        <v>2.073027E-4</v>
      </c>
      <c r="AA652">
        <v>0.99560249999999995</v>
      </c>
      <c r="AB652">
        <v>21</v>
      </c>
      <c r="AC652">
        <v>3.0015559999999999</v>
      </c>
      <c r="AD652">
        <v>1.9114490000000001E-2</v>
      </c>
      <c r="AE652">
        <v>0.27069090000000001</v>
      </c>
      <c r="AF652">
        <v>-0.28230779230929098</v>
      </c>
      <c r="AG652">
        <v>1.9114490000000001E-2</v>
      </c>
      <c r="AH652">
        <v>3.00036391318022</v>
      </c>
      <c r="AI652">
        <v>89.636594402125596</v>
      </c>
      <c r="AJ652">
        <v>95.375202502228603</v>
      </c>
      <c r="AK652">
        <v>3.01367660256382</v>
      </c>
      <c r="AL652">
        <v>83.7594571842166</v>
      </c>
      <c r="AM652">
        <v>97.115191437540304</v>
      </c>
      <c r="AN652">
        <v>1.0000000421145001</v>
      </c>
    </row>
    <row r="653" spans="1:40" x14ac:dyDescent="0.25">
      <c r="A653" t="str">
        <f>"20190304154738100"</f>
        <v>20190304154738100</v>
      </c>
      <c r="B653" t="str">
        <f>"1551685658097383"</f>
        <v>1551685658097383</v>
      </c>
      <c r="C653" t="s">
        <v>40</v>
      </c>
      <c r="D653">
        <v>4.2035010000000002</v>
      </c>
      <c r="E653">
        <v>0.511818</v>
      </c>
      <c r="F653" t="s">
        <v>42</v>
      </c>
      <c r="G653">
        <v>0</v>
      </c>
      <c r="H653">
        <v>0</v>
      </c>
      <c r="I653">
        <v>0</v>
      </c>
      <c r="J653">
        <v>-403.28390000000002</v>
      </c>
      <c r="K653">
        <v>1.0607470000000001</v>
      </c>
      <c r="L653">
        <v>366.39569999999998</v>
      </c>
      <c r="M653">
        <v>0.99991810000000003</v>
      </c>
      <c r="N653">
        <v>-1.221886E-2</v>
      </c>
      <c r="O653">
        <v>-3.8253380000000002E-3</v>
      </c>
      <c r="P653">
        <v>0.98812690000000003</v>
      </c>
      <c r="Q653">
        <v>9.6955089999999994E-2</v>
      </c>
      <c r="R653">
        <v>0.1191851</v>
      </c>
      <c r="S653">
        <v>3.0014949999999998</v>
      </c>
      <c r="T653">
        <v>2.2987839999999999E-2</v>
      </c>
      <c r="U653">
        <v>0.26678469999999999</v>
      </c>
      <c r="V653">
        <v>-0.1229679</v>
      </c>
      <c r="W653">
        <v>0.10901189999999999</v>
      </c>
      <c r="X653">
        <v>0.98640530000000004</v>
      </c>
      <c r="Y653">
        <v>-9.2345700000000003E-2</v>
      </c>
      <c r="Z653">
        <v>1.364902E-4</v>
      </c>
      <c r="AA653">
        <v>0.99572700000000003</v>
      </c>
      <c r="AB653">
        <v>21</v>
      </c>
      <c r="AC653">
        <v>3.0014949999999998</v>
      </c>
      <c r="AD653">
        <v>2.2987839999999999E-2</v>
      </c>
      <c r="AE653">
        <v>0.26678469999999999</v>
      </c>
      <c r="AF653">
        <v>-0.27824914365443998</v>
      </c>
      <c r="AG653">
        <v>2.2987839999999999E-2</v>
      </c>
      <c r="AH653">
        <v>3.0002778097891798</v>
      </c>
      <c r="AI653">
        <v>89.562889515851197</v>
      </c>
      <c r="AJ653">
        <v>95.298519109293295</v>
      </c>
      <c r="AK653">
        <v>3.0132404422225698</v>
      </c>
      <c r="AL653">
        <v>83.741641281306798</v>
      </c>
      <c r="AM653">
        <v>97.105984269217998</v>
      </c>
      <c r="AN653">
        <v>1.00000005732005</v>
      </c>
    </row>
    <row r="654" spans="1:40" x14ac:dyDescent="0.25">
      <c r="A654" t="str">
        <f>"20190304154738113"</f>
        <v>20190304154738113</v>
      </c>
      <c r="B654" t="str">
        <f>"1551685658108118"</f>
        <v>1551685658108118</v>
      </c>
      <c r="C654" t="s">
        <v>40</v>
      </c>
      <c r="D654">
        <v>4.2427519999999896</v>
      </c>
      <c r="E654">
        <v>0.51185199999999997</v>
      </c>
      <c r="F654" t="s">
        <v>42</v>
      </c>
      <c r="G654">
        <v>0</v>
      </c>
      <c r="H654">
        <v>0</v>
      </c>
      <c r="I654">
        <v>0</v>
      </c>
      <c r="J654">
        <v>-403.1558</v>
      </c>
      <c r="K654">
        <v>1.0607390000000001</v>
      </c>
      <c r="L654">
        <v>366.39519999999999</v>
      </c>
      <c r="M654">
        <v>0.99991870000000005</v>
      </c>
      <c r="N654">
        <v>-1.2172199999999999E-2</v>
      </c>
      <c r="O654">
        <v>-3.7958419999999998E-3</v>
      </c>
      <c r="P654">
        <v>0.98809559999999996</v>
      </c>
      <c r="Q654">
        <v>9.7054689999999999E-2</v>
      </c>
      <c r="R654">
        <v>0.11936280000000001</v>
      </c>
      <c r="S654">
        <v>3.0015559999999999</v>
      </c>
      <c r="T654">
        <v>3.3993959999999997E-2</v>
      </c>
      <c r="U654">
        <v>0.25836179999999997</v>
      </c>
      <c r="V654">
        <v>-0.1231167</v>
      </c>
      <c r="W654">
        <v>0.10906490000000001</v>
      </c>
      <c r="X654">
        <v>0.98638079999999995</v>
      </c>
      <c r="Y654">
        <v>-8.9539770000000005E-2</v>
      </c>
      <c r="Z654" s="1">
        <v>-4.9140300000000001E-5</v>
      </c>
      <c r="AA654">
        <v>0.99598319999999996</v>
      </c>
      <c r="AB654">
        <v>21</v>
      </c>
      <c r="AC654">
        <v>3.0015559999999999</v>
      </c>
      <c r="AD654">
        <v>3.3993959999999997E-2</v>
      </c>
      <c r="AE654">
        <v>0.25836179999999997</v>
      </c>
      <c r="AF654">
        <v>-0.269719873639713</v>
      </c>
      <c r="AG654">
        <v>3.3993959999999997E-2</v>
      </c>
      <c r="AH654">
        <v>3.0001716106396801</v>
      </c>
      <c r="AI654">
        <v>89.353435480036794</v>
      </c>
      <c r="AJ654">
        <v>95.137165189679607</v>
      </c>
      <c r="AK654">
        <v>3.0124631272168201</v>
      </c>
      <c r="AL654">
        <v>83.738585894495202</v>
      </c>
      <c r="AM654">
        <v>97.114669859795498</v>
      </c>
      <c r="AN654">
        <v>0.99999997841976895</v>
      </c>
    </row>
    <row r="655" spans="1:40" x14ac:dyDescent="0.25">
      <c r="A655" t="str">
        <f>"20190304154738128"</f>
        <v>20190304154738128</v>
      </c>
      <c r="B655" t="str">
        <f>"1551685658117878"</f>
        <v>1551685658117878</v>
      </c>
      <c r="C655" t="s">
        <v>40</v>
      </c>
      <c r="D655">
        <v>4.2306369999999998</v>
      </c>
      <c r="E655">
        <v>0.51190239999999998</v>
      </c>
      <c r="F655" t="s">
        <v>42</v>
      </c>
      <c r="G655">
        <v>0</v>
      </c>
      <c r="H655">
        <v>0</v>
      </c>
      <c r="I655">
        <v>0</v>
      </c>
      <c r="J655">
        <v>-403.01159999999999</v>
      </c>
      <c r="K655">
        <v>1.0607329999999999</v>
      </c>
      <c r="L655">
        <v>366.3947</v>
      </c>
      <c r="M655">
        <v>0.99991960000000002</v>
      </c>
      <c r="N655">
        <v>-1.212066E-2</v>
      </c>
      <c r="O655">
        <v>-3.7628610000000002E-3</v>
      </c>
      <c r="P655">
        <v>0.98807509999999998</v>
      </c>
      <c r="Q655">
        <v>9.7187339999999997E-2</v>
      </c>
      <c r="R655">
        <v>0.1194253</v>
      </c>
      <c r="S655">
        <v>3.0015559999999999</v>
      </c>
      <c r="T655">
        <v>3.4134150000000002E-2</v>
      </c>
      <c r="U655">
        <v>0.25866699999999998</v>
      </c>
      <c r="V655">
        <v>-0.1231462</v>
      </c>
      <c r="W655">
        <v>0.10914649999999999</v>
      </c>
      <c r="X655">
        <v>0.98636809999999997</v>
      </c>
      <c r="Y655">
        <v>-8.9607409999999998E-2</v>
      </c>
      <c r="Z655" s="1">
        <v>-5.2715769999999897E-5</v>
      </c>
      <c r="AA655">
        <v>0.99597720000000001</v>
      </c>
      <c r="AB655">
        <v>21</v>
      </c>
      <c r="AC655">
        <v>3.0015559999999999</v>
      </c>
      <c r="AD655">
        <v>3.4134150000000002E-2</v>
      </c>
      <c r="AE655">
        <v>0.25866699999999998</v>
      </c>
      <c r="AF655">
        <v>-0.26992578361752601</v>
      </c>
      <c r="AG655">
        <v>3.4134150000000002E-2</v>
      </c>
      <c r="AH655">
        <v>3.0001762077601302</v>
      </c>
      <c r="AI655">
        <v>89.350774258095299</v>
      </c>
      <c r="AJ655">
        <v>95.141058168739207</v>
      </c>
      <c r="AK655">
        <v>3.01248773382859</v>
      </c>
      <c r="AL655">
        <v>83.733882533266296</v>
      </c>
      <c r="AM655">
        <v>97.116447817394601</v>
      </c>
      <c r="AN655">
        <v>0.99999998686714897</v>
      </c>
    </row>
    <row r="656" spans="1:40" x14ac:dyDescent="0.25">
      <c r="A656" t="str">
        <f>"20190304154738144"</f>
        <v>20190304154738144</v>
      </c>
      <c r="B656" t="str">
        <f>"1551685658137398"</f>
        <v>1551685658137398</v>
      </c>
      <c r="C656" t="s">
        <v>40</v>
      </c>
      <c r="D656">
        <v>4.2444059999999997</v>
      </c>
      <c r="E656">
        <v>0.5120595</v>
      </c>
      <c r="F656" t="s">
        <v>42</v>
      </c>
      <c r="G656">
        <v>0</v>
      </c>
      <c r="H656">
        <v>0</v>
      </c>
      <c r="I656">
        <v>0</v>
      </c>
      <c r="J656">
        <v>-402.86900000000003</v>
      </c>
      <c r="K656">
        <v>1.060737</v>
      </c>
      <c r="L656">
        <v>366.39420000000001</v>
      </c>
      <c r="M656">
        <v>0.99992029999999998</v>
      </c>
      <c r="N656">
        <v>-1.207156E-2</v>
      </c>
      <c r="O656">
        <v>-3.729661E-3</v>
      </c>
      <c r="P656">
        <v>0.98806879999999997</v>
      </c>
      <c r="Q656">
        <v>9.6976469999999995E-2</v>
      </c>
      <c r="R656">
        <v>0.1196482</v>
      </c>
      <c r="S656">
        <v>3.0015869999999998</v>
      </c>
      <c r="T656">
        <v>3.4474020000000001E-2</v>
      </c>
      <c r="U656">
        <v>0.2584534</v>
      </c>
      <c r="V656">
        <v>-0.1233369</v>
      </c>
      <c r="W656">
        <v>0.1088872</v>
      </c>
      <c r="X656">
        <v>0.9863729</v>
      </c>
      <c r="Y656">
        <v>-8.9503020000000003E-2</v>
      </c>
      <c r="Z656" s="1">
        <v>-5.9473679999999998E-5</v>
      </c>
      <c r="AA656">
        <v>0.9959865</v>
      </c>
      <c r="AB656">
        <v>21</v>
      </c>
      <c r="AC656">
        <v>3.0015869999999998</v>
      </c>
      <c r="AD656">
        <v>3.4474020000000001E-2</v>
      </c>
      <c r="AE656">
        <v>0.2584534</v>
      </c>
      <c r="AF656">
        <v>-0.269612015410295</v>
      </c>
      <c r="AG656">
        <v>3.4474020000000001E-2</v>
      </c>
      <c r="AH656">
        <v>3.0002092577597499</v>
      </c>
      <c r="AI656">
        <v>89.344311598467698</v>
      </c>
      <c r="AJ656">
        <v>95.135057783240498</v>
      </c>
      <c r="AK656">
        <v>3.01249642111918</v>
      </c>
      <c r="AL656">
        <v>83.748828211403406</v>
      </c>
      <c r="AM656">
        <v>97.1273205281081</v>
      </c>
      <c r="AN656">
        <v>0.99999995553992904</v>
      </c>
    </row>
    <row r="657" spans="1:40" x14ac:dyDescent="0.25">
      <c r="A657" t="str">
        <f>"20190304154738158"</f>
        <v>20190304154738158</v>
      </c>
      <c r="B657" t="str">
        <f>"1551685658147158"</f>
        <v>1551685658147158</v>
      </c>
      <c r="C657" t="s">
        <v>40</v>
      </c>
      <c r="D657">
        <v>4.2476859999999999</v>
      </c>
      <c r="E657">
        <v>0.51213439999999999</v>
      </c>
      <c r="F657" t="s">
        <v>42</v>
      </c>
      <c r="G657">
        <v>0</v>
      </c>
      <c r="H657">
        <v>0</v>
      </c>
      <c r="I657">
        <v>0</v>
      </c>
      <c r="J657">
        <v>-402.72559999999999</v>
      </c>
      <c r="K657">
        <v>1.0607329999999999</v>
      </c>
      <c r="L657">
        <v>366.39370000000002</v>
      </c>
      <c r="M657">
        <v>0.99992099999999995</v>
      </c>
      <c r="N657">
        <v>-1.202433E-2</v>
      </c>
      <c r="O657">
        <v>-3.6958799999999999E-3</v>
      </c>
      <c r="P657">
        <v>0.98807719999999999</v>
      </c>
      <c r="Q657">
        <v>9.6911600000000001E-2</v>
      </c>
      <c r="R657">
        <v>0.11963219999999999</v>
      </c>
      <c r="S657">
        <v>3.001709</v>
      </c>
      <c r="T657">
        <v>3.3563849999999999E-2</v>
      </c>
      <c r="U657">
        <v>0.25756839999999998</v>
      </c>
      <c r="V657">
        <v>-0.1232876</v>
      </c>
      <c r="W657">
        <v>0.10877580000000001</v>
      </c>
      <c r="X657">
        <v>0.98639140000000003</v>
      </c>
      <c r="Y657">
        <v>-8.917456E-2</v>
      </c>
      <c r="Z657" s="1">
        <v>-4.6098949999999997E-5</v>
      </c>
      <c r="AA657">
        <v>0.99601600000000001</v>
      </c>
      <c r="AB657">
        <v>21</v>
      </c>
      <c r="AC657">
        <v>3.001709</v>
      </c>
      <c r="AD657">
        <v>3.3563849999999999E-2</v>
      </c>
      <c r="AE657">
        <v>0.25756839999999998</v>
      </c>
      <c r="AF657">
        <v>-0.26862805709712401</v>
      </c>
      <c r="AG657">
        <v>3.3563849999999999E-2</v>
      </c>
      <c r="AH657">
        <v>3.0003640985106399</v>
      </c>
      <c r="AI657">
        <v>89.361635435213799</v>
      </c>
      <c r="AJ657">
        <v>95.116154219319</v>
      </c>
      <c r="AK657">
        <v>3.0125524541023601</v>
      </c>
      <c r="AL657">
        <v>83.755249382049897</v>
      </c>
      <c r="AM657">
        <v>97.124368641594103</v>
      </c>
      <c r="AN657">
        <v>1.00000000048668</v>
      </c>
    </row>
    <row r="658" spans="1:40" x14ac:dyDescent="0.25">
      <c r="A658" t="str">
        <f>"20190304154738172"</f>
        <v>20190304154738172</v>
      </c>
      <c r="B658" t="str">
        <f>"1551685658167653"</f>
        <v>1551685658167653</v>
      </c>
      <c r="C658" t="s">
        <v>40</v>
      </c>
      <c r="D658">
        <v>4.2115589999999896</v>
      </c>
      <c r="E658">
        <v>0.51216779999999995</v>
      </c>
      <c r="F658" t="s">
        <v>42</v>
      </c>
      <c r="G658">
        <v>0</v>
      </c>
      <c r="H658">
        <v>0</v>
      </c>
      <c r="I658">
        <v>0</v>
      </c>
      <c r="J658">
        <v>-402.60140000000001</v>
      </c>
      <c r="K658">
        <v>1.0607260000000001</v>
      </c>
      <c r="L658">
        <v>366.39330000000001</v>
      </c>
      <c r="M658">
        <v>0.99992159999999997</v>
      </c>
      <c r="N658">
        <v>-1.198515E-2</v>
      </c>
      <c r="O658">
        <v>-3.6666799999999999E-3</v>
      </c>
      <c r="P658">
        <v>0.98807639999999997</v>
      </c>
      <c r="Q658">
        <v>9.6629279999999998E-2</v>
      </c>
      <c r="R658">
        <v>0.11986769999999999</v>
      </c>
      <c r="S658">
        <v>3.00177</v>
      </c>
      <c r="T658">
        <v>3.3855440000000001E-2</v>
      </c>
      <c r="U658">
        <v>0.2568665</v>
      </c>
      <c r="V658">
        <v>-0.1234942</v>
      </c>
      <c r="W658">
        <v>0.10845490000000001</v>
      </c>
      <c r="X658">
        <v>0.98640090000000002</v>
      </c>
      <c r="Y658">
        <v>-8.8912480000000002E-2</v>
      </c>
      <c r="Z658" s="1">
        <v>-5.1806450000000003E-5</v>
      </c>
      <c r="AA658">
        <v>0.99603949999999997</v>
      </c>
      <c r="AB658">
        <v>21</v>
      </c>
      <c r="AC658">
        <v>3.00177</v>
      </c>
      <c r="AD658">
        <v>3.3855440000000001E-2</v>
      </c>
      <c r="AE658">
        <v>0.2568665</v>
      </c>
      <c r="AF658">
        <v>-0.26783826948036199</v>
      </c>
      <c r="AG658">
        <v>3.3855440000000001E-2</v>
      </c>
      <c r="AH658">
        <v>3.00042901026463</v>
      </c>
      <c r="AI658">
        <v>89.356088818581298</v>
      </c>
      <c r="AJ658">
        <v>95.101082025298695</v>
      </c>
      <c r="AK658">
        <v>3.0125500452363299</v>
      </c>
      <c r="AL658">
        <v>83.773745074813405</v>
      </c>
      <c r="AM658">
        <v>97.136116345183197</v>
      </c>
      <c r="AN658">
        <v>1.00000000914422</v>
      </c>
    </row>
    <row r="659" spans="1:40" x14ac:dyDescent="0.25">
      <c r="A659" t="str">
        <f>"20190304154738187"</f>
        <v>20190304154738187</v>
      </c>
      <c r="B659" t="str">
        <f>"1551685658177414"</f>
        <v>1551685658177414</v>
      </c>
      <c r="C659" t="s">
        <v>40</v>
      </c>
      <c r="D659">
        <v>4.2262110000000002</v>
      </c>
      <c r="E659">
        <v>0.5125651</v>
      </c>
      <c r="F659" t="s">
        <v>42</v>
      </c>
      <c r="G659">
        <v>0</v>
      </c>
      <c r="H659">
        <v>0</v>
      </c>
      <c r="I659">
        <v>0</v>
      </c>
      <c r="J659">
        <v>-402.4477</v>
      </c>
      <c r="K659">
        <v>1.060724</v>
      </c>
      <c r="L659">
        <v>366.39280000000002</v>
      </c>
      <c r="M659">
        <v>0.99992230000000004</v>
      </c>
      <c r="N659">
        <v>-1.194133E-2</v>
      </c>
      <c r="O659">
        <v>-3.6295860000000002E-3</v>
      </c>
      <c r="P659">
        <v>0.98806349999999998</v>
      </c>
      <c r="Q659">
        <v>9.6391619999999997E-2</v>
      </c>
      <c r="R659">
        <v>0.1201643</v>
      </c>
      <c r="S659">
        <v>3.00177</v>
      </c>
      <c r="T659">
        <v>3.2702210000000002E-2</v>
      </c>
      <c r="U659">
        <v>0.25735469999999999</v>
      </c>
      <c r="V659">
        <v>-0.1237539</v>
      </c>
      <c r="W659">
        <v>0.1081738</v>
      </c>
      <c r="X659">
        <v>0.98639920000000003</v>
      </c>
      <c r="Y659">
        <v>-8.9036580000000004E-2</v>
      </c>
      <c r="Z659" s="1">
        <v>-3.4225289999999998E-5</v>
      </c>
      <c r="AA659">
        <v>0.99602840000000004</v>
      </c>
      <c r="AB659">
        <v>21</v>
      </c>
      <c r="AC659">
        <v>3.00177</v>
      </c>
      <c r="AD659">
        <v>3.2702210000000002E-2</v>
      </c>
      <c r="AE659">
        <v>0.25735469999999999</v>
      </c>
      <c r="AF659">
        <v>-0.26821736042250999</v>
      </c>
      <c r="AG659">
        <v>3.2702210000000002E-2</v>
      </c>
      <c r="AH659">
        <v>3.0004625528316602</v>
      </c>
      <c r="AI659">
        <v>89.378034703887394</v>
      </c>
      <c r="AJ659">
        <v>95.108206980794606</v>
      </c>
      <c r="AK659">
        <v>3.0126044409971899</v>
      </c>
      <c r="AL659">
        <v>83.789946117024797</v>
      </c>
      <c r="AM659">
        <v>97.150980119337802</v>
      </c>
      <c r="AN659">
        <v>0.99999999026614494</v>
      </c>
    </row>
    <row r="660" spans="1:40" x14ac:dyDescent="0.25">
      <c r="A660" t="str">
        <f>"20190304154738199"</f>
        <v>20190304154738199</v>
      </c>
      <c r="B660" t="str">
        <f>"1551685658187174"</f>
        <v>1551685658187174</v>
      </c>
      <c r="C660" t="s">
        <v>40</v>
      </c>
      <c r="D660">
        <v>4.1899540000000002</v>
      </c>
      <c r="E660">
        <v>0.5125651</v>
      </c>
      <c r="F660" t="s">
        <v>42</v>
      </c>
      <c r="G660">
        <v>0</v>
      </c>
      <c r="H660">
        <v>0</v>
      </c>
      <c r="I660">
        <v>0</v>
      </c>
      <c r="J660">
        <v>-402.3381</v>
      </c>
      <c r="K660">
        <v>1.0607249999999999</v>
      </c>
      <c r="L660">
        <v>366.39240000000001</v>
      </c>
      <c r="M660">
        <v>0.99992259999999999</v>
      </c>
      <c r="N660">
        <v>-1.191097E-2</v>
      </c>
      <c r="O660">
        <v>-3.6030620000000002E-3</v>
      </c>
      <c r="P660">
        <v>0.98801930000000004</v>
      </c>
      <c r="Q660">
        <v>9.6637669999999995E-2</v>
      </c>
      <c r="R660">
        <v>0.12032950000000001</v>
      </c>
      <c r="S660">
        <v>3.0019840000000002</v>
      </c>
      <c r="T660">
        <v>3.318405E-2</v>
      </c>
      <c r="U660">
        <v>0.2550964</v>
      </c>
      <c r="V660">
        <v>-0.12389260000000001</v>
      </c>
      <c r="W660">
        <v>0.1083895</v>
      </c>
      <c r="X660">
        <v>0.98635810000000002</v>
      </c>
      <c r="Y660">
        <v>-8.8260140000000001E-2</v>
      </c>
      <c r="Z660" s="1">
        <v>-4.2921859999999997E-5</v>
      </c>
      <c r="AA660">
        <v>0.99609740000000002</v>
      </c>
      <c r="AB660">
        <v>21</v>
      </c>
      <c r="AC660">
        <v>3.0019840000000002</v>
      </c>
      <c r="AD660">
        <v>3.318405E-2</v>
      </c>
      <c r="AE660">
        <v>0.2550964</v>
      </c>
      <c r="AF660">
        <v>-0.26587959003113998</v>
      </c>
      <c r="AG660">
        <v>3.318405E-2</v>
      </c>
      <c r="AH660">
        <v>3.0006812878931601</v>
      </c>
      <c r="AI660">
        <v>89.368873523473098</v>
      </c>
      <c r="AJ660">
        <v>95.063549367967397</v>
      </c>
      <c r="AK660">
        <v>3.0126203426720899</v>
      </c>
      <c r="AL660">
        <v>83.7775142619587</v>
      </c>
      <c r="AM660">
        <v>97.159206840076294</v>
      </c>
      <c r="AN660">
        <v>0.99999998074030905</v>
      </c>
    </row>
    <row r="661" spans="1:40" x14ac:dyDescent="0.25">
      <c r="A661" t="str">
        <f>"20190304154738212"</f>
        <v>20190304154738212</v>
      </c>
      <c r="B661" t="str">
        <f>"1551685658207669"</f>
        <v>1551685658207669</v>
      </c>
      <c r="C661" t="s">
        <v>40</v>
      </c>
      <c r="D661">
        <v>4.3499509999999999</v>
      </c>
      <c r="E661">
        <v>0.55927530000000003</v>
      </c>
      <c r="F661" t="s">
        <v>42</v>
      </c>
      <c r="G661">
        <v>0</v>
      </c>
      <c r="H661">
        <v>0</v>
      </c>
      <c r="I661">
        <v>0</v>
      </c>
      <c r="J661">
        <v>-402.2124</v>
      </c>
      <c r="K661">
        <v>1.060719</v>
      </c>
      <c r="L661">
        <v>366.392</v>
      </c>
      <c r="M661">
        <v>0.99992309999999995</v>
      </c>
      <c r="N661">
        <v>-1.1876660000000001E-2</v>
      </c>
      <c r="O661">
        <v>-3.5725819999999999E-3</v>
      </c>
      <c r="P661">
        <v>0.98800100000000002</v>
      </c>
      <c r="Q661">
        <v>9.660581E-2</v>
      </c>
      <c r="R661">
        <v>0.12050429999999999</v>
      </c>
      <c r="S661">
        <v>3.0019529999999999</v>
      </c>
      <c r="T661">
        <v>3.3917429999999998E-2</v>
      </c>
      <c r="U661">
        <v>0.25555420000000001</v>
      </c>
      <c r="V661">
        <v>-0.12403740000000001</v>
      </c>
      <c r="W661">
        <v>0.10832360000000001</v>
      </c>
      <c r="X661">
        <v>0.98634719999999998</v>
      </c>
      <c r="Y661">
        <v>-8.8381299999999996E-2</v>
      </c>
      <c r="Z661" s="1">
        <v>-5.5209500000000001E-5</v>
      </c>
      <c r="AA661">
        <v>0.99608669999999999</v>
      </c>
      <c r="AB661">
        <v>21</v>
      </c>
      <c r="AC661">
        <v>3.0019529999999999</v>
      </c>
      <c r="AD661">
        <v>3.3917429999999998E-2</v>
      </c>
      <c r="AE661">
        <v>0.25555420000000001</v>
      </c>
      <c r="AF661">
        <v>-0.26624430558944001</v>
      </c>
      <c r="AG661">
        <v>3.3917429999999998E-2</v>
      </c>
      <c r="AH661">
        <v>3.0006404960089301</v>
      </c>
      <c r="AI661">
        <v>89.3549247536601</v>
      </c>
      <c r="AJ661">
        <v>95.070527588258997</v>
      </c>
      <c r="AK661">
        <v>3.0126200903209299</v>
      </c>
      <c r="AL661">
        <v>83.781312780380404</v>
      </c>
      <c r="AM661">
        <v>97.167565605119293</v>
      </c>
      <c r="AN661">
        <v>1.00000003893177</v>
      </c>
    </row>
    <row r="662" spans="1:40" x14ac:dyDescent="0.25">
      <c r="A662" t="str">
        <f>"20190304154738225"</f>
        <v>20190304154738225</v>
      </c>
      <c r="B662" t="str">
        <f>"1551685658217430"</f>
        <v>1551685658217430</v>
      </c>
      <c r="C662" t="s">
        <v>40</v>
      </c>
      <c r="D662">
        <v>4.1677169999999997</v>
      </c>
      <c r="E662">
        <v>0.56173680000000004</v>
      </c>
      <c r="F662" t="s">
        <v>43</v>
      </c>
      <c r="G662">
        <v>-168.84350000000001</v>
      </c>
      <c r="H662">
        <v>12.64424</v>
      </c>
      <c r="I662">
        <v>357.8372</v>
      </c>
      <c r="J662">
        <v>-402.09280000000001</v>
      </c>
      <c r="K662">
        <v>1.060713</v>
      </c>
      <c r="L662">
        <v>366.39159999999998</v>
      </c>
      <c r="M662">
        <v>0.99992360000000002</v>
      </c>
      <c r="N662">
        <v>-1.184441E-2</v>
      </c>
      <c r="O662">
        <v>-3.5436629999999998E-3</v>
      </c>
      <c r="P662">
        <v>0.98805770000000004</v>
      </c>
      <c r="Q662">
        <v>9.5898360000000002E-2</v>
      </c>
      <c r="R662">
        <v>0.12060460000000001</v>
      </c>
      <c r="S662">
        <v>3.0352779999999999</v>
      </c>
      <c r="T662">
        <v>0.1506604</v>
      </c>
      <c r="U662">
        <v>-0.11126709999999999</v>
      </c>
      <c r="V662">
        <v>-0.1241095</v>
      </c>
      <c r="W662">
        <v>0.107585</v>
      </c>
      <c r="X662">
        <v>0.98641900000000005</v>
      </c>
      <c r="Y662">
        <v>3.3067340000000001E-2</v>
      </c>
      <c r="Z662">
        <v>4.062437E-4</v>
      </c>
      <c r="AA662">
        <v>0.99945309999999998</v>
      </c>
      <c r="AB662">
        <v>21</v>
      </c>
      <c r="AC662">
        <v>233.24930000000001</v>
      </c>
      <c r="AD662">
        <v>11.583527</v>
      </c>
      <c r="AE662">
        <v>-8.5543999999999798</v>
      </c>
      <c r="AF662">
        <v>7.7087450812503198</v>
      </c>
      <c r="AG662">
        <v>11.583527</v>
      </c>
      <c r="AH662">
        <v>232.705008418939</v>
      </c>
      <c r="AI662">
        <v>87.151858048230594</v>
      </c>
      <c r="AJ662">
        <v>88.1026746904123</v>
      </c>
      <c r="AK662">
        <v>233.12062069183401</v>
      </c>
      <c r="AL662">
        <v>83.823880416941293</v>
      </c>
      <c r="AM662">
        <v>97.171171990506295</v>
      </c>
      <c r="AN662">
        <v>1.0000000718881199</v>
      </c>
    </row>
    <row r="663" spans="1:40" x14ac:dyDescent="0.25">
      <c r="A663" t="str">
        <f>"20190304154738236"</f>
        <v>20190304154738236</v>
      </c>
      <c r="B663" t="str">
        <f>"1551685658227190"</f>
        <v>1551685658227190</v>
      </c>
      <c r="C663" t="s">
        <v>40</v>
      </c>
      <c r="D663">
        <v>4.4310609999999997</v>
      </c>
      <c r="E663">
        <v>0.5640541</v>
      </c>
      <c r="F663" t="s">
        <v>48</v>
      </c>
      <c r="G663">
        <v>-249.64109999999999</v>
      </c>
      <c r="H663">
        <v>8.9685319999999997</v>
      </c>
      <c r="I663">
        <v>359.85919999999999</v>
      </c>
      <c r="J663">
        <v>-401.97719999999998</v>
      </c>
      <c r="K663">
        <v>1.0607040000000001</v>
      </c>
      <c r="L663">
        <v>366.39120000000003</v>
      </c>
      <c r="M663">
        <v>0.99992409999999998</v>
      </c>
      <c r="N663">
        <v>-1.1813819999999999E-2</v>
      </c>
      <c r="O663">
        <v>-3.516066E-3</v>
      </c>
      <c r="P663">
        <v>0.98810129999999996</v>
      </c>
      <c r="Q663">
        <v>9.497543E-2</v>
      </c>
      <c r="R663">
        <v>0.12097860000000001</v>
      </c>
      <c r="S663">
        <v>3.036896</v>
      </c>
      <c r="T663">
        <v>0.15752849999999999</v>
      </c>
      <c r="U663">
        <v>-0.13012699999999999</v>
      </c>
      <c r="V663">
        <v>-0.12445630000000001</v>
      </c>
      <c r="W663">
        <v>0.10663209999999999</v>
      </c>
      <c r="X663">
        <v>0.98647870000000004</v>
      </c>
      <c r="Y663">
        <v>3.9262499999999999E-2</v>
      </c>
      <c r="Z663">
        <v>5.6133789999999995E-4</v>
      </c>
      <c r="AA663">
        <v>0.99922880000000003</v>
      </c>
      <c r="AB663">
        <v>21</v>
      </c>
      <c r="AC663">
        <v>152.33609999999999</v>
      </c>
      <c r="AD663">
        <v>7.9078280000000003</v>
      </c>
      <c r="AE663">
        <v>-6.5320000000000302</v>
      </c>
      <c r="AF663">
        <v>5.9802132457119503</v>
      </c>
      <c r="AG663">
        <v>7.9078280000000003</v>
      </c>
      <c r="AH663">
        <v>151.94942166769999</v>
      </c>
      <c r="AI663">
        <v>87.023172374687306</v>
      </c>
      <c r="AJ663">
        <v>87.746195874434406</v>
      </c>
      <c r="AK663">
        <v>152.27253015330899</v>
      </c>
      <c r="AL663">
        <v>83.878793020983096</v>
      </c>
      <c r="AM663">
        <v>97.190570332157293</v>
      </c>
      <c r="AN663">
        <v>1.0000000004568901</v>
      </c>
    </row>
    <row r="664" spans="1:40" x14ac:dyDescent="0.25">
      <c r="A664" t="str">
        <f>"20190304154738254"</f>
        <v>20190304154738254</v>
      </c>
      <c r="B664" t="str">
        <f>"1551685658247685"</f>
        <v>1551685658247685</v>
      </c>
      <c r="C664" t="s">
        <v>40</v>
      </c>
      <c r="D664">
        <v>4.2000219999999997</v>
      </c>
      <c r="E664">
        <v>0.56548359999999998</v>
      </c>
      <c r="F664" t="s">
        <v>43</v>
      </c>
      <c r="G664">
        <v>-158.19499999999999</v>
      </c>
      <c r="H664">
        <v>15.40085</v>
      </c>
      <c r="I664">
        <v>354.59109999999998</v>
      </c>
      <c r="J664">
        <v>-401.81700000000001</v>
      </c>
      <c r="K664">
        <v>1.0606910000000001</v>
      </c>
      <c r="L664">
        <v>366.39069999999998</v>
      </c>
      <c r="M664">
        <v>0.99992479999999995</v>
      </c>
      <c r="N664">
        <v>-1.1772329999999999E-2</v>
      </c>
      <c r="O664">
        <v>-3.477557E-3</v>
      </c>
      <c r="P664">
        <v>0.98819299999999999</v>
      </c>
      <c r="Q664">
        <v>9.3231250000000002E-2</v>
      </c>
      <c r="R664">
        <v>0.12158480000000001</v>
      </c>
      <c r="S664">
        <v>3.0369869999999999</v>
      </c>
      <c r="T664">
        <v>0.17864749999999999</v>
      </c>
      <c r="U664">
        <v>-0.1470032</v>
      </c>
      <c r="V664">
        <v>-0.12502479999999999</v>
      </c>
      <c r="W664">
        <v>0.10484830000000001</v>
      </c>
      <c r="X664">
        <v>0.98659799999999997</v>
      </c>
      <c r="Y664">
        <v>4.4820510000000001E-2</v>
      </c>
      <c r="Z664">
        <v>8.0704829999999998E-4</v>
      </c>
      <c r="AA664">
        <v>0.99899470000000001</v>
      </c>
      <c r="AB664">
        <v>21</v>
      </c>
      <c r="AC664">
        <v>243.62200000000001</v>
      </c>
      <c r="AD664">
        <v>14.340159</v>
      </c>
      <c r="AE664">
        <v>-11.7995999999999</v>
      </c>
      <c r="AF664">
        <v>10.9145327725005</v>
      </c>
      <c r="AG664">
        <v>14.340159</v>
      </c>
      <c r="AH664">
        <v>242.822208209461</v>
      </c>
      <c r="AI664">
        <v>86.623655082602198</v>
      </c>
      <c r="AJ664">
        <v>87.4263638218534</v>
      </c>
      <c r="AK664">
        <v>243.49002440655801</v>
      </c>
      <c r="AL664">
        <v>83.9815733928057</v>
      </c>
      <c r="AM664">
        <v>97.222205592464803</v>
      </c>
      <c r="AN664">
        <v>0.99999999011596497</v>
      </c>
    </row>
    <row r="665" spans="1:40" x14ac:dyDescent="0.25">
      <c r="A665" t="str">
        <f>"20190304154738266"</f>
        <v>20190304154738266</v>
      </c>
      <c r="B665" t="str">
        <f>"1551685658257446"</f>
        <v>1551685658257446</v>
      </c>
      <c r="C665" t="s">
        <v>40</v>
      </c>
      <c r="D665">
        <v>4.2192309999999997</v>
      </c>
      <c r="E665">
        <v>0.56556119999999899</v>
      </c>
      <c r="F665" t="s">
        <v>43</v>
      </c>
      <c r="G665">
        <v>-170.08879999999999</v>
      </c>
      <c r="H665">
        <v>14.306419999999999</v>
      </c>
      <c r="I665">
        <v>354.46359999999999</v>
      </c>
      <c r="J665">
        <v>-401.70400000000001</v>
      </c>
      <c r="K665">
        <v>1.060684</v>
      </c>
      <c r="L665">
        <v>366.39030000000002</v>
      </c>
      <c r="M665">
        <v>0.99992510000000001</v>
      </c>
      <c r="N665">
        <v>-1.174336E-2</v>
      </c>
      <c r="O665">
        <v>-3.4502080000000002E-3</v>
      </c>
      <c r="P665">
        <v>0.98828609999999995</v>
      </c>
      <c r="Q665">
        <v>9.18403E-2</v>
      </c>
      <c r="R665">
        <v>0.12188450000000001</v>
      </c>
      <c r="S665">
        <v>3.0386959999999998</v>
      </c>
      <c r="T665">
        <v>0.17369479999999901</v>
      </c>
      <c r="U665">
        <v>-0.1564026</v>
      </c>
      <c r="V665">
        <v>-0.12529799999999999</v>
      </c>
      <c r="W665">
        <v>0.1034303</v>
      </c>
      <c r="X665">
        <v>0.98671299999999995</v>
      </c>
      <c r="Y665">
        <v>4.7902319999999998E-2</v>
      </c>
      <c r="Z665">
        <v>8.4803350000000005E-4</v>
      </c>
      <c r="AA665">
        <v>0.99885170000000001</v>
      </c>
      <c r="AB665">
        <v>21</v>
      </c>
      <c r="AC665">
        <v>231.61519999999999</v>
      </c>
      <c r="AD665">
        <v>13.2457359999999</v>
      </c>
      <c r="AE665">
        <v>-11.9267</v>
      </c>
      <c r="AF665">
        <v>11.0912748737136</v>
      </c>
      <c r="AG665">
        <v>13.2457359999999</v>
      </c>
      <c r="AH665">
        <v>230.90179962613499</v>
      </c>
      <c r="AI665">
        <v>86.720585280379396</v>
      </c>
      <c r="AJ665">
        <v>87.249934122205403</v>
      </c>
      <c r="AK665">
        <v>231.54720246872799</v>
      </c>
      <c r="AL665">
        <v>84.0632629252908</v>
      </c>
      <c r="AM665">
        <v>97.236985521342405</v>
      </c>
      <c r="AN665">
        <v>0.99999998006554403</v>
      </c>
    </row>
    <row r="666" spans="1:40" x14ac:dyDescent="0.25">
      <c r="A666" t="str">
        <f>"20190304154738277"</f>
        <v>20190304154738277</v>
      </c>
      <c r="B666" t="str">
        <f>"1551685658267206"</f>
        <v>1551685658267206</v>
      </c>
      <c r="C666" t="s">
        <v>40</v>
      </c>
      <c r="D666">
        <v>4.166042</v>
      </c>
      <c r="E666">
        <v>0.56599699999999997</v>
      </c>
      <c r="F666" t="s">
        <v>43</v>
      </c>
      <c r="G666">
        <v>-170.08879999999999</v>
      </c>
      <c r="H666">
        <v>13.661899999999999</v>
      </c>
      <c r="I666">
        <v>354.47899999999998</v>
      </c>
      <c r="J666">
        <v>-401.5976</v>
      </c>
      <c r="K666">
        <v>1.060678</v>
      </c>
      <c r="L666">
        <v>366.39</v>
      </c>
      <c r="M666">
        <v>0.99992559999999997</v>
      </c>
      <c r="N666">
        <v>-1.1716259999999999E-2</v>
      </c>
      <c r="O666">
        <v>-3.4248970000000001E-3</v>
      </c>
      <c r="P666">
        <v>0.98834040000000001</v>
      </c>
      <c r="Q666">
        <v>9.1041540000000004E-2</v>
      </c>
      <c r="R666">
        <v>0.1220441</v>
      </c>
      <c r="S666">
        <v>3.0394589999999999</v>
      </c>
      <c r="T666">
        <v>0.1653655</v>
      </c>
      <c r="U666">
        <v>-0.15631099999999901</v>
      </c>
      <c r="V666">
        <v>-0.12543199999999999</v>
      </c>
      <c r="W666">
        <v>0.1026055</v>
      </c>
      <c r="X666">
        <v>0.9867821</v>
      </c>
      <c r="Y666">
        <v>4.7890549999999997E-2</v>
      </c>
      <c r="Z666">
        <v>7.939078E-4</v>
      </c>
      <c r="AA666">
        <v>0.99885230000000003</v>
      </c>
      <c r="AB666">
        <v>21</v>
      </c>
      <c r="AC666">
        <v>231.50880000000001</v>
      </c>
      <c r="AD666">
        <v>12.601222</v>
      </c>
      <c r="AE666">
        <v>-11.9109999999999</v>
      </c>
      <c r="AF666">
        <v>11.085226299885299</v>
      </c>
      <c r="AG666">
        <v>12.601222</v>
      </c>
      <c r="AH666">
        <v>230.866053524687</v>
      </c>
      <c r="AI666">
        <v>86.8793474940896</v>
      </c>
      <c r="AJ666">
        <v>87.251006635763801</v>
      </c>
      <c r="AK666">
        <v>231.47528530725901</v>
      </c>
      <c r="AL666">
        <v>84.110773347988996</v>
      </c>
      <c r="AM666">
        <v>97.244141011377195</v>
      </c>
      <c r="AN666">
        <v>0.99999999406732998</v>
      </c>
    </row>
    <row r="667" spans="1:40" x14ac:dyDescent="0.25">
      <c r="A667" t="str">
        <f>"20190304154738291"</f>
        <v>20190304154738291</v>
      </c>
      <c r="B667" t="str">
        <f>"1551685658287703"</f>
        <v>1551685658287703</v>
      </c>
      <c r="C667" t="s">
        <v>40</v>
      </c>
      <c r="D667">
        <v>4.2853079999999997</v>
      </c>
      <c r="E667">
        <v>0.56637590000000004</v>
      </c>
      <c r="F667" t="s">
        <v>43</v>
      </c>
      <c r="G667">
        <v>-170.08879999999999</v>
      </c>
      <c r="H667">
        <v>13.51458</v>
      </c>
      <c r="I667">
        <v>354.24459999999999</v>
      </c>
      <c r="J667">
        <v>-401.46319999999997</v>
      </c>
      <c r="K667">
        <v>1.0606719999999901</v>
      </c>
      <c r="L667">
        <v>366.38959999999997</v>
      </c>
      <c r="M667">
        <v>0.99992610000000004</v>
      </c>
      <c r="N667">
        <v>-1.168218E-2</v>
      </c>
      <c r="O667">
        <v>-3.3925130000000002E-3</v>
      </c>
      <c r="P667">
        <v>0.98839460000000001</v>
      </c>
      <c r="Q667">
        <v>9.0373919999999996E-2</v>
      </c>
      <c r="R667">
        <v>0.12210210000000001</v>
      </c>
      <c r="S667">
        <v>3.040009</v>
      </c>
      <c r="T667">
        <v>0.16353679999999901</v>
      </c>
      <c r="U667">
        <v>-0.15948490000000001</v>
      </c>
      <c r="V667">
        <v>-0.1254586</v>
      </c>
      <c r="W667">
        <v>0.10190490000000001</v>
      </c>
      <c r="X667">
        <v>0.98685129999999999</v>
      </c>
      <c r="Y667">
        <v>4.8953589999999998E-2</v>
      </c>
      <c r="Z667">
        <v>8.0675149999999895E-4</v>
      </c>
      <c r="AA667">
        <v>0.99880080000000004</v>
      </c>
      <c r="AB667">
        <v>21</v>
      </c>
      <c r="AC667">
        <v>231.37440000000001</v>
      </c>
      <c r="AD667">
        <v>12.453907999999901</v>
      </c>
      <c r="AE667">
        <v>-12.1449999999999</v>
      </c>
      <c r="AF667">
        <v>11.327208763086</v>
      </c>
      <c r="AG667">
        <v>12.453907999999901</v>
      </c>
      <c r="AH667">
        <v>230.747584821922</v>
      </c>
      <c r="AI667">
        <v>86.914338178880698</v>
      </c>
      <c r="AJ667">
        <v>87.1896533648261</v>
      </c>
      <c r="AK667">
        <v>231.36087262971901</v>
      </c>
      <c r="AL667">
        <v>84.151126203757499</v>
      </c>
      <c r="AM667">
        <v>97.245158249345096</v>
      </c>
      <c r="AN667">
        <v>0.99999997863482903</v>
      </c>
    </row>
    <row r="668" spans="1:40" x14ac:dyDescent="0.25">
      <c r="A668" t="str">
        <f>"20190304154738305"</f>
        <v>20190304154738305</v>
      </c>
      <c r="B668" t="str">
        <f>"1551685658297463"</f>
        <v>1551685658297463</v>
      </c>
      <c r="C668" t="s">
        <v>40</v>
      </c>
      <c r="D668">
        <v>4.1956319999999998</v>
      </c>
      <c r="E668">
        <v>0.56675149999999996</v>
      </c>
      <c r="F668" t="s">
        <v>48</v>
      </c>
      <c r="G668">
        <v>-249.68899999999999</v>
      </c>
      <c r="H668">
        <v>9.041245</v>
      </c>
      <c r="I668">
        <v>358.2962</v>
      </c>
      <c r="J668">
        <v>-401.33449999999999</v>
      </c>
      <c r="K668">
        <v>1.060662</v>
      </c>
      <c r="L668">
        <v>366.38920000000002</v>
      </c>
      <c r="M668">
        <v>0.9999266</v>
      </c>
      <c r="N668">
        <v>-1.1650590000000001E-2</v>
      </c>
      <c r="O668">
        <v>-3.3615749999999999E-3</v>
      </c>
      <c r="P668">
        <v>0.98842289999999999</v>
      </c>
      <c r="Q668">
        <v>9.0005639999999998E-2</v>
      </c>
      <c r="R668">
        <v>0.1221455</v>
      </c>
      <c r="S668">
        <v>3.040619</v>
      </c>
      <c r="T668">
        <v>0.1598831</v>
      </c>
      <c r="U668">
        <v>-0.162139899999999</v>
      </c>
      <c r="V668">
        <v>-0.12547169999999999</v>
      </c>
      <c r="W668">
        <v>0.1015059</v>
      </c>
      <c r="X668">
        <v>0.98689079999999996</v>
      </c>
      <c r="Y668">
        <v>4.9845159999999999E-2</v>
      </c>
      <c r="Z668">
        <v>8.0230949999999905E-4</v>
      </c>
      <c r="AA668">
        <v>0.99875659999999999</v>
      </c>
      <c r="AB668">
        <v>21</v>
      </c>
      <c r="AC668">
        <v>151.645499999999</v>
      </c>
      <c r="AD668">
        <v>7.9805830000000002</v>
      </c>
      <c r="AE668">
        <v>-8.0930000000000106</v>
      </c>
      <c r="AF668">
        <v>7.5622673646763499</v>
      </c>
      <c r="AG668">
        <v>7.9805830000000002</v>
      </c>
      <c r="AH668">
        <v>151.254133030936</v>
      </c>
      <c r="AI668">
        <v>86.983479029810496</v>
      </c>
      <c r="AJ668">
        <v>87.137760762879793</v>
      </c>
      <c r="AK668">
        <v>151.65319103683601</v>
      </c>
      <c r="AL668">
        <v>84.174106643156094</v>
      </c>
      <c r="AM668">
        <v>97.245619793391995</v>
      </c>
      <c r="AN668">
        <v>1.00000002318017</v>
      </c>
    </row>
    <row r="669" spans="1:40" x14ac:dyDescent="0.25">
      <c r="A669" t="str">
        <f>"20190304154738321"</f>
        <v>20190304154738321</v>
      </c>
      <c r="B669" t="str">
        <f>"1551685658317958"</f>
        <v>1551685658317958</v>
      </c>
      <c r="C669" t="s">
        <v>40</v>
      </c>
      <c r="D669">
        <v>4.1734839999999904</v>
      </c>
      <c r="E669">
        <v>0.56738449999999996</v>
      </c>
      <c r="F669" t="s">
        <v>48</v>
      </c>
      <c r="G669">
        <v>-249.66470000000001</v>
      </c>
      <c r="H669">
        <v>9.0781220000000005</v>
      </c>
      <c r="I669">
        <v>358.15300000000002</v>
      </c>
      <c r="J669">
        <v>-401.17790000000002</v>
      </c>
      <c r="K669">
        <v>1.0607850000000001</v>
      </c>
      <c r="L669">
        <v>366.38869999999997</v>
      </c>
      <c r="M669">
        <v>0.99992139999999996</v>
      </c>
      <c r="N669">
        <v>-1.2091009999999999E-2</v>
      </c>
      <c r="O669">
        <v>-3.3257999999999999E-3</v>
      </c>
      <c r="P669">
        <v>0.98853530000000001</v>
      </c>
      <c r="Q669">
        <v>8.8579519999999995E-2</v>
      </c>
      <c r="R669">
        <v>0.12227789999999999</v>
      </c>
      <c r="S669">
        <v>3.040924</v>
      </c>
      <c r="T669">
        <v>0.160748799999999</v>
      </c>
      <c r="U669">
        <v>-0.16513059999999999</v>
      </c>
      <c r="V669">
        <v>-0.1255686</v>
      </c>
      <c r="W669">
        <v>0.1005163</v>
      </c>
      <c r="X669">
        <v>0.98697970000000002</v>
      </c>
      <c r="Y669">
        <v>5.0853889999999999E-2</v>
      </c>
      <c r="Z669">
        <v>8.1864830000000005E-4</v>
      </c>
      <c r="AA669">
        <v>0.99870570000000003</v>
      </c>
      <c r="AB669">
        <v>21</v>
      </c>
      <c r="AC669">
        <v>151.51320000000001</v>
      </c>
      <c r="AD669">
        <v>8.0173369999999995</v>
      </c>
      <c r="AE669">
        <v>-8.2356999999999498</v>
      </c>
      <c r="AF669">
        <v>7.7101900239479804</v>
      </c>
      <c r="AG669">
        <v>8.0173369999999995</v>
      </c>
      <c r="AH669">
        <v>151.11786942679799</v>
      </c>
      <c r="AI669">
        <v>86.967041253186096</v>
      </c>
      <c r="AJ669">
        <v>87.079242687856095</v>
      </c>
      <c r="AK669">
        <v>151.52668142235399</v>
      </c>
      <c r="AL669">
        <v>84.231097699300193</v>
      </c>
      <c r="AM669">
        <v>97.250509765521599</v>
      </c>
      <c r="AN669">
        <v>0.99999996404186897</v>
      </c>
    </row>
    <row r="670" spans="1:40" x14ac:dyDescent="0.25">
      <c r="A670" t="str">
        <f>"20190304154738333"</f>
        <v>20190304154738333</v>
      </c>
      <c r="B670" t="str">
        <f>"1551685658327717"</f>
        <v>1551685658327717</v>
      </c>
      <c r="C670" t="s">
        <v>40</v>
      </c>
      <c r="D670">
        <v>4.2062470000000003</v>
      </c>
      <c r="E670">
        <v>0.56734130000000005</v>
      </c>
      <c r="F670" t="s">
        <v>48</v>
      </c>
      <c r="G670">
        <v>-249.68049999999999</v>
      </c>
      <c r="H670">
        <v>9.0456190000000003</v>
      </c>
      <c r="I670">
        <v>357.93990000000002</v>
      </c>
      <c r="J670">
        <v>-401.06740000000002</v>
      </c>
      <c r="K670">
        <v>1.0609580000000001</v>
      </c>
      <c r="L670">
        <v>366.38839999999999</v>
      </c>
      <c r="M670">
        <v>0.99991450000000004</v>
      </c>
      <c r="N670">
        <v>-1.2662390000000001E-2</v>
      </c>
      <c r="O670">
        <v>-3.3021529999999999E-3</v>
      </c>
      <c r="P670">
        <v>0.98862369999999999</v>
      </c>
      <c r="Q670">
        <v>8.7205190000000002E-2</v>
      </c>
      <c r="R670">
        <v>0.12255149999999999</v>
      </c>
      <c r="S670">
        <v>3.0414430000000001</v>
      </c>
      <c r="T670">
        <v>0.16030429999999901</v>
      </c>
      <c r="U670">
        <v>-0.16961670000000001</v>
      </c>
      <c r="V670">
        <v>-0.12581889999999901</v>
      </c>
      <c r="W670">
        <v>9.9707409999999996E-2</v>
      </c>
      <c r="X670">
        <v>0.98702990000000002</v>
      </c>
      <c r="Y670">
        <v>5.233645E-2</v>
      </c>
      <c r="Z670">
        <v>8.2988530000000003E-4</v>
      </c>
      <c r="AA670">
        <v>0.99862919999999999</v>
      </c>
      <c r="AB670">
        <v>21</v>
      </c>
      <c r="AC670">
        <v>151.3869</v>
      </c>
      <c r="AD670">
        <v>7.984661</v>
      </c>
      <c r="AE670">
        <v>-8.4484999999999602</v>
      </c>
      <c r="AF670">
        <v>7.9265291172632102</v>
      </c>
      <c r="AG670">
        <v>7.984661</v>
      </c>
      <c r="AH670">
        <v>150.99523046498399</v>
      </c>
      <c r="AI670">
        <v>86.977160447442202</v>
      </c>
      <c r="AJ670">
        <v>86.995003278919896</v>
      </c>
      <c r="AK670">
        <v>151.413818056032</v>
      </c>
      <c r="AL670">
        <v>84.277677862756406</v>
      </c>
      <c r="AM670">
        <v>97.264442650592997</v>
      </c>
      <c r="AN670">
        <v>0.99999999335006395</v>
      </c>
    </row>
    <row r="671" spans="1:40" x14ac:dyDescent="0.25">
      <c r="A671" t="str">
        <f>"20190304154738345"</f>
        <v>20190304154738345</v>
      </c>
      <c r="B671" t="str">
        <f>"1551685658337478"</f>
        <v>1551685658337478</v>
      </c>
      <c r="C671" t="s">
        <v>40</v>
      </c>
      <c r="D671">
        <v>4.1793870000000002</v>
      </c>
      <c r="E671">
        <v>0.56760639999999996</v>
      </c>
      <c r="F671" t="s">
        <v>48</v>
      </c>
      <c r="G671">
        <v>-249.7166</v>
      </c>
      <c r="H671">
        <v>8.8587330000000009</v>
      </c>
      <c r="I671">
        <v>358.01490000000001</v>
      </c>
      <c r="J671">
        <v>-400.95859999999999</v>
      </c>
      <c r="K671">
        <v>1.061318</v>
      </c>
      <c r="L671">
        <v>366.38799999999998</v>
      </c>
      <c r="M671">
        <v>0.9999053</v>
      </c>
      <c r="N671">
        <v>-1.336323E-2</v>
      </c>
      <c r="O671">
        <v>-3.2789400000000002E-3</v>
      </c>
      <c r="P671">
        <v>0.98874019999999996</v>
      </c>
      <c r="Q671">
        <v>8.5679140000000001E-2</v>
      </c>
      <c r="R671">
        <v>0.12268560000000001</v>
      </c>
      <c r="S671">
        <v>3.0415649999999999</v>
      </c>
      <c r="T671">
        <v>0.15670680000000001</v>
      </c>
      <c r="U671">
        <v>-0.1682739</v>
      </c>
      <c r="V671">
        <v>-0.12592970000000001</v>
      </c>
      <c r="W671">
        <v>9.8875190000000002E-2</v>
      </c>
      <c r="X671">
        <v>0.98709950000000002</v>
      </c>
      <c r="Y671">
        <v>5.1921870000000002E-2</v>
      </c>
      <c r="Z671">
        <v>7.758334E-4</v>
      </c>
      <c r="AA671">
        <v>0.99865079999999995</v>
      </c>
      <c r="AB671">
        <v>21</v>
      </c>
      <c r="AC671">
        <v>151.24199999999999</v>
      </c>
      <c r="AD671">
        <v>7.797415</v>
      </c>
      <c r="AE671">
        <v>-8.3731000000000204</v>
      </c>
      <c r="AF671">
        <v>7.8562789820346604</v>
      </c>
      <c r="AG671">
        <v>7.797415</v>
      </c>
      <c r="AH671">
        <v>150.868858687374</v>
      </c>
      <c r="AI671">
        <v>87.045388096378204</v>
      </c>
      <c r="AJ671">
        <v>87.019097078190399</v>
      </c>
      <c r="AK671">
        <v>151.27436439052201</v>
      </c>
      <c r="AL671">
        <v>84.325597438471902</v>
      </c>
      <c r="AM671">
        <v>97.270264340749705</v>
      </c>
      <c r="AN671">
        <v>1.00000000771993</v>
      </c>
    </row>
    <row r="672" spans="1:40" x14ac:dyDescent="0.25">
      <c r="A672" t="str">
        <f>"20190304154738356"</f>
        <v>20190304154738356</v>
      </c>
      <c r="B672" t="str">
        <f>"1551685658347238"</f>
        <v>1551685658347238</v>
      </c>
      <c r="C672" t="s">
        <v>40</v>
      </c>
      <c r="D672">
        <v>4.1784270000000001</v>
      </c>
      <c r="E672">
        <v>0.56785589999999997</v>
      </c>
      <c r="F672" t="s">
        <v>48</v>
      </c>
      <c r="G672">
        <v>-249.67699999999999</v>
      </c>
      <c r="H672">
        <v>8.7426250000000003</v>
      </c>
      <c r="I672">
        <v>357.93259999999998</v>
      </c>
      <c r="J672">
        <v>-400.85070000000002</v>
      </c>
      <c r="K672">
        <v>1.0617080000000001</v>
      </c>
      <c r="L672">
        <v>366.3877</v>
      </c>
      <c r="M672">
        <v>0.99989899999999998</v>
      </c>
      <c r="N672">
        <v>-1.3834819999999999E-2</v>
      </c>
      <c r="O672">
        <v>-3.255562E-3</v>
      </c>
      <c r="P672">
        <v>0.98883869999999896</v>
      </c>
      <c r="Q672">
        <v>8.431458E-2</v>
      </c>
      <c r="R672">
        <v>0.12283769999999999</v>
      </c>
      <c r="S672">
        <v>3.0418400000000001</v>
      </c>
      <c r="T672">
        <v>0.154450799999999</v>
      </c>
      <c r="U672">
        <v>-0.17001340000000001</v>
      </c>
      <c r="V672">
        <v>-0.126059</v>
      </c>
      <c r="W672">
        <v>9.797786E-2</v>
      </c>
      <c r="X672">
        <v>0.98717250000000001</v>
      </c>
      <c r="Y672">
        <v>5.2511229999999999E-2</v>
      </c>
      <c r="Z672">
        <v>7.5749879999999995E-4</v>
      </c>
      <c r="AA672">
        <v>0.99861999999999995</v>
      </c>
      <c r="AB672">
        <v>21</v>
      </c>
      <c r="AC672">
        <v>151.1737</v>
      </c>
      <c r="AD672">
        <v>7.680917</v>
      </c>
      <c r="AE672">
        <v>-8.4551000000000105</v>
      </c>
      <c r="AF672">
        <v>7.9424132532126297</v>
      </c>
      <c r="AG672">
        <v>7.680917</v>
      </c>
      <c r="AH672">
        <v>150.812318146602</v>
      </c>
      <c r="AI672">
        <v>87.088455627740103</v>
      </c>
      <c r="AJ672">
        <v>86.985347413293994</v>
      </c>
      <c r="AK672">
        <v>151.216512719338</v>
      </c>
      <c r="AL672">
        <v>84.3772617003672</v>
      </c>
      <c r="AM672">
        <v>97.277116787256105</v>
      </c>
      <c r="AN672">
        <v>1.00000003864371</v>
      </c>
    </row>
    <row r="673" spans="1:40" x14ac:dyDescent="0.25">
      <c r="A673" t="str">
        <f>"20190304154738367"</f>
        <v>20190304154738367</v>
      </c>
      <c r="B673" t="str">
        <f>"1551685658357975"</f>
        <v>1551685658357975</v>
      </c>
      <c r="C673" t="s">
        <v>40</v>
      </c>
      <c r="D673">
        <v>4.4481440000000001</v>
      </c>
      <c r="E673">
        <v>0.56749189999999905</v>
      </c>
      <c r="F673" t="s">
        <v>43</v>
      </c>
      <c r="G673">
        <v>-169.04329999999999</v>
      </c>
      <c r="H673">
        <v>12.64978</v>
      </c>
      <c r="I673">
        <v>353.3331</v>
      </c>
      <c r="J673">
        <v>-400.7439</v>
      </c>
      <c r="K673">
        <v>1.062138</v>
      </c>
      <c r="L673">
        <v>366.38740000000001</v>
      </c>
      <c r="M673">
        <v>0.99989660000000002</v>
      </c>
      <c r="N673">
        <v>-1.402077E-2</v>
      </c>
      <c r="O673">
        <v>-3.2321749999999999E-3</v>
      </c>
      <c r="P673">
        <v>0.98888319999999996</v>
      </c>
      <c r="Q673">
        <v>8.3365750000000002E-2</v>
      </c>
      <c r="R673">
        <v>0.12312819999999999</v>
      </c>
      <c r="S673">
        <v>3.0421749999999999</v>
      </c>
      <c r="T673">
        <v>0.15207970000000001</v>
      </c>
      <c r="U673">
        <v>-0.1713257</v>
      </c>
      <c r="V673">
        <v>-0.12632699999999999</v>
      </c>
      <c r="W673">
        <v>9.7213339999999995E-2</v>
      </c>
      <c r="X673">
        <v>0.98721380000000003</v>
      </c>
      <c r="Y673">
        <v>5.2959289999999999E-2</v>
      </c>
      <c r="Z673">
        <v>7.4352039999999895E-4</v>
      </c>
      <c r="AA673">
        <v>0.99859640000000005</v>
      </c>
      <c r="AB673">
        <v>20</v>
      </c>
      <c r="AC673">
        <v>231.70060000000001</v>
      </c>
      <c r="AD673">
        <v>11.587642000000001</v>
      </c>
      <c r="AE673">
        <v>-13.0543</v>
      </c>
      <c r="AF673">
        <v>12.2746580410462</v>
      </c>
      <c r="AG673">
        <v>11.587642000000001</v>
      </c>
      <c r="AH673">
        <v>231.165243177462</v>
      </c>
      <c r="AI673">
        <v>87.134361261203793</v>
      </c>
      <c r="AJ673">
        <v>86.960502224369804</v>
      </c>
      <c r="AK673">
        <v>231.78073761734399</v>
      </c>
      <c r="AL673">
        <v>84.421275455951999</v>
      </c>
      <c r="AM673">
        <v>97.292119693855398</v>
      </c>
      <c r="AN673">
        <v>1.0000000156566899</v>
      </c>
    </row>
    <row r="674" spans="1:40" x14ac:dyDescent="0.25">
      <c r="A674" t="str">
        <f>"20190304154738379"</f>
        <v>20190304154738379</v>
      </c>
      <c r="B674" t="str">
        <f>"1551685658367734"</f>
        <v>1551685658367734</v>
      </c>
      <c r="C674" t="s">
        <v>40</v>
      </c>
      <c r="D674">
        <v>4.2592869999999996</v>
      </c>
      <c r="E674">
        <v>0.56788799999999995</v>
      </c>
      <c r="F674" t="s">
        <v>48</v>
      </c>
      <c r="G674">
        <v>-249.703</v>
      </c>
      <c r="H674">
        <v>8.33258399999999</v>
      </c>
      <c r="I674">
        <v>358.04680000000002</v>
      </c>
      <c r="J674">
        <v>-400.64179999999999</v>
      </c>
      <c r="K674">
        <v>1.062503</v>
      </c>
      <c r="L674">
        <v>366.38709999999998</v>
      </c>
      <c r="M674">
        <v>0.99990349999999995</v>
      </c>
      <c r="N674">
        <v>-1.3517410000000001E-2</v>
      </c>
      <c r="O674">
        <v>-3.2088070000000002E-3</v>
      </c>
      <c r="P674">
        <v>0.98883169999999998</v>
      </c>
      <c r="Q674">
        <v>8.3541829999999997E-2</v>
      </c>
      <c r="R674">
        <v>0.12342060000000001</v>
      </c>
      <c r="S674">
        <v>3.0423279999999999</v>
      </c>
      <c r="T674">
        <v>0.1464461</v>
      </c>
      <c r="U674">
        <v>-0.16799929999999999</v>
      </c>
      <c r="V674">
        <v>-0.12659599999999999</v>
      </c>
      <c r="W674">
        <v>9.6891569999999996E-2</v>
      </c>
      <c r="X674">
        <v>0.9872109</v>
      </c>
      <c r="Y674">
        <v>5.1895179999999999E-2</v>
      </c>
      <c r="Z674">
        <v>6.9861269999999995E-4</v>
      </c>
      <c r="AA674">
        <v>0.99865230000000005</v>
      </c>
      <c r="AB674">
        <v>20</v>
      </c>
      <c r="AC674">
        <v>150.93879999999999</v>
      </c>
      <c r="AD674">
        <v>7.2700809999999896</v>
      </c>
      <c r="AE674">
        <v>-8.3402999999999494</v>
      </c>
      <c r="AF674">
        <v>7.837751564575</v>
      </c>
      <c r="AG674">
        <v>7.2700809999999896</v>
      </c>
      <c r="AH674">
        <v>150.61643021881699</v>
      </c>
      <c r="AI674">
        <v>87.240272061999804</v>
      </c>
      <c r="AJ674">
        <v>87.021139119532904</v>
      </c>
      <c r="AK674">
        <v>150.99534257451299</v>
      </c>
      <c r="AL674">
        <v>84.439798554159495</v>
      </c>
      <c r="AM674">
        <v>97.307501061713793</v>
      </c>
      <c r="AN674">
        <v>0.99999994231593503</v>
      </c>
    </row>
    <row r="675" spans="1:40" x14ac:dyDescent="0.25">
      <c r="A675" t="str">
        <f>"20190304154738391"</f>
        <v>20190304154738391</v>
      </c>
      <c r="B675" t="str">
        <f>"1551685658387253"</f>
        <v>1551685658387253</v>
      </c>
      <c r="C675" t="s">
        <v>40</v>
      </c>
      <c r="D675">
        <v>4.2182639999999996</v>
      </c>
      <c r="E675">
        <v>0.56815769999999899</v>
      </c>
      <c r="F675" t="s">
        <v>48</v>
      </c>
      <c r="G675">
        <v>-249.6919</v>
      </c>
      <c r="H675">
        <v>8.5340570000000007</v>
      </c>
      <c r="I675">
        <v>357.96370000000002</v>
      </c>
      <c r="J675">
        <v>-400.53089999999997</v>
      </c>
      <c r="K675">
        <v>1.0628820000000001</v>
      </c>
      <c r="L675">
        <v>366.38679999999999</v>
      </c>
      <c r="M675">
        <v>0.99991450000000004</v>
      </c>
      <c r="N675">
        <v>-1.2686329999999999E-2</v>
      </c>
      <c r="O675">
        <v>-3.1833460000000001E-3</v>
      </c>
      <c r="P675">
        <v>0.98874960000000001</v>
      </c>
      <c r="Q675">
        <v>8.416469E-2</v>
      </c>
      <c r="R675">
        <v>0.1236558</v>
      </c>
      <c r="S675">
        <v>3.0423279999999999</v>
      </c>
      <c r="T675">
        <v>0.15058759999999999</v>
      </c>
      <c r="U675">
        <v>-0.16976930000000001</v>
      </c>
      <c r="V675">
        <v>-0.1268061</v>
      </c>
      <c r="W675">
        <v>9.6692239999999999E-2</v>
      </c>
      <c r="X675">
        <v>0.98720350000000001</v>
      </c>
      <c r="Y675">
        <v>5.2495359999999998E-2</v>
      </c>
      <c r="Z675">
        <v>7.6631149999999897E-4</v>
      </c>
      <c r="AA675">
        <v>0.99862090000000003</v>
      </c>
      <c r="AB675">
        <v>20</v>
      </c>
      <c r="AC675">
        <v>150.838999999999</v>
      </c>
      <c r="AD675">
        <v>7.4711749999999997</v>
      </c>
      <c r="AE675">
        <v>-8.4230999999999696</v>
      </c>
      <c r="AF675">
        <v>7.9234677517339902</v>
      </c>
      <c r="AG675">
        <v>7.4711749999999997</v>
      </c>
      <c r="AH675">
        <v>150.49698499072301</v>
      </c>
      <c r="AI675">
        <v>87.161902802186603</v>
      </c>
      <c r="AJ675">
        <v>86.986235329046096</v>
      </c>
      <c r="AK675">
        <v>150.89049767427801</v>
      </c>
      <c r="AL675">
        <v>84.451273317202805</v>
      </c>
      <c r="AM675">
        <v>97.319551525288205</v>
      </c>
      <c r="AN675">
        <v>0.99999996334283803</v>
      </c>
    </row>
    <row r="676" spans="1:40" x14ac:dyDescent="0.25">
      <c r="A676" t="str">
        <f>"20190304154738402"</f>
        <v>20190304154738402</v>
      </c>
      <c r="B676" t="str">
        <f>"1551685658397990"</f>
        <v>1551685658397990</v>
      </c>
      <c r="C676" t="s">
        <v>40</v>
      </c>
      <c r="D676">
        <v>4.380522</v>
      </c>
      <c r="E676">
        <v>0.56800200000000001</v>
      </c>
      <c r="F676" t="s">
        <v>43</v>
      </c>
      <c r="G676">
        <v>-170.08879999999999</v>
      </c>
      <c r="H676">
        <v>12.829890000000001</v>
      </c>
      <c r="I676">
        <v>353.42349999999999</v>
      </c>
      <c r="J676">
        <v>-400.42360000000002</v>
      </c>
      <c r="K676">
        <v>1.063318</v>
      </c>
      <c r="L676">
        <v>366.38650000000001</v>
      </c>
      <c r="M676">
        <v>0.99992950000000003</v>
      </c>
      <c r="N676">
        <v>-1.1446690000000001E-2</v>
      </c>
      <c r="O676">
        <v>-3.1586079999999998E-3</v>
      </c>
      <c r="P676">
        <v>0.988591</v>
      </c>
      <c r="Q676">
        <v>8.5557569999999999E-2</v>
      </c>
      <c r="R676">
        <v>0.1239672</v>
      </c>
      <c r="S676">
        <v>3.0423279999999999</v>
      </c>
      <c r="T676">
        <v>0.15535070000000001</v>
      </c>
      <c r="U676">
        <v>-0.17114260000000001</v>
      </c>
      <c r="V676">
        <v>-0.1270926</v>
      </c>
      <c r="W676">
        <v>9.6859299999999995E-2</v>
      </c>
      <c r="X676">
        <v>0.98715030000000004</v>
      </c>
      <c r="Y676">
        <v>5.2963749999999997E-2</v>
      </c>
      <c r="Z676">
        <v>8.4961640000000001E-4</v>
      </c>
      <c r="AA676">
        <v>0.99859609999999999</v>
      </c>
      <c r="AB676">
        <v>20</v>
      </c>
      <c r="AC676">
        <v>230.3348</v>
      </c>
      <c r="AD676">
        <v>11.766571999999901</v>
      </c>
      <c r="AE676">
        <v>-12.962999999999999</v>
      </c>
      <c r="AF676">
        <v>12.2036038438311</v>
      </c>
      <c r="AG676">
        <v>11.766571999999901</v>
      </c>
      <c r="AH676">
        <v>229.776856654152</v>
      </c>
      <c r="AI676">
        <v>87.072637362949195</v>
      </c>
      <c r="AJ676">
        <v>86.959838861630502</v>
      </c>
      <c r="AK676">
        <v>230.40135420016799</v>
      </c>
      <c r="AL676">
        <v>84.441656458367703</v>
      </c>
      <c r="AM676">
        <v>97.336300091427802</v>
      </c>
      <c r="AN676">
        <v>0.99999998388066902</v>
      </c>
    </row>
    <row r="677" spans="1:40" x14ac:dyDescent="0.25">
      <c r="A677" t="str">
        <f>"20190304154738415"</f>
        <v>20190304154738415</v>
      </c>
      <c r="B677" t="str">
        <f>"1551685658407750"</f>
        <v>1551685658407750</v>
      </c>
      <c r="C677" t="s">
        <v>40</v>
      </c>
      <c r="D677">
        <v>4.2142489999999997</v>
      </c>
      <c r="E677">
        <v>0.5682005</v>
      </c>
      <c r="F677" t="s">
        <v>48</v>
      </c>
      <c r="G677">
        <v>-249.71369999999999</v>
      </c>
      <c r="H677">
        <v>8.9369499999999995</v>
      </c>
      <c r="I677">
        <v>358.00889999999998</v>
      </c>
      <c r="J677">
        <v>-400.31049999999999</v>
      </c>
      <c r="K677">
        <v>1.0638240000000001</v>
      </c>
      <c r="L677">
        <v>366.3861</v>
      </c>
      <c r="M677">
        <v>0.99994369999999999</v>
      </c>
      <c r="N677">
        <v>-1.014697E-2</v>
      </c>
      <c r="O677">
        <v>-3.1321949999999999E-3</v>
      </c>
      <c r="P677">
        <v>0.9884501</v>
      </c>
      <c r="Q677">
        <v>8.6871240000000002E-2</v>
      </c>
      <c r="R677">
        <v>0.1241778</v>
      </c>
      <c r="S677">
        <v>3.0420229999999999</v>
      </c>
      <c r="T677">
        <v>0.15892800000000001</v>
      </c>
      <c r="U677">
        <v>-0.1690979</v>
      </c>
      <c r="V677">
        <v>-0.12727669999999999</v>
      </c>
      <c r="W677">
        <v>9.6888260000000004E-2</v>
      </c>
      <c r="X677">
        <v>0.98712370000000005</v>
      </c>
      <c r="Y677">
        <v>5.2322639999999997E-2</v>
      </c>
      <c r="Z677">
        <v>9.0384829999999995E-4</v>
      </c>
      <c r="AA677">
        <v>0.99862980000000001</v>
      </c>
      <c r="AB677">
        <v>21</v>
      </c>
      <c r="AC677">
        <v>150.5968</v>
      </c>
      <c r="AD677">
        <v>7.8731259999999903</v>
      </c>
      <c r="AE677">
        <v>-8.3772000000000109</v>
      </c>
      <c r="AF677">
        <v>7.8839545826763402</v>
      </c>
      <c r="AG677">
        <v>7.8731259999999903</v>
      </c>
      <c r="AH677">
        <v>150.21301386108399</v>
      </c>
      <c r="AI677">
        <v>87.003813812239699</v>
      </c>
      <c r="AJ677">
        <v>86.995578376910004</v>
      </c>
      <c r="AK677">
        <v>150.62566974491401</v>
      </c>
      <c r="AL677">
        <v>84.439989121334307</v>
      </c>
      <c r="AM677">
        <v>97.347006880553906</v>
      </c>
      <c r="AN677">
        <v>0.99999994619520205</v>
      </c>
    </row>
    <row r="678" spans="1:40" x14ac:dyDescent="0.25">
      <c r="A678" t="str">
        <f>"20190304154738426"</f>
        <v>20190304154738426</v>
      </c>
      <c r="B678" t="str">
        <f>"1551685658417510"</f>
        <v>1551685658417510</v>
      </c>
      <c r="C678" t="s">
        <v>40</v>
      </c>
      <c r="D678">
        <v>4.2374869999999998</v>
      </c>
      <c r="E678">
        <v>0.56842099999999995</v>
      </c>
      <c r="F678" t="s">
        <v>48</v>
      </c>
      <c r="G678">
        <v>-249.6962</v>
      </c>
      <c r="H678">
        <v>9.2532189999999996</v>
      </c>
      <c r="I678">
        <v>357.9726</v>
      </c>
      <c r="J678">
        <v>-400.1979</v>
      </c>
      <c r="K678">
        <v>1.0644530000000001</v>
      </c>
      <c r="L678">
        <v>366.38580000000002</v>
      </c>
      <c r="M678">
        <v>0.9999557</v>
      </c>
      <c r="N678">
        <v>-8.8816829999999996E-3</v>
      </c>
      <c r="O678">
        <v>-3.1046440000000002E-3</v>
      </c>
      <c r="P678">
        <v>0.98833389999999999</v>
      </c>
      <c r="Q678">
        <v>8.8036749999999997E-2</v>
      </c>
      <c r="R678">
        <v>0.1242798</v>
      </c>
      <c r="S678">
        <v>3.0418699999999999</v>
      </c>
      <c r="T678">
        <v>0.1653982</v>
      </c>
      <c r="U678">
        <v>-0.16992189999999999</v>
      </c>
      <c r="V678">
        <v>-0.1273512</v>
      </c>
      <c r="W678">
        <v>9.6803780000000006E-2</v>
      </c>
      <c r="X678">
        <v>0.98712239999999996</v>
      </c>
      <c r="Y678">
        <v>5.2615250000000002E-2</v>
      </c>
      <c r="Z678">
        <v>9.9821179999999999E-4</v>
      </c>
      <c r="AA678">
        <v>0.99861440000000001</v>
      </c>
      <c r="AB678">
        <v>21</v>
      </c>
      <c r="AC678">
        <v>150.5017</v>
      </c>
      <c r="AD678">
        <v>8.1887659999999993</v>
      </c>
      <c r="AE678">
        <v>-8.4132000000000104</v>
      </c>
      <c r="AF678">
        <v>7.9225058786472502</v>
      </c>
      <c r="AG678">
        <v>8.1887659999999993</v>
      </c>
      <c r="AH678">
        <v>150.084166785246</v>
      </c>
      <c r="AI678">
        <v>86.881305914112403</v>
      </c>
      <c r="AJ678">
        <v>86.978327261004296</v>
      </c>
      <c r="AK678">
        <v>150.516042691872</v>
      </c>
      <c r="AL678">
        <v>84.444852441046606</v>
      </c>
      <c r="AM678">
        <v>97.351269917379497</v>
      </c>
      <c r="AN678">
        <v>0.99999996627274301</v>
      </c>
    </row>
    <row r="679" spans="1:40" x14ac:dyDescent="0.25">
      <c r="A679" t="str">
        <f>"20190304154738438"</f>
        <v>20190304154738438</v>
      </c>
      <c r="B679" t="str">
        <f>"1551685658427271"</f>
        <v>1551685658427271</v>
      </c>
      <c r="C679" t="s">
        <v>40</v>
      </c>
      <c r="D679">
        <v>4.2062629999999999</v>
      </c>
      <c r="E679">
        <v>0.5685945</v>
      </c>
      <c r="F679" t="s">
        <v>43</v>
      </c>
      <c r="G679">
        <v>-170.08879999999999</v>
      </c>
      <c r="H679">
        <v>14.00155</v>
      </c>
      <c r="I679">
        <v>353.43860000000001</v>
      </c>
      <c r="J679">
        <v>-400.09320000000002</v>
      </c>
      <c r="K679">
        <v>1.0651109999999999</v>
      </c>
      <c r="L679">
        <v>366.38560000000001</v>
      </c>
      <c r="M679">
        <v>0.99996499999999999</v>
      </c>
      <c r="N679">
        <v>-7.7972950000000001E-3</v>
      </c>
      <c r="O679">
        <v>-3.0790610000000001E-3</v>
      </c>
      <c r="P679">
        <v>0.98823989999999995</v>
      </c>
      <c r="Q679">
        <v>8.8611330000000002E-2</v>
      </c>
      <c r="R679">
        <v>0.1246215</v>
      </c>
      <c r="S679">
        <v>3.041687</v>
      </c>
      <c r="T679">
        <v>0.17100950000000001</v>
      </c>
      <c r="U679">
        <v>-0.17114260000000001</v>
      </c>
      <c r="V679">
        <v>-0.12766759999999999</v>
      </c>
      <c r="W679">
        <v>9.6306879999999997E-2</v>
      </c>
      <c r="X679">
        <v>0.98713019999999996</v>
      </c>
      <c r="Y679">
        <v>5.3036689999999997E-2</v>
      </c>
      <c r="Z679">
        <v>1.084682E-3</v>
      </c>
      <c r="AA679">
        <v>0.99859200000000004</v>
      </c>
      <c r="AB679">
        <v>21</v>
      </c>
      <c r="AC679">
        <v>230.0044</v>
      </c>
      <c r="AD679">
        <v>12.936439</v>
      </c>
      <c r="AE679">
        <v>-12.946999999999999</v>
      </c>
      <c r="AF679">
        <v>12.200246983082099</v>
      </c>
      <c r="AG679">
        <v>12.936439</v>
      </c>
      <c r="AH679">
        <v>229.32003064926201</v>
      </c>
      <c r="AI679">
        <v>86.775793314410905</v>
      </c>
      <c r="AJ679">
        <v>86.954630330007006</v>
      </c>
      <c r="AK679">
        <v>230.00842144892701</v>
      </c>
      <c r="AL679">
        <v>84.473456725136998</v>
      </c>
      <c r="AM679">
        <v>97.369275806924193</v>
      </c>
      <c r="AN679">
        <v>1.00000003148856</v>
      </c>
    </row>
    <row r="680" spans="1:40" x14ac:dyDescent="0.25">
      <c r="A680" t="str">
        <f>"20190304154738448"</f>
        <v>20190304154738448</v>
      </c>
      <c r="B680" t="str">
        <f>"1551685658437030"</f>
        <v>1551685658437030</v>
      </c>
      <c r="C680" t="s">
        <v>40</v>
      </c>
      <c r="D680">
        <v>4.184107</v>
      </c>
      <c r="E680">
        <v>0.56879269999999904</v>
      </c>
      <c r="F680" t="s">
        <v>43</v>
      </c>
      <c r="G680">
        <v>-170.08879999999999</v>
      </c>
      <c r="H680">
        <v>14.295489999999999</v>
      </c>
      <c r="I680">
        <v>353.4255</v>
      </c>
      <c r="J680">
        <v>-399.98880000000003</v>
      </c>
      <c r="K680">
        <v>1.0658289999999999</v>
      </c>
      <c r="L680">
        <v>366.38529999999997</v>
      </c>
      <c r="M680">
        <v>0.99997239999999998</v>
      </c>
      <c r="N680">
        <v>-6.7907799999999997E-3</v>
      </c>
      <c r="O680">
        <v>-3.0531320000000001E-3</v>
      </c>
      <c r="P680">
        <v>0.98817410000000006</v>
      </c>
      <c r="Q680">
        <v>8.9238360000000003E-2</v>
      </c>
      <c r="R680">
        <v>0.1246941</v>
      </c>
      <c r="S680">
        <v>3.0416259999999999</v>
      </c>
      <c r="T680">
        <v>0.17496239999999999</v>
      </c>
      <c r="U680">
        <v>-0.1713867</v>
      </c>
      <c r="V680">
        <v>-0.12771350000000001</v>
      </c>
      <c r="W680">
        <v>9.5939969999999999E-2</v>
      </c>
      <c r="X680">
        <v>0.98716000000000004</v>
      </c>
      <c r="Y680">
        <v>5.3138310000000001E-2</v>
      </c>
      <c r="Z680">
        <v>1.149122E-3</v>
      </c>
      <c r="AA680">
        <v>0.99858650000000004</v>
      </c>
      <c r="AB680">
        <v>21</v>
      </c>
      <c r="AC680">
        <v>229.9</v>
      </c>
      <c r="AD680">
        <v>13.229660999999901</v>
      </c>
      <c r="AE680">
        <v>-12.9597999999999</v>
      </c>
      <c r="AF680">
        <v>12.217478911905999</v>
      </c>
      <c r="AG680">
        <v>13.229660999999901</v>
      </c>
      <c r="AH680">
        <v>229.181974452351</v>
      </c>
      <c r="AI680">
        <v>86.700908718070593</v>
      </c>
      <c r="AJ680">
        <v>86.948503482930803</v>
      </c>
      <c r="AK680">
        <v>229.88838190525399</v>
      </c>
      <c r="AL680">
        <v>84.494576968958896</v>
      </c>
      <c r="AM680">
        <v>97.371676033054996</v>
      </c>
      <c r="AN680">
        <v>1.0000000407629199</v>
      </c>
    </row>
    <row r="681" spans="1:40" x14ac:dyDescent="0.25">
      <c r="A681" t="str">
        <f>"20190304154738460"</f>
        <v>20190304154738460</v>
      </c>
      <c r="B681" t="str">
        <f>"1551685658457525"</f>
        <v>1551685658457525</v>
      </c>
      <c r="C681" t="s">
        <v>40</v>
      </c>
      <c r="D681">
        <v>4.442787</v>
      </c>
      <c r="E681">
        <v>0.56867570000000001</v>
      </c>
      <c r="F681" t="s">
        <v>43</v>
      </c>
      <c r="G681">
        <v>-158.78319999999999</v>
      </c>
      <c r="H681">
        <v>15.28664</v>
      </c>
      <c r="I681">
        <v>352.67009999999999</v>
      </c>
      <c r="J681">
        <v>-399.88130000000001</v>
      </c>
      <c r="K681">
        <v>1.0666249999999999</v>
      </c>
      <c r="L681">
        <v>366.38499999999999</v>
      </c>
      <c r="M681">
        <v>0.99997840000000005</v>
      </c>
      <c r="N681">
        <v>-5.84726E-3</v>
      </c>
      <c r="O681">
        <v>-3.0262209999999999E-3</v>
      </c>
      <c r="P681">
        <v>0.98812560000000005</v>
      </c>
      <c r="Q681">
        <v>8.9903520000000001E-2</v>
      </c>
      <c r="R681">
        <v>0.1246017</v>
      </c>
      <c r="S681">
        <v>3.0415040000000002</v>
      </c>
      <c r="T681">
        <v>0.1793196</v>
      </c>
      <c r="U681">
        <v>-0.17294309999999999</v>
      </c>
      <c r="V681">
        <v>-0.1275944</v>
      </c>
      <c r="W681">
        <v>9.5674159999999994E-2</v>
      </c>
      <c r="X681">
        <v>0.9872012</v>
      </c>
      <c r="Y681">
        <v>5.36704E-2</v>
      </c>
      <c r="Z681">
        <v>1.2265500000000001E-3</v>
      </c>
      <c r="AA681">
        <v>0.9985579</v>
      </c>
      <c r="AB681">
        <v>21</v>
      </c>
      <c r="AC681">
        <v>241.09809999999999</v>
      </c>
      <c r="AD681">
        <v>14.220015</v>
      </c>
      <c r="AE681">
        <v>-13.7149</v>
      </c>
      <c r="AF681">
        <v>12.940338744499</v>
      </c>
      <c r="AG681">
        <v>14.220015</v>
      </c>
      <c r="AH681">
        <v>240.305255968691</v>
      </c>
      <c r="AI681">
        <v>86.618370981685104</v>
      </c>
      <c r="AJ681">
        <v>86.917623049266695</v>
      </c>
      <c r="AK681">
        <v>241.07317818372201</v>
      </c>
      <c r="AL681">
        <v>84.509877151305005</v>
      </c>
      <c r="AM681">
        <v>97.364573048421803</v>
      </c>
      <c r="AN681">
        <v>1.0000000425422499</v>
      </c>
    </row>
    <row r="682" spans="1:40" x14ac:dyDescent="0.25">
      <c r="A682" t="str">
        <f>"20190304154738472"</f>
        <v>20190304154738472</v>
      </c>
      <c r="B682" t="str">
        <f>"1551685658467287"</f>
        <v>1551685658467287</v>
      </c>
      <c r="C682" t="s">
        <v>40</v>
      </c>
      <c r="D682">
        <v>4.3990999999999998</v>
      </c>
      <c r="E682">
        <v>0.52069840000000001</v>
      </c>
      <c r="F682" t="s">
        <v>43</v>
      </c>
      <c r="G682">
        <v>-158.78319999999999</v>
      </c>
      <c r="H682">
        <v>15.41229</v>
      </c>
      <c r="I682">
        <v>352.73540000000003</v>
      </c>
      <c r="J682">
        <v>-399.76620000000003</v>
      </c>
      <c r="K682">
        <v>1.067491</v>
      </c>
      <c r="L682">
        <v>366.38459999999998</v>
      </c>
      <c r="M682">
        <v>0.99998370000000003</v>
      </c>
      <c r="N682">
        <v>-4.8734649999999996E-3</v>
      </c>
      <c r="O682">
        <v>-2.996936E-3</v>
      </c>
      <c r="P682">
        <v>0.98808649999999998</v>
      </c>
      <c r="Q682">
        <v>9.0534110000000001E-2</v>
      </c>
      <c r="R682">
        <v>0.1244542</v>
      </c>
      <c r="S682">
        <v>3.04129</v>
      </c>
      <c r="T682">
        <v>0.18096180000000001</v>
      </c>
      <c r="U682">
        <v>-0.17218020000000001</v>
      </c>
      <c r="V682">
        <v>-0.12741720000000001</v>
      </c>
      <c r="W682">
        <v>9.5343330000000004E-2</v>
      </c>
      <c r="X682">
        <v>0.98725609999999997</v>
      </c>
      <c r="Y682">
        <v>5.3450949999999997E-2</v>
      </c>
      <c r="Z682">
        <v>1.2644819999999999E-3</v>
      </c>
      <c r="AA682">
        <v>0.9985697</v>
      </c>
      <c r="AB682">
        <v>21</v>
      </c>
      <c r="AC682">
        <v>240.983</v>
      </c>
      <c r="AD682">
        <v>14.344798999999901</v>
      </c>
      <c r="AE682">
        <v>-13.649199999999899</v>
      </c>
      <c r="AF682">
        <v>12.8814219007101</v>
      </c>
      <c r="AG682">
        <v>14.344798999999901</v>
      </c>
      <c r="AH682">
        <v>240.174518996507</v>
      </c>
      <c r="AI682">
        <v>86.5868742578416</v>
      </c>
      <c r="AJ682">
        <v>86.929963062879196</v>
      </c>
      <c r="AK682">
        <v>240.94709764539201</v>
      </c>
      <c r="AL682">
        <v>84.528919405131603</v>
      </c>
      <c r="AM682">
        <v>97.354052863366107</v>
      </c>
      <c r="AN682">
        <v>1.0000000502092601</v>
      </c>
    </row>
    <row r="683" spans="1:40" x14ac:dyDescent="0.25">
      <c r="A683" t="str">
        <f>"20190304154738489"</f>
        <v>20190304154738489</v>
      </c>
      <c r="B683" t="str">
        <f>"1551685658478021"</f>
        <v>1551685658478021</v>
      </c>
      <c r="C683" t="s">
        <v>40</v>
      </c>
      <c r="D683">
        <v>4.3757129999999904</v>
      </c>
      <c r="E683">
        <v>0.51461939999999995</v>
      </c>
      <c r="F683" t="s">
        <v>43</v>
      </c>
      <c r="G683">
        <v>-170.08879999999999</v>
      </c>
      <c r="H683">
        <v>13.97556</v>
      </c>
      <c r="I683">
        <v>382.24630000000002</v>
      </c>
      <c r="J683">
        <v>-399.5958</v>
      </c>
      <c r="K683">
        <v>1.0688040000000001</v>
      </c>
      <c r="L683">
        <v>366.38420000000002</v>
      </c>
      <c r="M683">
        <v>0.99998960000000003</v>
      </c>
      <c r="N683">
        <v>-3.5058480000000002E-3</v>
      </c>
      <c r="O683">
        <v>-2.9539280000000002E-3</v>
      </c>
      <c r="P683">
        <v>0.98803200000000002</v>
      </c>
      <c r="Q683">
        <v>9.153356E-2</v>
      </c>
      <c r="R683">
        <v>0.12415470000000001</v>
      </c>
      <c r="S683">
        <v>2.99472</v>
      </c>
      <c r="T683">
        <v>0.16830709999999999</v>
      </c>
      <c r="U683">
        <v>0.20681759999999999</v>
      </c>
      <c r="V683">
        <v>-0.12707499999999999</v>
      </c>
      <c r="W683">
        <v>9.4992549999999995E-2</v>
      </c>
      <c r="X683">
        <v>0.98733400000000004</v>
      </c>
      <c r="Y683">
        <v>-7.1732439999999995E-2</v>
      </c>
      <c r="Z683">
        <v>-2.0617890000000001E-3</v>
      </c>
      <c r="AA683">
        <v>0.99742180000000003</v>
      </c>
      <c r="AB683">
        <v>21</v>
      </c>
      <c r="AC683">
        <v>229.50700000000001</v>
      </c>
      <c r="AD683">
        <v>12.906756</v>
      </c>
      <c r="AE683">
        <v>15.8620999999999</v>
      </c>
      <c r="AF683">
        <v>-16.488084954529601</v>
      </c>
      <c r="AG683">
        <v>12.906756</v>
      </c>
      <c r="AH683">
        <v>228.739174698281</v>
      </c>
      <c r="AI683">
        <v>86.778813038594194</v>
      </c>
      <c r="AJ683">
        <v>94.122890554048098</v>
      </c>
      <c r="AK683">
        <v>229.69556229401101</v>
      </c>
      <c r="AL683">
        <v>84.549109165470895</v>
      </c>
      <c r="AM683">
        <v>97.333945293588798</v>
      </c>
      <c r="AN683">
        <v>1.00000003386825</v>
      </c>
    </row>
    <row r="684" spans="1:40" x14ac:dyDescent="0.25">
      <c r="A684" t="str">
        <f>"20190304154738504"</f>
        <v>20190304154738504</v>
      </c>
      <c r="B684" t="str">
        <f>"1551685658497542"</f>
        <v>1551685658497542</v>
      </c>
      <c r="C684" t="s">
        <v>40</v>
      </c>
      <c r="D684">
        <v>4.3145540000000002</v>
      </c>
      <c r="E684">
        <v>0.5090751</v>
      </c>
      <c r="F684" t="s">
        <v>43</v>
      </c>
      <c r="G684">
        <v>-159.35079999999999</v>
      </c>
      <c r="H684">
        <v>13.826890000000001</v>
      </c>
      <c r="I684">
        <v>386.79</v>
      </c>
      <c r="J684">
        <v>-399.47149999999999</v>
      </c>
      <c r="K684">
        <v>1.0697380000000001</v>
      </c>
      <c r="L684">
        <v>366.38380000000001</v>
      </c>
      <c r="M684">
        <v>0.99999249999999995</v>
      </c>
      <c r="N684">
        <v>-2.5457710000000001E-3</v>
      </c>
      <c r="O684">
        <v>-2.923166E-3</v>
      </c>
      <c r="P684">
        <v>0.9879696</v>
      </c>
      <c r="Q684">
        <v>9.2542899999999997E-2</v>
      </c>
      <c r="R684">
        <v>0.12390279999999999</v>
      </c>
      <c r="S684">
        <v>2.9896850000000001</v>
      </c>
      <c r="T684">
        <v>0.15876660000000001</v>
      </c>
      <c r="U684">
        <v>0.25393680000000002</v>
      </c>
      <c r="V684">
        <v>-0.12679269999999901</v>
      </c>
      <c r="W684">
        <v>9.5053780000000004E-2</v>
      </c>
      <c r="X684">
        <v>0.98736440000000003</v>
      </c>
      <c r="Y684">
        <v>-8.7424329999999995E-2</v>
      </c>
      <c r="Z684">
        <v>-2.3662499999999999E-3</v>
      </c>
      <c r="AA684">
        <v>0.99616839999999995</v>
      </c>
      <c r="AB684">
        <v>21</v>
      </c>
      <c r="AC684">
        <v>240.1207</v>
      </c>
      <c r="AD684">
        <v>12.757152</v>
      </c>
      <c r="AE684">
        <v>20.406199999999998</v>
      </c>
      <c r="AF684">
        <v>-21.049040881696602</v>
      </c>
      <c r="AG684">
        <v>12.757152</v>
      </c>
      <c r="AH684">
        <v>239.38916997826101</v>
      </c>
      <c r="AI684">
        <v>86.96127068282</v>
      </c>
      <c r="AJ684">
        <v>95.024987072555405</v>
      </c>
      <c r="AK684">
        <v>240.651161958697</v>
      </c>
      <c r="AL684">
        <v>84.545584999783998</v>
      </c>
      <c r="AM684">
        <v>97.317606697442699</v>
      </c>
      <c r="AN684">
        <v>1.0000000341264601</v>
      </c>
    </row>
    <row r="685" spans="1:40" x14ac:dyDescent="0.25">
      <c r="A685" t="str">
        <f>"20190304154738518"</f>
        <v>20190304154738518</v>
      </c>
      <c r="B685" t="str">
        <f>"1551685658507303"</f>
        <v>1551685658507303</v>
      </c>
      <c r="C685" t="s">
        <v>40</v>
      </c>
      <c r="D685">
        <v>4.3129819999999999</v>
      </c>
      <c r="E685">
        <v>0.50587959999999998</v>
      </c>
      <c r="F685" t="s">
        <v>42</v>
      </c>
      <c r="G685">
        <v>0</v>
      </c>
      <c r="H685">
        <v>0</v>
      </c>
      <c r="I685">
        <v>0</v>
      </c>
      <c r="J685">
        <v>-399.3313</v>
      </c>
      <c r="K685">
        <v>1.07077</v>
      </c>
      <c r="L685">
        <v>366.38350000000003</v>
      </c>
      <c r="M685">
        <v>0.99999470000000001</v>
      </c>
      <c r="N685">
        <v>-1.5068810000000001E-3</v>
      </c>
      <c r="O685">
        <v>-2.8885120000000002E-3</v>
      </c>
      <c r="P685">
        <v>0.9879078</v>
      </c>
      <c r="Q685">
        <v>9.3604859999999998E-2</v>
      </c>
      <c r="R685">
        <v>0.1235972</v>
      </c>
      <c r="S685">
        <v>2.9864809999999999</v>
      </c>
      <c r="T685">
        <v>0.13727320000000001</v>
      </c>
      <c r="U685">
        <v>0.29656979999999999</v>
      </c>
      <c r="V685">
        <v>-0.1264528</v>
      </c>
      <c r="W685">
        <v>9.5089850000000004E-2</v>
      </c>
      <c r="X685">
        <v>0.98740450000000002</v>
      </c>
      <c r="Y685">
        <v>-0.1015861</v>
      </c>
      <c r="Z685">
        <v>-2.3877019999999998E-3</v>
      </c>
      <c r="AA685">
        <v>0.99482389999999998</v>
      </c>
      <c r="AB685">
        <v>21</v>
      </c>
      <c r="AC685">
        <v>2.9864809999999999</v>
      </c>
      <c r="AD685">
        <v>0.13727320000000001</v>
      </c>
      <c r="AE685">
        <v>0.29656979999999999</v>
      </c>
      <c r="AF685">
        <v>-0.30455788168240799</v>
      </c>
      <c r="AG685">
        <v>0.13727320000000001</v>
      </c>
      <c r="AH685">
        <v>2.9793786242603799</v>
      </c>
      <c r="AI685">
        <v>87.375651158149907</v>
      </c>
      <c r="AJ685">
        <v>95.836612878148401</v>
      </c>
      <c r="AK685">
        <v>2.9980487690217399</v>
      </c>
      <c r="AL685">
        <v>84.543508851376004</v>
      </c>
      <c r="AM685">
        <v>97.297908580544501</v>
      </c>
      <c r="AN685">
        <v>1.00000001841055</v>
      </c>
    </row>
    <row r="686" spans="1:40" x14ac:dyDescent="0.25">
      <c r="A686" t="str">
        <f>"20190304154738533"</f>
        <v>20190304154738533</v>
      </c>
      <c r="B686" t="str">
        <f>"1551685658527798"</f>
        <v>1551685658527798</v>
      </c>
      <c r="C686" t="s">
        <v>40</v>
      </c>
      <c r="D686">
        <v>4.2816150000000004</v>
      </c>
      <c r="E686">
        <v>0.50238919999999998</v>
      </c>
      <c r="F686" t="s">
        <v>42</v>
      </c>
      <c r="G686">
        <v>0</v>
      </c>
      <c r="H686">
        <v>0</v>
      </c>
      <c r="I686">
        <v>0</v>
      </c>
      <c r="J686">
        <v>-399.18099999999998</v>
      </c>
      <c r="K686">
        <v>1.0718369999999999</v>
      </c>
      <c r="L686">
        <v>366.38310000000001</v>
      </c>
      <c r="M686">
        <v>0.99999579999999999</v>
      </c>
      <c r="N686">
        <v>-4.6395289999999999E-4</v>
      </c>
      <c r="O686">
        <v>-2.851892E-3</v>
      </c>
      <c r="P686">
        <v>0.98788260000000006</v>
      </c>
      <c r="Q686">
        <v>9.384257E-2</v>
      </c>
      <c r="R686">
        <v>0.123618699999999</v>
      </c>
      <c r="S686">
        <v>2.9854129999999999</v>
      </c>
      <c r="T686">
        <v>0.1189914</v>
      </c>
      <c r="U686">
        <v>0.32040410000000002</v>
      </c>
      <c r="V686">
        <v>-0.12643789999999999</v>
      </c>
      <c r="W686">
        <v>9.4297599999999995E-2</v>
      </c>
      <c r="X686">
        <v>0.98748239999999998</v>
      </c>
      <c r="Y686">
        <v>-0.109458399999999</v>
      </c>
      <c r="Z686">
        <v>-2.2634199999999999E-3</v>
      </c>
      <c r="AA686">
        <v>0.99398880000000001</v>
      </c>
      <c r="AB686">
        <v>21</v>
      </c>
      <c r="AC686">
        <v>2.9854129999999999</v>
      </c>
      <c r="AD686">
        <v>0.1189914</v>
      </c>
      <c r="AE686">
        <v>0.32040410000000002</v>
      </c>
      <c r="AF686">
        <v>-0.32840110704367798</v>
      </c>
      <c r="AG686">
        <v>0.1189914</v>
      </c>
      <c r="AH686">
        <v>2.9798071995229698</v>
      </c>
      <c r="AI686">
        <v>87.726994197385096</v>
      </c>
      <c r="AJ686">
        <v>96.289121049275494</v>
      </c>
      <c r="AK686">
        <v>3.0002095238017001</v>
      </c>
      <c r="AL686">
        <v>84.589106418134094</v>
      </c>
      <c r="AM686">
        <v>97.296488490342497</v>
      </c>
      <c r="AN686">
        <v>1.0000000351159599</v>
      </c>
    </row>
    <row r="687" spans="1:40" x14ac:dyDescent="0.25">
      <c r="A687" t="str">
        <f>"20190304154738544"</f>
        <v>20190304154738544</v>
      </c>
      <c r="B687" t="str">
        <f>"1551685658537558"</f>
        <v>1551685658537558</v>
      </c>
      <c r="C687" t="s">
        <v>40</v>
      </c>
      <c r="D687">
        <v>4.3083280000000004</v>
      </c>
      <c r="E687">
        <v>0.50098869999999995</v>
      </c>
      <c r="F687" t="s">
        <v>51</v>
      </c>
      <c r="G687">
        <v>-195.3741</v>
      </c>
      <c r="H687">
        <v>7.3059440000000002</v>
      </c>
      <c r="I687">
        <v>390.11860000000001</v>
      </c>
      <c r="J687">
        <v>-399.07150000000001</v>
      </c>
      <c r="K687">
        <v>1.072586</v>
      </c>
      <c r="L687">
        <v>366.38279999999997</v>
      </c>
      <c r="M687">
        <v>0.99999610000000005</v>
      </c>
      <c r="N687">
        <v>2.1420059999999999E-4</v>
      </c>
      <c r="O687">
        <v>-2.8288509999999998E-3</v>
      </c>
      <c r="P687">
        <v>0.9878519</v>
      </c>
      <c r="Q687">
        <v>9.3874780000000005E-2</v>
      </c>
      <c r="R687">
        <v>0.1238402</v>
      </c>
      <c r="S687">
        <v>2.9846499999999998</v>
      </c>
      <c r="T687">
        <v>9.1295360000000006E-2</v>
      </c>
      <c r="U687">
        <v>0.34759519999999999</v>
      </c>
      <c r="V687">
        <v>-0.12663720000000001</v>
      </c>
      <c r="W687">
        <v>9.3659560000000003E-2</v>
      </c>
      <c r="X687">
        <v>0.98751750000000005</v>
      </c>
      <c r="Y687">
        <v>-0.1184322</v>
      </c>
      <c r="Z687">
        <v>-1.9031499999999999E-3</v>
      </c>
      <c r="AA687">
        <v>0.99296030000000002</v>
      </c>
      <c r="AB687">
        <v>21</v>
      </c>
      <c r="AC687">
        <v>203.69739999999999</v>
      </c>
      <c r="AD687">
        <v>6.233358</v>
      </c>
      <c r="AE687">
        <v>23.735800000000001</v>
      </c>
      <c r="AF687">
        <v>-24.289493964398599</v>
      </c>
      <c r="AG687">
        <v>6.233358</v>
      </c>
      <c r="AH687">
        <v>203.44148423176301</v>
      </c>
      <c r="AI687">
        <v>88.257399898375994</v>
      </c>
      <c r="AJ687">
        <v>96.808487461426694</v>
      </c>
      <c r="AK687">
        <v>204.98114980511099</v>
      </c>
      <c r="AL687">
        <v>84.625825487637499</v>
      </c>
      <c r="AM687">
        <v>97.307608536449706</v>
      </c>
      <c r="AN687">
        <v>0.99999995320474</v>
      </c>
    </row>
    <row r="688" spans="1:40" x14ac:dyDescent="0.25">
      <c r="A688" t="str">
        <f>"20190304154738556"</f>
        <v>20190304154738556</v>
      </c>
      <c r="B688" t="str">
        <f>"1551685658547319"</f>
        <v>1551685658547319</v>
      </c>
      <c r="C688" t="s">
        <v>40</v>
      </c>
      <c r="D688">
        <v>4.3356009999999996</v>
      </c>
      <c r="E688">
        <v>0.49991570000000002</v>
      </c>
      <c r="F688" t="s">
        <v>51</v>
      </c>
      <c r="G688">
        <v>-201.75970000000001</v>
      </c>
      <c r="H688">
        <v>6.3159109999999998</v>
      </c>
      <c r="I688">
        <v>390.11860000000001</v>
      </c>
      <c r="J688">
        <v>-398.96069999999997</v>
      </c>
      <c r="K688">
        <v>1.0733239999999999</v>
      </c>
      <c r="L688">
        <v>366.38249999999999</v>
      </c>
      <c r="M688">
        <v>0.99999590000000005</v>
      </c>
      <c r="N688">
        <v>8.6451140000000002E-4</v>
      </c>
      <c r="O688">
        <v>-2.805077E-3</v>
      </c>
      <c r="P688">
        <v>0.98782210000000004</v>
      </c>
      <c r="Q688">
        <v>9.4263169999999993E-2</v>
      </c>
      <c r="R688">
        <v>0.1237835</v>
      </c>
      <c r="S688">
        <v>2.984375</v>
      </c>
      <c r="T688">
        <v>7.9306130000000002E-2</v>
      </c>
      <c r="U688">
        <v>0.35900880000000002</v>
      </c>
      <c r="V688">
        <v>-0.12655739999999999</v>
      </c>
      <c r="W688">
        <v>9.340511E-2</v>
      </c>
      <c r="X688">
        <v>0.98755190000000004</v>
      </c>
      <c r="Y688">
        <v>-0.1221748</v>
      </c>
      <c r="Z688">
        <v>-1.7420669999999999E-3</v>
      </c>
      <c r="AA688">
        <v>0.99250709999999998</v>
      </c>
      <c r="AB688">
        <v>21</v>
      </c>
      <c r="AC688">
        <v>197.20099999999999</v>
      </c>
      <c r="AD688">
        <v>5.2425870000000003</v>
      </c>
      <c r="AE688">
        <v>23.7361</v>
      </c>
      <c r="AF688">
        <v>-24.2722609745089</v>
      </c>
      <c r="AG688">
        <v>5.2425870000000003</v>
      </c>
      <c r="AH688">
        <v>196.996401348864</v>
      </c>
      <c r="AI688">
        <v>88.487005824569906</v>
      </c>
      <c r="AJ688">
        <v>97.024108388447701</v>
      </c>
      <c r="AK688">
        <v>198.555305936835</v>
      </c>
      <c r="AL688">
        <v>84.640468964461704</v>
      </c>
      <c r="AM688">
        <v>97.302801755689202</v>
      </c>
      <c r="AN688">
        <v>1.00000002263124</v>
      </c>
    </row>
    <row r="689" spans="1:40" x14ac:dyDescent="0.25">
      <c r="A689" t="str">
        <f>"20190304154738566"</f>
        <v>20190304154738566</v>
      </c>
      <c r="B689" t="str">
        <f>"1551685658557078"</f>
        <v>1551685658557078</v>
      </c>
      <c r="C689" t="s">
        <v>40</v>
      </c>
      <c r="D689">
        <v>4.5646089999999999</v>
      </c>
      <c r="E689">
        <v>0.49846600000000002</v>
      </c>
      <c r="F689" t="s">
        <v>51</v>
      </c>
      <c r="G689">
        <v>-195.7833</v>
      </c>
      <c r="H689">
        <v>5.8754949999999999</v>
      </c>
      <c r="I689">
        <v>391.37939999999998</v>
      </c>
      <c r="J689">
        <v>-398.85599999999999</v>
      </c>
      <c r="K689">
        <v>1.0739920000000001</v>
      </c>
      <c r="L689">
        <v>366.38220000000001</v>
      </c>
      <c r="M689">
        <v>0.99999519999999997</v>
      </c>
      <c r="N689">
        <v>1.430504E-3</v>
      </c>
      <c r="O689">
        <v>-2.7822849999999998E-3</v>
      </c>
      <c r="P689">
        <v>0.98776529999999996</v>
      </c>
      <c r="Q689">
        <v>9.4533950000000005E-2</v>
      </c>
      <c r="R689">
        <v>0.1240305</v>
      </c>
      <c r="S689">
        <v>2.984283</v>
      </c>
      <c r="T689">
        <v>7.0534589999999994E-2</v>
      </c>
      <c r="U689">
        <v>0.36715700000000001</v>
      </c>
      <c r="V689">
        <v>-0.1267817</v>
      </c>
      <c r="W689">
        <v>9.3116450000000003E-2</v>
      </c>
      <c r="X689">
        <v>0.98755040000000005</v>
      </c>
      <c r="Y689">
        <v>-0.124833399999999</v>
      </c>
      <c r="Z689">
        <v>-1.620675E-3</v>
      </c>
      <c r="AA689">
        <v>0.99217639999999996</v>
      </c>
      <c r="AB689">
        <v>21</v>
      </c>
      <c r="AC689">
        <v>203.0727</v>
      </c>
      <c r="AD689">
        <v>4.8015030000000003</v>
      </c>
      <c r="AE689">
        <v>24.9971999999999</v>
      </c>
      <c r="AF689">
        <v>-25.548040430124999</v>
      </c>
      <c r="AG689">
        <v>4.8015030000000003</v>
      </c>
      <c r="AH689">
        <v>202.890631429622</v>
      </c>
      <c r="AI689">
        <v>88.654938953555501</v>
      </c>
      <c r="AJ689">
        <v>97.176926109029694</v>
      </c>
      <c r="AK689">
        <v>204.549175316815</v>
      </c>
      <c r="AL689">
        <v>84.657080414605801</v>
      </c>
      <c r="AM689">
        <v>97.315615548357101</v>
      </c>
      <c r="AN689">
        <v>1.00000003262782</v>
      </c>
    </row>
    <row r="690" spans="1:40" x14ac:dyDescent="0.25">
      <c r="A690" t="str">
        <f>"20190304154738577"</f>
        <v>20190304154738577</v>
      </c>
      <c r="B690" t="str">
        <f>"1551685658567815"</f>
        <v>1551685658567815</v>
      </c>
      <c r="C690" t="s">
        <v>40</v>
      </c>
      <c r="D690">
        <v>4.3090000000000002</v>
      </c>
      <c r="E690">
        <v>0.49777860000000002</v>
      </c>
      <c r="F690" t="s">
        <v>48</v>
      </c>
      <c r="G690">
        <v>-285.27719999999999</v>
      </c>
      <c r="H690">
        <v>3.5027249999999999</v>
      </c>
      <c r="I690">
        <v>380.82350000000002</v>
      </c>
      <c r="J690">
        <v>-398.7561</v>
      </c>
      <c r="K690">
        <v>1.074657</v>
      </c>
      <c r="L690">
        <v>366.38200000000001</v>
      </c>
      <c r="M690">
        <v>0.99999479999999996</v>
      </c>
      <c r="N690">
        <v>1.7321229999999999E-3</v>
      </c>
      <c r="O690">
        <v>-2.7591629999999998E-3</v>
      </c>
      <c r="P690">
        <v>0.98777250000000005</v>
      </c>
      <c r="Q690">
        <v>9.4390569999999993E-2</v>
      </c>
      <c r="R690">
        <v>0.12408089999999999</v>
      </c>
      <c r="S690">
        <v>2.9833980000000002</v>
      </c>
      <c r="T690">
        <v>6.3797950000000006E-2</v>
      </c>
      <c r="U690">
        <v>0.37933349999999999</v>
      </c>
      <c r="V690">
        <v>-0.12680959999999999</v>
      </c>
      <c r="W690">
        <v>9.2675370000000007E-2</v>
      </c>
      <c r="X690">
        <v>0.98758829999999997</v>
      </c>
      <c r="Y690">
        <v>-0.12883739999999999</v>
      </c>
      <c r="Z690">
        <v>-1.537917E-3</v>
      </c>
      <c r="AA690">
        <v>0.99166449999999995</v>
      </c>
      <c r="AB690">
        <v>21</v>
      </c>
      <c r="AC690">
        <v>113.4789</v>
      </c>
      <c r="AD690">
        <v>2.4280680000000001</v>
      </c>
      <c r="AE690">
        <v>14.4415</v>
      </c>
      <c r="AF690">
        <v>-14.7479080175404</v>
      </c>
      <c r="AG690">
        <v>2.4280680000000001</v>
      </c>
      <c r="AH690">
        <v>113.38753816668</v>
      </c>
      <c r="AI690">
        <v>88.783505708122505</v>
      </c>
      <c r="AJ690">
        <v>97.410652874372104</v>
      </c>
      <c r="AK690">
        <v>114.368396493991</v>
      </c>
      <c r="AL690">
        <v>84.682462148706605</v>
      </c>
      <c r="AM690">
        <v>97.316930236825996</v>
      </c>
      <c r="AN690">
        <v>1.0000000245768399</v>
      </c>
    </row>
    <row r="691" spans="1:40" x14ac:dyDescent="0.25">
      <c r="A691" t="str">
        <f>"20190304154738588"</f>
        <v>20190304154738588</v>
      </c>
      <c r="B691" t="str">
        <f>"1551685658577574"</f>
        <v>1551685658577574</v>
      </c>
      <c r="C691" t="s">
        <v>40</v>
      </c>
      <c r="D691">
        <v>4.3296900000000003</v>
      </c>
      <c r="E691">
        <v>0.49723109999999998</v>
      </c>
      <c r="F691" t="s">
        <v>51</v>
      </c>
      <c r="G691">
        <v>-205.2534</v>
      </c>
      <c r="H691">
        <v>4.7076949999999904</v>
      </c>
      <c r="I691">
        <v>391.35509999999999</v>
      </c>
      <c r="J691">
        <v>-398.64940000000001</v>
      </c>
      <c r="K691">
        <v>1.075391</v>
      </c>
      <c r="L691">
        <v>366.38170000000002</v>
      </c>
      <c r="M691">
        <v>0.99999459999999996</v>
      </c>
      <c r="N691">
        <v>1.878792E-3</v>
      </c>
      <c r="O691">
        <v>-2.7340239999999998E-3</v>
      </c>
      <c r="P691">
        <v>0.98779399999999995</v>
      </c>
      <c r="Q691">
        <v>9.4224260000000004E-2</v>
      </c>
      <c r="R691">
        <v>0.1240351</v>
      </c>
      <c r="S691">
        <v>2.9834589999999999</v>
      </c>
      <c r="T691">
        <v>5.601478E-2</v>
      </c>
      <c r="U691">
        <v>0.3850403</v>
      </c>
      <c r="V691">
        <v>-0.1267383</v>
      </c>
      <c r="W691">
        <v>9.2364390000000005E-2</v>
      </c>
      <c r="X691">
        <v>0.98762660000000002</v>
      </c>
      <c r="Y691">
        <v>-0.13068250000000001</v>
      </c>
      <c r="Z691">
        <v>-1.3909E-3</v>
      </c>
      <c r="AA691">
        <v>0.99142330000000001</v>
      </c>
      <c r="AB691">
        <v>22</v>
      </c>
      <c r="AC691">
        <v>193.39599999999999</v>
      </c>
      <c r="AD691">
        <v>3.632304</v>
      </c>
      <c r="AE691">
        <v>24.973399999999899</v>
      </c>
      <c r="AF691">
        <v>-25.493211561030598</v>
      </c>
      <c r="AG691">
        <v>3.632304</v>
      </c>
      <c r="AH691">
        <v>193.259944504949</v>
      </c>
      <c r="AI691">
        <v>88.93250288422</v>
      </c>
      <c r="AJ691">
        <v>97.514587126757206</v>
      </c>
      <c r="AK691">
        <v>194.967955362157</v>
      </c>
      <c r="AL691">
        <v>84.7003568200073</v>
      </c>
      <c r="AM691">
        <v>97.312580241827206</v>
      </c>
      <c r="AN691">
        <v>1.0000000391272601</v>
      </c>
    </row>
    <row r="692" spans="1:40" x14ac:dyDescent="0.25">
      <c r="A692" t="str">
        <f>"20190304154738600"</f>
        <v>20190304154738600</v>
      </c>
      <c r="B692" t="str">
        <f>"1551685658598070"</f>
        <v>1551685658598070</v>
      </c>
      <c r="C692" t="s">
        <v>40</v>
      </c>
      <c r="D692">
        <v>4.3093430000000001</v>
      </c>
      <c r="E692">
        <v>0.49638779999999999</v>
      </c>
      <c r="F692" t="s">
        <v>51</v>
      </c>
      <c r="G692">
        <v>-205.2535</v>
      </c>
      <c r="H692">
        <v>4.2389549999999998</v>
      </c>
      <c r="I692">
        <v>391.59469999999999</v>
      </c>
      <c r="J692">
        <v>-398.54820000000001</v>
      </c>
      <c r="K692">
        <v>1.07624599999999</v>
      </c>
      <c r="L692">
        <v>366.38150000000002</v>
      </c>
      <c r="M692">
        <v>0.99999490000000002</v>
      </c>
      <c r="N692">
        <v>1.7078519999999999E-3</v>
      </c>
      <c r="O692">
        <v>-2.7088329999999999E-3</v>
      </c>
      <c r="P692">
        <v>0.98781870000000005</v>
      </c>
      <c r="Q692">
        <v>9.3767320000000001E-2</v>
      </c>
      <c r="R692">
        <v>0.1241857</v>
      </c>
      <c r="S692">
        <v>2.9836429999999998</v>
      </c>
      <c r="T692">
        <v>4.8806309999999999E-2</v>
      </c>
      <c r="U692">
        <v>0.38897710000000002</v>
      </c>
      <c r="V692">
        <v>-0.12686459999999999</v>
      </c>
      <c r="W692">
        <v>9.2076649999999996E-2</v>
      </c>
      <c r="X692">
        <v>0.98763719999999999</v>
      </c>
      <c r="Y692">
        <v>-0.131942</v>
      </c>
      <c r="Z692">
        <v>-1.2272019999999999E-3</v>
      </c>
      <c r="AA692">
        <v>0.99125669999999999</v>
      </c>
      <c r="AB692">
        <v>22</v>
      </c>
      <c r="AC692">
        <v>193.29470000000001</v>
      </c>
      <c r="AD692">
        <v>3.162709</v>
      </c>
      <c r="AE692">
        <v>25.213199999999901</v>
      </c>
      <c r="AF692">
        <v>-25.7299381638522</v>
      </c>
      <c r="AG692">
        <v>3.162709</v>
      </c>
      <c r="AH692">
        <v>193.17484107551999</v>
      </c>
      <c r="AI692">
        <v>89.070232075761197</v>
      </c>
      <c r="AJ692">
        <v>97.586860187017805</v>
      </c>
      <c r="AK692">
        <v>194.906520339076</v>
      </c>
      <c r="AL692">
        <v>84.716913388763999</v>
      </c>
      <c r="AM692">
        <v>97.319710829512204</v>
      </c>
      <c r="AN692">
        <v>0.99999998751611097</v>
      </c>
    </row>
    <row r="693" spans="1:40" x14ac:dyDescent="0.25">
      <c r="A693" t="str">
        <f>"20190304154738612"</f>
        <v>20190304154738612</v>
      </c>
      <c r="B693" t="str">
        <f>"1551685658607829"</f>
        <v>1551685658607829</v>
      </c>
      <c r="C693" t="s">
        <v>40</v>
      </c>
      <c r="D693">
        <v>4.313409</v>
      </c>
      <c r="E693">
        <v>0.49606139999999999</v>
      </c>
      <c r="F693" t="s">
        <v>51</v>
      </c>
      <c r="G693">
        <v>-206.5059</v>
      </c>
      <c r="H693">
        <v>3.5152770000000002</v>
      </c>
      <c r="I693">
        <v>391.87</v>
      </c>
      <c r="J693">
        <v>-398.43259999999998</v>
      </c>
      <c r="K693">
        <v>1.077285</v>
      </c>
      <c r="L693">
        <v>366.38119999999998</v>
      </c>
      <c r="M693">
        <v>0.99999550000000004</v>
      </c>
      <c r="N693">
        <v>1.4030539999999999E-3</v>
      </c>
      <c r="O693">
        <v>-2.6797409999999998E-3</v>
      </c>
      <c r="P693">
        <v>0.98785109999999998</v>
      </c>
      <c r="Q693">
        <v>9.3394450000000004E-2</v>
      </c>
      <c r="R693">
        <v>0.12420829999999999</v>
      </c>
      <c r="S693">
        <v>2.9836119999999999</v>
      </c>
      <c r="T693">
        <v>3.7893299999999998E-2</v>
      </c>
      <c r="U693">
        <v>0.39599610000000002</v>
      </c>
      <c r="V693">
        <v>-0.1268579</v>
      </c>
      <c r="W693">
        <v>9.2004950000000002E-2</v>
      </c>
      <c r="X693">
        <v>0.98764470000000004</v>
      </c>
      <c r="Y693">
        <v>-0.1342139</v>
      </c>
      <c r="Z693">
        <v>-9.7324830000000001E-4</v>
      </c>
      <c r="AA693">
        <v>0.9909519</v>
      </c>
      <c r="AB693">
        <v>21</v>
      </c>
      <c r="AC693">
        <v>191.92670000000001</v>
      </c>
      <c r="AD693">
        <v>2.4379919999999902</v>
      </c>
      <c r="AE693">
        <v>25.488800000000001</v>
      </c>
      <c r="AF693">
        <v>-25.998900342959899</v>
      </c>
      <c r="AG693">
        <v>2.4379919999999902</v>
      </c>
      <c r="AH693">
        <v>191.82729080112901</v>
      </c>
      <c r="AI693">
        <v>89.278445836328999</v>
      </c>
      <c r="AJ693">
        <v>97.718429521723806</v>
      </c>
      <c r="AK693">
        <v>193.59647755095099</v>
      </c>
      <c r="AL693">
        <v>84.721038786201902</v>
      </c>
      <c r="AM693">
        <v>97.319273472492597</v>
      </c>
      <c r="AN693">
        <v>0.99999994552749905</v>
      </c>
    </row>
    <row r="694" spans="1:40" x14ac:dyDescent="0.25">
      <c r="A694" t="str">
        <f>"20190304154738623"</f>
        <v>20190304154738623</v>
      </c>
      <c r="B694" t="str">
        <f>"1551685658617591"</f>
        <v>1551685658617591</v>
      </c>
      <c r="C694" t="s">
        <v>40</v>
      </c>
      <c r="D694">
        <v>4.3146930000000001</v>
      </c>
      <c r="E694">
        <v>0.49581399999999998</v>
      </c>
      <c r="F694" t="s">
        <v>51</v>
      </c>
      <c r="G694">
        <v>-207.69839999999999</v>
      </c>
      <c r="H694">
        <v>3.2468300000000001</v>
      </c>
      <c r="I694">
        <v>391.87</v>
      </c>
      <c r="J694">
        <v>-398.32670000000002</v>
      </c>
      <c r="K694">
        <v>1.078362</v>
      </c>
      <c r="L694">
        <v>366.3809</v>
      </c>
      <c r="M694">
        <v>0.99999590000000005</v>
      </c>
      <c r="N694">
        <v>1.106931E-3</v>
      </c>
      <c r="O694">
        <v>-2.6520129999999999E-3</v>
      </c>
      <c r="P694">
        <v>0.98790820000000001</v>
      </c>
      <c r="Q694">
        <v>9.3044360000000007E-2</v>
      </c>
      <c r="R694">
        <v>0.12401719999999999</v>
      </c>
      <c r="S694">
        <v>2.9835820000000002</v>
      </c>
      <c r="T694">
        <v>3.3937340000000003E-2</v>
      </c>
      <c r="U694">
        <v>0.39871220000000002</v>
      </c>
      <c r="V694">
        <v>-0.12663920000000001</v>
      </c>
      <c r="W694">
        <v>9.1947500000000001E-2</v>
      </c>
      <c r="X694">
        <v>0.98767819999999995</v>
      </c>
      <c r="Y694">
        <v>-0.13507649999999999</v>
      </c>
      <c r="Z694">
        <v>-8.6700739999999996E-4</v>
      </c>
      <c r="AA694">
        <v>0.99083480000000002</v>
      </c>
      <c r="AB694">
        <v>21</v>
      </c>
      <c r="AC694">
        <v>190.6283</v>
      </c>
      <c r="AD694">
        <v>2.1684679999999998</v>
      </c>
      <c r="AE694">
        <v>25.489100000000001</v>
      </c>
      <c r="AF694">
        <v>-25.991255218614</v>
      </c>
      <c r="AG694">
        <v>2.1684679999999998</v>
      </c>
      <c r="AH694">
        <v>190.535810067196</v>
      </c>
      <c r="AI694">
        <v>89.353933717340496</v>
      </c>
      <c r="AJ694">
        <v>97.767852288586994</v>
      </c>
      <c r="AK694">
        <v>192.31261664089701</v>
      </c>
      <c r="AL694">
        <v>84.724344878536002</v>
      </c>
      <c r="AM694">
        <v>97.306546547051298</v>
      </c>
      <c r="AN694">
        <v>1.00000002824406</v>
      </c>
    </row>
    <row r="695" spans="1:40" x14ac:dyDescent="0.25">
      <c r="A695" t="str">
        <f>"20190304154738634"</f>
        <v>20190304154738634</v>
      </c>
      <c r="B695" t="str">
        <f>"1551685658627350"</f>
        <v>1551685658627350</v>
      </c>
      <c r="C695" t="s">
        <v>40</v>
      </c>
      <c r="D695">
        <v>4.2970959999999998</v>
      </c>
      <c r="E695">
        <v>0.49567739999999999</v>
      </c>
      <c r="F695" t="s">
        <v>51</v>
      </c>
      <c r="G695">
        <v>-208.15799999999999</v>
      </c>
      <c r="H695">
        <v>3.055431</v>
      </c>
      <c r="I695">
        <v>391.87</v>
      </c>
      <c r="J695">
        <v>-398.22519999999997</v>
      </c>
      <c r="K695">
        <v>1.0793950000000001</v>
      </c>
      <c r="L695">
        <v>366.38069999999999</v>
      </c>
      <c r="M695">
        <v>0.99999629999999995</v>
      </c>
      <c r="N695">
        <v>8.8267949999999999E-4</v>
      </c>
      <c r="O695">
        <v>-2.6254339999999998E-3</v>
      </c>
      <c r="P695">
        <v>0.98797489999999999</v>
      </c>
      <c r="Q695">
        <v>9.2779059999999997E-2</v>
      </c>
      <c r="R695">
        <v>0.1236838</v>
      </c>
      <c r="S695">
        <v>2.9835820000000002</v>
      </c>
      <c r="T695">
        <v>3.1018500000000001E-2</v>
      </c>
      <c r="U695">
        <v>0.39990229999999999</v>
      </c>
      <c r="V695">
        <v>-0.1262798</v>
      </c>
      <c r="W695">
        <v>9.1903819999999997E-2</v>
      </c>
      <c r="X695">
        <v>0.98772819999999995</v>
      </c>
      <c r="Y695">
        <v>-0.13544010000000001</v>
      </c>
      <c r="Z695">
        <v>-7.8580190000000002E-4</v>
      </c>
      <c r="AA695">
        <v>0.99078520000000003</v>
      </c>
      <c r="AB695">
        <v>21</v>
      </c>
      <c r="AC695">
        <v>190.06720000000001</v>
      </c>
      <c r="AD695">
        <v>1.9760359999999999</v>
      </c>
      <c r="AE695">
        <v>25.4893</v>
      </c>
      <c r="AF695">
        <v>-25.985462086052198</v>
      </c>
      <c r="AG695">
        <v>1.9760359999999999</v>
      </c>
      <c r="AH695">
        <v>189.97945282994701</v>
      </c>
      <c r="AI695">
        <v>89.409567255851002</v>
      </c>
      <c r="AJ695">
        <v>97.788606559925</v>
      </c>
      <c r="AK695">
        <v>191.758549889346</v>
      </c>
      <c r="AL695">
        <v>84.726857778391803</v>
      </c>
      <c r="AM695">
        <v>97.285668957677601</v>
      </c>
      <c r="AN695">
        <v>0.99999994854693397</v>
      </c>
    </row>
    <row r="696" spans="1:40" x14ac:dyDescent="0.25">
      <c r="A696" t="str">
        <f>"20190304154738644"</f>
        <v>20190304154738644</v>
      </c>
      <c r="B696" t="str">
        <f>"1551685658637110"</f>
        <v>1551685658637110</v>
      </c>
      <c r="C696" t="s">
        <v>40</v>
      </c>
      <c r="D696">
        <v>4.304487</v>
      </c>
      <c r="E696">
        <v>0.4960446</v>
      </c>
      <c r="F696" t="s">
        <v>51</v>
      </c>
      <c r="G696">
        <v>-208.30600000000001</v>
      </c>
      <c r="H696">
        <v>2.9057189999999999</v>
      </c>
      <c r="I696">
        <v>391.87</v>
      </c>
      <c r="J696">
        <v>-398.11649999999997</v>
      </c>
      <c r="K696">
        <v>1.0805169999999999</v>
      </c>
      <c r="L696">
        <v>366.38040000000001</v>
      </c>
      <c r="M696">
        <v>0.9999962</v>
      </c>
      <c r="N696">
        <v>8.5181299999999998E-4</v>
      </c>
      <c r="O696">
        <v>-2.596452E-3</v>
      </c>
      <c r="P696">
        <v>0.98798909999999995</v>
      </c>
      <c r="Q696">
        <v>9.2797939999999995E-2</v>
      </c>
      <c r="R696">
        <v>0.12355720000000001</v>
      </c>
      <c r="S696">
        <v>2.9837340000000001</v>
      </c>
      <c r="T696">
        <v>2.8692479999999999E-2</v>
      </c>
      <c r="U696">
        <v>0.40045170000000002</v>
      </c>
      <c r="V696">
        <v>-0.12612480000000001</v>
      </c>
      <c r="W696">
        <v>9.1953209999999994E-2</v>
      </c>
      <c r="X696">
        <v>0.98774340000000005</v>
      </c>
      <c r="Y696">
        <v>-0.13558499999999901</v>
      </c>
      <c r="Z696">
        <v>-7.2965009999999904E-4</v>
      </c>
      <c r="AA696">
        <v>0.99076549999999997</v>
      </c>
      <c r="AB696">
        <v>21</v>
      </c>
      <c r="AC696">
        <v>189.81049999999999</v>
      </c>
      <c r="AD696">
        <v>1.825202</v>
      </c>
      <c r="AE696">
        <v>25.489599999999999</v>
      </c>
      <c r="AF696">
        <v>-25.979988436185302</v>
      </c>
      <c r="AG696">
        <v>1.825202</v>
      </c>
      <c r="AH696">
        <v>189.72644518415399</v>
      </c>
      <c r="AI696">
        <v>89.453917140524894</v>
      </c>
      <c r="AJ696">
        <v>97.797242675165407</v>
      </c>
      <c r="AK696">
        <v>191.50565308549201</v>
      </c>
      <c r="AL696">
        <v>84.724015866821503</v>
      </c>
      <c r="AM696">
        <v>97.276711419404194</v>
      </c>
      <c r="AN696">
        <v>0.99999994112394996</v>
      </c>
    </row>
    <row r="697" spans="1:40" x14ac:dyDescent="0.25">
      <c r="A697" t="str">
        <f>"20190304154738656"</f>
        <v>20190304154738656</v>
      </c>
      <c r="B697" t="str">
        <f>"1551685658647846"</f>
        <v>1551685658647846</v>
      </c>
      <c r="C697" t="s">
        <v>40</v>
      </c>
      <c r="D697">
        <v>4.2985819999999997</v>
      </c>
      <c r="E697">
        <v>0.49632110000000002</v>
      </c>
      <c r="F697" t="s">
        <v>51</v>
      </c>
      <c r="G697">
        <v>-206.61840000000001</v>
      </c>
      <c r="H697">
        <v>2.9700160000000002</v>
      </c>
      <c r="I697">
        <v>391.87</v>
      </c>
      <c r="J697">
        <v>-398.00959999999998</v>
      </c>
      <c r="K697">
        <v>1.081656</v>
      </c>
      <c r="L697">
        <v>366.3802</v>
      </c>
      <c r="M697">
        <v>0.99999640000000001</v>
      </c>
      <c r="N697">
        <v>8.4811659999999998E-4</v>
      </c>
      <c r="O697">
        <v>-2.568674E-3</v>
      </c>
      <c r="P697">
        <v>0.98802909999999999</v>
      </c>
      <c r="Q697">
        <v>9.2884750000000002E-2</v>
      </c>
      <c r="R697">
        <v>0.12317069999999999</v>
      </c>
      <c r="S697">
        <v>2.983978</v>
      </c>
      <c r="T697">
        <v>2.9442670000000001E-2</v>
      </c>
      <c r="U697">
        <v>0.39718629999999999</v>
      </c>
      <c r="V697">
        <v>-0.12571070000000001</v>
      </c>
      <c r="W697">
        <v>9.2043879999999995E-2</v>
      </c>
      <c r="X697">
        <v>0.98778779999999999</v>
      </c>
      <c r="Y697">
        <v>-0.1344813</v>
      </c>
      <c r="Z697">
        <v>-7.4087399999999998E-4</v>
      </c>
      <c r="AA697">
        <v>0.99091580000000001</v>
      </c>
      <c r="AB697">
        <v>21</v>
      </c>
      <c r="AC697">
        <v>191.3912</v>
      </c>
      <c r="AD697">
        <v>1.88836</v>
      </c>
      <c r="AE697">
        <v>25.489799999999999</v>
      </c>
      <c r="AF697">
        <v>-25.978852749421002</v>
      </c>
      <c r="AG697">
        <v>1.88836</v>
      </c>
      <c r="AH697">
        <v>191.306794880479</v>
      </c>
      <c r="AI697">
        <v>89.439603658896999</v>
      </c>
      <c r="AJ697">
        <v>97.733279806098807</v>
      </c>
      <c r="AK697">
        <v>193.07189453959199</v>
      </c>
      <c r="AL697">
        <v>84.718799028375201</v>
      </c>
      <c r="AM697">
        <v>97.252752401501198</v>
      </c>
      <c r="AN697">
        <v>0.99999999688439201</v>
      </c>
    </row>
    <row r="698" spans="1:40" x14ac:dyDescent="0.25">
      <c r="A698" t="str">
        <f>"20190304154738667"</f>
        <v>20190304154738667</v>
      </c>
      <c r="B698" t="str">
        <f>"1551685658657606"</f>
        <v>1551685658657606</v>
      </c>
      <c r="C698" t="s">
        <v>40</v>
      </c>
      <c r="D698">
        <v>4.2983779999999996</v>
      </c>
      <c r="E698">
        <v>0.49658809999999898</v>
      </c>
      <c r="F698" t="s">
        <v>51</v>
      </c>
      <c r="G698">
        <v>-205.25389999999999</v>
      </c>
      <c r="H698">
        <v>3.05538</v>
      </c>
      <c r="I698">
        <v>391.82459999999998</v>
      </c>
      <c r="J698">
        <v>-397.89960000000002</v>
      </c>
      <c r="K698">
        <v>1.0828519999999999</v>
      </c>
      <c r="L698">
        <v>366.37990000000002</v>
      </c>
      <c r="M698">
        <v>0.99999640000000001</v>
      </c>
      <c r="N698">
        <v>8.7807649999999896E-4</v>
      </c>
      <c r="O698">
        <v>-2.540554E-3</v>
      </c>
      <c r="P698">
        <v>0.98801490000000003</v>
      </c>
      <c r="Q698">
        <v>9.3107720000000005E-2</v>
      </c>
      <c r="R698">
        <v>0.1231154</v>
      </c>
      <c r="S698">
        <v>2.9844059999999999</v>
      </c>
      <c r="T698">
        <v>3.055882E-2</v>
      </c>
      <c r="U698">
        <v>0.39395140000000001</v>
      </c>
      <c r="V698">
        <v>-0.1256274</v>
      </c>
      <c r="W698">
        <v>9.2237139999999995E-2</v>
      </c>
      <c r="X698">
        <v>0.9877804</v>
      </c>
      <c r="Y698">
        <v>-0.13337879999999999</v>
      </c>
      <c r="Z698">
        <v>-7.6239319999999995E-4</v>
      </c>
      <c r="AA698">
        <v>0.99106479999999997</v>
      </c>
      <c r="AB698">
        <v>21</v>
      </c>
      <c r="AC698">
        <v>192.64570000000001</v>
      </c>
      <c r="AD698">
        <v>1.9725280000000001</v>
      </c>
      <c r="AE698">
        <v>25.444699999999902</v>
      </c>
      <c r="AF698">
        <v>-25.9313728353311</v>
      </c>
      <c r="AG698">
        <v>1.9725280000000001</v>
      </c>
      <c r="AH698">
        <v>192.56059269394399</v>
      </c>
      <c r="AI698">
        <v>89.418351242986105</v>
      </c>
      <c r="AJ698">
        <v>97.669655028790203</v>
      </c>
      <c r="AK698">
        <v>194.308797594135</v>
      </c>
      <c r="AL698">
        <v>84.707678895629002</v>
      </c>
      <c r="AM698">
        <v>97.248051337245997</v>
      </c>
      <c r="AN698">
        <v>1.0000000261251401</v>
      </c>
    </row>
    <row r="699" spans="1:40" x14ac:dyDescent="0.25">
      <c r="A699" t="str">
        <f>"20190304154738679"</f>
        <v>20190304154738679</v>
      </c>
      <c r="B699" t="str">
        <f>"1551685658667366"</f>
        <v>1551685658667366</v>
      </c>
      <c r="C699" t="s">
        <v>40</v>
      </c>
      <c r="D699">
        <v>4.4350250000000004</v>
      </c>
      <c r="E699">
        <v>0.49660300000000002</v>
      </c>
      <c r="F699" t="s">
        <v>51</v>
      </c>
      <c r="G699">
        <v>-205.25389999999999</v>
      </c>
      <c r="H699">
        <v>3.1371690000000001</v>
      </c>
      <c r="I699">
        <v>391.66050000000001</v>
      </c>
      <c r="J699">
        <v>-397.79790000000003</v>
      </c>
      <c r="K699">
        <v>1.084009</v>
      </c>
      <c r="L699">
        <v>366.37970000000001</v>
      </c>
      <c r="M699">
        <v>0.99999649999999995</v>
      </c>
      <c r="N699">
        <v>8.0042130000000005E-4</v>
      </c>
      <c r="O699">
        <v>-2.5153670000000001E-3</v>
      </c>
      <c r="P699">
        <v>0.98804519999999996</v>
      </c>
      <c r="Q699">
        <v>9.2836870000000002E-2</v>
      </c>
      <c r="R699">
        <v>0.1230776</v>
      </c>
      <c r="S699">
        <v>2.9845890000000002</v>
      </c>
      <c r="T699">
        <v>3.1826729999999998E-2</v>
      </c>
      <c r="U699">
        <v>0.39166260000000003</v>
      </c>
      <c r="V699">
        <v>-0.12556510000000001</v>
      </c>
      <c r="W699">
        <v>9.2043410000000006E-2</v>
      </c>
      <c r="X699">
        <v>0.98780639999999997</v>
      </c>
      <c r="Y699">
        <v>-0.1325983</v>
      </c>
      <c r="Z699">
        <v>-7.8195580000000003E-4</v>
      </c>
      <c r="AA699">
        <v>0.99116959999999998</v>
      </c>
      <c r="AB699">
        <v>21</v>
      </c>
      <c r="AC699">
        <v>192.54400000000001</v>
      </c>
      <c r="AD699">
        <v>2.0531600000000001</v>
      </c>
      <c r="AE699">
        <v>25.280799999999999</v>
      </c>
      <c r="AF699">
        <v>-25.762159326549</v>
      </c>
      <c r="AG699">
        <v>2.0531600000000001</v>
      </c>
      <c r="AH699">
        <v>192.45828746224601</v>
      </c>
      <c r="AI699">
        <v>89.394190313767297</v>
      </c>
      <c r="AJ699">
        <v>97.624200213571498</v>
      </c>
      <c r="AK699">
        <v>194.185727415927</v>
      </c>
      <c r="AL699">
        <v>84.718826267555201</v>
      </c>
      <c r="AM699">
        <v>97.244306489524405</v>
      </c>
      <c r="AN699">
        <v>1.0000000337716899</v>
      </c>
    </row>
    <row r="700" spans="1:40" x14ac:dyDescent="0.25">
      <c r="A700" t="str">
        <f>"20190304154738690"</f>
        <v>20190304154738690</v>
      </c>
      <c r="B700" t="str">
        <f>"1551685658687862"</f>
        <v>1551685658687862</v>
      </c>
      <c r="C700" t="s">
        <v>40</v>
      </c>
      <c r="D700">
        <v>4.3105320000000003</v>
      </c>
      <c r="E700">
        <v>0.49682199999999999</v>
      </c>
      <c r="F700" t="s">
        <v>51</v>
      </c>
      <c r="G700">
        <v>-205.25389999999999</v>
      </c>
      <c r="H700">
        <v>3.113337</v>
      </c>
      <c r="I700">
        <v>391.6275</v>
      </c>
      <c r="J700">
        <v>-397.67309999999998</v>
      </c>
      <c r="K700">
        <v>1.0854699999999999</v>
      </c>
      <c r="L700">
        <v>366.37939999999998</v>
      </c>
      <c r="M700">
        <v>0.99999680000000002</v>
      </c>
      <c r="N700">
        <v>6.3572550000000002E-4</v>
      </c>
      <c r="O700">
        <v>-2.4850269999999999E-3</v>
      </c>
      <c r="P700">
        <v>0.98810920000000002</v>
      </c>
      <c r="Q700">
        <v>9.227776E-2</v>
      </c>
      <c r="R700">
        <v>0.12298439999999999</v>
      </c>
      <c r="S700">
        <v>2.9845579999999998</v>
      </c>
      <c r="T700">
        <v>3.1455869999999997E-2</v>
      </c>
      <c r="U700">
        <v>0.39135740000000002</v>
      </c>
      <c r="V700">
        <v>-0.1254421</v>
      </c>
      <c r="W700">
        <v>9.1646459999999999E-2</v>
      </c>
      <c r="X700">
        <v>0.98785889999999998</v>
      </c>
      <c r="Y700">
        <v>-0.13247020000000001</v>
      </c>
      <c r="Z700">
        <v>-7.6188789999999905E-4</v>
      </c>
      <c r="AA700">
        <v>0.99118669999999998</v>
      </c>
      <c r="AB700">
        <v>22</v>
      </c>
      <c r="AC700">
        <v>192.41919999999999</v>
      </c>
      <c r="AD700">
        <v>2.0278670000000001</v>
      </c>
      <c r="AE700">
        <v>25.248100000000001</v>
      </c>
      <c r="AF700">
        <v>-25.7233803600821</v>
      </c>
      <c r="AG700">
        <v>2.0278670000000001</v>
      </c>
      <c r="AH700">
        <v>192.334863305559</v>
      </c>
      <c r="AI700">
        <v>89.401259725878703</v>
      </c>
      <c r="AJ700">
        <v>97.617686377168098</v>
      </c>
      <c r="AK700">
        <v>194.05799180782901</v>
      </c>
      <c r="AL700">
        <v>84.741666187308496</v>
      </c>
      <c r="AM700">
        <v>97.236904902100306</v>
      </c>
      <c r="AN700">
        <v>1.00000000019607</v>
      </c>
    </row>
    <row r="701" spans="1:40" x14ac:dyDescent="0.25">
      <c r="A701" t="str">
        <f>"20190304154738812"</f>
        <v>20190304154738812</v>
      </c>
      <c r="B701" t="str">
        <f>"1551685658807910"</f>
        <v>1551685658807910</v>
      </c>
      <c r="C701" t="s">
        <v>40</v>
      </c>
      <c r="D701">
        <v>4.1404329999999998</v>
      </c>
      <c r="E701">
        <v>0.49682199999999999</v>
      </c>
      <c r="F701" t="s">
        <v>51</v>
      </c>
      <c r="G701">
        <v>-205.25389999999999</v>
      </c>
      <c r="H701">
        <v>3.0278679999999998</v>
      </c>
      <c r="I701">
        <v>391.49270000000001</v>
      </c>
      <c r="J701">
        <v>-396.50080000000003</v>
      </c>
      <c r="K701">
        <v>1.0982479999999999</v>
      </c>
      <c r="L701">
        <v>366.37700000000001</v>
      </c>
      <c r="M701">
        <v>0.99998900000000002</v>
      </c>
      <c r="N701">
        <v>-4.142639E-3</v>
      </c>
      <c r="O701">
        <v>-2.2137459999999999E-3</v>
      </c>
      <c r="P701">
        <v>0.9882379</v>
      </c>
      <c r="Q701">
        <v>8.9381829999999995E-2</v>
      </c>
      <c r="R701">
        <v>0.1240844</v>
      </c>
      <c r="S701">
        <v>2.9848020000000002</v>
      </c>
      <c r="T701">
        <v>3.013039E-2</v>
      </c>
      <c r="U701">
        <v>0.38955689999999998</v>
      </c>
      <c r="V701">
        <v>-0.126275</v>
      </c>
      <c r="W701">
        <v>9.3469189999999994E-2</v>
      </c>
      <c r="X701">
        <v>0.98758199999999996</v>
      </c>
      <c r="Y701">
        <v>-0.13160669999999999</v>
      </c>
      <c r="Z701">
        <v>-4.190652E-4</v>
      </c>
      <c r="AA701">
        <v>0.99130200000000002</v>
      </c>
      <c r="AB701">
        <v>22</v>
      </c>
      <c r="AC701">
        <v>191.24690000000001</v>
      </c>
      <c r="AD701">
        <v>1.9296199999999999</v>
      </c>
      <c r="AE701">
        <v>25.1157</v>
      </c>
      <c r="AF701">
        <v>-25.5364585580731</v>
      </c>
      <c r="AG701">
        <v>1.9296199999999999</v>
      </c>
      <c r="AH701">
        <v>191.17169947837201</v>
      </c>
      <c r="AI701">
        <v>89.426787197564295</v>
      </c>
      <c r="AJ701">
        <v>97.608453322715306</v>
      </c>
      <c r="AK701">
        <v>192.87937378185799</v>
      </c>
      <c r="AL701">
        <v>84.636781389652796</v>
      </c>
      <c r="AM701">
        <v>97.286461926454805</v>
      </c>
      <c r="AN701">
        <v>1.0000000359141199</v>
      </c>
    </row>
    <row r="702" spans="1:40" x14ac:dyDescent="0.25">
      <c r="A702" t="str">
        <f>"20190304154738846"</f>
        <v>20190304154738846</v>
      </c>
      <c r="B702" t="str">
        <f>"1551685658837190"</f>
        <v>1551685658837190</v>
      </c>
      <c r="C702" t="s">
        <v>40</v>
      </c>
      <c r="D702">
        <v>4.2355359999999997</v>
      </c>
      <c r="E702">
        <v>0.54923369999999905</v>
      </c>
      <c r="F702" t="s">
        <v>51</v>
      </c>
      <c r="G702">
        <v>-205.25409999999999</v>
      </c>
      <c r="H702">
        <v>2.4686880000000002</v>
      </c>
      <c r="I702">
        <v>391.55759999999998</v>
      </c>
      <c r="J702">
        <v>-396.15699999999998</v>
      </c>
      <c r="K702">
        <v>1.100862</v>
      </c>
      <c r="L702">
        <v>366.37630000000001</v>
      </c>
      <c r="M702">
        <v>0.99998399999999998</v>
      </c>
      <c r="N702">
        <v>-5.2360719999999996E-3</v>
      </c>
      <c r="O702">
        <v>-2.1285549999999999E-3</v>
      </c>
      <c r="P702">
        <v>0.98827399999999999</v>
      </c>
      <c r="Q702">
        <v>8.8407100000000002E-2</v>
      </c>
      <c r="R702">
        <v>0.12449350000000001</v>
      </c>
      <c r="S702">
        <v>2.9844059999999999</v>
      </c>
      <c r="T702">
        <v>2.1385669999999999E-2</v>
      </c>
      <c r="U702">
        <v>0.39294430000000002</v>
      </c>
      <c r="V702">
        <v>-0.12660009999999999</v>
      </c>
      <c r="W702">
        <v>9.3574580000000004E-2</v>
      </c>
      <c r="X702">
        <v>0.98753040000000003</v>
      </c>
      <c r="Y702">
        <v>-0.1326483</v>
      </c>
      <c r="Z702">
        <v>-1.507286E-4</v>
      </c>
      <c r="AA702">
        <v>0.99116309999999996</v>
      </c>
      <c r="AB702">
        <v>22</v>
      </c>
      <c r="AC702">
        <v>190.90289999999999</v>
      </c>
      <c r="AD702">
        <v>1.367826</v>
      </c>
      <c r="AE702">
        <v>25.181299999999901</v>
      </c>
      <c r="AF702">
        <v>-25.586304777775201</v>
      </c>
      <c r="AG702">
        <v>1.367826</v>
      </c>
      <c r="AH702">
        <v>190.83923729985301</v>
      </c>
      <c r="AI702">
        <v>89.592985522771002</v>
      </c>
      <c r="AJ702">
        <v>97.636253988894296</v>
      </c>
      <c r="AK702">
        <v>192.55166691913399</v>
      </c>
      <c r="AL702">
        <v>84.630716423537606</v>
      </c>
      <c r="AM702">
        <v>97.305396409779505</v>
      </c>
      <c r="AN702">
        <v>1.00000003913317</v>
      </c>
    </row>
    <row r="703" spans="1:40" x14ac:dyDescent="0.25">
      <c r="A703" t="str">
        <f>"20190304154738857"</f>
        <v>20190304154738857</v>
      </c>
      <c r="B703" t="str">
        <f>"1551685658847926"</f>
        <v>1551685658847926</v>
      </c>
      <c r="C703" t="s">
        <v>40</v>
      </c>
      <c r="D703">
        <v>4.3108680000000001</v>
      </c>
      <c r="E703">
        <v>0.54908190000000001</v>
      </c>
      <c r="F703" t="s">
        <v>44</v>
      </c>
      <c r="G703">
        <v>-261.67579999999998</v>
      </c>
      <c r="H703" s="1">
        <v>-4.2976059999999999E-6</v>
      </c>
      <c r="I703">
        <v>365.42059999999998</v>
      </c>
      <c r="J703">
        <v>-396.05399999999997</v>
      </c>
      <c r="K703">
        <v>1.101545</v>
      </c>
      <c r="L703">
        <v>366.37610000000001</v>
      </c>
      <c r="M703">
        <v>0.9999825</v>
      </c>
      <c r="N703">
        <v>-5.5335849999999997E-3</v>
      </c>
      <c r="O703">
        <v>-2.1036000000000002E-3</v>
      </c>
      <c r="P703">
        <v>0.98836230000000003</v>
      </c>
      <c r="Q703">
        <v>8.7153240000000007E-2</v>
      </c>
      <c r="R703">
        <v>0.1246773</v>
      </c>
      <c r="S703">
        <v>3.040527</v>
      </c>
      <c r="T703">
        <v>-2.4889830000000002E-2</v>
      </c>
      <c r="U703">
        <v>-2.1606449999999999E-2</v>
      </c>
      <c r="V703">
        <v>-0.12675939999999999</v>
      </c>
      <c r="W703">
        <v>9.2615550000000005E-2</v>
      </c>
      <c r="X703">
        <v>0.98760029999999999</v>
      </c>
      <c r="Y703">
        <v>5.0021040000000003E-3</v>
      </c>
      <c r="Z703" s="1">
        <v>-2.87343E-5</v>
      </c>
      <c r="AA703">
        <v>0.99998750000000003</v>
      </c>
      <c r="AB703">
        <v>22</v>
      </c>
      <c r="AC703">
        <v>134.37819999999999</v>
      </c>
      <c r="AD703">
        <v>-1.101549297606</v>
      </c>
      <c r="AE703">
        <v>-0.95550000000002899</v>
      </c>
      <c r="AF703">
        <v>0.67277037692699904</v>
      </c>
      <c r="AG703">
        <v>-1.101549297606</v>
      </c>
      <c r="AH703">
        <v>134.37088381929399</v>
      </c>
      <c r="AI703">
        <v>90.469684496239296</v>
      </c>
      <c r="AJ703">
        <v>89.713132934844893</v>
      </c>
      <c r="AK703">
        <v>134.37708305069501</v>
      </c>
      <c r="AL703">
        <v>84.685904090874601</v>
      </c>
      <c r="AM703">
        <v>97.313977153089098</v>
      </c>
      <c r="AN703">
        <v>0.99999996907512501</v>
      </c>
    </row>
    <row r="704" spans="1:40" x14ac:dyDescent="0.25">
      <c r="A704" t="str">
        <f>"20190304154738869"</f>
        <v>20190304154738869</v>
      </c>
      <c r="B704" t="str">
        <f>"1551685658857686"</f>
        <v>1551685658857686</v>
      </c>
      <c r="C704" t="s">
        <v>40</v>
      </c>
      <c r="D704">
        <v>4.258756</v>
      </c>
      <c r="E704">
        <v>0.54952089999999998</v>
      </c>
      <c r="F704" t="s">
        <v>53</v>
      </c>
      <c r="G704">
        <v>-181.7285</v>
      </c>
      <c r="H704" s="1">
        <v>-7.8420349999999995E-6</v>
      </c>
      <c r="I704">
        <v>365.0052</v>
      </c>
      <c r="J704">
        <v>-395.94209999999998</v>
      </c>
      <c r="K704">
        <v>1.102249</v>
      </c>
      <c r="L704">
        <v>366.3759</v>
      </c>
      <c r="M704">
        <v>0.99998089999999995</v>
      </c>
      <c r="N704">
        <v>-5.8431519999999999E-3</v>
      </c>
      <c r="O704">
        <v>-2.076816E-3</v>
      </c>
      <c r="P704">
        <v>0.98841909999999999</v>
      </c>
      <c r="Q704">
        <v>8.6270630000000001E-2</v>
      </c>
      <c r="R704">
        <v>0.1248417</v>
      </c>
      <c r="S704">
        <v>3.0391539999999999</v>
      </c>
      <c r="T704">
        <v>-1.562011E-2</v>
      </c>
      <c r="U704">
        <v>-1.9439700000000001E-2</v>
      </c>
      <c r="V704">
        <v>-0.1268976</v>
      </c>
      <c r="W704">
        <v>9.2038179999999997E-2</v>
      </c>
      <c r="X704">
        <v>0.98763659999999998</v>
      </c>
      <c r="Y704">
        <v>4.3193420000000003E-3</v>
      </c>
      <c r="Z704" s="1">
        <v>-2.518073E-5</v>
      </c>
      <c r="AA704">
        <v>0.99999059999999995</v>
      </c>
      <c r="AB704">
        <v>22</v>
      </c>
      <c r="AC704">
        <v>214.21360000000001</v>
      </c>
      <c r="AD704">
        <v>-1.1022568420350001</v>
      </c>
      <c r="AE704">
        <v>-1.37069999999999</v>
      </c>
      <c r="AF704">
        <v>0.92578276293380102</v>
      </c>
      <c r="AG704">
        <v>-1.1022568420350001</v>
      </c>
      <c r="AH704">
        <v>214.210313304317</v>
      </c>
      <c r="AI704">
        <v>90.294820155168594</v>
      </c>
      <c r="AJ704">
        <v>89.752378333266506</v>
      </c>
      <c r="AK704">
        <v>214.215149720564</v>
      </c>
      <c r="AL704">
        <v>84.719127237824694</v>
      </c>
      <c r="AM704">
        <v>97.321598574191199</v>
      </c>
      <c r="AN704">
        <v>1.0000000405615099</v>
      </c>
    </row>
    <row r="705" spans="1:40" x14ac:dyDescent="0.25">
      <c r="A705" t="str">
        <f>"20190304154738882"</f>
        <v>20190304154738882</v>
      </c>
      <c r="B705" t="str">
        <f>"1551685658877206"</f>
        <v>1551685658877206</v>
      </c>
      <c r="C705" t="s">
        <v>40</v>
      </c>
      <c r="D705">
        <v>4.2283410000000003</v>
      </c>
      <c r="E705">
        <v>0.54988689999999996</v>
      </c>
      <c r="F705" t="s">
        <v>43</v>
      </c>
      <c r="G705">
        <v>-158.19499999999999</v>
      </c>
      <c r="H705">
        <v>1.0353300000000001</v>
      </c>
      <c r="I705">
        <v>364.6397</v>
      </c>
      <c r="J705">
        <v>-395.82409999999999</v>
      </c>
      <c r="K705">
        <v>1.102924</v>
      </c>
      <c r="L705">
        <v>366.37569999999999</v>
      </c>
      <c r="M705">
        <v>0.99997899999999995</v>
      </c>
      <c r="N705">
        <v>-6.1419439999999999E-3</v>
      </c>
      <c r="O705">
        <v>-2.0488540000000001E-3</v>
      </c>
      <c r="P705">
        <v>0.98850099999999996</v>
      </c>
      <c r="Q705">
        <v>8.522528E-2</v>
      </c>
      <c r="R705">
        <v>0.1249113</v>
      </c>
      <c r="S705">
        <v>3.0380549999999999</v>
      </c>
      <c r="T705">
        <v>-8.5401539999999999E-4</v>
      </c>
      <c r="U705">
        <v>-2.2186279999999999E-2</v>
      </c>
      <c r="V705">
        <v>-0.12693979999999999</v>
      </c>
      <c r="W705">
        <v>9.1288930000000004E-2</v>
      </c>
      <c r="X705">
        <v>0.98770069999999999</v>
      </c>
      <c r="Y705">
        <v>5.2537720000000003E-3</v>
      </c>
      <c r="Z705" s="1">
        <v>-2.8880979999999999E-5</v>
      </c>
      <c r="AA705">
        <v>0.99998620000000005</v>
      </c>
      <c r="AB705">
        <v>22</v>
      </c>
      <c r="AC705">
        <v>237.62909999999999</v>
      </c>
      <c r="AD705">
        <v>-6.7594000000000098E-2</v>
      </c>
      <c r="AE705">
        <v>-1.73599999999998</v>
      </c>
      <c r="AF705">
        <v>1.24911972056891</v>
      </c>
      <c r="AG705">
        <v>-6.7594000000000098E-2</v>
      </c>
      <c r="AH705">
        <v>237.63213887190599</v>
      </c>
      <c r="AI705">
        <v>90.016297447516706</v>
      </c>
      <c r="AJ705">
        <v>89.6988259699758</v>
      </c>
      <c r="AK705">
        <v>237.63543147826701</v>
      </c>
      <c r="AL705">
        <v>84.762237522693695</v>
      </c>
      <c r="AM705">
        <v>97.323536796666502</v>
      </c>
      <c r="AN705">
        <v>1.00000002717253</v>
      </c>
    </row>
    <row r="706" spans="1:40" x14ac:dyDescent="0.25">
      <c r="A706" t="str">
        <f>"20190304154738894"</f>
        <v>20190304154738894</v>
      </c>
      <c r="B706" t="str">
        <f>"1551685658887942"</f>
        <v>1551685658887942</v>
      </c>
      <c r="C706" t="s">
        <v>40</v>
      </c>
      <c r="D706">
        <v>4.2053370000000001</v>
      </c>
      <c r="E706">
        <v>0.5496318</v>
      </c>
      <c r="F706" t="s">
        <v>43</v>
      </c>
      <c r="G706">
        <v>-158.19499999999999</v>
      </c>
      <c r="H706">
        <v>2.6848700000000001</v>
      </c>
      <c r="I706">
        <v>364.46499999999997</v>
      </c>
      <c r="J706">
        <v>-395.69630000000001</v>
      </c>
      <c r="K706">
        <v>1.103618</v>
      </c>
      <c r="L706">
        <v>366.37540000000001</v>
      </c>
      <c r="M706">
        <v>0.99997709999999995</v>
      </c>
      <c r="N706">
        <v>-6.4511969999999997E-3</v>
      </c>
      <c r="O706">
        <v>-2.0185849999999998E-3</v>
      </c>
      <c r="P706">
        <v>0.98852960000000001</v>
      </c>
      <c r="Q706">
        <v>8.4901899999999905E-2</v>
      </c>
      <c r="R706">
        <v>0.1249038</v>
      </c>
      <c r="S706">
        <v>3.0362550000000001</v>
      </c>
      <c r="T706">
        <v>2.0214079999999999E-2</v>
      </c>
      <c r="U706">
        <v>-2.4414060000000001E-2</v>
      </c>
      <c r="V706">
        <v>-0.1269023</v>
      </c>
      <c r="W706">
        <v>9.1270870000000004E-2</v>
      </c>
      <c r="X706">
        <v>0.98770709999999995</v>
      </c>
      <c r="Y706">
        <v>6.0221780000000004E-3</v>
      </c>
      <c r="Z706" s="1">
        <v>-2.5840110000000001E-5</v>
      </c>
      <c r="AA706">
        <v>0.99998189999999998</v>
      </c>
      <c r="AB706">
        <v>22</v>
      </c>
      <c r="AC706">
        <v>237.50129999999999</v>
      </c>
      <c r="AD706">
        <v>1.5812520000000001</v>
      </c>
      <c r="AE706">
        <v>-1.9104000000000301</v>
      </c>
      <c r="AF706">
        <v>1.4309061200002899</v>
      </c>
      <c r="AG706">
        <v>1.5812520000000001</v>
      </c>
      <c r="AH706">
        <v>237.49414572618599</v>
      </c>
      <c r="AI706">
        <v>89.618533405677795</v>
      </c>
      <c r="AJ706">
        <v>89.654796166503999</v>
      </c>
      <c r="AK706">
        <v>237.50372019070099</v>
      </c>
      <c r="AL706">
        <v>84.763276166846197</v>
      </c>
      <c r="AM706">
        <v>97.321349861515003</v>
      </c>
      <c r="AN706">
        <v>0.99999994042312601</v>
      </c>
    </row>
    <row r="707" spans="1:40" x14ac:dyDescent="0.25">
      <c r="A707" t="str">
        <f>"20190304154738908"</f>
        <v>20190304154738908</v>
      </c>
      <c r="B707" t="str">
        <f>"1551685658897705"</f>
        <v>1551685658897705</v>
      </c>
      <c r="C707" t="s">
        <v>40</v>
      </c>
      <c r="D707">
        <v>4.4322290000000004</v>
      </c>
      <c r="E707">
        <v>0.54909319999999995</v>
      </c>
      <c r="F707" t="s">
        <v>43</v>
      </c>
      <c r="G707">
        <v>-158.19499999999999</v>
      </c>
      <c r="H707">
        <v>3.259233</v>
      </c>
      <c r="I707">
        <v>364.6275</v>
      </c>
      <c r="J707">
        <v>-395.55540000000002</v>
      </c>
      <c r="K707">
        <v>1.1043080000000001</v>
      </c>
      <c r="L707">
        <v>366.37520000000001</v>
      </c>
      <c r="M707">
        <v>0.99997519999999995</v>
      </c>
      <c r="N707">
        <v>-6.7640269999999997E-3</v>
      </c>
      <c r="O707">
        <v>-1.985395E-3</v>
      </c>
      <c r="P707">
        <v>0.98860309999999996</v>
      </c>
      <c r="Q707">
        <v>8.4500690000000003E-2</v>
      </c>
      <c r="R707">
        <v>0.12459430000000001</v>
      </c>
      <c r="S707">
        <v>3.0352779999999999</v>
      </c>
      <c r="T707">
        <v>2.7549980000000002E-2</v>
      </c>
      <c r="U707">
        <v>-2.233887E-2</v>
      </c>
      <c r="V707">
        <v>-0.12656049999999999</v>
      </c>
      <c r="W707">
        <v>9.117923E-2</v>
      </c>
      <c r="X707">
        <v>0.98775950000000001</v>
      </c>
      <c r="Y707">
        <v>5.3743360000000004E-3</v>
      </c>
      <c r="Z707" s="1">
        <v>-2.5235889999999999E-5</v>
      </c>
      <c r="AA707">
        <v>0.99998560000000003</v>
      </c>
      <c r="AB707">
        <v>22</v>
      </c>
      <c r="AC707">
        <v>237.3604</v>
      </c>
      <c r="AD707">
        <v>2.154925</v>
      </c>
      <c r="AE707">
        <v>-1.7477</v>
      </c>
      <c r="AF707">
        <v>1.27632645261219</v>
      </c>
      <c r="AG707">
        <v>2.154925</v>
      </c>
      <c r="AH707">
        <v>237.34384061689599</v>
      </c>
      <c r="AI707">
        <v>89.479814054559498</v>
      </c>
      <c r="AJ707">
        <v>89.691892513694597</v>
      </c>
      <c r="AK707">
        <v>237.357054644996</v>
      </c>
      <c r="AL707">
        <v>84.768549160092505</v>
      </c>
      <c r="AM707">
        <v>97.301460384253105</v>
      </c>
      <c r="AN707">
        <v>1.00000002099194</v>
      </c>
    </row>
    <row r="708" spans="1:40" x14ac:dyDescent="0.25">
      <c r="A708" t="str">
        <f>"20190304154738926"</f>
        <v>20190304154738926</v>
      </c>
      <c r="B708" t="str">
        <f>"1551685658917222"</f>
        <v>1551685658917222</v>
      </c>
      <c r="C708" t="s">
        <v>40</v>
      </c>
      <c r="D708">
        <v>4.2221650000000004</v>
      </c>
      <c r="E708">
        <v>0.55001849999999997</v>
      </c>
      <c r="F708" t="s">
        <v>43</v>
      </c>
      <c r="G708">
        <v>-158.19499999999999</v>
      </c>
      <c r="H708">
        <v>3.6895440000000002</v>
      </c>
      <c r="I708">
        <v>364.89260000000002</v>
      </c>
      <c r="J708">
        <v>-395.39100000000002</v>
      </c>
      <c r="K708">
        <v>1.1050249999999999</v>
      </c>
      <c r="L708">
        <v>366.37490000000003</v>
      </c>
      <c r="M708">
        <v>0.99997290000000005</v>
      </c>
      <c r="N708">
        <v>-7.0993899999999997E-3</v>
      </c>
      <c r="O708">
        <v>-1.9460160000000001E-3</v>
      </c>
      <c r="P708">
        <v>0.98873820000000001</v>
      </c>
      <c r="Q708">
        <v>8.4072499999999994E-2</v>
      </c>
      <c r="R708">
        <v>0.12380910000000001</v>
      </c>
      <c r="S708">
        <v>3.0340880000000001</v>
      </c>
      <c r="T708">
        <v>3.3047199999999999E-2</v>
      </c>
      <c r="U708">
        <v>-1.895142E-2</v>
      </c>
      <c r="V708">
        <v>-0.1257364</v>
      </c>
      <c r="W708">
        <v>9.1083300000000006E-2</v>
      </c>
      <c r="X708">
        <v>0.98787360000000002</v>
      </c>
      <c r="Y708">
        <v>4.3002309999999998E-3</v>
      </c>
      <c r="Z708" s="1">
        <v>-2.6856919999999998E-5</v>
      </c>
      <c r="AA708">
        <v>0.99999079999999996</v>
      </c>
      <c r="AB708">
        <v>22</v>
      </c>
      <c r="AC708">
        <v>237.196</v>
      </c>
      <c r="AD708">
        <v>2.5845189999999998</v>
      </c>
      <c r="AE708">
        <v>-1.4823</v>
      </c>
      <c r="AF708">
        <v>1.0205771827194901</v>
      </c>
      <c r="AG708">
        <v>2.5845189999999998</v>
      </c>
      <c r="AH708">
        <v>237.17027839356601</v>
      </c>
      <c r="AI708">
        <v>89.375660391755503</v>
      </c>
      <c r="AJ708">
        <v>89.753449695674107</v>
      </c>
      <c r="AK708">
        <v>237.18655583639</v>
      </c>
      <c r="AL708">
        <v>84.774068556374999</v>
      </c>
      <c r="AM708">
        <v>97.253596002363807</v>
      </c>
      <c r="AN708">
        <v>1.0000000297003999</v>
      </c>
    </row>
    <row r="709" spans="1:40" x14ac:dyDescent="0.25">
      <c r="A709" t="str">
        <f>"20190304154738938"</f>
        <v>20190304154738938</v>
      </c>
      <c r="B709" t="str">
        <f>"1551685658927960"</f>
        <v>1551685658927960</v>
      </c>
      <c r="C709" t="s">
        <v>40</v>
      </c>
      <c r="D709">
        <v>4.3486520000000004</v>
      </c>
      <c r="E709">
        <v>0.55041499999999999</v>
      </c>
      <c r="F709" t="s">
        <v>43</v>
      </c>
      <c r="G709">
        <v>-158.19499999999999</v>
      </c>
      <c r="H709">
        <v>4.4827529999999998</v>
      </c>
      <c r="I709">
        <v>364.15140000000002</v>
      </c>
      <c r="J709">
        <v>-395.25940000000003</v>
      </c>
      <c r="K709">
        <v>1.1055459999999999</v>
      </c>
      <c r="L709">
        <v>366.37470000000002</v>
      </c>
      <c r="M709">
        <v>0.99997119999999995</v>
      </c>
      <c r="N709">
        <v>-7.3487880000000002E-3</v>
      </c>
      <c r="O709">
        <v>-1.9144839999999999E-3</v>
      </c>
      <c r="P709">
        <v>0.98882990000000004</v>
      </c>
      <c r="Q709">
        <v>8.366469E-2</v>
      </c>
      <c r="R709">
        <v>0.123352</v>
      </c>
      <c r="S709">
        <v>3.0340579999999999</v>
      </c>
      <c r="T709">
        <v>4.3206809999999998E-2</v>
      </c>
      <c r="U709">
        <v>-2.844238E-2</v>
      </c>
      <c r="V709">
        <v>-0.12524839999999901</v>
      </c>
      <c r="W709">
        <v>9.0922340000000004E-2</v>
      </c>
      <c r="X709">
        <v>0.98795040000000001</v>
      </c>
      <c r="Y709">
        <v>7.4595709999999999E-3</v>
      </c>
      <c r="Z709" s="1">
        <v>-1.5629829999999999E-5</v>
      </c>
      <c r="AA709">
        <v>0.99997219999999998</v>
      </c>
      <c r="AB709">
        <v>22</v>
      </c>
      <c r="AC709">
        <v>237.06440000000001</v>
      </c>
      <c r="AD709">
        <v>3.3772069999999998</v>
      </c>
      <c r="AE709">
        <v>-2.2232999999999898</v>
      </c>
      <c r="AF709">
        <v>1.76906868927675</v>
      </c>
      <c r="AG709">
        <v>3.3772069999999998</v>
      </c>
      <c r="AH709">
        <v>237.02012381577401</v>
      </c>
      <c r="AI709">
        <v>89.183692832789205</v>
      </c>
      <c r="AJ709">
        <v>89.572364211955204</v>
      </c>
      <c r="AK709">
        <v>237.05078406281001</v>
      </c>
      <c r="AL709">
        <v>84.783329224910204</v>
      </c>
      <c r="AM709">
        <v>97.225186163781103</v>
      </c>
      <c r="AN709">
        <v>1.00000001323689</v>
      </c>
    </row>
    <row r="710" spans="1:40" x14ac:dyDescent="0.25">
      <c r="A710" t="str">
        <f>"20190304154738950"</f>
        <v>20190304154738950</v>
      </c>
      <c r="B710" t="str">
        <f>"1551685658947479"</f>
        <v>1551685658947479</v>
      </c>
      <c r="C710" t="s">
        <v>40</v>
      </c>
      <c r="D710">
        <v>4.213679</v>
      </c>
      <c r="E710">
        <v>0.55039979999999999</v>
      </c>
      <c r="F710" t="s">
        <v>43</v>
      </c>
      <c r="G710">
        <v>-158.19499999999999</v>
      </c>
      <c r="H710">
        <v>4.6202449999999997</v>
      </c>
      <c r="I710">
        <v>363.81619999999998</v>
      </c>
      <c r="J710">
        <v>-395.14620000000002</v>
      </c>
      <c r="K710">
        <v>1.1059650000000001</v>
      </c>
      <c r="L710">
        <v>366.37450000000001</v>
      </c>
      <c r="M710">
        <v>0.99996969999999996</v>
      </c>
      <c r="N710">
        <v>-7.5532639999999996E-3</v>
      </c>
      <c r="O710">
        <v>-1.8879389999999999E-3</v>
      </c>
      <c r="P710">
        <v>0.98896209999999996</v>
      </c>
      <c r="Q710">
        <v>8.2962499999999995E-2</v>
      </c>
      <c r="R710">
        <v>0.122766</v>
      </c>
      <c r="S710">
        <v>3.0341490000000002</v>
      </c>
      <c r="T710">
        <v>4.498518E-2</v>
      </c>
      <c r="U710">
        <v>-3.2745360000000001E-2</v>
      </c>
      <c r="V710">
        <v>-0.12463639999999999</v>
      </c>
      <c r="W710">
        <v>9.0423229999999993E-2</v>
      </c>
      <c r="X710">
        <v>0.9880736</v>
      </c>
      <c r="Y710">
        <v>8.9037349999999994E-3</v>
      </c>
      <c r="Z710" s="1">
        <v>-9.8767919999999998E-6</v>
      </c>
      <c r="AA710">
        <v>0.99996039999999997</v>
      </c>
      <c r="AB710">
        <v>22</v>
      </c>
      <c r="AC710">
        <v>236.9512</v>
      </c>
      <c r="AD710">
        <v>3.5142799999999998</v>
      </c>
      <c r="AE710">
        <v>-2.5583000000000302</v>
      </c>
      <c r="AF710">
        <v>2.1104690944565698</v>
      </c>
      <c r="AG710">
        <v>3.5142799999999998</v>
      </c>
      <c r="AH710">
        <v>236.90350318049599</v>
      </c>
      <c r="AI710">
        <v>89.150157536718197</v>
      </c>
      <c r="AJ710">
        <v>89.489590607260396</v>
      </c>
      <c r="AK710">
        <v>236.93896695754501</v>
      </c>
      <c r="AL710">
        <v>84.812044420392297</v>
      </c>
      <c r="AM710">
        <v>97.189365048961093</v>
      </c>
      <c r="AN710">
        <v>1.00000001587277</v>
      </c>
    </row>
    <row r="711" spans="1:40" x14ac:dyDescent="0.25">
      <c r="A711" t="str">
        <f>"20190304154738962"</f>
        <v>20190304154738962</v>
      </c>
      <c r="B711" t="str">
        <f>"1551685658957238"</f>
        <v>1551685658957238</v>
      </c>
      <c r="C711" t="s">
        <v>40</v>
      </c>
      <c r="D711">
        <v>4.2053200000000004</v>
      </c>
      <c r="E711">
        <v>0.55011790000000005</v>
      </c>
      <c r="F711" t="s">
        <v>43</v>
      </c>
      <c r="G711">
        <v>-158.19499999999999</v>
      </c>
      <c r="H711">
        <v>4.7229780000000003</v>
      </c>
      <c r="I711">
        <v>363.69310000000002</v>
      </c>
      <c r="J711">
        <v>-395.0385</v>
      </c>
      <c r="K711">
        <v>1.106311</v>
      </c>
      <c r="L711">
        <v>366.37430000000001</v>
      </c>
      <c r="M711">
        <v>0.99996830000000003</v>
      </c>
      <c r="N711">
        <v>-7.7300850000000003E-3</v>
      </c>
      <c r="O711">
        <v>-1.8621449999999999E-3</v>
      </c>
      <c r="P711">
        <v>0.98909820000000004</v>
      </c>
      <c r="Q711">
        <v>8.2338739999999994E-2</v>
      </c>
      <c r="R711">
        <v>0.1220875</v>
      </c>
      <c r="S711">
        <v>3.0339049999999999</v>
      </c>
      <c r="T711">
        <v>4.6313050000000001E-2</v>
      </c>
      <c r="U711">
        <v>-3.433228E-2</v>
      </c>
      <c r="V711">
        <v>-0.1239328</v>
      </c>
      <c r="W711">
        <v>8.997542E-2</v>
      </c>
      <c r="X711">
        <v>0.9882029</v>
      </c>
      <c r="Y711">
        <v>9.4533240000000008E-3</v>
      </c>
      <c r="Z711" s="1">
        <v>-7.2099059999999999E-6</v>
      </c>
      <c r="AA711">
        <v>0.99995529999999999</v>
      </c>
      <c r="AB711">
        <v>22</v>
      </c>
      <c r="AC711">
        <v>236.84350000000001</v>
      </c>
      <c r="AD711">
        <v>3.6166670000000001</v>
      </c>
      <c r="AE711">
        <v>-2.6811999999999898</v>
      </c>
      <c r="AF711">
        <v>2.2396230234348602</v>
      </c>
      <c r="AG711">
        <v>3.6166670000000001</v>
      </c>
      <c r="AH711">
        <v>236.79287362639801</v>
      </c>
      <c r="AI711">
        <v>89.124997408981102</v>
      </c>
      <c r="AJ711">
        <v>89.458103958973098</v>
      </c>
      <c r="AK711">
        <v>236.83108155756</v>
      </c>
      <c r="AL711">
        <v>84.837806683198494</v>
      </c>
      <c r="AM711">
        <v>97.148274868185396</v>
      </c>
      <c r="AN711">
        <v>0.99999994334421105</v>
      </c>
    </row>
    <row r="712" spans="1:40" x14ac:dyDescent="0.25">
      <c r="A712" t="str">
        <f>"20190304154738972"</f>
        <v>20190304154738972</v>
      </c>
      <c r="B712" t="str">
        <f>"1551685658967974"</f>
        <v>1551685658967974</v>
      </c>
      <c r="C712" t="s">
        <v>40</v>
      </c>
      <c r="D712">
        <v>4.2595989999999997</v>
      </c>
      <c r="E712">
        <v>0.55003210000000002</v>
      </c>
      <c r="F712" t="s">
        <v>43</v>
      </c>
      <c r="G712">
        <v>-158.19499999999999</v>
      </c>
      <c r="H712">
        <v>4.6220339999999904</v>
      </c>
      <c r="I712">
        <v>363.71289999999999</v>
      </c>
      <c r="J712">
        <v>-394.92579999999998</v>
      </c>
      <c r="K712">
        <v>1.106668</v>
      </c>
      <c r="L712">
        <v>366.3741</v>
      </c>
      <c r="M712">
        <v>0.9999671</v>
      </c>
      <c r="N712">
        <v>-7.910439E-3</v>
      </c>
      <c r="O712">
        <v>-1.8353079999999999E-3</v>
      </c>
      <c r="P712">
        <v>0.98926760000000002</v>
      </c>
      <c r="Q712">
        <v>8.1173789999999996E-2</v>
      </c>
      <c r="R712">
        <v>0.12149310000000001</v>
      </c>
      <c r="S712">
        <v>3.0335390000000002</v>
      </c>
      <c r="T712">
        <v>4.5031189999999999E-2</v>
      </c>
      <c r="U712">
        <v>-3.4088130000000001E-2</v>
      </c>
      <c r="V712">
        <v>-0.1233123</v>
      </c>
      <c r="W712">
        <v>8.8989940000000003E-2</v>
      </c>
      <c r="X712">
        <v>0.98836979999999997</v>
      </c>
      <c r="Y712">
        <v>9.4011000000000008E-3</v>
      </c>
      <c r="Z712" s="1">
        <v>-9.1734689999999997E-6</v>
      </c>
      <c r="AA712">
        <v>0.99995579999999995</v>
      </c>
      <c r="AB712">
        <v>22</v>
      </c>
      <c r="AC712">
        <v>236.73079999999999</v>
      </c>
      <c r="AD712">
        <v>3.5153660000000002</v>
      </c>
      <c r="AE712">
        <v>-2.6612</v>
      </c>
      <c r="AF712">
        <v>2.2262171790112601</v>
      </c>
      <c r="AG712">
        <v>3.5153660000000002</v>
      </c>
      <c r="AH712">
        <v>236.68310076261099</v>
      </c>
      <c r="AI712">
        <v>89.149107314391202</v>
      </c>
      <c r="AJ712">
        <v>89.461097615956504</v>
      </c>
      <c r="AK712">
        <v>236.71967393448</v>
      </c>
      <c r="AL712">
        <v>84.894498232961993</v>
      </c>
      <c r="AM712">
        <v>97.111663957202197</v>
      </c>
      <c r="AN712">
        <v>0.99999999715226595</v>
      </c>
    </row>
    <row r="713" spans="1:40" x14ac:dyDescent="0.25">
      <c r="A713" t="str">
        <f>"20190304154738985"</f>
        <v>20190304154738985</v>
      </c>
      <c r="B713" t="str">
        <f>"1551685658977734"</f>
        <v>1551685658977734</v>
      </c>
      <c r="C713" t="s">
        <v>40</v>
      </c>
      <c r="D713">
        <v>4.2336429999999998</v>
      </c>
      <c r="E713">
        <v>0.54980130000000005</v>
      </c>
      <c r="F713" t="s">
        <v>43</v>
      </c>
      <c r="G713">
        <v>-158.19499999999999</v>
      </c>
      <c r="H713">
        <v>4.3631419999999999</v>
      </c>
      <c r="I713">
        <v>363.6234</v>
      </c>
      <c r="J713">
        <v>-394.80360000000002</v>
      </c>
      <c r="K713">
        <v>1.107005</v>
      </c>
      <c r="L713">
        <v>366.37389999999999</v>
      </c>
      <c r="M713">
        <v>0.99996580000000002</v>
      </c>
      <c r="N713">
        <v>-8.0878119999999998E-3</v>
      </c>
      <c r="O713">
        <v>-1.8064509999999999E-3</v>
      </c>
      <c r="P713">
        <v>0.98944880000000002</v>
      </c>
      <c r="Q713">
        <v>8.0266680000000007E-2</v>
      </c>
      <c r="R713">
        <v>0.12061810000000001</v>
      </c>
      <c r="S713">
        <v>3.0334780000000001</v>
      </c>
      <c r="T713">
        <v>4.172969E-2</v>
      </c>
      <c r="U713">
        <v>-3.5247800000000003E-2</v>
      </c>
      <c r="V713">
        <v>-0.1224093</v>
      </c>
      <c r="W713">
        <v>8.825993E-2</v>
      </c>
      <c r="X713">
        <v>0.98854750000000002</v>
      </c>
      <c r="Y713">
        <v>9.8124600000000003E-3</v>
      </c>
      <c r="Z713" s="1">
        <v>-1.165397E-5</v>
      </c>
      <c r="AA713">
        <v>0.99995179999999995</v>
      </c>
      <c r="AB713">
        <v>22</v>
      </c>
      <c r="AC713">
        <v>236.6086</v>
      </c>
      <c r="AD713">
        <v>3.2561369999999998</v>
      </c>
      <c r="AE713">
        <v>-2.7504999999999802</v>
      </c>
      <c r="AF713">
        <v>2.3226199403216099</v>
      </c>
      <c r="AG713">
        <v>3.2561369999999998</v>
      </c>
      <c r="AH713">
        <v>236.56838640436999</v>
      </c>
      <c r="AI713">
        <v>89.211466328431499</v>
      </c>
      <c r="AJ713">
        <v>89.437490163357396</v>
      </c>
      <c r="AK713">
        <v>236.60219449007101</v>
      </c>
      <c r="AL713">
        <v>84.936490004833203</v>
      </c>
      <c r="AM713">
        <v>97.058857315583793</v>
      </c>
      <c r="AN713">
        <v>1.0000000058631699</v>
      </c>
    </row>
    <row r="714" spans="1:40" x14ac:dyDescent="0.25">
      <c r="A714" t="str">
        <f>"20190304154739003"</f>
        <v>20190304154739003</v>
      </c>
      <c r="B714" t="str">
        <f>"1551685658997254"</f>
        <v>1551685658997254</v>
      </c>
      <c r="C714" t="s">
        <v>40</v>
      </c>
      <c r="D714">
        <v>4.2418239999999896</v>
      </c>
      <c r="E714">
        <v>0.54940800000000001</v>
      </c>
      <c r="F714" t="s">
        <v>43</v>
      </c>
      <c r="G714">
        <v>-158.19499999999999</v>
      </c>
      <c r="H714">
        <v>4.1058430000000001</v>
      </c>
      <c r="I714">
        <v>363.5625</v>
      </c>
      <c r="J714">
        <v>-394.6336</v>
      </c>
      <c r="K714">
        <v>1.107437</v>
      </c>
      <c r="L714">
        <v>366.37369999999999</v>
      </c>
      <c r="M714">
        <v>0.99996390000000002</v>
      </c>
      <c r="N714">
        <v>-8.3173899999999992E-3</v>
      </c>
      <c r="O714">
        <v>-1.7670989999999901E-3</v>
      </c>
      <c r="P714">
        <v>0.98970939999999996</v>
      </c>
      <c r="Q714">
        <v>7.8591460000000002E-2</v>
      </c>
      <c r="R714">
        <v>0.1195779</v>
      </c>
      <c r="S714">
        <v>3.033264</v>
      </c>
      <c r="T714">
        <v>3.8445470000000002E-2</v>
      </c>
      <c r="U714">
        <v>-3.6041259999999999E-2</v>
      </c>
      <c r="V714">
        <v>-0.1213301</v>
      </c>
      <c r="W714">
        <v>8.6814020000000006E-2</v>
      </c>
      <c r="X714">
        <v>0.98880849999999998</v>
      </c>
      <c r="Y714">
        <v>1.011422E-2</v>
      </c>
      <c r="Z714" s="1">
        <v>-1.50646E-5</v>
      </c>
      <c r="AA714">
        <v>0.99994890000000003</v>
      </c>
      <c r="AB714">
        <v>22</v>
      </c>
      <c r="AC714">
        <v>236.43860000000001</v>
      </c>
      <c r="AD714">
        <v>2.9984060000000001</v>
      </c>
      <c r="AE714">
        <v>-2.8111999999999799</v>
      </c>
      <c r="AF714">
        <v>2.3929859765884198</v>
      </c>
      <c r="AG714">
        <v>2.9984060000000001</v>
      </c>
      <c r="AH714">
        <v>236.40518499487001</v>
      </c>
      <c r="AI714">
        <v>89.273374657166798</v>
      </c>
      <c r="AJ714">
        <v>89.420049461439405</v>
      </c>
      <c r="AK714">
        <v>236.43630921007801</v>
      </c>
      <c r="AL714">
        <v>85.019653558875106</v>
      </c>
      <c r="AM714">
        <v>96.995415138165498</v>
      </c>
      <c r="AN714">
        <v>0.99999995845340905</v>
      </c>
    </row>
    <row r="715" spans="1:40" x14ac:dyDescent="0.25">
      <c r="A715" t="str">
        <f>"20190304154739014"</f>
        <v>20190304154739014</v>
      </c>
      <c r="B715" t="str">
        <f>"1551685659007991"</f>
        <v>1551685659007991</v>
      </c>
      <c r="C715" t="s">
        <v>40</v>
      </c>
      <c r="D715">
        <v>4.2402689999999996</v>
      </c>
      <c r="E715">
        <v>0.5490758</v>
      </c>
      <c r="F715" t="s">
        <v>43</v>
      </c>
      <c r="G715">
        <v>-158.19499999999999</v>
      </c>
      <c r="H715">
        <v>3.6462590000000001</v>
      </c>
      <c r="I715">
        <v>363.58300000000003</v>
      </c>
      <c r="J715">
        <v>-394.51900000000001</v>
      </c>
      <c r="K715">
        <v>1.1077030000000001</v>
      </c>
      <c r="L715">
        <v>366.37349999999998</v>
      </c>
      <c r="M715">
        <v>0.99996289999999999</v>
      </c>
      <c r="N715">
        <v>-8.4622499999999993E-3</v>
      </c>
      <c r="O715">
        <v>-1.7413629999999999E-3</v>
      </c>
      <c r="P715">
        <v>0.98983650000000001</v>
      </c>
      <c r="Q715">
        <v>7.7781980000000001E-2</v>
      </c>
      <c r="R715">
        <v>0.11905549999999999</v>
      </c>
      <c r="S715">
        <v>3.0329280000000001</v>
      </c>
      <c r="T715">
        <v>3.2567980000000003E-2</v>
      </c>
      <c r="U715">
        <v>-3.5797120000000002E-2</v>
      </c>
      <c r="V715">
        <v>-0.1207821</v>
      </c>
      <c r="W715">
        <v>8.6149420000000004E-2</v>
      </c>
      <c r="X715">
        <v>0.98893370000000003</v>
      </c>
      <c r="Y715">
        <v>1.0060879999999999E-2</v>
      </c>
      <c r="Z715" s="1">
        <v>-2.1989869999999999E-5</v>
      </c>
      <c r="AA715">
        <v>0.99994939999999999</v>
      </c>
      <c r="AB715">
        <v>22</v>
      </c>
      <c r="AC715">
        <v>236.32400000000001</v>
      </c>
      <c r="AD715">
        <v>2.5385559999999998</v>
      </c>
      <c r="AE715">
        <v>-2.79049999999995</v>
      </c>
      <c r="AF715">
        <v>2.3786808238545198</v>
      </c>
      <c r="AG715">
        <v>2.5385559999999998</v>
      </c>
      <c r="AH715">
        <v>236.30123876264901</v>
      </c>
      <c r="AI715">
        <v>89.384533137250003</v>
      </c>
      <c r="AJ715">
        <v>89.4232625710397</v>
      </c>
      <c r="AK715">
        <v>236.32684534303201</v>
      </c>
      <c r="AL715">
        <v>85.057875498475298</v>
      </c>
      <c r="AM715">
        <v>96.963257572044597</v>
      </c>
      <c r="AN715">
        <v>0.99999995062121705</v>
      </c>
    </row>
    <row r="716" spans="1:40" x14ac:dyDescent="0.25">
      <c r="A716" t="str">
        <f>"20190304154739025"</f>
        <v>20190304154739025</v>
      </c>
      <c r="B716" t="str">
        <f>"1551685659017750"</f>
        <v>1551685659017750</v>
      </c>
      <c r="C716" t="s">
        <v>40</v>
      </c>
      <c r="D716">
        <v>4.266254</v>
      </c>
      <c r="E716">
        <v>0.54891969999999901</v>
      </c>
      <c r="F716" t="s">
        <v>43</v>
      </c>
      <c r="G716">
        <v>-158.19499999999999</v>
      </c>
      <c r="H716">
        <v>3.3399749999999999</v>
      </c>
      <c r="I716">
        <v>363.66019999999997</v>
      </c>
      <c r="J716">
        <v>-394.40159999999997</v>
      </c>
      <c r="K716">
        <v>1.107944</v>
      </c>
      <c r="L716">
        <v>366.37329999999997</v>
      </c>
      <c r="M716">
        <v>0.99996160000000001</v>
      </c>
      <c r="N716">
        <v>-8.5983889999999997E-3</v>
      </c>
      <c r="O716">
        <v>-1.715844E-3</v>
      </c>
      <c r="P716">
        <v>0.9898943</v>
      </c>
      <c r="Q716">
        <v>7.787724E-2</v>
      </c>
      <c r="R716">
        <v>0.118510199999999</v>
      </c>
      <c r="S716">
        <v>3.0327760000000001</v>
      </c>
      <c r="T716">
        <v>2.8648139999999999E-2</v>
      </c>
      <c r="U716">
        <v>-3.482056E-2</v>
      </c>
      <c r="V716">
        <v>-0.1202119</v>
      </c>
      <c r="W716">
        <v>8.6379819999999996E-2</v>
      </c>
      <c r="X716">
        <v>0.9889831</v>
      </c>
      <c r="Y716">
        <v>9.7650889999999994E-3</v>
      </c>
      <c r="Z716" s="1">
        <v>-2.6825340000000002E-5</v>
      </c>
      <c r="AA716">
        <v>0.99995230000000002</v>
      </c>
      <c r="AB716">
        <v>22</v>
      </c>
      <c r="AC716">
        <v>236.20660000000001</v>
      </c>
      <c r="AD716">
        <v>2.2320310000000001</v>
      </c>
      <c r="AE716">
        <v>-2.7130999999999901</v>
      </c>
      <c r="AF716">
        <v>2.3075813381017598</v>
      </c>
      <c r="AG716">
        <v>2.2320310000000001</v>
      </c>
      <c r="AH716">
        <v>236.189820426268</v>
      </c>
      <c r="AI716">
        <v>89.458587815314203</v>
      </c>
      <c r="AJ716">
        <v>89.440236396403606</v>
      </c>
      <c r="AK716">
        <v>236.21163850879501</v>
      </c>
      <c r="AL716">
        <v>85.0446252682477</v>
      </c>
      <c r="AM716">
        <v>96.930362395144797</v>
      </c>
      <c r="AN716">
        <v>0.99999997314522504</v>
      </c>
    </row>
    <row r="717" spans="1:40" x14ac:dyDescent="0.25">
      <c r="A717" t="str">
        <f>"20190304154739037"</f>
        <v>20190304154739037</v>
      </c>
      <c r="B717" t="str">
        <f>"1551685659027510"</f>
        <v>1551685659027510</v>
      </c>
      <c r="C717" t="s">
        <v>40</v>
      </c>
      <c r="D717">
        <v>4.2525879999999896</v>
      </c>
      <c r="E717">
        <v>0.54882419999999899</v>
      </c>
      <c r="F717" t="s">
        <v>43</v>
      </c>
      <c r="G717">
        <v>-158.19499999999999</v>
      </c>
      <c r="H717">
        <v>3.3920409999999999</v>
      </c>
      <c r="I717">
        <v>363.60649999999998</v>
      </c>
      <c r="J717">
        <v>-394.29020000000003</v>
      </c>
      <c r="K717">
        <v>1.1081570000000001</v>
      </c>
      <c r="L717">
        <v>366.3732</v>
      </c>
      <c r="M717">
        <v>0.99996059999999998</v>
      </c>
      <c r="N717">
        <v>-8.7203460000000003E-3</v>
      </c>
      <c r="O717">
        <v>-1.6925389999999901E-3</v>
      </c>
      <c r="P717">
        <v>0.98997800000000002</v>
      </c>
      <c r="Q717">
        <v>7.7652390000000002E-2</v>
      </c>
      <c r="R717">
        <v>0.1179567</v>
      </c>
      <c r="S717">
        <v>3.032562</v>
      </c>
      <c r="T717">
        <v>2.932572E-2</v>
      </c>
      <c r="U717">
        <v>-3.5522459999999999E-2</v>
      </c>
      <c r="V717">
        <v>-0.1196353</v>
      </c>
      <c r="W717">
        <v>8.6277199999999998E-2</v>
      </c>
      <c r="X717">
        <v>0.989062</v>
      </c>
      <c r="Y717">
        <v>1.0020619999999999E-2</v>
      </c>
      <c r="Z717" s="1">
        <v>-2.637077E-5</v>
      </c>
      <c r="AA717">
        <v>0.9999498</v>
      </c>
      <c r="AB717">
        <v>22</v>
      </c>
      <c r="AC717">
        <v>236.09520000000001</v>
      </c>
      <c r="AD717">
        <v>2.283884</v>
      </c>
      <c r="AE717">
        <v>-2.7667000000000099</v>
      </c>
      <c r="AF717">
        <v>2.3668590751429002</v>
      </c>
      <c r="AG717">
        <v>2.283884</v>
      </c>
      <c r="AH717">
        <v>236.07745610658699</v>
      </c>
      <c r="AI717">
        <v>89.445748617464204</v>
      </c>
      <c r="AJ717">
        <v>89.425584744433195</v>
      </c>
      <c r="AK717">
        <v>236.10036728002899</v>
      </c>
      <c r="AL717">
        <v>85.050527127537194</v>
      </c>
      <c r="AM717">
        <v>96.896896767645998</v>
      </c>
      <c r="AN717">
        <v>1.00000000004496</v>
      </c>
    </row>
    <row r="718" spans="1:40" x14ac:dyDescent="0.25">
      <c r="A718" t="str">
        <f>"20190304154739048"</f>
        <v>20190304154739048</v>
      </c>
      <c r="B718" t="str">
        <f>"1551685659037270"</f>
        <v>1551685659037270</v>
      </c>
      <c r="C718" t="s">
        <v>40</v>
      </c>
      <c r="D718">
        <v>4.6427199999999997</v>
      </c>
      <c r="E718">
        <v>0.54882419999999899</v>
      </c>
      <c r="F718" t="s">
        <v>43</v>
      </c>
      <c r="G718">
        <v>-158.19499999999999</v>
      </c>
      <c r="H718">
        <v>3.3854950000000001</v>
      </c>
      <c r="I718">
        <v>363.55279999999999</v>
      </c>
      <c r="J718">
        <v>-394.17360000000002</v>
      </c>
      <c r="K718">
        <v>1.1083639999999999</v>
      </c>
      <c r="L718">
        <v>366.37299999999999</v>
      </c>
      <c r="M718">
        <v>0.99995959999999995</v>
      </c>
      <c r="N718">
        <v>-8.8415179999999996E-3</v>
      </c>
      <c r="O718">
        <v>-1.6687640000000001E-3</v>
      </c>
      <c r="P718">
        <v>0.99003419999999998</v>
      </c>
      <c r="Q718">
        <v>7.7928259999999999E-2</v>
      </c>
      <c r="R718">
        <v>0.1173019</v>
      </c>
      <c r="S718">
        <v>3.0323180000000001</v>
      </c>
      <c r="T718">
        <v>2.9250379999999999E-2</v>
      </c>
      <c r="U718">
        <v>-3.6224369999999999E-2</v>
      </c>
      <c r="V718">
        <v>-0.1189568</v>
      </c>
      <c r="W718">
        <v>8.6673410000000006E-2</v>
      </c>
      <c r="X718">
        <v>0.98910920000000002</v>
      </c>
      <c r="Y718">
        <v>1.0276759999999999E-2</v>
      </c>
      <c r="Z718" s="1">
        <v>-2.6720480000000001E-5</v>
      </c>
      <c r="AA718">
        <v>0.99994720000000004</v>
      </c>
      <c r="AB718">
        <v>22</v>
      </c>
      <c r="AC718">
        <v>235.9786</v>
      </c>
      <c r="AD718">
        <v>2.2771309999999998</v>
      </c>
      <c r="AE718">
        <v>-2.82020000000005</v>
      </c>
      <c r="AF718">
        <v>2.4261622333150599</v>
      </c>
      <c r="AG718">
        <v>2.2771309999999998</v>
      </c>
      <c r="AH718">
        <v>235.96100889719099</v>
      </c>
      <c r="AI718">
        <v>89.4471160690142</v>
      </c>
      <c r="AJ718">
        <v>89.410902849380307</v>
      </c>
      <c r="AK718">
        <v>235.984468362971</v>
      </c>
      <c r="AL718">
        <v>85.027740632339302</v>
      </c>
      <c r="AM718">
        <v>96.857831124619295</v>
      </c>
      <c r="AN718">
        <v>1.0000000048959501</v>
      </c>
    </row>
    <row r="719" spans="1:40" x14ac:dyDescent="0.25">
      <c r="A719" t="str">
        <f>"20190304154739060"</f>
        <v>20190304154739060</v>
      </c>
      <c r="B719" t="str">
        <f>"1551685659057766"</f>
        <v>1551685659057766</v>
      </c>
      <c r="C719" t="s">
        <v>40</v>
      </c>
      <c r="D719">
        <v>4.3149860000000002</v>
      </c>
      <c r="E719">
        <v>0.57589789999999996</v>
      </c>
      <c r="F719" t="s">
        <v>43</v>
      </c>
      <c r="G719">
        <v>-158.19499999999999</v>
      </c>
      <c r="H719">
        <v>3.4498769999999999</v>
      </c>
      <c r="I719">
        <v>363.40210000000002</v>
      </c>
      <c r="J719">
        <v>-394.06819999999999</v>
      </c>
      <c r="K719">
        <v>1.1085290000000001</v>
      </c>
      <c r="L719">
        <v>366.37279999999998</v>
      </c>
      <c r="M719">
        <v>0.99995880000000004</v>
      </c>
      <c r="N719">
        <v>-8.9418069999999995E-3</v>
      </c>
      <c r="O719">
        <v>-1.6495570000000001E-3</v>
      </c>
      <c r="P719">
        <v>0.99006910000000004</v>
      </c>
      <c r="Q719">
        <v>7.8296439999999995E-2</v>
      </c>
      <c r="R719">
        <v>0.1167609</v>
      </c>
      <c r="S719">
        <v>3.0323790000000002</v>
      </c>
      <c r="T719">
        <v>3.009009E-2</v>
      </c>
      <c r="U719">
        <v>-3.8177490000000001E-2</v>
      </c>
      <c r="V719">
        <v>-0.1183963</v>
      </c>
      <c r="W719">
        <v>8.7141789999999997E-2</v>
      </c>
      <c r="X719">
        <v>0.98913530000000005</v>
      </c>
      <c r="Y719">
        <v>1.093968E-2</v>
      </c>
      <c r="Z719" s="1">
        <v>-2.5756330000000001E-5</v>
      </c>
      <c r="AA719">
        <v>0.99994019999999995</v>
      </c>
      <c r="AB719">
        <v>22</v>
      </c>
      <c r="AC719">
        <v>235.8732</v>
      </c>
      <c r="AD719">
        <v>2.341348</v>
      </c>
      <c r="AE719">
        <v>-2.9706999999999599</v>
      </c>
      <c r="AF719">
        <v>2.5813398654733102</v>
      </c>
      <c r="AG719">
        <v>2.341348</v>
      </c>
      <c r="AH719">
        <v>235.85454420100999</v>
      </c>
      <c r="AI719">
        <v>89.431272694800597</v>
      </c>
      <c r="AJ719">
        <v>89.372944136744294</v>
      </c>
      <c r="AK719">
        <v>235.88029007575901</v>
      </c>
      <c r="AL719">
        <v>85.000802529680598</v>
      </c>
      <c r="AM719">
        <v>96.825645602023201</v>
      </c>
      <c r="AN719">
        <v>1.0000000085620899</v>
      </c>
    </row>
    <row r="720" spans="1:40" x14ac:dyDescent="0.25">
      <c r="A720" t="str">
        <f>"20190304154739073"</f>
        <v>20190304154739073</v>
      </c>
      <c r="B720" t="str">
        <f>"1551685659067528"</f>
        <v>1551685659067528</v>
      </c>
      <c r="C720" t="s">
        <v>40</v>
      </c>
      <c r="D720">
        <v>4.3963890000000001</v>
      </c>
      <c r="E720">
        <v>0.57815729999999999</v>
      </c>
      <c r="F720" t="s">
        <v>42</v>
      </c>
      <c r="G720">
        <v>0</v>
      </c>
      <c r="H720">
        <v>0</v>
      </c>
      <c r="I720">
        <v>0</v>
      </c>
      <c r="J720">
        <v>-393.94189999999998</v>
      </c>
      <c r="K720">
        <v>1.1087180000000001</v>
      </c>
      <c r="L720">
        <v>366.37270000000001</v>
      </c>
      <c r="M720">
        <v>0.99995769999999995</v>
      </c>
      <c r="N720">
        <v>-9.0580239999999996E-3</v>
      </c>
      <c r="O720">
        <v>-1.6273360000000001E-3</v>
      </c>
      <c r="P720">
        <v>0.99008030000000002</v>
      </c>
      <c r="Q720">
        <v>7.8685039999999998E-2</v>
      </c>
      <c r="R720">
        <v>0.11640440000000001</v>
      </c>
      <c r="S720">
        <v>3.0448909999999998</v>
      </c>
      <c r="T720">
        <v>0.18816530000000001</v>
      </c>
      <c r="U720">
        <v>-0.25161739999999999</v>
      </c>
      <c r="V720">
        <v>-0.118017</v>
      </c>
      <c r="W720">
        <v>8.7646260000000004E-2</v>
      </c>
      <c r="X720">
        <v>0.98913600000000002</v>
      </c>
      <c r="Y720">
        <v>8.0607090000000006E-2</v>
      </c>
      <c r="Z720">
        <v>2.003056E-3</v>
      </c>
      <c r="AA720">
        <v>0.99674390000000002</v>
      </c>
      <c r="AB720">
        <v>22</v>
      </c>
      <c r="AC720">
        <v>3.0448909999999998</v>
      </c>
      <c r="AD720">
        <v>0.18816530000000001</v>
      </c>
      <c r="AE720">
        <v>-0.25161739999999999</v>
      </c>
      <c r="AF720">
        <v>0.245729756178067</v>
      </c>
      <c r="AG720">
        <v>0.18816530000000001</v>
      </c>
      <c r="AH720">
        <v>3.03378936330942</v>
      </c>
      <c r="AI720">
        <v>86.4624349883115</v>
      </c>
      <c r="AJ720">
        <v>85.369286624564495</v>
      </c>
      <c r="AK720">
        <v>3.04953557023439</v>
      </c>
      <c r="AL720">
        <v>84.971787230196696</v>
      </c>
      <c r="AM720">
        <v>96.803979194523095</v>
      </c>
      <c r="AN720">
        <v>0.99999995283849197</v>
      </c>
    </row>
    <row r="721" spans="1:40" x14ac:dyDescent="0.25">
      <c r="A721" t="str">
        <f>"20190304154739087"</f>
        <v>20190304154739087</v>
      </c>
      <c r="B721" t="str">
        <f>"1551685659077287"</f>
        <v>1551685659077287</v>
      </c>
      <c r="C721" t="s">
        <v>40</v>
      </c>
      <c r="D721">
        <v>4.3279489999999896</v>
      </c>
      <c r="E721">
        <v>0.58017240000000003</v>
      </c>
      <c r="F721" t="s">
        <v>42</v>
      </c>
      <c r="G721">
        <v>0</v>
      </c>
      <c r="H721">
        <v>0</v>
      </c>
      <c r="I721">
        <v>0</v>
      </c>
      <c r="J721">
        <v>-393.8021</v>
      </c>
      <c r="K721">
        <v>1.108897</v>
      </c>
      <c r="L721">
        <v>366.37240000000003</v>
      </c>
      <c r="M721">
        <v>0.99995670000000003</v>
      </c>
      <c r="N721">
        <v>-9.1743840000000007E-3</v>
      </c>
      <c r="O721">
        <v>-1.606447E-3</v>
      </c>
      <c r="P721">
        <v>0.99012820000000001</v>
      </c>
      <c r="Q721">
        <v>7.8892069999999995E-2</v>
      </c>
      <c r="R721">
        <v>0.115854399999999</v>
      </c>
      <c r="S721">
        <v>3.048645</v>
      </c>
      <c r="T721">
        <v>0.1670471</v>
      </c>
      <c r="U721">
        <v>-0.27108759999999998</v>
      </c>
      <c r="V721">
        <v>-0.1174457</v>
      </c>
      <c r="W721">
        <v>8.7969720000000001E-2</v>
      </c>
      <c r="X721">
        <v>0.98917529999999998</v>
      </c>
      <c r="Y721">
        <v>8.6866689999999996E-2</v>
      </c>
      <c r="Z721">
        <v>1.871433E-3</v>
      </c>
      <c r="AA721">
        <v>0.99621820000000005</v>
      </c>
      <c r="AB721">
        <v>22</v>
      </c>
      <c r="AC721">
        <v>3.048645</v>
      </c>
      <c r="AD721">
        <v>0.1670471</v>
      </c>
      <c r="AE721">
        <v>-0.27108759999999998</v>
      </c>
      <c r="AF721">
        <v>0.26539898293252601</v>
      </c>
      <c r="AG721">
        <v>0.1670471</v>
      </c>
      <c r="AH721">
        <v>3.0400209074951001</v>
      </c>
      <c r="AI721">
        <v>86.866692396620707</v>
      </c>
      <c r="AJ721">
        <v>85.010631215224507</v>
      </c>
      <c r="AK721">
        <v>3.0561525602900401</v>
      </c>
      <c r="AL721">
        <v>84.9531825563284</v>
      </c>
      <c r="AM721">
        <v>96.771082338133198</v>
      </c>
      <c r="AN721">
        <v>0.99999996910772804</v>
      </c>
    </row>
    <row r="722" spans="1:40" x14ac:dyDescent="0.25">
      <c r="A722" t="str">
        <f>"20190304154739105"</f>
        <v>20190304154739105</v>
      </c>
      <c r="B722" t="str">
        <f>"1551685659097314"</f>
        <v>1551685659097314</v>
      </c>
      <c r="C722" t="s">
        <v>40</v>
      </c>
      <c r="D722">
        <v>4.3506080000000003</v>
      </c>
      <c r="E722">
        <v>0.58118579999999997</v>
      </c>
      <c r="F722" t="s">
        <v>47</v>
      </c>
      <c r="G722">
        <v>-143.37299999999999</v>
      </c>
      <c r="H722">
        <v>14.15414</v>
      </c>
      <c r="I722">
        <v>342.64400000000001</v>
      </c>
      <c r="J722">
        <v>-393.63510000000002</v>
      </c>
      <c r="K722">
        <v>1.109084</v>
      </c>
      <c r="L722">
        <v>366.37220000000002</v>
      </c>
      <c r="M722">
        <v>0.9999555</v>
      </c>
      <c r="N722">
        <v>-9.3026010000000006E-3</v>
      </c>
      <c r="O722">
        <v>-1.585992E-3</v>
      </c>
      <c r="P722">
        <v>0.99014950000000002</v>
      </c>
      <c r="Q722">
        <v>7.9495969999999999E-2</v>
      </c>
      <c r="R722">
        <v>0.115257</v>
      </c>
      <c r="S722">
        <v>3.0510860000000002</v>
      </c>
      <c r="T722">
        <v>0.15893589999999999</v>
      </c>
      <c r="U722">
        <v>-0.28909299999999999</v>
      </c>
      <c r="V722">
        <v>-0.11682679999999999</v>
      </c>
      <c r="W722">
        <v>8.8701660000000002E-2</v>
      </c>
      <c r="X722">
        <v>0.98918320000000004</v>
      </c>
      <c r="Y722">
        <v>9.2650129999999997E-2</v>
      </c>
      <c r="Z722">
        <v>1.8768960000000001E-3</v>
      </c>
      <c r="AA722">
        <v>0.99569700000000005</v>
      </c>
      <c r="AB722">
        <v>22</v>
      </c>
      <c r="AC722">
        <v>250.2621</v>
      </c>
      <c r="AD722">
        <v>13.045056000000001</v>
      </c>
      <c r="AE722">
        <v>-23.728200000000001</v>
      </c>
      <c r="AF722">
        <v>23.268580090305299</v>
      </c>
      <c r="AG722">
        <v>13.045056000000001</v>
      </c>
      <c r="AH722">
        <v>249.62720649955099</v>
      </c>
      <c r="AI722">
        <v>87.021438271422795</v>
      </c>
      <c r="AJ722">
        <v>84.674658203155403</v>
      </c>
      <c r="AK722">
        <v>251.048486412947</v>
      </c>
      <c r="AL722">
        <v>84.911080769836303</v>
      </c>
      <c r="AM722">
        <v>96.735676378005806</v>
      </c>
      <c r="AN722">
        <v>0.99999994442361595</v>
      </c>
    </row>
    <row r="723" spans="1:40" x14ac:dyDescent="0.25">
      <c r="A723" t="str">
        <f>"20190304154739119"</f>
        <v>20190304154739119</v>
      </c>
      <c r="B723" t="str">
        <f>"1551685659108050"</f>
        <v>1551685659108050</v>
      </c>
      <c r="C723" t="s">
        <v>40</v>
      </c>
      <c r="D723">
        <v>4.314235</v>
      </c>
      <c r="E723">
        <v>0.58170250000000001</v>
      </c>
      <c r="F723" t="s">
        <v>47</v>
      </c>
      <c r="G723">
        <v>-149.96879999999999</v>
      </c>
      <c r="H723">
        <v>10.521050000000001</v>
      </c>
      <c r="I723">
        <v>342.4862</v>
      </c>
      <c r="J723">
        <v>-393.48660000000001</v>
      </c>
      <c r="K723">
        <v>1.1092340000000001</v>
      </c>
      <c r="L723">
        <v>366.37200000000001</v>
      </c>
      <c r="M723">
        <v>0.99995460000000003</v>
      </c>
      <c r="N723">
        <v>-9.4074329999999998E-3</v>
      </c>
      <c r="O723">
        <v>-1.5723499999999999E-3</v>
      </c>
      <c r="P723">
        <v>0.99017180000000005</v>
      </c>
      <c r="Q723">
        <v>7.9721169999999994E-2</v>
      </c>
      <c r="R723">
        <v>0.1149126</v>
      </c>
      <c r="S723">
        <v>3.0552670000000002</v>
      </c>
      <c r="T723">
        <v>0.1180142</v>
      </c>
      <c r="U723">
        <v>-0.29949949999999997</v>
      </c>
      <c r="V723">
        <v>-0.11646869999999999</v>
      </c>
      <c r="W723">
        <v>8.9032219999999995E-2</v>
      </c>
      <c r="X723">
        <v>0.98919579999999996</v>
      </c>
      <c r="Y723">
        <v>9.5942940000000004E-2</v>
      </c>
      <c r="Z723">
        <v>1.3200359999999999E-3</v>
      </c>
      <c r="AA723">
        <v>0.99538590000000005</v>
      </c>
      <c r="AB723">
        <v>22</v>
      </c>
      <c r="AC723">
        <v>243.51779999999999</v>
      </c>
      <c r="AD723">
        <v>9.411816</v>
      </c>
      <c r="AE723">
        <v>-23.8857999999999</v>
      </c>
      <c r="AF723">
        <v>23.4681362717998</v>
      </c>
      <c r="AG723">
        <v>9.411816</v>
      </c>
      <c r="AH723">
        <v>243.19524005781099</v>
      </c>
      <c r="AI723">
        <v>87.793959043631105</v>
      </c>
      <c r="AJ723">
        <v>84.488072336142807</v>
      </c>
      <c r="AK723">
        <v>244.50615633817</v>
      </c>
      <c r="AL723">
        <v>84.892066192072207</v>
      </c>
      <c r="AM723">
        <v>96.715134123018998</v>
      </c>
      <c r="AN723">
        <v>1.00000001250772</v>
      </c>
    </row>
    <row r="724" spans="1:40" x14ac:dyDescent="0.25">
      <c r="A724" t="str">
        <f>"20190304154739138"</f>
        <v>20190304154739138</v>
      </c>
      <c r="B724" t="str">
        <f>"1551685659127571"</f>
        <v>1551685659127571</v>
      </c>
      <c r="C724" t="s">
        <v>40</v>
      </c>
      <c r="D724">
        <v>4.3607060000000004</v>
      </c>
      <c r="E724">
        <v>0.58221129999999999</v>
      </c>
      <c r="F724" t="s">
        <v>47</v>
      </c>
      <c r="G724">
        <v>-155.65119999999999</v>
      </c>
      <c r="H724">
        <v>9.5620370000000001</v>
      </c>
      <c r="I724">
        <v>342.64400000000001</v>
      </c>
      <c r="J724">
        <v>-393.2989</v>
      </c>
      <c r="K724">
        <v>1.1094010000000001</v>
      </c>
      <c r="L724">
        <v>366.37169999999998</v>
      </c>
      <c r="M724">
        <v>0.99995339999999999</v>
      </c>
      <c r="N724">
        <v>-9.5279760000000005E-3</v>
      </c>
      <c r="O724">
        <v>-1.5604739999999901E-3</v>
      </c>
      <c r="P724">
        <v>0.99021029999999999</v>
      </c>
      <c r="Q724">
        <v>7.9789150000000003E-2</v>
      </c>
      <c r="R724">
        <v>0.11453099999999999</v>
      </c>
      <c r="S724">
        <v>3.0564580000000001</v>
      </c>
      <c r="T724">
        <v>0.1086283</v>
      </c>
      <c r="U724">
        <v>-0.30493160000000002</v>
      </c>
      <c r="V724">
        <v>-0.1160737</v>
      </c>
      <c r="W724">
        <v>8.9221709999999996E-2</v>
      </c>
      <c r="X724">
        <v>0.98922509999999997</v>
      </c>
      <c r="Y724">
        <v>9.7677600000000003E-2</v>
      </c>
      <c r="Z724">
        <v>1.194185E-3</v>
      </c>
      <c r="AA724">
        <v>0.99521740000000003</v>
      </c>
      <c r="AB724">
        <v>22</v>
      </c>
      <c r="AC724">
        <v>237.64769999999999</v>
      </c>
      <c r="AD724">
        <v>8.452636</v>
      </c>
      <c r="AE724">
        <v>-23.727699999999899</v>
      </c>
      <c r="AF724">
        <v>23.327591299795799</v>
      </c>
      <c r="AG724">
        <v>8.452636</v>
      </c>
      <c r="AH724">
        <v>237.38708993973901</v>
      </c>
      <c r="AI724">
        <v>87.970499487059499</v>
      </c>
      <c r="AJ724">
        <v>84.3876685865811</v>
      </c>
      <c r="AK724">
        <v>238.68023387213401</v>
      </c>
      <c r="AL724">
        <v>84.881165554305397</v>
      </c>
      <c r="AM724">
        <v>96.692370457940598</v>
      </c>
      <c r="AN724">
        <v>0.99999995791851104</v>
      </c>
    </row>
    <row r="725" spans="1:40" x14ac:dyDescent="0.25">
      <c r="A725" t="str">
        <f>"20190304154739152"</f>
        <v>20190304154739152</v>
      </c>
      <c r="B725" t="str">
        <f>"1551685659148067"</f>
        <v>1551685659148067</v>
      </c>
      <c r="C725" t="s">
        <v>40</v>
      </c>
      <c r="D725">
        <v>4.4278879999999896</v>
      </c>
      <c r="E725">
        <v>0.58232090000000003</v>
      </c>
      <c r="F725" t="s">
        <v>47</v>
      </c>
      <c r="G725">
        <v>-165.68260000000001</v>
      </c>
      <c r="H725">
        <v>7.4410990000000004</v>
      </c>
      <c r="I725">
        <v>343.28660000000002</v>
      </c>
      <c r="J725">
        <v>-393.1567</v>
      </c>
      <c r="K725">
        <v>1.1095090000000001</v>
      </c>
      <c r="L725">
        <v>366.37150000000003</v>
      </c>
      <c r="M725">
        <v>0.99995259999999997</v>
      </c>
      <c r="N725">
        <v>-9.6119889999999996E-3</v>
      </c>
      <c r="O725">
        <v>-1.5554410000000001E-3</v>
      </c>
      <c r="P725">
        <v>0.99024619999999997</v>
      </c>
      <c r="Q725">
        <v>7.9741580000000006E-2</v>
      </c>
      <c r="R725">
        <v>0.1142542</v>
      </c>
      <c r="S725">
        <v>3.0586549999999999</v>
      </c>
      <c r="T725">
        <v>8.508396E-2</v>
      </c>
      <c r="U725">
        <v>-0.31021120000000002</v>
      </c>
      <c r="V725">
        <v>-0.1157913</v>
      </c>
      <c r="W725">
        <v>8.9258770000000001E-2</v>
      </c>
      <c r="X725">
        <v>0.98925490000000005</v>
      </c>
      <c r="Y725">
        <v>9.933177E-2</v>
      </c>
      <c r="Z725">
        <v>8.4104130000000005E-4</v>
      </c>
      <c r="AA725">
        <v>0.99505399999999999</v>
      </c>
      <c r="AB725">
        <v>22</v>
      </c>
      <c r="AC725">
        <v>227.47409999999999</v>
      </c>
      <c r="AD725">
        <v>6.3315900000000003</v>
      </c>
      <c r="AE725">
        <v>-23.084900000000001</v>
      </c>
      <c r="AF725">
        <v>22.713615196460399</v>
      </c>
      <c r="AG725">
        <v>6.3315900000000003</v>
      </c>
      <c r="AH725">
        <v>227.33540096643401</v>
      </c>
      <c r="AI725">
        <v>88.412549175969602</v>
      </c>
      <c r="AJ725">
        <v>84.294378896740398</v>
      </c>
      <c r="AK725">
        <v>228.55498655638701</v>
      </c>
      <c r="AL725">
        <v>84.879033909321905</v>
      </c>
      <c r="AM725">
        <v>96.676036201422804</v>
      </c>
      <c r="AN725">
        <v>1.0000000051758</v>
      </c>
    </row>
    <row r="726" spans="1:40" x14ac:dyDescent="0.25">
      <c r="A726" t="str">
        <f>"20190304154739164"</f>
        <v>20190304154739164</v>
      </c>
      <c r="B726" t="str">
        <f>"1551685659157826"</f>
        <v>1551685659157826</v>
      </c>
      <c r="C726" t="s">
        <v>40</v>
      </c>
      <c r="D726">
        <v>4.388363</v>
      </c>
      <c r="E726">
        <v>0.5824068</v>
      </c>
      <c r="F726" t="s">
        <v>47</v>
      </c>
      <c r="G726">
        <v>-160.6283</v>
      </c>
      <c r="H726">
        <v>6.29298</v>
      </c>
      <c r="I726">
        <v>342.64389999999997</v>
      </c>
      <c r="J726">
        <v>-393.02850000000001</v>
      </c>
      <c r="K726">
        <v>1.1095930000000001</v>
      </c>
      <c r="L726">
        <v>366.37130000000002</v>
      </c>
      <c r="M726">
        <v>0.99995210000000001</v>
      </c>
      <c r="N726">
        <v>-9.6781569999999997E-3</v>
      </c>
      <c r="O726">
        <v>-1.5542419999999999E-3</v>
      </c>
      <c r="P726">
        <v>0.99025350000000001</v>
      </c>
      <c r="Q726">
        <v>7.9896220000000004E-2</v>
      </c>
      <c r="R726">
        <v>0.1140829</v>
      </c>
      <c r="S726">
        <v>3.0600890000000001</v>
      </c>
      <c r="T726">
        <v>6.821489E-2</v>
      </c>
      <c r="U726">
        <v>-0.31225589999999998</v>
      </c>
      <c r="V726">
        <v>-0.1156182</v>
      </c>
      <c r="W726">
        <v>8.9479610000000001E-2</v>
      </c>
      <c r="X726">
        <v>0.9892552</v>
      </c>
      <c r="Y726">
        <v>9.9954840000000003E-2</v>
      </c>
      <c r="Z726">
        <v>5.7652460000000001E-4</v>
      </c>
      <c r="AA726">
        <v>0.99499179999999998</v>
      </c>
      <c r="AB726">
        <v>22</v>
      </c>
      <c r="AC726">
        <v>232.40020000000001</v>
      </c>
      <c r="AD726">
        <v>5.1833869999999997</v>
      </c>
      <c r="AE726">
        <v>-23.727399999999999</v>
      </c>
      <c r="AF726">
        <v>23.354650274050702</v>
      </c>
      <c r="AG726">
        <v>5.1833869999999997</v>
      </c>
      <c r="AH726">
        <v>232.322421294799</v>
      </c>
      <c r="AI726">
        <v>88.728283181685498</v>
      </c>
      <c r="AJ726">
        <v>84.2595188006256</v>
      </c>
      <c r="AK726">
        <v>233.55088230724601</v>
      </c>
      <c r="AL726">
        <v>84.866329898643102</v>
      </c>
      <c r="AM726">
        <v>96.666143871907906</v>
      </c>
      <c r="AN726">
        <v>1.0000000097520101</v>
      </c>
    </row>
    <row r="727" spans="1:40" x14ac:dyDescent="0.25">
      <c r="A727" t="str">
        <f>"20190304154739182"</f>
        <v>20190304154739182</v>
      </c>
      <c r="B727" t="str">
        <f>"1551685659177346"</f>
        <v>1551685659177346</v>
      </c>
      <c r="C727" t="s">
        <v>40</v>
      </c>
      <c r="D727">
        <v>4.4619809999999998</v>
      </c>
      <c r="E727">
        <v>0.58245459999999905</v>
      </c>
      <c r="F727" t="s">
        <v>47</v>
      </c>
      <c r="G727">
        <v>-161.36600000000001</v>
      </c>
      <c r="H727">
        <v>5.8233420000000002</v>
      </c>
      <c r="I727">
        <v>342.64389999999997</v>
      </c>
      <c r="J727">
        <v>-392.86559999999997</v>
      </c>
      <c r="K727">
        <v>1.109694</v>
      </c>
      <c r="L727">
        <v>366.37099999999998</v>
      </c>
      <c r="M727">
        <v>0.99995120000000004</v>
      </c>
      <c r="N727">
        <v>-9.7542719999999996E-3</v>
      </c>
      <c r="O727">
        <v>-1.5542829999999901E-3</v>
      </c>
      <c r="P727">
        <v>0.99025240000000003</v>
      </c>
      <c r="Q727">
        <v>8.0329239999999996E-2</v>
      </c>
      <c r="R727">
        <v>0.11378630000000001</v>
      </c>
      <c r="S727">
        <v>3.060638</v>
      </c>
      <c r="T727">
        <v>6.2276360000000003E-2</v>
      </c>
      <c r="U727">
        <v>-0.31347659999999899</v>
      </c>
      <c r="V727">
        <v>-0.1153209</v>
      </c>
      <c r="W727">
        <v>8.9988699999999894E-2</v>
      </c>
      <c r="X727">
        <v>0.98924369999999995</v>
      </c>
      <c r="Y727">
        <v>0.10033259999999999</v>
      </c>
      <c r="Z727">
        <v>4.8068250000000002E-4</v>
      </c>
      <c r="AA727">
        <v>0.9949538</v>
      </c>
      <c r="AB727">
        <v>22</v>
      </c>
      <c r="AC727">
        <v>231.49959999999999</v>
      </c>
      <c r="AD727">
        <v>4.7136480000000001</v>
      </c>
      <c r="AE727">
        <v>-23.7271</v>
      </c>
      <c r="AF727">
        <v>23.357655249422301</v>
      </c>
      <c r="AG727">
        <v>4.7136480000000001</v>
      </c>
      <c r="AH727">
        <v>231.44124609285001</v>
      </c>
      <c r="AI727">
        <v>88.839142126044905</v>
      </c>
      <c r="AJ727">
        <v>84.237073226315999</v>
      </c>
      <c r="AK727">
        <v>232.66467056523601</v>
      </c>
      <c r="AL727">
        <v>84.837042922251101</v>
      </c>
      <c r="AM727">
        <v>96.649232872487005</v>
      </c>
      <c r="AN727">
        <v>0.99999998704709403</v>
      </c>
    </row>
    <row r="728" spans="1:40" x14ac:dyDescent="0.25">
      <c r="A728" t="str">
        <f>"20190304154739195"</f>
        <v>20190304154739195</v>
      </c>
      <c r="B728" t="str">
        <f>"1551685659188082"</f>
        <v>1551685659188082</v>
      </c>
      <c r="C728" t="s">
        <v>40</v>
      </c>
      <c r="D728">
        <v>4.4693709999999998</v>
      </c>
      <c r="E728">
        <v>0.58239779999999997</v>
      </c>
      <c r="F728" t="s">
        <v>47</v>
      </c>
      <c r="G728">
        <v>-162.30779999999999</v>
      </c>
      <c r="H728">
        <v>5.0479949999999896</v>
      </c>
      <c r="I728">
        <v>342.64389999999997</v>
      </c>
      <c r="J728">
        <v>-392.73700000000002</v>
      </c>
      <c r="K728">
        <v>1.1097680000000001</v>
      </c>
      <c r="L728">
        <v>366.37079999999997</v>
      </c>
      <c r="M728">
        <v>0.99995080000000003</v>
      </c>
      <c r="N728">
        <v>-9.8085120000000001E-3</v>
      </c>
      <c r="O728">
        <v>-1.5557559999999999E-3</v>
      </c>
      <c r="P728">
        <v>0.99025909999999995</v>
      </c>
      <c r="Q728">
        <v>8.0525799999999995E-2</v>
      </c>
      <c r="R728">
        <v>0.1135897</v>
      </c>
      <c r="S728">
        <v>3.061493</v>
      </c>
      <c r="T728">
        <v>5.2295330000000001E-2</v>
      </c>
      <c r="U728">
        <v>-0.3150635</v>
      </c>
      <c r="V728">
        <v>-0.1151254</v>
      </c>
      <c r="W728">
        <v>9.0239459999999994E-2</v>
      </c>
      <c r="X728">
        <v>0.9892436</v>
      </c>
      <c r="Y728">
        <v>0.1008177</v>
      </c>
      <c r="Z728">
        <v>3.2125019999999999E-4</v>
      </c>
      <c r="AA728">
        <v>0.99490489999999998</v>
      </c>
      <c r="AB728">
        <v>22</v>
      </c>
      <c r="AC728">
        <v>230.42920000000001</v>
      </c>
      <c r="AD728">
        <v>3.9382269999999999</v>
      </c>
      <c r="AE728">
        <v>-23.726900000000001</v>
      </c>
      <c r="AF728">
        <v>23.361610212201199</v>
      </c>
      <c r="AG728">
        <v>3.9382269999999999</v>
      </c>
      <c r="AH728">
        <v>230.39924336659701</v>
      </c>
      <c r="AI728">
        <v>89.025729989116797</v>
      </c>
      <c r="AJ728">
        <v>84.210212932773203</v>
      </c>
      <c r="AK728">
        <v>231.61408810240999</v>
      </c>
      <c r="AL728">
        <v>84.822616593112699</v>
      </c>
      <c r="AM728">
        <v>96.638061978517797</v>
      </c>
      <c r="AN728">
        <v>0.99999995900360406</v>
      </c>
    </row>
    <row r="729" spans="1:40" x14ac:dyDescent="0.25">
      <c r="A729" t="str">
        <f>"20190304154739206"</f>
        <v>20190304154739206</v>
      </c>
      <c r="B729" t="str">
        <f>"1551685659197373"</f>
        <v>1551685659197373</v>
      </c>
      <c r="C729" t="s">
        <v>40</v>
      </c>
      <c r="D729">
        <v>4.3643000000000001</v>
      </c>
      <c r="E729">
        <v>0.58218230000000004</v>
      </c>
      <c r="F729" t="s">
        <v>47</v>
      </c>
      <c r="G729">
        <v>-162.5573</v>
      </c>
      <c r="H729">
        <v>4.6682509999999997</v>
      </c>
      <c r="I729">
        <v>342.64389999999997</v>
      </c>
      <c r="J729">
        <v>-392.62450000000001</v>
      </c>
      <c r="K729">
        <v>1.109823</v>
      </c>
      <c r="L729">
        <v>366.3707</v>
      </c>
      <c r="M729">
        <v>0.99995020000000001</v>
      </c>
      <c r="N729">
        <v>-9.8507400000000002E-3</v>
      </c>
      <c r="O729">
        <v>-1.557995E-3</v>
      </c>
      <c r="P729">
        <v>0.99029049999999996</v>
      </c>
      <c r="Q729">
        <v>8.070563E-2</v>
      </c>
      <c r="R729">
        <v>0.11318739999999999</v>
      </c>
      <c r="S729">
        <v>3.0618289999999999</v>
      </c>
      <c r="T729">
        <v>4.7334670000000002E-2</v>
      </c>
      <c r="U729">
        <v>-0.31561280000000003</v>
      </c>
      <c r="V729">
        <v>-0.11472540000000001</v>
      </c>
      <c r="W729">
        <v>9.0461710000000001E-2</v>
      </c>
      <c r="X729">
        <v>0.98926979999999998</v>
      </c>
      <c r="Y729">
        <v>0.10098269999999999</v>
      </c>
      <c r="Z729">
        <v>2.404273E-4</v>
      </c>
      <c r="AA729">
        <v>0.99488810000000005</v>
      </c>
      <c r="AB729">
        <v>22</v>
      </c>
      <c r="AC729">
        <v>230.06720000000001</v>
      </c>
      <c r="AD729">
        <v>3.5584280000000001</v>
      </c>
      <c r="AE729">
        <v>-23.726800000000001</v>
      </c>
      <c r="AF729">
        <v>23.362780088356399</v>
      </c>
      <c r="AG729">
        <v>3.5584280000000001</v>
      </c>
      <c r="AH729">
        <v>230.04943431791199</v>
      </c>
      <c r="AI729">
        <v>89.118347822093995</v>
      </c>
      <c r="AJ729">
        <v>84.2011806382353</v>
      </c>
      <c r="AK729">
        <v>231.26007898744501</v>
      </c>
      <c r="AL729">
        <v>84.809830459743694</v>
      </c>
      <c r="AM729">
        <v>96.615029342015902</v>
      </c>
      <c r="AN729">
        <v>0.99999998778666199</v>
      </c>
    </row>
    <row r="730" spans="1:40" x14ac:dyDescent="0.25">
      <c r="A730" t="str">
        <f>"20190304154739216"</f>
        <v>20190304154739216</v>
      </c>
      <c r="B730" t="str">
        <f>"1551685659208109"</f>
        <v>1551685659208109</v>
      </c>
      <c r="C730" t="s">
        <v>40</v>
      </c>
      <c r="D730">
        <v>4.4646309999999998</v>
      </c>
      <c r="E730">
        <v>0.58199690000000004</v>
      </c>
      <c r="F730" t="s">
        <v>47</v>
      </c>
      <c r="G730">
        <v>-162.03819999999999</v>
      </c>
      <c r="H730">
        <v>4.3466829999999996</v>
      </c>
      <c r="I730">
        <v>342.64389999999997</v>
      </c>
      <c r="J730">
        <v>-392.51650000000001</v>
      </c>
      <c r="K730">
        <v>1.109869</v>
      </c>
      <c r="L730">
        <v>366.37049999999999</v>
      </c>
      <c r="M730">
        <v>0.99995009999999995</v>
      </c>
      <c r="N730">
        <v>-9.8886370000000005E-3</v>
      </c>
      <c r="O730">
        <v>-1.5606859999999999E-3</v>
      </c>
      <c r="P730">
        <v>0.99035169999999995</v>
      </c>
      <c r="Q730">
        <v>8.110937E-2</v>
      </c>
      <c r="R730">
        <v>0.1123622</v>
      </c>
      <c r="S730">
        <v>3.0619200000000002</v>
      </c>
      <c r="T730">
        <v>4.2981859999999997E-2</v>
      </c>
      <c r="U730">
        <v>-0.3150635</v>
      </c>
      <c r="V730">
        <v>-0.1139028</v>
      </c>
      <c r="W730">
        <v>9.0902860000000002E-2</v>
      </c>
      <c r="X730">
        <v>0.98932450000000005</v>
      </c>
      <c r="Y730">
        <v>0.1008018</v>
      </c>
      <c r="Z730">
        <v>1.686395E-4</v>
      </c>
      <c r="AA730">
        <v>0.99490650000000003</v>
      </c>
      <c r="AB730">
        <v>22</v>
      </c>
      <c r="AC730">
        <v>230.47829999999999</v>
      </c>
      <c r="AD730">
        <v>3.2368139999999999</v>
      </c>
      <c r="AE730">
        <v>-23.726600000000001</v>
      </c>
      <c r="AF730">
        <v>23.362289882538299</v>
      </c>
      <c r="AG730">
        <v>3.2368139999999999</v>
      </c>
      <c r="AH730">
        <v>230.47007166376099</v>
      </c>
      <c r="AI730">
        <v>89.199469885938498</v>
      </c>
      <c r="AJ730">
        <v>84.211812923267203</v>
      </c>
      <c r="AK730">
        <v>231.67375225977901</v>
      </c>
      <c r="AL730">
        <v>84.784450295503603</v>
      </c>
      <c r="AM730">
        <v>96.567654423887404</v>
      </c>
      <c r="AN730">
        <v>1.00000007205213</v>
      </c>
    </row>
    <row r="731" spans="1:40" x14ac:dyDescent="0.25">
      <c r="A731" t="str">
        <f>"20190304154739226"</f>
        <v>20190304154739226</v>
      </c>
      <c r="B731" t="str">
        <f>"1551685659217870"</f>
        <v>1551685659217870</v>
      </c>
      <c r="C731" t="s">
        <v>40</v>
      </c>
      <c r="D731">
        <v>4.4696369999999996</v>
      </c>
      <c r="E731">
        <v>0.58184930000000001</v>
      </c>
      <c r="F731" t="s">
        <v>47</v>
      </c>
      <c r="G731">
        <v>-162.62860000000001</v>
      </c>
      <c r="H731">
        <v>4.0486589999999998</v>
      </c>
      <c r="I731">
        <v>342.63749999999999</v>
      </c>
      <c r="J731">
        <v>-392.41230000000002</v>
      </c>
      <c r="K731">
        <v>1.10991</v>
      </c>
      <c r="L731">
        <v>366.37029999999999</v>
      </c>
      <c r="M731">
        <v>0.99994959999999999</v>
      </c>
      <c r="N731">
        <v>-9.9226569999999997E-3</v>
      </c>
      <c r="O731">
        <v>-1.563474E-3</v>
      </c>
      <c r="P731">
        <v>0.99039290000000002</v>
      </c>
      <c r="Q731">
        <v>8.118011E-2</v>
      </c>
      <c r="R731">
        <v>0.1119462</v>
      </c>
      <c r="S731">
        <v>3.06189</v>
      </c>
      <c r="T731">
        <v>3.9142009999999998E-2</v>
      </c>
      <c r="U731">
        <v>-0.31610110000000002</v>
      </c>
      <c r="V731">
        <v>-0.1134899</v>
      </c>
      <c r="W731">
        <v>9.10078E-2</v>
      </c>
      <c r="X731">
        <v>0.98936219999999997</v>
      </c>
      <c r="Y731">
        <v>0.10113469999999999</v>
      </c>
      <c r="Z731">
        <v>1.061797E-4</v>
      </c>
      <c r="AA731">
        <v>0.99487270000000005</v>
      </c>
      <c r="AB731">
        <v>22</v>
      </c>
      <c r="AC731">
        <v>229.78370000000001</v>
      </c>
      <c r="AD731">
        <v>2.9387490000000001</v>
      </c>
      <c r="AE731">
        <v>-23.732800000000001</v>
      </c>
      <c r="AF731">
        <v>23.3697103933501</v>
      </c>
      <c r="AG731">
        <v>2.9387490000000001</v>
      </c>
      <c r="AH731">
        <v>229.78333907919199</v>
      </c>
      <c r="AI731">
        <v>89.2710317386355</v>
      </c>
      <c r="AJ731">
        <v>84.192800927610705</v>
      </c>
      <c r="AK731">
        <v>230.98736443350501</v>
      </c>
      <c r="AL731">
        <v>84.778412115894</v>
      </c>
      <c r="AM731">
        <v>96.543806222682093</v>
      </c>
      <c r="AN731">
        <v>0.99999996992584395</v>
      </c>
    </row>
    <row r="732" spans="1:40" x14ac:dyDescent="0.25">
      <c r="A732" t="str">
        <f>"20190304154739239"</f>
        <v>20190304154739239</v>
      </c>
      <c r="B732" t="str">
        <f>"1551685659227631"</f>
        <v>1551685659227631</v>
      </c>
      <c r="C732" t="s">
        <v>40</v>
      </c>
      <c r="D732">
        <v>4.4509629999999998</v>
      </c>
      <c r="E732">
        <v>0.58171229999999996</v>
      </c>
      <c r="F732" t="s">
        <v>47</v>
      </c>
      <c r="G732">
        <v>-162.6285</v>
      </c>
      <c r="H732">
        <v>3.7333970000000001</v>
      </c>
      <c r="I732">
        <v>342.63040000000001</v>
      </c>
      <c r="J732">
        <v>-392.29509999999999</v>
      </c>
      <c r="K732">
        <v>1.109955</v>
      </c>
      <c r="L732">
        <v>366.37009999999998</v>
      </c>
      <c r="M732">
        <v>0.99994930000000004</v>
      </c>
      <c r="N732">
        <v>-9.9581010000000005E-3</v>
      </c>
      <c r="O732">
        <v>-1.5666250000000001E-3</v>
      </c>
      <c r="P732">
        <v>0.99044969999999999</v>
      </c>
      <c r="Q732">
        <v>8.1400559999999997E-2</v>
      </c>
      <c r="R732">
        <v>0.1112809</v>
      </c>
      <c r="S732">
        <v>3.0619809999999998</v>
      </c>
      <c r="T732">
        <v>3.4959320000000002E-2</v>
      </c>
      <c r="U732">
        <v>-0.31634519999999999</v>
      </c>
      <c r="V732">
        <v>-0.1128276</v>
      </c>
      <c r="W732">
        <v>9.1263759999999999E-2</v>
      </c>
      <c r="X732">
        <v>0.98941440000000003</v>
      </c>
      <c r="Y732">
        <v>0.1012079</v>
      </c>
      <c r="Z732" s="1">
        <v>3.7536030000000003E-5</v>
      </c>
      <c r="AA732">
        <v>0.99486529999999995</v>
      </c>
      <c r="AB732">
        <v>22</v>
      </c>
      <c r="AC732">
        <v>229.66659999999999</v>
      </c>
      <c r="AD732">
        <v>2.6234419999999998</v>
      </c>
      <c r="AE732">
        <v>-23.7396999999999</v>
      </c>
      <c r="AF732">
        <v>23.376833639541299</v>
      </c>
      <c r="AG732">
        <v>2.6234419999999998</v>
      </c>
      <c r="AH732">
        <v>229.67385991864799</v>
      </c>
      <c r="AI732">
        <v>89.348932788897301</v>
      </c>
      <c r="AJ732">
        <v>84.188292937489706</v>
      </c>
      <c r="AK732">
        <v>230.87537921759599</v>
      </c>
      <c r="AL732">
        <v>84.763685549885096</v>
      </c>
      <c r="AM732">
        <v>96.5056061864871</v>
      </c>
      <c r="AN732">
        <v>0.99999999806922801</v>
      </c>
    </row>
    <row r="733" spans="1:40" x14ac:dyDescent="0.25">
      <c r="A733" t="str">
        <f>"20190304154739251"</f>
        <v>20190304154739251</v>
      </c>
      <c r="B733" t="str">
        <f>"1551685659248127"</f>
        <v>1551685659248127</v>
      </c>
      <c r="C733" t="s">
        <v>40</v>
      </c>
      <c r="D733">
        <v>4.4628550000000002</v>
      </c>
      <c r="E733">
        <v>0.5815226</v>
      </c>
      <c r="F733" t="s">
        <v>47</v>
      </c>
      <c r="G733">
        <v>-162.6284</v>
      </c>
      <c r="H733">
        <v>3.5014460000000001</v>
      </c>
      <c r="I733">
        <v>342.57780000000002</v>
      </c>
      <c r="J733">
        <v>-392.1773</v>
      </c>
      <c r="K733">
        <v>1.109993</v>
      </c>
      <c r="L733">
        <v>366.37</v>
      </c>
      <c r="M733">
        <v>0.99994890000000003</v>
      </c>
      <c r="N733">
        <v>-9.9922269999999994E-3</v>
      </c>
      <c r="O733">
        <v>-1.5696499999999999E-3</v>
      </c>
      <c r="P733">
        <v>0.99049620000000005</v>
      </c>
      <c r="Q733">
        <v>8.1606880000000007E-2</v>
      </c>
      <c r="R733">
        <v>0.11071499999999999</v>
      </c>
      <c r="S733">
        <v>3.0619200000000002</v>
      </c>
      <c r="T733">
        <v>3.1883479999999999E-2</v>
      </c>
      <c r="U733">
        <v>-0.31719969999999997</v>
      </c>
      <c r="V733">
        <v>-0.11226510000000001</v>
      </c>
      <c r="W733">
        <v>9.150403E-2</v>
      </c>
      <c r="X733">
        <v>0.98945620000000001</v>
      </c>
      <c r="Y733">
        <v>0.10148219999999999</v>
      </c>
      <c r="Z733" s="1">
        <v>-1.33871799999999E-5</v>
      </c>
      <c r="AA733">
        <v>0.99483730000000004</v>
      </c>
      <c r="AB733">
        <v>22</v>
      </c>
      <c r="AC733">
        <v>229.5489</v>
      </c>
      <c r="AD733">
        <v>2.3914529999999998</v>
      </c>
      <c r="AE733">
        <v>-23.792199999999902</v>
      </c>
      <c r="AF733">
        <v>23.429325393381799</v>
      </c>
      <c r="AG733">
        <v>2.3914529999999998</v>
      </c>
      <c r="AH733">
        <v>229.56131366340401</v>
      </c>
      <c r="AI733">
        <v>89.406227586314102</v>
      </c>
      <c r="AJ733">
        <v>84.172496614166704</v>
      </c>
      <c r="AK733">
        <v>230.76622167619701</v>
      </c>
      <c r="AL733">
        <v>84.749861289877202</v>
      </c>
      <c r="AM733">
        <v>96.473177439450893</v>
      </c>
      <c r="AN733">
        <v>1.0000000059513401</v>
      </c>
    </row>
    <row r="734" spans="1:40" x14ac:dyDescent="0.25">
      <c r="A734" t="str">
        <f>"20190304154739262"</f>
        <v>20190304154739262</v>
      </c>
      <c r="B734" t="str">
        <f>"1551685659257886"</f>
        <v>1551685659257886</v>
      </c>
      <c r="C734" t="s">
        <v>40</v>
      </c>
      <c r="D734">
        <v>4.4529360000000002</v>
      </c>
      <c r="E734">
        <v>0.58146519999999902</v>
      </c>
      <c r="F734" t="s">
        <v>47</v>
      </c>
      <c r="G734">
        <v>-162.6283</v>
      </c>
      <c r="H734">
        <v>3.026999</v>
      </c>
      <c r="I734">
        <v>342.57569999999998</v>
      </c>
      <c r="J734">
        <v>-392.0668</v>
      </c>
      <c r="K734">
        <v>1.1100239999999999</v>
      </c>
      <c r="L734">
        <v>366.3698</v>
      </c>
      <c r="M734">
        <v>0.99994859999999997</v>
      </c>
      <c r="N734">
        <v>-1.00208E-2</v>
      </c>
      <c r="O734">
        <v>-1.5716949999999999E-3</v>
      </c>
      <c r="P734">
        <v>0.99062709999999998</v>
      </c>
      <c r="Q734">
        <v>8.1366049999999995E-2</v>
      </c>
      <c r="R734">
        <v>0.1097176</v>
      </c>
      <c r="S734">
        <v>3.0621640000000001</v>
      </c>
      <c r="T734">
        <v>2.557278E-2</v>
      </c>
      <c r="U734">
        <v>-0.31741329999999901</v>
      </c>
      <c r="V734">
        <v>-0.1112703</v>
      </c>
      <c r="W734">
        <v>9.1292709999999999E-2</v>
      </c>
      <c r="X734">
        <v>0.98958809999999997</v>
      </c>
      <c r="Y734">
        <v>0.1015416</v>
      </c>
      <c r="Z734">
        <v>-1.1607429999999999E-4</v>
      </c>
      <c r="AA734">
        <v>0.99483129999999997</v>
      </c>
      <c r="AB734">
        <v>22</v>
      </c>
      <c r="AC734">
        <v>229.4385</v>
      </c>
      <c r="AD734">
        <v>1.9169750000000001</v>
      </c>
      <c r="AE734">
        <v>-23.7941</v>
      </c>
      <c r="AF734">
        <v>23.431826868808798</v>
      </c>
      <c r="AG734">
        <v>1.9169750000000001</v>
      </c>
      <c r="AH734">
        <v>229.45976802409399</v>
      </c>
      <c r="AI734">
        <v>89.523821420283099</v>
      </c>
      <c r="AJ734">
        <v>84.1693172888682</v>
      </c>
      <c r="AK734">
        <v>230.661029316249</v>
      </c>
      <c r="AL734">
        <v>84.762020015158996</v>
      </c>
      <c r="AM734">
        <v>96.415449904314997</v>
      </c>
      <c r="AN734">
        <v>1.0000000231114199</v>
      </c>
    </row>
    <row r="735" spans="1:40" x14ac:dyDescent="0.25">
      <c r="A735" t="str">
        <f>"20190304154739273"</f>
        <v>20190304154739273</v>
      </c>
      <c r="B735" t="str">
        <f>"1551685659267646"</f>
        <v>1551685659267646</v>
      </c>
      <c r="C735" t="s">
        <v>40</v>
      </c>
      <c r="D735">
        <v>4.4661220000000004</v>
      </c>
      <c r="E735">
        <v>0.58132989999999996</v>
      </c>
      <c r="F735" t="s">
        <v>47</v>
      </c>
      <c r="G735">
        <v>-162.62819999999999</v>
      </c>
      <c r="H735">
        <v>2.730165</v>
      </c>
      <c r="I735">
        <v>342.41649999999998</v>
      </c>
      <c r="J735">
        <v>-391.95339999999999</v>
      </c>
      <c r="K735">
        <v>1.1100559999999999</v>
      </c>
      <c r="L735">
        <v>366.36959999999999</v>
      </c>
      <c r="M735">
        <v>0.99994839999999996</v>
      </c>
      <c r="N735">
        <v>-1.004939E-2</v>
      </c>
      <c r="O735">
        <v>-1.573622E-3</v>
      </c>
      <c r="P735">
        <v>0.99070259999999999</v>
      </c>
      <c r="Q735">
        <v>8.123329E-2</v>
      </c>
      <c r="R735">
        <v>0.1091309</v>
      </c>
      <c r="S735">
        <v>3.0620120000000002</v>
      </c>
      <c r="T735">
        <v>2.1621939999999999E-2</v>
      </c>
      <c r="U735">
        <v>-0.3196716</v>
      </c>
      <c r="V735">
        <v>-0.1106858</v>
      </c>
      <c r="W735">
        <v>9.1188729999999996E-2</v>
      </c>
      <c r="X735">
        <v>0.98966319999999997</v>
      </c>
      <c r="Y735">
        <v>0.1022709</v>
      </c>
      <c r="Z735">
        <v>-1.8203309999999999E-4</v>
      </c>
      <c r="AA735">
        <v>0.99475659999999999</v>
      </c>
      <c r="AB735">
        <v>22</v>
      </c>
      <c r="AC735">
        <v>229.3252</v>
      </c>
      <c r="AD735">
        <v>1.620109</v>
      </c>
      <c r="AE735">
        <v>-23.953099999999999</v>
      </c>
      <c r="AF735">
        <v>23.591016271197802</v>
      </c>
      <c r="AG735">
        <v>1.620109</v>
      </c>
      <c r="AH735">
        <v>229.35128774073399</v>
      </c>
      <c r="AI735">
        <v>89.597400566668099</v>
      </c>
      <c r="AJ735">
        <v>84.127223866930294</v>
      </c>
      <c r="AK735">
        <v>230.567070481049</v>
      </c>
      <c r="AL735">
        <v>84.768002411166293</v>
      </c>
      <c r="AM735">
        <v>96.381548193969394</v>
      </c>
      <c r="AN735">
        <v>0.999999990117446</v>
      </c>
    </row>
    <row r="736" spans="1:40" x14ac:dyDescent="0.25">
      <c r="A736" t="str">
        <f>"20190304154739284"</f>
        <v>20190304154739284</v>
      </c>
      <c r="B736" t="str">
        <f>"1551685659277406"</f>
        <v>1551685659277406</v>
      </c>
      <c r="C736" t="s">
        <v>40</v>
      </c>
      <c r="D736">
        <v>4.4375720000000003</v>
      </c>
      <c r="E736">
        <v>0.58125329999999997</v>
      </c>
      <c r="F736" t="s">
        <v>47</v>
      </c>
      <c r="G736">
        <v>-162.62809999999999</v>
      </c>
      <c r="H736">
        <v>2.4863409999999999</v>
      </c>
      <c r="I736">
        <v>342.3546</v>
      </c>
      <c r="J736">
        <v>-391.84100000000001</v>
      </c>
      <c r="K736">
        <v>1.1100810000000001</v>
      </c>
      <c r="L736">
        <v>366.36939999999998</v>
      </c>
      <c r="M736">
        <v>0.99994799999999995</v>
      </c>
      <c r="N736">
        <v>-1.0074939999999999E-2</v>
      </c>
      <c r="O736">
        <v>-1.574937E-3</v>
      </c>
      <c r="P736">
        <v>0.99079819999999996</v>
      </c>
      <c r="Q736">
        <v>8.1139390000000006E-2</v>
      </c>
      <c r="R736">
        <v>0.10832990000000001</v>
      </c>
      <c r="S736">
        <v>3.0619510000000001</v>
      </c>
      <c r="T736">
        <v>1.837623E-2</v>
      </c>
      <c r="U736">
        <v>-0.32064819999999999</v>
      </c>
      <c r="V736">
        <v>-0.1098861</v>
      </c>
      <c r="W736">
        <v>9.1120809999999997E-2</v>
      </c>
      <c r="X736">
        <v>0.98975860000000004</v>
      </c>
      <c r="Y736">
        <v>0.1025856</v>
      </c>
      <c r="Z736">
        <v>-2.3645059999999999E-4</v>
      </c>
      <c r="AA736">
        <v>0.99472419999999995</v>
      </c>
      <c r="AB736">
        <v>22</v>
      </c>
      <c r="AC736">
        <v>229.21289999999999</v>
      </c>
      <c r="AD736">
        <v>1.37626</v>
      </c>
      <c r="AE736">
        <v>-24.014799999999902</v>
      </c>
      <c r="AF736">
        <v>23.652912547989398</v>
      </c>
      <c r="AG736">
        <v>1.37626</v>
      </c>
      <c r="AH736">
        <v>229.242264630439</v>
      </c>
      <c r="AI736">
        <v>89.657844306343904</v>
      </c>
      <c r="AJ736">
        <v>84.109142883890598</v>
      </c>
      <c r="AK736">
        <v>230.46338159560699</v>
      </c>
      <c r="AL736">
        <v>84.771910374956406</v>
      </c>
      <c r="AM736">
        <v>96.335212357033598</v>
      </c>
      <c r="AN736">
        <v>1.00000002163111</v>
      </c>
    </row>
    <row r="737" spans="1:40" x14ac:dyDescent="0.25">
      <c r="A737" t="str">
        <f>"20190304154739295"</f>
        <v>20190304154739295</v>
      </c>
      <c r="B737" t="str">
        <f>"1551685659287166"</f>
        <v>1551685659287166</v>
      </c>
      <c r="C737" t="s">
        <v>40</v>
      </c>
      <c r="D737">
        <v>4.5124649999999997</v>
      </c>
      <c r="E737">
        <v>0.58118239999999999</v>
      </c>
      <c r="F737" t="s">
        <v>47</v>
      </c>
      <c r="G737">
        <v>-166.7011</v>
      </c>
      <c r="H737">
        <v>2.2880729999999998</v>
      </c>
      <c r="I737">
        <v>342.64389999999997</v>
      </c>
      <c r="J737">
        <v>-391.73379999999997</v>
      </c>
      <c r="K737">
        <v>1.110107</v>
      </c>
      <c r="L737">
        <v>366.36930000000001</v>
      </c>
      <c r="M737">
        <v>0.99994780000000005</v>
      </c>
      <c r="N737">
        <v>-1.009839E-2</v>
      </c>
      <c r="O737">
        <v>-1.57612299999999E-3</v>
      </c>
      <c r="P737">
        <v>0.99091669999999998</v>
      </c>
      <c r="Q737">
        <v>8.0713359999999998E-2</v>
      </c>
      <c r="R737">
        <v>0.1075623</v>
      </c>
      <c r="S737">
        <v>3.0618590000000001</v>
      </c>
      <c r="T737">
        <v>1.602054E-2</v>
      </c>
      <c r="U737">
        <v>-0.32266240000000002</v>
      </c>
      <c r="V737">
        <v>-0.1091198</v>
      </c>
      <c r="W737">
        <v>9.0719069999999999E-2</v>
      </c>
      <c r="X737">
        <v>0.98988030000000005</v>
      </c>
      <c r="Y737">
        <v>0.1032347</v>
      </c>
      <c r="Z737">
        <v>-2.7746839999999998E-4</v>
      </c>
      <c r="AA737">
        <v>0.99465700000000001</v>
      </c>
      <c r="AB737">
        <v>22</v>
      </c>
      <c r="AC737">
        <v>225.03270000000001</v>
      </c>
      <c r="AD737">
        <v>1.1779659999999901</v>
      </c>
      <c r="AE737">
        <v>-23.7254</v>
      </c>
      <c r="AF737">
        <v>23.370039905172099</v>
      </c>
      <c r="AG737">
        <v>1.1779659999999901</v>
      </c>
      <c r="AH737">
        <v>225.06371723202199</v>
      </c>
      <c r="AI737">
        <v>89.701724775413496</v>
      </c>
      <c r="AJ737">
        <v>84.071798477058294</v>
      </c>
      <c r="AK737">
        <v>226.276872842458</v>
      </c>
      <c r="AL737">
        <v>84.795024232128597</v>
      </c>
      <c r="AM737">
        <v>96.290621421773096</v>
      </c>
      <c r="AN737">
        <v>1.0000000443708901</v>
      </c>
    </row>
    <row r="738" spans="1:40" x14ac:dyDescent="0.25">
      <c r="A738" t="str">
        <f>"20190304154739307"</f>
        <v>20190304154739307</v>
      </c>
      <c r="B738" t="str">
        <f>"1551685659297902"</f>
        <v>1551685659297902</v>
      </c>
      <c r="C738" t="s">
        <v>40</v>
      </c>
      <c r="D738">
        <v>4.3561930000000002</v>
      </c>
      <c r="E738">
        <v>0.58086780000000005</v>
      </c>
      <c r="F738" t="s">
        <v>47</v>
      </c>
      <c r="G738">
        <v>-167.96559999999999</v>
      </c>
      <c r="H738">
        <v>2.0903860000000001</v>
      </c>
      <c r="I738">
        <v>342.64389999999997</v>
      </c>
      <c r="J738">
        <v>-391.6078</v>
      </c>
      <c r="K738">
        <v>1.1101299999999901</v>
      </c>
      <c r="L738">
        <v>366.36900000000003</v>
      </c>
      <c r="M738">
        <v>0.99994760000000005</v>
      </c>
      <c r="N738">
        <v>-1.012412E-2</v>
      </c>
      <c r="O738">
        <v>-1.5767260000000001E-3</v>
      </c>
      <c r="P738">
        <v>0.99099400000000004</v>
      </c>
      <c r="Q738">
        <v>8.0734990000000006E-2</v>
      </c>
      <c r="R738">
        <v>0.106833399999999</v>
      </c>
      <c r="S738">
        <v>3.0616460000000001</v>
      </c>
      <c r="T738">
        <v>1.3412479999999999E-2</v>
      </c>
      <c r="U738">
        <v>-0.3246155</v>
      </c>
      <c r="V738">
        <v>-0.1083924</v>
      </c>
      <c r="W738">
        <v>9.0767059999999997E-2</v>
      </c>
      <c r="X738">
        <v>0.98995580000000005</v>
      </c>
      <c r="Y738">
        <v>0.1038688</v>
      </c>
      <c r="Z738">
        <v>-3.2319869999999999E-4</v>
      </c>
      <c r="AA738">
        <v>0.99459089999999994</v>
      </c>
      <c r="AB738">
        <v>22</v>
      </c>
      <c r="AC738">
        <v>223.6422</v>
      </c>
      <c r="AD738">
        <v>0.98025600000000002</v>
      </c>
      <c r="AE738">
        <v>-23.725100000000001</v>
      </c>
      <c r="AF738">
        <v>23.371985970044602</v>
      </c>
      <c r="AG738">
        <v>0.98025600000000002</v>
      </c>
      <c r="AH738">
        <v>223.67508246065199</v>
      </c>
      <c r="AI738">
        <v>89.7502625053461</v>
      </c>
      <c r="AJ738">
        <v>84.034766030574005</v>
      </c>
      <c r="AK738">
        <v>224.89498247802001</v>
      </c>
      <c r="AL738">
        <v>84.792263135233298</v>
      </c>
      <c r="AM738">
        <v>96.248547748022702</v>
      </c>
      <c r="AN738">
        <v>1.0000000287562201</v>
      </c>
    </row>
    <row r="739" spans="1:40" x14ac:dyDescent="0.25">
      <c r="A739" t="str">
        <f>"20190304154739322"</f>
        <v>20190304154739322</v>
      </c>
      <c r="B739" t="str">
        <f>"1551685659317422"</f>
        <v>1551685659317422</v>
      </c>
      <c r="C739" t="s">
        <v>40</v>
      </c>
      <c r="D739">
        <v>4.4683099999999998</v>
      </c>
      <c r="E739">
        <v>0.58061399999999996</v>
      </c>
      <c r="F739" t="s">
        <v>47</v>
      </c>
      <c r="G739">
        <v>-167.77969999999999</v>
      </c>
      <c r="H739">
        <v>1.899926</v>
      </c>
      <c r="I739">
        <v>342.64389999999997</v>
      </c>
      <c r="J739">
        <v>-391.4753</v>
      </c>
      <c r="K739">
        <v>1.110155</v>
      </c>
      <c r="L739">
        <v>366.36880000000002</v>
      </c>
      <c r="M739">
        <v>0.99994740000000004</v>
      </c>
      <c r="N739">
        <v>-1.014903E-2</v>
      </c>
      <c r="O739">
        <v>-1.5772049999999999E-3</v>
      </c>
      <c r="P739">
        <v>0.9911143</v>
      </c>
      <c r="Q739">
        <v>8.0237399999999903E-2</v>
      </c>
      <c r="R739">
        <v>0.10608960000000001</v>
      </c>
      <c r="S739">
        <v>3.06134</v>
      </c>
      <c r="T739">
        <v>1.0802269999999999E-2</v>
      </c>
      <c r="U739">
        <v>-0.32449339999999999</v>
      </c>
      <c r="V739">
        <v>-0.1076493</v>
      </c>
      <c r="W739">
        <v>9.0295020000000004E-2</v>
      </c>
      <c r="X739">
        <v>0.99007999999999996</v>
      </c>
      <c r="Y739">
        <v>0.1038394</v>
      </c>
      <c r="Z739">
        <v>-3.6723769999999999E-4</v>
      </c>
      <c r="AA739">
        <v>0.99459399999999998</v>
      </c>
      <c r="AB739">
        <v>22</v>
      </c>
      <c r="AC739">
        <v>223.69560000000001</v>
      </c>
      <c r="AD739">
        <v>0.789770999999999</v>
      </c>
      <c r="AE739">
        <v>-23.724900000000002</v>
      </c>
      <c r="AF739">
        <v>23.371750464193401</v>
      </c>
      <c r="AG739">
        <v>0.789770999999999</v>
      </c>
      <c r="AH739">
        <v>223.729984951077</v>
      </c>
      <c r="AI739">
        <v>89.798840290053505</v>
      </c>
      <c r="AJ739">
        <v>84.036278985330696</v>
      </c>
      <c r="AK739">
        <v>224.94881334250701</v>
      </c>
      <c r="AL739">
        <v>84.819420322410096</v>
      </c>
      <c r="AM739">
        <v>96.205272884966803</v>
      </c>
      <c r="AN739">
        <v>0.99999998441364502</v>
      </c>
    </row>
    <row r="740" spans="1:40" x14ac:dyDescent="0.25">
      <c r="A740" t="str">
        <f>"20190304154739338"</f>
        <v>20190304154739338</v>
      </c>
      <c r="B740" t="str">
        <f>"1551685659327181"</f>
        <v>1551685659327181</v>
      </c>
      <c r="C740" t="s">
        <v>40</v>
      </c>
      <c r="D740">
        <v>4.3992930000000001</v>
      </c>
      <c r="E740">
        <v>0.58054159999999999</v>
      </c>
      <c r="F740" t="s">
        <v>47</v>
      </c>
      <c r="G740">
        <v>-168.02959999999999</v>
      </c>
      <c r="H740">
        <v>1.482278</v>
      </c>
      <c r="I740">
        <v>342.64389999999997</v>
      </c>
      <c r="J740">
        <v>-391.30619999999999</v>
      </c>
      <c r="K740">
        <v>1.1101840000000001</v>
      </c>
      <c r="L740">
        <v>366.36860000000001</v>
      </c>
      <c r="M740">
        <v>0.99994700000000003</v>
      </c>
      <c r="N740">
        <v>-1.0178660000000001E-2</v>
      </c>
      <c r="O740">
        <v>-1.57711299999999E-3</v>
      </c>
      <c r="P740">
        <v>0.99120280000000005</v>
      </c>
      <c r="Q740">
        <v>8.0199160000000005E-2</v>
      </c>
      <c r="R740">
        <v>0.10528659999999999</v>
      </c>
      <c r="S740">
        <v>3.0613100000000002</v>
      </c>
      <c r="T740">
        <v>5.098343E-3</v>
      </c>
      <c r="U740">
        <v>-0.32504270000000002</v>
      </c>
      <c r="V740">
        <v>-0.10684630000000001</v>
      </c>
      <c r="W740">
        <v>9.0286950000000005E-2</v>
      </c>
      <c r="X740">
        <v>0.99016769999999998</v>
      </c>
      <c r="Y740">
        <v>0.1040165</v>
      </c>
      <c r="Z740">
        <v>-4.63125E-4</v>
      </c>
      <c r="AA740">
        <v>0.9945754</v>
      </c>
      <c r="AB740">
        <v>22</v>
      </c>
      <c r="AC740">
        <v>223.2766</v>
      </c>
      <c r="AD740">
        <v>0.37209399999999898</v>
      </c>
      <c r="AE740">
        <v>-23.724699999999999</v>
      </c>
      <c r="AF740">
        <v>23.372455650374899</v>
      </c>
      <c r="AG740">
        <v>0.37209399999999898</v>
      </c>
      <c r="AH740">
        <v>223.31312748643299</v>
      </c>
      <c r="AI740">
        <v>89.905050012857899</v>
      </c>
      <c r="AJ740">
        <v>84.025048022644597</v>
      </c>
      <c r="AK740">
        <v>224.533211451771</v>
      </c>
      <c r="AL740">
        <v>84.819884518996702</v>
      </c>
      <c r="AM740">
        <v>96.158800990409702</v>
      </c>
      <c r="AN740">
        <v>0.99999996964364002</v>
      </c>
    </row>
    <row r="741" spans="1:40" x14ac:dyDescent="0.25">
      <c r="A741" t="str">
        <f>"20190304154739352"</f>
        <v>20190304154739352</v>
      </c>
      <c r="B741" t="str">
        <f>"1551685659347678"</f>
        <v>1551685659347678</v>
      </c>
      <c r="C741" t="s">
        <v>40</v>
      </c>
      <c r="D741">
        <v>4.3415520000000001</v>
      </c>
      <c r="E741">
        <v>0.58050440000000003</v>
      </c>
      <c r="F741" t="s">
        <v>47</v>
      </c>
      <c r="G741">
        <v>-168.97489999999999</v>
      </c>
      <c r="H741">
        <v>1.4428479999999999</v>
      </c>
      <c r="I741">
        <v>342.64389999999997</v>
      </c>
      <c r="J741">
        <v>-391.17140000000001</v>
      </c>
      <c r="K741">
        <v>1.1102050000000001</v>
      </c>
      <c r="L741">
        <v>366.36840000000001</v>
      </c>
      <c r="M741">
        <v>0.99994680000000002</v>
      </c>
      <c r="N741">
        <v>-1.020074E-2</v>
      </c>
      <c r="O741">
        <v>-1.5771019999999999E-3</v>
      </c>
      <c r="P741">
        <v>0.99120220000000003</v>
      </c>
      <c r="Q741">
        <v>8.0550860000000002E-2</v>
      </c>
      <c r="R741">
        <v>0.1050233</v>
      </c>
      <c r="S741">
        <v>3.0609440000000001</v>
      </c>
      <c r="T741">
        <v>4.5800210000000001E-3</v>
      </c>
      <c r="U741">
        <v>-0.32662960000000002</v>
      </c>
      <c r="V741">
        <v>-0.10658289999999999</v>
      </c>
      <c r="W741">
        <v>9.0660199999999996E-2</v>
      </c>
      <c r="X741">
        <v>0.99016199999999999</v>
      </c>
      <c r="Y741">
        <v>0.1045388</v>
      </c>
      <c r="Z741">
        <v>-4.7511549999999997E-4</v>
      </c>
      <c r="AA741">
        <v>0.99452070000000004</v>
      </c>
      <c r="AB741">
        <v>22</v>
      </c>
      <c r="AC741">
        <v>222.19649999999999</v>
      </c>
      <c r="AD741">
        <v>0.33264299999999902</v>
      </c>
      <c r="AE741">
        <v>-23.724499999999999</v>
      </c>
      <c r="AF741">
        <v>23.3739739446955</v>
      </c>
      <c r="AG741">
        <v>0.33264299999999902</v>
      </c>
      <c r="AH741">
        <v>222.23314908567801</v>
      </c>
      <c r="AI741">
        <v>89.914709062002601</v>
      </c>
      <c r="AJ741">
        <v>83.995836176030707</v>
      </c>
      <c r="AK741">
        <v>223.45922639682999</v>
      </c>
      <c r="AL741">
        <v>84.798410888801101</v>
      </c>
      <c r="AM741">
        <v>96.143769521822904</v>
      </c>
      <c r="AN741">
        <v>0.99999998634022402</v>
      </c>
    </row>
    <row r="742" spans="1:40" x14ac:dyDescent="0.25">
      <c r="A742" t="str">
        <f>"20190304154739363"</f>
        <v>20190304154739363</v>
      </c>
      <c r="B742" t="str">
        <f>"1551685659357438"</f>
        <v>1551685659357438</v>
      </c>
      <c r="C742" t="s">
        <v>40</v>
      </c>
      <c r="D742">
        <v>4.8840820000000003</v>
      </c>
      <c r="E742">
        <v>0.58050440000000003</v>
      </c>
      <c r="F742" t="s">
        <v>47</v>
      </c>
      <c r="G742">
        <v>-168.98249999999999</v>
      </c>
      <c r="H742">
        <v>1.4401409999999999</v>
      </c>
      <c r="I742">
        <v>342.62540000000001</v>
      </c>
      <c r="J742">
        <v>-391.0523</v>
      </c>
      <c r="K742">
        <v>1.1102209999999999</v>
      </c>
      <c r="L742">
        <v>366.3682</v>
      </c>
      <c r="M742">
        <v>0.99994660000000002</v>
      </c>
      <c r="N742">
        <v>-1.0218329999999999E-2</v>
      </c>
      <c r="O742">
        <v>-1.576832E-3</v>
      </c>
      <c r="P742">
        <v>0.99118139999999999</v>
      </c>
      <c r="Q742">
        <v>8.1097130000000003E-2</v>
      </c>
      <c r="R742">
        <v>0.1048004</v>
      </c>
      <c r="S742">
        <v>3.0609130000000002</v>
      </c>
      <c r="T742">
        <v>4.5453309999999997E-3</v>
      </c>
      <c r="U742">
        <v>-0.32708739999999997</v>
      </c>
      <c r="V742">
        <v>-0.1063598</v>
      </c>
      <c r="W742">
        <v>9.1223869999999999E-2</v>
      </c>
      <c r="X742">
        <v>0.99013419999999996</v>
      </c>
      <c r="Y742">
        <v>0.10468710000000001</v>
      </c>
      <c r="Z742">
        <v>-4.7728940000000002E-4</v>
      </c>
      <c r="AA742">
        <v>0.99450510000000003</v>
      </c>
      <c r="AB742">
        <v>22</v>
      </c>
      <c r="AC742">
        <v>222.06979999999999</v>
      </c>
      <c r="AD742">
        <v>0.32991999999999999</v>
      </c>
      <c r="AE742">
        <v>-23.7427999999999</v>
      </c>
      <c r="AF742">
        <v>23.392534400415901</v>
      </c>
      <c r="AG742">
        <v>0.32991999999999999</v>
      </c>
      <c r="AH742">
        <v>222.106479564431</v>
      </c>
      <c r="AI742">
        <v>89.915360269367696</v>
      </c>
      <c r="AJ742">
        <v>83.987701509023907</v>
      </c>
      <c r="AK742">
        <v>223.33519153368101</v>
      </c>
      <c r="AL742">
        <v>84.765980493291806</v>
      </c>
      <c r="AM742">
        <v>96.1311782196845</v>
      </c>
      <c r="AN742">
        <v>0.99999996776172795</v>
      </c>
    </row>
    <row r="743" spans="1:40" x14ac:dyDescent="0.25">
      <c r="A743" t="str">
        <f>"20190304154739375"</f>
        <v>20190304154739375</v>
      </c>
      <c r="B743" t="str">
        <f>"1551685659367198"</f>
        <v>1551685659367198</v>
      </c>
      <c r="C743" t="s">
        <v>40</v>
      </c>
      <c r="D743">
        <v>4.3659860000000004</v>
      </c>
      <c r="E743">
        <v>0.5794262</v>
      </c>
      <c r="F743" t="s">
        <v>47</v>
      </c>
      <c r="G743">
        <v>-168.98249999999999</v>
      </c>
      <c r="H743">
        <v>1.562559</v>
      </c>
      <c r="I743">
        <v>342.59070000000003</v>
      </c>
      <c r="J743">
        <v>-390.93669999999997</v>
      </c>
      <c r="K743">
        <v>1.1102379999999901</v>
      </c>
      <c r="L743">
        <v>366.36799999999999</v>
      </c>
      <c r="M743">
        <v>0.99994649999999996</v>
      </c>
      <c r="N743">
        <v>-1.023483E-2</v>
      </c>
      <c r="O743">
        <v>-1.576437E-3</v>
      </c>
      <c r="P743">
        <v>0.99115909999999996</v>
      </c>
      <c r="Q743">
        <v>8.1152450000000001E-2</v>
      </c>
      <c r="R743">
        <v>0.1049659</v>
      </c>
      <c r="S743">
        <v>3.0608219999999999</v>
      </c>
      <c r="T743">
        <v>6.2347649999999998E-3</v>
      </c>
      <c r="U743">
        <v>-0.32772829999999997</v>
      </c>
      <c r="V743">
        <v>-0.1065243</v>
      </c>
      <c r="W743">
        <v>9.1295559999999998E-2</v>
      </c>
      <c r="X743">
        <v>0.99010989999999999</v>
      </c>
      <c r="Y743">
        <v>0.1048968</v>
      </c>
      <c r="Z743">
        <v>-4.5110259999999998E-4</v>
      </c>
      <c r="AA743">
        <v>0.99448300000000001</v>
      </c>
      <c r="AB743">
        <v>22</v>
      </c>
      <c r="AC743">
        <v>221.95419999999999</v>
      </c>
      <c r="AD743">
        <v>0.45232099999999997</v>
      </c>
      <c r="AE743">
        <v>-23.7773</v>
      </c>
      <c r="AF743">
        <v>23.427259162360301</v>
      </c>
      <c r="AG743">
        <v>0.45232099999999997</v>
      </c>
      <c r="AH743">
        <v>221.99049807371401</v>
      </c>
      <c r="AI743">
        <v>89.8839007619504</v>
      </c>
      <c r="AJ743">
        <v>83.975719446801094</v>
      </c>
      <c r="AK743">
        <v>223.22370461302501</v>
      </c>
      <c r="AL743">
        <v>84.761855705495293</v>
      </c>
      <c r="AM743">
        <v>96.140738090688501</v>
      </c>
      <c r="AN743">
        <v>0.999999959922106</v>
      </c>
    </row>
    <row r="744" spans="1:40" x14ac:dyDescent="0.25">
      <c r="A744" t="str">
        <f>"20190304154739386"</f>
        <v>20190304154739386</v>
      </c>
      <c r="B744" t="str">
        <f>"1551685659377934"</f>
        <v>1551685659377934</v>
      </c>
      <c r="C744" t="s">
        <v>40</v>
      </c>
      <c r="D744">
        <v>4.3583610000000004</v>
      </c>
      <c r="E744">
        <v>0.57802869999999995</v>
      </c>
      <c r="F744" t="s">
        <v>47</v>
      </c>
      <c r="G744">
        <v>-162.62799999999999</v>
      </c>
      <c r="H744">
        <v>2.2311800000000002</v>
      </c>
      <c r="I744">
        <v>342.61559999999997</v>
      </c>
      <c r="J744">
        <v>-390.8186</v>
      </c>
      <c r="K744">
        <v>1.1102510000000001</v>
      </c>
      <c r="L744">
        <v>366.36790000000002</v>
      </c>
      <c r="M744">
        <v>0.99994620000000001</v>
      </c>
      <c r="N744">
        <v>-1.0250479999999999E-2</v>
      </c>
      <c r="O744">
        <v>-1.5757989999999999E-3</v>
      </c>
      <c r="P744">
        <v>0.99109460000000005</v>
      </c>
      <c r="Q744">
        <v>8.1412970000000001E-2</v>
      </c>
      <c r="R744">
        <v>0.1053728</v>
      </c>
      <c r="S744">
        <v>3.0592039999999998</v>
      </c>
      <c r="T744">
        <v>1.502001E-2</v>
      </c>
      <c r="U744">
        <v>-0.31826779999999999</v>
      </c>
      <c r="V744">
        <v>-0.106931</v>
      </c>
      <c r="W744">
        <v>9.1570499999999999E-2</v>
      </c>
      <c r="X744">
        <v>0.9900407</v>
      </c>
      <c r="Y744">
        <v>0.1019116</v>
      </c>
      <c r="Z744">
        <v>-2.9805609999999997E-4</v>
      </c>
      <c r="AA744">
        <v>0.99479340000000005</v>
      </c>
      <c r="AB744">
        <v>22</v>
      </c>
      <c r="AC744">
        <v>228.19059999999999</v>
      </c>
      <c r="AD744">
        <v>1.1209289999999901</v>
      </c>
      <c r="AE744">
        <v>-23.752300000000002</v>
      </c>
      <c r="AF744">
        <v>23.392110681469401</v>
      </c>
      <c r="AG744">
        <v>1.1209289999999901</v>
      </c>
      <c r="AH744">
        <v>228.22229945351299</v>
      </c>
      <c r="AI744">
        <v>89.720056857703497</v>
      </c>
      <c r="AJ744">
        <v>84.147788712800605</v>
      </c>
      <c r="AK744">
        <v>229.42071678862499</v>
      </c>
      <c r="AL744">
        <v>84.746036706385595</v>
      </c>
      <c r="AM744">
        <v>96.164430246650994</v>
      </c>
      <c r="AN744">
        <v>0.99999999144386997</v>
      </c>
    </row>
    <row r="745" spans="1:40" x14ac:dyDescent="0.25">
      <c r="A745" t="str">
        <f>"20190304154739398"</f>
        <v>20190304154739398</v>
      </c>
      <c r="B745" t="str">
        <f>"1551685659387694"</f>
        <v>1551685659387694</v>
      </c>
      <c r="C745" t="s">
        <v>40</v>
      </c>
      <c r="D745">
        <v>4.3585250000000002</v>
      </c>
      <c r="E745">
        <v>0.57675900000000002</v>
      </c>
      <c r="F745" t="s">
        <v>47</v>
      </c>
      <c r="G745">
        <v>-153.88030000000001</v>
      </c>
      <c r="H745">
        <v>2.3152469999999998</v>
      </c>
      <c r="I745">
        <v>342.64400000000001</v>
      </c>
      <c r="J745">
        <v>-390.7045</v>
      </c>
      <c r="K745">
        <v>1.110268</v>
      </c>
      <c r="L745">
        <v>366.36759999999998</v>
      </c>
      <c r="M745">
        <v>0.999946</v>
      </c>
      <c r="N745">
        <v>-1.0264560000000001E-2</v>
      </c>
      <c r="O745">
        <v>-1.575512E-3</v>
      </c>
      <c r="P745">
        <v>0.9910814</v>
      </c>
      <c r="Q745">
        <v>8.1469410000000006E-2</v>
      </c>
      <c r="R745">
        <v>0.1054532</v>
      </c>
      <c r="S745">
        <v>3.0582579999999999</v>
      </c>
      <c r="T745">
        <v>1.555347E-2</v>
      </c>
      <c r="U745">
        <v>-0.30621340000000002</v>
      </c>
      <c r="V745">
        <v>-0.107011</v>
      </c>
      <c r="W745">
        <v>9.1640769999999996E-2</v>
      </c>
      <c r="X745">
        <v>0.99002559999999995</v>
      </c>
      <c r="Y745">
        <v>9.8062170000000004E-2</v>
      </c>
      <c r="Z745">
        <v>-2.799368E-4</v>
      </c>
      <c r="AA745">
        <v>0.99518019999999996</v>
      </c>
      <c r="AB745">
        <v>22</v>
      </c>
      <c r="AC745">
        <v>236.82419999999999</v>
      </c>
      <c r="AD745">
        <v>1.204979</v>
      </c>
      <c r="AE745">
        <v>-23.723599999999902</v>
      </c>
      <c r="AF745">
        <v>23.3498330113656</v>
      </c>
      <c r="AG745">
        <v>1.204979</v>
      </c>
      <c r="AH745">
        <v>236.85521392573199</v>
      </c>
      <c r="AI745">
        <v>89.709921672834</v>
      </c>
      <c r="AJ745">
        <v>84.369817828627305</v>
      </c>
      <c r="AK745">
        <v>238.00642646755</v>
      </c>
      <c r="AL745">
        <v>84.741993770745395</v>
      </c>
      <c r="AM745">
        <v>96.169099958233403</v>
      </c>
      <c r="AN745">
        <v>1.00000003675127</v>
      </c>
    </row>
    <row r="746" spans="1:40" x14ac:dyDescent="0.25">
      <c r="A746" t="str">
        <f>"20190304154739409"</f>
        <v>20190304154739409</v>
      </c>
      <c r="B746" t="str">
        <f>"1551685659397455"</f>
        <v>1551685659397455</v>
      </c>
      <c r="C746" t="s">
        <v>40</v>
      </c>
      <c r="D746">
        <v>4.39208</v>
      </c>
      <c r="E746">
        <v>0.57523440000000003</v>
      </c>
      <c r="F746" t="s">
        <v>47</v>
      </c>
      <c r="G746">
        <v>-143.63069999999999</v>
      </c>
      <c r="H746">
        <v>2.3757519999999999</v>
      </c>
      <c r="I746">
        <v>342.48099999999999</v>
      </c>
      <c r="J746">
        <v>-390.59010000000001</v>
      </c>
      <c r="K746">
        <v>1.1102799999999999</v>
      </c>
      <c r="L746">
        <v>366.36750000000001</v>
      </c>
      <c r="M746">
        <v>0.99994590000000005</v>
      </c>
      <c r="N746">
        <v>-1.0278020000000001E-2</v>
      </c>
      <c r="O746">
        <v>-1.575222E-3</v>
      </c>
      <c r="P746">
        <v>0.99100370000000004</v>
      </c>
      <c r="Q746">
        <v>8.1564780000000003E-2</v>
      </c>
      <c r="R746">
        <v>0.1061071</v>
      </c>
      <c r="S746">
        <v>3.0571899999999999</v>
      </c>
      <c r="T746">
        <v>1.5658620000000002E-2</v>
      </c>
      <c r="U746">
        <v>-0.29556270000000001</v>
      </c>
      <c r="V746">
        <v>-0.1076642</v>
      </c>
      <c r="W746">
        <v>9.1749029999999995E-2</v>
      </c>
      <c r="X746">
        <v>0.98994470000000001</v>
      </c>
      <c r="Y746">
        <v>9.4662560000000007E-2</v>
      </c>
      <c r="Z746">
        <v>-2.6995460000000003E-4</v>
      </c>
      <c r="AA746">
        <v>0.99550939999999999</v>
      </c>
      <c r="AB746">
        <v>22</v>
      </c>
      <c r="AC746">
        <v>246.95939999999999</v>
      </c>
      <c r="AD746">
        <v>1.2654719999999999</v>
      </c>
      <c r="AE746">
        <v>-23.886500000000002</v>
      </c>
      <c r="AF746">
        <v>23.496822667330399</v>
      </c>
      <c r="AG746">
        <v>1.2654719999999999</v>
      </c>
      <c r="AH746">
        <v>246.99029685669601</v>
      </c>
      <c r="AI746">
        <v>89.707763049925106</v>
      </c>
      <c r="AJ746">
        <v>84.565659610776095</v>
      </c>
      <c r="AK746">
        <v>248.10866336385999</v>
      </c>
      <c r="AL746">
        <v>84.735764423786804</v>
      </c>
      <c r="AM746">
        <v>96.206966667449805</v>
      </c>
      <c r="AN746">
        <v>0.99999998676283497</v>
      </c>
    </row>
    <row r="747" spans="1:40" x14ac:dyDescent="0.25">
      <c r="A747" t="str">
        <f>"20190304154739420"</f>
        <v>20190304154739420</v>
      </c>
      <c r="B747" t="str">
        <f>"1551685659417950"</f>
        <v>1551685659417950</v>
      </c>
      <c r="C747" t="s">
        <v>40</v>
      </c>
      <c r="D747">
        <v>4.3319900000000002</v>
      </c>
      <c r="E747">
        <v>0.5730923</v>
      </c>
      <c r="F747" t="s">
        <v>42</v>
      </c>
      <c r="G747">
        <v>0</v>
      </c>
      <c r="H747">
        <v>0</v>
      </c>
      <c r="I747">
        <v>0</v>
      </c>
      <c r="J747">
        <v>-390.47989999999999</v>
      </c>
      <c r="K747">
        <v>1.11029</v>
      </c>
      <c r="L747">
        <v>366.3673</v>
      </c>
      <c r="M747">
        <v>0.99994590000000005</v>
      </c>
      <c r="N747">
        <v>-1.028988E-2</v>
      </c>
      <c r="O747">
        <v>-1.5750429999999999E-3</v>
      </c>
      <c r="P747">
        <v>0.99094199999999999</v>
      </c>
      <c r="Q747">
        <v>8.1821130000000006E-2</v>
      </c>
      <c r="R747">
        <v>0.1064876</v>
      </c>
      <c r="S747">
        <v>3.056244</v>
      </c>
      <c r="T747">
        <v>1.371086E-2</v>
      </c>
      <c r="U747">
        <v>-0.28164670000000003</v>
      </c>
      <c r="V747">
        <v>-0.1080448</v>
      </c>
      <c r="W747">
        <v>9.2016349999999997E-2</v>
      </c>
      <c r="X747">
        <v>0.98987840000000005</v>
      </c>
      <c r="Y747">
        <v>9.0198440000000005E-2</v>
      </c>
      <c r="Z747">
        <v>-2.8638550000000001E-4</v>
      </c>
      <c r="AA747">
        <v>0.99592380000000003</v>
      </c>
      <c r="AB747">
        <v>22</v>
      </c>
      <c r="AC747">
        <v>3.056244</v>
      </c>
      <c r="AD747">
        <v>1.371086E-2</v>
      </c>
      <c r="AE747">
        <v>-0.28164670000000003</v>
      </c>
      <c r="AF747">
        <v>0.27682685598277001</v>
      </c>
      <c r="AG747">
        <v>1.371086E-2</v>
      </c>
      <c r="AH747">
        <v>3.05662283882948</v>
      </c>
      <c r="AI747">
        <v>89.744041971837106</v>
      </c>
      <c r="AJ747">
        <v>84.825054246664905</v>
      </c>
      <c r="AK747">
        <v>3.0691634486826</v>
      </c>
      <c r="AL747">
        <v>84.720382946115095</v>
      </c>
      <c r="AM747">
        <v>96.229150439463297</v>
      </c>
      <c r="AN747">
        <v>0.99999996713046002</v>
      </c>
    </row>
    <row r="748" spans="1:40" x14ac:dyDescent="0.25">
      <c r="A748" t="str">
        <f>"20190304154739438"</f>
        <v>20190304154739438</v>
      </c>
      <c r="B748" t="str">
        <f>"1551685659427710"</f>
        <v>1551685659427710</v>
      </c>
      <c r="C748" t="s">
        <v>40</v>
      </c>
      <c r="D748">
        <v>4.2975770000000004</v>
      </c>
      <c r="E748">
        <v>0.57204919999999904</v>
      </c>
      <c r="F748" t="s">
        <v>42</v>
      </c>
      <c r="G748">
        <v>0</v>
      </c>
      <c r="H748">
        <v>0</v>
      </c>
      <c r="I748">
        <v>0</v>
      </c>
      <c r="J748">
        <v>-390.30849999999998</v>
      </c>
      <c r="K748">
        <v>1.110311</v>
      </c>
      <c r="L748">
        <v>366.36709999999999</v>
      </c>
      <c r="M748">
        <v>0.99994570000000005</v>
      </c>
      <c r="N748">
        <v>-1.030739E-2</v>
      </c>
      <c r="O748">
        <v>-1.574534E-3</v>
      </c>
      <c r="P748">
        <v>0.99081960000000002</v>
      </c>
      <c r="Q748">
        <v>8.2538680000000003E-2</v>
      </c>
      <c r="R748">
        <v>0.1070702</v>
      </c>
      <c r="S748">
        <v>3.0545650000000002</v>
      </c>
      <c r="T748">
        <v>1.401377E-2</v>
      </c>
      <c r="U748">
        <v>-0.26361079999999998</v>
      </c>
      <c r="V748">
        <v>-0.108626399999999</v>
      </c>
      <c r="W748">
        <v>9.2749440000000002E-2</v>
      </c>
      <c r="X748">
        <v>0.98974629999999997</v>
      </c>
      <c r="Y748">
        <v>8.4413390000000005E-2</v>
      </c>
      <c r="Z748">
        <v>-2.6599019999999998E-4</v>
      </c>
      <c r="AA748">
        <v>0.99643079999999995</v>
      </c>
      <c r="AB748">
        <v>22</v>
      </c>
      <c r="AC748">
        <v>3.0545650000000002</v>
      </c>
      <c r="AD748">
        <v>1.401377E-2</v>
      </c>
      <c r="AE748">
        <v>-0.26361079999999998</v>
      </c>
      <c r="AF748">
        <v>0.25879529468377199</v>
      </c>
      <c r="AG748">
        <v>1.401377E-2</v>
      </c>
      <c r="AH748">
        <v>3.0549124749099601</v>
      </c>
      <c r="AI748">
        <v>89.738107524805102</v>
      </c>
      <c r="AJ748">
        <v>85.157779720408001</v>
      </c>
      <c r="AK748">
        <v>3.0658867591058501</v>
      </c>
      <c r="AL748">
        <v>84.67819947257</v>
      </c>
      <c r="AM748">
        <v>96.263245141216302</v>
      </c>
      <c r="AN748">
        <v>0.99999994588048002</v>
      </c>
    </row>
    <row r="749" spans="1:40" x14ac:dyDescent="0.25">
      <c r="A749" t="str">
        <f>"20190304154739449"</f>
        <v>20190304154739449</v>
      </c>
      <c r="B749" t="str">
        <f>"1551685659437470"</f>
        <v>1551685659437470</v>
      </c>
      <c r="C749" t="s">
        <v>40</v>
      </c>
      <c r="D749">
        <v>4.332236</v>
      </c>
      <c r="E749">
        <v>0.57111809999999996</v>
      </c>
      <c r="F749" t="s">
        <v>42</v>
      </c>
      <c r="G749">
        <v>0</v>
      </c>
      <c r="H749">
        <v>0</v>
      </c>
      <c r="I749">
        <v>0</v>
      </c>
      <c r="J749">
        <v>-390.19450000000001</v>
      </c>
      <c r="K749">
        <v>1.11032</v>
      </c>
      <c r="L749">
        <v>366.36689999999999</v>
      </c>
      <c r="M749">
        <v>0.99994550000000004</v>
      </c>
      <c r="N749">
        <v>-1.0318290000000001E-2</v>
      </c>
      <c r="O749">
        <v>-1.5741119999999999E-3</v>
      </c>
      <c r="P749">
        <v>0.99075069999999998</v>
      </c>
      <c r="Q749">
        <v>8.3198530000000007E-2</v>
      </c>
      <c r="R749">
        <v>0.1071965</v>
      </c>
      <c r="S749">
        <v>3.0538940000000001</v>
      </c>
      <c r="T749">
        <v>1.5370730000000001E-2</v>
      </c>
      <c r="U749">
        <v>-0.25357059999999998</v>
      </c>
      <c r="V749">
        <v>-0.10875269999999999</v>
      </c>
      <c r="W749">
        <v>9.3419329999999995E-2</v>
      </c>
      <c r="X749">
        <v>0.98966949999999998</v>
      </c>
      <c r="Y749">
        <v>8.1179479999999998E-2</v>
      </c>
      <c r="Z749">
        <v>-2.3972579999999999E-4</v>
      </c>
      <c r="AA749">
        <v>0.99669949999999996</v>
      </c>
      <c r="AB749">
        <v>22</v>
      </c>
      <c r="AC749">
        <v>3.0538940000000001</v>
      </c>
      <c r="AD749">
        <v>1.5370730000000001E-2</v>
      </c>
      <c r="AE749">
        <v>-0.25357059999999998</v>
      </c>
      <c r="AF749">
        <v>0.248756600051219</v>
      </c>
      <c r="AG749">
        <v>1.5370730000000001E-2</v>
      </c>
      <c r="AH749">
        <v>3.0542125442577701</v>
      </c>
      <c r="AI749">
        <v>89.712605461022093</v>
      </c>
      <c r="AJ749">
        <v>85.343705695650101</v>
      </c>
      <c r="AK749">
        <v>3.06436459497092</v>
      </c>
      <c r="AL749">
        <v>84.639650626795301</v>
      </c>
      <c r="AM749">
        <v>96.270952168446399</v>
      </c>
      <c r="AN749">
        <v>1.00000002010259</v>
      </c>
    </row>
    <row r="750" spans="1:40" x14ac:dyDescent="0.25">
      <c r="A750" t="str">
        <f>"20190304154739459"</f>
        <v>20190304154739459</v>
      </c>
      <c r="B750" t="str">
        <f>"1551685659447230"</f>
        <v>1551685659447230</v>
      </c>
      <c r="C750" t="s">
        <v>40</v>
      </c>
      <c r="D750">
        <v>4.3047259999999996</v>
      </c>
      <c r="E750">
        <v>0.57023990000000002</v>
      </c>
      <c r="F750" t="s">
        <v>42</v>
      </c>
      <c r="G750">
        <v>0</v>
      </c>
      <c r="H750">
        <v>0</v>
      </c>
      <c r="I750">
        <v>0</v>
      </c>
      <c r="J750">
        <v>-390.08949999999999</v>
      </c>
      <c r="K750">
        <v>1.1103270000000001</v>
      </c>
      <c r="L750">
        <v>366.36669999999998</v>
      </c>
      <c r="M750">
        <v>0.99994559999999999</v>
      </c>
      <c r="N750">
        <v>-1.0327609999999999E-2</v>
      </c>
      <c r="O750">
        <v>-1.5740400000000001E-3</v>
      </c>
      <c r="P750">
        <v>0.99071819999999999</v>
      </c>
      <c r="Q750">
        <v>8.3396849999999995E-2</v>
      </c>
      <c r="R750">
        <v>0.10734299999999999</v>
      </c>
      <c r="S750">
        <v>3.0531619999999999</v>
      </c>
      <c r="T750">
        <v>1.6974929999999999E-2</v>
      </c>
      <c r="U750">
        <v>-0.2453613</v>
      </c>
      <c r="V750">
        <v>-0.1088982</v>
      </c>
      <c r="W750">
        <v>9.3626799999999996E-2</v>
      </c>
      <c r="X750">
        <v>0.98963389999999996</v>
      </c>
      <c r="Y750">
        <v>7.853686E-2</v>
      </c>
      <c r="Z750">
        <v>-2.132061E-4</v>
      </c>
      <c r="AA750">
        <v>0.9969112</v>
      </c>
      <c r="AB750">
        <v>22</v>
      </c>
      <c r="AC750">
        <v>3.0531619999999999</v>
      </c>
      <c r="AD750">
        <v>1.6974929999999999E-2</v>
      </c>
      <c r="AE750">
        <v>-0.2453613</v>
      </c>
      <c r="AF750">
        <v>0.24054755349582099</v>
      </c>
      <c r="AG750">
        <v>1.6974929999999999E-2</v>
      </c>
      <c r="AH750">
        <v>3.0534506661055301</v>
      </c>
      <c r="AI750">
        <v>89.682464859925702</v>
      </c>
      <c r="AJ750">
        <v>85.495603126347902</v>
      </c>
      <c r="AK750">
        <v>3.0629580872224902</v>
      </c>
      <c r="AL750">
        <v>84.627711173119295</v>
      </c>
      <c r="AM750">
        <v>96.279499166494006</v>
      </c>
      <c r="AN750">
        <v>1.0000000258353401</v>
      </c>
    </row>
    <row r="751" spans="1:40" x14ac:dyDescent="0.25">
      <c r="A751" t="str">
        <f>"20190304154739470"</f>
        <v>20190304154739470</v>
      </c>
      <c r="B751" t="str">
        <f>"1551685659467727"</f>
        <v>1551685659467727</v>
      </c>
      <c r="C751" t="s">
        <v>40</v>
      </c>
      <c r="D751">
        <v>4.2794189999999999</v>
      </c>
      <c r="E751">
        <v>0.56858719999999996</v>
      </c>
      <c r="F751" t="s">
        <v>42</v>
      </c>
      <c r="G751">
        <v>0</v>
      </c>
      <c r="H751">
        <v>0</v>
      </c>
      <c r="I751">
        <v>0</v>
      </c>
      <c r="J751">
        <v>-389.97770000000003</v>
      </c>
      <c r="K751">
        <v>1.110336</v>
      </c>
      <c r="L751">
        <v>366.36660000000001</v>
      </c>
      <c r="M751">
        <v>0.99994539999999998</v>
      </c>
      <c r="N751">
        <v>-1.0337320000000001E-2</v>
      </c>
      <c r="O751">
        <v>-1.5737310000000001E-3</v>
      </c>
      <c r="P751">
        <v>0.99066390000000004</v>
      </c>
      <c r="Q751">
        <v>8.3956840000000005E-2</v>
      </c>
      <c r="R751">
        <v>0.107408</v>
      </c>
      <c r="S751">
        <v>3.05246</v>
      </c>
      <c r="T751">
        <v>1.742148E-2</v>
      </c>
      <c r="U751">
        <v>-0.2382813</v>
      </c>
      <c r="V751">
        <v>-0.10896359999999999</v>
      </c>
      <c r="W751">
        <v>9.419553E-2</v>
      </c>
      <c r="X751">
        <v>0.98957269999999997</v>
      </c>
      <c r="Y751">
        <v>7.6257359999999996E-2</v>
      </c>
      <c r="Z751">
        <v>-2.0268470000000001E-4</v>
      </c>
      <c r="AA751">
        <v>0.99708810000000003</v>
      </c>
      <c r="AB751">
        <v>22</v>
      </c>
      <c r="AC751">
        <v>3.05246</v>
      </c>
      <c r="AD751">
        <v>1.742148E-2</v>
      </c>
      <c r="AE751">
        <v>-0.2382813</v>
      </c>
      <c r="AF751">
        <v>0.233469438668473</v>
      </c>
      <c r="AG751">
        <v>1.742148E-2</v>
      </c>
      <c r="AH751">
        <v>3.05273239316602</v>
      </c>
      <c r="AI751">
        <v>89.673977285075495</v>
      </c>
      <c r="AJ751">
        <v>85.626598561230907</v>
      </c>
      <c r="AK751">
        <v>3.0616966784844499</v>
      </c>
      <c r="AL751">
        <v>84.594980534969594</v>
      </c>
      <c r="AM751">
        <v>96.283625712456299</v>
      </c>
      <c r="AN751">
        <v>0.99999999629111502</v>
      </c>
    </row>
    <row r="752" spans="1:40" x14ac:dyDescent="0.25">
      <c r="A752" t="str">
        <f>"20190304154739482"</f>
        <v>20190304154739482</v>
      </c>
      <c r="B752" t="str">
        <f>"1551685659477487"</f>
        <v>1551685659477487</v>
      </c>
      <c r="C752" t="s">
        <v>40</v>
      </c>
      <c r="D752">
        <v>4.3036479999999999</v>
      </c>
      <c r="E752">
        <v>0.56779419999999903</v>
      </c>
      <c r="F752" t="s">
        <v>42</v>
      </c>
      <c r="G752">
        <v>0</v>
      </c>
      <c r="H752">
        <v>0</v>
      </c>
      <c r="I752">
        <v>0</v>
      </c>
      <c r="J752">
        <v>-389.86149999999998</v>
      </c>
      <c r="K752">
        <v>1.1103419999999999</v>
      </c>
      <c r="L752">
        <v>366.3664</v>
      </c>
      <c r="M752">
        <v>0.99994530000000004</v>
      </c>
      <c r="N752">
        <v>-1.034654E-2</v>
      </c>
      <c r="O752">
        <v>-1.5734200000000001E-3</v>
      </c>
      <c r="P752">
        <v>0.99060709999999996</v>
      </c>
      <c r="Q752">
        <v>8.4545019999999999E-2</v>
      </c>
      <c r="R752">
        <v>0.1074706</v>
      </c>
      <c r="S752">
        <v>3.0509949999999999</v>
      </c>
      <c r="T752">
        <v>1.8911839999999999E-2</v>
      </c>
      <c r="U752">
        <v>-0.224823</v>
      </c>
      <c r="V752">
        <v>-0.10902539999999999</v>
      </c>
      <c r="W752">
        <v>9.4792219999999996E-2</v>
      </c>
      <c r="X752">
        <v>0.98950890000000002</v>
      </c>
      <c r="Y752">
        <v>7.1920979999999995E-2</v>
      </c>
      <c r="Z752">
        <v>-1.759749E-4</v>
      </c>
      <c r="AA752">
        <v>0.99741029999999997</v>
      </c>
      <c r="AB752">
        <v>22</v>
      </c>
      <c r="AC752">
        <v>3.0509949999999999</v>
      </c>
      <c r="AD752">
        <v>1.8911839999999999E-2</v>
      </c>
      <c r="AE752">
        <v>-0.224823</v>
      </c>
      <c r="AF752">
        <v>0.220013560670623</v>
      </c>
      <c r="AG752">
        <v>1.8911839999999999E-2</v>
      </c>
      <c r="AH752">
        <v>3.05122838052023</v>
      </c>
      <c r="AI752">
        <v>89.645798766732995</v>
      </c>
      <c r="AJ752">
        <v>85.8757367954274</v>
      </c>
      <c r="AK752">
        <v>3.0592087628442801</v>
      </c>
      <c r="AL752">
        <v>84.560638980195705</v>
      </c>
      <c r="AM752">
        <v>96.287563141177898</v>
      </c>
      <c r="AN752">
        <v>0.99999998299844906</v>
      </c>
    </row>
    <row r="753" spans="1:40" x14ac:dyDescent="0.25">
      <c r="A753" t="str">
        <f>"20190304154739494"</f>
        <v>20190304154739494</v>
      </c>
      <c r="B753" t="str">
        <f>"1551685659487246"</f>
        <v>1551685659487246</v>
      </c>
      <c r="C753" t="s">
        <v>40</v>
      </c>
      <c r="D753">
        <v>4.3209229999999996</v>
      </c>
      <c r="E753">
        <v>0.56705939999999999</v>
      </c>
      <c r="F753" t="s">
        <v>42</v>
      </c>
      <c r="G753">
        <v>0</v>
      </c>
      <c r="H753">
        <v>0</v>
      </c>
      <c r="I753">
        <v>0</v>
      </c>
      <c r="J753">
        <v>-389.74590000000001</v>
      </c>
      <c r="K753">
        <v>1.1103419999999999</v>
      </c>
      <c r="L753">
        <v>366.36619999999999</v>
      </c>
      <c r="M753">
        <v>0.99994510000000003</v>
      </c>
      <c r="N753">
        <v>-1.035548E-2</v>
      </c>
      <c r="O753">
        <v>-1.5731079999999999E-3</v>
      </c>
      <c r="P753">
        <v>0.99056069999999996</v>
      </c>
      <c r="Q753">
        <v>8.5074810000000001E-2</v>
      </c>
      <c r="R753">
        <v>0.1074797</v>
      </c>
      <c r="S753">
        <v>3.0503849999999999</v>
      </c>
      <c r="T753">
        <v>2.0530820000000002E-2</v>
      </c>
      <c r="U753">
        <v>-0.21856690000000001</v>
      </c>
      <c r="V753">
        <v>-0.1090339</v>
      </c>
      <c r="W753">
        <v>9.5330509999999993E-2</v>
      </c>
      <c r="X753">
        <v>0.98945629999999996</v>
      </c>
      <c r="Y753">
        <v>6.9900859999999995E-2</v>
      </c>
      <c r="Z753">
        <v>-1.5431040000000001E-4</v>
      </c>
      <c r="AA753">
        <v>0.99755389999999999</v>
      </c>
      <c r="AB753">
        <v>23</v>
      </c>
      <c r="AC753">
        <v>3.0503849999999999</v>
      </c>
      <c r="AD753">
        <v>2.0530820000000002E-2</v>
      </c>
      <c r="AE753">
        <v>-0.21856690000000001</v>
      </c>
      <c r="AF753">
        <v>0.21375815306885701</v>
      </c>
      <c r="AG753">
        <v>2.0530820000000002E-2</v>
      </c>
      <c r="AH753">
        <v>3.05058758567032</v>
      </c>
      <c r="AI753">
        <v>89.6153415050712</v>
      </c>
      <c r="AJ753">
        <v>85.991770871624496</v>
      </c>
      <c r="AK753">
        <v>3.05813647184346</v>
      </c>
      <c r="AL753">
        <v>84.529657206622602</v>
      </c>
      <c r="AM753">
        <v>96.288381013040805</v>
      </c>
      <c r="AN753">
        <v>1.00000003354787</v>
      </c>
    </row>
    <row r="754" spans="1:40" x14ac:dyDescent="0.25">
      <c r="A754" t="str">
        <f>"20190304154739505"</f>
        <v>20190304154739505</v>
      </c>
      <c r="B754" t="str">
        <f>"1551685659497983"</f>
        <v>1551685659497983</v>
      </c>
      <c r="C754" t="s">
        <v>40</v>
      </c>
      <c r="D754">
        <v>4.2521769999999997</v>
      </c>
      <c r="E754">
        <v>0.56632890000000002</v>
      </c>
      <c r="F754" t="s">
        <v>42</v>
      </c>
      <c r="G754">
        <v>0</v>
      </c>
      <c r="H754">
        <v>0</v>
      </c>
      <c r="I754">
        <v>0</v>
      </c>
      <c r="J754">
        <v>-389.6182</v>
      </c>
      <c r="K754">
        <v>1.110349</v>
      </c>
      <c r="L754">
        <v>366.36599999999999</v>
      </c>
      <c r="M754">
        <v>0.99994499999999997</v>
      </c>
      <c r="N754">
        <v>-1.036463E-2</v>
      </c>
      <c r="O754">
        <v>-1.5730360000000001E-3</v>
      </c>
      <c r="P754">
        <v>0.99052249999999997</v>
      </c>
      <c r="Q754">
        <v>8.5395299999999993E-2</v>
      </c>
      <c r="R754">
        <v>0.1075757</v>
      </c>
      <c r="S754">
        <v>3.049744</v>
      </c>
      <c r="T754">
        <v>2.1926999999999999E-2</v>
      </c>
      <c r="U754">
        <v>-0.21231079999999999</v>
      </c>
      <c r="V754">
        <v>-0.10913050000000001</v>
      </c>
      <c r="W754">
        <v>9.5659930000000004E-2</v>
      </c>
      <c r="X754">
        <v>0.98941380000000001</v>
      </c>
      <c r="Y754">
        <v>6.7879480000000006E-2</v>
      </c>
      <c r="Z754">
        <v>-1.3606450000000001E-4</v>
      </c>
      <c r="AA754">
        <v>0.99769350000000001</v>
      </c>
      <c r="AB754">
        <v>23</v>
      </c>
      <c r="AC754">
        <v>3.049744</v>
      </c>
      <c r="AD754">
        <v>2.1926999999999999E-2</v>
      </c>
      <c r="AE754">
        <v>-0.21231079999999999</v>
      </c>
      <c r="AF754">
        <v>0.207502247582315</v>
      </c>
      <c r="AG754">
        <v>2.1926999999999999E-2</v>
      </c>
      <c r="AH754">
        <v>3.0499173179152201</v>
      </c>
      <c r="AI754">
        <v>89.589036245146602</v>
      </c>
      <c r="AJ754">
        <v>86.107858481622301</v>
      </c>
      <c r="AK754">
        <v>3.0570465521806902</v>
      </c>
      <c r="AL754">
        <v>84.510695871250803</v>
      </c>
      <c r="AM754">
        <v>96.294175778129897</v>
      </c>
      <c r="AN754">
        <v>0.99999997793414697</v>
      </c>
    </row>
    <row r="755" spans="1:40" x14ac:dyDescent="0.25">
      <c r="A755" t="str">
        <f>"20190304154739518"</f>
        <v>20190304154739518</v>
      </c>
      <c r="B755" t="str">
        <f>"1551685659507742"</f>
        <v>1551685659507742</v>
      </c>
      <c r="C755" t="s">
        <v>40</v>
      </c>
      <c r="D755">
        <v>4.2812609999999998</v>
      </c>
      <c r="E755">
        <v>0.56560619999999995</v>
      </c>
      <c r="F755" t="s">
        <v>42</v>
      </c>
      <c r="G755">
        <v>0</v>
      </c>
      <c r="H755">
        <v>0</v>
      </c>
      <c r="I755">
        <v>0</v>
      </c>
      <c r="J755">
        <v>-389.5009</v>
      </c>
      <c r="K755">
        <v>1.110357</v>
      </c>
      <c r="L755">
        <v>366.36579999999998</v>
      </c>
      <c r="M755">
        <v>0.99994519999999998</v>
      </c>
      <c r="N755">
        <v>-1.0372640000000001E-2</v>
      </c>
      <c r="O755">
        <v>-1.573196E-3</v>
      </c>
      <c r="P755">
        <v>0.99050919999999998</v>
      </c>
      <c r="Q755">
        <v>8.5619410000000007E-2</v>
      </c>
      <c r="R755">
        <v>0.10752200000000001</v>
      </c>
      <c r="S755">
        <v>3.0491640000000002</v>
      </c>
      <c r="T755">
        <v>2.2664790000000001E-2</v>
      </c>
      <c r="U755">
        <v>-0.206543</v>
      </c>
      <c r="V755">
        <v>-0.1090766</v>
      </c>
      <c r="W755">
        <v>9.5891550000000006E-2</v>
      </c>
      <c r="X755">
        <v>0.98939730000000004</v>
      </c>
      <c r="Y755">
        <v>6.6013929999999998E-2</v>
      </c>
      <c r="Z755">
        <v>-1.2568750000000001E-4</v>
      </c>
      <c r="AA755">
        <v>0.99781869999999995</v>
      </c>
      <c r="AB755">
        <v>23</v>
      </c>
      <c r="AC755">
        <v>3.0491640000000002</v>
      </c>
      <c r="AD755">
        <v>2.2664790000000001E-2</v>
      </c>
      <c r="AE755">
        <v>-0.206543</v>
      </c>
      <c r="AF755">
        <v>0.201734459658551</v>
      </c>
      <c r="AG755">
        <v>2.2664790000000001E-2</v>
      </c>
      <c r="AH755">
        <v>3.04931746738038</v>
      </c>
      <c r="AI755">
        <v>89.575071954744899</v>
      </c>
      <c r="AJ755">
        <v>86.214984392176007</v>
      </c>
      <c r="AK755">
        <v>3.0560673261220099</v>
      </c>
      <c r="AL755">
        <v>84.497363610736599</v>
      </c>
      <c r="AM755">
        <v>96.291196065073507</v>
      </c>
      <c r="AN755">
        <v>0.99999995563812505</v>
      </c>
    </row>
    <row r="756" spans="1:40" x14ac:dyDescent="0.25">
      <c r="A756" t="str">
        <f>"20190304154739538"</f>
        <v>20190304154739538</v>
      </c>
      <c r="B756" t="str">
        <f>"1551685659527262"</f>
        <v>1551685659527262</v>
      </c>
      <c r="C756" t="s">
        <v>40</v>
      </c>
      <c r="D756">
        <v>4.3033570000000001</v>
      </c>
      <c r="E756">
        <v>0.56421860000000001</v>
      </c>
      <c r="F756" t="s">
        <v>43</v>
      </c>
      <c r="G756">
        <v>-158.78319999999999</v>
      </c>
      <c r="H756">
        <v>2.8282449999999999</v>
      </c>
      <c r="I756">
        <v>351.17129999999997</v>
      </c>
      <c r="J756">
        <v>-389.28870000000001</v>
      </c>
      <c r="K756">
        <v>1.1103590000000001</v>
      </c>
      <c r="L756">
        <v>366.3655</v>
      </c>
      <c r="M756">
        <v>0.99994490000000003</v>
      </c>
      <c r="N756">
        <v>-1.038612E-2</v>
      </c>
      <c r="O756">
        <v>-1.5729079999999901E-3</v>
      </c>
      <c r="P756">
        <v>0.99045470000000002</v>
      </c>
      <c r="Q756">
        <v>8.6310170000000005E-2</v>
      </c>
      <c r="R756">
        <v>0.1074717</v>
      </c>
      <c r="S756">
        <v>3.0486149999999999</v>
      </c>
      <c r="T756">
        <v>2.2700669999999999E-2</v>
      </c>
      <c r="U756">
        <v>-0.20077510000000001</v>
      </c>
      <c r="V756">
        <v>-0.1090262</v>
      </c>
      <c r="W756">
        <v>9.6594940000000004E-2</v>
      </c>
      <c r="X756">
        <v>0.98933450000000001</v>
      </c>
      <c r="Y756">
        <v>6.4146770000000006E-2</v>
      </c>
      <c r="Z756">
        <v>-1.2293969999999999E-4</v>
      </c>
      <c r="AA756">
        <v>0.99794050000000001</v>
      </c>
      <c r="AB756">
        <v>23</v>
      </c>
      <c r="AC756">
        <v>230.50550000000001</v>
      </c>
      <c r="AD756">
        <v>1.71788599999999</v>
      </c>
      <c r="AE756">
        <v>-15.1942</v>
      </c>
      <c r="AF756">
        <v>14.830777551596</v>
      </c>
      <c r="AG756">
        <v>1.71788599999999</v>
      </c>
      <c r="AH756">
        <v>230.51636711102299</v>
      </c>
      <c r="AI756">
        <v>89.573901286807001</v>
      </c>
      <c r="AJ756">
        <v>86.318823529827199</v>
      </c>
      <c r="AK756">
        <v>230.99934762063299</v>
      </c>
      <c r="AL756">
        <v>84.456874751402793</v>
      </c>
      <c r="AM756">
        <v>96.288708409038605</v>
      </c>
      <c r="AN756">
        <v>1.0000000238051401</v>
      </c>
    </row>
    <row r="757" spans="1:40" x14ac:dyDescent="0.25">
      <c r="A757" t="str">
        <f>"20190304154739552"</f>
        <v>20190304154739552</v>
      </c>
      <c r="B757" t="str">
        <f>"1551685659547759"</f>
        <v>1551685659547759</v>
      </c>
      <c r="C757" t="s">
        <v>40</v>
      </c>
      <c r="D757">
        <v>4.2651969999999997</v>
      </c>
      <c r="E757">
        <v>0.56307819999999997</v>
      </c>
      <c r="F757" t="s">
        <v>43</v>
      </c>
      <c r="G757">
        <v>-158.78319999999999</v>
      </c>
      <c r="H757">
        <v>2.8737659999999998</v>
      </c>
      <c r="I757">
        <v>352.00099999999998</v>
      </c>
      <c r="J757">
        <v>-389.15519999999998</v>
      </c>
      <c r="K757">
        <v>1.110363</v>
      </c>
      <c r="L757">
        <v>366.36529999999999</v>
      </c>
      <c r="M757">
        <v>0.99994490000000003</v>
      </c>
      <c r="N757">
        <v>-1.039411E-2</v>
      </c>
      <c r="O757">
        <v>-1.5728300000000001E-3</v>
      </c>
      <c r="P757">
        <v>0.99045629999999996</v>
      </c>
      <c r="Q757">
        <v>8.6409899999999998E-2</v>
      </c>
      <c r="R757">
        <v>0.10737770000000001</v>
      </c>
      <c r="S757">
        <v>3.047485</v>
      </c>
      <c r="T757">
        <v>2.3314950000000001E-2</v>
      </c>
      <c r="U757">
        <v>-0.18991089999999999</v>
      </c>
      <c r="V757">
        <v>-0.1089321</v>
      </c>
      <c r="W757">
        <v>9.6702679999999999E-2</v>
      </c>
      <c r="X757">
        <v>0.9893343</v>
      </c>
      <c r="Y757">
        <v>6.0627550000000002E-2</v>
      </c>
      <c r="Z757">
        <v>-1.120612E-4</v>
      </c>
      <c r="AA757">
        <v>0.99816050000000001</v>
      </c>
      <c r="AB757">
        <v>23</v>
      </c>
      <c r="AC757">
        <v>230.37200000000001</v>
      </c>
      <c r="AD757">
        <v>1.7634029999999901</v>
      </c>
      <c r="AE757">
        <v>-14.3643</v>
      </c>
      <c r="AF757">
        <v>14.0011095343931</v>
      </c>
      <c r="AG757">
        <v>1.7634029999999901</v>
      </c>
      <c r="AH757">
        <v>230.380862474412</v>
      </c>
      <c r="AI757">
        <v>89.562257400077002</v>
      </c>
      <c r="AJ757">
        <v>86.522197958031896</v>
      </c>
      <c r="AK757">
        <v>230.812656613082</v>
      </c>
      <c r="AL757">
        <v>84.450672447598393</v>
      </c>
      <c r="AM757">
        <v>96.283325345793003</v>
      </c>
      <c r="AN757">
        <v>0.99999998394304102</v>
      </c>
    </row>
    <row r="758" spans="1:40" x14ac:dyDescent="0.25">
      <c r="A758" t="str">
        <f>"20190304154739564"</f>
        <v>20190304154739564</v>
      </c>
      <c r="B758" t="str">
        <f>"1551685659557519"</f>
        <v>1551685659557519</v>
      </c>
      <c r="C758" t="s">
        <v>40</v>
      </c>
      <c r="D758">
        <v>4.2766950000000001</v>
      </c>
      <c r="E758">
        <v>0.56242969999999903</v>
      </c>
      <c r="F758" t="s">
        <v>48</v>
      </c>
      <c r="G758">
        <v>-249.6926</v>
      </c>
      <c r="H758">
        <v>2.1818420000000001</v>
      </c>
      <c r="I758">
        <v>358.06830000000002</v>
      </c>
      <c r="J758">
        <v>-389.03579999999999</v>
      </c>
      <c r="K758">
        <v>1.110371</v>
      </c>
      <c r="L758">
        <v>366.36509999999998</v>
      </c>
      <c r="M758">
        <v>0.99994459999999996</v>
      </c>
      <c r="N758">
        <v>-1.0400710000000001E-2</v>
      </c>
      <c r="O758">
        <v>-1.572745E-3</v>
      </c>
      <c r="P758">
        <v>0.99043749999999997</v>
      </c>
      <c r="Q758">
        <v>8.6424840000000003E-2</v>
      </c>
      <c r="R758">
        <v>0.10753840000000001</v>
      </c>
      <c r="S758">
        <v>3.0465089999999999</v>
      </c>
      <c r="T758">
        <v>2.3407939999999999E-2</v>
      </c>
      <c r="U758">
        <v>-0.18124390000000001</v>
      </c>
      <c r="V758">
        <v>-0.1090928</v>
      </c>
      <c r="W758">
        <v>9.672356E-2</v>
      </c>
      <c r="X758">
        <v>0.98931460000000004</v>
      </c>
      <c r="Y758">
        <v>5.7818059999999998E-2</v>
      </c>
      <c r="Z758">
        <v>-1.074392E-4</v>
      </c>
      <c r="AA758">
        <v>0.99832710000000002</v>
      </c>
      <c r="AB758">
        <v>23</v>
      </c>
      <c r="AC758">
        <v>139.3432</v>
      </c>
      <c r="AD758">
        <v>1.0714709999999901</v>
      </c>
      <c r="AE758">
        <v>-8.2967999999999602</v>
      </c>
      <c r="AF758">
        <v>8.0771506517538896</v>
      </c>
      <c r="AG758">
        <v>1.0714709999999901</v>
      </c>
      <c r="AH758">
        <v>139.347866924936</v>
      </c>
      <c r="AI758">
        <v>89.560189244250793</v>
      </c>
      <c r="AJ758">
        <v>86.682623118402205</v>
      </c>
      <c r="AK758">
        <v>139.585874748431</v>
      </c>
      <c r="AL758">
        <v>84.449470744370004</v>
      </c>
      <c r="AM758">
        <v>96.292644696205599</v>
      </c>
      <c r="AN758">
        <v>1.0000000319220299</v>
      </c>
    </row>
    <row r="759" spans="1:40" x14ac:dyDescent="0.25">
      <c r="A759" t="str">
        <f>"20190304154739576"</f>
        <v>20190304154739576</v>
      </c>
      <c r="B759" t="str">
        <f>"1551685659567279"</f>
        <v>1551685659567279</v>
      </c>
      <c r="C759" t="s">
        <v>40</v>
      </c>
      <c r="D759">
        <v>4.2128420000000002</v>
      </c>
      <c r="E759">
        <v>0.56195119999999998</v>
      </c>
      <c r="F759" t="s">
        <v>43</v>
      </c>
      <c r="G759">
        <v>-158.78319999999999</v>
      </c>
      <c r="H759">
        <v>2.782133</v>
      </c>
      <c r="I759">
        <v>353.08269999999999</v>
      </c>
      <c r="J759">
        <v>-388.91090000000003</v>
      </c>
      <c r="K759">
        <v>1.1103769999999999</v>
      </c>
      <c r="L759">
        <v>366.36489999999998</v>
      </c>
      <c r="M759">
        <v>0.99994459999999996</v>
      </c>
      <c r="N759">
        <v>-1.0407390000000001E-2</v>
      </c>
      <c r="O759">
        <v>-1.5725419999999999E-3</v>
      </c>
      <c r="P759">
        <v>0.99043859999999995</v>
      </c>
      <c r="Q759">
        <v>8.6371879999999998E-2</v>
      </c>
      <c r="R759">
        <v>0.1075704</v>
      </c>
      <c r="S759">
        <v>3.0461429999999998</v>
      </c>
      <c r="T759">
        <v>2.2117850000000001E-2</v>
      </c>
      <c r="U759">
        <v>-0.17572019999999999</v>
      </c>
      <c r="V759">
        <v>-0.1091244</v>
      </c>
      <c r="W759">
        <v>9.6677529999999998E-2</v>
      </c>
      <c r="X759">
        <v>0.98931559999999996</v>
      </c>
      <c r="Y759">
        <v>5.6021210000000002E-2</v>
      </c>
      <c r="Z759">
        <v>-1.16315E-4</v>
      </c>
      <c r="AA759">
        <v>0.99842960000000003</v>
      </c>
      <c r="AB759">
        <v>23</v>
      </c>
      <c r="AC759">
        <v>230.1277</v>
      </c>
      <c r="AD759">
        <v>1.671756</v>
      </c>
      <c r="AE759">
        <v>-13.2821999999999</v>
      </c>
      <c r="AF759">
        <v>12.9195989635001</v>
      </c>
      <c r="AG759">
        <v>1.671756</v>
      </c>
      <c r="AH759">
        <v>230.13619882901099</v>
      </c>
      <c r="AI759">
        <v>89.584453439462706</v>
      </c>
      <c r="AJ759">
        <v>86.7868491592277</v>
      </c>
      <c r="AK759">
        <v>230.50462211627601</v>
      </c>
      <c r="AL759">
        <v>84.452120409181703</v>
      </c>
      <c r="AM759">
        <v>96.294446494384104</v>
      </c>
      <c r="AN759">
        <v>1.0000000179428099</v>
      </c>
    </row>
    <row r="760" spans="1:40" x14ac:dyDescent="0.25">
      <c r="A760" t="str">
        <f>"20190304154739588"</f>
        <v>20190304154739588</v>
      </c>
      <c r="B760" t="str">
        <f>"1551685659578015"</f>
        <v>1551685659578015</v>
      </c>
      <c r="C760" t="s">
        <v>40</v>
      </c>
      <c r="D760">
        <v>4.2355650000000002</v>
      </c>
      <c r="E760">
        <v>0.56143790000000005</v>
      </c>
      <c r="F760" t="s">
        <v>43</v>
      </c>
      <c r="G760">
        <v>-169.2955</v>
      </c>
      <c r="H760">
        <v>2.6797599999999999</v>
      </c>
      <c r="I760">
        <v>353.98910000000001</v>
      </c>
      <c r="J760">
        <v>-388.78620000000001</v>
      </c>
      <c r="K760">
        <v>1.1103769999999999</v>
      </c>
      <c r="L760">
        <v>366.36470000000003</v>
      </c>
      <c r="M760">
        <v>0.99994459999999996</v>
      </c>
      <c r="N760">
        <v>-1.0413759999999999E-2</v>
      </c>
      <c r="O760">
        <v>-1.5725750000000001E-3</v>
      </c>
      <c r="P760">
        <v>0.99042149999999995</v>
      </c>
      <c r="Q760">
        <v>8.6661230000000006E-2</v>
      </c>
      <c r="R760">
        <v>0.1074951</v>
      </c>
      <c r="S760">
        <v>3.0456850000000002</v>
      </c>
      <c r="T760">
        <v>2.176583E-2</v>
      </c>
      <c r="U760">
        <v>-0.1716309</v>
      </c>
      <c r="V760">
        <v>-0.1090491</v>
      </c>
      <c r="W760">
        <v>9.6972729999999993E-2</v>
      </c>
      <c r="X760">
        <v>0.98929500000000004</v>
      </c>
      <c r="Y760">
        <v>5.4693529999999997E-2</v>
      </c>
      <c r="Z760">
        <v>-1.1733219999999999E-4</v>
      </c>
      <c r="AA760">
        <v>0.99850320000000004</v>
      </c>
      <c r="AB760">
        <v>23</v>
      </c>
      <c r="AC760">
        <v>219.4907</v>
      </c>
      <c r="AD760">
        <v>1.569383</v>
      </c>
      <c r="AE760">
        <v>-12.3756</v>
      </c>
      <c r="AF760">
        <v>12.029787349001801</v>
      </c>
      <c r="AG760">
        <v>1.569383</v>
      </c>
      <c r="AH760">
        <v>219.498705072977</v>
      </c>
      <c r="AI760">
        <v>89.590964525267694</v>
      </c>
      <c r="AJ760">
        <v>86.863001148488607</v>
      </c>
      <c r="AK760">
        <v>219.83371050722999</v>
      </c>
      <c r="AL760">
        <v>84.435126787315198</v>
      </c>
      <c r="AM760">
        <v>96.290267842136899</v>
      </c>
      <c r="AN760">
        <v>1.0000000067997299</v>
      </c>
    </row>
    <row r="761" spans="1:40" x14ac:dyDescent="0.25">
      <c r="A761" t="str">
        <f>"20190304154739605"</f>
        <v>20190304154739605</v>
      </c>
      <c r="B761" t="str">
        <f>"1551685659597534"</f>
        <v>1551685659597534</v>
      </c>
      <c r="C761" t="s">
        <v>40</v>
      </c>
      <c r="D761">
        <v>4.2178959999999996</v>
      </c>
      <c r="E761">
        <v>0.56035179999999996</v>
      </c>
      <c r="F761" t="s">
        <v>43</v>
      </c>
      <c r="G761">
        <v>-169.2955</v>
      </c>
      <c r="H761">
        <v>2.6924950000000001</v>
      </c>
      <c r="I761">
        <v>354.26280000000003</v>
      </c>
      <c r="J761">
        <v>-388.61489999999998</v>
      </c>
      <c r="K761">
        <v>1.1103780000000001</v>
      </c>
      <c r="L761">
        <v>366.36450000000002</v>
      </c>
      <c r="M761">
        <v>0.99994450000000001</v>
      </c>
      <c r="N761">
        <v>-1.0422010000000001E-2</v>
      </c>
      <c r="O761">
        <v>-1.5724980000000001E-3</v>
      </c>
      <c r="P761">
        <v>0.99046400000000001</v>
      </c>
      <c r="Q761">
        <v>8.5740280000000002E-2</v>
      </c>
      <c r="R761">
        <v>0.1078428</v>
      </c>
      <c r="S761">
        <v>3.0453190000000001</v>
      </c>
      <c r="T761">
        <v>2.1952269999999999E-2</v>
      </c>
      <c r="U761">
        <v>-0.16790769999999999</v>
      </c>
      <c r="V761">
        <v>-0.10939699999999999</v>
      </c>
      <c r="W761">
        <v>9.606054E-2</v>
      </c>
      <c r="X761">
        <v>0.98934560000000005</v>
      </c>
      <c r="Y761">
        <v>5.3483320000000001E-2</v>
      </c>
      <c r="Z761">
        <v>-1.140028E-4</v>
      </c>
      <c r="AA761">
        <v>0.99856869999999998</v>
      </c>
      <c r="AB761">
        <v>23</v>
      </c>
      <c r="AC761">
        <v>219.3194</v>
      </c>
      <c r="AD761">
        <v>1.582117</v>
      </c>
      <c r="AE761">
        <v>-12.1016999999999</v>
      </c>
      <c r="AF761">
        <v>11.7561770883901</v>
      </c>
      <c r="AG761">
        <v>1.582117</v>
      </c>
      <c r="AH761">
        <v>219.32678099281401</v>
      </c>
      <c r="AI761">
        <v>89.587295632167695</v>
      </c>
      <c r="AJ761">
        <v>86.931814013421004</v>
      </c>
      <c r="AK761">
        <v>219.64732562588901</v>
      </c>
      <c r="AL761">
        <v>84.487636667516696</v>
      </c>
      <c r="AM761">
        <v>96.3098539651089</v>
      </c>
      <c r="AN761">
        <v>1.0000000235967199</v>
      </c>
    </row>
    <row r="762" spans="1:40" x14ac:dyDescent="0.25">
      <c r="A762" t="str">
        <f>"20190304154739628"</f>
        <v>20190304154739628</v>
      </c>
      <c r="B762" t="str">
        <f>"1551685659618031"</f>
        <v>1551685659618031</v>
      </c>
      <c r="C762" t="s">
        <v>40</v>
      </c>
      <c r="D762">
        <v>3.9968759999999999</v>
      </c>
      <c r="E762">
        <v>0.56035179999999996</v>
      </c>
      <c r="F762" t="s">
        <v>43</v>
      </c>
      <c r="G762">
        <v>-169.2955</v>
      </c>
      <c r="H762">
        <v>2.330965</v>
      </c>
      <c r="I762">
        <v>354.97919999999999</v>
      </c>
      <c r="J762">
        <v>-388.3811</v>
      </c>
      <c r="K762">
        <v>1.1103730000000001</v>
      </c>
      <c r="L762">
        <v>366.36410000000001</v>
      </c>
      <c r="M762">
        <v>0.99994439999999996</v>
      </c>
      <c r="N762">
        <v>-1.042964E-2</v>
      </c>
      <c r="O762">
        <v>-1.5723E-3</v>
      </c>
      <c r="P762">
        <v>0.99040839999999997</v>
      </c>
      <c r="Q762">
        <v>8.5651729999999995E-2</v>
      </c>
      <c r="R762">
        <v>0.10842069999999999</v>
      </c>
      <c r="S762">
        <v>3.0445859999999998</v>
      </c>
      <c r="T762">
        <v>1.694536E-2</v>
      </c>
      <c r="U762">
        <v>-0.15805050000000001</v>
      </c>
      <c r="V762">
        <v>-0.1099744</v>
      </c>
      <c r="W762">
        <v>9.5978889999999997E-2</v>
      </c>
      <c r="X762">
        <v>0.98928950000000004</v>
      </c>
      <c r="Y762">
        <v>5.0272740000000003E-2</v>
      </c>
      <c r="Z762">
        <v>-1.4767049999999901E-4</v>
      </c>
      <c r="AA762">
        <v>0.9987355</v>
      </c>
      <c r="AB762">
        <v>23</v>
      </c>
      <c r="AC762">
        <v>219.0856</v>
      </c>
      <c r="AD762">
        <v>1.2205919999999999</v>
      </c>
      <c r="AE762">
        <v>-11.3849</v>
      </c>
      <c r="AF762">
        <v>11.040057155558401</v>
      </c>
      <c r="AG762">
        <v>1.2205919999999999</v>
      </c>
      <c r="AH762">
        <v>219.09644831001501</v>
      </c>
      <c r="AI762">
        <v>89.681211473172397</v>
      </c>
      <c r="AJ762">
        <v>87.1153611063977</v>
      </c>
      <c r="AK762">
        <v>219.37781649221401</v>
      </c>
      <c r="AL762">
        <v>84.492336538777806</v>
      </c>
      <c r="AM762">
        <v>96.343243552630796</v>
      </c>
      <c r="AN762">
        <v>1.0000000153956199</v>
      </c>
    </row>
    <row r="763" spans="1:40" x14ac:dyDescent="0.25">
      <c r="A763" t="str">
        <f>"20190304154739695"</f>
        <v>20190304154739695</v>
      </c>
      <c r="B763" t="str">
        <f>"1551685659687327"</f>
        <v>1551685659687327</v>
      </c>
      <c r="C763" t="s">
        <v>40</v>
      </c>
      <c r="D763">
        <v>3.6052979999999999</v>
      </c>
      <c r="E763">
        <v>0.59192959999999994</v>
      </c>
      <c r="F763" t="s">
        <v>43</v>
      </c>
      <c r="G763">
        <v>-169.2955</v>
      </c>
      <c r="H763">
        <v>2.3091059999999999</v>
      </c>
      <c r="I763">
        <v>355.12110000000001</v>
      </c>
      <c r="J763">
        <v>-387.7063</v>
      </c>
      <c r="K763">
        <v>1.1103799999999999</v>
      </c>
      <c r="L763">
        <v>366.36309999999997</v>
      </c>
      <c r="M763">
        <v>0.99994459999999996</v>
      </c>
      <c r="N763">
        <v>-1.041221E-2</v>
      </c>
      <c r="O763">
        <v>-1.571612E-3</v>
      </c>
      <c r="P763">
        <v>0.9903111</v>
      </c>
      <c r="Q763">
        <v>8.5989280000000001E-2</v>
      </c>
      <c r="R763">
        <v>0.109040899999999</v>
      </c>
      <c r="S763">
        <v>3.0447389999999999</v>
      </c>
      <c r="T763">
        <v>1.666057E-2</v>
      </c>
      <c r="U763">
        <v>-0.15625</v>
      </c>
      <c r="V763">
        <v>-0.1105936</v>
      </c>
      <c r="W763">
        <v>9.629878E-2</v>
      </c>
      <c r="X763">
        <v>0.9891894</v>
      </c>
      <c r="Y763">
        <v>4.968177E-2</v>
      </c>
      <c r="Z763">
        <v>-1.479342E-4</v>
      </c>
      <c r="AA763">
        <v>0.99876509999999996</v>
      </c>
      <c r="AB763">
        <v>23</v>
      </c>
      <c r="AC763">
        <v>218.41079999999999</v>
      </c>
      <c r="AD763">
        <v>1.198726</v>
      </c>
      <c r="AE763">
        <v>-11.2419999999999</v>
      </c>
      <c r="AF763">
        <v>10.8983830675382</v>
      </c>
      <c r="AG763">
        <v>1.198726</v>
      </c>
      <c r="AH763">
        <v>218.421637226287</v>
      </c>
      <c r="AI763">
        <v>89.685947244619499</v>
      </c>
      <c r="AJ763">
        <v>87.1435342429115</v>
      </c>
      <c r="AK763">
        <v>218.696646764695</v>
      </c>
      <c r="AL763">
        <v>84.473923003293095</v>
      </c>
      <c r="AM763">
        <v>96.379305161305396</v>
      </c>
      <c r="AN763">
        <v>1.0000000342313999</v>
      </c>
    </row>
    <row r="764" spans="1:40" x14ac:dyDescent="0.25">
      <c r="A764" t="str">
        <f>"20190304154739705"</f>
        <v>20190304154739705</v>
      </c>
      <c r="B764" t="str">
        <f>"1551685659698063"</f>
        <v>1551685659698063</v>
      </c>
      <c r="C764" t="s">
        <v>40</v>
      </c>
      <c r="D764">
        <v>4.0019910000000003</v>
      </c>
      <c r="E764">
        <v>0.59490290000000001</v>
      </c>
      <c r="F764" t="s">
        <v>41</v>
      </c>
      <c r="G764">
        <v>-386.82679999999999</v>
      </c>
      <c r="H764">
        <v>1.0027680000000001</v>
      </c>
      <c r="I764">
        <v>366.24689999999998</v>
      </c>
      <c r="J764">
        <v>-387.59120000000001</v>
      </c>
      <c r="K764">
        <v>1.1103809999999901</v>
      </c>
      <c r="L764">
        <v>366.36290000000002</v>
      </c>
      <c r="M764">
        <v>0.99994459999999996</v>
      </c>
      <c r="N764">
        <v>-1.0404699999999999E-2</v>
      </c>
      <c r="O764">
        <v>-1.5715729999999999E-3</v>
      </c>
      <c r="P764">
        <v>0.99028950000000004</v>
      </c>
      <c r="Q764">
        <v>8.6100369999999996E-2</v>
      </c>
      <c r="R764">
        <v>0.1091488</v>
      </c>
      <c r="S764">
        <v>3.1075439999999999</v>
      </c>
      <c r="T764">
        <v>-0.38025189999999998</v>
      </c>
      <c r="U764">
        <v>-0.4107056</v>
      </c>
      <c r="V764">
        <v>-0.11070140000000001</v>
      </c>
      <c r="W764">
        <v>9.6401790000000001E-2</v>
      </c>
      <c r="X764">
        <v>0.98916729999999997</v>
      </c>
      <c r="Y764">
        <v>0.1284526</v>
      </c>
      <c r="Z764">
        <v>-8.2955559999999904E-3</v>
      </c>
      <c r="AA764">
        <v>0.99168100000000003</v>
      </c>
      <c r="AB764">
        <v>23</v>
      </c>
      <c r="AC764">
        <v>0.76440000000002295</v>
      </c>
      <c r="AD764">
        <v>-0.107612999999999</v>
      </c>
      <c r="AE764">
        <v>-0.116000000000042</v>
      </c>
      <c r="AF764">
        <v>0.112616740529818</v>
      </c>
      <c r="AG764">
        <v>-0.107612999999999</v>
      </c>
      <c r="AH764">
        <v>0.75005052870933597</v>
      </c>
      <c r="AI764">
        <v>98.075450490635106</v>
      </c>
      <c r="AJ764">
        <v>81.461079315917701</v>
      </c>
      <c r="AK764">
        <v>0.76605409967815896</v>
      </c>
      <c r="AL764">
        <v>84.467993333210103</v>
      </c>
      <c r="AM764">
        <v>96.385613474607396</v>
      </c>
      <c r="AN764">
        <v>1.00000002623322</v>
      </c>
    </row>
    <row r="765" spans="1:40" x14ac:dyDescent="0.25">
      <c r="A765" t="str">
        <f>"20190304154739719"</f>
        <v>20190304154739719</v>
      </c>
      <c r="B765" t="str">
        <f>"1551685659707822"</f>
        <v>1551685659707822</v>
      </c>
      <c r="C765" t="s">
        <v>40</v>
      </c>
      <c r="D765">
        <v>4.1971550000000004</v>
      </c>
      <c r="E765">
        <v>0.59490290000000001</v>
      </c>
      <c r="F765" t="s">
        <v>41</v>
      </c>
      <c r="G765">
        <v>-386.81700000000001</v>
      </c>
      <c r="H765">
        <v>1.022958</v>
      </c>
      <c r="I765">
        <v>366.255</v>
      </c>
      <c r="J765">
        <v>-387.46129999999999</v>
      </c>
      <c r="K765">
        <v>1.1103809999999901</v>
      </c>
      <c r="L765">
        <v>366.36270000000002</v>
      </c>
      <c r="M765">
        <v>0.99994470000000002</v>
      </c>
      <c r="N765">
        <v>-1.0396219999999999E-2</v>
      </c>
      <c r="O765">
        <v>-1.5715289999999999E-3</v>
      </c>
      <c r="P765">
        <v>0.99028959999999999</v>
      </c>
      <c r="Q765">
        <v>8.6198940000000002E-2</v>
      </c>
      <c r="R765">
        <v>0.109070899999999</v>
      </c>
      <c r="S765">
        <v>3.1076969999999999</v>
      </c>
      <c r="T765">
        <v>-0.35101339999999998</v>
      </c>
      <c r="U765">
        <v>-0.43338009999999899</v>
      </c>
      <c r="V765">
        <v>-0.1106236</v>
      </c>
      <c r="W765">
        <v>9.6491960000000002E-2</v>
      </c>
      <c r="X765">
        <v>0.98916720000000002</v>
      </c>
      <c r="Y765">
        <v>0.13564300000000001</v>
      </c>
      <c r="Z765">
        <v>-8.1507409999999995E-3</v>
      </c>
      <c r="AA765">
        <v>0.9907243</v>
      </c>
      <c r="AB765">
        <v>23</v>
      </c>
      <c r="AC765">
        <v>0.64430000000004295</v>
      </c>
      <c r="AD765">
        <v>-8.7422999999999806E-2</v>
      </c>
      <c r="AE765">
        <v>-0.107700000000022</v>
      </c>
      <c r="AF765">
        <v>0.10481007996668</v>
      </c>
      <c r="AG765">
        <v>-8.7422999999999806E-2</v>
      </c>
      <c r="AH765">
        <v>0.63312884194892305</v>
      </c>
      <c r="AI765">
        <v>97.757474509838104</v>
      </c>
      <c r="AJ765">
        <v>80.600327678206099</v>
      </c>
      <c r="AK765">
        <v>0.64767280651514603</v>
      </c>
      <c r="AL765">
        <v>84.462802709428502</v>
      </c>
      <c r="AM765">
        <v>96.381163390691199</v>
      </c>
      <c r="AN765">
        <v>1.00000001438872</v>
      </c>
    </row>
    <row r="766" spans="1:40" x14ac:dyDescent="0.25">
      <c r="A766" t="str">
        <f>"20190304154739746"</f>
        <v>20190304154739746</v>
      </c>
      <c r="B766" t="str">
        <f>"1551685659738078"</f>
        <v>1551685659738078</v>
      </c>
      <c r="C766" t="s">
        <v>40</v>
      </c>
      <c r="D766">
        <v>4.0556549999999998</v>
      </c>
      <c r="E766">
        <v>0.56475880000000001</v>
      </c>
      <c r="F766" t="s">
        <v>41</v>
      </c>
      <c r="G766">
        <v>-386.6164</v>
      </c>
      <c r="H766">
        <v>1.015115</v>
      </c>
      <c r="I766">
        <v>366.24430000000001</v>
      </c>
      <c r="J766">
        <v>-387.1721</v>
      </c>
      <c r="K766">
        <v>1.1103749999999999</v>
      </c>
      <c r="L766">
        <v>366.36219999999997</v>
      </c>
      <c r="M766">
        <v>0.99994499999999997</v>
      </c>
      <c r="N766">
        <v>-1.037535E-2</v>
      </c>
      <c r="O766">
        <v>-1.57142E-3</v>
      </c>
      <c r="P766">
        <v>0.99021199999999998</v>
      </c>
      <c r="Q766">
        <v>8.6916939999999998E-2</v>
      </c>
      <c r="R766">
        <v>0.1092041</v>
      </c>
      <c r="S766">
        <v>3.1077270000000001</v>
      </c>
      <c r="T766">
        <v>-0.35074229999999901</v>
      </c>
      <c r="U766">
        <v>-0.43389889999999998</v>
      </c>
      <c r="V766">
        <v>-0.1107561</v>
      </c>
      <c r="W766">
        <v>9.7188670000000005E-2</v>
      </c>
      <c r="X766">
        <v>0.98908410000000002</v>
      </c>
      <c r="Y766">
        <v>0.13580449999999999</v>
      </c>
      <c r="Z766">
        <v>-8.1533249999999995E-3</v>
      </c>
      <c r="AA766">
        <v>0.99070210000000003</v>
      </c>
      <c r="AB766">
        <v>23</v>
      </c>
      <c r="AC766">
        <v>0.55570000000000097</v>
      </c>
      <c r="AD766">
        <v>-9.52599999999999E-2</v>
      </c>
      <c r="AE766">
        <v>-0.11789999999996301</v>
      </c>
      <c r="AF766">
        <v>0.11382576691596399</v>
      </c>
      <c r="AG766">
        <v>-9.52599999999999E-2</v>
      </c>
      <c r="AH766">
        <v>0.54068055307452401</v>
      </c>
      <c r="AI766">
        <v>99.781987898415395</v>
      </c>
      <c r="AJ766">
        <v>78.1115162840849</v>
      </c>
      <c r="AK766">
        <v>0.56068371947737194</v>
      </c>
      <c r="AL766">
        <v>84.422695323251801</v>
      </c>
      <c r="AM766">
        <v>96.389275630310095</v>
      </c>
      <c r="AN766">
        <v>0.99999995406819298</v>
      </c>
    </row>
    <row r="767" spans="1:40" x14ac:dyDescent="0.25">
      <c r="A767" t="str">
        <f>"20190304154739762"</f>
        <v>20190304154739762</v>
      </c>
      <c r="B767" t="str">
        <f>"1551685659757599"</f>
        <v>1551685659757599</v>
      </c>
      <c r="C767" t="s">
        <v>40</v>
      </c>
      <c r="D767">
        <v>4.0279439999999997</v>
      </c>
      <c r="E767">
        <v>0.57214509999999996</v>
      </c>
      <c r="F767" t="s">
        <v>44</v>
      </c>
      <c r="G767">
        <v>-362.88099999999997</v>
      </c>
      <c r="H767" s="1">
        <v>-3.8834830000000003E-6</v>
      </c>
      <c r="I767">
        <v>364.84070000000003</v>
      </c>
      <c r="J767">
        <v>-387.02289999999999</v>
      </c>
      <c r="K767">
        <v>1.110376</v>
      </c>
      <c r="L767">
        <v>366.36200000000002</v>
      </c>
      <c r="M767">
        <v>0.99994510000000003</v>
      </c>
      <c r="N767">
        <v>-1.0362120000000001E-2</v>
      </c>
      <c r="O767">
        <v>-1.5711129999999901E-3</v>
      </c>
      <c r="P767">
        <v>0.99013810000000002</v>
      </c>
      <c r="Q767">
        <v>8.747336E-2</v>
      </c>
      <c r="R767">
        <v>0.1094318</v>
      </c>
      <c r="S767">
        <v>3.0631710000000001</v>
      </c>
      <c r="T767">
        <v>-0.140020799999999</v>
      </c>
      <c r="U767">
        <v>-0.19186400000000001</v>
      </c>
      <c r="V767">
        <v>-0.1109837</v>
      </c>
      <c r="W767">
        <v>9.7731109999999996E-2</v>
      </c>
      <c r="X767">
        <v>0.98900520000000003</v>
      </c>
      <c r="Y767">
        <v>6.08683E-2</v>
      </c>
      <c r="Z767">
        <v>-1.649523E-3</v>
      </c>
      <c r="AA767">
        <v>0.99814440000000004</v>
      </c>
      <c r="AB767">
        <v>23</v>
      </c>
      <c r="AC767">
        <v>24.1419</v>
      </c>
      <c r="AD767">
        <v>-1.1103798834829901</v>
      </c>
      <c r="AE767">
        <v>-1.5212999999999299</v>
      </c>
      <c r="AF767">
        <v>1.4802474472446601</v>
      </c>
      <c r="AG767">
        <v>-1.1103798834829901</v>
      </c>
      <c r="AH767">
        <v>24.093493762498301</v>
      </c>
      <c r="AI767">
        <v>92.633724253398299</v>
      </c>
      <c r="AJ767">
        <v>86.484301392618903</v>
      </c>
      <c r="AK767">
        <v>24.1644473902108</v>
      </c>
      <c r="AL767">
        <v>84.391467498497903</v>
      </c>
      <c r="AM767">
        <v>96.402802978930097</v>
      </c>
      <c r="AN767">
        <v>1.0000000185772799</v>
      </c>
    </row>
    <row r="768" spans="1:40" x14ac:dyDescent="0.25">
      <c r="A768" t="str">
        <f>"20190304154739775"</f>
        <v>20190304154739775</v>
      </c>
      <c r="B768" t="str">
        <f>"1551685659767358"</f>
        <v>1551685659767358</v>
      </c>
      <c r="C768" t="s">
        <v>40</v>
      </c>
      <c r="D768">
        <v>4.041042</v>
      </c>
      <c r="E768">
        <v>0.57433120000000004</v>
      </c>
      <c r="F768" t="s">
        <v>44</v>
      </c>
      <c r="G768">
        <v>-348.91730000000001</v>
      </c>
      <c r="H768" s="1">
        <v>-2.089765E-6</v>
      </c>
      <c r="I768">
        <v>363.26560000000001</v>
      </c>
      <c r="J768">
        <v>-386.88749999999999</v>
      </c>
      <c r="K768">
        <v>1.110371</v>
      </c>
      <c r="L768">
        <v>366.36180000000002</v>
      </c>
      <c r="M768">
        <v>0.99994530000000004</v>
      </c>
      <c r="N768">
        <v>-1.0349270000000001E-2</v>
      </c>
      <c r="O768">
        <v>-1.571046E-3</v>
      </c>
      <c r="P768">
        <v>0.99010869999999995</v>
      </c>
      <c r="Q768">
        <v>8.7657680000000002E-2</v>
      </c>
      <c r="R768">
        <v>0.1095489</v>
      </c>
      <c r="S768">
        <v>3.0653079999999999</v>
      </c>
      <c r="T768">
        <v>-8.9321609999999996E-2</v>
      </c>
      <c r="U768">
        <v>-0.24908449999999999</v>
      </c>
      <c r="V768">
        <v>-0.11110109999999999</v>
      </c>
      <c r="W768">
        <v>9.7901929999999998E-2</v>
      </c>
      <c r="X768">
        <v>0.9889751</v>
      </c>
      <c r="Y768">
        <v>7.9381030000000005E-2</v>
      </c>
      <c r="Z768">
        <v>-1.5365260000000001E-3</v>
      </c>
      <c r="AA768">
        <v>0.99684320000000004</v>
      </c>
      <c r="AB768">
        <v>23</v>
      </c>
      <c r="AC768">
        <v>37.970199999999899</v>
      </c>
      <c r="AD768">
        <v>-1.1103730897649999</v>
      </c>
      <c r="AE768">
        <v>-3.0962000000000098</v>
      </c>
      <c r="AF768">
        <v>3.0339626444282</v>
      </c>
      <c r="AG768">
        <v>-1.1103730897649999</v>
      </c>
      <c r="AH768">
        <v>37.942784491838701</v>
      </c>
      <c r="AI768">
        <v>91.670918360014497</v>
      </c>
      <c r="AJ768">
        <v>85.428269582673394</v>
      </c>
      <c r="AK768">
        <v>38.080083412728698</v>
      </c>
      <c r="AL768">
        <v>84.381632941474294</v>
      </c>
      <c r="AM768">
        <v>96.409713065647097</v>
      </c>
      <c r="AN768">
        <v>0.99999999536947204</v>
      </c>
    </row>
    <row r="769" spans="1:40" x14ac:dyDescent="0.25">
      <c r="A769" t="str">
        <f>"20190304154739786"</f>
        <v>20190304154739786</v>
      </c>
      <c r="B769" t="str">
        <f>"1551685659778095"</f>
        <v>1551685659778095</v>
      </c>
      <c r="C769" t="s">
        <v>40</v>
      </c>
      <c r="D769">
        <v>4.0161089999999904</v>
      </c>
      <c r="E769">
        <v>0.57622609999999996</v>
      </c>
      <c r="F769" t="s">
        <v>44</v>
      </c>
      <c r="G769">
        <v>-340.25560000000002</v>
      </c>
      <c r="H769" s="1">
        <v>-5.8811310000000001E-6</v>
      </c>
      <c r="I769">
        <v>362.31920000000002</v>
      </c>
      <c r="J769">
        <v>-386.75779999999997</v>
      </c>
      <c r="K769">
        <v>1.1103689999999999</v>
      </c>
      <c r="L769">
        <v>366.36149999999998</v>
      </c>
      <c r="M769">
        <v>0.99994550000000004</v>
      </c>
      <c r="N769">
        <v>-1.0336379999999999E-2</v>
      </c>
      <c r="O769">
        <v>-1.5709789999999999E-3</v>
      </c>
      <c r="P769">
        <v>0.99003719999999995</v>
      </c>
      <c r="Q769">
        <v>8.7754059999999995E-2</v>
      </c>
      <c r="R769">
        <v>0.1101174</v>
      </c>
      <c r="S769">
        <v>3.0658569999999998</v>
      </c>
      <c r="T769">
        <v>-7.3002699999999907E-2</v>
      </c>
      <c r="U769">
        <v>-0.2657776</v>
      </c>
      <c r="V769">
        <v>-0.1116689</v>
      </c>
      <c r="W769">
        <v>9.7985450000000002E-2</v>
      </c>
      <c r="X769">
        <v>0.98890290000000003</v>
      </c>
      <c r="Y769">
        <v>8.4766159999999993E-2</v>
      </c>
      <c r="Z769">
        <v>-1.4250580000000001E-3</v>
      </c>
      <c r="AA769">
        <v>0.99639990000000001</v>
      </c>
      <c r="AB769">
        <v>23</v>
      </c>
      <c r="AC769">
        <v>46.502199999999903</v>
      </c>
      <c r="AD769">
        <v>-1.1103748811309999</v>
      </c>
      <c r="AE769">
        <v>-4.0422999999999503</v>
      </c>
      <c r="AF769">
        <v>3.9669923058832302</v>
      </c>
      <c r="AG769">
        <v>-1.1103748811309999</v>
      </c>
      <c r="AH769">
        <v>46.482190061486399</v>
      </c>
      <c r="AI769">
        <v>91.363476926449096</v>
      </c>
      <c r="AJ769">
        <v>85.121949364152101</v>
      </c>
      <c r="AK769">
        <v>46.664375633278603</v>
      </c>
      <c r="AL769">
        <v>84.376824609895394</v>
      </c>
      <c r="AM769">
        <v>96.442662624685795</v>
      </c>
      <c r="AN769">
        <v>1.0000000186336599</v>
      </c>
    </row>
    <row r="770" spans="1:40" x14ac:dyDescent="0.25">
      <c r="A770" t="str">
        <f>"20190304154739798"</f>
        <v>20190304154739798</v>
      </c>
      <c r="B770" t="str">
        <f>"1551685659787855"</f>
        <v>1551685659787855</v>
      </c>
      <c r="C770" t="s">
        <v>40</v>
      </c>
      <c r="D770">
        <v>4.0542420000000003</v>
      </c>
      <c r="E770">
        <v>0.57773580000000002</v>
      </c>
      <c r="F770" t="s">
        <v>44</v>
      </c>
      <c r="G770">
        <v>-321.30009999999999</v>
      </c>
      <c r="H770" s="1">
        <v>-5.3964660000000002E-6</v>
      </c>
      <c r="I770">
        <v>360.4092</v>
      </c>
      <c r="J770">
        <v>-386.64949999999999</v>
      </c>
      <c r="K770">
        <v>1.110368</v>
      </c>
      <c r="L770">
        <v>366.3614</v>
      </c>
      <c r="M770">
        <v>0.99994550000000004</v>
      </c>
      <c r="N770">
        <v>-1.0325910000000001E-2</v>
      </c>
      <c r="O770">
        <v>-1.5708059999999999E-3</v>
      </c>
      <c r="P770">
        <v>0.98997429999999997</v>
      </c>
      <c r="Q770">
        <v>8.7873590000000001E-2</v>
      </c>
      <c r="R770">
        <v>0.1105853</v>
      </c>
      <c r="S770">
        <v>3.0657649999999999</v>
      </c>
      <c r="T770">
        <v>-5.2005290000000003E-2</v>
      </c>
      <c r="U770">
        <v>-0.27877809999999997</v>
      </c>
      <c r="V770">
        <v>-0.1121369</v>
      </c>
      <c r="W770">
        <v>9.8093650000000004E-2</v>
      </c>
      <c r="X770">
        <v>0.98883920000000003</v>
      </c>
      <c r="Y770">
        <v>8.8973990000000003E-2</v>
      </c>
      <c r="Z770">
        <v>-1.2030140000000001E-3</v>
      </c>
      <c r="AA770">
        <v>0.99603330000000001</v>
      </c>
      <c r="AB770">
        <v>23</v>
      </c>
      <c r="AC770">
        <v>65.349400000000003</v>
      </c>
      <c r="AD770">
        <v>-1.1103733964659901</v>
      </c>
      <c r="AE770">
        <v>-5.9522000000000004</v>
      </c>
      <c r="AF770">
        <v>5.8478615400839598</v>
      </c>
      <c r="AG770">
        <v>-1.1103733964659901</v>
      </c>
      <c r="AH770">
        <v>65.339960828870403</v>
      </c>
      <c r="AI770">
        <v>90.969703371662106</v>
      </c>
      <c r="AJ770">
        <v>84.885710919509194</v>
      </c>
      <c r="AK770">
        <v>65.610524268518802</v>
      </c>
      <c r="AL770">
        <v>84.370595125148398</v>
      </c>
      <c r="AM770">
        <v>96.469848352658801</v>
      </c>
      <c r="AN770">
        <v>1.00000000598428</v>
      </c>
    </row>
    <row r="771" spans="1:40" x14ac:dyDescent="0.25">
      <c r="A771" t="str">
        <f>"20190304154739809"</f>
        <v>20190304154739809</v>
      </c>
      <c r="B771" t="str">
        <f>"1551685659797614"</f>
        <v>1551685659797614</v>
      </c>
      <c r="C771" t="s">
        <v>40</v>
      </c>
      <c r="D771">
        <v>4.0605699999999896</v>
      </c>
      <c r="E771">
        <v>0.57886309999999996</v>
      </c>
      <c r="F771" t="s">
        <v>45</v>
      </c>
      <c r="G771">
        <v>-282.53070000000002</v>
      </c>
      <c r="H771">
        <v>-0.05</v>
      </c>
      <c r="I771">
        <v>356.5369</v>
      </c>
      <c r="J771">
        <v>-386.53530000000001</v>
      </c>
      <c r="K771">
        <v>1.110366</v>
      </c>
      <c r="L771">
        <v>366.3612</v>
      </c>
      <c r="M771">
        <v>0.99994570000000005</v>
      </c>
      <c r="N771">
        <v>-1.0315049999999999E-2</v>
      </c>
      <c r="O771">
        <v>-1.5707500000000001E-3</v>
      </c>
      <c r="P771">
        <v>0.98991070000000003</v>
      </c>
      <c r="Q771">
        <v>8.783444E-2</v>
      </c>
      <c r="R771">
        <v>0.1111849</v>
      </c>
      <c r="S771">
        <v>3.0657040000000002</v>
      </c>
      <c r="T771">
        <v>-3.4166219999999997E-2</v>
      </c>
      <c r="U771">
        <v>-0.28927609999999998</v>
      </c>
      <c r="V771">
        <v>-0.1127358</v>
      </c>
      <c r="W771">
        <v>9.8043350000000001E-2</v>
      </c>
      <c r="X771">
        <v>0.98877610000000005</v>
      </c>
      <c r="Y771">
        <v>9.2366519999999994E-2</v>
      </c>
      <c r="Z771">
        <v>-9.8972059999999991E-4</v>
      </c>
      <c r="AA771">
        <v>0.99572459999999996</v>
      </c>
      <c r="AB771">
        <v>23</v>
      </c>
      <c r="AC771">
        <v>104.004599999999</v>
      </c>
      <c r="AD771">
        <v>-1.160366</v>
      </c>
      <c r="AE771">
        <v>-9.8242999999999903</v>
      </c>
      <c r="AF771">
        <v>9.6597222163472694</v>
      </c>
      <c r="AG771">
        <v>-1.160366</v>
      </c>
      <c r="AH771">
        <v>104.007072154336</v>
      </c>
      <c r="AI771">
        <v>90.636461060981006</v>
      </c>
      <c r="AJ771">
        <v>84.693840288869396</v>
      </c>
      <c r="AK771">
        <v>104.46113028619</v>
      </c>
      <c r="AL771">
        <v>84.373491127258703</v>
      </c>
      <c r="AM771">
        <v>96.504518674780698</v>
      </c>
      <c r="AN771">
        <v>1.00000001750603</v>
      </c>
    </row>
    <row r="772" spans="1:40" x14ac:dyDescent="0.25">
      <c r="A772" t="str">
        <f>"20190304154739822"</f>
        <v>20190304154739822</v>
      </c>
      <c r="B772" t="str">
        <f>"1551685659818110"</f>
        <v>1551685659818110</v>
      </c>
      <c r="C772" t="s">
        <v>40</v>
      </c>
      <c r="D772">
        <v>4.3870639999999996</v>
      </c>
      <c r="E772">
        <v>0.57933290000000004</v>
      </c>
      <c r="F772" t="s">
        <v>45</v>
      </c>
      <c r="G772">
        <v>-227.62809999999999</v>
      </c>
      <c r="H772">
        <v>-0.05</v>
      </c>
      <c r="I772">
        <v>351.01159999999999</v>
      </c>
      <c r="J772">
        <v>-386.41230000000002</v>
      </c>
      <c r="K772">
        <v>1.110363</v>
      </c>
      <c r="L772">
        <v>366.36099999999999</v>
      </c>
      <c r="M772">
        <v>0.99994590000000005</v>
      </c>
      <c r="N772">
        <v>-1.0304229999999999E-2</v>
      </c>
      <c r="O772">
        <v>-1.5704549999999999E-3</v>
      </c>
      <c r="P772">
        <v>0.98987190000000003</v>
      </c>
      <c r="Q772">
        <v>8.795538E-2</v>
      </c>
      <c r="R772">
        <v>0.1114354</v>
      </c>
      <c r="S772">
        <v>3.0658259999999999</v>
      </c>
      <c r="T772">
        <v>-2.2387150000000001E-2</v>
      </c>
      <c r="U772">
        <v>-0.29614259999999998</v>
      </c>
      <c r="V772">
        <v>-0.1129863</v>
      </c>
      <c r="W772">
        <v>9.8152970000000006E-2</v>
      </c>
      <c r="X772">
        <v>0.98873659999999997</v>
      </c>
      <c r="Y772">
        <v>9.4577770000000005E-2</v>
      </c>
      <c r="Z772">
        <v>-8.376449E-4</v>
      </c>
      <c r="AA772">
        <v>0.99551710000000004</v>
      </c>
      <c r="AB772">
        <v>23</v>
      </c>
      <c r="AC772">
        <v>158.7842</v>
      </c>
      <c r="AD772">
        <v>-1.16036299999999</v>
      </c>
      <c r="AE772">
        <v>-15.349399999999999</v>
      </c>
      <c r="AF772">
        <v>15.099205553719999</v>
      </c>
      <c r="AG772">
        <v>-1.16036299999999</v>
      </c>
      <c r="AH772">
        <v>158.799708975698</v>
      </c>
      <c r="AI772">
        <v>90.416777984559005</v>
      </c>
      <c r="AJ772">
        <v>84.568455634688803</v>
      </c>
      <c r="AK772">
        <v>159.52015553343699</v>
      </c>
      <c r="AL772">
        <v>84.367179750187205</v>
      </c>
      <c r="AM772">
        <v>96.519105691896698</v>
      </c>
      <c r="AN772">
        <v>0.99999998684353497</v>
      </c>
    </row>
    <row r="773" spans="1:40" x14ac:dyDescent="0.25">
      <c r="A773" t="str">
        <f>"20190304154739833"</f>
        <v>20190304154739833</v>
      </c>
      <c r="B773" t="str">
        <f>"1551685659827871"</f>
        <v>1551685659827871</v>
      </c>
      <c r="C773" t="s">
        <v>40</v>
      </c>
      <c r="D773">
        <v>4.0426349999999998</v>
      </c>
      <c r="E773">
        <v>0.58013559999999997</v>
      </c>
      <c r="F773" t="s">
        <v>47</v>
      </c>
      <c r="G773">
        <v>-143.32919999999999</v>
      </c>
      <c r="H773">
        <v>0.81268130000000005</v>
      </c>
      <c r="I773">
        <v>342.64400000000001</v>
      </c>
      <c r="J773">
        <v>-386.28559999999999</v>
      </c>
      <c r="K773">
        <v>1.11036</v>
      </c>
      <c r="L773">
        <v>366.36079999999998</v>
      </c>
      <c r="M773">
        <v>0.99994590000000005</v>
      </c>
      <c r="N773">
        <v>-1.0293510000000001E-2</v>
      </c>
      <c r="O773">
        <v>-1.570281E-3</v>
      </c>
      <c r="P773">
        <v>0.98986269999999998</v>
      </c>
      <c r="Q773">
        <v>8.7576109999999999E-2</v>
      </c>
      <c r="R773">
        <v>0.11181580000000001</v>
      </c>
      <c r="S773">
        <v>3.064667</v>
      </c>
      <c r="T773">
        <v>-3.752947E-3</v>
      </c>
      <c r="U773">
        <v>-0.29901119999999998</v>
      </c>
      <c r="V773">
        <v>-0.11336690000000001</v>
      </c>
      <c r="W773">
        <v>9.7763370000000002E-2</v>
      </c>
      <c r="X773">
        <v>0.98873160000000004</v>
      </c>
      <c r="Y773">
        <v>9.5542530000000001E-2</v>
      </c>
      <c r="Z773">
        <v>-5.6548269999999999E-4</v>
      </c>
      <c r="AA773">
        <v>0.99542520000000001</v>
      </c>
      <c r="AB773">
        <v>23</v>
      </c>
      <c r="AC773">
        <v>242.9564</v>
      </c>
      <c r="AD773">
        <v>-0.29767870000000002</v>
      </c>
      <c r="AE773">
        <v>-23.7167999999999</v>
      </c>
      <c r="AF773">
        <v>23.335206067375498</v>
      </c>
      <c r="AG773">
        <v>-0.29767870000000002</v>
      </c>
      <c r="AH773">
        <v>242.99298310068801</v>
      </c>
      <c r="AI773">
        <v>90.0698687609286</v>
      </c>
      <c r="AJ773">
        <v>84.514568560790906</v>
      </c>
      <c r="AK773">
        <v>244.11106138597401</v>
      </c>
      <c r="AL773">
        <v>84.389609877549205</v>
      </c>
      <c r="AM773">
        <v>96.540908432824807</v>
      </c>
      <c r="AN773">
        <v>0.999999953683962</v>
      </c>
    </row>
    <row r="774" spans="1:40" x14ac:dyDescent="0.25">
      <c r="A774" t="str">
        <f>"20190304154739845"</f>
        <v>20190304154739845</v>
      </c>
      <c r="B774" t="str">
        <f>"1551685659837631"</f>
        <v>1551685659837631</v>
      </c>
      <c r="C774" t="s">
        <v>40</v>
      </c>
      <c r="D774">
        <v>4.0233990000000004</v>
      </c>
      <c r="E774">
        <v>0.58051339999999996</v>
      </c>
      <c r="F774" t="s">
        <v>47</v>
      </c>
      <c r="G774">
        <v>-147.3023</v>
      </c>
      <c r="H774">
        <v>1.2152499999999999</v>
      </c>
      <c r="I774">
        <v>342.64400000000001</v>
      </c>
      <c r="J774">
        <v>-386.16109999999998</v>
      </c>
      <c r="K774">
        <v>1.1103609999999999</v>
      </c>
      <c r="L774">
        <v>366.36059999999998</v>
      </c>
      <c r="M774">
        <v>0.9999458</v>
      </c>
      <c r="N774">
        <v>-1.028394E-2</v>
      </c>
      <c r="O774">
        <v>-1.570112E-3</v>
      </c>
      <c r="P774">
        <v>0.98985350000000005</v>
      </c>
      <c r="Q774">
        <v>8.7427530000000003E-2</v>
      </c>
      <c r="R774">
        <v>0.11201029999999999</v>
      </c>
      <c r="S774">
        <v>3.064972</v>
      </c>
      <c r="T774">
        <v>1.345277E-3</v>
      </c>
      <c r="U774">
        <v>-0.30416870000000001</v>
      </c>
      <c r="V774">
        <v>-0.11356049999999999</v>
      </c>
      <c r="W774">
        <v>9.7604860000000002E-2</v>
      </c>
      <c r="X774">
        <v>0.98872510000000002</v>
      </c>
      <c r="Y774">
        <v>9.7192829999999994E-2</v>
      </c>
      <c r="Z774">
        <v>-4.9651769999999897E-4</v>
      </c>
      <c r="AA774">
        <v>0.99526539999999997</v>
      </c>
      <c r="AB774">
        <v>23</v>
      </c>
      <c r="AC774">
        <v>238.8588</v>
      </c>
      <c r="AD774">
        <v>0.104888999999999</v>
      </c>
      <c r="AE774">
        <v>-23.7165999999999</v>
      </c>
      <c r="AF774">
        <v>23.341511372323001</v>
      </c>
      <c r="AG774">
        <v>0.104888999999999</v>
      </c>
      <c r="AH774">
        <v>238.89569961901199</v>
      </c>
      <c r="AI774">
        <v>89.974963070433603</v>
      </c>
      <c r="AJ774">
        <v>84.419578936902695</v>
      </c>
      <c r="AK774">
        <v>240.03331529457299</v>
      </c>
      <c r="AL774">
        <v>84.398735789709903</v>
      </c>
      <c r="AM774">
        <v>96.552024191005302</v>
      </c>
      <c r="AN774">
        <v>1.00000000961293</v>
      </c>
    </row>
    <row r="775" spans="1:40" x14ac:dyDescent="0.25">
      <c r="A775" t="str">
        <f>"20190304154739863"</f>
        <v>20190304154739863</v>
      </c>
      <c r="B775" t="str">
        <f>"1551685659858127"</f>
        <v>1551685659858127</v>
      </c>
      <c r="C775" t="s">
        <v>40</v>
      </c>
      <c r="D775">
        <v>4.0483690000000001</v>
      </c>
      <c r="E775">
        <v>0.58142510000000003</v>
      </c>
      <c r="F775" t="s">
        <v>47</v>
      </c>
      <c r="G775">
        <v>-149.078</v>
      </c>
      <c r="H775">
        <v>1.4949790000000001</v>
      </c>
      <c r="I775">
        <v>342.64400000000001</v>
      </c>
      <c r="J775">
        <v>-385.99110000000002</v>
      </c>
      <c r="K775">
        <v>1.1103639999999999</v>
      </c>
      <c r="L775">
        <v>366.36040000000003</v>
      </c>
      <c r="M775">
        <v>0.999946</v>
      </c>
      <c r="N775">
        <v>-1.0271819999999999E-2</v>
      </c>
      <c r="O775">
        <v>-1.5698109999999999E-3</v>
      </c>
      <c r="P775">
        <v>0.98983160000000003</v>
      </c>
      <c r="Q775">
        <v>8.7512190000000004E-2</v>
      </c>
      <c r="R775">
        <v>0.11213869999999999</v>
      </c>
      <c r="S775">
        <v>3.0650330000000001</v>
      </c>
      <c r="T775">
        <v>4.9724579999999999E-3</v>
      </c>
      <c r="U775">
        <v>-0.306610099999999</v>
      </c>
      <c r="V775">
        <v>-0.1136889</v>
      </c>
      <c r="W775">
        <v>9.7677459999999994E-2</v>
      </c>
      <c r="X775">
        <v>0.9887032</v>
      </c>
      <c r="Y775">
        <v>9.797662E-2</v>
      </c>
      <c r="Z775">
        <v>-4.4381219999999999E-4</v>
      </c>
      <c r="AA775">
        <v>0.99518859999999998</v>
      </c>
      <c r="AB775">
        <v>23</v>
      </c>
      <c r="AC775">
        <v>236.91309999999999</v>
      </c>
      <c r="AD775">
        <v>0.38461499999999998</v>
      </c>
      <c r="AE775">
        <v>-23.7164</v>
      </c>
      <c r="AF775">
        <v>23.3443814431268</v>
      </c>
      <c r="AG775">
        <v>0.38461499999999998</v>
      </c>
      <c r="AH775">
        <v>236.949421985725</v>
      </c>
      <c r="AI775">
        <v>89.907445979914897</v>
      </c>
      <c r="AJ775">
        <v>84.373347490041198</v>
      </c>
      <c r="AK775">
        <v>238.09690601313901</v>
      </c>
      <c r="AL775">
        <v>84.394556286881894</v>
      </c>
      <c r="AM775">
        <v>96.559511901327099</v>
      </c>
      <c r="AN775">
        <v>1.00000003493275</v>
      </c>
    </row>
    <row r="776" spans="1:40" x14ac:dyDescent="0.25">
      <c r="A776" t="str">
        <f>"20190304154739873"</f>
        <v>20190304154739873</v>
      </c>
      <c r="B776" t="str">
        <f>"1551685659867886"</f>
        <v>1551685659867886</v>
      </c>
      <c r="C776" t="s">
        <v>40</v>
      </c>
      <c r="D776">
        <v>4.0338260000000004</v>
      </c>
      <c r="E776">
        <v>0.58183999999999902</v>
      </c>
      <c r="F776" t="s">
        <v>47</v>
      </c>
      <c r="G776">
        <v>-153.9537</v>
      </c>
      <c r="H776">
        <v>2.030843</v>
      </c>
      <c r="I776">
        <v>342.64400000000001</v>
      </c>
      <c r="J776">
        <v>-385.87900000000002</v>
      </c>
      <c r="K776">
        <v>1.110363</v>
      </c>
      <c r="L776">
        <v>366.36020000000002</v>
      </c>
      <c r="M776">
        <v>0.99994609999999995</v>
      </c>
      <c r="N776">
        <v>-1.026432E-2</v>
      </c>
      <c r="O776">
        <v>-1.5700110000000001E-3</v>
      </c>
      <c r="P776">
        <v>0.98987250000000004</v>
      </c>
      <c r="Q776">
        <v>8.7327630000000003E-2</v>
      </c>
      <c r="R776">
        <v>0.1119214</v>
      </c>
      <c r="S776">
        <v>3.0652159999999999</v>
      </c>
      <c r="T776">
        <v>1.215959E-2</v>
      </c>
      <c r="U776">
        <v>-0.3132935</v>
      </c>
      <c r="V776">
        <v>-0.1134718</v>
      </c>
      <c r="W776">
        <v>9.7486240000000002E-2</v>
      </c>
      <c r="X776">
        <v>0.98874700000000004</v>
      </c>
      <c r="Y776">
        <v>0.1001189</v>
      </c>
      <c r="Z776">
        <v>-3.3939009999999999E-4</v>
      </c>
      <c r="AA776">
        <v>0.99497539999999995</v>
      </c>
      <c r="AB776">
        <v>23</v>
      </c>
      <c r="AC776">
        <v>231.92529999999999</v>
      </c>
      <c r="AD776">
        <v>0.92047999999999996</v>
      </c>
      <c r="AE776">
        <v>-23.716200000000001</v>
      </c>
      <c r="AF776">
        <v>23.351662290587399</v>
      </c>
      <c r="AG776">
        <v>0.92047999999999996</v>
      </c>
      <c r="AH776">
        <v>231.95863481137999</v>
      </c>
      <c r="AI776">
        <v>89.773778162822893</v>
      </c>
      <c r="AJ776">
        <v>84.251306780982006</v>
      </c>
      <c r="AK776">
        <v>233.13291419000299</v>
      </c>
      <c r="AL776">
        <v>84.405564858295094</v>
      </c>
      <c r="AM776">
        <v>96.546807222756897</v>
      </c>
      <c r="AN776">
        <v>1.0000000231967801</v>
      </c>
    </row>
    <row r="777" spans="1:40" x14ac:dyDescent="0.25">
      <c r="A777" t="str">
        <f>"20190304154739885"</f>
        <v>20190304154739885</v>
      </c>
      <c r="B777" t="str">
        <f>"1551685659877647"</f>
        <v>1551685659877647</v>
      </c>
      <c r="C777" t="s">
        <v>40</v>
      </c>
      <c r="D777">
        <v>4.0617519999999896</v>
      </c>
      <c r="E777">
        <v>0.58244010000000002</v>
      </c>
      <c r="F777" t="s">
        <v>47</v>
      </c>
      <c r="G777">
        <v>-156.46770000000001</v>
      </c>
      <c r="H777">
        <v>2.2389730000000001</v>
      </c>
      <c r="I777">
        <v>342.61320000000001</v>
      </c>
      <c r="J777">
        <v>-385.75389999999999</v>
      </c>
      <c r="K777">
        <v>1.1103620000000001</v>
      </c>
      <c r="L777">
        <v>366.36</v>
      </c>
      <c r="M777">
        <v>0.99994620000000001</v>
      </c>
      <c r="N777">
        <v>-1.025686E-2</v>
      </c>
      <c r="O777">
        <v>-1.5697339999999999E-3</v>
      </c>
      <c r="P777">
        <v>0.98989050000000001</v>
      </c>
      <c r="Q777">
        <v>8.7123919999999994E-2</v>
      </c>
      <c r="R777">
        <v>0.1119199</v>
      </c>
      <c r="S777">
        <v>3.0652469999999998</v>
      </c>
      <c r="T777">
        <v>1.507986E-2</v>
      </c>
      <c r="U777">
        <v>-0.3172913</v>
      </c>
      <c r="V777">
        <v>-0.113469899999999</v>
      </c>
      <c r="W777">
        <v>9.7275050000000002E-2</v>
      </c>
      <c r="X777">
        <v>0.98876799999999998</v>
      </c>
      <c r="Y777">
        <v>0.1014022</v>
      </c>
      <c r="Z777">
        <v>-2.9642550000000002E-4</v>
      </c>
      <c r="AA777">
        <v>0.99484539999999999</v>
      </c>
      <c r="AB777">
        <v>23</v>
      </c>
      <c r="AC777">
        <v>229.28620000000001</v>
      </c>
      <c r="AD777">
        <v>1.128611</v>
      </c>
      <c r="AE777">
        <v>-23.7468</v>
      </c>
      <c r="AF777">
        <v>23.3862728659862</v>
      </c>
      <c r="AG777">
        <v>1.128611</v>
      </c>
      <c r="AH777">
        <v>229.317698462501</v>
      </c>
      <c r="AI777">
        <v>89.719470118650506</v>
      </c>
      <c r="AJ777">
        <v>84.176994342319404</v>
      </c>
      <c r="AK777">
        <v>230.50986605672699</v>
      </c>
      <c r="AL777">
        <v>84.417722840475506</v>
      </c>
      <c r="AM777">
        <v>96.546560717638499</v>
      </c>
      <c r="AN777">
        <v>1.0000000056912499</v>
      </c>
    </row>
    <row r="778" spans="1:40" x14ac:dyDescent="0.25">
      <c r="A778" t="str">
        <f>"20190304154739897"</f>
        <v>20190304154739897</v>
      </c>
      <c r="B778" t="str">
        <f>"1551685659887407"</f>
        <v>1551685659887407</v>
      </c>
      <c r="C778" t="s">
        <v>40</v>
      </c>
      <c r="D778">
        <v>4.0310569999999997</v>
      </c>
      <c r="E778">
        <v>0.58273989999999998</v>
      </c>
      <c r="F778" t="s">
        <v>47</v>
      </c>
      <c r="G778">
        <v>-160.2517</v>
      </c>
      <c r="H778">
        <v>2.5245139999999999</v>
      </c>
      <c r="I778">
        <v>342.64389999999997</v>
      </c>
      <c r="J778">
        <v>-385.62950000000001</v>
      </c>
      <c r="K778">
        <v>1.11036</v>
      </c>
      <c r="L778">
        <v>366.35969999999998</v>
      </c>
      <c r="M778">
        <v>0.99994620000000001</v>
      </c>
      <c r="N778">
        <v>-1.0249940000000001E-2</v>
      </c>
      <c r="O778">
        <v>-1.569579E-3</v>
      </c>
      <c r="P778">
        <v>0.98993010000000004</v>
      </c>
      <c r="Q778">
        <v>8.7100899999999995E-2</v>
      </c>
      <c r="R778">
        <v>0.1115893</v>
      </c>
      <c r="S778">
        <v>3.0653990000000002</v>
      </c>
      <c r="T778">
        <v>1.9223569999999999E-2</v>
      </c>
      <c r="U778">
        <v>-0.3223877</v>
      </c>
      <c r="V778">
        <v>-0.1131398</v>
      </c>
      <c r="W778">
        <v>9.724563E-2</v>
      </c>
      <c r="X778">
        <v>0.98880869999999998</v>
      </c>
      <c r="Y778">
        <v>0.103033399999999</v>
      </c>
      <c r="Z778">
        <v>-2.3318859999999999E-4</v>
      </c>
      <c r="AA778">
        <v>0.9946779</v>
      </c>
      <c r="AB778">
        <v>23</v>
      </c>
      <c r="AC778">
        <v>225.37780000000001</v>
      </c>
      <c r="AD778">
        <v>1.4141539999999999</v>
      </c>
      <c r="AE778">
        <v>-23.715800000000002</v>
      </c>
      <c r="AF778">
        <v>23.361094259274701</v>
      </c>
      <c r="AG778">
        <v>1.4141539999999999</v>
      </c>
      <c r="AH778">
        <v>225.40597096798899</v>
      </c>
      <c r="AI778">
        <v>89.642456994800597</v>
      </c>
      <c r="AJ778">
        <v>84.082985541350993</v>
      </c>
      <c r="AK778">
        <v>226.61772283859099</v>
      </c>
      <c r="AL778">
        <v>84.4194164020644</v>
      </c>
      <c r="AM778">
        <v>96.527414091182905</v>
      </c>
      <c r="AN778">
        <v>0.99999998604691298</v>
      </c>
    </row>
    <row r="779" spans="1:40" x14ac:dyDescent="0.25">
      <c r="A779" t="str">
        <f>"20190304154739908"</f>
        <v>20190304154739908</v>
      </c>
      <c r="B779" t="str">
        <f>"1551685659898143"</f>
        <v>1551685659898143</v>
      </c>
      <c r="C779" t="s">
        <v>40</v>
      </c>
      <c r="D779">
        <v>4.0420860000000003</v>
      </c>
      <c r="E779">
        <v>0.58303389999999999</v>
      </c>
      <c r="F779" t="s">
        <v>47</v>
      </c>
      <c r="G779">
        <v>-162.23429999999999</v>
      </c>
      <c r="H779">
        <v>2.7015729999999998</v>
      </c>
      <c r="I779">
        <v>342.64389999999997</v>
      </c>
      <c r="J779">
        <v>-385.5018</v>
      </c>
      <c r="K779">
        <v>1.110358</v>
      </c>
      <c r="L779">
        <v>366.3596</v>
      </c>
      <c r="M779">
        <v>0.99994640000000001</v>
      </c>
      <c r="N779">
        <v>-1.024342E-2</v>
      </c>
      <c r="O779">
        <v>-1.569546E-3</v>
      </c>
      <c r="P779">
        <v>0.98993869999999895</v>
      </c>
      <c r="Q779">
        <v>8.7120310000000006E-2</v>
      </c>
      <c r="R779">
        <v>0.1114966</v>
      </c>
      <c r="S779">
        <v>3.0652469999999998</v>
      </c>
      <c r="T779">
        <v>2.1833419999999999E-2</v>
      </c>
      <c r="U779">
        <v>-0.3254089</v>
      </c>
      <c r="V779">
        <v>-0.1130467</v>
      </c>
      <c r="W779">
        <v>9.7258430000000007E-2</v>
      </c>
      <c r="X779">
        <v>0.98881810000000003</v>
      </c>
      <c r="Y779">
        <v>0.104008</v>
      </c>
      <c r="Z779">
        <v>-1.920065E-4</v>
      </c>
      <c r="AA779">
        <v>0.99457649999999997</v>
      </c>
      <c r="AB779">
        <v>23</v>
      </c>
      <c r="AC779">
        <v>223.26750000000001</v>
      </c>
      <c r="AD779">
        <v>1.5912149999999901</v>
      </c>
      <c r="AE779">
        <v>-23.715699999999998</v>
      </c>
      <c r="AF779">
        <v>23.364050324056102</v>
      </c>
      <c r="AG779">
        <v>1.5912149999999901</v>
      </c>
      <c r="AH779">
        <v>223.29323452879899</v>
      </c>
      <c r="AI779">
        <v>89.593926923865595</v>
      </c>
      <c r="AJ779">
        <v>84.026652965550198</v>
      </c>
      <c r="AK779">
        <v>224.51788213648899</v>
      </c>
      <c r="AL779">
        <v>84.418679582968593</v>
      </c>
      <c r="AM779">
        <v>96.522027671660197</v>
      </c>
      <c r="AN779">
        <v>0.99999999673728202</v>
      </c>
    </row>
    <row r="780" spans="1:40" x14ac:dyDescent="0.25">
      <c r="A780" t="str">
        <f>"20190304154739922"</f>
        <v>20190304154739922</v>
      </c>
      <c r="B780" t="str">
        <f>"1551685659917663"</f>
        <v>1551685659917663</v>
      </c>
      <c r="C780" t="s">
        <v>40</v>
      </c>
      <c r="D780">
        <v>4.1248180000000003</v>
      </c>
      <c r="E780">
        <v>0.58351459999999999</v>
      </c>
      <c r="F780" t="s">
        <v>47</v>
      </c>
      <c r="G780">
        <v>-162.62819999999999</v>
      </c>
      <c r="H780">
        <v>2.875788</v>
      </c>
      <c r="I780">
        <v>342.50459999999998</v>
      </c>
      <c r="J780">
        <v>-385.37729999999999</v>
      </c>
      <c r="K780">
        <v>1.110358</v>
      </c>
      <c r="L780">
        <v>366.35939999999999</v>
      </c>
      <c r="M780">
        <v>0.99994629999999995</v>
      </c>
      <c r="N780">
        <v>-1.0238000000000001E-2</v>
      </c>
      <c r="O780">
        <v>-1.5692799999999999E-3</v>
      </c>
      <c r="P780">
        <v>0.98994709999999997</v>
      </c>
      <c r="Q780">
        <v>8.707115E-2</v>
      </c>
      <c r="R780">
        <v>0.1114612</v>
      </c>
      <c r="S780">
        <v>3.0653380000000001</v>
      </c>
      <c r="T780">
        <v>2.4281259999999999E-2</v>
      </c>
      <c r="U780">
        <v>-0.32809450000000001</v>
      </c>
      <c r="V780">
        <v>-0.113011</v>
      </c>
      <c r="W780">
        <v>9.7203860000000003E-2</v>
      </c>
      <c r="X780">
        <v>0.98882749999999997</v>
      </c>
      <c r="Y780">
        <v>0.1048665</v>
      </c>
      <c r="Z780">
        <v>-1.526206E-4</v>
      </c>
      <c r="AA780">
        <v>0.99448630000000005</v>
      </c>
      <c r="AB780">
        <v>23</v>
      </c>
      <c r="AC780">
        <v>222.7491</v>
      </c>
      <c r="AD780">
        <v>1.7654299999999901</v>
      </c>
      <c r="AE780">
        <v>-23.854800000000001</v>
      </c>
      <c r="AF780">
        <v>23.5037369086834</v>
      </c>
      <c r="AG780">
        <v>1.7654299999999901</v>
      </c>
      <c r="AH780">
        <v>222.77242755700701</v>
      </c>
      <c r="AI780">
        <v>89.548457221608004</v>
      </c>
      <c r="AJ780">
        <v>83.977256147834197</v>
      </c>
      <c r="AK780">
        <v>224.015840670698</v>
      </c>
      <c r="AL780">
        <v>84.421820840746904</v>
      </c>
      <c r="AM780">
        <v>96.519924314694705</v>
      </c>
      <c r="AN780">
        <v>0.99999995063807301</v>
      </c>
    </row>
    <row r="781" spans="1:40" x14ac:dyDescent="0.25">
      <c r="A781" t="str">
        <f>"20190304154739935"</f>
        <v>20190304154739935</v>
      </c>
      <c r="B781" t="str">
        <f>"1551685659927424"</f>
        <v>1551685659927424</v>
      </c>
      <c r="C781" t="s">
        <v>40</v>
      </c>
      <c r="D781">
        <v>4.1184919999999998</v>
      </c>
      <c r="E781">
        <v>0.58369230000000005</v>
      </c>
      <c r="F781" t="s">
        <v>47</v>
      </c>
      <c r="G781">
        <v>-166.7647</v>
      </c>
      <c r="H781">
        <v>3.076184</v>
      </c>
      <c r="I781">
        <v>342.64389999999997</v>
      </c>
      <c r="J781">
        <v>-385.24599999999998</v>
      </c>
      <c r="K781">
        <v>1.1103559999999999</v>
      </c>
      <c r="L781">
        <v>366.35919999999999</v>
      </c>
      <c r="M781">
        <v>0.99994649999999996</v>
      </c>
      <c r="N781">
        <v>-1.0232669999999999E-2</v>
      </c>
      <c r="O781">
        <v>-1.5692519999999999E-3</v>
      </c>
      <c r="P781">
        <v>0.98995739999999999</v>
      </c>
      <c r="Q781">
        <v>8.7048959999999995E-2</v>
      </c>
      <c r="R781">
        <v>0.1113869</v>
      </c>
      <c r="S781">
        <v>3.0654910000000002</v>
      </c>
      <c r="T781">
        <v>2.7565840000000001E-2</v>
      </c>
      <c r="U781">
        <v>-0.33255000000000001</v>
      </c>
      <c r="V781">
        <v>-0.1129368</v>
      </c>
      <c r="W781">
        <v>9.7176789999999999E-2</v>
      </c>
      <c r="X781">
        <v>0.98883869999999896</v>
      </c>
      <c r="Y781">
        <v>0.1062897</v>
      </c>
      <c r="Z781" s="1">
        <v>-9.9009250000000004E-5</v>
      </c>
      <c r="AA781">
        <v>0.99433519999999997</v>
      </c>
      <c r="AB781">
        <v>23</v>
      </c>
      <c r="AC781">
        <v>218.4813</v>
      </c>
      <c r="AD781">
        <v>1.9658279999999999</v>
      </c>
      <c r="AE781">
        <v>-23.715299999999999</v>
      </c>
      <c r="AF781">
        <v>23.370530648184701</v>
      </c>
      <c r="AG781">
        <v>1.9658279999999999</v>
      </c>
      <c r="AH781">
        <v>218.50076468770001</v>
      </c>
      <c r="AI781">
        <v>89.487453218199605</v>
      </c>
      <c r="AJ781">
        <v>83.8949353364969</v>
      </c>
      <c r="AK781">
        <v>219.755842588116</v>
      </c>
      <c r="AL781">
        <v>84.423379558281695</v>
      </c>
      <c r="AM781">
        <v>96.515607165649698</v>
      </c>
      <c r="AN781">
        <v>1.0000000119633099</v>
      </c>
    </row>
    <row r="782" spans="1:40" x14ac:dyDescent="0.25">
      <c r="A782" t="str">
        <f>"20190304154739946"</f>
        <v>20190304154739946</v>
      </c>
      <c r="B782" t="str">
        <f>"1551685659938158"</f>
        <v>1551685659938158</v>
      </c>
      <c r="C782" t="s">
        <v>40</v>
      </c>
      <c r="D782">
        <v>4.1124650000000003</v>
      </c>
      <c r="E782">
        <v>0.58351260000000005</v>
      </c>
      <c r="F782" t="s">
        <v>47</v>
      </c>
      <c r="G782">
        <v>-167.75319999999999</v>
      </c>
      <c r="H782">
        <v>3.1848239999999999</v>
      </c>
      <c r="I782">
        <v>342.64389999999997</v>
      </c>
      <c r="J782">
        <v>-385.10840000000002</v>
      </c>
      <c r="K782">
        <v>1.110355</v>
      </c>
      <c r="L782">
        <v>366.35890000000001</v>
      </c>
      <c r="M782">
        <v>0.99994649999999996</v>
      </c>
      <c r="N782">
        <v>-1.02278E-2</v>
      </c>
      <c r="O782">
        <v>-1.5692270000000001E-3</v>
      </c>
      <c r="P782">
        <v>0.98996419999999996</v>
      </c>
      <c r="Q782">
        <v>8.6976440000000002E-2</v>
      </c>
      <c r="R782">
        <v>0.1113835</v>
      </c>
      <c r="S782">
        <v>3.0654910000000002</v>
      </c>
      <c r="T782">
        <v>2.9239060000000001E-2</v>
      </c>
      <c r="U782">
        <v>-0.33425899999999997</v>
      </c>
      <c r="V782">
        <v>-0.1129334</v>
      </c>
      <c r="W782">
        <v>9.7099439999999995E-2</v>
      </c>
      <c r="X782">
        <v>0.98884669999999997</v>
      </c>
      <c r="Y782">
        <v>0.1068373</v>
      </c>
      <c r="Z782" s="1">
        <v>-7.0910440000000001E-5</v>
      </c>
      <c r="AA782">
        <v>0.99427650000000001</v>
      </c>
      <c r="AB782">
        <v>23</v>
      </c>
      <c r="AC782">
        <v>217.3552</v>
      </c>
      <c r="AD782">
        <v>2.0744690000000001</v>
      </c>
      <c r="AE782">
        <v>-23.715</v>
      </c>
      <c r="AF782">
        <v>23.371769416834798</v>
      </c>
      <c r="AG782">
        <v>2.0744690000000001</v>
      </c>
      <c r="AH782">
        <v>217.372580849408</v>
      </c>
      <c r="AI782">
        <v>89.456354406523104</v>
      </c>
      <c r="AJ782">
        <v>83.863167836113703</v>
      </c>
      <c r="AK782">
        <v>218.63527147383601</v>
      </c>
      <c r="AL782">
        <v>84.427832518259805</v>
      </c>
      <c r="AM782">
        <v>96.515360439817499</v>
      </c>
      <c r="AN782">
        <v>1.00000002509238</v>
      </c>
    </row>
    <row r="783" spans="1:40" x14ac:dyDescent="0.25">
      <c r="A783" t="str">
        <f>"20190304154739963"</f>
        <v>20190304154739963</v>
      </c>
      <c r="B783" t="str">
        <f>"1551685659957679"</f>
        <v>1551685659957679</v>
      </c>
      <c r="C783" t="s">
        <v>40</v>
      </c>
      <c r="D783">
        <v>4.0886979999999999</v>
      </c>
      <c r="E783">
        <v>0.58367259999999999</v>
      </c>
      <c r="F783" t="s">
        <v>47</v>
      </c>
      <c r="G783">
        <v>-166.76689999999999</v>
      </c>
      <c r="H783">
        <v>3.084908</v>
      </c>
      <c r="I783">
        <v>342.64389999999997</v>
      </c>
      <c r="J783">
        <v>-384.94869999999997</v>
      </c>
      <c r="K783">
        <v>1.1103529999999999</v>
      </c>
      <c r="L783">
        <v>366.3587</v>
      </c>
      <c r="M783">
        <v>0.99994660000000002</v>
      </c>
      <c r="N783">
        <v>-1.022292E-2</v>
      </c>
      <c r="O783">
        <v>-1.569083E-3</v>
      </c>
      <c r="P783">
        <v>0.98995279999999997</v>
      </c>
      <c r="Q783">
        <v>8.6750229999999998E-2</v>
      </c>
      <c r="R783">
        <v>0.1116603</v>
      </c>
      <c r="S783">
        <v>3.0653990000000002</v>
      </c>
      <c r="T783">
        <v>2.7721760000000002E-2</v>
      </c>
      <c r="U783">
        <v>-0.33294679999999999</v>
      </c>
      <c r="V783">
        <v>-0.1132104</v>
      </c>
      <c r="W783">
        <v>9.6868319999999994E-2</v>
      </c>
      <c r="X783">
        <v>0.98883770000000004</v>
      </c>
      <c r="Y783">
        <v>0.10642020000000001</v>
      </c>
      <c r="Z783" s="1">
        <v>-9.5929720000000006E-5</v>
      </c>
      <c r="AA783">
        <v>0.99432120000000002</v>
      </c>
      <c r="AB783">
        <v>23</v>
      </c>
      <c r="AC783">
        <v>218.18180000000001</v>
      </c>
      <c r="AD783">
        <v>1.9745550000000001</v>
      </c>
      <c r="AE783">
        <v>-23.7148</v>
      </c>
      <c r="AF783">
        <v>23.370515816913102</v>
      </c>
      <c r="AG783">
        <v>1.9745550000000001</v>
      </c>
      <c r="AH783">
        <v>218.201081098462</v>
      </c>
      <c r="AI783">
        <v>89.484478941978907</v>
      </c>
      <c r="AJ783">
        <v>83.886617768051906</v>
      </c>
      <c r="AK783">
        <v>219.45794966128301</v>
      </c>
      <c r="AL783">
        <v>84.441137474355997</v>
      </c>
      <c r="AM783">
        <v>96.531262162051405</v>
      </c>
      <c r="AN783">
        <v>1.0000000315145301</v>
      </c>
    </row>
    <row r="784" spans="1:40" x14ac:dyDescent="0.25">
      <c r="A784" t="str">
        <f>"20190304154739975"</f>
        <v>20190304154739975</v>
      </c>
      <c r="B784" t="str">
        <f>"1551685659967438"</f>
        <v>1551685659967438</v>
      </c>
      <c r="C784" t="s">
        <v>40</v>
      </c>
      <c r="D784">
        <v>4.105505</v>
      </c>
      <c r="E784">
        <v>0.58382639999999997</v>
      </c>
      <c r="F784" t="s">
        <v>47</v>
      </c>
      <c r="G784">
        <v>-166.71209999999999</v>
      </c>
      <c r="H784">
        <v>3.04955</v>
      </c>
      <c r="I784">
        <v>342.64389999999997</v>
      </c>
      <c r="J784">
        <v>-384.82190000000003</v>
      </c>
      <c r="K784">
        <v>1.110349</v>
      </c>
      <c r="L784">
        <v>366.35849999999999</v>
      </c>
      <c r="M784">
        <v>0.99994660000000002</v>
      </c>
      <c r="N784">
        <v>-1.0219509999999999E-2</v>
      </c>
      <c r="O784">
        <v>-1.568947E-3</v>
      </c>
      <c r="P784">
        <v>0.98995979999999995</v>
      </c>
      <c r="Q784">
        <v>8.6690210000000004E-2</v>
      </c>
      <c r="R784">
        <v>0.1116442</v>
      </c>
      <c r="S784">
        <v>3.0656430000000001</v>
      </c>
      <c r="T784">
        <v>2.7240629999999998E-2</v>
      </c>
      <c r="U784">
        <v>-0.33312989999999998</v>
      </c>
      <c r="V784">
        <v>-0.11319369999999999</v>
      </c>
      <c r="W784">
        <v>9.6804719999999997E-2</v>
      </c>
      <c r="X784">
        <v>0.9888458</v>
      </c>
      <c r="Y784">
        <v>0.1064706</v>
      </c>
      <c r="Z784">
        <v>-1.0389460000000001E-4</v>
      </c>
      <c r="AA784">
        <v>0.99431590000000003</v>
      </c>
      <c r="AB784">
        <v>23</v>
      </c>
      <c r="AC784">
        <v>218.10980000000001</v>
      </c>
      <c r="AD784">
        <v>1.93920099999999</v>
      </c>
      <c r="AE784">
        <v>-23.714600000000001</v>
      </c>
      <c r="AF784">
        <v>23.370524411824899</v>
      </c>
      <c r="AG784">
        <v>1.93920099999999</v>
      </c>
      <c r="AH784">
        <v>218.12969898241101</v>
      </c>
      <c r="AI784">
        <v>89.493544964076804</v>
      </c>
      <c r="AJ784">
        <v>83.8846301116441</v>
      </c>
      <c r="AK784">
        <v>219.38666206029799</v>
      </c>
      <c r="AL784">
        <v>84.444798471436997</v>
      </c>
      <c r="AM784">
        <v>96.5302540088462</v>
      </c>
      <c r="AN784">
        <v>0.99999999185580402</v>
      </c>
    </row>
    <row r="785" spans="1:40" x14ac:dyDescent="0.25">
      <c r="A785" t="str">
        <f>"20190304154739985"</f>
        <v>20190304154739985</v>
      </c>
      <c r="B785" t="str">
        <f>"1551685659977198"</f>
        <v>1551685659977198</v>
      </c>
      <c r="C785" t="s">
        <v>40</v>
      </c>
      <c r="D785">
        <v>4.0935600000000001</v>
      </c>
      <c r="E785">
        <v>0.5838219</v>
      </c>
      <c r="F785" t="s">
        <v>47</v>
      </c>
      <c r="G785">
        <v>-167.4393</v>
      </c>
      <c r="H785">
        <v>3.0910030000000002</v>
      </c>
      <c r="I785">
        <v>342.64389999999997</v>
      </c>
      <c r="J785">
        <v>-384.70699999999999</v>
      </c>
      <c r="K785">
        <v>1.110347</v>
      </c>
      <c r="L785">
        <v>366.35829999999999</v>
      </c>
      <c r="M785">
        <v>0.99994649999999996</v>
      </c>
      <c r="N785">
        <v>-1.0216920000000001E-2</v>
      </c>
      <c r="O785">
        <v>-1.5686949999999999E-3</v>
      </c>
      <c r="P785">
        <v>0.98997999999999997</v>
      </c>
      <c r="Q785">
        <v>8.6441729999999994E-2</v>
      </c>
      <c r="R785">
        <v>0.1116576</v>
      </c>
      <c r="S785">
        <v>3.0657040000000002</v>
      </c>
      <c r="T785">
        <v>2.793288E-2</v>
      </c>
      <c r="U785">
        <v>-0.33444210000000002</v>
      </c>
      <c r="V785">
        <v>-0.1132068</v>
      </c>
      <c r="W785">
        <v>9.6554139999999997E-2</v>
      </c>
      <c r="X785">
        <v>0.98886879999999999</v>
      </c>
      <c r="Y785">
        <v>0.1068892</v>
      </c>
      <c r="Z785" s="1">
        <v>-9.2392089999999999E-5</v>
      </c>
      <c r="AA785">
        <v>0.99427089999999996</v>
      </c>
      <c r="AB785">
        <v>23</v>
      </c>
      <c r="AC785">
        <v>217.26769999999999</v>
      </c>
      <c r="AD785">
        <v>1.980656</v>
      </c>
      <c r="AE785">
        <v>-23.714400000000001</v>
      </c>
      <c r="AF785">
        <v>23.3716068149736</v>
      </c>
      <c r="AG785">
        <v>1.980656</v>
      </c>
      <c r="AH785">
        <v>217.28679020041301</v>
      </c>
      <c r="AI785">
        <v>89.480735501442794</v>
      </c>
      <c r="AJ785">
        <v>83.860805735506204</v>
      </c>
      <c r="AK785">
        <v>218.54908876246199</v>
      </c>
      <c r="AL785">
        <v>84.459223223663599</v>
      </c>
      <c r="AM785">
        <v>96.530852639878603</v>
      </c>
      <c r="AN785">
        <v>0.99999999256540895</v>
      </c>
    </row>
    <row r="786" spans="1:40" x14ac:dyDescent="0.25">
      <c r="A786" t="str">
        <f>"20190304154739997"</f>
        <v>20190304154739997</v>
      </c>
      <c r="B786" t="str">
        <f>"1551685659987934"</f>
        <v>1551685659987934</v>
      </c>
      <c r="C786" t="s">
        <v>40</v>
      </c>
      <c r="D786">
        <v>4.1109730000000004</v>
      </c>
      <c r="E786">
        <v>0.58388219999999902</v>
      </c>
      <c r="F786" t="s">
        <v>47</v>
      </c>
      <c r="G786">
        <v>-167.3083</v>
      </c>
      <c r="H786">
        <v>3.0586470000000001</v>
      </c>
      <c r="I786">
        <v>342.64389999999997</v>
      </c>
      <c r="J786">
        <v>-384.59359999999998</v>
      </c>
      <c r="K786">
        <v>1.110347</v>
      </c>
      <c r="L786">
        <v>366.35820000000001</v>
      </c>
      <c r="M786">
        <v>0.99994660000000002</v>
      </c>
      <c r="N786">
        <v>-1.021471E-2</v>
      </c>
      <c r="O786">
        <v>-1.5686840000000001E-3</v>
      </c>
      <c r="P786">
        <v>0.99001130000000004</v>
      </c>
      <c r="Q786">
        <v>8.6090589999999995E-2</v>
      </c>
      <c r="R786">
        <v>0.1116511</v>
      </c>
      <c r="S786">
        <v>3.065674</v>
      </c>
      <c r="T786">
        <v>2.747428E-2</v>
      </c>
      <c r="U786">
        <v>-0.33441159999999998</v>
      </c>
      <c r="V786">
        <v>-0.1132008</v>
      </c>
      <c r="W786">
        <v>9.6200999999999995E-2</v>
      </c>
      <c r="X786">
        <v>0.98890389999999995</v>
      </c>
      <c r="Y786">
        <v>0.10688060000000001</v>
      </c>
      <c r="Z786" s="1">
        <v>-9.9995290000000001E-5</v>
      </c>
      <c r="AA786">
        <v>0.99427189999999999</v>
      </c>
      <c r="AB786">
        <v>23</v>
      </c>
      <c r="AC786">
        <v>217.28530000000001</v>
      </c>
      <c r="AD786">
        <v>1.9482999999999999</v>
      </c>
      <c r="AE786">
        <v>-23.714300000000001</v>
      </c>
      <c r="AF786">
        <v>23.371544130996501</v>
      </c>
      <c r="AG786">
        <v>1.9482999999999999</v>
      </c>
      <c r="AH786">
        <v>217.304969350481</v>
      </c>
      <c r="AI786">
        <v>89.489259978185203</v>
      </c>
      <c r="AJ786">
        <v>83.861331741120793</v>
      </c>
      <c r="AK786">
        <v>218.56686540363501</v>
      </c>
      <c r="AL786">
        <v>84.479551263113507</v>
      </c>
      <c r="AM786">
        <v>96.530279701842304</v>
      </c>
      <c r="AN786">
        <v>0.99999998847842397</v>
      </c>
    </row>
    <row r="787" spans="1:40" x14ac:dyDescent="0.25">
      <c r="A787" t="str">
        <f>"20190304154740009"</f>
        <v>20190304154740009</v>
      </c>
      <c r="B787" t="str">
        <f>"1551685659997696"</f>
        <v>1551685659997696</v>
      </c>
      <c r="C787" t="s">
        <v>40</v>
      </c>
      <c r="D787">
        <v>4.0817430000000003</v>
      </c>
      <c r="E787">
        <v>0.58389040000000003</v>
      </c>
      <c r="F787" t="s">
        <v>47</v>
      </c>
      <c r="G787">
        <v>-167.62780000000001</v>
      </c>
      <c r="H787">
        <v>3.0002719999999998</v>
      </c>
      <c r="I787">
        <v>342.64389999999997</v>
      </c>
      <c r="J787">
        <v>-384.46510000000001</v>
      </c>
      <c r="K787">
        <v>1.1103449999999999</v>
      </c>
      <c r="L787">
        <v>366.35789999999997</v>
      </c>
      <c r="M787">
        <v>0.99994680000000002</v>
      </c>
      <c r="N787">
        <v>-1.0212540000000001E-2</v>
      </c>
      <c r="O787">
        <v>-1.5685530000000001E-3</v>
      </c>
      <c r="P787">
        <v>0.99004440000000005</v>
      </c>
      <c r="Q787">
        <v>8.5542339999999994E-2</v>
      </c>
      <c r="R787">
        <v>0.1117805</v>
      </c>
      <c r="S787">
        <v>3.0657350000000001</v>
      </c>
      <c r="T787">
        <v>2.6704789999999999E-2</v>
      </c>
      <c r="U787">
        <v>-0.33508300000000002</v>
      </c>
      <c r="V787">
        <v>-0.1133299</v>
      </c>
      <c r="W787">
        <v>9.5651379999999994E-2</v>
      </c>
      <c r="X787">
        <v>0.9889424</v>
      </c>
      <c r="Y787">
        <v>0.1070938</v>
      </c>
      <c r="Z787">
        <v>-1.130401E-4</v>
      </c>
      <c r="AA787">
        <v>0.99424889999999999</v>
      </c>
      <c r="AB787">
        <v>23</v>
      </c>
      <c r="AC787">
        <v>216.8373</v>
      </c>
      <c r="AD787">
        <v>1.8899269999999999</v>
      </c>
      <c r="AE787">
        <v>-23.713999999999999</v>
      </c>
      <c r="AF787">
        <v>23.372077839801999</v>
      </c>
      <c r="AG787">
        <v>1.8899269999999999</v>
      </c>
      <c r="AH787">
        <v>216.85795258861299</v>
      </c>
      <c r="AI787">
        <v>89.503552111325305</v>
      </c>
      <c r="AJ787">
        <v>83.848635411048804</v>
      </c>
      <c r="AK787">
        <v>218.121978368848</v>
      </c>
      <c r="AL787">
        <v>84.511187917073002</v>
      </c>
      <c r="AM787">
        <v>96.537410418764793</v>
      </c>
      <c r="AN787">
        <v>0.99999996162383598</v>
      </c>
    </row>
    <row r="788" spans="1:40" x14ac:dyDescent="0.25">
      <c r="A788" t="str">
        <f>"20190304154740022"</f>
        <v>20190304154740022</v>
      </c>
      <c r="B788" t="str">
        <f>"1551685660018191"</f>
        <v>1551685660018191</v>
      </c>
      <c r="C788" t="s">
        <v>40</v>
      </c>
      <c r="D788">
        <v>4.1278550000000003</v>
      </c>
      <c r="E788">
        <v>0.58398749999999999</v>
      </c>
      <c r="F788" t="s">
        <v>47</v>
      </c>
      <c r="G788">
        <v>-167.24610000000001</v>
      </c>
      <c r="H788">
        <v>2.9455719999999999</v>
      </c>
      <c r="I788">
        <v>342.64389999999997</v>
      </c>
      <c r="J788">
        <v>-384.34309999999999</v>
      </c>
      <c r="K788">
        <v>1.1103419999999999</v>
      </c>
      <c r="L788">
        <v>366.35770000000002</v>
      </c>
      <c r="M788">
        <v>0.99994680000000002</v>
      </c>
      <c r="N788">
        <v>-1.021097E-2</v>
      </c>
      <c r="O788">
        <v>-1.5683069999999999E-3</v>
      </c>
      <c r="P788">
        <v>0.99009519999999995</v>
      </c>
      <c r="Q788">
        <v>8.5054409999999997E-2</v>
      </c>
      <c r="R788">
        <v>0.1117022</v>
      </c>
      <c r="S788">
        <v>3.0657040000000002</v>
      </c>
      <c r="T788">
        <v>2.5901440000000001E-2</v>
      </c>
      <c r="U788">
        <v>-0.33468629999999999</v>
      </c>
      <c r="V788">
        <v>-0.1132518</v>
      </c>
      <c r="W788">
        <v>9.5162490000000002E-2</v>
      </c>
      <c r="X788">
        <v>0.9889985</v>
      </c>
      <c r="Y788">
        <v>0.1069681</v>
      </c>
      <c r="Z788">
        <v>-1.264026E-4</v>
      </c>
      <c r="AA788">
        <v>0.99426250000000005</v>
      </c>
      <c r="AB788">
        <v>23</v>
      </c>
      <c r="AC788">
        <v>217.09700000000001</v>
      </c>
      <c r="AD788">
        <v>1.8352299999999999</v>
      </c>
      <c r="AE788">
        <v>-23.713799999999999</v>
      </c>
      <c r="AF788">
        <v>23.371627910074199</v>
      </c>
      <c r="AG788">
        <v>1.8352299999999999</v>
      </c>
      <c r="AH788">
        <v>217.11859271709099</v>
      </c>
      <c r="AI788">
        <v>89.518491232827401</v>
      </c>
      <c r="AJ788">
        <v>83.856080679870601</v>
      </c>
      <c r="AK788">
        <v>218.38059520884599</v>
      </c>
      <c r="AL788">
        <v>84.5393275591845</v>
      </c>
      <c r="AM788">
        <v>96.532576824980197</v>
      </c>
      <c r="AN788">
        <v>0.99999995135424302</v>
      </c>
    </row>
    <row r="789" spans="1:40" x14ac:dyDescent="0.25">
      <c r="A789" t="str">
        <f>"20190304154740034"</f>
        <v>20190304154740034</v>
      </c>
      <c r="B789" t="str">
        <f>"1551685660027950"</f>
        <v>1551685660027950</v>
      </c>
      <c r="C789" t="s">
        <v>40</v>
      </c>
      <c r="D789">
        <v>4.1477849999999998</v>
      </c>
      <c r="E789">
        <v>0.58408230000000005</v>
      </c>
      <c r="F789" t="s">
        <v>47</v>
      </c>
      <c r="G789">
        <v>-167.84569999999999</v>
      </c>
      <c r="H789">
        <v>2.9860519999999999</v>
      </c>
      <c r="I789">
        <v>342.64389999999997</v>
      </c>
      <c r="J789">
        <v>-384.2106</v>
      </c>
      <c r="K789">
        <v>1.1103400000000001</v>
      </c>
      <c r="L789">
        <v>366.35750000000002</v>
      </c>
      <c r="M789">
        <v>0.99994669999999997</v>
      </c>
      <c r="N789">
        <v>-1.020948E-2</v>
      </c>
      <c r="O789">
        <v>-1.5681810000000001E-3</v>
      </c>
      <c r="P789">
        <v>0.99016389999999999</v>
      </c>
      <c r="Q789">
        <v>8.4453669999999995E-2</v>
      </c>
      <c r="R789">
        <v>0.1115491</v>
      </c>
      <c r="S789">
        <v>3.065582</v>
      </c>
      <c r="T789">
        <v>2.6559949999999999E-2</v>
      </c>
      <c r="U789">
        <v>-0.3357849</v>
      </c>
      <c r="V789">
        <v>-0.1130984</v>
      </c>
      <c r="W789">
        <v>9.456059E-2</v>
      </c>
      <c r="X789">
        <v>0.9890738</v>
      </c>
      <c r="Y789">
        <v>0.1073245</v>
      </c>
      <c r="Z789">
        <v>-1.154876E-4</v>
      </c>
      <c r="AA789">
        <v>0.994224</v>
      </c>
      <c r="AB789">
        <v>23</v>
      </c>
      <c r="AC789">
        <v>216.36490000000001</v>
      </c>
      <c r="AD789">
        <v>1.8757119999999901</v>
      </c>
      <c r="AE789">
        <v>-23.7136</v>
      </c>
      <c r="AF789">
        <v>23.3725181299965</v>
      </c>
      <c r="AG789">
        <v>1.8757119999999901</v>
      </c>
      <c r="AH789">
        <v>216.385753611414</v>
      </c>
      <c r="AI789">
        <v>89.506223277233303</v>
      </c>
      <c r="AJ789">
        <v>83.835199856500196</v>
      </c>
      <c r="AK789">
        <v>217.652446035471</v>
      </c>
      <c r="AL789">
        <v>84.573970200694106</v>
      </c>
      <c r="AM789">
        <v>96.523312366228197</v>
      </c>
      <c r="AN789">
        <v>0.99999996755507303</v>
      </c>
    </row>
    <row r="790" spans="1:40" x14ac:dyDescent="0.25">
      <c r="A790" t="str">
        <f>"20190304154740045"</f>
        <v>20190304154740045</v>
      </c>
      <c r="B790" t="str">
        <f>"1551685660037710"</f>
        <v>1551685660037710</v>
      </c>
      <c r="C790" t="s">
        <v>40</v>
      </c>
      <c r="D790">
        <v>4.1728040000000002</v>
      </c>
      <c r="E790">
        <v>0.58422819999999998</v>
      </c>
      <c r="F790" t="s">
        <v>47</v>
      </c>
      <c r="G790">
        <v>-168.47929999999999</v>
      </c>
      <c r="H790">
        <v>2.9276019999999998</v>
      </c>
      <c r="I790">
        <v>342.64389999999997</v>
      </c>
      <c r="J790">
        <v>-384.09120000000001</v>
      </c>
      <c r="K790">
        <v>1.110339</v>
      </c>
      <c r="L790">
        <v>366.35730000000001</v>
      </c>
      <c r="M790">
        <v>0.99994680000000002</v>
      </c>
      <c r="N790">
        <v>-1.020857E-2</v>
      </c>
      <c r="O790">
        <v>-1.568177E-3</v>
      </c>
      <c r="P790">
        <v>0.99023629999999996</v>
      </c>
      <c r="Q790">
        <v>8.417869E-2</v>
      </c>
      <c r="R790">
        <v>0.11111260000000001</v>
      </c>
      <c r="S790">
        <v>3.065582</v>
      </c>
      <c r="T790">
        <v>2.582371E-2</v>
      </c>
      <c r="U790">
        <v>-0.33697510000000003</v>
      </c>
      <c r="V790">
        <v>-0.11266230000000001</v>
      </c>
      <c r="W790">
        <v>9.4285709999999995E-2</v>
      </c>
      <c r="X790">
        <v>0.98914990000000003</v>
      </c>
      <c r="Y790">
        <v>0.107706</v>
      </c>
      <c r="Z790">
        <v>-1.282817E-4</v>
      </c>
      <c r="AA790">
        <v>0.99418280000000003</v>
      </c>
      <c r="AB790">
        <v>23</v>
      </c>
      <c r="AC790">
        <v>215.61189999999999</v>
      </c>
      <c r="AD790">
        <v>1.8172630000000001</v>
      </c>
      <c r="AE790">
        <v>-23.7134</v>
      </c>
      <c r="AF790">
        <v>23.373595076895299</v>
      </c>
      <c r="AG790">
        <v>1.8172630000000001</v>
      </c>
      <c r="AH790">
        <v>215.63368850912099</v>
      </c>
      <c r="AI790">
        <v>89.519960303050496</v>
      </c>
      <c r="AJ790">
        <v>83.813582484778195</v>
      </c>
      <c r="AK790">
        <v>216.904391407086</v>
      </c>
      <c r="AL790">
        <v>84.589790831450998</v>
      </c>
      <c r="AM790">
        <v>96.497878794116303</v>
      </c>
      <c r="AN790">
        <v>1.0000000568107501</v>
      </c>
    </row>
    <row r="791" spans="1:40" x14ac:dyDescent="0.25">
      <c r="A791" t="str">
        <f>"20190304154740056"</f>
        <v>20190304154740056</v>
      </c>
      <c r="B791" t="str">
        <f>"1551685660047471"</f>
        <v>1551685660047471</v>
      </c>
      <c r="C791" t="s">
        <v>40</v>
      </c>
      <c r="D791">
        <v>4.1554440000000001</v>
      </c>
      <c r="E791">
        <v>0.58429770000000003</v>
      </c>
      <c r="F791" t="s">
        <v>47</v>
      </c>
      <c r="G791">
        <v>-168.983</v>
      </c>
      <c r="H791">
        <v>2.932096</v>
      </c>
      <c r="I791">
        <v>342.55040000000002</v>
      </c>
      <c r="J791">
        <v>-383.97269999999997</v>
      </c>
      <c r="K791">
        <v>1.1103369999999999</v>
      </c>
      <c r="L791">
        <v>366.3571</v>
      </c>
      <c r="M791">
        <v>0.99994680000000002</v>
      </c>
      <c r="N791">
        <v>-1.0207880000000001E-2</v>
      </c>
      <c r="O791">
        <v>-1.567936E-3</v>
      </c>
      <c r="P791">
        <v>0.99031829999999998</v>
      </c>
      <c r="Q791">
        <v>8.3732310000000004E-2</v>
      </c>
      <c r="R791">
        <v>0.1107202</v>
      </c>
      <c r="S791">
        <v>3.0654300000000001</v>
      </c>
      <c r="T791">
        <v>2.596128E-2</v>
      </c>
      <c r="U791">
        <v>-0.33926390000000001</v>
      </c>
      <c r="V791">
        <v>-0.11226940000000001</v>
      </c>
      <c r="W791">
        <v>9.3839480000000003E-2</v>
      </c>
      <c r="X791">
        <v>0.98923700000000003</v>
      </c>
      <c r="Y791">
        <v>0.108445</v>
      </c>
      <c r="Z791">
        <v>-1.2658090000000001E-4</v>
      </c>
      <c r="AA791">
        <v>0.99410240000000005</v>
      </c>
      <c r="AB791">
        <v>23</v>
      </c>
      <c r="AC791">
        <v>214.9897</v>
      </c>
      <c r="AD791">
        <v>1.8217589999999999</v>
      </c>
      <c r="AE791">
        <v>-23.8066999999999</v>
      </c>
      <c r="AF791">
        <v>23.4678984548915</v>
      </c>
      <c r="AG791">
        <v>1.8217589999999999</v>
      </c>
      <c r="AH791">
        <v>215.011513430241</v>
      </c>
      <c r="AI791">
        <v>89.517419287856896</v>
      </c>
      <c r="AJ791">
        <v>83.770985288615407</v>
      </c>
      <c r="AK791">
        <v>216.29612102695199</v>
      </c>
      <c r="AL791">
        <v>84.615471773705593</v>
      </c>
      <c r="AM791">
        <v>96.4748455050171</v>
      </c>
      <c r="AN791">
        <v>1.0000000541760099</v>
      </c>
    </row>
    <row r="792" spans="1:40" x14ac:dyDescent="0.25">
      <c r="A792" t="str">
        <f>"20190304154740068"</f>
        <v>20190304154740068</v>
      </c>
      <c r="B792" t="str">
        <f>"1551685660057905"</f>
        <v>1551685660057905</v>
      </c>
      <c r="C792" t="s">
        <v>40</v>
      </c>
      <c r="D792">
        <v>4.136196</v>
      </c>
      <c r="E792">
        <v>0.58434759999999997</v>
      </c>
      <c r="F792" t="s">
        <v>47</v>
      </c>
      <c r="G792">
        <v>-168.983</v>
      </c>
      <c r="H792">
        <v>2.8963199999999998</v>
      </c>
      <c r="I792">
        <v>342.41300000000001</v>
      </c>
      <c r="J792">
        <v>-383.8494</v>
      </c>
      <c r="K792">
        <v>1.110339</v>
      </c>
      <c r="L792">
        <v>366.35700000000003</v>
      </c>
      <c r="M792">
        <v>0.99994680000000002</v>
      </c>
      <c r="N792">
        <v>-1.02074E-2</v>
      </c>
      <c r="O792">
        <v>-1.567815E-3</v>
      </c>
      <c r="P792">
        <v>0.99036840000000004</v>
      </c>
      <c r="Q792">
        <v>8.3546410000000002E-2</v>
      </c>
      <c r="R792">
        <v>0.11041140000000001</v>
      </c>
      <c r="S792">
        <v>3.065369</v>
      </c>
      <c r="T792">
        <v>2.546501E-2</v>
      </c>
      <c r="U792">
        <v>-0.34140009999999998</v>
      </c>
      <c r="V792">
        <v>-0.1119605</v>
      </c>
      <c r="W792">
        <v>9.365387E-2</v>
      </c>
      <c r="X792">
        <v>0.98928950000000004</v>
      </c>
      <c r="Y792">
        <v>0.1091317</v>
      </c>
      <c r="Z792">
        <v>-1.357509E-4</v>
      </c>
      <c r="AA792">
        <v>0.99402729999999995</v>
      </c>
      <c r="AB792">
        <v>23</v>
      </c>
      <c r="AC792">
        <v>214.8664</v>
      </c>
      <c r="AD792">
        <v>1.785981</v>
      </c>
      <c r="AE792">
        <v>-23.9439999999999</v>
      </c>
      <c r="AF792">
        <v>23.605471392821499</v>
      </c>
      <c r="AG792">
        <v>1.785981</v>
      </c>
      <c r="AH792">
        <v>214.889012985741</v>
      </c>
      <c r="AI792">
        <v>89.526662669083194</v>
      </c>
      <c r="AJ792">
        <v>83.731216103985602</v>
      </c>
      <c r="AK792">
        <v>216.18902819013701</v>
      </c>
      <c r="AL792">
        <v>84.626152965073203</v>
      </c>
      <c r="AM792">
        <v>96.456841391636303</v>
      </c>
      <c r="AN792">
        <v>0.99999995786823703</v>
      </c>
    </row>
    <row r="793" spans="1:40" x14ac:dyDescent="0.25">
      <c r="A793" t="str">
        <f>"20190304154740087"</f>
        <v>20190304154740087</v>
      </c>
      <c r="B793" t="str">
        <f>"1551685660077425"</f>
        <v>1551685660077425</v>
      </c>
      <c r="C793" t="s">
        <v>40</v>
      </c>
      <c r="D793">
        <v>4.3952780000000002</v>
      </c>
      <c r="E793">
        <v>0.58441940000000003</v>
      </c>
      <c r="F793" t="s">
        <v>47</v>
      </c>
      <c r="G793">
        <v>-168.983</v>
      </c>
      <c r="H793">
        <v>2.8797609999999998</v>
      </c>
      <c r="I793">
        <v>342.33530000000002</v>
      </c>
      <c r="J793">
        <v>-383.66079999999999</v>
      </c>
      <c r="K793">
        <v>1.1103379999999901</v>
      </c>
      <c r="L793">
        <v>366.35669999999999</v>
      </c>
      <c r="M793">
        <v>0.99994680000000002</v>
      </c>
      <c r="N793">
        <v>-1.020719E-2</v>
      </c>
      <c r="O793">
        <v>-1.567695E-3</v>
      </c>
      <c r="P793">
        <v>0.99045479999999997</v>
      </c>
      <c r="Q793">
        <v>8.3633319999999997E-2</v>
      </c>
      <c r="R793">
        <v>0.10956630000000001</v>
      </c>
      <c r="S793">
        <v>3.0651860000000002</v>
      </c>
      <c r="T793">
        <v>2.524185E-2</v>
      </c>
      <c r="U793">
        <v>-0.34268189999999998</v>
      </c>
      <c r="V793">
        <v>-0.11111559999999999</v>
      </c>
      <c r="W793">
        <v>9.374122E-2</v>
      </c>
      <c r="X793">
        <v>0.98937649999999999</v>
      </c>
      <c r="Y793">
        <v>0.1095489</v>
      </c>
      <c r="Z793">
        <v>-1.4000319999999999E-4</v>
      </c>
      <c r="AA793">
        <v>0.99398140000000001</v>
      </c>
      <c r="AB793">
        <v>23</v>
      </c>
      <c r="AC793">
        <v>214.67779999999999</v>
      </c>
      <c r="AD793">
        <v>1.769423</v>
      </c>
      <c r="AE793">
        <v>-24.0213999999999</v>
      </c>
      <c r="AF793">
        <v>23.6832146659229</v>
      </c>
      <c r="AG793">
        <v>1.769423</v>
      </c>
      <c r="AH793">
        <v>214.70079116881001</v>
      </c>
      <c r="AI793">
        <v>89.530663131144394</v>
      </c>
      <c r="AJ793">
        <v>83.705266025991705</v>
      </c>
      <c r="AK793">
        <v>216.01031281672201</v>
      </c>
      <c r="AL793">
        <v>84.621126160564401</v>
      </c>
      <c r="AM793">
        <v>96.407963461326105</v>
      </c>
      <c r="AN793">
        <v>0.99999997582134803</v>
      </c>
    </row>
    <row r="794" spans="1:40" x14ac:dyDescent="0.25">
      <c r="A794" t="str">
        <f>"20190304154740098"</f>
        <v>20190304154740098</v>
      </c>
      <c r="B794" t="str">
        <f>"1551685660088161"</f>
        <v>1551685660088161</v>
      </c>
      <c r="C794" t="s">
        <v>40</v>
      </c>
      <c r="D794">
        <v>4.3396359999999996</v>
      </c>
      <c r="E794">
        <v>0.54246309999999998</v>
      </c>
      <c r="F794" t="s">
        <v>47</v>
      </c>
      <c r="G794">
        <v>-168.983</v>
      </c>
      <c r="H794">
        <v>2.9337260000000001</v>
      </c>
      <c r="I794">
        <v>342.14229999999998</v>
      </c>
      <c r="J794">
        <v>-383.53320000000002</v>
      </c>
      <c r="K794">
        <v>1.1103369999999999</v>
      </c>
      <c r="L794">
        <v>366.35649999999998</v>
      </c>
      <c r="M794">
        <v>0.99994669999999997</v>
      </c>
      <c r="N794">
        <v>-1.0207330000000001E-2</v>
      </c>
      <c r="O794">
        <v>-1.5674580000000001E-3</v>
      </c>
      <c r="P794">
        <v>0.99051330000000004</v>
      </c>
      <c r="Q794">
        <v>8.3643439999999999E-2</v>
      </c>
      <c r="R794">
        <v>0.10902829999999999</v>
      </c>
      <c r="S794">
        <v>3.0649109999999999</v>
      </c>
      <c r="T794">
        <v>2.603221E-2</v>
      </c>
      <c r="U794">
        <v>-0.34570309999999999</v>
      </c>
      <c r="V794">
        <v>-0.1105772</v>
      </c>
      <c r="W794">
        <v>9.3752130000000003E-2</v>
      </c>
      <c r="X794">
        <v>0.98943579999999998</v>
      </c>
      <c r="Y794">
        <v>0.110526399999999</v>
      </c>
      <c r="Z794">
        <v>-1.27212E-4</v>
      </c>
      <c r="AA794">
        <v>0.99387320000000001</v>
      </c>
      <c r="AB794">
        <v>23</v>
      </c>
      <c r="AC794">
        <v>214.55019999999999</v>
      </c>
      <c r="AD794">
        <v>1.8233889999999999</v>
      </c>
      <c r="AE794">
        <v>-24.214200000000002</v>
      </c>
      <c r="AF794">
        <v>23.876151492644599</v>
      </c>
      <c r="AG794">
        <v>1.8233889999999999</v>
      </c>
      <c r="AH794">
        <v>214.57259006679499</v>
      </c>
      <c r="AI794">
        <v>89.516111555148697</v>
      </c>
      <c r="AJ794">
        <v>83.650641848126298</v>
      </c>
      <c r="AK794">
        <v>215.904589496189</v>
      </c>
      <c r="AL794">
        <v>84.620498378713194</v>
      </c>
      <c r="AM794">
        <v>96.3767916428978</v>
      </c>
      <c r="AN794">
        <v>0.99999999068050804</v>
      </c>
    </row>
    <row r="795" spans="1:40" x14ac:dyDescent="0.25">
      <c r="A795" t="str">
        <f>"20190304154740111"</f>
        <v>20190304154740111</v>
      </c>
      <c r="B795" t="str">
        <f>"1551685660107680"</f>
        <v>1551685660107680</v>
      </c>
      <c r="C795" t="s">
        <v>40</v>
      </c>
      <c r="D795">
        <v>4.3326310000000001</v>
      </c>
      <c r="E795">
        <v>0.53656599999999999</v>
      </c>
      <c r="F795" t="s">
        <v>44</v>
      </c>
      <c r="G795">
        <v>-348.00580000000002</v>
      </c>
      <c r="H795" s="1">
        <v>-1.670848E-6</v>
      </c>
      <c r="I795">
        <v>366.15559999999999</v>
      </c>
      <c r="J795">
        <v>-383.40550000000002</v>
      </c>
      <c r="K795">
        <v>1.1103369999999999</v>
      </c>
      <c r="L795">
        <v>366.35629999999998</v>
      </c>
      <c r="M795">
        <v>0.99994680000000002</v>
      </c>
      <c r="N795">
        <v>-1.0207620000000001E-2</v>
      </c>
      <c r="O795">
        <v>-1.5674599999999999E-3</v>
      </c>
      <c r="P795">
        <v>0.99054180000000003</v>
      </c>
      <c r="Q795">
        <v>8.3774399999999902E-2</v>
      </c>
      <c r="R795">
        <v>0.1086714</v>
      </c>
      <c r="S795">
        <v>3.0386660000000001</v>
      </c>
      <c r="T795">
        <v>-9.4967369999999995E-2</v>
      </c>
      <c r="U795">
        <v>-1.7181399999999999E-2</v>
      </c>
      <c r="V795">
        <v>-0.1102201</v>
      </c>
      <c r="W795">
        <v>9.3883640000000004E-2</v>
      </c>
      <c r="X795">
        <v>0.98946319999999999</v>
      </c>
      <c r="Y795">
        <v>4.0843449999999996E-3</v>
      </c>
      <c r="Z795" s="1">
        <v>-5.1683400000000001E-5</v>
      </c>
      <c r="AA795">
        <v>0.99999170000000004</v>
      </c>
      <c r="AB795">
        <v>23</v>
      </c>
      <c r="AC795">
        <v>35.399700000000003</v>
      </c>
      <c r="AD795">
        <v>-1.1103386708480001</v>
      </c>
      <c r="AE795">
        <v>-0.200699999999983</v>
      </c>
      <c r="AF795">
        <v>0.14506654223287299</v>
      </c>
      <c r="AG795">
        <v>-1.1103386708480001</v>
      </c>
      <c r="AH795">
        <v>35.365179571823198</v>
      </c>
      <c r="AI795">
        <v>91.798274312547406</v>
      </c>
      <c r="AJ795">
        <v>89.764976338255806</v>
      </c>
      <c r="AK795">
        <v>35.382902967576797</v>
      </c>
      <c r="AL795">
        <v>84.612930167564201</v>
      </c>
      <c r="AM795">
        <v>96.356192562062105</v>
      </c>
      <c r="AN795">
        <v>1.00000001622894</v>
      </c>
    </row>
    <row r="796" spans="1:40" x14ac:dyDescent="0.25">
      <c r="A796" t="str">
        <f>"20190304154740126"</f>
        <v>20190304154740126</v>
      </c>
      <c r="B796" t="str">
        <f>"1551685660117440"</f>
        <v>1551685660117440</v>
      </c>
      <c r="C796" t="s">
        <v>40</v>
      </c>
      <c r="D796">
        <v>4.3464349999999996</v>
      </c>
      <c r="E796">
        <v>0.53538730000000001</v>
      </c>
      <c r="F796" t="s">
        <v>44</v>
      </c>
      <c r="G796">
        <v>-335.22340000000003</v>
      </c>
      <c r="H796" s="1">
        <v>-2.5285450000000002E-6</v>
      </c>
      <c r="I796">
        <v>366.8141</v>
      </c>
      <c r="J796">
        <v>-383.2611</v>
      </c>
      <c r="K796">
        <v>1.1103369999999999</v>
      </c>
      <c r="L796">
        <v>366.35599999999999</v>
      </c>
      <c r="M796">
        <v>0.99994680000000002</v>
      </c>
      <c r="N796">
        <v>-1.02083E-2</v>
      </c>
      <c r="O796">
        <v>-1.5673449999999999E-3</v>
      </c>
      <c r="P796">
        <v>0.99057569999999995</v>
      </c>
      <c r="Q796">
        <v>8.3920999999999996E-2</v>
      </c>
      <c r="R796">
        <v>0.1082473</v>
      </c>
      <c r="S796">
        <v>3.0314030000000001</v>
      </c>
      <c r="T796">
        <v>-6.985748E-2</v>
      </c>
      <c r="U796">
        <v>2.8808589999999999E-2</v>
      </c>
      <c r="V796">
        <v>-0.1097963</v>
      </c>
      <c r="W796">
        <v>9.403127E-2</v>
      </c>
      <c r="X796">
        <v>0.9894963</v>
      </c>
      <c r="Y796">
        <v>-1.106593E-2</v>
      </c>
      <c r="Z796">
        <v>2.0409550000000001E-4</v>
      </c>
      <c r="AA796">
        <v>0.99993869999999896</v>
      </c>
      <c r="AB796">
        <v>23</v>
      </c>
      <c r="AC796">
        <v>48.037699999999901</v>
      </c>
      <c r="AD796">
        <v>-1.110339528545</v>
      </c>
      <c r="AE796">
        <v>0.45810000000000101</v>
      </c>
      <c r="AF796">
        <v>-0.53311020942971898</v>
      </c>
      <c r="AG796">
        <v>-1.110339528545</v>
      </c>
      <c r="AH796">
        <v>48.011275103353597</v>
      </c>
      <c r="AI796">
        <v>91.324741137765699</v>
      </c>
      <c r="AJ796">
        <v>90.636177849675406</v>
      </c>
      <c r="AK796">
        <v>48.027071505703397</v>
      </c>
      <c r="AL796">
        <v>84.604434013291893</v>
      </c>
      <c r="AM796">
        <v>96.331741580020307</v>
      </c>
      <c r="AN796">
        <v>1.00000001747259</v>
      </c>
    </row>
    <row r="797" spans="1:40" x14ac:dyDescent="0.25">
      <c r="A797" t="str">
        <f>"20190304154740142"</f>
        <v>20190304154740142</v>
      </c>
      <c r="B797" t="str">
        <f>"1551685660137937"</f>
        <v>1551685660137937</v>
      </c>
      <c r="C797" t="s">
        <v>40</v>
      </c>
      <c r="D797">
        <v>4.3193849999999996</v>
      </c>
      <c r="E797">
        <v>0.53397260000000002</v>
      </c>
      <c r="F797" t="s">
        <v>44</v>
      </c>
      <c r="G797">
        <v>-332.5779</v>
      </c>
      <c r="H797" s="1">
        <v>-3.6356509999999999E-6</v>
      </c>
      <c r="I797">
        <v>366.971</v>
      </c>
      <c r="J797">
        <v>-383.08190000000002</v>
      </c>
      <c r="K797">
        <v>1.1103350000000001</v>
      </c>
      <c r="L797">
        <v>366.35570000000001</v>
      </c>
      <c r="M797">
        <v>0.99994680000000002</v>
      </c>
      <c r="N797">
        <v>-1.02094E-2</v>
      </c>
      <c r="O797">
        <v>-1.5671120000000001E-3</v>
      </c>
      <c r="P797">
        <v>0.99058780000000002</v>
      </c>
      <c r="Q797">
        <v>8.4239480000000005E-2</v>
      </c>
      <c r="R797">
        <v>0.1078894</v>
      </c>
      <c r="S797">
        <v>3.030151</v>
      </c>
      <c r="T797">
        <v>-6.6382769999999994E-2</v>
      </c>
      <c r="U797">
        <v>3.6773680000000003E-2</v>
      </c>
      <c r="V797">
        <v>-0.1094381</v>
      </c>
      <c r="W797">
        <v>9.4351240000000003E-2</v>
      </c>
      <c r="X797">
        <v>0.98950550000000004</v>
      </c>
      <c r="Y797">
        <v>-1.369717E-2</v>
      </c>
      <c r="Z797">
        <v>2.3827590000000001E-4</v>
      </c>
      <c r="AA797">
        <v>0.99990619999999997</v>
      </c>
      <c r="AB797">
        <v>23</v>
      </c>
      <c r="AC797">
        <v>50.503999999999998</v>
      </c>
      <c r="AD797">
        <v>-1.1103386356509899</v>
      </c>
      <c r="AE797">
        <v>0.61529999999998997</v>
      </c>
      <c r="AF797">
        <v>-0.69411333433349698</v>
      </c>
      <c r="AG797">
        <v>-1.1103386356509899</v>
      </c>
      <c r="AH797">
        <v>50.478578617748397</v>
      </c>
      <c r="AI797">
        <v>91.259969110774094</v>
      </c>
      <c r="AJ797">
        <v>90.787804636603795</v>
      </c>
      <c r="AK797">
        <v>50.495559651071503</v>
      </c>
      <c r="AL797">
        <v>84.586019087566399</v>
      </c>
      <c r="AM797">
        <v>96.311193624904604</v>
      </c>
      <c r="AN797">
        <v>0.99999999437569798</v>
      </c>
    </row>
    <row r="798" spans="1:40" x14ac:dyDescent="0.25">
      <c r="A798" t="str">
        <f>"20190304154740156"</f>
        <v>20190304154740156</v>
      </c>
      <c r="B798" t="str">
        <f>"1551685660147697"</f>
        <v>1551685660147697</v>
      </c>
      <c r="C798" t="s">
        <v>40</v>
      </c>
      <c r="D798">
        <v>4.3997279999999996</v>
      </c>
      <c r="E798">
        <v>0.5336959</v>
      </c>
      <c r="F798" t="s">
        <v>44</v>
      </c>
      <c r="G798">
        <v>-329.7174</v>
      </c>
      <c r="H798" s="1">
        <v>-7.2907510000000003E-7</v>
      </c>
      <c r="I798">
        <v>367.18529999999998</v>
      </c>
      <c r="J798">
        <v>-382.93490000000003</v>
      </c>
      <c r="K798">
        <v>1.1103350000000001</v>
      </c>
      <c r="L798">
        <v>366.35550000000001</v>
      </c>
      <c r="M798">
        <v>0.99994680000000002</v>
      </c>
      <c r="N798">
        <v>-1.0210520000000001E-2</v>
      </c>
      <c r="O798">
        <v>-1.5669989999999999E-3</v>
      </c>
      <c r="P798">
        <v>0.99056259999999996</v>
      </c>
      <c r="Q798">
        <v>8.4460789999999994E-2</v>
      </c>
      <c r="R798">
        <v>0.1079461</v>
      </c>
      <c r="S798">
        <v>3.0287169999999999</v>
      </c>
      <c r="T798">
        <v>-6.3017370000000003E-2</v>
      </c>
      <c r="U798">
        <v>4.7088619999999998E-2</v>
      </c>
      <c r="V798">
        <v>-0.1094948</v>
      </c>
      <c r="W798">
        <v>9.4573389999999993E-2</v>
      </c>
      <c r="X798">
        <v>0.98947810000000003</v>
      </c>
      <c r="Y798">
        <v>-1.710677E-2</v>
      </c>
      <c r="Z798">
        <v>2.8189330000000001E-4</v>
      </c>
      <c r="AA798">
        <v>0.99985360000000001</v>
      </c>
      <c r="AB798">
        <v>23</v>
      </c>
      <c r="AC798">
        <v>53.217500000000001</v>
      </c>
      <c r="AD798">
        <v>-1.1103357290750999</v>
      </c>
      <c r="AE798">
        <v>0.829799999999977</v>
      </c>
      <c r="AF798">
        <v>-0.91279783027475303</v>
      </c>
      <c r="AG798">
        <v>-1.1103357290750999</v>
      </c>
      <c r="AH798">
        <v>53.192984426871398</v>
      </c>
      <c r="AI798">
        <v>91.195626716473996</v>
      </c>
      <c r="AJ798">
        <v>90.983105782829995</v>
      </c>
      <c r="AK798">
        <v>53.212401163146197</v>
      </c>
      <c r="AL798">
        <v>84.573234091803997</v>
      </c>
      <c r="AM798">
        <v>96.314610498796696</v>
      </c>
      <c r="AN798">
        <v>1.0000000738513599</v>
      </c>
    </row>
    <row r="799" spans="1:40" x14ac:dyDescent="0.25">
      <c r="A799" t="str">
        <f>"20190304154740170"</f>
        <v>20190304154740170</v>
      </c>
      <c r="B799" t="str">
        <f>"1551685660157458"</f>
        <v>1551685660157458</v>
      </c>
      <c r="C799" t="s">
        <v>40</v>
      </c>
      <c r="D799">
        <v>4.33643</v>
      </c>
      <c r="E799">
        <v>0.53317990000000004</v>
      </c>
      <c r="F799" t="s">
        <v>44</v>
      </c>
      <c r="G799">
        <v>-327.60599999999999</v>
      </c>
      <c r="H799" s="1">
        <v>-1.4270569999999999E-6</v>
      </c>
      <c r="I799">
        <v>367.26260000000002</v>
      </c>
      <c r="J799">
        <v>-382.791</v>
      </c>
      <c r="K799">
        <v>1.1103379999999901</v>
      </c>
      <c r="L799">
        <v>366.3553</v>
      </c>
      <c r="M799">
        <v>0.99994680000000002</v>
      </c>
      <c r="N799">
        <v>-1.02118E-2</v>
      </c>
      <c r="O799">
        <v>-1.5668870000000001E-3</v>
      </c>
      <c r="P799">
        <v>0.99054710000000001</v>
      </c>
      <c r="Q799">
        <v>8.4668950000000007E-2</v>
      </c>
      <c r="R799">
        <v>0.1079262</v>
      </c>
      <c r="S799">
        <v>3.0283509999999998</v>
      </c>
      <c r="T799">
        <v>-6.0772659999999999E-2</v>
      </c>
      <c r="U799">
        <v>4.9652099999999998E-2</v>
      </c>
      <c r="V799">
        <v>-0.10947469999999999</v>
      </c>
      <c r="W799">
        <v>9.4782270000000002E-2</v>
      </c>
      <c r="X799">
        <v>0.98946029999999996</v>
      </c>
      <c r="Y799">
        <v>-1.795476E-2</v>
      </c>
      <c r="Z799">
        <v>2.8726439999999999E-4</v>
      </c>
      <c r="AA799">
        <v>0.99983880000000003</v>
      </c>
      <c r="AB799">
        <v>23</v>
      </c>
      <c r="AC799">
        <v>55.185000000000002</v>
      </c>
      <c r="AD799">
        <v>-1.11033942705699</v>
      </c>
      <c r="AE799">
        <v>0.90730000000001998</v>
      </c>
      <c r="AF799">
        <v>-0.99337000513335405</v>
      </c>
      <c r="AG799">
        <v>-1.11033942705699</v>
      </c>
      <c r="AH799">
        <v>55.161185838427798</v>
      </c>
      <c r="AI799">
        <v>91.152964042596395</v>
      </c>
      <c r="AJ799">
        <v>91.031699308102702</v>
      </c>
      <c r="AK799">
        <v>55.181301730857598</v>
      </c>
      <c r="AL799">
        <v>84.561211946011397</v>
      </c>
      <c r="AM799">
        <v>96.313573344186295</v>
      </c>
      <c r="AN799">
        <v>1.0000000369612601</v>
      </c>
    </row>
    <row r="800" spans="1:40" x14ac:dyDescent="0.25">
      <c r="A800" t="str">
        <f>"20190304154740187"</f>
        <v>20190304154740187</v>
      </c>
      <c r="B800" t="str">
        <f>"1551685660177952"</f>
        <v>1551685660177952</v>
      </c>
      <c r="C800" t="s">
        <v>40</v>
      </c>
      <c r="D800">
        <v>4.314349</v>
      </c>
      <c r="E800">
        <v>0.53247699999999998</v>
      </c>
      <c r="F800" t="s">
        <v>44</v>
      </c>
      <c r="G800">
        <v>-327.67009999999999</v>
      </c>
      <c r="H800" s="1">
        <v>-1.3870689999999901E-6</v>
      </c>
      <c r="I800">
        <v>367.33179999999999</v>
      </c>
      <c r="J800">
        <v>-382.60550000000001</v>
      </c>
      <c r="K800">
        <v>1.1103430000000001</v>
      </c>
      <c r="L800">
        <v>366.35500000000002</v>
      </c>
      <c r="M800">
        <v>0.99994669999999997</v>
      </c>
      <c r="N800">
        <v>-1.0213720000000001E-2</v>
      </c>
      <c r="O800">
        <v>-1.5666580000000001E-3</v>
      </c>
      <c r="P800">
        <v>0.99048919999999996</v>
      </c>
      <c r="Q800">
        <v>8.4923650000000003E-2</v>
      </c>
      <c r="R800">
        <v>0.108256199999999</v>
      </c>
      <c r="S800">
        <v>3.0279850000000001</v>
      </c>
      <c r="T800">
        <v>-6.0994859999999998E-2</v>
      </c>
      <c r="U800">
        <v>5.36499E-2</v>
      </c>
      <c r="V800">
        <v>-0.1098046</v>
      </c>
      <c r="W800">
        <v>9.5038120000000004E-2</v>
      </c>
      <c r="X800">
        <v>0.98939920000000003</v>
      </c>
      <c r="Y800">
        <v>-1.9275750000000001E-2</v>
      </c>
      <c r="Z800">
        <v>3.0812459999999999E-4</v>
      </c>
      <c r="AA800">
        <v>0.99981419999999999</v>
      </c>
      <c r="AB800">
        <v>23</v>
      </c>
      <c r="AC800">
        <v>54.935400000000001</v>
      </c>
      <c r="AD800">
        <v>-1.110344387069</v>
      </c>
      <c r="AE800">
        <v>0.97679999999996803</v>
      </c>
      <c r="AF800">
        <v>-1.0624343808868499</v>
      </c>
      <c r="AG800">
        <v>-1.110344387069</v>
      </c>
      <c r="AH800">
        <v>54.911377007973599</v>
      </c>
      <c r="AI800">
        <v>91.158184016048097</v>
      </c>
      <c r="AJ800">
        <v>91.108429893580393</v>
      </c>
      <c r="AK800">
        <v>54.932876826026501</v>
      </c>
      <c r="AL800">
        <v>84.546486340687593</v>
      </c>
      <c r="AM800">
        <v>96.332832734518206</v>
      </c>
      <c r="AN800">
        <v>1.0000000356974601</v>
      </c>
    </row>
    <row r="801" spans="1:40" x14ac:dyDescent="0.25">
      <c r="A801" t="str">
        <f>"20190304154740199"</f>
        <v>20190304154740199</v>
      </c>
      <c r="B801" t="str">
        <f>"1551685660187712"</f>
        <v>1551685660187712</v>
      </c>
      <c r="C801" t="s">
        <v>40</v>
      </c>
      <c r="D801">
        <v>4.3098549999999998</v>
      </c>
      <c r="E801">
        <v>0.53214259999999902</v>
      </c>
      <c r="F801" t="s">
        <v>44</v>
      </c>
      <c r="G801">
        <v>-327.84179999999998</v>
      </c>
      <c r="H801" s="1">
        <v>-1.2994119999999999E-6</v>
      </c>
      <c r="I801">
        <v>367.44080000000002</v>
      </c>
      <c r="J801">
        <v>-382.4837</v>
      </c>
      <c r="K801">
        <v>1.110347</v>
      </c>
      <c r="L801">
        <v>366.35480000000001</v>
      </c>
      <c r="M801">
        <v>0.99994660000000002</v>
      </c>
      <c r="N801">
        <v>-1.0215109999999999E-2</v>
      </c>
      <c r="O801">
        <v>-1.5665469999999999E-3</v>
      </c>
      <c r="P801">
        <v>0.99045059999999996</v>
      </c>
      <c r="Q801">
        <v>8.5254170000000004E-2</v>
      </c>
      <c r="R801">
        <v>0.10834729999999999</v>
      </c>
      <c r="S801">
        <v>3.0274960000000002</v>
      </c>
      <c r="T801">
        <v>-6.1382890000000002E-2</v>
      </c>
      <c r="U801">
        <v>6.0028079999999998E-2</v>
      </c>
      <c r="V801">
        <v>-0.1098954</v>
      </c>
      <c r="W801">
        <v>9.5369910000000002E-2</v>
      </c>
      <c r="X801">
        <v>0.98935720000000005</v>
      </c>
      <c r="Y801">
        <v>-2.1383349999999999E-2</v>
      </c>
      <c r="Z801">
        <v>3.4173390000000002E-4</v>
      </c>
      <c r="AA801">
        <v>0.99977130000000003</v>
      </c>
      <c r="AB801">
        <v>23</v>
      </c>
      <c r="AC801">
        <v>54.6419</v>
      </c>
      <c r="AD801">
        <v>-1.110348299412</v>
      </c>
      <c r="AE801">
        <v>1.0860000000000101</v>
      </c>
      <c r="AF801">
        <v>-1.17111884948472</v>
      </c>
      <c r="AG801">
        <v>-1.110348299412</v>
      </c>
      <c r="AH801">
        <v>54.617587747475199</v>
      </c>
      <c r="AI801">
        <v>91.164366611999796</v>
      </c>
      <c r="AJ801">
        <v>91.228356826555398</v>
      </c>
      <c r="AK801">
        <v>54.641424615933801</v>
      </c>
      <c r="AL801">
        <v>84.5273894774827</v>
      </c>
      <c r="AM801">
        <v>96.338293774909204</v>
      </c>
      <c r="AN801">
        <v>1.0000000439332</v>
      </c>
    </row>
    <row r="802" spans="1:40" x14ac:dyDescent="0.25">
      <c r="A802" t="str">
        <f>"20190304154740210"</f>
        <v>20190304154740210</v>
      </c>
      <c r="B802" t="str">
        <f>"1551685660207233"</f>
        <v>1551685660207233</v>
      </c>
      <c r="C802" t="s">
        <v>40</v>
      </c>
      <c r="D802">
        <v>4.3220669999999997</v>
      </c>
      <c r="E802">
        <v>0.53164029999999995</v>
      </c>
      <c r="F802" t="s">
        <v>44</v>
      </c>
      <c r="G802">
        <v>-327.68729999999999</v>
      </c>
      <c r="H802" s="1">
        <v>-1.350513E-6</v>
      </c>
      <c r="I802">
        <v>367.49650000000003</v>
      </c>
      <c r="J802">
        <v>-382.36290000000002</v>
      </c>
      <c r="K802">
        <v>1.1103479999999999</v>
      </c>
      <c r="L802">
        <v>366.3546</v>
      </c>
      <c r="M802">
        <v>0.99994660000000002</v>
      </c>
      <c r="N802">
        <v>-1.021655E-2</v>
      </c>
      <c r="O802">
        <v>-1.5663160000000001E-3</v>
      </c>
      <c r="P802">
        <v>0.99040740000000005</v>
      </c>
      <c r="Q802">
        <v>8.5579929999999999E-2</v>
      </c>
      <c r="R802">
        <v>0.1084857</v>
      </c>
      <c r="S802">
        <v>3.0273129999999999</v>
      </c>
      <c r="T802">
        <v>-6.1342840000000003E-2</v>
      </c>
      <c r="U802">
        <v>6.3079830000000003E-2</v>
      </c>
      <c r="V802">
        <v>-0.11003300000000001</v>
      </c>
      <c r="W802">
        <v>9.5696489999999995E-2</v>
      </c>
      <c r="X802">
        <v>0.98931029999999998</v>
      </c>
      <c r="Y802">
        <v>-2.2391419999999999E-2</v>
      </c>
      <c r="Z802">
        <v>3.5695859999999998E-4</v>
      </c>
      <c r="AA802">
        <v>0.9997492</v>
      </c>
      <c r="AB802">
        <v>24</v>
      </c>
      <c r="AC802">
        <v>54.675600000000003</v>
      </c>
      <c r="AD802">
        <v>-1.110349350513</v>
      </c>
      <c r="AE802">
        <v>1.1419000000000199</v>
      </c>
      <c r="AF802">
        <v>-1.2270365095473901</v>
      </c>
      <c r="AG802">
        <v>-1.110349350513</v>
      </c>
      <c r="AH802">
        <v>54.651215218624998</v>
      </c>
      <c r="AI802">
        <v>91.163625689314301</v>
      </c>
      <c r="AJ802">
        <v>91.286196532241505</v>
      </c>
      <c r="AK802">
        <v>54.676263763615097</v>
      </c>
      <c r="AL802">
        <v>84.508591464249605</v>
      </c>
      <c r="AM802">
        <v>96.346463638367197</v>
      </c>
      <c r="AN802">
        <v>0.99999997448670397</v>
      </c>
    </row>
    <row r="803" spans="1:40" x14ac:dyDescent="0.25">
      <c r="A803" t="str">
        <f>"20190304154740223"</f>
        <v>20190304154740223</v>
      </c>
      <c r="B803" t="str">
        <f>"1551685660217970"</f>
        <v>1551685660217970</v>
      </c>
      <c r="C803" t="s">
        <v>40</v>
      </c>
      <c r="D803">
        <v>4.1444369999999999</v>
      </c>
      <c r="E803">
        <v>0.53155659999999905</v>
      </c>
      <c r="F803" t="s">
        <v>44</v>
      </c>
      <c r="G803">
        <v>-327.28399999999999</v>
      </c>
      <c r="H803" s="1">
        <v>-1.50889E-6</v>
      </c>
      <c r="I803">
        <v>367.57900000000001</v>
      </c>
      <c r="J803">
        <v>-382.22820000000002</v>
      </c>
      <c r="K803">
        <v>1.110349</v>
      </c>
      <c r="L803">
        <v>366.3544</v>
      </c>
      <c r="M803">
        <v>0.99994649999999996</v>
      </c>
      <c r="N803">
        <v>-1.021831E-2</v>
      </c>
      <c r="O803">
        <v>-1.5659669999999999E-3</v>
      </c>
      <c r="P803">
        <v>0.99036190000000002</v>
      </c>
      <c r="Q803">
        <v>8.5755869999999998E-2</v>
      </c>
      <c r="R803">
        <v>0.10876280000000001</v>
      </c>
      <c r="S803">
        <v>3.0269469999999998</v>
      </c>
      <c r="T803">
        <v>-6.1020850000000001E-2</v>
      </c>
      <c r="U803">
        <v>6.7291260000000006E-2</v>
      </c>
      <c r="V803">
        <v>-0.1103099</v>
      </c>
      <c r="W803">
        <v>9.5873990000000006E-2</v>
      </c>
      <c r="X803">
        <v>0.98926230000000004</v>
      </c>
      <c r="Y803">
        <v>-2.3783530000000001E-2</v>
      </c>
      <c r="Z803">
        <v>3.767876E-4</v>
      </c>
      <c r="AA803">
        <v>0.99971710000000003</v>
      </c>
      <c r="AB803">
        <v>24</v>
      </c>
      <c r="AC803">
        <v>54.944200000000002</v>
      </c>
      <c r="AD803">
        <v>-1.1103505088900001</v>
      </c>
      <c r="AE803">
        <v>1.2245999999999999</v>
      </c>
      <c r="AF803">
        <v>-1.3101090288055499</v>
      </c>
      <c r="AG803">
        <v>-1.1103505088900001</v>
      </c>
      <c r="AH803">
        <v>54.919797209626303</v>
      </c>
      <c r="AI803">
        <v>91.157900229252505</v>
      </c>
      <c r="AJ803">
        <v>91.366528796035993</v>
      </c>
      <c r="AK803">
        <v>54.946641293771798</v>
      </c>
      <c r="AL803">
        <v>84.498374610467593</v>
      </c>
      <c r="AM803">
        <v>96.362609998566498</v>
      </c>
      <c r="AN803">
        <v>0.99999999709890997</v>
      </c>
    </row>
    <row r="804" spans="1:40" x14ac:dyDescent="0.25">
      <c r="A804" t="str">
        <f>"20190304154740235"</f>
        <v>20190304154740235</v>
      </c>
      <c r="B804" t="str">
        <f>"1551685660227728"</f>
        <v>1551685660227728</v>
      </c>
      <c r="C804" t="s">
        <v>40</v>
      </c>
      <c r="D804">
        <v>4.2948190000000004</v>
      </c>
      <c r="E804">
        <v>0.531346599999999</v>
      </c>
      <c r="F804" t="s">
        <v>44</v>
      </c>
      <c r="G804">
        <v>-331.6318</v>
      </c>
      <c r="H804" s="1">
        <v>-3.9468680000000002E-6</v>
      </c>
      <c r="I804">
        <v>367.50450000000001</v>
      </c>
      <c r="J804">
        <v>-382.09930000000003</v>
      </c>
      <c r="K804">
        <v>1.1103459999999901</v>
      </c>
      <c r="L804">
        <v>366.35419999999999</v>
      </c>
      <c r="M804">
        <v>0.99994649999999996</v>
      </c>
      <c r="N804">
        <v>-1.022005E-2</v>
      </c>
      <c r="O804">
        <v>-1.5658569999999999E-3</v>
      </c>
      <c r="P804">
        <v>0.99032399999999998</v>
      </c>
      <c r="Q804">
        <v>8.5975070000000001E-2</v>
      </c>
      <c r="R804">
        <v>0.108935</v>
      </c>
      <c r="S804">
        <v>3.0274049999999999</v>
      </c>
      <c r="T804">
        <v>-6.6437239999999995E-2</v>
      </c>
      <c r="U804">
        <v>6.8817139999999999E-2</v>
      </c>
      <c r="V804">
        <v>-0.1104821</v>
      </c>
      <c r="W804">
        <v>9.6094239999999997E-2</v>
      </c>
      <c r="X804">
        <v>0.98922169999999998</v>
      </c>
      <c r="Y804">
        <v>-2.4282359999999999E-2</v>
      </c>
      <c r="Z804">
        <v>4.08854E-4</v>
      </c>
      <c r="AA804">
        <v>0.99970510000000001</v>
      </c>
      <c r="AB804">
        <v>24</v>
      </c>
      <c r="AC804">
        <v>50.467500000000001</v>
      </c>
      <c r="AD804">
        <v>-1.11034994686799</v>
      </c>
      <c r="AE804">
        <v>1.1503000000000101</v>
      </c>
      <c r="AF804">
        <v>-1.2287331413629099</v>
      </c>
      <c r="AG804">
        <v>-1.11034994686799</v>
      </c>
      <c r="AH804">
        <v>50.441233088237503</v>
      </c>
      <c r="AI804">
        <v>91.260659807478902</v>
      </c>
      <c r="AJ804">
        <v>91.395431843232402</v>
      </c>
      <c r="AK804">
        <v>50.468412473537299</v>
      </c>
      <c r="AL804">
        <v>84.485696609934394</v>
      </c>
      <c r="AM804">
        <v>96.372720138494998</v>
      </c>
      <c r="AN804">
        <v>0.99999998456623795</v>
      </c>
    </row>
    <row r="805" spans="1:40" x14ac:dyDescent="0.25">
      <c r="A805" t="str">
        <f>"20190304154740246"</f>
        <v>20190304154740246</v>
      </c>
      <c r="B805" t="str">
        <f>"1551685660237489"</f>
        <v>1551685660237489</v>
      </c>
      <c r="C805" t="s">
        <v>40</v>
      </c>
      <c r="D805">
        <v>4.2544829999999996</v>
      </c>
      <c r="E805">
        <v>0.53120999999999996</v>
      </c>
      <c r="F805" t="s">
        <v>44</v>
      </c>
      <c r="G805">
        <v>-331.34460000000001</v>
      </c>
      <c r="H805" s="1">
        <v>-4.063379E-6</v>
      </c>
      <c r="I805">
        <v>367.54219999999998</v>
      </c>
      <c r="J805">
        <v>-381.98419999999999</v>
      </c>
      <c r="K805">
        <v>1.1103459999999901</v>
      </c>
      <c r="L805">
        <v>366.35399999999998</v>
      </c>
      <c r="M805">
        <v>0.99994669999999997</v>
      </c>
      <c r="N805">
        <v>-1.022169E-2</v>
      </c>
      <c r="O805">
        <v>-1.565866E-3</v>
      </c>
      <c r="P805">
        <v>0.99031239999999998</v>
      </c>
      <c r="Q805">
        <v>8.6015640000000004E-2</v>
      </c>
      <c r="R805">
        <v>0.1090088</v>
      </c>
      <c r="S805">
        <v>3.0272220000000001</v>
      </c>
      <c r="T805">
        <v>-6.6225889999999996E-2</v>
      </c>
      <c r="U805">
        <v>7.0861820000000006E-2</v>
      </c>
      <c r="V805">
        <v>-0.11055570000000001</v>
      </c>
      <c r="W805">
        <v>9.6136479999999996E-2</v>
      </c>
      <c r="X805">
        <v>0.98920940000000002</v>
      </c>
      <c r="Y805">
        <v>-2.4958419999999999E-2</v>
      </c>
      <c r="Z805">
        <v>4.1878139999999999E-4</v>
      </c>
      <c r="AA805">
        <v>0.99968840000000003</v>
      </c>
      <c r="AB805">
        <v>24</v>
      </c>
      <c r="AC805">
        <v>50.639599999999902</v>
      </c>
      <c r="AD805">
        <v>-1.11035006337899</v>
      </c>
      <c r="AE805">
        <v>1.18819999999993</v>
      </c>
      <c r="AF805">
        <v>-1.2668887507653299</v>
      </c>
      <c r="AG805">
        <v>-1.11035006337899</v>
      </c>
      <c r="AH805">
        <v>50.613357148577698</v>
      </c>
      <c r="AI805">
        <v>91.256353309930901</v>
      </c>
      <c r="AJ805">
        <v>91.4338551868248</v>
      </c>
      <c r="AK805">
        <v>50.641384323688698</v>
      </c>
      <c r="AL805">
        <v>84.483265327179396</v>
      </c>
      <c r="AM805">
        <v>96.377009139562105</v>
      </c>
      <c r="AN805">
        <v>1.0000000113188201</v>
      </c>
    </row>
    <row r="806" spans="1:40" x14ac:dyDescent="0.25">
      <c r="A806" t="str">
        <f>"20190304154740257"</f>
        <v>20190304154740257</v>
      </c>
      <c r="B806" t="str">
        <f>"1551685660247249"</f>
        <v>1551685660247249</v>
      </c>
      <c r="C806" t="s">
        <v>40</v>
      </c>
      <c r="D806">
        <v>4.2954800000000004</v>
      </c>
      <c r="E806">
        <v>0.53105959999999997</v>
      </c>
      <c r="F806" t="s">
        <v>44</v>
      </c>
      <c r="G806">
        <v>-331.13650000000001</v>
      </c>
      <c r="H806" s="1">
        <v>-4.1487580000000001E-6</v>
      </c>
      <c r="I806">
        <v>367.56420000000003</v>
      </c>
      <c r="J806">
        <v>-381.8691</v>
      </c>
      <c r="K806">
        <v>1.1103449999999999</v>
      </c>
      <c r="L806">
        <v>366.35379999999998</v>
      </c>
      <c r="M806">
        <v>0.99994649999999996</v>
      </c>
      <c r="N806">
        <v>-1.0223380000000001E-2</v>
      </c>
      <c r="O806">
        <v>-1.565517E-3</v>
      </c>
      <c r="P806">
        <v>0.99027609999999999</v>
      </c>
      <c r="Q806">
        <v>8.6171239999999996E-2</v>
      </c>
      <c r="R806">
        <v>0.1092157</v>
      </c>
      <c r="S806">
        <v>3.0271300000000001</v>
      </c>
      <c r="T806">
        <v>-6.6102739999999993E-2</v>
      </c>
      <c r="U806">
        <v>7.2052000000000005E-2</v>
      </c>
      <c r="V806">
        <v>-0.1107621</v>
      </c>
      <c r="W806">
        <v>9.6293110000000001E-2</v>
      </c>
      <c r="X806">
        <v>0.98917109999999997</v>
      </c>
      <c r="Y806">
        <v>-2.5351499999999999E-2</v>
      </c>
      <c r="Z806">
        <v>4.2453370000000002E-4</v>
      </c>
      <c r="AA806">
        <v>0.99967850000000003</v>
      </c>
      <c r="AB806">
        <v>24</v>
      </c>
      <c r="AC806">
        <v>50.732599999999898</v>
      </c>
      <c r="AD806">
        <v>-1.1103491487579999</v>
      </c>
      <c r="AE806">
        <v>1.2104000000000401</v>
      </c>
      <c r="AF806">
        <v>-1.2892082236028</v>
      </c>
      <c r="AG806">
        <v>-1.1103491487579999</v>
      </c>
      <c r="AH806">
        <v>50.7063677673166</v>
      </c>
      <c r="AI806">
        <v>91.254036025653505</v>
      </c>
      <c r="AJ806">
        <v>91.456430091947894</v>
      </c>
      <c r="AK806">
        <v>50.734905787143397</v>
      </c>
      <c r="AL806">
        <v>84.474249393908806</v>
      </c>
      <c r="AM806">
        <v>96.389061559317199</v>
      </c>
      <c r="AN806">
        <v>1.00000003545254</v>
      </c>
    </row>
    <row r="807" spans="1:40" x14ac:dyDescent="0.25">
      <c r="A807" t="str">
        <f>"20190304154740267"</f>
        <v>20190304154740267</v>
      </c>
      <c r="B807" t="str">
        <f>"1551685660257985"</f>
        <v>1551685660257985</v>
      </c>
      <c r="C807" t="s">
        <v>40</v>
      </c>
      <c r="D807">
        <v>4.2946720000000003</v>
      </c>
      <c r="E807">
        <v>0.53090579999999998</v>
      </c>
      <c r="F807" t="s">
        <v>44</v>
      </c>
      <c r="G807">
        <v>-331.03910000000002</v>
      </c>
      <c r="H807" s="1">
        <v>-4.1851979999999997E-6</v>
      </c>
      <c r="I807">
        <v>367.59440000000001</v>
      </c>
      <c r="J807">
        <v>-381.75459999999998</v>
      </c>
      <c r="K807">
        <v>1.110341</v>
      </c>
      <c r="L807">
        <v>366.35359999999997</v>
      </c>
      <c r="M807">
        <v>0.99994649999999996</v>
      </c>
      <c r="N807">
        <v>-1.0225120000000001E-2</v>
      </c>
      <c r="O807">
        <v>-1.565407E-3</v>
      </c>
      <c r="P807">
        <v>0.99027529999999997</v>
      </c>
      <c r="Q807">
        <v>8.6164409999999997E-2</v>
      </c>
      <c r="R807">
        <v>0.1092267</v>
      </c>
      <c r="S807">
        <v>3.0270999999999999</v>
      </c>
      <c r="T807">
        <v>-6.6124920000000004E-2</v>
      </c>
      <c r="U807">
        <v>7.388306E-2</v>
      </c>
      <c r="V807">
        <v>-0.11077339999999999</v>
      </c>
      <c r="W807">
        <v>9.6287849999999994E-2</v>
      </c>
      <c r="X807">
        <v>0.98917029999999995</v>
      </c>
      <c r="Y807">
        <v>-2.595575E-2</v>
      </c>
      <c r="Z807">
        <v>4.3434639999999998E-4</v>
      </c>
      <c r="AA807">
        <v>0.99966299999999997</v>
      </c>
      <c r="AB807">
        <v>24</v>
      </c>
      <c r="AC807">
        <v>50.715499999999899</v>
      </c>
      <c r="AD807">
        <v>-1.110345185198</v>
      </c>
      <c r="AE807">
        <v>1.2408000000000301</v>
      </c>
      <c r="AF807">
        <v>-1.31956090184542</v>
      </c>
      <c r="AG807">
        <v>-1.110345185198</v>
      </c>
      <c r="AH807">
        <v>50.689213070570901</v>
      </c>
      <c r="AI807">
        <v>91.254436230707498</v>
      </c>
      <c r="AJ807">
        <v>91.491208760198106</v>
      </c>
      <c r="AK807">
        <v>50.718541275530598</v>
      </c>
      <c r="AL807">
        <v>84.474551920859298</v>
      </c>
      <c r="AM807">
        <v>96.389713108553295</v>
      </c>
      <c r="AN807">
        <v>0.99999998930363598</v>
      </c>
    </row>
    <row r="808" spans="1:40" x14ac:dyDescent="0.25">
      <c r="A808" t="str">
        <f>"20190304154740278"</f>
        <v>20190304154740278</v>
      </c>
      <c r="B808" t="str">
        <f>"1551685660267745"</f>
        <v>1551685660267745</v>
      </c>
      <c r="C808" t="s">
        <v>40</v>
      </c>
      <c r="D808">
        <v>4.271763</v>
      </c>
      <c r="E808">
        <v>0.5308427</v>
      </c>
      <c r="F808" t="s">
        <v>44</v>
      </c>
      <c r="G808">
        <v>-330.91890000000001</v>
      </c>
      <c r="H808" s="1">
        <v>-4.2342050000000004E-6</v>
      </c>
      <c r="I808">
        <v>367.6087</v>
      </c>
      <c r="J808">
        <v>-381.64210000000003</v>
      </c>
      <c r="K808">
        <v>1.1103419999999999</v>
      </c>
      <c r="L808">
        <v>366.3535</v>
      </c>
      <c r="M808">
        <v>0.99994649999999996</v>
      </c>
      <c r="N808">
        <v>-1.0226849999999999E-2</v>
      </c>
      <c r="O808">
        <v>-1.5651770000000001E-3</v>
      </c>
      <c r="P808">
        <v>0.9902569</v>
      </c>
      <c r="Q808">
        <v>8.6222010000000002E-2</v>
      </c>
      <c r="R808">
        <v>0.10934969999999999</v>
      </c>
      <c r="S808">
        <v>3.0269469999999998</v>
      </c>
      <c r="T808">
        <v>-6.6113950000000005E-2</v>
      </c>
      <c r="U808">
        <v>7.473755E-2</v>
      </c>
      <c r="V808">
        <v>-0.11089589999999901</v>
      </c>
      <c r="W808">
        <v>9.6347210000000003E-2</v>
      </c>
      <c r="X808">
        <v>0.9891508</v>
      </c>
      <c r="Y808">
        <v>-2.623868E-2</v>
      </c>
      <c r="Z808">
        <v>4.3886249999999999E-4</v>
      </c>
      <c r="AA808">
        <v>0.99965559999999998</v>
      </c>
      <c r="AB808">
        <v>24</v>
      </c>
      <c r="AC808">
        <v>50.723199999999999</v>
      </c>
      <c r="AD808">
        <v>-1.1103462342049999</v>
      </c>
      <c r="AE808">
        <v>1.2552000000000001</v>
      </c>
      <c r="AF808">
        <v>-1.3339545783987301</v>
      </c>
      <c r="AG808">
        <v>-1.1103462342049999</v>
      </c>
      <c r="AH808">
        <v>50.696894806745902</v>
      </c>
      <c r="AI808">
        <v>91.254238219030498</v>
      </c>
      <c r="AJ808">
        <v>91.507238984037897</v>
      </c>
      <c r="AK808">
        <v>50.726595062386203</v>
      </c>
      <c r="AL808">
        <v>84.471134990118301</v>
      </c>
      <c r="AM808">
        <v>96.396845764572006</v>
      </c>
      <c r="AN808">
        <v>0.99999999532611705</v>
      </c>
    </row>
    <row r="809" spans="1:40" x14ac:dyDescent="0.25">
      <c r="A809" t="str">
        <f>"20190304154740290"</f>
        <v>20190304154740290</v>
      </c>
      <c r="B809" t="str">
        <f>"1551685660287265"</f>
        <v>1551685660287265</v>
      </c>
      <c r="C809" t="s">
        <v>40</v>
      </c>
      <c r="D809">
        <v>4.282813</v>
      </c>
      <c r="E809">
        <v>0.53047119999999903</v>
      </c>
      <c r="F809" t="s">
        <v>44</v>
      </c>
      <c r="G809">
        <v>-330.71260000000001</v>
      </c>
      <c r="H809" s="1">
        <v>-4.31886E-6</v>
      </c>
      <c r="I809">
        <v>367.63040000000001</v>
      </c>
      <c r="J809">
        <v>-381.52370000000002</v>
      </c>
      <c r="K809">
        <v>1.1103400000000001</v>
      </c>
      <c r="L809">
        <v>366.35329999999999</v>
      </c>
      <c r="M809">
        <v>0.99994649999999996</v>
      </c>
      <c r="N809">
        <v>-1.022869E-2</v>
      </c>
      <c r="O809">
        <v>-1.5651860000000001E-3</v>
      </c>
      <c r="P809">
        <v>0.99023550000000005</v>
      </c>
      <c r="Q809">
        <v>8.6261640000000001E-2</v>
      </c>
      <c r="R809">
        <v>0.1095116</v>
      </c>
      <c r="S809">
        <v>3.0269170000000001</v>
      </c>
      <c r="T809">
        <v>-6.5991640000000004E-2</v>
      </c>
      <c r="U809">
        <v>7.5897220000000001E-2</v>
      </c>
      <c r="V809">
        <v>-0.1110577</v>
      </c>
      <c r="W809">
        <v>9.6388500000000002E-2</v>
      </c>
      <c r="X809">
        <v>0.98912860000000002</v>
      </c>
      <c r="Y809">
        <v>-2.6621579999999999E-2</v>
      </c>
      <c r="Z809">
        <v>4.4442499999999997E-4</v>
      </c>
      <c r="AA809">
        <v>0.99964549999999996</v>
      </c>
      <c r="AB809">
        <v>24</v>
      </c>
      <c r="AC809">
        <v>50.811100000000003</v>
      </c>
      <c r="AD809">
        <v>-1.11034431886</v>
      </c>
      <c r="AE809">
        <v>1.2771000000000099</v>
      </c>
      <c r="AF809">
        <v>-1.3559843048146401</v>
      </c>
      <c r="AG809">
        <v>-1.11034431886</v>
      </c>
      <c r="AH809">
        <v>50.784802934676499</v>
      </c>
      <c r="AI809">
        <v>91.252052802688496</v>
      </c>
      <c r="AJ809">
        <v>91.529467839706399</v>
      </c>
      <c r="AK809">
        <v>50.815034852445599</v>
      </c>
      <c r="AL809">
        <v>84.468758053015193</v>
      </c>
      <c r="AM809">
        <v>96.406243979862097</v>
      </c>
      <c r="AN809">
        <v>0.99999997149974895</v>
      </c>
    </row>
    <row r="810" spans="1:40" x14ac:dyDescent="0.25">
      <c r="A810" t="str">
        <f>"20190304154740301"</f>
        <v>20190304154740301</v>
      </c>
      <c r="B810" t="str">
        <f>"1551685660298001"</f>
        <v>1551685660298001</v>
      </c>
      <c r="C810" t="s">
        <v>40</v>
      </c>
      <c r="D810">
        <v>4.1322710000000002</v>
      </c>
      <c r="E810">
        <v>0.53038039999999997</v>
      </c>
      <c r="F810" t="s">
        <v>44</v>
      </c>
      <c r="G810">
        <v>-330.60649999999998</v>
      </c>
      <c r="H810" s="1">
        <v>-4.3540729999999998E-6</v>
      </c>
      <c r="I810">
        <v>367.68860000000001</v>
      </c>
      <c r="J810">
        <v>-381.40519999999998</v>
      </c>
      <c r="K810">
        <v>1.1103369999999999</v>
      </c>
      <c r="L810">
        <v>366.35309999999998</v>
      </c>
      <c r="M810">
        <v>0.99994649999999996</v>
      </c>
      <c r="N810">
        <v>-1.023056E-2</v>
      </c>
      <c r="O810">
        <v>-1.565077E-3</v>
      </c>
      <c r="P810">
        <v>0.99022480000000002</v>
      </c>
      <c r="Q810">
        <v>8.6320880000000003E-2</v>
      </c>
      <c r="R810">
        <v>0.10956059999999999</v>
      </c>
      <c r="S810">
        <v>3.0265499999999999</v>
      </c>
      <c r="T810">
        <v>-6.5999509999999997E-2</v>
      </c>
      <c r="U810">
        <v>7.9376219999999997E-2</v>
      </c>
      <c r="V810">
        <v>-0.1111065</v>
      </c>
      <c r="W810">
        <v>9.6449720000000003E-2</v>
      </c>
      <c r="X810">
        <v>0.98911709999999997</v>
      </c>
      <c r="Y810">
        <v>-2.7772410000000001E-2</v>
      </c>
      <c r="Z810">
        <v>4.6295430000000001E-4</v>
      </c>
      <c r="AA810">
        <v>0.99961420000000001</v>
      </c>
      <c r="AB810">
        <v>24</v>
      </c>
      <c r="AC810">
        <v>50.798699999999997</v>
      </c>
      <c r="AD810">
        <v>-1.1103413540730001</v>
      </c>
      <c r="AE810">
        <v>1.3355000000000199</v>
      </c>
      <c r="AF810">
        <v>-1.41433115638368</v>
      </c>
      <c r="AG810">
        <v>-1.1103413540730001</v>
      </c>
      <c r="AH810">
        <v>50.772307394422803</v>
      </c>
      <c r="AI810">
        <v>91.252318062654595</v>
      </c>
      <c r="AJ810">
        <v>91.595638637305001</v>
      </c>
      <c r="AK810">
        <v>50.804137515523699</v>
      </c>
      <c r="AL810">
        <v>84.465233701064804</v>
      </c>
      <c r="AM810">
        <v>96.409109432589403</v>
      </c>
      <c r="AN810">
        <v>0.99999992017136596</v>
      </c>
    </row>
    <row r="811" spans="1:40" x14ac:dyDescent="0.25">
      <c r="A811" t="str">
        <f>"20190304154740313"</f>
        <v>20190304154740313</v>
      </c>
      <c r="B811" t="str">
        <f>"1551685660307760"</f>
        <v>1551685660307760</v>
      </c>
      <c r="C811" t="s">
        <v>40</v>
      </c>
      <c r="D811">
        <v>4.2487159999999999</v>
      </c>
      <c r="E811">
        <v>0.53025619999999996</v>
      </c>
      <c r="F811" t="s">
        <v>44</v>
      </c>
      <c r="G811">
        <v>-332.84269999999998</v>
      </c>
      <c r="H811" s="1">
        <v>-3.4040010000000002E-6</v>
      </c>
      <c r="I811">
        <v>367.63630000000001</v>
      </c>
      <c r="J811">
        <v>-381.28129999999999</v>
      </c>
      <c r="K811">
        <v>1.1103339999999999</v>
      </c>
      <c r="L811">
        <v>366.35289999999998</v>
      </c>
      <c r="M811">
        <v>0.99994649999999996</v>
      </c>
      <c r="N811">
        <v>-1.023255E-2</v>
      </c>
      <c r="O811">
        <v>-1.5649679999999999E-3</v>
      </c>
      <c r="P811">
        <v>0.99024369999999995</v>
      </c>
      <c r="Q811">
        <v>8.6302829999999997E-2</v>
      </c>
      <c r="R811">
        <v>0.10940519999999999</v>
      </c>
      <c r="S811">
        <v>3.0267940000000002</v>
      </c>
      <c r="T811">
        <v>-6.9205050000000004E-2</v>
      </c>
      <c r="U811">
        <v>7.9986570000000007E-2</v>
      </c>
      <c r="V811">
        <v>-0.1109511</v>
      </c>
      <c r="W811">
        <v>9.643359E-2</v>
      </c>
      <c r="X811">
        <v>0.98913620000000002</v>
      </c>
      <c r="Y811">
        <v>-2.7970709999999999E-2</v>
      </c>
      <c r="Z811">
        <v>4.8258799999999999E-4</v>
      </c>
      <c r="AA811">
        <v>0.99960859999999996</v>
      </c>
      <c r="AB811">
        <v>24</v>
      </c>
      <c r="AC811">
        <v>48.438600000000001</v>
      </c>
      <c r="AD811">
        <v>-1.1103374040009999</v>
      </c>
      <c r="AE811">
        <v>1.2834000000000201</v>
      </c>
      <c r="AF811">
        <v>-1.3584939378355401</v>
      </c>
      <c r="AG811">
        <v>-1.1103374040009999</v>
      </c>
      <c r="AH811">
        <v>48.411112588934202</v>
      </c>
      <c r="AI811">
        <v>91.313365299499907</v>
      </c>
      <c r="AJ811">
        <v>91.607390201662795</v>
      </c>
      <c r="AK811">
        <v>48.442896042952697</v>
      </c>
      <c r="AL811">
        <v>84.4661626700303</v>
      </c>
      <c r="AM811">
        <v>96.400097154029595</v>
      </c>
      <c r="AN811">
        <v>1.0000000030109599</v>
      </c>
    </row>
    <row r="812" spans="1:40" x14ac:dyDescent="0.25">
      <c r="A812" t="str">
        <f>"20190304154740325"</f>
        <v>20190304154740325</v>
      </c>
      <c r="B812" t="str">
        <f>"1551685660317521"</f>
        <v>1551685660317521</v>
      </c>
      <c r="C812" t="s">
        <v>40</v>
      </c>
      <c r="D812">
        <v>4.2705640000000002</v>
      </c>
      <c r="E812">
        <v>0.5301901</v>
      </c>
      <c r="F812" t="s">
        <v>44</v>
      </c>
      <c r="G812">
        <v>-332.83699999999999</v>
      </c>
      <c r="H812" s="1">
        <v>-3.4043609999999999E-6</v>
      </c>
      <c r="I812">
        <v>367.64819999999997</v>
      </c>
      <c r="J812">
        <v>-381.14940000000001</v>
      </c>
      <c r="K812">
        <v>1.1103339999999999</v>
      </c>
      <c r="L812">
        <v>366.35270000000003</v>
      </c>
      <c r="M812">
        <v>0.99994640000000001</v>
      </c>
      <c r="N812">
        <v>-1.02348E-2</v>
      </c>
      <c r="O812">
        <v>-1.564621E-3</v>
      </c>
      <c r="P812">
        <v>0.99025920000000001</v>
      </c>
      <c r="Q812">
        <v>8.5986019999999996E-2</v>
      </c>
      <c r="R812">
        <v>0.1095129</v>
      </c>
      <c r="S812">
        <v>3.0267029999999999</v>
      </c>
      <c r="T812">
        <v>-6.9371580000000002E-2</v>
      </c>
      <c r="U812">
        <v>8.0932619999999997E-2</v>
      </c>
      <c r="V812">
        <v>-0.1110587</v>
      </c>
      <c r="W812">
        <v>9.6119389999999999E-2</v>
      </c>
      <c r="X812">
        <v>0.98915469999999905</v>
      </c>
      <c r="Y812">
        <v>-2.8283229999999999E-2</v>
      </c>
      <c r="Z812">
        <v>4.8865699999999998E-4</v>
      </c>
      <c r="AA812">
        <v>0.99959980000000004</v>
      </c>
      <c r="AB812">
        <v>24</v>
      </c>
      <c r="AC812">
        <v>48.312399999999997</v>
      </c>
      <c r="AD812">
        <v>-1.1103374043609999</v>
      </c>
      <c r="AE812">
        <v>1.2954999999999399</v>
      </c>
      <c r="AF812">
        <v>-1.37036966934586</v>
      </c>
      <c r="AG812">
        <v>-1.1103374043609999</v>
      </c>
      <c r="AH812">
        <v>48.284828398233898</v>
      </c>
      <c r="AI812">
        <v>91.316787215339602</v>
      </c>
      <c r="AJ812">
        <v>91.625672703322707</v>
      </c>
      <c r="AK812">
        <v>48.317030285698301</v>
      </c>
      <c r="AL812">
        <v>84.484248984414506</v>
      </c>
      <c r="AM812">
        <v>96.406133551765393</v>
      </c>
      <c r="AN812">
        <v>0.99999999625587499</v>
      </c>
    </row>
    <row r="813" spans="1:40" x14ac:dyDescent="0.25">
      <c r="A813" t="str">
        <f>"20190304154740343"</f>
        <v>20190304154740343</v>
      </c>
      <c r="B813" t="str">
        <f>"1551685660338017"</f>
        <v>1551685660338017</v>
      </c>
      <c r="C813" t="s">
        <v>40</v>
      </c>
      <c r="D813">
        <v>4.2442989999999998</v>
      </c>
      <c r="E813">
        <v>0.52993900000000005</v>
      </c>
      <c r="F813" t="s">
        <v>44</v>
      </c>
      <c r="G813">
        <v>-332.96080000000001</v>
      </c>
      <c r="H813" s="1">
        <v>-3.3506670000000001E-6</v>
      </c>
      <c r="I813">
        <v>367.65140000000002</v>
      </c>
      <c r="J813">
        <v>-380.96120000000002</v>
      </c>
      <c r="K813">
        <v>1.110339</v>
      </c>
      <c r="L813">
        <v>366.35239999999999</v>
      </c>
      <c r="M813">
        <v>0.99994649999999996</v>
      </c>
      <c r="N813">
        <v>-1.023804E-2</v>
      </c>
      <c r="O813">
        <v>-1.564399E-3</v>
      </c>
      <c r="P813">
        <v>0.99028749999999999</v>
      </c>
      <c r="Q813">
        <v>8.6068359999999997E-2</v>
      </c>
      <c r="R813">
        <v>0.1091937</v>
      </c>
      <c r="S813">
        <v>3.0265499999999999</v>
      </c>
      <c r="T813">
        <v>-6.9736240000000005E-2</v>
      </c>
      <c r="U813">
        <v>8.1573489999999999E-2</v>
      </c>
      <c r="V813">
        <v>-0.1107389</v>
      </c>
      <c r="W813">
        <v>9.6204819999999996E-2</v>
      </c>
      <c r="X813">
        <v>0.98918220000000001</v>
      </c>
      <c r="Y813">
        <v>-2.8495679999999999E-2</v>
      </c>
      <c r="Z813">
        <v>4.9413899999999999E-4</v>
      </c>
      <c r="AA813">
        <v>0.99959379999999998</v>
      </c>
      <c r="AB813">
        <v>24</v>
      </c>
      <c r="AC813">
        <v>48.000399999999999</v>
      </c>
      <c r="AD813">
        <v>-1.110342350667</v>
      </c>
      <c r="AE813">
        <v>1.2990000000000299</v>
      </c>
      <c r="AF813">
        <v>-1.3733597851081201</v>
      </c>
      <c r="AG813">
        <v>-1.110342350667</v>
      </c>
      <c r="AH813">
        <v>47.972658254394197</v>
      </c>
      <c r="AI813">
        <v>91.325349415499005</v>
      </c>
      <c r="AJ813">
        <v>91.6398139359884</v>
      </c>
      <c r="AK813">
        <v>48.0051551109663</v>
      </c>
      <c r="AL813">
        <v>84.479331149612406</v>
      </c>
      <c r="AM813">
        <v>96.387663295498399</v>
      </c>
      <c r="AN813">
        <v>0.99999994808063897</v>
      </c>
    </row>
    <row r="814" spans="1:40" x14ac:dyDescent="0.25">
      <c r="A814" t="str">
        <f>"20190304154740356"</f>
        <v>20190304154740356</v>
      </c>
      <c r="B814" t="str">
        <f>"1551685660347776"</f>
        <v>1551685660347776</v>
      </c>
      <c r="C814" t="s">
        <v>40</v>
      </c>
      <c r="D814">
        <v>4.2513110000000003</v>
      </c>
      <c r="E814">
        <v>0.52985760000000004</v>
      </c>
      <c r="F814" t="s">
        <v>44</v>
      </c>
      <c r="G814">
        <v>-333.03890000000001</v>
      </c>
      <c r="H814" s="1">
        <v>-3.3142859999999998E-6</v>
      </c>
      <c r="I814">
        <v>367.66770000000002</v>
      </c>
      <c r="J814">
        <v>-380.82679999999999</v>
      </c>
      <c r="K814">
        <v>1.1103379999999901</v>
      </c>
      <c r="L814">
        <v>366.35219999999998</v>
      </c>
      <c r="M814">
        <v>0.99994629999999995</v>
      </c>
      <c r="N814">
        <v>-1.024035E-2</v>
      </c>
      <c r="O814">
        <v>-1.5640539999999901E-3</v>
      </c>
      <c r="P814">
        <v>0.9903168</v>
      </c>
      <c r="Q814">
        <v>8.6052989999999996E-2</v>
      </c>
      <c r="R814">
        <v>0.1089384</v>
      </c>
      <c r="S814">
        <v>3.0263979999999999</v>
      </c>
      <c r="T814">
        <v>-7.0120329999999995E-2</v>
      </c>
      <c r="U814">
        <v>8.306885E-2</v>
      </c>
      <c r="V814">
        <v>-0.110483399999999</v>
      </c>
      <c r="W814">
        <v>9.6192009999999994E-2</v>
      </c>
      <c r="X814">
        <v>0.98921210000000004</v>
      </c>
      <c r="Y814">
        <v>-2.8989930000000001E-2</v>
      </c>
      <c r="Z814">
        <v>5.0444230000000001E-4</v>
      </c>
      <c r="AA814">
        <v>0.99957949999999995</v>
      </c>
      <c r="AB814">
        <v>24</v>
      </c>
      <c r="AC814">
        <v>47.787899999999901</v>
      </c>
      <c r="AD814">
        <v>-1.1103413142859999</v>
      </c>
      <c r="AE814">
        <v>1.3155000000000401</v>
      </c>
      <c r="AF814">
        <v>-1.38949561130509</v>
      </c>
      <c r="AG814">
        <v>-1.1103413142859999</v>
      </c>
      <c r="AH814">
        <v>47.760019961103701</v>
      </c>
      <c r="AI814">
        <v>91.331228950640806</v>
      </c>
      <c r="AJ814">
        <v>91.666452063419598</v>
      </c>
      <c r="AK814">
        <v>47.793127775581702</v>
      </c>
      <c r="AL814">
        <v>84.480068991008906</v>
      </c>
      <c r="AM814">
        <v>96.372855844102105</v>
      </c>
      <c r="AN814">
        <v>1.0000000316249</v>
      </c>
    </row>
    <row r="815" spans="1:40" x14ac:dyDescent="0.25">
      <c r="A815" t="str">
        <f>"20190304154740368"</f>
        <v>20190304154740368</v>
      </c>
      <c r="B815" t="str">
        <f>"1551685660357537"</f>
        <v>1551685660357537</v>
      </c>
      <c r="C815" t="s">
        <v>40</v>
      </c>
      <c r="D815">
        <v>4.2796139999999996</v>
      </c>
      <c r="E815">
        <v>0.52975000000000005</v>
      </c>
      <c r="F815" t="s">
        <v>44</v>
      </c>
      <c r="G815">
        <v>-332.87009999999998</v>
      </c>
      <c r="H815" s="1">
        <v>-3.386926E-6</v>
      </c>
      <c r="I815">
        <v>367.66649999999998</v>
      </c>
      <c r="J815">
        <v>-380.69479999999999</v>
      </c>
      <c r="K815">
        <v>1.110341</v>
      </c>
      <c r="L815">
        <v>366.35199999999998</v>
      </c>
      <c r="M815">
        <v>0.99994640000000001</v>
      </c>
      <c r="N815">
        <v>-1.0242599999999999E-2</v>
      </c>
      <c r="O815">
        <v>-1.5640649999999999E-3</v>
      </c>
      <c r="P815">
        <v>0.99035379999999995</v>
      </c>
      <c r="Q815">
        <v>8.5858480000000001E-2</v>
      </c>
      <c r="R815">
        <v>0.1087564</v>
      </c>
      <c r="S815">
        <v>3.0263059999999999</v>
      </c>
      <c r="T815">
        <v>-7.0067879999999999E-2</v>
      </c>
      <c r="U815">
        <v>8.2946779999999998E-2</v>
      </c>
      <c r="V815">
        <v>-0.110302</v>
      </c>
      <c r="W815">
        <v>9.6000249999999995E-2</v>
      </c>
      <c r="X815">
        <v>0.98925099999999999</v>
      </c>
      <c r="Y815">
        <v>-2.8950509999999999E-2</v>
      </c>
      <c r="Z815">
        <v>5.0354649999999996E-4</v>
      </c>
      <c r="AA815">
        <v>0.99958069999999999</v>
      </c>
      <c r="AB815">
        <v>24</v>
      </c>
      <c r="AC815">
        <v>47.8247</v>
      </c>
      <c r="AD815">
        <v>-1.1103443869259999</v>
      </c>
      <c r="AE815">
        <v>1.3145</v>
      </c>
      <c r="AF815">
        <v>-1.3885553449953101</v>
      </c>
      <c r="AG815">
        <v>-1.1103443869259999</v>
      </c>
      <c r="AH815">
        <v>47.796841064946399</v>
      </c>
      <c r="AI815">
        <v>91.330209089831598</v>
      </c>
      <c r="AJ815">
        <v>91.664042827287304</v>
      </c>
      <c r="AK815">
        <v>47.829896157021302</v>
      </c>
      <c r="AL815">
        <v>84.491107270509801</v>
      </c>
      <c r="AM815">
        <v>96.362230145358794</v>
      </c>
      <c r="AN815">
        <v>1.0000000601025201</v>
      </c>
    </row>
    <row r="816" spans="1:40" x14ac:dyDescent="0.25">
      <c r="A816" t="str">
        <f>"20190304154740379"</f>
        <v>20190304154740379</v>
      </c>
      <c r="B816" t="str">
        <f>"1551685660378033"</f>
        <v>1551685660378033</v>
      </c>
      <c r="C816" t="s">
        <v>40</v>
      </c>
      <c r="D816">
        <v>4.2659469999999997</v>
      </c>
      <c r="E816">
        <v>0.52959699999999998</v>
      </c>
      <c r="F816" t="s">
        <v>44</v>
      </c>
      <c r="G816">
        <v>-333.15570000000002</v>
      </c>
      <c r="H816" s="1">
        <v>-3.2662550000000002E-6</v>
      </c>
      <c r="I816">
        <v>367.65589999999997</v>
      </c>
      <c r="J816">
        <v>-380.5711</v>
      </c>
      <c r="K816">
        <v>1.1103400000000001</v>
      </c>
      <c r="L816">
        <v>366.35180000000003</v>
      </c>
      <c r="M816">
        <v>0.99994629999999995</v>
      </c>
      <c r="N816">
        <v>-1.0244700000000001E-2</v>
      </c>
      <c r="O816">
        <v>-1.5638379999999999E-3</v>
      </c>
      <c r="P816">
        <v>0.990398</v>
      </c>
      <c r="Q816">
        <v>8.597726E-2</v>
      </c>
      <c r="R816">
        <v>0.1082574</v>
      </c>
      <c r="S816">
        <v>3.0262150000000001</v>
      </c>
      <c r="T816">
        <v>-7.0681569999999999E-2</v>
      </c>
      <c r="U816">
        <v>8.3007810000000001E-2</v>
      </c>
      <c r="V816">
        <v>-0.1098026</v>
      </c>
      <c r="W816">
        <v>9.6121280000000003E-2</v>
      </c>
      <c r="X816">
        <v>0.98929480000000003</v>
      </c>
      <c r="Y816">
        <v>-2.897108E-2</v>
      </c>
      <c r="Z816">
        <v>5.0717850000000001E-4</v>
      </c>
      <c r="AA816">
        <v>0.99958009999999997</v>
      </c>
      <c r="AB816">
        <v>24</v>
      </c>
      <c r="AC816">
        <v>47.415399999999899</v>
      </c>
      <c r="AD816">
        <v>-1.1103432662549999</v>
      </c>
      <c r="AE816">
        <v>1.3040999999999401</v>
      </c>
      <c r="AF816">
        <v>-1.3774974900752801</v>
      </c>
      <c r="AG816">
        <v>-1.1103432662549999</v>
      </c>
      <c r="AH816">
        <v>47.387336235406302</v>
      </c>
      <c r="AI816">
        <v>91.341698065914997</v>
      </c>
      <c r="AJ816">
        <v>91.665056099443206</v>
      </c>
      <c r="AK816">
        <v>47.420354247849403</v>
      </c>
      <c r="AL816">
        <v>84.484140524266394</v>
      </c>
      <c r="AM816">
        <v>96.333381184096098</v>
      </c>
      <c r="AN816">
        <v>1.0000000563713101</v>
      </c>
    </row>
    <row r="817" spans="1:40" x14ac:dyDescent="0.25">
      <c r="A817" t="str">
        <f>"20190304154740392"</f>
        <v>20190304154740392</v>
      </c>
      <c r="B817" t="str">
        <f>"1551685660387793"</f>
        <v>1551685660387793</v>
      </c>
      <c r="C817" t="s">
        <v>40</v>
      </c>
      <c r="D817">
        <v>4.2456490000000002</v>
      </c>
      <c r="E817">
        <v>0.52955010000000002</v>
      </c>
      <c r="F817" t="s">
        <v>44</v>
      </c>
      <c r="G817">
        <v>-332.6361</v>
      </c>
      <c r="H817" s="1">
        <v>-3.4875129999999998E-6</v>
      </c>
      <c r="I817">
        <v>367.6651</v>
      </c>
      <c r="J817">
        <v>-380.44560000000001</v>
      </c>
      <c r="K817">
        <v>1.110339</v>
      </c>
      <c r="L817">
        <v>366.35160000000002</v>
      </c>
      <c r="M817">
        <v>0.99994629999999995</v>
      </c>
      <c r="N817">
        <v>-1.024683E-2</v>
      </c>
      <c r="O817">
        <v>-1.56361E-3</v>
      </c>
      <c r="P817">
        <v>0.99048020000000003</v>
      </c>
      <c r="Q817">
        <v>8.5839479999999996E-2</v>
      </c>
      <c r="R817">
        <v>0.10761320000000001</v>
      </c>
      <c r="S817">
        <v>3.0260929999999999</v>
      </c>
      <c r="T817">
        <v>-7.0094939999999994E-2</v>
      </c>
      <c r="U817">
        <v>8.2916260000000006E-2</v>
      </c>
      <c r="V817">
        <v>-0.10915859999999999</v>
      </c>
      <c r="W817">
        <v>9.5986959999999996E-2</v>
      </c>
      <c r="X817">
        <v>0.98937900000000001</v>
      </c>
      <c r="Y817">
        <v>-2.8941910000000001E-2</v>
      </c>
      <c r="Z817">
        <v>5.0362119999999995E-4</v>
      </c>
      <c r="AA817">
        <v>0.99958100000000005</v>
      </c>
      <c r="AB817">
        <v>24</v>
      </c>
      <c r="AC817">
        <v>47.8095</v>
      </c>
      <c r="AD817">
        <v>-1.1103424875129999</v>
      </c>
      <c r="AE817">
        <v>1.3134999999999699</v>
      </c>
      <c r="AF817">
        <v>-1.3875099150580099</v>
      </c>
      <c r="AG817">
        <v>-1.1103424875129999</v>
      </c>
      <c r="AH817">
        <v>47.781635173132003</v>
      </c>
      <c r="AI817">
        <v>91.330630471888099</v>
      </c>
      <c r="AJ817">
        <v>91.663319553654404</v>
      </c>
      <c r="AK817">
        <v>47.814670384958703</v>
      </c>
      <c r="AL817">
        <v>84.491871661577605</v>
      </c>
      <c r="AM817">
        <v>96.296003119253797</v>
      </c>
      <c r="AN817">
        <v>0.99999995104249895</v>
      </c>
    </row>
    <row r="818" spans="1:40" x14ac:dyDescent="0.25">
      <c r="A818" t="str">
        <f>"20190304154740403"</f>
        <v>20190304154740403</v>
      </c>
      <c r="B818" t="str">
        <f>"1551685660397553"</f>
        <v>1551685660397553</v>
      </c>
      <c r="C818" t="s">
        <v>40</v>
      </c>
      <c r="D818">
        <v>4.2451470000000002</v>
      </c>
      <c r="E818">
        <v>0.52947540000000004</v>
      </c>
      <c r="F818" t="s">
        <v>44</v>
      </c>
      <c r="G818">
        <v>-332.5813</v>
      </c>
      <c r="H818" s="1">
        <v>-3.5164080000000001E-6</v>
      </c>
      <c r="I818">
        <v>367.63499999999999</v>
      </c>
      <c r="J818">
        <v>-380.3186</v>
      </c>
      <c r="K818">
        <v>1.1103379999999901</v>
      </c>
      <c r="L818">
        <v>366.35129999999998</v>
      </c>
      <c r="M818">
        <v>0.99994620000000001</v>
      </c>
      <c r="N818">
        <v>-1.0249009999999999E-2</v>
      </c>
      <c r="O818">
        <v>-1.5638570000000001E-3</v>
      </c>
      <c r="P818">
        <v>0.99053570000000002</v>
      </c>
      <c r="Q818">
        <v>8.5834709999999995E-2</v>
      </c>
      <c r="R818">
        <v>0.1071035</v>
      </c>
      <c r="S818">
        <v>3.0261230000000001</v>
      </c>
      <c r="T818">
        <v>-7.019889E-2</v>
      </c>
      <c r="U818">
        <v>8.1146239999999994E-2</v>
      </c>
      <c r="V818">
        <v>-0.1086486</v>
      </c>
      <c r="W818">
        <v>9.5984589999999995E-2</v>
      </c>
      <c r="X818">
        <v>0.98943539999999996</v>
      </c>
      <c r="Y818">
        <v>-2.8357830000000001E-2</v>
      </c>
      <c r="Z818">
        <v>4.9443429999999997E-4</v>
      </c>
      <c r="AA818">
        <v>0.99959770000000003</v>
      </c>
      <c r="AB818">
        <v>24</v>
      </c>
      <c r="AC818">
        <v>47.737299999999998</v>
      </c>
      <c r="AD818">
        <v>-1.1103415164079899</v>
      </c>
      <c r="AE818">
        <v>1.2837000000000101</v>
      </c>
      <c r="AF818">
        <v>-1.3576227226934201</v>
      </c>
      <c r="AG818">
        <v>-1.1103415164079899</v>
      </c>
      <c r="AH818">
        <v>47.709441822352296</v>
      </c>
      <c r="AI818">
        <v>91.332664364440205</v>
      </c>
      <c r="AJ818">
        <v>91.629972259643196</v>
      </c>
      <c r="AK818">
        <v>47.741667720563001</v>
      </c>
      <c r="AL818">
        <v>84.492008271674905</v>
      </c>
      <c r="AM818">
        <v>96.266467761907904</v>
      </c>
      <c r="AN818">
        <v>0.99999998528629397</v>
      </c>
    </row>
    <row r="819" spans="1:40" x14ac:dyDescent="0.25">
      <c r="A819" t="str">
        <f>"20190304154740420"</f>
        <v>20190304154740420</v>
      </c>
      <c r="B819" t="str">
        <f>"1551685660418049"</f>
        <v>1551685660418049</v>
      </c>
      <c r="C819" t="s">
        <v>40</v>
      </c>
      <c r="D819">
        <v>4.2808570000000001</v>
      </c>
      <c r="E819">
        <v>0.52928560000000002</v>
      </c>
      <c r="F819" t="s">
        <v>44</v>
      </c>
      <c r="G819">
        <v>-332.31450000000001</v>
      </c>
      <c r="H819" s="1">
        <v>-3.632279E-6</v>
      </c>
      <c r="I819">
        <v>367.62700000000001</v>
      </c>
      <c r="J819">
        <v>-380.14139999999998</v>
      </c>
      <c r="K819">
        <v>1.1103369999999999</v>
      </c>
      <c r="L819">
        <v>366.35109999999997</v>
      </c>
      <c r="M819">
        <v>0.99994640000000001</v>
      </c>
      <c r="N819">
        <v>-1.0252020000000001E-2</v>
      </c>
      <c r="O819">
        <v>-1.5636339999999999E-3</v>
      </c>
      <c r="P819">
        <v>0.99063710000000005</v>
      </c>
      <c r="Q819">
        <v>8.5658070000000003E-2</v>
      </c>
      <c r="R819">
        <v>0.1063066</v>
      </c>
      <c r="S819">
        <v>3.0260009999999999</v>
      </c>
      <c r="T819">
        <v>-6.9991709999999999E-2</v>
      </c>
      <c r="U819">
        <v>8.0413819999999997E-2</v>
      </c>
      <c r="V819">
        <v>-0.10785210000000001</v>
      </c>
      <c r="W819">
        <v>9.5811809999999997E-2</v>
      </c>
      <c r="X819">
        <v>0.98953930000000001</v>
      </c>
      <c r="Y819">
        <v>-2.8117059999999999E-2</v>
      </c>
      <c r="Z819">
        <v>4.8938910000000005E-4</v>
      </c>
      <c r="AA819">
        <v>0.99960450000000001</v>
      </c>
      <c r="AB819">
        <v>24</v>
      </c>
      <c r="AC819">
        <v>47.826899999999902</v>
      </c>
      <c r="AD819">
        <v>-1.1103406322789999</v>
      </c>
      <c r="AE819">
        <v>1.2758999999999701</v>
      </c>
      <c r="AF819">
        <v>-1.34995904853241</v>
      </c>
      <c r="AG819">
        <v>-1.1103406322789999</v>
      </c>
      <c r="AH819">
        <v>47.799102218912203</v>
      </c>
      <c r="AI819">
        <v>91.330172474517596</v>
      </c>
      <c r="AJ819">
        <v>91.617737519772106</v>
      </c>
      <c r="AK819">
        <v>47.831050779660103</v>
      </c>
      <c r="AL819">
        <v>84.501953767495806</v>
      </c>
      <c r="AM819">
        <v>96.220241891526896</v>
      </c>
      <c r="AN819">
        <v>1.00000000232718</v>
      </c>
    </row>
    <row r="820" spans="1:40" x14ac:dyDescent="0.25">
      <c r="A820" t="str">
        <f>"20190304154740432"</f>
        <v>20190304154740432</v>
      </c>
      <c r="B820" t="str">
        <f>"1551685660427809"</f>
        <v>1551685660427809</v>
      </c>
      <c r="C820" t="s">
        <v>40</v>
      </c>
      <c r="D820">
        <v>4.2631550000000002</v>
      </c>
      <c r="E820">
        <v>0.52928560000000002</v>
      </c>
      <c r="F820" t="s">
        <v>44</v>
      </c>
      <c r="G820">
        <v>-332.44959999999998</v>
      </c>
      <c r="H820" s="1">
        <v>-3.5783059999999999E-6</v>
      </c>
      <c r="I820">
        <v>367.60449999999997</v>
      </c>
      <c r="J820">
        <v>-380.01929999999999</v>
      </c>
      <c r="K820">
        <v>1.1103379999999901</v>
      </c>
      <c r="L820">
        <v>366.35090000000002</v>
      </c>
      <c r="M820">
        <v>0.99994620000000001</v>
      </c>
      <c r="N820">
        <v>-1.025409E-2</v>
      </c>
      <c r="O820">
        <v>-1.563289E-3</v>
      </c>
      <c r="P820">
        <v>0.99069589999999996</v>
      </c>
      <c r="Q820">
        <v>8.5553409999999996E-2</v>
      </c>
      <c r="R820">
        <v>0.10584209999999999</v>
      </c>
      <c r="S820">
        <v>3.025909</v>
      </c>
      <c r="T820">
        <v>-7.0447919999999997E-2</v>
      </c>
      <c r="U820">
        <v>7.9528810000000005E-2</v>
      </c>
      <c r="V820">
        <v>-0.1073875</v>
      </c>
      <c r="W820">
        <v>9.5710249999999997E-2</v>
      </c>
      <c r="X820">
        <v>0.98959960000000002</v>
      </c>
      <c r="Y820">
        <v>-2.7825349999999999E-2</v>
      </c>
      <c r="Z820">
        <v>4.8688550000000001E-4</v>
      </c>
      <c r="AA820">
        <v>0.99961270000000002</v>
      </c>
      <c r="AB820">
        <v>24</v>
      </c>
      <c r="AC820">
        <v>47.569699999999997</v>
      </c>
      <c r="AD820">
        <v>-1.11034157830599</v>
      </c>
      <c r="AE820">
        <v>1.2535999999999401</v>
      </c>
      <c r="AF820">
        <v>-1.3272449602748</v>
      </c>
      <c r="AG820">
        <v>-1.11034157830599</v>
      </c>
      <c r="AH820">
        <v>47.541798317058799</v>
      </c>
      <c r="AI820">
        <v>91.337382302370798</v>
      </c>
      <c r="AJ820">
        <v>91.599135714846696</v>
      </c>
      <c r="AK820">
        <v>47.573280576653403</v>
      </c>
      <c r="AL820">
        <v>84.507799291342195</v>
      </c>
      <c r="AM820">
        <v>96.1932808704846</v>
      </c>
      <c r="AN820">
        <v>0.99999994771573497</v>
      </c>
    </row>
    <row r="821" spans="1:40" x14ac:dyDescent="0.25">
      <c r="A821" t="str">
        <f>"20190304154740443"</f>
        <v>20190304154740443</v>
      </c>
      <c r="B821" t="str">
        <f>"1551685660437569"</f>
        <v>1551685660437569</v>
      </c>
      <c r="C821" t="s">
        <v>40</v>
      </c>
      <c r="D821">
        <v>4.2688980000000001</v>
      </c>
      <c r="E821">
        <v>0.50714989999999904</v>
      </c>
      <c r="F821" t="s">
        <v>44</v>
      </c>
      <c r="G821">
        <v>-332.49040000000002</v>
      </c>
      <c r="H821" s="1">
        <v>-3.5663789999999999E-6</v>
      </c>
      <c r="I821">
        <v>367.57310000000001</v>
      </c>
      <c r="J821">
        <v>-379.8974</v>
      </c>
      <c r="K821">
        <v>1.110336</v>
      </c>
      <c r="L821">
        <v>366.35070000000002</v>
      </c>
      <c r="M821">
        <v>0.99994620000000001</v>
      </c>
      <c r="N821">
        <v>-1.0256309999999999E-2</v>
      </c>
      <c r="O821">
        <v>-1.563537E-3</v>
      </c>
      <c r="P821">
        <v>0.99072369999999998</v>
      </c>
      <c r="Q821">
        <v>8.573008E-2</v>
      </c>
      <c r="R821">
        <v>0.1054375</v>
      </c>
      <c r="S821">
        <v>3.02597</v>
      </c>
      <c r="T821">
        <v>-7.0690749999999997E-2</v>
      </c>
      <c r="U821">
        <v>7.7819819999999998E-2</v>
      </c>
      <c r="V821">
        <v>-0.1069826</v>
      </c>
      <c r="W821">
        <v>9.5889189999999999E-2</v>
      </c>
      <c r="X821">
        <v>0.98962620000000001</v>
      </c>
      <c r="Y821">
        <v>-2.7261049999999998E-2</v>
      </c>
      <c r="Z821">
        <v>4.7866739999999998E-4</v>
      </c>
      <c r="AA821">
        <v>0.99962819999999997</v>
      </c>
      <c r="AB821">
        <v>24</v>
      </c>
      <c r="AC821">
        <v>47.406999999999897</v>
      </c>
      <c r="AD821">
        <v>-1.1103395663790001</v>
      </c>
      <c r="AE821">
        <v>1.2223999999999899</v>
      </c>
      <c r="AF821">
        <v>-1.2958146376816699</v>
      </c>
      <c r="AG821">
        <v>-1.1103395663790001</v>
      </c>
      <c r="AH821">
        <v>47.379057539649096</v>
      </c>
      <c r="AI821">
        <v>91.341992946347204</v>
      </c>
      <c r="AJ821">
        <v>91.566645893039095</v>
      </c>
      <c r="AK821">
        <v>47.409778346595097</v>
      </c>
      <c r="AL821">
        <v>84.497499780170997</v>
      </c>
      <c r="AM821">
        <v>96.169945256731907</v>
      </c>
      <c r="AN821">
        <v>1.00000001459402</v>
      </c>
    </row>
    <row r="822" spans="1:40" x14ac:dyDescent="0.25">
      <c r="A822" t="str">
        <f>"20190304154740455"</f>
        <v>20190304154740455</v>
      </c>
      <c r="B822" t="str">
        <f>"1551685660447329"</f>
        <v>1551685660447329</v>
      </c>
      <c r="C822" t="s">
        <v>40</v>
      </c>
      <c r="D822">
        <v>4.2177259999999999</v>
      </c>
      <c r="E822">
        <v>0.50016679999999902</v>
      </c>
      <c r="F822" t="s">
        <v>44</v>
      </c>
      <c r="G822">
        <v>-348.50209999999998</v>
      </c>
      <c r="H822" s="1">
        <v>-8.0303849999999998E-7</v>
      </c>
      <c r="I822">
        <v>368.97089999999997</v>
      </c>
      <c r="J822">
        <v>-379.77530000000002</v>
      </c>
      <c r="K822">
        <v>1.1103350000000001</v>
      </c>
      <c r="L822">
        <v>366.35050000000001</v>
      </c>
      <c r="M822">
        <v>0.99994640000000001</v>
      </c>
      <c r="N822">
        <v>-1.025854E-2</v>
      </c>
      <c r="O822">
        <v>-1.5635480000000001E-3</v>
      </c>
      <c r="P822">
        <v>0.99075299999999999</v>
      </c>
      <c r="Q822">
        <v>8.5684579999999996E-2</v>
      </c>
      <c r="R822">
        <v>0.105199</v>
      </c>
      <c r="S822">
        <v>3.010529</v>
      </c>
      <c r="T822">
        <v>-0.10647139999999999</v>
      </c>
      <c r="U822">
        <v>0.25125120000000001</v>
      </c>
      <c r="V822">
        <v>-0.1067443</v>
      </c>
      <c r="W822">
        <v>9.5846470000000003E-2</v>
      </c>
      <c r="X822">
        <v>0.98965599999999998</v>
      </c>
      <c r="Y822">
        <v>-8.4658079999999997E-2</v>
      </c>
      <c r="Z822">
        <v>1.9683109999999999E-3</v>
      </c>
      <c r="AA822">
        <v>0.99640810000000002</v>
      </c>
      <c r="AB822">
        <v>24</v>
      </c>
      <c r="AC822">
        <v>31.273199999999999</v>
      </c>
      <c r="AD822">
        <v>-1.1103358030385</v>
      </c>
      <c r="AE822">
        <v>2.6203999999999601</v>
      </c>
      <c r="AF822">
        <v>-2.6659593313299998</v>
      </c>
      <c r="AG822">
        <v>-1.1103358030385</v>
      </c>
      <c r="AH822">
        <v>31.229971598866801</v>
      </c>
      <c r="AI822">
        <v>92.0288369698293</v>
      </c>
      <c r="AJ822">
        <v>94.8792485498861</v>
      </c>
      <c r="AK822">
        <v>31.363215887689801</v>
      </c>
      <c r="AL822">
        <v>84.499958397124601</v>
      </c>
      <c r="AM822">
        <v>96.156123617995902</v>
      </c>
      <c r="AN822">
        <v>0.99999994486497401</v>
      </c>
    </row>
    <row r="823" spans="1:40" x14ac:dyDescent="0.25">
      <c r="A823" t="str">
        <f>"20190304154740465"</f>
        <v>20190304154740465</v>
      </c>
      <c r="B823" t="str">
        <f>"1551685660458065"</f>
        <v>1551685660458065</v>
      </c>
      <c r="C823" t="s">
        <v>40</v>
      </c>
      <c r="D823">
        <v>4.1820740000000001</v>
      </c>
      <c r="E823">
        <v>0.49717660000000002</v>
      </c>
      <c r="F823" t="s">
        <v>44</v>
      </c>
      <c r="G823">
        <v>-354.55070000000001</v>
      </c>
      <c r="H823" s="1">
        <v>-2.4447870000000001E-6</v>
      </c>
      <c r="I823">
        <v>368.91320000000002</v>
      </c>
      <c r="J823">
        <v>-379.65280000000001</v>
      </c>
      <c r="K823">
        <v>1.110333</v>
      </c>
      <c r="L823">
        <v>366.3503</v>
      </c>
      <c r="M823">
        <v>0.99994609999999995</v>
      </c>
      <c r="N823">
        <v>-1.026083E-2</v>
      </c>
      <c r="O823">
        <v>-1.5630850000000001E-3</v>
      </c>
      <c r="P823">
        <v>0.99080619999999997</v>
      </c>
      <c r="Q823">
        <v>8.547138E-2</v>
      </c>
      <c r="R823">
        <v>0.10487109999999999</v>
      </c>
      <c r="S823">
        <v>3.0070800000000002</v>
      </c>
      <c r="T823">
        <v>-0.13236489999999901</v>
      </c>
      <c r="U823">
        <v>0.30551149999999999</v>
      </c>
      <c r="V823">
        <v>-0.1064161</v>
      </c>
      <c r="W823">
        <v>9.5635730000000002E-2</v>
      </c>
      <c r="X823">
        <v>0.98971180000000003</v>
      </c>
      <c r="Y823">
        <v>-0.1025098</v>
      </c>
      <c r="Z823">
        <v>2.8294499999999998E-3</v>
      </c>
      <c r="AA823">
        <v>0.99472799999999995</v>
      </c>
      <c r="AB823">
        <v>24</v>
      </c>
      <c r="AC823">
        <v>25.1021</v>
      </c>
      <c r="AD823">
        <v>-1.110335444787</v>
      </c>
      <c r="AE823">
        <v>2.5629000000000102</v>
      </c>
      <c r="AF823">
        <v>-2.5971067361431799</v>
      </c>
      <c r="AG823">
        <v>-1.110335444787</v>
      </c>
      <c r="AH823">
        <v>25.049558300383602</v>
      </c>
      <c r="AI823">
        <v>92.524491294938997</v>
      </c>
      <c r="AJ823">
        <v>95.919205826878795</v>
      </c>
      <c r="AK823">
        <v>25.208295841710299</v>
      </c>
      <c r="AL823">
        <v>84.512089009185999</v>
      </c>
      <c r="AM823">
        <v>96.136997061727698</v>
      </c>
      <c r="AN823">
        <v>1.00000001312554</v>
      </c>
    </row>
    <row r="824" spans="1:40" x14ac:dyDescent="0.25">
      <c r="A824" t="str">
        <f>"20190304154740477"</f>
        <v>20190304154740477</v>
      </c>
      <c r="B824" t="str">
        <f>"1551685660467825"</f>
        <v>1551685660467825</v>
      </c>
      <c r="C824" t="s">
        <v>40</v>
      </c>
      <c r="D824">
        <v>4.2378580000000001</v>
      </c>
      <c r="E824">
        <v>0.4949134</v>
      </c>
      <c r="F824" t="s">
        <v>44</v>
      </c>
      <c r="G824">
        <v>-357.02179999999998</v>
      </c>
      <c r="H824" s="1">
        <v>-1.401423E-6</v>
      </c>
      <c r="I824">
        <v>368.81880000000001</v>
      </c>
      <c r="J824">
        <v>-379.52940000000001</v>
      </c>
      <c r="K824">
        <v>1.110331</v>
      </c>
      <c r="L824">
        <v>366.3501</v>
      </c>
      <c r="M824">
        <v>0.99994609999999995</v>
      </c>
      <c r="N824">
        <v>-1.0264179999999999E-2</v>
      </c>
      <c r="O824">
        <v>-1.561904E-3</v>
      </c>
      <c r="P824">
        <v>0.99085310000000004</v>
      </c>
      <c r="Q824">
        <v>8.5335240000000007E-2</v>
      </c>
      <c r="R824">
        <v>0.1045383</v>
      </c>
      <c r="S824">
        <v>3.00589</v>
      </c>
      <c r="T824">
        <v>-0.1474761</v>
      </c>
      <c r="U824">
        <v>0.32788089999999998</v>
      </c>
      <c r="V824">
        <v>-0.10608239999999899</v>
      </c>
      <c r="W824">
        <v>9.5503299999999999E-2</v>
      </c>
      <c r="X824">
        <v>0.98976039999999998</v>
      </c>
      <c r="Y824">
        <v>-0.1098296</v>
      </c>
      <c r="Z824">
        <v>3.3108090000000001E-3</v>
      </c>
      <c r="AA824">
        <v>0.99394490000000002</v>
      </c>
      <c r="AB824">
        <v>24</v>
      </c>
      <c r="AC824">
        <v>22.5076</v>
      </c>
      <c r="AD824">
        <v>-1.110332401423</v>
      </c>
      <c r="AE824">
        <v>2.4687000000000099</v>
      </c>
      <c r="AF824">
        <v>-2.4978470720084198</v>
      </c>
      <c r="AG824">
        <v>-1.110332401423</v>
      </c>
      <c r="AH824">
        <v>22.449732439827301</v>
      </c>
      <c r="AI824">
        <v>92.814124751921298</v>
      </c>
      <c r="AJ824">
        <v>96.348844766244298</v>
      </c>
      <c r="AK824">
        <v>22.6155381244096</v>
      </c>
      <c r="AL824">
        <v>84.5197115219582</v>
      </c>
      <c r="AM824">
        <v>96.117600685213205</v>
      </c>
      <c r="AN824">
        <v>1.0000000026544</v>
      </c>
    </row>
    <row r="825" spans="1:40" x14ac:dyDescent="0.25">
      <c r="A825" t="str">
        <f>"20190304154740488"</f>
        <v>20190304154740488</v>
      </c>
      <c r="B825" t="str">
        <f>"1551685660477585"</f>
        <v>1551685660477585</v>
      </c>
      <c r="C825" t="s">
        <v>40</v>
      </c>
      <c r="D825">
        <v>4.2164010000000003</v>
      </c>
      <c r="E825">
        <v>0.49357230000000002</v>
      </c>
      <c r="F825" t="s">
        <v>44</v>
      </c>
      <c r="G825">
        <v>-358.36720000000003</v>
      </c>
      <c r="H825" s="1">
        <v>-8.3145369999999997E-7</v>
      </c>
      <c r="I825">
        <v>368.7783</v>
      </c>
      <c r="J825">
        <v>-379.40800000000002</v>
      </c>
      <c r="K825">
        <v>1.1103320000000001</v>
      </c>
      <c r="L825">
        <v>366.34989999999999</v>
      </c>
      <c r="M825">
        <v>0.99994609999999995</v>
      </c>
      <c r="N825">
        <v>-1.026842E-2</v>
      </c>
      <c r="O825">
        <v>-1.559885E-3</v>
      </c>
      <c r="P825">
        <v>0.99084059999999896</v>
      </c>
      <c r="Q825">
        <v>8.5025340000000005E-2</v>
      </c>
      <c r="R825">
        <v>0.1049078</v>
      </c>
      <c r="S825">
        <v>3.004883</v>
      </c>
      <c r="T825">
        <v>-0.15765860000000001</v>
      </c>
      <c r="U825">
        <v>0.34478760000000003</v>
      </c>
      <c r="V825">
        <v>-0.1064503</v>
      </c>
      <c r="W825">
        <v>9.5197599999999993E-2</v>
      </c>
      <c r="X825">
        <v>0.98975029999999997</v>
      </c>
      <c r="Y825">
        <v>-0.1153551</v>
      </c>
      <c r="Z825">
        <v>3.6745039999999999E-3</v>
      </c>
      <c r="AA825">
        <v>0.99331749999999996</v>
      </c>
      <c r="AB825">
        <v>24</v>
      </c>
      <c r="AC825">
        <v>21.040799999999901</v>
      </c>
      <c r="AD825">
        <v>-1.11033283145369</v>
      </c>
      <c r="AE825">
        <v>2.4284000000000101</v>
      </c>
      <c r="AF825">
        <v>-2.4544748206663698</v>
      </c>
      <c r="AG825">
        <v>-1.11033283145369</v>
      </c>
      <c r="AH825">
        <v>20.9793325299283</v>
      </c>
      <c r="AI825">
        <v>93.009071409815604</v>
      </c>
      <c r="AJ825">
        <v>96.672977946191196</v>
      </c>
      <c r="AK825">
        <v>21.151588097426501</v>
      </c>
      <c r="AL825">
        <v>84.537306738227699</v>
      </c>
      <c r="AM825">
        <v>96.138717337671807</v>
      </c>
      <c r="AN825">
        <v>0.99999995288296895</v>
      </c>
    </row>
    <row r="826" spans="1:40" x14ac:dyDescent="0.25">
      <c r="A826" t="str">
        <f>"20190304154740501"</f>
        <v>20190304154740501</v>
      </c>
      <c r="B826" t="str">
        <f>"1551685660498081"</f>
        <v>1551685660498081</v>
      </c>
      <c r="C826" t="s">
        <v>40</v>
      </c>
      <c r="D826">
        <v>4.1979810000000004</v>
      </c>
      <c r="E826">
        <v>0.49181330000000001</v>
      </c>
      <c r="F826" t="s">
        <v>44</v>
      </c>
      <c r="G826">
        <v>-359.13209999999998</v>
      </c>
      <c r="H826" s="1">
        <v>-5.1091050000000003E-7</v>
      </c>
      <c r="I826">
        <v>368.75380000000001</v>
      </c>
      <c r="J826">
        <v>-379.28550000000001</v>
      </c>
      <c r="K826">
        <v>1.1103289999999999</v>
      </c>
      <c r="L826">
        <v>366.34969999999998</v>
      </c>
      <c r="M826">
        <v>0.99994609999999995</v>
      </c>
      <c r="N826">
        <v>-1.027599E-2</v>
      </c>
      <c r="O826">
        <v>-1.553214E-3</v>
      </c>
      <c r="P826">
        <v>0.99083390000000005</v>
      </c>
      <c r="Q826">
        <v>8.487749E-2</v>
      </c>
      <c r="R826">
        <v>0.1050912</v>
      </c>
      <c r="S826">
        <v>3.0041199999999999</v>
      </c>
      <c r="T826">
        <v>-0.1645083</v>
      </c>
      <c r="U826">
        <v>0.35617070000000001</v>
      </c>
      <c r="V826">
        <v>-0.10662779999999999</v>
      </c>
      <c r="W826">
        <v>9.5056150000000006E-2</v>
      </c>
      <c r="X826">
        <v>0.98974479999999998</v>
      </c>
      <c r="Y826">
        <v>-0.1190676</v>
      </c>
      <c r="Z826">
        <v>3.9296019999999999E-3</v>
      </c>
      <c r="AA826">
        <v>0.99287840000000005</v>
      </c>
      <c r="AB826">
        <v>24</v>
      </c>
      <c r="AC826">
        <v>20.153400000000001</v>
      </c>
      <c r="AD826">
        <v>-1.1103295109105</v>
      </c>
      <c r="AE826">
        <v>2.4041000000000201</v>
      </c>
      <c r="AF826">
        <v>-2.42813448991512</v>
      </c>
      <c r="AG826">
        <v>-1.1103295109105</v>
      </c>
      <c r="AH826">
        <v>20.089518478430101</v>
      </c>
      <c r="AI826">
        <v>93.140656645204899</v>
      </c>
      <c r="AJ826">
        <v>96.891667417894894</v>
      </c>
      <c r="AK826">
        <v>20.2661644476477</v>
      </c>
      <c r="AL826">
        <v>84.545448208870695</v>
      </c>
      <c r="AM826">
        <v>96.148908869789295</v>
      </c>
      <c r="AN826">
        <v>0.99999996425634996</v>
      </c>
    </row>
    <row r="827" spans="1:40" x14ac:dyDescent="0.25">
      <c r="A827" t="str">
        <f>"20190304154740510"</f>
        <v>20190304154740510</v>
      </c>
      <c r="B827" t="str">
        <f>"1551685660507841"</f>
        <v>1551685660507841</v>
      </c>
      <c r="C827" t="s">
        <v>40</v>
      </c>
      <c r="D827">
        <v>4.2051379999999998</v>
      </c>
      <c r="E827">
        <v>0.49110340000000002</v>
      </c>
      <c r="F827" t="s">
        <v>44</v>
      </c>
      <c r="G827">
        <v>-360.11739999999998</v>
      </c>
      <c r="H827" s="1">
        <v>-4.3819159999999999E-6</v>
      </c>
      <c r="I827">
        <v>368.71440000000001</v>
      </c>
      <c r="J827">
        <v>-379.16899999999998</v>
      </c>
      <c r="K827">
        <v>1.110331</v>
      </c>
      <c r="L827">
        <v>366.34960000000001</v>
      </c>
      <c r="M827">
        <v>0.999946</v>
      </c>
      <c r="N827">
        <v>-1.0284120000000001E-2</v>
      </c>
      <c r="O827">
        <v>-1.5460649999999999E-3</v>
      </c>
      <c r="P827">
        <v>0.99085319999999999</v>
      </c>
      <c r="Q827">
        <v>8.4801989999999994E-2</v>
      </c>
      <c r="R827">
        <v>0.10497089999999901</v>
      </c>
      <c r="S827">
        <v>3.0033569999999998</v>
      </c>
      <c r="T827">
        <v>-0.17397170000000001</v>
      </c>
      <c r="U827">
        <v>0.37051390000000001</v>
      </c>
      <c r="V827">
        <v>-0.1065006</v>
      </c>
      <c r="W827">
        <v>9.4987799999999997E-2</v>
      </c>
      <c r="X827">
        <v>0.98976509999999995</v>
      </c>
      <c r="Y827">
        <v>-0.12373000000000001</v>
      </c>
      <c r="Z827">
        <v>4.2796709999999996E-3</v>
      </c>
      <c r="AA827">
        <v>0.99230669999999999</v>
      </c>
      <c r="AB827">
        <v>24</v>
      </c>
      <c r="AC827">
        <v>19.051600000000001</v>
      </c>
      <c r="AD827">
        <v>-1.110335381916</v>
      </c>
      <c r="AE827">
        <v>2.3647999999999998</v>
      </c>
      <c r="AF827">
        <v>-2.3862714962067102</v>
      </c>
      <c r="AG827">
        <v>-1.110335381916</v>
      </c>
      <c r="AH827">
        <v>18.984416702391002</v>
      </c>
      <c r="AI827">
        <v>93.3211520444451</v>
      </c>
      <c r="AJ827">
        <v>97.164295918964697</v>
      </c>
      <c r="AK827">
        <v>19.165991073877901</v>
      </c>
      <c r="AL827">
        <v>84.549382407353903</v>
      </c>
      <c r="AM827">
        <v>96.141504713844597</v>
      </c>
      <c r="AN827">
        <v>1.0000000065636001</v>
      </c>
    </row>
    <row r="828" spans="1:40" x14ac:dyDescent="0.25">
      <c r="A828" t="str">
        <f>"20190304154740523"</f>
        <v>20190304154740523</v>
      </c>
      <c r="B828" t="str">
        <f>"1551685660517601"</f>
        <v>1551685660517601</v>
      </c>
      <c r="C828" t="s">
        <v>40</v>
      </c>
      <c r="D828">
        <v>4.3528960000000003</v>
      </c>
      <c r="E828">
        <v>0.49024669999999998</v>
      </c>
      <c r="F828" t="s">
        <v>44</v>
      </c>
      <c r="G828">
        <v>-360.29430000000002</v>
      </c>
      <c r="H828" s="1">
        <v>-4.3066950000000003E-6</v>
      </c>
      <c r="I828">
        <v>368.71069999999997</v>
      </c>
      <c r="J828">
        <v>-379.04340000000002</v>
      </c>
      <c r="K828">
        <v>1.1103430000000001</v>
      </c>
      <c r="L828">
        <v>366.3494</v>
      </c>
      <c r="M828">
        <v>0.99994590000000005</v>
      </c>
      <c r="N828">
        <v>-1.029656E-2</v>
      </c>
      <c r="O828">
        <v>-1.5299619999999999E-3</v>
      </c>
      <c r="P828">
        <v>0.99084369999999999</v>
      </c>
      <c r="Q828">
        <v>8.4738720000000003E-2</v>
      </c>
      <c r="R828">
        <v>0.10511230000000001</v>
      </c>
      <c r="S828">
        <v>3.0030519999999998</v>
      </c>
      <c r="T828">
        <v>-0.17665829999999999</v>
      </c>
      <c r="U828">
        <v>0.37567139999999999</v>
      </c>
      <c r="V828">
        <v>-0.1066276</v>
      </c>
      <c r="W828">
        <v>9.493559E-2</v>
      </c>
      <c r="X828">
        <v>0.98975639999999998</v>
      </c>
      <c r="Y828">
        <v>-0.12539400000000001</v>
      </c>
      <c r="Z828">
        <v>4.3934059999999999E-3</v>
      </c>
      <c r="AA828">
        <v>0.99209729999999996</v>
      </c>
      <c r="AB828">
        <v>24</v>
      </c>
      <c r="AC828">
        <v>18.749099999999999</v>
      </c>
      <c r="AD828">
        <v>-1.110347306695</v>
      </c>
      <c r="AE828">
        <v>2.3612999999999702</v>
      </c>
      <c r="AF828">
        <v>-2.3817613480550799</v>
      </c>
      <c r="AG828">
        <v>-1.110347306695</v>
      </c>
      <c r="AH828">
        <v>18.680970791204899</v>
      </c>
      <c r="AI828">
        <v>93.374256660427207</v>
      </c>
      <c r="AJ828">
        <v>97.265820039430594</v>
      </c>
      <c r="AK828">
        <v>18.864896712211898</v>
      </c>
      <c r="AL828">
        <v>84.552387207273696</v>
      </c>
      <c r="AM828">
        <v>96.148825911363105</v>
      </c>
      <c r="AN828">
        <v>0.99999997133568297</v>
      </c>
    </row>
    <row r="829" spans="1:40" x14ac:dyDescent="0.25">
      <c r="A829" t="str">
        <f>"20190304154740537"</f>
        <v>20190304154740537</v>
      </c>
      <c r="B829" t="str">
        <f>"1551685660527361"</f>
        <v>1551685660527361</v>
      </c>
      <c r="C829" t="s">
        <v>40</v>
      </c>
      <c r="D829">
        <v>4.4431859999999999</v>
      </c>
      <c r="E829">
        <v>0.48929420000000001</v>
      </c>
      <c r="F829" t="s">
        <v>44</v>
      </c>
      <c r="G829">
        <v>-360.38580000000002</v>
      </c>
      <c r="H829" s="1">
        <v>-4.2640129999999999E-6</v>
      </c>
      <c r="I829">
        <v>368.72989999999999</v>
      </c>
      <c r="J829">
        <v>-378.90190000000001</v>
      </c>
      <c r="K829">
        <v>1.110352</v>
      </c>
      <c r="L829">
        <v>366.3492</v>
      </c>
      <c r="M829">
        <v>0.9999458</v>
      </c>
      <c r="N829">
        <v>-1.0311320000000001E-2</v>
      </c>
      <c r="O829">
        <v>-1.507649E-3</v>
      </c>
      <c r="P829">
        <v>0.99082420000000004</v>
      </c>
      <c r="Q829">
        <v>8.4809850000000006E-2</v>
      </c>
      <c r="R829">
        <v>0.10523879999999999</v>
      </c>
      <c r="S829">
        <v>3.0023499999999999</v>
      </c>
      <c r="T829">
        <v>-0.17867420000000001</v>
      </c>
      <c r="U829">
        <v>0.38308720000000002</v>
      </c>
      <c r="V829">
        <v>-0.10673390000000001</v>
      </c>
      <c r="W829">
        <v>9.5019129999999993E-2</v>
      </c>
      <c r="X829">
        <v>0.98973699999999998</v>
      </c>
      <c r="Y829">
        <v>-0.12780169999999999</v>
      </c>
      <c r="Z829">
        <v>4.5202369999999999E-3</v>
      </c>
      <c r="AA829">
        <v>0.99178949999999999</v>
      </c>
      <c r="AB829">
        <v>24</v>
      </c>
      <c r="AC829">
        <v>18.516099999999899</v>
      </c>
      <c r="AD829">
        <v>-1.110356264013</v>
      </c>
      <c r="AE829">
        <v>2.3806999999999898</v>
      </c>
      <c r="AF829">
        <v>-2.4001239523529598</v>
      </c>
      <c r="AG829">
        <v>-1.110356264013</v>
      </c>
      <c r="AH829">
        <v>18.447231161144298</v>
      </c>
      <c r="AI829">
        <v>93.415810284681797</v>
      </c>
      <c r="AJ829">
        <v>97.4129714961948</v>
      </c>
      <c r="AK829">
        <v>18.635820978223201</v>
      </c>
      <c r="AL829">
        <v>84.547579383699599</v>
      </c>
      <c r="AM829">
        <v>96.155028536232393</v>
      </c>
      <c r="AN829">
        <v>1.00000004482208</v>
      </c>
    </row>
    <row r="830" spans="1:40" x14ac:dyDescent="0.25">
      <c r="A830" t="str">
        <f>"20190304154740549"</f>
        <v>20190304154740549</v>
      </c>
      <c r="B830" t="str">
        <f>"1551685660538097"</f>
        <v>1551685660538097</v>
      </c>
      <c r="C830" t="s">
        <v>40</v>
      </c>
      <c r="D830">
        <v>4.2141219999999997</v>
      </c>
      <c r="E830">
        <v>0.48902400000000001</v>
      </c>
      <c r="F830" t="s">
        <v>44</v>
      </c>
      <c r="G830">
        <v>-360.4024</v>
      </c>
      <c r="H830" s="1">
        <v>-4.251759E-6</v>
      </c>
      <c r="I830">
        <v>368.75880000000001</v>
      </c>
      <c r="J830">
        <v>-378.75709999999998</v>
      </c>
      <c r="K830">
        <v>1.1103639999999999</v>
      </c>
      <c r="L830">
        <v>366.34899999999999</v>
      </c>
      <c r="M830">
        <v>0.99994550000000004</v>
      </c>
      <c r="N830">
        <v>-1.0327680000000001E-2</v>
      </c>
      <c r="O830">
        <v>-1.4773329999999999E-3</v>
      </c>
      <c r="P830">
        <v>0.99082020000000004</v>
      </c>
      <c r="Q830">
        <v>8.4695439999999997E-2</v>
      </c>
      <c r="R830">
        <v>0.1053661</v>
      </c>
      <c r="S830">
        <v>3.001709</v>
      </c>
      <c r="T830">
        <v>-0.18016389999999999</v>
      </c>
      <c r="U830">
        <v>0.39099119999999998</v>
      </c>
      <c r="V830">
        <v>-0.1068336</v>
      </c>
      <c r="W830">
        <v>9.4918500000000003E-2</v>
      </c>
      <c r="X830">
        <v>0.98973580000000005</v>
      </c>
      <c r="Y830">
        <v>-0.13035719999999901</v>
      </c>
      <c r="Z830">
        <v>4.641867E-3</v>
      </c>
      <c r="AA830">
        <v>0.99145620000000001</v>
      </c>
      <c r="AB830">
        <v>24</v>
      </c>
      <c r="AC830">
        <v>18.354699999999902</v>
      </c>
      <c r="AD830">
        <v>-1.1103682517589999</v>
      </c>
      <c r="AE830">
        <v>2.4098000000000099</v>
      </c>
      <c r="AF830">
        <v>-2.42817911723417</v>
      </c>
      <c r="AG830">
        <v>-1.1103682517589999</v>
      </c>
      <c r="AH830">
        <v>18.2853357152235</v>
      </c>
      <c r="AI830">
        <v>93.444824815858695</v>
      </c>
      <c r="AJ830">
        <v>97.564267908696195</v>
      </c>
      <c r="AK830">
        <v>18.479244402797299</v>
      </c>
      <c r="AL830">
        <v>84.553370699779904</v>
      </c>
      <c r="AM830">
        <v>96.160741160343804</v>
      </c>
      <c r="AN830">
        <v>0.99999994676642301</v>
      </c>
    </row>
    <row r="831" spans="1:40" x14ac:dyDescent="0.25">
      <c r="A831" t="str">
        <f>"20190304154740568"</f>
        <v>20190304154740568</v>
      </c>
      <c r="B831" t="str">
        <f>"1551685660557617"</f>
        <v>1551685660557617</v>
      </c>
      <c r="C831" t="s">
        <v>40</v>
      </c>
      <c r="D831">
        <v>4.1976500000000003</v>
      </c>
      <c r="E831">
        <v>0.48859720000000001</v>
      </c>
      <c r="F831" t="s">
        <v>44</v>
      </c>
      <c r="G831">
        <v>-360.46850000000001</v>
      </c>
      <c r="H831" s="1">
        <v>-4.2258329999999997E-6</v>
      </c>
      <c r="I831">
        <v>368.745</v>
      </c>
      <c r="J831">
        <v>-378.5598</v>
      </c>
      <c r="K831">
        <v>1.1103749999999999</v>
      </c>
      <c r="L831">
        <v>366.34879999999998</v>
      </c>
      <c r="M831">
        <v>0.99994559999999999</v>
      </c>
      <c r="N831">
        <v>-1.035018E-2</v>
      </c>
      <c r="O831">
        <v>-1.4221940000000001E-3</v>
      </c>
      <c r="P831">
        <v>0.99079170000000005</v>
      </c>
      <c r="Q831">
        <v>8.4950730000000002E-2</v>
      </c>
      <c r="R831">
        <v>0.1054301</v>
      </c>
      <c r="S831">
        <v>3.0015559999999999</v>
      </c>
      <c r="T831">
        <v>-0.18223500000000001</v>
      </c>
      <c r="U831">
        <v>0.39324949999999997</v>
      </c>
      <c r="V831">
        <v>-0.10684589999999899</v>
      </c>
      <c r="W831">
        <v>9.5191910000000005E-2</v>
      </c>
      <c r="X831">
        <v>0.98970820000000004</v>
      </c>
      <c r="Y831">
        <v>-0.13103509999999999</v>
      </c>
      <c r="Z831">
        <v>4.7102749999999999E-3</v>
      </c>
      <c r="AA831">
        <v>0.99136659999999999</v>
      </c>
      <c r="AB831">
        <v>24</v>
      </c>
      <c r="AC831">
        <v>18.091299999999901</v>
      </c>
      <c r="AD831">
        <v>-1.1103792258330001</v>
      </c>
      <c r="AE831">
        <v>2.3962000000000199</v>
      </c>
      <c r="AF831">
        <v>-2.41299509526409</v>
      </c>
      <c r="AG831">
        <v>-1.1103792258330001</v>
      </c>
      <c r="AH831">
        <v>18.021157203676701</v>
      </c>
      <c r="AI831">
        <v>93.494729574811799</v>
      </c>
      <c r="AJ831">
        <v>97.626423253150307</v>
      </c>
      <c r="AK831">
        <v>18.215861064318599</v>
      </c>
      <c r="AL831">
        <v>84.537634132929796</v>
      </c>
      <c r="AM831">
        <v>96.161615507897906</v>
      </c>
      <c r="AN831">
        <v>0.99999993361174599</v>
      </c>
    </row>
    <row r="832" spans="1:40" x14ac:dyDescent="0.25">
      <c r="A832" t="str">
        <f>"20190304154740581"</f>
        <v>20190304154740581</v>
      </c>
      <c r="B832" t="str">
        <f>"1551685660578113"</f>
        <v>1551685660578113</v>
      </c>
      <c r="C832" t="s">
        <v>40</v>
      </c>
      <c r="D832">
        <v>4.1150719999999996</v>
      </c>
      <c r="E832">
        <v>0.48816720000000002</v>
      </c>
      <c r="F832" t="s">
        <v>44</v>
      </c>
      <c r="G832">
        <v>-360.53199999999998</v>
      </c>
      <c r="H832" s="1">
        <v>-4.200989E-6</v>
      </c>
      <c r="I832">
        <v>368.73180000000002</v>
      </c>
      <c r="J832">
        <v>-378.4255</v>
      </c>
      <c r="K832">
        <v>1.1103860000000001</v>
      </c>
      <c r="L832">
        <v>366.34870000000001</v>
      </c>
      <c r="M832">
        <v>0.99994539999999998</v>
      </c>
      <c r="N832">
        <v>-1.0365070000000001E-2</v>
      </c>
      <c r="O832">
        <v>-1.37410299999999E-3</v>
      </c>
      <c r="P832">
        <v>0.99076889999999995</v>
      </c>
      <c r="Q832">
        <v>8.5060239999999995E-2</v>
      </c>
      <c r="R832">
        <v>0.1055552</v>
      </c>
      <c r="S832">
        <v>3.0015260000000001</v>
      </c>
      <c r="T832">
        <v>-0.1848706</v>
      </c>
      <c r="U832">
        <v>0.39675899999999997</v>
      </c>
      <c r="V832">
        <v>-0.1069258</v>
      </c>
      <c r="W832">
        <v>9.5313430000000005E-2</v>
      </c>
      <c r="X832">
        <v>0.98968789999999995</v>
      </c>
      <c r="Y832">
        <v>-0.13211809999999999</v>
      </c>
      <c r="Z832">
        <v>4.8057760000000003E-3</v>
      </c>
      <c r="AA832">
        <v>0.9912223</v>
      </c>
      <c r="AB832">
        <v>24</v>
      </c>
      <c r="AC832">
        <v>17.8935</v>
      </c>
      <c r="AD832">
        <v>-1.1103902009890001</v>
      </c>
      <c r="AE832">
        <v>2.38310000000001</v>
      </c>
      <c r="AF832">
        <v>-2.3986107873948299</v>
      </c>
      <c r="AG832">
        <v>-1.1103902009890001</v>
      </c>
      <c r="AH832">
        <v>17.822771020928201</v>
      </c>
      <c r="AI832">
        <v>93.533248823173395</v>
      </c>
      <c r="AJ832">
        <v>97.664883246457904</v>
      </c>
      <c r="AK832">
        <v>18.017698714661002</v>
      </c>
      <c r="AL832">
        <v>84.530639880682699</v>
      </c>
      <c r="AM832">
        <v>96.166313221663799</v>
      </c>
      <c r="AN832">
        <v>0.99999995802520603</v>
      </c>
    </row>
    <row r="833" spans="1:40" x14ac:dyDescent="0.25">
      <c r="A833" t="str">
        <f>"20190304154740593"</f>
        <v>20190304154740593</v>
      </c>
      <c r="B833" t="str">
        <f>"1551685660587873"</f>
        <v>1551685660587873</v>
      </c>
      <c r="C833" t="s">
        <v>40</v>
      </c>
      <c r="D833">
        <v>4.187951</v>
      </c>
      <c r="E833">
        <v>0.48797550000000001</v>
      </c>
      <c r="F833" t="s">
        <v>44</v>
      </c>
      <c r="G833">
        <v>-360.84109999999998</v>
      </c>
      <c r="H833" s="1">
        <v>-4.0750059999999997E-6</v>
      </c>
      <c r="I833">
        <v>368.69420000000002</v>
      </c>
      <c r="J833">
        <v>-378.29430000000002</v>
      </c>
      <c r="K833">
        <v>1.1103989999999999</v>
      </c>
      <c r="L833">
        <v>366.3485</v>
      </c>
      <c r="M833">
        <v>0.99994530000000004</v>
      </c>
      <c r="N833">
        <v>-1.037941E-2</v>
      </c>
      <c r="O833">
        <v>-1.3224339999999999E-3</v>
      </c>
      <c r="P833">
        <v>0.99074059999999997</v>
      </c>
      <c r="Q833">
        <v>8.5100549999999997E-2</v>
      </c>
      <c r="R833">
        <v>0.1057891</v>
      </c>
      <c r="S833">
        <v>3.0015869999999998</v>
      </c>
      <c r="T833">
        <v>-0.18953780000000001</v>
      </c>
      <c r="U833">
        <v>0.40039059999999999</v>
      </c>
      <c r="V833">
        <v>-0.1071112</v>
      </c>
      <c r="W833">
        <v>9.5364699999999997E-2</v>
      </c>
      <c r="X833">
        <v>0.98966290000000001</v>
      </c>
      <c r="Y833">
        <v>-0.1332265</v>
      </c>
      <c r="Z833">
        <v>4.9483590000000003E-3</v>
      </c>
      <c r="AA833">
        <v>0.99107330000000005</v>
      </c>
      <c r="AB833">
        <v>24</v>
      </c>
      <c r="AC833">
        <v>17.453199999999999</v>
      </c>
      <c r="AD833">
        <v>-1.1104030750060001</v>
      </c>
      <c r="AE833">
        <v>2.3457000000000199</v>
      </c>
      <c r="AF833">
        <v>-2.3593991397926701</v>
      </c>
      <c r="AG833">
        <v>-1.1104030750060001</v>
      </c>
      <c r="AH833">
        <v>17.3809773517069</v>
      </c>
      <c r="AI833">
        <v>93.622304799326699</v>
      </c>
      <c r="AJ833">
        <v>97.730424419141201</v>
      </c>
      <c r="AK833">
        <v>17.5754980865518</v>
      </c>
      <c r="AL833">
        <v>84.527688814450102</v>
      </c>
      <c r="AM833">
        <v>96.177077319187305</v>
      </c>
      <c r="AN833">
        <v>0.99999994540396797</v>
      </c>
    </row>
    <row r="834" spans="1:40" x14ac:dyDescent="0.25">
      <c r="A834" t="str">
        <f>"20190304154740604"</f>
        <v>20190304154740604</v>
      </c>
      <c r="B834" t="str">
        <f>"1551685660597633"</f>
        <v>1551685660597633</v>
      </c>
      <c r="C834" t="s">
        <v>40</v>
      </c>
      <c r="D834">
        <v>4.2351839999999896</v>
      </c>
      <c r="E834">
        <v>0.4877899</v>
      </c>
      <c r="F834" t="s">
        <v>44</v>
      </c>
      <c r="G834">
        <v>-360.7937</v>
      </c>
      <c r="H834" s="1">
        <v>-4.095185E-6</v>
      </c>
      <c r="I834">
        <v>368.69510000000002</v>
      </c>
      <c r="J834">
        <v>-378.16399999999999</v>
      </c>
      <c r="K834">
        <v>1.110411</v>
      </c>
      <c r="L834">
        <v>366.34840000000003</v>
      </c>
      <c r="M834">
        <v>0.99994530000000004</v>
      </c>
      <c r="N834">
        <v>-1.0393080000000001E-2</v>
      </c>
      <c r="O834">
        <v>-1.2601540000000001E-3</v>
      </c>
      <c r="P834">
        <v>0.99075150000000001</v>
      </c>
      <c r="Q834">
        <v>8.4850620000000002E-2</v>
      </c>
      <c r="R834">
        <v>0.1058868</v>
      </c>
      <c r="S834">
        <v>3.001465</v>
      </c>
      <c r="T834">
        <v>-0.1904409</v>
      </c>
      <c r="U834">
        <v>0.40246579999999998</v>
      </c>
      <c r="V834">
        <v>-0.10714949999999999</v>
      </c>
      <c r="W834">
        <v>9.5125940000000006E-2</v>
      </c>
      <c r="X834">
        <v>0.98968179999999994</v>
      </c>
      <c r="Y834">
        <v>-0.13383909999999999</v>
      </c>
      <c r="Z834">
        <v>4.9888090000000003E-3</v>
      </c>
      <c r="AA834">
        <v>0.9909905</v>
      </c>
      <c r="AB834">
        <v>24</v>
      </c>
      <c r="AC834">
        <v>17.370299999999901</v>
      </c>
      <c r="AD834">
        <v>-1.110415095185</v>
      </c>
      <c r="AE834">
        <v>2.34669999999999</v>
      </c>
      <c r="AF834">
        <v>-2.3591207243922501</v>
      </c>
      <c r="AG834">
        <v>-1.110415095185</v>
      </c>
      <c r="AH834">
        <v>17.297907255333399</v>
      </c>
      <c r="AI834">
        <v>93.639384612765298</v>
      </c>
      <c r="AJ834">
        <v>97.766190958075697</v>
      </c>
      <c r="AK834">
        <v>17.493314942857101</v>
      </c>
      <c r="AL834">
        <v>84.541431598437299</v>
      </c>
      <c r="AM834">
        <v>96.179151893821299</v>
      </c>
      <c r="AN834">
        <v>1.0000000125311801</v>
      </c>
    </row>
    <row r="835" spans="1:40" x14ac:dyDescent="0.25">
      <c r="A835" t="str">
        <f>"20190304154740622"</f>
        <v>20190304154740622</v>
      </c>
      <c r="B835" t="str">
        <f>"1551685660617154"</f>
        <v>1551685660617154</v>
      </c>
      <c r="C835" t="s">
        <v>40</v>
      </c>
      <c r="D835">
        <v>4.1883710000000001</v>
      </c>
      <c r="E835">
        <v>0.48743300000000001</v>
      </c>
      <c r="F835" t="s">
        <v>44</v>
      </c>
      <c r="G835">
        <v>-360.77179999999998</v>
      </c>
      <c r="H835" s="1">
        <v>-4.1055820000000001E-6</v>
      </c>
      <c r="I835">
        <v>368.68950000000001</v>
      </c>
      <c r="J835">
        <v>-377.98840000000001</v>
      </c>
      <c r="K835">
        <v>1.1104309999999999</v>
      </c>
      <c r="L835">
        <v>366.34829999999999</v>
      </c>
      <c r="M835">
        <v>0.99994530000000004</v>
      </c>
      <c r="N835">
        <v>-1.041079E-2</v>
      </c>
      <c r="O835">
        <v>-1.166397E-3</v>
      </c>
      <c r="P835">
        <v>0.99074229999999996</v>
      </c>
      <c r="Q835">
        <v>8.4885349999999998E-2</v>
      </c>
      <c r="R835">
        <v>0.105944899999999</v>
      </c>
      <c r="S835">
        <v>3.0012509999999999</v>
      </c>
      <c r="T835">
        <v>-0.19161520000000001</v>
      </c>
      <c r="U835">
        <v>0.40399170000000001</v>
      </c>
      <c r="V835">
        <v>-0.1071174</v>
      </c>
      <c r="W835">
        <v>9.5175300000000004E-2</v>
      </c>
      <c r="X835">
        <v>0.98968049999999996</v>
      </c>
      <c r="Y835">
        <v>-0.134245899999999</v>
      </c>
      <c r="Z835">
        <v>5.0267100000000002E-3</v>
      </c>
      <c r="AA835">
        <v>0.99093529999999996</v>
      </c>
      <c r="AB835">
        <v>24</v>
      </c>
      <c r="AC835">
        <v>17.2166</v>
      </c>
      <c r="AD835">
        <v>-1.1104351055820001</v>
      </c>
      <c r="AE835">
        <v>2.3412000000000099</v>
      </c>
      <c r="AF835">
        <v>-2.3516755723028702</v>
      </c>
      <c r="AG835">
        <v>-1.1104351055820001</v>
      </c>
      <c r="AH835">
        <v>17.143834171344501</v>
      </c>
      <c r="AI835">
        <v>93.671679872162798</v>
      </c>
      <c r="AJ835">
        <v>97.810702086928501</v>
      </c>
      <c r="AK835">
        <v>17.3399681146084</v>
      </c>
      <c r="AL835">
        <v>84.538590430310194</v>
      </c>
      <c r="AM835">
        <v>96.177323100205797</v>
      </c>
      <c r="AN835">
        <v>0.99999998359654896</v>
      </c>
    </row>
    <row r="836" spans="1:40" x14ac:dyDescent="0.25">
      <c r="A836" t="str">
        <f>"20190304154740632"</f>
        <v>20190304154740632</v>
      </c>
      <c r="B836" t="str">
        <f>"1551685660627889"</f>
        <v>1551685660627889</v>
      </c>
      <c r="C836" t="s">
        <v>40</v>
      </c>
      <c r="D836">
        <v>4.2504770000000001</v>
      </c>
      <c r="E836">
        <v>0.48726920000000001</v>
      </c>
      <c r="F836" t="s">
        <v>44</v>
      </c>
      <c r="G836">
        <v>-360.82749999999999</v>
      </c>
      <c r="H836" s="1">
        <v>-4.0838800000000003E-6</v>
      </c>
      <c r="I836">
        <v>368.6771</v>
      </c>
      <c r="J836">
        <v>-377.86470000000003</v>
      </c>
      <c r="K836">
        <v>1.1104400000000001</v>
      </c>
      <c r="L836">
        <v>366.34820000000002</v>
      </c>
      <c r="M836">
        <v>0.99994510000000003</v>
      </c>
      <c r="N836">
        <v>-1.042303E-2</v>
      </c>
      <c r="O836">
        <v>-1.0946E-3</v>
      </c>
      <c r="P836">
        <v>0.99073509999999998</v>
      </c>
      <c r="Q836">
        <v>8.5139359999999997E-2</v>
      </c>
      <c r="R836">
        <v>0.10580779999999999</v>
      </c>
      <c r="S836">
        <v>3.0011290000000002</v>
      </c>
      <c r="T836">
        <v>-0.19419410000000001</v>
      </c>
      <c r="U836">
        <v>0.40728760000000003</v>
      </c>
      <c r="V836">
        <v>-0.1069108</v>
      </c>
      <c r="W836">
        <v>9.5439200000000002E-2</v>
      </c>
      <c r="X836">
        <v>0.98967740000000004</v>
      </c>
      <c r="Y836">
        <v>-0.13523859999999999</v>
      </c>
      <c r="Z836">
        <v>5.1189529999999999E-3</v>
      </c>
      <c r="AA836">
        <v>0.99079980000000001</v>
      </c>
      <c r="AB836">
        <v>24</v>
      </c>
      <c r="AC836">
        <v>17.037199999999999</v>
      </c>
      <c r="AD836">
        <v>-1.1104440838799901</v>
      </c>
      <c r="AE836">
        <v>2.3288999999999702</v>
      </c>
      <c r="AF836">
        <v>-2.33779944684927</v>
      </c>
      <c r="AG836">
        <v>-1.1104440838799901</v>
      </c>
      <c r="AH836">
        <v>16.963897605859401</v>
      </c>
      <c r="AI836">
        <v>93.710229121149894</v>
      </c>
      <c r="AJ836">
        <v>97.846523533408799</v>
      </c>
      <c r="AK836">
        <v>17.160192723253299</v>
      </c>
      <c r="AL836">
        <v>84.523400789454897</v>
      </c>
      <c r="AM836">
        <v>96.165519756802297</v>
      </c>
      <c r="AN836">
        <v>0.99999995806201902</v>
      </c>
    </row>
    <row r="837" spans="1:40" x14ac:dyDescent="0.25">
      <c r="A837" t="str">
        <f>"20190304154740644"</f>
        <v>20190304154740644</v>
      </c>
      <c r="B837" t="str">
        <f>"1551685660637649"</f>
        <v>1551685660637649</v>
      </c>
      <c r="C837" t="s">
        <v>40</v>
      </c>
      <c r="D837">
        <v>4.2550249999999998</v>
      </c>
      <c r="E837">
        <v>0.48716700000000002</v>
      </c>
      <c r="F837" t="s">
        <v>44</v>
      </c>
      <c r="G837">
        <v>-360.67759999999998</v>
      </c>
      <c r="H837" s="1">
        <v>-4.1464190000000001E-6</v>
      </c>
      <c r="I837">
        <v>368.68709999999999</v>
      </c>
      <c r="J837">
        <v>-377.72910000000002</v>
      </c>
      <c r="K837">
        <v>1.1104510000000001</v>
      </c>
      <c r="L837">
        <v>366.34809999999999</v>
      </c>
      <c r="M837">
        <v>0.99994510000000003</v>
      </c>
      <c r="N837">
        <v>-1.043753E-2</v>
      </c>
      <c r="O837">
        <v>-1.00541E-3</v>
      </c>
      <c r="P837">
        <v>0.99074209999999996</v>
      </c>
      <c r="Q837">
        <v>8.5025169999999997E-2</v>
      </c>
      <c r="R837">
        <v>0.1058336</v>
      </c>
      <c r="S837">
        <v>3.0011290000000002</v>
      </c>
      <c r="T837">
        <v>-0.19389980000000001</v>
      </c>
      <c r="U837">
        <v>0.40841670000000002</v>
      </c>
      <c r="V837">
        <v>-0.10685</v>
      </c>
      <c r="W837">
        <v>9.5337160000000004E-2</v>
      </c>
      <c r="X837">
        <v>0.98969379999999996</v>
      </c>
      <c r="Y837">
        <v>-0.13551659999999999</v>
      </c>
      <c r="Z837">
        <v>5.1187239999999998E-3</v>
      </c>
      <c r="AA837">
        <v>0.99076189999999997</v>
      </c>
      <c r="AB837">
        <v>24</v>
      </c>
      <c r="AC837">
        <v>17.051500000000001</v>
      </c>
      <c r="AD837">
        <v>-1.110455146419</v>
      </c>
      <c r="AE837">
        <v>2.3389999999999902</v>
      </c>
      <c r="AF837">
        <v>-2.3463761075555301</v>
      </c>
      <c r="AG837">
        <v>-1.110455146419</v>
      </c>
      <c r="AH837">
        <v>16.9784624019433</v>
      </c>
      <c r="AI837">
        <v>93.706898341916897</v>
      </c>
      <c r="AJ837">
        <v>97.868278680690494</v>
      </c>
      <c r="AK837">
        <v>17.175761322413599</v>
      </c>
      <c r="AL837">
        <v>84.5292740272359</v>
      </c>
      <c r="AM837">
        <v>96.161939093801394</v>
      </c>
      <c r="AN837">
        <v>0.999999957167651</v>
      </c>
    </row>
    <row r="838" spans="1:40" x14ac:dyDescent="0.25">
      <c r="A838" t="str">
        <f>"20190304154740656"</f>
        <v>20190304154740656</v>
      </c>
      <c r="B838" t="str">
        <f>"1551685660647409"</f>
        <v>1551685660647409</v>
      </c>
      <c r="C838" t="s">
        <v>40</v>
      </c>
      <c r="D838">
        <v>4.2305149999999996</v>
      </c>
      <c r="E838">
        <v>0.48705799999999999</v>
      </c>
      <c r="F838" t="s">
        <v>44</v>
      </c>
      <c r="G838">
        <v>-360.6465</v>
      </c>
      <c r="H838" s="1">
        <v>-4.1617039999999996E-6</v>
      </c>
      <c r="I838">
        <v>368.67610000000002</v>
      </c>
      <c r="J838">
        <v>-377.61360000000002</v>
      </c>
      <c r="K838">
        <v>1.1104620000000001</v>
      </c>
      <c r="L838">
        <v>366.34809999999999</v>
      </c>
      <c r="M838">
        <v>0.99994519999999998</v>
      </c>
      <c r="N838">
        <v>-1.045047E-2</v>
      </c>
      <c r="O838">
        <v>-9.261254E-4</v>
      </c>
      <c r="P838">
        <v>0.99071450000000005</v>
      </c>
      <c r="Q838">
        <v>8.5179879999999999E-2</v>
      </c>
      <c r="R838">
        <v>0.10596940000000001</v>
      </c>
      <c r="S838">
        <v>3.0010680000000001</v>
      </c>
      <c r="T838">
        <v>-0.19508329999999999</v>
      </c>
      <c r="U838">
        <v>0.40899659999999999</v>
      </c>
      <c r="V838">
        <v>-0.1069087</v>
      </c>
      <c r="W838">
        <v>9.5503290000000005E-2</v>
      </c>
      <c r="X838">
        <v>0.98967150000000004</v>
      </c>
      <c r="Y838">
        <v>-0.13562469999999999</v>
      </c>
      <c r="Z838">
        <v>5.1463180000000004E-3</v>
      </c>
      <c r="AA838">
        <v>0.99074689999999999</v>
      </c>
      <c r="AB838">
        <v>24</v>
      </c>
      <c r="AC838">
        <v>16.967099999999999</v>
      </c>
      <c r="AD838">
        <v>-1.1104661617039999</v>
      </c>
      <c r="AE838">
        <v>2.32800000000003</v>
      </c>
      <c r="AF838">
        <v>-2.3339010564721701</v>
      </c>
      <c r="AG838">
        <v>-1.1104661617039999</v>
      </c>
      <c r="AH838">
        <v>16.893909222509802</v>
      </c>
      <c r="AI838">
        <v>93.725459473713201</v>
      </c>
      <c r="AJ838">
        <v>97.865649460803198</v>
      </c>
      <c r="AK838">
        <v>17.090476823544002</v>
      </c>
      <c r="AL838">
        <v>84.519712155650794</v>
      </c>
      <c r="AM838">
        <v>96.165436055444104</v>
      </c>
      <c r="AN838">
        <v>1.00000001322438</v>
      </c>
    </row>
    <row r="839" spans="1:40" x14ac:dyDescent="0.25">
      <c r="A839" t="str">
        <f>"20190304154740666"</f>
        <v>20190304154740666</v>
      </c>
      <c r="B839" t="str">
        <f>"1551685660658145"</f>
        <v>1551685660658145</v>
      </c>
      <c r="C839" t="s">
        <v>40</v>
      </c>
      <c r="D839">
        <v>4.2623170000000004</v>
      </c>
      <c r="E839">
        <v>0.48696250000000002</v>
      </c>
      <c r="F839" t="s">
        <v>44</v>
      </c>
      <c r="G839">
        <v>-360.57499999999999</v>
      </c>
      <c r="H839" s="1">
        <v>-4.1923669999999996E-6</v>
      </c>
      <c r="I839">
        <v>368.67619999999999</v>
      </c>
      <c r="J839">
        <v>-377.48899999999998</v>
      </c>
      <c r="K839">
        <v>1.1104700000000001</v>
      </c>
      <c r="L839">
        <v>366.34809999999999</v>
      </c>
      <c r="M839">
        <v>0.99994490000000003</v>
      </c>
      <c r="N839">
        <v>-1.0465260000000001E-2</v>
      </c>
      <c r="O839">
        <v>-8.3492989999999997E-4</v>
      </c>
      <c r="P839">
        <v>0.99070259999999999</v>
      </c>
      <c r="Q839">
        <v>8.5153370000000006E-2</v>
      </c>
      <c r="R839">
        <v>0.1061028</v>
      </c>
      <c r="S839">
        <v>3.001099</v>
      </c>
      <c r="T839">
        <v>-0.1955916</v>
      </c>
      <c r="U839">
        <v>0.4100647</v>
      </c>
      <c r="V839">
        <v>-0.1069537</v>
      </c>
      <c r="W839">
        <v>9.5489519999999994E-2</v>
      </c>
      <c r="X839">
        <v>0.98966799999999999</v>
      </c>
      <c r="Y839">
        <v>-0.1358771</v>
      </c>
      <c r="Z839">
        <v>5.1632789999999998E-3</v>
      </c>
      <c r="AA839">
        <v>0.99071220000000004</v>
      </c>
      <c r="AB839">
        <v>24</v>
      </c>
      <c r="AC839">
        <v>16.914000000000001</v>
      </c>
      <c r="AD839">
        <v>-1.1104741923670001</v>
      </c>
      <c r="AE839">
        <v>2.3281000000000001</v>
      </c>
      <c r="AF839">
        <v>-2.33235535589704</v>
      </c>
      <c r="AG839">
        <v>-1.1104741923670001</v>
      </c>
      <c r="AH839">
        <v>16.840808185114199</v>
      </c>
      <c r="AI839">
        <v>93.737026096581403</v>
      </c>
      <c r="AJ839">
        <v>97.884979143120503</v>
      </c>
      <c r="AK839">
        <v>17.0377772836103</v>
      </c>
      <c r="AL839">
        <v>84.520504922602299</v>
      </c>
      <c r="AM839">
        <v>96.168032855940197</v>
      </c>
      <c r="AN839">
        <v>1.0000000462987499</v>
      </c>
    </row>
    <row r="840" spans="1:40" x14ac:dyDescent="0.25">
      <c r="A840" t="str">
        <f>"20190304154740678"</f>
        <v>20190304154740678</v>
      </c>
      <c r="B840" t="str">
        <f>"1551685660667906"</f>
        <v>1551685660667906</v>
      </c>
      <c r="C840" t="s">
        <v>40</v>
      </c>
      <c r="D840">
        <v>4.2629830000000002</v>
      </c>
      <c r="E840">
        <v>0.48703659999999999</v>
      </c>
      <c r="F840" t="s">
        <v>44</v>
      </c>
      <c r="G840">
        <v>-360.49540000000002</v>
      </c>
      <c r="H840" s="1">
        <v>-4.2266289999999996E-6</v>
      </c>
      <c r="I840">
        <v>368.67559999999997</v>
      </c>
      <c r="J840">
        <v>-377.37130000000002</v>
      </c>
      <c r="K840">
        <v>1.110479</v>
      </c>
      <c r="L840">
        <v>366.34809999999999</v>
      </c>
      <c r="M840">
        <v>0.99994490000000003</v>
      </c>
      <c r="N840">
        <v>-1.0479499999999999E-2</v>
      </c>
      <c r="O840">
        <v>-7.4373899999999999E-4</v>
      </c>
      <c r="P840">
        <v>0.99067079999999996</v>
      </c>
      <c r="Q840">
        <v>8.5341979999999998E-2</v>
      </c>
      <c r="R840">
        <v>0.10624500000000001</v>
      </c>
      <c r="S840">
        <v>3.0010379999999999</v>
      </c>
      <c r="T840">
        <v>-0.19610569999999999</v>
      </c>
      <c r="U840">
        <v>0.4110413</v>
      </c>
      <c r="V840">
        <v>-0.1070064</v>
      </c>
      <c r="W840">
        <v>9.5690300000000006E-2</v>
      </c>
      <c r="X840">
        <v>0.98964289999999999</v>
      </c>
      <c r="Y840">
        <v>-0.136103799999999</v>
      </c>
      <c r="Z840">
        <v>5.1795280000000001E-3</v>
      </c>
      <c r="AA840">
        <v>0.99068109999999998</v>
      </c>
      <c r="AB840">
        <v>24</v>
      </c>
      <c r="AC840">
        <v>16.875900000000001</v>
      </c>
      <c r="AD840">
        <v>-1.1104832266289999</v>
      </c>
      <c r="AE840">
        <v>2.3274999999999801</v>
      </c>
      <c r="AF840">
        <v>-2.33015004519899</v>
      </c>
      <c r="AG840">
        <v>-1.1104832266289999</v>
      </c>
      <c r="AH840">
        <v>16.802765939640299</v>
      </c>
      <c r="AI840">
        <v>93.7454006427986</v>
      </c>
      <c r="AJ840">
        <v>97.895227932919397</v>
      </c>
      <c r="AK840">
        <v>16.999873983418301</v>
      </c>
      <c r="AL840">
        <v>84.508948100897996</v>
      </c>
      <c r="AM840">
        <v>96.171203934144799</v>
      </c>
      <c r="AN840">
        <v>1.0000000363377199</v>
      </c>
    </row>
    <row r="841" spans="1:40" x14ac:dyDescent="0.25">
      <c r="A841" t="str">
        <f>"20190304154740690"</f>
        <v>20190304154740690</v>
      </c>
      <c r="B841" t="str">
        <f>"1551685660687426"</f>
        <v>1551685660687426</v>
      </c>
      <c r="C841" t="s">
        <v>40</v>
      </c>
      <c r="D841">
        <v>4.3260290000000001</v>
      </c>
      <c r="E841">
        <v>0.51961120000000005</v>
      </c>
      <c r="F841" t="s">
        <v>44</v>
      </c>
      <c r="G841">
        <v>-360.32920000000001</v>
      </c>
      <c r="H841" s="1">
        <v>-4.2969539999999997E-6</v>
      </c>
      <c r="I841">
        <v>368.68119999999999</v>
      </c>
      <c r="J841">
        <v>-377.2407</v>
      </c>
      <c r="K841">
        <v>1.1104830000000001</v>
      </c>
      <c r="L841">
        <v>366.34809999999999</v>
      </c>
      <c r="M841">
        <v>0.99994470000000002</v>
      </c>
      <c r="N841">
        <v>-1.049548E-2</v>
      </c>
      <c r="O841">
        <v>-6.3943849999999896E-4</v>
      </c>
      <c r="P841">
        <v>0.99060899999999996</v>
      </c>
      <c r="Q841">
        <v>8.5805090000000001E-2</v>
      </c>
      <c r="R841">
        <v>0.10644960000000001</v>
      </c>
      <c r="S841">
        <v>3.0010680000000001</v>
      </c>
      <c r="T841">
        <v>-0.19555120000000001</v>
      </c>
      <c r="U841">
        <v>0.41085820000000001</v>
      </c>
      <c r="V841">
        <v>-0.1071095</v>
      </c>
      <c r="W841">
        <v>9.6167329999999995E-2</v>
      </c>
      <c r="X841">
        <v>0.98958550000000001</v>
      </c>
      <c r="Y841">
        <v>-0.13594200000000001</v>
      </c>
      <c r="Z841">
        <v>5.1561979999999999E-3</v>
      </c>
      <c r="AA841">
        <v>0.99070340000000001</v>
      </c>
      <c r="AB841">
        <v>24</v>
      </c>
      <c r="AC841">
        <v>16.911499999999901</v>
      </c>
      <c r="AD841">
        <v>-1.1104872969539901</v>
      </c>
      <c r="AE841">
        <v>2.3331</v>
      </c>
      <c r="AF841">
        <v>-2.3340379465438401</v>
      </c>
      <c r="AG841">
        <v>-1.1104872969539901</v>
      </c>
      <c r="AH841">
        <v>16.838754607268701</v>
      </c>
      <c r="AI841">
        <v>93.737465352913603</v>
      </c>
      <c r="AJ841">
        <v>97.891546019216307</v>
      </c>
      <c r="AK841">
        <v>17.035978747827102</v>
      </c>
      <c r="AL841">
        <v>84.481489633915103</v>
      </c>
      <c r="AM841">
        <v>96.177459433036802</v>
      </c>
      <c r="AN841">
        <v>1.00000003107991</v>
      </c>
    </row>
    <row r="842" spans="1:40" x14ac:dyDescent="0.25">
      <c r="A842" t="str">
        <f>"20190304154740702"</f>
        <v>20190304154740702</v>
      </c>
      <c r="B842" t="str">
        <f>"1551685660698163"</f>
        <v>1551685660698163</v>
      </c>
      <c r="C842" t="s">
        <v>40</v>
      </c>
      <c r="D842">
        <v>4.2908119999999998</v>
      </c>
      <c r="E842">
        <v>0.52558729999999998</v>
      </c>
      <c r="F842" t="s">
        <v>44</v>
      </c>
      <c r="G842">
        <v>-323.90519999999998</v>
      </c>
      <c r="H842" s="1">
        <v>-2.687027E-6</v>
      </c>
      <c r="I842">
        <v>369.10860000000002</v>
      </c>
      <c r="J842">
        <v>-377.12079999999997</v>
      </c>
      <c r="K842">
        <v>1.11049</v>
      </c>
      <c r="L842">
        <v>366.34809999999999</v>
      </c>
      <c r="M842">
        <v>0.99994470000000002</v>
      </c>
      <c r="N842">
        <v>-1.050967E-2</v>
      </c>
      <c r="O842">
        <v>-5.3716300000000001E-4</v>
      </c>
      <c r="P842">
        <v>0.99058139999999995</v>
      </c>
      <c r="Q842">
        <v>8.5926059999999999E-2</v>
      </c>
      <c r="R842">
        <v>0.1066092</v>
      </c>
      <c r="S842">
        <v>3.0170590000000002</v>
      </c>
      <c r="T842">
        <v>-6.2817449999999997E-2</v>
      </c>
      <c r="U842">
        <v>0.156158399999999</v>
      </c>
      <c r="V842">
        <v>-0.107169</v>
      </c>
      <c r="W842">
        <v>9.630068E-2</v>
      </c>
      <c r="X842">
        <v>0.9895661</v>
      </c>
      <c r="Y842">
        <v>-5.2208749999999998E-2</v>
      </c>
      <c r="Z842">
        <v>8.2320869999999999E-4</v>
      </c>
      <c r="AA842">
        <v>0.99863579999999996</v>
      </c>
      <c r="AB842">
        <v>24</v>
      </c>
      <c r="AC842">
        <v>53.215600000000002</v>
      </c>
      <c r="AD842">
        <v>-1.110492687027</v>
      </c>
      <c r="AE842">
        <v>2.7605000000000302</v>
      </c>
      <c r="AF842">
        <v>-2.7878758648298301</v>
      </c>
      <c r="AG842">
        <v>-1.110492687027</v>
      </c>
      <c r="AH842">
        <v>53.191008728377597</v>
      </c>
      <c r="AI842">
        <v>91.194377169991498</v>
      </c>
      <c r="AJ842">
        <v>93.0002720134284</v>
      </c>
      <c r="AK842">
        <v>53.275593430650602</v>
      </c>
      <c r="AL842">
        <v>84.473813669967299</v>
      </c>
      <c r="AM842">
        <v>96.180984731647499</v>
      </c>
      <c r="AN842">
        <v>1.0000000408993299</v>
      </c>
    </row>
    <row r="843" spans="1:40" x14ac:dyDescent="0.25">
      <c r="A843" t="str">
        <f>"20190304154740713"</f>
        <v>20190304154740713</v>
      </c>
      <c r="B843" t="str">
        <f>"1551685660707921"</f>
        <v>1551685660707921</v>
      </c>
      <c r="C843" t="s">
        <v>40</v>
      </c>
      <c r="D843">
        <v>4.280405</v>
      </c>
      <c r="E843">
        <v>0.53019329999999998</v>
      </c>
      <c r="F843" t="s">
        <v>44</v>
      </c>
      <c r="G843">
        <v>-259.63929999999999</v>
      </c>
      <c r="H843" s="1">
        <v>-4.043194E-7</v>
      </c>
      <c r="I843">
        <v>370.6207</v>
      </c>
      <c r="J843">
        <v>-376.99160000000001</v>
      </c>
      <c r="K843">
        <v>1.1104969999999901</v>
      </c>
      <c r="L843">
        <v>366.34820000000002</v>
      </c>
      <c r="M843">
        <v>0.99994459999999996</v>
      </c>
      <c r="N843">
        <v>-1.0524759999999999E-2</v>
      </c>
      <c r="O843">
        <v>-4.2451579999999999E-4</v>
      </c>
      <c r="P843">
        <v>0.99052779999999996</v>
      </c>
      <c r="Q843">
        <v>8.5978209999999999E-2</v>
      </c>
      <c r="R843">
        <v>0.10706300000000001</v>
      </c>
      <c r="S843">
        <v>3.019196</v>
      </c>
      <c r="T843">
        <v>-2.8538819999999999E-2</v>
      </c>
      <c r="U843">
        <v>0.1098022</v>
      </c>
      <c r="V843">
        <v>-0.1075127</v>
      </c>
      <c r="W843">
        <v>9.6365720000000002E-2</v>
      </c>
      <c r="X843">
        <v>0.98952249999999997</v>
      </c>
      <c r="Y843">
        <v>-3.6764819999999997E-2</v>
      </c>
      <c r="Z843">
        <v>3.6679120000000001E-4</v>
      </c>
      <c r="AA843">
        <v>0.99932390000000004</v>
      </c>
      <c r="AB843">
        <v>24</v>
      </c>
      <c r="AC843">
        <v>117.3523</v>
      </c>
      <c r="AD843">
        <v>-1.11049740431939</v>
      </c>
      <c r="AE843">
        <v>4.2724999999999804</v>
      </c>
      <c r="AF843">
        <v>-4.3219337714259298</v>
      </c>
      <c r="AG843">
        <v>-1.11049740431939</v>
      </c>
      <c r="AH843">
        <v>117.33998202598001</v>
      </c>
      <c r="AI843">
        <v>90.541859665037407</v>
      </c>
      <c r="AJ843">
        <v>92.109397584699593</v>
      </c>
      <c r="AK843">
        <v>117.42480018235899</v>
      </c>
      <c r="AL843">
        <v>84.470069820180598</v>
      </c>
      <c r="AM843">
        <v>96.200924581329105</v>
      </c>
      <c r="AN843">
        <v>1.00000005532932</v>
      </c>
    </row>
    <row r="844" spans="1:40" x14ac:dyDescent="0.25">
      <c r="A844" t="str">
        <f>"20190304154740725"</f>
        <v>20190304154740725</v>
      </c>
      <c r="B844" t="str">
        <f>"1551685660717681"</f>
        <v>1551685660717681</v>
      </c>
      <c r="C844" t="s">
        <v>40</v>
      </c>
      <c r="D844">
        <v>4.3268680000000002</v>
      </c>
      <c r="E844">
        <v>0.53109530000000005</v>
      </c>
      <c r="F844" t="s">
        <v>43</v>
      </c>
      <c r="G844">
        <v>-158.19499999999999</v>
      </c>
      <c r="H844">
        <v>1.1028370000000001</v>
      </c>
      <c r="I844">
        <v>371.81939999999997</v>
      </c>
      <c r="J844">
        <v>-376.85989999999998</v>
      </c>
      <c r="K844">
        <v>1.110509</v>
      </c>
      <c r="L844">
        <v>366.34820000000002</v>
      </c>
      <c r="M844">
        <v>0.99994459999999996</v>
      </c>
      <c r="N844">
        <v>-1.053931E-2</v>
      </c>
      <c r="O844">
        <v>-3.0328100000000003E-4</v>
      </c>
      <c r="P844">
        <v>0.99049540000000003</v>
      </c>
      <c r="Q844">
        <v>8.5998099999999994E-2</v>
      </c>
      <c r="R844">
        <v>0.10734639999999999</v>
      </c>
      <c r="S844">
        <v>3.0205380000000002</v>
      </c>
      <c r="T844">
        <v>-1.0454650000000001E-4</v>
      </c>
      <c r="U844">
        <v>7.5531009999999996E-2</v>
      </c>
      <c r="V844">
        <v>-0.1076775</v>
      </c>
      <c r="W844">
        <v>9.6398460000000005E-2</v>
      </c>
      <c r="X844">
        <v>0.98950139999999998</v>
      </c>
      <c r="Y844">
        <v>-2.530118E-2</v>
      </c>
      <c r="Z844">
        <v>1.3060529999999999E-4</v>
      </c>
      <c r="AA844">
        <v>0.99967989999999995</v>
      </c>
      <c r="AB844">
        <v>24</v>
      </c>
      <c r="AC844">
        <v>218.66489999999999</v>
      </c>
      <c r="AD844">
        <v>-7.6719999999999003E-3</v>
      </c>
      <c r="AE844">
        <v>5.4711999999999499</v>
      </c>
      <c r="AF844">
        <v>-5.5375203221877296</v>
      </c>
      <c r="AG844">
        <v>-7.6719999999999003E-3</v>
      </c>
      <c r="AH844">
        <v>218.66323027068799</v>
      </c>
      <c r="AI844">
        <v>90.002009630665796</v>
      </c>
      <c r="AJ844">
        <v>91.450672539585696</v>
      </c>
      <c r="AK844">
        <v>218.733336422664</v>
      </c>
      <c r="AL844">
        <v>84.468185229639204</v>
      </c>
      <c r="AM844">
        <v>96.210486797316094</v>
      </c>
      <c r="AN844">
        <v>1.0000000638492801</v>
      </c>
    </row>
    <row r="845" spans="1:40" x14ac:dyDescent="0.25">
      <c r="A845" t="str">
        <f>"20190304154740738"</f>
        <v>20190304154740738</v>
      </c>
      <c r="B845" t="str">
        <f>"1551685660727442"</f>
        <v>1551685660727442</v>
      </c>
      <c r="C845" t="s">
        <v>40</v>
      </c>
      <c r="D845">
        <v>4.3416750000000004</v>
      </c>
      <c r="E845">
        <v>0.53226519999999899</v>
      </c>
      <c r="F845" t="s">
        <v>43</v>
      </c>
      <c r="G845">
        <v>-158.19499999999999</v>
      </c>
      <c r="H845">
        <v>1.2561260000000001</v>
      </c>
      <c r="I845">
        <v>371.35129999999998</v>
      </c>
      <c r="J845">
        <v>-376.73360000000002</v>
      </c>
      <c r="K845">
        <v>1.1105149999999999</v>
      </c>
      <c r="L845">
        <v>366.34829999999999</v>
      </c>
      <c r="M845">
        <v>0.99994439999999996</v>
      </c>
      <c r="N845">
        <v>-1.05527E-2</v>
      </c>
      <c r="O845">
        <v>-1.83714E-4</v>
      </c>
      <c r="P845">
        <v>0.9904731</v>
      </c>
      <c r="Q845">
        <v>8.5640880000000003E-2</v>
      </c>
      <c r="R845">
        <v>0.1078378</v>
      </c>
      <c r="S845">
        <v>3.021118</v>
      </c>
      <c r="T845">
        <v>2.0130870000000002E-3</v>
      </c>
      <c r="U845">
        <v>6.9122310000000006E-2</v>
      </c>
      <c r="V845">
        <v>-0.10805149999999999</v>
      </c>
      <c r="W845">
        <v>9.6052449999999998E-2</v>
      </c>
      <c r="X845">
        <v>0.98949419999999999</v>
      </c>
      <c r="Y845">
        <v>-2.305747E-2</v>
      </c>
      <c r="Z845">
        <v>1.1193639999999999E-4</v>
      </c>
      <c r="AA845">
        <v>0.99973420000000002</v>
      </c>
      <c r="AB845">
        <v>24</v>
      </c>
      <c r="AC845">
        <v>218.5386</v>
      </c>
      <c r="AD845">
        <v>0.14561099999999999</v>
      </c>
      <c r="AE845">
        <v>5.0029999999999797</v>
      </c>
      <c r="AF845">
        <v>-5.0431485099092699</v>
      </c>
      <c r="AG845">
        <v>0.14561099999999999</v>
      </c>
      <c r="AH845">
        <v>218.537580170936</v>
      </c>
      <c r="AI845">
        <v>89.961834143402001</v>
      </c>
      <c r="AJ845">
        <v>91.321968737233604</v>
      </c>
      <c r="AK845">
        <v>218.59581079340199</v>
      </c>
      <c r="AL845">
        <v>84.488102134827997</v>
      </c>
      <c r="AM845">
        <v>96.231933450383906</v>
      </c>
      <c r="AN845">
        <v>0.99999998581844596</v>
      </c>
    </row>
    <row r="846" spans="1:40" x14ac:dyDescent="0.25">
      <c r="A846" t="str">
        <f>"20190304154740749"</f>
        <v>20190304154740749</v>
      </c>
      <c r="B846" t="str">
        <f>"1551685660747938"</f>
        <v>1551685660747938</v>
      </c>
      <c r="C846" t="s">
        <v>40</v>
      </c>
      <c r="D846">
        <v>4.3143330000000004</v>
      </c>
      <c r="E846">
        <v>0.53357500000000002</v>
      </c>
      <c r="F846" t="s">
        <v>43</v>
      </c>
      <c r="G846">
        <v>-158.19499999999999</v>
      </c>
      <c r="H846">
        <v>1.42716</v>
      </c>
      <c r="I846">
        <v>370.80439999999999</v>
      </c>
      <c r="J846">
        <v>-376.59910000000002</v>
      </c>
      <c r="K846">
        <v>1.1105179999999999</v>
      </c>
      <c r="L846">
        <v>366.34840000000003</v>
      </c>
      <c r="M846">
        <v>0.99994419999999995</v>
      </c>
      <c r="N846">
        <v>-1.056642E-2</v>
      </c>
      <c r="O846" s="1">
        <v>-5.2940260000000003E-5</v>
      </c>
      <c r="P846">
        <v>0.99045309999999998</v>
      </c>
      <c r="Q846">
        <v>8.5457240000000004E-2</v>
      </c>
      <c r="R846">
        <v>0.108166</v>
      </c>
      <c r="S846">
        <v>3.0217589999999999</v>
      </c>
      <c r="T846">
        <v>4.379511E-3</v>
      </c>
      <c r="U846">
        <v>6.1614990000000001E-2</v>
      </c>
      <c r="V846">
        <v>-0.1082515</v>
      </c>
      <c r="W846">
        <v>9.5880640000000003E-2</v>
      </c>
      <c r="X846">
        <v>0.98948899999999995</v>
      </c>
      <c r="Y846">
        <v>-2.0439260000000001E-2</v>
      </c>
      <c r="Z846" s="1">
        <v>9.2552770000000004E-5</v>
      </c>
      <c r="AA846">
        <v>0.99979110000000004</v>
      </c>
      <c r="AB846">
        <v>24</v>
      </c>
      <c r="AC846">
        <v>218.4041</v>
      </c>
      <c r="AD846">
        <v>0.31664199999999898</v>
      </c>
      <c r="AE846">
        <v>4.4559999999999604</v>
      </c>
      <c r="AF846">
        <v>-4.4675536222764602</v>
      </c>
      <c r="AG846">
        <v>0.31664199999999898</v>
      </c>
      <c r="AH846">
        <v>218.403404904231</v>
      </c>
      <c r="AI846">
        <v>89.916949815414796</v>
      </c>
      <c r="AJ846">
        <v>91.171851118491006</v>
      </c>
      <c r="AK846">
        <v>218.44932266154001</v>
      </c>
      <c r="AL846">
        <v>84.497991750933195</v>
      </c>
      <c r="AM846">
        <v>96.2434101070248</v>
      </c>
      <c r="AN846">
        <v>0.99999998275002899</v>
      </c>
    </row>
    <row r="847" spans="1:40" x14ac:dyDescent="0.25">
      <c r="A847" t="str">
        <f>"20190304154740763"</f>
        <v>20190304154740763</v>
      </c>
      <c r="B847" t="str">
        <f>"1551685660757697"</f>
        <v>1551685660757697</v>
      </c>
      <c r="C847" t="s">
        <v>40</v>
      </c>
      <c r="D847">
        <v>4.3393470000000001</v>
      </c>
      <c r="E847">
        <v>0.53379940000000003</v>
      </c>
      <c r="F847" t="s">
        <v>43</v>
      </c>
      <c r="G847">
        <v>-158.78319999999999</v>
      </c>
      <c r="H847">
        <v>1.7362200000000001</v>
      </c>
      <c r="I847">
        <v>370.11360000000002</v>
      </c>
      <c r="J847">
        <v>-376.46370000000002</v>
      </c>
      <c r="K847">
        <v>1.1105149999999999</v>
      </c>
      <c r="L847">
        <v>366.34859999999998</v>
      </c>
      <c r="M847">
        <v>0.99994400000000006</v>
      </c>
      <c r="N847">
        <v>-1.05793E-2</v>
      </c>
      <c r="O847" s="1">
        <v>8.4692379999999994E-5</v>
      </c>
      <c r="P847">
        <v>0.99042929999999996</v>
      </c>
      <c r="Q847">
        <v>8.5299340000000001E-2</v>
      </c>
      <c r="R847">
        <v>0.10850750000000001</v>
      </c>
      <c r="S847">
        <v>3.022491</v>
      </c>
      <c r="T847">
        <v>8.6836810000000004E-3</v>
      </c>
      <c r="U847">
        <v>5.2246090000000002E-2</v>
      </c>
      <c r="V847">
        <v>-0.10845829999999999</v>
      </c>
      <c r="W847">
        <v>9.5733990000000005E-2</v>
      </c>
      <c r="X847">
        <v>0.98948060000000004</v>
      </c>
      <c r="Y847">
        <v>-1.7198700000000001E-2</v>
      </c>
      <c r="Z847" s="1">
        <v>6.7418929999999995E-5</v>
      </c>
      <c r="AA847">
        <v>0.99985210000000002</v>
      </c>
      <c r="AB847">
        <v>24</v>
      </c>
      <c r="AC847">
        <v>217.68049999999999</v>
      </c>
      <c r="AD847">
        <v>0.62570499999999996</v>
      </c>
      <c r="AE847">
        <v>3.7650000000000401</v>
      </c>
      <c r="AF847">
        <v>-3.7465321288095099</v>
      </c>
      <c r="AG847">
        <v>0.62570499999999996</v>
      </c>
      <c r="AH847">
        <v>217.67902011554699</v>
      </c>
      <c r="AI847">
        <v>89.8353316352311</v>
      </c>
      <c r="AJ847">
        <v>90.986035706663898</v>
      </c>
      <c r="AK847">
        <v>217.71215815430199</v>
      </c>
      <c r="AL847">
        <v>84.506433261150804</v>
      </c>
      <c r="AM847">
        <v>96.255295528400694</v>
      </c>
      <c r="AN847">
        <v>1.00000002872828</v>
      </c>
    </row>
    <row r="848" spans="1:40" x14ac:dyDescent="0.25">
      <c r="A848" t="str">
        <f>"20190304154740778"</f>
        <v>20190304154740778</v>
      </c>
      <c r="B848" t="str">
        <f>"1551685660767459"</f>
        <v>1551685660767459</v>
      </c>
      <c r="C848" t="s">
        <v>40</v>
      </c>
      <c r="D848">
        <v>4.3076379999999999</v>
      </c>
      <c r="E848">
        <v>0.5339313</v>
      </c>
      <c r="F848" t="s">
        <v>43</v>
      </c>
      <c r="G848">
        <v>-158.78319999999999</v>
      </c>
      <c r="H848">
        <v>1.6327830000000001</v>
      </c>
      <c r="I848">
        <v>370.06709999999998</v>
      </c>
      <c r="J848">
        <v>-376.29180000000002</v>
      </c>
      <c r="K848">
        <v>1.11052</v>
      </c>
      <c r="L848">
        <v>366.34879999999998</v>
      </c>
      <c r="M848">
        <v>0.99994400000000006</v>
      </c>
      <c r="N848">
        <v>-1.0594920000000001E-2</v>
      </c>
      <c r="O848">
        <v>2.6470729999999998E-4</v>
      </c>
      <c r="P848">
        <v>0.9903324</v>
      </c>
      <c r="Q848">
        <v>8.5483790000000004E-2</v>
      </c>
      <c r="R848">
        <v>0.1092457</v>
      </c>
      <c r="S848">
        <v>3.0227050000000002</v>
      </c>
      <c r="T848">
        <v>7.2534080000000003E-3</v>
      </c>
      <c r="U848">
        <v>5.1635739999999999E-2</v>
      </c>
      <c r="V848">
        <v>-0.10902000000000001</v>
      </c>
      <c r="W848">
        <v>9.5930470000000004E-2</v>
      </c>
      <c r="X848">
        <v>0.98939980000000005</v>
      </c>
      <c r="Y848">
        <v>-1.681564E-2</v>
      </c>
      <c r="Z848" s="1">
        <v>7.2354049999999995E-5</v>
      </c>
      <c r="AA848">
        <v>0.99985860000000004</v>
      </c>
      <c r="AB848">
        <v>24</v>
      </c>
      <c r="AC848">
        <v>217.5086</v>
      </c>
      <c r="AD848">
        <v>0.52226299999999903</v>
      </c>
      <c r="AE848">
        <v>3.7182999999999899</v>
      </c>
      <c r="AF848">
        <v>-3.6606994340102998</v>
      </c>
      <c r="AG848">
        <v>0.52226299999999903</v>
      </c>
      <c r="AH848">
        <v>217.50832304980301</v>
      </c>
      <c r="AI848">
        <v>89.8624458562294</v>
      </c>
      <c r="AJ848">
        <v>90.964205987911001</v>
      </c>
      <c r="AK848">
        <v>217.53975286123</v>
      </c>
      <c r="AL848">
        <v>84.495123519966498</v>
      </c>
      <c r="AM848">
        <v>96.287941949275606</v>
      </c>
      <c r="AN848">
        <v>0.99999998985723004</v>
      </c>
    </row>
    <row r="849" spans="1:40" x14ac:dyDescent="0.25">
      <c r="A849" t="str">
        <f>"20190304154740791"</f>
        <v>20190304154740791</v>
      </c>
      <c r="B849" t="str">
        <f>"1551685660787953"</f>
        <v>1551685660787953</v>
      </c>
      <c r="C849" t="s">
        <v>40</v>
      </c>
      <c r="D849">
        <v>4.3195189999999997</v>
      </c>
      <c r="E849">
        <v>0.53506989999999999</v>
      </c>
      <c r="F849" t="s">
        <v>43</v>
      </c>
      <c r="G849">
        <v>-158.78319999999999</v>
      </c>
      <c r="H849">
        <v>1.6713669999999901</v>
      </c>
      <c r="I849">
        <v>370.16759999999999</v>
      </c>
      <c r="J849">
        <v>-376.14789999999999</v>
      </c>
      <c r="K849">
        <v>1.1105309999999999</v>
      </c>
      <c r="L849">
        <v>366.34899999999999</v>
      </c>
      <c r="M849">
        <v>0.99994369999999999</v>
      </c>
      <c r="N849">
        <v>-1.060735E-2</v>
      </c>
      <c r="O849">
        <v>4.2046310000000002E-4</v>
      </c>
      <c r="P849">
        <v>0.99030309999999999</v>
      </c>
      <c r="Q849">
        <v>8.5709690000000005E-2</v>
      </c>
      <c r="R849">
        <v>0.10933329999999999</v>
      </c>
      <c r="S849">
        <v>3.0227360000000001</v>
      </c>
      <c r="T849">
        <v>7.7953340000000001E-3</v>
      </c>
      <c r="U849">
        <v>5.3070069999999997E-2</v>
      </c>
      <c r="V849">
        <v>-0.1089548</v>
      </c>
      <c r="W849">
        <v>9.6167310000000006E-2</v>
      </c>
      <c r="X849">
        <v>0.98938400000000004</v>
      </c>
      <c r="Y849">
        <v>-1.713406E-2</v>
      </c>
      <c r="Z849" s="1">
        <v>7.4334789999999998E-5</v>
      </c>
      <c r="AA849">
        <v>0.9998532</v>
      </c>
      <c r="AB849">
        <v>24</v>
      </c>
      <c r="AC849">
        <v>217.3647</v>
      </c>
      <c r="AD849">
        <v>0.560835999999999</v>
      </c>
      <c r="AE849">
        <v>3.8186</v>
      </c>
      <c r="AF849">
        <v>-3.72717588412171</v>
      </c>
      <c r="AG849">
        <v>0.560835999999999</v>
      </c>
      <c r="AH849">
        <v>217.36483985277101</v>
      </c>
      <c r="AI849">
        <v>89.852189794866305</v>
      </c>
      <c r="AJ849">
        <v>90.982359988975006</v>
      </c>
      <c r="AK849">
        <v>217.39751604218199</v>
      </c>
      <c r="AL849">
        <v>84.481490611490997</v>
      </c>
      <c r="AM849">
        <v>96.284311059894506</v>
      </c>
      <c r="AN849">
        <v>0.99999999970583797</v>
      </c>
    </row>
    <row r="850" spans="1:40" x14ac:dyDescent="0.25">
      <c r="A850" t="str">
        <f>"20190304154740804"</f>
        <v>20190304154740804</v>
      </c>
      <c r="B850" t="str">
        <f>"1551685660797713"</f>
        <v>1551685660797713</v>
      </c>
      <c r="C850" t="s">
        <v>40</v>
      </c>
      <c r="D850">
        <v>4.2975289999999999</v>
      </c>
      <c r="E850">
        <v>0.53523310000000002</v>
      </c>
      <c r="F850" t="s">
        <v>43</v>
      </c>
      <c r="G850">
        <v>-158.78319999999999</v>
      </c>
      <c r="H850">
        <v>2.1568109999999998</v>
      </c>
      <c r="I850">
        <v>369.54149999999998</v>
      </c>
      <c r="J850">
        <v>-376.00650000000002</v>
      </c>
      <c r="K850">
        <v>1.110538</v>
      </c>
      <c r="L850">
        <v>366.3492</v>
      </c>
      <c r="M850">
        <v>0.99994340000000004</v>
      </c>
      <c r="N850">
        <v>-1.0618509999999999E-2</v>
      </c>
      <c r="O850">
        <v>5.8009550000000004E-4</v>
      </c>
      <c r="P850">
        <v>0.99025739999999995</v>
      </c>
      <c r="Q850">
        <v>8.6173760000000002E-2</v>
      </c>
      <c r="R850">
        <v>0.10938199999999999</v>
      </c>
      <c r="S850">
        <v>3.0232239999999999</v>
      </c>
      <c r="T850">
        <v>1.4553429999999999E-2</v>
      </c>
      <c r="U850">
        <v>4.4403079999999998E-2</v>
      </c>
      <c r="V850">
        <v>-0.1088469</v>
      </c>
      <c r="W850">
        <v>9.6640509999999999E-2</v>
      </c>
      <c r="X850">
        <v>0.98934979999999995</v>
      </c>
      <c r="Y850">
        <v>-1.4105940000000001E-2</v>
      </c>
      <c r="Z850" s="1">
        <v>4.9899399999999999E-5</v>
      </c>
      <c r="AA850">
        <v>0.99990049999999997</v>
      </c>
      <c r="AB850">
        <v>24</v>
      </c>
      <c r="AC850">
        <v>217.22329999999999</v>
      </c>
      <c r="AD850">
        <v>1.046273</v>
      </c>
      <c r="AE850">
        <v>3.1922999999999799</v>
      </c>
      <c r="AF850">
        <v>-3.0662109736415299</v>
      </c>
      <c r="AG850">
        <v>1.046273</v>
      </c>
      <c r="AH850">
        <v>217.22007709747601</v>
      </c>
      <c r="AI850">
        <v>89.724055929536206</v>
      </c>
      <c r="AJ850">
        <v>90.808715673658597</v>
      </c>
      <c r="AK850">
        <v>217.244236358893</v>
      </c>
      <c r="AL850">
        <v>84.454251551744605</v>
      </c>
      <c r="AM850">
        <v>96.278352597905496</v>
      </c>
      <c r="AN850">
        <v>1.00000003128635</v>
      </c>
    </row>
    <row r="851" spans="1:40" x14ac:dyDescent="0.25">
      <c r="A851" t="str">
        <f>"20190304154740818"</f>
        <v>20190304154740818</v>
      </c>
      <c r="B851" t="str">
        <f>"1551685660807474"</f>
        <v>1551685660807474</v>
      </c>
      <c r="C851" t="s">
        <v>40</v>
      </c>
      <c r="D851">
        <v>4.316859</v>
      </c>
      <c r="E851">
        <v>0.5354314</v>
      </c>
      <c r="F851" t="s">
        <v>43</v>
      </c>
      <c r="G851">
        <v>-158.78319999999999</v>
      </c>
      <c r="H851">
        <v>2.2736040000000002</v>
      </c>
      <c r="I851">
        <v>369.44529999999997</v>
      </c>
      <c r="J851">
        <v>-375.86649999999997</v>
      </c>
      <c r="K851">
        <v>1.1105480000000001</v>
      </c>
      <c r="L851">
        <v>366.34949999999998</v>
      </c>
      <c r="M851">
        <v>0.99994329999999998</v>
      </c>
      <c r="N851">
        <v>-1.0629080000000001E-2</v>
      </c>
      <c r="O851">
        <v>7.4103579999999997E-4</v>
      </c>
      <c r="P851">
        <v>0.99019599999999997</v>
      </c>
      <c r="Q851">
        <v>8.6514640000000004E-2</v>
      </c>
      <c r="R851">
        <v>0.1096686</v>
      </c>
      <c r="S851">
        <v>3.0233759999999998</v>
      </c>
      <c r="T851">
        <v>1.6189099999999901E-2</v>
      </c>
      <c r="U851">
        <v>4.3090820000000002E-2</v>
      </c>
      <c r="V851">
        <v>-0.1089753</v>
      </c>
      <c r="W851">
        <v>9.6989820000000004E-2</v>
      </c>
      <c r="X851">
        <v>0.9893014</v>
      </c>
      <c r="Y851">
        <v>-1.3510380000000001E-2</v>
      </c>
      <c r="Z851" s="1">
        <v>4.7480990000000001E-5</v>
      </c>
      <c r="AA851">
        <v>0.99990869999999998</v>
      </c>
      <c r="AB851">
        <v>24</v>
      </c>
      <c r="AC851">
        <v>217.08330000000001</v>
      </c>
      <c r="AD851">
        <v>1.1630560000000001</v>
      </c>
      <c r="AE851">
        <v>3.0957999999999899</v>
      </c>
      <c r="AF851">
        <v>-2.9348393498822301</v>
      </c>
      <c r="AG851">
        <v>1.1630560000000001</v>
      </c>
      <c r="AH851">
        <v>217.07930475395199</v>
      </c>
      <c r="AI851">
        <v>89.693054694930296</v>
      </c>
      <c r="AJ851">
        <v>90.774572520764906</v>
      </c>
      <c r="AK851">
        <v>217.10225824188899</v>
      </c>
      <c r="AL851">
        <v>84.434142651226395</v>
      </c>
      <c r="AM851">
        <v>96.286004593791802</v>
      </c>
      <c r="AN851">
        <v>0.99999995061783997</v>
      </c>
    </row>
    <row r="852" spans="1:40" x14ac:dyDescent="0.25">
      <c r="A852" t="str">
        <f>"20190304154740829"</f>
        <v>20190304154740829</v>
      </c>
      <c r="B852" t="str">
        <f>"1551685660827971"</f>
        <v>1551685660827971</v>
      </c>
      <c r="C852" t="s">
        <v>40</v>
      </c>
      <c r="D852">
        <v>4.2809489999999997</v>
      </c>
      <c r="E852">
        <v>0.53576330000000005</v>
      </c>
      <c r="F852" t="s">
        <v>43</v>
      </c>
      <c r="G852">
        <v>-158.78319999999999</v>
      </c>
      <c r="H852">
        <v>2.3710149999999999</v>
      </c>
      <c r="I852">
        <v>369.40179999999998</v>
      </c>
      <c r="J852">
        <v>-375.73039999999997</v>
      </c>
      <c r="K852">
        <v>1.1105609999999999</v>
      </c>
      <c r="L852">
        <v>366.34980000000002</v>
      </c>
      <c r="M852">
        <v>0.99994309999999997</v>
      </c>
      <c r="N852">
        <v>-1.063885E-2</v>
      </c>
      <c r="O852">
        <v>9.0113789999999997E-4</v>
      </c>
      <c r="P852">
        <v>0.99009630000000004</v>
      </c>
      <c r="Q852">
        <v>8.7059300000000006E-2</v>
      </c>
      <c r="R852">
        <v>0.1101374</v>
      </c>
      <c r="S852">
        <v>3.0234380000000001</v>
      </c>
      <c r="T852">
        <v>1.7556430000000001E-2</v>
      </c>
      <c r="U852">
        <v>4.2510989999999999E-2</v>
      </c>
      <c r="V852">
        <v>-0.1092873</v>
      </c>
      <c r="W852">
        <v>9.7541740000000002E-2</v>
      </c>
      <c r="X852">
        <v>0.9892128</v>
      </c>
      <c r="Y852">
        <v>-1.315829E-2</v>
      </c>
      <c r="Z852" s="1">
        <v>4.6617089999999997E-5</v>
      </c>
      <c r="AA852">
        <v>0.99991350000000001</v>
      </c>
      <c r="AB852">
        <v>24</v>
      </c>
      <c r="AC852">
        <v>216.94720000000001</v>
      </c>
      <c r="AD852">
        <v>1.260454</v>
      </c>
      <c r="AE852">
        <v>3.0519999999999601</v>
      </c>
      <c r="AF852">
        <v>-2.8563919711363099</v>
      </c>
      <c r="AG852">
        <v>1.260454</v>
      </c>
      <c r="AH852">
        <v>216.94254075451099</v>
      </c>
      <c r="AI852">
        <v>89.667139405883304</v>
      </c>
      <c r="AJ852">
        <v>90.754346048198897</v>
      </c>
      <c r="AK852">
        <v>216.965005723047</v>
      </c>
      <c r="AL852">
        <v>84.402369777585605</v>
      </c>
      <c r="AM852">
        <v>96.304417023914894</v>
      </c>
      <c r="AN852">
        <v>1.0000000343336699</v>
      </c>
    </row>
    <row r="853" spans="1:40" x14ac:dyDescent="0.25">
      <c r="A853" t="str">
        <f>"20190304154740845"</f>
        <v>20190304154740845</v>
      </c>
      <c r="B853" t="str">
        <f>"1551685660837729"</f>
        <v>1551685660837729</v>
      </c>
      <c r="C853" t="s">
        <v>40</v>
      </c>
      <c r="D853">
        <v>4.3096069999999997</v>
      </c>
      <c r="E853">
        <v>0.53589750000000003</v>
      </c>
      <c r="F853" t="s">
        <v>43</v>
      </c>
      <c r="G853">
        <v>-158.78319999999999</v>
      </c>
      <c r="H853">
        <v>2.583656</v>
      </c>
      <c r="I853">
        <v>369.28390000000002</v>
      </c>
      <c r="J853">
        <v>-375.56360000000001</v>
      </c>
      <c r="K853">
        <v>1.1105719999999999</v>
      </c>
      <c r="L853">
        <v>366.3501</v>
      </c>
      <c r="M853">
        <v>0.99994269999999996</v>
      </c>
      <c r="N853">
        <v>-1.0649840000000001E-2</v>
      </c>
      <c r="O853">
        <v>1.103854E-3</v>
      </c>
      <c r="P853">
        <v>0.98996070000000003</v>
      </c>
      <c r="Q853">
        <v>8.8104859999999993E-2</v>
      </c>
      <c r="R853">
        <v>0.1105236</v>
      </c>
      <c r="S853">
        <v>3.0236510000000001</v>
      </c>
      <c r="T853">
        <v>2.0532129999999999E-2</v>
      </c>
      <c r="U853">
        <v>4.0893550000000001E-2</v>
      </c>
      <c r="V853">
        <v>-0.1094745</v>
      </c>
      <c r="W853">
        <v>9.8595699999999994E-2</v>
      </c>
      <c r="X853">
        <v>0.98908759999999996</v>
      </c>
      <c r="Y853">
        <v>-1.241983E-2</v>
      </c>
      <c r="Z853" s="1">
        <v>4.3223580000000003E-5</v>
      </c>
      <c r="AA853">
        <v>0.99992289999999995</v>
      </c>
      <c r="AB853">
        <v>24</v>
      </c>
      <c r="AC853">
        <v>216.78039999999999</v>
      </c>
      <c r="AD853">
        <v>1.4730840000000001</v>
      </c>
      <c r="AE853">
        <v>2.9338000000000202</v>
      </c>
      <c r="AF853">
        <v>-2.6943663423125002</v>
      </c>
      <c r="AG853">
        <v>1.4730840000000001</v>
      </c>
      <c r="AH853">
        <v>216.77349871282499</v>
      </c>
      <c r="AI853">
        <v>89.610682676280206</v>
      </c>
      <c r="AJ853">
        <v>90.712115972109004</v>
      </c>
      <c r="AK853">
        <v>216.79524748171201</v>
      </c>
      <c r="AL853">
        <v>84.341689789722096</v>
      </c>
      <c r="AM853">
        <v>96.315921706368698</v>
      </c>
      <c r="AN853">
        <v>1.0000000293412401</v>
      </c>
    </row>
    <row r="854" spans="1:40" x14ac:dyDescent="0.25">
      <c r="A854" t="str">
        <f>"20190304154740857"</f>
        <v>20190304154740857</v>
      </c>
      <c r="B854" t="str">
        <f>"1551685660847489"</f>
        <v>1551685660847489</v>
      </c>
      <c r="C854" t="s">
        <v>40</v>
      </c>
      <c r="D854">
        <v>4.2599429999999998</v>
      </c>
      <c r="E854">
        <v>0.53609779999999996</v>
      </c>
      <c r="F854" t="s">
        <v>43</v>
      </c>
      <c r="G854">
        <v>-158.78319999999999</v>
      </c>
      <c r="H854">
        <v>2.8631319999999998</v>
      </c>
      <c r="I854">
        <v>369.31709999999998</v>
      </c>
      <c r="J854">
        <v>-375.44069999999999</v>
      </c>
      <c r="K854">
        <v>1.1105769999999999</v>
      </c>
      <c r="L854">
        <v>366.35039999999998</v>
      </c>
      <c r="M854">
        <v>0.99994249999999996</v>
      </c>
      <c r="N854">
        <v>-1.065753E-2</v>
      </c>
      <c r="O854">
        <v>1.255665E-3</v>
      </c>
      <c r="P854">
        <v>0.98991010000000002</v>
      </c>
      <c r="Q854">
        <v>8.8465730000000006E-2</v>
      </c>
      <c r="R854">
        <v>0.1106888</v>
      </c>
      <c r="S854">
        <v>3.02359</v>
      </c>
      <c r="T854">
        <v>2.4445410000000001E-2</v>
      </c>
      <c r="U854">
        <v>4.1381840000000003E-2</v>
      </c>
      <c r="V854">
        <v>-0.1094903</v>
      </c>
      <c r="W854">
        <v>9.8962960000000003E-2</v>
      </c>
      <c r="X854">
        <v>0.98904910000000001</v>
      </c>
      <c r="Y854">
        <v>-1.242977E-2</v>
      </c>
      <c r="Z854" s="1">
        <v>3.9529239999999997E-5</v>
      </c>
      <c r="AA854">
        <v>0.9999228</v>
      </c>
      <c r="AB854">
        <v>24</v>
      </c>
      <c r="AC854">
        <v>216.6575</v>
      </c>
      <c r="AD854">
        <v>1.7525549999999901</v>
      </c>
      <c r="AE854">
        <v>2.9666999999999999</v>
      </c>
      <c r="AF854">
        <v>-2.6944567190420199</v>
      </c>
      <c r="AG854">
        <v>1.7525549999999901</v>
      </c>
      <c r="AH854">
        <v>216.64688140573</v>
      </c>
      <c r="AI854">
        <v>89.536554372309297</v>
      </c>
      <c r="AJ854">
        <v>90.712556016835407</v>
      </c>
      <c r="AK854">
        <v>216.67072430041699</v>
      </c>
      <c r="AL854">
        <v>84.320543517429499</v>
      </c>
      <c r="AM854">
        <v>96.317069791744998</v>
      </c>
      <c r="AN854">
        <v>0.99999995772842998</v>
      </c>
    </row>
    <row r="855" spans="1:40" x14ac:dyDescent="0.25">
      <c r="A855" t="str">
        <f>"20190304154740867"</f>
        <v>20190304154740867</v>
      </c>
      <c r="B855" t="str">
        <f>"1551685660857250"</f>
        <v>1551685660857250</v>
      </c>
      <c r="C855" t="s">
        <v>40</v>
      </c>
      <c r="D855">
        <v>4.3062950000000004</v>
      </c>
      <c r="E855">
        <v>0.53630009999999995</v>
      </c>
      <c r="F855" t="s">
        <v>43</v>
      </c>
      <c r="G855">
        <v>-158.78319999999999</v>
      </c>
      <c r="H855">
        <v>2.9615640000000001</v>
      </c>
      <c r="I855">
        <v>369.2303</v>
      </c>
      <c r="J855">
        <v>-375.31659999999999</v>
      </c>
      <c r="K855">
        <v>1.110581</v>
      </c>
      <c r="L855">
        <v>366.35079999999999</v>
      </c>
      <c r="M855">
        <v>0.9999422</v>
      </c>
      <c r="N855">
        <v>-1.066491E-2</v>
      </c>
      <c r="O855">
        <v>1.4116479999999999E-3</v>
      </c>
      <c r="P855">
        <v>0.9898247</v>
      </c>
      <c r="Q855">
        <v>8.8980149999999994E-2</v>
      </c>
      <c r="R855">
        <v>0.1110401</v>
      </c>
      <c r="S855">
        <v>3.0237729999999998</v>
      </c>
      <c r="T855">
        <v>2.583444E-2</v>
      </c>
      <c r="U855">
        <v>4.0191650000000002E-2</v>
      </c>
      <c r="V855">
        <v>-0.1096888</v>
      </c>
      <c r="W855">
        <v>9.9482539999999994E-2</v>
      </c>
      <c r="X855">
        <v>0.98897500000000005</v>
      </c>
      <c r="Y855">
        <v>-1.187946E-2</v>
      </c>
      <c r="Z855" s="1">
        <v>3.972078E-5</v>
      </c>
      <c r="AA855">
        <v>0.99992939999999997</v>
      </c>
      <c r="AB855">
        <v>24</v>
      </c>
      <c r="AC855">
        <v>216.5334</v>
      </c>
      <c r="AD855">
        <v>1.850983</v>
      </c>
      <c r="AE855">
        <v>2.8795000000000002</v>
      </c>
      <c r="AF855">
        <v>-2.5736227972161099</v>
      </c>
      <c r="AG855">
        <v>1.850983</v>
      </c>
      <c r="AH855">
        <v>216.52143029326299</v>
      </c>
      <c r="AI855">
        <v>89.510240441678505</v>
      </c>
      <c r="AJ855">
        <v>90.680998552129793</v>
      </c>
      <c r="AK855">
        <v>216.54463615755699</v>
      </c>
      <c r="AL855">
        <v>84.290626265212396</v>
      </c>
      <c r="AM855">
        <v>96.328899780679194</v>
      </c>
      <c r="AN855">
        <v>0.99999997961764497</v>
      </c>
    </row>
    <row r="856" spans="1:40" x14ac:dyDescent="0.25">
      <c r="A856" t="str">
        <f>"20190304154740878"</f>
        <v>20190304154740878</v>
      </c>
      <c r="B856" t="str">
        <f>"1551685660867986"</f>
        <v>1551685660867986</v>
      </c>
      <c r="C856" t="s">
        <v>40</v>
      </c>
      <c r="D856">
        <v>4.2599609999999997</v>
      </c>
      <c r="E856">
        <v>0.53640739999999998</v>
      </c>
      <c r="F856" t="s">
        <v>43</v>
      </c>
      <c r="G856">
        <v>-158.78319999999999</v>
      </c>
      <c r="H856">
        <v>3.060432</v>
      </c>
      <c r="I856">
        <v>369.19600000000003</v>
      </c>
      <c r="J856">
        <v>-375.20639999999997</v>
      </c>
      <c r="K856">
        <v>1.1105860000000001</v>
      </c>
      <c r="L856">
        <v>366.35109999999997</v>
      </c>
      <c r="M856">
        <v>0.99994190000000005</v>
      </c>
      <c r="N856">
        <v>-1.0671079999999999E-2</v>
      </c>
      <c r="O856">
        <v>1.5520130000000001E-3</v>
      </c>
      <c r="P856">
        <v>0.98976830000000005</v>
      </c>
      <c r="Q856">
        <v>8.93288E-2</v>
      </c>
      <c r="R856">
        <v>0.1112628</v>
      </c>
      <c r="S856">
        <v>3.0239259999999999</v>
      </c>
      <c r="T856">
        <v>2.723122E-2</v>
      </c>
      <c r="U856">
        <v>3.9733890000000001E-2</v>
      </c>
      <c r="V856">
        <v>-0.1097731</v>
      </c>
      <c r="W856">
        <v>9.9836010000000003E-2</v>
      </c>
      <c r="X856">
        <v>0.98892999999999998</v>
      </c>
      <c r="Y856">
        <v>-1.1587109999999999E-2</v>
      </c>
      <c r="Z856" s="1">
        <v>4.0194629999999998E-5</v>
      </c>
      <c r="AA856">
        <v>0.99993290000000001</v>
      </c>
      <c r="AB856">
        <v>24</v>
      </c>
      <c r="AC856">
        <v>216.42320000000001</v>
      </c>
      <c r="AD856">
        <v>1.949846</v>
      </c>
      <c r="AE856">
        <v>2.8448999999999902</v>
      </c>
      <c r="AF856">
        <v>-2.5087822400817199</v>
      </c>
      <c r="AG856">
        <v>1.949846</v>
      </c>
      <c r="AH856">
        <v>216.409792044189</v>
      </c>
      <c r="AI856">
        <v>89.483815325962695</v>
      </c>
      <c r="AJ856">
        <v>90.664185266147499</v>
      </c>
      <c r="AK856">
        <v>216.433116644291</v>
      </c>
      <c r="AL856">
        <v>84.270272447901704</v>
      </c>
      <c r="AM856">
        <v>96.334010131874393</v>
      </c>
      <c r="AN856">
        <v>0.99999995363816396</v>
      </c>
    </row>
    <row r="857" spans="1:40" x14ac:dyDescent="0.25">
      <c r="A857" t="str">
        <f>"20190304154740888"</f>
        <v>20190304154740888</v>
      </c>
      <c r="B857" t="str">
        <f>"1551685660877745"</f>
        <v>1551685660877745</v>
      </c>
      <c r="C857" t="s">
        <v>40</v>
      </c>
      <c r="D857">
        <v>4.2831950000000001</v>
      </c>
      <c r="E857">
        <v>0.53640319999999997</v>
      </c>
      <c r="F857" t="s">
        <v>43</v>
      </c>
      <c r="G857">
        <v>-158.78319999999999</v>
      </c>
      <c r="H857">
        <v>3.1290360000000002</v>
      </c>
      <c r="I857">
        <v>369.16419999999999</v>
      </c>
      <c r="J857">
        <v>-375.08969999999999</v>
      </c>
      <c r="K857">
        <v>1.1105910000000001</v>
      </c>
      <c r="L857">
        <v>366.35140000000001</v>
      </c>
      <c r="M857">
        <v>0.99994159999999999</v>
      </c>
      <c r="N857">
        <v>-1.067743E-2</v>
      </c>
      <c r="O857">
        <v>1.7017340000000001E-3</v>
      </c>
      <c r="P857">
        <v>0.98965309999999995</v>
      </c>
      <c r="Q857">
        <v>8.9939499999999895E-2</v>
      </c>
      <c r="R857">
        <v>0.111793</v>
      </c>
      <c r="S857">
        <v>3.0240480000000001</v>
      </c>
      <c r="T857">
        <v>2.8204679999999999E-2</v>
      </c>
      <c r="U857">
        <v>3.9306639999999997E-2</v>
      </c>
      <c r="V857">
        <v>-0.1101562</v>
      </c>
      <c r="W857">
        <v>0.1004514</v>
      </c>
      <c r="X857">
        <v>0.98882510000000001</v>
      </c>
      <c r="Y857">
        <v>-1.1295629999999999E-2</v>
      </c>
      <c r="Z857" s="1">
        <v>4.1675350000000001E-5</v>
      </c>
      <c r="AA857">
        <v>0.99993620000000005</v>
      </c>
      <c r="AB857">
        <v>24</v>
      </c>
      <c r="AC857">
        <v>216.3065</v>
      </c>
      <c r="AD857">
        <v>2.0184449999999998</v>
      </c>
      <c r="AE857">
        <v>2.8127999999999802</v>
      </c>
      <c r="AF857">
        <v>-2.44446601978981</v>
      </c>
      <c r="AG857">
        <v>2.0184449999999998</v>
      </c>
      <c r="AH857">
        <v>216.292143166351</v>
      </c>
      <c r="AI857">
        <v>89.465363666992204</v>
      </c>
      <c r="AJ857">
        <v>90.647511377003298</v>
      </c>
      <c r="AK857">
        <v>216.31537330904899</v>
      </c>
      <c r="AL857">
        <v>84.234835176712593</v>
      </c>
      <c r="AM857">
        <v>96.356603518676295</v>
      </c>
      <c r="AN857">
        <v>0.99999997527520401</v>
      </c>
    </row>
    <row r="858" spans="1:40" x14ac:dyDescent="0.25">
      <c r="A858" t="str">
        <f>"20190304154740901"</f>
        <v>20190304154740901</v>
      </c>
      <c r="B858" t="str">
        <f>"1551685660897265"</f>
        <v>1551685660897265</v>
      </c>
      <c r="C858" t="s">
        <v>40</v>
      </c>
      <c r="D858">
        <v>4.2439650000000002</v>
      </c>
      <c r="E858">
        <v>0.53648660000000004</v>
      </c>
      <c r="F858" t="s">
        <v>43</v>
      </c>
      <c r="G858">
        <v>-158.78319999999999</v>
      </c>
      <c r="H858">
        <v>3.2199520000000001</v>
      </c>
      <c r="I858">
        <v>369.28960000000001</v>
      </c>
      <c r="J858">
        <v>-374.964</v>
      </c>
      <c r="K858">
        <v>1.1105929999999999</v>
      </c>
      <c r="L858">
        <v>366.35180000000003</v>
      </c>
      <c r="M858">
        <v>0.99994119999999997</v>
      </c>
      <c r="N858">
        <v>-1.0683730000000001E-2</v>
      </c>
      <c r="O858">
        <v>1.864739E-3</v>
      </c>
      <c r="P858">
        <v>0.98954900000000001</v>
      </c>
      <c r="Q858">
        <v>9.0484549999999997E-2</v>
      </c>
      <c r="R858">
        <v>0.1122732</v>
      </c>
      <c r="S858">
        <v>3.0240779999999998</v>
      </c>
      <c r="T858">
        <v>2.949119E-2</v>
      </c>
      <c r="U858">
        <v>4.1076660000000001E-2</v>
      </c>
      <c r="V858">
        <v>-0.1104758</v>
      </c>
      <c r="W858">
        <v>0.1010012</v>
      </c>
      <c r="X858">
        <v>0.98873350000000004</v>
      </c>
      <c r="Y858">
        <v>-1.1717689999999999E-2</v>
      </c>
      <c r="Z858" s="1">
        <v>4.3571549999999998E-5</v>
      </c>
      <c r="AA858">
        <v>0.99993129999999997</v>
      </c>
      <c r="AB858">
        <v>24</v>
      </c>
      <c r="AC858">
        <v>216.1808</v>
      </c>
      <c r="AD858">
        <v>2.109359</v>
      </c>
      <c r="AE858">
        <v>2.9377999999999802</v>
      </c>
      <c r="AF858">
        <v>-2.5344098711390899</v>
      </c>
      <c r="AG858">
        <v>2.109359</v>
      </c>
      <c r="AH858">
        <v>216.165326090337</v>
      </c>
      <c r="AI858">
        <v>89.440959243640293</v>
      </c>
      <c r="AJ858">
        <v>90.671728156864006</v>
      </c>
      <c r="AK858">
        <v>216.19047350086399</v>
      </c>
      <c r="AL858">
        <v>84.203173300247499</v>
      </c>
      <c r="AM858">
        <v>96.375480271138201</v>
      </c>
      <c r="AN858">
        <v>1.00000003940466</v>
      </c>
    </row>
    <row r="859" spans="1:40" x14ac:dyDescent="0.25">
      <c r="A859" t="str">
        <f>"20190304154740911"</f>
        <v>20190304154740911</v>
      </c>
      <c r="B859" t="str">
        <f>"1551685660908002"</f>
        <v>1551685660908002</v>
      </c>
      <c r="C859" t="s">
        <v>40</v>
      </c>
      <c r="D859">
        <v>4.2711519999999998</v>
      </c>
      <c r="E859">
        <v>0.53662840000000001</v>
      </c>
      <c r="F859" t="s">
        <v>43</v>
      </c>
      <c r="G859">
        <v>-158.78319999999999</v>
      </c>
      <c r="H859">
        <v>3.2266270000000001</v>
      </c>
      <c r="I859">
        <v>369.3689</v>
      </c>
      <c r="J859">
        <v>-374.84429999999998</v>
      </c>
      <c r="K859">
        <v>1.1105940000000001</v>
      </c>
      <c r="L859">
        <v>366.35210000000001</v>
      </c>
      <c r="M859">
        <v>0.99994090000000002</v>
      </c>
      <c r="N859">
        <v>-1.0689580000000001E-2</v>
      </c>
      <c r="O859">
        <v>2.0205309999999999E-3</v>
      </c>
      <c r="P859">
        <v>0.98944779999999999</v>
      </c>
      <c r="Q859">
        <v>9.0970339999999997E-2</v>
      </c>
      <c r="R859">
        <v>0.1127732</v>
      </c>
      <c r="S859">
        <v>3.0242</v>
      </c>
      <c r="T859">
        <v>2.960289E-2</v>
      </c>
      <c r="U859">
        <v>4.2205810000000003E-2</v>
      </c>
      <c r="V859">
        <v>-0.1108229</v>
      </c>
      <c r="W859">
        <v>0.1014912</v>
      </c>
      <c r="X859">
        <v>0.98864439999999998</v>
      </c>
      <c r="Y859">
        <v>-1.193466E-2</v>
      </c>
      <c r="Z859" s="1">
        <v>4.6759089999999997E-5</v>
      </c>
      <c r="AA859">
        <v>0.99992879999999995</v>
      </c>
      <c r="AB859">
        <v>24</v>
      </c>
      <c r="AC859">
        <v>216.06110000000001</v>
      </c>
      <c r="AD859">
        <v>2.1160329999999998</v>
      </c>
      <c r="AE859">
        <v>3.0167999999999799</v>
      </c>
      <c r="AF859">
        <v>-2.5799633680122298</v>
      </c>
      <c r="AG859">
        <v>2.1160329999999998</v>
      </c>
      <c r="AH859">
        <v>216.04603653194101</v>
      </c>
      <c r="AI859">
        <v>89.438882366847906</v>
      </c>
      <c r="AJ859">
        <v>90.684178189945499</v>
      </c>
      <c r="AK859">
        <v>216.07180220426301</v>
      </c>
      <c r="AL859">
        <v>84.174952918828097</v>
      </c>
      <c r="AM859">
        <v>96.395917054975897</v>
      </c>
      <c r="AN859">
        <v>0.99999996424660398</v>
      </c>
    </row>
    <row r="860" spans="1:40" x14ac:dyDescent="0.25">
      <c r="A860" t="str">
        <f>"20190304154740922"</f>
        <v>20190304154740922</v>
      </c>
      <c r="B860" t="str">
        <f>"1551685660917761"</f>
        <v>1551685660917761</v>
      </c>
      <c r="C860" t="s">
        <v>40</v>
      </c>
      <c r="D860">
        <v>4.2325049999999997</v>
      </c>
      <c r="E860">
        <v>0.53668359999999904</v>
      </c>
      <c r="F860" t="s">
        <v>43</v>
      </c>
      <c r="G860">
        <v>-158.78319999999999</v>
      </c>
      <c r="H860">
        <v>3.3377699999999999</v>
      </c>
      <c r="I860">
        <v>369.36739999999998</v>
      </c>
      <c r="J860">
        <v>-374.72230000000002</v>
      </c>
      <c r="K860">
        <v>1.110598</v>
      </c>
      <c r="L860">
        <v>366.3526</v>
      </c>
      <c r="M860">
        <v>0.99994059999999996</v>
      </c>
      <c r="N860">
        <v>-1.069515E-2</v>
      </c>
      <c r="O860">
        <v>2.1803069999999998E-3</v>
      </c>
      <c r="P860">
        <v>0.98936360000000001</v>
      </c>
      <c r="Q860">
        <v>9.127267E-2</v>
      </c>
      <c r="R860">
        <v>0.1132671</v>
      </c>
      <c r="S860">
        <v>3.024292</v>
      </c>
      <c r="T860">
        <v>3.1175850000000001E-2</v>
      </c>
      <c r="U860">
        <v>4.2205810000000003E-2</v>
      </c>
      <c r="V860">
        <v>-0.1111588</v>
      </c>
      <c r="W860">
        <v>0.1017981</v>
      </c>
      <c r="X860">
        <v>0.98857519999999999</v>
      </c>
      <c r="Y860">
        <v>-1.17745E-2</v>
      </c>
      <c r="Z860" s="1">
        <v>4.8076679999999999E-5</v>
      </c>
      <c r="AA860">
        <v>0.99993069999999895</v>
      </c>
      <c r="AB860">
        <v>24</v>
      </c>
      <c r="AC860">
        <v>215.9391</v>
      </c>
      <c r="AD860">
        <v>2.2271719999999999</v>
      </c>
      <c r="AE860">
        <v>3.0147999999999802</v>
      </c>
      <c r="AF860">
        <v>-2.5436819185806701</v>
      </c>
      <c r="AG860">
        <v>2.2271719999999999</v>
      </c>
      <c r="AH860">
        <v>215.922195714921</v>
      </c>
      <c r="AI860">
        <v>89.409073359545303</v>
      </c>
      <c r="AJ860">
        <v>90.674944492560897</v>
      </c>
      <c r="AK860">
        <v>215.94866337899199</v>
      </c>
      <c r="AL860">
        <v>84.157277677043993</v>
      </c>
      <c r="AM860">
        <v>96.415586780962698</v>
      </c>
      <c r="AN860">
        <v>1.00000002901804</v>
      </c>
    </row>
    <row r="861" spans="1:40" x14ac:dyDescent="0.25">
      <c r="A861" t="str">
        <f>"20190304154740935"</f>
        <v>20190304154740935</v>
      </c>
      <c r="B861" t="str">
        <f>"1551685660927521"</f>
        <v>1551685660927521</v>
      </c>
      <c r="C861" t="s">
        <v>40</v>
      </c>
      <c r="D861">
        <v>4.2153099999999997</v>
      </c>
      <c r="E861">
        <v>0.53672909999999996</v>
      </c>
      <c r="F861" t="s">
        <v>43</v>
      </c>
      <c r="G861">
        <v>-158.78319999999999</v>
      </c>
      <c r="H861">
        <v>3.3904139999999998</v>
      </c>
      <c r="I861">
        <v>369.4468</v>
      </c>
      <c r="J861">
        <v>-374.59249999999997</v>
      </c>
      <c r="K861">
        <v>1.1106</v>
      </c>
      <c r="L861">
        <v>366.35309999999998</v>
      </c>
      <c r="M861">
        <v>0.99994000000000005</v>
      </c>
      <c r="N861">
        <v>-1.0700930000000001E-2</v>
      </c>
      <c r="O861">
        <v>2.3506880000000001E-3</v>
      </c>
      <c r="P861">
        <v>0.98925890000000005</v>
      </c>
      <c r="Q861">
        <v>9.1788590000000003E-2</v>
      </c>
      <c r="R861">
        <v>0.1137618</v>
      </c>
      <c r="S861">
        <v>3.0243229999999999</v>
      </c>
      <c r="T861">
        <v>3.1931040000000001E-2</v>
      </c>
      <c r="U861">
        <v>4.3334959999999999E-2</v>
      </c>
      <c r="V861">
        <v>-0.1114856</v>
      </c>
      <c r="W861">
        <v>0.10231850000000001</v>
      </c>
      <c r="X861">
        <v>0.98848460000000005</v>
      </c>
      <c r="Y861">
        <v>-1.197727E-2</v>
      </c>
      <c r="Z861" s="1">
        <v>5.083495E-5</v>
      </c>
      <c r="AA861">
        <v>0.99992829999999999</v>
      </c>
      <c r="AB861">
        <v>24</v>
      </c>
      <c r="AC861">
        <v>215.80930000000001</v>
      </c>
      <c r="AD861">
        <v>2.279814</v>
      </c>
      <c r="AE861">
        <v>3.0937000000000099</v>
      </c>
      <c r="AF861">
        <v>-2.5860735389929301</v>
      </c>
      <c r="AG861">
        <v>2.279814</v>
      </c>
      <c r="AH861">
        <v>215.791899304823</v>
      </c>
      <c r="AI861">
        <v>89.394743346989998</v>
      </c>
      <c r="AJ861">
        <v>90.686605970823194</v>
      </c>
      <c r="AK861">
        <v>215.81943641342099</v>
      </c>
      <c r="AL861">
        <v>84.127304036236396</v>
      </c>
      <c r="AM861">
        <v>96.434875052397402</v>
      </c>
      <c r="AN861">
        <v>0.99999995944338405</v>
      </c>
    </row>
    <row r="862" spans="1:40" x14ac:dyDescent="0.25">
      <c r="A862" t="str">
        <f>"20190304154740948"</f>
        <v>20190304154740948</v>
      </c>
      <c r="B862" t="str">
        <f>"1551685660937281"</f>
        <v>1551685660937281</v>
      </c>
      <c r="C862" t="s">
        <v>40</v>
      </c>
      <c r="D862">
        <v>4.2252640000000001</v>
      </c>
      <c r="E862">
        <v>0.53682169999999996</v>
      </c>
      <c r="F862" t="s">
        <v>43</v>
      </c>
      <c r="G862">
        <v>-158.78319999999999</v>
      </c>
      <c r="H862">
        <v>3.4649589999999901</v>
      </c>
      <c r="I862">
        <v>369.56509999999997</v>
      </c>
      <c r="J862">
        <v>-374.45240000000001</v>
      </c>
      <c r="K862">
        <v>1.1106</v>
      </c>
      <c r="L862">
        <v>366.35359999999997</v>
      </c>
      <c r="M862">
        <v>0.99993960000000004</v>
      </c>
      <c r="N862">
        <v>-1.0706820000000001E-2</v>
      </c>
      <c r="O862">
        <v>2.5352460000000001E-3</v>
      </c>
      <c r="P862">
        <v>0.98919060000000003</v>
      </c>
      <c r="Q862">
        <v>9.1962589999999997E-2</v>
      </c>
      <c r="R862">
        <v>0.1142142</v>
      </c>
      <c r="S862">
        <v>3.0243530000000001</v>
      </c>
      <c r="T862">
        <v>3.2995219999999999E-2</v>
      </c>
      <c r="U862">
        <v>4.501343E-2</v>
      </c>
      <c r="V862">
        <v>-0.11175499999999999</v>
      </c>
      <c r="W862">
        <v>0.1024973</v>
      </c>
      <c r="X862">
        <v>0.98843570000000003</v>
      </c>
      <c r="Y862">
        <v>-1.234743E-2</v>
      </c>
      <c r="Z862" s="1">
        <v>5.3556749999999998E-5</v>
      </c>
      <c r="AA862">
        <v>0.99992380000000003</v>
      </c>
      <c r="AB862">
        <v>24</v>
      </c>
      <c r="AC862">
        <v>215.66919999999999</v>
      </c>
      <c r="AD862">
        <v>2.3543590000000001</v>
      </c>
      <c r="AE862">
        <v>3.2115</v>
      </c>
      <c r="AF862">
        <v>-2.6643664878341302</v>
      </c>
      <c r="AG862">
        <v>2.3543590000000001</v>
      </c>
      <c r="AH862">
        <v>215.65095566781699</v>
      </c>
      <c r="AI862">
        <v>89.374548647134006</v>
      </c>
      <c r="AJ862">
        <v>90.707853056256496</v>
      </c>
      <c r="AK862">
        <v>215.68026459443399</v>
      </c>
      <c r="AL862">
        <v>84.117005672949503</v>
      </c>
      <c r="AM862">
        <v>96.450610166915993</v>
      </c>
      <c r="AN862">
        <v>1.0000000047833899</v>
      </c>
    </row>
    <row r="863" spans="1:40" x14ac:dyDescent="0.25">
      <c r="A863" t="str">
        <f>"20190304154740961"</f>
        <v>20190304154740961</v>
      </c>
      <c r="B863" t="str">
        <f>"1551685660957778"</f>
        <v>1551685660957778</v>
      </c>
      <c r="C863" t="s">
        <v>40</v>
      </c>
      <c r="D863">
        <v>4.7734209999999999</v>
      </c>
      <c r="E863">
        <v>0.53656680000000001</v>
      </c>
      <c r="F863" t="s">
        <v>43</v>
      </c>
      <c r="G863">
        <v>-158.78319999999999</v>
      </c>
      <c r="H863">
        <v>3.5155509999999999</v>
      </c>
      <c r="I863">
        <v>369.60930000000002</v>
      </c>
      <c r="J863">
        <v>-374.30950000000001</v>
      </c>
      <c r="K863">
        <v>1.1106009999999999</v>
      </c>
      <c r="L863">
        <v>366.35419999999999</v>
      </c>
      <c r="M863">
        <v>0.99993909999999997</v>
      </c>
      <c r="N863">
        <v>-1.071248E-2</v>
      </c>
      <c r="O863">
        <v>2.723081E-3</v>
      </c>
      <c r="P863">
        <v>0.98909570000000002</v>
      </c>
      <c r="Q863">
        <v>9.229793E-2</v>
      </c>
      <c r="R863">
        <v>0.1147661</v>
      </c>
      <c r="S863">
        <v>3.024384</v>
      </c>
      <c r="T863">
        <v>3.3726449999999998E-2</v>
      </c>
      <c r="U863">
        <v>4.5654300000000002E-2</v>
      </c>
      <c r="V863">
        <v>-0.112122</v>
      </c>
      <c r="W863">
        <v>0.1028374</v>
      </c>
      <c r="X863">
        <v>0.98835879999999998</v>
      </c>
      <c r="Y863">
        <v>-1.237133E-2</v>
      </c>
      <c r="Z863" s="1">
        <v>5.6828279999999998E-5</v>
      </c>
      <c r="AA863">
        <v>0.99992349999999997</v>
      </c>
      <c r="AB863">
        <v>24</v>
      </c>
      <c r="AC863">
        <v>215.52629999999999</v>
      </c>
      <c r="AD863">
        <v>2.4049499999999999</v>
      </c>
      <c r="AE863">
        <v>3.2551000000000201</v>
      </c>
      <c r="AF863">
        <v>-2.6678266887904698</v>
      </c>
      <c r="AG863">
        <v>2.4049499999999999</v>
      </c>
      <c r="AH863">
        <v>215.507538056226</v>
      </c>
      <c r="AI863">
        <v>89.3606849626768</v>
      </c>
      <c r="AJ863">
        <v>90.709243879198297</v>
      </c>
      <c r="AK863">
        <v>215.537467839816</v>
      </c>
      <c r="AL863">
        <v>84.097415806569202</v>
      </c>
      <c r="AM863">
        <v>96.472113606651703</v>
      </c>
      <c r="AN863">
        <v>0.999999995630099</v>
      </c>
    </row>
    <row r="864" spans="1:40" x14ac:dyDescent="0.25">
      <c r="A864" t="str">
        <f>"20190304154740974"</f>
        <v>20190304154740974</v>
      </c>
      <c r="B864" t="str">
        <f>"1551685660967538"</f>
        <v>1551685660967538</v>
      </c>
      <c r="C864" t="s">
        <v>40</v>
      </c>
      <c r="D864">
        <v>4.2316159999999998</v>
      </c>
      <c r="E864">
        <v>0.48505019999999999</v>
      </c>
      <c r="F864" t="s">
        <v>43</v>
      </c>
      <c r="G864">
        <v>-158.78319999999999</v>
      </c>
      <c r="H864">
        <v>3.5894949999999999</v>
      </c>
      <c r="I864">
        <v>369.8777</v>
      </c>
      <c r="J864">
        <v>-374.15989999999999</v>
      </c>
      <c r="K864">
        <v>1.1106020000000001</v>
      </c>
      <c r="L864">
        <v>366.35480000000001</v>
      </c>
      <c r="M864">
        <v>0.99993840000000001</v>
      </c>
      <c r="N864">
        <v>-1.0718190000000001E-2</v>
      </c>
      <c r="O864">
        <v>2.919975E-3</v>
      </c>
      <c r="P864">
        <v>0.98901419999999995</v>
      </c>
      <c r="Q864">
        <v>9.2436980000000002E-2</v>
      </c>
      <c r="R864">
        <v>0.1153536</v>
      </c>
      <c r="S864">
        <v>3.0240779999999998</v>
      </c>
      <c r="T864">
        <v>3.4782889999999997E-2</v>
      </c>
      <c r="U864">
        <v>4.943848E-2</v>
      </c>
      <c r="V864">
        <v>-0.1125148</v>
      </c>
      <c r="W864">
        <v>0.10298160000000001</v>
      </c>
      <c r="X864">
        <v>0.98829909999999999</v>
      </c>
      <c r="Y864">
        <v>-1.342693E-2</v>
      </c>
      <c r="Z864" s="1">
        <v>5.9628520000000001E-5</v>
      </c>
      <c r="AA864">
        <v>0.99990990000000002</v>
      </c>
      <c r="AB864">
        <v>24</v>
      </c>
      <c r="AC864">
        <v>215.3767</v>
      </c>
      <c r="AD864">
        <v>2.4788929999999998</v>
      </c>
      <c r="AE864">
        <v>3.5228999999999902</v>
      </c>
      <c r="AF864">
        <v>-2.8935711299759501</v>
      </c>
      <c r="AG864">
        <v>2.4788929999999998</v>
      </c>
      <c r="AH864">
        <v>215.357548261891</v>
      </c>
      <c r="AI864">
        <v>89.3405802636956</v>
      </c>
      <c r="AJ864">
        <v>90.769786985696697</v>
      </c>
      <c r="AK864">
        <v>215.39125158130801</v>
      </c>
      <c r="AL864">
        <v>84.089109388402306</v>
      </c>
      <c r="AM864">
        <v>96.494983112713697</v>
      </c>
      <c r="AN864">
        <v>0.99999995060920299</v>
      </c>
    </row>
    <row r="865" spans="1:40" x14ac:dyDescent="0.25">
      <c r="A865" t="str">
        <f>"20190304154740989"</f>
        <v>20190304154740989</v>
      </c>
      <c r="B865" t="str">
        <f>"1551685660977297"</f>
        <v>1551685660977297</v>
      </c>
      <c r="C865" t="s">
        <v>40</v>
      </c>
      <c r="D865">
        <v>4.1014549999999996</v>
      </c>
      <c r="E865">
        <v>0.4725222</v>
      </c>
      <c r="F865" t="s">
        <v>51</v>
      </c>
      <c r="G865">
        <v>-209.38630000000001</v>
      </c>
      <c r="H865">
        <v>5.5693849999999996</v>
      </c>
      <c r="I865">
        <v>391.87</v>
      </c>
      <c r="J865">
        <v>-373.9898</v>
      </c>
      <c r="K865">
        <v>1.110603</v>
      </c>
      <c r="L865">
        <v>366.35559999999998</v>
      </c>
      <c r="M865">
        <v>0.99993759999999998</v>
      </c>
      <c r="N865">
        <v>-1.0724269999999999E-2</v>
      </c>
      <c r="O865">
        <v>3.1435059999999999E-3</v>
      </c>
      <c r="P865">
        <v>0.98888209999999999</v>
      </c>
      <c r="Q865">
        <v>9.2805680000000002E-2</v>
      </c>
      <c r="R865">
        <v>0.11618779999999999</v>
      </c>
      <c r="S865">
        <v>2.972137</v>
      </c>
      <c r="T865">
        <v>8.04261E-2</v>
      </c>
      <c r="U865">
        <v>0.46023560000000002</v>
      </c>
      <c r="V865">
        <v>-0.1131282</v>
      </c>
      <c r="W865">
        <v>0.1033553</v>
      </c>
      <c r="X865">
        <v>0.98819009999999996</v>
      </c>
      <c r="Y865">
        <v>-0.14988899999999999</v>
      </c>
      <c r="Z865">
        <v>-1.088983E-3</v>
      </c>
      <c r="AA865">
        <v>0.98870219999999998</v>
      </c>
      <c r="AB865">
        <v>24</v>
      </c>
      <c r="AC865">
        <v>164.6035</v>
      </c>
      <c r="AD865">
        <v>4.4587819999999896</v>
      </c>
      <c r="AE865">
        <v>25.514399999999998</v>
      </c>
      <c r="AF865">
        <v>-24.9789136000851</v>
      </c>
      <c r="AG865">
        <v>4.4587819999999896</v>
      </c>
      <c r="AH865">
        <v>164.564977794854</v>
      </c>
      <c r="AI865">
        <v>88.4655546798449</v>
      </c>
      <c r="AJ865">
        <v>98.630904191815006</v>
      </c>
      <c r="AK865">
        <v>166.50963569170599</v>
      </c>
      <c r="AL865">
        <v>84.067583326596903</v>
      </c>
      <c r="AM865">
        <v>96.530801036926405</v>
      </c>
      <c r="AN865">
        <v>0.99999999070567003</v>
      </c>
    </row>
    <row r="866" spans="1:40" x14ac:dyDescent="0.25">
      <c r="A866" t="str">
        <f>"20190304154741002"</f>
        <v>20190304154741002</v>
      </c>
      <c r="B866" t="str">
        <f>"1551685660997794"</f>
        <v>1551685660997794</v>
      </c>
      <c r="C866" t="s">
        <v>40</v>
      </c>
      <c r="D866">
        <v>4.1537160000000002</v>
      </c>
      <c r="E866">
        <v>0.46141339999999997</v>
      </c>
      <c r="F866" t="s">
        <v>52</v>
      </c>
      <c r="G866">
        <v>-244.68979999999999</v>
      </c>
      <c r="H866">
        <v>3.59951</v>
      </c>
      <c r="I866">
        <v>390.88350000000003</v>
      </c>
      <c r="J866">
        <v>-373.86709999999999</v>
      </c>
      <c r="K866">
        <v>1.110603</v>
      </c>
      <c r="L866">
        <v>366.35610000000003</v>
      </c>
      <c r="M866">
        <v>0.99993699999999996</v>
      </c>
      <c r="N866">
        <v>-1.0728390000000001E-2</v>
      </c>
      <c r="O866">
        <v>3.3042290000000001E-3</v>
      </c>
      <c r="P866">
        <v>0.98886450000000004</v>
      </c>
      <c r="Q866">
        <v>9.2551659999999994E-2</v>
      </c>
      <c r="R866">
        <v>0.1165392</v>
      </c>
      <c r="S866">
        <v>2.9623409999999999</v>
      </c>
      <c r="T866">
        <v>5.7023049999999999E-2</v>
      </c>
      <c r="U866">
        <v>0.56195069999999903</v>
      </c>
      <c r="V866">
        <v>-0.1133205</v>
      </c>
      <c r="W866">
        <v>0.1031049</v>
      </c>
      <c r="X866">
        <v>0.98819420000000002</v>
      </c>
      <c r="Y866">
        <v>-0.1831142</v>
      </c>
      <c r="Z866">
        <v>-6.5750420000000001E-4</v>
      </c>
      <c r="AA866">
        <v>0.98309139999999995</v>
      </c>
      <c r="AB866">
        <v>24</v>
      </c>
      <c r="AC866">
        <v>129.1773</v>
      </c>
      <c r="AD866">
        <v>2.48890699999999</v>
      </c>
      <c r="AE866">
        <v>24.5274</v>
      </c>
      <c r="AF866">
        <v>-24.091777735157599</v>
      </c>
      <c r="AG866">
        <v>2.48890699999999</v>
      </c>
      <c r="AH866">
        <v>129.21134536569099</v>
      </c>
      <c r="AI866">
        <v>88.915179245324396</v>
      </c>
      <c r="AJ866">
        <v>100.561665015697</v>
      </c>
      <c r="AK866">
        <v>131.46170614938299</v>
      </c>
      <c r="AL866">
        <v>84.082007106092107</v>
      </c>
      <c r="AM866">
        <v>96.541779309011602</v>
      </c>
      <c r="AN866">
        <v>0.99999996651894896</v>
      </c>
    </row>
    <row r="867" spans="1:40" x14ac:dyDescent="0.25">
      <c r="A867" t="str">
        <f>"20190304154741013"</f>
        <v>20190304154741013</v>
      </c>
      <c r="B867" t="str">
        <f>"1551685661008061"</f>
        <v>1551685661008061</v>
      </c>
      <c r="C867" t="s">
        <v>40</v>
      </c>
      <c r="D867">
        <v>4.1277819999999998</v>
      </c>
      <c r="E867">
        <v>0.45889570000000002</v>
      </c>
      <c r="F867" t="s">
        <v>52</v>
      </c>
      <c r="G867">
        <v>-258.67660000000001</v>
      </c>
      <c r="H867">
        <v>2.9214739999999999</v>
      </c>
      <c r="I867">
        <v>391.75</v>
      </c>
      <c r="J867">
        <v>-373.7371</v>
      </c>
      <c r="K867">
        <v>1.1106020000000001</v>
      </c>
      <c r="L867">
        <v>366.35680000000002</v>
      </c>
      <c r="M867">
        <v>0.99993650000000001</v>
      </c>
      <c r="N867">
        <v>-1.073267E-2</v>
      </c>
      <c r="O867">
        <v>3.4741300000000002E-3</v>
      </c>
      <c r="P867">
        <v>0.98881669999999999</v>
      </c>
      <c r="Q867">
        <v>9.2489390000000005E-2</v>
      </c>
      <c r="R867">
        <v>0.1169931</v>
      </c>
      <c r="S867">
        <v>2.9527589999999999</v>
      </c>
      <c r="T867">
        <v>4.641998E-2</v>
      </c>
      <c r="U867">
        <v>0.65093990000000002</v>
      </c>
      <c r="V867">
        <v>-0.11360629999999999</v>
      </c>
      <c r="W867">
        <v>0.1030466</v>
      </c>
      <c r="X867">
        <v>0.98816749999999998</v>
      </c>
      <c r="Y867">
        <v>-0.21188180000000001</v>
      </c>
      <c r="Z867">
        <v>-4.0425310000000001E-4</v>
      </c>
      <c r="AA867">
        <v>0.97729520000000003</v>
      </c>
      <c r="AB867">
        <v>24</v>
      </c>
      <c r="AC867">
        <v>115.0605</v>
      </c>
      <c r="AD867">
        <v>1.810872</v>
      </c>
      <c r="AE867">
        <v>25.393199999999901</v>
      </c>
      <c r="AF867">
        <v>-24.987386756344701</v>
      </c>
      <c r="AG867">
        <v>1.810872</v>
      </c>
      <c r="AH867">
        <v>115.120839024354</v>
      </c>
      <c r="AI867">
        <v>89.119304827450094</v>
      </c>
      <c r="AJ867">
        <v>102.246293799238</v>
      </c>
      <c r="AK867">
        <v>117.815348456739</v>
      </c>
      <c r="AL867">
        <v>84.085365540119199</v>
      </c>
      <c r="AM867">
        <v>96.558310112769803</v>
      </c>
      <c r="AN867">
        <v>1.0000000006137499</v>
      </c>
    </row>
    <row r="868" spans="1:40" x14ac:dyDescent="0.25">
      <c r="A868" t="str">
        <f>"20190304154741024"</f>
        <v>20190304154741024</v>
      </c>
      <c r="B868" t="str">
        <f>"1551685661017821"</f>
        <v>1551685661017821</v>
      </c>
      <c r="C868" t="s">
        <v>40</v>
      </c>
      <c r="D868">
        <v>4.1175360000000003</v>
      </c>
      <c r="E868">
        <v>0.4572522</v>
      </c>
      <c r="F868" t="s">
        <v>52</v>
      </c>
      <c r="G868">
        <v>-262.27719999999999</v>
      </c>
      <c r="H868">
        <v>2.8207200000000001</v>
      </c>
      <c r="I868">
        <v>391.75</v>
      </c>
      <c r="J868">
        <v>-373.61040000000003</v>
      </c>
      <c r="K868">
        <v>1.110598</v>
      </c>
      <c r="L868">
        <v>366.35739999999998</v>
      </c>
      <c r="M868">
        <v>0.99993569999999998</v>
      </c>
      <c r="N868">
        <v>-1.0736600000000001E-2</v>
      </c>
      <c r="O868">
        <v>3.639382E-3</v>
      </c>
      <c r="P868">
        <v>0.98877459999999995</v>
      </c>
      <c r="Q868">
        <v>9.2278819999999998E-2</v>
      </c>
      <c r="R868">
        <v>0.1175144</v>
      </c>
      <c r="S868">
        <v>2.9501650000000001</v>
      </c>
      <c r="T868">
        <v>4.5264840000000001E-2</v>
      </c>
      <c r="U868">
        <v>0.67211909999999997</v>
      </c>
      <c r="V868">
        <v>-0.1139641</v>
      </c>
      <c r="W868">
        <v>0.1028398</v>
      </c>
      <c r="X868">
        <v>0.98814789999999997</v>
      </c>
      <c r="Y868">
        <v>-0.21857670000000001</v>
      </c>
      <c r="Z868">
        <v>-3.7353579999999998E-4</v>
      </c>
      <c r="AA868">
        <v>0.97581969999999996</v>
      </c>
      <c r="AB868">
        <v>24</v>
      </c>
      <c r="AC868">
        <v>111.33320000000001</v>
      </c>
      <c r="AD868">
        <v>1.7101219999999999</v>
      </c>
      <c r="AE868">
        <v>25.392600000000002</v>
      </c>
      <c r="AF868">
        <v>-24.981621645123699</v>
      </c>
      <c r="AG868">
        <v>1.7101219999999999</v>
      </c>
      <c r="AH868">
        <v>111.39989708061201</v>
      </c>
      <c r="AI868">
        <v>89.141820607622705</v>
      </c>
      <c r="AJ868">
        <v>102.63957107392601</v>
      </c>
      <c r="AK868">
        <v>114.179433379423</v>
      </c>
      <c r="AL868">
        <v>84.097277923804995</v>
      </c>
      <c r="AM868">
        <v>96.578913894908197</v>
      </c>
      <c r="AN868">
        <v>1.00000005641362</v>
      </c>
    </row>
    <row r="869" spans="1:40" x14ac:dyDescent="0.25">
      <c r="A869" t="str">
        <f>"20190304154741035"</f>
        <v>20190304154741035</v>
      </c>
      <c r="B869" t="str">
        <f>"1551685661027581"</f>
        <v>1551685661027581</v>
      </c>
      <c r="C869" t="s">
        <v>40</v>
      </c>
      <c r="D869">
        <v>4.124841</v>
      </c>
      <c r="E869">
        <v>0.45600499999999999</v>
      </c>
      <c r="F869" t="s">
        <v>52</v>
      </c>
      <c r="G869">
        <v>-264.58249999999998</v>
      </c>
      <c r="H869">
        <v>2.7333660000000002</v>
      </c>
      <c r="I869">
        <v>391.75</v>
      </c>
      <c r="J869">
        <v>-373.50040000000001</v>
      </c>
      <c r="K869">
        <v>1.1105969999999901</v>
      </c>
      <c r="L869">
        <v>366.35789999999997</v>
      </c>
      <c r="M869">
        <v>0.99993520000000002</v>
      </c>
      <c r="N869">
        <v>-1.073994E-2</v>
      </c>
      <c r="O869">
        <v>3.7827059999999998E-3</v>
      </c>
      <c r="P869">
        <v>0.98878120000000003</v>
      </c>
      <c r="Q869">
        <v>9.1900430000000005E-2</v>
      </c>
      <c r="R869">
        <v>0.1177546</v>
      </c>
      <c r="S869">
        <v>2.9483640000000002</v>
      </c>
      <c r="T869">
        <v>4.3884039999999999E-2</v>
      </c>
      <c r="U869">
        <v>0.68667599999999995</v>
      </c>
      <c r="V869">
        <v>-0.1140622</v>
      </c>
      <c r="W869">
        <v>0.1024651</v>
      </c>
      <c r="X869">
        <v>0.98817549999999998</v>
      </c>
      <c r="Y869">
        <v>-0.22313920000000001</v>
      </c>
      <c r="Z869">
        <v>-3.2884279999999998E-4</v>
      </c>
      <c r="AA869">
        <v>0.9747865</v>
      </c>
      <c r="AB869">
        <v>24</v>
      </c>
      <c r="AC869">
        <v>108.9179</v>
      </c>
      <c r="AD869">
        <v>1.6227689999999999</v>
      </c>
      <c r="AE869">
        <v>25.392099999999999</v>
      </c>
      <c r="AF869">
        <v>-24.974632062434399</v>
      </c>
      <c r="AG869">
        <v>1.6227689999999999</v>
      </c>
      <c r="AH869">
        <v>108.990230482012</v>
      </c>
      <c r="AI869">
        <v>89.168526077048099</v>
      </c>
      <c r="AJ869">
        <v>102.906262014121</v>
      </c>
      <c r="AK869">
        <v>111.826812377012</v>
      </c>
      <c r="AL869">
        <v>84.118860631863996</v>
      </c>
      <c r="AM869">
        <v>96.584345005004195</v>
      </c>
      <c r="AN869">
        <v>1.00000005049354</v>
      </c>
    </row>
    <row r="870" spans="1:40" x14ac:dyDescent="0.25">
      <c r="A870" t="str">
        <f>"20190304154741046"</f>
        <v>20190304154741046</v>
      </c>
      <c r="B870" t="str">
        <f>"1551685661037341"</f>
        <v>1551685661037341</v>
      </c>
      <c r="C870" t="s">
        <v>40</v>
      </c>
      <c r="D870">
        <v>4.0920209999999999</v>
      </c>
      <c r="E870">
        <v>0.45521050000000002</v>
      </c>
      <c r="F870" t="s">
        <v>52</v>
      </c>
      <c r="G870">
        <v>-269.82080000000002</v>
      </c>
      <c r="H870">
        <v>2.551949</v>
      </c>
      <c r="I870">
        <v>390.88350000000003</v>
      </c>
      <c r="J870">
        <v>-373.37790000000001</v>
      </c>
      <c r="K870">
        <v>1.1105989999999999</v>
      </c>
      <c r="L870">
        <v>366.35860000000002</v>
      </c>
      <c r="M870">
        <v>0.99993469999999995</v>
      </c>
      <c r="N870">
        <v>-1.074349E-2</v>
      </c>
      <c r="O870">
        <v>3.9413490000000002E-3</v>
      </c>
      <c r="P870">
        <v>0.98875420000000003</v>
      </c>
      <c r="Q870">
        <v>9.1766029999999998E-2</v>
      </c>
      <c r="R870">
        <v>0.11808680000000001</v>
      </c>
      <c r="S870">
        <v>2.947235</v>
      </c>
      <c r="T870">
        <v>4.097319E-2</v>
      </c>
      <c r="U870">
        <v>0.69717410000000002</v>
      </c>
      <c r="V870">
        <v>-0.1142377</v>
      </c>
      <c r="W870">
        <v>0.1023342</v>
      </c>
      <c r="X870">
        <v>0.98816879999999996</v>
      </c>
      <c r="Y870">
        <v>-0.22635839999999999</v>
      </c>
      <c r="Z870">
        <v>-2.236122E-4</v>
      </c>
      <c r="AA870">
        <v>0.97404400000000002</v>
      </c>
      <c r="AB870">
        <v>24</v>
      </c>
      <c r="AC870">
        <v>103.55710000000001</v>
      </c>
      <c r="AD870">
        <v>1.4413499999999999</v>
      </c>
      <c r="AE870">
        <v>24.524899999999999</v>
      </c>
      <c r="AF870">
        <v>-24.1121083530223</v>
      </c>
      <c r="AG870">
        <v>1.4413499999999999</v>
      </c>
      <c r="AH870">
        <v>103.633952325067</v>
      </c>
      <c r="AI870">
        <v>89.223903634184296</v>
      </c>
      <c r="AJ870">
        <v>103.097761665984</v>
      </c>
      <c r="AK870">
        <v>106.41178193022</v>
      </c>
      <c r="AL870">
        <v>84.126400332206003</v>
      </c>
      <c r="AM870">
        <v>96.594431058722805</v>
      </c>
      <c r="AN870">
        <v>1.00000005894218</v>
      </c>
    </row>
    <row r="871" spans="1:40" x14ac:dyDescent="0.25">
      <c r="A871" t="str">
        <f>"20190304154741057"</f>
        <v>20190304154741057</v>
      </c>
      <c r="B871" t="str">
        <f>"1551685661048077"</f>
        <v>1551685661048077</v>
      </c>
      <c r="C871" t="s">
        <v>40</v>
      </c>
      <c r="D871">
        <v>4.1153170000000001</v>
      </c>
      <c r="E871">
        <v>0.4546095</v>
      </c>
      <c r="F871" t="s">
        <v>52</v>
      </c>
      <c r="G871">
        <v>-270.76100000000002</v>
      </c>
      <c r="H871">
        <v>2.4469799999999999</v>
      </c>
      <c r="I871">
        <v>390.88350000000003</v>
      </c>
      <c r="J871">
        <v>-373.25450000000001</v>
      </c>
      <c r="K871">
        <v>1.1106</v>
      </c>
      <c r="L871">
        <v>366.35919999999999</v>
      </c>
      <c r="M871">
        <v>0.99993399999999999</v>
      </c>
      <c r="N871">
        <v>-1.074696E-2</v>
      </c>
      <c r="O871">
        <v>4.1015419999999997E-3</v>
      </c>
      <c r="P871">
        <v>0.98872170000000004</v>
      </c>
      <c r="Q871">
        <v>9.1712100000000005E-2</v>
      </c>
      <c r="R871">
        <v>0.1184003</v>
      </c>
      <c r="S871">
        <v>2.946472</v>
      </c>
      <c r="T871">
        <v>3.8372759999999999E-2</v>
      </c>
      <c r="U871">
        <v>0.70419309999999902</v>
      </c>
      <c r="V871">
        <v>-0.1143923</v>
      </c>
      <c r="W871">
        <v>0.1022834</v>
      </c>
      <c r="X871">
        <v>0.98815609999999998</v>
      </c>
      <c r="Y871">
        <v>-0.22845589999999999</v>
      </c>
      <c r="Z871">
        <v>-1.26079E-4</v>
      </c>
      <c r="AA871">
        <v>0.97355429999999998</v>
      </c>
      <c r="AB871">
        <v>24</v>
      </c>
      <c r="AC871">
        <v>102.4935</v>
      </c>
      <c r="AD871">
        <v>1.3363799999999999</v>
      </c>
      <c r="AE871">
        <v>24.5243</v>
      </c>
      <c r="AF871">
        <v>-24.099812818752898</v>
      </c>
      <c r="AG871">
        <v>1.3363799999999999</v>
      </c>
      <c r="AH871">
        <v>102.576736608139</v>
      </c>
      <c r="AI871">
        <v>89.273370049939402</v>
      </c>
      <c r="AJ871">
        <v>103.221523221441</v>
      </c>
      <c r="AK871">
        <v>105.378241504491</v>
      </c>
      <c r="AL871">
        <v>84.129325876078298</v>
      </c>
      <c r="AM871">
        <v>96.603360779966394</v>
      </c>
      <c r="AN871">
        <v>0.99999998509102905</v>
      </c>
    </row>
    <row r="872" spans="1:40" x14ac:dyDescent="0.25">
      <c r="A872" t="str">
        <f>"20190304154741068"</f>
        <v>20190304154741068</v>
      </c>
      <c r="B872" t="str">
        <f>"1551685661057838"</f>
        <v>1551685661057838</v>
      </c>
      <c r="C872" t="s">
        <v>40</v>
      </c>
      <c r="D872">
        <v>4.0335340000000004</v>
      </c>
      <c r="E872">
        <v>0.45400069999999998</v>
      </c>
      <c r="F872" t="s">
        <v>52</v>
      </c>
      <c r="G872">
        <v>-271.53640000000001</v>
      </c>
      <c r="H872">
        <v>2.3992830000000001</v>
      </c>
      <c r="I872">
        <v>390.88350000000003</v>
      </c>
      <c r="J872">
        <v>-373.12650000000002</v>
      </c>
      <c r="K872">
        <v>1.1106009999999999</v>
      </c>
      <c r="L872">
        <v>366.35989999999998</v>
      </c>
      <c r="M872">
        <v>0.99993310000000002</v>
      </c>
      <c r="N872">
        <v>-1.075046E-2</v>
      </c>
      <c r="O872">
        <v>4.267219E-3</v>
      </c>
      <c r="P872">
        <v>0.98869169999999995</v>
      </c>
      <c r="Q872">
        <v>9.1691700000000001E-2</v>
      </c>
      <c r="R872">
        <v>0.1186657</v>
      </c>
      <c r="S872">
        <v>2.9456790000000002</v>
      </c>
      <c r="T872">
        <v>3.7320140000000002E-2</v>
      </c>
      <c r="U872">
        <v>0.71020509999999903</v>
      </c>
      <c r="V872">
        <v>-0.11449429999999999</v>
      </c>
      <c r="W872">
        <v>0.1022663</v>
      </c>
      <c r="X872">
        <v>0.98814610000000003</v>
      </c>
      <c r="Y872">
        <v>-0.23023270000000001</v>
      </c>
      <c r="Z872" s="1">
        <v>-8.4209019999999994E-5</v>
      </c>
      <c r="AA872">
        <v>0.97313559999999999</v>
      </c>
      <c r="AB872">
        <v>24</v>
      </c>
      <c r="AC872">
        <v>101.59010000000001</v>
      </c>
      <c r="AD872">
        <v>1.2886819999999899</v>
      </c>
      <c r="AE872">
        <v>24.523599999999998</v>
      </c>
      <c r="AF872">
        <v>-24.086182091610201</v>
      </c>
      <c r="AG872">
        <v>1.2886819999999899</v>
      </c>
      <c r="AH872">
        <v>101.67836821079</v>
      </c>
      <c r="AI872">
        <v>89.293418586567896</v>
      </c>
      <c r="AJ872">
        <v>103.32691272407</v>
      </c>
      <c r="AK872">
        <v>104.500217373249</v>
      </c>
      <c r="AL872">
        <v>84.130311050819401</v>
      </c>
      <c r="AM872">
        <v>96.609263011812203</v>
      </c>
      <c r="AN872">
        <v>1.0000000278966901</v>
      </c>
    </row>
    <row r="873" spans="1:40" x14ac:dyDescent="0.25">
      <c r="A873" t="str">
        <f>"20190304154741082"</f>
        <v>20190304154741082</v>
      </c>
      <c r="B873" t="str">
        <f>"1551685661077357"</f>
        <v>1551685661077357</v>
      </c>
      <c r="C873" t="s">
        <v>40</v>
      </c>
      <c r="D873">
        <v>4.0899409999999996</v>
      </c>
      <c r="E873">
        <v>0.45318359999999902</v>
      </c>
      <c r="F873" t="s">
        <v>52</v>
      </c>
      <c r="G873">
        <v>-272.21550000000002</v>
      </c>
      <c r="H873">
        <v>2.16926</v>
      </c>
      <c r="I873">
        <v>390.88350000000003</v>
      </c>
      <c r="J873">
        <v>-372.99509999999998</v>
      </c>
      <c r="K873">
        <v>1.1106039999999999</v>
      </c>
      <c r="L873">
        <v>366.36070000000001</v>
      </c>
      <c r="M873">
        <v>0.9999323</v>
      </c>
      <c r="N873">
        <v>-1.07539E-2</v>
      </c>
      <c r="O873">
        <v>4.4376040000000004E-3</v>
      </c>
      <c r="P873">
        <v>0.98863829999999997</v>
      </c>
      <c r="Q873">
        <v>9.1834219999999994E-2</v>
      </c>
      <c r="R873">
        <v>0.1189982</v>
      </c>
      <c r="S873">
        <v>2.9454959999999999</v>
      </c>
      <c r="T873">
        <v>3.090203E-2</v>
      </c>
      <c r="U873">
        <v>0.71582029999999996</v>
      </c>
      <c r="V873">
        <v>-0.11465839999999899</v>
      </c>
      <c r="W873">
        <v>0.102412</v>
      </c>
      <c r="X873">
        <v>0.98811199999999999</v>
      </c>
      <c r="Y873">
        <v>-0.2318356</v>
      </c>
      <c r="Z873">
        <v>1.587565E-4</v>
      </c>
      <c r="AA873">
        <v>0.97275500000000004</v>
      </c>
      <c r="AB873">
        <v>24</v>
      </c>
      <c r="AC873">
        <v>100.77959999999899</v>
      </c>
      <c r="AD873">
        <v>1.05865599999999</v>
      </c>
      <c r="AE873">
        <v>24.5228</v>
      </c>
      <c r="AF873">
        <v>-24.072804791100499</v>
      </c>
      <c r="AG873">
        <v>1.05865599999999</v>
      </c>
      <c r="AH873">
        <v>100.876927048094</v>
      </c>
      <c r="AI873">
        <v>89.4151506745674</v>
      </c>
      <c r="AJ873">
        <v>103.42178226838099</v>
      </c>
      <c r="AK873">
        <v>103.714874023466</v>
      </c>
      <c r="AL873">
        <v>84.121919097803797</v>
      </c>
      <c r="AM873">
        <v>96.618878195528296</v>
      </c>
      <c r="AN873">
        <v>1.0000000454892699</v>
      </c>
    </row>
    <row r="874" spans="1:40" x14ac:dyDescent="0.25">
      <c r="A874" t="str">
        <f>"20190304154741094"</f>
        <v>20190304154741094</v>
      </c>
      <c r="B874" t="str">
        <f>"1551685661088093"</f>
        <v>1551685661088093</v>
      </c>
      <c r="C874" t="s">
        <v>40</v>
      </c>
      <c r="D874">
        <v>4.125947</v>
      </c>
      <c r="E874">
        <v>0.45274910000000002</v>
      </c>
      <c r="F874" t="s">
        <v>52</v>
      </c>
      <c r="G874">
        <v>-272.97919999999999</v>
      </c>
      <c r="H874">
        <v>2.1328179999999999</v>
      </c>
      <c r="I874">
        <v>390.9171</v>
      </c>
      <c r="J874">
        <v>-372.85090000000002</v>
      </c>
      <c r="K874">
        <v>1.1106049999999901</v>
      </c>
      <c r="L874">
        <v>366.36149999999998</v>
      </c>
      <c r="M874">
        <v>0.99993149999999997</v>
      </c>
      <c r="N874">
        <v>-1.0757589999999999E-2</v>
      </c>
      <c r="O874">
        <v>4.624258E-3</v>
      </c>
      <c r="P874">
        <v>0.98858860000000004</v>
      </c>
      <c r="Q874">
        <v>9.1890100000000002E-2</v>
      </c>
      <c r="R874">
        <v>0.1193684</v>
      </c>
      <c r="S874">
        <v>2.9446720000000002</v>
      </c>
      <c r="T874">
        <v>3.0096890000000001E-2</v>
      </c>
      <c r="U874">
        <v>0.72299190000000002</v>
      </c>
      <c r="V874">
        <v>-0.1148438</v>
      </c>
      <c r="W874">
        <v>0.1024708</v>
      </c>
      <c r="X874">
        <v>0.98808430000000003</v>
      </c>
      <c r="Y874">
        <v>-0.23395189999999999</v>
      </c>
      <c r="Z874">
        <v>1.9435209999999999E-4</v>
      </c>
      <c r="AA874">
        <v>0.97224809999999995</v>
      </c>
      <c r="AB874">
        <v>25</v>
      </c>
      <c r="AC874">
        <v>99.871700000000004</v>
      </c>
      <c r="AD874">
        <v>1.02221299999999</v>
      </c>
      <c r="AE874">
        <v>24.555599999999998</v>
      </c>
      <c r="AF874">
        <v>-24.0910982915705</v>
      </c>
      <c r="AG874">
        <v>1.02221299999999</v>
      </c>
      <c r="AH874">
        <v>99.974313731870893</v>
      </c>
      <c r="AI874">
        <v>89.430485846043695</v>
      </c>
      <c r="AJ874">
        <v>103.548427674059</v>
      </c>
      <c r="AK874">
        <v>102.841087812556</v>
      </c>
      <c r="AL874">
        <v>84.118531863825396</v>
      </c>
      <c r="AM874">
        <v>96.629669773975493</v>
      </c>
      <c r="AN874">
        <v>0.99999997357878401</v>
      </c>
    </row>
    <row r="875" spans="1:40" x14ac:dyDescent="0.25">
      <c r="A875" t="str">
        <f>"20190304154741106"</f>
        <v>20190304154741106</v>
      </c>
      <c r="B875" t="str">
        <f>"1551685661097855"</f>
        <v>1551685661097855</v>
      </c>
      <c r="C875" t="s">
        <v>40</v>
      </c>
      <c r="D875">
        <v>4.4182819999999996</v>
      </c>
      <c r="E875">
        <v>0.45262380000000002</v>
      </c>
      <c r="F875" t="s">
        <v>52</v>
      </c>
      <c r="G875">
        <v>-272.97919999999999</v>
      </c>
      <c r="H875">
        <v>2.1313119999999999</v>
      </c>
      <c r="I875">
        <v>391.04579999999999</v>
      </c>
      <c r="J875">
        <v>-372.70710000000003</v>
      </c>
      <c r="K875">
        <v>1.110606</v>
      </c>
      <c r="L875">
        <v>366.36239999999998</v>
      </c>
      <c r="M875">
        <v>0.9999306</v>
      </c>
      <c r="N875">
        <v>-1.0761120000000001E-2</v>
      </c>
      <c r="O875">
        <v>4.8100820000000002E-3</v>
      </c>
      <c r="P875">
        <v>0.98852850000000003</v>
      </c>
      <c r="Q875">
        <v>9.1862379999999993E-2</v>
      </c>
      <c r="R875">
        <v>0.11988649999999999</v>
      </c>
      <c r="S875">
        <v>2.9439700000000002</v>
      </c>
      <c r="T875">
        <v>3.0088779999999999E-2</v>
      </c>
      <c r="U875">
        <v>0.72763059999999902</v>
      </c>
      <c r="V875">
        <v>-0.11517819999999999</v>
      </c>
      <c r="W875">
        <v>0.1024466</v>
      </c>
      <c r="X875">
        <v>0.98804789999999998</v>
      </c>
      <c r="Y875">
        <v>-0.23526900000000001</v>
      </c>
      <c r="Z875">
        <v>1.996721E-4</v>
      </c>
      <c r="AA875">
        <v>0.97193030000000002</v>
      </c>
      <c r="AB875">
        <v>25</v>
      </c>
      <c r="AC875">
        <v>99.727900000000005</v>
      </c>
      <c r="AD875">
        <v>1.0207059999999999</v>
      </c>
      <c r="AE875">
        <v>24.683399999999999</v>
      </c>
      <c r="AF875">
        <v>-24.200998498683301</v>
      </c>
      <c r="AG875">
        <v>1.0207059999999999</v>
      </c>
      <c r="AH875">
        <v>99.835627771998006</v>
      </c>
      <c r="AI875">
        <v>89.430722114415005</v>
      </c>
      <c r="AJ875">
        <v>103.62613954663701</v>
      </c>
      <c r="AK875">
        <v>102.732092073025</v>
      </c>
      <c r="AL875">
        <v>84.119925843412901</v>
      </c>
      <c r="AM875">
        <v>96.649044084127894</v>
      </c>
      <c r="AN875">
        <v>0.99999998815060398</v>
      </c>
    </row>
    <row r="876" spans="1:40" x14ac:dyDescent="0.25">
      <c r="A876" t="str">
        <f>"20190304154741119"</f>
        <v>20190304154741119</v>
      </c>
      <c r="B876" t="str">
        <f>"1551685661107614"</f>
        <v>1551685661107614</v>
      </c>
      <c r="C876" t="s">
        <v>40</v>
      </c>
      <c r="D876">
        <v>4.1174970000000002</v>
      </c>
      <c r="E876">
        <v>0.4523857</v>
      </c>
      <c r="F876" t="s">
        <v>52</v>
      </c>
      <c r="G876">
        <v>-272.97919999999999</v>
      </c>
      <c r="H876">
        <v>2.2247509999999999</v>
      </c>
      <c r="I876">
        <v>391.11259999999999</v>
      </c>
      <c r="J876">
        <v>-372.5772</v>
      </c>
      <c r="K876">
        <v>1.1106069999999999</v>
      </c>
      <c r="L876">
        <v>366.36320000000001</v>
      </c>
      <c r="M876">
        <v>0.99992970000000003</v>
      </c>
      <c r="N876">
        <v>-1.076421E-2</v>
      </c>
      <c r="O876">
        <v>4.9775519999999997E-3</v>
      </c>
      <c r="P876">
        <v>0.98846979999999995</v>
      </c>
      <c r="Q876">
        <v>9.2054990000000003E-2</v>
      </c>
      <c r="R876">
        <v>0.120222</v>
      </c>
      <c r="S876">
        <v>2.9432070000000001</v>
      </c>
      <c r="T876">
        <v>3.2881859999999999E-2</v>
      </c>
      <c r="U876">
        <v>0.73043819999999904</v>
      </c>
      <c r="V876">
        <v>-0.1153487</v>
      </c>
      <c r="W876">
        <v>0.1026415</v>
      </c>
      <c r="X876">
        <v>0.98800779999999999</v>
      </c>
      <c r="Y876">
        <v>-0.23603740000000001</v>
      </c>
      <c r="Z876" s="1">
        <v>9.8171639999999996E-5</v>
      </c>
      <c r="AA876">
        <v>0.97174389999999999</v>
      </c>
      <c r="AB876">
        <v>25</v>
      </c>
      <c r="AC876">
        <v>99.597999999999999</v>
      </c>
      <c r="AD876">
        <v>1.114144</v>
      </c>
      <c r="AE876">
        <v>24.749399999999898</v>
      </c>
      <c r="AF876">
        <v>-24.250452317525099</v>
      </c>
      <c r="AG876">
        <v>1.114144</v>
      </c>
      <c r="AH876">
        <v>99.708213161599502</v>
      </c>
      <c r="AI876">
        <v>89.377933834661107</v>
      </c>
      <c r="AJ876">
        <v>103.669735492333</v>
      </c>
      <c r="AK876">
        <v>102.62092148454001</v>
      </c>
      <c r="AL876">
        <v>84.108699825317501</v>
      </c>
      <c r="AM876">
        <v>96.659066270534097</v>
      </c>
      <c r="AN876">
        <v>1.00000000648739</v>
      </c>
    </row>
    <row r="877" spans="1:40" x14ac:dyDescent="0.25">
      <c r="A877" t="str">
        <f>"20190304154741136"</f>
        <v>20190304154741136</v>
      </c>
      <c r="B877" t="str">
        <f>"1551685661128109"</f>
        <v>1551685661128109</v>
      </c>
      <c r="C877" t="s">
        <v>40</v>
      </c>
      <c r="D877">
        <v>4.1107300000000002</v>
      </c>
      <c r="E877">
        <v>0.4518431</v>
      </c>
      <c r="F877" t="s">
        <v>52</v>
      </c>
      <c r="G877">
        <v>-272.97919999999999</v>
      </c>
      <c r="H877">
        <v>2.2155770000000001</v>
      </c>
      <c r="I877">
        <v>391.1671</v>
      </c>
      <c r="J877">
        <v>-372.38319999999999</v>
      </c>
      <c r="K877">
        <v>1.110606</v>
      </c>
      <c r="L877">
        <v>366.36439999999999</v>
      </c>
      <c r="M877">
        <v>0.99992840000000005</v>
      </c>
      <c r="N877">
        <v>-1.0768679999999999E-2</v>
      </c>
      <c r="O877">
        <v>5.2279240000000001E-3</v>
      </c>
      <c r="P877">
        <v>0.98838499999999996</v>
      </c>
      <c r="Q877">
        <v>9.2251319999999998E-2</v>
      </c>
      <c r="R877">
        <v>0.120768899999999</v>
      </c>
      <c r="S877">
        <v>2.9428100000000001</v>
      </c>
      <c r="T877">
        <v>3.2649280000000003E-2</v>
      </c>
      <c r="U877">
        <v>0.73287959999999996</v>
      </c>
      <c r="V877">
        <v>-0.1156488</v>
      </c>
      <c r="W877">
        <v>0.10284119999999999</v>
      </c>
      <c r="X877">
        <v>0.98795189999999999</v>
      </c>
      <c r="Y877">
        <v>-0.23658409999999999</v>
      </c>
      <c r="Z877">
        <v>1.1300249999999999E-4</v>
      </c>
      <c r="AA877">
        <v>0.971611</v>
      </c>
      <c r="AB877">
        <v>25</v>
      </c>
      <c r="AC877">
        <v>99.403999999999996</v>
      </c>
      <c r="AD877">
        <v>1.1049709999999999</v>
      </c>
      <c r="AE877">
        <v>24.802700000000002</v>
      </c>
      <c r="AF877">
        <v>-24.279830054649199</v>
      </c>
      <c r="AG877">
        <v>1.1049709999999999</v>
      </c>
      <c r="AH877">
        <v>99.520739044662704</v>
      </c>
      <c r="AI877">
        <v>89.382000014433004</v>
      </c>
      <c r="AJ877">
        <v>103.71048162181501</v>
      </c>
      <c r="AK877">
        <v>102.445637332144</v>
      </c>
      <c r="AL877">
        <v>84.097196693455501</v>
      </c>
      <c r="AM877">
        <v>96.676609157299097</v>
      </c>
      <c r="AN877">
        <v>0.999999957036244</v>
      </c>
    </row>
    <row r="878" spans="1:40" x14ac:dyDescent="0.25">
      <c r="A878" t="str">
        <f>"20190304154741149"</f>
        <v>20190304154741149</v>
      </c>
      <c r="B878" t="str">
        <f>"1551685661137869"</f>
        <v>1551685661137869</v>
      </c>
      <c r="C878" t="s">
        <v>40</v>
      </c>
      <c r="D878">
        <v>4.1484740000000002</v>
      </c>
      <c r="E878">
        <v>0.45157459999999999</v>
      </c>
      <c r="F878" t="s">
        <v>52</v>
      </c>
      <c r="G878">
        <v>-272.97919999999999</v>
      </c>
      <c r="H878">
        <v>2.1765340000000002</v>
      </c>
      <c r="I878">
        <v>391.34230000000002</v>
      </c>
      <c r="J878">
        <v>-372.2389</v>
      </c>
      <c r="K878">
        <v>1.1106100000000001</v>
      </c>
      <c r="L878">
        <v>366.36540000000002</v>
      </c>
      <c r="M878">
        <v>0.99992729999999996</v>
      </c>
      <c r="N878">
        <v>-1.0771889999999999E-2</v>
      </c>
      <c r="O878">
        <v>5.4143469999999999E-3</v>
      </c>
      <c r="P878">
        <v>0.98835899999999999</v>
      </c>
      <c r="Q878">
        <v>9.2003580000000001E-2</v>
      </c>
      <c r="R878">
        <v>0.12117</v>
      </c>
      <c r="S878">
        <v>2.9420169999999999</v>
      </c>
      <c r="T878">
        <v>3.1548619999999999E-2</v>
      </c>
      <c r="U878">
        <v>0.73925779999999996</v>
      </c>
      <c r="V878">
        <v>-0.1158652</v>
      </c>
      <c r="W878">
        <v>0.10259649999999999</v>
      </c>
      <c r="X878">
        <v>0.9879521</v>
      </c>
      <c r="Y878">
        <v>-0.23844670000000001</v>
      </c>
      <c r="Z878">
        <v>1.5966709999999901E-4</v>
      </c>
      <c r="AA878">
        <v>0.97115560000000001</v>
      </c>
      <c r="AB878">
        <v>25</v>
      </c>
      <c r="AC878">
        <v>99.259699999999995</v>
      </c>
      <c r="AD878">
        <v>1.0659239999999901</v>
      </c>
      <c r="AE878">
        <v>24.976900000000001</v>
      </c>
      <c r="AF878">
        <v>-24.4364259868108</v>
      </c>
      <c r="AG878">
        <v>1.0659239999999901</v>
      </c>
      <c r="AH878">
        <v>99.382707974588797</v>
      </c>
      <c r="AI878">
        <v>89.403273109241894</v>
      </c>
      <c r="AJ878">
        <v>103.813968043641</v>
      </c>
      <c r="AK878">
        <v>102.348413536043</v>
      </c>
      <c r="AL878">
        <v>84.111292189441897</v>
      </c>
      <c r="AM878">
        <v>96.688987866412802</v>
      </c>
      <c r="AN878">
        <v>1.00000006913884</v>
      </c>
    </row>
    <row r="879" spans="1:40" x14ac:dyDescent="0.25">
      <c r="A879" t="str">
        <f>"20190304154741163"</f>
        <v>20190304154741163</v>
      </c>
      <c r="B879" t="str">
        <f>"1551685661157389"</f>
        <v>1551685661157389</v>
      </c>
      <c r="C879" t="s">
        <v>40</v>
      </c>
      <c r="D879">
        <v>4.120787</v>
      </c>
      <c r="E879">
        <v>0.4511696</v>
      </c>
      <c r="F879" t="s">
        <v>52</v>
      </c>
      <c r="G879">
        <v>-272.97919999999999</v>
      </c>
      <c r="H879">
        <v>2.1417120000000001</v>
      </c>
      <c r="I879">
        <v>391.40449999999998</v>
      </c>
      <c r="J879">
        <v>-372.09809999999999</v>
      </c>
      <c r="K879">
        <v>1.110608</v>
      </c>
      <c r="L879">
        <v>366.3664</v>
      </c>
      <c r="M879">
        <v>0.99992630000000005</v>
      </c>
      <c r="N879">
        <v>-1.077493E-2</v>
      </c>
      <c r="O879">
        <v>5.5958850000000001E-3</v>
      </c>
      <c r="P879">
        <v>0.98833819999999994</v>
      </c>
      <c r="Q879">
        <v>9.1936690000000001E-2</v>
      </c>
      <c r="R879">
        <v>0.12138930000000001</v>
      </c>
      <c r="S879">
        <v>2.9415589999999998</v>
      </c>
      <c r="T879">
        <v>3.055751E-2</v>
      </c>
      <c r="U879">
        <v>0.74203490000000005</v>
      </c>
      <c r="V879">
        <v>-0.11590499999999999</v>
      </c>
      <c r="W879">
        <v>0.1025329</v>
      </c>
      <c r="X879">
        <v>0.987954</v>
      </c>
      <c r="Y879">
        <v>-0.23916870000000001</v>
      </c>
      <c r="Z879">
        <v>2.0194049999999999E-4</v>
      </c>
      <c r="AA879">
        <v>0.97097800000000001</v>
      </c>
      <c r="AB879">
        <v>25</v>
      </c>
      <c r="AC879">
        <v>99.118899999999996</v>
      </c>
      <c r="AD879">
        <v>1.031104</v>
      </c>
      <c r="AE879">
        <v>25.038099999999901</v>
      </c>
      <c r="AF879">
        <v>-24.480527487110798</v>
      </c>
      <c r="AG879">
        <v>1.031104</v>
      </c>
      <c r="AH879">
        <v>99.247370424943099</v>
      </c>
      <c r="AI879">
        <v>89.422082277842904</v>
      </c>
      <c r="AJ879">
        <v>103.856084547584</v>
      </c>
      <c r="AK879">
        <v>102.227197642172</v>
      </c>
      <c r="AL879">
        <v>84.114955320459401</v>
      </c>
      <c r="AM879">
        <v>96.691251968455902</v>
      </c>
      <c r="AN879">
        <v>1.0000000353617</v>
      </c>
    </row>
    <row r="880" spans="1:40" x14ac:dyDescent="0.25">
      <c r="A880" t="str">
        <f>"20190304154741176"</f>
        <v>20190304154741176</v>
      </c>
      <c r="B880" t="str">
        <f>"1551685661168126"</f>
        <v>1551685661168126</v>
      </c>
      <c r="C880" t="s">
        <v>40</v>
      </c>
      <c r="D880">
        <v>4.1278240000000004</v>
      </c>
      <c r="E880">
        <v>0.4509862</v>
      </c>
      <c r="F880" t="s">
        <v>52</v>
      </c>
      <c r="G880">
        <v>-272.97919999999999</v>
      </c>
      <c r="H880">
        <v>2.0857109999999999</v>
      </c>
      <c r="I880">
        <v>391.51659999999998</v>
      </c>
      <c r="J880">
        <v>-371.94540000000001</v>
      </c>
      <c r="K880">
        <v>1.110608</v>
      </c>
      <c r="L880">
        <v>366.36739999999998</v>
      </c>
      <c r="M880">
        <v>0.99992510000000001</v>
      </c>
      <c r="N880">
        <v>-1.077817E-2</v>
      </c>
      <c r="O880">
        <v>5.7925590000000001E-3</v>
      </c>
      <c r="P880">
        <v>0.98834239999999995</v>
      </c>
      <c r="Q880">
        <v>9.1842140000000003E-2</v>
      </c>
      <c r="R880">
        <v>0.1214267</v>
      </c>
      <c r="S880">
        <v>2.9410099999999999</v>
      </c>
      <c r="T880">
        <v>2.893364E-2</v>
      </c>
      <c r="U880">
        <v>0.74624630000000003</v>
      </c>
      <c r="V880">
        <v>-0.1157483</v>
      </c>
      <c r="W880">
        <v>0.1024418</v>
      </c>
      <c r="X880">
        <v>0.98798180000000002</v>
      </c>
      <c r="Y880">
        <v>-0.24032780000000001</v>
      </c>
      <c r="Z880">
        <v>2.692328E-4</v>
      </c>
      <c r="AA880">
        <v>0.97069170000000005</v>
      </c>
      <c r="AB880">
        <v>25</v>
      </c>
      <c r="AC880">
        <v>98.966200000000001</v>
      </c>
      <c r="AD880">
        <v>0.97510299999999905</v>
      </c>
      <c r="AE880">
        <v>25.1492</v>
      </c>
      <c r="AF880">
        <v>-24.573236299227698</v>
      </c>
      <c r="AG880">
        <v>0.97510299999999905</v>
      </c>
      <c r="AH880">
        <v>99.101189040438598</v>
      </c>
      <c r="AI880">
        <v>89.452827591831607</v>
      </c>
      <c r="AJ880">
        <v>103.926240320537</v>
      </c>
      <c r="AK880">
        <v>102.10700483956499</v>
      </c>
      <c r="AL880">
        <v>84.120202471673494</v>
      </c>
      <c r="AM880">
        <v>96.682101138899696</v>
      </c>
      <c r="AN880">
        <v>1.00000001423568</v>
      </c>
    </row>
    <row r="881" spans="1:40" x14ac:dyDescent="0.25">
      <c r="A881" t="str">
        <f>"20190304154741191"</f>
        <v>20190304154741191</v>
      </c>
      <c r="B881" t="str">
        <f>"1551685661187645"</f>
        <v>1551685661187645</v>
      </c>
      <c r="C881" t="s">
        <v>40</v>
      </c>
      <c r="D881">
        <v>4.1231809999999998</v>
      </c>
      <c r="E881">
        <v>0.45058969999999998</v>
      </c>
      <c r="F881" t="s">
        <v>52</v>
      </c>
      <c r="G881">
        <v>-272.97919999999999</v>
      </c>
      <c r="H881">
        <v>2.059253</v>
      </c>
      <c r="I881">
        <v>391.53379999999999</v>
      </c>
      <c r="J881">
        <v>-371.78190000000001</v>
      </c>
      <c r="K881">
        <v>1.1106039999999999</v>
      </c>
      <c r="L881">
        <v>366.36860000000001</v>
      </c>
      <c r="M881">
        <v>0.99992380000000003</v>
      </c>
      <c r="N881">
        <v>-1.0781550000000001E-2</v>
      </c>
      <c r="O881">
        <v>6.0026380000000002E-3</v>
      </c>
      <c r="P881">
        <v>0.98830320000000005</v>
      </c>
      <c r="Q881">
        <v>9.2004240000000001E-2</v>
      </c>
      <c r="R881">
        <v>0.12162190000000001</v>
      </c>
      <c r="S881">
        <v>2.9409480000000001</v>
      </c>
      <c r="T881">
        <v>2.819145E-2</v>
      </c>
      <c r="U881">
        <v>0.74786379999999997</v>
      </c>
      <c r="V881">
        <v>-0.11573600000000001</v>
      </c>
      <c r="W881">
        <v>0.1026069</v>
      </c>
      <c r="X881">
        <v>0.98796609999999996</v>
      </c>
      <c r="Y881">
        <v>-0.24063039999999999</v>
      </c>
      <c r="Z881">
        <v>3.0264840000000001E-4</v>
      </c>
      <c r="AA881">
        <v>0.97061679999999995</v>
      </c>
      <c r="AB881">
        <v>25</v>
      </c>
      <c r="AC881">
        <v>98.802700000000002</v>
      </c>
      <c r="AD881">
        <v>0.94864899999999996</v>
      </c>
      <c r="AE881">
        <v>25.165199999999899</v>
      </c>
      <c r="AF881">
        <v>-24.569508197687298</v>
      </c>
      <c r="AG881">
        <v>0.94864899999999996</v>
      </c>
      <c r="AH881">
        <v>98.943420443720996</v>
      </c>
      <c r="AI881">
        <v>89.466867016186796</v>
      </c>
      <c r="AJ881">
        <v>103.945546453387</v>
      </c>
      <c r="AK881">
        <v>101.9527396253</v>
      </c>
      <c r="AL881">
        <v>84.110692779910707</v>
      </c>
      <c r="AM881">
        <v>96.681502700834002</v>
      </c>
      <c r="AN881">
        <v>1.0000000061864001</v>
      </c>
    </row>
    <row r="882" spans="1:40" x14ac:dyDescent="0.25">
      <c r="A882" t="str">
        <f>"20190304154741203"</f>
        <v>20190304154741203</v>
      </c>
      <c r="B882" t="str">
        <f>"1551685661197405"</f>
        <v>1551685661197405</v>
      </c>
      <c r="C882" t="s">
        <v>40</v>
      </c>
      <c r="D882">
        <v>4.1335499999999996</v>
      </c>
      <c r="E882">
        <v>0.4504396</v>
      </c>
      <c r="F882" t="s">
        <v>52</v>
      </c>
      <c r="G882">
        <v>-272.97919999999999</v>
      </c>
      <c r="H882">
        <v>2.0285730000000002</v>
      </c>
      <c r="I882">
        <v>391.61430000000001</v>
      </c>
      <c r="J882">
        <v>-371.65260000000001</v>
      </c>
      <c r="K882">
        <v>1.1106020000000001</v>
      </c>
      <c r="L882">
        <v>366.36959999999999</v>
      </c>
      <c r="M882">
        <v>0.99992289999999995</v>
      </c>
      <c r="N882">
        <v>-1.0784119999999999E-2</v>
      </c>
      <c r="O882">
        <v>6.1665189999999996E-3</v>
      </c>
      <c r="P882">
        <v>0.98832279999999995</v>
      </c>
      <c r="Q882">
        <v>9.1985999999999998E-2</v>
      </c>
      <c r="R882">
        <v>0.1214769</v>
      </c>
      <c r="S882">
        <v>2.9404910000000002</v>
      </c>
      <c r="T882">
        <v>2.732074E-2</v>
      </c>
      <c r="U882">
        <v>0.75134279999999998</v>
      </c>
      <c r="V882">
        <v>-0.115428</v>
      </c>
      <c r="W882">
        <v>0.10259219999999999</v>
      </c>
      <c r="X882">
        <v>0.98800370000000004</v>
      </c>
      <c r="Y882">
        <v>-0.24158589999999999</v>
      </c>
      <c r="Z882">
        <v>3.4056370000000002E-4</v>
      </c>
      <c r="AA882">
        <v>0.9703794</v>
      </c>
      <c r="AB882">
        <v>25</v>
      </c>
      <c r="AC882">
        <v>98.673400000000001</v>
      </c>
      <c r="AD882">
        <v>0.91797099999999898</v>
      </c>
      <c r="AE882">
        <v>25.244700000000002</v>
      </c>
      <c r="AF882">
        <v>-24.6337121956714</v>
      </c>
      <c r="AG882">
        <v>0.91797099999999898</v>
      </c>
      <c r="AH882">
        <v>98.819177455230502</v>
      </c>
      <c r="AI882">
        <v>89.483574664569403</v>
      </c>
      <c r="AJ882">
        <v>103.997447501959</v>
      </c>
      <c r="AK882">
        <v>101.84739702233099</v>
      </c>
      <c r="AL882">
        <v>84.1115397370842</v>
      </c>
      <c r="AM882">
        <v>96.663630497568406</v>
      </c>
      <c r="AN882">
        <v>1.00000004694926</v>
      </c>
    </row>
    <row r="883" spans="1:40" x14ac:dyDescent="0.25">
      <c r="A883" t="str">
        <f>"20190304154741214"</f>
        <v>20190304154741214</v>
      </c>
      <c r="B883" t="str">
        <f>"1551685661207673"</f>
        <v>1551685661207673</v>
      </c>
      <c r="C883" t="s">
        <v>40</v>
      </c>
      <c r="D883">
        <v>4.1550099999999999</v>
      </c>
      <c r="E883">
        <v>0.45030310000000001</v>
      </c>
      <c r="F883" t="s">
        <v>52</v>
      </c>
      <c r="G883">
        <v>-272.97919999999999</v>
      </c>
      <c r="H883">
        <v>2.0154329999999998</v>
      </c>
      <c r="I883">
        <v>391.60879999999997</v>
      </c>
      <c r="J883">
        <v>-371.53399999999999</v>
      </c>
      <c r="K883">
        <v>1.110598</v>
      </c>
      <c r="L883">
        <v>366.37049999999999</v>
      </c>
      <c r="M883">
        <v>0.99992190000000003</v>
      </c>
      <c r="N883">
        <v>-1.078645E-2</v>
      </c>
      <c r="O883">
        <v>6.3165110000000003E-3</v>
      </c>
      <c r="P883">
        <v>0.98834520000000003</v>
      </c>
      <c r="Q883">
        <v>9.2021320000000004E-2</v>
      </c>
      <c r="R883">
        <v>0.121266899999999</v>
      </c>
      <c r="S883">
        <v>2.9404910000000002</v>
      </c>
      <c r="T883">
        <v>2.6965019999999999E-2</v>
      </c>
      <c r="U883">
        <v>0.75213619999999903</v>
      </c>
      <c r="V883">
        <v>-0.11506950000000001</v>
      </c>
      <c r="W883">
        <v>0.1026311</v>
      </c>
      <c r="X883">
        <v>0.98804139999999996</v>
      </c>
      <c r="Y883">
        <v>-0.24168619999999999</v>
      </c>
      <c r="Z883">
        <v>3.576276E-4</v>
      </c>
      <c r="AA883">
        <v>0.97035439999999995</v>
      </c>
      <c r="AB883">
        <v>25</v>
      </c>
      <c r="AC883">
        <v>98.5548</v>
      </c>
      <c r="AD883">
        <v>0.90483499999999994</v>
      </c>
      <c r="AE883">
        <v>25.238299999999899</v>
      </c>
      <c r="AF883">
        <v>-24.613290768010401</v>
      </c>
      <c r="AG883">
        <v>0.90483499999999994</v>
      </c>
      <c r="AH883">
        <v>98.704453035400704</v>
      </c>
      <c r="AI883">
        <v>89.490382514024404</v>
      </c>
      <c r="AJ883">
        <v>104.001916369835</v>
      </c>
      <c r="AK883">
        <v>101.731027016468</v>
      </c>
      <c r="AL883">
        <v>84.109298651148293</v>
      </c>
      <c r="AM883">
        <v>96.642868433703796</v>
      </c>
      <c r="AN883">
        <v>0.99999997031570897</v>
      </c>
    </row>
    <row r="884" spans="1:40" x14ac:dyDescent="0.25">
      <c r="A884" t="str">
        <f>"20190304154741225"</f>
        <v>20190304154741225</v>
      </c>
      <c r="B884" t="str">
        <f>"1551685661217432"</f>
        <v>1551685661217432</v>
      </c>
      <c r="C884" t="s">
        <v>40</v>
      </c>
      <c r="D884">
        <v>4.148142</v>
      </c>
      <c r="E884">
        <v>0.45033679999999898</v>
      </c>
      <c r="F884" t="s">
        <v>52</v>
      </c>
      <c r="G884">
        <v>-272.97930000000002</v>
      </c>
      <c r="H884">
        <v>1.9871749999999999</v>
      </c>
      <c r="I884">
        <v>391.60129999999998</v>
      </c>
      <c r="J884">
        <v>-371.40879999999999</v>
      </c>
      <c r="K884">
        <v>1.1105940000000001</v>
      </c>
      <c r="L884">
        <v>366.37139999999999</v>
      </c>
      <c r="M884">
        <v>0.9999209</v>
      </c>
      <c r="N884">
        <v>-1.0788829999999999E-2</v>
      </c>
      <c r="O884">
        <v>6.4714400000000002E-3</v>
      </c>
      <c r="P884">
        <v>0.98841920000000005</v>
      </c>
      <c r="Q884">
        <v>9.1554540000000004E-2</v>
      </c>
      <c r="R884">
        <v>0.12101720000000001</v>
      </c>
      <c r="S884">
        <v>2.9405519999999998</v>
      </c>
      <c r="T884">
        <v>2.6154989999999999E-2</v>
      </c>
      <c r="U884">
        <v>0.75280760000000002</v>
      </c>
      <c r="V884">
        <v>-0.11466560000000001</v>
      </c>
      <c r="W884">
        <v>0.1021682</v>
      </c>
      <c r="X884">
        <v>0.98813640000000003</v>
      </c>
      <c r="Y884">
        <v>-0.24173919999999999</v>
      </c>
      <c r="Z884">
        <v>3.9212269999999998E-4</v>
      </c>
      <c r="AA884">
        <v>0.97034120000000001</v>
      </c>
      <c r="AB884">
        <v>25</v>
      </c>
      <c r="AC884">
        <v>98.429499999999905</v>
      </c>
      <c r="AD884">
        <v>0.87658099999999906</v>
      </c>
      <c r="AE884">
        <v>25.229899999999901</v>
      </c>
      <c r="AF884">
        <v>-24.5905239126708</v>
      </c>
      <c r="AG884">
        <v>0.87658099999999906</v>
      </c>
      <c r="AH884">
        <v>98.583385217789399</v>
      </c>
      <c r="AI884">
        <v>89.505697278150095</v>
      </c>
      <c r="AJ884">
        <v>104.005977942185</v>
      </c>
      <c r="AK884">
        <v>101.60780531803699</v>
      </c>
      <c r="AL884">
        <v>84.135961451045901</v>
      </c>
      <c r="AM884">
        <v>96.619128141830004</v>
      </c>
      <c r="AN884">
        <v>1.00000004295977</v>
      </c>
    </row>
    <row r="885" spans="1:40" x14ac:dyDescent="0.25">
      <c r="A885" t="str">
        <f>"20190304154741235"</f>
        <v>20190304154741235</v>
      </c>
      <c r="B885" t="str">
        <f>"1551685661228169"</f>
        <v>1551685661228169</v>
      </c>
      <c r="C885" t="s">
        <v>40</v>
      </c>
      <c r="D885">
        <v>4.3828870000000002</v>
      </c>
      <c r="E885">
        <v>0.45033679999999898</v>
      </c>
      <c r="F885" t="s">
        <v>52</v>
      </c>
      <c r="G885">
        <v>-272.97930000000002</v>
      </c>
      <c r="H885">
        <v>1.915961</v>
      </c>
      <c r="I885">
        <v>391.52620000000002</v>
      </c>
      <c r="J885">
        <v>-371.29059999999998</v>
      </c>
      <c r="K885">
        <v>1.11059</v>
      </c>
      <c r="L885">
        <v>366.3723</v>
      </c>
      <c r="M885">
        <v>0.99992000000000003</v>
      </c>
      <c r="N885">
        <v>-1.079108E-2</v>
      </c>
      <c r="O885">
        <v>6.6158739999999999E-3</v>
      </c>
      <c r="P885">
        <v>0.9885138</v>
      </c>
      <c r="Q885">
        <v>9.1313140000000001E-2</v>
      </c>
      <c r="R885">
        <v>0.1204262</v>
      </c>
      <c r="S885">
        <v>2.9409179999999999</v>
      </c>
      <c r="T885">
        <v>2.4063939999999999E-2</v>
      </c>
      <c r="U885">
        <v>0.75158689999999995</v>
      </c>
      <c r="V885">
        <v>-0.11393</v>
      </c>
      <c r="W885">
        <v>0.10193099999999999</v>
      </c>
      <c r="X885">
        <v>0.98824599999999996</v>
      </c>
      <c r="Y885">
        <v>-0.2411923</v>
      </c>
      <c r="Z885">
        <v>4.7436709999999999E-4</v>
      </c>
      <c r="AA885">
        <v>0.97047720000000004</v>
      </c>
      <c r="AB885">
        <v>25</v>
      </c>
      <c r="AC885">
        <v>98.311299999999903</v>
      </c>
      <c r="AD885">
        <v>0.80537099999999995</v>
      </c>
      <c r="AE885">
        <v>25.1539</v>
      </c>
      <c r="AF885">
        <v>-24.501353215714602</v>
      </c>
      <c r="AG885">
        <v>0.80537099999999995</v>
      </c>
      <c r="AH885">
        <v>98.469370675130406</v>
      </c>
      <c r="AI885">
        <v>89.545259131287395</v>
      </c>
      <c r="AJ885">
        <v>103.97270580460101</v>
      </c>
      <c r="AK885">
        <v>101.47503088447399</v>
      </c>
      <c r="AL885">
        <v>84.149623463733306</v>
      </c>
      <c r="AM885">
        <v>96.576315466497107</v>
      </c>
      <c r="AN885">
        <v>1.0000000650884899</v>
      </c>
    </row>
    <row r="886" spans="1:40" x14ac:dyDescent="0.25">
      <c r="A886" t="str">
        <f>"20190304154741246"</f>
        <v>20190304154741246</v>
      </c>
      <c r="B886" t="str">
        <f>"1551685661237929"</f>
        <v>1551685661237929</v>
      </c>
      <c r="C886" t="s">
        <v>40</v>
      </c>
      <c r="D886">
        <v>4.7052690000000004</v>
      </c>
      <c r="E886">
        <v>0.48905110000000002</v>
      </c>
      <c r="F886" t="s">
        <v>52</v>
      </c>
      <c r="G886">
        <v>-272.97930000000002</v>
      </c>
      <c r="H886">
        <v>1.8935690000000001</v>
      </c>
      <c r="I886">
        <v>391.43619999999999</v>
      </c>
      <c r="J886">
        <v>-371.16969999999998</v>
      </c>
      <c r="K886">
        <v>1.1105849999999999</v>
      </c>
      <c r="L886">
        <v>366.37329999999997</v>
      </c>
      <c r="M886">
        <v>0.999919</v>
      </c>
      <c r="N886">
        <v>-1.07934E-2</v>
      </c>
      <c r="O886">
        <v>6.7616710000000003E-3</v>
      </c>
      <c r="P886">
        <v>0.98863719999999999</v>
      </c>
      <c r="Q886">
        <v>9.0756959999999998E-2</v>
      </c>
      <c r="R886">
        <v>0.11983239999999901</v>
      </c>
      <c r="S886">
        <v>2.9413450000000001</v>
      </c>
      <c r="T886">
        <v>2.3426530000000001E-2</v>
      </c>
      <c r="U886">
        <v>0.74987789999999999</v>
      </c>
      <c r="V886">
        <v>-0.1131904</v>
      </c>
      <c r="W886">
        <v>0.10137980000000001</v>
      </c>
      <c r="X886">
        <v>0.98838760000000003</v>
      </c>
      <c r="Y886">
        <v>-0.2404877</v>
      </c>
      <c r="Z886">
        <v>5.0054089999999895E-4</v>
      </c>
      <c r="AA886">
        <v>0.97065199999999996</v>
      </c>
      <c r="AB886">
        <v>25</v>
      </c>
      <c r="AC886">
        <v>98.190399999999897</v>
      </c>
      <c r="AD886">
        <v>0.78298399999999901</v>
      </c>
      <c r="AE886">
        <v>25.062899999999999</v>
      </c>
      <c r="AF886">
        <v>-24.3969007696655</v>
      </c>
      <c r="AG886">
        <v>0.78298399999999901</v>
      </c>
      <c r="AH886">
        <v>98.351760651769894</v>
      </c>
      <c r="AI886">
        <v>89.557291279721099</v>
      </c>
      <c r="AJ886">
        <v>103.931450404827</v>
      </c>
      <c r="AK886">
        <v>101.335535003335</v>
      </c>
      <c r="AL886">
        <v>84.181368906561303</v>
      </c>
      <c r="AM886">
        <v>96.533066337711702</v>
      </c>
      <c r="AN886">
        <v>0.99999998916697996</v>
      </c>
    </row>
    <row r="887" spans="1:40" x14ac:dyDescent="0.25">
      <c r="A887" t="str">
        <f>"20190304154741257"</f>
        <v>20190304154741257</v>
      </c>
      <c r="B887" t="str">
        <f>"1551685661247688"</f>
        <v>1551685661247688</v>
      </c>
      <c r="C887" t="s">
        <v>40</v>
      </c>
      <c r="D887">
        <v>4.3064169999999997</v>
      </c>
      <c r="E887">
        <v>0.48905110000000002</v>
      </c>
      <c r="F887" t="s">
        <v>44</v>
      </c>
      <c r="G887">
        <v>-336.34769999999997</v>
      </c>
      <c r="H887" s="1">
        <v>-2.0476839999999999E-6</v>
      </c>
      <c r="I887">
        <v>371.49009999999998</v>
      </c>
      <c r="J887">
        <v>-371.05020000000002</v>
      </c>
      <c r="K887">
        <v>1.1105769999999999</v>
      </c>
      <c r="L887">
        <v>366.37430000000001</v>
      </c>
      <c r="M887">
        <v>0.99991799999999997</v>
      </c>
      <c r="N887">
        <v>-1.0795620000000001E-2</v>
      </c>
      <c r="O887">
        <v>6.9034079999999998E-3</v>
      </c>
      <c r="P887">
        <v>0.98878339999999998</v>
      </c>
      <c r="Q887">
        <v>9.0040899999999993E-2</v>
      </c>
      <c r="R887">
        <v>0.1191646</v>
      </c>
      <c r="S887">
        <v>2.98996</v>
      </c>
      <c r="T887">
        <v>-9.5359559999999996E-2</v>
      </c>
      <c r="U887">
        <v>0.43936160000000002</v>
      </c>
      <c r="V887">
        <v>-0.1123803</v>
      </c>
      <c r="W887">
        <v>0.1006691</v>
      </c>
      <c r="X887">
        <v>0.98855269999999995</v>
      </c>
      <c r="Y887">
        <v>-0.13845929999999901</v>
      </c>
      <c r="Z887">
        <v>2.802475E-3</v>
      </c>
      <c r="AA887">
        <v>0.99036409999999997</v>
      </c>
      <c r="AB887">
        <v>25</v>
      </c>
      <c r="AC887">
        <v>34.702500000000001</v>
      </c>
      <c r="AD887">
        <v>-1.1105790476840001</v>
      </c>
      <c r="AE887">
        <v>5.1157999999999699</v>
      </c>
      <c r="AF887">
        <v>-4.87121573182199</v>
      </c>
      <c r="AG887">
        <v>-1.1105790476840001</v>
      </c>
      <c r="AH887">
        <v>34.702206062758002</v>
      </c>
      <c r="AI887">
        <v>91.815233772655503</v>
      </c>
      <c r="AJ887">
        <v>97.990509846276495</v>
      </c>
      <c r="AK887">
        <v>35.060023305029702</v>
      </c>
      <c r="AL887">
        <v>84.222298595424405</v>
      </c>
      <c r="AM887">
        <v>96.485635201193801</v>
      </c>
      <c r="AN887">
        <v>1.00000002010009</v>
      </c>
    </row>
    <row r="888" spans="1:40" x14ac:dyDescent="0.25">
      <c r="A888" t="str">
        <f>"20190304154741269"</f>
        <v>20190304154741269</v>
      </c>
      <c r="B888" t="str">
        <f>"1551685661257449"</f>
        <v>1551685661257449</v>
      </c>
      <c r="C888" t="s">
        <v>40</v>
      </c>
      <c r="D888">
        <v>4.2624639999999996</v>
      </c>
      <c r="E888">
        <v>0.54148469999999904</v>
      </c>
      <c r="F888" t="s">
        <v>44</v>
      </c>
      <c r="G888">
        <v>-336.99889999999999</v>
      </c>
      <c r="H888" s="1">
        <v>-1.732379E-6</v>
      </c>
      <c r="I888">
        <v>371.35489999999999</v>
      </c>
      <c r="J888">
        <v>-370.92380000000003</v>
      </c>
      <c r="K888">
        <v>1.110571</v>
      </c>
      <c r="L888">
        <v>366.37529999999998</v>
      </c>
      <c r="M888">
        <v>0.9999169</v>
      </c>
      <c r="N888">
        <v>-1.0797930000000001E-2</v>
      </c>
      <c r="O888">
        <v>7.0513360000000001E-3</v>
      </c>
      <c r="P888">
        <v>0.98891910000000005</v>
      </c>
      <c r="Q888">
        <v>8.9350849999999996E-2</v>
      </c>
      <c r="R888">
        <v>0.1185567</v>
      </c>
      <c r="S888">
        <v>2.990173</v>
      </c>
      <c r="T888">
        <v>-9.7523929999999995E-2</v>
      </c>
      <c r="U888">
        <v>0.43737789999999999</v>
      </c>
      <c r="V888">
        <v>-0.1116235</v>
      </c>
      <c r="W888">
        <v>9.9984500000000004E-2</v>
      </c>
      <c r="X888">
        <v>0.98870789999999997</v>
      </c>
      <c r="Y888">
        <v>-0.13765639999999901</v>
      </c>
      <c r="Z888">
        <v>2.826837E-3</v>
      </c>
      <c r="AA888">
        <v>0.99047600000000002</v>
      </c>
      <c r="AB888">
        <v>25</v>
      </c>
      <c r="AC888">
        <v>33.924900000000001</v>
      </c>
      <c r="AD888">
        <v>-1.110572732379</v>
      </c>
      <c r="AE888">
        <v>4.9795999999999996</v>
      </c>
      <c r="AF888">
        <v>-4.7352788078049901</v>
      </c>
      <c r="AG888">
        <v>-1.110572732379</v>
      </c>
      <c r="AH888">
        <v>33.923583587316102</v>
      </c>
      <c r="AI888">
        <v>91.8570581393776</v>
      </c>
      <c r="AJ888">
        <v>97.946380171625194</v>
      </c>
      <c r="AK888">
        <v>34.2704794332845</v>
      </c>
      <c r="AL888">
        <v>84.261722131044394</v>
      </c>
      <c r="AM888">
        <v>96.4413247935084</v>
      </c>
      <c r="AN888">
        <v>1.0000000087574501</v>
      </c>
    </row>
    <row r="889" spans="1:40" x14ac:dyDescent="0.25">
      <c r="A889" t="str">
        <f>"20190304154741280"</f>
        <v>20190304154741280</v>
      </c>
      <c r="B889" t="str">
        <f>"1551685661267209"</f>
        <v>1551685661267209</v>
      </c>
      <c r="C889" t="s">
        <v>40</v>
      </c>
      <c r="D889">
        <v>4.2628599999999999</v>
      </c>
      <c r="E889">
        <v>0.54444139999999996</v>
      </c>
      <c r="F889" t="s">
        <v>44</v>
      </c>
      <c r="G889">
        <v>-247.67830000000001</v>
      </c>
      <c r="H889" s="1">
        <v>-1.508201E-6</v>
      </c>
      <c r="I889">
        <v>367.23950000000002</v>
      </c>
      <c r="J889">
        <v>-370.80549999999999</v>
      </c>
      <c r="K889">
        <v>1.110565</v>
      </c>
      <c r="L889">
        <v>366.37630000000001</v>
      </c>
      <c r="M889">
        <v>0.99991580000000002</v>
      </c>
      <c r="N889">
        <v>-1.0799970000000001E-2</v>
      </c>
      <c r="O889">
        <v>7.185856E-3</v>
      </c>
      <c r="P889">
        <v>0.9890255</v>
      </c>
      <c r="Q889">
        <v>8.8708499999999996E-2</v>
      </c>
      <c r="R889">
        <v>0.1181504</v>
      </c>
      <c r="S889">
        <v>3.0335390000000002</v>
      </c>
      <c r="T889">
        <v>-2.7335410000000001E-2</v>
      </c>
      <c r="U889">
        <v>2.1270750000000001E-2</v>
      </c>
      <c r="V889">
        <v>-0.11108179999999999</v>
      </c>
      <c r="W889">
        <v>9.9346829999999997E-2</v>
      </c>
      <c r="X889">
        <v>0.98883319999999997</v>
      </c>
      <c r="Y889">
        <v>1.7456470000000001E-4</v>
      </c>
      <c r="Z889" s="1">
        <v>1.113118E-5</v>
      </c>
      <c r="AA889">
        <v>1</v>
      </c>
      <c r="AB889">
        <v>25</v>
      </c>
      <c r="AC889">
        <v>123.1272</v>
      </c>
      <c r="AD889">
        <v>-1.1105665082009999</v>
      </c>
      <c r="AE889">
        <v>0.86320000000000596</v>
      </c>
      <c r="AF889">
        <v>2.16465131942754E-2</v>
      </c>
      <c r="AG889">
        <v>-1.1105665082009999</v>
      </c>
      <c r="AH889">
        <v>123.12020796985399</v>
      </c>
      <c r="AI889">
        <v>90.5168042532935</v>
      </c>
      <c r="AJ889">
        <v>89.989926480348899</v>
      </c>
      <c r="AK889">
        <v>123.125218526022</v>
      </c>
      <c r="AL889">
        <v>84.298440864821302</v>
      </c>
      <c r="AM889">
        <v>96.409520860966893</v>
      </c>
      <c r="AN889">
        <v>1.0000000281722601</v>
      </c>
    </row>
    <row r="890" spans="1:40" x14ac:dyDescent="0.25">
      <c r="A890" t="str">
        <f>"20190304154741292"</f>
        <v>20190304154741292</v>
      </c>
      <c r="B890" t="str">
        <f>"1551685661287705"</f>
        <v>1551685661287705</v>
      </c>
      <c r="C890" t="s">
        <v>40</v>
      </c>
      <c r="D890">
        <v>4.309761</v>
      </c>
      <c r="E890">
        <v>0.54648649999999999</v>
      </c>
      <c r="F890" t="s">
        <v>44</v>
      </c>
      <c r="G890">
        <v>-245.13319999999999</v>
      </c>
      <c r="H890" s="1">
        <v>-2.8806509999999999E-6</v>
      </c>
      <c r="I890">
        <v>366.23610000000002</v>
      </c>
      <c r="J890">
        <v>-370.66699999999997</v>
      </c>
      <c r="K890">
        <v>1.1105560000000001</v>
      </c>
      <c r="L890">
        <v>366.37740000000002</v>
      </c>
      <c r="M890">
        <v>0.99991479999999999</v>
      </c>
      <c r="N890">
        <v>-1.0802310000000001E-2</v>
      </c>
      <c r="O890">
        <v>7.34110699999999E-3</v>
      </c>
      <c r="P890">
        <v>0.98911039999999995</v>
      </c>
      <c r="Q890">
        <v>8.8594179999999995E-2</v>
      </c>
      <c r="R890">
        <v>0.11752460000000001</v>
      </c>
      <c r="S890">
        <v>3.0361020000000001</v>
      </c>
      <c r="T890">
        <v>-2.6830079999999999E-2</v>
      </c>
      <c r="U890">
        <v>-3.3874510000000001E-3</v>
      </c>
      <c r="V890">
        <v>-0.1103007</v>
      </c>
      <c r="W890">
        <v>9.9237690000000003E-2</v>
      </c>
      <c r="X890">
        <v>0.98893149999999996</v>
      </c>
      <c r="Y890">
        <v>8.4564749999999998E-3</v>
      </c>
      <c r="Z890" s="1">
        <v>-6.8610140000000005E-5</v>
      </c>
      <c r="AA890">
        <v>0.99996419999999997</v>
      </c>
      <c r="AB890">
        <v>25</v>
      </c>
      <c r="AC890">
        <v>125.5338</v>
      </c>
      <c r="AD890">
        <v>-1.1105588806509901</v>
      </c>
      <c r="AE890">
        <v>-0.14130000000000101</v>
      </c>
      <c r="AF890">
        <v>1.0628237550692099</v>
      </c>
      <c r="AG890">
        <v>-1.1105588806509901</v>
      </c>
      <c r="AH890">
        <v>125.51955593168999</v>
      </c>
      <c r="AI890">
        <v>90.506904244994303</v>
      </c>
      <c r="AJ890">
        <v>89.514865553742396</v>
      </c>
      <c r="AK890">
        <v>125.528968197187</v>
      </c>
      <c r="AL890">
        <v>84.304724663688305</v>
      </c>
      <c r="AM890">
        <v>96.364194373352305</v>
      </c>
      <c r="AN890">
        <v>0.99999993761463601</v>
      </c>
    </row>
    <row r="891" spans="1:40" x14ac:dyDescent="0.25">
      <c r="A891" t="str">
        <f>"20190304154741302"</f>
        <v>20190304154741302</v>
      </c>
      <c r="B891" t="str">
        <f>"1551685661297464"</f>
        <v>1551685661297464</v>
      </c>
      <c r="C891" t="s">
        <v>40</v>
      </c>
      <c r="D891">
        <v>4.2540620000000002</v>
      </c>
      <c r="E891">
        <v>0.54722990000000005</v>
      </c>
      <c r="F891" t="s">
        <v>44</v>
      </c>
      <c r="G891">
        <v>-260.36470000000003</v>
      </c>
      <c r="H891" s="1">
        <v>-4.8316359999999998E-6</v>
      </c>
      <c r="I891">
        <v>365.58080000000001</v>
      </c>
      <c r="J891">
        <v>-370.54509999999999</v>
      </c>
      <c r="K891">
        <v>1.1105499999999999</v>
      </c>
      <c r="L891">
        <v>366.37849999999997</v>
      </c>
      <c r="M891">
        <v>0.99991379999999996</v>
      </c>
      <c r="N891">
        <v>-1.080426E-2</v>
      </c>
      <c r="O891">
        <v>7.4728829999999996E-3</v>
      </c>
      <c r="P891">
        <v>0.98918209999999995</v>
      </c>
      <c r="Q891">
        <v>8.8660970000000006E-2</v>
      </c>
      <c r="R891">
        <v>0.1168684</v>
      </c>
      <c r="S891">
        <v>3.0383610000000001</v>
      </c>
      <c r="T891">
        <v>-3.059125E-2</v>
      </c>
      <c r="U891">
        <v>-2.1942139999999999E-2</v>
      </c>
      <c r="V891">
        <v>-0.1095124</v>
      </c>
      <c r="W891">
        <v>9.9308859999999999E-2</v>
      </c>
      <c r="X891">
        <v>0.989012</v>
      </c>
      <c r="Y891">
        <v>1.469289E-2</v>
      </c>
      <c r="Z891">
        <v>-1.4784029999999999E-4</v>
      </c>
      <c r="AA891">
        <v>0.99989209999999995</v>
      </c>
      <c r="AB891">
        <v>25</v>
      </c>
      <c r="AC891">
        <v>110.180399999999</v>
      </c>
      <c r="AD891">
        <v>-1.1105548316360001</v>
      </c>
      <c r="AE891">
        <v>-0.79769999999996299</v>
      </c>
      <c r="AF891">
        <v>1.6209262780473199</v>
      </c>
      <c r="AG891">
        <v>-1.1105548316360001</v>
      </c>
      <c r="AH891">
        <v>110.160170566373</v>
      </c>
      <c r="AI891">
        <v>90.577532355897603</v>
      </c>
      <c r="AJ891">
        <v>89.156995378205394</v>
      </c>
      <c r="AK891">
        <v>110.17769244836001</v>
      </c>
      <c r="AL891">
        <v>84.300626897886204</v>
      </c>
      <c r="AM891">
        <v>96.318569643239996</v>
      </c>
      <c r="AN891">
        <v>0.99999997578612898</v>
      </c>
    </row>
    <row r="892" spans="1:40" x14ac:dyDescent="0.25">
      <c r="A892" t="str">
        <f>"20190304154741315"</f>
        <v>20190304154741315</v>
      </c>
      <c r="B892" t="str">
        <f>"1551685661307732"</f>
        <v>1551685661307732</v>
      </c>
      <c r="C892" t="s">
        <v>40</v>
      </c>
      <c r="D892">
        <v>4.2394600000000002</v>
      </c>
      <c r="E892">
        <v>0.54770929999999995</v>
      </c>
      <c r="F892" t="s">
        <v>44</v>
      </c>
      <c r="G892">
        <v>-255.33160000000001</v>
      </c>
      <c r="H892" s="1">
        <v>-2.7576530000000001E-6</v>
      </c>
      <c r="I892">
        <v>365.26080000000002</v>
      </c>
      <c r="J892">
        <v>-370.4255</v>
      </c>
      <c r="K892">
        <v>1.1105430000000001</v>
      </c>
      <c r="L892">
        <v>366.37950000000001</v>
      </c>
      <c r="M892">
        <v>0.99991280000000005</v>
      </c>
      <c r="N892">
        <v>-1.080617E-2</v>
      </c>
      <c r="O892">
        <v>7.6007869999999899E-3</v>
      </c>
      <c r="P892">
        <v>0.9892242</v>
      </c>
      <c r="Q892">
        <v>8.8792090000000004E-2</v>
      </c>
      <c r="R892">
        <v>0.1164115</v>
      </c>
      <c r="S892">
        <v>3.0389400000000002</v>
      </c>
      <c r="T892">
        <v>-2.9292579999999999E-2</v>
      </c>
      <c r="U892">
        <v>-2.9479979999999999E-2</v>
      </c>
      <c r="V892">
        <v>-0.1089276</v>
      </c>
      <c r="W892">
        <v>9.9443619999999996E-2</v>
      </c>
      <c r="X892">
        <v>0.98906309999999997</v>
      </c>
      <c r="Y892">
        <v>1.7299180000000001E-2</v>
      </c>
      <c r="Z892">
        <v>-1.6797389999999901E-4</v>
      </c>
      <c r="AA892">
        <v>0.99985029999999997</v>
      </c>
      <c r="AB892">
        <v>25</v>
      </c>
      <c r="AC892">
        <v>115.0939</v>
      </c>
      <c r="AD892">
        <v>-1.110545757653</v>
      </c>
      <c r="AE892">
        <v>-1.11869999999998</v>
      </c>
      <c r="AF892">
        <v>1.9933373442695701</v>
      </c>
      <c r="AG892">
        <v>-1.110545757653</v>
      </c>
      <c r="AH892">
        <v>115.07135887689699</v>
      </c>
      <c r="AI892">
        <v>90.552857517079701</v>
      </c>
      <c r="AJ892">
        <v>89.0075862805719</v>
      </c>
      <c r="AK892">
        <v>115.093980465633</v>
      </c>
      <c r="AL892">
        <v>84.292867650950001</v>
      </c>
      <c r="AM892">
        <v>96.284776882872407</v>
      </c>
      <c r="AN892">
        <v>1.0000000356910299</v>
      </c>
    </row>
    <row r="893" spans="1:40" x14ac:dyDescent="0.25">
      <c r="A893" t="str">
        <f>"20190304154741325"</f>
        <v>20190304154741325</v>
      </c>
      <c r="B893" t="str">
        <f>"1551685661317493"</f>
        <v>1551685661317493</v>
      </c>
      <c r="C893" t="s">
        <v>40</v>
      </c>
      <c r="D893">
        <v>4.2542309999999999</v>
      </c>
      <c r="E893">
        <v>0.54829589999999995</v>
      </c>
      <c r="F893" t="s">
        <v>44</v>
      </c>
      <c r="G893">
        <v>-251.30369999999999</v>
      </c>
      <c r="H893" s="1">
        <v>-4.5271280000000002E-6</v>
      </c>
      <c r="I893">
        <v>365.02670000000001</v>
      </c>
      <c r="J893">
        <v>-370.29660000000001</v>
      </c>
      <c r="K893">
        <v>1.1105430000000001</v>
      </c>
      <c r="L893">
        <v>366.38060000000002</v>
      </c>
      <c r="M893">
        <v>0.99991180000000002</v>
      </c>
      <c r="N893">
        <v>-1.0808180000000001E-2</v>
      </c>
      <c r="O893">
        <v>7.734416E-3</v>
      </c>
      <c r="P893">
        <v>0.98930980000000002</v>
      </c>
      <c r="Q893">
        <v>8.8696380000000005E-2</v>
      </c>
      <c r="R893">
        <v>0.1157562</v>
      </c>
      <c r="S893">
        <v>3.0392760000000001</v>
      </c>
      <c r="T893">
        <v>-2.8334499999999999E-2</v>
      </c>
      <c r="U893">
        <v>-3.4515379999999998E-2</v>
      </c>
      <c r="V893">
        <v>-0.1081381</v>
      </c>
      <c r="W893">
        <v>9.935252E-2</v>
      </c>
      <c r="X893">
        <v>0.98915889999999995</v>
      </c>
      <c r="Y893">
        <v>1.9087940000000001E-2</v>
      </c>
      <c r="Z893">
        <v>-1.8064360000000001E-4</v>
      </c>
      <c r="AA893">
        <v>0.99981779999999998</v>
      </c>
      <c r="AB893">
        <v>25</v>
      </c>
      <c r="AC893">
        <v>118.99290000000001</v>
      </c>
      <c r="AD893">
        <v>-1.1105475271279901</v>
      </c>
      <c r="AE893">
        <v>-1.3539000000000101</v>
      </c>
      <c r="AF893">
        <v>2.27405568456299</v>
      </c>
      <c r="AG893">
        <v>-1.1105475271279901</v>
      </c>
      <c r="AH893">
        <v>118.968506996348</v>
      </c>
      <c r="AI893">
        <v>90.534731582523904</v>
      </c>
      <c r="AJ893">
        <v>88.904937691526797</v>
      </c>
      <c r="AK893">
        <v>118.995421348918</v>
      </c>
      <c r="AL893">
        <v>84.298113359639999</v>
      </c>
      <c r="AM893">
        <v>96.238986288265593</v>
      </c>
      <c r="AN893">
        <v>1.00000005067558</v>
      </c>
    </row>
    <row r="894" spans="1:40" x14ac:dyDescent="0.25">
      <c r="A894" t="str">
        <f>"20190304154741337"</f>
        <v>20190304154741337</v>
      </c>
      <c r="B894" t="str">
        <f>"1551685661327255"</f>
        <v>1551685661327255</v>
      </c>
      <c r="C894" t="s">
        <v>40</v>
      </c>
      <c r="D894">
        <v>4.2557589999999896</v>
      </c>
      <c r="E894">
        <v>0.5485719</v>
      </c>
      <c r="F894" t="s">
        <v>44</v>
      </c>
      <c r="G894">
        <v>-250.71449999999999</v>
      </c>
      <c r="H894" s="1">
        <v>-4.8269980000000001E-6</v>
      </c>
      <c r="I894">
        <v>364.7611</v>
      </c>
      <c r="J894">
        <v>-370.17610000000002</v>
      </c>
      <c r="K894">
        <v>1.110538</v>
      </c>
      <c r="L894">
        <v>366.38170000000002</v>
      </c>
      <c r="M894">
        <v>0.99991079999999999</v>
      </c>
      <c r="N894">
        <v>-1.081005E-2</v>
      </c>
      <c r="O894">
        <v>7.8569669999999994E-3</v>
      </c>
      <c r="P894">
        <v>0.98939109999999997</v>
      </c>
      <c r="Q894">
        <v>8.8468359999999996E-2</v>
      </c>
      <c r="R894">
        <v>0.11523460000000001</v>
      </c>
      <c r="S894">
        <v>3.0397340000000002</v>
      </c>
      <c r="T894">
        <v>-2.8229710000000002E-2</v>
      </c>
      <c r="U894">
        <v>-4.1168209999999997E-2</v>
      </c>
      <c r="V894">
        <v>-0.1074938</v>
      </c>
      <c r="W894">
        <v>9.9128099999999997E-2</v>
      </c>
      <c r="X894">
        <v>0.98925160000000001</v>
      </c>
      <c r="Y894">
        <v>2.1396399999999999E-2</v>
      </c>
      <c r="Z894">
        <v>-2.030384E-4</v>
      </c>
      <c r="AA894">
        <v>0.99977110000000002</v>
      </c>
      <c r="AB894">
        <v>25</v>
      </c>
      <c r="AC894">
        <v>119.4616</v>
      </c>
      <c r="AD894">
        <v>-1.110542826998</v>
      </c>
      <c r="AE894">
        <v>-1.62060000000002</v>
      </c>
      <c r="AF894">
        <v>2.55898946766913</v>
      </c>
      <c r="AG894">
        <v>-1.110542826998</v>
      </c>
      <c r="AH894">
        <v>119.434858817407</v>
      </c>
      <c r="AI894">
        <v>90.532616567375399</v>
      </c>
      <c r="AJ894">
        <v>88.772578893763793</v>
      </c>
      <c r="AK894">
        <v>119.467431684121</v>
      </c>
      <c r="AL894">
        <v>84.3110352509932</v>
      </c>
      <c r="AM894">
        <v>96.2015275497359</v>
      </c>
      <c r="AN894">
        <v>1.0000000126752999</v>
      </c>
    </row>
    <row r="895" spans="1:40" x14ac:dyDescent="0.25">
      <c r="A895" t="str">
        <f>"20190304154741347"</f>
        <v>20190304154741347</v>
      </c>
      <c r="B895" t="str">
        <f>"1551685661337989"</f>
        <v>1551685661337989</v>
      </c>
      <c r="C895" t="s">
        <v>40</v>
      </c>
      <c r="D895">
        <v>4.2625029999999997</v>
      </c>
      <c r="E895">
        <v>0.54872489999999996</v>
      </c>
      <c r="F895" t="s">
        <v>44</v>
      </c>
      <c r="G895">
        <v>-250.14940000000001</v>
      </c>
      <c r="H895" s="1">
        <v>-5.0957360000000003E-6</v>
      </c>
      <c r="I895">
        <v>364.61279999999999</v>
      </c>
      <c r="J895">
        <v>-370.05799999999999</v>
      </c>
      <c r="K895">
        <v>1.110536</v>
      </c>
      <c r="L895">
        <v>366.38279999999997</v>
      </c>
      <c r="M895">
        <v>0.99990979999999996</v>
      </c>
      <c r="N895">
        <v>-1.0811869999999999E-2</v>
      </c>
      <c r="O895">
        <v>7.9746379999999992E-3</v>
      </c>
      <c r="P895">
        <v>0.98943590000000003</v>
      </c>
      <c r="Q895">
        <v>8.8390499999999997E-2</v>
      </c>
      <c r="R895">
        <v>0.1149085</v>
      </c>
      <c r="S895">
        <v>3.039917</v>
      </c>
      <c r="T895">
        <v>-2.8126720000000001E-2</v>
      </c>
      <c r="U895">
        <v>-4.4799800000000001E-2</v>
      </c>
      <c r="V895">
        <v>-0.1070503</v>
      </c>
      <c r="W895">
        <v>9.9053589999999997E-2</v>
      </c>
      <c r="X895">
        <v>0.98930720000000005</v>
      </c>
      <c r="Y895">
        <v>2.270724E-2</v>
      </c>
      <c r="Z895">
        <v>-2.153724E-4</v>
      </c>
      <c r="AA895">
        <v>0.99974220000000003</v>
      </c>
      <c r="AB895">
        <v>25</v>
      </c>
      <c r="AC895">
        <v>119.90860000000001</v>
      </c>
      <c r="AD895">
        <v>-1.110541095736</v>
      </c>
      <c r="AE895">
        <v>-1.76999999999998</v>
      </c>
      <c r="AF895">
        <v>2.72599346094256</v>
      </c>
      <c r="AG895">
        <v>-1.110541095736</v>
      </c>
      <c r="AH895">
        <v>119.880390088704</v>
      </c>
      <c r="AI895">
        <v>90.530621020515596</v>
      </c>
      <c r="AJ895">
        <v>88.697359858027795</v>
      </c>
      <c r="AK895">
        <v>119.91652208805201</v>
      </c>
      <c r="AL895">
        <v>84.315325733900096</v>
      </c>
      <c r="AM895">
        <v>96.175794890597203</v>
      </c>
      <c r="AN895">
        <v>1.0000000581969</v>
      </c>
    </row>
    <row r="896" spans="1:40" x14ac:dyDescent="0.25">
      <c r="A896" t="str">
        <f>"20190304154741360"</f>
        <v>20190304154741360</v>
      </c>
      <c r="B896" t="str">
        <f>"1551685661347748"</f>
        <v>1551685661347748</v>
      </c>
      <c r="C896" t="s">
        <v>40</v>
      </c>
      <c r="D896">
        <v>4.2693669999999999</v>
      </c>
      <c r="E896">
        <v>0.54898210000000003</v>
      </c>
      <c r="F896" t="s">
        <v>44</v>
      </c>
      <c r="G896">
        <v>-253.7448</v>
      </c>
      <c r="H896" s="1">
        <v>-3.5589489999999998E-6</v>
      </c>
      <c r="I896">
        <v>364.58109999999999</v>
      </c>
      <c r="J896">
        <v>-369.9264</v>
      </c>
      <c r="K896">
        <v>1.110535</v>
      </c>
      <c r="L896">
        <v>366.38400000000001</v>
      </c>
      <c r="M896">
        <v>0.99990880000000004</v>
      </c>
      <c r="N896">
        <v>-1.0813909999999999E-2</v>
      </c>
      <c r="O896">
        <v>8.1026759999999996E-3</v>
      </c>
      <c r="P896">
        <v>0.98946190000000001</v>
      </c>
      <c r="Q896">
        <v>8.8480760000000006E-2</v>
      </c>
      <c r="R896">
        <v>0.1146151</v>
      </c>
      <c r="S896">
        <v>3.0400390000000002</v>
      </c>
      <c r="T896">
        <v>-2.9025789999999999E-2</v>
      </c>
      <c r="U896">
        <v>-4.7088619999999998E-2</v>
      </c>
      <c r="V896">
        <v>-0.1066289</v>
      </c>
      <c r="W896">
        <v>9.9147070000000004E-2</v>
      </c>
      <c r="X896">
        <v>0.98934330000000004</v>
      </c>
      <c r="Y896">
        <v>2.3586989999999999E-2</v>
      </c>
      <c r="Z896">
        <v>-2.2988309999999999E-4</v>
      </c>
      <c r="AA896">
        <v>0.99972179999999999</v>
      </c>
      <c r="AB896">
        <v>25</v>
      </c>
      <c r="AC896">
        <v>116.1816</v>
      </c>
      <c r="AD896">
        <v>-1.110538558949</v>
      </c>
      <c r="AE896">
        <v>-1.8029000000000199</v>
      </c>
      <c r="AF896">
        <v>2.7440269683346501</v>
      </c>
      <c r="AG896">
        <v>-1.110538558949</v>
      </c>
      <c r="AH896">
        <v>116.15256643360399</v>
      </c>
      <c r="AI896">
        <v>90.547637376092595</v>
      </c>
      <c r="AJ896">
        <v>88.646677125467505</v>
      </c>
      <c r="AK896">
        <v>116.190282162522</v>
      </c>
      <c r="AL896">
        <v>84.309942979788005</v>
      </c>
      <c r="AM896">
        <v>96.151448094487193</v>
      </c>
      <c r="AN896">
        <v>1.00000001452984</v>
      </c>
    </row>
    <row r="897" spans="1:40" x14ac:dyDescent="0.25">
      <c r="A897" t="str">
        <f>"20190304154741373"</f>
        <v>20190304154741373</v>
      </c>
      <c r="B897" t="str">
        <f>"1551685661367268"</f>
        <v>1551685661367268</v>
      </c>
      <c r="C897" t="s">
        <v>40</v>
      </c>
      <c r="D897">
        <v>4.26471</v>
      </c>
      <c r="E897">
        <v>0.54916929999999997</v>
      </c>
      <c r="F897" t="s">
        <v>44</v>
      </c>
      <c r="G897">
        <v>-251.48609999999999</v>
      </c>
      <c r="H897" s="1">
        <v>-4.5527139999999996E-6</v>
      </c>
      <c r="I897">
        <v>364.44130000000001</v>
      </c>
      <c r="J897">
        <v>-369.78120000000001</v>
      </c>
      <c r="K897">
        <v>1.1105309999999999</v>
      </c>
      <c r="L897">
        <v>366.38529999999997</v>
      </c>
      <c r="M897">
        <v>0.99990760000000001</v>
      </c>
      <c r="N897">
        <v>-1.081615E-2</v>
      </c>
      <c r="O897">
        <v>8.2419769999999993E-3</v>
      </c>
      <c r="P897">
        <v>0.98946270000000003</v>
      </c>
      <c r="Q897">
        <v>8.854911E-2</v>
      </c>
      <c r="R897">
        <v>0.1145545</v>
      </c>
      <c r="S897">
        <v>3.0402529999999999</v>
      </c>
      <c r="T897">
        <v>-2.850652E-2</v>
      </c>
      <c r="U897">
        <v>-4.9865720000000002E-2</v>
      </c>
      <c r="V897">
        <v>-0.1064296</v>
      </c>
      <c r="W897">
        <v>9.9218710000000002E-2</v>
      </c>
      <c r="X897">
        <v>0.98935759999999995</v>
      </c>
      <c r="Y897">
        <v>2.4638090000000001E-2</v>
      </c>
      <c r="Z897">
        <v>-2.3689220000000001E-4</v>
      </c>
      <c r="AA897">
        <v>0.99969640000000004</v>
      </c>
      <c r="AB897">
        <v>25</v>
      </c>
      <c r="AC897">
        <v>118.29510000000001</v>
      </c>
      <c r="AD897">
        <v>-1.110535552714</v>
      </c>
      <c r="AE897">
        <v>-1.94399999999996</v>
      </c>
      <c r="AF897">
        <v>2.9187192686407402</v>
      </c>
      <c r="AG897">
        <v>-1.110535552714</v>
      </c>
      <c r="AH897">
        <v>118.264638186407</v>
      </c>
      <c r="AI897">
        <v>90.537842621403399</v>
      </c>
      <c r="AJ897">
        <v>88.586252337176404</v>
      </c>
      <c r="AK897">
        <v>118.30586146402401</v>
      </c>
      <c r="AL897">
        <v>84.305818095775706</v>
      </c>
      <c r="AM897">
        <v>96.139950264303394</v>
      </c>
      <c r="AN897">
        <v>1.00000003642399</v>
      </c>
    </row>
    <row r="898" spans="1:40" x14ac:dyDescent="0.25">
      <c r="A898" t="str">
        <f>"20190304154741385"</f>
        <v>20190304154741385</v>
      </c>
      <c r="B898" t="str">
        <f>"1551685661378004"</f>
        <v>1551685661378004</v>
      </c>
      <c r="C898" t="s">
        <v>40</v>
      </c>
      <c r="D898">
        <v>4.2613120000000002</v>
      </c>
      <c r="E898">
        <v>0.54926129999999995</v>
      </c>
      <c r="F898" t="s">
        <v>44</v>
      </c>
      <c r="G898">
        <v>-249.65010000000001</v>
      </c>
      <c r="H898" s="1">
        <v>-1.5210929999999999E-6</v>
      </c>
      <c r="I898">
        <v>364.34519999999998</v>
      </c>
      <c r="J898">
        <v>-369.63139999999999</v>
      </c>
      <c r="K898">
        <v>1.11053</v>
      </c>
      <c r="L898">
        <v>366.38670000000002</v>
      </c>
      <c r="M898">
        <v>0.99990650000000003</v>
      </c>
      <c r="N898">
        <v>-1.081843E-2</v>
      </c>
      <c r="O898">
        <v>8.3804480000000004E-3</v>
      </c>
      <c r="P898">
        <v>0.98947169999999895</v>
      </c>
      <c r="Q898">
        <v>8.864213E-2</v>
      </c>
      <c r="R898">
        <v>0.1144061</v>
      </c>
      <c r="S898">
        <v>3.0404969999999998</v>
      </c>
      <c r="T898">
        <v>-2.8107400000000001E-2</v>
      </c>
      <c r="U898">
        <v>-5.1635739999999999E-2</v>
      </c>
      <c r="V898">
        <v>-0.1061436</v>
      </c>
      <c r="W898">
        <v>9.9315009999999995E-2</v>
      </c>
      <c r="X898">
        <v>0.9893786</v>
      </c>
      <c r="Y898">
        <v>2.5356989999999999E-2</v>
      </c>
      <c r="Z898">
        <v>-2.4118140000000001E-4</v>
      </c>
      <c r="AA898">
        <v>0.99967839999999997</v>
      </c>
      <c r="AB898">
        <v>25</v>
      </c>
      <c r="AC898">
        <v>119.981299999999</v>
      </c>
      <c r="AD898">
        <v>-1.110531521093</v>
      </c>
      <c r="AE898">
        <v>-2.0415000000000401</v>
      </c>
      <c r="AF898">
        <v>3.0467231117418501</v>
      </c>
      <c r="AG898">
        <v>-1.110531521093</v>
      </c>
      <c r="AH898">
        <v>119.949703236579</v>
      </c>
      <c r="AI898">
        <v>90.530275906079396</v>
      </c>
      <c r="AJ898">
        <v>88.544999739083593</v>
      </c>
      <c r="AK898">
        <v>119.993529444392</v>
      </c>
      <c r="AL898">
        <v>84.300272771321502</v>
      </c>
      <c r="AM898">
        <v>96.123447388809794</v>
      </c>
      <c r="AN898">
        <v>0.99999997458510903</v>
      </c>
    </row>
    <row r="899" spans="1:40" x14ac:dyDescent="0.25">
      <c r="A899" t="str">
        <f>"20190304154741399"</f>
        <v>20190304154741399</v>
      </c>
      <c r="B899" t="str">
        <f>"1551685661387765"</f>
        <v>1551685661387765</v>
      </c>
      <c r="C899" t="s">
        <v>40</v>
      </c>
      <c r="D899">
        <v>4.2764249999999997</v>
      </c>
      <c r="E899">
        <v>0.54936560000000001</v>
      </c>
      <c r="F899" t="s">
        <v>44</v>
      </c>
      <c r="G899">
        <v>-248.13720000000001</v>
      </c>
      <c r="H899" s="1">
        <v>-2.1182680000000001E-6</v>
      </c>
      <c r="I899">
        <v>364.28440000000001</v>
      </c>
      <c r="J899">
        <v>-369.49160000000001</v>
      </c>
      <c r="K899">
        <v>1.1105290000000001</v>
      </c>
      <c r="L899">
        <v>366.38799999999998</v>
      </c>
      <c r="M899">
        <v>0.9999053</v>
      </c>
      <c r="N899">
        <v>-1.082055E-2</v>
      </c>
      <c r="O899">
        <v>8.5083119999999901E-3</v>
      </c>
      <c r="P899">
        <v>0.98942609999999998</v>
      </c>
      <c r="Q899">
        <v>8.9083549999999997E-2</v>
      </c>
      <c r="R899">
        <v>0.1144565</v>
      </c>
      <c r="S899">
        <v>3.0404659999999999</v>
      </c>
      <c r="T899">
        <v>-2.7791739999999999E-2</v>
      </c>
      <c r="U899">
        <v>-5.2612300000000001E-2</v>
      </c>
      <c r="V899">
        <v>-0.1060672</v>
      </c>
      <c r="W899">
        <v>9.9758659999999999E-2</v>
      </c>
      <c r="X899">
        <v>0.98934219999999895</v>
      </c>
      <c r="Y899">
        <v>2.5805979999999999E-2</v>
      </c>
      <c r="Z899">
        <v>-2.4327300000000001E-4</v>
      </c>
      <c r="AA899">
        <v>0.99966690000000002</v>
      </c>
      <c r="AB899">
        <v>25</v>
      </c>
      <c r="AC899">
        <v>121.3544</v>
      </c>
      <c r="AD899">
        <v>-1.110531118268</v>
      </c>
      <c r="AE899">
        <v>-2.1036000000000201</v>
      </c>
      <c r="AF899">
        <v>3.1358428266998599</v>
      </c>
      <c r="AG899">
        <v>-1.110531118268</v>
      </c>
      <c r="AH899">
        <v>121.32195091188601</v>
      </c>
      <c r="AI899">
        <v>90.524272206353103</v>
      </c>
      <c r="AJ899">
        <v>88.519389423689802</v>
      </c>
      <c r="AK899">
        <v>121.367551522903</v>
      </c>
      <c r="AL899">
        <v>84.2747268643935</v>
      </c>
      <c r="AM899">
        <v>96.119296731638698</v>
      </c>
      <c r="AN899">
        <v>1.0000000149308299</v>
      </c>
    </row>
    <row r="900" spans="1:40" x14ac:dyDescent="0.25">
      <c r="A900" t="str">
        <f>"20190304154741414"</f>
        <v>20190304154741414</v>
      </c>
      <c r="B900" t="str">
        <f>"1551685661407791"</f>
        <v>1551685661407791</v>
      </c>
      <c r="C900" t="s">
        <v>40</v>
      </c>
      <c r="D900">
        <v>4.2559909999999999</v>
      </c>
      <c r="E900">
        <v>0.54944159999999997</v>
      </c>
      <c r="F900" t="s">
        <v>44</v>
      </c>
      <c r="G900">
        <v>-241.8877</v>
      </c>
      <c r="H900" s="1">
        <v>-4.783843E-6</v>
      </c>
      <c r="I900">
        <v>364.15570000000002</v>
      </c>
      <c r="J900">
        <v>-369.31650000000002</v>
      </c>
      <c r="K900">
        <v>1.1105309999999999</v>
      </c>
      <c r="L900">
        <v>366.3897</v>
      </c>
      <c r="M900">
        <v>0.99990400000000002</v>
      </c>
      <c r="N900">
        <v>-1.0822719999999999E-2</v>
      </c>
      <c r="O900">
        <v>8.66620699999999E-3</v>
      </c>
      <c r="P900">
        <v>0.98933289999999996</v>
      </c>
      <c r="Q900">
        <v>9.0043159999999997E-2</v>
      </c>
      <c r="R900">
        <v>0.1145118</v>
      </c>
      <c r="S900">
        <v>3.040619</v>
      </c>
      <c r="T900">
        <v>-2.646244E-2</v>
      </c>
      <c r="U900">
        <v>-5.3192139999999999E-2</v>
      </c>
      <c r="V900">
        <v>-0.1059663</v>
      </c>
      <c r="W900">
        <v>0.1007208</v>
      </c>
      <c r="X900">
        <v>0.98925549999999995</v>
      </c>
      <c r="Y900">
        <v>2.615367E-2</v>
      </c>
      <c r="Z900">
        <v>-2.369727E-4</v>
      </c>
      <c r="AA900">
        <v>0.99965789999999999</v>
      </c>
      <c r="AB900">
        <v>25</v>
      </c>
      <c r="AC900">
        <v>127.4288</v>
      </c>
      <c r="AD900">
        <v>-1.1105357838429999</v>
      </c>
      <c r="AE900">
        <v>-2.23399999999998</v>
      </c>
      <c r="AF900">
        <v>3.3380515551871301</v>
      </c>
      <c r="AG900">
        <v>-1.1105357838429999</v>
      </c>
      <c r="AH900">
        <v>127.39498003725301</v>
      </c>
      <c r="AI900">
        <v>90.499278479516207</v>
      </c>
      <c r="AJ900">
        <v>88.499057702716797</v>
      </c>
      <c r="AK900">
        <v>127.443543644252</v>
      </c>
      <c r="AL900">
        <v>84.219321098033006</v>
      </c>
      <c r="AM900">
        <v>96.114051388814403</v>
      </c>
      <c r="AN900">
        <v>0.99999999028428899</v>
      </c>
    </row>
    <row r="901" spans="1:40" x14ac:dyDescent="0.25">
      <c r="A901" t="str">
        <f>"20190304154741425"</f>
        <v>20190304154741425</v>
      </c>
      <c r="B901" t="str">
        <f>"1551685661417551"</f>
        <v>1551685661417551</v>
      </c>
      <c r="C901" t="s">
        <v>40</v>
      </c>
      <c r="D901">
        <v>4.2443650000000002</v>
      </c>
      <c r="E901">
        <v>0.54945459999999902</v>
      </c>
      <c r="F901" t="s">
        <v>44</v>
      </c>
      <c r="G901">
        <v>-225.23920000000001</v>
      </c>
      <c r="H901" s="1">
        <v>-3.1376810000000002E-6</v>
      </c>
      <c r="I901">
        <v>363.8605</v>
      </c>
      <c r="J901">
        <v>-369.18920000000003</v>
      </c>
      <c r="K901">
        <v>1.110528</v>
      </c>
      <c r="L901">
        <v>366.39089999999999</v>
      </c>
      <c r="M901">
        <v>0.99990299999999999</v>
      </c>
      <c r="N901">
        <v>-1.0822709999999999E-2</v>
      </c>
      <c r="O901">
        <v>8.7791250000000005E-3</v>
      </c>
      <c r="P901">
        <v>0.98929219999999896</v>
      </c>
      <c r="Q901">
        <v>9.0530479999999997E-2</v>
      </c>
      <c r="R901">
        <v>0.11447880000000001</v>
      </c>
      <c r="S901">
        <v>3.0406490000000002</v>
      </c>
      <c r="T901">
        <v>-2.3437019999999999E-2</v>
      </c>
      <c r="U901">
        <v>-5.3375239999999997E-2</v>
      </c>
      <c r="V901">
        <v>-0.10582129999999999</v>
      </c>
      <c r="W901">
        <v>0.10120800000000001</v>
      </c>
      <c r="X901">
        <v>0.98922129999999997</v>
      </c>
      <c r="Y901">
        <v>2.632688E-2</v>
      </c>
      <c r="Z901">
        <v>-2.1659150000000001E-4</v>
      </c>
      <c r="AA901">
        <v>0.99965329999999997</v>
      </c>
      <c r="AB901">
        <v>25</v>
      </c>
      <c r="AC901">
        <v>143.94999999999999</v>
      </c>
      <c r="AD901">
        <v>-1.1105311376810001</v>
      </c>
      <c r="AE901">
        <v>-2.5303999999999802</v>
      </c>
      <c r="AF901">
        <v>3.7939056710865402</v>
      </c>
      <c r="AG901">
        <v>-1.1105311376810001</v>
      </c>
      <c r="AH901">
        <v>143.91367330875701</v>
      </c>
      <c r="AI901">
        <v>90.441969032415599</v>
      </c>
      <c r="AJ901">
        <v>88.489897157350597</v>
      </c>
      <c r="AK901">
        <v>143.967956034905</v>
      </c>
      <c r="AL901">
        <v>84.191263238271404</v>
      </c>
      <c r="AM901">
        <v>96.105957903411806</v>
      </c>
      <c r="AN901">
        <v>0.99999999358569003</v>
      </c>
    </row>
    <row r="902" spans="1:40" x14ac:dyDescent="0.25">
      <c r="A902" t="str">
        <f>"20190304154741438"</f>
        <v>20190304154741438</v>
      </c>
      <c r="B902" t="str">
        <f>"1551685661428287"</f>
        <v>1551685661428287</v>
      </c>
      <c r="C902" t="s">
        <v>40</v>
      </c>
      <c r="D902">
        <v>4.2493470000000002</v>
      </c>
      <c r="E902">
        <v>0.54950399999999999</v>
      </c>
      <c r="F902" t="s">
        <v>44</v>
      </c>
      <c r="G902">
        <v>-212.56360000000001</v>
      </c>
      <c r="H902" s="1">
        <v>-4.2370890000000004E-6</v>
      </c>
      <c r="I902">
        <v>363.61489999999998</v>
      </c>
      <c r="J902">
        <v>-369.06049999999999</v>
      </c>
      <c r="K902">
        <v>1.1105259999999999</v>
      </c>
      <c r="L902">
        <v>366.3922</v>
      </c>
      <c r="M902">
        <v>0.99990190000000001</v>
      </c>
      <c r="N902">
        <v>-1.0821519999999999E-2</v>
      </c>
      <c r="O902">
        <v>8.8924099999999999E-3</v>
      </c>
      <c r="P902">
        <v>0.98921060000000005</v>
      </c>
      <c r="Q902">
        <v>9.1007550000000006E-2</v>
      </c>
      <c r="R902">
        <v>0.114804</v>
      </c>
      <c r="S902">
        <v>3.0407099999999998</v>
      </c>
      <c r="T902">
        <v>-2.1559720000000001E-2</v>
      </c>
      <c r="U902">
        <v>-5.3894039999999997E-2</v>
      </c>
      <c r="V902">
        <v>-0.106035</v>
      </c>
      <c r="W902">
        <v>0.1016838</v>
      </c>
      <c r="X902">
        <v>0.98914959999999996</v>
      </c>
      <c r="Y902">
        <v>2.6610459999999999E-2</v>
      </c>
      <c r="Z902">
        <v>-2.0515400000000001E-4</v>
      </c>
      <c r="AA902">
        <v>0.99964580000000003</v>
      </c>
      <c r="AB902">
        <v>25</v>
      </c>
      <c r="AC902">
        <v>156.49689999999899</v>
      </c>
      <c r="AD902">
        <v>-1.110530237089</v>
      </c>
      <c r="AE902">
        <v>-2.7773000000000199</v>
      </c>
      <c r="AF902">
        <v>4.1686964222996101</v>
      </c>
      <c r="AG902">
        <v>-1.110530237089</v>
      </c>
      <c r="AH902">
        <v>156.45813723312801</v>
      </c>
      <c r="AI902">
        <v>90.406530820276998</v>
      </c>
      <c r="AJ902">
        <v>88.473762893576406</v>
      </c>
      <c r="AK902">
        <v>156.517602887755</v>
      </c>
      <c r="AL902">
        <v>84.163860421060406</v>
      </c>
      <c r="AM902">
        <v>96.118635228219404</v>
      </c>
      <c r="AN902">
        <v>0.99999997379379901</v>
      </c>
    </row>
    <row r="903" spans="1:40" x14ac:dyDescent="0.25">
      <c r="A903" t="str">
        <f>"20190304154741448"</f>
        <v>20190304154741448</v>
      </c>
      <c r="B903" t="str">
        <f>"1551685661438047"</f>
        <v>1551685661438047</v>
      </c>
      <c r="C903" t="s">
        <v>40</v>
      </c>
      <c r="D903">
        <v>4.2343219999999997</v>
      </c>
      <c r="E903">
        <v>0.54955690000000001</v>
      </c>
      <c r="F903" t="s">
        <v>53</v>
      </c>
      <c r="G903">
        <v>-201.02600000000001</v>
      </c>
      <c r="H903" s="1">
        <v>-2.237395E-6</v>
      </c>
      <c r="I903">
        <v>363.46949999999998</v>
      </c>
      <c r="J903">
        <v>-368.93200000000002</v>
      </c>
      <c r="K903">
        <v>1.1105240000000001</v>
      </c>
      <c r="L903">
        <v>366.39339999999999</v>
      </c>
      <c r="M903">
        <v>0.99990089999999998</v>
      </c>
      <c r="N903">
        <v>-1.0819219999999999E-2</v>
      </c>
      <c r="O903">
        <v>9.0039769999999998E-3</v>
      </c>
      <c r="P903">
        <v>0.98915090000000006</v>
      </c>
      <c r="Q903">
        <v>9.1487470000000001E-2</v>
      </c>
      <c r="R903">
        <v>0.11493630000000001</v>
      </c>
      <c r="S903">
        <v>3.0407099999999998</v>
      </c>
      <c r="T903">
        <v>-2.0095829999999999E-2</v>
      </c>
      <c r="U903">
        <v>-5.2886959999999997E-2</v>
      </c>
      <c r="V903">
        <v>-0.1060572</v>
      </c>
      <c r="W903">
        <v>0.1021615</v>
      </c>
      <c r="X903">
        <v>0.98909800000000003</v>
      </c>
      <c r="Y903">
        <v>2.6391169999999999E-2</v>
      </c>
      <c r="Z903">
        <v>-1.9207689999999999E-4</v>
      </c>
      <c r="AA903">
        <v>0.99965170000000003</v>
      </c>
      <c r="AB903">
        <v>25</v>
      </c>
      <c r="AC903">
        <v>167.90599999999901</v>
      </c>
      <c r="AD903">
        <v>-1.110526237395</v>
      </c>
      <c r="AE903">
        <v>-2.9239000000000002</v>
      </c>
      <c r="AF903">
        <v>4.4354977916336402</v>
      </c>
      <c r="AG903">
        <v>-1.110526237395</v>
      </c>
      <c r="AH903">
        <v>167.865523593413</v>
      </c>
      <c r="AI903">
        <v>90.378906506107299</v>
      </c>
      <c r="AJ903">
        <v>88.486430211893406</v>
      </c>
      <c r="AK903">
        <v>167.927784837632</v>
      </c>
      <c r="AL903">
        <v>84.136346967860106</v>
      </c>
      <c r="AM903">
        <v>96.120223379902498</v>
      </c>
      <c r="AN903">
        <v>0.99999997767904403</v>
      </c>
    </row>
    <row r="904" spans="1:40" x14ac:dyDescent="0.25">
      <c r="A904" t="str">
        <f>"20190304154741459"</f>
        <v>20190304154741459</v>
      </c>
      <c r="B904" t="str">
        <f>"1551685661447808"</f>
        <v>1551685661447808</v>
      </c>
      <c r="C904" t="s">
        <v>40</v>
      </c>
      <c r="D904">
        <v>4.2308009999999996</v>
      </c>
      <c r="E904">
        <v>0.54999790000000004</v>
      </c>
      <c r="F904" t="s">
        <v>53</v>
      </c>
      <c r="G904">
        <v>-182.27199999999999</v>
      </c>
      <c r="H904" s="1">
        <v>-7.0581100000000001E-6</v>
      </c>
      <c r="I904">
        <v>363.13380000000001</v>
      </c>
      <c r="J904">
        <v>-368.81799999999998</v>
      </c>
      <c r="K904">
        <v>1.110525</v>
      </c>
      <c r="L904">
        <v>366.39460000000003</v>
      </c>
      <c r="M904">
        <v>0.99990009999999996</v>
      </c>
      <c r="N904">
        <v>-1.0816299999999999E-2</v>
      </c>
      <c r="O904">
        <v>9.1016610000000005E-3</v>
      </c>
      <c r="P904">
        <v>0.98909119999999995</v>
      </c>
      <c r="Q904">
        <v>9.1992450000000003E-2</v>
      </c>
      <c r="R904">
        <v>0.1150481</v>
      </c>
      <c r="S904">
        <v>3.0407410000000001</v>
      </c>
      <c r="T904">
        <v>-1.809084E-2</v>
      </c>
      <c r="U904">
        <v>-5.3100590000000003E-2</v>
      </c>
      <c r="V904">
        <v>-0.1060724</v>
      </c>
      <c r="W904">
        <v>0.1026633</v>
      </c>
      <c r="X904">
        <v>0.98904440000000005</v>
      </c>
      <c r="Y904">
        <v>2.6559030000000001E-2</v>
      </c>
      <c r="Z904">
        <v>-1.783582E-4</v>
      </c>
      <c r="AA904">
        <v>0.99964730000000002</v>
      </c>
      <c r="AB904">
        <v>25</v>
      </c>
      <c r="AC904">
        <v>186.54599999999999</v>
      </c>
      <c r="AD904">
        <v>-1.11053205811</v>
      </c>
      <c r="AE904">
        <v>-3.2608000000000099</v>
      </c>
      <c r="AF904">
        <v>4.9584669905457597</v>
      </c>
      <c r="AG904">
        <v>-1.11053205811</v>
      </c>
      <c r="AH904">
        <v>186.50198418760701</v>
      </c>
      <c r="AI904">
        <v>90.341045018299596</v>
      </c>
      <c r="AJ904">
        <v>88.477054695116493</v>
      </c>
      <c r="AK904">
        <v>186.571192262533</v>
      </c>
      <c r="AL904">
        <v>84.107443905634895</v>
      </c>
      <c r="AM904">
        <v>96.1214230714791</v>
      </c>
      <c r="AN904">
        <v>0.99999996619000397</v>
      </c>
    </row>
    <row r="905" spans="1:40" x14ac:dyDescent="0.25">
      <c r="A905" t="str">
        <f>"20190304154741470"</f>
        <v>20190304154741470</v>
      </c>
      <c r="B905" t="str">
        <f>"1551685661457567"</f>
        <v>1551685661457567</v>
      </c>
      <c r="C905" t="s">
        <v>40</v>
      </c>
      <c r="D905">
        <v>4.2143930000000003</v>
      </c>
      <c r="E905">
        <v>0.55050189999999999</v>
      </c>
      <c r="F905" t="s">
        <v>43</v>
      </c>
      <c r="G905">
        <v>-158.19499999999999</v>
      </c>
      <c r="H905">
        <v>0.16386029999999999</v>
      </c>
      <c r="I905">
        <v>362.50310000000002</v>
      </c>
      <c r="J905">
        <v>-368.69560000000001</v>
      </c>
      <c r="K905">
        <v>1.1105229999999999</v>
      </c>
      <c r="L905">
        <v>366.39580000000001</v>
      </c>
      <c r="M905">
        <v>0.99989910000000004</v>
      </c>
      <c r="N905">
        <v>-1.0812850000000001E-2</v>
      </c>
      <c r="O905">
        <v>9.206021E-3</v>
      </c>
      <c r="P905">
        <v>0.98906470000000002</v>
      </c>
      <c r="Q905">
        <v>9.2108259999999997E-2</v>
      </c>
      <c r="R905">
        <v>0.11518249999999999</v>
      </c>
      <c r="S905">
        <v>3.0408330000000001</v>
      </c>
      <c r="T905">
        <v>-1.3666029999999999E-2</v>
      </c>
      <c r="U905">
        <v>-5.6182860000000001E-2</v>
      </c>
      <c r="V905">
        <v>-0.10610319999999999</v>
      </c>
      <c r="W905">
        <v>0.1027762</v>
      </c>
      <c r="X905">
        <v>0.98902939999999995</v>
      </c>
      <c r="Y905">
        <v>2.7676059999999999E-2</v>
      </c>
      <c r="Z905">
        <v>-1.53666E-4</v>
      </c>
      <c r="AA905">
        <v>0.99961690000000003</v>
      </c>
      <c r="AB905">
        <v>25</v>
      </c>
      <c r="AC905">
        <v>210.50059999999999</v>
      </c>
      <c r="AD905">
        <v>-0.94666269999999997</v>
      </c>
      <c r="AE905">
        <v>-3.8926999999999898</v>
      </c>
      <c r="AF905">
        <v>5.8304035015225004</v>
      </c>
      <c r="AG905">
        <v>-0.94666269999999997</v>
      </c>
      <c r="AH905">
        <v>210.451585459646</v>
      </c>
      <c r="AI905">
        <v>90.257629841915403</v>
      </c>
      <c r="AJ905">
        <v>88.413069275696202</v>
      </c>
      <c r="AK905">
        <v>210.53446178176301</v>
      </c>
      <c r="AL905">
        <v>84.100940984470199</v>
      </c>
      <c r="AM905">
        <v>96.123279195227596</v>
      </c>
      <c r="AN905">
        <v>0.99999999520051996</v>
      </c>
    </row>
    <row r="906" spans="1:40" x14ac:dyDescent="0.25">
      <c r="A906" t="str">
        <f>"20190304154741480"</f>
        <v>20190304154741480</v>
      </c>
      <c r="B906" t="str">
        <f>"1551685661478063"</f>
        <v>1551685661478063</v>
      </c>
      <c r="C906" t="s">
        <v>40</v>
      </c>
      <c r="D906">
        <v>4.2084769999999896</v>
      </c>
      <c r="E906">
        <v>0.55135429999999996</v>
      </c>
      <c r="F906" t="s">
        <v>43</v>
      </c>
      <c r="G906">
        <v>-158.19499999999999</v>
      </c>
      <c r="H906">
        <v>0.40570119999999998</v>
      </c>
      <c r="I906">
        <v>362.24919999999997</v>
      </c>
      <c r="J906">
        <v>-368.57709999999997</v>
      </c>
      <c r="K906">
        <v>1.11052</v>
      </c>
      <c r="L906">
        <v>366.39699999999999</v>
      </c>
      <c r="M906">
        <v>0.99989830000000002</v>
      </c>
      <c r="N906">
        <v>-1.0809350000000001E-2</v>
      </c>
      <c r="O906">
        <v>9.3046589999999998E-3</v>
      </c>
      <c r="P906">
        <v>0.98903050000000003</v>
      </c>
      <c r="Q906">
        <v>9.2114689999999999E-2</v>
      </c>
      <c r="R906">
        <v>0.1154708</v>
      </c>
      <c r="S906">
        <v>3.0411069999999998</v>
      </c>
      <c r="T906">
        <v>-1.0181310000000001E-2</v>
      </c>
      <c r="U906">
        <v>-5.9906010000000003E-2</v>
      </c>
      <c r="V906">
        <v>-0.1062937</v>
      </c>
      <c r="W906">
        <v>0.1027791</v>
      </c>
      <c r="X906">
        <v>0.98900869999999996</v>
      </c>
      <c r="Y906">
        <v>2.899653E-2</v>
      </c>
      <c r="Z906">
        <v>-1.3585069999999999E-4</v>
      </c>
      <c r="AA906">
        <v>0.99957949999999995</v>
      </c>
      <c r="AB906">
        <v>25</v>
      </c>
      <c r="AC906">
        <v>210.38210000000001</v>
      </c>
      <c r="AD906">
        <v>-0.70481879999999997</v>
      </c>
      <c r="AE906">
        <v>-4.1478000000000099</v>
      </c>
      <c r="AF906">
        <v>6.1051999701343904</v>
      </c>
      <c r="AG906">
        <v>-0.70481879999999997</v>
      </c>
      <c r="AH906">
        <v>210.332035734486</v>
      </c>
      <c r="AI906">
        <v>90.191915558918893</v>
      </c>
      <c r="AJ906">
        <v>88.337371673485407</v>
      </c>
      <c r="AK906">
        <v>210.42180374768401</v>
      </c>
      <c r="AL906">
        <v>84.100774274621003</v>
      </c>
      <c r="AM906">
        <v>96.134316731368102</v>
      </c>
      <c r="AN906">
        <v>1.00000005136609</v>
      </c>
    </row>
    <row r="907" spans="1:40" x14ac:dyDescent="0.25">
      <c r="A907" t="str">
        <f>"20190304154741492"</f>
        <v>20190304154741492</v>
      </c>
      <c r="B907" t="str">
        <f>"1551685661487822"</f>
        <v>1551685661487822</v>
      </c>
      <c r="C907" t="s">
        <v>40</v>
      </c>
      <c r="D907">
        <v>4.2176489999999998</v>
      </c>
      <c r="E907">
        <v>0.55168899999999998</v>
      </c>
      <c r="F907" t="s">
        <v>43</v>
      </c>
      <c r="G907">
        <v>-158.19499999999999</v>
      </c>
      <c r="H907">
        <v>0.7915063</v>
      </c>
      <c r="I907">
        <v>361.85419999999999</v>
      </c>
      <c r="J907">
        <v>-368.45400000000001</v>
      </c>
      <c r="K907">
        <v>1.110517</v>
      </c>
      <c r="L907">
        <v>366.39830000000001</v>
      </c>
      <c r="M907">
        <v>0.99989740000000005</v>
      </c>
      <c r="N907">
        <v>-1.080571E-2</v>
      </c>
      <c r="O907">
        <v>9.406335E-3</v>
      </c>
      <c r="P907">
        <v>0.98899749999999997</v>
      </c>
      <c r="Q907">
        <v>9.2177410000000001E-2</v>
      </c>
      <c r="R907">
        <v>0.11570320000000001</v>
      </c>
      <c r="S907">
        <v>3.041382</v>
      </c>
      <c r="T907">
        <v>-4.610538E-3</v>
      </c>
      <c r="U907">
        <v>-6.5673830000000002E-2</v>
      </c>
      <c r="V907">
        <v>-0.10642509999999999</v>
      </c>
      <c r="W907">
        <v>0.1028384</v>
      </c>
      <c r="X907">
        <v>0.98898830000000004</v>
      </c>
      <c r="Y907">
        <v>3.099143E-2</v>
      </c>
      <c r="Z907">
        <v>-1.035809E-4</v>
      </c>
      <c r="AA907">
        <v>0.99951959999999995</v>
      </c>
      <c r="AB907">
        <v>25</v>
      </c>
      <c r="AC907">
        <v>210.25899999999999</v>
      </c>
      <c r="AD907">
        <v>-0.31901069999999998</v>
      </c>
      <c r="AE907">
        <v>-4.54410000000001</v>
      </c>
      <c r="AF907">
        <v>6.5217659508727897</v>
      </c>
      <c r="AG907">
        <v>-0.31901069999999998</v>
      </c>
      <c r="AH907">
        <v>210.206467454598</v>
      </c>
      <c r="AI907">
        <v>90.086910561092296</v>
      </c>
      <c r="AJ907">
        <v>88.222938420335396</v>
      </c>
      <c r="AK907">
        <v>210.30785567516401</v>
      </c>
      <c r="AL907">
        <v>84.097357923138901</v>
      </c>
      <c r="AM907">
        <v>96.141967755251301</v>
      </c>
      <c r="AN907">
        <v>0.999999947980728</v>
      </c>
    </row>
    <row r="908" spans="1:40" x14ac:dyDescent="0.25">
      <c r="A908" t="str">
        <f>"20190304154741503"</f>
        <v>20190304154741503</v>
      </c>
      <c r="B908" t="str">
        <f>"1551685661497583"</f>
        <v>1551685661497583</v>
      </c>
      <c r="C908" t="s">
        <v>40</v>
      </c>
      <c r="D908">
        <v>4.1986299999999996</v>
      </c>
      <c r="E908">
        <v>0.55202649999999998</v>
      </c>
      <c r="F908" t="s">
        <v>43</v>
      </c>
      <c r="G908">
        <v>-158.19499999999999</v>
      </c>
      <c r="H908">
        <v>0.95494749999999995</v>
      </c>
      <c r="I908">
        <v>361.72109999999998</v>
      </c>
      <c r="J908">
        <v>-368.3152</v>
      </c>
      <c r="K908">
        <v>1.1105130000000001</v>
      </c>
      <c r="L908">
        <v>366.3997</v>
      </c>
      <c r="M908">
        <v>0.99989649999999997</v>
      </c>
      <c r="N908">
        <v>-1.080188E-2</v>
      </c>
      <c r="O908">
        <v>9.5169429999999999E-3</v>
      </c>
      <c r="P908">
        <v>0.9889751</v>
      </c>
      <c r="Q908">
        <v>9.2108979999999993E-2</v>
      </c>
      <c r="R908">
        <v>0.1159505</v>
      </c>
      <c r="S908">
        <v>3.0415040000000002</v>
      </c>
      <c r="T908">
        <v>-2.2491220000000001E-3</v>
      </c>
      <c r="U908">
        <v>-6.7657469999999997E-2</v>
      </c>
      <c r="V908">
        <v>-0.1065622</v>
      </c>
      <c r="W908">
        <v>0.1027672</v>
      </c>
      <c r="X908">
        <v>0.988981</v>
      </c>
      <c r="Y908">
        <v>3.175277E-2</v>
      </c>
      <c r="Z908" s="1">
        <v>-8.7507070000000006E-5</v>
      </c>
      <c r="AA908">
        <v>0.99949569999999999</v>
      </c>
      <c r="AB908">
        <v>25</v>
      </c>
      <c r="AC908">
        <v>210.12020000000001</v>
      </c>
      <c r="AD908">
        <v>-0.155565499999999</v>
      </c>
      <c r="AE908">
        <v>-4.6786000000000101</v>
      </c>
      <c r="AF908">
        <v>6.6782028126521</v>
      </c>
      <c r="AG908">
        <v>-0.155565499999999</v>
      </c>
      <c r="AH908">
        <v>210.06603950182699</v>
      </c>
      <c r="AI908">
        <v>90.042409254904499</v>
      </c>
      <c r="AJ908">
        <v>88.179124953789994</v>
      </c>
      <c r="AK908">
        <v>210.17222353445001</v>
      </c>
      <c r="AL908">
        <v>84.101459473822302</v>
      </c>
      <c r="AM908">
        <v>96.149864476432995</v>
      </c>
      <c r="AN908">
        <v>1.00000000911284</v>
      </c>
    </row>
    <row r="909" spans="1:40" x14ac:dyDescent="0.25">
      <c r="A909" t="str">
        <f>"20190304154741515"</f>
        <v>20190304154741515</v>
      </c>
      <c r="B909" t="str">
        <f>"1551685661507851"</f>
        <v>1551685661507851</v>
      </c>
      <c r="C909" t="s">
        <v>40</v>
      </c>
      <c r="D909">
        <v>4.1974660000000004</v>
      </c>
      <c r="E909">
        <v>0.55236019999999997</v>
      </c>
      <c r="F909" t="s">
        <v>43</v>
      </c>
      <c r="G909">
        <v>-158.19499999999999</v>
      </c>
      <c r="H909">
        <v>1.0516920000000001</v>
      </c>
      <c r="I909">
        <v>361.60989999999998</v>
      </c>
      <c r="J909">
        <v>-368.19189999999998</v>
      </c>
      <c r="K909">
        <v>1.1105080000000001</v>
      </c>
      <c r="L909">
        <v>366.40100000000001</v>
      </c>
      <c r="M909">
        <v>0.9998956</v>
      </c>
      <c r="N909">
        <v>-1.0798530000000001E-2</v>
      </c>
      <c r="O909">
        <v>9.6137229999999994E-3</v>
      </c>
      <c r="P909">
        <v>0.98894979999999999</v>
      </c>
      <c r="Q909">
        <v>9.1986310000000002E-2</v>
      </c>
      <c r="R909">
        <v>0.11626300000000001</v>
      </c>
      <c r="S909">
        <v>3.0416560000000001</v>
      </c>
      <c r="T909">
        <v>-8.5020069999999998E-4</v>
      </c>
      <c r="U909">
        <v>-6.9335939999999999E-2</v>
      </c>
      <c r="V909">
        <v>-0.1067786</v>
      </c>
      <c r="W909">
        <v>0.1026415</v>
      </c>
      <c r="X909">
        <v>0.98897069999999998</v>
      </c>
      <c r="Y909">
        <v>3.239968E-2</v>
      </c>
      <c r="Z909" s="1">
        <v>-7.8374900000000001E-5</v>
      </c>
      <c r="AA909">
        <v>0.999475</v>
      </c>
      <c r="AB909">
        <v>25</v>
      </c>
      <c r="AC909">
        <v>209.99690000000001</v>
      </c>
      <c r="AD909">
        <v>-5.8815999999999903E-2</v>
      </c>
      <c r="AE909">
        <v>-4.7911000000000197</v>
      </c>
      <c r="AF909">
        <v>6.8098475296768797</v>
      </c>
      <c r="AG909">
        <v>-5.8815999999999903E-2</v>
      </c>
      <c r="AH909">
        <v>209.94111485556999</v>
      </c>
      <c r="AI909">
        <v>90.016043246443502</v>
      </c>
      <c r="AJ909">
        <v>88.142151586446303</v>
      </c>
      <c r="AK909">
        <v>210.051539364744</v>
      </c>
      <c r="AL909">
        <v>84.108699764493096</v>
      </c>
      <c r="AM909">
        <v>96.162320941137907</v>
      </c>
      <c r="AN909">
        <v>0.99999999619934998</v>
      </c>
    </row>
    <row r="910" spans="1:40" x14ac:dyDescent="0.25">
      <c r="A910" t="str">
        <f>"20190304154741526"</f>
        <v>20190304154741526</v>
      </c>
      <c r="B910" t="str">
        <f>"1551685661517612"</f>
        <v>1551685661517612</v>
      </c>
      <c r="C910" t="s">
        <v>40</v>
      </c>
      <c r="D910">
        <v>4.2356819999999997</v>
      </c>
      <c r="E910">
        <v>0.55263609999999996</v>
      </c>
      <c r="F910" t="s">
        <v>43</v>
      </c>
      <c r="G910">
        <v>-158.19499999999999</v>
      </c>
      <c r="H910">
        <v>1.1072519999999999</v>
      </c>
      <c r="I910">
        <v>361.5027</v>
      </c>
      <c r="J910">
        <v>-368.06549999999999</v>
      </c>
      <c r="K910">
        <v>1.110495</v>
      </c>
      <c r="L910">
        <v>366.40230000000003</v>
      </c>
      <c r="M910">
        <v>0.99989470000000003</v>
      </c>
      <c r="N910">
        <v>-1.079521E-2</v>
      </c>
      <c r="O910">
        <v>9.7101380000000001E-3</v>
      </c>
      <c r="P910">
        <v>0.98889459999999996</v>
      </c>
      <c r="Q910">
        <v>9.1944250000000005E-2</v>
      </c>
      <c r="R910">
        <v>0.1167643</v>
      </c>
      <c r="S910">
        <v>3.0418699999999999</v>
      </c>
      <c r="T910" s="1">
        <v>-4.589558E-5</v>
      </c>
      <c r="U910">
        <v>-7.0953370000000002E-2</v>
      </c>
      <c r="V910">
        <v>-0.10718419999999999</v>
      </c>
      <c r="W910">
        <v>0.10259649999999999</v>
      </c>
      <c r="X910">
        <v>0.98893149999999996</v>
      </c>
      <c r="Y910">
        <v>3.302563E-2</v>
      </c>
      <c r="Z910" s="1">
        <v>-7.3874279999999997E-5</v>
      </c>
      <c r="AA910">
        <v>0.99945450000000002</v>
      </c>
      <c r="AB910">
        <v>25</v>
      </c>
      <c r="AC910">
        <v>209.87049999999999</v>
      </c>
      <c r="AD910">
        <v>-3.2429999999998801E-3</v>
      </c>
      <c r="AE910">
        <v>-4.8996000000000199</v>
      </c>
      <c r="AF910">
        <v>6.9373590141453798</v>
      </c>
      <c r="AG910">
        <v>-3.2429999999998801E-3</v>
      </c>
      <c r="AH910">
        <v>209.81302600001899</v>
      </c>
      <c r="AI910">
        <v>90.000885115334597</v>
      </c>
      <c r="AJ910">
        <v>88.106234656498501</v>
      </c>
      <c r="AK910">
        <v>209.92768478667301</v>
      </c>
      <c r="AL910">
        <v>84.111291799284203</v>
      </c>
      <c r="AM910">
        <v>96.185790775206101</v>
      </c>
      <c r="AN910">
        <v>1.0000000031170699</v>
      </c>
    </row>
    <row r="911" spans="1:40" x14ac:dyDescent="0.25">
      <c r="A911" t="str">
        <f>"20190304154741537"</f>
        <v>20190304154741537</v>
      </c>
      <c r="B911" t="str">
        <f>"1551685661527372"</f>
        <v>1551685661527372</v>
      </c>
      <c r="C911" t="s">
        <v>40</v>
      </c>
      <c r="D911">
        <v>4.2008269999999897</v>
      </c>
      <c r="E911">
        <v>0.55289049999999995</v>
      </c>
      <c r="F911" t="s">
        <v>43</v>
      </c>
      <c r="G911">
        <v>-158.19499999999999</v>
      </c>
      <c r="H911">
        <v>1.1946319999999999</v>
      </c>
      <c r="I911">
        <v>361.45260000000002</v>
      </c>
      <c r="J911">
        <v>-367.94749999999999</v>
      </c>
      <c r="K911">
        <v>1.11049</v>
      </c>
      <c r="L911">
        <v>366.40359999999998</v>
      </c>
      <c r="M911">
        <v>0.99989399999999995</v>
      </c>
      <c r="N911">
        <v>-1.079226E-2</v>
      </c>
      <c r="O911">
        <v>9.7971900000000008E-3</v>
      </c>
      <c r="P911">
        <v>0.98885069999999997</v>
      </c>
      <c r="Q911">
        <v>9.1946009999999995E-2</v>
      </c>
      <c r="R911">
        <v>0.1171355</v>
      </c>
      <c r="S911">
        <v>3.0420530000000001</v>
      </c>
      <c r="T911">
        <v>1.2208220000000001E-3</v>
      </c>
      <c r="U911">
        <v>-7.1746829999999998E-2</v>
      </c>
      <c r="V911">
        <v>-0.1074686</v>
      </c>
      <c r="W911">
        <v>0.10259600000000001</v>
      </c>
      <c r="X911">
        <v>0.98890069999999997</v>
      </c>
      <c r="Y911">
        <v>3.3371810000000002E-2</v>
      </c>
      <c r="Z911" s="1">
        <v>-6.376175E-5</v>
      </c>
      <c r="AA911">
        <v>0.99944299999999997</v>
      </c>
      <c r="AB911">
        <v>25</v>
      </c>
      <c r="AC911">
        <v>209.7525</v>
      </c>
      <c r="AD911">
        <v>8.4141999999999897E-2</v>
      </c>
      <c r="AE911">
        <v>-4.9509999999999597</v>
      </c>
      <c r="AF911">
        <v>7.00586552819028</v>
      </c>
      <c r="AG911">
        <v>8.4141999999999897E-2</v>
      </c>
      <c r="AH911">
        <v>209.693889624142</v>
      </c>
      <c r="AI911">
        <v>89.977022254541197</v>
      </c>
      <c r="AJ911">
        <v>88.086461776104002</v>
      </c>
      <c r="AK911">
        <v>209.81090671692201</v>
      </c>
      <c r="AL911">
        <v>84.111320680192193</v>
      </c>
      <c r="AM911">
        <v>96.202267921796306</v>
      </c>
      <c r="AN911">
        <v>1.00000001683122</v>
      </c>
    </row>
    <row r="912" spans="1:40" x14ac:dyDescent="0.25">
      <c r="A912" t="str">
        <f>"20190304154741547"</f>
        <v>20190304154741547</v>
      </c>
      <c r="B912" t="str">
        <f>"1551685661538108"</f>
        <v>1551685661538108</v>
      </c>
      <c r="C912" t="s">
        <v>40</v>
      </c>
      <c r="D912">
        <v>4.2419260000000003</v>
      </c>
      <c r="E912">
        <v>0.553183599999999</v>
      </c>
      <c r="F912" t="s">
        <v>43</v>
      </c>
      <c r="G912">
        <v>-158.19499999999999</v>
      </c>
      <c r="H912">
        <v>1.290635</v>
      </c>
      <c r="I912">
        <v>361.40839999999997</v>
      </c>
      <c r="J912">
        <v>-367.82440000000003</v>
      </c>
      <c r="K912">
        <v>1.1104830000000001</v>
      </c>
      <c r="L912">
        <v>366.4049</v>
      </c>
      <c r="M912">
        <v>0.99989300000000003</v>
      </c>
      <c r="N912">
        <v>-1.078932E-2</v>
      </c>
      <c r="O912">
        <v>9.8857259999999992E-3</v>
      </c>
      <c r="P912">
        <v>0.98881359999999996</v>
      </c>
      <c r="Q912">
        <v>9.1736120000000004E-2</v>
      </c>
      <c r="R912">
        <v>0.1176099</v>
      </c>
      <c r="S912">
        <v>3.0421749999999999</v>
      </c>
      <c r="T912">
        <v>2.6140209999999998E-3</v>
      </c>
      <c r="U912">
        <v>-7.2448730000000003E-2</v>
      </c>
      <c r="V912">
        <v>-0.107855199999999</v>
      </c>
      <c r="W912">
        <v>0.1023835</v>
      </c>
      <c r="X912">
        <v>0.9888806</v>
      </c>
      <c r="Y912">
        <v>3.3689839999999999E-2</v>
      </c>
      <c r="Z912" s="1">
        <v>-5.2164289999999997E-5</v>
      </c>
      <c r="AA912">
        <v>0.99943230000000005</v>
      </c>
      <c r="AB912">
        <v>25</v>
      </c>
      <c r="AC912">
        <v>209.6294</v>
      </c>
      <c r="AD912">
        <v>0.18015200000000001</v>
      </c>
      <c r="AE912">
        <v>-4.9965000000000197</v>
      </c>
      <c r="AF912">
        <v>7.0687098866761202</v>
      </c>
      <c r="AG912">
        <v>0.18015200000000001</v>
      </c>
      <c r="AH912">
        <v>209.569603682723</v>
      </c>
      <c r="AI912">
        <v>89.950774921695299</v>
      </c>
      <c r="AJ912">
        <v>88.068165659857698</v>
      </c>
      <c r="AK912">
        <v>209.688859746861</v>
      </c>
      <c r="AL912">
        <v>84.123560288603301</v>
      </c>
      <c r="AM912">
        <v>96.224530227654498</v>
      </c>
      <c r="AN912">
        <v>0.99999998314782401</v>
      </c>
    </row>
    <row r="913" spans="1:40" x14ac:dyDescent="0.25">
      <c r="A913" t="str">
        <f>"20190304154741561"</f>
        <v>20190304154741561</v>
      </c>
      <c r="B913" t="str">
        <f>"1551685661557627"</f>
        <v>1551685661557627</v>
      </c>
      <c r="C913" t="s">
        <v>40</v>
      </c>
      <c r="D913">
        <v>4.354622</v>
      </c>
      <c r="E913">
        <v>0.55312609999999995</v>
      </c>
      <c r="F913" t="s">
        <v>43</v>
      </c>
      <c r="G913">
        <v>-158.19499999999999</v>
      </c>
      <c r="H913">
        <v>1.3469819999999999</v>
      </c>
      <c r="I913">
        <v>361.3372</v>
      </c>
      <c r="J913">
        <v>-367.68060000000003</v>
      </c>
      <c r="K913">
        <v>1.110482</v>
      </c>
      <c r="L913">
        <v>366.40640000000002</v>
      </c>
      <c r="M913">
        <v>0.999892</v>
      </c>
      <c r="N913">
        <v>-1.0786240000000001E-2</v>
      </c>
      <c r="O913">
        <v>9.9827660000000006E-3</v>
      </c>
      <c r="P913">
        <v>0.98876810000000004</v>
      </c>
      <c r="Q913">
        <v>9.1670710000000002E-2</v>
      </c>
      <c r="R913">
        <v>0.1180435</v>
      </c>
      <c r="S913">
        <v>3.0423580000000001</v>
      </c>
      <c r="T913">
        <v>3.4335849999999998E-3</v>
      </c>
      <c r="U913">
        <v>-7.3547360000000006E-2</v>
      </c>
      <c r="V913">
        <v>-0.1081913</v>
      </c>
      <c r="W913">
        <v>0.10231609999999999</v>
      </c>
      <c r="X913">
        <v>0.98885089999999998</v>
      </c>
      <c r="Y913">
        <v>3.4146099999999999E-2</v>
      </c>
      <c r="Z913" s="1">
        <v>-4.5993409999999898E-5</v>
      </c>
      <c r="AA913">
        <v>0.99941679999999999</v>
      </c>
      <c r="AB913">
        <v>25</v>
      </c>
      <c r="AC913">
        <v>209.48560000000001</v>
      </c>
      <c r="AD913">
        <v>0.23649999999999999</v>
      </c>
      <c r="AE913">
        <v>-5.0692000000000199</v>
      </c>
      <c r="AF913">
        <v>7.1603056323601102</v>
      </c>
      <c r="AG913">
        <v>0.23649999999999999</v>
      </c>
      <c r="AH913">
        <v>209.42428597219799</v>
      </c>
      <c r="AI913">
        <v>89.935334467825697</v>
      </c>
      <c r="AJ913">
        <v>88.0417956681124</v>
      </c>
      <c r="AK913">
        <v>209.546790631504</v>
      </c>
      <c r="AL913">
        <v>84.127442640686397</v>
      </c>
      <c r="AM913">
        <v>96.243960286676298</v>
      </c>
      <c r="AN913">
        <v>1.00000002207285</v>
      </c>
    </row>
    <row r="914" spans="1:40" x14ac:dyDescent="0.25">
      <c r="A914" t="str">
        <f>"20190304154741583"</f>
        <v>20190304154741583</v>
      </c>
      <c r="B914" t="str">
        <f>"1551685661578124"</f>
        <v>1551685661578124</v>
      </c>
      <c r="C914" t="s">
        <v>40</v>
      </c>
      <c r="D914">
        <v>4.1919129999999996</v>
      </c>
      <c r="E914">
        <v>0.56176419999999905</v>
      </c>
      <c r="F914" t="s">
        <v>43</v>
      </c>
      <c r="G914">
        <v>-158.19499999999999</v>
      </c>
      <c r="H914">
        <v>1.2435620000000001</v>
      </c>
      <c r="I914">
        <v>361.4769</v>
      </c>
      <c r="J914">
        <v>-367.4477</v>
      </c>
      <c r="K914">
        <v>1.110473</v>
      </c>
      <c r="L914">
        <v>366.40890000000002</v>
      </c>
      <c r="M914">
        <v>0.99989059999999996</v>
      </c>
      <c r="N914">
        <v>-1.0781840000000001E-2</v>
      </c>
      <c r="O914">
        <v>1.012826E-2</v>
      </c>
      <c r="P914">
        <v>0.98869359999999995</v>
      </c>
      <c r="Q914">
        <v>9.1859330000000003E-2</v>
      </c>
      <c r="R914">
        <v>0.1185203</v>
      </c>
      <c r="S914">
        <v>3.0424500000000001</v>
      </c>
      <c r="T914">
        <v>1.9340519999999999E-3</v>
      </c>
      <c r="U914">
        <v>-7.1594240000000003E-2</v>
      </c>
      <c r="V914">
        <v>-0.10852249999999999</v>
      </c>
      <c r="W914">
        <v>0.1025026</v>
      </c>
      <c r="X914">
        <v>0.98879530000000004</v>
      </c>
      <c r="Y914">
        <v>3.3649560000000002E-2</v>
      </c>
      <c r="Z914" s="1">
        <v>-5.5113340000000002E-5</v>
      </c>
      <c r="AA914">
        <v>0.99943369999999998</v>
      </c>
      <c r="AB914">
        <v>25</v>
      </c>
      <c r="AC914">
        <v>209.2527</v>
      </c>
      <c r="AD914">
        <v>0.13308900000000001</v>
      </c>
      <c r="AE914">
        <v>-4.9320000000000102</v>
      </c>
      <c r="AF914">
        <v>7.05123305091257</v>
      </c>
      <c r="AG914">
        <v>0.13308900000000001</v>
      </c>
      <c r="AH914">
        <v>209.19192567689899</v>
      </c>
      <c r="AI914">
        <v>89.963568819547802</v>
      </c>
      <c r="AJ914">
        <v>88.069461850900893</v>
      </c>
      <c r="AK914">
        <v>209.31077222309699</v>
      </c>
      <c r="AL914">
        <v>84.116700550199099</v>
      </c>
      <c r="AM914">
        <v>96.263272275984093</v>
      </c>
      <c r="AN914">
        <v>1.0000000306575401</v>
      </c>
    </row>
    <row r="915" spans="1:40" x14ac:dyDescent="0.25">
      <c r="A915" t="str">
        <f>"20190304154741594"</f>
        <v>20190304154741594</v>
      </c>
      <c r="B915" t="str">
        <f>"1551685661587883"</f>
        <v>1551685661587883</v>
      </c>
      <c r="C915" t="s">
        <v>40</v>
      </c>
      <c r="D915">
        <v>4.1994020000000001</v>
      </c>
      <c r="E915">
        <v>0.56160779999999999</v>
      </c>
      <c r="F915" t="s">
        <v>43</v>
      </c>
      <c r="G915">
        <v>-158.19499999999999</v>
      </c>
      <c r="H915">
        <v>5.1761679999999997</v>
      </c>
      <c r="I915">
        <v>356.97239999999999</v>
      </c>
      <c r="J915">
        <v>-367.31290000000001</v>
      </c>
      <c r="K915">
        <v>1.1104670000000001</v>
      </c>
      <c r="L915">
        <v>366.41039999999998</v>
      </c>
      <c r="M915">
        <v>0.99988999999999995</v>
      </c>
      <c r="N915">
        <v>-1.077964E-2</v>
      </c>
      <c r="O915">
        <v>1.0205850000000001E-2</v>
      </c>
      <c r="P915">
        <v>0.98863109999999998</v>
      </c>
      <c r="Q915">
        <v>9.2138310000000001E-2</v>
      </c>
      <c r="R915">
        <v>0.11882529999999999</v>
      </c>
      <c r="S915">
        <v>3.0452270000000001</v>
      </c>
      <c r="T915">
        <v>5.9168819999999997E-2</v>
      </c>
      <c r="U915">
        <v>-0.13732910000000001</v>
      </c>
      <c r="V915">
        <v>-0.1087495</v>
      </c>
      <c r="W915">
        <v>0.102781</v>
      </c>
      <c r="X915">
        <v>0.98874150000000005</v>
      </c>
      <c r="Y915">
        <v>5.5235180000000002E-2</v>
      </c>
      <c r="Z915">
        <v>5.4653799999999995E-4</v>
      </c>
      <c r="AA915">
        <v>0.99847319999999995</v>
      </c>
      <c r="AB915">
        <v>25</v>
      </c>
      <c r="AC915">
        <v>209.11789999999999</v>
      </c>
      <c r="AD915">
        <v>4.0657009999999998</v>
      </c>
      <c r="AE915">
        <v>-9.4379999999999793</v>
      </c>
      <c r="AF915">
        <v>11.5674943439156</v>
      </c>
      <c r="AG915">
        <v>4.0657009999999998</v>
      </c>
      <c r="AH915">
        <v>208.93186417359101</v>
      </c>
      <c r="AI915">
        <v>88.886900082891998</v>
      </c>
      <c r="AJ915">
        <v>86.831059437536098</v>
      </c>
      <c r="AK915">
        <v>209.291329770418</v>
      </c>
      <c r="AL915">
        <v>84.100664947911895</v>
      </c>
      <c r="AM915">
        <v>96.276607702294001</v>
      </c>
      <c r="AN915">
        <v>1.00000007076674</v>
      </c>
    </row>
    <row r="916" spans="1:40" x14ac:dyDescent="0.25">
      <c r="A916" t="str">
        <f>"20190304154741607"</f>
        <v>20190304154741607</v>
      </c>
      <c r="B916" t="str">
        <f>"1551685661597644"</f>
        <v>1551685661597644</v>
      </c>
      <c r="C916" t="s">
        <v>40</v>
      </c>
      <c r="D916">
        <v>4.1918100000000003</v>
      </c>
      <c r="E916">
        <v>0.56188490000000002</v>
      </c>
      <c r="F916" t="s">
        <v>43</v>
      </c>
      <c r="G916">
        <v>-158.19499999999999</v>
      </c>
      <c r="H916">
        <v>4.9203380000000001</v>
      </c>
      <c r="I916">
        <v>357.113</v>
      </c>
      <c r="J916">
        <v>-367.15969999999999</v>
      </c>
      <c r="K916">
        <v>1.11046</v>
      </c>
      <c r="L916">
        <v>366.41199999999998</v>
      </c>
      <c r="M916">
        <v>0.99988909999999998</v>
      </c>
      <c r="N916">
        <v>-1.077757E-2</v>
      </c>
      <c r="O916">
        <v>1.0285910000000001E-2</v>
      </c>
      <c r="P916">
        <v>0.98859819999999998</v>
      </c>
      <c r="Q916">
        <v>9.2478959999999999E-2</v>
      </c>
      <c r="R916">
        <v>0.1188342</v>
      </c>
      <c r="S916">
        <v>3.0455930000000002</v>
      </c>
      <c r="T916">
        <v>5.5488229999999999E-2</v>
      </c>
      <c r="U916">
        <v>-0.13540650000000001</v>
      </c>
      <c r="V916">
        <v>-0.1086773</v>
      </c>
      <c r="W916">
        <v>0.1031215</v>
      </c>
      <c r="X916">
        <v>0.98871390000000003</v>
      </c>
      <c r="Y916">
        <v>5.4681929999999997E-2</v>
      </c>
      <c r="Z916">
        <v>5.0109679999999998E-4</v>
      </c>
      <c r="AA916">
        <v>0.99850369999999999</v>
      </c>
      <c r="AB916">
        <v>25</v>
      </c>
      <c r="AC916">
        <v>208.96469999999999</v>
      </c>
      <c r="AD916">
        <v>3.8098779999999999</v>
      </c>
      <c r="AE916">
        <v>-9.2989999999999196</v>
      </c>
      <c r="AF916">
        <v>11.444228096219801</v>
      </c>
      <c r="AG916">
        <v>3.8098779999999999</v>
      </c>
      <c r="AH916">
        <v>208.78872332974001</v>
      </c>
      <c r="AI916">
        <v>88.956176210917207</v>
      </c>
      <c r="AJ916">
        <v>86.862615609675601</v>
      </c>
      <c r="AK916">
        <v>209.13683682401799</v>
      </c>
      <c r="AL916">
        <v>84.081051024852201</v>
      </c>
      <c r="AM916">
        <v>96.2726475194561</v>
      </c>
      <c r="AN916">
        <v>0.99999998767537501</v>
      </c>
    </row>
    <row r="917" spans="1:40" x14ac:dyDescent="0.25">
      <c r="A917" t="str">
        <f>"20190304154741618"</f>
        <v>20190304154741618</v>
      </c>
      <c r="B917" t="str">
        <f>"1551685661607911"</f>
        <v>1551685661607911</v>
      </c>
      <c r="C917" t="s">
        <v>40</v>
      </c>
      <c r="D917">
        <v>4.1671620000000003</v>
      </c>
      <c r="E917">
        <v>0.56216239999999995</v>
      </c>
      <c r="F917" t="s">
        <v>43</v>
      </c>
      <c r="G917">
        <v>-158.19499999999999</v>
      </c>
      <c r="H917">
        <v>5.340344</v>
      </c>
      <c r="I917">
        <v>356.99299999999999</v>
      </c>
      <c r="J917">
        <v>-367.03519999999997</v>
      </c>
      <c r="K917">
        <v>1.1104529999999999</v>
      </c>
      <c r="L917">
        <v>366.41340000000002</v>
      </c>
      <c r="M917">
        <v>0.99988849999999996</v>
      </c>
      <c r="N917">
        <v>-1.077614E-2</v>
      </c>
      <c r="O917">
        <v>1.034387E-2</v>
      </c>
      <c r="P917">
        <v>0.98858610000000002</v>
      </c>
      <c r="Q917">
        <v>9.2612890000000003E-2</v>
      </c>
      <c r="R917">
        <v>0.1188294</v>
      </c>
      <c r="S917">
        <v>3.0453489999999999</v>
      </c>
      <c r="T917">
        <v>6.1645510000000001E-2</v>
      </c>
      <c r="U917">
        <v>-0.1372681</v>
      </c>
      <c r="V917">
        <v>-0.1086135</v>
      </c>
      <c r="W917">
        <v>0.10325620000000001</v>
      </c>
      <c r="X917">
        <v>0.98870690000000006</v>
      </c>
      <c r="Y917">
        <v>5.535027E-2</v>
      </c>
      <c r="Z917">
        <v>5.8212620000000004E-4</v>
      </c>
      <c r="AA917">
        <v>0.99846679999999999</v>
      </c>
      <c r="AB917">
        <v>25</v>
      </c>
      <c r="AC917">
        <v>208.84020000000001</v>
      </c>
      <c r="AD917">
        <v>4.2298910000000003</v>
      </c>
      <c r="AE917">
        <v>-9.4203999999999706</v>
      </c>
      <c r="AF917">
        <v>11.5754981276061</v>
      </c>
      <c r="AG917">
        <v>4.2298910000000003</v>
      </c>
      <c r="AH917">
        <v>208.64615721950901</v>
      </c>
      <c r="AI917">
        <v>88.840382458724704</v>
      </c>
      <c r="AJ917">
        <v>86.824537792672103</v>
      </c>
      <c r="AK917">
        <v>209.009815695919</v>
      </c>
      <c r="AL917">
        <v>84.073292142641805</v>
      </c>
      <c r="AM917">
        <v>96.2690384630355</v>
      </c>
      <c r="AN917">
        <v>1.00000003466414</v>
      </c>
    </row>
    <row r="918" spans="1:40" x14ac:dyDescent="0.25">
      <c r="A918" t="str">
        <f>"20190304154741629"</f>
        <v>20190304154741629</v>
      </c>
      <c r="B918" t="str">
        <f>"1551685661617670"</f>
        <v>1551685661617670</v>
      </c>
      <c r="C918" t="s">
        <v>40</v>
      </c>
      <c r="D918">
        <v>4.1791869999999998</v>
      </c>
      <c r="E918">
        <v>0.56242530000000002</v>
      </c>
      <c r="F918" t="s">
        <v>43</v>
      </c>
      <c r="G918">
        <v>-158.19499999999999</v>
      </c>
      <c r="H918">
        <v>5.2739370000000001</v>
      </c>
      <c r="I918">
        <v>356.84</v>
      </c>
      <c r="J918">
        <v>-366.91210000000001</v>
      </c>
      <c r="K918">
        <v>1.110447</v>
      </c>
      <c r="L918">
        <v>366.41469999999998</v>
      </c>
      <c r="M918">
        <v>0.99988790000000005</v>
      </c>
      <c r="N918">
        <v>-1.0774860000000001E-2</v>
      </c>
      <c r="O918">
        <v>1.03979E-2</v>
      </c>
      <c r="P918">
        <v>0.98858360000000001</v>
      </c>
      <c r="Q918">
        <v>9.2898800000000004E-2</v>
      </c>
      <c r="R918">
        <v>0.1186266</v>
      </c>
      <c r="S918">
        <v>3.045715</v>
      </c>
      <c r="T918">
        <v>6.0721280000000002E-2</v>
      </c>
      <c r="U918">
        <v>-0.13961789999999999</v>
      </c>
      <c r="V918">
        <v>-0.1083557</v>
      </c>
      <c r="W918">
        <v>0.1035427</v>
      </c>
      <c r="X918">
        <v>0.98870519999999995</v>
      </c>
      <c r="Y918">
        <v>5.6167799999999997E-2</v>
      </c>
      <c r="Z918">
        <v>5.759049E-4</v>
      </c>
      <c r="AA918">
        <v>0.99842120000000001</v>
      </c>
      <c r="AB918">
        <v>25</v>
      </c>
      <c r="AC918">
        <v>208.71709999999999</v>
      </c>
      <c r="AD918">
        <v>4.1634900000000004</v>
      </c>
      <c r="AE918">
        <v>-9.5747</v>
      </c>
      <c r="AF918">
        <v>11.739866078364001</v>
      </c>
      <c r="AG918">
        <v>4.1634900000000004</v>
      </c>
      <c r="AH918">
        <v>208.523450954998</v>
      </c>
      <c r="AI918">
        <v>88.857962054185293</v>
      </c>
      <c r="AJ918">
        <v>86.777650511194494</v>
      </c>
      <c r="AK918">
        <v>208.89516198969099</v>
      </c>
      <c r="AL918">
        <v>84.056788296757603</v>
      </c>
      <c r="AM918">
        <v>96.2542872878456</v>
      </c>
      <c r="AN918">
        <v>1.00000001047641</v>
      </c>
    </row>
    <row r="919" spans="1:40" x14ac:dyDescent="0.25">
      <c r="A919" t="str">
        <f>"20190304154741642"</f>
        <v>20190304154741642</v>
      </c>
      <c r="B919" t="str">
        <f>"1551685661638167"</f>
        <v>1551685661638167</v>
      </c>
      <c r="C919" t="s">
        <v>40</v>
      </c>
      <c r="D919">
        <v>4.1474310000000001</v>
      </c>
      <c r="E919">
        <v>0.56275559999999902</v>
      </c>
      <c r="F919" t="s">
        <v>43</v>
      </c>
      <c r="G919">
        <v>-158.19499999999999</v>
      </c>
      <c r="H919">
        <v>5.4056069999999998</v>
      </c>
      <c r="I919">
        <v>356.67790000000002</v>
      </c>
      <c r="J919">
        <v>-366.78620000000001</v>
      </c>
      <c r="K919">
        <v>1.1104350000000001</v>
      </c>
      <c r="L919">
        <v>366.41609999999997</v>
      </c>
      <c r="M919">
        <v>0.99988750000000004</v>
      </c>
      <c r="N919">
        <v>-1.077387E-2</v>
      </c>
      <c r="O919">
        <v>1.0443269999999999E-2</v>
      </c>
      <c r="P919">
        <v>0.98863210000000001</v>
      </c>
      <c r="Q919">
        <v>9.2822279999999993E-2</v>
      </c>
      <c r="R919">
        <v>0.11828320000000001</v>
      </c>
      <c r="S919">
        <v>3.0458069999999999</v>
      </c>
      <c r="T919">
        <v>6.2680479999999997E-2</v>
      </c>
      <c r="U919">
        <v>-0.14208979999999999</v>
      </c>
      <c r="V919">
        <v>-0.1079647</v>
      </c>
      <c r="W919">
        <v>0.1034678</v>
      </c>
      <c r="X919">
        <v>0.98875579999999996</v>
      </c>
      <c r="Y919">
        <v>5.7019430000000003E-2</v>
      </c>
      <c r="Z919">
        <v>6.0619600000000004E-4</v>
      </c>
      <c r="AA919">
        <v>0.99837290000000001</v>
      </c>
      <c r="AB919">
        <v>25</v>
      </c>
      <c r="AC919">
        <v>208.59119999999999</v>
      </c>
      <c r="AD919">
        <v>4.295172</v>
      </c>
      <c r="AE919">
        <v>-9.7381999999999493</v>
      </c>
      <c r="AF919">
        <v>11.911130013478701</v>
      </c>
      <c r="AG919">
        <v>4.295172</v>
      </c>
      <c r="AH919">
        <v>208.38995329885401</v>
      </c>
      <c r="AI919">
        <v>88.821154586729705</v>
      </c>
      <c r="AJ919">
        <v>86.728653565514705</v>
      </c>
      <c r="AK919">
        <v>208.77427082043999</v>
      </c>
      <c r="AL919">
        <v>84.061102844890897</v>
      </c>
      <c r="AM919">
        <v>96.231580261828995</v>
      </c>
      <c r="AN919">
        <v>0.99999999705828402</v>
      </c>
    </row>
    <row r="920" spans="1:40" x14ac:dyDescent="0.25">
      <c r="A920" t="str">
        <f>"20190304154741653"</f>
        <v>20190304154741653</v>
      </c>
      <c r="B920" t="str">
        <f>"1551685661647927"</f>
        <v>1551685661647927</v>
      </c>
      <c r="C920" t="s">
        <v>40</v>
      </c>
      <c r="D920">
        <v>4.1305569999999996</v>
      </c>
      <c r="E920">
        <v>0.56299969999999999</v>
      </c>
      <c r="F920" t="s">
        <v>43</v>
      </c>
      <c r="G920">
        <v>-158.19499999999999</v>
      </c>
      <c r="H920">
        <v>5.5820629999999998</v>
      </c>
      <c r="I920">
        <v>356.43419999999998</v>
      </c>
      <c r="J920">
        <v>-366.65429999999998</v>
      </c>
      <c r="K920">
        <v>1.110425</v>
      </c>
      <c r="L920">
        <v>366.41750000000002</v>
      </c>
      <c r="M920">
        <v>0.99988699999999997</v>
      </c>
      <c r="N920">
        <v>-1.077292E-2</v>
      </c>
      <c r="O920">
        <v>1.0487740000000001E-2</v>
      </c>
      <c r="P920">
        <v>0.9886779</v>
      </c>
      <c r="Q920">
        <v>9.2614189999999999E-2</v>
      </c>
      <c r="R920">
        <v>0.1180623</v>
      </c>
      <c r="S920">
        <v>3.045776</v>
      </c>
      <c r="T920">
        <v>6.5294379999999999E-2</v>
      </c>
      <c r="U920">
        <v>-0.14575199999999999</v>
      </c>
      <c r="V920">
        <v>-0.1076969</v>
      </c>
      <c r="W920">
        <v>0.1032619</v>
      </c>
      <c r="X920">
        <v>0.98880650000000003</v>
      </c>
      <c r="Y920">
        <v>5.8260779999999998E-2</v>
      </c>
      <c r="Z920">
        <v>6.4762049999999996E-4</v>
      </c>
      <c r="AA920">
        <v>0.9983012</v>
      </c>
      <c r="AB920">
        <v>25</v>
      </c>
      <c r="AC920">
        <v>208.45930000000001</v>
      </c>
      <c r="AD920">
        <v>4.4716379999999996</v>
      </c>
      <c r="AE920">
        <v>-9.9833000000000407</v>
      </c>
      <c r="AF920">
        <v>12.1635604809269</v>
      </c>
      <c r="AG920">
        <v>4.4716379999999996</v>
      </c>
      <c r="AH920">
        <v>208.24752162100299</v>
      </c>
      <c r="AI920">
        <v>88.771985891045105</v>
      </c>
      <c r="AJ920">
        <v>86.657200299369407</v>
      </c>
      <c r="AK920">
        <v>208.65037266026201</v>
      </c>
      <c r="AL920">
        <v>84.072963407117797</v>
      </c>
      <c r="AM920">
        <v>96.215928121771896</v>
      </c>
      <c r="AN920">
        <v>0.99999996835173399</v>
      </c>
    </row>
    <row r="921" spans="1:40" x14ac:dyDescent="0.25">
      <c r="A921" t="str">
        <f>"20190304154741664"</f>
        <v>20190304154741664</v>
      </c>
      <c r="B921" t="str">
        <f>"1551685661657687"</f>
        <v>1551685661657687</v>
      </c>
      <c r="C921" t="s">
        <v>40</v>
      </c>
      <c r="D921">
        <v>4.298381</v>
      </c>
      <c r="E921">
        <v>0.56299969999999999</v>
      </c>
      <c r="F921" t="s">
        <v>43</v>
      </c>
      <c r="G921">
        <v>-158.19499999999999</v>
      </c>
      <c r="H921">
        <v>5.6363349999999999</v>
      </c>
      <c r="I921">
        <v>356.2792</v>
      </c>
      <c r="J921">
        <v>-366.52980000000002</v>
      </c>
      <c r="K921">
        <v>1.1104149999999999</v>
      </c>
      <c r="L921">
        <v>366.41890000000001</v>
      </c>
      <c r="M921">
        <v>0.99988670000000002</v>
      </c>
      <c r="N921">
        <v>-1.07723E-2</v>
      </c>
      <c r="O921">
        <v>1.051886E-2</v>
      </c>
      <c r="P921">
        <v>0.98875729999999995</v>
      </c>
      <c r="Q921">
        <v>9.2610719999999994E-2</v>
      </c>
      <c r="R921">
        <v>0.1173989</v>
      </c>
      <c r="S921">
        <v>3.0458370000000001</v>
      </c>
      <c r="T921">
        <v>6.6130159999999993E-2</v>
      </c>
      <c r="U921">
        <v>-0.14813229999999999</v>
      </c>
      <c r="V921">
        <v>-0.106999499999999</v>
      </c>
      <c r="W921">
        <v>0.10326100000000001</v>
      </c>
      <c r="X921">
        <v>0.98888240000000005</v>
      </c>
      <c r="Y921">
        <v>5.9068780000000001E-2</v>
      </c>
      <c r="Z921">
        <v>6.6387149999999997E-4</v>
      </c>
      <c r="AA921">
        <v>0.99825370000000002</v>
      </c>
      <c r="AB921">
        <v>25</v>
      </c>
      <c r="AC921">
        <v>208.3348</v>
      </c>
      <c r="AD921">
        <v>4.5259199999999904</v>
      </c>
      <c r="AE921">
        <v>-10.139699999999999</v>
      </c>
      <c r="AF921">
        <v>12.324907687456299</v>
      </c>
      <c r="AG921">
        <v>4.5259199999999904</v>
      </c>
      <c r="AH921">
        <v>208.118620188232</v>
      </c>
      <c r="AI921">
        <v>88.756373012671403</v>
      </c>
      <c r="AJ921">
        <v>86.610868359850301</v>
      </c>
      <c r="AK921">
        <v>208.532365282716</v>
      </c>
      <c r="AL921">
        <v>84.073015819848393</v>
      </c>
      <c r="AM921">
        <v>96.175518077655596</v>
      </c>
      <c r="AN921">
        <v>1.0000000640755</v>
      </c>
    </row>
    <row r="922" spans="1:40" x14ac:dyDescent="0.25">
      <c r="A922" t="str">
        <f>"20190304154741675"</f>
        <v>20190304154741675</v>
      </c>
      <c r="B922" t="str">
        <f>"1551685661667447"</f>
        <v>1551685661667447</v>
      </c>
      <c r="C922" t="s">
        <v>40</v>
      </c>
      <c r="D922">
        <v>4.2887259999999996</v>
      </c>
      <c r="E922">
        <v>0.56255089999999996</v>
      </c>
      <c r="F922" t="s">
        <v>43</v>
      </c>
      <c r="G922">
        <v>-168.05930000000001</v>
      </c>
      <c r="H922">
        <v>5.4202500000000002</v>
      </c>
      <c r="I922">
        <v>356.61509999999998</v>
      </c>
      <c r="J922">
        <v>-366.40440000000001</v>
      </c>
      <c r="K922">
        <v>1.1104039999999999</v>
      </c>
      <c r="L922">
        <v>366.42020000000002</v>
      </c>
      <c r="M922">
        <v>0.99988639999999995</v>
      </c>
      <c r="N922">
        <v>-1.077178E-2</v>
      </c>
      <c r="O922">
        <v>1.054658E-2</v>
      </c>
      <c r="P922">
        <v>0.98879870000000003</v>
      </c>
      <c r="Q922">
        <v>9.2313409999999999E-2</v>
      </c>
      <c r="R922">
        <v>0.11728379999999999</v>
      </c>
      <c r="S922">
        <v>3.045776</v>
      </c>
      <c r="T922">
        <v>6.6141130000000006E-2</v>
      </c>
      <c r="U922">
        <v>-0.15045169999999999</v>
      </c>
      <c r="V922">
        <v>-0.1068543</v>
      </c>
      <c r="W922">
        <v>0.102966</v>
      </c>
      <c r="X922">
        <v>0.98892880000000005</v>
      </c>
      <c r="Y922">
        <v>5.985563E-2</v>
      </c>
      <c r="Z922">
        <v>6.6921530000000002E-4</v>
      </c>
      <c r="AA922">
        <v>0.99820679999999995</v>
      </c>
      <c r="AB922">
        <v>25</v>
      </c>
      <c r="AC922">
        <v>198.3451</v>
      </c>
      <c r="AD922">
        <v>4.3098460000000003</v>
      </c>
      <c r="AE922">
        <v>-9.8051000000000297</v>
      </c>
      <c r="AF922">
        <v>11.890937740524301</v>
      </c>
      <c r="AG922">
        <v>4.3098460000000003</v>
      </c>
      <c r="AH922">
        <v>198.13732854826</v>
      </c>
      <c r="AI922">
        <v>88.756146687680797</v>
      </c>
      <c r="AJ922">
        <v>86.565592242598399</v>
      </c>
      <c r="AK922">
        <v>198.54060072724201</v>
      </c>
      <c r="AL922">
        <v>84.090008302209696</v>
      </c>
      <c r="AM922">
        <v>96.166915293064804</v>
      </c>
      <c r="AN922">
        <v>1.00000000502696</v>
      </c>
    </row>
    <row r="923" spans="1:40" x14ac:dyDescent="0.25">
      <c r="A923" t="str">
        <f>"20190304154741685"</f>
        <v>20190304154741685</v>
      </c>
      <c r="B923" t="str">
        <f>"1551685661678183"</f>
        <v>1551685661678183</v>
      </c>
      <c r="C923" t="s">
        <v>40</v>
      </c>
      <c r="D923">
        <v>4.1362199999999998</v>
      </c>
      <c r="E923">
        <v>0.56259300000000001</v>
      </c>
      <c r="F923" t="s">
        <v>43</v>
      </c>
      <c r="G923">
        <v>-158.19499999999999</v>
      </c>
      <c r="H923">
        <v>5.5820759999999998</v>
      </c>
      <c r="I923">
        <v>356.3571</v>
      </c>
      <c r="J923">
        <v>-366.27550000000002</v>
      </c>
      <c r="K923">
        <v>1.110393</v>
      </c>
      <c r="L923">
        <v>366.42160000000001</v>
      </c>
      <c r="M923">
        <v>0.9998861</v>
      </c>
      <c r="N923">
        <v>-1.077143E-2</v>
      </c>
      <c r="O923">
        <v>1.0567750000000001E-2</v>
      </c>
      <c r="P923">
        <v>0.9888479</v>
      </c>
      <c r="Q923">
        <v>9.2362200000000005E-2</v>
      </c>
      <c r="R923">
        <v>0.11683</v>
      </c>
      <c r="S923">
        <v>3.0453489999999999</v>
      </c>
      <c r="T923">
        <v>6.5405610000000003E-2</v>
      </c>
      <c r="U923">
        <v>-0.14718629999999999</v>
      </c>
      <c r="V923">
        <v>-0.106377</v>
      </c>
      <c r="W923">
        <v>0.1030172</v>
      </c>
      <c r="X923">
        <v>0.98897489999999999</v>
      </c>
      <c r="Y923">
        <v>5.8816279999999999E-2</v>
      </c>
      <c r="Z923">
        <v>6.5474399999999996E-4</v>
      </c>
      <c r="AA923">
        <v>0.99826859999999995</v>
      </c>
      <c r="AB923">
        <v>25</v>
      </c>
      <c r="AC923">
        <v>208.0805</v>
      </c>
      <c r="AD923">
        <v>4.4716829999999996</v>
      </c>
      <c r="AE923">
        <v>-10.064500000000001</v>
      </c>
      <c r="AF923">
        <v>12.2573607382063</v>
      </c>
      <c r="AG923">
        <v>4.4716829999999996</v>
      </c>
      <c r="AH923">
        <v>207.866739698537</v>
      </c>
      <c r="AI923">
        <v>88.769764815738895</v>
      </c>
      <c r="AJ923">
        <v>86.625324776293496</v>
      </c>
      <c r="AK923">
        <v>208.27582748369599</v>
      </c>
      <c r="AL923">
        <v>84.087058933761796</v>
      </c>
      <c r="AM923">
        <v>96.139295575361004</v>
      </c>
      <c r="AN923">
        <v>0.99999998122742395</v>
      </c>
    </row>
    <row r="924" spans="1:40" x14ac:dyDescent="0.25">
      <c r="A924" t="str">
        <f>"20190304154741696"</f>
        <v>20190304154741696</v>
      </c>
      <c r="B924" t="str">
        <f>"1551685661687943"</f>
        <v>1551685661687943</v>
      </c>
      <c r="C924" t="s">
        <v>40</v>
      </c>
      <c r="D924">
        <v>4.1278800000000002</v>
      </c>
      <c r="E924">
        <v>0.56275769999999903</v>
      </c>
      <c r="F924" t="s">
        <v>43</v>
      </c>
      <c r="G924">
        <v>-158.19499999999999</v>
      </c>
      <c r="H924">
        <v>5.6451710000000004</v>
      </c>
      <c r="I924">
        <v>356.23930000000001</v>
      </c>
      <c r="J924">
        <v>-366.166</v>
      </c>
      <c r="K924">
        <v>1.110385</v>
      </c>
      <c r="L924">
        <v>366.42270000000002</v>
      </c>
      <c r="M924">
        <v>0.99988619999999995</v>
      </c>
      <c r="N924">
        <v>-1.077126E-2</v>
      </c>
      <c r="O924">
        <v>1.058107E-2</v>
      </c>
      <c r="P924">
        <v>0.98888419999999999</v>
      </c>
      <c r="Q924">
        <v>9.2247179999999998E-2</v>
      </c>
      <c r="R924">
        <v>0.116615</v>
      </c>
      <c r="S924">
        <v>3.045258</v>
      </c>
      <c r="T924">
        <v>6.6367750000000003E-2</v>
      </c>
      <c r="U924">
        <v>-0.14901729999999899</v>
      </c>
      <c r="V924">
        <v>-0.1061462</v>
      </c>
      <c r="W924">
        <v>0.1029043</v>
      </c>
      <c r="X924">
        <v>0.98901150000000004</v>
      </c>
      <c r="Y924">
        <v>5.9429339999999997E-2</v>
      </c>
      <c r="Z924">
        <v>6.7117640000000003E-4</v>
      </c>
      <c r="AA924">
        <v>0.99823229999999996</v>
      </c>
      <c r="AB924">
        <v>25</v>
      </c>
      <c r="AC924">
        <v>207.97099999999901</v>
      </c>
      <c r="AD924">
        <v>4.5347860000000004</v>
      </c>
      <c r="AE924">
        <v>-10.183400000000001</v>
      </c>
      <c r="AF924">
        <v>12.3776418824598</v>
      </c>
      <c r="AG924">
        <v>4.5347860000000004</v>
      </c>
      <c r="AH924">
        <v>207.75305806000901</v>
      </c>
      <c r="AI924">
        <v>88.751772158401906</v>
      </c>
      <c r="AJ924">
        <v>86.590426553753204</v>
      </c>
      <c r="AK924">
        <v>208.170851552089</v>
      </c>
      <c r="AL924">
        <v>84.093562472240393</v>
      </c>
      <c r="AM924">
        <v>96.125851913448201</v>
      </c>
      <c r="AN924">
        <v>1.0000000289325801</v>
      </c>
    </row>
    <row r="925" spans="1:40" x14ac:dyDescent="0.25">
      <c r="A925" t="str">
        <f>"20190304154741706"</f>
        <v>20190304154741706</v>
      </c>
      <c r="B925" t="str">
        <f>"1551685661697703"</f>
        <v>1551685661697703</v>
      </c>
      <c r="C925" t="s">
        <v>40</v>
      </c>
      <c r="D925">
        <v>4.132803</v>
      </c>
      <c r="E925">
        <v>0.56271959999999999</v>
      </c>
      <c r="F925" t="s">
        <v>43</v>
      </c>
      <c r="G925">
        <v>-168.3357</v>
      </c>
      <c r="H925">
        <v>5.4943210000000002</v>
      </c>
      <c r="I925">
        <v>356.61509999999998</v>
      </c>
      <c r="J925">
        <v>-366.04730000000001</v>
      </c>
      <c r="K925">
        <v>1.1103780000000001</v>
      </c>
      <c r="L925">
        <v>366.42399999999998</v>
      </c>
      <c r="M925">
        <v>0.99988580000000005</v>
      </c>
      <c r="N925">
        <v>-1.077119E-2</v>
      </c>
      <c r="O925">
        <v>1.059188E-2</v>
      </c>
      <c r="P925">
        <v>0.98888419999999999</v>
      </c>
      <c r="Q925">
        <v>9.2319780000000004E-2</v>
      </c>
      <c r="R925">
        <v>0.1165554</v>
      </c>
      <c r="S925">
        <v>3.0452270000000001</v>
      </c>
      <c r="T925">
        <v>6.7483779999999993E-2</v>
      </c>
      <c r="U925">
        <v>-0.15097049999999901</v>
      </c>
      <c r="V925">
        <v>-0.1060741</v>
      </c>
      <c r="W925">
        <v>0.10297829999999999</v>
      </c>
      <c r="X925">
        <v>0.98901150000000004</v>
      </c>
      <c r="Y925">
        <v>6.0078729999999997E-2</v>
      </c>
      <c r="Z925">
        <v>6.8996420000000001E-4</v>
      </c>
      <c r="AA925">
        <v>0.99819340000000001</v>
      </c>
      <c r="AB925">
        <v>25</v>
      </c>
      <c r="AC925">
        <v>197.7116</v>
      </c>
      <c r="AD925">
        <v>4.3839430000000004</v>
      </c>
      <c r="AE925">
        <v>-9.8089000000000492</v>
      </c>
      <c r="AF925">
        <v>11.8967741066802</v>
      </c>
      <c r="AG925">
        <v>4.3839430000000004</v>
      </c>
      <c r="AH925">
        <v>197.499742801613</v>
      </c>
      <c r="AI925">
        <v>88.730702419154397</v>
      </c>
      <c r="AJ925">
        <v>86.552844613419794</v>
      </c>
      <c r="AK925">
        <v>197.90629246457999</v>
      </c>
      <c r="AL925">
        <v>84.089299744618799</v>
      </c>
      <c r="AM925">
        <v>96.121722522829202</v>
      </c>
      <c r="AN925">
        <v>0.99999999604697498</v>
      </c>
    </row>
    <row r="926" spans="1:40" x14ac:dyDescent="0.25">
      <c r="A926" t="str">
        <f>"20190304154741718"</f>
        <v>20190304154741718</v>
      </c>
      <c r="B926" t="str">
        <f>"1551685661707463"</f>
        <v>1551685661707463</v>
      </c>
      <c r="C926" t="s">
        <v>40</v>
      </c>
      <c r="D926">
        <v>3.959238</v>
      </c>
      <c r="E926">
        <v>0.56271959999999999</v>
      </c>
      <c r="F926" t="s">
        <v>43</v>
      </c>
      <c r="G926">
        <v>-167.79589999999999</v>
      </c>
      <c r="H926">
        <v>5.5427600000000004</v>
      </c>
      <c r="I926">
        <v>356.61509999999998</v>
      </c>
      <c r="J926">
        <v>-365.92809999999997</v>
      </c>
      <c r="K926">
        <v>1.110371</v>
      </c>
      <c r="L926">
        <v>366.42529999999999</v>
      </c>
      <c r="M926">
        <v>0.99988589999999999</v>
      </c>
      <c r="N926">
        <v>-1.077125E-2</v>
      </c>
      <c r="O926">
        <v>1.0598649999999999E-2</v>
      </c>
      <c r="P926">
        <v>0.98890579999999995</v>
      </c>
      <c r="Q926">
        <v>9.2289750000000004E-2</v>
      </c>
      <c r="R926">
        <v>0.11639629999999999</v>
      </c>
      <c r="S926">
        <v>3.0451350000000001</v>
      </c>
      <c r="T926">
        <v>6.8082569999999995E-2</v>
      </c>
      <c r="U926">
        <v>-0.150665299999999</v>
      </c>
      <c r="V926">
        <v>-0.1059066</v>
      </c>
      <c r="W926">
        <v>0.10295029999999999</v>
      </c>
      <c r="X926">
        <v>0.98903240000000003</v>
      </c>
      <c r="Y926">
        <v>5.9986919999999999E-2</v>
      </c>
      <c r="Z926">
        <v>6.9766770000000004E-4</v>
      </c>
      <c r="AA926">
        <v>0.9981989</v>
      </c>
      <c r="AB926">
        <v>25</v>
      </c>
      <c r="AC926">
        <v>198.13220000000001</v>
      </c>
      <c r="AD926">
        <v>4.4323889999999997</v>
      </c>
      <c r="AE926">
        <v>-9.8102</v>
      </c>
      <c r="AF926">
        <v>11.903761684725</v>
      </c>
      <c r="AG926">
        <v>4.4323889999999997</v>
      </c>
      <c r="AH926">
        <v>197.918282173211</v>
      </c>
      <c r="AI926">
        <v>88.719386225119806</v>
      </c>
      <c r="AJ926">
        <v>86.558101255650598</v>
      </c>
      <c r="AK926">
        <v>198.32546995504299</v>
      </c>
      <c r="AL926">
        <v>84.0909128013475</v>
      </c>
      <c r="AM926">
        <v>96.112000849523</v>
      </c>
      <c r="AN926">
        <v>1.0000000302217</v>
      </c>
    </row>
    <row r="927" spans="1:40" x14ac:dyDescent="0.25">
      <c r="A927" t="str">
        <f>"20190304154741727"</f>
        <v>20190304154741727</v>
      </c>
      <c r="B927" t="str">
        <f>"1551685661718199"</f>
        <v>1551685661718199</v>
      </c>
      <c r="C927" t="s">
        <v>40</v>
      </c>
      <c r="D927">
        <v>4.1183620000000003</v>
      </c>
      <c r="E927">
        <v>0.56271419999999905</v>
      </c>
      <c r="F927" t="s">
        <v>43</v>
      </c>
      <c r="G927">
        <v>-168.85059999999999</v>
      </c>
      <c r="H927">
        <v>5.5198470000000004</v>
      </c>
      <c r="I927">
        <v>356.61509999999998</v>
      </c>
      <c r="J927">
        <v>-365.81169999999997</v>
      </c>
      <c r="K927">
        <v>1.110365</v>
      </c>
      <c r="L927">
        <v>366.42649999999998</v>
      </c>
      <c r="M927">
        <v>0.99988589999999999</v>
      </c>
      <c r="N927">
        <v>-1.077141E-2</v>
      </c>
      <c r="O927">
        <v>1.0602749999999999E-2</v>
      </c>
      <c r="P927">
        <v>0.98887519999999995</v>
      </c>
      <c r="Q927">
        <v>9.2506969999999994E-2</v>
      </c>
      <c r="R927">
        <v>0.1164835</v>
      </c>
      <c r="S927">
        <v>3.045105</v>
      </c>
      <c r="T927">
        <v>6.8133470000000002E-2</v>
      </c>
      <c r="U927">
        <v>-0.15158079999999999</v>
      </c>
      <c r="V927">
        <v>-0.1059886</v>
      </c>
      <c r="W927">
        <v>0.10316889999999899</v>
      </c>
      <c r="X927">
        <v>0.98900080000000001</v>
      </c>
      <c r="Y927">
        <v>6.0290799999999999E-2</v>
      </c>
      <c r="Z927">
        <v>7.0023619999999998E-4</v>
      </c>
      <c r="AA927">
        <v>0.99818059999999997</v>
      </c>
      <c r="AB927">
        <v>25</v>
      </c>
      <c r="AC927">
        <v>196.96109999999999</v>
      </c>
      <c r="AD927">
        <v>4.4094819999999997</v>
      </c>
      <c r="AE927">
        <v>-9.8113999999999901</v>
      </c>
      <c r="AF927">
        <v>11.8933523887248</v>
      </c>
      <c r="AG927">
        <v>4.4094819999999997</v>
      </c>
      <c r="AH927">
        <v>196.74762700684099</v>
      </c>
      <c r="AI927">
        <v>88.718448032807203</v>
      </c>
      <c r="AJ927">
        <v>86.5406918047848</v>
      </c>
      <c r="AK927">
        <v>197.15609068799699</v>
      </c>
      <c r="AL927">
        <v>84.078320678421505</v>
      </c>
      <c r="AM927">
        <v>96.116891266149295</v>
      </c>
      <c r="AN927">
        <v>0.99999999382890503</v>
      </c>
    </row>
    <row r="928" spans="1:40" x14ac:dyDescent="0.25">
      <c r="A928" t="str">
        <f>"20190304154741738"</f>
        <v>20190304154741738</v>
      </c>
      <c r="B928" t="str">
        <f>"1551685661727959"</f>
        <v>1551685661727959</v>
      </c>
      <c r="C928" t="s">
        <v>40</v>
      </c>
      <c r="D928">
        <v>4.3573300000000001</v>
      </c>
      <c r="E928">
        <v>0.56305519999999998</v>
      </c>
      <c r="F928" t="s">
        <v>43</v>
      </c>
      <c r="G928">
        <v>-168.1934</v>
      </c>
      <c r="H928">
        <v>5.6225610000000001</v>
      </c>
      <c r="I928">
        <v>356.61509999999998</v>
      </c>
      <c r="J928">
        <v>-365.69029999999998</v>
      </c>
      <c r="K928">
        <v>1.110365</v>
      </c>
      <c r="L928">
        <v>366.42779999999999</v>
      </c>
      <c r="M928">
        <v>0.99988569999999999</v>
      </c>
      <c r="N928">
        <v>-1.077172E-2</v>
      </c>
      <c r="O928">
        <v>1.0603700000000001E-2</v>
      </c>
      <c r="P928">
        <v>0.98885199999999995</v>
      </c>
      <c r="Q928">
        <v>9.2386869999999996E-2</v>
      </c>
      <c r="R928">
        <v>0.1167757</v>
      </c>
      <c r="S928">
        <v>3.0450740000000001</v>
      </c>
      <c r="T928">
        <v>6.9529179999999996E-2</v>
      </c>
      <c r="U928">
        <v>-0.15118409999999999</v>
      </c>
      <c r="V928">
        <v>-0.106279</v>
      </c>
      <c r="W928">
        <v>0.1030499</v>
      </c>
      <c r="X928">
        <v>0.98898200000000003</v>
      </c>
      <c r="Y928">
        <v>6.0161909999999999E-2</v>
      </c>
      <c r="Z928">
        <v>7.1815629999999995E-4</v>
      </c>
      <c r="AA928">
        <v>0.99818839999999998</v>
      </c>
      <c r="AB928">
        <v>25</v>
      </c>
      <c r="AC928">
        <v>197.49690000000001</v>
      </c>
      <c r="AD928">
        <v>4.5121960000000003</v>
      </c>
      <c r="AE928">
        <v>-9.8126999999999995</v>
      </c>
      <c r="AF928">
        <v>11.900271337936299</v>
      </c>
      <c r="AG928">
        <v>4.5121960000000003</v>
      </c>
      <c r="AH928">
        <v>197.27901583653201</v>
      </c>
      <c r="AI928">
        <v>88.692127085017205</v>
      </c>
      <c r="AJ928">
        <v>86.547985036208999</v>
      </c>
      <c r="AK928">
        <v>197.689115684424</v>
      </c>
      <c r="AL928">
        <v>84.085175163681996</v>
      </c>
      <c r="AM928">
        <v>96.1336391723204</v>
      </c>
      <c r="AN928">
        <v>0.99999995202750303</v>
      </c>
    </row>
    <row r="929" spans="1:40" x14ac:dyDescent="0.25">
      <c r="A929" t="str">
        <f>"20190304154741750"</f>
        <v>20190304154741750</v>
      </c>
      <c r="B929" t="str">
        <f>"1551685661737719"</f>
        <v>1551685661737719</v>
      </c>
      <c r="C929" t="s">
        <v>40</v>
      </c>
      <c r="D929">
        <v>4.1332449999999996</v>
      </c>
      <c r="E929">
        <v>0.5630558</v>
      </c>
      <c r="F929" t="s">
        <v>43</v>
      </c>
      <c r="G929">
        <v>-169.2955</v>
      </c>
      <c r="H929">
        <v>5.610023</v>
      </c>
      <c r="I929">
        <v>356.55020000000002</v>
      </c>
      <c r="J929">
        <v>-365.56360000000001</v>
      </c>
      <c r="K929">
        <v>1.1103609999999999</v>
      </c>
      <c r="L929">
        <v>366.42919999999998</v>
      </c>
      <c r="M929">
        <v>0.99988589999999999</v>
      </c>
      <c r="N929">
        <v>-1.077211E-2</v>
      </c>
      <c r="O929">
        <v>1.060299E-2</v>
      </c>
      <c r="P929">
        <v>0.98884050000000001</v>
      </c>
      <c r="Q929">
        <v>9.243461E-2</v>
      </c>
      <c r="R929">
        <v>0.11683490000000001</v>
      </c>
      <c r="S929">
        <v>3.04541</v>
      </c>
      <c r="T929">
        <v>6.9775580000000004E-2</v>
      </c>
      <c r="U929">
        <v>-0.15316769999999999</v>
      </c>
      <c r="V929">
        <v>-0.1063378</v>
      </c>
      <c r="W929">
        <v>0.1030992</v>
      </c>
      <c r="X929">
        <v>0.98897060000000003</v>
      </c>
      <c r="Y929">
        <v>6.0804099999999903E-2</v>
      </c>
      <c r="Z929">
        <v>7.2517890000000002E-4</v>
      </c>
      <c r="AA929">
        <v>0.99814950000000002</v>
      </c>
      <c r="AB929">
        <v>25</v>
      </c>
      <c r="AC929">
        <v>196.2681</v>
      </c>
      <c r="AD929">
        <v>4.4996619999999998</v>
      </c>
      <c r="AE929">
        <v>-9.8789999999999605</v>
      </c>
      <c r="AF929">
        <v>11.9533269069493</v>
      </c>
      <c r="AG929">
        <v>4.4996619999999998</v>
      </c>
      <c r="AH929">
        <v>196.04952843881199</v>
      </c>
      <c r="AI929">
        <v>88.687633836832305</v>
      </c>
      <c r="AJ929">
        <v>86.510940824409204</v>
      </c>
      <c r="AK929">
        <v>196.465128161054</v>
      </c>
      <c r="AL929">
        <v>84.082335701272598</v>
      </c>
      <c r="AM929">
        <v>96.137076987791701</v>
      </c>
      <c r="AN929">
        <v>1.00000001020692</v>
      </c>
    </row>
    <row r="930" spans="1:40" x14ac:dyDescent="0.25">
      <c r="A930" t="str">
        <f>"20190304154741762"</f>
        <v>20190304154741762</v>
      </c>
      <c r="B930" t="str">
        <f>"1551685661758216"</f>
        <v>1551685661758216</v>
      </c>
      <c r="C930" t="s">
        <v>40</v>
      </c>
      <c r="D930">
        <v>4.125502</v>
      </c>
      <c r="E930">
        <v>0.56298459999999995</v>
      </c>
      <c r="F930" t="s">
        <v>43</v>
      </c>
      <c r="G930">
        <v>-169.2955</v>
      </c>
      <c r="H930">
        <v>5.6053639999999998</v>
      </c>
      <c r="I930">
        <v>356.59129999999999</v>
      </c>
      <c r="J930">
        <v>-365.4393</v>
      </c>
      <c r="K930">
        <v>1.11036</v>
      </c>
      <c r="L930">
        <v>366.43049999999999</v>
      </c>
      <c r="M930">
        <v>0.99988589999999999</v>
      </c>
      <c r="N930">
        <v>-1.077265E-2</v>
      </c>
      <c r="O930">
        <v>1.0599809999999999E-2</v>
      </c>
      <c r="P930">
        <v>0.98886529999999995</v>
      </c>
      <c r="Q930">
        <v>9.2167589999999994E-2</v>
      </c>
      <c r="R930">
        <v>0.1168363</v>
      </c>
      <c r="S930">
        <v>3.0453800000000002</v>
      </c>
      <c r="T930">
        <v>6.9747690000000001E-2</v>
      </c>
      <c r="U930">
        <v>-0.1526489</v>
      </c>
      <c r="V930">
        <v>-0.1063422</v>
      </c>
      <c r="W930">
        <v>0.1028332</v>
      </c>
      <c r="X930">
        <v>0.98899780000000004</v>
      </c>
      <c r="Y930">
        <v>6.0631850000000001E-2</v>
      </c>
      <c r="Z930">
        <v>7.2365850000000002E-4</v>
      </c>
      <c r="AA930">
        <v>0.99815989999999999</v>
      </c>
      <c r="AB930">
        <v>25</v>
      </c>
      <c r="AC930">
        <v>196.1438</v>
      </c>
      <c r="AD930">
        <v>4.4950039999999998</v>
      </c>
      <c r="AE930">
        <v>-9.8391999999999999</v>
      </c>
      <c r="AF930">
        <v>11.911614528424099</v>
      </c>
      <c r="AG930">
        <v>4.4950039999999998</v>
      </c>
      <c r="AH930">
        <v>195.925841033041</v>
      </c>
      <c r="AI930">
        <v>88.688150689214197</v>
      </c>
      <c r="AJ930">
        <v>86.520896763244806</v>
      </c>
      <c r="AK930">
        <v>196.339060826261</v>
      </c>
      <c r="AL930">
        <v>84.097657694909799</v>
      </c>
      <c r="AM930">
        <v>96.137161482881496</v>
      </c>
      <c r="AN930">
        <v>0.99999998946395996</v>
      </c>
    </row>
    <row r="931" spans="1:40" x14ac:dyDescent="0.25">
      <c r="A931" t="str">
        <f>"20190304154741775"</f>
        <v>20190304154741775</v>
      </c>
      <c r="B931" t="str">
        <f>"1551685661767974"</f>
        <v>1551685661767974</v>
      </c>
      <c r="C931" t="s">
        <v>40</v>
      </c>
      <c r="D931">
        <v>4.1214190000000004</v>
      </c>
      <c r="E931">
        <v>0.56287989999999999</v>
      </c>
      <c r="F931" t="s">
        <v>43</v>
      </c>
      <c r="G931">
        <v>-169.18029999999999</v>
      </c>
      <c r="H931">
        <v>5.4723499999999996</v>
      </c>
      <c r="I931">
        <v>356.61509999999998</v>
      </c>
      <c r="J931">
        <v>-365.28440000000001</v>
      </c>
      <c r="K931">
        <v>1.1103590000000001</v>
      </c>
      <c r="L931">
        <v>366.43209999999999</v>
      </c>
      <c r="M931">
        <v>0.99988589999999999</v>
      </c>
      <c r="N931">
        <v>-1.0773410000000001E-2</v>
      </c>
      <c r="O931">
        <v>1.0594889999999999E-2</v>
      </c>
      <c r="P931">
        <v>0.98885350000000005</v>
      </c>
      <c r="Q931">
        <v>9.2138830000000005E-2</v>
      </c>
      <c r="R931">
        <v>0.1169588</v>
      </c>
      <c r="S931">
        <v>3.0455019999999999</v>
      </c>
      <c r="T931">
        <v>6.7689659999999999E-2</v>
      </c>
      <c r="U931">
        <v>-0.15231320000000001</v>
      </c>
      <c r="V931">
        <v>-0.10646890000000001</v>
      </c>
      <c r="W931">
        <v>0.1028056</v>
      </c>
      <c r="X931">
        <v>0.98898699999999995</v>
      </c>
      <c r="Y931">
        <v>6.0516159999999999E-2</v>
      </c>
      <c r="Z931">
        <v>6.9516819999999998E-4</v>
      </c>
      <c r="AA931">
        <v>0.99816700000000003</v>
      </c>
      <c r="AB931">
        <v>25</v>
      </c>
      <c r="AC931">
        <v>196.10409999999999</v>
      </c>
      <c r="AD931">
        <v>4.3619909999999997</v>
      </c>
      <c r="AE931">
        <v>-9.8170000000000002</v>
      </c>
      <c r="AF931">
        <v>11.888403526326099</v>
      </c>
      <c r="AG931">
        <v>4.3619909999999997</v>
      </c>
      <c r="AH931">
        <v>195.89239803719499</v>
      </c>
      <c r="AI931">
        <v>88.726731450998599</v>
      </c>
      <c r="AJ931">
        <v>86.5270681974946</v>
      </c>
      <c r="AK931">
        <v>196.301280466154</v>
      </c>
      <c r="AL931">
        <v>84.099247263083399</v>
      </c>
      <c r="AM931">
        <v>96.144484208054493</v>
      </c>
      <c r="AN931">
        <v>0.99999995211378301</v>
      </c>
    </row>
    <row r="932" spans="1:40" x14ac:dyDescent="0.25">
      <c r="A932" t="str">
        <f>"20190304154741787"</f>
        <v>20190304154741787</v>
      </c>
      <c r="B932" t="str">
        <f>"1551685661777735"</f>
        <v>1551685661777735</v>
      </c>
      <c r="C932" t="s">
        <v>40</v>
      </c>
      <c r="D932">
        <v>4.127688</v>
      </c>
      <c r="E932">
        <v>0.56279449999999998</v>
      </c>
      <c r="F932" t="s">
        <v>43</v>
      </c>
      <c r="G932">
        <v>-167.21039999999999</v>
      </c>
      <c r="H932">
        <v>5.4778699999999896</v>
      </c>
      <c r="I932">
        <v>356.61509999999998</v>
      </c>
      <c r="J932">
        <v>-365.13830000000002</v>
      </c>
      <c r="K932">
        <v>1.110357</v>
      </c>
      <c r="L932">
        <v>366.43369999999999</v>
      </c>
      <c r="M932">
        <v>0.99988589999999999</v>
      </c>
      <c r="N932">
        <v>-1.0774250000000001E-2</v>
      </c>
      <c r="O932">
        <v>1.0589339999999999E-2</v>
      </c>
      <c r="P932">
        <v>0.98883799999999999</v>
      </c>
      <c r="Q932">
        <v>9.2223079999999999E-2</v>
      </c>
      <c r="R932">
        <v>0.11702319999999999</v>
      </c>
      <c r="S932">
        <v>3.0454409999999998</v>
      </c>
      <c r="T932">
        <v>6.7152980000000001E-2</v>
      </c>
      <c r="U932">
        <v>-0.15093989999999999</v>
      </c>
      <c r="V932">
        <v>-0.1065387</v>
      </c>
      <c r="W932">
        <v>0.1028905</v>
      </c>
      <c r="X932">
        <v>0.98897069999999998</v>
      </c>
      <c r="Y932">
        <v>6.0062900000000002E-2</v>
      </c>
      <c r="Z932">
        <v>6.8526069999999995E-4</v>
      </c>
      <c r="AA932">
        <v>0.99819429999999998</v>
      </c>
      <c r="AB932">
        <v>25</v>
      </c>
      <c r="AC932">
        <v>197.92789999999999</v>
      </c>
      <c r="AD932">
        <v>4.36751299999999</v>
      </c>
      <c r="AE932">
        <v>-9.8186</v>
      </c>
      <c r="AF932">
        <v>11.9083127602714</v>
      </c>
      <c r="AG932">
        <v>4.36751299999999</v>
      </c>
      <c r="AH932">
        <v>197.716787424865</v>
      </c>
      <c r="AI932">
        <v>88.736845023185793</v>
      </c>
      <c r="AJ932">
        <v>86.553287956780906</v>
      </c>
      <c r="AK932">
        <v>198.12322204176601</v>
      </c>
      <c r="AL932">
        <v>84.094357187177195</v>
      </c>
      <c r="AM932">
        <v>96.148582190876198</v>
      </c>
      <c r="AN932">
        <v>0.999999997523215</v>
      </c>
    </row>
    <row r="933" spans="1:40" x14ac:dyDescent="0.25">
      <c r="A933" t="str">
        <f>"20190304154741801"</f>
        <v>20190304154741801</v>
      </c>
      <c r="B933" t="str">
        <f>"1551685661798231"</f>
        <v>1551685661798231</v>
      </c>
      <c r="C933" t="s">
        <v>40</v>
      </c>
      <c r="D933">
        <v>4.2088320000000001</v>
      </c>
      <c r="E933">
        <v>0.54339399999999904</v>
      </c>
      <c r="F933" t="s">
        <v>43</v>
      </c>
      <c r="G933">
        <v>-158.19499999999999</v>
      </c>
      <c r="H933">
        <v>5.6178249999999998</v>
      </c>
      <c r="I933">
        <v>356.2373</v>
      </c>
      <c r="J933">
        <v>-364.99250000000001</v>
      </c>
      <c r="K933">
        <v>1.1103540000000001</v>
      </c>
      <c r="L933">
        <v>366.43520000000001</v>
      </c>
      <c r="M933">
        <v>0.99988600000000005</v>
      </c>
      <c r="N933">
        <v>-1.077521E-2</v>
      </c>
      <c r="O933">
        <v>1.058368E-2</v>
      </c>
      <c r="P933">
        <v>0.9888169</v>
      </c>
      <c r="Q933">
        <v>9.2382049999999993E-2</v>
      </c>
      <c r="R933">
        <v>0.11707579999999999</v>
      </c>
      <c r="S933">
        <v>3.045471</v>
      </c>
      <c r="T933">
        <v>6.6335199999999997E-2</v>
      </c>
      <c r="U933">
        <v>-0.15005489999999999</v>
      </c>
      <c r="V933">
        <v>-0.1065977</v>
      </c>
      <c r="W933">
        <v>0.1030504</v>
      </c>
      <c r="X933">
        <v>0.98894769999999999</v>
      </c>
      <c r="Y933">
        <v>5.976778E-2</v>
      </c>
      <c r="Z933">
        <v>6.7254169999999896E-4</v>
      </c>
      <c r="AA933">
        <v>0.99821210000000005</v>
      </c>
      <c r="AB933">
        <v>25</v>
      </c>
      <c r="AC933">
        <v>206.79750000000001</v>
      </c>
      <c r="AD933">
        <v>4.5074709999999998</v>
      </c>
      <c r="AE933">
        <v>-10.197900000000001</v>
      </c>
      <c r="AF933">
        <v>12.380266787317201</v>
      </c>
      <c r="AG933">
        <v>4.5074709999999998</v>
      </c>
      <c r="AH933">
        <v>206.58007271855399</v>
      </c>
      <c r="AI933">
        <v>88.752271810216399</v>
      </c>
      <c r="AJ933">
        <v>86.570387243811894</v>
      </c>
      <c r="AK933">
        <v>206.999794069811</v>
      </c>
      <c r="AL933">
        <v>84.085146670729003</v>
      </c>
      <c r="AM933">
        <v>96.152103086643805</v>
      </c>
      <c r="AN933">
        <v>1.00000000396036</v>
      </c>
    </row>
    <row r="934" spans="1:40" x14ac:dyDescent="0.25">
      <c r="A934" t="str">
        <f>"20190304154741818"</f>
        <v>20190304154741818</v>
      </c>
      <c r="B934" t="str">
        <f>"1551685661807991"</f>
        <v>1551685661807991</v>
      </c>
      <c r="C934" t="s">
        <v>40</v>
      </c>
      <c r="D934">
        <v>4.2162410000000001</v>
      </c>
      <c r="E934">
        <v>0.53540449999999995</v>
      </c>
      <c r="F934" t="s">
        <v>53</v>
      </c>
      <c r="G934">
        <v>-204.08160000000001</v>
      </c>
      <c r="H934" s="1">
        <v>-3.1697560000000002E-6</v>
      </c>
      <c r="I934">
        <v>366.56299999999999</v>
      </c>
      <c r="J934">
        <v>-364.79700000000003</v>
      </c>
      <c r="K934">
        <v>1.1103540000000001</v>
      </c>
      <c r="L934">
        <v>366.43729999999999</v>
      </c>
      <c r="M934">
        <v>0.9998861</v>
      </c>
      <c r="N934">
        <v>-1.077666E-2</v>
      </c>
      <c r="O934">
        <v>1.057611E-2</v>
      </c>
      <c r="P934">
        <v>0.98888259999999994</v>
      </c>
      <c r="Q934">
        <v>9.2178239999999995E-2</v>
      </c>
      <c r="R934">
        <v>0.1166811</v>
      </c>
      <c r="S934">
        <v>3.0356139999999998</v>
      </c>
      <c r="T934">
        <v>-2.09471E-2</v>
      </c>
      <c r="U934">
        <v>2.4108889999999998E-3</v>
      </c>
      <c r="V934">
        <v>-0.1062095</v>
      </c>
      <c r="W934">
        <v>0.1028483</v>
      </c>
      <c r="X934">
        <v>0.98901050000000001</v>
      </c>
      <c r="Y934">
        <v>9.7818909999999992E-3</v>
      </c>
      <c r="Z934" s="1">
        <v>-4.545755E-5</v>
      </c>
      <c r="AA934">
        <v>0.99995210000000001</v>
      </c>
      <c r="AB934">
        <v>25</v>
      </c>
      <c r="AC934">
        <v>160.71539999999899</v>
      </c>
      <c r="AD934">
        <v>-1.110357169756</v>
      </c>
      <c r="AE934">
        <v>0.12570000000005099</v>
      </c>
      <c r="AF934">
        <v>1.5740741830368801</v>
      </c>
      <c r="AG934">
        <v>-1.110357169756</v>
      </c>
      <c r="AH934">
        <v>160.70006931722699</v>
      </c>
      <c r="AI934">
        <v>90.3958599141138</v>
      </c>
      <c r="AJ934">
        <v>89.438799724552396</v>
      </c>
      <c r="AK934">
        <v>160.71161402070399</v>
      </c>
      <c r="AL934">
        <v>84.096787978787006</v>
      </c>
      <c r="AM934">
        <v>96.129483398520804</v>
      </c>
      <c r="AN934">
        <v>0.99999999990669497</v>
      </c>
    </row>
    <row r="935" spans="1:40" x14ac:dyDescent="0.25">
      <c r="A935" t="str">
        <f>"20190304154741830"</f>
        <v>20190304154741830</v>
      </c>
      <c r="B935" t="str">
        <f>"1551685661827511"</f>
        <v>1551685661827511</v>
      </c>
      <c r="C935" t="s">
        <v>40</v>
      </c>
      <c r="D935">
        <v>4.2093619999999996</v>
      </c>
      <c r="E935">
        <v>0.52740220000000004</v>
      </c>
      <c r="F935" t="s">
        <v>45</v>
      </c>
      <c r="G935">
        <v>-283.98919999999998</v>
      </c>
      <c r="H935">
        <v>-0.05</v>
      </c>
      <c r="I935">
        <v>368.15530000000001</v>
      </c>
      <c r="J935">
        <v>-364.65859999999998</v>
      </c>
      <c r="K935">
        <v>1.110349</v>
      </c>
      <c r="L935">
        <v>366.43869999999998</v>
      </c>
      <c r="M935">
        <v>0.9998861</v>
      </c>
      <c r="N935">
        <v>-1.0777770000000001E-2</v>
      </c>
      <c r="O935">
        <v>1.0571590000000001E-2</v>
      </c>
      <c r="P935">
        <v>0.98890080000000002</v>
      </c>
      <c r="Q935">
        <v>9.1912270000000004E-2</v>
      </c>
      <c r="R935">
        <v>0.1167361</v>
      </c>
      <c r="S935">
        <v>3.030151</v>
      </c>
      <c r="T935">
        <v>-4.3511269999999998E-2</v>
      </c>
      <c r="U935">
        <v>6.4422610000000005E-2</v>
      </c>
      <c r="V935">
        <v>-0.1062695</v>
      </c>
      <c r="W935">
        <v>0.1025832</v>
      </c>
      <c r="X935">
        <v>0.98903160000000001</v>
      </c>
      <c r="Y935">
        <v>-1.0682860000000001E-2</v>
      </c>
      <c r="Z935" s="1">
        <v>9.6430619999999999E-5</v>
      </c>
      <c r="AA935">
        <v>0.99994300000000003</v>
      </c>
      <c r="AB935">
        <v>25</v>
      </c>
      <c r="AC935">
        <v>80.669399999999996</v>
      </c>
      <c r="AD935">
        <v>-1.1603490000000001</v>
      </c>
      <c r="AE935">
        <v>1.7166000000000201</v>
      </c>
      <c r="AF935">
        <v>-0.86347219124888996</v>
      </c>
      <c r="AG935">
        <v>-1.1603490000000001</v>
      </c>
      <c r="AH935">
        <v>80.666357567437501</v>
      </c>
      <c r="AI935">
        <v>90.824069783904903</v>
      </c>
      <c r="AJ935">
        <v>90.613284451454902</v>
      </c>
      <c r="AK935">
        <v>80.679323480211096</v>
      </c>
      <c r="AL935">
        <v>84.112057931641999</v>
      </c>
      <c r="AM935">
        <v>96.132789849979204</v>
      </c>
      <c r="AN935">
        <v>1.00000001267552</v>
      </c>
    </row>
    <row r="936" spans="1:40" x14ac:dyDescent="0.25">
      <c r="A936" t="str">
        <f>"20190304154741841"</f>
        <v>20190304154741841</v>
      </c>
      <c r="B936" t="str">
        <f>"1551685661838247"</f>
        <v>1551685661838247</v>
      </c>
      <c r="C936" t="s">
        <v>40</v>
      </c>
      <c r="D936">
        <v>4.235849</v>
      </c>
      <c r="E936">
        <v>0.52572350000000001</v>
      </c>
      <c r="F936" t="s">
        <v>45</v>
      </c>
      <c r="G936">
        <v>-314.4556</v>
      </c>
      <c r="H936">
        <v>-0.05</v>
      </c>
      <c r="I936">
        <v>368.5557</v>
      </c>
      <c r="J936">
        <v>-364.53469999999999</v>
      </c>
      <c r="K936">
        <v>1.110349</v>
      </c>
      <c r="L936">
        <v>366.44</v>
      </c>
      <c r="M936">
        <v>0.9998861</v>
      </c>
      <c r="N936">
        <v>-1.0778859999999999E-2</v>
      </c>
      <c r="O936">
        <v>1.0568549999999999E-2</v>
      </c>
      <c r="P936">
        <v>0.98893750000000002</v>
      </c>
      <c r="Q936">
        <v>9.1966539999999999E-2</v>
      </c>
      <c r="R936">
        <v>0.1163826</v>
      </c>
      <c r="S936">
        <v>3.0250849999999998</v>
      </c>
      <c r="T936">
        <v>-6.9919229999999999E-2</v>
      </c>
      <c r="U936">
        <v>0.1275635</v>
      </c>
      <c r="V936">
        <v>-0.1059185</v>
      </c>
      <c r="W936">
        <v>0.1026387</v>
      </c>
      <c r="X936">
        <v>0.98906349999999998</v>
      </c>
      <c r="Y936">
        <v>-3.1557439999999999E-2</v>
      </c>
      <c r="Z936">
        <v>4.0443070000000002E-4</v>
      </c>
      <c r="AA936">
        <v>0.99950190000000005</v>
      </c>
      <c r="AB936">
        <v>25</v>
      </c>
      <c r="AC936">
        <v>50.079099999999897</v>
      </c>
      <c r="AD936">
        <v>-1.1603490000000001</v>
      </c>
      <c r="AE936">
        <v>2.1156999999999999</v>
      </c>
      <c r="AF936">
        <v>-1.5854379823962299</v>
      </c>
      <c r="AG936">
        <v>-1.1603490000000001</v>
      </c>
      <c r="AH936">
        <v>50.071830136392599</v>
      </c>
      <c r="AI936">
        <v>91.326852231310198</v>
      </c>
      <c r="AJ936">
        <v>91.813565947878303</v>
      </c>
      <c r="AK936">
        <v>50.110360172379302</v>
      </c>
      <c r="AL936">
        <v>84.108861180482705</v>
      </c>
      <c r="AM936">
        <v>96.112491662804402</v>
      </c>
      <c r="AN936">
        <v>1.0000000192060901</v>
      </c>
    </row>
    <row r="937" spans="1:40" x14ac:dyDescent="0.25">
      <c r="A937" t="str">
        <f>"20190304154741852"</f>
        <v>20190304154741852</v>
      </c>
      <c r="B937" t="str">
        <f>"1551685661848007"</f>
        <v>1551685661848007</v>
      </c>
      <c r="C937" t="s">
        <v>40</v>
      </c>
      <c r="D937">
        <v>4.2285309999999896</v>
      </c>
      <c r="E937">
        <v>0.52470890000000003</v>
      </c>
      <c r="F937" t="s">
        <v>45</v>
      </c>
      <c r="G937">
        <v>-316.66109999999998</v>
      </c>
      <c r="H937">
        <v>-0.05</v>
      </c>
      <c r="I937">
        <v>368.65039999999999</v>
      </c>
      <c r="J937">
        <v>-364.40929999999997</v>
      </c>
      <c r="K937">
        <v>1.110349</v>
      </c>
      <c r="L937">
        <v>366.44130000000001</v>
      </c>
      <c r="M937">
        <v>0.99988619999999995</v>
      </c>
      <c r="N937">
        <v>-1.077999E-2</v>
      </c>
      <c r="O937">
        <v>1.0565400000000001E-2</v>
      </c>
      <c r="P937">
        <v>0.98900379999999999</v>
      </c>
      <c r="Q937">
        <v>9.1762789999999997E-2</v>
      </c>
      <c r="R937">
        <v>0.1159801</v>
      </c>
      <c r="S937">
        <v>3.0239560000000001</v>
      </c>
      <c r="T937">
        <v>-7.3293919999999999E-2</v>
      </c>
      <c r="U937">
        <v>0.13961789999999999</v>
      </c>
      <c r="V937">
        <v>-0.1055188</v>
      </c>
      <c r="W937">
        <v>0.1024371</v>
      </c>
      <c r="X937">
        <v>0.98912710000000004</v>
      </c>
      <c r="Y937">
        <v>-3.5550030000000003E-2</v>
      </c>
      <c r="Z937">
        <v>4.8024489999999999E-4</v>
      </c>
      <c r="AA937">
        <v>0.99936780000000003</v>
      </c>
      <c r="AB937">
        <v>25</v>
      </c>
      <c r="AC937">
        <v>47.748199999999997</v>
      </c>
      <c r="AD937">
        <v>-1.1603490000000001</v>
      </c>
      <c r="AE937">
        <v>2.2090999999999701</v>
      </c>
      <c r="AF937">
        <v>-1.70346475194683</v>
      </c>
      <c r="AG937">
        <v>-1.1603490000000001</v>
      </c>
      <c r="AH937">
        <v>47.7407424819135</v>
      </c>
      <c r="AI937">
        <v>91.391426969525497</v>
      </c>
      <c r="AJ937">
        <v>92.043536530737398</v>
      </c>
      <c r="AK937">
        <v>47.785214184800999</v>
      </c>
      <c r="AL937">
        <v>84.120473091865904</v>
      </c>
      <c r="AM937">
        <v>96.089210247872899</v>
      </c>
      <c r="AN937">
        <v>0.99999999828212904</v>
      </c>
    </row>
    <row r="938" spans="1:40" x14ac:dyDescent="0.25">
      <c r="A938" t="str">
        <f>"20190304154741862"</f>
        <v>20190304154741862</v>
      </c>
      <c r="B938" t="str">
        <f>"1551685661857767"</f>
        <v>1551685661857767</v>
      </c>
      <c r="C938" t="s">
        <v>40</v>
      </c>
      <c r="D938">
        <v>4.2208410000000001</v>
      </c>
      <c r="E938">
        <v>0.52394600000000002</v>
      </c>
      <c r="F938" t="s">
        <v>45</v>
      </c>
      <c r="G938">
        <v>-317.81580000000002</v>
      </c>
      <c r="H938">
        <v>-0.05</v>
      </c>
      <c r="I938">
        <v>368.69330000000002</v>
      </c>
      <c r="J938">
        <v>-364.28710000000001</v>
      </c>
      <c r="K938">
        <v>1.1103540000000001</v>
      </c>
      <c r="L938">
        <v>366.44260000000003</v>
      </c>
      <c r="M938">
        <v>0.99988600000000005</v>
      </c>
      <c r="N938">
        <v>-1.078117E-2</v>
      </c>
      <c r="O938">
        <v>1.056403E-2</v>
      </c>
      <c r="P938">
        <v>0.98901349999999999</v>
      </c>
      <c r="Q938">
        <v>9.1985750000000005E-2</v>
      </c>
      <c r="R938">
        <v>0.11571869999999999</v>
      </c>
      <c r="S938">
        <v>3.023193</v>
      </c>
      <c r="T938">
        <v>-7.5288530000000006E-2</v>
      </c>
      <c r="U938">
        <v>0.1461182</v>
      </c>
      <c r="V938">
        <v>-0.1052589</v>
      </c>
      <c r="W938">
        <v>0.1026605</v>
      </c>
      <c r="X938">
        <v>0.9891316</v>
      </c>
      <c r="Y938">
        <v>-3.7705339999999997E-2</v>
      </c>
      <c r="Z938">
        <v>5.2353719999999999E-4</v>
      </c>
      <c r="AA938">
        <v>0.99928870000000003</v>
      </c>
      <c r="AB938">
        <v>25</v>
      </c>
      <c r="AC938">
        <v>46.4712999999999</v>
      </c>
      <c r="AD938">
        <v>-1.1603540000000001</v>
      </c>
      <c r="AE938">
        <v>2.2506999999999899</v>
      </c>
      <c r="AF938">
        <v>-1.75852780248519</v>
      </c>
      <c r="AG938">
        <v>-1.1603540000000001</v>
      </c>
      <c r="AH938">
        <v>46.463583823222002</v>
      </c>
      <c r="AI938">
        <v>91.429550408045301</v>
      </c>
      <c r="AJ938">
        <v>92.167464184856001</v>
      </c>
      <c r="AK938">
        <v>46.511326181210997</v>
      </c>
      <c r="AL938">
        <v>84.107605197887906</v>
      </c>
      <c r="AM938">
        <v>96.074296946032803</v>
      </c>
      <c r="AN938">
        <v>0.99999996820400905</v>
      </c>
    </row>
    <row r="939" spans="1:40" x14ac:dyDescent="0.25">
      <c r="A939" t="str">
        <f>"20190304154741874"</f>
        <v>20190304154741874</v>
      </c>
      <c r="B939" t="str">
        <f>"1551685661867528"</f>
        <v>1551685661867528</v>
      </c>
      <c r="C939" t="s">
        <v>40</v>
      </c>
      <c r="D939">
        <v>4.2144250000000003</v>
      </c>
      <c r="E939">
        <v>0.52330089999999996</v>
      </c>
      <c r="F939" t="s">
        <v>44</v>
      </c>
      <c r="G939">
        <v>-320.73289999999997</v>
      </c>
      <c r="H939" s="1">
        <v>-4.1337699999999997E-6</v>
      </c>
      <c r="I939">
        <v>368.62490000000003</v>
      </c>
      <c r="J939">
        <v>-364.16969999999998</v>
      </c>
      <c r="K939">
        <v>1.1103529999999999</v>
      </c>
      <c r="L939">
        <v>366.44389999999999</v>
      </c>
      <c r="M939">
        <v>0.99988619999999995</v>
      </c>
      <c r="N939">
        <v>-1.078231E-2</v>
      </c>
      <c r="O939">
        <v>1.056254E-2</v>
      </c>
      <c r="P939">
        <v>0.98903070000000004</v>
      </c>
      <c r="Q939">
        <v>9.1854839999999993E-2</v>
      </c>
      <c r="R939">
        <v>0.11567810000000001</v>
      </c>
      <c r="S939">
        <v>3.0227970000000002</v>
      </c>
      <c r="T939">
        <v>-7.706201E-2</v>
      </c>
      <c r="U939">
        <v>0.1514587</v>
      </c>
      <c r="V939">
        <v>-0.1052197</v>
      </c>
      <c r="W939">
        <v>0.1025315</v>
      </c>
      <c r="X939">
        <v>0.98914919999999995</v>
      </c>
      <c r="Y939">
        <v>-3.9472939999999998E-2</v>
      </c>
      <c r="Z939">
        <v>5.6052619999999995E-4</v>
      </c>
      <c r="AA939">
        <v>0.99922049999999996</v>
      </c>
      <c r="AB939">
        <v>25</v>
      </c>
      <c r="AC939">
        <v>43.436799999999998</v>
      </c>
      <c r="AD939">
        <v>-1.11035713377</v>
      </c>
      <c r="AE939">
        <v>2.18100000000004</v>
      </c>
      <c r="AF939">
        <v>-1.7209270585026699</v>
      </c>
      <c r="AG939">
        <v>-1.11035713377</v>
      </c>
      <c r="AH939">
        <v>43.429107613280699</v>
      </c>
      <c r="AI939">
        <v>91.463420909627601</v>
      </c>
      <c r="AJ939">
        <v>92.269222236119106</v>
      </c>
      <c r="AK939">
        <v>43.477371942093299</v>
      </c>
      <c r="AL939">
        <v>84.115035849982405</v>
      </c>
      <c r="AM939">
        <v>96.071944455952803</v>
      </c>
      <c r="AN939">
        <v>1.0000000168104899</v>
      </c>
    </row>
    <row r="940" spans="1:40" x14ac:dyDescent="0.25">
      <c r="A940" t="str">
        <f>"20190304154741885"</f>
        <v>20190304154741885</v>
      </c>
      <c r="B940" t="str">
        <f>"1551685661878263"</f>
        <v>1551685661878263</v>
      </c>
      <c r="C940" t="s">
        <v>40</v>
      </c>
      <c r="D940">
        <v>4.2160719999999996</v>
      </c>
      <c r="E940">
        <v>0.52290930000000002</v>
      </c>
      <c r="F940" t="s">
        <v>44</v>
      </c>
      <c r="G940">
        <v>-321.887</v>
      </c>
      <c r="H940" s="1">
        <v>-3.6381860000000002E-6</v>
      </c>
      <c r="I940">
        <v>368.62759999999997</v>
      </c>
      <c r="J940">
        <v>-364.0403</v>
      </c>
      <c r="K940">
        <v>1.1103529999999999</v>
      </c>
      <c r="L940">
        <v>366.44529999999997</v>
      </c>
      <c r="M940">
        <v>0.9998861</v>
      </c>
      <c r="N940">
        <v>-1.0783650000000001E-2</v>
      </c>
      <c r="O940">
        <v>1.056206E-2</v>
      </c>
      <c r="P940">
        <v>0.9890639</v>
      </c>
      <c r="Q940">
        <v>9.1793479999999997E-2</v>
      </c>
      <c r="R940">
        <v>0.11544210000000001</v>
      </c>
      <c r="S940">
        <v>3.0224000000000002</v>
      </c>
      <c r="T940">
        <v>-7.9368830000000001E-2</v>
      </c>
      <c r="U940">
        <v>0.1560974</v>
      </c>
      <c r="V940">
        <v>-0.1049836</v>
      </c>
      <c r="W940">
        <v>0.1024712</v>
      </c>
      <c r="X940">
        <v>0.98918050000000002</v>
      </c>
      <c r="Y940">
        <v>-4.1007960000000003E-2</v>
      </c>
      <c r="Z940">
        <v>5.9601860000000001E-4</v>
      </c>
      <c r="AA940">
        <v>0.99915860000000001</v>
      </c>
      <c r="AB940">
        <v>25</v>
      </c>
      <c r="AC940">
        <v>42.153300000000002</v>
      </c>
      <c r="AD940">
        <v>-1.1103566381859999</v>
      </c>
      <c r="AE940">
        <v>2.1822999999999899</v>
      </c>
      <c r="AF940">
        <v>-1.73572559301072</v>
      </c>
      <c r="AG940">
        <v>-1.1103566381859999</v>
      </c>
      <c r="AH940">
        <v>42.144835557899803</v>
      </c>
      <c r="AI940">
        <v>91.507899744967801</v>
      </c>
      <c r="AJ940">
        <v>92.358381004347294</v>
      </c>
      <c r="AK940">
        <v>42.195175072520001</v>
      </c>
      <c r="AL940">
        <v>84.118508875939099</v>
      </c>
      <c r="AM940">
        <v>96.058230928695707</v>
      </c>
      <c r="AN940">
        <v>0.99999998233932397</v>
      </c>
    </row>
    <row r="941" spans="1:40" x14ac:dyDescent="0.25">
      <c r="A941" t="str">
        <f>"20190304154741895"</f>
        <v>20190304154741895</v>
      </c>
      <c r="B941" t="str">
        <f>"1551685661888023"</f>
        <v>1551685661888023</v>
      </c>
      <c r="C941" t="s">
        <v>40</v>
      </c>
      <c r="D941">
        <v>4.2028339999999904</v>
      </c>
      <c r="E941">
        <v>0.52264390000000005</v>
      </c>
      <c r="F941" t="s">
        <v>44</v>
      </c>
      <c r="G941">
        <v>-321.94729999999998</v>
      </c>
      <c r="H941" s="1">
        <v>-3.607961E-6</v>
      </c>
      <c r="I941">
        <v>368.65210000000002</v>
      </c>
      <c r="J941">
        <v>-363.92779999999999</v>
      </c>
      <c r="K941">
        <v>1.1103510000000001</v>
      </c>
      <c r="L941">
        <v>366.44639999999998</v>
      </c>
      <c r="M941">
        <v>0.9998861</v>
      </c>
      <c r="N941">
        <v>-1.0784820000000001E-2</v>
      </c>
      <c r="O941">
        <v>1.056152E-2</v>
      </c>
      <c r="P941">
        <v>0.98904749999999997</v>
      </c>
      <c r="Q941">
        <v>9.1822799999999996E-2</v>
      </c>
      <c r="R941">
        <v>0.1155588</v>
      </c>
      <c r="S941">
        <v>3.0220950000000002</v>
      </c>
      <c r="T941">
        <v>-7.971847E-2</v>
      </c>
      <c r="U941">
        <v>0.15844730000000001</v>
      </c>
      <c r="V941">
        <v>-0.10510120000000001</v>
      </c>
      <c r="W941">
        <v>0.1025016</v>
      </c>
      <c r="X941">
        <v>0.98916490000000001</v>
      </c>
      <c r="Y941">
        <v>-4.1787989999999997E-2</v>
      </c>
      <c r="Z941">
        <v>6.1172579999999998E-4</v>
      </c>
      <c r="AA941">
        <v>0.99912630000000002</v>
      </c>
      <c r="AB941">
        <v>25</v>
      </c>
      <c r="AC941">
        <v>41.980499999999999</v>
      </c>
      <c r="AD941">
        <v>-1.1103546079610001</v>
      </c>
      <c r="AE941">
        <v>2.20570000000003</v>
      </c>
      <c r="AF941">
        <v>-1.76094479776323</v>
      </c>
      <c r="AG941">
        <v>-1.1103546079610001</v>
      </c>
      <c r="AH941">
        <v>41.9721737509783</v>
      </c>
      <c r="AI941">
        <v>91.514048799841703</v>
      </c>
      <c r="AJ941">
        <v>92.402438547288497</v>
      </c>
      <c r="AK941">
        <v>42.0237692659583</v>
      </c>
      <c r="AL941">
        <v>84.116758085367096</v>
      </c>
      <c r="AM941">
        <v>96.0650615921991</v>
      </c>
      <c r="AN941">
        <v>1.0000000198179999</v>
      </c>
    </row>
    <row r="942" spans="1:40" x14ac:dyDescent="0.25">
      <c r="A942" t="str">
        <f>"20190304154741906"</f>
        <v>20190304154741906</v>
      </c>
      <c r="B942" t="str">
        <f>"1551685661897783"</f>
        <v>1551685661897783</v>
      </c>
      <c r="C942" t="s">
        <v>40</v>
      </c>
      <c r="D942">
        <v>4.2179070000000003</v>
      </c>
      <c r="E942">
        <v>0.52245370000000002</v>
      </c>
      <c r="F942" t="s">
        <v>44</v>
      </c>
      <c r="G942">
        <v>-322.70499999999998</v>
      </c>
      <c r="H942" s="1">
        <v>-3.2852150000000001E-6</v>
      </c>
      <c r="I942">
        <v>368.63889999999998</v>
      </c>
      <c r="J942">
        <v>-363.7996</v>
      </c>
      <c r="K942">
        <v>1.110352</v>
      </c>
      <c r="L942">
        <v>366.44779999999997</v>
      </c>
      <c r="M942">
        <v>0.99988600000000005</v>
      </c>
      <c r="N942">
        <v>-1.0786199999999999E-2</v>
      </c>
      <c r="O942">
        <v>1.05617E-2</v>
      </c>
      <c r="P942">
        <v>0.98903059999999998</v>
      </c>
      <c r="Q942">
        <v>9.1988440000000005E-2</v>
      </c>
      <c r="R942">
        <v>0.1155718</v>
      </c>
      <c r="S942">
        <v>3.0220030000000002</v>
      </c>
      <c r="T942">
        <v>-8.1398960000000006E-2</v>
      </c>
      <c r="U942">
        <v>0.16073609999999999</v>
      </c>
      <c r="V942">
        <v>-0.105114899999999</v>
      </c>
      <c r="W942">
        <v>0.1026681</v>
      </c>
      <c r="X942">
        <v>0.98914619999999998</v>
      </c>
      <c r="Y942">
        <v>-4.2542959999999998E-2</v>
      </c>
      <c r="Z942">
        <v>6.317467E-4</v>
      </c>
      <c r="AA942">
        <v>0.99909440000000005</v>
      </c>
      <c r="AB942">
        <v>25</v>
      </c>
      <c r="AC942">
        <v>41.0946</v>
      </c>
      <c r="AD942">
        <v>-1.110355285215</v>
      </c>
      <c r="AE942">
        <v>2.1911</v>
      </c>
      <c r="AF942">
        <v>-1.75564558565996</v>
      </c>
      <c r="AG942">
        <v>-1.110355285215</v>
      </c>
      <c r="AH942">
        <v>41.085541120761498</v>
      </c>
      <c r="AI942">
        <v>91.546656724242197</v>
      </c>
      <c r="AJ942">
        <v>92.446844337628406</v>
      </c>
      <c r="AK942">
        <v>41.138022187115801</v>
      </c>
      <c r="AL942">
        <v>84.107167878972803</v>
      </c>
      <c r="AM942">
        <v>96.065960103605804</v>
      </c>
      <c r="AN942">
        <v>1.0000000429670199</v>
      </c>
    </row>
    <row r="943" spans="1:40" x14ac:dyDescent="0.25">
      <c r="A943" t="str">
        <f>"20190304154741917"</f>
        <v>20190304154741917</v>
      </c>
      <c r="B943" t="str">
        <f>"1551685661907543"</f>
        <v>1551685661907543</v>
      </c>
      <c r="C943" t="s">
        <v>40</v>
      </c>
      <c r="D943">
        <v>4.2364769999999998</v>
      </c>
      <c r="E943">
        <v>0.52218149999999997</v>
      </c>
      <c r="F943" t="s">
        <v>44</v>
      </c>
      <c r="G943">
        <v>-322.83640000000003</v>
      </c>
      <c r="H943" s="1">
        <v>-3.2279969999999898E-6</v>
      </c>
      <c r="I943">
        <v>368.64400000000001</v>
      </c>
      <c r="J943">
        <v>-363.67619999999999</v>
      </c>
      <c r="K943">
        <v>1.1103529999999999</v>
      </c>
      <c r="L943">
        <v>366.44909999999999</v>
      </c>
      <c r="M943">
        <v>0.99988600000000005</v>
      </c>
      <c r="N943">
        <v>-1.078757E-2</v>
      </c>
      <c r="O943">
        <v>1.0561869999999999E-2</v>
      </c>
      <c r="P943">
        <v>0.98897179999999996</v>
      </c>
      <c r="Q943">
        <v>9.2271220000000001E-2</v>
      </c>
      <c r="R943">
        <v>0.1158493</v>
      </c>
      <c r="S943">
        <v>3.0219119999999999</v>
      </c>
      <c r="T943">
        <v>-8.1912159999999998E-2</v>
      </c>
      <c r="U943">
        <v>0.16201779999999999</v>
      </c>
      <c r="V943">
        <v>-0.1053925</v>
      </c>
      <c r="W943">
        <v>0.1029513</v>
      </c>
      <c r="X943">
        <v>0.98908720000000006</v>
      </c>
      <c r="Y943">
        <v>-4.2966520000000001E-2</v>
      </c>
      <c r="Z943">
        <v>6.4163380000000002E-4</v>
      </c>
      <c r="AA943">
        <v>0.99907630000000003</v>
      </c>
      <c r="AB943">
        <v>25</v>
      </c>
      <c r="AC943">
        <v>40.839799999999897</v>
      </c>
      <c r="AD943">
        <v>-1.1103562279970001</v>
      </c>
      <c r="AE943">
        <v>2.1949000000000098</v>
      </c>
      <c r="AF943">
        <v>-1.76210900018738</v>
      </c>
      <c r="AG943">
        <v>-1.1103562279970001</v>
      </c>
      <c r="AH943">
        <v>40.830610618688702</v>
      </c>
      <c r="AI943">
        <v>91.556281690953298</v>
      </c>
      <c r="AJ943">
        <v>92.471155765904896</v>
      </c>
      <c r="AK943">
        <v>40.883697026768097</v>
      </c>
      <c r="AL943">
        <v>84.090855134232896</v>
      </c>
      <c r="AM943">
        <v>96.082219978452898</v>
      </c>
      <c r="AN943">
        <v>1.00000001921589</v>
      </c>
    </row>
    <row r="944" spans="1:40" x14ac:dyDescent="0.25">
      <c r="A944" t="str">
        <f>"20190304154741928"</f>
        <v>20190304154741928</v>
      </c>
      <c r="B944" t="str">
        <f>"1551685661918280"</f>
        <v>1551685661918280</v>
      </c>
      <c r="C944" t="s">
        <v>40</v>
      </c>
      <c r="D944">
        <v>4.2620750000000003</v>
      </c>
      <c r="E944">
        <v>0.52195179999999997</v>
      </c>
      <c r="F944" t="s">
        <v>44</v>
      </c>
      <c r="G944">
        <v>-322.86540000000002</v>
      </c>
      <c r="H944" s="1">
        <v>-3.208488E-6</v>
      </c>
      <c r="I944">
        <v>368.68369999999999</v>
      </c>
      <c r="J944">
        <v>-363.55029999999999</v>
      </c>
      <c r="K944">
        <v>1.1103540000000001</v>
      </c>
      <c r="L944">
        <v>366.4504</v>
      </c>
      <c r="M944">
        <v>0.99988600000000005</v>
      </c>
      <c r="N944">
        <v>-1.078899E-2</v>
      </c>
      <c r="O944">
        <v>1.0562169999999999E-2</v>
      </c>
      <c r="P944">
        <v>0.9889597</v>
      </c>
      <c r="Q944">
        <v>9.2361719999999994E-2</v>
      </c>
      <c r="R944">
        <v>0.11587989999999999</v>
      </c>
      <c r="S944">
        <v>3.0217589999999999</v>
      </c>
      <c r="T944">
        <v>-8.2214120000000002E-2</v>
      </c>
      <c r="U944">
        <v>0.16546629999999901</v>
      </c>
      <c r="V944">
        <v>-0.10542310000000001</v>
      </c>
      <c r="W944">
        <v>0.1030433</v>
      </c>
      <c r="X944">
        <v>0.98907429999999996</v>
      </c>
      <c r="Y944">
        <v>-4.410501E-2</v>
      </c>
      <c r="Z944">
        <v>6.6439570000000005E-4</v>
      </c>
      <c r="AA944">
        <v>0.99902670000000005</v>
      </c>
      <c r="AB944">
        <v>25</v>
      </c>
      <c r="AC944">
        <v>40.684899999999899</v>
      </c>
      <c r="AD944">
        <v>-1.110357208488</v>
      </c>
      <c r="AE944">
        <v>2.2332999999999799</v>
      </c>
      <c r="AF944">
        <v>-1.8020913362695401</v>
      </c>
      <c r="AG944">
        <v>-1.110357208488</v>
      </c>
      <c r="AH944">
        <v>40.676014324910597</v>
      </c>
      <c r="AI944">
        <v>91.562116899706197</v>
      </c>
      <c r="AJ944">
        <v>92.5367468866948</v>
      </c>
      <c r="AK944">
        <v>40.731051639689198</v>
      </c>
      <c r="AL944">
        <v>84.085555394764896</v>
      </c>
      <c r="AM944">
        <v>96.084051422477302</v>
      </c>
      <c r="AN944">
        <v>0.99999996130449398</v>
      </c>
    </row>
    <row r="945" spans="1:40" x14ac:dyDescent="0.25">
      <c r="A945" t="str">
        <f>"20190304154741938"</f>
        <v>20190304154741938</v>
      </c>
      <c r="B945" t="str">
        <f>"1551685661928039"</f>
        <v>1551685661928039</v>
      </c>
      <c r="C945" t="s">
        <v>40</v>
      </c>
      <c r="D945">
        <v>4.2570259999999998</v>
      </c>
      <c r="E945">
        <v>0.52169579999999904</v>
      </c>
      <c r="F945" t="s">
        <v>44</v>
      </c>
      <c r="G945">
        <v>-323.07</v>
      </c>
      <c r="H945" s="1">
        <v>-3.1184920000000001E-6</v>
      </c>
      <c r="I945">
        <v>368.69619999999998</v>
      </c>
      <c r="J945">
        <v>-363.43099999999998</v>
      </c>
      <c r="K945">
        <v>1.1103559999999999</v>
      </c>
      <c r="L945">
        <v>366.45170000000002</v>
      </c>
      <c r="M945">
        <v>0.9998861</v>
      </c>
      <c r="N945">
        <v>-1.0790370000000001E-2</v>
      </c>
      <c r="O945">
        <v>1.056234E-2</v>
      </c>
      <c r="P945">
        <v>0.98892959999999996</v>
      </c>
      <c r="Q945">
        <v>9.2481549999999996E-2</v>
      </c>
      <c r="R945">
        <v>0.11604100000000001</v>
      </c>
      <c r="S945">
        <v>3.0215450000000001</v>
      </c>
      <c r="T945">
        <v>-8.2879540000000002E-2</v>
      </c>
      <c r="U945">
        <v>0.16763310000000001</v>
      </c>
      <c r="V945">
        <v>-0.105584</v>
      </c>
      <c r="W945">
        <v>0.1031637</v>
      </c>
      <c r="X945">
        <v>0.98904460000000005</v>
      </c>
      <c r="Y945">
        <v>-4.4822250000000001E-2</v>
      </c>
      <c r="Z945">
        <v>6.8068559999999998E-4</v>
      </c>
      <c r="AA945">
        <v>0.99899479999999996</v>
      </c>
      <c r="AB945">
        <v>25</v>
      </c>
      <c r="AC945">
        <v>40.360999999999898</v>
      </c>
      <c r="AD945">
        <v>-1.1103591184920001</v>
      </c>
      <c r="AE945">
        <v>2.2444999999999502</v>
      </c>
      <c r="AF945">
        <v>-1.81667271137507</v>
      </c>
      <c r="AG945">
        <v>-1.1103591184920001</v>
      </c>
      <c r="AH945">
        <v>40.352011035912398</v>
      </c>
      <c r="AI945">
        <v>91.574605907383301</v>
      </c>
      <c r="AJ945">
        <v>92.577751102040494</v>
      </c>
      <c r="AK945">
        <v>40.408142641733299</v>
      </c>
      <c r="AL945">
        <v>84.078620105379002</v>
      </c>
      <c r="AM945">
        <v>96.093448886263999</v>
      </c>
      <c r="AN945">
        <v>0.99999997542142405</v>
      </c>
    </row>
    <row r="946" spans="1:40" x14ac:dyDescent="0.25">
      <c r="A946" t="str">
        <f>"20190304154741950"</f>
        <v>20190304154741950</v>
      </c>
      <c r="B946" t="str">
        <f>"1551685661937799"</f>
        <v>1551685661937799</v>
      </c>
      <c r="C946" t="s">
        <v>40</v>
      </c>
      <c r="D946">
        <v>4.2850080000000004</v>
      </c>
      <c r="E946">
        <v>0.52154739999999999</v>
      </c>
      <c r="F946" t="s">
        <v>44</v>
      </c>
      <c r="G946">
        <v>-323.3433</v>
      </c>
      <c r="H946" s="1">
        <v>-2.999499E-6</v>
      </c>
      <c r="I946">
        <v>368.70609999999999</v>
      </c>
      <c r="J946">
        <v>-363.2989</v>
      </c>
      <c r="K946">
        <v>1.1103540000000001</v>
      </c>
      <c r="L946">
        <v>366.45299999999997</v>
      </c>
      <c r="M946">
        <v>0.99988600000000005</v>
      </c>
      <c r="N946">
        <v>-1.079192E-2</v>
      </c>
      <c r="O946">
        <v>1.056288E-2</v>
      </c>
      <c r="P946">
        <v>0.98889119999999997</v>
      </c>
      <c r="Q946">
        <v>9.265727E-2</v>
      </c>
      <c r="R946">
        <v>0.116227</v>
      </c>
      <c r="S946">
        <v>3.0214539999999999</v>
      </c>
      <c r="T946">
        <v>-8.3688739999999998E-2</v>
      </c>
      <c r="U946">
        <v>0.16992189999999999</v>
      </c>
      <c r="V946">
        <v>-0.10577019999999999</v>
      </c>
      <c r="W946">
        <v>0.1033406</v>
      </c>
      <c r="X946">
        <v>0.9890063</v>
      </c>
      <c r="Y946">
        <v>-4.5577039999999999E-2</v>
      </c>
      <c r="Z946">
        <v>6.9842410000000004E-4</v>
      </c>
      <c r="AA946">
        <v>0.99896059999999998</v>
      </c>
      <c r="AB946">
        <v>25</v>
      </c>
      <c r="AC946">
        <v>39.955599999999997</v>
      </c>
      <c r="AD946">
        <v>-1.1103569994989999</v>
      </c>
      <c r="AE946">
        <v>2.2530999999999599</v>
      </c>
      <c r="AF946">
        <v>-1.8294951233446699</v>
      </c>
      <c r="AG946">
        <v>-1.1103569994989999</v>
      </c>
      <c r="AH946">
        <v>39.9464195847439</v>
      </c>
      <c r="AI946">
        <v>91.590526229638897</v>
      </c>
      <c r="AJ946">
        <v>92.622241324432693</v>
      </c>
      <c r="AK946">
        <v>40.003704612361702</v>
      </c>
      <c r="AL946">
        <v>84.068430391157506</v>
      </c>
      <c r="AM946">
        <v>96.104348379099306</v>
      </c>
      <c r="AN946">
        <v>1.0000000381280401</v>
      </c>
    </row>
    <row r="947" spans="1:40" x14ac:dyDescent="0.25">
      <c r="A947" t="str">
        <f>"20190304154741961"</f>
        <v>20190304154741961</v>
      </c>
      <c r="B947" t="str">
        <f>"1551685661958296"</f>
        <v>1551685661958296</v>
      </c>
      <c r="C947" t="s">
        <v>40</v>
      </c>
      <c r="D947">
        <v>4.2850820000000001</v>
      </c>
      <c r="E947">
        <v>0.52129190000000003</v>
      </c>
      <c r="F947" t="s">
        <v>44</v>
      </c>
      <c r="G947">
        <v>-323.4896</v>
      </c>
      <c r="H947" s="1">
        <v>-2.9349090000000001E-6</v>
      </c>
      <c r="I947">
        <v>368.71629999999999</v>
      </c>
      <c r="J947">
        <v>-363.18169999999998</v>
      </c>
      <c r="K947">
        <v>1.1103559999999999</v>
      </c>
      <c r="L947">
        <v>366.45429999999999</v>
      </c>
      <c r="M947">
        <v>0.99988600000000005</v>
      </c>
      <c r="N947">
        <v>-1.079333E-2</v>
      </c>
      <c r="O947">
        <v>1.0563049999999999E-2</v>
      </c>
      <c r="P947">
        <v>0.98884859999999997</v>
      </c>
      <c r="Q947">
        <v>9.2777479999999996E-2</v>
      </c>
      <c r="R947">
        <v>0.11649379999999999</v>
      </c>
      <c r="S947">
        <v>3.021423</v>
      </c>
      <c r="T947">
        <v>-8.4273219999999996E-2</v>
      </c>
      <c r="U947">
        <v>0.171783399999999</v>
      </c>
      <c r="V947">
        <v>-0.1060372</v>
      </c>
      <c r="W947">
        <v>0.1034621</v>
      </c>
      <c r="X947">
        <v>0.98896499999999998</v>
      </c>
      <c r="Y947">
        <v>-4.6190349999999998E-2</v>
      </c>
      <c r="Z947">
        <v>7.1268880000000001E-4</v>
      </c>
      <c r="AA947">
        <v>0.99893240000000005</v>
      </c>
      <c r="AB947">
        <v>25</v>
      </c>
      <c r="AC947">
        <v>39.692099999999897</v>
      </c>
      <c r="AD947">
        <v>-1.110358934909</v>
      </c>
      <c r="AE947">
        <v>2.262</v>
      </c>
      <c r="AF947">
        <v>-1.84114360020734</v>
      </c>
      <c r="AG947">
        <v>-1.110358934909</v>
      </c>
      <c r="AH947">
        <v>39.682826572854701</v>
      </c>
      <c r="AI947">
        <v>91.601044600632804</v>
      </c>
      <c r="AJ947">
        <v>92.656417671986105</v>
      </c>
      <c r="AK947">
        <v>39.7410295731273</v>
      </c>
      <c r="AL947">
        <v>84.061431404709495</v>
      </c>
      <c r="AM947">
        <v>96.119894674221797</v>
      </c>
      <c r="AN947">
        <v>1.0000000325726199</v>
      </c>
    </row>
    <row r="948" spans="1:40" x14ac:dyDescent="0.25">
      <c r="A948" t="str">
        <f>"20190304154741973"</f>
        <v>20190304154741973</v>
      </c>
      <c r="B948" t="str">
        <f>"1551685661968055"</f>
        <v>1551685661968055</v>
      </c>
      <c r="C948" t="s">
        <v>40</v>
      </c>
      <c r="D948">
        <v>4.251493</v>
      </c>
      <c r="E948">
        <v>0.52111739999999995</v>
      </c>
      <c r="F948" t="s">
        <v>44</v>
      </c>
      <c r="G948">
        <v>-323.976</v>
      </c>
      <c r="H948" s="1">
        <v>-2.7262280000000002E-6</v>
      </c>
      <c r="I948">
        <v>368.71660000000003</v>
      </c>
      <c r="J948">
        <v>-363.03870000000001</v>
      </c>
      <c r="K948">
        <v>1.110357</v>
      </c>
      <c r="L948">
        <v>366.45580000000001</v>
      </c>
      <c r="M948">
        <v>0.99988589999999999</v>
      </c>
      <c r="N948">
        <v>-1.079505E-2</v>
      </c>
      <c r="O948">
        <v>1.0563350000000001E-2</v>
      </c>
      <c r="P948">
        <v>0.98886249999999998</v>
      </c>
      <c r="Q948">
        <v>9.263209E-2</v>
      </c>
      <c r="R948">
        <v>0.11649089999999999</v>
      </c>
      <c r="S948">
        <v>3.0213009999999998</v>
      </c>
      <c r="T948">
        <v>-8.5566999999999893E-2</v>
      </c>
      <c r="U948">
        <v>0.1743469</v>
      </c>
      <c r="V948">
        <v>-0.10603410000000001</v>
      </c>
      <c r="W948">
        <v>0.1033184</v>
      </c>
      <c r="X948">
        <v>0.98898039999999998</v>
      </c>
      <c r="Y948">
        <v>-4.7036059999999998E-2</v>
      </c>
      <c r="Z948">
        <v>7.3464509999999995E-4</v>
      </c>
      <c r="AA948">
        <v>0.99889289999999997</v>
      </c>
      <c r="AB948">
        <v>25</v>
      </c>
      <c r="AC948">
        <v>39.0627</v>
      </c>
      <c r="AD948">
        <v>-1.1103597262279901</v>
      </c>
      <c r="AE948">
        <v>2.2608000000000099</v>
      </c>
      <c r="AF948">
        <v>-1.8465298295152699</v>
      </c>
      <c r="AG948">
        <v>-1.1103597262279901</v>
      </c>
      <c r="AH948">
        <v>39.052954477117297</v>
      </c>
      <c r="AI948">
        <v>91.626787360974205</v>
      </c>
      <c r="AJ948">
        <v>92.707084011593494</v>
      </c>
      <c r="AK948">
        <v>39.112348747227102</v>
      </c>
      <c r="AL948">
        <v>84.069709433192301</v>
      </c>
      <c r="AM948">
        <v>96.119622545955195</v>
      </c>
      <c r="AN948">
        <v>1.0000000768627599</v>
      </c>
    </row>
    <row r="949" spans="1:40" x14ac:dyDescent="0.25">
      <c r="A949" t="str">
        <f>"20190304154741985"</f>
        <v>20190304154741985</v>
      </c>
      <c r="B949" t="str">
        <f>"1551685661977816"</f>
        <v>1551685661977816</v>
      </c>
      <c r="C949" t="s">
        <v>40</v>
      </c>
      <c r="D949">
        <v>4.298692</v>
      </c>
      <c r="E949">
        <v>0.52093020000000001</v>
      </c>
      <c r="F949" t="s">
        <v>44</v>
      </c>
      <c r="G949">
        <v>-324.54649999999998</v>
      </c>
      <c r="H949" s="1">
        <v>-2.4852450000000001E-6</v>
      </c>
      <c r="I949">
        <v>368.69529999999997</v>
      </c>
      <c r="J949">
        <v>-362.89769999999999</v>
      </c>
      <c r="K949">
        <v>1.110355</v>
      </c>
      <c r="L949">
        <v>366.4572</v>
      </c>
      <c r="M949">
        <v>0.99988600000000005</v>
      </c>
      <c r="N949">
        <v>-1.0796780000000001E-2</v>
      </c>
      <c r="O949">
        <v>1.056352E-2</v>
      </c>
      <c r="P949">
        <v>0.98887349999999996</v>
      </c>
      <c r="Q949">
        <v>9.2724200000000007E-2</v>
      </c>
      <c r="R949">
        <v>0.116325</v>
      </c>
      <c r="S949">
        <v>3.0212400000000001</v>
      </c>
      <c r="T949">
        <v>-8.7151649999999997E-2</v>
      </c>
      <c r="U949">
        <v>0.175781299999999</v>
      </c>
      <c r="V949">
        <v>-0.1058685</v>
      </c>
      <c r="W949">
        <v>0.1034123</v>
      </c>
      <c r="X949">
        <v>0.98898830000000004</v>
      </c>
      <c r="Y949">
        <v>-4.7508679999999998E-2</v>
      </c>
      <c r="Z949">
        <v>7.5085609999999998E-4</v>
      </c>
      <c r="AA949">
        <v>0.99887060000000005</v>
      </c>
      <c r="AB949">
        <v>25</v>
      </c>
      <c r="AC949">
        <v>38.351199999999999</v>
      </c>
      <c r="AD949">
        <v>-1.110357485245</v>
      </c>
      <c r="AE949">
        <v>2.23809999999997</v>
      </c>
      <c r="AF949">
        <v>-1.83129800639827</v>
      </c>
      <c r="AG949">
        <v>-1.110357485245</v>
      </c>
      <c r="AH949">
        <v>38.340673958455099</v>
      </c>
      <c r="AI949">
        <v>91.656951468439601</v>
      </c>
      <c r="AJ949">
        <v>92.734588443247802</v>
      </c>
      <c r="AK949">
        <v>38.400440436560601</v>
      </c>
      <c r="AL949">
        <v>84.064300227938602</v>
      </c>
      <c r="AM949">
        <v>96.110089067600896</v>
      </c>
      <c r="AN949">
        <v>1.00000005031021</v>
      </c>
    </row>
    <row r="950" spans="1:40" x14ac:dyDescent="0.25">
      <c r="A950" t="str">
        <f>"20190304154741999"</f>
        <v>20190304154741999</v>
      </c>
      <c r="B950" t="str">
        <f>"1551685661987575"</f>
        <v>1551685661987575</v>
      </c>
      <c r="C950" t="s">
        <v>40</v>
      </c>
      <c r="D950">
        <v>4.2944279999999999</v>
      </c>
      <c r="E950">
        <v>0.5207813</v>
      </c>
      <c r="F950" t="s">
        <v>44</v>
      </c>
      <c r="G950">
        <v>-324.9776</v>
      </c>
      <c r="H950" s="1">
        <v>-2.3039999999999999E-6</v>
      </c>
      <c r="I950">
        <v>368.67450000000002</v>
      </c>
      <c r="J950">
        <v>-362.75479999999999</v>
      </c>
      <c r="K950">
        <v>1.1103590000000001</v>
      </c>
      <c r="L950">
        <v>366.4588</v>
      </c>
      <c r="M950">
        <v>0.99988589999999999</v>
      </c>
      <c r="N950">
        <v>-1.079858E-2</v>
      </c>
      <c r="O950">
        <v>1.0563690000000001E-2</v>
      </c>
      <c r="P950">
        <v>0.98891830000000003</v>
      </c>
      <c r="Q950">
        <v>9.2500079999999998E-2</v>
      </c>
      <c r="R950">
        <v>0.1161235</v>
      </c>
      <c r="S950">
        <v>3.021271</v>
      </c>
      <c r="T950">
        <v>-8.8466999999999907E-2</v>
      </c>
      <c r="U950">
        <v>0.176666299999999</v>
      </c>
      <c r="V950">
        <v>-0.1056662</v>
      </c>
      <c r="W950">
        <v>0.1031903</v>
      </c>
      <c r="X950">
        <v>0.98903300000000005</v>
      </c>
      <c r="Y950">
        <v>-4.7798720000000003E-2</v>
      </c>
      <c r="Z950">
        <v>7.6245459999999996E-4</v>
      </c>
      <c r="AA950">
        <v>0.99885670000000004</v>
      </c>
      <c r="AB950">
        <v>25</v>
      </c>
      <c r="AC950">
        <v>37.777199999999901</v>
      </c>
      <c r="AD950">
        <v>-1.110361304</v>
      </c>
      <c r="AE950">
        <v>2.21570000000002</v>
      </c>
      <c r="AF950">
        <v>-1.8149239010209199</v>
      </c>
      <c r="AG950">
        <v>-1.110361304</v>
      </c>
      <c r="AH950">
        <v>37.765984613946003</v>
      </c>
      <c r="AI950">
        <v>91.682133327215595</v>
      </c>
      <c r="AJ950">
        <v>92.751352545217003</v>
      </c>
      <c r="AK950">
        <v>37.825870047531303</v>
      </c>
      <c r="AL950">
        <v>84.077087586847497</v>
      </c>
      <c r="AM950">
        <v>96.098228054012594</v>
      </c>
      <c r="AN950">
        <v>0.99999992946276195</v>
      </c>
    </row>
    <row r="951" spans="1:40" x14ac:dyDescent="0.25">
      <c r="A951" t="str">
        <f>"20190304154742010"</f>
        <v>20190304154742010</v>
      </c>
      <c r="B951" t="str">
        <f>"1551685662008071"</f>
        <v>1551685662008071</v>
      </c>
      <c r="C951" t="s">
        <v>40</v>
      </c>
      <c r="D951">
        <v>4.3162880000000001</v>
      </c>
      <c r="E951">
        <v>0.52057429999999905</v>
      </c>
      <c r="F951" t="s">
        <v>44</v>
      </c>
      <c r="G951">
        <v>-325.74810000000002</v>
      </c>
      <c r="H951" s="1">
        <v>-1.9814490000000001E-6</v>
      </c>
      <c r="I951">
        <v>368.62939999999998</v>
      </c>
      <c r="J951">
        <v>-362.61349999999999</v>
      </c>
      <c r="K951">
        <v>1.1103559999999999</v>
      </c>
      <c r="L951">
        <v>366.46030000000002</v>
      </c>
      <c r="M951">
        <v>0.99988589999999999</v>
      </c>
      <c r="N951">
        <v>-1.080039E-2</v>
      </c>
      <c r="O951">
        <v>1.0563980000000001E-2</v>
      </c>
      <c r="P951">
        <v>0.98894139999999997</v>
      </c>
      <c r="Q951">
        <v>9.2651700000000003E-2</v>
      </c>
      <c r="R951">
        <v>0.1158057</v>
      </c>
      <c r="S951">
        <v>3.0212400000000001</v>
      </c>
      <c r="T951">
        <v>-9.06502E-2</v>
      </c>
      <c r="U951">
        <v>0.1772156</v>
      </c>
      <c r="V951">
        <v>-0.1053481</v>
      </c>
      <c r="W951">
        <v>0.10334400000000001</v>
      </c>
      <c r="X951">
        <v>0.98905100000000001</v>
      </c>
      <c r="Y951">
        <v>-4.7978840000000002E-2</v>
      </c>
      <c r="Z951">
        <v>7.7581239999999999E-4</v>
      </c>
      <c r="AA951">
        <v>0.99884810000000002</v>
      </c>
      <c r="AB951">
        <v>25</v>
      </c>
      <c r="AC951">
        <v>36.865399999999902</v>
      </c>
      <c r="AD951">
        <v>-1.1103579814490001</v>
      </c>
      <c r="AE951">
        <v>2.1690999999999501</v>
      </c>
      <c r="AF951">
        <v>-1.7779036019793</v>
      </c>
      <c r="AG951">
        <v>-1.1103579814490001</v>
      </c>
      <c r="AH951">
        <v>36.852941819991699</v>
      </c>
      <c r="AI951">
        <v>91.723763294470601</v>
      </c>
      <c r="AJ951">
        <v>92.7619899469844</v>
      </c>
      <c r="AK951">
        <v>36.912506780935303</v>
      </c>
      <c r="AL951">
        <v>84.068234563237397</v>
      </c>
      <c r="AM951">
        <v>96.079897694875299</v>
      </c>
      <c r="AN951">
        <v>1.0000000425553</v>
      </c>
    </row>
    <row r="952" spans="1:40" x14ac:dyDescent="0.25">
      <c r="A952" t="str">
        <f>"20190304154742025"</f>
        <v>20190304154742025</v>
      </c>
      <c r="B952" t="str">
        <f>"1551685662017831"</f>
        <v>1551685662017831</v>
      </c>
      <c r="C952" t="s">
        <v>40</v>
      </c>
      <c r="D952">
        <v>4.3154760000000003</v>
      </c>
      <c r="E952">
        <v>0.52047100000000002</v>
      </c>
      <c r="F952" t="s">
        <v>44</v>
      </c>
      <c r="G952">
        <v>-326.4871</v>
      </c>
      <c r="H952" s="1">
        <v>-1.6725680000000001E-6</v>
      </c>
      <c r="I952">
        <v>368.58350000000002</v>
      </c>
      <c r="J952">
        <v>-362.45800000000003</v>
      </c>
      <c r="K952">
        <v>1.110355</v>
      </c>
      <c r="L952">
        <v>366.46190000000001</v>
      </c>
      <c r="M952">
        <v>0.99988589999999999</v>
      </c>
      <c r="N952">
        <v>-1.080242E-2</v>
      </c>
      <c r="O952">
        <v>1.056415E-2</v>
      </c>
      <c r="P952">
        <v>0.98897360000000001</v>
      </c>
      <c r="Q952">
        <v>9.2494649999999998E-2</v>
      </c>
      <c r="R952">
        <v>0.11565499999999999</v>
      </c>
      <c r="S952">
        <v>3.0214539999999999</v>
      </c>
      <c r="T952">
        <v>-9.2865349999999999E-2</v>
      </c>
      <c r="U952">
        <v>0.17758180000000001</v>
      </c>
      <c r="V952">
        <v>-0.1051965</v>
      </c>
      <c r="W952">
        <v>0.1031893</v>
      </c>
      <c r="X952">
        <v>0.98908320000000005</v>
      </c>
      <c r="Y952">
        <v>-4.8094020000000001E-2</v>
      </c>
      <c r="Z952">
        <v>7.8807149999999995E-4</v>
      </c>
      <c r="AA952">
        <v>0.99884249999999997</v>
      </c>
      <c r="AB952">
        <v>25</v>
      </c>
      <c r="AC952">
        <v>35.9709</v>
      </c>
      <c r="AD952">
        <v>-1.1103566725679901</v>
      </c>
      <c r="AE952">
        <v>2.1215999999999999</v>
      </c>
      <c r="AF952">
        <v>-1.7398054411987101</v>
      </c>
      <c r="AG952">
        <v>-1.1103566725679901</v>
      </c>
      <c r="AH952">
        <v>35.957163877638301</v>
      </c>
      <c r="AI952">
        <v>91.766665237011694</v>
      </c>
      <c r="AJ952">
        <v>92.770124663000701</v>
      </c>
      <c r="AK952">
        <v>36.0163497461483</v>
      </c>
      <c r="AL952">
        <v>84.077145347187496</v>
      </c>
      <c r="AM952">
        <v>96.071017702556006</v>
      </c>
      <c r="AN952">
        <v>0.99999995588448898</v>
      </c>
    </row>
    <row r="953" spans="1:40" x14ac:dyDescent="0.25">
      <c r="A953" t="str">
        <f>"20190304154742039"</f>
        <v>20190304154742039</v>
      </c>
      <c r="B953" t="str">
        <f>"1551685662027591"</f>
        <v>1551685662027591</v>
      </c>
      <c r="C953" t="s">
        <v>40</v>
      </c>
      <c r="D953">
        <v>4.2822769999999997</v>
      </c>
      <c r="E953">
        <v>0.52036119999999997</v>
      </c>
      <c r="F953" t="s">
        <v>44</v>
      </c>
      <c r="G953">
        <v>-326.89389999999997</v>
      </c>
      <c r="H953" s="1">
        <v>-1.5030639999999999E-6</v>
      </c>
      <c r="I953">
        <v>368.55529999999999</v>
      </c>
      <c r="J953">
        <v>-362.2878</v>
      </c>
      <c r="K953">
        <v>1.1103529999999999</v>
      </c>
      <c r="L953">
        <v>366.46370000000002</v>
      </c>
      <c r="M953">
        <v>0.99988589999999999</v>
      </c>
      <c r="N953">
        <v>-1.080335E-2</v>
      </c>
      <c r="O953">
        <v>1.0564499999999999E-2</v>
      </c>
      <c r="P953">
        <v>0.98909369999999996</v>
      </c>
      <c r="Q953">
        <v>9.2399149999999999E-2</v>
      </c>
      <c r="R953">
        <v>0.114701</v>
      </c>
      <c r="S953">
        <v>3.0214539999999999</v>
      </c>
      <c r="T953">
        <v>-9.4333410000000006E-2</v>
      </c>
      <c r="U953">
        <v>0.1778564</v>
      </c>
      <c r="V953">
        <v>-0.1042415</v>
      </c>
      <c r="W953">
        <v>0.1030954</v>
      </c>
      <c r="X953">
        <v>0.98919420000000002</v>
      </c>
      <c r="Y953">
        <v>-4.8183339999999998E-2</v>
      </c>
      <c r="Z953">
        <v>7.965146E-4</v>
      </c>
      <c r="AA953">
        <v>0.99883820000000001</v>
      </c>
      <c r="AB953">
        <v>25</v>
      </c>
      <c r="AC953">
        <v>35.393900000000002</v>
      </c>
      <c r="AD953">
        <v>-1.1103545030640001</v>
      </c>
      <c r="AE953">
        <v>2.0915999999999699</v>
      </c>
      <c r="AF953">
        <v>-1.7158598020728499</v>
      </c>
      <c r="AG953">
        <v>-1.1103545030640001</v>
      </c>
      <c r="AH953">
        <v>35.379324772251103</v>
      </c>
      <c r="AI953">
        <v>91.795487532434095</v>
      </c>
      <c r="AJ953">
        <v>92.776609024197597</v>
      </c>
      <c r="AK953">
        <v>35.438308132912702</v>
      </c>
      <c r="AL953">
        <v>84.082554878837897</v>
      </c>
      <c r="AM953">
        <v>96.015639399460795</v>
      </c>
      <c r="AN953">
        <v>1.00000005856852</v>
      </c>
    </row>
    <row r="954" spans="1:40" x14ac:dyDescent="0.25">
      <c r="A954" t="str">
        <f>"20190304154742051"</f>
        <v>20190304154742051</v>
      </c>
      <c r="B954" t="str">
        <f>"1551685662048089"</f>
        <v>1551685662048089</v>
      </c>
      <c r="C954" t="s">
        <v>40</v>
      </c>
      <c r="D954">
        <v>4.3211639999999996</v>
      </c>
      <c r="E954">
        <v>0.52014139999999998</v>
      </c>
      <c r="F954" t="s">
        <v>44</v>
      </c>
      <c r="G954">
        <v>-327.22840000000002</v>
      </c>
      <c r="H954" s="1">
        <v>-1.368979E-6</v>
      </c>
      <c r="I954">
        <v>368.50209999999998</v>
      </c>
      <c r="J954">
        <v>-362.1592</v>
      </c>
      <c r="K954">
        <v>1.110352</v>
      </c>
      <c r="L954">
        <v>366.46510000000001</v>
      </c>
      <c r="M954">
        <v>0.99988589999999999</v>
      </c>
      <c r="N954">
        <v>-1.0803200000000001E-2</v>
      </c>
      <c r="O954">
        <v>1.0564799999999999E-2</v>
      </c>
      <c r="P954">
        <v>0.98911439999999995</v>
      </c>
      <c r="Q954">
        <v>9.2431769999999996E-2</v>
      </c>
      <c r="R954">
        <v>0.11449620000000001</v>
      </c>
      <c r="S954">
        <v>3.0216669999999999</v>
      </c>
      <c r="T954">
        <v>-9.5697879999999999E-2</v>
      </c>
      <c r="U954">
        <v>0.1756897</v>
      </c>
      <c r="V954">
        <v>-0.1040355</v>
      </c>
      <c r="W954">
        <v>0.1031282</v>
      </c>
      <c r="X954">
        <v>0.98921239999999999</v>
      </c>
      <c r="Y954">
        <v>-4.7464880000000001E-2</v>
      </c>
      <c r="Z954">
        <v>7.8732919999999998E-4</v>
      </c>
      <c r="AA954">
        <v>0.9988726</v>
      </c>
      <c r="AB954">
        <v>25</v>
      </c>
      <c r="AC954">
        <v>34.930799999999898</v>
      </c>
      <c r="AD954">
        <v>-1.1103533689789999</v>
      </c>
      <c r="AE954">
        <v>2.0369999999999702</v>
      </c>
      <c r="AF954">
        <v>-1.66615005736795</v>
      </c>
      <c r="AG954">
        <v>-1.1103533689789999</v>
      </c>
      <c r="AH954">
        <v>34.915212329027298</v>
      </c>
      <c r="AI954">
        <v>91.819404347333602</v>
      </c>
      <c r="AJ954">
        <v>92.732075680890901</v>
      </c>
      <c r="AK954">
        <v>34.972574863723302</v>
      </c>
      <c r="AL954">
        <v>84.080665108799593</v>
      </c>
      <c r="AM954">
        <v>96.0037286728531</v>
      </c>
      <c r="AN954">
        <v>0.99999999160462405</v>
      </c>
    </row>
    <row r="955" spans="1:40" x14ac:dyDescent="0.25">
      <c r="A955" t="str">
        <f>"20190304154742061"</f>
        <v>20190304154742061</v>
      </c>
      <c r="B955" t="str">
        <f>"1551685662057848"</f>
        <v>1551685662057848</v>
      </c>
      <c r="C955" t="s">
        <v>40</v>
      </c>
      <c r="D955">
        <v>4.3912149999999999</v>
      </c>
      <c r="E955">
        <v>0.51999839999999997</v>
      </c>
      <c r="F955" t="s">
        <v>44</v>
      </c>
      <c r="G955">
        <v>-327.73700000000002</v>
      </c>
      <c r="H955" s="1">
        <v>-1.1553420000000001E-6</v>
      </c>
      <c r="I955">
        <v>368.47649999999999</v>
      </c>
      <c r="J955">
        <v>-362.03379999999999</v>
      </c>
      <c r="K955">
        <v>1.1103540000000001</v>
      </c>
      <c r="L955">
        <v>366.46640000000002</v>
      </c>
      <c r="M955">
        <v>0.99988589999999999</v>
      </c>
      <c r="N955">
        <v>-1.0801079999999999E-2</v>
      </c>
      <c r="O955">
        <v>1.056499E-2</v>
      </c>
      <c r="P955">
        <v>0.98910520000000002</v>
      </c>
      <c r="Q955">
        <v>9.2557470000000003E-2</v>
      </c>
      <c r="R955">
        <v>0.1144738</v>
      </c>
      <c r="S955">
        <v>3.0216669999999999</v>
      </c>
      <c r="T955">
        <v>-9.7469449999999999E-2</v>
      </c>
      <c r="U955">
        <v>0.1765747</v>
      </c>
      <c r="V955">
        <v>-0.10401290000000001</v>
      </c>
      <c r="W955">
        <v>0.10325189999999999</v>
      </c>
      <c r="X955">
        <v>0.98920189999999997</v>
      </c>
      <c r="Y955">
        <v>-4.7755150000000003E-2</v>
      </c>
      <c r="Z955">
        <v>8.0120589999999904E-4</v>
      </c>
      <c r="AA955">
        <v>0.99885869999999999</v>
      </c>
      <c r="AB955">
        <v>25</v>
      </c>
      <c r="AC955">
        <v>34.296799999999998</v>
      </c>
      <c r="AD955">
        <v>-1.1103551553419999</v>
      </c>
      <c r="AE955">
        <v>2.01009999999996</v>
      </c>
      <c r="AF955">
        <v>-1.6459021115979899</v>
      </c>
      <c r="AG955">
        <v>-1.1103551553419999</v>
      </c>
      <c r="AH955">
        <v>34.280316209132401</v>
      </c>
      <c r="AI955">
        <v>91.853054799266303</v>
      </c>
      <c r="AJ955">
        <v>92.748833462761695</v>
      </c>
      <c r="AK955">
        <v>34.337762910971101</v>
      </c>
      <c r="AL955">
        <v>84.073539742821794</v>
      </c>
      <c r="AM955">
        <v>96.002497232684803</v>
      </c>
      <c r="AN955">
        <v>1.0000000185918101</v>
      </c>
    </row>
    <row r="956" spans="1:40" x14ac:dyDescent="0.25">
      <c r="A956" t="str">
        <f>"20190304154742076"</f>
        <v>20190304154742076</v>
      </c>
      <c r="B956" t="str">
        <f>"1551685662067607"</f>
        <v>1551685662067607</v>
      </c>
      <c r="C956" t="s">
        <v>40</v>
      </c>
      <c r="D956">
        <v>4.3139620000000001</v>
      </c>
      <c r="E956">
        <v>0.51999839999999997</v>
      </c>
      <c r="F956" t="s">
        <v>44</v>
      </c>
      <c r="G956">
        <v>-327.70769999999999</v>
      </c>
      <c r="H956" s="1">
        <v>-1.1672649999999999E-6</v>
      </c>
      <c r="I956">
        <v>368.48020000000002</v>
      </c>
      <c r="J956">
        <v>-361.88010000000003</v>
      </c>
      <c r="K956">
        <v>1.110352</v>
      </c>
      <c r="L956">
        <v>366.46800000000002</v>
      </c>
      <c r="M956">
        <v>0.99988589999999999</v>
      </c>
      <c r="N956">
        <v>-1.0797920000000001E-2</v>
      </c>
      <c r="O956">
        <v>1.056518E-2</v>
      </c>
      <c r="P956">
        <v>0.98912469999999997</v>
      </c>
      <c r="Q956">
        <v>9.250978E-2</v>
      </c>
      <c r="R956">
        <v>0.1143449</v>
      </c>
      <c r="S956">
        <v>3.0216370000000001</v>
      </c>
      <c r="T956">
        <v>-9.7741369999999994E-2</v>
      </c>
      <c r="U956">
        <v>0.17727660000000001</v>
      </c>
      <c r="V956">
        <v>-0.103884199999999</v>
      </c>
      <c r="W956">
        <v>0.10320169999999999</v>
      </c>
      <c r="X956">
        <v>0.98922060000000001</v>
      </c>
      <c r="Y956">
        <v>-4.7986479999999998E-2</v>
      </c>
      <c r="Z956">
        <v>8.0727939999999997E-4</v>
      </c>
      <c r="AA956">
        <v>0.99884770000000001</v>
      </c>
      <c r="AB956">
        <v>25</v>
      </c>
      <c r="AC956">
        <v>34.172400000000003</v>
      </c>
      <c r="AD956">
        <v>-1.110353167265</v>
      </c>
      <c r="AE956">
        <v>2.0122</v>
      </c>
      <c r="AF956">
        <v>-1.6492938127633501</v>
      </c>
      <c r="AG956">
        <v>-1.110353167265</v>
      </c>
      <c r="AH956">
        <v>34.155816755079499</v>
      </c>
      <c r="AI956">
        <v>91.859776712744704</v>
      </c>
      <c r="AJ956">
        <v>92.764513940588401</v>
      </c>
      <c r="AK956">
        <v>34.213635767679598</v>
      </c>
      <c r="AL956">
        <v>84.076431070728603</v>
      </c>
      <c r="AM956">
        <v>95.995011683521199</v>
      </c>
      <c r="AN956">
        <v>0.99999995667844399</v>
      </c>
    </row>
    <row r="957" spans="1:40" x14ac:dyDescent="0.25">
      <c r="A957" t="str">
        <f>"20190304154742088"</f>
        <v>20190304154742088</v>
      </c>
      <c r="B957" t="str">
        <f>"1551685662077367"</f>
        <v>1551685662077367</v>
      </c>
      <c r="C957" t="s">
        <v>40</v>
      </c>
      <c r="D957">
        <v>4.4199820000000001</v>
      </c>
      <c r="E957">
        <v>0.55090099999999997</v>
      </c>
      <c r="F957" t="s">
        <v>44</v>
      </c>
      <c r="G957">
        <v>-327.60340000000002</v>
      </c>
      <c r="H957" s="1">
        <v>-1.212659E-6</v>
      </c>
      <c r="I957">
        <v>368.47660000000002</v>
      </c>
      <c r="J957">
        <v>-361.73200000000003</v>
      </c>
      <c r="K957">
        <v>1.1103499999999999</v>
      </c>
      <c r="L957">
        <v>366.46960000000001</v>
      </c>
      <c r="M957">
        <v>0.99988589999999999</v>
      </c>
      <c r="N957">
        <v>-1.0793870000000001E-2</v>
      </c>
      <c r="O957">
        <v>1.056556E-2</v>
      </c>
      <c r="P957">
        <v>0.98911210000000005</v>
      </c>
      <c r="Q957">
        <v>9.2714279999999996E-2</v>
      </c>
      <c r="R957">
        <v>0.11428580000000001</v>
      </c>
      <c r="S957">
        <v>3.0216370000000001</v>
      </c>
      <c r="T957">
        <v>-9.7882029999999995E-2</v>
      </c>
      <c r="U957">
        <v>0.177063</v>
      </c>
      <c r="V957">
        <v>-0.1038245</v>
      </c>
      <c r="W957">
        <v>0.1034018</v>
      </c>
      <c r="X957">
        <v>0.98920600000000003</v>
      </c>
      <c r="Y957">
        <v>-4.791571E-2</v>
      </c>
      <c r="Z957">
        <v>8.0622910000000003E-4</v>
      </c>
      <c r="AA957">
        <v>0.99885109999999999</v>
      </c>
      <c r="AB957">
        <v>25</v>
      </c>
      <c r="AC957">
        <v>34.128599999999899</v>
      </c>
      <c r="AD957">
        <v>-1.1103512126590001</v>
      </c>
      <c r="AE957">
        <v>2.0070000000000001</v>
      </c>
      <c r="AF957">
        <v>-1.64454445202072</v>
      </c>
      <c r="AG957">
        <v>-1.1103512126590001</v>
      </c>
      <c r="AH957">
        <v>34.111918691981501</v>
      </c>
      <c r="AI957">
        <v>91.862171974137894</v>
      </c>
      <c r="AJ957">
        <v>92.760107348090401</v>
      </c>
      <c r="AK957">
        <v>34.169583010602899</v>
      </c>
      <c r="AL957">
        <v>84.064904685545599</v>
      </c>
      <c r="AM957">
        <v>95.991679337557201</v>
      </c>
      <c r="AN957">
        <v>0.99999998473974405</v>
      </c>
    </row>
    <row r="958" spans="1:40" x14ac:dyDescent="0.25">
      <c r="A958" t="str">
        <f>"20190304154742099"</f>
        <v>20190304154742099</v>
      </c>
      <c r="B958" t="str">
        <f>"1551685662088103"</f>
        <v>1551685662088103</v>
      </c>
      <c r="C958" t="s">
        <v>40</v>
      </c>
      <c r="D958">
        <v>4.2491770000000004</v>
      </c>
      <c r="E958">
        <v>0.55830290000000005</v>
      </c>
      <c r="F958" t="s">
        <v>43</v>
      </c>
      <c r="G958">
        <v>-158.19499999999999</v>
      </c>
      <c r="H958">
        <v>3.5884140000000002</v>
      </c>
      <c r="I958">
        <v>362.08679999999998</v>
      </c>
      <c r="J958">
        <v>-361.60390000000001</v>
      </c>
      <c r="K958">
        <v>1.1103499999999999</v>
      </c>
      <c r="L958">
        <v>366.47089999999997</v>
      </c>
      <c r="M958">
        <v>0.99988619999999995</v>
      </c>
      <c r="N958">
        <v>-1.079018E-2</v>
      </c>
      <c r="O958">
        <v>1.0565400000000001E-2</v>
      </c>
      <c r="P958">
        <v>0.98911000000000004</v>
      </c>
      <c r="Q958">
        <v>9.2939560000000004E-2</v>
      </c>
      <c r="R958">
        <v>0.114123</v>
      </c>
      <c r="S958">
        <v>3.0371090000000001</v>
      </c>
      <c r="T958">
        <v>3.6978129999999998E-2</v>
      </c>
      <c r="U958">
        <v>-6.5399170000000006E-2</v>
      </c>
      <c r="V958">
        <v>-0.1036617</v>
      </c>
      <c r="W958">
        <v>0.1036233</v>
      </c>
      <c r="X958">
        <v>0.98919990000000002</v>
      </c>
      <c r="Y958">
        <v>3.208768E-2</v>
      </c>
      <c r="Z958">
        <v>2.647727E-4</v>
      </c>
      <c r="AA958">
        <v>0.99948499999999996</v>
      </c>
      <c r="AB958">
        <v>25</v>
      </c>
      <c r="AC958">
        <v>203.40889999999999</v>
      </c>
      <c r="AD958">
        <v>2.4780639999999998</v>
      </c>
      <c r="AE958">
        <v>-4.3840999999999797</v>
      </c>
      <c r="AF958">
        <v>6.5321072492461703</v>
      </c>
      <c r="AG958">
        <v>2.4780639999999998</v>
      </c>
      <c r="AH958">
        <v>203.32106048544301</v>
      </c>
      <c r="AI958">
        <v>89.302077352092297</v>
      </c>
      <c r="AJ958">
        <v>88.1598881548489</v>
      </c>
      <c r="AK958">
        <v>203.44105500913301</v>
      </c>
      <c r="AL958">
        <v>84.052145154651399</v>
      </c>
      <c r="AM958">
        <v>95.982389010683207</v>
      </c>
      <c r="AN958">
        <v>0.99999998925489397</v>
      </c>
    </row>
    <row r="959" spans="1:40" x14ac:dyDescent="0.25">
      <c r="A959" t="str">
        <f>"20190304154742112"</f>
        <v>20190304154742112</v>
      </c>
      <c r="B959" t="str">
        <f>"1551685662107624"</f>
        <v>1551685662107624</v>
      </c>
      <c r="C959" t="s">
        <v>40</v>
      </c>
      <c r="D959">
        <v>4.2488089999999996</v>
      </c>
      <c r="E959">
        <v>0.56538250000000001</v>
      </c>
      <c r="F959" t="s">
        <v>43</v>
      </c>
      <c r="G959">
        <v>-158.19499999999999</v>
      </c>
      <c r="H959">
        <v>3.9776379999999998</v>
      </c>
      <c r="I959">
        <v>358.16309999999999</v>
      </c>
      <c r="J959">
        <v>-361.4624</v>
      </c>
      <c r="K959">
        <v>1.110349</v>
      </c>
      <c r="L959">
        <v>366.47239999999999</v>
      </c>
      <c r="M959">
        <v>0.9998861</v>
      </c>
      <c r="N959">
        <v>-1.078604E-2</v>
      </c>
      <c r="O959">
        <v>1.056561E-2</v>
      </c>
      <c r="P959">
        <v>0.98912789999999995</v>
      </c>
      <c r="Q959">
        <v>9.2865180000000006E-2</v>
      </c>
      <c r="R959">
        <v>0.1140268</v>
      </c>
      <c r="S959">
        <v>3.0433349999999999</v>
      </c>
      <c r="T959">
        <v>4.2900679999999997E-2</v>
      </c>
      <c r="U959">
        <v>-0.12429809999999999</v>
      </c>
      <c r="V959">
        <v>-0.1035654</v>
      </c>
      <c r="W959">
        <v>0.1035446</v>
      </c>
      <c r="X959">
        <v>0.98921820000000005</v>
      </c>
      <c r="Y959">
        <v>5.1359389999999998E-2</v>
      </c>
      <c r="Z959">
        <v>3.4749679999999998E-4</v>
      </c>
      <c r="AA959">
        <v>0.99868020000000002</v>
      </c>
      <c r="AB959">
        <v>26</v>
      </c>
      <c r="AC959">
        <v>203.26740000000001</v>
      </c>
      <c r="AD959">
        <v>2.8672889999999902</v>
      </c>
      <c r="AE959">
        <v>-8.3093000000000004</v>
      </c>
      <c r="AF959">
        <v>10.454528193237801</v>
      </c>
      <c r="AG959">
        <v>2.8672889999999902</v>
      </c>
      <c r="AH959">
        <v>203.127904078271</v>
      </c>
      <c r="AI959">
        <v>89.192353526272996</v>
      </c>
      <c r="AJ959">
        <v>87.053717057535593</v>
      </c>
      <c r="AK959">
        <v>203.41697058304601</v>
      </c>
      <c r="AL959">
        <v>84.056678555765799</v>
      </c>
      <c r="AM959">
        <v>95.976761950359304</v>
      </c>
      <c r="AN959">
        <v>0.99999996173877903</v>
      </c>
    </row>
    <row r="960" spans="1:40" x14ac:dyDescent="0.25">
      <c r="A960" t="str">
        <f>"20190304154742124"</f>
        <v>20190304154742124</v>
      </c>
      <c r="B960" t="str">
        <f>"1551685662118360"</f>
        <v>1551685662118360</v>
      </c>
      <c r="C960" t="s">
        <v>40</v>
      </c>
      <c r="D960">
        <v>4.2341439999999997</v>
      </c>
      <c r="E960">
        <v>0.56732450000000001</v>
      </c>
      <c r="F960" t="s">
        <v>43</v>
      </c>
      <c r="G960">
        <v>-169.2955</v>
      </c>
      <c r="H960">
        <v>4.2301679999999999</v>
      </c>
      <c r="I960">
        <v>355.05970000000002</v>
      </c>
      <c r="J960">
        <v>-361.3159</v>
      </c>
      <c r="K960">
        <v>1.110349</v>
      </c>
      <c r="L960">
        <v>366.47399999999999</v>
      </c>
      <c r="M960">
        <v>0.99988619999999995</v>
      </c>
      <c r="N960">
        <v>-1.078194E-2</v>
      </c>
      <c r="O960">
        <v>1.0565629999999999E-2</v>
      </c>
      <c r="P960">
        <v>0.98911320000000003</v>
      </c>
      <c r="Q960">
        <v>9.3072859999999993E-2</v>
      </c>
      <c r="R960">
        <v>0.1139868</v>
      </c>
      <c r="S960">
        <v>3.049194</v>
      </c>
      <c r="T960">
        <v>4.9504880000000001E-2</v>
      </c>
      <c r="U960">
        <v>-0.18109130000000001</v>
      </c>
      <c r="V960">
        <v>-0.10352550000000001</v>
      </c>
      <c r="W960">
        <v>0.10374800000000001</v>
      </c>
      <c r="X960">
        <v>0.98920110000000006</v>
      </c>
      <c r="Y960">
        <v>6.982286E-2</v>
      </c>
      <c r="Z960">
        <v>4.7468830000000001E-4</v>
      </c>
      <c r="AA960">
        <v>0.99755930000000004</v>
      </c>
      <c r="AB960">
        <v>26</v>
      </c>
      <c r="AC960">
        <v>192.0204</v>
      </c>
      <c r="AD960">
        <v>3.1198190000000001</v>
      </c>
      <c r="AE960">
        <v>-11.4142999999999</v>
      </c>
      <c r="AF960">
        <v>13.4390618435833</v>
      </c>
      <c r="AG960">
        <v>3.1198190000000001</v>
      </c>
      <c r="AH960">
        <v>191.83861189666101</v>
      </c>
      <c r="AI960">
        <v>89.070573919739999</v>
      </c>
      <c r="AJ960">
        <v>85.992748266822403</v>
      </c>
      <c r="AK960">
        <v>192.33407048223799</v>
      </c>
      <c r="AL960">
        <v>84.044961695620998</v>
      </c>
      <c r="AM960">
        <v>95.974578510216702</v>
      </c>
      <c r="AN960">
        <v>0.99999999644772997</v>
      </c>
    </row>
    <row r="961" spans="1:40" x14ac:dyDescent="0.25">
      <c r="A961" t="str">
        <f>"20190304154742141"</f>
        <v>20190304154742141</v>
      </c>
      <c r="B961" t="str">
        <f>"1551685662137879"</f>
        <v>1551685662137879</v>
      </c>
      <c r="C961" t="s">
        <v>40</v>
      </c>
      <c r="D961">
        <v>4.2390470000000002</v>
      </c>
      <c r="E961">
        <v>0.56922450000000002</v>
      </c>
      <c r="F961" t="s">
        <v>43</v>
      </c>
      <c r="G961">
        <v>-169.2955</v>
      </c>
      <c r="H961">
        <v>4.3998619999999997</v>
      </c>
      <c r="I961">
        <v>354.10759999999999</v>
      </c>
      <c r="J961">
        <v>-361.12450000000001</v>
      </c>
      <c r="K961">
        <v>1.110347</v>
      </c>
      <c r="L961">
        <v>366.476</v>
      </c>
      <c r="M961">
        <v>0.99988619999999995</v>
      </c>
      <c r="N961">
        <v>-1.0776930000000001E-2</v>
      </c>
      <c r="O961">
        <v>1.0565649999999999E-2</v>
      </c>
      <c r="P961">
        <v>0.98912440000000001</v>
      </c>
      <c r="Q961">
        <v>9.336796E-2</v>
      </c>
      <c r="R961">
        <v>0.1136472</v>
      </c>
      <c r="S961">
        <v>3.050751</v>
      </c>
      <c r="T961">
        <v>5.2263980000000002E-2</v>
      </c>
      <c r="U961">
        <v>-0.19647220000000001</v>
      </c>
      <c r="V961">
        <v>-0.1031855</v>
      </c>
      <c r="W961">
        <v>0.1040383</v>
      </c>
      <c r="X961">
        <v>0.98920609999999998</v>
      </c>
      <c r="Y961">
        <v>7.4800820000000004E-2</v>
      </c>
      <c r="Z961">
        <v>5.3106189999999997E-4</v>
      </c>
      <c r="AA961">
        <v>0.99719829999999998</v>
      </c>
      <c r="AB961">
        <v>26</v>
      </c>
      <c r="AC961">
        <v>191.82900000000001</v>
      </c>
      <c r="AD961">
        <v>3.2895150000000002</v>
      </c>
      <c r="AE961">
        <v>-12.368399999999999</v>
      </c>
      <c r="AF961">
        <v>14.3904110136983</v>
      </c>
      <c r="AG961">
        <v>3.2895150000000002</v>
      </c>
      <c r="AH961">
        <v>191.63148570965299</v>
      </c>
      <c r="AI961">
        <v>89.019327175372993</v>
      </c>
      <c r="AJ961">
        <v>85.705480260755607</v>
      </c>
      <c r="AK961">
        <v>192.199196547143</v>
      </c>
      <c r="AL961">
        <v>84.028238023285496</v>
      </c>
      <c r="AM961">
        <v>95.955068062770295</v>
      </c>
      <c r="AN961">
        <v>0.99999996177717398</v>
      </c>
    </row>
    <row r="962" spans="1:40" x14ac:dyDescent="0.25">
      <c r="A962" t="str">
        <f>"20190304154742154"</f>
        <v>20190304154742154</v>
      </c>
      <c r="B962" t="str">
        <f>"1551685662147640"</f>
        <v>1551685662147640</v>
      </c>
      <c r="C962" t="s">
        <v>40</v>
      </c>
      <c r="D962">
        <v>4.2555630000000004</v>
      </c>
      <c r="E962">
        <v>0.56977169999999999</v>
      </c>
      <c r="F962" t="s">
        <v>43</v>
      </c>
      <c r="G962">
        <v>-158.78319999999999</v>
      </c>
      <c r="H962">
        <v>4.6616759999999999</v>
      </c>
      <c r="I962">
        <v>352.39960000000002</v>
      </c>
      <c r="J962">
        <v>-360.98489999999998</v>
      </c>
      <c r="K962">
        <v>1.1103449999999999</v>
      </c>
      <c r="L962">
        <v>366.47750000000002</v>
      </c>
      <c r="M962">
        <v>0.99988619999999995</v>
      </c>
      <c r="N962">
        <v>-1.077351E-2</v>
      </c>
      <c r="O962">
        <v>1.056585E-2</v>
      </c>
      <c r="P962">
        <v>0.98906320000000003</v>
      </c>
      <c r="Q962">
        <v>9.3921409999999997E-2</v>
      </c>
      <c r="R962">
        <v>0.1137218</v>
      </c>
      <c r="S962">
        <v>3.0523069999999999</v>
      </c>
      <c r="T962">
        <v>5.3572889999999998E-2</v>
      </c>
      <c r="U962">
        <v>-0.21234130000000001</v>
      </c>
      <c r="V962">
        <v>-0.103260199999999</v>
      </c>
      <c r="W962">
        <v>0.104587899999999</v>
      </c>
      <c r="X962">
        <v>0.98914040000000003</v>
      </c>
      <c r="Y962">
        <v>7.9927940000000003E-2</v>
      </c>
      <c r="Z962">
        <v>5.6833290000000004E-4</v>
      </c>
      <c r="AA962">
        <v>0.99680049999999998</v>
      </c>
      <c r="AB962">
        <v>26</v>
      </c>
      <c r="AC962">
        <v>202.20169999999999</v>
      </c>
      <c r="AD962">
        <v>3.5513309999999998</v>
      </c>
      <c r="AE962">
        <v>-14.0779</v>
      </c>
      <c r="AF962">
        <v>16.208695006589998</v>
      </c>
      <c r="AG962">
        <v>3.5513309999999998</v>
      </c>
      <c r="AH962">
        <v>201.979654084034</v>
      </c>
      <c r="AI962">
        <v>88.995921262058999</v>
      </c>
      <c r="AJ962">
        <v>85.411894713694807</v>
      </c>
      <c r="AK962">
        <v>202.66009575048099</v>
      </c>
      <c r="AL962">
        <v>83.996575843322304</v>
      </c>
      <c r="AM962">
        <v>95.959741133418603</v>
      </c>
      <c r="AN962">
        <v>1.0000000143212999</v>
      </c>
    </row>
    <row r="963" spans="1:40" x14ac:dyDescent="0.25">
      <c r="A963" t="str">
        <f>"20190304154742165"</f>
        <v>20190304154742165</v>
      </c>
      <c r="B963" t="str">
        <f>"1551685662157399"</f>
        <v>1551685662157399</v>
      </c>
      <c r="C963" t="s">
        <v>40</v>
      </c>
      <c r="D963">
        <v>4.2155480000000001</v>
      </c>
      <c r="E963">
        <v>0.56971249999999996</v>
      </c>
      <c r="F963" t="s">
        <v>43</v>
      </c>
      <c r="G963">
        <v>-158.78319999999999</v>
      </c>
      <c r="H963">
        <v>4.691344</v>
      </c>
      <c r="I963">
        <v>352.13299999999998</v>
      </c>
      <c r="J963">
        <v>-360.85570000000001</v>
      </c>
      <c r="K963">
        <v>1.1103479999999999</v>
      </c>
      <c r="L963">
        <v>366.47879999999998</v>
      </c>
      <c r="M963">
        <v>0.99988619999999995</v>
      </c>
      <c r="N963">
        <v>-1.07706E-2</v>
      </c>
      <c r="O963">
        <v>1.0565990000000001E-2</v>
      </c>
      <c r="P963">
        <v>0.98907219999999996</v>
      </c>
      <c r="Q963">
        <v>9.3961890000000006E-2</v>
      </c>
      <c r="R963">
        <v>0.1136114</v>
      </c>
      <c r="S963">
        <v>3.0529790000000001</v>
      </c>
      <c r="T963">
        <v>5.4069640000000002E-2</v>
      </c>
      <c r="U963">
        <v>-0.21658330000000001</v>
      </c>
      <c r="V963">
        <v>-0.1031499</v>
      </c>
      <c r="W963">
        <v>0.10462539999999999</v>
      </c>
      <c r="X963">
        <v>0.98914789999999997</v>
      </c>
      <c r="Y963">
        <v>8.1290730000000005E-2</v>
      </c>
      <c r="Z963">
        <v>5.8107089999999905E-4</v>
      </c>
      <c r="AA963">
        <v>0.99669030000000003</v>
      </c>
      <c r="AB963">
        <v>26</v>
      </c>
      <c r="AC963">
        <v>202.07249999999999</v>
      </c>
      <c r="AD963">
        <v>3.5809959999999998</v>
      </c>
      <c r="AE963">
        <v>-14.345799999999899</v>
      </c>
      <c r="AF963">
        <v>16.4750709213851</v>
      </c>
      <c r="AG963">
        <v>3.5809959999999998</v>
      </c>
      <c r="AH963">
        <v>201.84656108852801</v>
      </c>
      <c r="AI963">
        <v>88.986980056997893</v>
      </c>
      <c r="AJ963">
        <v>85.333761805731498</v>
      </c>
      <c r="AK963">
        <v>202.54946486594699</v>
      </c>
      <c r="AL963">
        <v>83.994415144432594</v>
      </c>
      <c r="AM963">
        <v>95.953376015080906</v>
      </c>
      <c r="AN963">
        <v>0.99999997213478897</v>
      </c>
    </row>
    <row r="964" spans="1:40" x14ac:dyDescent="0.25">
      <c r="A964" t="str">
        <f>"20190304154742175"</f>
        <v>20190304154742175</v>
      </c>
      <c r="B964" t="str">
        <f>"1551685662168135"</f>
        <v>1551685662168135</v>
      </c>
      <c r="C964" t="s">
        <v>40</v>
      </c>
      <c r="D964">
        <v>4.2679799999999997</v>
      </c>
      <c r="E964">
        <v>0.56996269999999905</v>
      </c>
      <c r="F964" t="s">
        <v>43</v>
      </c>
      <c r="G964">
        <v>-158.78319999999999</v>
      </c>
      <c r="H964">
        <v>4.5317319999999999</v>
      </c>
      <c r="I964">
        <v>352.14400000000001</v>
      </c>
      <c r="J964">
        <v>-360.73270000000002</v>
      </c>
      <c r="K964">
        <v>1.1103459999999901</v>
      </c>
      <c r="L964">
        <v>366.48009999999999</v>
      </c>
      <c r="M964">
        <v>0.99988630000000001</v>
      </c>
      <c r="N964">
        <v>-1.076795E-2</v>
      </c>
      <c r="O964">
        <v>1.056588E-2</v>
      </c>
      <c r="P964">
        <v>0.98902990000000002</v>
      </c>
      <c r="Q964">
        <v>9.4307390000000005E-2</v>
      </c>
      <c r="R964">
        <v>0.113694</v>
      </c>
      <c r="S964">
        <v>3.0531009999999998</v>
      </c>
      <c r="T964">
        <v>5.1694749999999998E-2</v>
      </c>
      <c r="U964">
        <v>-0.21658330000000001</v>
      </c>
      <c r="V964">
        <v>-0.1032334</v>
      </c>
      <c r="W964">
        <v>0.1049682</v>
      </c>
      <c r="X964">
        <v>0.98910290000000001</v>
      </c>
      <c r="Y964">
        <v>8.1288810000000003E-2</v>
      </c>
      <c r="Z964">
        <v>5.4133209999999998E-4</v>
      </c>
      <c r="AA964">
        <v>0.99669050000000003</v>
      </c>
      <c r="AB964">
        <v>26</v>
      </c>
      <c r="AC964">
        <v>201.9495</v>
      </c>
      <c r="AD964">
        <v>3.421386</v>
      </c>
      <c r="AE964">
        <v>-14.336099999999901</v>
      </c>
      <c r="AF964">
        <v>16.464495330569299</v>
      </c>
      <c r="AG964">
        <v>3.421386</v>
      </c>
      <c r="AH964">
        <v>201.72913267028599</v>
      </c>
      <c r="AI964">
        <v>89.031559294523504</v>
      </c>
      <c r="AJ964">
        <v>85.334041375506899</v>
      </c>
      <c r="AK964">
        <v>202.42882318621801</v>
      </c>
      <c r="AL964">
        <v>83.974665584328903</v>
      </c>
      <c r="AM964">
        <v>95.958429748763194</v>
      </c>
      <c r="AN964">
        <v>1.0000000023375999</v>
      </c>
    </row>
    <row r="965" spans="1:40" x14ac:dyDescent="0.25">
      <c r="A965" t="str">
        <f>"20190304154742189"</f>
        <v>20190304154742189</v>
      </c>
      <c r="B965" t="str">
        <f>"1551685662177896"</f>
        <v>1551685662177896</v>
      </c>
      <c r="C965" t="s">
        <v>40</v>
      </c>
      <c r="D965">
        <v>4.2952139999999996</v>
      </c>
      <c r="E965">
        <v>0.57013780000000003</v>
      </c>
      <c r="F965" t="s">
        <v>43</v>
      </c>
      <c r="G965">
        <v>-158.78319999999999</v>
      </c>
      <c r="H965">
        <v>4.4967139999999999</v>
      </c>
      <c r="I965">
        <v>352.03870000000001</v>
      </c>
      <c r="J965">
        <v>-360.58069999999998</v>
      </c>
      <c r="K965">
        <v>1.1103459999999901</v>
      </c>
      <c r="L965">
        <v>366.48180000000002</v>
      </c>
      <c r="M965">
        <v>0.99988630000000001</v>
      </c>
      <c r="N965">
        <v>-1.0764889999999999E-2</v>
      </c>
      <c r="O965">
        <v>1.0566020000000001E-2</v>
      </c>
      <c r="P965">
        <v>0.98903779999999997</v>
      </c>
      <c r="Q965">
        <v>9.4384090000000004E-2</v>
      </c>
      <c r="R965">
        <v>0.1135608</v>
      </c>
      <c r="S965">
        <v>3.0534669999999999</v>
      </c>
      <c r="T965">
        <v>5.120301E-2</v>
      </c>
      <c r="U965">
        <v>-0.2183533</v>
      </c>
      <c r="V965">
        <v>-0.1030996</v>
      </c>
      <c r="W965">
        <v>0.1050417</v>
      </c>
      <c r="X965">
        <v>0.98910900000000002</v>
      </c>
      <c r="Y965">
        <v>8.1855479999999994E-2</v>
      </c>
      <c r="Z965">
        <v>5.347517E-4</v>
      </c>
      <c r="AA965">
        <v>0.99664410000000003</v>
      </c>
      <c r="AB965">
        <v>26</v>
      </c>
      <c r="AC965">
        <v>201.79750000000001</v>
      </c>
      <c r="AD965">
        <v>3.386368</v>
      </c>
      <c r="AE965">
        <v>-14.443099999999999</v>
      </c>
      <c r="AF965">
        <v>16.569971126396599</v>
      </c>
      <c r="AG965">
        <v>3.386368</v>
      </c>
      <c r="AH965">
        <v>201.57714369223399</v>
      </c>
      <c r="AI965">
        <v>89.040792494720307</v>
      </c>
      <c r="AJ965">
        <v>85.300758573973795</v>
      </c>
      <c r="AK965">
        <v>202.285383284311</v>
      </c>
      <c r="AL965">
        <v>83.970430617803899</v>
      </c>
      <c r="AM965">
        <v>95.950726090793196</v>
      </c>
      <c r="AN965">
        <v>0.99999995007002296</v>
      </c>
    </row>
    <row r="966" spans="1:40" x14ac:dyDescent="0.25">
      <c r="A966" t="str">
        <f>"20190304154742202"</f>
        <v>20190304154742202</v>
      </c>
      <c r="B966" t="str">
        <f>"1551685662197415"</f>
        <v>1551685662197415</v>
      </c>
      <c r="C966" t="s">
        <v>40</v>
      </c>
      <c r="D966">
        <v>4.321186</v>
      </c>
      <c r="E966">
        <v>0.57047130000000001</v>
      </c>
      <c r="F966" t="s">
        <v>43</v>
      </c>
      <c r="G966">
        <v>-158.78319999999999</v>
      </c>
      <c r="H966">
        <v>4.3978640000000002</v>
      </c>
      <c r="I966">
        <v>351.94580000000002</v>
      </c>
      <c r="J966">
        <v>-360.43150000000003</v>
      </c>
      <c r="K966">
        <v>1.110349</v>
      </c>
      <c r="L966">
        <v>366.48329999999999</v>
      </c>
      <c r="M966">
        <v>0.99988630000000001</v>
      </c>
      <c r="N966">
        <v>-1.0762249999999999E-2</v>
      </c>
      <c r="O966">
        <v>1.0566209999999999E-2</v>
      </c>
      <c r="P966">
        <v>0.9890196</v>
      </c>
      <c r="Q966">
        <v>9.4717499999999996E-2</v>
      </c>
      <c r="R966">
        <v>0.113441899999999</v>
      </c>
      <c r="S966">
        <v>3.0537719999999999</v>
      </c>
      <c r="T966">
        <v>4.9750799999999998E-2</v>
      </c>
      <c r="U966">
        <v>-0.21997069999999999</v>
      </c>
      <c r="V966">
        <v>-0.1029809</v>
      </c>
      <c r="W966">
        <v>0.1053723</v>
      </c>
      <c r="X966">
        <v>0.98908629999999997</v>
      </c>
      <c r="Y966">
        <v>8.2374299999999998E-2</v>
      </c>
      <c r="Z966">
        <v>5.1170009999999995E-4</v>
      </c>
      <c r="AA966">
        <v>0.99660130000000002</v>
      </c>
      <c r="AB966">
        <v>26</v>
      </c>
      <c r="AC966">
        <v>201.64830000000001</v>
      </c>
      <c r="AD966">
        <v>3.287515</v>
      </c>
      <c r="AE966">
        <v>-14.5374999999999</v>
      </c>
      <c r="AF966">
        <v>16.6630639093536</v>
      </c>
      <c r="AG966">
        <v>3.287515</v>
      </c>
      <c r="AH966">
        <v>201.43016447616199</v>
      </c>
      <c r="AI966">
        <v>89.068148630426606</v>
      </c>
      <c r="AJ966">
        <v>85.2710442256151</v>
      </c>
      <c r="AK966">
        <v>202.144939621589</v>
      </c>
      <c r="AL966">
        <v>83.951383519124605</v>
      </c>
      <c r="AM966">
        <v>95.944059454393695</v>
      </c>
      <c r="AN966">
        <v>1.0000000481098901</v>
      </c>
    </row>
    <row r="967" spans="1:40" x14ac:dyDescent="0.25">
      <c r="A967" t="str">
        <f>"20190304154742215"</f>
        <v>20190304154742215</v>
      </c>
      <c r="B967" t="str">
        <f>"1551685662208151"</f>
        <v>1551685662208151</v>
      </c>
      <c r="C967" t="s">
        <v>40</v>
      </c>
      <c r="D967">
        <v>4.3544210000000003</v>
      </c>
      <c r="E967">
        <v>0.57081319999999902</v>
      </c>
      <c r="F967" t="s">
        <v>43</v>
      </c>
      <c r="G967">
        <v>-158.78319999999999</v>
      </c>
      <c r="H967">
        <v>4.348357</v>
      </c>
      <c r="I967">
        <v>351.7466</v>
      </c>
      <c r="J967">
        <v>-360.28449999999998</v>
      </c>
      <c r="K967">
        <v>1.1103510000000001</v>
      </c>
      <c r="L967">
        <v>366.48480000000001</v>
      </c>
      <c r="M967">
        <v>0.99988630000000001</v>
      </c>
      <c r="N967">
        <v>-1.075986E-2</v>
      </c>
      <c r="O967">
        <v>1.0566219999999999E-2</v>
      </c>
      <c r="P967">
        <v>0.98900060000000001</v>
      </c>
      <c r="Q967">
        <v>9.5038739999999997E-2</v>
      </c>
      <c r="R967">
        <v>0.11333799999999999</v>
      </c>
      <c r="S967">
        <v>3.0541990000000001</v>
      </c>
      <c r="T967">
        <v>4.9044730000000002E-2</v>
      </c>
      <c r="U967">
        <v>-0.2232056</v>
      </c>
      <c r="V967">
        <v>-0.10287689999999999</v>
      </c>
      <c r="W967">
        <v>0.1056914</v>
      </c>
      <c r="X967">
        <v>0.98906300000000003</v>
      </c>
      <c r="Y967">
        <v>8.3414520000000006E-2</v>
      </c>
      <c r="Z967">
        <v>5.0239380000000001E-4</v>
      </c>
      <c r="AA967">
        <v>0.99651480000000003</v>
      </c>
      <c r="AB967">
        <v>26</v>
      </c>
      <c r="AC967">
        <v>201.50129999999999</v>
      </c>
      <c r="AD967">
        <v>3.2380059999999999</v>
      </c>
      <c r="AE967">
        <v>-14.738200000000001</v>
      </c>
      <c r="AF967">
        <v>16.8622763448878</v>
      </c>
      <c r="AG967">
        <v>3.2380059999999999</v>
      </c>
      <c r="AH967">
        <v>201.28261422176001</v>
      </c>
      <c r="AI967">
        <v>89.081586667363794</v>
      </c>
      <c r="AJ967">
        <v>85.211277486615302</v>
      </c>
      <c r="AK967">
        <v>202.01364269358999</v>
      </c>
      <c r="AL967">
        <v>83.932997313545997</v>
      </c>
      <c r="AM967">
        <v>95.938238374864895</v>
      </c>
      <c r="AN967">
        <v>0.99999997327828405</v>
      </c>
    </row>
    <row r="968" spans="1:40" x14ac:dyDescent="0.25">
      <c r="A968" t="str">
        <f>"20190304154742230"</f>
        <v>20190304154742230</v>
      </c>
      <c r="B968" t="str">
        <f>"1551685662217911"</f>
        <v>1551685662217911</v>
      </c>
      <c r="C968" t="s">
        <v>40</v>
      </c>
      <c r="D968">
        <v>4.2927530000000003</v>
      </c>
      <c r="E968">
        <v>0.57089419999999902</v>
      </c>
      <c r="F968" t="s">
        <v>43</v>
      </c>
      <c r="G968">
        <v>-158.78319999999999</v>
      </c>
      <c r="H968">
        <v>4.4638650000000002</v>
      </c>
      <c r="I968">
        <v>351.57850000000002</v>
      </c>
      <c r="J968">
        <v>-360.10419999999999</v>
      </c>
      <c r="K968">
        <v>1.110358</v>
      </c>
      <c r="L968">
        <v>366.48669999999998</v>
      </c>
      <c r="M968">
        <v>0.99988639999999995</v>
      </c>
      <c r="N968">
        <v>-1.075738E-2</v>
      </c>
      <c r="O968">
        <v>1.056641E-2</v>
      </c>
      <c r="P968">
        <v>0.98886479999999999</v>
      </c>
      <c r="Q968">
        <v>9.6495049999999999E-2</v>
      </c>
      <c r="R968">
        <v>0.1132925</v>
      </c>
      <c r="S968">
        <v>3.0543819999999999</v>
      </c>
      <c r="T968">
        <v>5.0834299999999999E-2</v>
      </c>
      <c r="U968">
        <v>-0.22595209999999999</v>
      </c>
      <c r="V968">
        <v>-0.10283299999999999</v>
      </c>
      <c r="W968">
        <v>0.10714319999999999</v>
      </c>
      <c r="X968">
        <v>0.9889114</v>
      </c>
      <c r="Y968">
        <v>8.4300899999999901E-2</v>
      </c>
      <c r="Z968">
        <v>5.3554939999999999E-4</v>
      </c>
      <c r="AA968">
        <v>0.9964402</v>
      </c>
      <c r="AB968">
        <v>26</v>
      </c>
      <c r="AC968">
        <v>201.321</v>
      </c>
      <c r="AD968">
        <v>3.353507</v>
      </c>
      <c r="AE968">
        <v>-14.9081999999999</v>
      </c>
      <c r="AF968">
        <v>17.030031166707701</v>
      </c>
      <c r="AG968">
        <v>3.353507</v>
      </c>
      <c r="AH968">
        <v>201.09672994657399</v>
      </c>
      <c r="AI968">
        <v>89.048025924049497</v>
      </c>
      <c r="AJ968">
        <v>85.159412532656006</v>
      </c>
      <c r="AK968">
        <v>201.84440236465099</v>
      </c>
      <c r="AL968">
        <v>83.849340562999501</v>
      </c>
      <c r="AM968">
        <v>95.936625931482595</v>
      </c>
      <c r="AN968">
        <v>1.0000000241225899</v>
      </c>
    </row>
    <row r="969" spans="1:40" x14ac:dyDescent="0.25">
      <c r="A969" t="str">
        <f>"20190304154742242"</f>
        <v>20190304154742242</v>
      </c>
      <c r="B969" t="str">
        <f>"1551685662237431"</f>
        <v>1551685662237431</v>
      </c>
      <c r="C969" t="s">
        <v>40</v>
      </c>
      <c r="D969">
        <v>4.2894129999999997</v>
      </c>
      <c r="E969">
        <v>0.57109189999999999</v>
      </c>
      <c r="F969" t="s">
        <v>43</v>
      </c>
      <c r="G969">
        <v>-158.78319999999999</v>
      </c>
      <c r="H969">
        <v>4.6690809999999896</v>
      </c>
      <c r="I969">
        <v>351.52420000000001</v>
      </c>
      <c r="J969">
        <v>-359.97629999999998</v>
      </c>
      <c r="K969">
        <v>1.1103590000000001</v>
      </c>
      <c r="L969">
        <v>366.48809999999997</v>
      </c>
      <c r="M969">
        <v>0.99988639999999995</v>
      </c>
      <c r="N969">
        <v>-1.0756E-2</v>
      </c>
      <c r="O969">
        <v>1.056642E-2</v>
      </c>
      <c r="P969">
        <v>0.98882990000000004</v>
      </c>
      <c r="Q969">
        <v>9.7148659999999998E-2</v>
      </c>
      <c r="R969">
        <v>0.1130386</v>
      </c>
      <c r="S969">
        <v>3.0545650000000002</v>
      </c>
      <c r="T969">
        <v>5.399644E-2</v>
      </c>
      <c r="U969">
        <v>-0.22702030000000001</v>
      </c>
      <c r="V969">
        <v>-0.10257910000000001</v>
      </c>
      <c r="W969">
        <v>0.107795</v>
      </c>
      <c r="X969">
        <v>0.98886689999999999</v>
      </c>
      <c r="Y969">
        <v>8.4641670000000002E-2</v>
      </c>
      <c r="Z969">
        <v>5.9117769999999896E-4</v>
      </c>
      <c r="AA969">
        <v>0.9964113</v>
      </c>
      <c r="AB969">
        <v>26</v>
      </c>
      <c r="AC969">
        <v>201.19309999999999</v>
      </c>
      <c r="AD969">
        <v>3.5587219999999902</v>
      </c>
      <c r="AE969">
        <v>-14.963899999999899</v>
      </c>
      <c r="AF969">
        <v>17.083762574753798</v>
      </c>
      <c r="AG969">
        <v>3.5587219999999902</v>
      </c>
      <c r="AH969">
        <v>200.9612143157</v>
      </c>
      <c r="AI969">
        <v>88.989128947600094</v>
      </c>
      <c r="AJ969">
        <v>85.140954152386499</v>
      </c>
      <c r="AK969">
        <v>201.71744868807099</v>
      </c>
      <c r="AL969">
        <v>83.811777412643494</v>
      </c>
      <c r="AM969">
        <v>95.922336999705195</v>
      </c>
      <c r="AN969">
        <v>0.99999998984870997</v>
      </c>
    </row>
    <row r="970" spans="1:40" x14ac:dyDescent="0.25">
      <c r="A970" t="str">
        <f>"20190304154742254"</f>
        <v>20190304154742254</v>
      </c>
      <c r="B970" t="str">
        <f>"1551685662248168"</f>
        <v>1551685662248168</v>
      </c>
      <c r="C970" t="s">
        <v>40</v>
      </c>
      <c r="D970">
        <v>4.2907489999999999</v>
      </c>
      <c r="E970">
        <v>0.57114359999999997</v>
      </c>
      <c r="F970" t="s">
        <v>43</v>
      </c>
      <c r="G970">
        <v>-158.78319999999999</v>
      </c>
      <c r="H970">
        <v>4.7252049999999999</v>
      </c>
      <c r="I970">
        <v>351.39299999999997</v>
      </c>
      <c r="J970">
        <v>-359.84300000000002</v>
      </c>
      <c r="K970">
        <v>1.1103609999999999</v>
      </c>
      <c r="L970">
        <v>366.48950000000002</v>
      </c>
      <c r="M970">
        <v>0.99988639999999995</v>
      </c>
      <c r="N970">
        <v>-1.0754669999999999E-2</v>
      </c>
      <c r="O970">
        <v>1.056643E-2</v>
      </c>
      <c r="P970">
        <v>0.98881110000000005</v>
      </c>
      <c r="Q970">
        <v>9.7570669999999998E-2</v>
      </c>
      <c r="R970">
        <v>0.1128401</v>
      </c>
      <c r="S970">
        <v>3.0546880000000001</v>
      </c>
      <c r="T970">
        <v>5.4885030000000001E-2</v>
      </c>
      <c r="U970">
        <v>-0.229187</v>
      </c>
      <c r="V970">
        <v>-0.1023811</v>
      </c>
      <c r="W970">
        <v>0.10821550000000001</v>
      </c>
      <c r="X970">
        <v>0.98884150000000004</v>
      </c>
      <c r="Y970">
        <v>8.5341130000000001E-2</v>
      </c>
      <c r="Z970">
        <v>6.0900989999999996E-4</v>
      </c>
      <c r="AA970">
        <v>0.9963516</v>
      </c>
      <c r="AB970">
        <v>26</v>
      </c>
      <c r="AC970">
        <v>201.0598</v>
      </c>
      <c r="AD970">
        <v>3.6148440000000002</v>
      </c>
      <c r="AE970">
        <v>-15.096499999999899</v>
      </c>
      <c r="AF970">
        <v>17.214730823798099</v>
      </c>
      <c r="AG970">
        <v>3.6148440000000002</v>
      </c>
      <c r="AH970">
        <v>200.82449783768399</v>
      </c>
      <c r="AI970">
        <v>88.972553562626601</v>
      </c>
      <c r="AJ970">
        <v>85.100566989661402</v>
      </c>
      <c r="AK970">
        <v>201.59338527401599</v>
      </c>
      <c r="AL970">
        <v>83.787542823582498</v>
      </c>
      <c r="AM970">
        <v>95.911137374365296</v>
      </c>
      <c r="AN970">
        <v>0.99999999809985496</v>
      </c>
    </row>
    <row r="971" spans="1:40" x14ac:dyDescent="0.25">
      <c r="A971" t="str">
        <f>"20190304154742264"</f>
        <v>20190304154742264</v>
      </c>
      <c r="B971" t="str">
        <f>"1551685662257927"</f>
        <v>1551685662257927</v>
      </c>
      <c r="C971" t="s">
        <v>40</v>
      </c>
      <c r="D971">
        <v>4.298883</v>
      </c>
      <c r="E971">
        <v>0.57118210000000003</v>
      </c>
      <c r="F971" t="s">
        <v>43</v>
      </c>
      <c r="G971">
        <v>-158.78319999999999</v>
      </c>
      <c r="H971">
        <v>4.723935</v>
      </c>
      <c r="I971">
        <v>351.3424</v>
      </c>
      <c r="J971">
        <v>-359.71480000000003</v>
      </c>
      <c r="K971">
        <v>1.1103559999999999</v>
      </c>
      <c r="L971">
        <v>366.49079999999998</v>
      </c>
      <c r="M971">
        <v>0.99988639999999995</v>
      </c>
      <c r="N971">
        <v>-1.07537E-2</v>
      </c>
      <c r="O971">
        <v>1.0566610000000001E-2</v>
      </c>
      <c r="P971">
        <v>0.9888209</v>
      </c>
      <c r="Q971">
        <v>9.7679730000000006E-2</v>
      </c>
      <c r="R971">
        <v>0.1126586</v>
      </c>
      <c r="S971">
        <v>3.0547490000000002</v>
      </c>
      <c r="T971">
        <v>5.4903149999999998E-2</v>
      </c>
      <c r="U971">
        <v>-0.23013310000000001</v>
      </c>
      <c r="V971">
        <v>-0.10219930000000001</v>
      </c>
      <c r="W971">
        <v>0.10832360000000001</v>
      </c>
      <c r="X971">
        <v>0.98884839999999996</v>
      </c>
      <c r="Y971">
        <v>8.5646639999999996E-2</v>
      </c>
      <c r="Z971">
        <v>6.1042119999999995E-4</v>
      </c>
      <c r="AA971">
        <v>0.99632540000000003</v>
      </c>
      <c r="AB971">
        <v>26</v>
      </c>
      <c r="AC971">
        <v>200.9316</v>
      </c>
      <c r="AD971">
        <v>3.6135790000000001</v>
      </c>
      <c r="AE971">
        <v>-15.148399999999899</v>
      </c>
      <c r="AF971">
        <v>17.2652901760462</v>
      </c>
      <c r="AG971">
        <v>3.6135790000000001</v>
      </c>
      <c r="AH971">
        <v>200.69576064985699</v>
      </c>
      <c r="AI971">
        <v>88.972281230080199</v>
      </c>
      <c r="AJ971">
        <v>85.083111293050294</v>
      </c>
      <c r="AK971">
        <v>201.469443193941</v>
      </c>
      <c r="AL971">
        <v>83.781312092241393</v>
      </c>
      <c r="AM971">
        <v>95.900674102896502</v>
      </c>
      <c r="AN971">
        <v>0.99999992871000198</v>
      </c>
    </row>
    <row r="972" spans="1:40" x14ac:dyDescent="0.25">
      <c r="A972" t="str">
        <f>"20190304154742275"</f>
        <v>20190304154742275</v>
      </c>
      <c r="B972" t="str">
        <f>"1551685662267687"</f>
        <v>1551685662267687</v>
      </c>
      <c r="C972" t="s">
        <v>40</v>
      </c>
      <c r="D972">
        <v>4.2532509999999997</v>
      </c>
      <c r="E972">
        <v>0.57131609999999999</v>
      </c>
      <c r="F972" t="s">
        <v>43</v>
      </c>
      <c r="G972">
        <v>-158.78319999999999</v>
      </c>
      <c r="H972">
        <v>4.6687430000000001</v>
      </c>
      <c r="I972">
        <v>351.28210000000001</v>
      </c>
      <c r="J972">
        <v>-359.5915</v>
      </c>
      <c r="K972">
        <v>1.1103559999999999</v>
      </c>
      <c r="L972">
        <v>366.49209999999999</v>
      </c>
      <c r="M972">
        <v>0.99988639999999995</v>
      </c>
      <c r="N972">
        <v>-1.0752879999999999E-2</v>
      </c>
      <c r="O972">
        <v>1.0566799999999999E-2</v>
      </c>
      <c r="P972">
        <v>0.98886280000000004</v>
      </c>
      <c r="Q972">
        <v>9.7767839999999995E-2</v>
      </c>
      <c r="R972">
        <v>0.1122142</v>
      </c>
      <c r="S972">
        <v>3.054932</v>
      </c>
      <c r="T972">
        <v>5.4102419999999998E-2</v>
      </c>
      <c r="U972">
        <v>-0.23123170000000001</v>
      </c>
      <c r="V972">
        <v>-0.1017541</v>
      </c>
      <c r="W972">
        <v>0.1084118</v>
      </c>
      <c r="X972">
        <v>0.98888469999999995</v>
      </c>
      <c r="Y972">
        <v>8.5998939999999996E-2</v>
      </c>
      <c r="Z972">
        <v>5.9762309999999996E-4</v>
      </c>
      <c r="AA972">
        <v>0.99629500000000004</v>
      </c>
      <c r="AB972">
        <v>26</v>
      </c>
      <c r="AC972">
        <v>200.8083</v>
      </c>
      <c r="AD972">
        <v>3.5583870000000002</v>
      </c>
      <c r="AE972">
        <v>-15.2099999999999</v>
      </c>
      <c r="AF972">
        <v>17.3257650278311</v>
      </c>
      <c r="AG972">
        <v>3.5583870000000002</v>
      </c>
      <c r="AH972">
        <v>200.57373440735401</v>
      </c>
      <c r="AI972">
        <v>88.987389883326401</v>
      </c>
      <c r="AJ972">
        <v>85.062986897758293</v>
      </c>
      <c r="AK972">
        <v>201.35209754545201</v>
      </c>
      <c r="AL972">
        <v>83.776229003759198</v>
      </c>
      <c r="AM972">
        <v>95.874935655761703</v>
      </c>
      <c r="AN972">
        <v>0.99999998257006895</v>
      </c>
    </row>
    <row r="973" spans="1:40" x14ac:dyDescent="0.25">
      <c r="A973" t="str">
        <f>"20190304154742286"</f>
        <v>20190304154742286</v>
      </c>
      <c r="B973" t="str">
        <f>"1551685662277449"</f>
        <v>1551685662277449</v>
      </c>
      <c r="C973" t="s">
        <v>40</v>
      </c>
      <c r="D973">
        <v>4.2793070000000002</v>
      </c>
      <c r="E973">
        <v>0.57145029999999997</v>
      </c>
      <c r="F973" t="s">
        <v>48</v>
      </c>
      <c r="G973">
        <v>-249.67869999999999</v>
      </c>
      <c r="H973">
        <v>3.0243440000000001</v>
      </c>
      <c r="I973">
        <v>358.09719999999999</v>
      </c>
      <c r="J973">
        <v>-359.46359999999999</v>
      </c>
      <c r="K973">
        <v>1.110355</v>
      </c>
      <c r="L973">
        <v>366.49349999999998</v>
      </c>
      <c r="M973">
        <v>0.99988650000000001</v>
      </c>
      <c r="N973">
        <v>-1.075226E-2</v>
      </c>
      <c r="O973">
        <v>1.0566799999999999E-2</v>
      </c>
      <c r="P973">
        <v>0.98888319999999996</v>
      </c>
      <c r="Q973">
        <v>9.8011899999999999E-2</v>
      </c>
      <c r="R973">
        <v>0.1118212</v>
      </c>
      <c r="S973">
        <v>3.0550229999999998</v>
      </c>
      <c r="T973">
        <v>5.3201680000000001E-2</v>
      </c>
      <c r="U973">
        <v>-0.2333374</v>
      </c>
      <c r="V973">
        <v>-0.10136050000000001</v>
      </c>
      <c r="W973">
        <v>0.1086549</v>
      </c>
      <c r="X973">
        <v>0.98889850000000001</v>
      </c>
      <c r="Y973">
        <v>8.6679809999999996E-2</v>
      </c>
      <c r="Z973">
        <v>5.8406289999999997E-4</v>
      </c>
      <c r="AA973">
        <v>0.99623600000000001</v>
      </c>
      <c r="AB973">
        <v>26</v>
      </c>
      <c r="AC973">
        <v>109.78489999999999</v>
      </c>
      <c r="AD973">
        <v>1.9139889999999999</v>
      </c>
      <c r="AE973">
        <v>-8.3962999999999894</v>
      </c>
      <c r="AF973">
        <v>9.5530864425980795</v>
      </c>
      <c r="AG973">
        <v>1.9139889999999999</v>
      </c>
      <c r="AH973">
        <v>109.656907091791</v>
      </c>
      <c r="AI973">
        <v>89.003813877920194</v>
      </c>
      <c r="AJ973">
        <v>85.021078879448197</v>
      </c>
      <c r="AK973">
        <v>110.088882669458</v>
      </c>
      <c r="AL973">
        <v>83.762217996151094</v>
      </c>
      <c r="AM973">
        <v>95.852287465358302</v>
      </c>
      <c r="AN973">
        <v>1.0000000407782501</v>
      </c>
    </row>
    <row r="974" spans="1:40" x14ac:dyDescent="0.25">
      <c r="A974" t="str">
        <f>"20190304154742296"</f>
        <v>20190304154742296</v>
      </c>
      <c r="B974" t="str">
        <f>"1551685662288184"</f>
        <v>1551685662288184</v>
      </c>
      <c r="C974" t="s">
        <v>40</v>
      </c>
      <c r="D974">
        <v>4.3182299999999998</v>
      </c>
      <c r="E974">
        <v>0.57149340000000004</v>
      </c>
      <c r="F974" t="s">
        <v>48</v>
      </c>
      <c r="G974">
        <v>-249.71170000000001</v>
      </c>
      <c r="H974">
        <v>3.0145409999999999</v>
      </c>
      <c r="I974">
        <v>358.02879999999999</v>
      </c>
      <c r="J974">
        <v>-359.34559999999999</v>
      </c>
      <c r="K974">
        <v>1.1103639999999999</v>
      </c>
      <c r="L974">
        <v>366.4948</v>
      </c>
      <c r="M974">
        <v>0.99988650000000001</v>
      </c>
      <c r="N974">
        <v>-1.075182E-2</v>
      </c>
      <c r="O974">
        <v>1.0566799999999999E-2</v>
      </c>
      <c r="P974">
        <v>0.98894420000000005</v>
      </c>
      <c r="Q974">
        <v>9.7873929999999998E-2</v>
      </c>
      <c r="R974">
        <v>0.1114018</v>
      </c>
      <c r="S974">
        <v>3.0551149999999998</v>
      </c>
      <c r="T974">
        <v>5.3008319999999998E-2</v>
      </c>
      <c r="U974">
        <v>-0.23562620000000001</v>
      </c>
      <c r="V974">
        <v>-0.1009409</v>
      </c>
      <c r="W974">
        <v>0.1085175</v>
      </c>
      <c r="X974">
        <v>0.98895650000000002</v>
      </c>
      <c r="Y974">
        <v>8.7419529999999995E-2</v>
      </c>
      <c r="Z974">
        <v>5.8302479999999997E-4</v>
      </c>
      <c r="AA974">
        <v>0.99617140000000004</v>
      </c>
      <c r="AB974">
        <v>26</v>
      </c>
      <c r="AC974">
        <v>109.633899999999</v>
      </c>
      <c r="AD974">
        <v>1.904177</v>
      </c>
      <c r="AE974">
        <v>-8.4659999999999993</v>
      </c>
      <c r="AF974">
        <v>9.6211884197270301</v>
      </c>
      <c r="AG974">
        <v>1.904177</v>
      </c>
      <c r="AH974">
        <v>109.505476571561</v>
      </c>
      <c r="AI974">
        <v>89.007613476986805</v>
      </c>
      <c r="AJ974">
        <v>84.978866944363105</v>
      </c>
      <c r="AK974">
        <v>109.94381545052801</v>
      </c>
      <c r="AL974">
        <v>83.770137232352198</v>
      </c>
      <c r="AM974">
        <v>95.827888528259706</v>
      </c>
      <c r="AN974">
        <v>1.00000003599565</v>
      </c>
    </row>
    <row r="975" spans="1:40" x14ac:dyDescent="0.25">
      <c r="A975" t="str">
        <f>"20190304154742307"</f>
        <v>20190304154742307</v>
      </c>
      <c r="B975" t="str">
        <f>"1551685662297943"</f>
        <v>1551685662297943</v>
      </c>
      <c r="C975" t="s">
        <v>40</v>
      </c>
      <c r="D975">
        <v>4.2567019999999998</v>
      </c>
      <c r="E975">
        <v>0.57161490000000004</v>
      </c>
      <c r="F975" t="s">
        <v>48</v>
      </c>
      <c r="G975">
        <v>-249.70050000000001</v>
      </c>
      <c r="H975">
        <v>2.9399690000000001</v>
      </c>
      <c r="I975">
        <v>357.98149999999998</v>
      </c>
      <c r="J975">
        <v>-359.21769999999998</v>
      </c>
      <c r="K975">
        <v>1.110363</v>
      </c>
      <c r="L975">
        <v>366.49610000000001</v>
      </c>
      <c r="M975">
        <v>0.99988639999999995</v>
      </c>
      <c r="N975">
        <v>-1.0751480000000001E-2</v>
      </c>
      <c r="O975">
        <v>1.056692E-2</v>
      </c>
      <c r="P975">
        <v>0.98898160000000002</v>
      </c>
      <c r="Q975">
        <v>9.7744059999999994E-2</v>
      </c>
      <c r="R975">
        <v>0.1111825</v>
      </c>
      <c r="S975">
        <v>3.0551759999999999</v>
      </c>
      <c r="T975">
        <v>5.0982949999999999E-2</v>
      </c>
      <c r="U975">
        <v>-0.23721310000000001</v>
      </c>
      <c r="V975">
        <v>-0.1007212</v>
      </c>
      <c r="W975">
        <v>0.1083871</v>
      </c>
      <c r="X975">
        <v>0.98899320000000002</v>
      </c>
      <c r="Y975">
        <v>8.7933310000000001E-2</v>
      </c>
      <c r="Z975">
        <v>5.4858640000000002E-4</v>
      </c>
      <c r="AA975">
        <v>0.99612619999999996</v>
      </c>
      <c r="AB975">
        <v>26</v>
      </c>
      <c r="AC975">
        <v>109.51719999999899</v>
      </c>
      <c r="AD975">
        <v>1.8296060000000001</v>
      </c>
      <c r="AE975">
        <v>-8.5146000000000299</v>
      </c>
      <c r="AF975">
        <v>9.6687686248360496</v>
      </c>
      <c r="AG975">
        <v>1.8296060000000001</v>
      </c>
      <c r="AH975">
        <v>109.390759623221</v>
      </c>
      <c r="AI975">
        <v>89.045514012927697</v>
      </c>
      <c r="AJ975">
        <v>84.948899373618602</v>
      </c>
      <c r="AK975">
        <v>109.83246712963</v>
      </c>
      <c r="AL975">
        <v>83.777652935774498</v>
      </c>
      <c r="AM975">
        <v>95.815076715279105</v>
      </c>
      <c r="AN975">
        <v>1.00000003661104</v>
      </c>
    </row>
    <row r="976" spans="1:40" x14ac:dyDescent="0.25">
      <c r="A976" t="str">
        <f>"20190304154742319"</f>
        <v>20190304154742319</v>
      </c>
      <c r="B976" t="str">
        <f>"1551685662307703"</f>
        <v>1551685662307703</v>
      </c>
      <c r="C976" t="s">
        <v>40</v>
      </c>
      <c r="D976">
        <v>4.2677449999999997</v>
      </c>
      <c r="E976">
        <v>0.57170259999999995</v>
      </c>
      <c r="F976" t="s">
        <v>48</v>
      </c>
      <c r="G976">
        <v>-249.67789999999999</v>
      </c>
      <c r="H976">
        <v>2.9221300000000001</v>
      </c>
      <c r="I976">
        <v>357.93450000000001</v>
      </c>
      <c r="J976">
        <v>-359.08940000000001</v>
      </c>
      <c r="K976">
        <v>1.110363</v>
      </c>
      <c r="L976">
        <v>366.49740000000003</v>
      </c>
      <c r="M976">
        <v>0.99988650000000001</v>
      </c>
      <c r="N976">
        <v>-1.075135E-2</v>
      </c>
      <c r="O976">
        <v>1.056692E-2</v>
      </c>
      <c r="P976">
        <v>0.98900809999999995</v>
      </c>
      <c r="Q976">
        <v>9.7547889999999998E-2</v>
      </c>
      <c r="R976">
        <v>0.1111211</v>
      </c>
      <c r="S976">
        <v>3.0552980000000001</v>
      </c>
      <c r="T976">
        <v>5.053639E-2</v>
      </c>
      <c r="U976">
        <v>-0.23880000000000001</v>
      </c>
      <c r="V976">
        <v>-0.1006592</v>
      </c>
      <c r="W976">
        <v>0.1081913</v>
      </c>
      <c r="X976">
        <v>0.98902089999999998</v>
      </c>
      <c r="Y976">
        <v>8.8444670000000003E-2</v>
      </c>
      <c r="Z976">
        <v>5.4203779999999896E-4</v>
      </c>
      <c r="AA976">
        <v>0.99608090000000005</v>
      </c>
      <c r="AB976">
        <v>26</v>
      </c>
      <c r="AC976">
        <v>109.4115</v>
      </c>
      <c r="AD976">
        <v>1.8117669999999999</v>
      </c>
      <c r="AE976">
        <v>-8.5629000000000097</v>
      </c>
      <c r="AF976">
        <v>9.7159831337547793</v>
      </c>
      <c r="AG976">
        <v>1.8117669999999999</v>
      </c>
      <c r="AH976">
        <v>109.28511766897</v>
      </c>
      <c r="AI976">
        <v>89.053948278371195</v>
      </c>
      <c r="AJ976">
        <v>84.919481612121103</v>
      </c>
      <c r="AK976">
        <v>109.731124900087</v>
      </c>
      <c r="AL976">
        <v>83.788937496669902</v>
      </c>
      <c r="AM976">
        <v>95.811360039160604</v>
      </c>
      <c r="AN976">
        <v>0.99999998628856901</v>
      </c>
    </row>
    <row r="977" spans="1:40" x14ac:dyDescent="0.25">
      <c r="A977" t="str">
        <f>"20190304154742329"</f>
        <v>20190304154742329</v>
      </c>
      <c r="B977" t="str">
        <f>"1551685662318440"</f>
        <v>1551685662318440</v>
      </c>
      <c r="C977" t="s">
        <v>40</v>
      </c>
      <c r="D977">
        <v>4.2958740000000004</v>
      </c>
      <c r="E977">
        <v>0.57175959999999904</v>
      </c>
      <c r="F977" t="s">
        <v>48</v>
      </c>
      <c r="G977">
        <v>-249.59030000000001</v>
      </c>
      <c r="H977">
        <v>2.881672</v>
      </c>
      <c r="I977">
        <v>357.90550000000002</v>
      </c>
      <c r="J977">
        <v>-358.96499999999997</v>
      </c>
      <c r="K977">
        <v>1.110365</v>
      </c>
      <c r="L977">
        <v>366.49880000000002</v>
      </c>
      <c r="M977">
        <v>0.99988639999999995</v>
      </c>
      <c r="N977">
        <v>-1.0751299999999899E-2</v>
      </c>
      <c r="O977">
        <v>1.0567099999999999E-2</v>
      </c>
      <c r="P977">
        <v>0.98907590000000001</v>
      </c>
      <c r="Q977">
        <v>9.7452910000000004E-2</v>
      </c>
      <c r="R977">
        <v>0.11059910000000001</v>
      </c>
      <c r="S977">
        <v>3.0554199999999998</v>
      </c>
      <c r="T977">
        <v>4.9428340000000001E-2</v>
      </c>
      <c r="U977">
        <v>-0.23974609999999999</v>
      </c>
      <c r="V977">
        <v>-0.1001368</v>
      </c>
      <c r="W977">
        <v>0.108097</v>
      </c>
      <c r="X977">
        <v>0.98908419999999997</v>
      </c>
      <c r="Y977">
        <v>8.8748720000000003E-2</v>
      </c>
      <c r="Z977">
        <v>5.2297450000000001E-4</v>
      </c>
      <c r="AA977">
        <v>0.99605390000000005</v>
      </c>
      <c r="AB977">
        <v>26</v>
      </c>
      <c r="AC977">
        <v>109.374699999999</v>
      </c>
      <c r="AD977">
        <v>1.771307</v>
      </c>
      <c r="AE977">
        <v>-8.5932999999999993</v>
      </c>
      <c r="AF977">
        <v>9.7461198452026405</v>
      </c>
      <c r="AG977">
        <v>1.771307</v>
      </c>
      <c r="AH977">
        <v>109.249303652873</v>
      </c>
      <c r="AI977">
        <v>89.074793366911393</v>
      </c>
      <c r="AJ977">
        <v>84.902144056656695</v>
      </c>
      <c r="AK977">
        <v>109.69746911010699</v>
      </c>
      <c r="AL977">
        <v>83.794372120795003</v>
      </c>
      <c r="AM977">
        <v>95.781037641069801</v>
      </c>
      <c r="AN977">
        <v>0.99999994740643805</v>
      </c>
    </row>
    <row r="978" spans="1:40" x14ac:dyDescent="0.25">
      <c r="A978" t="str">
        <f>"20190304154742340"</f>
        <v>20190304154742340</v>
      </c>
      <c r="B978" t="str">
        <f>"1551685662337960"</f>
        <v>1551685662337960</v>
      </c>
      <c r="C978" t="s">
        <v>40</v>
      </c>
      <c r="D978">
        <v>4.2913930000000002</v>
      </c>
      <c r="E978">
        <v>0.57193509999999903</v>
      </c>
      <c r="F978" t="s">
        <v>42</v>
      </c>
      <c r="G978">
        <v>0</v>
      </c>
      <c r="H978">
        <v>0</v>
      </c>
      <c r="I978">
        <v>0</v>
      </c>
      <c r="J978">
        <v>-358.83580000000001</v>
      </c>
      <c r="K978">
        <v>1.110363</v>
      </c>
      <c r="L978">
        <v>366.50009999999997</v>
      </c>
      <c r="M978">
        <v>0.99988639999999995</v>
      </c>
      <c r="N978">
        <v>-1.0751449999999999E-2</v>
      </c>
      <c r="O978">
        <v>1.0567099999999999E-2</v>
      </c>
      <c r="P978">
        <v>0.9891027</v>
      </c>
      <c r="Q978">
        <v>9.7369460000000005E-2</v>
      </c>
      <c r="R978">
        <v>0.110432</v>
      </c>
      <c r="S978">
        <v>3.0553889999999999</v>
      </c>
      <c r="T978">
        <v>4.8564789999999997E-2</v>
      </c>
      <c r="U978">
        <v>-0.2420349</v>
      </c>
      <c r="V978">
        <v>-9.9969290000000002E-2</v>
      </c>
      <c r="W978">
        <v>0.108014</v>
      </c>
      <c r="X978">
        <v>0.9891103</v>
      </c>
      <c r="Y978">
        <v>8.9491340000000003E-2</v>
      </c>
      <c r="Z978">
        <v>5.0932869999999999E-4</v>
      </c>
      <c r="AA978">
        <v>0.99598750000000003</v>
      </c>
      <c r="AB978">
        <v>26</v>
      </c>
      <c r="AC978">
        <v>3.0553889999999999</v>
      </c>
      <c r="AD978">
        <v>4.8564789999999997E-2</v>
      </c>
      <c r="AE978">
        <v>-0.2420349</v>
      </c>
      <c r="AF978">
        <v>0.27424099757011999</v>
      </c>
      <c r="AG978">
        <v>4.8564789999999997E-2</v>
      </c>
      <c r="AH978">
        <v>3.0518943965362602</v>
      </c>
      <c r="AI978">
        <v>89.091987284265997</v>
      </c>
      <c r="AJ978">
        <v>84.865234083666607</v>
      </c>
      <c r="AK978">
        <v>3.0645760018615</v>
      </c>
      <c r="AL978">
        <v>83.799156220392206</v>
      </c>
      <c r="AM978">
        <v>95.771281126928798</v>
      </c>
      <c r="AN978">
        <v>1.0000000343525901</v>
      </c>
    </row>
    <row r="979" spans="1:40" x14ac:dyDescent="0.25">
      <c r="A979" t="str">
        <f>"20190304154742352"</f>
        <v>20190304154742352</v>
      </c>
      <c r="B979" t="str">
        <f>"1551685662347719"</f>
        <v>1551685662347719</v>
      </c>
      <c r="C979" t="s">
        <v>40</v>
      </c>
      <c r="D979">
        <v>4.2903799999999999</v>
      </c>
      <c r="E979">
        <v>0.57197119999999901</v>
      </c>
      <c r="F979" t="s">
        <v>42</v>
      </c>
      <c r="G979">
        <v>0</v>
      </c>
      <c r="H979">
        <v>0</v>
      </c>
      <c r="I979">
        <v>0</v>
      </c>
      <c r="J979">
        <v>-358.70030000000003</v>
      </c>
      <c r="K979">
        <v>1.1103620000000001</v>
      </c>
      <c r="L979">
        <v>366.5016</v>
      </c>
      <c r="M979">
        <v>0.99988630000000001</v>
      </c>
      <c r="N979">
        <v>-1.075169E-2</v>
      </c>
      <c r="O979">
        <v>1.056728E-2</v>
      </c>
      <c r="P979">
        <v>0.98913899999999999</v>
      </c>
      <c r="Q979">
        <v>9.7044800000000001E-2</v>
      </c>
      <c r="R979">
        <v>0.1103919</v>
      </c>
      <c r="S979">
        <v>3.0554809999999999</v>
      </c>
      <c r="T979">
        <v>4.8647879999999998E-2</v>
      </c>
      <c r="U979">
        <v>-0.2437744</v>
      </c>
      <c r="V979">
        <v>-9.9928489999999995E-2</v>
      </c>
      <c r="W979">
        <v>0.1076898</v>
      </c>
      <c r="X979">
        <v>0.98914970000000002</v>
      </c>
      <c r="Y979">
        <v>9.005254E-2</v>
      </c>
      <c r="Z979">
        <v>5.1220550000000001E-4</v>
      </c>
      <c r="AA979">
        <v>0.99593690000000001</v>
      </c>
      <c r="AB979">
        <v>26</v>
      </c>
      <c r="AC979">
        <v>3.0554809999999999</v>
      </c>
      <c r="AD979">
        <v>4.8647879999999998E-2</v>
      </c>
      <c r="AE979">
        <v>-0.2437744</v>
      </c>
      <c r="AF979">
        <v>0.27598126157110298</v>
      </c>
      <c r="AG979">
        <v>4.8647879999999998E-2</v>
      </c>
      <c r="AH979">
        <v>3.0519654319880498</v>
      </c>
      <c r="AI979">
        <v>89.0905013789761</v>
      </c>
      <c r="AJ979">
        <v>84.832945610238994</v>
      </c>
      <c r="AK979">
        <v>3.0648042793980999</v>
      </c>
      <c r="AL979">
        <v>83.817840051988995</v>
      </c>
      <c r="AM979">
        <v>95.768713371286395</v>
      </c>
      <c r="AN979">
        <v>0.999999962573904</v>
      </c>
    </row>
    <row r="980" spans="1:40" x14ac:dyDescent="0.25">
      <c r="A980" t="str">
        <f>"20190304154742363"</f>
        <v>20190304154742363</v>
      </c>
      <c r="B980" t="str">
        <f>"1551685662357480"</f>
        <v>1551685662357480</v>
      </c>
      <c r="C980" t="s">
        <v>40</v>
      </c>
      <c r="D980">
        <v>4.3013139999999996</v>
      </c>
      <c r="E980">
        <v>0.57191219999999998</v>
      </c>
      <c r="F980" t="s">
        <v>42</v>
      </c>
      <c r="G980">
        <v>0</v>
      </c>
      <c r="H980">
        <v>0</v>
      </c>
      <c r="I980">
        <v>0</v>
      </c>
      <c r="J980">
        <v>-358.57240000000002</v>
      </c>
      <c r="K980">
        <v>1.11036</v>
      </c>
      <c r="L980">
        <v>366.50290000000001</v>
      </c>
      <c r="M980">
        <v>0.99988650000000001</v>
      </c>
      <c r="N980">
        <v>-1.075218E-2</v>
      </c>
      <c r="O980">
        <v>1.056728E-2</v>
      </c>
      <c r="P980">
        <v>0.98918150000000005</v>
      </c>
      <c r="Q980">
        <v>9.6644800000000003E-2</v>
      </c>
      <c r="R980">
        <v>0.110364</v>
      </c>
      <c r="S980">
        <v>3.0555729999999999</v>
      </c>
      <c r="T980">
        <v>4.6943659999999998E-2</v>
      </c>
      <c r="U980">
        <v>-0.24429319999999999</v>
      </c>
      <c r="V980">
        <v>-9.9900279999999994E-2</v>
      </c>
      <c r="W980">
        <v>0.1072911</v>
      </c>
      <c r="X980">
        <v>0.98919590000000002</v>
      </c>
      <c r="Y980">
        <v>9.0218859999999998E-2</v>
      </c>
      <c r="Z980">
        <v>4.8158169999999999E-4</v>
      </c>
      <c r="AA980">
        <v>0.99592190000000003</v>
      </c>
      <c r="AB980">
        <v>26</v>
      </c>
      <c r="AC980">
        <v>3.0555729999999999</v>
      </c>
      <c r="AD980">
        <v>4.6943659999999998E-2</v>
      </c>
      <c r="AE980">
        <v>-0.24429319999999999</v>
      </c>
      <c r="AF980">
        <v>0.27650566632978102</v>
      </c>
      <c r="AG980">
        <v>4.6943659999999998E-2</v>
      </c>
      <c r="AH980">
        <v>3.0521048930183601</v>
      </c>
      <c r="AI980">
        <v>89.122410931873304</v>
      </c>
      <c r="AJ980">
        <v>84.823416009381503</v>
      </c>
      <c r="AK980">
        <v>3.0649638446013201</v>
      </c>
      <c r="AL980">
        <v>83.840817159154795</v>
      </c>
      <c r="AM980">
        <v>95.766828296936197</v>
      </c>
      <c r="AN980">
        <v>0.99999998733004902</v>
      </c>
    </row>
    <row r="981" spans="1:40" x14ac:dyDescent="0.25">
      <c r="A981" t="str">
        <f>"20190304154742375"</f>
        <v>20190304154742375</v>
      </c>
      <c r="B981" t="str">
        <f>"1551685662367239"</f>
        <v>1551685662367239</v>
      </c>
      <c r="C981" t="s">
        <v>40</v>
      </c>
      <c r="D981">
        <v>4.3166479999999998</v>
      </c>
      <c r="E981">
        <v>0.57183009999999901</v>
      </c>
      <c r="F981" t="s">
        <v>42</v>
      </c>
      <c r="G981">
        <v>0</v>
      </c>
      <c r="H981">
        <v>0</v>
      </c>
      <c r="I981">
        <v>0</v>
      </c>
      <c r="J981">
        <v>-358.4436</v>
      </c>
      <c r="K981">
        <v>1.1103590000000001</v>
      </c>
      <c r="L981">
        <v>366.5043</v>
      </c>
      <c r="M981">
        <v>0.99988639999999995</v>
      </c>
      <c r="N981">
        <v>-1.075274E-2</v>
      </c>
      <c r="O981">
        <v>1.056727E-2</v>
      </c>
      <c r="P981">
        <v>0.98919259999999998</v>
      </c>
      <c r="Q981">
        <v>9.6479330000000002E-2</v>
      </c>
      <c r="R981">
        <v>0.1104084</v>
      </c>
      <c r="S981">
        <v>3.0556950000000001</v>
      </c>
      <c r="T981">
        <v>4.4519660000000003E-2</v>
      </c>
      <c r="U981">
        <v>-0.24389649999999999</v>
      </c>
      <c r="V981">
        <v>-9.9944519999999995E-2</v>
      </c>
      <c r="W981">
        <v>0.1071261</v>
      </c>
      <c r="X981">
        <v>0.98920940000000002</v>
      </c>
      <c r="Y981">
        <v>9.0088109999999999E-2</v>
      </c>
      <c r="Z981">
        <v>4.372019E-4</v>
      </c>
      <c r="AA981">
        <v>0.99593370000000003</v>
      </c>
      <c r="AB981">
        <v>26</v>
      </c>
      <c r="AC981">
        <v>3.0556950000000001</v>
      </c>
      <c r="AD981">
        <v>4.4519660000000003E-2</v>
      </c>
      <c r="AE981">
        <v>-0.24389649999999999</v>
      </c>
      <c r="AF981">
        <v>0.27611686015349801</v>
      </c>
      <c r="AG981">
        <v>4.4519660000000003E-2</v>
      </c>
      <c r="AH981">
        <v>3.0523030925554799</v>
      </c>
      <c r="AI981">
        <v>89.167763973106901</v>
      </c>
      <c r="AJ981">
        <v>84.830989406346006</v>
      </c>
      <c r="AK981">
        <v>3.0650899969513601</v>
      </c>
      <c r="AL981">
        <v>83.850326292396801</v>
      </c>
      <c r="AM981">
        <v>95.769286659709493</v>
      </c>
      <c r="AN981">
        <v>1.0000000727137901</v>
      </c>
    </row>
    <row r="982" spans="1:40" x14ac:dyDescent="0.25">
      <c r="A982" t="str">
        <f>"20190304154742387"</f>
        <v>20190304154742387</v>
      </c>
      <c r="B982" t="str">
        <f>"1551685662377976"</f>
        <v>1551685662377976</v>
      </c>
      <c r="C982" t="s">
        <v>40</v>
      </c>
      <c r="D982">
        <v>4.2969549999999996</v>
      </c>
      <c r="E982">
        <v>0.57183009999999901</v>
      </c>
      <c r="F982" t="s">
        <v>42</v>
      </c>
      <c r="G982">
        <v>0</v>
      </c>
      <c r="H982">
        <v>0</v>
      </c>
      <c r="I982">
        <v>0</v>
      </c>
      <c r="J982">
        <v>-358.298</v>
      </c>
      <c r="K982">
        <v>1.11036</v>
      </c>
      <c r="L982">
        <v>366.50580000000002</v>
      </c>
      <c r="M982">
        <v>0.99988650000000001</v>
      </c>
      <c r="N982">
        <v>-1.0753510000000001E-2</v>
      </c>
      <c r="O982">
        <v>1.0567450000000001E-2</v>
      </c>
      <c r="P982">
        <v>0.9891877</v>
      </c>
      <c r="Q982">
        <v>9.6423389999999998E-2</v>
      </c>
      <c r="R982">
        <v>0.11050160000000001</v>
      </c>
      <c r="S982">
        <v>3.0558169999999998</v>
      </c>
      <c r="T982">
        <v>4.2272089999999998E-2</v>
      </c>
      <c r="U982">
        <v>-0.24285889999999999</v>
      </c>
      <c r="V982">
        <v>-0.100038</v>
      </c>
      <c r="W982">
        <v>0.1070706</v>
      </c>
      <c r="X982">
        <v>0.98920589999999997</v>
      </c>
      <c r="Y982">
        <v>8.9749860000000001E-2</v>
      </c>
      <c r="Z982">
        <v>3.9582179999999998E-4</v>
      </c>
      <c r="AA982">
        <v>0.99596430000000002</v>
      </c>
      <c r="AB982">
        <v>26</v>
      </c>
      <c r="AC982">
        <v>3.0558169999999998</v>
      </c>
      <c r="AD982">
        <v>4.2272089999999998E-2</v>
      </c>
      <c r="AE982">
        <v>-0.24285889999999999</v>
      </c>
      <c r="AF982">
        <v>0.27508708287632799</v>
      </c>
      <c r="AG982">
        <v>4.2272089999999998E-2</v>
      </c>
      <c r="AH982">
        <v>3.05249934309477</v>
      </c>
      <c r="AI982">
        <v>89.209800360945195</v>
      </c>
      <c r="AJ982">
        <v>84.850492681681601</v>
      </c>
      <c r="AK982">
        <v>3.0651610189927001</v>
      </c>
      <c r="AL982">
        <v>83.853524239177105</v>
      </c>
      <c r="AM982">
        <v>95.774666625074005</v>
      </c>
      <c r="AN982">
        <v>1.0000000137115801</v>
      </c>
    </row>
    <row r="983" spans="1:40" x14ac:dyDescent="0.25">
      <c r="A983" t="str">
        <f>"20190304154742400"</f>
        <v>20190304154742400</v>
      </c>
      <c r="B983" t="str">
        <f>"1551685662387735"</f>
        <v>1551685662387735</v>
      </c>
      <c r="C983" t="s">
        <v>40</v>
      </c>
      <c r="D983">
        <v>4.460534</v>
      </c>
      <c r="E983">
        <v>0.57015590000000005</v>
      </c>
      <c r="F983" t="s">
        <v>42</v>
      </c>
      <c r="G983">
        <v>0</v>
      </c>
      <c r="H983">
        <v>0</v>
      </c>
      <c r="I983">
        <v>0</v>
      </c>
      <c r="J983">
        <v>-358.15949999999998</v>
      </c>
      <c r="K983">
        <v>1.110357</v>
      </c>
      <c r="L983">
        <v>366.50729999999999</v>
      </c>
      <c r="M983">
        <v>0.99988630000000001</v>
      </c>
      <c r="N983">
        <v>-1.0754339999999999E-2</v>
      </c>
      <c r="O983">
        <v>1.0567740000000001E-2</v>
      </c>
      <c r="P983">
        <v>0.98916210000000004</v>
      </c>
      <c r="Q983">
        <v>9.6643670000000001E-2</v>
      </c>
      <c r="R983">
        <v>0.11053689999999999</v>
      </c>
      <c r="S983">
        <v>3.0558169999999998</v>
      </c>
      <c r="T983">
        <v>4.213774E-2</v>
      </c>
      <c r="U983">
        <v>-0.24261469999999999</v>
      </c>
      <c r="V983">
        <v>-0.10007290000000001</v>
      </c>
      <c r="W983">
        <v>0.1072915</v>
      </c>
      <c r="X983">
        <v>0.98917840000000001</v>
      </c>
      <c r="Y983">
        <v>8.9671120000000007E-2</v>
      </c>
      <c r="Z983">
        <v>3.9325360000000003E-4</v>
      </c>
      <c r="AA983">
        <v>0.99597139999999995</v>
      </c>
      <c r="AB983">
        <v>26</v>
      </c>
      <c r="AC983">
        <v>3.0558169999999998</v>
      </c>
      <c r="AD983">
        <v>4.213774E-2</v>
      </c>
      <c r="AE983">
        <v>-0.24261469999999999</v>
      </c>
      <c r="AF983">
        <v>0.274844165586969</v>
      </c>
      <c r="AG983">
        <v>4.213774E-2</v>
      </c>
      <c r="AH983">
        <v>3.0525055188795398</v>
      </c>
      <c r="AI983">
        <v>89.212307452532201</v>
      </c>
      <c r="AJ983">
        <v>84.855025922180005</v>
      </c>
      <c r="AK983">
        <v>3.0651435280064101</v>
      </c>
      <c r="AL983">
        <v>83.840794057244906</v>
      </c>
      <c r="AM983">
        <v>95.776827106087296</v>
      </c>
      <c r="AN983">
        <v>0.99999997915660899</v>
      </c>
    </row>
    <row r="984" spans="1:40" x14ac:dyDescent="0.25">
      <c r="A984" t="str">
        <f>"20190304154742412"</f>
        <v>20190304154742412</v>
      </c>
      <c r="B984" t="str">
        <f>"1551685662407255"</f>
        <v>1551685662407255</v>
      </c>
      <c r="C984" t="s">
        <v>40</v>
      </c>
      <c r="D984">
        <v>4.3481959999999997</v>
      </c>
      <c r="E984">
        <v>0.5669807</v>
      </c>
      <c r="F984" t="s">
        <v>43</v>
      </c>
      <c r="G984">
        <v>-158.78319999999999</v>
      </c>
      <c r="H984">
        <v>3.3960210000000002</v>
      </c>
      <c r="I984">
        <v>351.52069999999998</v>
      </c>
      <c r="J984">
        <v>-358.01949999999999</v>
      </c>
      <c r="K984">
        <v>1.110355</v>
      </c>
      <c r="L984">
        <v>366.50880000000001</v>
      </c>
      <c r="M984">
        <v>0.99988630000000001</v>
      </c>
      <c r="N984">
        <v>-1.0755229999999999E-2</v>
      </c>
      <c r="O984">
        <v>1.0567740000000001E-2</v>
      </c>
      <c r="P984">
        <v>0.98910620000000005</v>
      </c>
      <c r="Q984">
        <v>9.6752699999999997E-2</v>
      </c>
      <c r="R984">
        <v>0.110941899999999</v>
      </c>
      <c r="S984">
        <v>3.0551149999999998</v>
      </c>
      <c r="T984">
        <v>3.5025359999999998E-2</v>
      </c>
      <c r="U984">
        <v>-0.22964480000000001</v>
      </c>
      <c r="V984">
        <v>-0.10047830000000001</v>
      </c>
      <c r="W984">
        <v>0.1074011</v>
      </c>
      <c r="X984">
        <v>0.98912540000000004</v>
      </c>
      <c r="Y984">
        <v>8.5487369999999993E-2</v>
      </c>
      <c r="Z984">
        <v>2.6342310000000002E-4</v>
      </c>
      <c r="AA984">
        <v>0.99633919999999998</v>
      </c>
      <c r="AB984">
        <v>26</v>
      </c>
      <c r="AC984">
        <v>199.2363</v>
      </c>
      <c r="AD984">
        <v>2.285666</v>
      </c>
      <c r="AE984">
        <v>-14.988099999999999</v>
      </c>
      <c r="AF984">
        <v>17.090625567542698</v>
      </c>
      <c r="AG984">
        <v>2.285666</v>
      </c>
      <c r="AH984">
        <v>199.040725505144</v>
      </c>
      <c r="AI984">
        <v>89.344489886290901</v>
      </c>
      <c r="AJ984">
        <v>85.092337152207904</v>
      </c>
      <c r="AK984">
        <v>199.786196122174</v>
      </c>
      <c r="AL984">
        <v>83.834477892664097</v>
      </c>
      <c r="AM984">
        <v>95.800378735835594</v>
      </c>
      <c r="AN984">
        <v>0.99999997098862903</v>
      </c>
    </row>
    <row r="985" spans="1:40" x14ac:dyDescent="0.25">
      <c r="A985" t="str">
        <f>"20190304154742424"</f>
        <v>20190304154742424</v>
      </c>
      <c r="B985" t="str">
        <f>"1551685662417991"</f>
        <v>1551685662417991</v>
      </c>
      <c r="C985" t="s">
        <v>40</v>
      </c>
      <c r="D985">
        <v>4.3480720000000002</v>
      </c>
      <c r="E985">
        <v>0.56558369999999902</v>
      </c>
      <c r="F985" t="s">
        <v>43</v>
      </c>
      <c r="G985">
        <v>-169.2955</v>
      </c>
      <c r="H985">
        <v>2.8791799999999999</v>
      </c>
      <c r="I985">
        <v>353.93220000000002</v>
      </c>
      <c r="J985">
        <v>-357.86540000000002</v>
      </c>
      <c r="K985">
        <v>1.110355</v>
      </c>
      <c r="L985">
        <v>366.5104</v>
      </c>
      <c r="M985">
        <v>0.99988630000000001</v>
      </c>
      <c r="N985">
        <v>-1.0756369999999999E-2</v>
      </c>
      <c r="O985">
        <v>1.056791E-2</v>
      </c>
      <c r="P985">
        <v>0.989093</v>
      </c>
      <c r="Q985">
        <v>9.6881629999999996E-2</v>
      </c>
      <c r="R985">
        <v>0.1109465</v>
      </c>
      <c r="S985">
        <v>3.053131</v>
      </c>
      <c r="T985">
        <v>2.861702E-2</v>
      </c>
      <c r="U985">
        <v>-0.20346069999999999</v>
      </c>
      <c r="V985">
        <v>-0.100483</v>
      </c>
      <c r="W985">
        <v>0.107531</v>
      </c>
      <c r="X985">
        <v>0.98911079999999996</v>
      </c>
      <c r="Y985">
        <v>7.7032340000000005E-2</v>
      </c>
      <c r="Z985">
        <v>1.5832530000000001E-4</v>
      </c>
      <c r="AA985">
        <v>0.99702860000000004</v>
      </c>
      <c r="AB985">
        <v>26</v>
      </c>
      <c r="AC985">
        <v>188.56989999999999</v>
      </c>
      <c r="AD985">
        <v>1.7688250000000001</v>
      </c>
      <c r="AE985">
        <v>-12.578199999999899</v>
      </c>
      <c r="AF985">
        <v>14.5691263245083</v>
      </c>
      <c r="AG985">
        <v>1.7688250000000001</v>
      </c>
      <c r="AH985">
        <v>188.40993126094199</v>
      </c>
      <c r="AI985">
        <v>89.463713978631006</v>
      </c>
      <c r="AJ985">
        <v>85.578303045254202</v>
      </c>
      <c r="AK985">
        <v>188.98066139553299</v>
      </c>
      <c r="AL985">
        <v>83.826991761051602</v>
      </c>
      <c r="AM985">
        <v>95.800733243741306</v>
      </c>
      <c r="AN985">
        <v>0.99999996196331897</v>
      </c>
    </row>
    <row r="986" spans="1:40" x14ac:dyDescent="0.25">
      <c r="A986" t="str">
        <f>"20190304154742437"</f>
        <v>20190304154742437</v>
      </c>
      <c r="B986" t="str">
        <f>"1551685662427751"</f>
        <v>1551685662427751</v>
      </c>
      <c r="C986" t="s">
        <v>40</v>
      </c>
      <c r="D986">
        <v>4.3420629999999996</v>
      </c>
      <c r="E986">
        <v>0.56426449999999995</v>
      </c>
      <c r="F986" t="s">
        <v>43</v>
      </c>
      <c r="G986">
        <v>-169.2955</v>
      </c>
      <c r="H986">
        <v>2.719646</v>
      </c>
      <c r="I986">
        <v>354.62430000000001</v>
      </c>
      <c r="J986">
        <v>-357.72370000000001</v>
      </c>
      <c r="K986">
        <v>1.110355</v>
      </c>
      <c r="L986">
        <v>366.51190000000003</v>
      </c>
      <c r="M986">
        <v>0.99988639999999995</v>
      </c>
      <c r="N986">
        <v>-1.075751E-2</v>
      </c>
      <c r="O986">
        <v>1.05679E-2</v>
      </c>
      <c r="P986">
        <v>0.98906079999999996</v>
      </c>
      <c r="Q986">
        <v>9.7108739999999999E-2</v>
      </c>
      <c r="R986">
        <v>0.1110355</v>
      </c>
      <c r="S986">
        <v>3.0520939999999999</v>
      </c>
      <c r="T986">
        <v>2.6048539999999999E-2</v>
      </c>
      <c r="U986">
        <v>-0.19238279999999999</v>
      </c>
      <c r="V986">
        <v>-0.10057199999999999</v>
      </c>
      <c r="W986">
        <v>0.10775849999999999</v>
      </c>
      <c r="X986">
        <v>0.98907699999999998</v>
      </c>
      <c r="Y986">
        <v>7.3451020000000006E-2</v>
      </c>
      <c r="Z986">
        <v>1.213173E-4</v>
      </c>
      <c r="AA986">
        <v>0.99729880000000004</v>
      </c>
      <c r="AB986">
        <v>26</v>
      </c>
      <c r="AC986">
        <v>188.4282</v>
      </c>
      <c r="AD986">
        <v>1.609291</v>
      </c>
      <c r="AE986">
        <v>-11.887600000000001</v>
      </c>
      <c r="AF986">
        <v>13.8773332596059</v>
      </c>
      <c r="AG986">
        <v>1.609291</v>
      </c>
      <c r="AH986">
        <v>188.27836344087399</v>
      </c>
      <c r="AI986">
        <v>89.511606595078703</v>
      </c>
      <c r="AJ986">
        <v>85.784553079380004</v>
      </c>
      <c r="AK986">
        <v>188.79595423603399</v>
      </c>
      <c r="AL986">
        <v>83.813880817883799</v>
      </c>
      <c r="AM986">
        <v>95.806033047021103</v>
      </c>
      <c r="AN986">
        <v>0.99999996671762403</v>
      </c>
    </row>
    <row r="987" spans="1:40" x14ac:dyDescent="0.25">
      <c r="A987" t="str">
        <f>"20190304154742453"</f>
        <v>20190304154742453</v>
      </c>
      <c r="B987" t="str">
        <f>"1551685662447275"</f>
        <v>1551685662447275</v>
      </c>
      <c r="C987" t="s">
        <v>40</v>
      </c>
      <c r="D987">
        <v>4.3198639999999999</v>
      </c>
      <c r="E987">
        <v>0.56178470000000003</v>
      </c>
      <c r="F987" t="s">
        <v>43</v>
      </c>
      <c r="G987">
        <v>-169.2955</v>
      </c>
      <c r="H987">
        <v>2.5779610000000002</v>
      </c>
      <c r="I987">
        <v>355.28910000000002</v>
      </c>
      <c r="J987">
        <v>-357.5444</v>
      </c>
      <c r="K987">
        <v>1.110357</v>
      </c>
      <c r="L987">
        <v>366.5138</v>
      </c>
      <c r="M987">
        <v>0.99988639999999995</v>
      </c>
      <c r="N987">
        <v>-1.0759080000000001E-2</v>
      </c>
      <c r="O987">
        <v>1.056789E-2</v>
      </c>
      <c r="P987">
        <v>0.98907979999999995</v>
      </c>
      <c r="Q987">
        <v>9.6874150000000006E-2</v>
      </c>
      <c r="R987">
        <v>0.11107160000000001</v>
      </c>
      <c r="S987">
        <v>3.0512389999999998</v>
      </c>
      <c r="T987">
        <v>2.3766519999999999E-2</v>
      </c>
      <c r="U987">
        <v>-0.18173220000000001</v>
      </c>
      <c r="V987">
        <v>-0.10060810000000001</v>
      </c>
      <c r="W987">
        <v>0.1075262</v>
      </c>
      <c r="X987">
        <v>0.9890987</v>
      </c>
      <c r="Y987">
        <v>7.0000259999999995E-2</v>
      </c>
      <c r="Z987" s="1">
        <v>9.1302149999999998E-5</v>
      </c>
      <c r="AA987">
        <v>0.99754699999999996</v>
      </c>
      <c r="AB987">
        <v>26</v>
      </c>
      <c r="AC987">
        <v>188.24889999999999</v>
      </c>
      <c r="AD987">
        <v>1.4676039999999999</v>
      </c>
      <c r="AE987">
        <v>-11.224699999999901</v>
      </c>
      <c r="AF987">
        <v>13.2127814798299</v>
      </c>
      <c r="AG987">
        <v>1.4676039999999999</v>
      </c>
      <c r="AH987">
        <v>188.10836588299199</v>
      </c>
      <c r="AI987">
        <v>89.554091309954899</v>
      </c>
      <c r="AJ987">
        <v>85.982128240195905</v>
      </c>
      <c r="AK987">
        <v>188.577540473684</v>
      </c>
      <c r="AL987">
        <v>83.827268966812198</v>
      </c>
      <c r="AM987">
        <v>95.807976305024695</v>
      </c>
      <c r="AN987">
        <v>1.00000005590686</v>
      </c>
    </row>
    <row r="988" spans="1:40" x14ac:dyDescent="0.25">
      <c r="A988" t="str">
        <f>"20190304154742464"</f>
        <v>20190304154742464</v>
      </c>
      <c r="B988" t="str">
        <f>"1551685662458007"</f>
        <v>1551685662458007</v>
      </c>
      <c r="C988" t="s">
        <v>40</v>
      </c>
      <c r="D988">
        <v>4.3284890000000003</v>
      </c>
      <c r="E988">
        <v>0.56064150000000001</v>
      </c>
      <c r="F988" t="s">
        <v>43</v>
      </c>
      <c r="G988">
        <v>-169.2955</v>
      </c>
      <c r="H988">
        <v>2.196259</v>
      </c>
      <c r="I988">
        <v>356.52760000000001</v>
      </c>
      <c r="J988">
        <v>-357.40519999999998</v>
      </c>
      <c r="K988">
        <v>1.1103590000000001</v>
      </c>
      <c r="L988">
        <v>366.51530000000002</v>
      </c>
      <c r="M988">
        <v>0.99988630000000001</v>
      </c>
      <c r="N988">
        <v>-1.076043E-2</v>
      </c>
      <c r="O988">
        <v>1.0568060000000001E-2</v>
      </c>
      <c r="P988">
        <v>0.98903719999999995</v>
      </c>
      <c r="Q988">
        <v>9.7075889999999998E-2</v>
      </c>
      <c r="R988">
        <v>0.11127380000000001</v>
      </c>
      <c r="S988">
        <v>3.0495909999999999</v>
      </c>
      <c r="T988">
        <v>1.7592790000000001E-2</v>
      </c>
      <c r="U988">
        <v>-0.16177369999999999</v>
      </c>
      <c r="V988">
        <v>-0.100811</v>
      </c>
      <c r="W988">
        <v>0.1077287</v>
      </c>
      <c r="X988">
        <v>0.98905589999999999</v>
      </c>
      <c r="Y988">
        <v>6.3523529999999995E-2</v>
      </c>
      <c r="Z988" s="1">
        <v>1.56399299999999E-5</v>
      </c>
      <c r="AA988">
        <v>0.99798039999999999</v>
      </c>
      <c r="AB988">
        <v>26</v>
      </c>
      <c r="AC988">
        <v>188.1097</v>
      </c>
      <c r="AD988">
        <v>1.0859000000000001</v>
      </c>
      <c r="AE988">
        <v>-9.9877000000000091</v>
      </c>
      <c r="AF988">
        <v>11.9748138727244</v>
      </c>
      <c r="AG988">
        <v>1.0859000000000001</v>
      </c>
      <c r="AH988">
        <v>187.98739047612099</v>
      </c>
      <c r="AI988">
        <v>89.66970682518</v>
      </c>
      <c r="AJ988">
        <v>86.355178176735095</v>
      </c>
      <c r="AK988">
        <v>188.37153267975</v>
      </c>
      <c r="AL988">
        <v>83.815598137873195</v>
      </c>
      <c r="AM988">
        <v>95.819859253051902</v>
      </c>
      <c r="AN988">
        <v>0.999999951924748</v>
      </c>
    </row>
    <row r="989" spans="1:40" x14ac:dyDescent="0.25">
      <c r="A989" t="str">
        <f>"20190304154742475"</f>
        <v>20190304154742475</v>
      </c>
      <c r="B989" t="str">
        <f>"1551685662467767"</f>
        <v>1551685662467767</v>
      </c>
      <c r="C989" t="s">
        <v>40</v>
      </c>
      <c r="D989">
        <v>4.3305930000000004</v>
      </c>
      <c r="E989">
        <v>0.55956269999999997</v>
      </c>
      <c r="F989" t="s">
        <v>43</v>
      </c>
      <c r="G989">
        <v>-158.19499999999999</v>
      </c>
      <c r="H989">
        <v>2.128282</v>
      </c>
      <c r="I989">
        <v>356.57130000000001</v>
      </c>
      <c r="J989">
        <v>-357.27890000000002</v>
      </c>
      <c r="K989">
        <v>1.1103590000000001</v>
      </c>
      <c r="L989">
        <v>366.51659999999998</v>
      </c>
      <c r="M989">
        <v>0.99988630000000001</v>
      </c>
      <c r="N989">
        <v>-1.0761700000000001E-2</v>
      </c>
      <c r="O989">
        <v>1.0568060000000001E-2</v>
      </c>
      <c r="P989">
        <v>0.98905710000000002</v>
      </c>
      <c r="Q989">
        <v>9.7000909999999996E-2</v>
      </c>
      <c r="R989">
        <v>0.1111626</v>
      </c>
      <c r="S989">
        <v>3.048889</v>
      </c>
      <c r="T989">
        <v>1.558053E-2</v>
      </c>
      <c r="U989">
        <v>-0.1521912</v>
      </c>
      <c r="V989">
        <v>-0.1006991</v>
      </c>
      <c r="W989">
        <v>0.1076556</v>
      </c>
      <c r="X989">
        <v>0.98907529999999999</v>
      </c>
      <c r="Y989">
        <v>6.0407139999999998E-2</v>
      </c>
      <c r="Z989" s="1">
        <v>-3.3721439999999998E-6</v>
      </c>
      <c r="AA989">
        <v>0.9981738</v>
      </c>
      <c r="AB989">
        <v>26</v>
      </c>
      <c r="AC989">
        <v>199.0839</v>
      </c>
      <c r="AD989">
        <v>1.0179229999999999</v>
      </c>
      <c r="AE989">
        <v>-9.9452999999999694</v>
      </c>
      <c r="AF989">
        <v>12.0484826809012</v>
      </c>
      <c r="AG989">
        <v>1.0179229999999999</v>
      </c>
      <c r="AH989">
        <v>198.962484008872</v>
      </c>
      <c r="AI989">
        <v>89.707404429848907</v>
      </c>
      <c r="AJ989">
        <v>86.534596809809997</v>
      </c>
      <c r="AK989">
        <v>199.32955662702599</v>
      </c>
      <c r="AL989">
        <v>83.819811215027201</v>
      </c>
      <c r="AM989">
        <v>95.813330245841499</v>
      </c>
      <c r="AN989">
        <v>0.99999999301112996</v>
      </c>
    </row>
    <row r="990" spans="1:40" x14ac:dyDescent="0.25">
      <c r="A990" t="str">
        <f>"20190304154742486"</f>
        <v>20190304154742486</v>
      </c>
      <c r="B990" t="str">
        <f>"1551685662477528"</f>
        <v>1551685662477528</v>
      </c>
      <c r="C990" t="s">
        <v>40</v>
      </c>
      <c r="D990">
        <v>4.2999830000000001</v>
      </c>
      <c r="E990">
        <v>0.55856209999999995</v>
      </c>
      <c r="F990" t="s">
        <v>43</v>
      </c>
      <c r="G990">
        <v>-158.19499999999999</v>
      </c>
      <c r="H990">
        <v>1.963298</v>
      </c>
      <c r="I990">
        <v>357.10449999999997</v>
      </c>
      <c r="J990">
        <v>-357.14659999999998</v>
      </c>
      <c r="K990">
        <v>1.1103590000000001</v>
      </c>
      <c r="L990">
        <v>366.51799999999997</v>
      </c>
      <c r="M990">
        <v>0.99988630000000001</v>
      </c>
      <c r="N990">
        <v>-1.0763099999999999E-2</v>
      </c>
      <c r="O990">
        <v>1.056841E-2</v>
      </c>
      <c r="P990">
        <v>0.98902080000000003</v>
      </c>
      <c r="Q990">
        <v>9.7127069999999996E-2</v>
      </c>
      <c r="R990">
        <v>0.1113743</v>
      </c>
      <c r="S990">
        <v>3.0480649999999998</v>
      </c>
      <c r="T990">
        <v>1.3060209999999999E-2</v>
      </c>
      <c r="U990">
        <v>-0.14410400000000001</v>
      </c>
      <c r="V990">
        <v>-0.10091079999999999</v>
      </c>
      <c r="W990">
        <v>0.1077827</v>
      </c>
      <c r="X990">
        <v>0.98903989999999997</v>
      </c>
      <c r="Y990">
        <v>5.7778660000000003E-2</v>
      </c>
      <c r="Z990" s="1">
        <v>-2.846404E-5</v>
      </c>
      <c r="AA990">
        <v>0.99832940000000003</v>
      </c>
      <c r="AB990">
        <v>26</v>
      </c>
      <c r="AC990">
        <v>198.95160000000001</v>
      </c>
      <c r="AD990">
        <v>0.852938999999999</v>
      </c>
      <c r="AE990">
        <v>-9.4135000000000506</v>
      </c>
      <c r="AF990">
        <v>11.515486762411401</v>
      </c>
      <c r="AG990">
        <v>0.852938999999999</v>
      </c>
      <c r="AH990">
        <v>198.83734991088201</v>
      </c>
      <c r="AI990">
        <v>89.754634848406596</v>
      </c>
      <c r="AJ990">
        <v>86.6854687092261</v>
      </c>
      <c r="AK990">
        <v>199.17235164524101</v>
      </c>
      <c r="AL990">
        <v>83.812486417615204</v>
      </c>
      <c r="AM990">
        <v>95.825674734370494</v>
      </c>
      <c r="AN990">
        <v>1.00000001188397</v>
      </c>
    </row>
    <row r="991" spans="1:40" x14ac:dyDescent="0.25">
      <c r="A991" t="str">
        <f>"20190304154742498"</f>
        <v>20190304154742498</v>
      </c>
      <c r="B991" t="str">
        <f>"1551685662487288"</f>
        <v>1551685662487288</v>
      </c>
      <c r="C991" t="s">
        <v>40</v>
      </c>
      <c r="D991">
        <v>4.3339470000000002</v>
      </c>
      <c r="E991">
        <v>0.55760430000000005</v>
      </c>
      <c r="F991" t="s">
        <v>43</v>
      </c>
      <c r="G991">
        <v>-158.19499999999999</v>
      </c>
      <c r="H991">
        <v>1.8621559999999999</v>
      </c>
      <c r="I991">
        <v>357.6601</v>
      </c>
      <c r="J991">
        <v>-357.02659999999997</v>
      </c>
      <c r="K991">
        <v>1.1103559999999999</v>
      </c>
      <c r="L991">
        <v>366.51929999999999</v>
      </c>
      <c r="M991">
        <v>0.99988630000000001</v>
      </c>
      <c r="N991">
        <v>-1.076442E-2</v>
      </c>
      <c r="O991">
        <v>1.05684E-2</v>
      </c>
      <c r="P991">
        <v>0.98899999999999999</v>
      </c>
      <c r="Q991">
        <v>9.7064510000000007E-2</v>
      </c>
      <c r="R991">
        <v>0.1116134</v>
      </c>
      <c r="S991">
        <v>3.0474239999999999</v>
      </c>
      <c r="T991">
        <v>1.151693E-2</v>
      </c>
      <c r="U991">
        <v>-0.1356812</v>
      </c>
      <c r="V991">
        <v>-0.1011502</v>
      </c>
      <c r="W991">
        <v>0.1077211</v>
      </c>
      <c r="X991">
        <v>0.98902210000000002</v>
      </c>
      <c r="Y991">
        <v>5.503483E-2</v>
      </c>
      <c r="Z991" s="1">
        <v>-3.879407E-5</v>
      </c>
      <c r="AA991">
        <v>0.99848440000000005</v>
      </c>
      <c r="AB991">
        <v>26</v>
      </c>
      <c r="AC991">
        <v>198.83160000000001</v>
      </c>
      <c r="AD991">
        <v>0.75180000000000002</v>
      </c>
      <c r="AE991">
        <v>-8.85919999999998</v>
      </c>
      <c r="AF991">
        <v>10.960002251267399</v>
      </c>
      <c r="AG991">
        <v>0.75180000000000002</v>
      </c>
      <c r="AH991">
        <v>198.72402610546399</v>
      </c>
      <c r="AI991">
        <v>89.783572217204906</v>
      </c>
      <c r="AJ991">
        <v>86.843228533613697</v>
      </c>
      <c r="AK991">
        <v>199.02744887113701</v>
      </c>
      <c r="AL991">
        <v>83.816036161901593</v>
      </c>
      <c r="AM991">
        <v>95.8395044945824</v>
      </c>
      <c r="AN991">
        <v>0.99999995631682903</v>
      </c>
    </row>
    <row r="992" spans="1:40" x14ac:dyDescent="0.25">
      <c r="A992" t="str">
        <f>"20190304154742507"</f>
        <v>20190304154742507</v>
      </c>
      <c r="B992" t="str">
        <f>"1551685662498024"</f>
        <v>1551685662498024</v>
      </c>
      <c r="C992" t="s">
        <v>40</v>
      </c>
      <c r="D992">
        <v>4.3135599999999998</v>
      </c>
      <c r="E992">
        <v>0.55670419999999998</v>
      </c>
      <c r="F992" t="s">
        <v>43</v>
      </c>
      <c r="G992">
        <v>-158.19499999999999</v>
      </c>
      <c r="H992">
        <v>1.7174619999999901</v>
      </c>
      <c r="I992">
        <v>358.21850000000001</v>
      </c>
      <c r="J992">
        <v>-356.90320000000003</v>
      </c>
      <c r="K992">
        <v>1.110355</v>
      </c>
      <c r="L992">
        <v>366.5206</v>
      </c>
      <c r="M992">
        <v>0.99988630000000001</v>
      </c>
      <c r="N992">
        <v>-1.0765800000000001E-2</v>
      </c>
      <c r="O992">
        <v>1.0568569999999999E-2</v>
      </c>
      <c r="P992">
        <v>0.98892530000000001</v>
      </c>
      <c r="Q992">
        <v>9.7267960000000001E-2</v>
      </c>
      <c r="R992">
        <v>0.1120978</v>
      </c>
      <c r="S992">
        <v>3.046783</v>
      </c>
      <c r="T992">
        <v>9.3042850000000007E-3</v>
      </c>
      <c r="U992">
        <v>-0.12719730000000001</v>
      </c>
      <c r="V992">
        <v>-0.1016355</v>
      </c>
      <c r="W992">
        <v>0.1079249</v>
      </c>
      <c r="X992">
        <v>0.9889502</v>
      </c>
      <c r="Y992">
        <v>5.226898E-2</v>
      </c>
      <c r="Z992" s="1">
        <v>-5.5724409999999999E-5</v>
      </c>
      <c r="AA992">
        <v>0.99863299999999999</v>
      </c>
      <c r="AB992">
        <v>26</v>
      </c>
      <c r="AC992">
        <v>198.70820000000001</v>
      </c>
      <c r="AD992">
        <v>0.60710699999999895</v>
      </c>
      <c r="AE992">
        <v>-8.3020999999999905</v>
      </c>
      <c r="AF992">
        <v>10.4017223681956</v>
      </c>
      <c r="AG992">
        <v>0.60710699999999895</v>
      </c>
      <c r="AH992">
        <v>198.60750397683699</v>
      </c>
      <c r="AI992">
        <v>89.825097482782297</v>
      </c>
      <c r="AJ992">
        <v>87.001972417195802</v>
      </c>
      <c r="AK992">
        <v>198.88063013537499</v>
      </c>
      <c r="AL992">
        <v>83.804291256249499</v>
      </c>
      <c r="AM992">
        <v>95.867749961798907</v>
      </c>
      <c r="AN992">
        <v>1.00000002849014</v>
      </c>
    </row>
    <row r="993" spans="1:40" x14ac:dyDescent="0.25">
      <c r="A993" t="str">
        <f>"20190304154742519"</f>
        <v>20190304154742519</v>
      </c>
      <c r="B993" t="str">
        <f>"1551685662507785"</f>
        <v>1551685662507785</v>
      </c>
      <c r="C993" t="s">
        <v>40</v>
      </c>
      <c r="D993">
        <v>4.2967579999999996</v>
      </c>
      <c r="E993">
        <v>0.55585010000000001</v>
      </c>
      <c r="F993" t="s">
        <v>43</v>
      </c>
      <c r="G993">
        <v>-158.19499999999999</v>
      </c>
      <c r="H993">
        <v>1.6255539999999999</v>
      </c>
      <c r="I993">
        <v>358.78680000000003</v>
      </c>
      <c r="J993">
        <v>-356.77300000000002</v>
      </c>
      <c r="K993">
        <v>1.110355</v>
      </c>
      <c r="L993">
        <v>366.52190000000002</v>
      </c>
      <c r="M993">
        <v>0.99988630000000001</v>
      </c>
      <c r="N993">
        <v>-1.076732E-2</v>
      </c>
      <c r="O993">
        <v>1.0568559999999999E-2</v>
      </c>
      <c r="P993">
        <v>0.98888030000000005</v>
      </c>
      <c r="Q993">
        <v>9.7359180000000003E-2</v>
      </c>
      <c r="R993">
        <v>0.1124154</v>
      </c>
      <c r="S993">
        <v>3.046265</v>
      </c>
      <c r="T993">
        <v>7.8995230000000003E-3</v>
      </c>
      <c r="U993">
        <v>-0.11856079999999999</v>
      </c>
      <c r="V993">
        <v>-0.1019533</v>
      </c>
      <c r="W993">
        <v>0.1080169</v>
      </c>
      <c r="X993">
        <v>0.98890739999999999</v>
      </c>
      <c r="Y993">
        <v>4.944921E-2</v>
      </c>
      <c r="Z993" s="1">
        <v>-6.1086790000000005E-5</v>
      </c>
      <c r="AA993">
        <v>0.99877660000000001</v>
      </c>
      <c r="AB993">
        <v>26</v>
      </c>
      <c r="AC993">
        <v>198.578</v>
      </c>
      <c r="AD993">
        <v>0.51519899999999996</v>
      </c>
      <c r="AE993">
        <v>-7.7350999999999797</v>
      </c>
      <c r="AF993">
        <v>9.8334067837148798</v>
      </c>
      <c r="AG993">
        <v>0.51519899999999996</v>
      </c>
      <c r="AH993">
        <v>198.483820782371</v>
      </c>
      <c r="AI993">
        <v>89.851461432612695</v>
      </c>
      <c r="AJ993">
        <v>87.163736457422203</v>
      </c>
      <c r="AK993">
        <v>198.727925645471</v>
      </c>
      <c r="AL993">
        <v>83.798988783257599</v>
      </c>
      <c r="AM993">
        <v>95.886221936876098</v>
      </c>
      <c r="AN993">
        <v>0.999999985920629</v>
      </c>
    </row>
    <row r="994" spans="1:40" x14ac:dyDescent="0.25">
      <c r="A994" t="str">
        <f>"20190304154742530"</f>
        <v>20190304154742530</v>
      </c>
      <c r="B994" t="str">
        <f>"1551685662527304"</f>
        <v>1551685662527304</v>
      </c>
      <c r="C994" t="s">
        <v>40</v>
      </c>
      <c r="D994">
        <v>4.2868849999999998</v>
      </c>
      <c r="E994">
        <v>0.55422969999999905</v>
      </c>
      <c r="F994" t="s">
        <v>43</v>
      </c>
      <c r="G994">
        <v>-158.19499999999999</v>
      </c>
      <c r="H994">
        <v>1.532958</v>
      </c>
      <c r="I994">
        <v>359.28339999999997</v>
      </c>
      <c r="J994">
        <v>-356.6397</v>
      </c>
      <c r="K994">
        <v>1.110358</v>
      </c>
      <c r="L994">
        <v>366.52330000000001</v>
      </c>
      <c r="M994">
        <v>0.99988619999999995</v>
      </c>
      <c r="N994">
        <v>-1.07689E-2</v>
      </c>
      <c r="O994">
        <v>1.056867E-2</v>
      </c>
      <c r="P994">
        <v>0.98885460000000003</v>
      </c>
      <c r="Q994">
        <v>9.7552840000000002E-2</v>
      </c>
      <c r="R994">
        <v>0.1124735</v>
      </c>
      <c r="S994">
        <v>3.045715</v>
      </c>
      <c r="T994">
        <v>6.4830779999999998E-3</v>
      </c>
      <c r="U994">
        <v>-0.11102289999999999</v>
      </c>
      <c r="V994">
        <v>-0.1020114</v>
      </c>
      <c r="W994">
        <v>0.1082127</v>
      </c>
      <c r="X994">
        <v>0.98887999999999998</v>
      </c>
      <c r="Y994">
        <v>4.698778E-2</v>
      </c>
      <c r="Z994" s="1">
        <v>-6.6837880000000005E-5</v>
      </c>
      <c r="AA994">
        <v>0.99889550000000005</v>
      </c>
      <c r="AB994">
        <v>26</v>
      </c>
      <c r="AC994">
        <v>198.44470000000001</v>
      </c>
      <c r="AD994">
        <v>0.42259999999999998</v>
      </c>
      <c r="AE994">
        <v>-7.2399000000000298</v>
      </c>
      <c r="AF994">
        <v>9.3368714046122001</v>
      </c>
      <c r="AG994">
        <v>0.42259999999999998</v>
      </c>
      <c r="AH994">
        <v>198.356196685105</v>
      </c>
      <c r="AI994">
        <v>89.878065922810194</v>
      </c>
      <c r="AJ994">
        <v>87.305006083008294</v>
      </c>
      <c r="AK994">
        <v>198.576273813782</v>
      </c>
      <c r="AL994">
        <v>83.787704113271104</v>
      </c>
      <c r="AM994">
        <v>95.889714779927601</v>
      </c>
      <c r="AN994">
        <v>0.99999998428562398</v>
      </c>
    </row>
    <row r="995" spans="1:40" x14ac:dyDescent="0.25">
      <c r="A995" t="str">
        <f>"20190304154742542"</f>
        <v>20190304154742542</v>
      </c>
      <c r="B995" t="str">
        <f>"1551685662538040"</f>
        <v>1551685662538040</v>
      </c>
      <c r="C995" t="s">
        <v>40</v>
      </c>
      <c r="D995">
        <v>4.3130189999999997</v>
      </c>
      <c r="E995">
        <v>0.55347899999999906</v>
      </c>
      <c r="F995" t="s">
        <v>43</v>
      </c>
      <c r="G995">
        <v>-158.19499999999999</v>
      </c>
      <c r="H995">
        <v>1.3402860000000001</v>
      </c>
      <c r="I995">
        <v>360.12450000000001</v>
      </c>
      <c r="J995">
        <v>-356.5059</v>
      </c>
      <c r="K995">
        <v>1.110358</v>
      </c>
      <c r="L995">
        <v>366.5247</v>
      </c>
      <c r="M995">
        <v>0.99988619999999995</v>
      </c>
      <c r="N995">
        <v>-1.077054E-2</v>
      </c>
      <c r="O995">
        <v>1.0568549999999999E-2</v>
      </c>
      <c r="P995">
        <v>0.9887977</v>
      </c>
      <c r="Q995">
        <v>9.7694069999999994E-2</v>
      </c>
      <c r="R995">
        <v>0.11285050000000001</v>
      </c>
      <c r="S995">
        <v>3.0446780000000002</v>
      </c>
      <c r="T995">
        <v>3.5290719999999999E-3</v>
      </c>
      <c r="U995">
        <v>-9.817505E-2</v>
      </c>
      <c r="V995">
        <v>-0.10238940000000001</v>
      </c>
      <c r="W995">
        <v>0.1083544</v>
      </c>
      <c r="X995">
        <v>0.98882539999999997</v>
      </c>
      <c r="Y995">
        <v>4.2789420000000002E-2</v>
      </c>
      <c r="Z995" s="1">
        <v>-7.9660209999999994E-5</v>
      </c>
      <c r="AA995">
        <v>0.99908410000000003</v>
      </c>
      <c r="AB995">
        <v>26</v>
      </c>
      <c r="AC995">
        <v>198.3109</v>
      </c>
      <c r="AD995">
        <v>0.22992799999999999</v>
      </c>
      <c r="AE995">
        <v>-6.4001999999999803</v>
      </c>
      <c r="AF995">
        <v>8.4958112271508703</v>
      </c>
      <c r="AG995">
        <v>0.22992799999999999</v>
      </c>
      <c r="AH995">
        <v>198.231912357433</v>
      </c>
      <c r="AI995">
        <v>89.933603950781801</v>
      </c>
      <c r="AJ995">
        <v>87.545922787858203</v>
      </c>
      <c r="AK995">
        <v>198.414018537445</v>
      </c>
      <c r="AL995">
        <v>83.779537181764994</v>
      </c>
      <c r="AM995">
        <v>95.9117087654774</v>
      </c>
      <c r="AN995">
        <v>0.99999996845843897</v>
      </c>
    </row>
    <row r="996" spans="1:40" x14ac:dyDescent="0.25">
      <c r="A996" t="str">
        <f>"20190304154742553"</f>
        <v>20190304154742553</v>
      </c>
      <c r="B996" t="str">
        <f>"1551685662547799"</f>
        <v>1551685662547799</v>
      </c>
      <c r="C996" t="s">
        <v>40</v>
      </c>
      <c r="D996">
        <v>4.4325299999999999</v>
      </c>
      <c r="E996">
        <v>0.55270799999999998</v>
      </c>
      <c r="F996" t="s">
        <v>43</v>
      </c>
      <c r="G996">
        <v>-158.19499999999999</v>
      </c>
      <c r="H996">
        <v>1.269506</v>
      </c>
      <c r="I996">
        <v>360.61810000000003</v>
      </c>
      <c r="J996">
        <v>-356.37699999999899</v>
      </c>
      <c r="K996">
        <v>1.110357</v>
      </c>
      <c r="L996">
        <v>366.52620000000002</v>
      </c>
      <c r="M996">
        <v>0.9998861</v>
      </c>
      <c r="N996">
        <v>-1.077212E-2</v>
      </c>
      <c r="O996">
        <v>1.0568660000000001E-2</v>
      </c>
      <c r="P996">
        <v>0.98876280000000005</v>
      </c>
      <c r="Q996">
        <v>9.7795590000000002E-2</v>
      </c>
      <c r="R996">
        <v>0.1130679</v>
      </c>
      <c r="S996">
        <v>3.044098</v>
      </c>
      <c r="T996">
        <v>2.444267E-3</v>
      </c>
      <c r="U996">
        <v>-9.0667719999999993E-2</v>
      </c>
      <c r="V996">
        <v>-0.102607</v>
      </c>
      <c r="W996">
        <v>0.10845730000000001</v>
      </c>
      <c r="X996">
        <v>0.98879159999999999</v>
      </c>
      <c r="Y996">
        <v>4.0333929999999997E-2</v>
      </c>
      <c r="Z996" s="1">
        <v>-7.8799289999999995E-5</v>
      </c>
      <c r="AA996">
        <v>0.99918629999999997</v>
      </c>
      <c r="AB996">
        <v>26</v>
      </c>
      <c r="AC996">
        <v>198.18199999999999</v>
      </c>
      <c r="AD996">
        <v>0.15914899999999901</v>
      </c>
      <c r="AE996">
        <v>-5.9080999999999904</v>
      </c>
      <c r="AF996">
        <v>8.0024046026827698</v>
      </c>
      <c r="AG996">
        <v>0.15914899999999901</v>
      </c>
      <c r="AH996">
        <v>198.10835831288199</v>
      </c>
      <c r="AI996">
        <v>89.954009341514094</v>
      </c>
      <c r="AJ996">
        <v>87.686847339839304</v>
      </c>
      <c r="AK996">
        <v>198.26998119043299</v>
      </c>
      <c r="AL996">
        <v>83.773606724971501</v>
      </c>
      <c r="AM996">
        <v>95.924384254768896</v>
      </c>
      <c r="AN996">
        <v>1.00000000530142</v>
      </c>
    </row>
    <row r="997" spans="1:40" x14ac:dyDescent="0.25">
      <c r="A997" t="str">
        <f>"20190304154742564"</f>
        <v>20190304154742564</v>
      </c>
      <c r="B997" t="str">
        <f>"1551685662557560"</f>
        <v>1551685662557560</v>
      </c>
      <c r="C997" t="s">
        <v>40</v>
      </c>
      <c r="D997">
        <v>4.3921839999999897</v>
      </c>
      <c r="E997">
        <v>0.55215360000000002</v>
      </c>
      <c r="F997" t="s">
        <v>43</v>
      </c>
      <c r="G997">
        <v>-158.19499999999999</v>
      </c>
      <c r="H997">
        <v>1.1940470000000001</v>
      </c>
      <c r="I997">
        <v>361.0258</v>
      </c>
      <c r="J997">
        <v>-356.24619999999999</v>
      </c>
      <c r="K997">
        <v>1.110352</v>
      </c>
      <c r="L997">
        <v>366.52749999999997</v>
      </c>
      <c r="M997">
        <v>0.9998861</v>
      </c>
      <c r="N997">
        <v>-1.077378E-2</v>
      </c>
      <c r="O997">
        <v>1.056883E-2</v>
      </c>
      <c r="P997">
        <v>0.98875500000000005</v>
      </c>
      <c r="Q997">
        <v>9.7615179999999996E-2</v>
      </c>
      <c r="R997">
        <v>0.1132915</v>
      </c>
      <c r="S997">
        <v>3.0436100000000001</v>
      </c>
      <c r="T997">
        <v>1.2866259999999999E-3</v>
      </c>
      <c r="U997">
        <v>-8.4472660000000005E-2</v>
      </c>
      <c r="V997">
        <v>-0.1028307</v>
      </c>
      <c r="W997">
        <v>0.1082786</v>
      </c>
      <c r="X997">
        <v>0.98878790000000005</v>
      </c>
      <c r="Y997">
        <v>3.8306659999999999E-2</v>
      </c>
      <c r="Z997" s="1">
        <v>-7.9992299999999996E-5</v>
      </c>
      <c r="AA997">
        <v>0.99926599999999999</v>
      </c>
      <c r="AB997">
        <v>26</v>
      </c>
      <c r="AC997">
        <v>198.05119999999999</v>
      </c>
      <c r="AD997">
        <v>8.3694999999999797E-2</v>
      </c>
      <c r="AE997">
        <v>-5.5016999999999703</v>
      </c>
      <c r="AF997">
        <v>7.5946822994985501</v>
      </c>
      <c r="AG997">
        <v>8.3694999999999797E-2</v>
      </c>
      <c r="AH997">
        <v>197.98195199410799</v>
      </c>
      <c r="AI997">
        <v>89.975796553344495</v>
      </c>
      <c r="AJ997">
        <v>87.803183649792402</v>
      </c>
      <c r="AK997">
        <v>198.12758394398401</v>
      </c>
      <c r="AL997">
        <v>83.783905850479997</v>
      </c>
      <c r="AM997">
        <v>95.937230273278999</v>
      </c>
      <c r="AN997">
        <v>0.99999995963342903</v>
      </c>
    </row>
    <row r="998" spans="1:40" x14ac:dyDescent="0.25">
      <c r="A998" t="str">
        <f>"20190304154742576"</f>
        <v>20190304154742576</v>
      </c>
      <c r="B998" t="str">
        <f>"1551685662567320"</f>
        <v>1551685662567320</v>
      </c>
      <c r="C998" t="s">
        <v>40</v>
      </c>
      <c r="D998">
        <v>4.3148039999999996</v>
      </c>
      <c r="E998">
        <v>0.55148940000000002</v>
      </c>
      <c r="F998" t="s">
        <v>43</v>
      </c>
      <c r="G998">
        <v>-158.19499999999999</v>
      </c>
      <c r="H998">
        <v>0.98172950000000003</v>
      </c>
      <c r="I998">
        <v>361.36810000000003</v>
      </c>
      <c r="J998">
        <v>-356.11380000000003</v>
      </c>
      <c r="K998">
        <v>1.110355</v>
      </c>
      <c r="L998">
        <v>366.52890000000002</v>
      </c>
      <c r="M998">
        <v>0.99988619999999995</v>
      </c>
      <c r="N998">
        <v>-1.077548E-2</v>
      </c>
      <c r="O998">
        <v>1.056882E-2</v>
      </c>
      <c r="P998">
        <v>0.98875500000000005</v>
      </c>
      <c r="Q998">
        <v>9.74777E-2</v>
      </c>
      <c r="R998">
        <v>0.11340980000000001</v>
      </c>
      <c r="S998">
        <v>3.0434269999999999</v>
      </c>
      <c r="T998">
        <v>-1.9751790000000001E-3</v>
      </c>
      <c r="U998">
        <v>-7.9284670000000002E-2</v>
      </c>
      <c r="V998">
        <v>-0.1029486</v>
      </c>
      <c r="W998">
        <v>0.1081425</v>
      </c>
      <c r="X998">
        <v>0.98879059999999996</v>
      </c>
      <c r="Y998">
        <v>3.6606E-2</v>
      </c>
      <c r="Z998">
        <v>-1.021319E-4</v>
      </c>
      <c r="AA998">
        <v>0.99932969999999999</v>
      </c>
      <c r="AB998">
        <v>26</v>
      </c>
      <c r="AC998">
        <v>197.9188</v>
      </c>
      <c r="AD998">
        <v>-0.128625499999999</v>
      </c>
      <c r="AE998">
        <v>-5.1607999999999903</v>
      </c>
      <c r="AF998">
        <v>7.2523980537717199</v>
      </c>
      <c r="AG998">
        <v>-0.128625499999999</v>
      </c>
      <c r="AH998">
        <v>197.853114414537</v>
      </c>
      <c r="AI998">
        <v>90.037223327054505</v>
      </c>
      <c r="AJ998">
        <v>87.900736387708406</v>
      </c>
      <c r="AK998">
        <v>197.986031592084</v>
      </c>
      <c r="AL998">
        <v>83.791750321237501</v>
      </c>
      <c r="AM998">
        <v>95.943972749530701</v>
      </c>
      <c r="AN998">
        <v>1.0000000325982801</v>
      </c>
    </row>
    <row r="999" spans="1:40" x14ac:dyDescent="0.25">
      <c r="A999" t="str">
        <f>"20190304154742586"</f>
        <v>20190304154742586</v>
      </c>
      <c r="B999" t="str">
        <f>"1551685662578056"</f>
        <v>1551685662578056</v>
      </c>
      <c r="C999" t="s">
        <v>40</v>
      </c>
      <c r="D999">
        <v>4.2991020000000004</v>
      </c>
      <c r="E999">
        <v>0.55082469999999994</v>
      </c>
      <c r="F999" t="s">
        <v>43</v>
      </c>
      <c r="G999">
        <v>-158.19499999999999</v>
      </c>
      <c r="H999">
        <v>0.86658860000000004</v>
      </c>
      <c r="I999">
        <v>361.74130000000002</v>
      </c>
      <c r="J999">
        <v>-355.98950000000002</v>
      </c>
      <c r="K999">
        <v>1.110357</v>
      </c>
      <c r="L999">
        <v>366.53019999999998</v>
      </c>
      <c r="M999">
        <v>0.9998861</v>
      </c>
      <c r="N999">
        <v>-1.07771E-2</v>
      </c>
      <c r="O999">
        <v>1.056899E-2</v>
      </c>
      <c r="P999">
        <v>0.98876280000000005</v>
      </c>
      <c r="Q999">
        <v>9.7551819999999997E-2</v>
      </c>
      <c r="R999">
        <v>0.1132782</v>
      </c>
      <c r="S999">
        <v>3.0429689999999998</v>
      </c>
      <c r="T999">
        <v>-3.7465100000000002E-3</v>
      </c>
      <c r="U999">
        <v>-7.3608399999999893E-2</v>
      </c>
      <c r="V999">
        <v>-0.1028172</v>
      </c>
      <c r="W999">
        <v>0.1082183</v>
      </c>
      <c r="X999">
        <v>0.98879589999999995</v>
      </c>
      <c r="Y999">
        <v>3.4747020000000003E-2</v>
      </c>
      <c r="Z999">
        <v>-1.077796E-4</v>
      </c>
      <c r="AA999">
        <v>0.99939610000000001</v>
      </c>
      <c r="AB999">
        <v>26</v>
      </c>
      <c r="AC999">
        <v>197.7945</v>
      </c>
      <c r="AD999">
        <v>-0.243768399999999</v>
      </c>
      <c r="AE999">
        <v>-4.7888999999999502</v>
      </c>
      <c r="AF999">
        <v>6.8792314889189203</v>
      </c>
      <c r="AG999">
        <v>-0.243768399999999</v>
      </c>
      <c r="AH999">
        <v>197.73253430274599</v>
      </c>
      <c r="AI999">
        <v>90.070592573376899</v>
      </c>
      <c r="AJ999">
        <v>88.007449696746207</v>
      </c>
      <c r="AK999">
        <v>197.85231454470701</v>
      </c>
      <c r="AL999">
        <v>83.787381175526704</v>
      </c>
      <c r="AM999">
        <v>95.936408691473204</v>
      </c>
      <c r="AN999">
        <v>0.99999995446376799</v>
      </c>
    </row>
    <row r="1000" spans="1:40" x14ac:dyDescent="0.25">
      <c r="A1000" t="str">
        <f>"20190304154742599"</f>
        <v>20190304154742599</v>
      </c>
      <c r="B1000" t="str">
        <f>"1551685662587816"</f>
        <v>1551685662587816</v>
      </c>
      <c r="C1000" t="s">
        <v>40</v>
      </c>
      <c r="D1000">
        <v>4.2809169999999996</v>
      </c>
      <c r="E1000">
        <v>0.55037689999999995</v>
      </c>
      <c r="F1000" t="s">
        <v>43</v>
      </c>
      <c r="G1000">
        <v>-158.19499999999999</v>
      </c>
      <c r="H1000">
        <v>0.8027263</v>
      </c>
      <c r="I1000">
        <v>362.05630000000002</v>
      </c>
      <c r="J1000">
        <v>-355.8528</v>
      </c>
      <c r="K1000">
        <v>1.110358</v>
      </c>
      <c r="L1000">
        <v>366.5317</v>
      </c>
      <c r="M1000">
        <v>0.99988619999999995</v>
      </c>
      <c r="N1000">
        <v>-1.0778909999999999E-2</v>
      </c>
      <c r="O1000">
        <v>1.056898E-2</v>
      </c>
      <c r="P1000">
        <v>0.98877280000000001</v>
      </c>
      <c r="Q1000">
        <v>9.7552550000000002E-2</v>
      </c>
      <c r="R1000">
        <v>0.113189899999999</v>
      </c>
      <c r="S1000">
        <v>3.0424500000000001</v>
      </c>
      <c r="T1000">
        <v>-4.7305819999999997E-3</v>
      </c>
      <c r="U1000">
        <v>-6.8817139999999999E-2</v>
      </c>
      <c r="V1000">
        <v>-0.102728</v>
      </c>
      <c r="W1000">
        <v>0.1082212</v>
      </c>
      <c r="X1000">
        <v>0.98880489999999999</v>
      </c>
      <c r="Y1000">
        <v>3.3178069999999997E-2</v>
      </c>
      <c r="Z1000">
        <v>-1.071529E-4</v>
      </c>
      <c r="AA1000">
        <v>0.99944940000000004</v>
      </c>
      <c r="AB1000">
        <v>26</v>
      </c>
      <c r="AC1000">
        <v>197.65780000000001</v>
      </c>
      <c r="AD1000">
        <v>-0.30763169999999901</v>
      </c>
      <c r="AE1000">
        <v>-4.4753999999999703</v>
      </c>
      <c r="AF1000">
        <v>6.5642965012055301</v>
      </c>
      <c r="AG1000">
        <v>-0.30763169999999901</v>
      </c>
      <c r="AH1000">
        <v>197.59897733441301</v>
      </c>
      <c r="AI1000">
        <v>90.089151604918598</v>
      </c>
      <c r="AJ1000">
        <v>88.097316969644694</v>
      </c>
      <c r="AK1000">
        <v>197.708220540837</v>
      </c>
      <c r="AL1000">
        <v>83.787214321346397</v>
      </c>
      <c r="AM1000">
        <v>95.931241636465998</v>
      </c>
      <c r="AN1000">
        <v>1.0000000001887199</v>
      </c>
    </row>
    <row r="1001" spans="1:40" x14ac:dyDescent="0.25">
      <c r="A1001" t="str">
        <f>"20190304154742620"</f>
        <v>20190304154742620</v>
      </c>
      <c r="B1001" t="str">
        <f>"1551685662618073"</f>
        <v>1551685662618073</v>
      </c>
      <c r="C1001" t="s">
        <v>40</v>
      </c>
      <c r="D1001">
        <v>4.2736739999999998</v>
      </c>
      <c r="E1001">
        <v>0.54870019999999997</v>
      </c>
      <c r="F1001" t="s">
        <v>43</v>
      </c>
      <c r="G1001">
        <v>-158.19499999999999</v>
      </c>
      <c r="H1001">
        <v>0.80555149999999998</v>
      </c>
      <c r="I1001">
        <v>362.26260000000002</v>
      </c>
      <c r="J1001">
        <v>-355.5976</v>
      </c>
      <c r="K1001">
        <v>1.110357</v>
      </c>
      <c r="L1001">
        <v>366.53440000000001</v>
      </c>
      <c r="M1001">
        <v>0.99988600000000005</v>
      </c>
      <c r="N1001">
        <v>-1.078233E-2</v>
      </c>
      <c r="O1001">
        <v>1.0569139999999999E-2</v>
      </c>
      <c r="P1001">
        <v>0.98883290000000001</v>
      </c>
      <c r="Q1001">
        <v>9.7289429999999996E-2</v>
      </c>
      <c r="R1001">
        <v>0.11289100000000001</v>
      </c>
      <c r="S1001">
        <v>3.042084</v>
      </c>
      <c r="T1001">
        <v>-4.6898130000000001E-3</v>
      </c>
      <c r="U1001">
        <v>-6.5704349999999995E-2</v>
      </c>
      <c r="V1001">
        <v>-0.1024287</v>
      </c>
      <c r="W1001">
        <v>0.1079619</v>
      </c>
      <c r="X1001">
        <v>0.98886430000000003</v>
      </c>
      <c r="Y1001">
        <v>3.2158760000000002E-2</v>
      </c>
      <c r="Z1001">
        <v>-1.005285E-4</v>
      </c>
      <c r="AA1001">
        <v>0.9994828</v>
      </c>
      <c r="AB1001">
        <v>26</v>
      </c>
      <c r="AC1001">
        <v>197.40260000000001</v>
      </c>
      <c r="AD1001">
        <v>-0.30480549999999901</v>
      </c>
      <c r="AE1001">
        <v>-4.2717999999999803</v>
      </c>
      <c r="AF1001">
        <v>6.3580432480749103</v>
      </c>
      <c r="AG1001">
        <v>-0.30480549999999901</v>
      </c>
      <c r="AH1001">
        <v>197.34595064488599</v>
      </c>
      <c r="AI1001">
        <v>90.088448727428698</v>
      </c>
      <c r="AJ1001">
        <v>88.1546969709742</v>
      </c>
      <c r="AK1001">
        <v>197.44858028426299</v>
      </c>
      <c r="AL1001">
        <v>83.802158719986195</v>
      </c>
      <c r="AM1001">
        <v>95.913730775381097</v>
      </c>
      <c r="AN1001">
        <v>1.00000000712489</v>
      </c>
    </row>
    <row r="1002" spans="1:40" x14ac:dyDescent="0.25">
      <c r="A1002" t="str">
        <f>"20190304154742632"</f>
        <v>20190304154742632</v>
      </c>
      <c r="B1002" t="str">
        <f>"1551685662627832"</f>
        <v>1551685662627832</v>
      </c>
      <c r="C1002" t="s">
        <v>40</v>
      </c>
      <c r="D1002">
        <v>4.2965809999999998</v>
      </c>
      <c r="E1002">
        <v>0.54813149999999999</v>
      </c>
      <c r="F1002" t="s">
        <v>43</v>
      </c>
      <c r="G1002">
        <v>-158.19499999999999</v>
      </c>
      <c r="H1002">
        <v>0.38907580000000003</v>
      </c>
      <c r="I1002">
        <v>363.04599999999999</v>
      </c>
      <c r="J1002">
        <v>-355.45409999999998</v>
      </c>
      <c r="K1002">
        <v>1.110357</v>
      </c>
      <c r="L1002">
        <v>366.53590000000003</v>
      </c>
      <c r="M1002">
        <v>0.99988600000000005</v>
      </c>
      <c r="N1002">
        <v>-1.078428E-2</v>
      </c>
      <c r="O1002">
        <v>1.056931E-2</v>
      </c>
      <c r="P1002">
        <v>0.98886439999999998</v>
      </c>
      <c r="Q1002">
        <v>9.7084859999999995E-2</v>
      </c>
      <c r="R1002">
        <v>0.1127923</v>
      </c>
      <c r="S1002">
        <v>3.0411069999999998</v>
      </c>
      <c r="T1002">
        <v>-1.1110419999999999E-2</v>
      </c>
      <c r="U1002">
        <v>-5.3741459999999998E-2</v>
      </c>
      <c r="V1002">
        <v>-0.10232960000000001</v>
      </c>
      <c r="W1002">
        <v>0.10775990000000001</v>
      </c>
      <c r="X1002">
        <v>0.98889660000000001</v>
      </c>
      <c r="Y1002">
        <v>2.823519E-2</v>
      </c>
      <c r="Z1002">
        <v>-1.2847450000000001E-4</v>
      </c>
      <c r="AA1002">
        <v>0.99960130000000003</v>
      </c>
      <c r="AB1002">
        <v>26</v>
      </c>
      <c r="AC1002">
        <v>197.25909999999999</v>
      </c>
      <c r="AD1002">
        <v>-0.72128119999999996</v>
      </c>
      <c r="AE1002">
        <v>-3.4899000000000302</v>
      </c>
      <c r="AF1002">
        <v>5.5746443336592204</v>
      </c>
      <c r="AG1002">
        <v>-0.72128119999999996</v>
      </c>
      <c r="AH1002">
        <v>197.20855661734001</v>
      </c>
      <c r="AI1002">
        <v>90.209472062942794</v>
      </c>
      <c r="AJ1002">
        <v>88.380807790675206</v>
      </c>
      <c r="AK1002">
        <v>197.28865073569401</v>
      </c>
      <c r="AL1002">
        <v>83.813800429397205</v>
      </c>
      <c r="AM1002">
        <v>95.907858109833796</v>
      </c>
      <c r="AN1002">
        <v>1.00000001428786</v>
      </c>
    </row>
    <row r="1003" spans="1:40" x14ac:dyDescent="0.25">
      <c r="A1003" t="str">
        <f>"20190304154742643"</f>
        <v>20190304154742643</v>
      </c>
      <c r="B1003" t="str">
        <f>"1551685662637591"</f>
        <v>1551685662637591</v>
      </c>
      <c r="C1003" t="s">
        <v>40</v>
      </c>
      <c r="D1003">
        <v>4.2871069999999998</v>
      </c>
      <c r="E1003">
        <v>0.54756959999999999</v>
      </c>
      <c r="F1003" t="s">
        <v>43</v>
      </c>
      <c r="G1003">
        <v>-158.19499999999999</v>
      </c>
      <c r="H1003">
        <v>0.27288679999999998</v>
      </c>
      <c r="I1003">
        <v>363.29509999999999</v>
      </c>
      <c r="J1003">
        <v>-355.32990000000001</v>
      </c>
      <c r="K1003">
        <v>1.110357</v>
      </c>
      <c r="L1003">
        <v>366.53719999999998</v>
      </c>
      <c r="M1003">
        <v>0.99988600000000005</v>
      </c>
      <c r="N1003">
        <v>-1.0786E-2</v>
      </c>
      <c r="O1003">
        <v>1.056942E-2</v>
      </c>
      <c r="P1003">
        <v>0.98891340000000005</v>
      </c>
      <c r="Q1003">
        <v>9.6865709999999994E-2</v>
      </c>
      <c r="R1003">
        <v>0.1125491</v>
      </c>
      <c r="S1003">
        <v>3.0407709999999999</v>
      </c>
      <c r="T1003">
        <v>-1.2908340000000001E-2</v>
      </c>
      <c r="U1003">
        <v>-4.995728E-2</v>
      </c>
      <c r="V1003">
        <v>-0.10208589999999999</v>
      </c>
      <c r="W1003">
        <v>0.10754279999999999</v>
      </c>
      <c r="X1003">
        <v>0.98894539999999997</v>
      </c>
      <c r="Y1003">
        <v>2.6993530000000002E-2</v>
      </c>
      <c r="Z1003">
        <v>-1.3375129999999901E-4</v>
      </c>
      <c r="AA1003">
        <v>0.99963559999999996</v>
      </c>
      <c r="AB1003">
        <v>26</v>
      </c>
      <c r="AC1003">
        <v>197.13489999999999</v>
      </c>
      <c r="AD1003">
        <v>-0.83747019999999905</v>
      </c>
      <c r="AE1003">
        <v>-3.24209999999999</v>
      </c>
      <c r="AF1003">
        <v>5.3255454965473401</v>
      </c>
      <c r="AG1003">
        <v>-0.83747019999999905</v>
      </c>
      <c r="AH1003">
        <v>197.08606216796201</v>
      </c>
      <c r="AI1003">
        <v>90.243374446444406</v>
      </c>
      <c r="AJ1003">
        <v>88.452163257418803</v>
      </c>
      <c r="AK1003">
        <v>197.15977960031699</v>
      </c>
      <c r="AL1003">
        <v>83.826311929002898</v>
      </c>
      <c r="AM1003">
        <v>95.893598799211205</v>
      </c>
      <c r="AN1003">
        <v>0.99999999449590504</v>
      </c>
    </row>
    <row r="1004" spans="1:40" x14ac:dyDescent="0.25">
      <c r="A1004" t="str">
        <f>"20190304154742655"</f>
        <v>20190304154742655</v>
      </c>
      <c r="B1004" t="str">
        <f>"1551685662647351"</f>
        <v>1551685662647351</v>
      </c>
      <c r="C1004" t="s">
        <v>40</v>
      </c>
      <c r="D1004">
        <v>4.4949560000000002</v>
      </c>
      <c r="E1004">
        <v>0.54694419999999899</v>
      </c>
      <c r="F1004" t="s">
        <v>43</v>
      </c>
      <c r="G1004">
        <v>-158.19499999999999</v>
      </c>
      <c r="H1004">
        <v>0.16655490000000001</v>
      </c>
      <c r="I1004">
        <v>363.56110000000001</v>
      </c>
      <c r="J1004">
        <v>-355.19490000000002</v>
      </c>
      <c r="K1004">
        <v>1.110352</v>
      </c>
      <c r="L1004">
        <v>366.53870000000001</v>
      </c>
      <c r="M1004">
        <v>0.99988600000000005</v>
      </c>
      <c r="N1004">
        <v>-1.078787E-2</v>
      </c>
      <c r="O1004">
        <v>1.056941E-2</v>
      </c>
      <c r="P1004">
        <v>0.98891119999999999</v>
      </c>
      <c r="Q1004">
        <v>9.6882860000000001E-2</v>
      </c>
      <c r="R1004">
        <v>0.112555</v>
      </c>
      <c r="S1004">
        <v>3.0402529999999999</v>
      </c>
      <c r="T1004">
        <v>-1.455414E-2</v>
      </c>
      <c r="U1004">
        <v>-4.5898439999999999E-2</v>
      </c>
      <c r="V1004">
        <v>-0.1020918</v>
      </c>
      <c r="W1004">
        <v>0.1075618</v>
      </c>
      <c r="X1004">
        <v>0.98894269999999995</v>
      </c>
      <c r="Y1004">
        <v>2.5662020000000001E-2</v>
      </c>
      <c r="Z1004">
        <v>-1.3642999999999999E-4</v>
      </c>
      <c r="AA1004">
        <v>0.99967070000000002</v>
      </c>
      <c r="AB1004">
        <v>26</v>
      </c>
      <c r="AC1004">
        <v>196.9999</v>
      </c>
      <c r="AD1004">
        <v>-0.94379709999999895</v>
      </c>
      <c r="AE1004">
        <v>-2.97759999999999</v>
      </c>
      <c r="AF1004">
        <v>5.0596113311020803</v>
      </c>
      <c r="AG1004">
        <v>-0.94379709999999895</v>
      </c>
      <c r="AH1004">
        <v>196.952901959668</v>
      </c>
      <c r="AI1004">
        <v>90.274468371893903</v>
      </c>
      <c r="AJ1004">
        <v>88.528426715766898</v>
      </c>
      <c r="AK1004">
        <v>197.02014112806401</v>
      </c>
      <c r="AL1004">
        <v>83.825216806903299</v>
      </c>
      <c r="AM1004">
        <v>95.893952997098907</v>
      </c>
      <c r="AN1004">
        <v>0.99999997016488396</v>
      </c>
    </row>
    <row r="1005" spans="1:40" x14ac:dyDescent="0.25">
      <c r="A1005" t="str">
        <f>"20190304154742665"</f>
        <v>20190304154742665</v>
      </c>
      <c r="B1005" t="str">
        <f>"1551685662658089"</f>
        <v>1551685662658089</v>
      </c>
      <c r="C1005" t="s">
        <v>40</v>
      </c>
      <c r="D1005">
        <v>4.3079789999999996</v>
      </c>
      <c r="E1005">
        <v>0.54640100000000003</v>
      </c>
      <c r="F1005" t="s">
        <v>43</v>
      </c>
      <c r="G1005">
        <v>-158.19499999999999</v>
      </c>
      <c r="H1005">
        <v>0.10875079999999999</v>
      </c>
      <c r="I1005">
        <v>363.88650000000001</v>
      </c>
      <c r="J1005">
        <v>-355.06599999999997</v>
      </c>
      <c r="K1005">
        <v>1.1103540000000001</v>
      </c>
      <c r="L1005">
        <v>366.54</v>
      </c>
      <c r="M1005">
        <v>0.99988600000000005</v>
      </c>
      <c r="N1005">
        <v>-1.0789669999999999E-2</v>
      </c>
      <c r="O1005">
        <v>1.056958E-2</v>
      </c>
      <c r="P1005">
        <v>0.98892539999999995</v>
      </c>
      <c r="Q1005">
        <v>9.7008689999999995E-2</v>
      </c>
      <c r="R1005">
        <v>0.1123208</v>
      </c>
      <c r="S1005">
        <v>3.039825</v>
      </c>
      <c r="T1005">
        <v>-1.5453929999999999E-2</v>
      </c>
      <c r="U1005">
        <v>-4.092407E-2</v>
      </c>
      <c r="V1005">
        <v>-0.1018569</v>
      </c>
      <c r="W1005">
        <v>0.1076893</v>
      </c>
      <c r="X1005">
        <v>0.98895310000000003</v>
      </c>
      <c r="Y1005">
        <v>2.402876E-2</v>
      </c>
      <c r="Z1005">
        <v>-1.3040980000000001E-4</v>
      </c>
      <c r="AA1005">
        <v>0.99971129999999997</v>
      </c>
      <c r="AB1005">
        <v>26</v>
      </c>
      <c r="AC1005">
        <v>196.87100000000001</v>
      </c>
      <c r="AD1005">
        <v>-1.0016031999999999</v>
      </c>
      <c r="AE1005">
        <v>-2.6535000000000002</v>
      </c>
      <c r="AF1005">
        <v>4.7341940083590996</v>
      </c>
      <c r="AG1005">
        <v>-1.0016031999999999</v>
      </c>
      <c r="AH1005">
        <v>196.82685988015999</v>
      </c>
      <c r="AI1005">
        <v>90.291477231719796</v>
      </c>
      <c r="AJ1005">
        <v>88.622154282876394</v>
      </c>
      <c r="AK1005">
        <v>196.88633414273201</v>
      </c>
      <c r="AL1005">
        <v>83.817869246853405</v>
      </c>
      <c r="AM1005">
        <v>95.880425509523903</v>
      </c>
      <c r="AN1005">
        <v>1.0000000237058499</v>
      </c>
    </row>
    <row r="1006" spans="1:40" x14ac:dyDescent="0.25">
      <c r="A1006" t="str">
        <f>"20190304154742676"</f>
        <v>20190304154742676</v>
      </c>
      <c r="B1006" t="str">
        <f>"1551685662667847"</f>
        <v>1551685662667847</v>
      </c>
      <c r="C1006" t="s">
        <v>40</v>
      </c>
      <c r="D1006">
        <v>4.3024529999999999</v>
      </c>
      <c r="E1006">
        <v>0.54588169999999903</v>
      </c>
      <c r="F1006" t="s">
        <v>43</v>
      </c>
      <c r="G1006">
        <v>-158.19499999999999</v>
      </c>
      <c r="H1006">
        <v>7.8707700000000005E-2</v>
      </c>
      <c r="I1006">
        <v>364.10469999999998</v>
      </c>
      <c r="J1006">
        <v>-354.94380000000001</v>
      </c>
      <c r="K1006">
        <v>1.110358</v>
      </c>
      <c r="L1006">
        <v>366.54129999999998</v>
      </c>
      <c r="M1006">
        <v>0.99988600000000005</v>
      </c>
      <c r="N1006">
        <v>-1.079138E-2</v>
      </c>
      <c r="O1006">
        <v>1.0569739999999999E-2</v>
      </c>
      <c r="P1006">
        <v>0.9888747</v>
      </c>
      <c r="Q1006">
        <v>9.7476660000000007E-2</v>
      </c>
      <c r="R1006">
        <v>0.11236260000000001</v>
      </c>
      <c r="S1006">
        <v>3.0394290000000002</v>
      </c>
      <c r="T1006">
        <v>-1.592588E-2</v>
      </c>
      <c r="U1006">
        <v>-3.7597659999999998E-2</v>
      </c>
      <c r="V1006">
        <v>-0.1018998</v>
      </c>
      <c r="W1006">
        <v>0.10815859999999999</v>
      </c>
      <c r="X1006">
        <v>0.98889740000000004</v>
      </c>
      <c r="Y1006">
        <v>2.293676E-2</v>
      </c>
      <c r="Z1006">
        <v>-1.2517839999999999E-4</v>
      </c>
      <c r="AA1006">
        <v>0.99973690000000004</v>
      </c>
      <c r="AB1006">
        <v>26</v>
      </c>
      <c r="AC1006">
        <v>196.74879999999999</v>
      </c>
      <c r="AD1006">
        <v>-1.0316502999999999</v>
      </c>
      <c r="AE1006">
        <v>-2.4365999999999901</v>
      </c>
      <c r="AF1006">
        <v>4.5160442926654003</v>
      </c>
      <c r="AG1006">
        <v>-1.0316502999999999</v>
      </c>
      <c r="AH1006">
        <v>196.70664490055501</v>
      </c>
      <c r="AI1006">
        <v>90.300412297149094</v>
      </c>
      <c r="AJ1006">
        <v>88.684819052857193</v>
      </c>
      <c r="AK1006">
        <v>196.761182925973</v>
      </c>
      <c r="AL1006">
        <v>83.790821963199704</v>
      </c>
      <c r="AM1006">
        <v>95.883213886912898</v>
      </c>
      <c r="AN1006">
        <v>0.99999995986037904</v>
      </c>
    </row>
    <row r="1007" spans="1:40" x14ac:dyDescent="0.25">
      <c r="A1007" t="str">
        <f>"20190304154742687"</f>
        <v>20190304154742687</v>
      </c>
      <c r="B1007" t="str">
        <f>"1551685662677608"</f>
        <v>1551685662677608</v>
      </c>
      <c r="C1007" t="s">
        <v>40</v>
      </c>
      <c r="D1007">
        <v>4.3380609999999997</v>
      </c>
      <c r="E1007">
        <v>0.54543399999999997</v>
      </c>
      <c r="F1007" t="s">
        <v>43</v>
      </c>
      <c r="G1007">
        <v>-158.19499999999999</v>
      </c>
      <c r="H1007">
        <v>0.1106105</v>
      </c>
      <c r="I1007">
        <v>364.37200000000001</v>
      </c>
      <c r="J1007">
        <v>-354.8141</v>
      </c>
      <c r="K1007">
        <v>1.11036</v>
      </c>
      <c r="L1007">
        <v>366.54270000000002</v>
      </c>
      <c r="M1007">
        <v>0.99988589999999999</v>
      </c>
      <c r="N1007">
        <v>-1.0793199999999999E-2</v>
      </c>
      <c r="O1007">
        <v>1.056991E-2</v>
      </c>
      <c r="P1007">
        <v>0.98881949999999996</v>
      </c>
      <c r="Q1007">
        <v>9.769477E-2</v>
      </c>
      <c r="R1007">
        <v>0.1126572</v>
      </c>
      <c r="S1007">
        <v>3.0390929999999998</v>
      </c>
      <c r="T1007">
        <v>-1.5441299999999899E-2</v>
      </c>
      <c r="U1007">
        <v>-3.3508299999999998E-2</v>
      </c>
      <c r="V1007">
        <v>-0.1021944</v>
      </c>
      <c r="W1007">
        <v>0.1083776</v>
      </c>
      <c r="X1007">
        <v>0.98884309999999997</v>
      </c>
      <c r="Y1007">
        <v>2.1593319999999999E-2</v>
      </c>
      <c r="Z1007">
        <v>-1.110132E-4</v>
      </c>
      <c r="AA1007">
        <v>0.99976679999999996</v>
      </c>
      <c r="AB1007">
        <v>26</v>
      </c>
      <c r="AC1007">
        <v>196.6191</v>
      </c>
      <c r="AD1007">
        <v>-0.99974949999999996</v>
      </c>
      <c r="AE1007">
        <v>-2.17070000000006</v>
      </c>
      <c r="AF1007">
        <v>4.2488361093607301</v>
      </c>
      <c r="AG1007">
        <v>-0.99974949999999996</v>
      </c>
      <c r="AH1007">
        <v>196.580087736275</v>
      </c>
      <c r="AI1007">
        <v>90.291319223216306</v>
      </c>
      <c r="AJ1007">
        <v>88.761815185799506</v>
      </c>
      <c r="AK1007">
        <v>196.628540659154</v>
      </c>
      <c r="AL1007">
        <v>83.778200479681999</v>
      </c>
      <c r="AM1007">
        <v>95.900424589744304</v>
      </c>
      <c r="AN1007">
        <v>1.00000003799536</v>
      </c>
    </row>
    <row r="1008" spans="1:40" x14ac:dyDescent="0.25">
      <c r="A1008" t="str">
        <f>"20190304154742699"</f>
        <v>20190304154742699</v>
      </c>
      <c r="B1008" t="str">
        <f>"1551685662687368"</f>
        <v>1551685662687368</v>
      </c>
      <c r="C1008" t="s">
        <v>40</v>
      </c>
      <c r="D1008">
        <v>4.3795520000000003</v>
      </c>
      <c r="E1008">
        <v>0.54519419999999996</v>
      </c>
      <c r="F1008" t="s">
        <v>43</v>
      </c>
      <c r="G1008">
        <v>-158.19499999999999</v>
      </c>
      <c r="H1008">
        <v>0.1126981</v>
      </c>
      <c r="I1008">
        <v>364.64710000000002</v>
      </c>
      <c r="J1008">
        <v>-354.6848</v>
      </c>
      <c r="K1008">
        <v>1.1103670000000001</v>
      </c>
      <c r="L1008">
        <v>366.54399999999998</v>
      </c>
      <c r="M1008">
        <v>0.99988580000000005</v>
      </c>
      <c r="N1008">
        <v>-1.0795020000000001E-2</v>
      </c>
      <c r="O1008">
        <v>1.05699E-2</v>
      </c>
      <c r="P1008">
        <v>0.98879570000000006</v>
      </c>
      <c r="Q1008">
        <v>9.7644220000000004E-2</v>
      </c>
      <c r="R1008">
        <v>0.11291030000000001</v>
      </c>
      <c r="S1008">
        <v>3.0387879999999998</v>
      </c>
      <c r="T1008">
        <v>-1.5417699999999999E-2</v>
      </c>
      <c r="U1008">
        <v>-2.9296880000000001E-2</v>
      </c>
      <c r="V1008">
        <v>-0.1024477</v>
      </c>
      <c r="W1008">
        <v>0.1083288</v>
      </c>
      <c r="X1008">
        <v>0.98882219999999998</v>
      </c>
      <c r="Y1008">
        <v>2.0209029999999999E-2</v>
      </c>
      <c r="Z1008" s="1">
        <v>-9.9873609999999999E-5</v>
      </c>
      <c r="AA1008">
        <v>0.99979580000000001</v>
      </c>
      <c r="AB1008">
        <v>26</v>
      </c>
      <c r="AC1008">
        <v>196.4898</v>
      </c>
      <c r="AD1008">
        <v>-0.99766889999999997</v>
      </c>
      <c r="AE1008">
        <v>-1.89690000000001</v>
      </c>
      <c r="AF1008">
        <v>3.9736902828881999</v>
      </c>
      <c r="AG1008">
        <v>-0.99766889999999997</v>
      </c>
      <c r="AH1008">
        <v>196.45370678531199</v>
      </c>
      <c r="AI1008">
        <v>90.290908413944805</v>
      </c>
      <c r="AJ1008">
        <v>88.841230111920794</v>
      </c>
      <c r="AK1008">
        <v>196.49642354859199</v>
      </c>
      <c r="AL1008">
        <v>83.781012846125194</v>
      </c>
      <c r="AM1008">
        <v>95.915070009206403</v>
      </c>
      <c r="AN1008">
        <v>1.00000000167878</v>
      </c>
    </row>
    <row r="1009" spans="1:40" x14ac:dyDescent="0.25">
      <c r="A1009" t="str">
        <f>"20190304154742709"</f>
        <v>20190304154742709</v>
      </c>
      <c r="B1009" t="str">
        <f>"1551685662698105"</f>
        <v>1551685662698105</v>
      </c>
      <c r="C1009" t="s">
        <v>40</v>
      </c>
      <c r="D1009">
        <v>4.1889529999999997</v>
      </c>
      <c r="E1009">
        <v>0.54560529999999996</v>
      </c>
      <c r="F1009" t="s">
        <v>43</v>
      </c>
      <c r="G1009">
        <v>-158.19499999999999</v>
      </c>
      <c r="H1009">
        <v>5.1039220000000003E-2</v>
      </c>
      <c r="I1009">
        <v>364.83710000000002</v>
      </c>
      <c r="J1009">
        <v>-354.55279999999999</v>
      </c>
      <c r="K1009">
        <v>1.110371</v>
      </c>
      <c r="L1009">
        <v>366.5455</v>
      </c>
      <c r="M1009">
        <v>0.99988580000000005</v>
      </c>
      <c r="N1009">
        <v>-1.079689E-2</v>
      </c>
      <c r="O1009">
        <v>1.0570070000000001E-2</v>
      </c>
      <c r="P1009">
        <v>0.98876589999999998</v>
      </c>
      <c r="Q1009">
        <v>9.7741869999999995E-2</v>
      </c>
      <c r="R1009">
        <v>0.1130873</v>
      </c>
      <c r="S1009">
        <v>3.038605</v>
      </c>
      <c r="T1009">
        <v>-1.6380550000000001E-2</v>
      </c>
      <c r="U1009">
        <v>-2.6397710000000001E-2</v>
      </c>
      <c r="V1009">
        <v>-0.1026253</v>
      </c>
      <c r="W1009">
        <v>0.10842789999999999</v>
      </c>
      <c r="X1009">
        <v>0.98879289999999997</v>
      </c>
      <c r="Y1009">
        <v>1.9255930000000001E-2</v>
      </c>
      <c r="Z1009" s="1">
        <v>-9.8713960000000001E-5</v>
      </c>
      <c r="AA1009">
        <v>0.9998146</v>
      </c>
      <c r="AB1009">
        <v>26</v>
      </c>
      <c r="AC1009">
        <v>196.3578</v>
      </c>
      <c r="AD1009">
        <v>-1.0593317799999999</v>
      </c>
      <c r="AE1009">
        <v>-1.7083999999999799</v>
      </c>
      <c r="AF1009">
        <v>3.7838311965028502</v>
      </c>
      <c r="AG1009">
        <v>-1.0593317799999999</v>
      </c>
      <c r="AH1009">
        <v>196.32305672846499</v>
      </c>
      <c r="AI1009">
        <v>90.309099615590299</v>
      </c>
      <c r="AJ1009">
        <v>88.895846860152602</v>
      </c>
      <c r="AK1009">
        <v>196.36237461782699</v>
      </c>
      <c r="AL1009">
        <v>83.775301058116995</v>
      </c>
      <c r="AM1009">
        <v>95.925425618998702</v>
      </c>
      <c r="AN1009">
        <v>0.99999998039445404</v>
      </c>
    </row>
    <row r="1010" spans="1:40" x14ac:dyDescent="0.25">
      <c r="A1010" t="str">
        <f>"20190304154742720"</f>
        <v>20190304154742720</v>
      </c>
      <c r="B1010" t="str">
        <f>"1551685662717623"</f>
        <v>1551685662717623</v>
      </c>
      <c r="C1010" t="s">
        <v>40</v>
      </c>
      <c r="D1010">
        <v>4.2479209999999998</v>
      </c>
      <c r="E1010">
        <v>0.58058980000000004</v>
      </c>
      <c r="F1010" t="s">
        <v>43</v>
      </c>
      <c r="G1010">
        <v>-158.19499999999999</v>
      </c>
      <c r="H1010">
        <v>0.1646562</v>
      </c>
      <c r="I1010">
        <v>364.68990000000002</v>
      </c>
      <c r="J1010">
        <v>-354.43130000000002</v>
      </c>
      <c r="K1010">
        <v>1.110376</v>
      </c>
      <c r="L1010">
        <v>366.54669999999999</v>
      </c>
      <c r="M1010">
        <v>0.99988600000000005</v>
      </c>
      <c r="N1010">
        <v>-1.079863E-2</v>
      </c>
      <c r="O1010">
        <v>1.056988E-2</v>
      </c>
      <c r="P1010">
        <v>0.98871799999999999</v>
      </c>
      <c r="Q1010">
        <v>9.790865E-2</v>
      </c>
      <c r="R1010">
        <v>0.1133623</v>
      </c>
      <c r="S1010">
        <v>3.0388790000000001</v>
      </c>
      <c r="T1010">
        <v>-1.463473E-2</v>
      </c>
      <c r="U1010">
        <v>-2.8717039999999999E-2</v>
      </c>
      <c r="V1010">
        <v>-0.10290059999999999</v>
      </c>
      <c r="W1010">
        <v>0.1085957</v>
      </c>
      <c r="X1010">
        <v>0.98874589999999996</v>
      </c>
      <c r="Y1010">
        <v>2.0018020000000001E-2</v>
      </c>
      <c r="Z1010" s="1">
        <v>-9.3050739999999996E-5</v>
      </c>
      <c r="AA1010">
        <v>0.99979960000000001</v>
      </c>
      <c r="AB1010">
        <v>26</v>
      </c>
      <c r="AC1010">
        <v>196.2363</v>
      </c>
      <c r="AD1010">
        <v>-0.9457198</v>
      </c>
      <c r="AE1010">
        <v>-1.85679999999996</v>
      </c>
      <c r="AF1010">
        <v>3.93091970322289</v>
      </c>
      <c r="AG1010">
        <v>-0.9457198</v>
      </c>
      <c r="AH1010">
        <v>196.20115265881299</v>
      </c>
      <c r="AI1010">
        <v>90.276116939237895</v>
      </c>
      <c r="AJ1010">
        <v>88.852223969440502</v>
      </c>
      <c r="AK1010">
        <v>196.242805779728</v>
      </c>
      <c r="AL1010">
        <v>83.765629885891997</v>
      </c>
      <c r="AM1010">
        <v>95.941487861823205</v>
      </c>
      <c r="AN1010">
        <v>1.0000000071528199</v>
      </c>
    </row>
    <row r="1011" spans="1:40" x14ac:dyDescent="0.25">
      <c r="A1011" t="str">
        <f>"20190304154742732"</f>
        <v>20190304154742732</v>
      </c>
      <c r="B1011" t="str">
        <f>"1551685662727383"</f>
        <v>1551685662727383</v>
      </c>
      <c r="C1011" t="s">
        <v>40</v>
      </c>
      <c r="D1011">
        <v>4.2418750000000003</v>
      </c>
      <c r="E1011">
        <v>0.580866199999999</v>
      </c>
      <c r="F1011" t="s">
        <v>42</v>
      </c>
      <c r="G1011">
        <v>0</v>
      </c>
      <c r="H1011">
        <v>0</v>
      </c>
      <c r="I1011">
        <v>0</v>
      </c>
      <c r="J1011">
        <v>-354.29840000000002</v>
      </c>
      <c r="K1011">
        <v>1.110382</v>
      </c>
      <c r="L1011">
        <v>366.54809999999998</v>
      </c>
      <c r="M1011">
        <v>0.99988589999999999</v>
      </c>
      <c r="N1011">
        <v>-1.0800540000000001E-2</v>
      </c>
      <c r="O1011">
        <v>1.0570049999999999E-2</v>
      </c>
      <c r="P1011">
        <v>0.98868270000000003</v>
      </c>
      <c r="Q1011">
        <v>9.8174259999999999E-2</v>
      </c>
      <c r="R1011">
        <v>0.1134396</v>
      </c>
      <c r="S1011">
        <v>3.052063</v>
      </c>
      <c r="T1011">
        <v>0.1692767</v>
      </c>
      <c r="U1011">
        <v>-0.30148320000000001</v>
      </c>
      <c r="V1011">
        <v>-0.10297820000000001</v>
      </c>
      <c r="W1011">
        <v>0.108863</v>
      </c>
      <c r="X1011">
        <v>0.98870840000000004</v>
      </c>
      <c r="Y1011">
        <v>0.1086598</v>
      </c>
      <c r="Z1011">
        <v>3.1133200000000001E-3</v>
      </c>
      <c r="AA1011">
        <v>0.99407409999999996</v>
      </c>
      <c r="AB1011">
        <v>26</v>
      </c>
      <c r="AC1011">
        <v>3.052063</v>
      </c>
      <c r="AD1011">
        <v>0.1692767</v>
      </c>
      <c r="AE1011">
        <v>-0.30148320000000001</v>
      </c>
      <c r="AF1011">
        <v>0.33271510191237003</v>
      </c>
      <c r="AG1011">
        <v>0.1692767</v>
      </c>
      <c r="AH1011">
        <v>3.0394461595722899</v>
      </c>
      <c r="AI1011">
        <v>86.831193712140603</v>
      </c>
      <c r="AJ1011">
        <v>83.7529504004589</v>
      </c>
      <c r="AK1011">
        <v>3.0622845878758902</v>
      </c>
      <c r="AL1011">
        <v>83.750223222972295</v>
      </c>
      <c r="AM1011">
        <v>95.946160306365101</v>
      </c>
      <c r="AN1011">
        <v>0.99999998133739898</v>
      </c>
    </row>
    <row r="1012" spans="1:40" x14ac:dyDescent="0.25">
      <c r="A1012" t="str">
        <f>"20190304154742742"</f>
        <v>20190304154742742</v>
      </c>
      <c r="B1012" t="str">
        <f>"1551685662738119"</f>
        <v>1551685662738119</v>
      </c>
      <c r="C1012" t="s">
        <v>40</v>
      </c>
      <c r="D1012">
        <v>4.233422</v>
      </c>
      <c r="E1012">
        <v>0.58116969999999901</v>
      </c>
      <c r="F1012" t="s">
        <v>42</v>
      </c>
      <c r="G1012">
        <v>0</v>
      </c>
      <c r="H1012">
        <v>0</v>
      </c>
      <c r="I1012">
        <v>0</v>
      </c>
      <c r="J1012">
        <v>-354.16199999999998</v>
      </c>
      <c r="K1012">
        <v>1.11039</v>
      </c>
      <c r="L1012">
        <v>366.5496</v>
      </c>
      <c r="M1012">
        <v>0.99988589999999999</v>
      </c>
      <c r="N1012">
        <v>-1.0802519999999999E-2</v>
      </c>
      <c r="O1012">
        <v>1.057022E-2</v>
      </c>
      <c r="P1012">
        <v>0.98859520000000001</v>
      </c>
      <c r="Q1012">
        <v>9.8758139999999994E-2</v>
      </c>
      <c r="R1012">
        <v>0.1136945</v>
      </c>
      <c r="S1012">
        <v>3.0528870000000001</v>
      </c>
      <c r="T1012">
        <v>0.16400809999999999</v>
      </c>
      <c r="U1012">
        <v>-0.30352780000000001</v>
      </c>
      <c r="V1012">
        <v>-0.1032341</v>
      </c>
      <c r="W1012">
        <v>0.1094484</v>
      </c>
      <c r="X1012">
        <v>0.98861710000000003</v>
      </c>
      <c r="Y1012">
        <v>0.1093026</v>
      </c>
      <c r="Z1012">
        <v>3.0144220000000001E-3</v>
      </c>
      <c r="AA1012">
        <v>0.994004</v>
      </c>
      <c r="AB1012">
        <v>26</v>
      </c>
      <c r="AC1012">
        <v>3.0528870000000001</v>
      </c>
      <c r="AD1012">
        <v>0.16400809999999999</v>
      </c>
      <c r="AE1012">
        <v>-0.30352780000000001</v>
      </c>
      <c r="AF1012">
        <v>0.33482553116351799</v>
      </c>
      <c r="AG1012">
        <v>0.16400809999999999</v>
      </c>
      <c r="AH1012">
        <v>3.0408177272371399</v>
      </c>
      <c r="AI1012">
        <v>86.931224964165295</v>
      </c>
      <c r="AJ1012">
        <v>83.7164540834208</v>
      </c>
      <c r="AK1012">
        <v>3.0635892746032698</v>
      </c>
      <c r="AL1012">
        <v>83.716480773596601</v>
      </c>
      <c r="AM1012">
        <v>95.961376733767295</v>
      </c>
      <c r="AN1012">
        <v>1.0000000010388901</v>
      </c>
    </row>
    <row r="1013" spans="1:40" x14ac:dyDescent="0.25">
      <c r="A1013" t="str">
        <f>"20190304154742754"</f>
        <v>20190304154742754</v>
      </c>
      <c r="B1013" t="str">
        <f>"1551685662747880"</f>
        <v>1551685662747880</v>
      </c>
      <c r="C1013" t="s">
        <v>40</v>
      </c>
      <c r="D1013">
        <v>4.2426380000000004</v>
      </c>
      <c r="E1013">
        <v>0.58107299999999995</v>
      </c>
      <c r="F1013" t="s">
        <v>42</v>
      </c>
      <c r="G1013">
        <v>0</v>
      </c>
      <c r="H1013">
        <v>0</v>
      </c>
      <c r="I1013">
        <v>0</v>
      </c>
      <c r="J1013">
        <v>-354.02769999999998</v>
      </c>
      <c r="K1013">
        <v>1.1103959999999999</v>
      </c>
      <c r="L1013">
        <v>366.55099999999999</v>
      </c>
      <c r="M1013">
        <v>0.99988589999999999</v>
      </c>
      <c r="N1013">
        <v>-1.080447E-2</v>
      </c>
      <c r="O1013">
        <v>1.0570329999999999E-2</v>
      </c>
      <c r="P1013">
        <v>0.98852240000000002</v>
      </c>
      <c r="Q1013">
        <v>9.9636379999999997E-2</v>
      </c>
      <c r="R1013">
        <v>0.1135627</v>
      </c>
      <c r="S1013">
        <v>3.05307</v>
      </c>
      <c r="T1013">
        <v>0.16668810000000001</v>
      </c>
      <c r="U1013">
        <v>-0.30535889999999999</v>
      </c>
      <c r="V1013">
        <v>-0.1031029</v>
      </c>
      <c r="W1013">
        <v>0.1103276</v>
      </c>
      <c r="X1013">
        <v>0.98853310000000005</v>
      </c>
      <c r="Y1013">
        <v>0.1098813</v>
      </c>
      <c r="Z1013">
        <v>3.0835900000000002E-3</v>
      </c>
      <c r="AA1013">
        <v>0.99393989999999999</v>
      </c>
      <c r="AB1013">
        <v>26</v>
      </c>
      <c r="AC1013">
        <v>3.05307</v>
      </c>
      <c r="AD1013">
        <v>0.16668810000000001</v>
      </c>
      <c r="AE1013">
        <v>-0.30535889999999999</v>
      </c>
      <c r="AF1013">
        <v>0.33662220316142699</v>
      </c>
      <c r="AG1013">
        <v>0.16668810000000001</v>
      </c>
      <c r="AH1013">
        <v>3.04069748081417</v>
      </c>
      <c r="AI1013">
        <v>86.881256373345906</v>
      </c>
      <c r="AJ1013">
        <v>83.682760674940198</v>
      </c>
      <c r="AK1013">
        <v>3.0638114498402902</v>
      </c>
      <c r="AL1013">
        <v>83.665799633548502</v>
      </c>
      <c r="AM1013">
        <v>95.954357180018206</v>
      </c>
      <c r="AN1013">
        <v>1.00000003855288</v>
      </c>
    </row>
    <row r="1014" spans="1:40" x14ac:dyDescent="0.25">
      <c r="A1014" t="str">
        <f>"20190304154742766"</f>
        <v>20190304154742766</v>
      </c>
      <c r="B1014" t="str">
        <f>"1551685662757640"</f>
        <v>1551685662757640</v>
      </c>
      <c r="C1014" t="s">
        <v>40</v>
      </c>
      <c r="D1014">
        <v>4.2256150000000003</v>
      </c>
      <c r="E1014">
        <v>0.58097580000000004</v>
      </c>
      <c r="F1014" t="s">
        <v>42</v>
      </c>
      <c r="G1014">
        <v>0</v>
      </c>
      <c r="H1014">
        <v>0</v>
      </c>
      <c r="I1014">
        <v>0</v>
      </c>
      <c r="J1014">
        <v>-353.88959999999997</v>
      </c>
      <c r="K1014">
        <v>1.1103989999999999</v>
      </c>
      <c r="L1014">
        <v>366.55250000000001</v>
      </c>
      <c r="M1014">
        <v>0.99988569999999999</v>
      </c>
      <c r="N1014">
        <v>-1.080649E-2</v>
      </c>
      <c r="O1014">
        <v>1.05705E-2</v>
      </c>
      <c r="P1014">
        <v>0.98846940000000005</v>
      </c>
      <c r="Q1014">
        <v>0.1002683</v>
      </c>
      <c r="R1014">
        <v>0.1134664</v>
      </c>
      <c r="S1014">
        <v>3.0526430000000002</v>
      </c>
      <c r="T1014">
        <v>0.17067689999999999</v>
      </c>
      <c r="U1014">
        <v>-0.30480960000000001</v>
      </c>
      <c r="V1014">
        <v>-0.1030065</v>
      </c>
      <c r="W1014">
        <v>0.1109607</v>
      </c>
      <c r="X1014">
        <v>0.98847220000000002</v>
      </c>
      <c r="Y1014">
        <v>0.1097103</v>
      </c>
      <c r="Z1014">
        <v>3.1653810000000001E-3</v>
      </c>
      <c r="AA1014">
        <v>0.99395860000000003</v>
      </c>
      <c r="AB1014">
        <v>26</v>
      </c>
      <c r="AC1014">
        <v>3.0526430000000002</v>
      </c>
      <c r="AD1014">
        <v>0.17067689999999999</v>
      </c>
      <c r="AE1014">
        <v>-0.30480960000000001</v>
      </c>
      <c r="AF1014">
        <v>0.336022359978778</v>
      </c>
      <c r="AG1014">
        <v>0.17067689999999999</v>
      </c>
      <c r="AH1014">
        <v>3.0398413323950799</v>
      </c>
      <c r="AI1014">
        <v>86.805822985338693</v>
      </c>
      <c r="AJ1014">
        <v>83.692165153408993</v>
      </c>
      <c r="AK1014">
        <v>3.0631155637254102</v>
      </c>
      <c r="AL1014">
        <v>83.629301034666895</v>
      </c>
      <c r="AM1014">
        <v>95.949193748469199</v>
      </c>
      <c r="AN1014">
        <v>0.99999995307978895</v>
      </c>
    </row>
    <row r="1015" spans="1:40" x14ac:dyDescent="0.25">
      <c r="A1015" t="str">
        <f>"20190304154742777"</f>
        <v>20190304154742777</v>
      </c>
      <c r="B1015" t="str">
        <f>"1551685662767399"</f>
        <v>1551685662767399</v>
      </c>
      <c r="C1015" t="s">
        <v>40</v>
      </c>
      <c r="D1015">
        <v>4.2448370000000004</v>
      </c>
      <c r="E1015">
        <v>0.5811539</v>
      </c>
      <c r="F1015" t="s">
        <v>42</v>
      </c>
      <c r="G1015">
        <v>0</v>
      </c>
      <c r="H1015">
        <v>0</v>
      </c>
      <c r="I1015">
        <v>0</v>
      </c>
      <c r="J1015">
        <v>-353.7679</v>
      </c>
      <c r="K1015">
        <v>1.1104000000000001</v>
      </c>
      <c r="L1015">
        <v>366.55369999999999</v>
      </c>
      <c r="M1015">
        <v>0.99988569999999999</v>
      </c>
      <c r="N1015">
        <v>-1.080827E-2</v>
      </c>
      <c r="O1015">
        <v>1.057049E-2</v>
      </c>
      <c r="P1015">
        <v>0.98845340000000004</v>
      </c>
      <c r="Q1015">
        <v>0.1006146</v>
      </c>
      <c r="R1015">
        <v>0.1132981</v>
      </c>
      <c r="S1015">
        <v>3.052521</v>
      </c>
      <c r="T1015">
        <v>0.17213919999999999</v>
      </c>
      <c r="U1015">
        <v>-0.30438229999999999</v>
      </c>
      <c r="V1015">
        <v>-0.102838</v>
      </c>
      <c r="W1015">
        <v>0.1113085</v>
      </c>
      <c r="X1015">
        <v>0.98845070000000002</v>
      </c>
      <c r="Y1015">
        <v>0.1095737</v>
      </c>
      <c r="Z1015">
        <v>3.193558E-3</v>
      </c>
      <c r="AA1015">
        <v>0.99397360000000001</v>
      </c>
      <c r="AB1015">
        <v>26</v>
      </c>
      <c r="AC1015">
        <v>3.052521</v>
      </c>
      <c r="AD1015">
        <v>0.17213919999999999</v>
      </c>
      <c r="AE1015">
        <v>-0.30438229999999999</v>
      </c>
      <c r="AF1015">
        <v>0.33557715451940501</v>
      </c>
      <c r="AG1015">
        <v>0.17213919999999999</v>
      </c>
      <c r="AH1015">
        <v>3.0395618022019599</v>
      </c>
      <c r="AI1015">
        <v>86.7781703254402</v>
      </c>
      <c r="AJ1015">
        <v>83.699880673967698</v>
      </c>
      <c r="AK1015">
        <v>3.0628711824393098</v>
      </c>
      <c r="AL1015">
        <v>83.609249722687693</v>
      </c>
      <c r="AM1015">
        <v>95.939659839390501</v>
      </c>
      <c r="AN1015">
        <v>1.00000001137337</v>
      </c>
    </row>
    <row r="1016" spans="1:40" x14ac:dyDescent="0.25">
      <c r="A1016" t="str">
        <f>"20190304154742787"</f>
        <v>20190304154742787</v>
      </c>
      <c r="B1016" t="str">
        <f>"1551685662778136"</f>
        <v>1551685662778136</v>
      </c>
      <c r="C1016" t="s">
        <v>40</v>
      </c>
      <c r="D1016">
        <v>4.2247399999999997</v>
      </c>
      <c r="E1016">
        <v>0.58125749999999998</v>
      </c>
      <c r="F1016" t="s">
        <v>42</v>
      </c>
      <c r="G1016">
        <v>0</v>
      </c>
      <c r="H1016">
        <v>0</v>
      </c>
      <c r="I1016">
        <v>0</v>
      </c>
      <c r="J1016">
        <v>-353.64170000000001</v>
      </c>
      <c r="K1016">
        <v>1.1103989999999999</v>
      </c>
      <c r="L1016">
        <v>366.55509999999998</v>
      </c>
      <c r="M1016">
        <v>0.99988569999999999</v>
      </c>
      <c r="N1016">
        <v>-1.0810119999999999E-2</v>
      </c>
      <c r="O1016">
        <v>1.0570660000000001E-2</v>
      </c>
      <c r="P1016">
        <v>0.98848499999999995</v>
      </c>
      <c r="Q1016">
        <v>0.1005862</v>
      </c>
      <c r="R1016">
        <v>0.1130477</v>
      </c>
      <c r="S1016">
        <v>3.0526119999999999</v>
      </c>
      <c r="T1016">
        <v>0.17226469999999999</v>
      </c>
      <c r="U1016">
        <v>-0.30615229999999999</v>
      </c>
      <c r="V1016">
        <v>-0.1025875</v>
      </c>
      <c r="W1016">
        <v>0.11128250000000001</v>
      </c>
      <c r="X1016">
        <v>0.98847969999999996</v>
      </c>
      <c r="Y1016">
        <v>0.11014060000000001</v>
      </c>
      <c r="Z1016">
        <v>3.2087959999999999E-3</v>
      </c>
      <c r="AA1016">
        <v>0.99391079999999998</v>
      </c>
      <c r="AB1016">
        <v>26</v>
      </c>
      <c r="AC1016">
        <v>3.0526119999999999</v>
      </c>
      <c r="AD1016">
        <v>0.17226469999999999</v>
      </c>
      <c r="AE1016">
        <v>-0.30615229999999999</v>
      </c>
      <c r="AF1016">
        <v>0.337341615530387</v>
      </c>
      <c r="AG1016">
        <v>0.17226469999999999</v>
      </c>
      <c r="AH1016">
        <v>3.03962154586947</v>
      </c>
      <c r="AI1016">
        <v>86.776093063144899</v>
      </c>
      <c r="AJ1016">
        <v>83.667146628872004</v>
      </c>
      <c r="AK1016">
        <v>3.0631313446453201</v>
      </c>
      <c r="AL1016">
        <v>83.610748996867699</v>
      </c>
      <c r="AM1016">
        <v>95.925122061570093</v>
      </c>
      <c r="AN1016">
        <v>1.0000000536372899</v>
      </c>
    </row>
    <row r="1017" spans="1:40" x14ac:dyDescent="0.25">
      <c r="A1017" t="str">
        <f>"20190304154742800"</f>
        <v>20190304154742800</v>
      </c>
      <c r="B1017" t="str">
        <f>"1551685662787896"</f>
        <v>1551685662787896</v>
      </c>
      <c r="C1017" t="s">
        <v>40</v>
      </c>
      <c r="D1017">
        <v>4.1945810000000003</v>
      </c>
      <c r="E1017">
        <v>0.58113130000000002</v>
      </c>
      <c r="F1017" t="s">
        <v>42</v>
      </c>
      <c r="G1017">
        <v>0</v>
      </c>
      <c r="H1017">
        <v>0</v>
      </c>
      <c r="I1017">
        <v>0</v>
      </c>
      <c r="J1017">
        <v>-353.50099999999998</v>
      </c>
      <c r="K1017">
        <v>1.1103989999999999</v>
      </c>
      <c r="L1017">
        <v>366.5566</v>
      </c>
      <c r="M1017">
        <v>0.99988569999999999</v>
      </c>
      <c r="N1017">
        <v>-1.0812189999999999E-2</v>
      </c>
      <c r="O1017">
        <v>1.057082E-2</v>
      </c>
      <c r="P1017">
        <v>0.98853829999999998</v>
      </c>
      <c r="Q1017">
        <v>0.10043150000000001</v>
      </c>
      <c r="R1017">
        <v>0.1127194</v>
      </c>
      <c r="S1017">
        <v>3.052521</v>
      </c>
      <c r="T1017">
        <v>0.1733874</v>
      </c>
      <c r="U1017">
        <v>-0.30792239999999999</v>
      </c>
      <c r="V1017">
        <v>-0.1022589</v>
      </c>
      <c r="W1017">
        <v>0.1111299</v>
      </c>
      <c r="X1017">
        <v>0.98853089999999999</v>
      </c>
      <c r="Y1017">
        <v>0.1107112</v>
      </c>
      <c r="Z1017">
        <v>3.245773E-3</v>
      </c>
      <c r="AA1017">
        <v>0.99384729999999999</v>
      </c>
      <c r="AB1017">
        <v>26</v>
      </c>
      <c r="AC1017">
        <v>3.052521</v>
      </c>
      <c r="AD1017">
        <v>0.1733874</v>
      </c>
      <c r="AE1017">
        <v>-0.30792239999999999</v>
      </c>
      <c r="AF1017">
        <v>0.33909170512810799</v>
      </c>
      <c r="AG1017">
        <v>0.1733874</v>
      </c>
      <c r="AH1017">
        <v>3.0393877555762501</v>
      </c>
      <c r="AI1017">
        <v>86.755085569140604</v>
      </c>
      <c r="AJ1017">
        <v>83.634075887212603</v>
      </c>
      <c r="AK1017">
        <v>3.0631559385235798</v>
      </c>
      <c r="AL1017">
        <v>83.619546807453005</v>
      </c>
      <c r="AM1017">
        <v>95.905973819160195</v>
      </c>
      <c r="AN1017">
        <v>1.00000003877901</v>
      </c>
    </row>
    <row r="1018" spans="1:40" x14ac:dyDescent="0.25">
      <c r="A1018" t="str">
        <f>"20190304154742816"</f>
        <v>20190304154742816</v>
      </c>
      <c r="B1018" t="str">
        <f>"1551685662807416"</f>
        <v>1551685662807416</v>
      </c>
      <c r="C1018" t="s">
        <v>40</v>
      </c>
      <c r="D1018">
        <v>4.1778940000000002</v>
      </c>
      <c r="E1018">
        <v>0.58118709999999996</v>
      </c>
      <c r="F1018" t="s">
        <v>42</v>
      </c>
      <c r="G1018">
        <v>0</v>
      </c>
      <c r="H1018">
        <v>0</v>
      </c>
      <c r="I1018">
        <v>0</v>
      </c>
      <c r="J1018">
        <v>-353.3263</v>
      </c>
      <c r="K1018">
        <v>1.1103959999999999</v>
      </c>
      <c r="L1018">
        <v>366.55829999999997</v>
      </c>
      <c r="M1018">
        <v>0.99988569999999999</v>
      </c>
      <c r="N1018">
        <v>-1.081476E-2</v>
      </c>
      <c r="O1018">
        <v>1.057081E-2</v>
      </c>
      <c r="P1018">
        <v>0.98859180000000002</v>
      </c>
      <c r="Q1018">
        <v>0.1001687</v>
      </c>
      <c r="R1018">
        <v>0.11248379999999999</v>
      </c>
      <c r="S1018">
        <v>3.0524900000000001</v>
      </c>
      <c r="T1018">
        <v>0.17181350000000001</v>
      </c>
      <c r="U1018">
        <v>-0.30801390000000001</v>
      </c>
      <c r="V1018">
        <v>-0.1020224</v>
      </c>
      <c r="W1018">
        <v>0.1108702</v>
      </c>
      <c r="X1018">
        <v>0.98858449999999998</v>
      </c>
      <c r="Y1018">
        <v>0.11074489999999899</v>
      </c>
      <c r="Z1018">
        <v>3.2126310000000001E-3</v>
      </c>
      <c r="AA1018">
        <v>0.9938437</v>
      </c>
      <c r="AB1018">
        <v>26</v>
      </c>
      <c r="AC1018">
        <v>3.0524900000000001</v>
      </c>
      <c r="AD1018">
        <v>0.17181350000000001</v>
      </c>
      <c r="AE1018">
        <v>-0.30801390000000001</v>
      </c>
      <c r="AF1018">
        <v>0.33920205347385901</v>
      </c>
      <c r="AG1018">
        <v>0.17181350000000001</v>
      </c>
      <c r="AH1018">
        <v>3.0395306475883999</v>
      </c>
      <c r="AI1018">
        <v>86.784640568347001</v>
      </c>
      <c r="AJ1018">
        <v>83.632318189524696</v>
      </c>
      <c r="AK1018">
        <v>3.0632212570254098</v>
      </c>
      <c r="AL1018">
        <v>83.634519067021799</v>
      </c>
      <c r="AM1018">
        <v>95.892093720110793</v>
      </c>
      <c r="AN1018">
        <v>1.0000000424950199</v>
      </c>
    </row>
    <row r="1019" spans="1:40" x14ac:dyDescent="0.25">
      <c r="A1019" t="str">
        <f>"20190304154742828"</f>
        <v>20190304154742828</v>
      </c>
      <c r="B1019" t="str">
        <f>"1551685662818151"</f>
        <v>1551685662818151</v>
      </c>
      <c r="C1019" t="s">
        <v>40</v>
      </c>
      <c r="D1019">
        <v>4.1639540000000004</v>
      </c>
      <c r="E1019">
        <v>0.58122109999999905</v>
      </c>
      <c r="F1019" t="s">
        <v>42</v>
      </c>
      <c r="G1019">
        <v>0</v>
      </c>
      <c r="H1019">
        <v>0</v>
      </c>
      <c r="I1019">
        <v>0</v>
      </c>
      <c r="J1019">
        <v>-353.16500000000002</v>
      </c>
      <c r="K1019">
        <v>1.11039</v>
      </c>
      <c r="L1019">
        <v>366.56009999999998</v>
      </c>
      <c r="M1019">
        <v>0.99988580000000005</v>
      </c>
      <c r="N1019">
        <v>-1.0817139999999999E-2</v>
      </c>
      <c r="O1019">
        <v>1.0570980000000001E-2</v>
      </c>
      <c r="P1019">
        <v>0.98863889999999999</v>
      </c>
      <c r="Q1019">
        <v>9.9875820000000004E-2</v>
      </c>
      <c r="R1019">
        <v>0.11233120000000001</v>
      </c>
      <c r="S1019">
        <v>3.052521</v>
      </c>
      <c r="T1019">
        <v>0.1701211</v>
      </c>
      <c r="U1019">
        <v>-0.30917359999999999</v>
      </c>
      <c r="V1019">
        <v>-0.10186919999999999</v>
      </c>
      <c r="W1019">
        <v>0.1105806</v>
      </c>
      <c r="X1019">
        <v>0.98863270000000003</v>
      </c>
      <c r="Y1019">
        <v>0.11112080000000001</v>
      </c>
      <c r="Z1019">
        <v>3.184442E-3</v>
      </c>
      <c r="AA1019">
        <v>0.99380179999999996</v>
      </c>
      <c r="AB1019">
        <v>26</v>
      </c>
      <c r="AC1019">
        <v>3.052521</v>
      </c>
      <c r="AD1019">
        <v>0.1701211</v>
      </c>
      <c r="AE1019">
        <v>-0.30917359999999999</v>
      </c>
      <c r="AF1019">
        <v>0.34037986500026701</v>
      </c>
      <c r="AG1019">
        <v>0.1701211</v>
      </c>
      <c r="AH1019">
        <v>3.0397364663144799</v>
      </c>
      <c r="AI1019">
        <v>86.816595457206603</v>
      </c>
      <c r="AJ1019">
        <v>83.610819295165001</v>
      </c>
      <c r="AK1019">
        <v>3.06346167363081</v>
      </c>
      <c r="AL1019">
        <v>83.651214372327999</v>
      </c>
      <c r="AM1019">
        <v>95.883023253121394</v>
      </c>
      <c r="AN1019">
        <v>1.0000000092571399</v>
      </c>
    </row>
    <row r="1020" spans="1:40" x14ac:dyDescent="0.25">
      <c r="A1020" t="str">
        <f>"20190304154742845"</f>
        <v>20190304154742845</v>
      </c>
      <c r="B1020" t="str">
        <f>"1551685662837671"</f>
        <v>1551685662837671</v>
      </c>
      <c r="C1020" t="s">
        <v>40</v>
      </c>
      <c r="D1020">
        <v>4.1931019999999997</v>
      </c>
      <c r="E1020">
        <v>0.58128859999999904</v>
      </c>
      <c r="F1020" t="s">
        <v>42</v>
      </c>
      <c r="G1020">
        <v>0</v>
      </c>
      <c r="H1020">
        <v>0</v>
      </c>
      <c r="I1020">
        <v>0</v>
      </c>
      <c r="J1020">
        <v>-352.97489999999999</v>
      </c>
      <c r="K1020">
        <v>1.1103889999999901</v>
      </c>
      <c r="L1020">
        <v>366.56209999999999</v>
      </c>
      <c r="M1020">
        <v>0.99988549999999998</v>
      </c>
      <c r="N1020">
        <v>-1.081997E-2</v>
      </c>
      <c r="O1020">
        <v>1.057108E-2</v>
      </c>
      <c r="P1020">
        <v>0.98881660000000005</v>
      </c>
      <c r="Q1020">
        <v>9.8910659999999997E-2</v>
      </c>
      <c r="R1020">
        <v>0.1116172</v>
      </c>
      <c r="S1020">
        <v>3.0526119999999999</v>
      </c>
      <c r="T1020">
        <v>0.16938149999999999</v>
      </c>
      <c r="U1020">
        <v>-0.31021120000000002</v>
      </c>
      <c r="V1020">
        <v>-0.10115349999999999</v>
      </c>
      <c r="W1020">
        <v>0.10962</v>
      </c>
      <c r="X1020">
        <v>0.98881319999999995</v>
      </c>
      <c r="Y1020">
        <v>0.11145339999999999</v>
      </c>
      <c r="Z1020">
        <v>3.1755889999999999E-3</v>
      </c>
      <c r="AA1020">
        <v>0.9937646</v>
      </c>
      <c r="AB1020">
        <v>26</v>
      </c>
      <c r="AC1020">
        <v>3.0526119999999999</v>
      </c>
      <c r="AD1020">
        <v>0.16938149999999999</v>
      </c>
      <c r="AE1020">
        <v>-0.31021120000000002</v>
      </c>
      <c r="AF1020">
        <v>0.34142471094532501</v>
      </c>
      <c r="AG1020">
        <v>0.16938149999999999</v>
      </c>
      <c r="AH1020">
        <v>3.0398982252857798</v>
      </c>
      <c r="AI1020">
        <v>86.830693631905405</v>
      </c>
      <c r="AJ1020">
        <v>83.591707870119805</v>
      </c>
      <c r="AK1020">
        <v>3.06369746317778</v>
      </c>
      <c r="AL1020">
        <v>83.706589671961098</v>
      </c>
      <c r="AM1020">
        <v>95.840918874782602</v>
      </c>
      <c r="AN1020">
        <v>1.0000000597282399</v>
      </c>
    </row>
    <row r="1021" spans="1:40" x14ac:dyDescent="0.25">
      <c r="A1021" t="str">
        <f>"20190304154742857"</f>
        <v>20190304154742857</v>
      </c>
      <c r="B1021" t="str">
        <f>"1551685662847431"</f>
        <v>1551685662847431</v>
      </c>
      <c r="C1021" t="s">
        <v>40</v>
      </c>
      <c r="D1021">
        <v>4.1637089999999999</v>
      </c>
      <c r="E1021">
        <v>0.58131080000000002</v>
      </c>
      <c r="F1021" t="s">
        <v>42</v>
      </c>
      <c r="G1021">
        <v>0</v>
      </c>
      <c r="H1021">
        <v>0</v>
      </c>
      <c r="I1021">
        <v>0</v>
      </c>
      <c r="J1021">
        <v>-352.8304</v>
      </c>
      <c r="K1021">
        <v>1.1103829999999999</v>
      </c>
      <c r="L1021">
        <v>366.56360000000001</v>
      </c>
      <c r="M1021">
        <v>0.99988560000000004</v>
      </c>
      <c r="N1021">
        <v>-1.0822139999999999E-2</v>
      </c>
      <c r="O1021">
        <v>1.057107E-2</v>
      </c>
      <c r="P1021">
        <v>0.98888430000000005</v>
      </c>
      <c r="Q1021">
        <v>9.8810490000000001E-2</v>
      </c>
      <c r="R1021">
        <v>0.1111043</v>
      </c>
      <c r="S1021">
        <v>3.0526430000000002</v>
      </c>
      <c r="T1021">
        <v>0.166222799999999</v>
      </c>
      <c r="U1021">
        <v>-0.31307980000000002</v>
      </c>
      <c r="V1021">
        <v>-0.1006393</v>
      </c>
      <c r="W1021">
        <v>0.1095223</v>
      </c>
      <c r="X1021">
        <v>0.98887650000000005</v>
      </c>
      <c r="Y1021">
        <v>0.11238190000000001</v>
      </c>
      <c r="Z1021">
        <v>3.1271490000000001E-3</v>
      </c>
      <c r="AA1021">
        <v>0.99366019999999999</v>
      </c>
      <c r="AB1021">
        <v>26</v>
      </c>
      <c r="AC1021">
        <v>3.0526430000000002</v>
      </c>
      <c r="AD1021">
        <v>0.166222799999999</v>
      </c>
      <c r="AE1021">
        <v>-0.31307980000000002</v>
      </c>
      <c r="AF1021">
        <v>0.344323592985187</v>
      </c>
      <c r="AG1021">
        <v>0.166222799999999</v>
      </c>
      <c r="AH1021">
        <v>3.0402420523212199</v>
      </c>
      <c r="AI1021">
        <v>86.890355347927695</v>
      </c>
      <c r="AJ1021">
        <v>83.538480969431205</v>
      </c>
      <c r="AK1021">
        <v>3.0641900222780598</v>
      </c>
      <c r="AL1021">
        <v>83.712221427589299</v>
      </c>
      <c r="AM1021">
        <v>95.811061640231102</v>
      </c>
      <c r="AN1021">
        <v>1.00000006757701</v>
      </c>
    </row>
    <row r="1022" spans="1:40" x14ac:dyDescent="0.25">
      <c r="A1022" t="str">
        <f>"20190304154742867"</f>
        <v>20190304154742867</v>
      </c>
      <c r="B1022" t="str">
        <f>"1551685662858169"</f>
        <v>1551685662858169</v>
      </c>
      <c r="C1022" t="s">
        <v>40</v>
      </c>
      <c r="D1022">
        <v>4.2197019999999998</v>
      </c>
      <c r="E1022">
        <v>0.5814319</v>
      </c>
      <c r="F1022" t="s">
        <v>42</v>
      </c>
      <c r="G1022">
        <v>0</v>
      </c>
      <c r="H1022">
        <v>0</v>
      </c>
      <c r="I1022">
        <v>0</v>
      </c>
      <c r="J1022">
        <v>-352.69819999999999</v>
      </c>
      <c r="K1022">
        <v>1.110384</v>
      </c>
      <c r="L1022">
        <v>366.565</v>
      </c>
      <c r="M1022">
        <v>0.99988560000000004</v>
      </c>
      <c r="N1022">
        <v>-1.0824139999999999E-2</v>
      </c>
      <c r="O1022">
        <v>1.0571229999999999E-2</v>
      </c>
      <c r="P1022">
        <v>0.98894389999999999</v>
      </c>
      <c r="Q1022">
        <v>9.8699590000000004E-2</v>
      </c>
      <c r="R1022">
        <v>0.1106736</v>
      </c>
      <c r="S1022">
        <v>3.0524900000000001</v>
      </c>
      <c r="T1022">
        <v>0.16614019999999999</v>
      </c>
      <c r="U1022">
        <v>-0.3148804</v>
      </c>
      <c r="V1022">
        <v>-0.10020809999999999</v>
      </c>
      <c r="W1022">
        <v>0.10941430000000001</v>
      </c>
      <c r="X1022">
        <v>0.98893220000000004</v>
      </c>
      <c r="Y1022">
        <v>0.1129666</v>
      </c>
      <c r="Z1022">
        <v>3.1380039999999998E-3</v>
      </c>
      <c r="AA1022">
        <v>0.99359379999999997</v>
      </c>
      <c r="AB1022">
        <v>26</v>
      </c>
      <c r="AC1022">
        <v>3.0524900000000001</v>
      </c>
      <c r="AD1022">
        <v>0.16614019999999999</v>
      </c>
      <c r="AE1022">
        <v>-0.3148804</v>
      </c>
      <c r="AF1022">
        <v>0.34611872577021602</v>
      </c>
      <c r="AG1022">
        <v>0.16614019999999999</v>
      </c>
      <c r="AH1022">
        <v>3.0400794959889099</v>
      </c>
      <c r="AI1022">
        <v>86.891939163491102</v>
      </c>
      <c r="AJ1022">
        <v>83.504736593833698</v>
      </c>
      <c r="AK1022">
        <v>3.0642265060398199</v>
      </c>
      <c r="AL1022">
        <v>83.718446510851095</v>
      </c>
      <c r="AM1022">
        <v>95.786009128345995</v>
      </c>
      <c r="AN1022">
        <v>1.0000000242734699</v>
      </c>
    </row>
    <row r="1023" spans="1:40" x14ac:dyDescent="0.25">
      <c r="A1023" t="str">
        <f>"20190304154742878"</f>
        <v>20190304154742878</v>
      </c>
      <c r="B1023" t="str">
        <f>"1551685662867928"</f>
        <v>1551685662867928</v>
      </c>
      <c r="C1023" t="s">
        <v>40</v>
      </c>
      <c r="D1023">
        <v>4.1627850000000004</v>
      </c>
      <c r="E1023">
        <v>0.5814703</v>
      </c>
      <c r="F1023" t="s">
        <v>42</v>
      </c>
      <c r="G1023">
        <v>0</v>
      </c>
      <c r="H1023">
        <v>0</v>
      </c>
      <c r="I1023">
        <v>0</v>
      </c>
      <c r="J1023">
        <v>-352.58339999999998</v>
      </c>
      <c r="K1023">
        <v>1.110384</v>
      </c>
      <c r="L1023">
        <v>366.56619999999998</v>
      </c>
      <c r="M1023">
        <v>0.99988560000000004</v>
      </c>
      <c r="N1023">
        <v>-1.0825889999999999E-2</v>
      </c>
      <c r="O1023">
        <v>1.0571219999999999E-2</v>
      </c>
      <c r="P1023">
        <v>0.98893620000000004</v>
      </c>
      <c r="Q1023">
        <v>9.8968159999999999E-2</v>
      </c>
      <c r="R1023">
        <v>0.11050219999999999</v>
      </c>
      <c r="S1023">
        <v>3.052368</v>
      </c>
      <c r="T1023">
        <v>0.16702819999999999</v>
      </c>
      <c r="U1023">
        <v>-0.31707760000000001</v>
      </c>
      <c r="V1023">
        <v>-0.10003720000000001</v>
      </c>
      <c r="W1023">
        <v>0.1096844</v>
      </c>
      <c r="X1023">
        <v>0.98891960000000001</v>
      </c>
      <c r="Y1023">
        <v>0.1136756</v>
      </c>
      <c r="Z1023">
        <v>3.172794E-3</v>
      </c>
      <c r="AA1023">
        <v>0.99351290000000003</v>
      </c>
      <c r="AB1023">
        <v>26</v>
      </c>
      <c r="AC1023">
        <v>3.052368</v>
      </c>
      <c r="AD1023">
        <v>0.16702819999999999</v>
      </c>
      <c r="AE1023">
        <v>-0.31707760000000001</v>
      </c>
      <c r="AF1023">
        <v>0.34829722504597999</v>
      </c>
      <c r="AG1023">
        <v>0.16702819999999999</v>
      </c>
      <c r="AH1023">
        <v>3.0398400910666399</v>
      </c>
      <c r="AI1023">
        <v>86.875369301691805</v>
      </c>
      <c r="AJ1023">
        <v>83.463697231304707</v>
      </c>
      <c r="AK1023">
        <v>3.0642841179998301</v>
      </c>
      <c r="AL1023">
        <v>83.702877327989597</v>
      </c>
      <c r="AM1023">
        <v>95.776281252359396</v>
      </c>
      <c r="AN1023">
        <v>1.0000000421256701</v>
      </c>
    </row>
    <row r="1024" spans="1:40" x14ac:dyDescent="0.25">
      <c r="A1024" t="str">
        <f>"20190304154742887"</f>
        <v>20190304154742887</v>
      </c>
      <c r="B1024" t="str">
        <f>"1551685662877688"</f>
        <v>1551685662877688</v>
      </c>
      <c r="C1024" t="s">
        <v>40</v>
      </c>
      <c r="D1024">
        <v>4.1349580000000001</v>
      </c>
      <c r="E1024">
        <v>0.58160780000000001</v>
      </c>
      <c r="F1024" t="s">
        <v>42</v>
      </c>
      <c r="G1024">
        <v>0</v>
      </c>
      <c r="H1024">
        <v>0</v>
      </c>
      <c r="I1024">
        <v>0</v>
      </c>
      <c r="J1024">
        <v>-352.4658</v>
      </c>
      <c r="K1024">
        <v>1.1103879999999999</v>
      </c>
      <c r="L1024">
        <v>366.56740000000002</v>
      </c>
      <c r="M1024">
        <v>0.99988560000000004</v>
      </c>
      <c r="N1024">
        <v>-1.0827689999999999E-2</v>
      </c>
      <c r="O1024">
        <v>1.0571219999999999E-2</v>
      </c>
      <c r="P1024">
        <v>0.9889405</v>
      </c>
      <c r="Q1024">
        <v>9.9112389999999995E-2</v>
      </c>
      <c r="R1024">
        <v>0.1103365</v>
      </c>
      <c r="S1024">
        <v>3.052216</v>
      </c>
      <c r="T1024">
        <v>0.16868830000000001</v>
      </c>
      <c r="U1024">
        <v>-0.31796259999999998</v>
      </c>
      <c r="V1024">
        <v>-9.9871009999999996E-2</v>
      </c>
      <c r="W1024">
        <v>0.109830399999999</v>
      </c>
      <c r="X1024">
        <v>0.98892020000000003</v>
      </c>
      <c r="Y1024">
        <v>0.1139619</v>
      </c>
      <c r="Z1024">
        <v>3.215631E-3</v>
      </c>
      <c r="AA1024">
        <v>0.99347989999999997</v>
      </c>
      <c r="AB1024">
        <v>26</v>
      </c>
      <c r="AC1024">
        <v>3.052216</v>
      </c>
      <c r="AD1024">
        <v>0.16868830000000001</v>
      </c>
      <c r="AE1024">
        <v>-0.31796259999999998</v>
      </c>
      <c r="AF1024">
        <v>0.34915731675755601</v>
      </c>
      <c r="AG1024">
        <v>0.16868830000000001</v>
      </c>
      <c r="AH1024">
        <v>3.0394995192768</v>
      </c>
      <c r="AI1024">
        <v>86.844128556584494</v>
      </c>
      <c r="AJ1024">
        <v>83.446968760345598</v>
      </c>
      <c r="AK1024">
        <v>3.0641350985369602</v>
      </c>
      <c r="AL1024">
        <v>83.694461339826105</v>
      </c>
      <c r="AM1024">
        <v>95.76674647342</v>
      </c>
      <c r="AN1024">
        <v>1.0000000486853</v>
      </c>
    </row>
    <row r="1025" spans="1:40" x14ac:dyDescent="0.25">
      <c r="A1025" t="str">
        <f>"20190304154742900"</f>
        <v>20190304154742900</v>
      </c>
      <c r="B1025" t="str">
        <f>"1551685662898184"</f>
        <v>1551685662898184</v>
      </c>
      <c r="C1025" t="s">
        <v>40</v>
      </c>
      <c r="D1025">
        <v>4.2355790000000004</v>
      </c>
      <c r="E1025">
        <v>0.58103099999999996</v>
      </c>
      <c r="F1025" t="s">
        <v>42</v>
      </c>
      <c r="G1025">
        <v>0</v>
      </c>
      <c r="H1025">
        <v>0</v>
      </c>
      <c r="I1025">
        <v>0</v>
      </c>
      <c r="J1025">
        <v>-352.32830000000001</v>
      </c>
      <c r="K1025">
        <v>1.1103889999999901</v>
      </c>
      <c r="L1025">
        <v>366.56889999999999</v>
      </c>
      <c r="M1025">
        <v>0.99988560000000004</v>
      </c>
      <c r="N1025">
        <v>-1.0829780000000001E-2</v>
      </c>
      <c r="O1025">
        <v>1.057138E-2</v>
      </c>
      <c r="P1025">
        <v>0.98892190000000002</v>
      </c>
      <c r="Q1025">
        <v>9.9538039999999994E-2</v>
      </c>
      <c r="R1025">
        <v>0.11011700000000001</v>
      </c>
      <c r="S1025">
        <v>3.052063</v>
      </c>
      <c r="T1025">
        <v>0.170431</v>
      </c>
      <c r="U1025">
        <v>-0.31933590000000001</v>
      </c>
      <c r="V1025">
        <v>-9.9651710000000004E-2</v>
      </c>
      <c r="W1025">
        <v>0.11025790000000001</v>
      </c>
      <c r="X1025">
        <v>0.98889470000000002</v>
      </c>
      <c r="Y1025">
        <v>0.114405199999999</v>
      </c>
      <c r="Z1025">
        <v>3.26392E-3</v>
      </c>
      <c r="AA1025">
        <v>0.9934288</v>
      </c>
      <c r="AB1025">
        <v>26</v>
      </c>
      <c r="AC1025">
        <v>3.052063</v>
      </c>
      <c r="AD1025">
        <v>0.170431</v>
      </c>
      <c r="AE1025">
        <v>-0.31933590000000001</v>
      </c>
      <c r="AF1025">
        <v>0.35050333998738398</v>
      </c>
      <c r="AG1025">
        <v>0.170431</v>
      </c>
      <c r="AH1025">
        <v>3.0391422492092399</v>
      </c>
      <c r="AI1025">
        <v>86.811383459354204</v>
      </c>
      <c r="AJ1025">
        <v>83.421160888310595</v>
      </c>
      <c r="AK1025">
        <v>3.0640308301373098</v>
      </c>
      <c r="AL1025">
        <v>83.669817403315307</v>
      </c>
      <c r="AM1025">
        <v>95.754316113831393</v>
      </c>
      <c r="AN1025">
        <v>0.99999999775321202</v>
      </c>
    </row>
    <row r="1026" spans="1:40" x14ac:dyDescent="0.25">
      <c r="A1026" t="str">
        <f>"20190304154742910"</f>
        <v>20190304154742910</v>
      </c>
      <c r="B1026" t="str">
        <f>"1551685662907944"</f>
        <v>1551685662907944</v>
      </c>
      <c r="C1026" t="s">
        <v>40</v>
      </c>
      <c r="D1026">
        <v>4.0932449999999996</v>
      </c>
      <c r="E1026">
        <v>0.58136949999999998</v>
      </c>
      <c r="F1026" t="s">
        <v>42</v>
      </c>
      <c r="G1026">
        <v>0</v>
      </c>
      <c r="H1026">
        <v>0</v>
      </c>
      <c r="I1026">
        <v>0</v>
      </c>
      <c r="J1026">
        <v>-352.19290000000001</v>
      </c>
      <c r="K1026">
        <v>1.1103909999999999</v>
      </c>
      <c r="L1026">
        <v>366.57029999999997</v>
      </c>
      <c r="M1026">
        <v>0.99988560000000004</v>
      </c>
      <c r="N1026">
        <v>-1.0831850000000001E-2</v>
      </c>
      <c r="O1026">
        <v>1.0571550000000001E-2</v>
      </c>
      <c r="P1026">
        <v>0.98888949999999998</v>
      </c>
      <c r="Q1026">
        <v>9.9899989999999994E-2</v>
      </c>
      <c r="R1026">
        <v>0.1100807</v>
      </c>
      <c r="S1026">
        <v>3.0519099999999999</v>
      </c>
      <c r="T1026">
        <v>0.16702069999999999</v>
      </c>
      <c r="U1026">
        <v>-0.31570429999999999</v>
      </c>
      <c r="V1026">
        <v>-9.9615599999999999E-2</v>
      </c>
      <c r="W1026">
        <v>0.11062139999999999</v>
      </c>
      <c r="X1026">
        <v>0.98885769999999995</v>
      </c>
      <c r="Y1026">
        <v>0.1132494</v>
      </c>
      <c r="Z1026">
        <v>3.1637169999999999E-3</v>
      </c>
      <c r="AA1026">
        <v>0.99356160000000004</v>
      </c>
      <c r="AB1026">
        <v>26</v>
      </c>
      <c r="AC1026">
        <v>3.0519099999999999</v>
      </c>
      <c r="AD1026">
        <v>0.16702069999999999</v>
      </c>
      <c r="AE1026">
        <v>-0.31570429999999999</v>
      </c>
      <c r="AF1026">
        <v>0.34692392637028902</v>
      </c>
      <c r="AG1026">
        <v>0.16702069999999999</v>
      </c>
      <c r="AH1026">
        <v>3.0393951419728098</v>
      </c>
      <c r="AI1026">
        <v>86.874899658515702</v>
      </c>
      <c r="AJ1026">
        <v>83.488302507618002</v>
      </c>
      <c r="AK1026">
        <v>3.0636864973369198</v>
      </c>
      <c r="AL1026">
        <v>83.648861936921506</v>
      </c>
      <c r="AM1026">
        <v>95.752458741212493</v>
      </c>
      <c r="AN1026">
        <v>0.99999995637530303</v>
      </c>
    </row>
    <row r="1027" spans="1:40" x14ac:dyDescent="0.25">
      <c r="A1027" t="str">
        <f>"20190304154742922"</f>
        <v>20190304154742922</v>
      </c>
      <c r="B1027" t="str">
        <f>"1551685662917575"</f>
        <v>1551685662917575</v>
      </c>
      <c r="C1027" t="s">
        <v>40</v>
      </c>
      <c r="D1027">
        <v>4.0747530000000003</v>
      </c>
      <c r="E1027">
        <v>0.58169519999999997</v>
      </c>
      <c r="F1027" t="s">
        <v>42</v>
      </c>
      <c r="G1027">
        <v>0</v>
      </c>
      <c r="H1027">
        <v>0</v>
      </c>
      <c r="I1027">
        <v>0</v>
      </c>
      <c r="J1027">
        <v>-352.07209999999998</v>
      </c>
      <c r="K1027">
        <v>1.110387</v>
      </c>
      <c r="L1027">
        <v>366.57159999999999</v>
      </c>
      <c r="M1027">
        <v>0.99988540000000004</v>
      </c>
      <c r="N1027">
        <v>-1.083369E-2</v>
      </c>
      <c r="O1027">
        <v>1.057172E-2</v>
      </c>
      <c r="P1027">
        <v>0.98890270000000002</v>
      </c>
      <c r="Q1027">
        <v>9.9942069999999994E-2</v>
      </c>
      <c r="R1027">
        <v>0.1099233</v>
      </c>
      <c r="S1027">
        <v>3.0518190000000001</v>
      </c>
      <c r="T1027">
        <v>0.17141400000000001</v>
      </c>
      <c r="U1027">
        <v>-0.31826779999999999</v>
      </c>
      <c r="V1027">
        <v>-9.9458069999999996E-2</v>
      </c>
      <c r="W1027">
        <v>0.1106655</v>
      </c>
      <c r="X1027">
        <v>0.98886870000000004</v>
      </c>
      <c r="Y1027">
        <v>0.11406819999999999</v>
      </c>
      <c r="Z1027">
        <v>3.2782549999999999E-3</v>
      </c>
      <c r="AA1027">
        <v>0.99346749999999995</v>
      </c>
      <c r="AB1027">
        <v>26</v>
      </c>
      <c r="AC1027">
        <v>3.0518190000000001</v>
      </c>
      <c r="AD1027">
        <v>0.17141400000000001</v>
      </c>
      <c r="AE1027">
        <v>-0.31826779999999999</v>
      </c>
      <c r="AF1027">
        <v>0.34942437102060298</v>
      </c>
      <c r="AG1027">
        <v>0.17141400000000001</v>
      </c>
      <c r="AH1027">
        <v>3.0387998702429599</v>
      </c>
      <c r="AI1027">
        <v>86.792545652718701</v>
      </c>
      <c r="AJ1027">
        <v>83.440503546867404</v>
      </c>
      <c r="AK1027">
        <v>3.0636228230393798</v>
      </c>
      <c r="AL1027">
        <v>83.646320073488496</v>
      </c>
      <c r="AM1027">
        <v>95.743359327278299</v>
      </c>
      <c r="AN1027">
        <v>1.00000003320903</v>
      </c>
    </row>
    <row r="1028" spans="1:40" x14ac:dyDescent="0.25">
      <c r="A1028" t="str">
        <f>"20190304154742933"</f>
        <v>20190304154742933</v>
      </c>
      <c r="B1028" t="str">
        <f>"1551685662927334"</f>
        <v>1551685662927334</v>
      </c>
      <c r="C1028" t="s">
        <v>40</v>
      </c>
      <c r="D1028">
        <v>4.0549039999999996</v>
      </c>
      <c r="E1028">
        <v>0.5818643</v>
      </c>
      <c r="F1028" t="s">
        <v>42</v>
      </c>
      <c r="G1028">
        <v>0</v>
      </c>
      <c r="H1028">
        <v>0</v>
      </c>
      <c r="I1028">
        <v>0</v>
      </c>
      <c r="J1028">
        <v>-351.93430000000001</v>
      </c>
      <c r="K1028">
        <v>1.1103860000000001</v>
      </c>
      <c r="L1028">
        <v>366.57310000000001</v>
      </c>
      <c r="M1028">
        <v>0.99988540000000004</v>
      </c>
      <c r="N1028">
        <v>-1.083578E-2</v>
      </c>
      <c r="O1028">
        <v>1.0571530000000001E-2</v>
      </c>
      <c r="P1028">
        <v>0.98892590000000002</v>
      </c>
      <c r="Q1028">
        <v>9.9811109999999995E-2</v>
      </c>
      <c r="R1028">
        <v>0.10983469999999999</v>
      </c>
      <c r="S1028">
        <v>3.0516969999999999</v>
      </c>
      <c r="T1028">
        <v>0.17468210000000001</v>
      </c>
      <c r="U1028">
        <v>-0.32119750000000002</v>
      </c>
      <c r="V1028">
        <v>-9.9369440000000003E-2</v>
      </c>
      <c r="W1028">
        <v>0.1105366</v>
      </c>
      <c r="X1028">
        <v>0.98889199999999999</v>
      </c>
      <c r="Y1028">
        <v>0.11500730000000001</v>
      </c>
      <c r="Z1028">
        <v>3.371757E-3</v>
      </c>
      <c r="AA1028">
        <v>0.99335890000000004</v>
      </c>
      <c r="AB1028">
        <v>26</v>
      </c>
      <c r="AC1028">
        <v>3.0516969999999999</v>
      </c>
      <c r="AD1028">
        <v>0.17468210000000001</v>
      </c>
      <c r="AE1028">
        <v>-0.32119750000000002</v>
      </c>
      <c r="AF1028">
        <v>0.35230087361814</v>
      </c>
      <c r="AG1028">
        <v>0.17468210000000001</v>
      </c>
      <c r="AH1028">
        <v>3.0382847482752799</v>
      </c>
      <c r="AI1028">
        <v>86.731331346454098</v>
      </c>
      <c r="AJ1028">
        <v>83.385870098022195</v>
      </c>
      <c r="AK1028">
        <v>3.0636259486455999</v>
      </c>
      <c r="AL1028">
        <v>83.653750919837606</v>
      </c>
      <c r="AM1028">
        <v>95.7381411207638</v>
      </c>
      <c r="AN1028">
        <v>1.0000000066047301</v>
      </c>
    </row>
    <row r="1029" spans="1:40" x14ac:dyDescent="0.25">
      <c r="A1029" t="str">
        <f>"20190304154742944"</f>
        <v>20190304154742944</v>
      </c>
      <c r="B1029" t="str">
        <f>"1551685662938070"</f>
        <v>1551685662938070</v>
      </c>
      <c r="C1029" t="s">
        <v>40</v>
      </c>
      <c r="D1029">
        <v>4.1021409999999996</v>
      </c>
      <c r="E1029">
        <v>0.58190200000000003</v>
      </c>
      <c r="F1029" t="s">
        <v>42</v>
      </c>
      <c r="G1029">
        <v>0</v>
      </c>
      <c r="H1029">
        <v>0</v>
      </c>
      <c r="I1029">
        <v>0</v>
      </c>
      <c r="J1029">
        <v>-351.79750000000001</v>
      </c>
      <c r="K1029">
        <v>1.110385</v>
      </c>
      <c r="L1029">
        <v>366.5745</v>
      </c>
      <c r="M1029">
        <v>0.99988540000000004</v>
      </c>
      <c r="N1029">
        <v>-1.083781E-2</v>
      </c>
      <c r="O1029">
        <v>1.0571519999999999E-2</v>
      </c>
      <c r="P1029">
        <v>0.98893229999999999</v>
      </c>
      <c r="Q1029">
        <v>9.9752170000000001E-2</v>
      </c>
      <c r="R1029">
        <v>0.10982989999999999</v>
      </c>
      <c r="S1029">
        <v>3.0515439999999998</v>
      </c>
      <c r="T1029">
        <v>0.17740149999999999</v>
      </c>
      <c r="U1029">
        <v>-0.32299800000000001</v>
      </c>
      <c r="V1029">
        <v>-9.936441E-2</v>
      </c>
      <c r="W1029">
        <v>0.1104802</v>
      </c>
      <c r="X1029">
        <v>0.98889879999999997</v>
      </c>
      <c r="Y1029">
        <v>0.1155854</v>
      </c>
      <c r="Z1029">
        <v>3.4456410000000002E-3</v>
      </c>
      <c r="AA1029">
        <v>0.99329160000000005</v>
      </c>
      <c r="AB1029">
        <v>26</v>
      </c>
      <c r="AC1029">
        <v>3.0515439999999998</v>
      </c>
      <c r="AD1029">
        <v>0.17740149999999999</v>
      </c>
      <c r="AE1029">
        <v>-0.32299800000000001</v>
      </c>
      <c r="AF1029">
        <v>0.35405795740200302</v>
      </c>
      <c r="AG1029">
        <v>0.17740149999999999</v>
      </c>
      <c r="AH1029">
        <v>3.0378056262894799</v>
      </c>
      <c r="AI1029">
        <v>86.680262923624298</v>
      </c>
      <c r="AJ1029">
        <v>83.352137937546502</v>
      </c>
      <c r="AK1029">
        <v>3.0635096462257101</v>
      </c>
      <c r="AL1029">
        <v>83.657002265007506</v>
      </c>
      <c r="AM1029">
        <v>95.737813406759997</v>
      </c>
      <c r="AN1029">
        <v>0.99999999860406397</v>
      </c>
    </row>
    <row r="1030" spans="1:40" x14ac:dyDescent="0.25">
      <c r="A1030" t="str">
        <f>"20190304154742956"</f>
        <v>20190304154742956</v>
      </c>
      <c r="B1030" t="str">
        <f>"1551685662947830"</f>
        <v>1551685662947830</v>
      </c>
      <c r="C1030" t="s">
        <v>40</v>
      </c>
      <c r="D1030">
        <v>4.0774739999999996</v>
      </c>
      <c r="E1030">
        <v>0.58177609999999902</v>
      </c>
      <c r="F1030" t="s">
        <v>42</v>
      </c>
      <c r="G1030">
        <v>0</v>
      </c>
      <c r="H1030">
        <v>0</v>
      </c>
      <c r="I1030">
        <v>0</v>
      </c>
      <c r="J1030">
        <v>-351.66340000000002</v>
      </c>
      <c r="K1030">
        <v>1.1103829999999999</v>
      </c>
      <c r="L1030">
        <v>366.57589999999999</v>
      </c>
      <c r="M1030">
        <v>0.99988540000000004</v>
      </c>
      <c r="N1030">
        <v>-1.083978E-2</v>
      </c>
      <c r="O1030">
        <v>1.057169E-2</v>
      </c>
      <c r="P1030">
        <v>0.98892139999999995</v>
      </c>
      <c r="Q1030">
        <v>9.9826250000000005E-2</v>
      </c>
      <c r="R1030">
        <v>0.10986</v>
      </c>
      <c r="S1030">
        <v>3.0515750000000001</v>
      </c>
      <c r="T1030">
        <v>0.17687420000000001</v>
      </c>
      <c r="U1030">
        <v>-0.32281490000000002</v>
      </c>
      <c r="V1030">
        <v>-9.9394220000000005E-2</v>
      </c>
      <c r="W1030">
        <v>0.110556</v>
      </c>
      <c r="X1030">
        <v>0.98888730000000002</v>
      </c>
      <c r="Y1030">
        <v>0.1155268</v>
      </c>
      <c r="Z1030">
        <v>3.4324120000000001E-3</v>
      </c>
      <c r="AA1030">
        <v>0.99329840000000003</v>
      </c>
      <c r="AB1030">
        <v>26</v>
      </c>
      <c r="AC1030">
        <v>3.0515750000000001</v>
      </c>
      <c r="AD1030">
        <v>0.17687420000000001</v>
      </c>
      <c r="AE1030">
        <v>-0.32281490000000002</v>
      </c>
      <c r="AF1030">
        <v>0.35388332676092898</v>
      </c>
      <c r="AG1030">
        <v>0.17687420000000001</v>
      </c>
      <c r="AH1030">
        <v>3.03789853455232</v>
      </c>
      <c r="AI1030">
        <v>86.690186210061</v>
      </c>
      <c r="AJ1030">
        <v>83.355588905479394</v>
      </c>
      <c r="AK1030">
        <v>3.0635511090595799</v>
      </c>
      <c r="AL1030">
        <v>83.652632268931399</v>
      </c>
      <c r="AM1030">
        <v>95.739589599523995</v>
      </c>
      <c r="AN1030">
        <v>0.99999996610334796</v>
      </c>
    </row>
    <row r="1031" spans="1:40" x14ac:dyDescent="0.25">
      <c r="A1031" t="str">
        <f>"20190304154742987"</f>
        <v>20190304154742987</v>
      </c>
      <c r="B1031" t="str">
        <f>"1551685662978086"</f>
        <v>1551685662978086</v>
      </c>
      <c r="C1031" t="s">
        <v>40</v>
      </c>
      <c r="D1031">
        <v>2.6078610000000002</v>
      </c>
      <c r="E1031">
        <v>0.58177609999999902</v>
      </c>
      <c r="F1031" t="s">
        <v>42</v>
      </c>
      <c r="G1031">
        <v>0</v>
      </c>
      <c r="H1031">
        <v>0</v>
      </c>
      <c r="I1031">
        <v>0</v>
      </c>
      <c r="J1031">
        <v>-351.28280000000001</v>
      </c>
      <c r="K1031">
        <v>1.110379</v>
      </c>
      <c r="L1031">
        <v>366.58</v>
      </c>
      <c r="M1031">
        <v>0.99988529999999998</v>
      </c>
      <c r="N1031">
        <v>-1.0845280000000001E-2</v>
      </c>
      <c r="O1031">
        <v>1.0572130000000001E-2</v>
      </c>
      <c r="P1031">
        <v>0.98891359999999995</v>
      </c>
      <c r="Q1031">
        <v>0.10042139999999999</v>
      </c>
      <c r="R1031">
        <v>0.1093871</v>
      </c>
      <c r="S1031">
        <v>3.051666</v>
      </c>
      <c r="T1031">
        <v>0.1754183</v>
      </c>
      <c r="U1031">
        <v>-0.32192989999999999</v>
      </c>
      <c r="V1031">
        <v>-9.8921679999999998E-2</v>
      </c>
      <c r="W1031">
        <v>0.1111559</v>
      </c>
      <c r="X1031">
        <v>0.98886750000000001</v>
      </c>
      <c r="Y1031">
        <v>0.11524280000000001</v>
      </c>
      <c r="Z1031">
        <v>3.393124E-3</v>
      </c>
      <c r="AA1031">
        <v>0.99333159999999998</v>
      </c>
      <c r="AB1031">
        <v>26</v>
      </c>
      <c r="AC1031">
        <v>3.051666</v>
      </c>
      <c r="AD1031">
        <v>0.1754183</v>
      </c>
      <c r="AE1031">
        <v>-0.32192989999999999</v>
      </c>
      <c r="AF1031">
        <v>0.35302276890720602</v>
      </c>
      <c r="AG1031">
        <v>0.1754183</v>
      </c>
      <c r="AH1031">
        <v>3.0381633213774202</v>
      </c>
      <c r="AI1031">
        <v>86.717545528984004</v>
      </c>
      <c r="AJ1031">
        <v>83.372175088365495</v>
      </c>
      <c r="AK1031">
        <v>3.0636306929368802</v>
      </c>
      <c r="AL1031">
        <v>83.618047791389102</v>
      </c>
      <c r="AM1031">
        <v>95.712596964487901</v>
      </c>
      <c r="AN1031">
        <v>1.00000003271754</v>
      </c>
    </row>
    <row r="1032" spans="1:40" x14ac:dyDescent="0.25">
      <c r="A1032" t="str">
        <f>"20190304154743068"</f>
        <v>20190304154743068</v>
      </c>
      <c r="B1032" t="str">
        <f>"1551685663058118"</f>
        <v>1551685663058118</v>
      </c>
      <c r="C1032" t="s">
        <v>40</v>
      </c>
      <c r="D1032">
        <v>3.7321789999999999</v>
      </c>
      <c r="E1032">
        <v>0.58178469999999904</v>
      </c>
      <c r="F1032" t="s">
        <v>42</v>
      </c>
      <c r="G1032">
        <v>0</v>
      </c>
      <c r="H1032">
        <v>0</v>
      </c>
      <c r="I1032">
        <v>0</v>
      </c>
      <c r="J1032">
        <v>-350.33550000000002</v>
      </c>
      <c r="K1032">
        <v>1.1104050000000001</v>
      </c>
      <c r="L1032">
        <v>366.59</v>
      </c>
      <c r="M1032">
        <v>0.99988520000000003</v>
      </c>
      <c r="N1032">
        <v>-1.0858710000000001E-2</v>
      </c>
      <c r="O1032">
        <v>1.0572420000000001E-2</v>
      </c>
      <c r="P1032">
        <v>0.98875420000000003</v>
      </c>
      <c r="Q1032">
        <v>0.1022651</v>
      </c>
      <c r="R1032">
        <v>0.10911989999999901</v>
      </c>
      <c r="S1032">
        <v>3.0514220000000001</v>
      </c>
      <c r="T1032">
        <v>0.1767012</v>
      </c>
      <c r="U1032">
        <v>-0.32312010000000002</v>
      </c>
      <c r="V1032">
        <v>-9.8655229999999997E-2</v>
      </c>
      <c r="W1032">
        <v>0.113011</v>
      </c>
      <c r="X1032">
        <v>0.9886838</v>
      </c>
      <c r="Y1032">
        <v>0.1156312</v>
      </c>
      <c r="Z1032">
        <v>3.4303269999999999E-3</v>
      </c>
      <c r="AA1032">
        <v>0.99328629999999996</v>
      </c>
      <c r="AB1032">
        <v>26</v>
      </c>
      <c r="AC1032">
        <v>3.0514220000000001</v>
      </c>
      <c r="AD1032">
        <v>0.1767012</v>
      </c>
      <c r="AE1032">
        <v>-0.32312010000000002</v>
      </c>
      <c r="AF1032">
        <v>0.35419031253501498</v>
      </c>
      <c r="AG1032">
        <v>0.1767012</v>
      </c>
      <c r="AH1032">
        <v>3.0377614569915301</v>
      </c>
      <c r="AI1032">
        <v>86.693307794527996</v>
      </c>
      <c r="AJ1032">
        <v>83.349579237365603</v>
      </c>
      <c r="AK1032">
        <v>3.06344067368024</v>
      </c>
      <c r="AL1032">
        <v>83.511084156919793</v>
      </c>
      <c r="AM1032">
        <v>95.698362800012603</v>
      </c>
      <c r="AN1032">
        <v>0.99999999845489596</v>
      </c>
    </row>
    <row r="1033" spans="1:40" x14ac:dyDescent="0.25">
      <c r="A1033" t="str">
        <f>"20190304154743116"</f>
        <v>20190304154743116</v>
      </c>
      <c r="B1033" t="str">
        <f>"1551685663107895"</f>
        <v>1551685663107895</v>
      </c>
      <c r="C1033" t="s">
        <v>40</v>
      </c>
      <c r="D1033">
        <v>4.013007</v>
      </c>
      <c r="E1033">
        <v>0.58024480000000001</v>
      </c>
      <c r="F1033" t="s">
        <v>42</v>
      </c>
      <c r="G1033">
        <v>0</v>
      </c>
      <c r="H1033">
        <v>0</v>
      </c>
      <c r="I1033">
        <v>0</v>
      </c>
      <c r="J1033">
        <v>-349.76819999999998</v>
      </c>
      <c r="K1033">
        <v>1.1104069999999999</v>
      </c>
      <c r="L1033">
        <v>366.596</v>
      </c>
      <c r="M1033">
        <v>0.99988509999999997</v>
      </c>
      <c r="N1033">
        <v>-1.086609E-2</v>
      </c>
      <c r="O1033">
        <v>1.057286E-2</v>
      </c>
      <c r="P1033">
        <v>0.98873169999999999</v>
      </c>
      <c r="Q1033">
        <v>0.102867</v>
      </c>
      <c r="R1033">
        <v>0.1087588</v>
      </c>
      <c r="S1033">
        <v>3.0531619999999999</v>
      </c>
      <c r="T1033">
        <v>0.16244529999999999</v>
      </c>
      <c r="U1033">
        <v>-0.32470700000000002</v>
      </c>
      <c r="V1033">
        <v>-9.8293820000000004E-2</v>
      </c>
      <c r="W1033">
        <v>0.11362029999999999</v>
      </c>
      <c r="X1033">
        <v>0.98865000000000003</v>
      </c>
      <c r="Y1033">
        <v>0.11611249999999999</v>
      </c>
      <c r="Z1033">
        <v>3.1201739999999999E-3</v>
      </c>
      <c r="AA1033">
        <v>0.99323119999999998</v>
      </c>
      <c r="AB1033">
        <v>26</v>
      </c>
      <c r="AC1033">
        <v>3.0531619999999999</v>
      </c>
      <c r="AD1033">
        <v>0.16244529999999999</v>
      </c>
      <c r="AE1033">
        <v>-0.32470700000000002</v>
      </c>
      <c r="AF1033">
        <v>0.355974971459176</v>
      </c>
      <c r="AG1033">
        <v>0.16244529999999999</v>
      </c>
      <c r="AH1033">
        <v>3.0410456222365001</v>
      </c>
      <c r="AI1033">
        <v>86.963001086289296</v>
      </c>
      <c r="AJ1033">
        <v>83.3235249318721</v>
      </c>
      <c r="AK1033">
        <v>3.0661156423594398</v>
      </c>
      <c r="AL1033">
        <v>83.4759477640075</v>
      </c>
      <c r="AM1033">
        <v>95.677817097891307</v>
      </c>
      <c r="AN1033">
        <v>1.00000003506114</v>
      </c>
    </row>
    <row r="1034" spans="1:40" x14ac:dyDescent="0.25">
      <c r="A1034" t="str">
        <f>"20190304154743128"</f>
        <v>20190304154743128</v>
      </c>
      <c r="B1034" t="str">
        <f>"1551685663117655"</f>
        <v>1551685663117655</v>
      </c>
      <c r="C1034" t="s">
        <v>40</v>
      </c>
      <c r="D1034">
        <v>4.0137460000000003</v>
      </c>
      <c r="E1034">
        <v>0.57923950000000002</v>
      </c>
      <c r="F1034" t="s">
        <v>42</v>
      </c>
      <c r="G1034">
        <v>0</v>
      </c>
      <c r="H1034">
        <v>0</v>
      </c>
      <c r="I1034">
        <v>0</v>
      </c>
      <c r="J1034">
        <v>-349.62810000000002</v>
      </c>
      <c r="K1034">
        <v>1.1104099999999999</v>
      </c>
      <c r="L1034">
        <v>366.59750000000003</v>
      </c>
      <c r="M1034">
        <v>0.99988509999999997</v>
      </c>
      <c r="N1034">
        <v>-1.0867979999999999E-2</v>
      </c>
      <c r="O1034">
        <v>1.0573020000000001E-2</v>
      </c>
      <c r="P1034">
        <v>0.98872009999999999</v>
      </c>
      <c r="Q1034">
        <v>0.1030755</v>
      </c>
      <c r="R1034">
        <v>0.108666</v>
      </c>
      <c r="S1034">
        <v>3.0523069999999999</v>
      </c>
      <c r="T1034">
        <v>0.15764259999999999</v>
      </c>
      <c r="U1034">
        <v>-0.3137817</v>
      </c>
      <c r="V1034">
        <v>-9.8201410000000003E-2</v>
      </c>
      <c r="W1034">
        <v>0.1138301</v>
      </c>
      <c r="X1034">
        <v>0.98863500000000004</v>
      </c>
      <c r="Y1034">
        <v>0.1126376</v>
      </c>
      <c r="Z1034">
        <v>2.9439599999999998E-3</v>
      </c>
      <c r="AA1034">
        <v>0.99363179999999995</v>
      </c>
      <c r="AB1034">
        <v>27</v>
      </c>
      <c r="AC1034">
        <v>3.0523069999999999</v>
      </c>
      <c r="AD1034">
        <v>0.15764259999999999</v>
      </c>
      <c r="AE1034">
        <v>-0.3137817</v>
      </c>
      <c r="AF1034">
        <v>0.34512719542024201</v>
      </c>
      <c r="AG1034">
        <v>0.15764259999999999</v>
      </c>
      <c r="AH1034">
        <v>3.0407923166921198</v>
      </c>
      <c r="AI1034">
        <v>87.051193080134894</v>
      </c>
      <c r="AJ1034">
        <v>83.524690712778394</v>
      </c>
      <c r="AK1034">
        <v>3.0643730000780298</v>
      </c>
      <c r="AL1034">
        <v>83.463848290862799</v>
      </c>
      <c r="AM1034">
        <v>95.672599485566906</v>
      </c>
      <c r="AN1034">
        <v>0.99999998590849803</v>
      </c>
    </row>
    <row r="1035" spans="1:40" x14ac:dyDescent="0.25">
      <c r="A1035" t="str">
        <f>"20190304154743140"</f>
        <v>20190304154743140</v>
      </c>
      <c r="B1035" t="str">
        <f>"1551685663138151"</f>
        <v>1551685663138151</v>
      </c>
      <c r="C1035" t="s">
        <v>40</v>
      </c>
      <c r="D1035">
        <v>4.0006899999999996</v>
      </c>
      <c r="E1035">
        <v>0.57761359999999995</v>
      </c>
      <c r="F1035" t="s">
        <v>42</v>
      </c>
      <c r="G1035">
        <v>0</v>
      </c>
      <c r="H1035">
        <v>0</v>
      </c>
      <c r="I1035">
        <v>0</v>
      </c>
      <c r="J1035">
        <v>-349.49149999999997</v>
      </c>
      <c r="K1035">
        <v>1.110409</v>
      </c>
      <c r="L1035">
        <v>366.59890000000001</v>
      </c>
      <c r="M1035">
        <v>0.99988500000000002</v>
      </c>
      <c r="N1035">
        <v>-1.086983E-2</v>
      </c>
      <c r="O1035">
        <v>1.0573010000000001E-2</v>
      </c>
      <c r="P1035">
        <v>0.98867959999999999</v>
      </c>
      <c r="Q1035">
        <v>0.1036448</v>
      </c>
      <c r="R1035">
        <v>0.1084928</v>
      </c>
      <c r="S1035">
        <v>3.051453</v>
      </c>
      <c r="T1035">
        <v>0.15725910000000001</v>
      </c>
      <c r="U1035">
        <v>-0.30606080000000002</v>
      </c>
      <c r="V1035">
        <v>-9.8028509999999999E-2</v>
      </c>
      <c r="W1035">
        <v>0.1144014</v>
      </c>
      <c r="X1035">
        <v>0.98858619999999997</v>
      </c>
      <c r="Y1035">
        <v>0.11018020000000001</v>
      </c>
      <c r="Z1035">
        <v>2.887269E-3</v>
      </c>
      <c r="AA1035">
        <v>0.99390750000000005</v>
      </c>
      <c r="AB1035">
        <v>27</v>
      </c>
      <c r="AC1035">
        <v>3.051453</v>
      </c>
      <c r="AD1035">
        <v>0.15725910000000001</v>
      </c>
      <c r="AE1035">
        <v>-0.30606080000000002</v>
      </c>
      <c r="AF1035">
        <v>0.33742139533308901</v>
      </c>
      <c r="AG1035">
        <v>0.15725910000000001</v>
      </c>
      <c r="AH1035">
        <v>3.0400524634715702</v>
      </c>
      <c r="AI1035">
        <v>87.0568230385704</v>
      </c>
      <c r="AJ1035">
        <v>83.666551684739304</v>
      </c>
      <c r="AK1035">
        <v>3.06276061800803</v>
      </c>
      <c r="AL1035">
        <v>83.430899882908705</v>
      </c>
      <c r="AM1035">
        <v>95.662954605682799</v>
      </c>
      <c r="AN1035">
        <v>0.99999997196260904</v>
      </c>
    </row>
    <row r="1036" spans="1:40" x14ac:dyDescent="0.25">
      <c r="A1036" t="str">
        <f>"20190304154743152"</f>
        <v>20190304154743152</v>
      </c>
      <c r="B1036" t="str">
        <f>"1551685663147912"</f>
        <v>1551685663147912</v>
      </c>
      <c r="C1036" t="s">
        <v>40</v>
      </c>
      <c r="D1036">
        <v>3.9712269999999998</v>
      </c>
      <c r="E1036">
        <v>0.57694219999999996</v>
      </c>
      <c r="F1036" t="s">
        <v>42</v>
      </c>
      <c r="G1036">
        <v>0</v>
      </c>
      <c r="H1036">
        <v>0</v>
      </c>
      <c r="I1036">
        <v>0</v>
      </c>
      <c r="J1036">
        <v>-349.3467</v>
      </c>
      <c r="K1036">
        <v>1.110406</v>
      </c>
      <c r="L1036">
        <v>366.60039999999998</v>
      </c>
      <c r="M1036">
        <v>0.99988500000000002</v>
      </c>
      <c r="N1036">
        <v>-1.0871789999999999E-2</v>
      </c>
      <c r="O1036">
        <v>1.057318E-2</v>
      </c>
      <c r="P1036">
        <v>0.98870970000000002</v>
      </c>
      <c r="Q1036">
        <v>0.1035447</v>
      </c>
      <c r="R1036">
        <v>0.10831440000000001</v>
      </c>
      <c r="S1036">
        <v>3.0493769999999998</v>
      </c>
      <c r="T1036">
        <v>0.16389629999999999</v>
      </c>
      <c r="U1036">
        <v>-0.29342649999999998</v>
      </c>
      <c r="V1036">
        <v>-9.7849560000000002E-2</v>
      </c>
      <c r="W1036">
        <v>0.1143034</v>
      </c>
      <c r="X1036">
        <v>0.98861529999999997</v>
      </c>
      <c r="Y1036">
        <v>0.1061597</v>
      </c>
      <c r="Z1036">
        <v>2.9467540000000002E-3</v>
      </c>
      <c r="AA1036">
        <v>0.99434469999999997</v>
      </c>
      <c r="AB1036">
        <v>27</v>
      </c>
      <c r="AC1036">
        <v>3.0493769999999998</v>
      </c>
      <c r="AD1036">
        <v>0.16389629999999999</v>
      </c>
      <c r="AE1036">
        <v>-0.29342649999999998</v>
      </c>
      <c r="AF1036">
        <v>0.324724159654117</v>
      </c>
      <c r="AG1036">
        <v>0.16389629999999999</v>
      </c>
      <c r="AH1036">
        <v>3.0374099506025201</v>
      </c>
      <c r="AI1036">
        <v>86.928826338992906</v>
      </c>
      <c r="AJ1036">
        <v>83.897786628816107</v>
      </c>
      <c r="AK1036">
        <v>3.0591121236456802</v>
      </c>
      <c r="AL1036">
        <v>83.436552179984105</v>
      </c>
      <c r="AM1036">
        <v>95.652518643037794</v>
      </c>
      <c r="AN1036">
        <v>1.0000000075189199</v>
      </c>
    </row>
    <row r="1037" spans="1:40" x14ac:dyDescent="0.25">
      <c r="A1037" t="str">
        <f>"20190304154743167"</f>
        <v>20190304154743167</v>
      </c>
      <c r="B1037" t="str">
        <f>"1551685663157671"</f>
        <v>1551685663157671</v>
      </c>
      <c r="C1037" t="s">
        <v>40</v>
      </c>
      <c r="D1037">
        <v>4.1028289999999998</v>
      </c>
      <c r="E1037">
        <v>0.57641450000000005</v>
      </c>
      <c r="F1037" t="s">
        <v>42</v>
      </c>
      <c r="G1037">
        <v>0</v>
      </c>
      <c r="H1037">
        <v>0</v>
      </c>
      <c r="I1037">
        <v>0</v>
      </c>
      <c r="J1037">
        <v>-349.15949999999998</v>
      </c>
      <c r="K1037">
        <v>1.1104039999999999</v>
      </c>
      <c r="L1037">
        <v>366.60239999999999</v>
      </c>
      <c r="M1037">
        <v>0.99988500000000002</v>
      </c>
      <c r="N1037">
        <v>-1.087435E-2</v>
      </c>
      <c r="O1037">
        <v>1.057335E-2</v>
      </c>
      <c r="P1037">
        <v>0.98875480000000004</v>
      </c>
      <c r="Q1037">
        <v>0.1033057</v>
      </c>
      <c r="R1037">
        <v>0.108129</v>
      </c>
      <c r="S1037">
        <v>3.0485530000000001</v>
      </c>
      <c r="T1037">
        <v>0.16540729999999901</v>
      </c>
      <c r="U1037">
        <v>-0.28848269999999998</v>
      </c>
      <c r="V1037">
        <v>-9.7663180000000002E-2</v>
      </c>
      <c r="W1037">
        <v>0.1140675</v>
      </c>
      <c r="X1037">
        <v>0.98866100000000001</v>
      </c>
      <c r="Y1037">
        <v>0.1045862</v>
      </c>
      <c r="Z1037">
        <v>2.945306E-3</v>
      </c>
      <c r="AA1037">
        <v>0.99451149999999999</v>
      </c>
      <c r="AB1037">
        <v>27</v>
      </c>
      <c r="AC1037">
        <v>3.0485530000000001</v>
      </c>
      <c r="AD1037">
        <v>0.16540729999999901</v>
      </c>
      <c r="AE1037">
        <v>-0.28848269999999998</v>
      </c>
      <c r="AF1037">
        <v>0.31976888480188898</v>
      </c>
      <c r="AG1037">
        <v>0.16540729999999901</v>
      </c>
      <c r="AH1037">
        <v>3.0364724485142802</v>
      </c>
      <c r="AI1037">
        <v>86.899093139237905</v>
      </c>
      <c r="AJ1037">
        <v>83.988377473636206</v>
      </c>
      <c r="AK1037">
        <v>3.0577404476454602</v>
      </c>
      <c r="AL1037">
        <v>83.450157400563697</v>
      </c>
      <c r="AM1037">
        <v>95.6415623683082</v>
      </c>
      <c r="AN1037">
        <v>1.00000003210248</v>
      </c>
    </row>
    <row r="1038" spans="1:40" x14ac:dyDescent="0.25">
      <c r="A1038" t="str">
        <f>"20190304154743179"</f>
        <v>20190304154743179</v>
      </c>
      <c r="B1038" t="str">
        <f>"1551685663167431"</f>
        <v>1551685663167431</v>
      </c>
      <c r="C1038" t="s">
        <v>40</v>
      </c>
      <c r="D1038">
        <v>4.0151949999999896</v>
      </c>
      <c r="E1038">
        <v>0.57585659999999905</v>
      </c>
      <c r="F1038" t="s">
        <v>42</v>
      </c>
      <c r="G1038">
        <v>0</v>
      </c>
      <c r="H1038">
        <v>0</v>
      </c>
      <c r="I1038">
        <v>0</v>
      </c>
      <c r="J1038">
        <v>-349.03179999999998</v>
      </c>
      <c r="K1038">
        <v>1.1104039999999999</v>
      </c>
      <c r="L1038">
        <v>366.6037</v>
      </c>
      <c r="M1038">
        <v>0.99988509999999997</v>
      </c>
      <c r="N1038">
        <v>-1.087611E-2</v>
      </c>
      <c r="O1038">
        <v>1.057316E-2</v>
      </c>
      <c r="P1038">
        <v>0.98874569999999995</v>
      </c>
      <c r="Q1038">
        <v>0.10350719999999999</v>
      </c>
      <c r="R1038">
        <v>0.10802109999999999</v>
      </c>
      <c r="S1038">
        <v>3.0477910000000001</v>
      </c>
      <c r="T1038">
        <v>0.16739129999999899</v>
      </c>
      <c r="U1038">
        <v>-0.28500370000000003</v>
      </c>
      <c r="V1038">
        <v>-9.7556240000000002E-2</v>
      </c>
      <c r="W1038">
        <v>0.1142702</v>
      </c>
      <c r="X1038">
        <v>0.98864810000000003</v>
      </c>
      <c r="Y1038">
        <v>0.10348160000000001</v>
      </c>
      <c r="Z1038">
        <v>2.9627939999999999E-3</v>
      </c>
      <c r="AA1038">
        <v>0.99462689999999998</v>
      </c>
      <c r="AB1038">
        <v>27</v>
      </c>
      <c r="AC1038">
        <v>3.0477910000000001</v>
      </c>
      <c r="AD1038">
        <v>0.16739129999999899</v>
      </c>
      <c r="AE1038">
        <v>-0.28500370000000003</v>
      </c>
      <c r="AF1038">
        <v>0.31626871315219302</v>
      </c>
      <c r="AG1038">
        <v>0.16739129999999899</v>
      </c>
      <c r="AH1038">
        <v>3.0355299141392802</v>
      </c>
      <c r="AI1038">
        <v>86.860636701055</v>
      </c>
      <c r="AJ1038">
        <v>84.051873190089694</v>
      </c>
      <c r="AK1038">
        <v>3.0565483156444802</v>
      </c>
      <c r="AL1038">
        <v>83.438466778276805</v>
      </c>
      <c r="AM1038">
        <v>95.635497769300002</v>
      </c>
      <c r="AN1038">
        <v>0.99999998210229302</v>
      </c>
    </row>
    <row r="1039" spans="1:40" x14ac:dyDescent="0.25">
      <c r="A1039" t="str">
        <f>"20190304154743188"</f>
        <v>20190304154743188</v>
      </c>
      <c r="B1039" t="str">
        <f>"1551685663178167"</f>
        <v>1551685663178167</v>
      </c>
      <c r="C1039" t="s">
        <v>40</v>
      </c>
      <c r="D1039">
        <v>3.9866730000000001</v>
      </c>
      <c r="E1039">
        <v>0.57529419999999898</v>
      </c>
      <c r="F1039" t="s">
        <v>42</v>
      </c>
      <c r="G1039">
        <v>0</v>
      </c>
      <c r="H1039">
        <v>0</v>
      </c>
      <c r="I1039">
        <v>0</v>
      </c>
      <c r="J1039">
        <v>-348.9024</v>
      </c>
      <c r="K1039">
        <v>1.110406</v>
      </c>
      <c r="L1039">
        <v>366.60509999999999</v>
      </c>
      <c r="M1039">
        <v>0.99988500000000002</v>
      </c>
      <c r="N1039">
        <v>-1.0877889999999999E-2</v>
      </c>
      <c r="O1039">
        <v>1.0573330000000001E-2</v>
      </c>
      <c r="P1039">
        <v>0.98877490000000001</v>
      </c>
      <c r="Q1039">
        <v>0.1035058</v>
      </c>
      <c r="R1039">
        <v>0.1077536</v>
      </c>
      <c r="S1039">
        <v>3.0469360000000001</v>
      </c>
      <c r="T1039">
        <v>0.17069970000000001</v>
      </c>
      <c r="U1039">
        <v>-0.28054810000000002</v>
      </c>
      <c r="V1039">
        <v>-9.7288449999999999E-2</v>
      </c>
      <c r="W1039">
        <v>0.1142712</v>
      </c>
      <c r="X1039">
        <v>0.98867439999999995</v>
      </c>
      <c r="Y1039">
        <v>0.10206079999999999</v>
      </c>
      <c r="Z1039">
        <v>2.9993680000000001E-3</v>
      </c>
      <c r="AA1039">
        <v>0.99477360000000004</v>
      </c>
      <c r="AB1039">
        <v>27</v>
      </c>
      <c r="AC1039">
        <v>3.0469360000000001</v>
      </c>
      <c r="AD1039">
        <v>0.17069970000000001</v>
      </c>
      <c r="AE1039">
        <v>-0.28054810000000002</v>
      </c>
      <c r="AF1039">
        <v>0.31178024597038001</v>
      </c>
      <c r="AG1039">
        <v>0.17069970000000001</v>
      </c>
      <c r="AH1039">
        <v>3.0343555262347901</v>
      </c>
      <c r="AI1039">
        <v>86.797009448563102</v>
      </c>
      <c r="AJ1039">
        <v>84.133442322799198</v>
      </c>
      <c r="AK1039">
        <v>3.0551037247447201</v>
      </c>
      <c r="AL1039">
        <v>83.438409284842606</v>
      </c>
      <c r="AM1039">
        <v>95.619979061554403</v>
      </c>
      <c r="AN1039">
        <v>1.0000000094340999</v>
      </c>
    </row>
    <row r="1040" spans="1:40" x14ac:dyDescent="0.25">
      <c r="A1040" t="str">
        <f>"20190304154743200"</f>
        <v>20190304154743200</v>
      </c>
      <c r="B1040" t="str">
        <f>"1551685663197687"</f>
        <v>1551685663197687</v>
      </c>
      <c r="C1040" t="s">
        <v>40</v>
      </c>
      <c r="D1040">
        <v>4.0020069999999999</v>
      </c>
      <c r="E1040">
        <v>0.57411599999999996</v>
      </c>
      <c r="F1040" t="s">
        <v>42</v>
      </c>
      <c r="G1040">
        <v>0</v>
      </c>
      <c r="H1040">
        <v>0</v>
      </c>
      <c r="I1040">
        <v>0</v>
      </c>
      <c r="J1040">
        <v>-348.76740000000001</v>
      </c>
      <c r="K1040">
        <v>1.1104050000000001</v>
      </c>
      <c r="L1040">
        <v>366.60649999999998</v>
      </c>
      <c r="M1040">
        <v>0.99988489999999997</v>
      </c>
      <c r="N1040">
        <v>-1.0879740000000001E-2</v>
      </c>
      <c r="O1040">
        <v>1.057344E-2</v>
      </c>
      <c r="P1040">
        <v>0.98872610000000005</v>
      </c>
      <c r="Q1040">
        <v>0.10386280000000001</v>
      </c>
      <c r="R1040">
        <v>0.1078562</v>
      </c>
      <c r="S1040">
        <v>3.046173</v>
      </c>
      <c r="T1040">
        <v>0.17250279999999901</v>
      </c>
      <c r="U1040">
        <v>-0.27688600000000002</v>
      </c>
      <c r="V1040">
        <v>-9.7390930000000001E-2</v>
      </c>
      <c r="W1040">
        <v>0.1146293</v>
      </c>
      <c r="X1040">
        <v>0.98862280000000002</v>
      </c>
      <c r="Y1040">
        <v>0.1008955</v>
      </c>
      <c r="Z1040">
        <v>3.0101289999999998E-3</v>
      </c>
      <c r="AA1040">
        <v>0.99489249999999996</v>
      </c>
      <c r="AB1040">
        <v>27</v>
      </c>
      <c r="AC1040">
        <v>3.046173</v>
      </c>
      <c r="AD1040">
        <v>0.17250279999999901</v>
      </c>
      <c r="AE1040">
        <v>-0.27688600000000002</v>
      </c>
      <c r="AF1040">
        <v>0.30810100678626001</v>
      </c>
      <c r="AG1040">
        <v>0.17250279999999901</v>
      </c>
      <c r="AH1040">
        <v>3.03342675517312</v>
      </c>
      <c r="AI1040">
        <v>86.761872978569798</v>
      </c>
      <c r="AJ1040">
        <v>84.200434601894599</v>
      </c>
      <c r="AK1040">
        <v>3.0539091874826001</v>
      </c>
      <c r="AL1040">
        <v>83.417755594098395</v>
      </c>
      <c r="AM1040">
        <v>95.626152730926094</v>
      </c>
      <c r="AN1040">
        <v>0.99999995517229601</v>
      </c>
    </row>
    <row r="1041" spans="1:40" x14ac:dyDescent="0.25">
      <c r="A1041" t="str">
        <f>"20190304154743212"</f>
        <v>20190304154743212</v>
      </c>
      <c r="B1041" t="str">
        <f>"1551685663207446"</f>
        <v>1551685663207446</v>
      </c>
      <c r="C1041" t="s">
        <v>40</v>
      </c>
      <c r="D1041">
        <v>4.0072910000000004</v>
      </c>
      <c r="E1041">
        <v>0.57357019999999903</v>
      </c>
      <c r="F1041" t="s">
        <v>42</v>
      </c>
      <c r="G1041">
        <v>0</v>
      </c>
      <c r="H1041">
        <v>0</v>
      </c>
      <c r="I1041">
        <v>0</v>
      </c>
      <c r="J1041">
        <v>-348.6309</v>
      </c>
      <c r="K1041">
        <v>1.1104050000000001</v>
      </c>
      <c r="L1041">
        <v>366.60789999999997</v>
      </c>
      <c r="M1041">
        <v>0.99988480000000002</v>
      </c>
      <c r="N1041">
        <v>-1.088163E-2</v>
      </c>
      <c r="O1041">
        <v>1.057343E-2</v>
      </c>
      <c r="P1041">
        <v>0.98875299999999999</v>
      </c>
      <c r="Q1041">
        <v>0.1037802</v>
      </c>
      <c r="R1041">
        <v>0.1076907</v>
      </c>
      <c r="S1041">
        <v>3.0448909999999998</v>
      </c>
      <c r="T1041">
        <v>0.17611070000000001</v>
      </c>
      <c r="U1041">
        <v>-0.2672119</v>
      </c>
      <c r="V1041">
        <v>-9.7224969999999994E-2</v>
      </c>
      <c r="W1041">
        <v>0.11454880000000001</v>
      </c>
      <c r="X1041">
        <v>0.98864850000000004</v>
      </c>
      <c r="Y1041">
        <v>9.7793889999999994E-2</v>
      </c>
      <c r="Z1041">
        <v>3.0115099999999998E-3</v>
      </c>
      <c r="AA1041">
        <v>0.99520209999999998</v>
      </c>
      <c r="AB1041">
        <v>27</v>
      </c>
      <c r="AC1041">
        <v>3.0448909999999998</v>
      </c>
      <c r="AD1041">
        <v>0.17611070000000001</v>
      </c>
      <c r="AE1041">
        <v>-0.2672119</v>
      </c>
      <c r="AF1041">
        <v>0.29840320904548201</v>
      </c>
      <c r="AG1041">
        <v>0.17611070000000001</v>
      </c>
      <c r="AH1041">
        <v>3.0318305504651</v>
      </c>
      <c r="AI1041">
        <v>86.691531825782704</v>
      </c>
      <c r="AJ1041">
        <v>84.378856313989303</v>
      </c>
      <c r="AK1041">
        <v>3.0515661455319401</v>
      </c>
      <c r="AL1041">
        <v>83.422398713933106</v>
      </c>
      <c r="AM1041">
        <v>95.616481711295293</v>
      </c>
      <c r="AN1041">
        <v>0.99999998946259505</v>
      </c>
    </row>
    <row r="1042" spans="1:40" x14ac:dyDescent="0.25">
      <c r="A1042" t="str">
        <f>"20190304154743225"</f>
        <v>20190304154743225</v>
      </c>
      <c r="B1042" t="str">
        <f>"1551685663217715"</f>
        <v>1551685663217715</v>
      </c>
      <c r="C1042" t="s">
        <v>40</v>
      </c>
      <c r="D1042">
        <v>3.990621</v>
      </c>
      <c r="E1042">
        <v>0.57305030000000001</v>
      </c>
      <c r="F1042" t="s">
        <v>48</v>
      </c>
      <c r="G1042">
        <v>-249.70089999999999</v>
      </c>
      <c r="H1042">
        <v>6.8492979999999903</v>
      </c>
      <c r="I1042">
        <v>358.05119999999999</v>
      </c>
      <c r="J1042">
        <v>-348.4871</v>
      </c>
      <c r="K1042">
        <v>1.1104080000000001</v>
      </c>
      <c r="L1042">
        <v>366.60950000000003</v>
      </c>
      <c r="M1042">
        <v>0.99988480000000002</v>
      </c>
      <c r="N1042">
        <v>-1.088369E-2</v>
      </c>
      <c r="O1042">
        <v>1.0573590000000001E-2</v>
      </c>
      <c r="P1042">
        <v>0.98875219999999997</v>
      </c>
      <c r="Q1042">
        <v>0.1038429</v>
      </c>
      <c r="R1042">
        <v>0.10763730000000001</v>
      </c>
      <c r="S1042">
        <v>3.0442809999999998</v>
      </c>
      <c r="T1042">
        <v>0.17660020000000001</v>
      </c>
      <c r="U1042">
        <v>-0.26330569999999998</v>
      </c>
      <c r="V1042">
        <v>-9.7171930000000004E-2</v>
      </c>
      <c r="W1042">
        <v>0.1146137</v>
      </c>
      <c r="X1042">
        <v>0.98864620000000003</v>
      </c>
      <c r="Y1042">
        <v>9.6544679999999994E-2</v>
      </c>
      <c r="Z1042">
        <v>2.9925490000000002E-3</v>
      </c>
      <c r="AA1042">
        <v>0.99532410000000004</v>
      </c>
      <c r="AB1042">
        <v>27</v>
      </c>
      <c r="AC1042">
        <v>98.786199999999994</v>
      </c>
      <c r="AD1042">
        <v>5.7388899999999996</v>
      </c>
      <c r="AE1042">
        <v>-8.5583000000000293</v>
      </c>
      <c r="AF1042">
        <v>9.5703497025842399</v>
      </c>
      <c r="AG1042">
        <v>5.7388899999999996</v>
      </c>
      <c r="AH1042">
        <v>98.360693369705004</v>
      </c>
      <c r="AI1042">
        <v>86.676502045484895</v>
      </c>
      <c r="AJ1042">
        <v>84.442698500484994</v>
      </c>
      <c r="AK1042">
        <v>98.991678700944306</v>
      </c>
      <c r="AL1042">
        <v>83.418655611435497</v>
      </c>
      <c r="AM1042">
        <v>95.613450252680295</v>
      </c>
      <c r="AN1042">
        <v>0.999999996491027</v>
      </c>
    </row>
    <row r="1043" spans="1:40" x14ac:dyDescent="0.25">
      <c r="A1043" t="str">
        <f>"20190304154743237"</f>
        <v>20190304154743237</v>
      </c>
      <c r="B1043" t="str">
        <f>"1551685663227475"</f>
        <v>1551685663227475</v>
      </c>
      <c r="C1043" t="s">
        <v>40</v>
      </c>
      <c r="D1043">
        <v>3.9980470000000001</v>
      </c>
      <c r="E1043">
        <v>0.57256689999999999</v>
      </c>
      <c r="F1043" t="s">
        <v>42</v>
      </c>
      <c r="G1043">
        <v>0</v>
      </c>
      <c r="H1043">
        <v>0</v>
      </c>
      <c r="I1043">
        <v>0</v>
      </c>
      <c r="J1043">
        <v>-348.3347</v>
      </c>
      <c r="K1043">
        <v>1.110409</v>
      </c>
      <c r="L1043">
        <v>366.61110000000002</v>
      </c>
      <c r="M1043">
        <v>0.99988489999999997</v>
      </c>
      <c r="N1043">
        <v>-1.0885880000000001E-2</v>
      </c>
      <c r="O1043">
        <v>1.0573580000000001E-2</v>
      </c>
      <c r="P1043">
        <v>0.98877490000000001</v>
      </c>
      <c r="Q1043">
        <v>0.10400860000000001</v>
      </c>
      <c r="R1043">
        <v>0.1072688</v>
      </c>
      <c r="S1043">
        <v>3.0437620000000001</v>
      </c>
      <c r="T1043">
        <v>0.1771691</v>
      </c>
      <c r="U1043">
        <v>-0.25921630000000001</v>
      </c>
      <c r="V1043">
        <v>-9.680279E-2</v>
      </c>
      <c r="W1043">
        <v>0.1147818</v>
      </c>
      <c r="X1043">
        <v>0.98866290000000001</v>
      </c>
      <c r="Y1043">
        <v>9.5232319999999995E-2</v>
      </c>
      <c r="Z1043">
        <v>2.9732869999999998E-3</v>
      </c>
      <c r="AA1043">
        <v>0.99545059999999996</v>
      </c>
      <c r="AB1043">
        <v>27</v>
      </c>
      <c r="AC1043">
        <v>3.0437620000000001</v>
      </c>
      <c r="AD1043">
        <v>0.1771691</v>
      </c>
      <c r="AE1043">
        <v>-0.25921630000000001</v>
      </c>
      <c r="AF1043">
        <v>0.29041032319601201</v>
      </c>
      <c r="AG1043">
        <v>0.1771691</v>
      </c>
      <c r="AH1043">
        <v>3.0306566285172298</v>
      </c>
      <c r="AI1043">
        <v>86.669575740968398</v>
      </c>
      <c r="AJ1043">
        <v>84.526388909776799</v>
      </c>
      <c r="AK1043">
        <v>3.0496895982688201</v>
      </c>
      <c r="AL1043">
        <v>83.408960134620699</v>
      </c>
      <c r="AM1043">
        <v>95.592167254350102</v>
      </c>
      <c r="AN1043">
        <v>0.99999998579971605</v>
      </c>
    </row>
    <row r="1044" spans="1:40" x14ac:dyDescent="0.25">
      <c r="A1044" t="str">
        <f>"20190304154743249"</f>
        <v>20190304154743249</v>
      </c>
      <c r="B1044" t="str">
        <f>"1551685663238211"</f>
        <v>1551685663238211</v>
      </c>
      <c r="C1044" t="s">
        <v>40</v>
      </c>
      <c r="D1044">
        <v>3.9885470000000001</v>
      </c>
      <c r="E1044">
        <v>0.57208049999999999</v>
      </c>
      <c r="F1044" t="s">
        <v>42</v>
      </c>
      <c r="G1044">
        <v>0</v>
      </c>
      <c r="H1044">
        <v>0</v>
      </c>
      <c r="I1044">
        <v>0</v>
      </c>
      <c r="J1044">
        <v>-348.18349999999998</v>
      </c>
      <c r="K1044">
        <v>1.1104080000000001</v>
      </c>
      <c r="L1044">
        <v>366.61270000000002</v>
      </c>
      <c r="M1044">
        <v>0.99988489999999997</v>
      </c>
      <c r="N1044">
        <v>-1.088805E-2</v>
      </c>
      <c r="O1044">
        <v>1.057375E-2</v>
      </c>
      <c r="P1044">
        <v>0.98879010000000001</v>
      </c>
      <c r="Q1044">
        <v>0.1041444</v>
      </c>
      <c r="R1044">
        <v>0.1069968</v>
      </c>
      <c r="S1044">
        <v>3.0431819999999998</v>
      </c>
      <c r="T1044">
        <v>0.178093</v>
      </c>
      <c r="U1044">
        <v>-0.25640869999999999</v>
      </c>
      <c r="V1044">
        <v>-9.6530619999999998E-2</v>
      </c>
      <c r="W1044">
        <v>0.1149197</v>
      </c>
      <c r="X1044">
        <v>0.98867349999999998</v>
      </c>
      <c r="Y1044">
        <v>9.4336069999999994E-2</v>
      </c>
      <c r="Z1044">
        <v>2.970332E-3</v>
      </c>
      <c r="AA1044">
        <v>0.99553599999999998</v>
      </c>
      <c r="AB1044">
        <v>27</v>
      </c>
      <c r="AC1044">
        <v>3.0431819999999998</v>
      </c>
      <c r="AD1044">
        <v>0.178093</v>
      </c>
      <c r="AE1044">
        <v>-0.25640869999999999</v>
      </c>
      <c r="AF1044">
        <v>0.28759609271845199</v>
      </c>
      <c r="AG1044">
        <v>0.178093</v>
      </c>
      <c r="AH1044">
        <v>3.0299964486620499</v>
      </c>
      <c r="AI1044">
        <v>86.651233234482902</v>
      </c>
      <c r="AJ1044">
        <v>84.577939537340498</v>
      </c>
      <c r="AK1044">
        <v>3.0488206093669299</v>
      </c>
      <c r="AL1044">
        <v>83.401006468009498</v>
      </c>
      <c r="AM1044">
        <v>95.576484192133506</v>
      </c>
      <c r="AN1044">
        <v>0.99999999382396199</v>
      </c>
    </row>
    <row r="1045" spans="1:40" x14ac:dyDescent="0.25">
      <c r="A1045" t="str">
        <f>"20190304154743263"</f>
        <v>20190304154743263</v>
      </c>
      <c r="B1045" t="str">
        <f>"1551685663257731"</f>
        <v>1551685663257731</v>
      </c>
      <c r="C1045" t="s">
        <v>40</v>
      </c>
      <c r="D1045">
        <v>4.0171789999999996</v>
      </c>
      <c r="E1045">
        <v>0.57114119999999902</v>
      </c>
      <c r="F1045" t="s">
        <v>42</v>
      </c>
      <c r="G1045">
        <v>0</v>
      </c>
      <c r="H1045">
        <v>0</v>
      </c>
      <c r="I1045">
        <v>0</v>
      </c>
      <c r="J1045">
        <v>-348.03300000000002</v>
      </c>
      <c r="K1045">
        <v>1.110411</v>
      </c>
      <c r="L1045">
        <v>366.61430000000001</v>
      </c>
      <c r="M1045">
        <v>0.99988500000000002</v>
      </c>
      <c r="N1045">
        <v>-1.0890179999999999E-2</v>
      </c>
      <c r="O1045">
        <v>1.057374E-2</v>
      </c>
      <c r="P1045">
        <v>0.9888517</v>
      </c>
      <c r="Q1045">
        <v>0.10405490000000001</v>
      </c>
      <c r="R1045">
        <v>0.1065146</v>
      </c>
      <c r="S1045">
        <v>3.0425420000000001</v>
      </c>
      <c r="T1045">
        <v>0.17911260000000001</v>
      </c>
      <c r="U1045">
        <v>-0.25314330000000002</v>
      </c>
      <c r="V1045">
        <v>-9.6047889999999997E-2</v>
      </c>
      <c r="W1045">
        <v>0.1148325</v>
      </c>
      <c r="X1045">
        <v>0.98873069999999996</v>
      </c>
      <c r="Y1045">
        <v>9.3291990000000005E-2</v>
      </c>
      <c r="Z1045">
        <v>2.9654439999999998E-3</v>
      </c>
      <c r="AA1045">
        <v>0.99563440000000003</v>
      </c>
      <c r="AB1045">
        <v>27</v>
      </c>
      <c r="AC1045">
        <v>3.0425420000000001</v>
      </c>
      <c r="AD1045">
        <v>0.17911260000000001</v>
      </c>
      <c r="AE1045">
        <v>-0.25314330000000002</v>
      </c>
      <c r="AF1045">
        <v>0.284323517010521</v>
      </c>
      <c r="AG1045">
        <v>0.17911260000000001</v>
      </c>
      <c r="AH1045">
        <v>3.0292689843865599</v>
      </c>
      <c r="AI1045">
        <v>86.630965765556297</v>
      </c>
      <c r="AJ1045">
        <v>84.637996201937796</v>
      </c>
      <c r="AK1045">
        <v>3.04785035157082</v>
      </c>
      <c r="AL1045">
        <v>83.406036319393095</v>
      </c>
      <c r="AM1045">
        <v>95.5484527948513</v>
      </c>
      <c r="AN1045">
        <v>1.00000004867609</v>
      </c>
    </row>
    <row r="1046" spans="1:40" x14ac:dyDescent="0.25">
      <c r="A1046" t="str">
        <f>"20190304154743279"</f>
        <v>20190304154743279</v>
      </c>
      <c r="B1046" t="str">
        <f>"1551685663267491"</f>
        <v>1551685663267491</v>
      </c>
      <c r="C1046" t="s">
        <v>40</v>
      </c>
      <c r="D1046">
        <v>4.0750120000000001</v>
      </c>
      <c r="E1046">
        <v>0.57065699999999997</v>
      </c>
      <c r="F1046" t="s">
        <v>43</v>
      </c>
      <c r="G1046">
        <v>-158.78319999999999</v>
      </c>
      <c r="H1046">
        <v>12.23723</v>
      </c>
      <c r="I1046">
        <v>351.2321</v>
      </c>
      <c r="J1046">
        <v>-347.8356</v>
      </c>
      <c r="K1046">
        <v>1.1104099999999999</v>
      </c>
      <c r="L1046">
        <v>366.6164</v>
      </c>
      <c r="M1046">
        <v>0.99988469999999996</v>
      </c>
      <c r="N1046">
        <v>-1.089297E-2</v>
      </c>
      <c r="O1046">
        <v>1.057408E-2</v>
      </c>
      <c r="P1046">
        <v>0.98895619999999995</v>
      </c>
      <c r="Q1046">
        <v>0.1033085</v>
      </c>
      <c r="R1046">
        <v>0.106269</v>
      </c>
      <c r="S1046">
        <v>3.0416259999999999</v>
      </c>
      <c r="T1046">
        <v>0.17883180000000001</v>
      </c>
      <c r="U1046">
        <v>-0.2472229</v>
      </c>
      <c r="V1046">
        <v>-9.5801070000000002E-2</v>
      </c>
      <c r="W1046">
        <v>0.1140902</v>
      </c>
      <c r="X1046">
        <v>0.98884050000000001</v>
      </c>
      <c r="Y1046">
        <v>9.1395030000000002E-2</v>
      </c>
      <c r="Z1046">
        <v>2.9161590000000002E-3</v>
      </c>
      <c r="AA1046">
        <v>0.99581039999999998</v>
      </c>
      <c r="AB1046">
        <v>27</v>
      </c>
      <c r="AC1046">
        <v>189.05240000000001</v>
      </c>
      <c r="AD1046">
        <v>11.12682</v>
      </c>
      <c r="AE1046">
        <v>-15.3842999999999</v>
      </c>
      <c r="AF1046">
        <v>17.323001633263399</v>
      </c>
      <c r="AG1046">
        <v>11.12682</v>
      </c>
      <c r="AH1046">
        <v>188.23140091316199</v>
      </c>
      <c r="AI1046">
        <v>86.631245452697101</v>
      </c>
      <c r="AJ1046">
        <v>84.7418607534335</v>
      </c>
      <c r="AK1046">
        <v>189.35404088276101</v>
      </c>
      <c r="AL1046">
        <v>83.448847874582299</v>
      </c>
      <c r="AM1046">
        <v>95.533672529421295</v>
      </c>
      <c r="AN1046">
        <v>0.99999997659471695</v>
      </c>
    </row>
    <row r="1047" spans="1:40" x14ac:dyDescent="0.25">
      <c r="A1047" t="str">
        <f>"20190304154743289"</f>
        <v>20190304154743289</v>
      </c>
      <c r="B1047" t="str">
        <f>"1551685663287987"</f>
        <v>1551685663287987</v>
      </c>
      <c r="C1047" t="s">
        <v>40</v>
      </c>
      <c r="D1047">
        <v>4.0346260000000003</v>
      </c>
      <c r="E1047">
        <v>0.56972860000000003</v>
      </c>
      <c r="F1047" t="s">
        <v>43</v>
      </c>
      <c r="G1047">
        <v>-158.78319999999999</v>
      </c>
      <c r="H1047">
        <v>12.08534</v>
      </c>
      <c r="I1047">
        <v>351.43630000000002</v>
      </c>
      <c r="J1047">
        <v>-347.7047</v>
      </c>
      <c r="K1047">
        <v>1.110406</v>
      </c>
      <c r="L1047">
        <v>366.61770000000001</v>
      </c>
      <c r="M1047">
        <v>0.99988469999999996</v>
      </c>
      <c r="N1047">
        <v>-1.089482E-2</v>
      </c>
      <c r="O1047">
        <v>1.0574190000000001E-2</v>
      </c>
      <c r="P1047">
        <v>0.98905960000000004</v>
      </c>
      <c r="Q1047">
        <v>0.1025711</v>
      </c>
      <c r="R1047">
        <v>0.1060213</v>
      </c>
      <c r="S1047">
        <v>3.04129</v>
      </c>
      <c r="T1047">
        <v>0.1765553</v>
      </c>
      <c r="U1047">
        <v>-0.24420169999999999</v>
      </c>
      <c r="V1047">
        <v>-9.5552189999999995E-2</v>
      </c>
      <c r="W1047">
        <v>0.1133559</v>
      </c>
      <c r="X1047">
        <v>0.98894910000000003</v>
      </c>
      <c r="Y1047">
        <v>9.0426530000000005E-2</v>
      </c>
      <c r="Z1047">
        <v>2.851929E-3</v>
      </c>
      <c r="AA1047">
        <v>0.99589899999999998</v>
      </c>
      <c r="AB1047">
        <v>27</v>
      </c>
      <c r="AC1047">
        <v>188.92150000000001</v>
      </c>
      <c r="AD1047">
        <v>10.974933999999999</v>
      </c>
      <c r="AE1047">
        <v>-15.181399999999901</v>
      </c>
      <c r="AF1047">
        <v>17.120953460094398</v>
      </c>
      <c r="AG1047">
        <v>10.974933999999999</v>
      </c>
      <c r="AH1047">
        <v>188.119613293989</v>
      </c>
      <c r="AI1047">
        <v>86.674849611498303</v>
      </c>
      <c r="AJ1047">
        <v>84.799780246025506</v>
      </c>
      <c r="AK1047">
        <v>189.21565772833699</v>
      </c>
      <c r="AL1047">
        <v>83.491195385368599</v>
      </c>
      <c r="AM1047">
        <v>95.5187832184358</v>
      </c>
      <c r="AN1047">
        <v>1.0000000517347001</v>
      </c>
    </row>
    <row r="1048" spans="1:40" x14ac:dyDescent="0.25">
      <c r="A1048" t="str">
        <f>"20190304154743303"</f>
        <v>20190304154743303</v>
      </c>
      <c r="B1048" t="str">
        <f>"1551685663297747"</f>
        <v>1551685663297747</v>
      </c>
      <c r="C1048" t="s">
        <v>40</v>
      </c>
      <c r="D1048">
        <v>4.050217</v>
      </c>
      <c r="E1048">
        <v>0.56928369999999995</v>
      </c>
      <c r="F1048" t="s">
        <v>43</v>
      </c>
      <c r="G1048">
        <v>-158.78319999999999</v>
      </c>
      <c r="H1048">
        <v>11.94265</v>
      </c>
      <c r="I1048">
        <v>351.84660000000002</v>
      </c>
      <c r="J1048">
        <v>-347.56639999999999</v>
      </c>
      <c r="K1048">
        <v>1.110406</v>
      </c>
      <c r="L1048">
        <v>366.61919999999998</v>
      </c>
      <c r="M1048">
        <v>0.99988469999999996</v>
      </c>
      <c r="N1048">
        <v>-1.089679E-2</v>
      </c>
      <c r="O1048">
        <v>1.0574180000000001E-2</v>
      </c>
      <c r="P1048">
        <v>0.98911079999999996</v>
      </c>
      <c r="Q1048">
        <v>0.10231709999999999</v>
      </c>
      <c r="R1048">
        <v>0.1057888</v>
      </c>
      <c r="S1048">
        <v>3.0405579999999999</v>
      </c>
      <c r="T1048">
        <v>0.17433860000000001</v>
      </c>
      <c r="U1048">
        <v>-0.2377319</v>
      </c>
      <c r="V1048">
        <v>-9.5319150000000005E-2</v>
      </c>
      <c r="W1048">
        <v>0.1131043</v>
      </c>
      <c r="X1048">
        <v>0.98900030000000005</v>
      </c>
      <c r="Y1048">
        <v>8.8346179999999996E-2</v>
      </c>
      <c r="Z1048">
        <v>2.764313E-3</v>
      </c>
      <c r="AA1048">
        <v>0.99608600000000003</v>
      </c>
      <c r="AB1048">
        <v>27</v>
      </c>
      <c r="AC1048">
        <v>188.78319999999999</v>
      </c>
      <c r="AD1048">
        <v>10.832243999999999</v>
      </c>
      <c r="AE1048">
        <v>-14.772599999999899</v>
      </c>
      <c r="AF1048">
        <v>16.7134280026224</v>
      </c>
      <c r="AG1048">
        <v>10.832243999999999</v>
      </c>
      <c r="AH1048">
        <v>188.001222118214</v>
      </c>
      <c r="AI1048">
        <v>86.715306818164194</v>
      </c>
      <c r="AJ1048">
        <v>84.919724421347198</v>
      </c>
      <c r="AK1048">
        <v>189.05326155244299</v>
      </c>
      <c r="AL1048">
        <v>83.505703702766297</v>
      </c>
      <c r="AM1048">
        <v>95.505123120262397</v>
      </c>
      <c r="AN1048">
        <v>0.99999995821764998</v>
      </c>
    </row>
    <row r="1049" spans="1:40" x14ac:dyDescent="0.25">
      <c r="A1049" t="str">
        <f>"20190304154743313"</f>
        <v>20190304154743313</v>
      </c>
      <c r="B1049" t="str">
        <f>"1551685663307507"</f>
        <v>1551685663307507</v>
      </c>
      <c r="C1049" t="s">
        <v>40</v>
      </c>
      <c r="D1049">
        <v>4.0483960000000003</v>
      </c>
      <c r="E1049">
        <v>0.56886320000000001</v>
      </c>
      <c r="F1049" t="s">
        <v>43</v>
      </c>
      <c r="G1049">
        <v>-158.78319999999999</v>
      </c>
      <c r="H1049">
        <v>11.86265</v>
      </c>
      <c r="I1049">
        <v>352.03719999999998</v>
      </c>
      <c r="J1049">
        <v>-347.4212</v>
      </c>
      <c r="K1049">
        <v>1.1104069999999999</v>
      </c>
      <c r="L1049">
        <v>366.62079999999997</v>
      </c>
      <c r="M1049">
        <v>0.99988480000000002</v>
      </c>
      <c r="N1049">
        <v>-1.089886E-2</v>
      </c>
      <c r="O1049">
        <v>1.0574170000000001E-2</v>
      </c>
      <c r="P1049">
        <v>0.98909309999999995</v>
      </c>
      <c r="Q1049">
        <v>0.1025134</v>
      </c>
      <c r="R1049">
        <v>0.1057642</v>
      </c>
      <c r="S1049">
        <v>3.040222</v>
      </c>
      <c r="T1049">
        <v>0.1731586</v>
      </c>
      <c r="U1049">
        <v>-0.23483280000000001</v>
      </c>
      <c r="V1049">
        <v>-9.529435E-2</v>
      </c>
      <c r="W1049">
        <v>0.1133029</v>
      </c>
      <c r="X1049">
        <v>0.98897999999999997</v>
      </c>
      <c r="Y1049">
        <v>8.7413729999999995E-2</v>
      </c>
      <c r="Z1049">
        <v>2.722164E-3</v>
      </c>
      <c r="AA1049">
        <v>0.99616839999999995</v>
      </c>
      <c r="AB1049">
        <v>27</v>
      </c>
      <c r="AC1049">
        <v>188.63800000000001</v>
      </c>
      <c r="AD1049">
        <v>10.752243</v>
      </c>
      <c r="AE1049">
        <v>-14.583599999999899</v>
      </c>
      <c r="AF1049">
        <v>16.524226095250398</v>
      </c>
      <c r="AG1049">
        <v>10.752243</v>
      </c>
      <c r="AH1049">
        <v>187.86649583915101</v>
      </c>
      <c r="AI1049">
        <v>86.736910554525593</v>
      </c>
      <c r="AJ1049">
        <v>84.973355258088006</v>
      </c>
      <c r="AK1049">
        <v>188.89807049427401</v>
      </c>
      <c r="AL1049">
        <v>83.494251416486307</v>
      </c>
      <c r="AM1049">
        <v>95.503811877188497</v>
      </c>
      <c r="AN1049">
        <v>1.0000000003451599</v>
      </c>
    </row>
    <row r="1050" spans="1:40" x14ac:dyDescent="0.25">
      <c r="A1050" t="str">
        <f>"20190304154743324"</f>
        <v>20190304154743324</v>
      </c>
      <c r="B1050" t="str">
        <f>"1551685663317775"</f>
        <v>1551685663317775</v>
      </c>
      <c r="C1050" t="s">
        <v>40</v>
      </c>
      <c r="D1050">
        <v>4.0289380000000001</v>
      </c>
      <c r="E1050">
        <v>0.5684302</v>
      </c>
      <c r="F1050" t="s">
        <v>43</v>
      </c>
      <c r="G1050">
        <v>-158.78319999999999</v>
      </c>
      <c r="H1050">
        <v>11.86857</v>
      </c>
      <c r="I1050">
        <v>352.25459999999998</v>
      </c>
      <c r="J1050">
        <v>-347.29169999999999</v>
      </c>
      <c r="K1050">
        <v>1.1104080000000001</v>
      </c>
      <c r="L1050">
        <v>366.62209999999999</v>
      </c>
      <c r="M1050">
        <v>0.99988469999999996</v>
      </c>
      <c r="N1050">
        <v>-1.0900730000000001E-2</v>
      </c>
      <c r="O1050">
        <v>1.0574510000000001E-2</v>
      </c>
      <c r="P1050">
        <v>0.98904840000000005</v>
      </c>
      <c r="Q1050">
        <v>0.1031816</v>
      </c>
      <c r="R1050">
        <v>0.1055302</v>
      </c>
      <c r="S1050">
        <v>3.0398559999999999</v>
      </c>
      <c r="T1050">
        <v>0.17336650000000001</v>
      </c>
      <c r="U1050">
        <v>-0.2315063</v>
      </c>
      <c r="V1050">
        <v>-9.5060660000000005E-2</v>
      </c>
      <c r="W1050">
        <v>0.1139723</v>
      </c>
      <c r="X1050">
        <v>0.98892559999999996</v>
      </c>
      <c r="Y1050">
        <v>8.6340520000000004E-2</v>
      </c>
      <c r="Z1050">
        <v>2.701672E-3</v>
      </c>
      <c r="AA1050">
        <v>0.99626199999999998</v>
      </c>
      <c r="AB1050">
        <v>27</v>
      </c>
      <c r="AC1050">
        <v>188.5085</v>
      </c>
      <c r="AD1050">
        <v>10.758161999999899</v>
      </c>
      <c r="AE1050">
        <v>-14.3675</v>
      </c>
      <c r="AF1050">
        <v>16.307393988020198</v>
      </c>
      <c r="AG1050">
        <v>10.758161999999899</v>
      </c>
      <c r="AH1050">
        <v>187.738093981899</v>
      </c>
      <c r="AI1050">
        <v>86.732580363629197</v>
      </c>
      <c r="AJ1050">
        <v>85.0356078141143</v>
      </c>
      <c r="AK1050">
        <v>188.75185053465</v>
      </c>
      <c r="AL1050">
        <v>83.455647739139295</v>
      </c>
      <c r="AM1050">
        <v>95.4906976483731</v>
      </c>
      <c r="AN1050">
        <v>1.0000000282911401</v>
      </c>
    </row>
    <row r="1051" spans="1:40" x14ac:dyDescent="0.25">
      <c r="A1051" t="str">
        <f>"20190304154743335"</f>
        <v>20190304154743335</v>
      </c>
      <c r="B1051" t="str">
        <f>"1551685663327535"</f>
        <v>1551685663327535</v>
      </c>
      <c r="C1051" t="s">
        <v>40</v>
      </c>
      <c r="D1051">
        <v>4.0802300000000002</v>
      </c>
      <c r="E1051">
        <v>0.56799500000000003</v>
      </c>
      <c r="F1051" t="s">
        <v>43</v>
      </c>
      <c r="G1051">
        <v>-158.78319999999999</v>
      </c>
      <c r="H1051">
        <v>11.97</v>
      </c>
      <c r="I1051">
        <v>352.45080000000002</v>
      </c>
      <c r="J1051">
        <v>-347.16410000000002</v>
      </c>
      <c r="K1051">
        <v>1.1104099999999999</v>
      </c>
      <c r="L1051">
        <v>366.6234</v>
      </c>
      <c r="M1051">
        <v>0.99988469999999996</v>
      </c>
      <c r="N1051">
        <v>-1.090258E-2</v>
      </c>
      <c r="O1051">
        <v>1.0574500000000001E-2</v>
      </c>
      <c r="P1051">
        <v>0.98900840000000001</v>
      </c>
      <c r="Q1051">
        <v>0.10350810000000001</v>
      </c>
      <c r="R1051">
        <v>0.10558679999999999</v>
      </c>
      <c r="S1051">
        <v>3.0393370000000002</v>
      </c>
      <c r="T1051">
        <v>0.17509129999999901</v>
      </c>
      <c r="U1051">
        <v>-0.2284851</v>
      </c>
      <c r="V1051">
        <v>-9.5117400000000005E-2</v>
      </c>
      <c r="W1051">
        <v>0.1142996</v>
      </c>
      <c r="X1051">
        <v>0.98888240000000005</v>
      </c>
      <c r="Y1051">
        <v>8.5366979999999995E-2</v>
      </c>
      <c r="Z1051">
        <v>2.7099759999999998E-3</v>
      </c>
      <c r="AA1051">
        <v>0.99634590000000001</v>
      </c>
      <c r="AB1051">
        <v>27</v>
      </c>
      <c r="AC1051">
        <v>188.3809</v>
      </c>
      <c r="AD1051">
        <v>10.859589999999899</v>
      </c>
      <c r="AE1051">
        <v>-14.1725999999999</v>
      </c>
      <c r="AF1051">
        <v>16.1107222160649</v>
      </c>
      <c r="AG1051">
        <v>10.859589999999899</v>
      </c>
      <c r="AH1051">
        <v>187.600568445482</v>
      </c>
      <c r="AI1051">
        <v>86.699152328171905</v>
      </c>
      <c r="AJ1051">
        <v>85.091607896537795</v>
      </c>
      <c r="AK1051">
        <v>188.60397489543899</v>
      </c>
      <c r="AL1051">
        <v>83.436771684190006</v>
      </c>
      <c r="AM1051">
        <v>95.494193439987399</v>
      </c>
      <c r="AN1051">
        <v>1.0000000596863301</v>
      </c>
    </row>
    <row r="1052" spans="1:40" x14ac:dyDescent="0.25">
      <c r="A1052" t="str">
        <f>"20190304154743346"</f>
        <v>20190304154743346</v>
      </c>
      <c r="B1052" t="str">
        <f>"1551685663338272"</f>
        <v>1551685663338272</v>
      </c>
      <c r="C1052" t="s">
        <v>40</v>
      </c>
      <c r="D1052">
        <v>4.0832199999999998</v>
      </c>
      <c r="E1052">
        <v>0.56761790000000001</v>
      </c>
      <c r="F1052" t="s">
        <v>43</v>
      </c>
      <c r="G1052">
        <v>-158.78319999999999</v>
      </c>
      <c r="H1052">
        <v>12.0128</v>
      </c>
      <c r="I1052">
        <v>352.67950000000002</v>
      </c>
      <c r="J1052">
        <v>-347.03250000000003</v>
      </c>
      <c r="K1052">
        <v>1.110411</v>
      </c>
      <c r="L1052">
        <v>366.62479999999999</v>
      </c>
      <c r="M1052">
        <v>0.99988469999999996</v>
      </c>
      <c r="N1052">
        <v>-1.0904499999999999E-2</v>
      </c>
      <c r="O1052">
        <v>1.057467E-2</v>
      </c>
      <c r="P1052">
        <v>0.98901190000000005</v>
      </c>
      <c r="Q1052">
        <v>0.1035046</v>
      </c>
      <c r="R1052">
        <v>0.1055579</v>
      </c>
      <c r="S1052">
        <v>3.0389710000000001</v>
      </c>
      <c r="T1052">
        <v>0.17587920000000001</v>
      </c>
      <c r="U1052">
        <v>-0.22494510000000001</v>
      </c>
      <c r="V1052">
        <v>-9.5088660000000005E-2</v>
      </c>
      <c r="W1052">
        <v>0.1142982</v>
      </c>
      <c r="X1052">
        <v>0.98888529999999997</v>
      </c>
      <c r="Y1052">
        <v>8.422201E-2</v>
      </c>
      <c r="Z1052">
        <v>2.6973969999999998E-3</v>
      </c>
      <c r="AA1052">
        <v>0.99644339999999998</v>
      </c>
      <c r="AB1052">
        <v>27</v>
      </c>
      <c r="AC1052">
        <v>188.24930000000001</v>
      </c>
      <c r="AD1052">
        <v>10.902388999999999</v>
      </c>
      <c r="AE1052">
        <v>-13.9452999999999</v>
      </c>
      <c r="AF1052">
        <v>15.882332357704501</v>
      </c>
      <c r="AG1052">
        <v>10.902388999999999</v>
      </c>
      <c r="AH1052">
        <v>187.46594869752499</v>
      </c>
      <c r="AI1052">
        <v>86.683473747959596</v>
      </c>
      <c r="AJ1052">
        <v>85.157399291695398</v>
      </c>
      <c r="AK1052">
        <v>188.453157278118</v>
      </c>
      <c r="AL1052">
        <v>83.436852259230804</v>
      </c>
      <c r="AM1052">
        <v>95.492527497817605</v>
      </c>
      <c r="AN1052">
        <v>1.00000003416996</v>
      </c>
    </row>
    <row r="1053" spans="1:40" x14ac:dyDescent="0.25">
      <c r="A1053" t="str">
        <f>"20190304154743357"</f>
        <v>20190304154743357</v>
      </c>
      <c r="B1053" t="str">
        <f>"1551685663348031"</f>
        <v>1551685663348031</v>
      </c>
      <c r="C1053" t="s">
        <v>40</v>
      </c>
      <c r="D1053">
        <v>4.0901379999999996</v>
      </c>
      <c r="E1053">
        <v>0.56696049999999998</v>
      </c>
      <c r="F1053" t="s">
        <v>43</v>
      </c>
      <c r="G1053">
        <v>-158.78319999999999</v>
      </c>
      <c r="H1053">
        <v>12.00529</v>
      </c>
      <c r="I1053">
        <v>352.85180000000003</v>
      </c>
      <c r="J1053">
        <v>-346.90039999999999</v>
      </c>
      <c r="K1053">
        <v>1.1104099999999999</v>
      </c>
      <c r="L1053">
        <v>366.62630000000001</v>
      </c>
      <c r="M1053">
        <v>0.99988460000000001</v>
      </c>
      <c r="N1053">
        <v>-1.090644E-2</v>
      </c>
      <c r="O1053">
        <v>1.057466E-2</v>
      </c>
      <c r="P1053">
        <v>0.98901320000000004</v>
      </c>
      <c r="Q1053">
        <v>0.1035129</v>
      </c>
      <c r="R1053">
        <v>0.1055372</v>
      </c>
      <c r="S1053">
        <v>3.0386660000000001</v>
      </c>
      <c r="T1053">
        <v>0.1758634</v>
      </c>
      <c r="U1053">
        <v>-0.22232060000000001</v>
      </c>
      <c r="V1053">
        <v>-9.5067810000000003E-2</v>
      </c>
      <c r="W1053">
        <v>0.1143086</v>
      </c>
      <c r="X1053">
        <v>0.98888609999999999</v>
      </c>
      <c r="Y1053">
        <v>8.3374480000000001E-2</v>
      </c>
      <c r="Z1053">
        <v>2.6776370000000001E-3</v>
      </c>
      <c r="AA1053">
        <v>0.99651469999999998</v>
      </c>
      <c r="AB1053">
        <v>27</v>
      </c>
      <c r="AC1053">
        <v>188.1172</v>
      </c>
      <c r="AD1053">
        <v>10.894880000000001</v>
      </c>
      <c r="AE1053">
        <v>-13.7744999999999</v>
      </c>
      <c r="AF1053">
        <v>15.7107078021092</v>
      </c>
      <c r="AG1053">
        <v>10.894880000000001</v>
      </c>
      <c r="AH1053">
        <v>187.33600135842801</v>
      </c>
      <c r="AI1053">
        <v>86.683221607047201</v>
      </c>
      <c r="AJ1053">
        <v>85.206176095125997</v>
      </c>
      <c r="AK1053">
        <v>188.30906020375801</v>
      </c>
      <c r="AL1053">
        <v>83.436252435344997</v>
      </c>
      <c r="AM1053">
        <v>95.491326103624004</v>
      </c>
      <c r="AN1053">
        <v>1.00000003165268</v>
      </c>
    </row>
    <row r="1054" spans="1:40" x14ac:dyDescent="0.25">
      <c r="A1054" t="str">
        <f>"20190304154743368"</f>
        <v>20190304154743368</v>
      </c>
      <c r="B1054" t="str">
        <f>"1551685663357791"</f>
        <v>1551685663357791</v>
      </c>
      <c r="C1054" t="s">
        <v>40</v>
      </c>
      <c r="D1054">
        <v>4.0897269999999999</v>
      </c>
      <c r="E1054">
        <v>0.56632769999999899</v>
      </c>
      <c r="F1054" t="s">
        <v>43</v>
      </c>
      <c r="G1054">
        <v>-168.84350000000001</v>
      </c>
      <c r="H1054">
        <v>11.31742</v>
      </c>
      <c r="I1054">
        <v>353.89409999999998</v>
      </c>
      <c r="J1054">
        <v>-346.76639999999998</v>
      </c>
      <c r="K1054">
        <v>1.1104099999999999</v>
      </c>
      <c r="L1054">
        <v>366.6277</v>
      </c>
      <c r="M1054">
        <v>0.99988469999999996</v>
      </c>
      <c r="N1054">
        <v>-1.090842E-2</v>
      </c>
      <c r="O1054">
        <v>1.057465E-2</v>
      </c>
      <c r="P1054">
        <v>0.98906329999999998</v>
      </c>
      <c r="Q1054">
        <v>0.1030662</v>
      </c>
      <c r="R1054">
        <v>0.10550569999999999</v>
      </c>
      <c r="S1054">
        <v>3.0382690000000001</v>
      </c>
      <c r="T1054">
        <v>0.1741685</v>
      </c>
      <c r="U1054">
        <v>-0.21725459999999999</v>
      </c>
      <c r="V1054">
        <v>-9.5035900000000006E-2</v>
      </c>
      <c r="W1054">
        <v>0.1138642</v>
      </c>
      <c r="X1054">
        <v>0.98894040000000005</v>
      </c>
      <c r="Y1054">
        <v>8.1735829999999995E-2</v>
      </c>
      <c r="Z1054">
        <v>2.61123E-3</v>
      </c>
      <c r="AA1054">
        <v>0.99665060000000005</v>
      </c>
      <c r="AB1054">
        <v>27</v>
      </c>
      <c r="AC1054">
        <v>177.922899999999</v>
      </c>
      <c r="AD1054">
        <v>10.20701</v>
      </c>
      <c r="AE1054">
        <v>-12.733599999999999</v>
      </c>
      <c r="AF1054">
        <v>14.5667764965358</v>
      </c>
      <c r="AG1054">
        <v>10.20701</v>
      </c>
      <c r="AH1054">
        <v>177.198094658771</v>
      </c>
      <c r="AI1054">
        <v>86.714335742942097</v>
      </c>
      <c r="AJ1054">
        <v>85.300500639766895</v>
      </c>
      <c r="AK1054">
        <v>178.08857004686999</v>
      </c>
      <c r="AL1054">
        <v>83.461881788467494</v>
      </c>
      <c r="AM1054">
        <v>95.489194600622994</v>
      </c>
      <c r="AN1054">
        <v>0.999999996541305</v>
      </c>
    </row>
    <row r="1055" spans="1:40" x14ac:dyDescent="0.25">
      <c r="A1055" t="str">
        <f>"20190304154743379"</f>
        <v>20190304154743379</v>
      </c>
      <c r="B1055" t="str">
        <f>"1551685663367551"</f>
        <v>1551685663367551</v>
      </c>
      <c r="C1055" t="s">
        <v>40</v>
      </c>
      <c r="D1055">
        <v>4.1005159999999998</v>
      </c>
      <c r="E1055">
        <v>0.56570940000000003</v>
      </c>
      <c r="F1055" t="s">
        <v>43</v>
      </c>
      <c r="G1055">
        <v>-168.84350000000001</v>
      </c>
      <c r="H1055">
        <v>11.135439999999999</v>
      </c>
      <c r="I1055">
        <v>354.1934</v>
      </c>
      <c r="J1055">
        <v>-346.6386</v>
      </c>
      <c r="K1055">
        <v>1.1104099999999999</v>
      </c>
      <c r="L1055">
        <v>366.62909999999999</v>
      </c>
      <c r="M1055">
        <v>0.99988460000000001</v>
      </c>
      <c r="N1055">
        <v>-1.09103E-2</v>
      </c>
      <c r="O1055">
        <v>1.057464E-2</v>
      </c>
      <c r="P1055">
        <v>0.9890639</v>
      </c>
      <c r="Q1055">
        <v>0.1029983</v>
      </c>
      <c r="R1055">
        <v>0.1055661</v>
      </c>
      <c r="S1055">
        <v>3.0379640000000001</v>
      </c>
      <c r="T1055">
        <v>0.17117489999999999</v>
      </c>
      <c r="U1055">
        <v>-0.21231079999999999</v>
      </c>
      <c r="V1055">
        <v>-9.5096040000000007E-2</v>
      </c>
      <c r="W1055">
        <v>0.11379839999999999</v>
      </c>
      <c r="X1055">
        <v>0.98894219999999999</v>
      </c>
      <c r="Y1055">
        <v>8.0135810000000002E-2</v>
      </c>
      <c r="Z1055">
        <v>2.5249309999999998E-3</v>
      </c>
      <c r="AA1055">
        <v>0.99678080000000002</v>
      </c>
      <c r="AB1055">
        <v>27</v>
      </c>
      <c r="AC1055">
        <v>177.79509999999999</v>
      </c>
      <c r="AD1055">
        <v>10.025029999999999</v>
      </c>
      <c r="AE1055">
        <v>-12.435699999999899</v>
      </c>
      <c r="AF1055">
        <v>14.2700875716118</v>
      </c>
      <c r="AG1055">
        <v>10.025029999999999</v>
      </c>
      <c r="AH1055">
        <v>177.09335465417701</v>
      </c>
      <c r="AI1055">
        <v>86.770462142150805</v>
      </c>
      <c r="AJ1055">
        <v>85.393090563642701</v>
      </c>
      <c r="AK1055">
        <v>177.94997299373901</v>
      </c>
      <c r="AL1055">
        <v>83.465676563810305</v>
      </c>
      <c r="AM1055">
        <v>95.492637064660101</v>
      </c>
      <c r="AN1055">
        <v>1.0000000038035399</v>
      </c>
    </row>
    <row r="1056" spans="1:40" x14ac:dyDescent="0.25">
      <c r="A1056" t="str">
        <f>"20190304154743390"</f>
        <v>20190304154743390</v>
      </c>
      <c r="B1056" t="str">
        <f>"1551685663388047"</f>
        <v>1551685663388047</v>
      </c>
      <c r="C1056" t="s">
        <v>40</v>
      </c>
      <c r="D1056">
        <v>4.1405969999999996</v>
      </c>
      <c r="E1056">
        <v>0.56456799999999996</v>
      </c>
      <c r="F1056" t="s">
        <v>43</v>
      </c>
      <c r="G1056">
        <v>-168.84350000000001</v>
      </c>
      <c r="H1056">
        <v>11.04027</v>
      </c>
      <c r="I1056">
        <v>354.5025</v>
      </c>
      <c r="J1056">
        <v>-346.50349999999997</v>
      </c>
      <c r="K1056">
        <v>1.110409</v>
      </c>
      <c r="L1056">
        <v>366.63049999999998</v>
      </c>
      <c r="M1056">
        <v>0.99988469999999996</v>
      </c>
      <c r="N1056">
        <v>-1.091229E-2</v>
      </c>
      <c r="O1056">
        <v>1.057463E-2</v>
      </c>
      <c r="P1056">
        <v>0.98906910000000003</v>
      </c>
      <c r="Q1056">
        <v>0.1030962</v>
      </c>
      <c r="R1056">
        <v>0.1054215</v>
      </c>
      <c r="S1056">
        <v>3.0376590000000001</v>
      </c>
      <c r="T1056">
        <v>0.16965469999999999</v>
      </c>
      <c r="U1056">
        <v>-0.2071838</v>
      </c>
      <c r="V1056">
        <v>-9.495207E-2</v>
      </c>
      <c r="W1056">
        <v>0.1138979</v>
      </c>
      <c r="X1056">
        <v>0.98894459999999995</v>
      </c>
      <c r="Y1056">
        <v>7.8472669999999994E-2</v>
      </c>
      <c r="Z1056">
        <v>2.46284E-3</v>
      </c>
      <c r="AA1056">
        <v>0.99691320000000005</v>
      </c>
      <c r="AB1056">
        <v>27</v>
      </c>
      <c r="AC1056">
        <v>177.659999999999</v>
      </c>
      <c r="AD1056">
        <v>9.9298610000000007</v>
      </c>
      <c r="AE1056">
        <v>-12.127999999999901</v>
      </c>
      <c r="AF1056">
        <v>13.9627053815877</v>
      </c>
      <c r="AG1056">
        <v>9.9298610000000007</v>
      </c>
      <c r="AH1056">
        <v>176.97151909012899</v>
      </c>
      <c r="AI1056">
        <v>86.798433268371696</v>
      </c>
      <c r="AJ1056">
        <v>85.488820553221302</v>
      </c>
      <c r="AK1056">
        <v>177.798981577848</v>
      </c>
      <c r="AL1056">
        <v>83.459938460914898</v>
      </c>
      <c r="AM1056">
        <v>95.484359034344095</v>
      </c>
      <c r="AN1056">
        <v>1.0000000245454199</v>
      </c>
    </row>
    <row r="1057" spans="1:40" x14ac:dyDescent="0.25">
      <c r="A1057" t="str">
        <f>"20190304154743402"</f>
        <v>20190304154743402</v>
      </c>
      <c r="B1057" t="str">
        <f>"1551685663397806"</f>
        <v>1551685663397806</v>
      </c>
      <c r="C1057" t="s">
        <v>40</v>
      </c>
      <c r="D1057">
        <v>4.1059650000000003</v>
      </c>
      <c r="E1057">
        <v>0.56403080000000005</v>
      </c>
      <c r="F1057" t="s">
        <v>43</v>
      </c>
      <c r="G1057">
        <v>-168.84350000000001</v>
      </c>
      <c r="H1057">
        <v>10.89964</v>
      </c>
      <c r="I1057">
        <v>355.00659999999999</v>
      </c>
      <c r="J1057">
        <v>-346.3612</v>
      </c>
      <c r="K1057">
        <v>1.110411</v>
      </c>
      <c r="L1057">
        <v>366.63200000000001</v>
      </c>
      <c r="M1057">
        <v>0.99988449999999995</v>
      </c>
      <c r="N1057">
        <v>-1.091439E-2</v>
      </c>
      <c r="O1057">
        <v>1.0574800000000001E-2</v>
      </c>
      <c r="P1057">
        <v>0.98905699999999996</v>
      </c>
      <c r="Q1057">
        <v>0.1033993</v>
      </c>
      <c r="R1057">
        <v>0.1052375</v>
      </c>
      <c r="S1057">
        <v>3.0369259999999998</v>
      </c>
      <c r="T1057">
        <v>0.16733879999999901</v>
      </c>
      <c r="U1057">
        <v>-0.19869999999999999</v>
      </c>
      <c r="V1057">
        <v>-9.476764E-2</v>
      </c>
      <c r="W1057">
        <v>0.114203399999999</v>
      </c>
      <c r="X1057">
        <v>0.988927</v>
      </c>
      <c r="Y1057">
        <v>7.5723020000000002E-2</v>
      </c>
      <c r="Z1057">
        <v>2.3653319999999999E-3</v>
      </c>
      <c r="AA1057">
        <v>0.99712610000000002</v>
      </c>
      <c r="AB1057">
        <v>27</v>
      </c>
      <c r="AC1057">
        <v>177.51769999999999</v>
      </c>
      <c r="AD1057">
        <v>9.7892290000000006</v>
      </c>
      <c r="AE1057">
        <v>-11.6253999999999</v>
      </c>
      <c r="AF1057">
        <v>13.4613151348585</v>
      </c>
      <c r="AG1057">
        <v>9.7892290000000006</v>
      </c>
      <c r="AH1057">
        <v>176.849330595878</v>
      </c>
      <c r="AI1057">
        <v>86.840831538282401</v>
      </c>
      <c r="AJ1057">
        <v>85.647186553871094</v>
      </c>
      <c r="AK1057">
        <v>177.63085807872599</v>
      </c>
      <c r="AL1057">
        <v>83.442319255993596</v>
      </c>
      <c r="AM1057">
        <v>95.473868085065106</v>
      </c>
      <c r="AN1057">
        <v>0.999999966745864</v>
      </c>
    </row>
    <row r="1058" spans="1:40" x14ac:dyDescent="0.25">
      <c r="A1058" t="str">
        <f>"20190304154743413"</f>
        <v>20190304154743413</v>
      </c>
      <c r="B1058" t="str">
        <f>"1551685663407568"</f>
        <v>1551685663407568</v>
      </c>
      <c r="C1058" t="s">
        <v>40</v>
      </c>
      <c r="D1058">
        <v>4.1294370000000002</v>
      </c>
      <c r="E1058">
        <v>0.56350489999999998</v>
      </c>
      <c r="F1058" t="s">
        <v>43</v>
      </c>
      <c r="G1058">
        <v>-168.84350000000001</v>
      </c>
      <c r="H1058">
        <v>10.866429999999999</v>
      </c>
      <c r="I1058">
        <v>355.23700000000002</v>
      </c>
      <c r="J1058">
        <v>-346.22280000000001</v>
      </c>
      <c r="K1058">
        <v>1.1104099999999999</v>
      </c>
      <c r="L1058">
        <v>366.63350000000003</v>
      </c>
      <c r="M1058">
        <v>0.99988449999999995</v>
      </c>
      <c r="N1058">
        <v>-1.091641E-2</v>
      </c>
      <c r="O1058">
        <v>1.0574780000000001E-2</v>
      </c>
      <c r="P1058">
        <v>0.98900310000000002</v>
      </c>
      <c r="Q1058">
        <v>0.1041171</v>
      </c>
      <c r="R1058">
        <v>0.105035199999999</v>
      </c>
      <c r="S1058">
        <v>3.0364990000000001</v>
      </c>
      <c r="T1058">
        <v>0.16688140000000001</v>
      </c>
      <c r="U1058">
        <v>-0.1949158</v>
      </c>
      <c r="V1058">
        <v>-9.4565919999999998E-2</v>
      </c>
      <c r="W1058">
        <v>0.1149225</v>
      </c>
      <c r="X1058">
        <v>0.98886309999999999</v>
      </c>
      <c r="Y1058">
        <v>7.449675E-2</v>
      </c>
      <c r="Z1058">
        <v>2.331573E-3</v>
      </c>
      <c r="AA1058">
        <v>0.99721850000000001</v>
      </c>
      <c r="AB1058">
        <v>27</v>
      </c>
      <c r="AC1058">
        <v>177.3793</v>
      </c>
      <c r="AD1058">
        <v>9.7560199999999995</v>
      </c>
      <c r="AE1058">
        <v>-11.3965</v>
      </c>
      <c r="AF1058">
        <v>13.231858417260799</v>
      </c>
      <c r="AG1058">
        <v>9.7560199999999995</v>
      </c>
      <c r="AH1058">
        <v>176.71647105874499</v>
      </c>
      <c r="AI1058">
        <v>86.848871775091894</v>
      </c>
      <c r="AJ1058">
        <v>85.717900088355805</v>
      </c>
      <c r="AK1058">
        <v>177.479500638443</v>
      </c>
      <c r="AL1058">
        <v>83.400845424306695</v>
      </c>
      <c r="AM1058">
        <v>95.462637928875594</v>
      </c>
      <c r="AN1058">
        <v>1.0000000623866501</v>
      </c>
    </row>
    <row r="1059" spans="1:40" x14ac:dyDescent="0.25">
      <c r="A1059" t="str">
        <f>"20190304154743426"</f>
        <v>20190304154743426</v>
      </c>
      <c r="B1059" t="str">
        <f>"1551685663417834"</f>
        <v>1551685663417834</v>
      </c>
      <c r="C1059" t="s">
        <v>40</v>
      </c>
      <c r="D1059">
        <v>4.1216330000000001</v>
      </c>
      <c r="E1059">
        <v>0.56299560000000004</v>
      </c>
      <c r="F1059" t="s">
        <v>43</v>
      </c>
      <c r="G1059">
        <v>-168.84350000000001</v>
      </c>
      <c r="H1059">
        <v>10.90391</v>
      </c>
      <c r="I1059">
        <v>355.44900000000001</v>
      </c>
      <c r="J1059">
        <v>-346.07659999999998</v>
      </c>
      <c r="K1059">
        <v>1.110412</v>
      </c>
      <c r="L1059">
        <v>366.63499999999999</v>
      </c>
      <c r="M1059">
        <v>0.99988449999999995</v>
      </c>
      <c r="N1059">
        <v>-1.0918550000000001E-2</v>
      </c>
      <c r="O1059">
        <v>1.057495E-2</v>
      </c>
      <c r="P1059">
        <v>0.98896980000000001</v>
      </c>
      <c r="Q1059">
        <v>0.1047144</v>
      </c>
      <c r="R1059">
        <v>0.10475719999999999</v>
      </c>
      <c r="S1059">
        <v>3.0360719999999999</v>
      </c>
      <c r="T1059">
        <v>0.16762959999999999</v>
      </c>
      <c r="U1059">
        <v>-0.19143679999999999</v>
      </c>
      <c r="V1059">
        <v>-9.4288209999999997E-2</v>
      </c>
      <c r="W1059">
        <v>0.1155212</v>
      </c>
      <c r="X1059">
        <v>0.98881980000000003</v>
      </c>
      <c r="Y1059">
        <v>7.3367989999999994E-2</v>
      </c>
      <c r="Z1059">
        <v>2.3188169999999999E-3</v>
      </c>
      <c r="AA1059">
        <v>0.99730220000000003</v>
      </c>
      <c r="AB1059">
        <v>27</v>
      </c>
      <c r="AC1059">
        <v>177.23309999999901</v>
      </c>
      <c r="AD1059">
        <v>9.7934979999999996</v>
      </c>
      <c r="AE1059">
        <v>-11.1859999999999</v>
      </c>
      <c r="AF1059">
        <v>13.0201191839977</v>
      </c>
      <c r="AG1059">
        <v>9.7934979999999996</v>
      </c>
      <c r="AH1059">
        <v>176.567893978889</v>
      </c>
      <c r="AI1059">
        <v>86.833869538875504</v>
      </c>
      <c r="AJ1059">
        <v>85.78264138454</v>
      </c>
      <c r="AK1059">
        <v>177.31795535360101</v>
      </c>
      <c r="AL1059">
        <v>83.366312066780907</v>
      </c>
      <c r="AM1059">
        <v>95.446929587557705</v>
      </c>
      <c r="AN1059">
        <v>1.0000000055332401</v>
      </c>
    </row>
    <row r="1060" spans="1:40" x14ac:dyDescent="0.25">
      <c r="A1060" t="str">
        <f>"20190304154743438"</f>
        <v>20190304154743438</v>
      </c>
      <c r="B1060" t="str">
        <f>"1551685663427595"</f>
        <v>1551685663427595</v>
      </c>
      <c r="C1060" t="s">
        <v>40</v>
      </c>
      <c r="D1060">
        <v>4.1229969999999998</v>
      </c>
      <c r="E1060">
        <v>0.56252159999999995</v>
      </c>
      <c r="F1060" t="s">
        <v>43</v>
      </c>
      <c r="G1060">
        <v>-168.84350000000001</v>
      </c>
      <c r="H1060">
        <v>10.925829999999999</v>
      </c>
      <c r="I1060">
        <v>355.65039999999999</v>
      </c>
      <c r="J1060">
        <v>-345.93990000000002</v>
      </c>
      <c r="K1060">
        <v>1.110412</v>
      </c>
      <c r="L1060">
        <v>366.63639999999998</v>
      </c>
      <c r="M1060">
        <v>0.99988449999999995</v>
      </c>
      <c r="N1060">
        <v>-1.0920539999999999E-2</v>
      </c>
      <c r="O1060">
        <v>1.0575060000000001E-2</v>
      </c>
      <c r="P1060">
        <v>0.98897420000000003</v>
      </c>
      <c r="Q1060">
        <v>0.1049361</v>
      </c>
      <c r="R1060">
        <v>0.104491899999999</v>
      </c>
      <c r="S1060">
        <v>3.0355829999999999</v>
      </c>
      <c r="T1060">
        <v>0.168116299999999</v>
      </c>
      <c r="U1060">
        <v>-0.1881409</v>
      </c>
      <c r="V1060">
        <v>-9.4022620000000001E-2</v>
      </c>
      <c r="W1060">
        <v>0.11574520000000001</v>
      </c>
      <c r="X1060">
        <v>0.98881889999999995</v>
      </c>
      <c r="Y1060">
        <v>7.2300089999999997E-2</v>
      </c>
      <c r="Z1060">
        <v>2.3031649999999998E-3</v>
      </c>
      <c r="AA1060">
        <v>0.9973803</v>
      </c>
      <c r="AB1060">
        <v>27</v>
      </c>
      <c r="AC1060">
        <v>177.09639999999999</v>
      </c>
      <c r="AD1060">
        <v>9.8154179999999993</v>
      </c>
      <c r="AE1060">
        <v>-10.985999999999899</v>
      </c>
      <c r="AF1060">
        <v>12.819075108170299</v>
      </c>
      <c r="AG1060">
        <v>9.8154179999999993</v>
      </c>
      <c r="AH1060">
        <v>176.43042364512101</v>
      </c>
      <c r="AI1060">
        <v>86.824080398271803</v>
      </c>
      <c r="AJ1060">
        <v>85.844308014493194</v>
      </c>
      <c r="AK1060">
        <v>177.16761979758201</v>
      </c>
      <c r="AL1060">
        <v>83.353391172872904</v>
      </c>
      <c r="AM1060">
        <v>95.431683539142398</v>
      </c>
      <c r="AN1060">
        <v>1.0000000106959499</v>
      </c>
    </row>
    <row r="1061" spans="1:40" x14ac:dyDescent="0.25">
      <c r="A1061" t="str">
        <f>"20190304154743450"</f>
        <v>20190304154743450</v>
      </c>
      <c r="B1061" t="str">
        <f>"1551685663438330"</f>
        <v>1551685663438330</v>
      </c>
      <c r="C1061" t="s">
        <v>40</v>
      </c>
      <c r="D1061">
        <v>4.1141180000000004</v>
      </c>
      <c r="E1061">
        <v>0.56203610000000004</v>
      </c>
      <c r="F1061" t="s">
        <v>43</v>
      </c>
      <c r="G1061">
        <v>-168.84350000000001</v>
      </c>
      <c r="H1061">
        <v>10.883089999999999</v>
      </c>
      <c r="I1061">
        <v>355.83</v>
      </c>
      <c r="J1061">
        <v>-345.79180000000002</v>
      </c>
      <c r="K1061">
        <v>1.1104130000000001</v>
      </c>
      <c r="L1061">
        <v>366.63799999999998</v>
      </c>
      <c r="M1061">
        <v>0.99988440000000001</v>
      </c>
      <c r="N1061">
        <v>-1.0922690000000001E-2</v>
      </c>
      <c r="O1061">
        <v>1.057541E-2</v>
      </c>
      <c r="P1061">
        <v>0.98899000000000004</v>
      </c>
      <c r="Q1061">
        <v>0.1047009</v>
      </c>
      <c r="R1061">
        <v>0.1045768</v>
      </c>
      <c r="S1061">
        <v>3.0352480000000002</v>
      </c>
      <c r="T1061">
        <v>0.167494899999999</v>
      </c>
      <c r="U1061">
        <v>-0.18521119999999999</v>
      </c>
      <c r="V1061">
        <v>-9.4107250000000003E-2</v>
      </c>
      <c r="W1061">
        <v>0.1155122</v>
      </c>
      <c r="X1061">
        <v>0.98883810000000005</v>
      </c>
      <c r="Y1061">
        <v>7.1350150000000001E-2</v>
      </c>
      <c r="Z1061">
        <v>2.2730049999999998E-3</v>
      </c>
      <c r="AA1061">
        <v>0.99744869999999997</v>
      </c>
      <c r="AB1061">
        <v>27</v>
      </c>
      <c r="AC1061">
        <v>176.94829999999999</v>
      </c>
      <c r="AD1061">
        <v>9.7726769999999998</v>
      </c>
      <c r="AE1061">
        <v>-10.808</v>
      </c>
      <c r="AF1061">
        <v>12.640395075471</v>
      </c>
      <c r="AG1061">
        <v>9.7726769999999998</v>
      </c>
      <c r="AH1061">
        <v>176.288374253271</v>
      </c>
      <c r="AI1061">
        <v>86.835122359555896</v>
      </c>
      <c r="AJ1061">
        <v>85.898743047600504</v>
      </c>
      <c r="AK1061">
        <v>177.01094796727</v>
      </c>
      <c r="AL1061">
        <v>83.366831270090699</v>
      </c>
      <c r="AM1061">
        <v>95.436438404633904</v>
      </c>
      <c r="AN1061">
        <v>1.0000000154315001</v>
      </c>
    </row>
    <row r="1062" spans="1:40" x14ac:dyDescent="0.25">
      <c r="A1062" t="str">
        <f>"20190304154743469"</f>
        <v>20190304154743469</v>
      </c>
      <c r="B1062" t="str">
        <f>"1551685663457850"</f>
        <v>1551685663457850</v>
      </c>
      <c r="C1062" t="s">
        <v>40</v>
      </c>
      <c r="D1062">
        <v>4.0732980000000003</v>
      </c>
      <c r="E1062">
        <v>0.56131450000000005</v>
      </c>
      <c r="F1062" t="s">
        <v>43</v>
      </c>
      <c r="G1062">
        <v>-168.84350000000001</v>
      </c>
      <c r="H1062">
        <v>10.7845</v>
      </c>
      <c r="I1062">
        <v>356.08499999999998</v>
      </c>
      <c r="J1062">
        <v>-345.56209999999999</v>
      </c>
      <c r="K1062">
        <v>1.110409</v>
      </c>
      <c r="L1062">
        <v>366.64049999999997</v>
      </c>
      <c r="M1062">
        <v>0.99988440000000001</v>
      </c>
      <c r="N1062">
        <v>-1.0926E-2</v>
      </c>
      <c r="O1062">
        <v>1.057539E-2</v>
      </c>
      <c r="P1062">
        <v>0.98910160000000003</v>
      </c>
      <c r="Q1062">
        <v>0.1039306</v>
      </c>
      <c r="R1062">
        <v>0.1042898</v>
      </c>
      <c r="S1062">
        <v>3.0349119999999998</v>
      </c>
      <c r="T1062">
        <v>0.16592560000000001</v>
      </c>
      <c r="U1062">
        <v>-0.18099979999999999</v>
      </c>
      <c r="V1062">
        <v>-9.3819050000000001E-2</v>
      </c>
      <c r="W1062">
        <v>0.1147463</v>
      </c>
      <c r="X1062">
        <v>0.98895469999999996</v>
      </c>
      <c r="Y1062">
        <v>6.9981440000000006E-2</v>
      </c>
      <c r="Z1062">
        <v>2.2196289999999999E-3</v>
      </c>
      <c r="AA1062">
        <v>0.99754580000000004</v>
      </c>
      <c r="AB1062">
        <v>27</v>
      </c>
      <c r="AC1062">
        <v>176.71859999999899</v>
      </c>
      <c r="AD1062">
        <v>9.6740910000000007</v>
      </c>
      <c r="AE1062">
        <v>-10.555499999999901</v>
      </c>
      <c r="AF1062">
        <v>12.3869003735965</v>
      </c>
      <c r="AG1062">
        <v>9.6740910000000007</v>
      </c>
      <c r="AH1062">
        <v>176.07130903482101</v>
      </c>
      <c r="AI1062">
        <v>86.862831732870305</v>
      </c>
      <c r="AJ1062">
        <v>85.9757799152122</v>
      </c>
      <c r="AK1062">
        <v>176.77140380383099</v>
      </c>
      <c r="AL1062">
        <v>83.411008174749199</v>
      </c>
      <c r="AM1062">
        <v>95.419253590481105</v>
      </c>
      <c r="AN1062">
        <v>1.00000006307933</v>
      </c>
    </row>
    <row r="1063" spans="1:40" x14ac:dyDescent="0.25">
      <c r="A1063" t="str">
        <f>"20190304154743481"</f>
        <v>20190304154743481</v>
      </c>
      <c r="B1063" t="str">
        <f>"1551685663477371"</f>
        <v>1551685663477371</v>
      </c>
      <c r="C1063" t="s">
        <v>40</v>
      </c>
      <c r="D1063">
        <v>4.1649710000000004</v>
      </c>
      <c r="E1063">
        <v>0.56094469999999996</v>
      </c>
      <c r="F1063" t="s">
        <v>43</v>
      </c>
      <c r="G1063">
        <v>-168.84350000000001</v>
      </c>
      <c r="H1063">
        <v>10.6172</v>
      </c>
      <c r="I1063">
        <v>356.36090000000002</v>
      </c>
      <c r="J1063">
        <v>-345.42779999999999</v>
      </c>
      <c r="K1063">
        <v>1.110409</v>
      </c>
      <c r="L1063">
        <v>366.64190000000002</v>
      </c>
      <c r="M1063">
        <v>0.99988449999999995</v>
      </c>
      <c r="N1063">
        <v>-1.0927920000000001E-2</v>
      </c>
      <c r="O1063">
        <v>1.0575380000000001E-2</v>
      </c>
      <c r="P1063">
        <v>0.9891238</v>
      </c>
      <c r="Q1063">
        <v>0.103867</v>
      </c>
      <c r="R1063">
        <v>0.10414370000000001</v>
      </c>
      <c r="S1063">
        <v>3.0344850000000001</v>
      </c>
      <c r="T1063">
        <v>0.16324520000000001</v>
      </c>
      <c r="U1063">
        <v>-0.1765137</v>
      </c>
      <c r="V1063">
        <v>-9.3672569999999997E-2</v>
      </c>
      <c r="W1063">
        <v>0.1146847</v>
      </c>
      <c r="X1063">
        <v>0.98897559999999995</v>
      </c>
      <c r="Y1063">
        <v>6.8525290000000003E-2</v>
      </c>
      <c r="Z1063">
        <v>2.148802E-3</v>
      </c>
      <c r="AA1063">
        <v>0.99764699999999995</v>
      </c>
      <c r="AB1063">
        <v>27</v>
      </c>
      <c r="AC1063">
        <v>176.58429999999899</v>
      </c>
      <c r="AD1063">
        <v>9.5067909999999998</v>
      </c>
      <c r="AE1063">
        <v>-10.281000000000001</v>
      </c>
      <c r="AF1063">
        <v>12.112992219126699</v>
      </c>
      <c r="AG1063">
        <v>9.5067909999999998</v>
      </c>
      <c r="AH1063">
        <v>175.957413739825</v>
      </c>
      <c r="AI1063">
        <v>86.914665102833197</v>
      </c>
      <c r="AJ1063">
        <v>86.061944220596402</v>
      </c>
      <c r="AK1063">
        <v>176.62988168944199</v>
      </c>
      <c r="AL1063">
        <v>83.4145601960345</v>
      </c>
      <c r="AM1063">
        <v>95.410729078199296</v>
      </c>
      <c r="AN1063">
        <v>0.99999993408992505</v>
      </c>
    </row>
    <row r="1064" spans="1:40" x14ac:dyDescent="0.25">
      <c r="A1064" t="str">
        <f>"20190304154743492"</f>
        <v>20190304154743492</v>
      </c>
      <c r="B1064" t="str">
        <f>"1551685663488107"</f>
        <v>1551685663488107</v>
      </c>
      <c r="C1064" t="s">
        <v>40</v>
      </c>
      <c r="D1064">
        <v>4.1295909999999996</v>
      </c>
      <c r="E1064">
        <v>0.51657500000000001</v>
      </c>
      <c r="F1064" t="s">
        <v>43</v>
      </c>
      <c r="G1064">
        <v>-168.84350000000001</v>
      </c>
      <c r="H1064">
        <v>10.56096</v>
      </c>
      <c r="I1064">
        <v>356.50970000000001</v>
      </c>
      <c r="J1064">
        <v>-345.29419999999999</v>
      </c>
      <c r="K1064">
        <v>1.110409</v>
      </c>
      <c r="L1064">
        <v>366.64330000000001</v>
      </c>
      <c r="M1064">
        <v>0.99988440000000001</v>
      </c>
      <c r="N1064">
        <v>-1.092983E-2</v>
      </c>
      <c r="O1064">
        <v>1.057555E-2</v>
      </c>
      <c r="P1064">
        <v>0.98915180000000003</v>
      </c>
      <c r="Q1064">
        <v>0.1036791</v>
      </c>
      <c r="R1064">
        <v>0.1040647</v>
      </c>
      <c r="S1064">
        <v>3.0342709999999999</v>
      </c>
      <c r="T1064">
        <v>0.16239139999999999</v>
      </c>
      <c r="U1064">
        <v>-0.174102799999999</v>
      </c>
      <c r="V1064">
        <v>-9.3593029999999994E-2</v>
      </c>
      <c r="W1064">
        <v>0.114499</v>
      </c>
      <c r="X1064">
        <v>0.98900469999999896</v>
      </c>
      <c r="Y1064">
        <v>6.7741449999999995E-2</v>
      </c>
      <c r="Z1064">
        <v>2.1197740000000001E-3</v>
      </c>
      <c r="AA1064">
        <v>0.99770060000000005</v>
      </c>
      <c r="AB1064">
        <v>27</v>
      </c>
      <c r="AC1064">
        <v>176.45069999999899</v>
      </c>
      <c r="AD1064">
        <v>9.4505509999999902</v>
      </c>
      <c r="AE1064">
        <v>-10.133599999999999</v>
      </c>
      <c r="AF1064">
        <v>11.9649980328256</v>
      </c>
      <c r="AG1064">
        <v>9.4505509999999902</v>
      </c>
      <c r="AH1064">
        <v>175.83092885216999</v>
      </c>
      <c r="AI1064">
        <v>86.930514828167503</v>
      </c>
      <c r="AJ1064">
        <v>86.107120230703401</v>
      </c>
      <c r="AK1064">
        <v>176.4907635916</v>
      </c>
      <c r="AL1064">
        <v>83.4252709216901</v>
      </c>
      <c r="AM1064">
        <v>95.406003782859599</v>
      </c>
      <c r="AN1064">
        <v>0.99999998644383503</v>
      </c>
    </row>
    <row r="1065" spans="1:40" x14ac:dyDescent="0.25">
      <c r="A1065" t="str">
        <f>"20190304154743502"</f>
        <v>20190304154743502</v>
      </c>
      <c r="B1065" t="str">
        <f>"1551685663497866"</f>
        <v>1551685663497866</v>
      </c>
      <c r="C1065" t="s">
        <v>40</v>
      </c>
      <c r="D1065">
        <v>3.957684</v>
      </c>
      <c r="E1065">
        <v>0.51542909999999997</v>
      </c>
      <c r="F1065" t="s">
        <v>45</v>
      </c>
      <c r="G1065">
        <v>-313.66919999999999</v>
      </c>
      <c r="H1065">
        <v>-0.05</v>
      </c>
      <c r="I1065">
        <v>368.44420000000002</v>
      </c>
      <c r="J1065">
        <v>-345.16390000000001</v>
      </c>
      <c r="K1065">
        <v>1.110412</v>
      </c>
      <c r="L1065">
        <v>366.6447</v>
      </c>
      <c r="M1065">
        <v>0.99988440000000001</v>
      </c>
      <c r="N1065">
        <v>-1.0931690000000001E-2</v>
      </c>
      <c r="O1065">
        <v>1.057554E-2</v>
      </c>
      <c r="P1065">
        <v>0.98910909999999996</v>
      </c>
      <c r="Q1065">
        <v>0.1041694</v>
      </c>
      <c r="R1065">
        <v>0.1039803</v>
      </c>
      <c r="S1065">
        <v>3.0264280000000001</v>
      </c>
      <c r="T1065">
        <v>-0.1110481</v>
      </c>
      <c r="U1065">
        <v>0.17233280000000001</v>
      </c>
      <c r="V1065">
        <v>-9.3509380000000003E-2</v>
      </c>
      <c r="W1065">
        <v>0.1149907</v>
      </c>
      <c r="X1065">
        <v>0.98895560000000005</v>
      </c>
      <c r="Y1065">
        <v>-4.6251500000000001E-2</v>
      </c>
      <c r="Z1065">
        <v>8.2863700000000002E-4</v>
      </c>
      <c r="AA1065">
        <v>0.99892950000000003</v>
      </c>
      <c r="AB1065">
        <v>27</v>
      </c>
      <c r="AC1065">
        <v>31.494700000000002</v>
      </c>
      <c r="AD1065">
        <v>-1.160412</v>
      </c>
      <c r="AE1065">
        <v>1.7995000000000201</v>
      </c>
      <c r="AF1065">
        <v>-1.4643246223019799</v>
      </c>
      <c r="AG1065">
        <v>-1.160412</v>
      </c>
      <c r="AH1065">
        <v>31.4693887135147</v>
      </c>
      <c r="AI1065">
        <v>92.109505099120298</v>
      </c>
      <c r="AJ1065">
        <v>92.664149177986204</v>
      </c>
      <c r="AK1065">
        <v>31.524803387356901</v>
      </c>
      <c r="AL1065">
        <v>83.396911506472406</v>
      </c>
      <c r="AM1065">
        <v>95.4014672572617</v>
      </c>
      <c r="AN1065">
        <v>1.0000000220029099</v>
      </c>
    </row>
    <row r="1066" spans="1:40" x14ac:dyDescent="0.25">
      <c r="A1066" t="str">
        <f>"20190304154743514"</f>
        <v>20190304154743514</v>
      </c>
      <c r="B1066" t="str">
        <f>"1551685663507627"</f>
        <v>1551685663507627</v>
      </c>
      <c r="C1066" t="s">
        <v>40</v>
      </c>
      <c r="D1066">
        <v>4.1613699999999998</v>
      </c>
      <c r="E1066">
        <v>0.51338649999999997</v>
      </c>
      <c r="F1066" t="s">
        <v>44</v>
      </c>
      <c r="G1066">
        <v>-322.01049999999998</v>
      </c>
      <c r="H1066" s="1">
        <v>-3.6929529999999998E-6</v>
      </c>
      <c r="I1066">
        <v>368.02</v>
      </c>
      <c r="J1066">
        <v>-345.01949999999999</v>
      </c>
      <c r="K1066">
        <v>1.1104149999999999</v>
      </c>
      <c r="L1066">
        <v>366.64620000000002</v>
      </c>
      <c r="M1066">
        <v>0.99988429999999995</v>
      </c>
      <c r="N1066">
        <v>-1.0933750000000001E-2</v>
      </c>
      <c r="O1066">
        <v>1.057552E-2</v>
      </c>
      <c r="P1066">
        <v>0.98904190000000003</v>
      </c>
      <c r="Q1066">
        <v>0.1049083</v>
      </c>
      <c r="R1066">
        <v>0.1038767</v>
      </c>
      <c r="S1066">
        <v>3.0294490000000001</v>
      </c>
      <c r="T1066">
        <v>-0.14528920000000001</v>
      </c>
      <c r="U1066">
        <v>0.17996219999999999</v>
      </c>
      <c r="V1066">
        <v>-9.3406509999999998E-2</v>
      </c>
      <c r="W1066">
        <v>0.115731</v>
      </c>
      <c r="X1066">
        <v>0.98887899999999995</v>
      </c>
      <c r="Y1066">
        <v>-4.8677560000000002E-2</v>
      </c>
      <c r="Z1066">
        <v>1.0411939999999901E-3</v>
      </c>
      <c r="AA1066">
        <v>0.99881399999999998</v>
      </c>
      <c r="AB1066">
        <v>27</v>
      </c>
      <c r="AC1066">
        <v>23.009</v>
      </c>
      <c r="AD1066">
        <v>-1.110418692953</v>
      </c>
      <c r="AE1066">
        <v>1.3737999999999599</v>
      </c>
      <c r="AF1066">
        <v>-1.12775920659521</v>
      </c>
      <c r="AG1066">
        <v>-1.110418692953</v>
      </c>
      <c r="AH1066">
        <v>22.968936969765799</v>
      </c>
      <c r="AI1066">
        <v>92.764448205198406</v>
      </c>
      <c r="AJ1066">
        <v>92.810926506345595</v>
      </c>
      <c r="AK1066">
        <v>23.023399749446099</v>
      </c>
      <c r="AL1066">
        <v>83.354210597011701</v>
      </c>
      <c r="AM1066">
        <v>95.395975652264497</v>
      </c>
      <c r="AN1066">
        <v>1.0000000585561799</v>
      </c>
    </row>
    <row r="1067" spans="1:40" x14ac:dyDescent="0.25">
      <c r="A1067" t="str">
        <f>"20190304154743524"</f>
        <v>20190304154743524</v>
      </c>
      <c r="B1067" t="str">
        <f>"1551685663517894"</f>
        <v>1551685663517894</v>
      </c>
      <c r="C1067" t="s">
        <v>40</v>
      </c>
      <c r="D1067">
        <v>4.1067929999999997</v>
      </c>
      <c r="E1067">
        <v>0.51327370000000005</v>
      </c>
      <c r="F1067" t="s">
        <v>44</v>
      </c>
      <c r="G1067">
        <v>-322.06889999999999</v>
      </c>
      <c r="H1067" s="1">
        <v>-3.6482149999999998E-6</v>
      </c>
      <c r="I1067">
        <v>368.13099999999997</v>
      </c>
      <c r="J1067">
        <v>-344.89299999999997</v>
      </c>
      <c r="K1067">
        <v>1.110414</v>
      </c>
      <c r="L1067">
        <v>366.64749999999998</v>
      </c>
      <c r="M1067">
        <v>0.9998842</v>
      </c>
      <c r="N1067">
        <v>-1.093555E-2</v>
      </c>
      <c r="O1067">
        <v>1.057552E-2</v>
      </c>
      <c r="P1067">
        <v>0.98899199999999998</v>
      </c>
      <c r="Q1067">
        <v>0.10540380000000001</v>
      </c>
      <c r="R1067">
        <v>0.1038504</v>
      </c>
      <c r="S1067">
        <v>3.0282290000000001</v>
      </c>
      <c r="T1067">
        <v>-0.14651410000000001</v>
      </c>
      <c r="U1067">
        <v>0.19592290000000001</v>
      </c>
      <c r="V1067">
        <v>-9.3380320000000003E-2</v>
      </c>
      <c r="W1067">
        <v>0.1162279</v>
      </c>
      <c r="X1067">
        <v>0.98882309999999995</v>
      </c>
      <c r="Y1067">
        <v>-5.3936440000000002E-2</v>
      </c>
      <c r="Z1067">
        <v>1.202816E-3</v>
      </c>
      <c r="AA1067">
        <v>0.99854359999999998</v>
      </c>
      <c r="AB1067">
        <v>27</v>
      </c>
      <c r="AC1067">
        <v>22.824100000000001</v>
      </c>
      <c r="AD1067">
        <v>-1.1104176482150001</v>
      </c>
      <c r="AE1067">
        <v>1.48349999999999</v>
      </c>
      <c r="AF1067">
        <v>-1.23910531286754</v>
      </c>
      <c r="AG1067">
        <v>-1.1104176482150001</v>
      </c>
      <c r="AH1067">
        <v>22.7848100209896</v>
      </c>
      <c r="AI1067">
        <v>92.785991864930395</v>
      </c>
      <c r="AJ1067">
        <v>93.112847497774695</v>
      </c>
      <c r="AK1067">
        <v>22.8454804506807</v>
      </c>
      <c r="AL1067">
        <v>83.325546271196004</v>
      </c>
      <c r="AM1067">
        <v>95.394774775949202</v>
      </c>
      <c r="AN1067">
        <v>0.99999996599765995</v>
      </c>
    </row>
    <row r="1068" spans="1:40" x14ac:dyDescent="0.25">
      <c r="A1068" t="str">
        <f>"20190304154743536"</f>
        <v>20190304154743536</v>
      </c>
      <c r="B1068" t="str">
        <f>"1551685663527653"</f>
        <v>1551685663527653</v>
      </c>
      <c r="C1068" t="s">
        <v>40</v>
      </c>
      <c r="D1068">
        <v>4.1181780000000003</v>
      </c>
      <c r="E1068">
        <v>0.51267320000000005</v>
      </c>
      <c r="F1068" t="s">
        <v>44</v>
      </c>
      <c r="G1068">
        <v>-321.6567</v>
      </c>
      <c r="H1068" s="1">
        <v>-3.8202399999999997E-6</v>
      </c>
      <c r="I1068">
        <v>368.15809999999999</v>
      </c>
      <c r="J1068">
        <v>-344.75319999999999</v>
      </c>
      <c r="K1068">
        <v>1.110414</v>
      </c>
      <c r="L1068">
        <v>366.649</v>
      </c>
      <c r="M1068">
        <v>0.99988440000000001</v>
      </c>
      <c r="N1068">
        <v>-1.0937530000000001E-2</v>
      </c>
      <c r="O1068">
        <v>1.05755E-2</v>
      </c>
      <c r="P1068">
        <v>0.98900370000000004</v>
      </c>
      <c r="Q1068">
        <v>0.1052416</v>
      </c>
      <c r="R1068">
        <v>0.10390489999999999</v>
      </c>
      <c r="S1068">
        <v>3.0281370000000001</v>
      </c>
      <c r="T1068">
        <v>-0.14470820000000001</v>
      </c>
      <c r="U1068">
        <v>0.19686890000000001</v>
      </c>
      <c r="V1068">
        <v>-9.3435359999999995E-2</v>
      </c>
      <c r="W1068">
        <v>0.1160673</v>
      </c>
      <c r="X1068">
        <v>0.98883679999999996</v>
      </c>
      <c r="Y1068">
        <v>-5.4250090000000001E-2</v>
      </c>
      <c r="Z1068">
        <v>1.2023559999999999E-3</v>
      </c>
      <c r="AA1068">
        <v>0.99852660000000004</v>
      </c>
      <c r="AB1068">
        <v>27</v>
      </c>
      <c r="AC1068">
        <v>23.096499999999899</v>
      </c>
      <c r="AD1068">
        <v>-1.1104178202399999</v>
      </c>
      <c r="AE1068">
        <v>1.5090999999999799</v>
      </c>
      <c r="AF1068">
        <v>-1.26183973145143</v>
      </c>
      <c r="AG1068">
        <v>-1.1104178202399999</v>
      </c>
      <c r="AH1068">
        <v>23.058098096957899</v>
      </c>
      <c r="AI1068">
        <v>92.752972352189602</v>
      </c>
      <c r="AJ1068">
        <v>93.132350657187402</v>
      </c>
      <c r="AK1068">
        <v>23.119281024554098</v>
      </c>
      <c r="AL1068">
        <v>83.3348109087555</v>
      </c>
      <c r="AM1068">
        <v>95.397861429444404</v>
      </c>
      <c r="AN1068">
        <v>1.00000000083092</v>
      </c>
    </row>
    <row r="1069" spans="1:40" x14ac:dyDescent="0.25">
      <c r="A1069" t="str">
        <f>"20190304154743547"</f>
        <v>20190304154743547</v>
      </c>
      <c r="B1069" t="str">
        <f>"1551685663537414"</f>
        <v>1551685663537414</v>
      </c>
      <c r="C1069" t="s">
        <v>40</v>
      </c>
      <c r="D1069">
        <v>4.0746029999999998</v>
      </c>
      <c r="E1069">
        <v>0.51257229999999998</v>
      </c>
      <c r="F1069" t="s">
        <v>44</v>
      </c>
      <c r="G1069">
        <v>-321.88330000000002</v>
      </c>
      <c r="H1069" s="1">
        <v>-3.7203109999999999E-6</v>
      </c>
      <c r="I1069">
        <v>368.17349999999999</v>
      </c>
      <c r="J1069">
        <v>-344.62450000000001</v>
      </c>
      <c r="K1069">
        <v>1.110412</v>
      </c>
      <c r="L1069">
        <v>366.65039999999999</v>
      </c>
      <c r="M1069">
        <v>0.99988440000000001</v>
      </c>
      <c r="N1069">
        <v>-1.0939330000000001E-2</v>
      </c>
      <c r="O1069">
        <v>1.0575670000000001E-2</v>
      </c>
      <c r="P1069">
        <v>0.98902409999999996</v>
      </c>
      <c r="Q1069">
        <v>0.1049532</v>
      </c>
      <c r="R1069">
        <v>0.10400280000000001</v>
      </c>
      <c r="S1069">
        <v>3.0278320000000001</v>
      </c>
      <c r="T1069">
        <v>-0.1470118</v>
      </c>
      <c r="U1069">
        <v>0.2018433</v>
      </c>
      <c r="V1069">
        <v>-9.3532809999999994E-2</v>
      </c>
      <c r="W1069">
        <v>0.1157812</v>
      </c>
      <c r="X1069">
        <v>0.98886110000000005</v>
      </c>
      <c r="Y1069">
        <v>-5.5885480000000001E-2</v>
      </c>
      <c r="Z1069">
        <v>1.263623E-3</v>
      </c>
      <c r="AA1069">
        <v>0.9984364</v>
      </c>
      <c r="AB1069">
        <v>27</v>
      </c>
      <c r="AC1069">
        <v>22.7411999999999</v>
      </c>
      <c r="AD1069">
        <v>-1.1104157203110001</v>
      </c>
      <c r="AE1069">
        <v>1.5230999999999899</v>
      </c>
      <c r="AF1069">
        <v>-1.27946015432936</v>
      </c>
      <c r="AG1069">
        <v>-1.1104157203110001</v>
      </c>
      <c r="AH1069">
        <v>22.7021518558876</v>
      </c>
      <c r="AI1069">
        <v>92.795810269997105</v>
      </c>
      <c r="AJ1069">
        <v>93.225694180646201</v>
      </c>
      <c r="AK1069">
        <v>22.765274877457799</v>
      </c>
      <c r="AL1069">
        <v>83.351314318085002</v>
      </c>
      <c r="AM1069">
        <v>95.403325919280206</v>
      </c>
      <c r="AN1069">
        <v>0.99999997395657203</v>
      </c>
    </row>
    <row r="1070" spans="1:40" x14ac:dyDescent="0.25">
      <c r="A1070" t="str">
        <f>"20190304154743557"</f>
        <v>20190304154743557</v>
      </c>
      <c r="B1070" t="str">
        <f>"1551685663548150"</f>
        <v>1551685663548150</v>
      </c>
      <c r="C1070" t="s">
        <v>40</v>
      </c>
      <c r="D1070">
        <v>4.0638709999999998</v>
      </c>
      <c r="E1070">
        <v>0.51258349999999997</v>
      </c>
      <c r="F1070" t="s">
        <v>44</v>
      </c>
      <c r="G1070">
        <v>-321.60950000000003</v>
      </c>
      <c r="H1070" s="1">
        <v>-3.8343349999999998E-6</v>
      </c>
      <c r="I1070">
        <v>368.19279999999998</v>
      </c>
      <c r="J1070">
        <v>-344.49380000000002</v>
      </c>
      <c r="K1070">
        <v>1.1104099999999999</v>
      </c>
      <c r="L1070">
        <v>366.65170000000001</v>
      </c>
      <c r="M1070">
        <v>0.9998842</v>
      </c>
      <c r="N1070">
        <v>-1.094118E-2</v>
      </c>
      <c r="O1070">
        <v>1.057578E-2</v>
      </c>
      <c r="P1070">
        <v>0.98898770000000003</v>
      </c>
      <c r="Q1070">
        <v>0.1050488</v>
      </c>
      <c r="R1070">
        <v>0.1042496</v>
      </c>
      <c r="S1070">
        <v>3.027466</v>
      </c>
      <c r="T1070">
        <v>-0.1460668</v>
      </c>
      <c r="U1070">
        <v>0.20291139999999999</v>
      </c>
      <c r="V1070">
        <v>-9.3779760000000004E-2</v>
      </c>
      <c r="W1070">
        <v>0.11587790000000001</v>
      </c>
      <c r="X1070">
        <v>0.98882639999999999</v>
      </c>
      <c r="Y1070">
        <v>-5.6244349999999999E-2</v>
      </c>
      <c r="Z1070">
        <v>1.2689859999999999E-3</v>
      </c>
      <c r="AA1070">
        <v>0.99841619999999998</v>
      </c>
      <c r="AB1070">
        <v>27</v>
      </c>
      <c r="AC1070">
        <v>22.8843</v>
      </c>
      <c r="AD1070">
        <v>-1.1104138343350001</v>
      </c>
      <c r="AE1070">
        <v>1.5410999999999699</v>
      </c>
      <c r="AF1070">
        <v>-1.29594249871261</v>
      </c>
      <c r="AG1070">
        <v>-1.1104138343350001</v>
      </c>
      <c r="AH1070">
        <v>22.845772343737899</v>
      </c>
      <c r="AI1070">
        <v>92.778199853174797</v>
      </c>
      <c r="AJ1070">
        <v>93.2466639821847</v>
      </c>
      <c r="AK1070">
        <v>22.909426003838501</v>
      </c>
      <c r="AL1070">
        <v>83.345736379488599</v>
      </c>
      <c r="AM1070">
        <v>95.417696264323098</v>
      </c>
      <c r="AN1070">
        <v>0.999999990215513</v>
      </c>
    </row>
    <row r="1071" spans="1:40" x14ac:dyDescent="0.25">
      <c r="A1071" t="str">
        <f>"20190304154743569"</f>
        <v>20190304154743569</v>
      </c>
      <c r="B1071" t="str">
        <f>"1551685663557910"</f>
        <v>1551685663557910</v>
      </c>
      <c r="C1071" t="s">
        <v>40</v>
      </c>
      <c r="D1071">
        <v>4.0480919999999996</v>
      </c>
      <c r="E1071">
        <v>0.51258139999999996</v>
      </c>
      <c r="F1071" t="s">
        <v>44</v>
      </c>
      <c r="G1071">
        <v>-321.17290000000003</v>
      </c>
      <c r="H1071" s="1">
        <v>-4.016923E-6</v>
      </c>
      <c r="I1071">
        <v>368.21929999999998</v>
      </c>
      <c r="J1071">
        <v>-344.35610000000003</v>
      </c>
      <c r="K1071">
        <v>1.1104099999999999</v>
      </c>
      <c r="L1071">
        <v>366.65320000000003</v>
      </c>
      <c r="M1071">
        <v>0.9998842</v>
      </c>
      <c r="N1071">
        <v>-1.0943130000000001E-2</v>
      </c>
      <c r="O1071">
        <v>1.0575950000000001E-2</v>
      </c>
      <c r="P1071">
        <v>0.98895759999999999</v>
      </c>
      <c r="Q1071">
        <v>0.1051962</v>
      </c>
      <c r="R1071">
        <v>0.1043873</v>
      </c>
      <c r="S1071">
        <v>3.0272220000000001</v>
      </c>
      <c r="T1071">
        <v>-0.1441395</v>
      </c>
      <c r="U1071">
        <v>0.20349120000000001</v>
      </c>
      <c r="V1071">
        <v>-9.3917210000000001E-2</v>
      </c>
      <c r="W1071">
        <v>0.11602700000000001</v>
      </c>
      <c r="X1071">
        <v>0.98879589999999995</v>
      </c>
      <c r="Y1071">
        <v>-5.6441310000000001E-2</v>
      </c>
      <c r="Z1071">
        <v>1.263737E-3</v>
      </c>
      <c r="AA1071">
        <v>0.99840510000000005</v>
      </c>
      <c r="AB1071">
        <v>27</v>
      </c>
      <c r="AC1071">
        <v>23.183199999999999</v>
      </c>
      <c r="AD1071">
        <v>-1.1104140169229999</v>
      </c>
      <c r="AE1071">
        <v>1.5660999999999401</v>
      </c>
      <c r="AF1071">
        <v>-1.3178038433402299</v>
      </c>
      <c r="AG1071">
        <v>-1.1104140169229999</v>
      </c>
      <c r="AH1071">
        <v>23.145608825893699</v>
      </c>
      <c r="AI1071">
        <v>92.742233286143303</v>
      </c>
      <c r="AJ1071">
        <v>93.258638438867706</v>
      </c>
      <c r="AK1071">
        <v>23.209671134675499</v>
      </c>
      <c r="AL1071">
        <v>83.337135759889506</v>
      </c>
      <c r="AM1071">
        <v>95.425755816269898</v>
      </c>
      <c r="AN1071">
        <v>1.0000000194599901</v>
      </c>
    </row>
    <row r="1072" spans="1:40" x14ac:dyDescent="0.25">
      <c r="A1072" t="str">
        <f>"20190304154743580"</f>
        <v>20190304154743580</v>
      </c>
      <c r="B1072" t="str">
        <f>"1551685663577429"</f>
        <v>1551685663577429</v>
      </c>
      <c r="C1072" t="s">
        <v>40</v>
      </c>
      <c r="D1072">
        <v>4.0417389999999997</v>
      </c>
      <c r="E1072">
        <v>0.51260850000000002</v>
      </c>
      <c r="F1072" t="s">
        <v>44</v>
      </c>
      <c r="G1072">
        <v>-320.85129999999998</v>
      </c>
      <c r="H1072" s="1">
        <v>-4.1520079999999996E-6</v>
      </c>
      <c r="I1072">
        <v>368.23579999999998</v>
      </c>
      <c r="J1072">
        <v>-344.22460000000001</v>
      </c>
      <c r="K1072">
        <v>1.1104099999999999</v>
      </c>
      <c r="L1072">
        <v>366.65460000000002</v>
      </c>
      <c r="M1072">
        <v>0.9998842</v>
      </c>
      <c r="N1072">
        <v>-1.094497E-2</v>
      </c>
      <c r="O1072">
        <v>1.0575940000000001E-2</v>
      </c>
      <c r="P1072">
        <v>0.9889462</v>
      </c>
      <c r="Q1072">
        <v>0.1052066</v>
      </c>
      <c r="R1072">
        <v>0.1044837</v>
      </c>
      <c r="S1072">
        <v>3.027161</v>
      </c>
      <c r="T1072">
        <v>-0.14300850000000001</v>
      </c>
      <c r="U1072">
        <v>0.20382690000000001</v>
      </c>
      <c r="V1072">
        <v>-9.4013730000000004E-2</v>
      </c>
      <c r="W1072">
        <v>0.1160394</v>
      </c>
      <c r="X1072">
        <v>0.98878529999999998</v>
      </c>
      <c r="Y1072">
        <v>-5.6553680000000002E-2</v>
      </c>
      <c r="Z1072">
        <v>1.260513E-3</v>
      </c>
      <c r="AA1072">
        <v>0.99839880000000003</v>
      </c>
      <c r="AB1072">
        <v>27</v>
      </c>
      <c r="AC1072">
        <v>23.3733</v>
      </c>
      <c r="AD1072">
        <v>-1.110414152008</v>
      </c>
      <c r="AE1072">
        <v>1.58119999999996</v>
      </c>
      <c r="AF1072">
        <v>-1.3309119667637099</v>
      </c>
      <c r="AG1072">
        <v>-1.110414152008</v>
      </c>
      <c r="AH1072">
        <v>23.3362864734898</v>
      </c>
      <c r="AI1072">
        <v>92.719846098065503</v>
      </c>
      <c r="AJ1072">
        <v>93.2641492656266</v>
      </c>
      <c r="AK1072">
        <v>23.400568638925002</v>
      </c>
      <c r="AL1072">
        <v>83.336420642558096</v>
      </c>
      <c r="AM1072">
        <v>95.431356488788396</v>
      </c>
      <c r="AN1072">
        <v>1.00000004663848</v>
      </c>
    </row>
    <row r="1073" spans="1:40" x14ac:dyDescent="0.25">
      <c r="A1073" t="str">
        <f>"20190304154743592"</f>
        <v>20190304154743592</v>
      </c>
      <c r="B1073" t="str">
        <f>"1551685663587560"</f>
        <v>1551685663587560</v>
      </c>
      <c r="C1073" t="s">
        <v>40</v>
      </c>
      <c r="D1073">
        <v>4.0501459999999998</v>
      </c>
      <c r="E1073">
        <v>0.51257259999999905</v>
      </c>
      <c r="F1073" t="s">
        <v>44</v>
      </c>
      <c r="G1073">
        <v>-320.29399999999998</v>
      </c>
      <c r="H1073" s="1">
        <v>-4.3854219999999997E-6</v>
      </c>
      <c r="I1073">
        <v>368.26760000000002</v>
      </c>
      <c r="J1073">
        <v>-344.09269999999998</v>
      </c>
      <c r="K1073">
        <v>1.110409</v>
      </c>
      <c r="L1073">
        <v>366.65600000000001</v>
      </c>
      <c r="M1073">
        <v>0.99988410000000005</v>
      </c>
      <c r="N1073">
        <v>-1.0946829999999999E-2</v>
      </c>
      <c r="O1073">
        <v>1.057611E-2</v>
      </c>
      <c r="P1073">
        <v>0.98895</v>
      </c>
      <c r="Q1073">
        <v>0.104921</v>
      </c>
      <c r="R1073">
        <v>0.1047347</v>
      </c>
      <c r="S1073">
        <v>3.0269469999999998</v>
      </c>
      <c r="T1073">
        <v>-0.1404541</v>
      </c>
      <c r="U1073">
        <v>0.20404050000000001</v>
      </c>
      <c r="V1073">
        <v>-9.4264390000000003E-2</v>
      </c>
      <c r="W1073">
        <v>0.1157557</v>
      </c>
      <c r="X1073">
        <v>0.98879459999999997</v>
      </c>
      <c r="Y1073">
        <v>-5.6630430000000002E-2</v>
      </c>
      <c r="Z1073">
        <v>1.2479329999999999E-3</v>
      </c>
      <c r="AA1073">
        <v>0.99839440000000002</v>
      </c>
      <c r="AB1073">
        <v>27</v>
      </c>
      <c r="AC1073">
        <v>23.798699999999901</v>
      </c>
      <c r="AD1073">
        <v>-1.110413385422</v>
      </c>
      <c r="AE1073">
        <v>1.6116000000000099</v>
      </c>
      <c r="AF1073">
        <v>-1.3568566674034299</v>
      </c>
      <c r="AG1073">
        <v>-1.110413385422</v>
      </c>
      <c r="AH1073">
        <v>23.762918034709401</v>
      </c>
      <c r="AI1073">
        <v>92.671074107691595</v>
      </c>
      <c r="AJ1073">
        <v>93.268026070383897</v>
      </c>
      <c r="AK1073">
        <v>23.827512489278401</v>
      </c>
      <c r="AL1073">
        <v>83.352785151828797</v>
      </c>
      <c r="AM1073">
        <v>95.445699753326707</v>
      </c>
      <c r="AN1073">
        <v>0.99999995914686002</v>
      </c>
    </row>
    <row r="1074" spans="1:40" x14ac:dyDescent="0.25">
      <c r="A1074" t="str">
        <f>"20190304154743602"</f>
        <v>20190304154743602</v>
      </c>
      <c r="B1074" t="str">
        <f>"1551685663597659"</f>
        <v>1551685663597659</v>
      </c>
      <c r="C1074" t="s">
        <v>40</v>
      </c>
      <c r="D1074">
        <v>4.0369440000000001</v>
      </c>
      <c r="E1074">
        <v>0.51219059999999905</v>
      </c>
      <c r="F1074" t="s">
        <v>44</v>
      </c>
      <c r="G1074">
        <v>-320.06330000000003</v>
      </c>
      <c r="H1074" s="1">
        <v>-4.4821190000000001E-6</v>
      </c>
      <c r="I1074">
        <v>368.28039999999999</v>
      </c>
      <c r="J1074">
        <v>-343.95569999999998</v>
      </c>
      <c r="K1074">
        <v>1.1104080000000001</v>
      </c>
      <c r="L1074">
        <v>366.6574</v>
      </c>
      <c r="M1074">
        <v>0.9998842</v>
      </c>
      <c r="N1074">
        <v>-1.094874E-2</v>
      </c>
      <c r="O1074">
        <v>1.057628E-2</v>
      </c>
      <c r="P1074">
        <v>0.98896189999999995</v>
      </c>
      <c r="Q1074">
        <v>0.10481269999999999</v>
      </c>
      <c r="R1074">
        <v>0.10473209999999999</v>
      </c>
      <c r="S1074">
        <v>3.026672</v>
      </c>
      <c r="T1074">
        <v>-0.13986409999999999</v>
      </c>
      <c r="U1074">
        <v>0.20462040000000001</v>
      </c>
      <c r="V1074">
        <v>-9.4261800000000007E-2</v>
      </c>
      <c r="W1074">
        <v>0.11564960000000001</v>
      </c>
      <c r="X1074">
        <v>0.98880729999999994</v>
      </c>
      <c r="Y1074">
        <v>-5.6826979999999999E-2</v>
      </c>
      <c r="Z1074">
        <v>1.250234E-3</v>
      </c>
      <c r="AA1074">
        <v>0.99838329999999997</v>
      </c>
      <c r="AB1074">
        <v>27</v>
      </c>
      <c r="AC1074">
        <v>23.892399999999899</v>
      </c>
      <c r="AD1074">
        <v>-1.110412482119</v>
      </c>
      <c r="AE1074">
        <v>1.62299999999999</v>
      </c>
      <c r="AF1074">
        <v>-1.3672616843799399</v>
      </c>
      <c r="AG1074">
        <v>-1.110412482119</v>
      </c>
      <c r="AH1074">
        <v>23.856936117309601</v>
      </c>
      <c r="AI1074">
        <v>92.660528653423995</v>
      </c>
      <c r="AJ1074">
        <v>93.280082736372805</v>
      </c>
      <c r="AK1074">
        <v>23.9218691012933</v>
      </c>
      <c r="AL1074">
        <v>83.358905588793903</v>
      </c>
      <c r="AM1074">
        <v>95.445481506302698</v>
      </c>
      <c r="AN1074">
        <v>0.99999999672634399</v>
      </c>
    </row>
    <row r="1075" spans="1:40" x14ac:dyDescent="0.25">
      <c r="A1075" t="str">
        <f>"20190304154743614"</f>
        <v>20190304154743614</v>
      </c>
      <c r="B1075" t="str">
        <f>"1551685663607513"</f>
        <v>1551685663607513</v>
      </c>
      <c r="C1075" t="s">
        <v>40</v>
      </c>
      <c r="D1075">
        <v>4.0025110000000002</v>
      </c>
      <c r="E1075">
        <v>0.51289499999999999</v>
      </c>
      <c r="F1075" t="s">
        <v>44</v>
      </c>
      <c r="G1075">
        <v>-320.46289999999999</v>
      </c>
      <c r="H1075" s="1">
        <v>-4.312777E-6</v>
      </c>
      <c r="I1075">
        <v>368.26859999999999</v>
      </c>
      <c r="J1075">
        <v>-343.81259999999997</v>
      </c>
      <c r="K1075">
        <v>1.1104080000000001</v>
      </c>
      <c r="L1075">
        <v>366.65890000000002</v>
      </c>
      <c r="M1075">
        <v>0.99988410000000005</v>
      </c>
      <c r="N1075">
        <v>-1.0950730000000001E-2</v>
      </c>
      <c r="O1075">
        <v>1.0576439999999999E-2</v>
      </c>
      <c r="P1075">
        <v>0.98894459999999995</v>
      </c>
      <c r="Q1075">
        <v>0.1047675</v>
      </c>
      <c r="R1075">
        <v>0.1049409</v>
      </c>
      <c r="S1075">
        <v>3.0266419999999998</v>
      </c>
      <c r="T1075">
        <v>-0.14305680000000001</v>
      </c>
      <c r="U1075">
        <v>0.2075806</v>
      </c>
      <c r="V1075">
        <v>-9.4470689999999996E-2</v>
      </c>
      <c r="W1075">
        <v>0.115606</v>
      </c>
      <c r="X1075">
        <v>0.98879249999999996</v>
      </c>
      <c r="Y1075">
        <v>-5.7795369999999999E-2</v>
      </c>
      <c r="Z1075">
        <v>1.297222E-3</v>
      </c>
      <c r="AA1075">
        <v>0.99832759999999998</v>
      </c>
      <c r="AB1075">
        <v>27</v>
      </c>
      <c r="AC1075">
        <v>23.349699999999899</v>
      </c>
      <c r="AD1075">
        <v>-1.110412312777</v>
      </c>
      <c r="AE1075">
        <v>1.6096999999999699</v>
      </c>
      <c r="AF1075">
        <v>-1.3595782362287301</v>
      </c>
      <c r="AG1075">
        <v>-1.110412312777</v>
      </c>
      <c r="AH1075">
        <v>23.312945787205798</v>
      </c>
      <c r="AI1075">
        <v>92.7223595153893</v>
      </c>
      <c r="AJ1075">
        <v>93.337628944351593</v>
      </c>
      <c r="AK1075">
        <v>23.3789415877193</v>
      </c>
      <c r="AL1075">
        <v>83.361420797396207</v>
      </c>
      <c r="AM1075">
        <v>95.457557446059894</v>
      </c>
      <c r="AN1075">
        <v>1.00000003328066</v>
      </c>
    </row>
    <row r="1076" spans="1:40" x14ac:dyDescent="0.25">
      <c r="A1076" t="str">
        <f>"20190304154743626"</f>
        <v>20190304154743626</v>
      </c>
      <c r="B1076" t="str">
        <f>"1551685663617609"</f>
        <v>1551685663617609</v>
      </c>
      <c r="C1076" t="s">
        <v>40</v>
      </c>
      <c r="D1076">
        <v>3.971044</v>
      </c>
      <c r="E1076">
        <v>0.51347349999999903</v>
      </c>
      <c r="F1076" t="s">
        <v>45</v>
      </c>
      <c r="G1076">
        <v>-318.3657</v>
      </c>
      <c r="H1076">
        <v>-0.05</v>
      </c>
      <c r="I1076">
        <v>368.36239999999998</v>
      </c>
      <c r="J1076">
        <v>-343.67070000000001</v>
      </c>
      <c r="K1076">
        <v>1.110411</v>
      </c>
      <c r="L1076">
        <v>366.66039999999998</v>
      </c>
      <c r="M1076">
        <v>0.9998842</v>
      </c>
      <c r="N1076">
        <v>-1.0952699999999999E-2</v>
      </c>
      <c r="O1076">
        <v>1.057643E-2</v>
      </c>
      <c r="P1076">
        <v>0.98892049999999998</v>
      </c>
      <c r="Q1076">
        <v>0.10488500000000001</v>
      </c>
      <c r="R1076">
        <v>0.10505150000000001</v>
      </c>
      <c r="S1076">
        <v>3.026672</v>
      </c>
      <c r="T1076">
        <v>-0.13801939999999999</v>
      </c>
      <c r="U1076">
        <v>0.20260619999999999</v>
      </c>
      <c r="V1076">
        <v>-9.4581570000000004E-2</v>
      </c>
      <c r="W1076">
        <v>0.11572490000000001</v>
      </c>
      <c r="X1076">
        <v>0.98876799999999998</v>
      </c>
      <c r="Y1076">
        <v>-5.616778E-2</v>
      </c>
      <c r="Z1076">
        <v>1.220928E-3</v>
      </c>
      <c r="AA1076">
        <v>0.99842059999999999</v>
      </c>
      <c r="AB1076">
        <v>27</v>
      </c>
      <c r="AC1076">
        <v>25.305</v>
      </c>
      <c r="AD1076">
        <v>-1.1604110000000001</v>
      </c>
      <c r="AE1076">
        <v>1.70199999999999</v>
      </c>
      <c r="AF1076">
        <v>-1.43125602705787</v>
      </c>
      <c r="AG1076">
        <v>-1.1604110000000001</v>
      </c>
      <c r="AH1076">
        <v>25.268689338044101</v>
      </c>
      <c r="AI1076">
        <v>92.625138136942596</v>
      </c>
      <c r="AJ1076">
        <v>93.241853957689997</v>
      </c>
      <c r="AK1076">
        <v>25.3357792137225</v>
      </c>
      <c r="AL1076">
        <v>83.3545623539069</v>
      </c>
      <c r="AM1076">
        <v>95.464058792029405</v>
      </c>
      <c r="AN1076">
        <v>1.00000004184383</v>
      </c>
    </row>
    <row r="1077" spans="1:40" x14ac:dyDescent="0.25">
      <c r="A1077" t="str">
        <f>"20190304154743640"</f>
        <v>20190304154743640</v>
      </c>
      <c r="B1077" t="str">
        <f>"1551685663627369"</f>
        <v>1551685663627369</v>
      </c>
      <c r="C1077" t="s">
        <v>40</v>
      </c>
      <c r="D1077">
        <v>3.9993669999999999</v>
      </c>
      <c r="E1077">
        <v>0.51390340000000001</v>
      </c>
      <c r="F1077" t="s">
        <v>45</v>
      </c>
      <c r="G1077">
        <v>-317.35090000000002</v>
      </c>
      <c r="H1077">
        <v>-0.05</v>
      </c>
      <c r="I1077">
        <v>368.38510000000002</v>
      </c>
      <c r="J1077">
        <v>-343.51150000000001</v>
      </c>
      <c r="K1077">
        <v>1.110412</v>
      </c>
      <c r="L1077">
        <v>366.66210000000001</v>
      </c>
      <c r="M1077">
        <v>0.99988410000000005</v>
      </c>
      <c r="N1077">
        <v>-1.095492E-2</v>
      </c>
      <c r="O1077">
        <v>1.057672E-2</v>
      </c>
      <c r="P1077">
        <v>0.98892500000000005</v>
      </c>
      <c r="Q1077">
        <v>0.1050712</v>
      </c>
      <c r="R1077">
        <v>0.104822</v>
      </c>
      <c r="S1077">
        <v>3.0267029999999999</v>
      </c>
      <c r="T1077">
        <v>-0.13344410000000001</v>
      </c>
      <c r="U1077">
        <v>0.1983337</v>
      </c>
      <c r="V1077">
        <v>-9.4351749999999998E-2</v>
      </c>
      <c r="W1077">
        <v>0.1159134</v>
      </c>
      <c r="X1077">
        <v>0.98876790000000003</v>
      </c>
      <c r="Y1077">
        <v>-5.4768959999999998E-2</v>
      </c>
      <c r="Z1077">
        <v>1.1561539999999999E-3</v>
      </c>
      <c r="AA1077">
        <v>0.99849840000000001</v>
      </c>
      <c r="AB1077">
        <v>27</v>
      </c>
      <c r="AC1077">
        <v>26.160599999999899</v>
      </c>
      <c r="AD1077">
        <v>-1.160412</v>
      </c>
      <c r="AE1077">
        <v>1.7230000000000101</v>
      </c>
      <c r="AF1077">
        <v>-1.44336602901934</v>
      </c>
      <c r="AG1077">
        <v>-1.160412</v>
      </c>
      <c r="AH1077">
        <v>26.126178388807102</v>
      </c>
      <c r="AI1077">
        <v>92.5392925149212</v>
      </c>
      <c r="AJ1077">
        <v>93.162146365684507</v>
      </c>
      <c r="AK1077">
        <v>26.191736458418401</v>
      </c>
      <c r="AL1077">
        <v>83.343689077007994</v>
      </c>
      <c r="AM1077">
        <v>95.450862502829594</v>
      </c>
      <c r="AN1077">
        <v>1.0000000645490099</v>
      </c>
    </row>
    <row r="1078" spans="1:40" x14ac:dyDescent="0.25">
      <c r="A1078" t="str">
        <f>"20190304154743659"</f>
        <v>20190304154743659</v>
      </c>
      <c r="B1078" t="str">
        <f>"1551685663647864"</f>
        <v>1551685663647864</v>
      </c>
      <c r="C1078" t="s">
        <v>40</v>
      </c>
      <c r="D1078">
        <v>4.0259340000000003</v>
      </c>
      <c r="E1078">
        <v>0.51458899999999996</v>
      </c>
      <c r="F1078" t="s">
        <v>45</v>
      </c>
      <c r="G1078">
        <v>-316.4049</v>
      </c>
      <c r="H1078">
        <v>-0.05</v>
      </c>
      <c r="I1078">
        <v>368.40199999999999</v>
      </c>
      <c r="J1078">
        <v>-343.27809999999999</v>
      </c>
      <c r="K1078">
        <v>1.110411</v>
      </c>
      <c r="L1078">
        <v>366.66460000000001</v>
      </c>
      <c r="M1078">
        <v>0.99988410000000005</v>
      </c>
      <c r="N1078">
        <v>-1.095819E-2</v>
      </c>
      <c r="O1078">
        <v>1.057688E-2</v>
      </c>
      <c r="P1078">
        <v>0.98894570000000004</v>
      </c>
      <c r="Q1078">
        <v>0.10494580000000001</v>
      </c>
      <c r="R1078">
        <v>0.1047524</v>
      </c>
      <c r="S1078">
        <v>3.026764</v>
      </c>
      <c r="T1078">
        <v>-0.12957370000000001</v>
      </c>
      <c r="U1078">
        <v>0.1942749</v>
      </c>
      <c r="V1078">
        <v>-9.4281450000000003E-2</v>
      </c>
      <c r="W1078">
        <v>0.1157917</v>
      </c>
      <c r="X1078">
        <v>0.98878880000000002</v>
      </c>
      <c r="Y1078">
        <v>-5.3438569999999998E-2</v>
      </c>
      <c r="Z1078">
        <v>1.0990970000000001E-3</v>
      </c>
      <c r="AA1078">
        <v>0.99857059999999997</v>
      </c>
      <c r="AB1078">
        <v>27</v>
      </c>
      <c r="AC1078">
        <v>26.873200000000001</v>
      </c>
      <c r="AD1078">
        <v>-1.1604110000000001</v>
      </c>
      <c r="AE1078">
        <v>1.7373999999999701</v>
      </c>
      <c r="AF1078">
        <v>-1.4503580723251801</v>
      </c>
      <c r="AG1078">
        <v>-1.1604110000000001</v>
      </c>
      <c r="AH1078">
        <v>26.840236093261101</v>
      </c>
      <c r="AI1078">
        <v>92.471982620586999</v>
      </c>
      <c r="AJ1078">
        <v>93.0930672507737</v>
      </c>
      <c r="AK1078">
        <v>26.9044302256873</v>
      </c>
      <c r="AL1078">
        <v>83.350708814647405</v>
      </c>
      <c r="AM1078">
        <v>95.446711148271305</v>
      </c>
      <c r="AN1078">
        <v>1.00000000030421</v>
      </c>
    </row>
    <row r="1079" spans="1:40" x14ac:dyDescent="0.25">
      <c r="A1079" t="str">
        <f>"20190304154743670"</f>
        <v>20190304154743670</v>
      </c>
      <c r="B1079" t="str">
        <f>"1551685663667385"</f>
        <v>1551685663667385</v>
      </c>
      <c r="C1079" t="s">
        <v>40</v>
      </c>
      <c r="D1079">
        <v>3.9737490000000002</v>
      </c>
      <c r="E1079">
        <v>0.51525339999999997</v>
      </c>
      <c r="F1079" t="s">
        <v>45</v>
      </c>
      <c r="G1079">
        <v>-315.16149999999999</v>
      </c>
      <c r="H1079">
        <v>-0.05</v>
      </c>
      <c r="I1079">
        <v>368.416</v>
      </c>
      <c r="J1079">
        <v>-343.13959999999997</v>
      </c>
      <c r="K1079">
        <v>1.1104080000000001</v>
      </c>
      <c r="L1079">
        <v>366.66609999999997</v>
      </c>
      <c r="M1079">
        <v>0.99988410000000005</v>
      </c>
      <c r="N1079">
        <v>-1.096012E-2</v>
      </c>
      <c r="O1079">
        <v>1.0577049999999999E-2</v>
      </c>
      <c r="P1079">
        <v>0.98896680000000003</v>
      </c>
      <c r="Q1079">
        <v>0.1047942</v>
      </c>
      <c r="R1079">
        <v>0.1047043</v>
      </c>
      <c r="S1079">
        <v>3.026764</v>
      </c>
      <c r="T1079">
        <v>-0.1249188</v>
      </c>
      <c r="U1079">
        <v>0.1885376</v>
      </c>
      <c r="V1079">
        <v>-9.4233120000000004E-2</v>
      </c>
      <c r="W1079">
        <v>0.11564199999999999</v>
      </c>
      <c r="X1079">
        <v>0.988811</v>
      </c>
      <c r="Y1079">
        <v>-5.1558430000000002E-2</v>
      </c>
      <c r="Z1079">
        <v>1.0253529999999999E-3</v>
      </c>
      <c r="AA1079">
        <v>0.99866940000000004</v>
      </c>
      <c r="AB1079">
        <v>27</v>
      </c>
      <c r="AC1079">
        <v>27.978099999999898</v>
      </c>
      <c r="AD1079">
        <v>-1.1604079999999899</v>
      </c>
      <c r="AE1079">
        <v>1.74990000000002</v>
      </c>
      <c r="AF1079">
        <v>-1.45137163907112</v>
      </c>
      <c r="AG1079">
        <v>-1.1604079999999899</v>
      </c>
      <c r="AH1079">
        <v>27.947156613133</v>
      </c>
      <c r="AI1079">
        <v>92.374445116402299</v>
      </c>
      <c r="AJ1079">
        <v>92.972854540036295</v>
      </c>
      <c r="AK1079">
        <v>28.0088662590999</v>
      </c>
      <c r="AL1079">
        <v>83.359344489507606</v>
      </c>
      <c r="AM1079">
        <v>95.443814376706499</v>
      </c>
      <c r="AN1079">
        <v>1.0000000733949601</v>
      </c>
    </row>
    <row r="1080" spans="1:40" x14ac:dyDescent="0.25">
      <c r="A1080" t="str">
        <f>"20190304154743682"</f>
        <v>20190304154743682</v>
      </c>
      <c r="B1080" t="str">
        <f>"1551685663678121"</f>
        <v>1551685663678121</v>
      </c>
      <c r="C1080" t="s">
        <v>40</v>
      </c>
      <c r="D1080">
        <v>4.0022209999999996</v>
      </c>
      <c r="E1080">
        <v>0.51550959999999901</v>
      </c>
      <c r="F1080" t="s">
        <v>45</v>
      </c>
      <c r="G1080">
        <v>-314.09870000000001</v>
      </c>
      <c r="H1080">
        <v>-0.05</v>
      </c>
      <c r="I1080">
        <v>368.42169999999999</v>
      </c>
      <c r="J1080">
        <v>-343.01650000000001</v>
      </c>
      <c r="K1080">
        <v>1.110406</v>
      </c>
      <c r="L1080">
        <v>366.66739999999999</v>
      </c>
      <c r="M1080">
        <v>0.99988410000000005</v>
      </c>
      <c r="N1080">
        <v>-1.096184E-2</v>
      </c>
      <c r="O1080">
        <v>1.057722E-2</v>
      </c>
      <c r="P1080">
        <v>0.98897900000000005</v>
      </c>
      <c r="Q1080">
        <v>0.1045941</v>
      </c>
      <c r="R1080">
        <v>0.1047903</v>
      </c>
      <c r="S1080">
        <v>3.0269170000000001</v>
      </c>
      <c r="T1080">
        <v>-0.12094870000000001</v>
      </c>
      <c r="U1080">
        <v>0.18298339999999999</v>
      </c>
      <c r="V1080">
        <v>-9.4319249999999993E-2</v>
      </c>
      <c r="W1080">
        <v>0.1154435</v>
      </c>
      <c r="X1080">
        <v>0.98882590000000004</v>
      </c>
      <c r="Y1080">
        <v>-4.9733970000000002E-2</v>
      </c>
      <c r="Z1080">
        <v>9.5908259999999998E-4</v>
      </c>
      <c r="AA1080">
        <v>0.99876200000000004</v>
      </c>
      <c r="AB1080">
        <v>27</v>
      </c>
      <c r="AC1080">
        <v>28.9178</v>
      </c>
      <c r="AD1080">
        <v>-1.160406</v>
      </c>
      <c r="AE1080">
        <v>1.7543</v>
      </c>
      <c r="AF1080">
        <v>-1.44599372664119</v>
      </c>
      <c r="AG1080">
        <v>-1.160406</v>
      </c>
      <c r="AH1080">
        <v>28.888392311896599</v>
      </c>
      <c r="AI1080">
        <v>92.297380968488</v>
      </c>
      <c r="AJ1080">
        <v>92.865519444492904</v>
      </c>
      <c r="AK1080">
        <v>28.947826348594202</v>
      </c>
      <c r="AL1080">
        <v>83.370793841582596</v>
      </c>
      <c r="AM1080">
        <v>95.448678535149597</v>
      </c>
      <c r="AN1080">
        <v>0.99999999156181096</v>
      </c>
    </row>
    <row r="1081" spans="1:40" x14ac:dyDescent="0.25">
      <c r="A1081" t="str">
        <f>"20190304154743692"</f>
        <v>20190304154743692</v>
      </c>
      <c r="B1081" t="str">
        <f>"1551685663687881"</f>
        <v>1551685663687881</v>
      </c>
      <c r="C1081" t="s">
        <v>40</v>
      </c>
      <c r="D1081">
        <v>3.9758680000000002</v>
      </c>
      <c r="E1081">
        <v>0.51578500000000005</v>
      </c>
      <c r="F1081" t="s">
        <v>45</v>
      </c>
      <c r="G1081">
        <v>-313.68700000000001</v>
      </c>
      <c r="H1081">
        <v>-0.05</v>
      </c>
      <c r="I1081">
        <v>368.42360000000002</v>
      </c>
      <c r="J1081">
        <v>-342.87610000000001</v>
      </c>
      <c r="K1081">
        <v>1.1104069999999999</v>
      </c>
      <c r="L1081">
        <v>366.66890000000001</v>
      </c>
      <c r="M1081">
        <v>0.99988410000000005</v>
      </c>
      <c r="N1081">
        <v>-1.0963809999999999E-2</v>
      </c>
      <c r="O1081">
        <v>1.057721E-2</v>
      </c>
      <c r="P1081">
        <v>0.98896629999999996</v>
      </c>
      <c r="Q1081">
        <v>0.1046623</v>
      </c>
      <c r="R1081">
        <v>0.1048413</v>
      </c>
      <c r="S1081">
        <v>3.0268549999999999</v>
      </c>
      <c r="T1081">
        <v>-0.1197559</v>
      </c>
      <c r="U1081">
        <v>0.18124390000000001</v>
      </c>
      <c r="V1081">
        <v>-9.436986E-2</v>
      </c>
      <c r="W1081">
        <v>0.11551409999999999</v>
      </c>
      <c r="X1081">
        <v>0.98881289999999999</v>
      </c>
      <c r="Y1081">
        <v>-4.9164600000000003E-2</v>
      </c>
      <c r="Z1081">
        <v>9.391744E-4</v>
      </c>
      <c r="AA1081">
        <v>0.99879030000000002</v>
      </c>
      <c r="AB1081">
        <v>27</v>
      </c>
      <c r="AC1081">
        <v>29.1891</v>
      </c>
      <c r="AD1081">
        <v>-1.160407</v>
      </c>
      <c r="AE1081">
        <v>1.7547000000000099</v>
      </c>
      <c r="AF1081">
        <v>-1.44357080894103</v>
      </c>
      <c r="AG1081">
        <v>-1.160407</v>
      </c>
      <c r="AH1081">
        <v>29.160107913124801</v>
      </c>
      <c r="AI1081">
        <v>92.276060454498804</v>
      </c>
      <c r="AJ1081">
        <v>92.834113192510699</v>
      </c>
      <c r="AK1081">
        <v>29.218869495433299</v>
      </c>
      <c r="AL1081">
        <v>83.366722001358696</v>
      </c>
      <c r="AM1081">
        <v>95.451655828909296</v>
      </c>
      <c r="AN1081">
        <v>1.00000006449081</v>
      </c>
    </row>
    <row r="1082" spans="1:40" x14ac:dyDescent="0.25">
      <c r="A1082" t="str">
        <f>"20190304154743704"</f>
        <v>20190304154743704</v>
      </c>
      <c r="B1082" t="str">
        <f>"1551685663697641"</f>
        <v>1551685663697641</v>
      </c>
      <c r="C1082" t="s">
        <v>40</v>
      </c>
      <c r="D1082">
        <v>4.0045159999999997</v>
      </c>
      <c r="E1082">
        <v>0.51600329999999905</v>
      </c>
      <c r="F1082" t="s">
        <v>45</v>
      </c>
      <c r="G1082">
        <v>-313.08749999999998</v>
      </c>
      <c r="H1082">
        <v>-0.05</v>
      </c>
      <c r="I1082">
        <v>368.43119999999999</v>
      </c>
      <c r="J1082">
        <v>-342.73259999999999</v>
      </c>
      <c r="K1082">
        <v>1.110409</v>
      </c>
      <c r="L1082">
        <v>366.67039999999997</v>
      </c>
      <c r="M1082">
        <v>0.99988390000000005</v>
      </c>
      <c r="N1082">
        <v>-1.096579E-2</v>
      </c>
      <c r="O1082">
        <v>1.05775E-2</v>
      </c>
      <c r="P1082">
        <v>0.98892279999999999</v>
      </c>
      <c r="Q1082">
        <v>0.10496220000000001</v>
      </c>
      <c r="R1082">
        <v>0.10494920000000001</v>
      </c>
      <c r="S1082">
        <v>3.0269469999999998</v>
      </c>
      <c r="T1082">
        <v>-0.117914</v>
      </c>
      <c r="U1082">
        <v>0.17907709999999999</v>
      </c>
      <c r="V1082">
        <v>-9.4477790000000006E-2</v>
      </c>
      <c r="W1082">
        <v>0.115814899999999</v>
      </c>
      <c r="X1082">
        <v>0.98876730000000002</v>
      </c>
      <c r="Y1082">
        <v>-4.8451920000000002E-2</v>
      </c>
      <c r="Z1082">
        <v>9.1294270000000005E-4</v>
      </c>
      <c r="AA1082">
        <v>0.99882510000000002</v>
      </c>
      <c r="AB1082">
        <v>27</v>
      </c>
      <c r="AC1082">
        <v>29.645099999999999</v>
      </c>
      <c r="AD1082">
        <v>-1.160409</v>
      </c>
      <c r="AE1082">
        <v>1.7608000000000099</v>
      </c>
      <c r="AF1082">
        <v>-1.44490546867118</v>
      </c>
      <c r="AG1082">
        <v>-1.160409</v>
      </c>
      <c r="AH1082">
        <v>29.616847840552399</v>
      </c>
      <c r="AI1082">
        <v>92.241078678530798</v>
      </c>
      <c r="AJ1082">
        <v>92.793052045686395</v>
      </c>
      <c r="AK1082">
        <v>29.674770039060299</v>
      </c>
      <c r="AL1082">
        <v>83.349370271038495</v>
      </c>
      <c r="AM1082">
        <v>95.458103398450007</v>
      </c>
      <c r="AN1082">
        <v>0.99999995870729097</v>
      </c>
    </row>
    <row r="1083" spans="1:40" x14ac:dyDescent="0.25">
      <c r="A1083" t="str">
        <f>"20190304154743715"</f>
        <v>20190304154743715</v>
      </c>
      <c r="B1083" t="str">
        <f>"1551685663707401"</f>
        <v>1551685663707401</v>
      </c>
      <c r="C1083" t="s">
        <v>40</v>
      </c>
      <c r="D1083">
        <v>3.9756</v>
      </c>
      <c r="E1083">
        <v>0.51622939999999995</v>
      </c>
      <c r="F1083" t="s">
        <v>45</v>
      </c>
      <c r="G1083">
        <v>-312.27999999999997</v>
      </c>
      <c r="H1083">
        <v>-0.05</v>
      </c>
      <c r="I1083">
        <v>368.4579</v>
      </c>
      <c r="J1083">
        <v>-342.6035</v>
      </c>
      <c r="K1083">
        <v>1.110409</v>
      </c>
      <c r="L1083">
        <v>366.67180000000002</v>
      </c>
      <c r="M1083">
        <v>0.99988410000000005</v>
      </c>
      <c r="N1083">
        <v>-1.0967579999999999E-2</v>
      </c>
      <c r="O1083">
        <v>1.057748E-2</v>
      </c>
      <c r="P1083">
        <v>0.98887619999999998</v>
      </c>
      <c r="Q1083">
        <v>0.1057419</v>
      </c>
      <c r="R1083">
        <v>0.1046087</v>
      </c>
      <c r="S1083">
        <v>3.0270079999999999</v>
      </c>
      <c r="T1083">
        <v>-0.1153454</v>
      </c>
      <c r="U1083">
        <v>0.17767330000000001</v>
      </c>
      <c r="V1083">
        <v>-9.4138150000000004E-2</v>
      </c>
      <c r="W1083">
        <v>0.1165963</v>
      </c>
      <c r="X1083">
        <v>0.98870789999999997</v>
      </c>
      <c r="Y1083">
        <v>-4.7991100000000002E-2</v>
      </c>
      <c r="Z1083">
        <v>8.9013720000000001E-4</v>
      </c>
      <c r="AA1083">
        <v>0.99884740000000005</v>
      </c>
      <c r="AB1083">
        <v>27</v>
      </c>
      <c r="AC1083">
        <v>30.323499999999999</v>
      </c>
      <c r="AD1083">
        <v>-1.160409</v>
      </c>
      <c r="AE1083">
        <v>1.78609999999997</v>
      </c>
      <c r="AF1083">
        <v>-1.46309944838527</v>
      </c>
      <c r="AG1083">
        <v>-1.160409</v>
      </c>
      <c r="AH1083">
        <v>30.2964838088119</v>
      </c>
      <c r="AI1083">
        <v>92.190906833305803</v>
      </c>
      <c r="AJ1083">
        <v>92.764820708497993</v>
      </c>
      <c r="AK1083">
        <v>30.353980632212799</v>
      </c>
      <c r="AL1083">
        <v>83.304294239665793</v>
      </c>
      <c r="AM1083">
        <v>95.438924600678305</v>
      </c>
      <c r="AN1083">
        <v>0.99999999999076095</v>
      </c>
    </row>
    <row r="1084" spans="1:40" x14ac:dyDescent="0.25">
      <c r="A1084" t="str">
        <f>"20190304154743725"</f>
        <v>20190304154743725</v>
      </c>
      <c r="B1084" t="str">
        <f>"1551685663718138"</f>
        <v>1551685663718138</v>
      </c>
      <c r="C1084" t="s">
        <v>40</v>
      </c>
      <c r="D1084">
        <v>3.992003</v>
      </c>
      <c r="E1084">
        <v>0.51642410000000005</v>
      </c>
      <c r="F1084" t="s">
        <v>45</v>
      </c>
      <c r="G1084">
        <v>-311.08620000000002</v>
      </c>
      <c r="H1084">
        <v>-0.05</v>
      </c>
      <c r="I1084">
        <v>368.49529999999999</v>
      </c>
      <c r="J1084">
        <v>-342.46170000000001</v>
      </c>
      <c r="K1084">
        <v>1.110414</v>
      </c>
      <c r="L1084">
        <v>366.67329999999998</v>
      </c>
      <c r="M1084">
        <v>0.99988390000000005</v>
      </c>
      <c r="N1084">
        <v>-1.096953E-2</v>
      </c>
      <c r="O1084">
        <v>1.0577649999999999E-2</v>
      </c>
      <c r="P1084">
        <v>0.98887879999999995</v>
      </c>
      <c r="Q1084">
        <v>0.10555730000000001</v>
      </c>
      <c r="R1084">
        <v>0.1047703</v>
      </c>
      <c r="S1084">
        <v>3.0271300000000001</v>
      </c>
      <c r="T1084">
        <v>-0.11145330000000001</v>
      </c>
      <c r="U1084">
        <v>0.1751404</v>
      </c>
      <c r="V1084">
        <v>-9.4300019999999998E-2</v>
      </c>
      <c r="W1084">
        <v>0.1164135</v>
      </c>
      <c r="X1084">
        <v>0.98871399999999998</v>
      </c>
      <c r="Y1084">
        <v>-4.7158609999999997E-2</v>
      </c>
      <c r="Z1084">
        <v>8.5308279999999996E-4</v>
      </c>
      <c r="AA1084">
        <v>0.99888710000000003</v>
      </c>
      <c r="AB1084">
        <v>27</v>
      </c>
      <c r="AC1084">
        <v>31.375499999999899</v>
      </c>
      <c r="AD1084">
        <v>-1.1604139999999901</v>
      </c>
      <c r="AE1084">
        <v>1.8220000000000001</v>
      </c>
      <c r="AF1084">
        <v>-1.48797052558439</v>
      </c>
      <c r="AG1084">
        <v>-1.1604139999999901</v>
      </c>
      <c r="AH1084">
        <v>31.350279167089099</v>
      </c>
      <c r="AI1084">
        <v>92.117423770913206</v>
      </c>
      <c r="AJ1084">
        <v>92.717376109293596</v>
      </c>
      <c r="AK1084">
        <v>31.407015470923401</v>
      </c>
      <c r="AL1084">
        <v>83.314839622850897</v>
      </c>
      <c r="AM1084">
        <v>95.448187163251902</v>
      </c>
      <c r="AN1084">
        <v>0.99999998527512501</v>
      </c>
    </row>
    <row r="1085" spans="1:40" x14ac:dyDescent="0.25">
      <c r="A1085" t="str">
        <f>"20190304154743737"</f>
        <v>20190304154743737</v>
      </c>
      <c r="B1085" t="str">
        <f>"1551685663727898"</f>
        <v>1551685663727898</v>
      </c>
      <c r="C1085" t="s">
        <v>40</v>
      </c>
      <c r="D1085">
        <v>3.9984359999999999</v>
      </c>
      <c r="E1085">
        <v>0.516621</v>
      </c>
      <c r="F1085" t="s">
        <v>45</v>
      </c>
      <c r="G1085">
        <v>-310.6968</v>
      </c>
      <c r="H1085">
        <v>-0.05</v>
      </c>
      <c r="I1085">
        <v>368.49990000000003</v>
      </c>
      <c r="J1085">
        <v>-342.33449999999999</v>
      </c>
      <c r="K1085">
        <v>1.1104099999999999</v>
      </c>
      <c r="L1085">
        <v>366.67469999999997</v>
      </c>
      <c r="M1085">
        <v>0.99988390000000005</v>
      </c>
      <c r="N1085">
        <v>-1.097127E-2</v>
      </c>
      <c r="O1085">
        <v>1.057782E-2</v>
      </c>
      <c r="P1085">
        <v>0.98884430000000001</v>
      </c>
      <c r="Q1085">
        <v>0.1059142</v>
      </c>
      <c r="R1085">
        <v>0.1047338</v>
      </c>
      <c r="S1085">
        <v>3.0270999999999999</v>
      </c>
      <c r="T1085">
        <v>-0.1105841</v>
      </c>
      <c r="U1085">
        <v>0.17407230000000001</v>
      </c>
      <c r="V1085">
        <v>-9.4263490000000005E-2</v>
      </c>
      <c r="W1085">
        <v>0.1167715</v>
      </c>
      <c r="X1085">
        <v>0.98867530000000003</v>
      </c>
      <c r="Y1085">
        <v>-4.6808519999999999E-2</v>
      </c>
      <c r="Z1085">
        <v>8.4110839999999897E-4</v>
      </c>
      <c r="AA1085">
        <v>0.99890350000000006</v>
      </c>
      <c r="AB1085">
        <v>27</v>
      </c>
      <c r="AC1085">
        <v>31.637699999999899</v>
      </c>
      <c r="AD1085">
        <v>-1.1604099999999999</v>
      </c>
      <c r="AE1085">
        <v>1.8252000000000499</v>
      </c>
      <c r="AF1085">
        <v>-1.48842414003423</v>
      </c>
      <c r="AG1085">
        <v>-1.1604099999999999</v>
      </c>
      <c r="AH1085">
        <v>31.612850455950301</v>
      </c>
      <c r="AI1085">
        <v>92.099882955675298</v>
      </c>
      <c r="AJ1085">
        <v>92.695659749724697</v>
      </c>
      <c r="AK1085">
        <v>31.669137527552198</v>
      </c>
      <c r="AL1085">
        <v>83.294187104090099</v>
      </c>
      <c r="AM1085">
        <v>95.446301228937202</v>
      </c>
      <c r="AN1085">
        <v>1.0000000187946601</v>
      </c>
    </row>
    <row r="1086" spans="1:40" x14ac:dyDescent="0.25">
      <c r="A1086" t="str">
        <f>"20190304154743748"</f>
        <v>20190304154743748</v>
      </c>
      <c r="B1086" t="str">
        <f>"1551685663737657"</f>
        <v>1551685663737657</v>
      </c>
      <c r="C1086" t="s">
        <v>40</v>
      </c>
      <c r="D1086">
        <v>4.025925</v>
      </c>
      <c r="E1086">
        <v>0.51679520000000001</v>
      </c>
      <c r="F1086" t="s">
        <v>45</v>
      </c>
      <c r="G1086">
        <v>-309.77890000000002</v>
      </c>
      <c r="H1086">
        <v>-0.05</v>
      </c>
      <c r="I1086">
        <v>368.52929999999998</v>
      </c>
      <c r="J1086">
        <v>-342.2</v>
      </c>
      <c r="K1086">
        <v>1.110409</v>
      </c>
      <c r="L1086">
        <v>366.67610000000002</v>
      </c>
      <c r="M1086">
        <v>0.99988390000000005</v>
      </c>
      <c r="N1086">
        <v>-1.0973109999999999E-2</v>
      </c>
      <c r="O1086">
        <v>1.0577990000000001E-2</v>
      </c>
      <c r="P1086">
        <v>0.98889479999999996</v>
      </c>
      <c r="Q1086">
        <v>0.10522910000000001</v>
      </c>
      <c r="R1086">
        <v>0.10494829999999999</v>
      </c>
      <c r="S1086">
        <v>3.0271300000000001</v>
      </c>
      <c r="T1086">
        <v>-0.1078987</v>
      </c>
      <c r="U1086">
        <v>0.17245479999999899</v>
      </c>
      <c r="V1086">
        <v>-9.4477580000000005E-2</v>
      </c>
      <c r="W1086">
        <v>0.1160891</v>
      </c>
      <c r="X1086">
        <v>0.98873520000000004</v>
      </c>
      <c r="Y1086">
        <v>-4.6277699999999998E-2</v>
      </c>
      <c r="Z1086">
        <v>8.1743889999999996E-4</v>
      </c>
      <c r="AA1086">
        <v>0.99892829999999999</v>
      </c>
      <c r="AB1086">
        <v>27</v>
      </c>
      <c r="AC1086">
        <v>32.421099999999903</v>
      </c>
      <c r="AD1086">
        <v>-1.160409</v>
      </c>
      <c r="AE1086">
        <v>1.85319999999995</v>
      </c>
      <c r="AF1086">
        <v>-1.50819981320038</v>
      </c>
      <c r="AG1086">
        <v>-1.160409</v>
      </c>
      <c r="AH1086">
        <v>32.397522436987202</v>
      </c>
      <c r="AI1086">
        <v>92.049116345247597</v>
      </c>
      <c r="AJ1086">
        <v>92.665362475321601</v>
      </c>
      <c r="AK1086">
        <v>32.453361548211099</v>
      </c>
      <c r="AL1086">
        <v>83.333553314019895</v>
      </c>
      <c r="AM1086">
        <v>95.458267470460399</v>
      </c>
      <c r="AN1086">
        <v>0.99999999399025297</v>
      </c>
    </row>
    <row r="1087" spans="1:40" x14ac:dyDescent="0.25">
      <c r="A1087" t="str">
        <f>"20190304154743759"</f>
        <v>20190304154743759</v>
      </c>
      <c r="B1087" t="str">
        <f>"1551685663747417"</f>
        <v>1551685663747417</v>
      </c>
      <c r="C1087" t="s">
        <v>40</v>
      </c>
      <c r="D1087">
        <v>3.986167</v>
      </c>
      <c r="E1087">
        <v>0.51697709999999997</v>
      </c>
      <c r="F1087" t="s">
        <v>45</v>
      </c>
      <c r="G1087">
        <v>-309.95979999999997</v>
      </c>
      <c r="H1087">
        <v>-0.05</v>
      </c>
      <c r="I1087">
        <v>368.50080000000003</v>
      </c>
      <c r="J1087">
        <v>-342.07049999999998</v>
      </c>
      <c r="K1087">
        <v>1.110409</v>
      </c>
      <c r="L1087">
        <v>366.67739999999998</v>
      </c>
      <c r="M1087">
        <v>0.99988379999999999</v>
      </c>
      <c r="N1087">
        <v>-1.0974879999999999E-2</v>
      </c>
      <c r="O1087">
        <v>1.057816E-2</v>
      </c>
      <c r="P1087">
        <v>0.98889419999999995</v>
      </c>
      <c r="Q1087">
        <v>0.1049901</v>
      </c>
      <c r="R1087">
        <v>0.1051911</v>
      </c>
      <c r="S1087">
        <v>3.027069</v>
      </c>
      <c r="T1087">
        <v>-0.1089524</v>
      </c>
      <c r="U1087">
        <v>0.1713257</v>
      </c>
      <c r="V1087">
        <v>-9.4719709999999999E-2</v>
      </c>
      <c r="W1087">
        <v>0.11585230000000001</v>
      </c>
      <c r="X1087">
        <v>0.98873979999999995</v>
      </c>
      <c r="Y1087">
        <v>-4.5906990000000002E-2</v>
      </c>
      <c r="Z1087">
        <v>8.131716E-4</v>
      </c>
      <c r="AA1087">
        <v>0.99894539999999998</v>
      </c>
      <c r="AB1087">
        <v>27</v>
      </c>
      <c r="AC1087">
        <v>32.110700000000001</v>
      </c>
      <c r="AD1087">
        <v>-1.160409</v>
      </c>
      <c r="AE1087">
        <v>1.8234000000000401</v>
      </c>
      <c r="AF1087">
        <v>-1.48167662157406</v>
      </c>
      <c r="AG1087">
        <v>-1.160409</v>
      </c>
      <c r="AH1087">
        <v>32.086424353696898</v>
      </c>
      <c r="AI1087">
        <v>92.069002524297204</v>
      </c>
      <c r="AJ1087">
        <v>92.643907942649903</v>
      </c>
      <c r="AK1087">
        <v>32.141570317327599</v>
      </c>
      <c r="AL1087">
        <v>83.347213065639394</v>
      </c>
      <c r="AM1087">
        <v>95.472145975566605</v>
      </c>
      <c r="AN1087">
        <v>0.99999998549090696</v>
      </c>
    </row>
    <row r="1088" spans="1:40" x14ac:dyDescent="0.25">
      <c r="A1088" t="str">
        <f>"20190304154743769"</f>
        <v>20190304154743769</v>
      </c>
      <c r="B1088" t="str">
        <f>"1551685663767913"</f>
        <v>1551685663767913</v>
      </c>
      <c r="C1088" t="s">
        <v>40</v>
      </c>
      <c r="D1088">
        <v>4.0017290000000001</v>
      </c>
      <c r="E1088">
        <v>0.51726090000000002</v>
      </c>
      <c r="F1088" t="s">
        <v>45</v>
      </c>
      <c r="G1088">
        <v>-309.64190000000002</v>
      </c>
      <c r="H1088">
        <v>-0.05</v>
      </c>
      <c r="I1088">
        <v>368.50170000000003</v>
      </c>
      <c r="J1088">
        <v>-341.93470000000002</v>
      </c>
      <c r="K1088">
        <v>1.110409</v>
      </c>
      <c r="L1088">
        <v>366.6789</v>
      </c>
      <c r="M1088">
        <v>0.99988390000000005</v>
      </c>
      <c r="N1088">
        <v>-1.0976730000000001E-2</v>
      </c>
      <c r="O1088">
        <v>1.057815E-2</v>
      </c>
      <c r="P1088">
        <v>0.98892340000000001</v>
      </c>
      <c r="Q1088">
        <v>0.1044892</v>
      </c>
      <c r="R1088">
        <v>0.1054168</v>
      </c>
      <c r="S1088">
        <v>3.027069</v>
      </c>
      <c r="T1088">
        <v>-0.10831929999999999</v>
      </c>
      <c r="U1088">
        <v>0.1702881</v>
      </c>
      <c r="V1088">
        <v>-9.4945450000000001E-2</v>
      </c>
      <c r="W1088">
        <v>0.1153531</v>
      </c>
      <c r="X1088">
        <v>0.98877649999999995</v>
      </c>
      <c r="Y1088">
        <v>-4.5566309999999999E-2</v>
      </c>
      <c r="Z1088">
        <v>8.0269140000000004E-4</v>
      </c>
      <c r="AA1088">
        <v>0.99896099999999999</v>
      </c>
      <c r="AB1088">
        <v>27</v>
      </c>
      <c r="AC1088">
        <v>32.2928</v>
      </c>
      <c r="AD1088">
        <v>-1.160409</v>
      </c>
      <c r="AE1088">
        <v>1.82280000000002</v>
      </c>
      <c r="AF1088">
        <v>-1.4791754512141699</v>
      </c>
      <c r="AG1088">
        <v>-1.160409</v>
      </c>
      <c r="AH1088">
        <v>32.268741287714903</v>
      </c>
      <c r="AI1088">
        <v>92.057354764368995</v>
      </c>
      <c r="AJ1088">
        <v>92.6245592953928</v>
      </c>
      <c r="AK1088">
        <v>32.323461654906801</v>
      </c>
      <c r="AL1088">
        <v>83.376008082637995</v>
      </c>
      <c r="AM1088">
        <v>95.484905634980393</v>
      </c>
      <c r="AN1088">
        <v>0.99999997155377995</v>
      </c>
    </row>
    <row r="1089" spans="1:40" x14ac:dyDescent="0.25">
      <c r="A1089" t="str">
        <f>"20190304154743782"</f>
        <v>20190304154743782</v>
      </c>
      <c r="B1089" t="str">
        <f>"1551685663777673"</f>
        <v>1551685663777673</v>
      </c>
      <c r="C1089" t="s">
        <v>40</v>
      </c>
      <c r="D1089">
        <v>3.9764110000000001</v>
      </c>
      <c r="E1089">
        <v>0.51740249999999999</v>
      </c>
      <c r="F1089" t="s">
        <v>45</v>
      </c>
      <c r="G1089">
        <v>-309.4443</v>
      </c>
      <c r="H1089">
        <v>-0.05</v>
      </c>
      <c r="I1089">
        <v>368.49059999999997</v>
      </c>
      <c r="J1089">
        <v>-341.79579999999999</v>
      </c>
      <c r="K1089">
        <v>1.1104069999999999</v>
      </c>
      <c r="L1089">
        <v>366.68040000000002</v>
      </c>
      <c r="M1089">
        <v>0.99988379999999999</v>
      </c>
      <c r="N1089">
        <v>-1.097861E-2</v>
      </c>
      <c r="O1089">
        <v>1.057844E-2</v>
      </c>
      <c r="P1089">
        <v>0.98893869999999895</v>
      </c>
      <c r="Q1089">
        <v>0.1043626</v>
      </c>
      <c r="R1089">
        <v>0.1053979</v>
      </c>
      <c r="S1089">
        <v>3.0270079999999999</v>
      </c>
      <c r="T1089">
        <v>-0.1081109</v>
      </c>
      <c r="U1089">
        <v>0.16879269999999999</v>
      </c>
      <c r="V1089">
        <v>-9.4925599999999999E-2</v>
      </c>
      <c r="W1089">
        <v>0.115229</v>
      </c>
      <c r="X1089">
        <v>0.98879289999999997</v>
      </c>
      <c r="Y1089">
        <v>-4.5075709999999998E-2</v>
      </c>
      <c r="Z1089">
        <v>7.9047299999999998E-4</v>
      </c>
      <c r="AA1089">
        <v>0.99898330000000002</v>
      </c>
      <c r="AB1089">
        <v>27</v>
      </c>
      <c r="AC1089">
        <v>32.351499999999902</v>
      </c>
      <c r="AD1089">
        <v>-1.160407</v>
      </c>
      <c r="AE1089">
        <v>1.8101999999999501</v>
      </c>
      <c r="AF1089">
        <v>-1.4659695023894601</v>
      </c>
      <c r="AG1089">
        <v>-1.160407</v>
      </c>
      <c r="AH1089">
        <v>32.327378382446703</v>
      </c>
      <c r="AI1089">
        <v>92.053668588006403</v>
      </c>
      <c r="AJ1089">
        <v>92.596448129995807</v>
      </c>
      <c r="AK1089">
        <v>32.381399044350601</v>
      </c>
      <c r="AL1089">
        <v>83.383166380692202</v>
      </c>
      <c r="AM1089">
        <v>95.483675512043405</v>
      </c>
      <c r="AN1089">
        <v>0.99999999553338403</v>
      </c>
    </row>
    <row r="1090" spans="1:40" x14ac:dyDescent="0.25">
      <c r="A1090" t="str">
        <f>"20190304154743794"</f>
        <v>20190304154743794</v>
      </c>
      <c r="B1090" t="str">
        <f>"1551685663788409"</f>
        <v>1551685663788409</v>
      </c>
      <c r="C1090" t="s">
        <v>40</v>
      </c>
      <c r="D1090">
        <v>4.0107929999999996</v>
      </c>
      <c r="E1090">
        <v>0.51758059999999995</v>
      </c>
      <c r="F1090" t="s">
        <v>45</v>
      </c>
      <c r="G1090">
        <v>-309.07929999999999</v>
      </c>
      <c r="H1090">
        <v>-0.05</v>
      </c>
      <c r="I1090">
        <v>368.48880000000003</v>
      </c>
      <c r="J1090">
        <v>-341.64839999999998</v>
      </c>
      <c r="K1090">
        <v>1.110406</v>
      </c>
      <c r="L1090">
        <v>366.68189999999998</v>
      </c>
      <c r="M1090">
        <v>0.99988379999999999</v>
      </c>
      <c r="N1090">
        <v>-1.09806E-2</v>
      </c>
      <c r="O1090">
        <v>1.057861E-2</v>
      </c>
      <c r="P1090">
        <v>0.98894150000000003</v>
      </c>
      <c r="Q1090">
        <v>0.1040253</v>
      </c>
      <c r="R1090">
        <v>0.1057039</v>
      </c>
      <c r="S1090">
        <v>3.027069</v>
      </c>
      <c r="T1090">
        <v>-0.10736560000000001</v>
      </c>
      <c r="U1090">
        <v>0.1673279</v>
      </c>
      <c r="V1090">
        <v>-9.5231549999999998E-2</v>
      </c>
      <c r="W1090">
        <v>0.1148936</v>
      </c>
      <c r="X1090">
        <v>0.98880250000000003</v>
      </c>
      <c r="Y1090">
        <v>-4.4593250000000001E-2</v>
      </c>
      <c r="Z1090">
        <v>7.7639039999999999E-4</v>
      </c>
      <c r="AA1090">
        <v>0.99900489999999997</v>
      </c>
      <c r="AB1090">
        <v>27</v>
      </c>
      <c r="AC1090">
        <v>32.569099999999899</v>
      </c>
      <c r="AD1090">
        <v>-1.160406</v>
      </c>
      <c r="AE1090">
        <v>1.8069000000000399</v>
      </c>
      <c r="AF1090">
        <v>-1.46039414089985</v>
      </c>
      <c r="AG1090">
        <v>-1.160406</v>
      </c>
      <c r="AH1090">
        <v>32.545205958395201</v>
      </c>
      <c r="AI1090">
        <v>92.039976690416793</v>
      </c>
      <c r="AJ1090">
        <v>92.569297831600295</v>
      </c>
      <c r="AK1090">
        <v>32.598615369459701</v>
      </c>
      <c r="AL1090">
        <v>83.402511805437499</v>
      </c>
      <c r="AM1090">
        <v>95.501188341742207</v>
      </c>
      <c r="AN1090">
        <v>0.999999985721306</v>
      </c>
    </row>
    <row r="1091" spans="1:40" x14ac:dyDescent="0.25">
      <c r="A1091" t="str">
        <f>"20190304154743805"</f>
        <v>20190304154743805</v>
      </c>
      <c r="B1091" t="str">
        <f>"1551685663798170"</f>
        <v>1551685663798170</v>
      </c>
      <c r="C1091" t="s">
        <v>40</v>
      </c>
      <c r="D1091">
        <v>4.004575</v>
      </c>
      <c r="E1091">
        <v>0.51758059999999995</v>
      </c>
      <c r="F1091" t="s">
        <v>45</v>
      </c>
      <c r="G1091">
        <v>-308.99700000000001</v>
      </c>
      <c r="H1091">
        <v>-0.05</v>
      </c>
      <c r="I1091">
        <v>368.48219999999998</v>
      </c>
      <c r="J1091">
        <v>-341.51760000000002</v>
      </c>
      <c r="K1091">
        <v>1.110406</v>
      </c>
      <c r="L1091">
        <v>366.68329999999997</v>
      </c>
      <c r="M1091">
        <v>0.99988390000000005</v>
      </c>
      <c r="N1091">
        <v>-1.098238E-2</v>
      </c>
      <c r="O1091">
        <v>1.0578600000000001E-2</v>
      </c>
      <c r="P1091">
        <v>0.98895180000000005</v>
      </c>
      <c r="Q1091">
        <v>0.1038979</v>
      </c>
      <c r="R1091">
        <v>0.10573440000000001</v>
      </c>
      <c r="S1091">
        <v>3.0269780000000002</v>
      </c>
      <c r="T1091">
        <v>-0.10757659999999999</v>
      </c>
      <c r="U1091">
        <v>0.16690060000000001</v>
      </c>
      <c r="V1091">
        <v>-9.5262180000000002E-2</v>
      </c>
      <c r="W1091">
        <v>0.1147681</v>
      </c>
      <c r="X1091">
        <v>0.98881410000000003</v>
      </c>
      <c r="Y1091">
        <v>-4.4454349999999997E-2</v>
      </c>
      <c r="Z1091">
        <v>7.7404920000000003E-4</v>
      </c>
      <c r="AA1091">
        <v>0.99901110000000004</v>
      </c>
      <c r="AB1091">
        <v>27</v>
      </c>
      <c r="AC1091">
        <v>32.520600000000002</v>
      </c>
      <c r="AD1091">
        <v>-1.160406</v>
      </c>
      <c r="AE1091">
        <v>1.7988999999999999</v>
      </c>
      <c r="AF1091">
        <v>-1.4529119890992299</v>
      </c>
      <c r="AG1091">
        <v>-1.160406</v>
      </c>
      <c r="AH1091">
        <v>32.4965620816061</v>
      </c>
      <c r="AI1091">
        <v>92.043042611962306</v>
      </c>
      <c r="AJ1091">
        <v>92.559973050467306</v>
      </c>
      <c r="AK1091">
        <v>32.5497164727526</v>
      </c>
      <c r="AL1091">
        <v>83.409750151367106</v>
      </c>
      <c r="AM1091">
        <v>95.5028827085778</v>
      </c>
      <c r="AN1091">
        <v>0.99999996203738495</v>
      </c>
    </row>
    <row r="1092" spans="1:40" x14ac:dyDescent="0.25">
      <c r="A1092" t="str">
        <f>"20190304154743816"</f>
        <v>20190304154743816</v>
      </c>
      <c r="B1092" t="str">
        <f>"1551685663807928"</f>
        <v>1551685663807928</v>
      </c>
      <c r="C1092" t="s">
        <v>40</v>
      </c>
      <c r="D1092">
        <v>4.0543370000000003</v>
      </c>
      <c r="E1092">
        <v>0.55136450000000004</v>
      </c>
      <c r="F1092" t="s">
        <v>45</v>
      </c>
      <c r="G1092">
        <v>-308.98200000000003</v>
      </c>
      <c r="H1092">
        <v>-0.05</v>
      </c>
      <c r="I1092">
        <v>368.48020000000002</v>
      </c>
      <c r="J1092">
        <v>-341.37580000000003</v>
      </c>
      <c r="K1092">
        <v>1.1104039999999999</v>
      </c>
      <c r="L1092">
        <v>366.6848</v>
      </c>
      <c r="M1092">
        <v>0.99988379999999999</v>
      </c>
      <c r="N1092">
        <v>-1.0984300000000001E-2</v>
      </c>
      <c r="O1092">
        <v>1.057876E-2</v>
      </c>
      <c r="P1092">
        <v>0.98896209999999996</v>
      </c>
      <c r="Q1092">
        <v>0.1037233</v>
      </c>
      <c r="R1092">
        <v>0.10580970000000001</v>
      </c>
      <c r="S1092">
        <v>3.0270079999999999</v>
      </c>
      <c r="T1092">
        <v>-0.1079605</v>
      </c>
      <c r="U1092">
        <v>0.1671753</v>
      </c>
      <c r="V1092">
        <v>-9.5337179999999994E-2</v>
      </c>
      <c r="W1092">
        <v>0.11459569999999999</v>
      </c>
      <c r="X1092">
        <v>0.98882689999999995</v>
      </c>
      <c r="Y1092">
        <v>-4.4543729999999997E-2</v>
      </c>
      <c r="Z1092">
        <v>7.7766199999999895E-4</v>
      </c>
      <c r="AA1092">
        <v>0.99900710000000004</v>
      </c>
      <c r="AB1092">
        <v>27</v>
      </c>
      <c r="AC1092">
        <v>32.393799999999999</v>
      </c>
      <c r="AD1092">
        <v>-1.160404</v>
      </c>
      <c r="AE1092">
        <v>1.7954000000000201</v>
      </c>
      <c r="AF1092">
        <v>-1.4507367573190599</v>
      </c>
      <c r="AG1092">
        <v>-1.160404</v>
      </c>
      <c r="AH1092">
        <v>32.369571923852398</v>
      </c>
      <c r="AI1092">
        <v>92.051037470907502</v>
      </c>
      <c r="AJ1092">
        <v>92.566160187260706</v>
      </c>
      <c r="AK1092">
        <v>32.422837030644097</v>
      </c>
      <c r="AL1092">
        <v>83.419693767592094</v>
      </c>
      <c r="AM1092">
        <v>95.507117658242905</v>
      </c>
      <c r="AN1092">
        <v>0.99999999525622596</v>
      </c>
    </row>
    <row r="1093" spans="1:40" x14ac:dyDescent="0.25">
      <c r="A1093" t="str">
        <f>"20190304154743828"</f>
        <v>20190304154743828</v>
      </c>
      <c r="B1093" t="str">
        <f>"1551685663817688"</f>
        <v>1551685663817688</v>
      </c>
      <c r="C1093" t="s">
        <v>40</v>
      </c>
      <c r="D1093">
        <v>4.1124150000000004</v>
      </c>
      <c r="E1093">
        <v>0.5582935</v>
      </c>
      <c r="F1093" t="s">
        <v>43</v>
      </c>
      <c r="G1093">
        <v>-158.19499999999999</v>
      </c>
      <c r="H1093">
        <v>3.2387739999999998</v>
      </c>
      <c r="I1093">
        <v>360.82100000000003</v>
      </c>
      <c r="J1093">
        <v>-341.23230000000001</v>
      </c>
      <c r="K1093">
        <v>1.1103989999999999</v>
      </c>
      <c r="L1093">
        <v>366.68630000000002</v>
      </c>
      <c r="M1093">
        <v>0.99988379999999999</v>
      </c>
      <c r="N1093">
        <v>-1.0986259999999999E-2</v>
      </c>
      <c r="O1093">
        <v>1.057893E-2</v>
      </c>
      <c r="P1093">
        <v>0.98898399999999997</v>
      </c>
      <c r="Q1093">
        <v>0.1034079</v>
      </c>
      <c r="R1093">
        <v>0.1059138</v>
      </c>
      <c r="S1093">
        <v>3.040222</v>
      </c>
      <c r="T1093">
        <v>3.532565E-2</v>
      </c>
      <c r="U1093">
        <v>-9.732056E-2</v>
      </c>
      <c r="V1093">
        <v>-9.54406E-2</v>
      </c>
      <c r="W1093">
        <v>0.1142821</v>
      </c>
      <c r="X1093">
        <v>0.98885319999999999</v>
      </c>
      <c r="Y1093">
        <v>4.2564119999999997E-2</v>
      </c>
      <c r="Z1093">
        <v>2.5241100000000002E-4</v>
      </c>
      <c r="AA1093">
        <v>0.99909369999999997</v>
      </c>
      <c r="AB1093">
        <v>27</v>
      </c>
      <c r="AC1093">
        <v>183.03729999999999</v>
      </c>
      <c r="AD1093">
        <v>2.1283750000000001</v>
      </c>
      <c r="AE1093">
        <v>-5.8653000000000404</v>
      </c>
      <c r="AF1093">
        <v>7.8003735533053096</v>
      </c>
      <c r="AG1093">
        <v>2.1283750000000001</v>
      </c>
      <c r="AH1093">
        <v>182.94029349173701</v>
      </c>
      <c r="AI1093">
        <v>89.334041111010606</v>
      </c>
      <c r="AJ1093">
        <v>87.558449700839205</v>
      </c>
      <c r="AK1093">
        <v>183.11888703941699</v>
      </c>
      <c r="AL1093">
        <v>83.437780440878001</v>
      </c>
      <c r="AM1093">
        <v>95.512909167053493</v>
      </c>
      <c r="AN1093">
        <v>0.99999997882950398</v>
      </c>
    </row>
    <row r="1094" spans="1:40" x14ac:dyDescent="0.25">
      <c r="A1094" t="str">
        <f>"20190304154743841"</f>
        <v>20190304154743841</v>
      </c>
      <c r="B1094" t="str">
        <f>"1551685663838185"</f>
        <v>1551685663838185</v>
      </c>
      <c r="C1094" t="s">
        <v>40</v>
      </c>
      <c r="D1094">
        <v>4.0918479999999997</v>
      </c>
      <c r="E1094">
        <v>0.56216809999999995</v>
      </c>
      <c r="F1094" t="s">
        <v>43</v>
      </c>
      <c r="G1094">
        <v>-158.19499999999999</v>
      </c>
      <c r="H1094">
        <v>3.8648989999999999</v>
      </c>
      <c r="I1094">
        <v>357.5797</v>
      </c>
      <c r="J1094">
        <v>-341.08499999999998</v>
      </c>
      <c r="K1094">
        <v>1.1103989999999999</v>
      </c>
      <c r="L1094">
        <v>366.68790000000001</v>
      </c>
      <c r="M1094">
        <v>0.99988370000000004</v>
      </c>
      <c r="N1094">
        <v>-1.0988349999999999E-2</v>
      </c>
      <c r="O1094">
        <v>1.057922E-2</v>
      </c>
      <c r="P1094">
        <v>0.98896320000000004</v>
      </c>
      <c r="Q1094">
        <v>0.10355159999999999</v>
      </c>
      <c r="R1094">
        <v>0.1059668</v>
      </c>
      <c r="S1094">
        <v>3.0448300000000001</v>
      </c>
      <c r="T1094">
        <v>4.5822620000000001E-2</v>
      </c>
      <c r="U1094">
        <v>-0.15148929999999999</v>
      </c>
      <c r="V1094">
        <v>-9.5493670000000003E-2</v>
      </c>
      <c r="W1094">
        <v>0.114428</v>
      </c>
      <c r="X1094">
        <v>0.98883120000000002</v>
      </c>
      <c r="Y1094">
        <v>6.0250070000000003E-2</v>
      </c>
      <c r="Z1094">
        <v>3.9708460000000001E-4</v>
      </c>
      <c r="AA1094">
        <v>0.9981833</v>
      </c>
      <c r="AB1094">
        <v>27</v>
      </c>
      <c r="AC1094">
        <v>182.89</v>
      </c>
      <c r="AD1094">
        <v>2.7545000000000002</v>
      </c>
      <c r="AE1094">
        <v>-9.1082000000000001</v>
      </c>
      <c r="AF1094">
        <v>11.0401424515989</v>
      </c>
      <c r="AG1094">
        <v>2.7545000000000002</v>
      </c>
      <c r="AH1094">
        <v>182.742051181942</v>
      </c>
      <c r="AI1094">
        <v>89.138008389803701</v>
      </c>
      <c r="AJ1094">
        <v>86.542746051059893</v>
      </c>
      <c r="AK1094">
        <v>183.09595649763901</v>
      </c>
      <c r="AL1094">
        <v>83.429365761528103</v>
      </c>
      <c r="AM1094">
        <v>95.516077699003404</v>
      </c>
      <c r="AN1094">
        <v>0.99999997514375405</v>
      </c>
    </row>
    <row r="1095" spans="1:40" x14ac:dyDescent="0.25">
      <c r="A1095" t="str">
        <f>"20190304154743853"</f>
        <v>20190304154743853</v>
      </c>
      <c r="B1095" t="str">
        <f>"1551685663847945"</f>
        <v>1551685663847945</v>
      </c>
      <c r="C1095" t="s">
        <v>40</v>
      </c>
      <c r="D1095">
        <v>4.0990289999999998</v>
      </c>
      <c r="E1095">
        <v>0.56354399999999905</v>
      </c>
      <c r="F1095" t="s">
        <v>43</v>
      </c>
      <c r="G1095">
        <v>-169.2955</v>
      </c>
      <c r="H1095">
        <v>3.2500789999999999</v>
      </c>
      <c r="I1095">
        <v>356.40730000000002</v>
      </c>
      <c r="J1095">
        <v>-340.9289</v>
      </c>
      <c r="K1095">
        <v>1.110398</v>
      </c>
      <c r="L1095">
        <v>366.68950000000001</v>
      </c>
      <c r="M1095">
        <v>0.99988359999999998</v>
      </c>
      <c r="N1095">
        <v>-1.099061E-2</v>
      </c>
      <c r="O1095">
        <v>1.0579379999999999E-2</v>
      </c>
      <c r="P1095">
        <v>0.98896580000000001</v>
      </c>
      <c r="Q1095">
        <v>0.1034566</v>
      </c>
      <c r="R1095">
        <v>0.1060349</v>
      </c>
      <c r="S1095">
        <v>3.0490110000000001</v>
      </c>
      <c r="T1095">
        <v>3.7977700000000003E-2</v>
      </c>
      <c r="U1095">
        <v>-0.1824646</v>
      </c>
      <c r="V1095">
        <v>-9.5561670000000001E-2</v>
      </c>
      <c r="W1095">
        <v>0.1143351</v>
      </c>
      <c r="X1095">
        <v>0.98883540000000003</v>
      </c>
      <c r="Y1095">
        <v>7.029125E-2</v>
      </c>
      <c r="Z1095">
        <v>2.9854350000000003E-4</v>
      </c>
      <c r="AA1095">
        <v>0.99752649999999998</v>
      </c>
      <c r="AB1095">
        <v>27</v>
      </c>
      <c r="AC1095">
        <v>171.63339999999999</v>
      </c>
      <c r="AD1095">
        <v>2.1396809999999999</v>
      </c>
      <c r="AE1095">
        <v>-10.2821999999999</v>
      </c>
      <c r="AF1095">
        <v>12.095636077691299</v>
      </c>
      <c r="AG1095">
        <v>2.1396809999999999</v>
      </c>
      <c r="AH1095">
        <v>171.48845114825201</v>
      </c>
      <c r="AI1095">
        <v>89.2869224800952</v>
      </c>
      <c r="AJ1095">
        <v>85.965424768199199</v>
      </c>
      <c r="AK1095">
        <v>171.92780904825099</v>
      </c>
      <c r="AL1095">
        <v>83.434723855571093</v>
      </c>
      <c r="AM1095">
        <v>95.519958085034602</v>
      </c>
      <c r="AN1095">
        <v>0.99999999807917905</v>
      </c>
    </row>
    <row r="1096" spans="1:40" x14ac:dyDescent="0.25">
      <c r="A1096" t="str">
        <f>"20190304154743866"</f>
        <v>20190304154743866</v>
      </c>
      <c r="B1096" t="str">
        <f>"1551685663857705"</f>
        <v>1551685663857705</v>
      </c>
      <c r="C1096" t="s">
        <v>40</v>
      </c>
      <c r="D1096">
        <v>4.1175990000000002</v>
      </c>
      <c r="E1096">
        <v>0.56385459999999998</v>
      </c>
      <c r="F1096" t="s">
        <v>43</v>
      </c>
      <c r="G1096">
        <v>-169.2955</v>
      </c>
      <c r="H1096">
        <v>3.2172320000000001</v>
      </c>
      <c r="I1096">
        <v>355.82499999999999</v>
      </c>
      <c r="J1096">
        <v>-340.76569999999998</v>
      </c>
      <c r="K1096">
        <v>1.1103909999999999</v>
      </c>
      <c r="L1096">
        <v>366.69130000000001</v>
      </c>
      <c r="M1096">
        <v>0.99988359999999998</v>
      </c>
      <c r="N1096">
        <v>-1.09929E-2</v>
      </c>
      <c r="O1096">
        <v>1.057955E-2</v>
      </c>
      <c r="P1096">
        <v>0.98897449999999998</v>
      </c>
      <c r="Q1096">
        <v>0.1035628</v>
      </c>
      <c r="R1096">
        <v>0.105851</v>
      </c>
      <c r="S1096">
        <v>3.050262</v>
      </c>
      <c r="T1096">
        <v>3.7444110000000003E-2</v>
      </c>
      <c r="U1096">
        <v>-0.1930847</v>
      </c>
      <c r="V1096">
        <v>-9.5377989999999996E-2</v>
      </c>
      <c r="W1096">
        <v>0.11444360000000001</v>
      </c>
      <c r="X1096">
        <v>0.98884059999999996</v>
      </c>
      <c r="Y1096">
        <v>7.3726689999999998E-2</v>
      </c>
      <c r="Z1096">
        <v>2.9231670000000001E-4</v>
      </c>
      <c r="AA1096">
        <v>0.99727849999999996</v>
      </c>
      <c r="AB1096">
        <v>27</v>
      </c>
      <c r="AC1096">
        <v>171.47019999999901</v>
      </c>
      <c r="AD1096">
        <v>2.1068410000000002</v>
      </c>
      <c r="AE1096">
        <v>-10.866300000000001</v>
      </c>
      <c r="AF1096">
        <v>12.6779726643017</v>
      </c>
      <c r="AG1096">
        <v>2.1068410000000002</v>
      </c>
      <c r="AH1096">
        <v>171.31987455271701</v>
      </c>
      <c r="AI1096">
        <v>89.297350142263397</v>
      </c>
      <c r="AJ1096">
        <v>85.767725762913301</v>
      </c>
      <c r="AK1096">
        <v>171.801249083454</v>
      </c>
      <c r="AL1096">
        <v>83.428466302332595</v>
      </c>
      <c r="AM1096">
        <v>95.509384669759598</v>
      </c>
      <c r="AN1096">
        <v>1.0000000153828701</v>
      </c>
    </row>
    <row r="1097" spans="1:40" x14ac:dyDescent="0.25">
      <c r="A1097" t="str">
        <f>"20190304154743879"</f>
        <v>20190304154743879</v>
      </c>
      <c r="B1097" t="str">
        <f>"1551685663868441"</f>
        <v>1551685663868441</v>
      </c>
      <c r="C1097" t="s">
        <v>40</v>
      </c>
      <c r="D1097">
        <v>4.1168399999999998</v>
      </c>
      <c r="E1097">
        <v>0.56397889999999995</v>
      </c>
      <c r="F1097" t="s">
        <v>43</v>
      </c>
      <c r="G1097">
        <v>-169.2955</v>
      </c>
      <c r="H1097">
        <v>3.0453510000000001</v>
      </c>
      <c r="I1097">
        <v>355.67599999999999</v>
      </c>
      <c r="J1097">
        <v>-340.61849999999998</v>
      </c>
      <c r="K1097">
        <v>1.110392</v>
      </c>
      <c r="L1097">
        <v>366.69279999999998</v>
      </c>
      <c r="M1097">
        <v>0.99988379999999999</v>
      </c>
      <c r="N1097">
        <v>-1.09949E-2</v>
      </c>
      <c r="O1097">
        <v>1.057954E-2</v>
      </c>
      <c r="P1097">
        <v>0.98899919999999997</v>
      </c>
      <c r="Q1097">
        <v>0.1033665</v>
      </c>
      <c r="R1097">
        <v>0.1058134</v>
      </c>
      <c r="S1097">
        <v>3.0508120000000001</v>
      </c>
      <c r="T1097">
        <v>3.4428479999999997E-2</v>
      </c>
      <c r="U1097">
        <v>-0.19598389999999999</v>
      </c>
      <c r="V1097">
        <v>-9.5339579999999993E-2</v>
      </c>
      <c r="W1097">
        <v>0.1142494</v>
      </c>
      <c r="X1097">
        <v>0.98886669999999999</v>
      </c>
      <c r="Y1097">
        <v>7.4659870000000003E-2</v>
      </c>
      <c r="Z1097">
        <v>2.4540899999999998E-4</v>
      </c>
      <c r="AA1097">
        <v>0.99720900000000001</v>
      </c>
      <c r="AB1097">
        <v>27</v>
      </c>
      <c r="AC1097">
        <v>171.32299999999901</v>
      </c>
      <c r="AD1097">
        <v>1.9349590000000001</v>
      </c>
      <c r="AE1097">
        <v>-11.0167999999999</v>
      </c>
      <c r="AF1097">
        <v>12.8271815921835</v>
      </c>
      <c r="AG1097">
        <v>1.9349590000000001</v>
      </c>
      <c r="AH1097">
        <v>171.17510601021201</v>
      </c>
      <c r="AI1097">
        <v>89.3541681767841</v>
      </c>
      <c r="AJ1097">
        <v>85.714491826485499</v>
      </c>
      <c r="AK1097">
        <v>171.66594761786001</v>
      </c>
      <c r="AL1097">
        <v>83.439666212513004</v>
      </c>
      <c r="AM1097">
        <v>95.507035147179707</v>
      </c>
      <c r="AN1097">
        <v>0.99999995564191202</v>
      </c>
    </row>
    <row r="1098" spans="1:40" x14ac:dyDescent="0.25">
      <c r="A1098" t="str">
        <f>"20190304154743894"</f>
        <v>20190304154743894</v>
      </c>
      <c r="B1098" t="str">
        <f>"1551685663887961"</f>
        <v>1551685663887961</v>
      </c>
      <c r="C1098" t="s">
        <v>40</v>
      </c>
      <c r="D1098">
        <v>4.1106049999999996</v>
      </c>
      <c r="E1098">
        <v>0.56457669999999904</v>
      </c>
      <c r="F1098" t="s">
        <v>43</v>
      </c>
      <c r="G1098">
        <v>-169.2955</v>
      </c>
      <c r="H1098">
        <v>2.775331</v>
      </c>
      <c r="I1098">
        <v>355.6069</v>
      </c>
      <c r="J1098">
        <v>-340.43369999999999</v>
      </c>
      <c r="K1098">
        <v>1.11039</v>
      </c>
      <c r="L1098">
        <v>366.69470000000001</v>
      </c>
      <c r="M1098">
        <v>0.99988359999999998</v>
      </c>
      <c r="N1098">
        <v>-1.099733E-2</v>
      </c>
      <c r="O1098">
        <v>1.057988E-2</v>
      </c>
      <c r="P1098">
        <v>0.98908720000000006</v>
      </c>
      <c r="Q1098">
        <v>0.1034323</v>
      </c>
      <c r="R1098">
        <v>0.1049205</v>
      </c>
      <c r="S1098">
        <v>3.0513919999999999</v>
      </c>
      <c r="T1098">
        <v>2.9655339999999999E-2</v>
      </c>
      <c r="U1098">
        <v>-0.1974487</v>
      </c>
      <c r="V1098">
        <v>-9.4445249999999994E-2</v>
      </c>
      <c r="W1098">
        <v>0.11431810000000001</v>
      </c>
      <c r="X1098">
        <v>0.98894459999999995</v>
      </c>
      <c r="Y1098">
        <v>7.512576E-2</v>
      </c>
      <c r="Z1098">
        <v>1.70073499999999E-4</v>
      </c>
      <c r="AA1098">
        <v>0.997174</v>
      </c>
      <c r="AB1098">
        <v>27</v>
      </c>
      <c r="AC1098">
        <v>171.13819999999899</v>
      </c>
      <c r="AD1098">
        <v>1.664941</v>
      </c>
      <c r="AE1098">
        <v>-11.0878</v>
      </c>
      <c r="AF1098">
        <v>12.8966948733792</v>
      </c>
      <c r="AG1098">
        <v>1.664941</v>
      </c>
      <c r="AH1098">
        <v>170.995189394481</v>
      </c>
      <c r="AI1098">
        <v>89.443721564713599</v>
      </c>
      <c r="AJ1098">
        <v>85.686838606199004</v>
      </c>
      <c r="AK1098">
        <v>171.48892548279801</v>
      </c>
      <c r="AL1098">
        <v>83.435704177128201</v>
      </c>
      <c r="AM1098">
        <v>95.455262564200595</v>
      </c>
      <c r="AN1098">
        <v>0.99999997755216496</v>
      </c>
    </row>
    <row r="1099" spans="1:40" x14ac:dyDescent="0.25">
      <c r="A1099" t="str">
        <f>"20190304154743904"</f>
        <v>20190304154743904</v>
      </c>
      <c r="B1099" t="str">
        <f>"1551685663897721"</f>
        <v>1551685663897721</v>
      </c>
      <c r="C1099" t="s">
        <v>40</v>
      </c>
      <c r="D1099">
        <v>4.1198030000000001</v>
      </c>
      <c r="E1099">
        <v>0.56456439999999997</v>
      </c>
      <c r="F1099" t="s">
        <v>43</v>
      </c>
      <c r="G1099">
        <v>-169.2955</v>
      </c>
      <c r="H1099">
        <v>2.7164389999999998</v>
      </c>
      <c r="I1099">
        <v>355.23540000000003</v>
      </c>
      <c r="J1099">
        <v>-340.29860000000002</v>
      </c>
      <c r="K1099">
        <v>1.110387</v>
      </c>
      <c r="L1099">
        <v>366.6961</v>
      </c>
      <c r="M1099">
        <v>0.99988359999999998</v>
      </c>
      <c r="N1099">
        <v>-1.099904E-2</v>
      </c>
      <c r="O1099">
        <v>1.0579989999999999E-2</v>
      </c>
      <c r="P1099">
        <v>0.98912290000000003</v>
      </c>
      <c r="Q1099">
        <v>0.1035922</v>
      </c>
      <c r="R1099">
        <v>0.1044247</v>
      </c>
      <c r="S1099">
        <v>3.0517880000000002</v>
      </c>
      <c r="T1099">
        <v>2.8641099999999999E-2</v>
      </c>
      <c r="U1099">
        <v>-0.20434569999999999</v>
      </c>
      <c r="V1099">
        <v>-9.3948799999999999E-2</v>
      </c>
      <c r="W1099">
        <v>0.1144801</v>
      </c>
      <c r="X1099">
        <v>0.9889732</v>
      </c>
      <c r="Y1099">
        <v>7.7361390000000002E-2</v>
      </c>
      <c r="Z1099">
        <v>1.5208419999999999E-4</v>
      </c>
      <c r="AA1099">
        <v>0.99700310000000003</v>
      </c>
      <c r="AB1099">
        <v>27</v>
      </c>
      <c r="AC1099">
        <v>171.00309999999999</v>
      </c>
      <c r="AD1099">
        <v>1.60605199999999</v>
      </c>
      <c r="AE1099">
        <v>-11.4606999999999</v>
      </c>
      <c r="AF1099">
        <v>13.268213752777999</v>
      </c>
      <c r="AG1099">
        <v>1.60605199999999</v>
      </c>
      <c r="AH1099">
        <v>170.857262740869</v>
      </c>
      <c r="AI1099">
        <v>89.463054151895903</v>
      </c>
      <c r="AJ1099">
        <v>85.559509893942106</v>
      </c>
      <c r="AK1099">
        <v>171.37919690125301</v>
      </c>
      <c r="AL1099">
        <v>83.426361269349897</v>
      </c>
      <c r="AM1099">
        <v>95.426602698865906</v>
      </c>
      <c r="AN1099">
        <v>1.00000003031784</v>
      </c>
    </row>
    <row r="1100" spans="1:40" x14ac:dyDescent="0.25">
      <c r="A1100" t="str">
        <f>"20190304154743917"</f>
        <v>20190304154743917</v>
      </c>
      <c r="B1100" t="str">
        <f>"1551685663907482"</f>
        <v>1551685663907482</v>
      </c>
      <c r="C1100" t="s">
        <v>40</v>
      </c>
      <c r="D1100">
        <v>4.1382149999999998</v>
      </c>
      <c r="E1100">
        <v>0.56457880000000005</v>
      </c>
      <c r="F1100" t="s">
        <v>43</v>
      </c>
      <c r="G1100">
        <v>-169.2955</v>
      </c>
      <c r="H1100">
        <v>2.642668</v>
      </c>
      <c r="I1100">
        <v>355.15559999999999</v>
      </c>
      <c r="J1100">
        <v>-340.15339999999998</v>
      </c>
      <c r="K1100">
        <v>1.110387</v>
      </c>
      <c r="L1100">
        <v>366.6977</v>
      </c>
      <c r="M1100">
        <v>0.99988350000000004</v>
      </c>
      <c r="N1100">
        <v>-1.1000859999999999E-2</v>
      </c>
      <c r="O1100">
        <v>1.058016E-2</v>
      </c>
      <c r="P1100">
        <v>0.98917330000000003</v>
      </c>
      <c r="Q1100">
        <v>0.1036608</v>
      </c>
      <c r="R1100">
        <v>0.10387780000000001</v>
      </c>
      <c r="S1100">
        <v>3.0518800000000001</v>
      </c>
      <c r="T1100">
        <v>2.7348040000000001E-2</v>
      </c>
      <c r="U1100">
        <v>-0.20596310000000001</v>
      </c>
      <c r="V1100">
        <v>-9.3401449999999997E-2</v>
      </c>
      <c r="W1100">
        <v>0.1145511</v>
      </c>
      <c r="X1100">
        <v>0.98901680000000003</v>
      </c>
      <c r="Y1100">
        <v>7.7885780000000002E-2</v>
      </c>
      <c r="Z1100">
        <v>1.306178E-4</v>
      </c>
      <c r="AA1100">
        <v>0.99696229999999997</v>
      </c>
      <c r="AB1100">
        <v>27</v>
      </c>
      <c r="AC1100">
        <v>170.85789999999901</v>
      </c>
      <c r="AD1100">
        <v>1.532281</v>
      </c>
      <c r="AE1100">
        <v>-11.5421</v>
      </c>
      <c r="AF1100">
        <v>13.348198540521301</v>
      </c>
      <c r="AG1100">
        <v>1.532281</v>
      </c>
      <c r="AH1100">
        <v>170.71254334198599</v>
      </c>
      <c r="AI1100">
        <v>89.487303371233907</v>
      </c>
      <c r="AJ1100">
        <v>85.529077685387193</v>
      </c>
      <c r="AK1100">
        <v>171.240458839696</v>
      </c>
      <c r="AL1100">
        <v>83.422266183102096</v>
      </c>
      <c r="AM1100">
        <v>95.394937721276307</v>
      </c>
      <c r="AN1100">
        <v>1.00000000802777</v>
      </c>
    </row>
    <row r="1101" spans="1:40" x14ac:dyDescent="0.25">
      <c r="A1101" t="str">
        <f>"20190304154743927"</f>
        <v>20190304154743927</v>
      </c>
      <c r="B1101" t="str">
        <f>"1551685663918217"</f>
        <v>1551685663918217</v>
      </c>
      <c r="C1101" t="s">
        <v>40</v>
      </c>
      <c r="D1101">
        <v>4.1466289999999999</v>
      </c>
      <c r="E1101">
        <v>0.56434259999999903</v>
      </c>
      <c r="F1101" t="s">
        <v>43</v>
      </c>
      <c r="G1101">
        <v>-169.2955</v>
      </c>
      <c r="H1101">
        <v>2.5179619999999998</v>
      </c>
      <c r="I1101">
        <v>355.05470000000003</v>
      </c>
      <c r="J1101">
        <v>-340.02839999999998</v>
      </c>
      <c r="K1101">
        <v>1.110393</v>
      </c>
      <c r="L1101">
        <v>366.69900000000001</v>
      </c>
      <c r="M1101">
        <v>0.99988359999999998</v>
      </c>
      <c r="N1101">
        <v>-1.1002430000000001E-2</v>
      </c>
      <c r="O1101">
        <v>1.058015E-2</v>
      </c>
      <c r="P1101">
        <v>0.98921700000000001</v>
      </c>
      <c r="Q1101">
        <v>0.10383589999999999</v>
      </c>
      <c r="R1101">
        <v>0.1032858</v>
      </c>
      <c r="S1101">
        <v>3.0520320000000001</v>
      </c>
      <c r="T1101">
        <v>2.5145049999999999E-2</v>
      </c>
      <c r="U1101">
        <v>-0.2079773</v>
      </c>
      <c r="V1101">
        <v>-9.2809569999999994E-2</v>
      </c>
      <c r="W1101">
        <v>0.11472830000000001</v>
      </c>
      <c r="X1101">
        <v>0.98905200000000004</v>
      </c>
      <c r="Y1101">
        <v>7.8537670000000004E-2</v>
      </c>
      <c r="Z1101" s="1">
        <v>9.3918639999999995E-5</v>
      </c>
      <c r="AA1101">
        <v>0.9969112</v>
      </c>
      <c r="AB1101">
        <v>27</v>
      </c>
      <c r="AC1101">
        <v>170.73289999999901</v>
      </c>
      <c r="AD1101">
        <v>1.4075689999999901</v>
      </c>
      <c r="AE1101">
        <v>-11.6442999999999</v>
      </c>
      <c r="AF1101">
        <v>13.4492271377813</v>
      </c>
      <c r="AG1101">
        <v>1.4075689999999901</v>
      </c>
      <c r="AH1101">
        <v>170.588595912491</v>
      </c>
      <c r="AI1101">
        <v>89.528711353654003</v>
      </c>
      <c r="AJ1101">
        <v>85.492117824063399</v>
      </c>
      <c r="AK1101">
        <v>171.123733060288</v>
      </c>
      <c r="AL1101">
        <v>83.412046128851699</v>
      </c>
      <c r="AM1101">
        <v>95.360760418910601</v>
      </c>
      <c r="AN1101">
        <v>1.0000000289042299</v>
      </c>
    </row>
    <row r="1102" spans="1:40" x14ac:dyDescent="0.25">
      <c r="A1102" t="str">
        <f>"20190304154743938"</f>
        <v>20190304154743938</v>
      </c>
      <c r="B1102" t="str">
        <f>"1551685663927978"</f>
        <v>1551685663927978</v>
      </c>
      <c r="C1102" t="s">
        <v>40</v>
      </c>
      <c r="D1102">
        <v>4.1679899999999996</v>
      </c>
      <c r="E1102">
        <v>0.56426109999999996</v>
      </c>
      <c r="F1102" t="s">
        <v>43</v>
      </c>
      <c r="G1102">
        <v>-169.2955</v>
      </c>
      <c r="H1102">
        <v>2.3766820000000002</v>
      </c>
      <c r="I1102">
        <v>355.07319999999999</v>
      </c>
      <c r="J1102">
        <v>-339.89569999999998</v>
      </c>
      <c r="K1102">
        <v>1.1103940000000001</v>
      </c>
      <c r="L1102">
        <v>366.7004</v>
      </c>
      <c r="M1102">
        <v>0.99988359999999998</v>
      </c>
      <c r="N1102">
        <v>-1.1004089999999999E-2</v>
      </c>
      <c r="O1102">
        <v>1.058014E-2</v>
      </c>
      <c r="P1102">
        <v>0.98926289999999995</v>
      </c>
      <c r="Q1102">
        <v>0.1038403</v>
      </c>
      <c r="R1102">
        <v>0.10284160000000001</v>
      </c>
      <c r="S1102">
        <v>3.0520320000000001</v>
      </c>
      <c r="T1102">
        <v>2.2637839999999999E-2</v>
      </c>
      <c r="U1102">
        <v>-0.2078247</v>
      </c>
      <c r="V1102">
        <v>-9.2364740000000001E-2</v>
      </c>
      <c r="W1102">
        <v>0.1147345</v>
      </c>
      <c r="X1102">
        <v>0.98909290000000005</v>
      </c>
      <c r="Y1102">
        <v>7.8488349999999998E-2</v>
      </c>
      <c r="Z1102" s="1">
        <v>5.3060180000000003E-5</v>
      </c>
      <c r="AA1102">
        <v>0.996915</v>
      </c>
      <c r="AB1102">
        <v>27</v>
      </c>
      <c r="AC1102">
        <v>170.60019999999901</v>
      </c>
      <c r="AD1102">
        <v>1.2662879999999901</v>
      </c>
      <c r="AE1102">
        <v>-11.6272</v>
      </c>
      <c r="AF1102">
        <v>13.430895662077299</v>
      </c>
      <c r="AG1102">
        <v>1.2662879999999901</v>
      </c>
      <c r="AH1102">
        <v>170.45827746043901</v>
      </c>
      <c r="AI1102">
        <v>89.575688172426496</v>
      </c>
      <c r="AJ1102">
        <v>85.494809337682398</v>
      </c>
      <c r="AK1102">
        <v>170.99127696571099</v>
      </c>
      <c r="AL1102">
        <v>83.411688393731794</v>
      </c>
      <c r="AM1102">
        <v>95.334995932561398</v>
      </c>
      <c r="AN1102">
        <v>1.0000000077579601</v>
      </c>
    </row>
    <row r="1103" spans="1:40" x14ac:dyDescent="0.25">
      <c r="A1103" t="str">
        <f>"20190304154743948"</f>
        <v>20190304154743948</v>
      </c>
      <c r="B1103" t="str">
        <f>"1551685663937738"</f>
        <v>1551685663937738</v>
      </c>
      <c r="C1103" t="s">
        <v>40</v>
      </c>
      <c r="D1103">
        <v>4.1886150000000004</v>
      </c>
      <c r="E1103">
        <v>0.56394609999999901</v>
      </c>
      <c r="F1103" t="s">
        <v>43</v>
      </c>
      <c r="G1103">
        <v>-169.2955</v>
      </c>
      <c r="H1103">
        <v>2.2449870000000001</v>
      </c>
      <c r="I1103">
        <v>355.0446</v>
      </c>
      <c r="J1103">
        <v>-339.76389999999998</v>
      </c>
      <c r="K1103">
        <v>1.1103940000000001</v>
      </c>
      <c r="L1103">
        <v>366.70179999999999</v>
      </c>
      <c r="M1103">
        <v>0.99988350000000004</v>
      </c>
      <c r="N1103">
        <v>-1.100576E-2</v>
      </c>
      <c r="O1103">
        <v>1.058049E-2</v>
      </c>
      <c r="P1103">
        <v>0.98928899999999997</v>
      </c>
      <c r="Q1103">
        <v>0.1041421</v>
      </c>
      <c r="R1103">
        <v>0.1022821</v>
      </c>
      <c r="S1103">
        <v>3.0520939999999999</v>
      </c>
      <c r="T1103">
        <v>2.0299790000000002E-2</v>
      </c>
      <c r="U1103">
        <v>-0.20852660000000001</v>
      </c>
      <c r="V1103">
        <v>-9.1804490000000002E-2</v>
      </c>
      <c r="W1103">
        <v>0.1150386</v>
      </c>
      <c r="X1103">
        <v>0.98910980000000004</v>
      </c>
      <c r="Y1103">
        <v>7.8715789999999994E-2</v>
      </c>
      <c r="Z1103" s="1">
        <v>1.438463E-5</v>
      </c>
      <c r="AA1103">
        <v>0.99689709999999998</v>
      </c>
      <c r="AB1103">
        <v>27</v>
      </c>
      <c r="AC1103">
        <v>170.46839999999901</v>
      </c>
      <c r="AD1103">
        <v>1.134593</v>
      </c>
      <c r="AE1103">
        <v>-11.6571999999999</v>
      </c>
      <c r="AF1103">
        <v>13.459702303123301</v>
      </c>
      <c r="AG1103">
        <v>1.134593</v>
      </c>
      <c r="AH1103">
        <v>170.32800031712799</v>
      </c>
      <c r="AI1103">
        <v>89.619531647684894</v>
      </c>
      <c r="AJ1103">
        <v>85.481747583212297</v>
      </c>
      <c r="AK1103">
        <v>170.862747781357</v>
      </c>
      <c r="AL1103">
        <v>83.394149023742997</v>
      </c>
      <c r="AM1103">
        <v>95.3027307879359</v>
      </c>
      <c r="AN1103">
        <v>1.00000007016507</v>
      </c>
    </row>
    <row r="1104" spans="1:40" x14ac:dyDescent="0.25">
      <c r="A1104" t="str">
        <f>"20190304154743961"</f>
        <v>20190304154743961</v>
      </c>
      <c r="B1104" t="str">
        <f>"1551685663958233"</f>
        <v>1551685663958233</v>
      </c>
      <c r="C1104" t="s">
        <v>40</v>
      </c>
      <c r="D1104">
        <v>4.1586299999999996</v>
      </c>
      <c r="E1104">
        <v>0.56368869999999904</v>
      </c>
      <c r="F1104" t="s">
        <v>43</v>
      </c>
      <c r="G1104">
        <v>-169.2955</v>
      </c>
      <c r="H1104">
        <v>2.123631</v>
      </c>
      <c r="I1104">
        <v>355.08730000000003</v>
      </c>
      <c r="J1104">
        <v>-339.62939999999998</v>
      </c>
      <c r="K1104">
        <v>1.1104000000000001</v>
      </c>
      <c r="L1104">
        <v>366.70319999999998</v>
      </c>
      <c r="M1104">
        <v>0.99988359999999998</v>
      </c>
      <c r="N1104">
        <v>-1.100747E-2</v>
      </c>
      <c r="O1104">
        <v>1.058048E-2</v>
      </c>
      <c r="P1104">
        <v>0.98937189999999997</v>
      </c>
      <c r="Q1104">
        <v>0.10401489999999999</v>
      </c>
      <c r="R1104">
        <v>0.1016092</v>
      </c>
      <c r="S1104">
        <v>3.0520939999999999</v>
      </c>
      <c r="T1104">
        <v>1.8142700000000001E-2</v>
      </c>
      <c r="U1104">
        <v>-0.20794679999999999</v>
      </c>
      <c r="V1104">
        <v>-9.1130390000000006E-2</v>
      </c>
      <c r="W1104">
        <v>0.1149135</v>
      </c>
      <c r="X1104">
        <v>0.98918660000000003</v>
      </c>
      <c r="Y1104">
        <v>7.8527420000000001E-2</v>
      </c>
      <c r="Z1104" s="1">
        <v>-2.0433039999999998E-5</v>
      </c>
      <c r="AA1104">
        <v>0.99691189999999996</v>
      </c>
      <c r="AB1104">
        <v>27</v>
      </c>
      <c r="AC1104">
        <v>170.33389999999901</v>
      </c>
      <c r="AD1104">
        <v>1.013231</v>
      </c>
      <c r="AE1104">
        <v>-11.6158999999999</v>
      </c>
      <c r="AF1104">
        <v>13.4171004834804</v>
      </c>
      <c r="AG1104">
        <v>1.013231</v>
      </c>
      <c r="AH1104">
        <v>170.195460782564</v>
      </c>
      <c r="AI1104">
        <v>89.659957894692297</v>
      </c>
      <c r="AJ1104">
        <v>85.492496497414905</v>
      </c>
      <c r="AK1104">
        <v>170.726506710096</v>
      </c>
      <c r="AL1104">
        <v>83.401364078983704</v>
      </c>
      <c r="AM1104">
        <v>95.263607152132593</v>
      </c>
      <c r="AN1104">
        <v>0.99999999504168102</v>
      </c>
    </row>
    <row r="1105" spans="1:40" x14ac:dyDescent="0.25">
      <c r="A1105" t="str">
        <f>"20190304154743970"</f>
        <v>20190304154743970</v>
      </c>
      <c r="B1105" t="str">
        <f>"1551685663967994"</f>
        <v>1551685663967994</v>
      </c>
      <c r="C1105" t="s">
        <v>40</v>
      </c>
      <c r="D1105">
        <v>4.125203</v>
      </c>
      <c r="E1105">
        <v>0.56402289999999999</v>
      </c>
      <c r="F1105" t="s">
        <v>43</v>
      </c>
      <c r="G1105">
        <v>-169.2955</v>
      </c>
      <c r="H1105">
        <v>1.9192389999999999</v>
      </c>
      <c r="I1105">
        <v>355.10789999999997</v>
      </c>
      <c r="J1105">
        <v>-339.49119999999999</v>
      </c>
      <c r="K1105">
        <v>1.1104019999999999</v>
      </c>
      <c r="L1105">
        <v>366.70460000000003</v>
      </c>
      <c r="M1105">
        <v>0.99988350000000004</v>
      </c>
      <c r="N1105">
        <v>-1.100923E-2</v>
      </c>
      <c r="O1105">
        <v>1.058077E-2</v>
      </c>
      <c r="P1105">
        <v>0.98937430000000004</v>
      </c>
      <c r="Q1105">
        <v>0.10438699999999999</v>
      </c>
      <c r="R1105">
        <v>0.10120179999999999</v>
      </c>
      <c r="S1105">
        <v>3.0520320000000001</v>
      </c>
      <c r="T1105">
        <v>1.4494299999999899E-2</v>
      </c>
      <c r="U1105">
        <v>-0.2077637</v>
      </c>
      <c r="V1105">
        <v>-9.0723139999999994E-2</v>
      </c>
      <c r="W1105">
        <v>0.11528770000000001</v>
      </c>
      <c r="X1105">
        <v>0.98918050000000002</v>
      </c>
      <c r="Y1105">
        <v>7.8469720000000007E-2</v>
      </c>
      <c r="Z1105" s="1">
        <v>-7.9804270000000002E-5</v>
      </c>
      <c r="AA1105">
        <v>0.99691649999999998</v>
      </c>
      <c r="AB1105">
        <v>27</v>
      </c>
      <c r="AC1105">
        <v>170.19569999999999</v>
      </c>
      <c r="AD1105">
        <v>0.80883699999999903</v>
      </c>
      <c r="AE1105">
        <v>-11.5967</v>
      </c>
      <c r="AF1105">
        <v>13.3966601391529</v>
      </c>
      <c r="AG1105">
        <v>0.80883699999999903</v>
      </c>
      <c r="AH1105">
        <v>170.059639115316</v>
      </c>
      <c r="AI1105">
        <v>89.728333712132397</v>
      </c>
      <c r="AJ1105">
        <v>85.495755476686</v>
      </c>
      <c r="AK1105">
        <v>170.588409853097</v>
      </c>
      <c r="AL1105">
        <v>83.379780595023902</v>
      </c>
      <c r="AM1105">
        <v>95.240248147983394</v>
      </c>
      <c r="AN1105">
        <v>1.0000000017414901</v>
      </c>
    </row>
    <row r="1106" spans="1:40" x14ac:dyDescent="0.25">
      <c r="A1106" t="str">
        <f>"20190304154743983"</f>
        <v>20190304154743983</v>
      </c>
      <c r="B1106" t="str">
        <f>"1551685663977756"</f>
        <v>1551685663977756</v>
      </c>
      <c r="C1106" t="s">
        <v>40</v>
      </c>
      <c r="D1106">
        <v>4.09192</v>
      </c>
      <c r="E1106">
        <v>0.56452170000000002</v>
      </c>
      <c r="F1106" t="s">
        <v>43</v>
      </c>
      <c r="G1106">
        <v>-169.2955</v>
      </c>
      <c r="H1106">
        <v>2.0249739999999998</v>
      </c>
      <c r="I1106">
        <v>354.90640000000002</v>
      </c>
      <c r="J1106">
        <v>-339.34719999999999</v>
      </c>
      <c r="K1106">
        <v>1.1104039999999999</v>
      </c>
      <c r="L1106">
        <v>366.70620000000002</v>
      </c>
      <c r="M1106">
        <v>0.99988350000000004</v>
      </c>
      <c r="N1106">
        <v>-1.101106E-2</v>
      </c>
      <c r="O1106">
        <v>1.058094E-2</v>
      </c>
      <c r="P1106">
        <v>0.98940709999999998</v>
      </c>
      <c r="Q1106">
        <v>0.10449890000000001</v>
      </c>
      <c r="R1106">
        <v>0.1007658</v>
      </c>
      <c r="S1106">
        <v>3.0521240000000001</v>
      </c>
      <c r="T1106">
        <v>1.64026E-2</v>
      </c>
      <c r="U1106">
        <v>-0.2115784</v>
      </c>
      <c r="V1106">
        <v>-9.0286569999999997E-2</v>
      </c>
      <c r="W1106">
        <v>0.1154014</v>
      </c>
      <c r="X1106">
        <v>0.98920719999999995</v>
      </c>
      <c r="Y1106">
        <v>7.9707879999999995E-2</v>
      </c>
      <c r="Z1106" s="1">
        <v>-5.2287529999999999E-5</v>
      </c>
      <c r="AA1106">
        <v>0.99681819999999999</v>
      </c>
      <c r="AB1106">
        <v>27</v>
      </c>
      <c r="AC1106">
        <v>170.05169999999899</v>
      </c>
      <c r="AD1106">
        <v>0.91456999999999999</v>
      </c>
      <c r="AE1106">
        <v>-11.799799999999999</v>
      </c>
      <c r="AF1106">
        <v>13.598163659440299</v>
      </c>
      <c r="AG1106">
        <v>0.91456999999999999</v>
      </c>
      <c r="AH1106">
        <v>169.91242771993501</v>
      </c>
      <c r="AI1106">
        <v>89.692585812586103</v>
      </c>
      <c r="AJ1106">
        <v>85.424346654054105</v>
      </c>
      <c r="AK1106">
        <v>170.458146144079</v>
      </c>
      <c r="AL1106">
        <v>83.373222387953007</v>
      </c>
      <c r="AM1106">
        <v>95.215030876121105</v>
      </c>
      <c r="AN1106">
        <v>1.00000001618808</v>
      </c>
    </row>
    <row r="1107" spans="1:40" x14ac:dyDescent="0.25">
      <c r="A1107" t="str">
        <f>"20190304154743994"</f>
        <v>20190304154743994</v>
      </c>
      <c r="B1107" t="str">
        <f>"1551685663987513"</f>
        <v>1551685663987513</v>
      </c>
      <c r="C1107" t="s">
        <v>40</v>
      </c>
      <c r="D1107">
        <v>4.1185600000000004</v>
      </c>
      <c r="E1107">
        <v>0.56452170000000002</v>
      </c>
      <c r="F1107" t="s">
        <v>43</v>
      </c>
      <c r="G1107">
        <v>-169.2955</v>
      </c>
      <c r="H1107">
        <v>2.2002980000000001</v>
      </c>
      <c r="I1107">
        <v>354.63749999999999</v>
      </c>
      <c r="J1107">
        <v>-339.2158</v>
      </c>
      <c r="K1107">
        <v>1.110401</v>
      </c>
      <c r="L1107">
        <v>366.70760000000001</v>
      </c>
      <c r="M1107">
        <v>0.99988330000000003</v>
      </c>
      <c r="N1107">
        <v>-1.101272E-2</v>
      </c>
      <c r="O1107">
        <v>1.0581109999999999E-2</v>
      </c>
      <c r="P1107">
        <v>0.9894075</v>
      </c>
      <c r="Q1107">
        <v>0.1047459</v>
      </c>
      <c r="R1107">
        <v>0.10050539999999999</v>
      </c>
      <c r="S1107">
        <v>3.052155</v>
      </c>
      <c r="T1107">
        <v>1.9563440000000001E-2</v>
      </c>
      <c r="U1107">
        <v>-0.2166138</v>
      </c>
      <c r="V1107">
        <v>-9.0026410000000001E-2</v>
      </c>
      <c r="W1107">
        <v>0.11565</v>
      </c>
      <c r="X1107">
        <v>0.98920180000000002</v>
      </c>
      <c r="Y1107">
        <v>8.1343550000000001E-2</v>
      </c>
      <c r="Z1107" s="1">
        <v>-4.0027660000000004E-6</v>
      </c>
      <c r="AA1107">
        <v>0.99668610000000002</v>
      </c>
      <c r="AB1107">
        <v>27</v>
      </c>
      <c r="AC1107">
        <v>169.9203</v>
      </c>
      <c r="AD1107">
        <v>1.0898969999999999</v>
      </c>
      <c r="AE1107">
        <v>-12.0701</v>
      </c>
      <c r="AF1107">
        <v>13.866911128422901</v>
      </c>
      <c r="AG1107">
        <v>1.0898969999999999</v>
      </c>
      <c r="AH1107">
        <v>169.77611385817499</v>
      </c>
      <c r="AI1107">
        <v>89.633409045162793</v>
      </c>
      <c r="AJ1107">
        <v>85.330581534608001</v>
      </c>
      <c r="AK1107">
        <v>170.34496745280799</v>
      </c>
      <c r="AL1107">
        <v>83.358882130971594</v>
      </c>
      <c r="AM1107">
        <v>95.200114541500994</v>
      </c>
      <c r="AN1107">
        <v>0.999999939060362</v>
      </c>
    </row>
    <row r="1108" spans="1:40" x14ac:dyDescent="0.25">
      <c r="A1108" t="str">
        <f>"20190304154744005"</f>
        <v>20190304154744005</v>
      </c>
      <c r="B1108" t="str">
        <f>"1551685663998250"</f>
        <v>1551685663998250</v>
      </c>
      <c r="C1108" t="s">
        <v>40</v>
      </c>
      <c r="D1108">
        <v>4.1527989999999999</v>
      </c>
      <c r="E1108">
        <v>0.56466669999999997</v>
      </c>
      <c r="F1108" t="s">
        <v>43</v>
      </c>
      <c r="G1108">
        <v>-169.2955</v>
      </c>
      <c r="H1108">
        <v>2.2364929999999998</v>
      </c>
      <c r="I1108">
        <v>354.61709999999999</v>
      </c>
      <c r="J1108">
        <v>-339.0729</v>
      </c>
      <c r="K1108">
        <v>1.110403</v>
      </c>
      <c r="L1108">
        <v>366.70909999999998</v>
      </c>
      <c r="M1108">
        <v>0.99988350000000004</v>
      </c>
      <c r="N1108">
        <v>-1.101453E-2</v>
      </c>
      <c r="O1108">
        <v>1.05811E-2</v>
      </c>
      <c r="P1108">
        <v>0.98937989999999998</v>
      </c>
      <c r="Q1108">
        <v>0.10504280000000001</v>
      </c>
      <c r="R1108">
        <v>0.1004669</v>
      </c>
      <c r="S1108">
        <v>3.0520320000000001</v>
      </c>
      <c r="T1108">
        <v>2.0227910000000002E-2</v>
      </c>
      <c r="U1108">
        <v>-0.2171631</v>
      </c>
      <c r="V1108">
        <v>-8.9987869999999998E-2</v>
      </c>
      <c r="W1108">
        <v>0.11594839999999999</v>
      </c>
      <c r="X1108">
        <v>0.98917040000000001</v>
      </c>
      <c r="Y1108">
        <v>8.1524799999999994E-2</v>
      </c>
      <c r="Z1108" s="1">
        <v>6.6943469999999998E-6</v>
      </c>
      <c r="AA1108">
        <v>0.99667130000000004</v>
      </c>
      <c r="AB1108">
        <v>27</v>
      </c>
      <c r="AC1108">
        <v>169.7774</v>
      </c>
      <c r="AD1108">
        <v>1.12608999999999</v>
      </c>
      <c r="AE1108">
        <v>-12.091999999999899</v>
      </c>
      <c r="AF1108">
        <v>13.8872554934762</v>
      </c>
      <c r="AG1108">
        <v>1.12608999999999</v>
      </c>
      <c r="AH1108">
        <v>169.632515039862</v>
      </c>
      <c r="AI1108">
        <v>89.620920938842005</v>
      </c>
      <c r="AJ1108">
        <v>85.319820322775499</v>
      </c>
      <c r="AK1108">
        <v>170.20374291588899</v>
      </c>
      <c r="AL1108">
        <v>83.341669440511893</v>
      </c>
      <c r="AM1108">
        <v>95.198064684193199</v>
      </c>
      <c r="AN1108">
        <v>0.99999996422292703</v>
      </c>
    </row>
    <row r="1109" spans="1:40" x14ac:dyDescent="0.25">
      <c r="A1109" t="str">
        <f>"20190304154744017"</f>
        <v>20190304154744017</v>
      </c>
      <c r="B1109" t="str">
        <f>"1551685664008009"</f>
        <v>1551685664008009</v>
      </c>
      <c r="C1109" t="s">
        <v>40</v>
      </c>
      <c r="D1109">
        <v>4.1251150000000001</v>
      </c>
      <c r="E1109">
        <v>0.56482980000000005</v>
      </c>
      <c r="F1109" t="s">
        <v>43</v>
      </c>
      <c r="G1109">
        <v>-169.2955</v>
      </c>
      <c r="H1109">
        <v>2.303636</v>
      </c>
      <c r="I1109">
        <v>354.54770000000002</v>
      </c>
      <c r="J1109">
        <v>-338.93340000000001</v>
      </c>
      <c r="K1109">
        <v>1.1104050000000001</v>
      </c>
      <c r="L1109">
        <v>366.7106</v>
      </c>
      <c r="M1109">
        <v>0.99988339999999998</v>
      </c>
      <c r="N1109">
        <v>-1.10163E-2</v>
      </c>
      <c r="O1109">
        <v>1.058127E-2</v>
      </c>
      <c r="P1109">
        <v>0.98934529999999998</v>
      </c>
      <c r="Q1109">
        <v>0.1054518</v>
      </c>
      <c r="R1109">
        <v>0.1003786</v>
      </c>
      <c r="S1109">
        <v>3.0521240000000001</v>
      </c>
      <c r="T1109">
        <v>2.1452550000000001E-2</v>
      </c>
      <c r="U1109">
        <v>-0.21862789999999999</v>
      </c>
      <c r="V1109">
        <v>-8.9899580000000007E-2</v>
      </c>
      <c r="W1109">
        <v>0.116359</v>
      </c>
      <c r="X1109">
        <v>0.98913030000000002</v>
      </c>
      <c r="Y1109">
        <v>8.1998650000000006E-2</v>
      </c>
      <c r="Z1109" s="1">
        <v>2.6241879999999999E-5</v>
      </c>
      <c r="AA1109">
        <v>0.99663250000000003</v>
      </c>
      <c r="AB1109">
        <v>27</v>
      </c>
      <c r="AC1109">
        <v>169.6379</v>
      </c>
      <c r="AD1109">
        <v>1.1932309999999999</v>
      </c>
      <c r="AE1109">
        <v>-12.162899999999899</v>
      </c>
      <c r="AF1109">
        <v>13.9566252280573</v>
      </c>
      <c r="AG1109">
        <v>1.1932309999999999</v>
      </c>
      <c r="AH1109">
        <v>169.491352212631</v>
      </c>
      <c r="AI1109">
        <v>89.598000902564806</v>
      </c>
      <c r="AJ1109">
        <v>85.292646751484199</v>
      </c>
      <c r="AK1109">
        <v>170.06919081021701</v>
      </c>
      <c r="AL1109">
        <v>83.317984049641097</v>
      </c>
      <c r="AM1109">
        <v>95.193201969166097</v>
      </c>
      <c r="AN1109">
        <v>1.00000005087163</v>
      </c>
    </row>
    <row r="1110" spans="1:40" x14ac:dyDescent="0.25">
      <c r="A1110" t="str">
        <f>"20190304154744027"</f>
        <v>20190304154744027</v>
      </c>
      <c r="B1110" t="str">
        <f>"1551685664017770"</f>
        <v>1551685664017770</v>
      </c>
      <c r="C1110" t="s">
        <v>40</v>
      </c>
      <c r="D1110">
        <v>4.1896430000000002</v>
      </c>
      <c r="E1110">
        <v>0.56518290000000004</v>
      </c>
      <c r="F1110" t="s">
        <v>43</v>
      </c>
      <c r="G1110">
        <v>-169.2955</v>
      </c>
      <c r="H1110">
        <v>2.3789929999999999</v>
      </c>
      <c r="I1110">
        <v>354.47980000000001</v>
      </c>
      <c r="J1110">
        <v>-338.80079999999998</v>
      </c>
      <c r="K1110">
        <v>1.1104069999999999</v>
      </c>
      <c r="L1110">
        <v>366.71199999999999</v>
      </c>
      <c r="M1110">
        <v>0.99988339999999998</v>
      </c>
      <c r="N1110">
        <v>-1.101799E-2</v>
      </c>
      <c r="O1110">
        <v>1.0581439999999999E-2</v>
      </c>
      <c r="P1110">
        <v>0.98931179999999996</v>
      </c>
      <c r="Q1110">
        <v>0.10570980000000001</v>
      </c>
      <c r="R1110">
        <v>0.1004379</v>
      </c>
      <c r="S1110">
        <v>3.052216</v>
      </c>
      <c r="T1110">
        <v>2.282667E-2</v>
      </c>
      <c r="U1110">
        <v>-0.22006229999999999</v>
      </c>
      <c r="V1110">
        <v>-8.9959059999999993E-2</v>
      </c>
      <c r="W1110">
        <v>0.1166181</v>
      </c>
      <c r="X1110">
        <v>0.98909429999999998</v>
      </c>
      <c r="Y1110">
        <v>8.2462469999999996E-2</v>
      </c>
      <c r="Z1110" s="1">
        <v>4.8531569999999999E-5</v>
      </c>
      <c r="AA1110">
        <v>0.99659419999999999</v>
      </c>
      <c r="AB1110">
        <v>27</v>
      </c>
      <c r="AC1110">
        <v>169.50529999999901</v>
      </c>
      <c r="AD1110">
        <v>1.268586</v>
      </c>
      <c r="AE1110">
        <v>-12.232199999999899</v>
      </c>
      <c r="AF1110">
        <v>14.024452525071901</v>
      </c>
      <c r="AG1110">
        <v>1.268586</v>
      </c>
      <c r="AH1110">
        <v>169.35693025211401</v>
      </c>
      <c r="AI1110">
        <v>89.572291873986998</v>
      </c>
      <c r="AJ1110">
        <v>85.266135871928498</v>
      </c>
      <c r="AK1110">
        <v>169.94135577747599</v>
      </c>
      <c r="AL1110">
        <v>83.303036437476607</v>
      </c>
      <c r="AM1110">
        <v>95.196807231782302</v>
      </c>
      <c r="AN1110">
        <v>0.99999997400809104</v>
      </c>
    </row>
    <row r="1111" spans="1:40" x14ac:dyDescent="0.25">
      <c r="A1111" t="str">
        <f>"20190304154744039"</f>
        <v>20190304154744039</v>
      </c>
      <c r="B1111" t="str">
        <f>"1551685664027529"</f>
        <v>1551685664027529</v>
      </c>
      <c r="C1111" t="s">
        <v>40</v>
      </c>
      <c r="D1111">
        <v>4.1667610000000002</v>
      </c>
      <c r="E1111">
        <v>0.56525369999999997</v>
      </c>
      <c r="F1111" t="s">
        <v>43</v>
      </c>
      <c r="G1111">
        <v>-169.2955</v>
      </c>
      <c r="H1111">
        <v>2.4684870000000001</v>
      </c>
      <c r="I1111">
        <v>354.35599999999999</v>
      </c>
      <c r="J1111">
        <v>-338.66969999999998</v>
      </c>
      <c r="K1111">
        <v>1.1104050000000001</v>
      </c>
      <c r="L1111">
        <v>366.71339999999998</v>
      </c>
      <c r="M1111">
        <v>0.99988339999999998</v>
      </c>
      <c r="N1111">
        <v>-1.101972E-2</v>
      </c>
      <c r="O1111">
        <v>1.058161E-2</v>
      </c>
      <c r="P1111">
        <v>0.98927160000000003</v>
      </c>
      <c r="Q1111">
        <v>0.10593080000000001</v>
      </c>
      <c r="R1111">
        <v>0.1006005</v>
      </c>
      <c r="S1111">
        <v>3.0523989999999999</v>
      </c>
      <c r="T1111">
        <v>2.4457449999999999E-2</v>
      </c>
      <c r="U1111">
        <v>-0.2225037</v>
      </c>
      <c r="V1111">
        <v>-9.0122250000000001E-2</v>
      </c>
      <c r="W1111">
        <v>0.11684020000000001</v>
      </c>
      <c r="X1111">
        <v>0.98905319999999997</v>
      </c>
      <c r="Y1111">
        <v>8.3251060000000002E-2</v>
      </c>
      <c r="Z1111" s="1">
        <v>7.4878280000000003E-5</v>
      </c>
      <c r="AA1111">
        <v>0.99652859999999999</v>
      </c>
      <c r="AB1111">
        <v>27</v>
      </c>
      <c r="AC1111">
        <v>169.37419999999901</v>
      </c>
      <c r="AD1111">
        <v>1.358082</v>
      </c>
      <c r="AE1111">
        <v>-12.357399999999901</v>
      </c>
      <c r="AF1111">
        <v>14.148163629303999</v>
      </c>
      <c r="AG1111">
        <v>1.358082</v>
      </c>
      <c r="AH1111">
        <v>169.22312491709101</v>
      </c>
      <c r="AI1111">
        <v>89.541787360388994</v>
      </c>
      <c r="AJ1111">
        <v>85.220811795029704</v>
      </c>
      <c r="AK1111">
        <v>169.81896515850599</v>
      </c>
      <c r="AL1111">
        <v>83.290223238815599</v>
      </c>
      <c r="AM1111">
        <v>95.206397881586796</v>
      </c>
      <c r="AN1111">
        <v>0.99999994235566902</v>
      </c>
    </row>
    <row r="1112" spans="1:40" x14ac:dyDescent="0.25">
      <c r="A1112" t="str">
        <f>"20190304154744050"</f>
        <v>20190304154744050</v>
      </c>
      <c r="B1112" t="str">
        <f>"1551685664048025"</f>
        <v>1551685664048025</v>
      </c>
      <c r="C1112" t="s">
        <v>40</v>
      </c>
      <c r="D1112">
        <v>4.2062989999999996</v>
      </c>
      <c r="E1112">
        <v>0.5654498</v>
      </c>
      <c r="F1112" t="s">
        <v>43</v>
      </c>
      <c r="G1112">
        <v>-169.2955</v>
      </c>
      <c r="H1112">
        <v>2.5212129999999999</v>
      </c>
      <c r="I1112">
        <v>354.3587</v>
      </c>
      <c r="J1112">
        <v>-338.51589999999999</v>
      </c>
      <c r="K1112">
        <v>1.1104050000000001</v>
      </c>
      <c r="L1112">
        <v>366.71499999999997</v>
      </c>
      <c r="M1112">
        <v>0.99988350000000004</v>
      </c>
      <c r="N1112">
        <v>-1.102179E-2</v>
      </c>
      <c r="O1112">
        <v>1.058159E-2</v>
      </c>
      <c r="P1112">
        <v>0.98924820000000002</v>
      </c>
      <c r="Q1112">
        <v>0.1061747</v>
      </c>
      <c r="R1112">
        <v>0.10057629999999999</v>
      </c>
      <c r="S1112">
        <v>3.05246</v>
      </c>
      <c r="T1112">
        <v>2.5427100000000001E-2</v>
      </c>
      <c r="U1112">
        <v>-0.2226563</v>
      </c>
      <c r="V1112">
        <v>-9.0097930000000007E-2</v>
      </c>
      <c r="W1112">
        <v>0.1170855</v>
      </c>
      <c r="X1112">
        <v>0.98902650000000003</v>
      </c>
      <c r="Y1112">
        <v>8.3299029999999996E-2</v>
      </c>
      <c r="Z1112" s="1">
        <v>9.1299649999999999E-5</v>
      </c>
      <c r="AA1112">
        <v>0.99652459999999998</v>
      </c>
      <c r="AB1112">
        <v>27</v>
      </c>
      <c r="AC1112">
        <v>169.22039999999899</v>
      </c>
      <c r="AD1112">
        <v>1.4108080000000001</v>
      </c>
      <c r="AE1112">
        <v>-12.3562999999999</v>
      </c>
      <c r="AF1112">
        <v>14.145359387405</v>
      </c>
      <c r="AG1112">
        <v>1.4108080000000001</v>
      </c>
      <c r="AH1112">
        <v>169.068478398617</v>
      </c>
      <c r="AI1112">
        <v>89.523565567793995</v>
      </c>
      <c r="AJ1112">
        <v>85.217404284623299</v>
      </c>
      <c r="AK1112">
        <v>169.66505815705099</v>
      </c>
      <c r="AL1112">
        <v>83.2760720719142</v>
      </c>
      <c r="AM1112">
        <v>95.205140367411005</v>
      </c>
      <c r="AN1112">
        <v>1.00000003450139</v>
      </c>
    </row>
    <row r="1113" spans="1:40" x14ac:dyDescent="0.25">
      <c r="A1113" t="str">
        <f>"20190304154744063"</f>
        <v>20190304154744063</v>
      </c>
      <c r="B1113" t="str">
        <f>"1551685664057785"</f>
        <v>1551685664057785</v>
      </c>
      <c r="C1113" t="s">
        <v>40</v>
      </c>
      <c r="D1113">
        <v>4.1427690000000004</v>
      </c>
      <c r="E1113">
        <v>0.56547689999999995</v>
      </c>
      <c r="F1113" t="s">
        <v>43</v>
      </c>
      <c r="G1113">
        <v>-169.2955</v>
      </c>
      <c r="H1113">
        <v>2.5400779999999998</v>
      </c>
      <c r="I1113">
        <v>354.27100000000002</v>
      </c>
      <c r="J1113">
        <v>-338.37189999999998</v>
      </c>
      <c r="K1113">
        <v>1.110411</v>
      </c>
      <c r="L1113">
        <v>366.7165</v>
      </c>
      <c r="M1113">
        <v>0.99988330000000003</v>
      </c>
      <c r="N1113">
        <v>-1.1023710000000001E-2</v>
      </c>
      <c r="O1113">
        <v>1.0581699999999999E-2</v>
      </c>
      <c r="P1113">
        <v>0.98923329999999998</v>
      </c>
      <c r="Q1113">
        <v>0.1064146</v>
      </c>
      <c r="R1113">
        <v>0.10046670000000001</v>
      </c>
      <c r="S1113">
        <v>3.0527039999999999</v>
      </c>
      <c r="T1113">
        <v>2.5792599999999999E-2</v>
      </c>
      <c r="U1113">
        <v>-0.2244873</v>
      </c>
      <c r="V1113">
        <v>-8.9988280000000004E-2</v>
      </c>
      <c r="W1113">
        <v>0.1173275</v>
      </c>
      <c r="X1113">
        <v>0.98900779999999999</v>
      </c>
      <c r="Y1113">
        <v>8.3887840000000005E-2</v>
      </c>
      <c r="Z1113" s="1">
        <v>9.6664300000000002E-5</v>
      </c>
      <c r="AA1113">
        <v>0.99647520000000001</v>
      </c>
      <c r="AB1113">
        <v>27</v>
      </c>
      <c r="AC1113">
        <v>169.07639999999901</v>
      </c>
      <c r="AD1113">
        <v>1.42966699999999</v>
      </c>
      <c r="AE1113">
        <v>-12.445499999999999</v>
      </c>
      <c r="AF1113">
        <v>14.233015312258701</v>
      </c>
      <c r="AG1113">
        <v>1.42966699999999</v>
      </c>
      <c r="AH1113">
        <v>168.92321724052499</v>
      </c>
      <c r="AI1113">
        <v>89.516805770340795</v>
      </c>
      <c r="AJ1113">
        <v>85.183787675415104</v>
      </c>
      <c r="AK1113">
        <v>169.52780301620001</v>
      </c>
      <c r="AL1113">
        <v>83.262110236640197</v>
      </c>
      <c r="AM1113">
        <v>95.198938158021093</v>
      </c>
      <c r="AN1113">
        <v>1.0000000306272201</v>
      </c>
    </row>
    <row r="1114" spans="1:40" x14ac:dyDescent="0.25">
      <c r="A1114" t="str">
        <f>"20190304154744076"</f>
        <v>20190304154744076</v>
      </c>
      <c r="B1114" t="str">
        <f>"1551685664067546"</f>
        <v>1551685664067546</v>
      </c>
      <c r="C1114" t="s">
        <v>40</v>
      </c>
      <c r="D1114">
        <v>4.1834470000000001</v>
      </c>
      <c r="E1114">
        <v>0.56554309999999997</v>
      </c>
      <c r="F1114" t="s">
        <v>43</v>
      </c>
      <c r="G1114">
        <v>-169.2955</v>
      </c>
      <c r="H1114">
        <v>2.5524439999999999</v>
      </c>
      <c r="I1114">
        <v>354.27109999999999</v>
      </c>
      <c r="J1114">
        <v>-338.21480000000003</v>
      </c>
      <c r="K1114">
        <v>1.1104130000000001</v>
      </c>
      <c r="L1114">
        <v>366.71820000000002</v>
      </c>
      <c r="M1114">
        <v>0.99988330000000003</v>
      </c>
      <c r="N1114">
        <v>-1.1025780000000001E-2</v>
      </c>
      <c r="O1114">
        <v>1.058187E-2</v>
      </c>
      <c r="P1114">
        <v>0.98920399999999997</v>
      </c>
      <c r="Q1114">
        <v>0.1066382</v>
      </c>
      <c r="R1114">
        <v>0.10051930000000001</v>
      </c>
      <c r="S1114">
        <v>3.052673</v>
      </c>
      <c r="T1114">
        <v>2.603745E-2</v>
      </c>
      <c r="U1114">
        <v>-0.22470090000000001</v>
      </c>
      <c r="V1114">
        <v>-9.004152E-2</v>
      </c>
      <c r="W1114">
        <v>0.1175529</v>
      </c>
      <c r="X1114">
        <v>0.98897619999999997</v>
      </c>
      <c r="Y1114">
        <v>8.3958050000000006E-2</v>
      </c>
      <c r="Z1114">
        <v>1.007226E-4</v>
      </c>
      <c r="AA1114">
        <v>0.9964693</v>
      </c>
      <c r="AB1114">
        <v>27</v>
      </c>
      <c r="AC1114">
        <v>168.91929999999999</v>
      </c>
      <c r="AD1114">
        <v>1.4420309999999901</v>
      </c>
      <c r="AE1114">
        <v>-12.447100000000001</v>
      </c>
      <c r="AF1114">
        <v>14.232961945885</v>
      </c>
      <c r="AG1114">
        <v>1.4420309999999901</v>
      </c>
      <c r="AH1114">
        <v>168.76588680912701</v>
      </c>
      <c r="AI1114">
        <v>89.512176093703701</v>
      </c>
      <c r="AJ1114">
        <v>85.179336945449705</v>
      </c>
      <c r="AK1114">
        <v>169.37113452306201</v>
      </c>
      <c r="AL1114">
        <v>83.249105853296498</v>
      </c>
      <c r="AM1114">
        <v>95.202162452316301</v>
      </c>
      <c r="AN1114">
        <v>1.00000004189437</v>
      </c>
    </row>
    <row r="1115" spans="1:40" x14ac:dyDescent="0.25">
      <c r="A1115" t="str">
        <f>"20190304154744089"</f>
        <v>20190304154744089</v>
      </c>
      <c r="B1115" t="str">
        <f>"1551685664078282"</f>
        <v>1551685664078282</v>
      </c>
      <c r="C1115" t="s">
        <v>40</v>
      </c>
      <c r="D1115">
        <v>4.1710050000000001</v>
      </c>
      <c r="E1115">
        <v>0.56554989999999905</v>
      </c>
      <c r="F1115" t="s">
        <v>43</v>
      </c>
      <c r="G1115">
        <v>-169.2955</v>
      </c>
      <c r="H1115">
        <v>2.5613380000000001</v>
      </c>
      <c r="I1115">
        <v>354.26130000000001</v>
      </c>
      <c r="J1115">
        <v>-338.05059999999997</v>
      </c>
      <c r="K1115">
        <v>1.110412</v>
      </c>
      <c r="L1115">
        <v>366.7199</v>
      </c>
      <c r="M1115">
        <v>0.99988339999999998</v>
      </c>
      <c r="N1115">
        <v>-1.102792E-2</v>
      </c>
      <c r="O1115">
        <v>1.0582039999999999E-2</v>
      </c>
      <c r="P1115">
        <v>0.98919489999999999</v>
      </c>
      <c r="Q1115">
        <v>0.1067253</v>
      </c>
      <c r="R1115">
        <v>0.1005172</v>
      </c>
      <c r="S1115">
        <v>3.0527950000000001</v>
      </c>
      <c r="T1115">
        <v>2.6223420000000001E-2</v>
      </c>
      <c r="U1115">
        <v>-0.2251282</v>
      </c>
      <c r="V1115">
        <v>-9.0038670000000001E-2</v>
      </c>
      <c r="W1115">
        <v>0.11764239999999999</v>
      </c>
      <c r="X1115">
        <v>0.98896569999999995</v>
      </c>
      <c r="Y1115">
        <v>8.4093979999999999E-2</v>
      </c>
      <c r="Z1115">
        <v>1.0366540000000001E-4</v>
      </c>
      <c r="AA1115">
        <v>0.99645779999999995</v>
      </c>
      <c r="AB1115">
        <v>27</v>
      </c>
      <c r="AC1115">
        <v>168.755099999999</v>
      </c>
      <c r="AD1115">
        <v>1.4509259999999999</v>
      </c>
      <c r="AE1115">
        <v>-12.458599999999899</v>
      </c>
      <c r="AF1115">
        <v>14.2427366422546</v>
      </c>
      <c r="AG1115">
        <v>1.4509259999999999</v>
      </c>
      <c r="AH1115">
        <v>168.60140875651001</v>
      </c>
      <c r="AI1115">
        <v>89.508694124713998</v>
      </c>
      <c r="AJ1115">
        <v>85.171358159786195</v>
      </c>
      <c r="AK1115">
        <v>169.20814332648999</v>
      </c>
      <c r="AL1115">
        <v>83.243941265165105</v>
      </c>
      <c r="AM1115">
        <v>95.202053623929999</v>
      </c>
      <c r="AN1115">
        <v>0.99999992607480603</v>
      </c>
    </row>
    <row r="1116" spans="1:40" x14ac:dyDescent="0.25">
      <c r="A1116" t="str">
        <f>"20190304154744102"</f>
        <v>20190304154744102</v>
      </c>
      <c r="B1116" t="str">
        <f>"1551685664097803"</f>
        <v>1551685664097803</v>
      </c>
      <c r="C1116" t="s">
        <v>40</v>
      </c>
      <c r="D1116">
        <v>4.1282329999999998</v>
      </c>
      <c r="E1116">
        <v>0.56651580000000001</v>
      </c>
      <c r="F1116" t="s">
        <v>43</v>
      </c>
      <c r="G1116">
        <v>-169.2955</v>
      </c>
      <c r="H1116">
        <v>2.5301070000000001</v>
      </c>
      <c r="I1116">
        <v>354.29219999999998</v>
      </c>
      <c r="J1116">
        <v>-337.89400000000001</v>
      </c>
      <c r="K1116">
        <v>1.1104149999999999</v>
      </c>
      <c r="L1116">
        <v>366.72160000000002</v>
      </c>
      <c r="M1116">
        <v>0.99988319999999997</v>
      </c>
      <c r="N1116">
        <v>-1.102994E-2</v>
      </c>
      <c r="O1116">
        <v>1.0582380000000001E-2</v>
      </c>
      <c r="P1116">
        <v>0.98924440000000002</v>
      </c>
      <c r="Q1116">
        <v>0.10660119999999999</v>
      </c>
      <c r="R1116">
        <v>0.1001586</v>
      </c>
      <c r="S1116">
        <v>3.0528559999999998</v>
      </c>
      <c r="T1116">
        <v>2.5684479999999999E-2</v>
      </c>
      <c r="U1116">
        <v>-0.224823</v>
      </c>
      <c r="V1116">
        <v>-8.9679690000000006E-2</v>
      </c>
      <c r="W1116">
        <v>0.11752070000000001</v>
      </c>
      <c r="X1116">
        <v>0.98901280000000003</v>
      </c>
      <c r="Y1116">
        <v>8.3993869999999998E-2</v>
      </c>
      <c r="Z1116" s="1">
        <v>9.4457700000000002E-5</v>
      </c>
      <c r="AA1116">
        <v>0.99646630000000003</v>
      </c>
      <c r="AB1116">
        <v>27</v>
      </c>
      <c r="AC1116">
        <v>168.5985</v>
      </c>
      <c r="AD1116">
        <v>1.419692</v>
      </c>
      <c r="AE1116">
        <v>-12.429399999999999</v>
      </c>
      <c r="AF1116">
        <v>14.2119835506639</v>
      </c>
      <c r="AG1116">
        <v>1.419692</v>
      </c>
      <c r="AH1116">
        <v>168.44563836975601</v>
      </c>
      <c r="AI1116">
        <v>89.518821188150497</v>
      </c>
      <c r="AJ1116">
        <v>85.177300392029693</v>
      </c>
      <c r="AK1116">
        <v>169.05007863829499</v>
      </c>
      <c r="AL1116">
        <v>83.250962964715598</v>
      </c>
      <c r="AM1116">
        <v>95.181180981350906</v>
      </c>
      <c r="AN1116">
        <v>0.99999994014541105</v>
      </c>
    </row>
    <row r="1117" spans="1:40" x14ac:dyDescent="0.25">
      <c r="A1117" t="str">
        <f>"20190304154744114"</f>
        <v>20190304154744114</v>
      </c>
      <c r="B1117" t="str">
        <f>"1551685664107561"</f>
        <v>1551685664107561</v>
      </c>
      <c r="C1117" t="s">
        <v>40</v>
      </c>
      <c r="D1117">
        <v>3.9978850000000001</v>
      </c>
      <c r="E1117">
        <v>0.56731160000000003</v>
      </c>
      <c r="F1117" t="s">
        <v>43</v>
      </c>
      <c r="G1117">
        <v>-169.2955</v>
      </c>
      <c r="H1117">
        <v>2.9191799999999999</v>
      </c>
      <c r="I1117">
        <v>353.82780000000002</v>
      </c>
      <c r="J1117">
        <v>-337.7473</v>
      </c>
      <c r="K1117">
        <v>1.1104149999999999</v>
      </c>
      <c r="L1117">
        <v>366.72309999999999</v>
      </c>
      <c r="M1117">
        <v>0.99988319999999997</v>
      </c>
      <c r="N1117">
        <v>-1.1031839999999999E-2</v>
      </c>
      <c r="O1117">
        <v>1.058249E-2</v>
      </c>
      <c r="P1117">
        <v>0.98928170000000004</v>
      </c>
      <c r="Q1117">
        <v>0.1063987</v>
      </c>
      <c r="R1117">
        <v>0.1000047</v>
      </c>
      <c r="S1117">
        <v>3.0527039999999999</v>
      </c>
      <c r="T1117">
        <v>3.2751679999999998E-2</v>
      </c>
      <c r="U1117">
        <v>-0.23345949999999999</v>
      </c>
      <c r="V1117">
        <v>-8.9524779999999998E-2</v>
      </c>
      <c r="W1117">
        <v>0.1173199</v>
      </c>
      <c r="X1117">
        <v>0.98905069999999995</v>
      </c>
      <c r="Y1117">
        <v>8.6799349999999997E-2</v>
      </c>
      <c r="Z1117">
        <v>2.1538030000000001E-4</v>
      </c>
      <c r="AA1117">
        <v>0.99622580000000005</v>
      </c>
      <c r="AB1117">
        <v>27</v>
      </c>
      <c r="AC1117">
        <v>168.45179999999999</v>
      </c>
      <c r="AD1117">
        <v>1.808765</v>
      </c>
      <c r="AE1117">
        <v>-12.895299999999899</v>
      </c>
      <c r="AF1117">
        <v>14.675643526199</v>
      </c>
      <c r="AG1117">
        <v>1.808765</v>
      </c>
      <c r="AH1117">
        <v>168.28660385075599</v>
      </c>
      <c r="AI1117">
        <v>89.386529768329297</v>
      </c>
      <c r="AJ1117">
        <v>85.016058623634393</v>
      </c>
      <c r="AK1117">
        <v>168.93497914687299</v>
      </c>
      <c r="AL1117">
        <v>83.262548276498904</v>
      </c>
      <c r="AM1117">
        <v>95.172082625967903</v>
      </c>
      <c r="AN1117">
        <v>0.99999996617027298</v>
      </c>
    </row>
    <row r="1118" spans="1:40" x14ac:dyDescent="0.25">
      <c r="A1118" t="str">
        <f>"20190304154744128"</f>
        <v>20190304154744128</v>
      </c>
      <c r="B1118" t="str">
        <f>"1551685664118297"</f>
        <v>1551685664118297</v>
      </c>
      <c r="C1118" t="s">
        <v>40</v>
      </c>
      <c r="D1118">
        <v>3.9866799999999998</v>
      </c>
      <c r="E1118">
        <v>0.56796069999999999</v>
      </c>
      <c r="F1118" t="s">
        <v>43</v>
      </c>
      <c r="G1118">
        <v>-158.78319999999999</v>
      </c>
      <c r="H1118">
        <v>3.3612229999999998</v>
      </c>
      <c r="I1118">
        <v>352.6377</v>
      </c>
      <c r="J1118">
        <v>-337.5727</v>
      </c>
      <c r="K1118">
        <v>1.1104149999999999</v>
      </c>
      <c r="L1118">
        <v>366.72500000000002</v>
      </c>
      <c r="M1118">
        <v>0.99988310000000002</v>
      </c>
      <c r="N1118">
        <v>-1.10341E-2</v>
      </c>
      <c r="O1118">
        <v>1.0582660000000001E-2</v>
      </c>
      <c r="P1118">
        <v>0.98935600000000001</v>
      </c>
      <c r="Q1118">
        <v>0.105959999999999</v>
      </c>
      <c r="R1118">
        <v>9.9737030000000004E-2</v>
      </c>
      <c r="S1118">
        <v>3.0527039999999999</v>
      </c>
      <c r="T1118">
        <v>3.8394930000000001E-2</v>
      </c>
      <c r="U1118">
        <v>-0.2402649</v>
      </c>
      <c r="V1118">
        <v>-8.9256799999999997E-2</v>
      </c>
      <c r="W1118">
        <v>0.11688469999999999</v>
      </c>
      <c r="X1118">
        <v>0.98912650000000002</v>
      </c>
      <c r="Y1118">
        <v>8.9005459999999995E-2</v>
      </c>
      <c r="Z1118">
        <v>3.1649439999999998E-4</v>
      </c>
      <c r="AA1118">
        <v>0.99603109999999995</v>
      </c>
      <c r="AB1118">
        <v>27</v>
      </c>
      <c r="AC1118">
        <v>178.7895</v>
      </c>
      <c r="AD1118">
        <v>2.2508080000000001</v>
      </c>
      <c r="AE1118">
        <v>-14.087300000000001</v>
      </c>
      <c r="AF1118">
        <v>15.9761783763749</v>
      </c>
      <c r="AG1118">
        <v>2.2508080000000001</v>
      </c>
      <c r="AH1118">
        <v>178.602265316266</v>
      </c>
      <c r="AI1118">
        <v>89.280847952799107</v>
      </c>
      <c r="AJ1118">
        <v>84.888430972071106</v>
      </c>
      <c r="AK1118">
        <v>179.329511202893</v>
      </c>
      <c r="AL1118">
        <v>83.287656517751302</v>
      </c>
      <c r="AM1118">
        <v>95.156291264663295</v>
      </c>
      <c r="AN1118">
        <v>1.0000000212212801</v>
      </c>
    </row>
    <row r="1119" spans="1:40" x14ac:dyDescent="0.25">
      <c r="A1119" t="str">
        <f>"20190304154744140"</f>
        <v>20190304154744140</v>
      </c>
      <c r="B1119" t="str">
        <f>"1551685664137818"</f>
        <v>1551685664137818</v>
      </c>
      <c r="C1119" t="s">
        <v>40</v>
      </c>
      <c r="D1119">
        <v>4.4207239999999999</v>
      </c>
      <c r="E1119">
        <v>0.56781139999999997</v>
      </c>
      <c r="F1119" t="s">
        <v>43</v>
      </c>
      <c r="G1119">
        <v>-158.78319999999999</v>
      </c>
      <c r="H1119">
        <v>3.5740180000000001</v>
      </c>
      <c r="I1119">
        <v>352.2919</v>
      </c>
      <c r="J1119">
        <v>-337.42599999999999</v>
      </c>
      <c r="K1119">
        <v>1.1104149999999999</v>
      </c>
      <c r="L1119">
        <v>366.72660000000002</v>
      </c>
      <c r="M1119">
        <v>0.99988319999999997</v>
      </c>
      <c r="N1119">
        <v>-1.1036020000000001E-2</v>
      </c>
      <c r="O1119">
        <v>1.0582650000000001E-2</v>
      </c>
      <c r="P1119">
        <v>0.98936409999999997</v>
      </c>
      <c r="Q1119">
        <v>0.10602019999999999</v>
      </c>
      <c r="R1119">
        <v>9.9592559999999997E-2</v>
      </c>
      <c r="S1119">
        <v>3.0526430000000002</v>
      </c>
      <c r="T1119">
        <v>4.2064909999999997E-2</v>
      </c>
      <c r="U1119">
        <v>-0.24642939999999999</v>
      </c>
      <c r="V1119">
        <v>-8.9112289999999997E-2</v>
      </c>
      <c r="W1119">
        <v>0.1169468</v>
      </c>
      <c r="X1119">
        <v>0.98913220000000002</v>
      </c>
      <c r="Y1119">
        <v>9.1004370000000001E-2</v>
      </c>
      <c r="Z1119">
        <v>3.8514659999999999E-4</v>
      </c>
      <c r="AA1119">
        <v>0.99585040000000002</v>
      </c>
      <c r="AB1119">
        <v>27</v>
      </c>
      <c r="AC1119">
        <v>178.64279999999999</v>
      </c>
      <c r="AD1119">
        <v>2.463603</v>
      </c>
      <c r="AE1119">
        <v>-14.434699999999999</v>
      </c>
      <c r="AF1119">
        <v>16.3214368496213</v>
      </c>
      <c r="AG1119">
        <v>2.463603</v>
      </c>
      <c r="AH1119">
        <v>178.44631129593901</v>
      </c>
      <c r="AI1119">
        <v>89.212320775371794</v>
      </c>
      <c r="AJ1119">
        <v>84.774031868728699</v>
      </c>
      <c r="AK1119">
        <v>179.208104324846</v>
      </c>
      <c r="AL1119">
        <v>83.284073950084107</v>
      </c>
      <c r="AM1119">
        <v>95.147958428525499</v>
      </c>
      <c r="AN1119">
        <v>1.00000003166806</v>
      </c>
    </row>
    <row r="1120" spans="1:40" x14ac:dyDescent="0.25">
      <c r="A1120" t="str">
        <f>"20190304154744153"</f>
        <v>20190304154744153</v>
      </c>
      <c r="B1120" t="str">
        <f>"1551685664147577"</f>
        <v>1551685664147577</v>
      </c>
      <c r="C1120" t="s">
        <v>40</v>
      </c>
      <c r="D1120">
        <v>4.1289709999999999</v>
      </c>
      <c r="E1120">
        <v>0.56750710000000004</v>
      </c>
      <c r="F1120" t="s">
        <v>43</v>
      </c>
      <c r="G1120">
        <v>-158.78319999999999</v>
      </c>
      <c r="H1120">
        <v>3.9237850000000001</v>
      </c>
      <c r="I1120">
        <v>352.36369999999999</v>
      </c>
      <c r="J1120">
        <v>-337.27269999999999</v>
      </c>
      <c r="K1120">
        <v>1.1104149999999999</v>
      </c>
      <c r="L1120">
        <v>366.72809999999998</v>
      </c>
      <c r="M1120">
        <v>0.99988310000000002</v>
      </c>
      <c r="N1120">
        <v>-1.1038020000000001E-2</v>
      </c>
      <c r="O1120">
        <v>1.058299E-2</v>
      </c>
      <c r="P1120">
        <v>0.98936820000000003</v>
      </c>
      <c r="Q1120">
        <v>0.106167</v>
      </c>
      <c r="R1120">
        <v>9.9393809999999999E-2</v>
      </c>
      <c r="S1120">
        <v>3.051758</v>
      </c>
      <c r="T1120">
        <v>4.8062319999999999E-2</v>
      </c>
      <c r="U1120">
        <v>-0.2453613</v>
      </c>
      <c r="V1120">
        <v>-8.8913099999999995E-2</v>
      </c>
      <c r="W1120">
        <v>0.1170954</v>
      </c>
      <c r="X1120">
        <v>0.98913249999999997</v>
      </c>
      <c r="Y1120">
        <v>9.0679419999999997E-2</v>
      </c>
      <c r="Z1120">
        <v>4.9458909999999996E-4</v>
      </c>
      <c r="AA1120">
        <v>0.99587999999999999</v>
      </c>
      <c r="AB1120">
        <v>27</v>
      </c>
      <c r="AC1120">
        <v>178.48949999999999</v>
      </c>
      <c r="AD1120">
        <v>2.8133699999999999</v>
      </c>
      <c r="AE1120">
        <v>-14.3643999999999</v>
      </c>
      <c r="AF1120">
        <v>16.2486522025801</v>
      </c>
      <c r="AG1120">
        <v>2.8133699999999999</v>
      </c>
      <c r="AH1120">
        <v>178.28346714472301</v>
      </c>
      <c r="AI1120">
        <v>89.099660292541401</v>
      </c>
      <c r="AJ1120">
        <v>84.792482519553204</v>
      </c>
      <c r="AK1120">
        <v>179.044487226781</v>
      </c>
      <c r="AL1120">
        <v>83.275500596032401</v>
      </c>
      <c r="AM1120">
        <v>95.1365114274776</v>
      </c>
      <c r="AN1120">
        <v>0.99999998730450901</v>
      </c>
    </row>
    <row r="1121" spans="1:40" x14ac:dyDescent="0.25">
      <c r="A1121" t="str">
        <f>"20190304154744163"</f>
        <v>20190304154744163</v>
      </c>
      <c r="B1121" t="str">
        <f>"1551685664158313"</f>
        <v>1551685664158313</v>
      </c>
      <c r="C1121" t="s">
        <v>40</v>
      </c>
      <c r="D1121">
        <v>4.1393490000000002</v>
      </c>
      <c r="E1121">
        <v>0.56726319999999997</v>
      </c>
      <c r="F1121" t="s">
        <v>43</v>
      </c>
      <c r="G1121">
        <v>-158.78319999999999</v>
      </c>
      <c r="H1121">
        <v>4.1263009999999998</v>
      </c>
      <c r="I1121">
        <v>352.49450000000002</v>
      </c>
      <c r="J1121">
        <v>-337.14010000000002</v>
      </c>
      <c r="K1121">
        <v>1.110414</v>
      </c>
      <c r="L1121">
        <v>366.7296</v>
      </c>
      <c r="M1121">
        <v>0.99988319999999997</v>
      </c>
      <c r="N1121">
        <v>-1.1039759999999999E-2</v>
      </c>
      <c r="O1121">
        <v>1.0582980000000001E-2</v>
      </c>
      <c r="P1121">
        <v>0.98935340000000005</v>
      </c>
      <c r="Q1121">
        <v>0.10627490000000001</v>
      </c>
      <c r="R1121">
        <v>9.9427779999999993E-2</v>
      </c>
      <c r="S1121">
        <v>3.0511780000000002</v>
      </c>
      <c r="T1121">
        <v>5.1556350000000001E-2</v>
      </c>
      <c r="U1121">
        <v>-0.2433167</v>
      </c>
      <c r="V1121">
        <v>-8.8947310000000002E-2</v>
      </c>
      <c r="W1121">
        <v>0.1172049</v>
      </c>
      <c r="X1121">
        <v>0.98911649999999995</v>
      </c>
      <c r="Y1121">
        <v>9.0029979999999996E-2</v>
      </c>
      <c r="Z1121">
        <v>5.5676860000000001E-4</v>
      </c>
      <c r="AA1121">
        <v>0.99593889999999996</v>
      </c>
      <c r="AB1121">
        <v>27</v>
      </c>
      <c r="AC1121">
        <v>178.3569</v>
      </c>
      <c r="AD1121">
        <v>3.0158870000000002</v>
      </c>
      <c r="AE1121">
        <v>-14.2350999999999</v>
      </c>
      <c r="AF1121">
        <v>16.1173858108262</v>
      </c>
      <c r="AG1121">
        <v>3.0158870000000002</v>
      </c>
      <c r="AH1121">
        <v>178.14563796246901</v>
      </c>
      <c r="AI1121">
        <v>89.034057756799101</v>
      </c>
      <c r="AJ1121">
        <v>84.830348482005405</v>
      </c>
      <c r="AK1121">
        <v>178.89866971229</v>
      </c>
      <c r="AL1121">
        <v>83.269183507137996</v>
      </c>
      <c r="AM1121">
        <v>95.138559837021205</v>
      </c>
      <c r="AN1121">
        <v>1.0000000315562401</v>
      </c>
    </row>
    <row r="1122" spans="1:40" x14ac:dyDescent="0.25">
      <c r="A1122" t="str">
        <f>"20190304154744174"</f>
        <v>20190304154744174</v>
      </c>
      <c r="B1122" t="str">
        <f>"1551685664168074"</f>
        <v>1551685664168074</v>
      </c>
      <c r="C1122" t="s">
        <v>40</v>
      </c>
      <c r="D1122">
        <v>4.2579919999999998</v>
      </c>
      <c r="E1122">
        <v>0.566751</v>
      </c>
      <c r="F1122" t="s">
        <v>43</v>
      </c>
      <c r="G1122">
        <v>-158.78319999999999</v>
      </c>
      <c r="H1122">
        <v>4.3495239999999997</v>
      </c>
      <c r="I1122">
        <v>352.61799999999999</v>
      </c>
      <c r="J1122">
        <v>-337.01659999999998</v>
      </c>
      <c r="K1122">
        <v>1.110417</v>
      </c>
      <c r="L1122">
        <v>366.73090000000002</v>
      </c>
      <c r="M1122">
        <v>0.99988310000000002</v>
      </c>
      <c r="N1122">
        <v>-1.104138E-2</v>
      </c>
      <c r="O1122">
        <v>1.058315E-2</v>
      </c>
      <c r="P1122">
        <v>0.98935720000000005</v>
      </c>
      <c r="Q1122">
        <v>0.1066537</v>
      </c>
      <c r="R1122">
        <v>9.8982239999999999E-2</v>
      </c>
      <c r="S1122">
        <v>3.0505979999999999</v>
      </c>
      <c r="T1122">
        <v>5.540287E-2</v>
      </c>
      <c r="U1122">
        <v>-0.24136350000000001</v>
      </c>
      <c r="V1122">
        <v>-8.8501830000000004E-2</v>
      </c>
      <c r="W1122">
        <v>0.1175851</v>
      </c>
      <c r="X1122">
        <v>0.98911130000000003</v>
      </c>
      <c r="Y1122">
        <v>8.9409790000000003E-2</v>
      </c>
      <c r="Z1122">
        <v>6.2471559999999996E-4</v>
      </c>
      <c r="AA1122">
        <v>0.99599470000000001</v>
      </c>
      <c r="AB1122">
        <v>27</v>
      </c>
      <c r="AC1122">
        <v>178.23339999999999</v>
      </c>
      <c r="AD1122">
        <v>3.2391070000000002</v>
      </c>
      <c r="AE1122">
        <v>-14.1128999999999</v>
      </c>
      <c r="AF1122">
        <v>15.993245995752501</v>
      </c>
      <c r="AG1122">
        <v>3.2391070000000002</v>
      </c>
      <c r="AH1122">
        <v>178.015621793023</v>
      </c>
      <c r="AI1122">
        <v>88.961762780387204</v>
      </c>
      <c r="AJ1122">
        <v>84.866226258993095</v>
      </c>
      <c r="AK1122">
        <v>178.76195717767999</v>
      </c>
      <c r="AL1122">
        <v>83.247247738383905</v>
      </c>
      <c r="AM1122">
        <v>95.112987578408095</v>
      </c>
      <c r="AN1122">
        <v>0.99999999672152395</v>
      </c>
    </row>
    <row r="1123" spans="1:40" x14ac:dyDescent="0.25">
      <c r="A1123" t="str">
        <f>"20190304154744185"</f>
        <v>20190304154744185</v>
      </c>
      <c r="B1123" t="str">
        <f>"1551685664177834"</f>
        <v>1551685664177834</v>
      </c>
      <c r="C1123" t="s">
        <v>40</v>
      </c>
      <c r="D1123">
        <v>4.1601619999999997</v>
      </c>
      <c r="E1123">
        <v>0.56637219999999999</v>
      </c>
      <c r="F1123" t="s">
        <v>43</v>
      </c>
      <c r="G1123">
        <v>-158.78319999999999</v>
      </c>
      <c r="H1123">
        <v>4.4985200000000001</v>
      </c>
      <c r="I1123">
        <v>352.77589999999998</v>
      </c>
      <c r="J1123">
        <v>-336.87580000000003</v>
      </c>
      <c r="K1123">
        <v>1.110419</v>
      </c>
      <c r="L1123">
        <v>366.73239999999998</v>
      </c>
      <c r="M1123">
        <v>0.99988310000000002</v>
      </c>
      <c r="N1123">
        <v>-1.1043229999999999E-2</v>
      </c>
      <c r="O1123">
        <v>1.0583260000000001E-2</v>
      </c>
      <c r="P1123">
        <v>0.98937770000000003</v>
      </c>
      <c r="Q1123">
        <v>0.1069727</v>
      </c>
      <c r="R1123">
        <v>9.8429230000000006E-2</v>
      </c>
      <c r="S1123">
        <v>3.049957</v>
      </c>
      <c r="T1123">
        <v>5.797923E-2</v>
      </c>
      <c r="U1123">
        <v>-0.23880000000000001</v>
      </c>
      <c r="V1123">
        <v>-8.7947570000000003E-2</v>
      </c>
      <c r="W1123">
        <v>0.1179061</v>
      </c>
      <c r="X1123">
        <v>0.98912250000000002</v>
      </c>
      <c r="Y1123">
        <v>8.8593160000000004E-2</v>
      </c>
      <c r="Z1123">
        <v>6.6830139999999997E-4</v>
      </c>
      <c r="AA1123">
        <v>0.99606760000000005</v>
      </c>
      <c r="AB1123">
        <v>27</v>
      </c>
      <c r="AC1123">
        <v>178.0926</v>
      </c>
      <c r="AD1123">
        <v>3.3881009999999998</v>
      </c>
      <c r="AE1123">
        <v>-13.9565</v>
      </c>
      <c r="AF1123">
        <v>15.8349372387472</v>
      </c>
      <c r="AG1123">
        <v>3.3881009999999998</v>
      </c>
      <c r="AH1123">
        <v>177.870927233185</v>
      </c>
      <c r="AI1123">
        <v>88.913054655342805</v>
      </c>
      <c r="AJ1123">
        <v>84.9126618256726</v>
      </c>
      <c r="AK1123">
        <v>178.60652625403799</v>
      </c>
      <c r="AL1123">
        <v>83.228726788720607</v>
      </c>
      <c r="AM1123">
        <v>95.081077409827998</v>
      </c>
      <c r="AN1123">
        <v>0.99999997174618205</v>
      </c>
    </row>
    <row r="1124" spans="1:40" x14ac:dyDescent="0.25">
      <c r="A1124" t="str">
        <f>"20190304154744196"</f>
        <v>20190304154744196</v>
      </c>
      <c r="B1124" t="str">
        <f>"1551685664187593"</f>
        <v>1551685664187593</v>
      </c>
      <c r="C1124" t="s">
        <v>40</v>
      </c>
      <c r="D1124">
        <v>4.154776</v>
      </c>
      <c r="E1124">
        <v>0.56599219999999995</v>
      </c>
      <c r="F1124" t="s">
        <v>43</v>
      </c>
      <c r="G1124">
        <v>-158.78319999999999</v>
      </c>
      <c r="H1124">
        <v>4.6263560000000004</v>
      </c>
      <c r="I1124">
        <v>352.86369999999999</v>
      </c>
      <c r="J1124">
        <v>-336.74400000000003</v>
      </c>
      <c r="K1124">
        <v>1.1104240000000001</v>
      </c>
      <c r="L1124">
        <v>366.73379999999997</v>
      </c>
      <c r="M1124">
        <v>0.99988310000000002</v>
      </c>
      <c r="N1124">
        <v>-1.104496E-2</v>
      </c>
      <c r="O1124">
        <v>1.058343E-2</v>
      </c>
      <c r="P1124">
        <v>0.98937989999999998</v>
      </c>
      <c r="Q1124">
        <v>0.107292</v>
      </c>
      <c r="R1124">
        <v>9.8061350000000005E-2</v>
      </c>
      <c r="S1124">
        <v>3.0492859999999999</v>
      </c>
      <c r="T1124">
        <v>6.0201049999999999E-2</v>
      </c>
      <c r="U1124">
        <v>-0.23745730000000001</v>
      </c>
      <c r="V1124">
        <v>-8.7579610000000002E-2</v>
      </c>
      <c r="W1124">
        <v>0.1182272</v>
      </c>
      <c r="X1124">
        <v>0.98911680000000002</v>
      </c>
      <c r="Y1124">
        <v>8.8173349999999998E-2</v>
      </c>
      <c r="Z1124">
        <v>7.066024E-4</v>
      </c>
      <c r="AA1124">
        <v>0.99610489999999996</v>
      </c>
      <c r="AB1124">
        <v>27</v>
      </c>
      <c r="AC1124">
        <v>177.96080000000001</v>
      </c>
      <c r="AD1124">
        <v>3.5159319999999901</v>
      </c>
      <c r="AE1124">
        <v>-13.8700999999999</v>
      </c>
      <c r="AF1124">
        <v>15.7467641279679</v>
      </c>
      <c r="AG1124">
        <v>3.5159319999999901</v>
      </c>
      <c r="AH1124">
        <v>177.73507322748401</v>
      </c>
      <c r="AI1124">
        <v>88.871150766459394</v>
      </c>
      <c r="AJ1124">
        <v>84.936995108888695</v>
      </c>
      <c r="AK1124">
        <v>178.46590322386399</v>
      </c>
      <c r="AL1124">
        <v>83.210199389295397</v>
      </c>
      <c r="AM1124">
        <v>95.0599585082104</v>
      </c>
      <c r="AN1124">
        <v>0.99999995147491405</v>
      </c>
    </row>
    <row r="1125" spans="1:40" x14ac:dyDescent="0.25">
      <c r="A1125" t="str">
        <f>"20190304154744206"</f>
        <v>20190304154744206</v>
      </c>
      <c r="B1125" t="str">
        <f>"1551685664198329"</f>
        <v>1551685664198329</v>
      </c>
      <c r="C1125" t="s">
        <v>40</v>
      </c>
      <c r="D1125">
        <v>4.3143659999999997</v>
      </c>
      <c r="E1125">
        <v>0.56599219999999995</v>
      </c>
      <c r="F1125" t="s">
        <v>43</v>
      </c>
      <c r="G1125">
        <v>-169.2955</v>
      </c>
      <c r="H1125">
        <v>4.5192699999999997</v>
      </c>
      <c r="I1125">
        <v>353.79270000000002</v>
      </c>
      <c r="J1125">
        <v>-336.61250000000001</v>
      </c>
      <c r="K1125">
        <v>1.1104229999999999</v>
      </c>
      <c r="L1125">
        <v>366.73520000000002</v>
      </c>
      <c r="M1125">
        <v>0.99988310000000002</v>
      </c>
      <c r="N1125">
        <v>-1.104668E-2</v>
      </c>
      <c r="O1125">
        <v>1.05836E-2</v>
      </c>
      <c r="P1125">
        <v>0.98938890000000002</v>
      </c>
      <c r="Q1125">
        <v>0.10744090000000001</v>
      </c>
      <c r="R1125">
        <v>9.7808439999999996E-2</v>
      </c>
      <c r="S1125">
        <v>3.0488279999999999</v>
      </c>
      <c r="T1125">
        <v>6.206834E-2</v>
      </c>
      <c r="U1125">
        <v>-0.23562620000000001</v>
      </c>
      <c r="V1125">
        <v>-8.7327100000000005E-2</v>
      </c>
      <c r="W1125">
        <v>0.11837780000000001</v>
      </c>
      <c r="X1125">
        <v>0.98912109999999998</v>
      </c>
      <c r="Y1125">
        <v>8.7589490000000006E-2</v>
      </c>
      <c r="Z1125">
        <v>7.3746679999999896E-4</v>
      </c>
      <c r="AA1125">
        <v>0.99615640000000005</v>
      </c>
      <c r="AB1125">
        <v>27</v>
      </c>
      <c r="AC1125">
        <v>167.31700000000001</v>
      </c>
      <c r="AD1125">
        <v>3.4088470000000002</v>
      </c>
      <c r="AE1125">
        <v>-12.9424999999999</v>
      </c>
      <c r="AF1125">
        <v>14.706630897851101</v>
      </c>
      <c r="AG1125">
        <v>3.4088470000000002</v>
      </c>
      <c r="AH1125">
        <v>167.101692700153</v>
      </c>
      <c r="AI1125">
        <v>88.8358363641008</v>
      </c>
      <c r="AJ1125">
        <v>84.970354147211395</v>
      </c>
      <c r="AK1125">
        <v>167.782242604787</v>
      </c>
      <c r="AL1125">
        <v>83.201509530759907</v>
      </c>
      <c r="AM1125">
        <v>95.045423198774401</v>
      </c>
      <c r="AN1125">
        <v>0.99999993819622801</v>
      </c>
    </row>
    <row r="1126" spans="1:40" x14ac:dyDescent="0.25">
      <c r="A1126" t="str">
        <f>"20190304154744217"</f>
        <v>20190304154744217</v>
      </c>
      <c r="B1126" t="str">
        <f>"1551685664208090"</f>
        <v>1551685664208090</v>
      </c>
      <c r="C1126" t="s">
        <v>40</v>
      </c>
      <c r="D1126">
        <v>4.1601499999999998</v>
      </c>
      <c r="E1126">
        <v>0.54972719999999997</v>
      </c>
      <c r="F1126" t="s">
        <v>43</v>
      </c>
      <c r="G1126">
        <v>-169.2955</v>
      </c>
      <c r="H1126">
        <v>4.5402469999999999</v>
      </c>
      <c r="I1126">
        <v>353.76209999999998</v>
      </c>
      <c r="J1126">
        <v>-336.48320000000001</v>
      </c>
      <c r="K1126">
        <v>1.1104240000000001</v>
      </c>
      <c r="L1126">
        <v>366.73649999999998</v>
      </c>
      <c r="M1126">
        <v>0.99988299999999997</v>
      </c>
      <c r="N1126">
        <v>-1.104836E-2</v>
      </c>
      <c r="O1126">
        <v>1.0583769999999999E-2</v>
      </c>
      <c r="P1126">
        <v>0.98938280000000001</v>
      </c>
      <c r="Q1126">
        <v>0.1076694</v>
      </c>
      <c r="R1126">
        <v>9.7616229999999998E-2</v>
      </c>
      <c r="S1126">
        <v>3.0487669999999998</v>
      </c>
      <c r="T1126">
        <v>6.2498089999999999E-2</v>
      </c>
      <c r="U1126">
        <v>-0.23638919999999999</v>
      </c>
      <c r="V1126">
        <v>-8.7134149999999994E-2</v>
      </c>
      <c r="W1126">
        <v>0.1186079</v>
      </c>
      <c r="X1126">
        <v>0.98911059999999995</v>
      </c>
      <c r="Y1126">
        <v>8.7838730000000004E-2</v>
      </c>
      <c r="Z1126">
        <v>7.4624399999999997E-4</v>
      </c>
      <c r="AA1126">
        <v>0.99613439999999998</v>
      </c>
      <c r="AB1126">
        <v>27</v>
      </c>
      <c r="AC1126">
        <v>167.18770000000001</v>
      </c>
      <c r="AD1126">
        <v>3.4298229999999998</v>
      </c>
      <c r="AE1126">
        <v>-12.974399999999999</v>
      </c>
      <c r="AF1126">
        <v>14.7370922214937</v>
      </c>
      <c r="AG1126">
        <v>3.4298229999999998</v>
      </c>
      <c r="AH1126">
        <v>166.971157938239</v>
      </c>
      <c r="AI1126">
        <v>88.827785074942597</v>
      </c>
      <c r="AJ1126">
        <v>84.956070159276706</v>
      </c>
      <c r="AK1126">
        <v>167.655340374807</v>
      </c>
      <c r="AL1126">
        <v>83.188232562043794</v>
      </c>
      <c r="AM1126">
        <v>95.034385811135095</v>
      </c>
      <c r="AN1126">
        <v>0.99999998653549604</v>
      </c>
    </row>
    <row r="1127" spans="1:40" x14ac:dyDescent="0.25">
      <c r="A1127" t="str">
        <f>"20190304154744227"</f>
        <v>20190304154744227</v>
      </c>
      <c r="B1127" t="str">
        <f>"1551685664217850"</f>
        <v>1551685664217850</v>
      </c>
      <c r="C1127" t="s">
        <v>40</v>
      </c>
      <c r="D1127">
        <v>4.1830949999999998</v>
      </c>
      <c r="E1127">
        <v>0.55071709999999996</v>
      </c>
      <c r="F1127" t="s">
        <v>43</v>
      </c>
      <c r="G1127">
        <v>-158.19499999999999</v>
      </c>
      <c r="H1127">
        <v>6.5807770000000003</v>
      </c>
      <c r="I1127">
        <v>360.44450000000001</v>
      </c>
      <c r="J1127">
        <v>-336.35289999999998</v>
      </c>
      <c r="K1127">
        <v>1.11042</v>
      </c>
      <c r="L1127">
        <v>366.73790000000002</v>
      </c>
      <c r="M1127">
        <v>0.99988310000000002</v>
      </c>
      <c r="N1127">
        <v>-1.105005E-2</v>
      </c>
      <c r="O1127">
        <v>1.0583759999999999E-2</v>
      </c>
      <c r="P1127">
        <v>0.98938389999999998</v>
      </c>
      <c r="Q1127">
        <v>0.10790950000000001</v>
      </c>
      <c r="R1127">
        <v>9.7342999999999999E-2</v>
      </c>
      <c r="S1127">
        <v>3.0326230000000001</v>
      </c>
      <c r="T1127">
        <v>9.3050359999999999E-2</v>
      </c>
      <c r="U1127">
        <v>-0.1070251</v>
      </c>
      <c r="V1127">
        <v>-8.6861359999999999E-2</v>
      </c>
      <c r="W1127">
        <v>0.11884980000000001</v>
      </c>
      <c r="X1127">
        <v>0.98910560000000003</v>
      </c>
      <c r="Y1127">
        <v>4.5822189999999999E-2</v>
      </c>
      <c r="Z1127">
        <v>8.9075999999999999E-4</v>
      </c>
      <c r="AA1127">
        <v>0.99894919999999998</v>
      </c>
      <c r="AB1127">
        <v>27</v>
      </c>
      <c r="AC1127">
        <v>178.15789999999899</v>
      </c>
      <c r="AD1127">
        <v>5.4703569999999999</v>
      </c>
      <c r="AE1127">
        <v>-6.2934000000000099</v>
      </c>
      <c r="AF1127">
        <v>8.1710486446861594</v>
      </c>
      <c r="AG1127">
        <v>5.4703569999999999</v>
      </c>
      <c r="AH1127">
        <v>177.913779670769</v>
      </c>
      <c r="AI1127">
        <v>88.240721253891806</v>
      </c>
      <c r="AJ1127">
        <v>87.370423741838096</v>
      </c>
      <c r="AK1127">
        <v>178.18530758286499</v>
      </c>
      <c r="AL1127">
        <v>83.174274273594094</v>
      </c>
      <c r="AM1127">
        <v>95.018730570866794</v>
      </c>
      <c r="AN1127">
        <v>1.0000000293862199</v>
      </c>
    </row>
    <row r="1128" spans="1:40" x14ac:dyDescent="0.25">
      <c r="A1128" t="str">
        <f>"20190304154744240"</f>
        <v>20190304154744240</v>
      </c>
      <c r="B1128" t="str">
        <f>"1551685664227612"</f>
        <v>1551685664227612</v>
      </c>
      <c r="C1128" t="s">
        <v>40</v>
      </c>
      <c r="D1128">
        <v>4.1572279999999999</v>
      </c>
      <c r="E1128">
        <v>0.55080490000000004</v>
      </c>
      <c r="F1128" t="s">
        <v>43</v>
      </c>
      <c r="G1128">
        <v>-158.19499999999999</v>
      </c>
      <c r="H1128">
        <v>6.4667250000000003</v>
      </c>
      <c r="I1128">
        <v>359.94189999999998</v>
      </c>
      <c r="J1128">
        <v>-336.2081</v>
      </c>
      <c r="K1128">
        <v>1.1104229999999999</v>
      </c>
      <c r="L1128">
        <v>366.73939999999999</v>
      </c>
      <c r="M1128">
        <v>0.99988290000000002</v>
      </c>
      <c r="N1128">
        <v>-1.105192E-2</v>
      </c>
      <c r="O1128">
        <v>1.0584110000000001E-2</v>
      </c>
      <c r="P1128">
        <v>0.9893866</v>
      </c>
      <c r="Q1128">
        <v>0.1080499</v>
      </c>
      <c r="R1128">
        <v>9.7157839999999995E-2</v>
      </c>
      <c r="S1128">
        <v>3.0336609999999999</v>
      </c>
      <c r="T1128">
        <v>9.1208220000000007E-2</v>
      </c>
      <c r="U1128">
        <v>-0.115722699999999</v>
      </c>
      <c r="V1128">
        <v>-8.6675479999999999E-2</v>
      </c>
      <c r="W1128">
        <v>0.11899179999999999</v>
      </c>
      <c r="X1128">
        <v>0.98910480000000001</v>
      </c>
      <c r="Y1128">
        <v>4.8670600000000001E-2</v>
      </c>
      <c r="Z1128">
        <v>8.9705839999999998E-4</v>
      </c>
      <c r="AA1128">
        <v>0.99881450000000005</v>
      </c>
      <c r="AB1128">
        <v>27</v>
      </c>
      <c r="AC1128">
        <v>178.01310000000001</v>
      </c>
      <c r="AD1128">
        <v>5.3563019999999897</v>
      </c>
      <c r="AE1128">
        <v>-6.7975000000000101</v>
      </c>
      <c r="AF1128">
        <v>8.6735032323442898</v>
      </c>
      <c r="AG1128">
        <v>5.3563019999999897</v>
      </c>
      <c r="AH1128">
        <v>177.770464068959</v>
      </c>
      <c r="AI1128">
        <v>88.276224456324499</v>
      </c>
      <c r="AJ1128">
        <v>87.206727460310802</v>
      </c>
      <c r="AK1128">
        <v>178.06251016070101</v>
      </c>
      <c r="AL1128">
        <v>83.166079898458406</v>
      </c>
      <c r="AM1128">
        <v>95.008049384834194</v>
      </c>
      <c r="AN1128">
        <v>0.99999999634175496</v>
      </c>
    </row>
    <row r="1129" spans="1:40" x14ac:dyDescent="0.25">
      <c r="A1129" t="str">
        <f>"20190304154744253"</f>
        <v>20190304154744253</v>
      </c>
      <c r="B1129" t="str">
        <f>"1551685664248106"</f>
        <v>1551685664248106</v>
      </c>
      <c r="C1129" t="s">
        <v>40</v>
      </c>
      <c r="D1129">
        <v>4.2023149999999996</v>
      </c>
      <c r="E1129">
        <v>0.55148790000000003</v>
      </c>
      <c r="F1129" t="s">
        <v>43</v>
      </c>
      <c r="G1129">
        <v>-158.19499999999999</v>
      </c>
      <c r="H1129">
        <v>6.3986720000000004</v>
      </c>
      <c r="I1129">
        <v>359.86860000000001</v>
      </c>
      <c r="J1129">
        <v>-336.04629999999997</v>
      </c>
      <c r="K1129">
        <v>1.1104229999999999</v>
      </c>
      <c r="L1129">
        <v>366.74110000000002</v>
      </c>
      <c r="M1129">
        <v>0.99988290000000002</v>
      </c>
      <c r="N1129">
        <v>-1.105401E-2</v>
      </c>
      <c r="O1129">
        <v>1.058422E-2</v>
      </c>
      <c r="P1129">
        <v>0.98937900000000001</v>
      </c>
      <c r="Q1129">
        <v>0.1082154</v>
      </c>
      <c r="R1129">
        <v>9.7051009999999993E-2</v>
      </c>
      <c r="S1129">
        <v>3.0337830000000001</v>
      </c>
      <c r="T1129">
        <v>9.0126280000000003E-2</v>
      </c>
      <c r="U1129">
        <v>-0.1170959</v>
      </c>
      <c r="V1129">
        <v>-8.6569030000000005E-2</v>
      </c>
      <c r="W1129">
        <v>0.1191594</v>
      </c>
      <c r="X1129">
        <v>0.98909400000000003</v>
      </c>
      <c r="Y1129">
        <v>4.9121089999999999E-2</v>
      </c>
      <c r="Z1129">
        <v>8.8873700000000001E-4</v>
      </c>
      <c r="AA1129">
        <v>0.99879240000000002</v>
      </c>
      <c r="AB1129">
        <v>27</v>
      </c>
      <c r="AC1129">
        <v>177.85129999999899</v>
      </c>
      <c r="AD1129">
        <v>5.2882489999999898</v>
      </c>
      <c r="AE1129">
        <v>-6.8724999999999996</v>
      </c>
      <c r="AF1129">
        <v>8.7469254946637296</v>
      </c>
      <c r="AG1129">
        <v>5.2882489999999898</v>
      </c>
      <c r="AH1129">
        <v>177.611796579524</v>
      </c>
      <c r="AI1129">
        <v>88.296631018542101</v>
      </c>
      <c r="AJ1129">
        <v>87.180607622285393</v>
      </c>
      <c r="AK1129">
        <v>177.905661987755</v>
      </c>
      <c r="AL1129">
        <v>83.156408684630406</v>
      </c>
      <c r="AM1129">
        <v>95.001984338658502</v>
      </c>
      <c r="AN1129">
        <v>1.0000000501997399</v>
      </c>
    </row>
    <row r="1130" spans="1:40" x14ac:dyDescent="0.25">
      <c r="A1130" t="str">
        <f>"20190304154744264"</f>
        <v>20190304154744264</v>
      </c>
      <c r="B1130" t="str">
        <f>"1551685664257865"</f>
        <v>1551685664257865</v>
      </c>
      <c r="C1130" t="s">
        <v>40</v>
      </c>
      <c r="D1130">
        <v>4.212993</v>
      </c>
      <c r="E1130">
        <v>0.5512049</v>
      </c>
      <c r="F1130" t="s">
        <v>43</v>
      </c>
      <c r="G1130">
        <v>-158.19499999999999</v>
      </c>
      <c r="H1130">
        <v>6.497242</v>
      </c>
      <c r="I1130">
        <v>359.53949999999998</v>
      </c>
      <c r="J1130">
        <v>-335.90019999999998</v>
      </c>
      <c r="K1130">
        <v>1.11042</v>
      </c>
      <c r="L1130">
        <v>366.74270000000001</v>
      </c>
      <c r="M1130">
        <v>0.99988290000000002</v>
      </c>
      <c r="N1130">
        <v>-1.1055860000000001E-2</v>
      </c>
      <c r="O1130">
        <v>1.0584379999999999E-2</v>
      </c>
      <c r="P1130">
        <v>0.98936610000000003</v>
      </c>
      <c r="Q1130">
        <v>0.10814559999999999</v>
      </c>
      <c r="R1130">
        <v>9.7260399999999997E-2</v>
      </c>
      <c r="S1130">
        <v>3.0342099999999999</v>
      </c>
      <c r="T1130">
        <v>9.1902609999999996E-2</v>
      </c>
      <c r="U1130">
        <v>-0.1228638</v>
      </c>
      <c r="V1130">
        <v>-8.6778179999999996E-2</v>
      </c>
      <c r="W1130">
        <v>0.1190913</v>
      </c>
      <c r="X1130">
        <v>0.98908379999999996</v>
      </c>
      <c r="Y1130">
        <v>5.100992E-2</v>
      </c>
      <c r="Z1130">
        <v>9.2720759999999998E-4</v>
      </c>
      <c r="AA1130">
        <v>0.99869770000000002</v>
      </c>
      <c r="AB1130">
        <v>27</v>
      </c>
      <c r="AC1130">
        <v>177.70519999999999</v>
      </c>
      <c r="AD1130">
        <v>5.3868220000000004</v>
      </c>
      <c r="AE1130">
        <v>-7.20320000000003</v>
      </c>
      <c r="AF1130">
        <v>9.0754849926635295</v>
      </c>
      <c r="AG1130">
        <v>5.3868220000000004</v>
      </c>
      <c r="AH1130">
        <v>177.456202571299</v>
      </c>
      <c r="AI1130">
        <v>88.263543663919293</v>
      </c>
      <c r="AJ1130">
        <v>87.072323508553296</v>
      </c>
      <c r="AK1130">
        <v>177.76975589266499</v>
      </c>
      <c r="AL1130">
        <v>83.160338006286196</v>
      </c>
      <c r="AM1130">
        <v>95.014059001754703</v>
      </c>
      <c r="AN1130">
        <v>0.99999997684112096</v>
      </c>
    </row>
    <row r="1131" spans="1:40" x14ac:dyDescent="0.25">
      <c r="A1131" t="str">
        <f>"20190304154744278"</f>
        <v>20190304154744278</v>
      </c>
      <c r="B1131" t="str">
        <f>"1551685664267625"</f>
        <v>1551685664267625</v>
      </c>
      <c r="C1131" t="s">
        <v>40</v>
      </c>
      <c r="D1131">
        <v>4.1988469999999998</v>
      </c>
      <c r="E1131">
        <v>0.5512764</v>
      </c>
      <c r="F1131" t="s">
        <v>43</v>
      </c>
      <c r="G1131">
        <v>-158.19499999999999</v>
      </c>
      <c r="H1131">
        <v>6.3715820000000001</v>
      </c>
      <c r="I1131">
        <v>359.71839999999997</v>
      </c>
      <c r="J1131">
        <v>-335.74110000000002</v>
      </c>
      <c r="K1131">
        <v>1.11042</v>
      </c>
      <c r="L1131">
        <v>366.74439999999998</v>
      </c>
      <c r="M1131">
        <v>0.99988290000000002</v>
      </c>
      <c r="N1131">
        <v>-1.1057890000000001E-2</v>
      </c>
      <c r="O1131">
        <v>1.058455E-2</v>
      </c>
      <c r="P1131">
        <v>0.98936360000000001</v>
      </c>
      <c r="Q1131">
        <v>0.10836030000000001</v>
      </c>
      <c r="R1131">
        <v>9.7045880000000001E-2</v>
      </c>
      <c r="S1131">
        <v>3.0341800000000001</v>
      </c>
      <c r="T1131">
        <v>8.9831709999999995E-2</v>
      </c>
      <c r="U1131">
        <v>-0.1199341</v>
      </c>
      <c r="V1131">
        <v>-8.6563699999999993E-2</v>
      </c>
      <c r="W1131">
        <v>0.1193076</v>
      </c>
      <c r="X1131">
        <v>0.98907659999999997</v>
      </c>
      <c r="Y1131">
        <v>5.0049110000000001E-2</v>
      </c>
      <c r="Z1131">
        <v>8.9372189999999997E-4</v>
      </c>
      <c r="AA1131">
        <v>0.99874629999999998</v>
      </c>
      <c r="AB1131">
        <v>27</v>
      </c>
      <c r="AC1131">
        <v>177.5461</v>
      </c>
      <c r="AD1131">
        <v>5.2611619999999997</v>
      </c>
      <c r="AE1131">
        <v>-7.0260000000000096</v>
      </c>
      <c r="AF1131">
        <v>8.8971663973620601</v>
      </c>
      <c r="AG1131">
        <v>5.2611619999999997</v>
      </c>
      <c r="AH1131">
        <v>177.30633321341099</v>
      </c>
      <c r="AI1131">
        <v>88.302511356637794</v>
      </c>
      <c r="AJ1131">
        <v>87.127328426553206</v>
      </c>
      <c r="AK1131">
        <v>177.60736244051799</v>
      </c>
      <c r="AL1131">
        <v>83.147856433461001</v>
      </c>
      <c r="AM1131">
        <v>95.001765475926405</v>
      </c>
      <c r="AN1131">
        <v>1.0000000491215</v>
      </c>
    </row>
    <row r="1132" spans="1:40" x14ac:dyDescent="0.25">
      <c r="A1132" t="str">
        <f>"20190304154744292"</f>
        <v>20190304154744292</v>
      </c>
      <c r="B1132" t="str">
        <f>"1551685664288121"</f>
        <v>1551685664288121</v>
      </c>
      <c r="C1132" t="s">
        <v>40</v>
      </c>
      <c r="D1132">
        <v>4.160444</v>
      </c>
      <c r="E1132">
        <v>0.55093219999999898</v>
      </c>
      <c r="F1132" t="s">
        <v>43</v>
      </c>
      <c r="G1132">
        <v>-158.19499999999999</v>
      </c>
      <c r="H1132">
        <v>6.3562260000000004</v>
      </c>
      <c r="I1132">
        <v>359.64640000000003</v>
      </c>
      <c r="J1132">
        <v>-335.57409999999999</v>
      </c>
      <c r="K1132">
        <v>1.110419</v>
      </c>
      <c r="L1132">
        <v>366.74619999999999</v>
      </c>
      <c r="M1132">
        <v>0.99988290000000002</v>
      </c>
      <c r="N1132">
        <v>-1.106001E-2</v>
      </c>
      <c r="O1132">
        <v>1.0584720000000001E-2</v>
      </c>
      <c r="P1132">
        <v>0.98935649999999997</v>
      </c>
      <c r="Q1132">
        <v>0.108220899999999</v>
      </c>
      <c r="R1132">
        <v>9.727355E-2</v>
      </c>
      <c r="S1132">
        <v>3.034332</v>
      </c>
      <c r="T1132">
        <v>8.9654330000000004E-2</v>
      </c>
      <c r="U1132">
        <v>-0.121307399999999</v>
      </c>
      <c r="V1132">
        <v>-8.679104E-2</v>
      </c>
      <c r="W1132">
        <v>0.11917079999999999</v>
      </c>
      <c r="X1132">
        <v>0.98907310000000004</v>
      </c>
      <c r="Y1132">
        <v>5.0498580000000001E-2</v>
      </c>
      <c r="Z1132">
        <v>8.9570239999999998E-4</v>
      </c>
      <c r="AA1132">
        <v>0.99872369999999999</v>
      </c>
      <c r="AB1132">
        <v>27</v>
      </c>
      <c r="AC1132">
        <v>177.37909999999999</v>
      </c>
      <c r="AD1132">
        <v>5.2458070000000001</v>
      </c>
      <c r="AE1132">
        <v>-7.0997999999999504</v>
      </c>
      <c r="AF1132">
        <v>8.9691929157456496</v>
      </c>
      <c r="AG1132">
        <v>5.2458070000000001</v>
      </c>
      <c r="AH1132">
        <v>177.13932617720201</v>
      </c>
      <c r="AI1132">
        <v>88.305906533676506</v>
      </c>
      <c r="AJ1132">
        <v>87.101386709026997</v>
      </c>
      <c r="AK1132">
        <v>177.44381023623899</v>
      </c>
      <c r="AL1132">
        <v>83.155750347014902</v>
      </c>
      <c r="AM1132">
        <v>95.014852240661</v>
      </c>
      <c r="AN1132">
        <v>0.99999998067026497</v>
      </c>
    </row>
    <row r="1133" spans="1:40" x14ac:dyDescent="0.25">
      <c r="A1133" t="str">
        <f>"20190304154744302"</f>
        <v>20190304154744302</v>
      </c>
      <c r="B1133" t="str">
        <f>"1551685664297882"</f>
        <v>1551685664297882</v>
      </c>
      <c r="C1133" t="s">
        <v>40</v>
      </c>
      <c r="D1133">
        <v>4.1805870000000001</v>
      </c>
      <c r="E1133">
        <v>0.55101140000000004</v>
      </c>
      <c r="F1133" t="s">
        <v>43</v>
      </c>
      <c r="G1133">
        <v>-158.19499999999999</v>
      </c>
      <c r="H1133">
        <v>6.2078530000000001</v>
      </c>
      <c r="I1133">
        <v>359.84930000000003</v>
      </c>
      <c r="J1133">
        <v>-335.4402</v>
      </c>
      <c r="K1133">
        <v>1.110419</v>
      </c>
      <c r="L1133">
        <v>366.74759999999998</v>
      </c>
      <c r="M1133">
        <v>0.99988279999999996</v>
      </c>
      <c r="N1133">
        <v>-1.1061720000000001E-2</v>
      </c>
      <c r="O1133">
        <v>1.058489E-2</v>
      </c>
      <c r="P1133">
        <v>0.98933510000000002</v>
      </c>
      <c r="Q1133">
        <v>0.10836999999999999</v>
      </c>
      <c r="R1133">
        <v>9.7324300000000002E-2</v>
      </c>
      <c r="S1133">
        <v>3.034332</v>
      </c>
      <c r="T1133">
        <v>8.7200639999999996E-2</v>
      </c>
      <c r="U1133">
        <v>-0.117981</v>
      </c>
      <c r="V1133">
        <v>-8.6841799999999997E-2</v>
      </c>
      <c r="W1133">
        <v>0.11932089999999899</v>
      </c>
      <c r="X1133">
        <v>0.9890506</v>
      </c>
      <c r="Y1133">
        <v>4.9407140000000002E-2</v>
      </c>
      <c r="Z1133">
        <v>8.5713759999999999E-4</v>
      </c>
      <c r="AA1133">
        <v>0.99877830000000001</v>
      </c>
      <c r="AB1133">
        <v>27</v>
      </c>
      <c r="AC1133">
        <v>177.24520000000001</v>
      </c>
      <c r="AD1133">
        <v>5.0974339999999998</v>
      </c>
      <c r="AE1133">
        <v>-6.8982999999999404</v>
      </c>
      <c r="AF1133">
        <v>8.7669091423856198</v>
      </c>
      <c r="AG1133">
        <v>5.0974339999999998</v>
      </c>
      <c r="AH1133">
        <v>177.016059746152</v>
      </c>
      <c r="AI1133">
        <v>88.352558911374501</v>
      </c>
      <c r="AJ1133">
        <v>87.164682086133496</v>
      </c>
      <c r="AK1133">
        <v>177.306311047713</v>
      </c>
      <c r="AL1133">
        <v>83.147088801644898</v>
      </c>
      <c r="AM1133">
        <v>95.017883789775993</v>
      </c>
      <c r="AN1133">
        <v>1.0000000323822</v>
      </c>
    </row>
    <row r="1134" spans="1:40" x14ac:dyDescent="0.25">
      <c r="A1134" t="str">
        <f>"20190304154744314"</f>
        <v>20190304154744314</v>
      </c>
      <c r="B1134" t="str">
        <f>"1551685664307641"</f>
        <v>1551685664307641</v>
      </c>
      <c r="C1134" t="s">
        <v>40</v>
      </c>
      <c r="D1134">
        <v>4.1491369999999996</v>
      </c>
      <c r="E1134">
        <v>0.5509754</v>
      </c>
      <c r="F1134" t="s">
        <v>43</v>
      </c>
      <c r="G1134">
        <v>-158.19499999999999</v>
      </c>
      <c r="H1134">
        <v>6.2571389999999996</v>
      </c>
      <c r="I1134">
        <v>359.83640000000003</v>
      </c>
      <c r="J1134">
        <v>-335.29880000000003</v>
      </c>
      <c r="K1134">
        <v>1.1104179999999999</v>
      </c>
      <c r="L1134">
        <v>366.7491</v>
      </c>
      <c r="M1134">
        <v>0.99988290000000002</v>
      </c>
      <c r="N1134">
        <v>-1.106352E-2</v>
      </c>
      <c r="O1134">
        <v>1.058488E-2</v>
      </c>
      <c r="P1134">
        <v>0.98933450000000001</v>
      </c>
      <c r="Q1134">
        <v>0.1083832</v>
      </c>
      <c r="R1134">
        <v>9.7315650000000004E-2</v>
      </c>
      <c r="S1134">
        <v>3.034332</v>
      </c>
      <c r="T1134">
        <v>8.8110209999999994E-2</v>
      </c>
      <c r="U1134">
        <v>-0.1183167</v>
      </c>
      <c r="V1134">
        <v>-8.6833160000000006E-2</v>
      </c>
      <c r="W1134">
        <v>0.119335999999999</v>
      </c>
      <c r="X1134">
        <v>0.98904950000000003</v>
      </c>
      <c r="Y1134">
        <v>4.9516959999999999E-2</v>
      </c>
      <c r="Z1134">
        <v>8.6866059999999895E-4</v>
      </c>
      <c r="AA1134">
        <v>0.99877289999999996</v>
      </c>
      <c r="AB1134">
        <v>27</v>
      </c>
      <c r="AC1134">
        <v>177.10380000000001</v>
      </c>
      <c r="AD1134">
        <v>5.1467209999999897</v>
      </c>
      <c r="AE1134">
        <v>-6.9126999999999699</v>
      </c>
      <c r="AF1134">
        <v>8.7796464315508498</v>
      </c>
      <c r="AG1134">
        <v>5.1467209999999897</v>
      </c>
      <c r="AH1134">
        <v>176.8715597911</v>
      </c>
      <c r="AI1134">
        <v>88.335289830811405</v>
      </c>
      <c r="AJ1134">
        <v>87.158253490786507</v>
      </c>
      <c r="AK1134">
        <v>177.16410356348001</v>
      </c>
      <c r="AL1134">
        <v>83.146217158681793</v>
      </c>
      <c r="AM1134">
        <v>95.017392654419098</v>
      </c>
      <c r="AN1134">
        <v>0.99999999601091705</v>
      </c>
    </row>
    <row r="1135" spans="1:40" x14ac:dyDescent="0.25">
      <c r="A1135" t="str">
        <f>"20190304154744325"</f>
        <v>20190304154744325</v>
      </c>
      <c r="B1135" t="str">
        <f>"1551685664318378"</f>
        <v>1551685664318378</v>
      </c>
      <c r="C1135" t="s">
        <v>40</v>
      </c>
      <c r="D1135">
        <v>4.1988510000000003</v>
      </c>
      <c r="E1135">
        <v>0.55098100000000005</v>
      </c>
      <c r="F1135" t="s">
        <v>43</v>
      </c>
      <c r="G1135">
        <v>-158.19499999999999</v>
      </c>
      <c r="H1135">
        <v>6.2775189999999998</v>
      </c>
      <c r="I1135">
        <v>359.86799999999999</v>
      </c>
      <c r="J1135">
        <v>-335.1574</v>
      </c>
      <c r="K1135">
        <v>1.110417</v>
      </c>
      <c r="L1135">
        <v>366.75049999999999</v>
      </c>
      <c r="M1135">
        <v>0.99988279999999996</v>
      </c>
      <c r="N1135">
        <v>-1.10652999999999E-2</v>
      </c>
      <c r="O1135">
        <v>1.0584990000000001E-2</v>
      </c>
      <c r="P1135">
        <v>0.98934270000000002</v>
      </c>
      <c r="Q1135">
        <v>0.10836989999999901</v>
      </c>
      <c r="R1135">
        <v>9.7249240000000001E-2</v>
      </c>
      <c r="S1135">
        <v>3.0342410000000002</v>
      </c>
      <c r="T1135">
        <v>8.8527079999999994E-2</v>
      </c>
      <c r="U1135">
        <v>-0.11788940000000001</v>
      </c>
      <c r="V1135">
        <v>-8.6766780000000002E-2</v>
      </c>
      <c r="W1135">
        <v>0.11932470000000001</v>
      </c>
      <c r="X1135">
        <v>0.98905670000000001</v>
      </c>
      <c r="Y1135">
        <v>4.937764E-2</v>
      </c>
      <c r="Z1135">
        <v>8.7226459999999997E-4</v>
      </c>
      <c r="AA1135">
        <v>0.9987798</v>
      </c>
      <c r="AB1135">
        <v>28</v>
      </c>
      <c r="AC1135">
        <v>176.9624</v>
      </c>
      <c r="AD1135">
        <v>5.1671019999999999</v>
      </c>
      <c r="AE1135">
        <v>-6.8824999999999301</v>
      </c>
      <c r="AF1135">
        <v>8.7479272160353201</v>
      </c>
      <c r="AG1135">
        <v>5.1671019999999999</v>
      </c>
      <c r="AH1135">
        <v>176.72918211573801</v>
      </c>
      <c r="AI1135">
        <v>88.327344106950093</v>
      </c>
      <c r="AJ1135">
        <v>87.166226038636296</v>
      </c>
      <c r="AK1135">
        <v>177.02098458926599</v>
      </c>
      <c r="AL1135">
        <v>83.146869336039003</v>
      </c>
      <c r="AM1135">
        <v>95.013540331251804</v>
      </c>
      <c r="AN1135">
        <v>1.00000000697827</v>
      </c>
    </row>
    <row r="1136" spans="1:40" x14ac:dyDescent="0.25">
      <c r="A1136" t="str">
        <f>"20190304154744339"</f>
        <v>20190304154744339</v>
      </c>
      <c r="B1136" t="str">
        <f>"1551685664328138"</f>
        <v>1551685664328138</v>
      </c>
      <c r="C1136" t="s">
        <v>40</v>
      </c>
      <c r="D1136">
        <v>4.1901669999999998</v>
      </c>
      <c r="E1136">
        <v>0.55108859999999904</v>
      </c>
      <c r="F1136" t="s">
        <v>43</v>
      </c>
      <c r="G1136">
        <v>-158.19499999999999</v>
      </c>
      <c r="H1136">
        <v>6.278778</v>
      </c>
      <c r="I1136">
        <v>359.83240000000001</v>
      </c>
      <c r="J1136">
        <v>-334.97879999999998</v>
      </c>
      <c r="K1136">
        <v>1.110425</v>
      </c>
      <c r="L1136">
        <v>366.75240000000002</v>
      </c>
      <c r="M1136">
        <v>0.99988279999999996</v>
      </c>
      <c r="N1136">
        <v>-1.1067550000000001E-2</v>
      </c>
      <c r="O1136">
        <v>1.058533E-2</v>
      </c>
      <c r="P1136">
        <v>0.98935130000000004</v>
      </c>
      <c r="Q1136">
        <v>0.1082579</v>
      </c>
      <c r="R1136">
        <v>9.7285579999999997E-2</v>
      </c>
      <c r="S1136">
        <v>3.0342709999999999</v>
      </c>
      <c r="T1136">
        <v>8.8620309999999994E-2</v>
      </c>
      <c r="U1136">
        <v>-0.1186218</v>
      </c>
      <c r="V1136">
        <v>-8.6802829999999997E-2</v>
      </c>
      <c r="W1136">
        <v>0.1192153</v>
      </c>
      <c r="X1136">
        <v>0.98906669999999997</v>
      </c>
      <c r="Y1136">
        <v>4.9618210000000003E-2</v>
      </c>
      <c r="Z1136">
        <v>8.7549139999999997E-4</v>
      </c>
      <c r="AA1136">
        <v>0.99876790000000004</v>
      </c>
      <c r="AB1136">
        <v>28</v>
      </c>
      <c r="AC1136">
        <v>176.78380000000001</v>
      </c>
      <c r="AD1136">
        <v>5.1683529999999998</v>
      </c>
      <c r="AE1136">
        <v>-6.9200000000000097</v>
      </c>
      <c r="AF1136">
        <v>8.7835456796280091</v>
      </c>
      <c r="AG1136">
        <v>5.1683529999999998</v>
      </c>
      <c r="AH1136">
        <v>176.54997092200301</v>
      </c>
      <c r="AI1136">
        <v>88.325262939450297</v>
      </c>
      <c r="AJ1136">
        <v>87.151823407226004</v>
      </c>
      <c r="AK1136">
        <v>176.843871197163</v>
      </c>
      <c r="AL1136">
        <v>83.153182359946399</v>
      </c>
      <c r="AM1136">
        <v>95.015562289946004</v>
      </c>
      <c r="AN1136">
        <v>0.99999997804949403</v>
      </c>
    </row>
    <row r="1137" spans="1:40" x14ac:dyDescent="0.25">
      <c r="A1137" t="str">
        <f>"20190304154744350"</f>
        <v>20190304154744350</v>
      </c>
      <c r="B1137" t="str">
        <f>"1551685664347658"</f>
        <v>1551685664347658</v>
      </c>
      <c r="C1137" t="s">
        <v>40</v>
      </c>
      <c r="D1137">
        <v>4.2020309999999998</v>
      </c>
      <c r="E1137">
        <v>0.55116809999999905</v>
      </c>
      <c r="F1137" t="s">
        <v>43</v>
      </c>
      <c r="G1137">
        <v>-158.19499999999999</v>
      </c>
      <c r="H1137">
        <v>6.2484659999999996</v>
      </c>
      <c r="I1137">
        <v>359.80939999999998</v>
      </c>
      <c r="J1137">
        <v>-334.83969999999999</v>
      </c>
      <c r="K1137">
        <v>1.1104259999999999</v>
      </c>
      <c r="L1137">
        <v>366.75389999999999</v>
      </c>
      <c r="M1137">
        <v>0.99988279999999996</v>
      </c>
      <c r="N1137">
        <v>-1.1069280000000001E-2</v>
      </c>
      <c r="O1137">
        <v>1.058532E-2</v>
      </c>
      <c r="P1137">
        <v>0.98936460000000004</v>
      </c>
      <c r="Q1137">
        <v>0.10827589999999999</v>
      </c>
      <c r="R1137">
        <v>9.7128909999999999E-2</v>
      </c>
      <c r="S1137">
        <v>3.0343629999999999</v>
      </c>
      <c r="T1137">
        <v>8.8192110000000004E-2</v>
      </c>
      <c r="U1137">
        <v>-0.1191711</v>
      </c>
      <c r="V1137">
        <v>-8.6645570000000005E-2</v>
      </c>
      <c r="W1137">
        <v>0.1192347</v>
      </c>
      <c r="X1137">
        <v>0.98907820000000002</v>
      </c>
      <c r="Y1137">
        <v>4.9797719999999997E-2</v>
      </c>
      <c r="Z1137">
        <v>8.7205399999999895E-4</v>
      </c>
      <c r="AA1137">
        <v>0.99875899999999995</v>
      </c>
      <c r="AB1137">
        <v>28</v>
      </c>
      <c r="AC1137">
        <v>176.6447</v>
      </c>
      <c r="AD1137">
        <v>5.1380400000000002</v>
      </c>
      <c r="AE1137">
        <v>-6.9444999999999997</v>
      </c>
      <c r="AF1137">
        <v>8.8066266318579292</v>
      </c>
      <c r="AG1137">
        <v>5.1380400000000002</v>
      </c>
      <c r="AH1137">
        <v>176.412265339952</v>
      </c>
      <c r="AI1137">
        <v>88.333795084281405</v>
      </c>
      <c r="AJ1137">
        <v>87.142126090795699</v>
      </c>
      <c r="AK1137">
        <v>176.706659438879</v>
      </c>
      <c r="AL1137">
        <v>83.152063174034694</v>
      </c>
      <c r="AM1137">
        <v>95.006463944497199</v>
      </c>
      <c r="AN1137">
        <v>1.00000002709997</v>
      </c>
    </row>
    <row r="1138" spans="1:40" x14ac:dyDescent="0.25">
      <c r="A1138" t="str">
        <f>"20190304154744363"</f>
        <v>20190304154744363</v>
      </c>
      <c r="B1138" t="str">
        <f>"1551685664358394"</f>
        <v>1551685664358394</v>
      </c>
      <c r="C1138" t="s">
        <v>40</v>
      </c>
      <c r="D1138">
        <v>4.1871539999999996</v>
      </c>
      <c r="E1138">
        <v>0.551203</v>
      </c>
      <c r="F1138" t="s">
        <v>43</v>
      </c>
      <c r="G1138">
        <v>-158.19499999999999</v>
      </c>
      <c r="H1138">
        <v>6.3523670000000001</v>
      </c>
      <c r="I1138">
        <v>359.75199999999899</v>
      </c>
      <c r="J1138">
        <v>-334.69729999999998</v>
      </c>
      <c r="K1138">
        <v>1.1104229999999999</v>
      </c>
      <c r="L1138">
        <v>366.75540000000001</v>
      </c>
      <c r="M1138">
        <v>0.99988279999999996</v>
      </c>
      <c r="N1138">
        <v>-1.1071080000000001E-2</v>
      </c>
      <c r="O1138">
        <v>1.0585489999999999E-2</v>
      </c>
      <c r="P1138">
        <v>0.98937310000000001</v>
      </c>
      <c r="Q1138">
        <v>0.1082225</v>
      </c>
      <c r="R1138">
        <v>9.7103209999999995E-2</v>
      </c>
      <c r="S1138">
        <v>3.0341800000000001</v>
      </c>
      <c r="T1138">
        <v>9.0040919999999997E-2</v>
      </c>
      <c r="U1138">
        <v>-0.1202698</v>
      </c>
      <c r="V1138">
        <v>-8.6619680000000004E-2</v>
      </c>
      <c r="W1138">
        <v>0.1191836</v>
      </c>
      <c r="X1138">
        <v>0.98908660000000004</v>
      </c>
      <c r="Y1138">
        <v>5.0160240000000002E-2</v>
      </c>
      <c r="Z1138">
        <v>8.9705119999999904E-4</v>
      </c>
      <c r="AA1138">
        <v>0.99874079999999998</v>
      </c>
      <c r="AB1138">
        <v>28</v>
      </c>
      <c r="AC1138">
        <v>176.50229999999999</v>
      </c>
      <c r="AD1138">
        <v>5.2419440000000002</v>
      </c>
      <c r="AE1138">
        <v>-7.0034000000000498</v>
      </c>
      <c r="AF1138">
        <v>8.8636794367915499</v>
      </c>
      <c r="AG1138">
        <v>5.2419440000000002</v>
      </c>
      <c r="AH1138">
        <v>176.26304564418101</v>
      </c>
      <c r="AI1138">
        <v>88.298712701439996</v>
      </c>
      <c r="AJ1138">
        <v>87.121211692002703</v>
      </c>
      <c r="AK1138">
        <v>176.56359774828999</v>
      </c>
      <c r="AL1138">
        <v>83.155011835699995</v>
      </c>
      <c r="AM1138">
        <v>95.004933305256401</v>
      </c>
      <c r="AN1138">
        <v>1.00000000088591</v>
      </c>
    </row>
    <row r="1139" spans="1:40" x14ac:dyDescent="0.25">
      <c r="A1139" t="str">
        <f>"20190304154744374"</f>
        <v>20190304154744374</v>
      </c>
      <c r="B1139" t="str">
        <f>"1551685664368153"</f>
        <v>1551685664368153</v>
      </c>
      <c r="C1139" t="s">
        <v>40</v>
      </c>
      <c r="D1139">
        <v>4.1811309999999997</v>
      </c>
      <c r="E1139">
        <v>0.55126660000000005</v>
      </c>
      <c r="F1139" t="s">
        <v>43</v>
      </c>
      <c r="G1139">
        <v>-158.19499999999999</v>
      </c>
      <c r="H1139">
        <v>6.4075389999999999</v>
      </c>
      <c r="I1139">
        <v>359.74810000000002</v>
      </c>
      <c r="J1139">
        <v>-334.55619999999999</v>
      </c>
      <c r="K1139">
        <v>1.11042</v>
      </c>
      <c r="L1139">
        <v>366.75689999999997</v>
      </c>
      <c r="M1139">
        <v>0.99988279999999996</v>
      </c>
      <c r="N1139">
        <v>-1.107286E-2</v>
      </c>
      <c r="O1139">
        <v>1.058548E-2</v>
      </c>
      <c r="P1139">
        <v>0.9893421</v>
      </c>
      <c r="Q1139">
        <v>0.108483</v>
      </c>
      <c r="R1139">
        <v>9.7128419999999993E-2</v>
      </c>
      <c r="S1139">
        <v>3.034027</v>
      </c>
      <c r="T1139">
        <v>9.105742E-2</v>
      </c>
      <c r="U1139">
        <v>-0.1204529</v>
      </c>
      <c r="V1139">
        <v>-8.6645730000000004E-2</v>
      </c>
      <c r="W1139">
        <v>0.11944489999999899</v>
      </c>
      <c r="X1139">
        <v>0.98905279999999995</v>
      </c>
      <c r="Y1139">
        <v>5.0221830000000002E-2</v>
      </c>
      <c r="Z1139">
        <v>9.0959370000000001E-4</v>
      </c>
      <c r="AA1139">
        <v>0.99873769999999995</v>
      </c>
      <c r="AB1139">
        <v>28</v>
      </c>
      <c r="AC1139">
        <v>176.3612</v>
      </c>
      <c r="AD1139">
        <v>5.2971190000000004</v>
      </c>
      <c r="AE1139">
        <v>-7.0087999999999502</v>
      </c>
      <c r="AF1139">
        <v>8.86740240750051</v>
      </c>
      <c r="AG1139">
        <v>5.2971190000000004</v>
      </c>
      <c r="AH1139">
        <v>176.11848883047401</v>
      </c>
      <c r="AI1139">
        <v>88.279411334851901</v>
      </c>
      <c r="AJ1139">
        <v>87.117644667664294</v>
      </c>
      <c r="AK1139">
        <v>176.421122326909</v>
      </c>
      <c r="AL1139">
        <v>83.139932752461803</v>
      </c>
      <c r="AM1139">
        <v>95.006601060912899</v>
      </c>
      <c r="AN1139">
        <v>1.0000000039255399</v>
      </c>
    </row>
    <row r="1140" spans="1:40" x14ac:dyDescent="0.25">
      <c r="A1140" t="str">
        <f>"20190304154744385"</f>
        <v>20190304154744385</v>
      </c>
      <c r="B1140" t="str">
        <f>"1551685664377914"</f>
        <v>1551685664377914</v>
      </c>
      <c r="C1140" t="s">
        <v>40</v>
      </c>
      <c r="D1140">
        <v>4.1922139999999999</v>
      </c>
      <c r="E1140">
        <v>0.55116940000000003</v>
      </c>
      <c r="F1140" t="s">
        <v>43</v>
      </c>
      <c r="G1140">
        <v>-158.19499999999999</v>
      </c>
      <c r="H1140">
        <v>6.4863309999999998</v>
      </c>
      <c r="I1140">
        <v>359.71460000000002</v>
      </c>
      <c r="J1140">
        <v>-334.41539999999998</v>
      </c>
      <c r="K1140">
        <v>1.11042</v>
      </c>
      <c r="L1140">
        <v>366.75839999999999</v>
      </c>
      <c r="M1140">
        <v>0.99988259999999995</v>
      </c>
      <c r="N1140">
        <v>-1.107464E-2</v>
      </c>
      <c r="O1140">
        <v>1.058577E-2</v>
      </c>
      <c r="P1140">
        <v>0.98934630000000001</v>
      </c>
      <c r="Q1140">
        <v>0.1083464</v>
      </c>
      <c r="R1140">
        <v>9.7236939999999994E-2</v>
      </c>
      <c r="S1140">
        <v>3.0340880000000001</v>
      </c>
      <c r="T1140">
        <v>9.2487689999999997E-2</v>
      </c>
      <c r="U1140">
        <v>-0.12115480000000001</v>
      </c>
      <c r="V1140">
        <v>-8.6753239999999995E-2</v>
      </c>
      <c r="W1140">
        <v>0.1193105</v>
      </c>
      <c r="X1140">
        <v>0.98905960000000004</v>
      </c>
      <c r="Y1140">
        <v>5.045115E-2</v>
      </c>
      <c r="Z1140">
        <v>9.2858049999999998E-4</v>
      </c>
      <c r="AA1140">
        <v>0.99872609999999995</v>
      </c>
      <c r="AB1140">
        <v>28</v>
      </c>
      <c r="AC1140">
        <v>176.22039999999899</v>
      </c>
      <c r="AD1140">
        <v>5.3759110000000003</v>
      </c>
      <c r="AE1140">
        <v>-7.0437999999999699</v>
      </c>
      <c r="AF1140">
        <v>8.9006780804312502</v>
      </c>
      <c r="AG1140">
        <v>5.3759110000000003</v>
      </c>
      <c r="AH1140">
        <v>175.97244684117601</v>
      </c>
      <c r="AI1140">
        <v>88.252406194396698</v>
      </c>
      <c r="AJ1140">
        <v>87.104449745363496</v>
      </c>
      <c r="AK1140">
        <v>176.27939339764501</v>
      </c>
      <c r="AL1140">
        <v>83.147688784855603</v>
      </c>
      <c r="AM1140">
        <v>95.012747329358305</v>
      </c>
      <c r="AN1140">
        <v>1.00000000620645</v>
      </c>
    </row>
    <row r="1141" spans="1:40" x14ac:dyDescent="0.25">
      <c r="A1141" t="str">
        <f>"20190304154744397"</f>
        <v>20190304154744397</v>
      </c>
      <c r="B1141" t="str">
        <f>"1551685664387674"</f>
        <v>1551685664387674</v>
      </c>
      <c r="C1141" t="s">
        <v>40</v>
      </c>
      <c r="D1141">
        <v>4.1886400000000004</v>
      </c>
      <c r="E1141">
        <v>0.55120930000000001</v>
      </c>
      <c r="F1141" t="s">
        <v>43</v>
      </c>
      <c r="G1141">
        <v>-158.19499999999999</v>
      </c>
      <c r="H1141">
        <v>6.4688220000000003</v>
      </c>
      <c r="I1141">
        <v>359.8048</v>
      </c>
      <c r="J1141">
        <v>-334.27870000000001</v>
      </c>
      <c r="K1141">
        <v>1.1104229999999999</v>
      </c>
      <c r="L1141">
        <v>366.75990000000002</v>
      </c>
      <c r="M1141">
        <v>0.99988259999999995</v>
      </c>
      <c r="N1141">
        <v>-1.107635E-2</v>
      </c>
      <c r="O1141">
        <v>1.058594E-2</v>
      </c>
      <c r="P1141">
        <v>0.98935649999999997</v>
      </c>
      <c r="Q1141">
        <v>0.1082016</v>
      </c>
      <c r="R1141">
        <v>9.7295010000000001E-2</v>
      </c>
      <c r="S1141">
        <v>3.0339969999999998</v>
      </c>
      <c r="T1141">
        <v>9.225738E-2</v>
      </c>
      <c r="U1141">
        <v>-0.11972049999999999</v>
      </c>
      <c r="V1141">
        <v>-8.6811340000000001E-2</v>
      </c>
      <c r="W1141">
        <v>0.1191675</v>
      </c>
      <c r="X1141">
        <v>0.9890717</v>
      </c>
      <c r="Y1141">
        <v>4.9981360000000002E-2</v>
      </c>
      <c r="Z1141">
        <v>9.2135899999999996E-4</v>
      </c>
      <c r="AA1141">
        <v>0.99874969999999996</v>
      </c>
      <c r="AB1141">
        <v>28</v>
      </c>
      <c r="AC1141">
        <v>176.08369999999999</v>
      </c>
      <c r="AD1141">
        <v>5.3583989999999897</v>
      </c>
      <c r="AE1141">
        <v>-6.9551000000000096</v>
      </c>
      <c r="AF1141">
        <v>8.8106897330328895</v>
      </c>
      <c r="AG1141">
        <v>5.3583989999999897</v>
      </c>
      <c r="AH1141">
        <v>175.837621779568</v>
      </c>
      <c r="AI1141">
        <v>88.256719281855496</v>
      </c>
      <c r="AJ1141">
        <v>87.131481390690794</v>
      </c>
      <c r="AK1141">
        <v>176.13974544806601</v>
      </c>
      <c r="AL1141">
        <v>83.155940670814203</v>
      </c>
      <c r="AM1141">
        <v>95.016026270523298</v>
      </c>
      <c r="AN1141">
        <v>0.99999996477486697</v>
      </c>
    </row>
    <row r="1142" spans="1:40" x14ac:dyDescent="0.25">
      <c r="A1142" t="str">
        <f>"20190304154744408"</f>
        <v>20190304154744408</v>
      </c>
      <c r="B1142" t="str">
        <f>"1551685664398410"</f>
        <v>1551685664398410</v>
      </c>
      <c r="C1142" t="s">
        <v>40</v>
      </c>
      <c r="D1142">
        <v>4.187945</v>
      </c>
      <c r="E1142">
        <v>0.55121009999999904</v>
      </c>
      <c r="F1142" t="s">
        <v>43</v>
      </c>
      <c r="G1142">
        <v>-158.19499999999999</v>
      </c>
      <c r="H1142">
        <v>6.464334</v>
      </c>
      <c r="I1142">
        <v>359.79039999999998</v>
      </c>
      <c r="J1142">
        <v>-334.13900000000001</v>
      </c>
      <c r="K1142">
        <v>1.110422</v>
      </c>
      <c r="L1142">
        <v>366.76130000000001</v>
      </c>
      <c r="M1142">
        <v>0.99988259999999995</v>
      </c>
      <c r="N1142">
        <v>-1.1078050000000001E-2</v>
      </c>
      <c r="O1142">
        <v>1.0586109999999999E-2</v>
      </c>
      <c r="P1142">
        <v>0.98930910000000005</v>
      </c>
      <c r="Q1142">
        <v>0.1083974</v>
      </c>
      <c r="R1142">
        <v>9.7558149999999996E-2</v>
      </c>
      <c r="S1142">
        <v>3.0339969999999998</v>
      </c>
      <c r="T1142">
        <v>9.2251659999999999E-2</v>
      </c>
      <c r="U1142">
        <v>-0.1200867</v>
      </c>
      <c r="V1142">
        <v>-8.7074799999999994E-2</v>
      </c>
      <c r="W1142">
        <v>0.1193644</v>
      </c>
      <c r="X1142">
        <v>0.98902480000000004</v>
      </c>
      <c r="Y1142">
        <v>5.010187E-2</v>
      </c>
      <c r="Z1142">
        <v>9.2243399999999997E-4</v>
      </c>
      <c r="AA1142">
        <v>0.99874370000000001</v>
      </c>
      <c r="AB1142">
        <v>28</v>
      </c>
      <c r="AC1142">
        <v>175.94399999999999</v>
      </c>
      <c r="AD1142">
        <v>5.3539120000000002</v>
      </c>
      <c r="AE1142">
        <v>-6.9709000000000199</v>
      </c>
      <c r="AF1142">
        <v>8.8250273376420996</v>
      </c>
      <c r="AG1142">
        <v>5.3539120000000002</v>
      </c>
      <c r="AH1142">
        <v>175.69790588290499</v>
      </c>
      <c r="AI1142">
        <v>88.2568045015894</v>
      </c>
      <c r="AJ1142">
        <v>87.124540341746496</v>
      </c>
      <c r="AK1142">
        <v>176.00085117081699</v>
      </c>
      <c r="AL1142">
        <v>83.144578050288104</v>
      </c>
      <c r="AM1142">
        <v>95.0314085336407</v>
      </c>
      <c r="AN1142">
        <v>0.99999996789871903</v>
      </c>
    </row>
    <row r="1143" spans="1:40" x14ac:dyDescent="0.25">
      <c r="A1143" t="str">
        <f>"20190304154744418"</f>
        <v>20190304154744418</v>
      </c>
      <c r="B1143" t="str">
        <f>"1551685664408172"</f>
        <v>1551685664408172</v>
      </c>
      <c r="C1143" t="s">
        <v>40</v>
      </c>
      <c r="D1143">
        <v>4.1910489999999996</v>
      </c>
      <c r="E1143">
        <v>0.55118940000000005</v>
      </c>
      <c r="F1143" t="s">
        <v>43</v>
      </c>
      <c r="G1143">
        <v>-158.19499999999999</v>
      </c>
      <c r="H1143">
        <v>6.5155089999999998</v>
      </c>
      <c r="I1143">
        <v>359.84879999999998</v>
      </c>
      <c r="J1143">
        <v>-334.00869999999998</v>
      </c>
      <c r="K1143">
        <v>1.11042</v>
      </c>
      <c r="L1143">
        <v>366.7627</v>
      </c>
      <c r="M1143">
        <v>0.99988259999999995</v>
      </c>
      <c r="N1143">
        <v>-1.10797E-2</v>
      </c>
      <c r="O1143">
        <v>1.058628E-2</v>
      </c>
      <c r="P1143">
        <v>0.98923810000000001</v>
      </c>
      <c r="Q1143">
        <v>0.10878069999999999</v>
      </c>
      <c r="R1143">
        <v>9.7850439999999997E-2</v>
      </c>
      <c r="S1143">
        <v>3.0339969999999998</v>
      </c>
      <c r="T1143">
        <v>9.3207360000000003E-2</v>
      </c>
      <c r="U1143">
        <v>-0.11920169999999999</v>
      </c>
      <c r="V1143">
        <v>-8.7367829999999994E-2</v>
      </c>
      <c r="W1143">
        <v>0.11974890000000001</v>
      </c>
      <c r="X1143">
        <v>0.98895250000000001</v>
      </c>
      <c r="Y1143">
        <v>4.9810710000000001E-2</v>
      </c>
      <c r="Z1143">
        <v>9.3078180000000005E-4</v>
      </c>
      <c r="AA1143">
        <v>0.99875829999999999</v>
      </c>
      <c r="AB1143">
        <v>28</v>
      </c>
      <c r="AC1143">
        <v>175.81369999999899</v>
      </c>
      <c r="AD1143">
        <v>5.4050890000000003</v>
      </c>
      <c r="AE1143">
        <v>-6.9139000000000097</v>
      </c>
      <c r="AF1143">
        <v>8.7665668732663402</v>
      </c>
      <c r="AG1143">
        <v>5.4050890000000003</v>
      </c>
      <c r="AH1143">
        <v>175.56497104391801</v>
      </c>
      <c r="AI1143">
        <v>88.238794442149697</v>
      </c>
      <c r="AJ1143">
        <v>87.141397605435301</v>
      </c>
      <c r="AK1143">
        <v>175.866786914111</v>
      </c>
      <c r="AL1143">
        <v>83.122388832845999</v>
      </c>
      <c r="AM1143">
        <v>95.048620379274496</v>
      </c>
      <c r="AN1143">
        <v>0.99999999201318401</v>
      </c>
    </row>
    <row r="1144" spans="1:40" x14ac:dyDescent="0.25">
      <c r="A1144" t="str">
        <f>"20190304154744428"</f>
        <v>20190304154744428</v>
      </c>
      <c r="B1144" t="str">
        <f>"1551685664417930"</f>
        <v>1551685664417930</v>
      </c>
      <c r="C1144" t="s">
        <v>40</v>
      </c>
      <c r="D1144">
        <v>4.1579480000000002</v>
      </c>
      <c r="E1144">
        <v>0.55119309999999999</v>
      </c>
      <c r="F1144" t="s">
        <v>43</v>
      </c>
      <c r="G1144">
        <v>-158.19499999999999</v>
      </c>
      <c r="H1144">
        <v>6.6154849999999996</v>
      </c>
      <c r="I1144">
        <v>359.89749999999998</v>
      </c>
      <c r="J1144">
        <v>-333.87759999999997</v>
      </c>
      <c r="K1144">
        <v>1.110425</v>
      </c>
      <c r="L1144">
        <v>366.76409999999998</v>
      </c>
      <c r="M1144">
        <v>0.99988259999999995</v>
      </c>
      <c r="N1144">
        <v>-1.108139E-2</v>
      </c>
      <c r="O1144">
        <v>1.0586450000000001E-2</v>
      </c>
      <c r="P1144">
        <v>0.98920050000000004</v>
      </c>
      <c r="Q1144">
        <v>0.1088403</v>
      </c>
      <c r="R1144">
        <v>9.8164849999999998E-2</v>
      </c>
      <c r="S1144">
        <v>3.0339049999999999</v>
      </c>
      <c r="T1144">
        <v>9.4998840000000001E-2</v>
      </c>
      <c r="U1144">
        <v>-0.1184692</v>
      </c>
      <c r="V1144">
        <v>-8.7682659999999996E-2</v>
      </c>
      <c r="W1144">
        <v>0.1198094</v>
      </c>
      <c r="X1144">
        <v>0.9889173</v>
      </c>
      <c r="Y1144">
        <v>4.9570389999999999E-2</v>
      </c>
      <c r="Z1144">
        <v>9.4930769999999995E-4</v>
      </c>
      <c r="AA1144">
        <v>0.99877020000000005</v>
      </c>
      <c r="AB1144">
        <v>28</v>
      </c>
      <c r="AC1144">
        <v>175.68259999999901</v>
      </c>
      <c r="AD1144">
        <v>5.5050600000000003</v>
      </c>
      <c r="AE1144">
        <v>-6.8666</v>
      </c>
      <c r="AF1144">
        <v>8.7176375687382208</v>
      </c>
      <c r="AG1144">
        <v>5.5050600000000003</v>
      </c>
      <c r="AH1144">
        <v>175.428066685793</v>
      </c>
      <c r="AI1144">
        <v>88.2048204423714</v>
      </c>
      <c r="AJ1144">
        <v>87.1551114473029</v>
      </c>
      <c r="AK1144">
        <v>175.730786919932</v>
      </c>
      <c r="AL1144">
        <v>83.118897243720397</v>
      </c>
      <c r="AM1144">
        <v>95.066897964519399</v>
      </c>
      <c r="AN1144">
        <v>0.99999998371616206</v>
      </c>
    </row>
    <row r="1145" spans="1:40" x14ac:dyDescent="0.25">
      <c r="A1145" t="str">
        <f>"20190304154744440"</f>
        <v>20190304154744440</v>
      </c>
      <c r="B1145" t="str">
        <f>"1551685664438426"</f>
        <v>1551685664438426</v>
      </c>
      <c r="C1145" t="s">
        <v>40</v>
      </c>
      <c r="D1145">
        <v>4.1630699999999896</v>
      </c>
      <c r="E1145">
        <v>0.55118919999999905</v>
      </c>
      <c r="F1145" t="s">
        <v>43</v>
      </c>
      <c r="G1145">
        <v>-158.19499999999999</v>
      </c>
      <c r="H1145">
        <v>6.6497609999999998</v>
      </c>
      <c r="I1145">
        <v>359.96929999999998</v>
      </c>
      <c r="J1145">
        <v>-333.74040000000002</v>
      </c>
      <c r="K1145">
        <v>1.110428</v>
      </c>
      <c r="L1145">
        <v>366.76560000000001</v>
      </c>
      <c r="M1145">
        <v>0.99988259999999995</v>
      </c>
      <c r="N1145">
        <v>-1.108317E-2</v>
      </c>
      <c r="O1145">
        <v>1.0586440000000001E-2</v>
      </c>
      <c r="P1145">
        <v>0.98918519999999999</v>
      </c>
      <c r="Q1145">
        <v>0.1087123</v>
      </c>
      <c r="R1145">
        <v>9.8461610000000005E-2</v>
      </c>
      <c r="S1145">
        <v>3.0338750000000001</v>
      </c>
      <c r="T1145">
        <v>9.5660690000000007E-2</v>
      </c>
      <c r="U1145">
        <v>-0.1173401</v>
      </c>
      <c r="V1145">
        <v>-8.7979669999999996E-2</v>
      </c>
      <c r="W1145">
        <v>0.119683</v>
      </c>
      <c r="X1145">
        <v>0.98890630000000002</v>
      </c>
      <c r="Y1145">
        <v>4.9199340000000001E-2</v>
      </c>
      <c r="Z1145">
        <v>9.5322180000000003E-4</v>
      </c>
      <c r="AA1145">
        <v>0.99878849999999997</v>
      </c>
      <c r="AB1145">
        <v>28</v>
      </c>
      <c r="AC1145">
        <v>175.5454</v>
      </c>
      <c r="AD1145">
        <v>5.5393330000000001</v>
      </c>
      <c r="AE1145">
        <v>-6.7963000000000298</v>
      </c>
      <c r="AF1145">
        <v>8.6458380569775795</v>
      </c>
      <c r="AG1145">
        <v>5.5393330000000001</v>
      </c>
      <c r="AH1145">
        <v>175.289331161409</v>
      </c>
      <c r="AI1145">
        <v>88.192189774161406</v>
      </c>
      <c r="AJ1145">
        <v>87.176274768367506</v>
      </c>
      <c r="AK1145">
        <v>175.589818454278</v>
      </c>
      <c r="AL1145">
        <v>83.126192421668506</v>
      </c>
      <c r="AM1145">
        <v>95.084027672473894</v>
      </c>
      <c r="AN1145">
        <v>1.0000000565009901</v>
      </c>
    </row>
    <row r="1146" spans="1:40" x14ac:dyDescent="0.25">
      <c r="A1146" t="str">
        <f>"20190304154744453"</f>
        <v>20190304154744453</v>
      </c>
      <c r="B1146" t="str">
        <f>"1551685664448185"</f>
        <v>1551685664448185</v>
      </c>
      <c r="C1146" t="s">
        <v>40</v>
      </c>
      <c r="D1146">
        <v>4.1783489999999999</v>
      </c>
      <c r="E1146">
        <v>0.55122340000000003</v>
      </c>
      <c r="F1146" t="s">
        <v>43</v>
      </c>
      <c r="G1146">
        <v>-158.49440000000001</v>
      </c>
      <c r="H1146">
        <v>6.6740880000000002</v>
      </c>
      <c r="I1146">
        <v>360.00869999999998</v>
      </c>
      <c r="J1146">
        <v>-333.58839999999998</v>
      </c>
      <c r="K1146">
        <v>1.1104290000000001</v>
      </c>
      <c r="L1146">
        <v>366.7672</v>
      </c>
      <c r="M1146">
        <v>0.99988259999999995</v>
      </c>
      <c r="N1146">
        <v>-1.108513E-2</v>
      </c>
      <c r="O1146">
        <v>1.05866E-2</v>
      </c>
      <c r="P1146">
        <v>0.989147</v>
      </c>
      <c r="Q1146">
        <v>0.108873499999999</v>
      </c>
      <c r="R1146">
        <v>9.8666450000000003E-2</v>
      </c>
      <c r="S1146">
        <v>3.0338440000000002</v>
      </c>
      <c r="T1146">
        <v>9.6319080000000001E-2</v>
      </c>
      <c r="U1146">
        <v>-0.11697390000000001</v>
      </c>
      <c r="V1146">
        <v>-8.8184460000000006E-2</v>
      </c>
      <c r="W1146">
        <v>0.11984589999999901</v>
      </c>
      <c r="X1146">
        <v>0.98886830000000003</v>
      </c>
      <c r="Y1146">
        <v>4.907918E-2</v>
      </c>
      <c r="Z1146">
        <v>9.5960239999999997E-4</v>
      </c>
      <c r="AA1146">
        <v>0.99879439999999997</v>
      </c>
      <c r="AB1146">
        <v>28</v>
      </c>
      <c r="AC1146">
        <v>175.093999999999</v>
      </c>
      <c r="AD1146">
        <v>5.5636589999999897</v>
      </c>
      <c r="AE1146">
        <v>-6.7585000000000202</v>
      </c>
      <c r="AF1146">
        <v>8.6032116288229403</v>
      </c>
      <c r="AG1146">
        <v>5.5636589999999897</v>
      </c>
      <c r="AH1146">
        <v>174.836368643615</v>
      </c>
      <c r="AI1146">
        <v>88.179544667519593</v>
      </c>
      <c r="AJ1146">
        <v>87.182906238796605</v>
      </c>
      <c r="AK1146">
        <v>175.13630506632401</v>
      </c>
      <c r="AL1146">
        <v>83.116791067542593</v>
      </c>
      <c r="AM1146">
        <v>95.095994301714597</v>
      </c>
      <c r="AN1146">
        <v>1.00000002673859</v>
      </c>
    </row>
    <row r="1147" spans="1:40" x14ac:dyDescent="0.25">
      <c r="A1147" t="str">
        <f>"20190304154744463"</f>
        <v>20190304154744463</v>
      </c>
      <c r="B1147" t="str">
        <f>"1551685664457946"</f>
        <v>1551685664457946</v>
      </c>
      <c r="C1147" t="s">
        <v>40</v>
      </c>
      <c r="D1147">
        <v>4.4104570000000001</v>
      </c>
      <c r="E1147">
        <v>0.55099390000000004</v>
      </c>
      <c r="F1147" t="s">
        <v>43</v>
      </c>
      <c r="G1147">
        <v>-159.59289999999999</v>
      </c>
      <c r="H1147">
        <v>6.6740890000000004</v>
      </c>
      <c r="I1147">
        <v>360.10919999999999</v>
      </c>
      <c r="J1147">
        <v>-333.45229999999998</v>
      </c>
      <c r="K1147">
        <v>1.1104270000000001</v>
      </c>
      <c r="L1147">
        <v>366.76870000000002</v>
      </c>
      <c r="M1147">
        <v>0.99988250000000001</v>
      </c>
      <c r="N1147">
        <v>-1.108687E-2</v>
      </c>
      <c r="O1147">
        <v>1.0586709999999999E-2</v>
      </c>
      <c r="P1147">
        <v>0.98910419999999999</v>
      </c>
      <c r="Q1147">
        <v>0.1089397</v>
      </c>
      <c r="R1147">
        <v>9.9020349999999993E-2</v>
      </c>
      <c r="S1147">
        <v>3.0337830000000001</v>
      </c>
      <c r="T1147">
        <v>9.7009300000000007E-2</v>
      </c>
      <c r="U1147">
        <v>-0.11608889999999999</v>
      </c>
      <c r="V1147">
        <v>-8.85383E-2</v>
      </c>
      <c r="W1147">
        <v>0.1199136</v>
      </c>
      <c r="X1147">
        <v>0.98882840000000005</v>
      </c>
      <c r="Y1147">
        <v>4.8788819999999997E-2</v>
      </c>
      <c r="Z1147">
        <v>9.645659E-4</v>
      </c>
      <c r="AA1147">
        <v>0.99880860000000005</v>
      </c>
      <c r="AB1147">
        <v>28</v>
      </c>
      <c r="AC1147">
        <v>173.85939999999999</v>
      </c>
      <c r="AD1147">
        <v>5.5636619999999999</v>
      </c>
      <c r="AE1147">
        <v>-6.6595000000000297</v>
      </c>
      <c r="AF1147">
        <v>8.4911562128433999</v>
      </c>
      <c r="AG1147">
        <v>5.5636619999999999</v>
      </c>
      <c r="AH1147">
        <v>173.60163113773601</v>
      </c>
      <c r="AI1147">
        <v>88.166578043286094</v>
      </c>
      <c r="AJ1147">
        <v>87.199795875168903</v>
      </c>
      <c r="AK1147">
        <v>173.898189761607</v>
      </c>
      <c r="AL1147">
        <v>83.112883459044298</v>
      </c>
      <c r="AM1147">
        <v>95.116539012096695</v>
      </c>
      <c r="AN1147">
        <v>0.999999953339204</v>
      </c>
    </row>
    <row r="1148" spans="1:40" x14ac:dyDescent="0.25">
      <c r="A1148" t="str">
        <f>"20190304154744475"</f>
        <v>20190304154744475</v>
      </c>
      <c r="B1148" t="str">
        <f>"1551685664467706"</f>
        <v>1551685664467706</v>
      </c>
      <c r="C1148" t="s">
        <v>40</v>
      </c>
      <c r="D1148">
        <v>4.1494689999999999</v>
      </c>
      <c r="E1148">
        <v>0.55100740000000004</v>
      </c>
      <c r="F1148" t="s">
        <v>43</v>
      </c>
      <c r="G1148">
        <v>-159.19120000000001</v>
      </c>
      <c r="H1148">
        <v>6.6740890000000004</v>
      </c>
      <c r="I1148">
        <v>360.25990000000002</v>
      </c>
      <c r="J1148">
        <v>-333.30770000000001</v>
      </c>
      <c r="K1148">
        <v>1.1104290000000001</v>
      </c>
      <c r="L1148">
        <v>366.77019999999999</v>
      </c>
      <c r="M1148">
        <v>0.99988259999999995</v>
      </c>
      <c r="N1148">
        <v>-1.108872E-2</v>
      </c>
      <c r="O1148">
        <v>1.058688E-2</v>
      </c>
      <c r="P1148">
        <v>0.98907619999999896</v>
      </c>
      <c r="Q1148">
        <v>0.10896459999999999</v>
      </c>
      <c r="R1148">
        <v>9.9273780000000006E-2</v>
      </c>
      <c r="S1148">
        <v>3.033722</v>
      </c>
      <c r="T1148">
        <v>9.6859570000000006E-2</v>
      </c>
      <c r="U1148">
        <v>-0.1133118</v>
      </c>
      <c r="V1148">
        <v>-8.8792179999999998E-2</v>
      </c>
      <c r="W1148">
        <v>0.11993959999999999</v>
      </c>
      <c r="X1148">
        <v>0.98880259999999998</v>
      </c>
      <c r="Y1148">
        <v>4.7877110000000001E-2</v>
      </c>
      <c r="Z1148">
        <v>9.5338360000000002E-4</v>
      </c>
      <c r="AA1148">
        <v>0.99885279999999999</v>
      </c>
      <c r="AB1148">
        <v>28</v>
      </c>
      <c r="AC1148">
        <v>174.1165</v>
      </c>
      <c r="AD1148">
        <v>5.5636599999999996</v>
      </c>
      <c r="AE1148">
        <v>-6.5102999999999698</v>
      </c>
      <c r="AF1148">
        <v>8.3448901536754096</v>
      </c>
      <c r="AG1148">
        <v>5.5636599999999996</v>
      </c>
      <c r="AH1148">
        <v>173.86054272605699</v>
      </c>
      <c r="AI1148">
        <v>88.169226312880895</v>
      </c>
      <c r="AJ1148">
        <v>87.252048563908005</v>
      </c>
      <c r="AK1148">
        <v>174.14959035631301</v>
      </c>
      <c r="AL1148">
        <v>83.111383748850699</v>
      </c>
      <c r="AM1148">
        <v>95.131265440800405</v>
      </c>
      <c r="AN1148">
        <v>1.00000007032203</v>
      </c>
    </row>
    <row r="1149" spans="1:40" x14ac:dyDescent="0.25">
      <c r="A1149" t="str">
        <f>"20190304154744489"</f>
        <v>20190304154744489</v>
      </c>
      <c r="B1149" t="str">
        <f>"1551685664478442"</f>
        <v>1551685664478442</v>
      </c>
      <c r="C1149" t="s">
        <v>40</v>
      </c>
      <c r="D1149">
        <v>4.1588399999999996</v>
      </c>
      <c r="E1149">
        <v>0.55101869999999997</v>
      </c>
      <c r="F1149" t="s">
        <v>43</v>
      </c>
      <c r="G1149">
        <v>-158.83080000000001</v>
      </c>
      <c r="H1149">
        <v>6.6740880000000002</v>
      </c>
      <c r="I1149">
        <v>360.30259999999998</v>
      </c>
      <c r="J1149">
        <v>-333.13869999999997</v>
      </c>
      <c r="K1149">
        <v>1.11043</v>
      </c>
      <c r="L1149">
        <v>366.77199999999999</v>
      </c>
      <c r="M1149">
        <v>0.99988259999999995</v>
      </c>
      <c r="N1149">
        <v>-1.1090879999999999E-2</v>
      </c>
      <c r="O1149">
        <v>1.0587050000000001E-2</v>
      </c>
      <c r="P1149">
        <v>0.98904689999999995</v>
      </c>
      <c r="Q1149">
        <v>0.1091555</v>
      </c>
      <c r="R1149">
        <v>9.9355570000000004E-2</v>
      </c>
      <c r="S1149">
        <v>3.0337519999999998</v>
      </c>
      <c r="T1149">
        <v>9.6740720000000002E-2</v>
      </c>
      <c r="U1149">
        <v>-0.1124573</v>
      </c>
      <c r="V1149">
        <v>-8.8873540000000001E-2</v>
      </c>
      <c r="W1149">
        <v>0.1201328</v>
      </c>
      <c r="X1149">
        <v>0.98877179999999998</v>
      </c>
      <c r="Y1149">
        <v>4.7596109999999997E-2</v>
      </c>
      <c r="Z1149">
        <v>9.490891E-4</v>
      </c>
      <c r="AA1149">
        <v>0.99886620000000004</v>
      </c>
      <c r="AB1149">
        <v>28</v>
      </c>
      <c r="AC1149">
        <v>174.30789999999899</v>
      </c>
      <c r="AD1149">
        <v>5.5636580000000002</v>
      </c>
      <c r="AE1149">
        <v>-6.4694000000000003</v>
      </c>
      <c r="AF1149">
        <v>8.3061064841255998</v>
      </c>
      <c r="AG1149">
        <v>5.5636580000000002</v>
      </c>
      <c r="AH1149">
        <v>174.05255385436601</v>
      </c>
      <c r="AI1149">
        <v>88.171221203119401</v>
      </c>
      <c r="AJ1149">
        <v>87.267813329497798</v>
      </c>
      <c r="AK1149">
        <v>174.33943099165401</v>
      </c>
      <c r="AL1149">
        <v>83.100233332866097</v>
      </c>
      <c r="AM1149">
        <v>95.136101196694099</v>
      </c>
      <c r="AN1149">
        <v>1.0000000341116</v>
      </c>
    </row>
    <row r="1150" spans="1:40" x14ac:dyDescent="0.25">
      <c r="A1150" t="str">
        <f>"20190304154744502"</f>
        <v>20190304154744502</v>
      </c>
      <c r="B1150" t="str">
        <f>"1551685664497962"</f>
        <v>1551685664497962</v>
      </c>
      <c r="C1150" t="s">
        <v>40</v>
      </c>
      <c r="D1150">
        <v>4.1994680000000004</v>
      </c>
      <c r="E1150">
        <v>0.55105990000000005</v>
      </c>
      <c r="F1150" t="s">
        <v>43</v>
      </c>
      <c r="G1150">
        <v>-160.09110000000001</v>
      </c>
      <c r="H1150">
        <v>6.6740880000000002</v>
      </c>
      <c r="I1150">
        <v>360.36259999999999</v>
      </c>
      <c r="J1150">
        <v>-332.97770000000003</v>
      </c>
      <c r="K1150">
        <v>1.1104339999999999</v>
      </c>
      <c r="L1150">
        <v>366.77370000000002</v>
      </c>
      <c r="M1150">
        <v>0.99988250000000001</v>
      </c>
      <c r="N1150">
        <v>-1.1092930000000001E-2</v>
      </c>
      <c r="O1150">
        <v>1.058722E-2</v>
      </c>
      <c r="P1150">
        <v>0.98901559999999999</v>
      </c>
      <c r="Q1150">
        <v>0.10905620000000001</v>
      </c>
      <c r="R1150">
        <v>9.9775050000000004E-2</v>
      </c>
      <c r="S1150">
        <v>3.0337830000000001</v>
      </c>
      <c r="T1150">
        <v>9.7540740000000001E-2</v>
      </c>
      <c r="U1150">
        <v>-0.1123657</v>
      </c>
      <c r="V1150">
        <v>-8.9293259999999999E-2</v>
      </c>
      <c r="W1150">
        <v>0.1200348</v>
      </c>
      <c r="X1150">
        <v>0.98874589999999996</v>
      </c>
      <c r="Y1150">
        <v>4.7565370000000003E-2</v>
      </c>
      <c r="Z1150">
        <v>9.5779199999999995E-4</v>
      </c>
      <c r="AA1150">
        <v>0.99886770000000003</v>
      </c>
      <c r="AB1150">
        <v>28</v>
      </c>
      <c r="AC1150">
        <v>172.88659999999999</v>
      </c>
      <c r="AD1150">
        <v>5.5636539999999997</v>
      </c>
      <c r="AE1150">
        <v>-6.4111000000000304</v>
      </c>
      <c r="AF1150">
        <v>8.2327273796596394</v>
      </c>
      <c r="AG1150">
        <v>5.5636539999999997</v>
      </c>
      <c r="AH1150">
        <v>172.630496368834</v>
      </c>
      <c r="AI1150">
        <v>88.156165370583594</v>
      </c>
      <c r="AJ1150">
        <v>87.269639896703595</v>
      </c>
      <c r="AK1150">
        <v>172.916223421891</v>
      </c>
      <c r="AL1150">
        <v>83.105889336805504</v>
      </c>
      <c r="AM1150">
        <v>95.1603610774565</v>
      </c>
      <c r="AN1150">
        <v>1.00000004712963</v>
      </c>
    </row>
    <row r="1151" spans="1:40" x14ac:dyDescent="0.25">
      <c r="A1151" t="str">
        <f>"20190304154744514"</f>
        <v>20190304154744514</v>
      </c>
      <c r="B1151" t="str">
        <f>"1551685664507722"</f>
        <v>1551685664507722</v>
      </c>
      <c r="C1151" t="s">
        <v>40</v>
      </c>
      <c r="D1151">
        <v>4.1703919999999997</v>
      </c>
      <c r="E1151">
        <v>0.55094030000000005</v>
      </c>
      <c r="F1151" t="s">
        <v>43</v>
      </c>
      <c r="G1151">
        <v>-159.86240000000001</v>
      </c>
      <c r="H1151">
        <v>6.6740880000000002</v>
      </c>
      <c r="I1151">
        <v>360.40030000000002</v>
      </c>
      <c r="J1151">
        <v>-332.83370000000002</v>
      </c>
      <c r="K1151">
        <v>1.1104339999999999</v>
      </c>
      <c r="L1151">
        <v>366.77519999999998</v>
      </c>
      <c r="M1151">
        <v>0.99988250000000001</v>
      </c>
      <c r="N1151">
        <v>-1.109476E-2</v>
      </c>
      <c r="O1151">
        <v>1.058738E-2</v>
      </c>
      <c r="P1151">
        <v>0.98899340000000002</v>
      </c>
      <c r="Q1151">
        <v>0.1089437</v>
      </c>
      <c r="R1151">
        <v>0.100117</v>
      </c>
      <c r="S1151">
        <v>3.0338440000000002</v>
      </c>
      <c r="T1151">
        <v>9.7504499999999994E-2</v>
      </c>
      <c r="U1151">
        <v>-0.1116943</v>
      </c>
      <c r="V1151">
        <v>-8.9635350000000003E-2</v>
      </c>
      <c r="W1151">
        <v>0.119924</v>
      </c>
      <c r="X1151">
        <v>0.9887283</v>
      </c>
      <c r="Y1151">
        <v>4.734414E-2</v>
      </c>
      <c r="Z1151">
        <v>9.5502369999999996E-4</v>
      </c>
      <c r="AA1151">
        <v>0.99887820000000005</v>
      </c>
      <c r="AB1151">
        <v>28</v>
      </c>
      <c r="AC1151">
        <v>172.97130000000001</v>
      </c>
      <c r="AD1151">
        <v>5.5636539999999997</v>
      </c>
      <c r="AE1151">
        <v>-6.3748999999999603</v>
      </c>
      <c r="AF1151">
        <v>8.1974984565384599</v>
      </c>
      <c r="AG1151">
        <v>5.5636539999999997</v>
      </c>
      <c r="AH1151">
        <v>172.71565740973301</v>
      </c>
      <c r="AI1151">
        <v>88.157053997367697</v>
      </c>
      <c r="AJ1151">
        <v>87.282644398632996</v>
      </c>
      <c r="AK1151">
        <v>172.999570927945</v>
      </c>
      <c r="AL1151">
        <v>83.112283273394596</v>
      </c>
      <c r="AM1151">
        <v>95.1801152128902</v>
      </c>
      <c r="AN1151">
        <v>0.99999995648325501</v>
      </c>
    </row>
    <row r="1152" spans="1:40" x14ac:dyDescent="0.25">
      <c r="A1152" t="str">
        <f>"20190304154744525"</f>
        <v>20190304154744525</v>
      </c>
      <c r="B1152" t="str">
        <f>"1551685664517481"</f>
        <v>1551685664517481</v>
      </c>
      <c r="C1152" t="s">
        <v>40</v>
      </c>
      <c r="D1152">
        <v>4.4362019999999998</v>
      </c>
      <c r="E1152">
        <v>0.55094030000000005</v>
      </c>
      <c r="F1152" t="s">
        <v>43</v>
      </c>
      <c r="G1152">
        <v>-158.4186</v>
      </c>
      <c r="H1152">
        <v>6.6740890000000004</v>
      </c>
      <c r="I1152">
        <v>360.47489999999999</v>
      </c>
      <c r="J1152">
        <v>-332.69080000000002</v>
      </c>
      <c r="K1152">
        <v>1.1104339999999999</v>
      </c>
      <c r="L1152">
        <v>366.77670000000001</v>
      </c>
      <c r="M1152">
        <v>0.9998823</v>
      </c>
      <c r="N1152">
        <v>-1.109657E-2</v>
      </c>
      <c r="O1152">
        <v>1.058767E-2</v>
      </c>
      <c r="P1152">
        <v>0.9889618</v>
      </c>
      <c r="Q1152">
        <v>0.10898770000000001</v>
      </c>
      <c r="R1152">
        <v>0.1003802</v>
      </c>
      <c r="S1152">
        <v>3.0337830000000001</v>
      </c>
      <c r="T1152">
        <v>9.6775890000000003E-2</v>
      </c>
      <c r="U1152">
        <v>-0.10958859999999999</v>
      </c>
      <c r="V1152">
        <v>-8.9898859999999997E-2</v>
      </c>
      <c r="W1152">
        <v>0.11996950000000001</v>
      </c>
      <c r="X1152">
        <v>0.98869890000000005</v>
      </c>
      <c r="Y1152">
        <v>4.6653399999999998E-2</v>
      </c>
      <c r="Z1152">
        <v>9.3965870000000003E-4</v>
      </c>
      <c r="AA1152">
        <v>0.99891070000000004</v>
      </c>
      <c r="AB1152">
        <v>28</v>
      </c>
      <c r="AC1152">
        <v>174.2722</v>
      </c>
      <c r="AD1152">
        <v>5.5636549999999998</v>
      </c>
      <c r="AE1152">
        <v>-6.3018000000000098</v>
      </c>
      <c r="AF1152">
        <v>8.1384131007393794</v>
      </c>
      <c r="AG1152">
        <v>5.5636549999999998</v>
      </c>
      <c r="AH1152">
        <v>174.01857512752301</v>
      </c>
      <c r="AI1152">
        <v>88.170783112610494</v>
      </c>
      <c r="AJ1152">
        <v>87.322370864677794</v>
      </c>
      <c r="AK1152">
        <v>174.29759755708301</v>
      </c>
      <c r="AL1152">
        <v>83.109657661194007</v>
      </c>
      <c r="AM1152">
        <v>95.195414143857604</v>
      </c>
      <c r="AN1152">
        <v>1.00000000041037</v>
      </c>
    </row>
    <row r="1153" spans="1:40" x14ac:dyDescent="0.25">
      <c r="A1153" t="str">
        <f>"20190304154744537"</f>
        <v>20190304154744537</v>
      </c>
      <c r="B1153" t="str">
        <f>"1551685664528218"</f>
        <v>1551685664528218</v>
      </c>
      <c r="C1153" t="s">
        <v>40</v>
      </c>
      <c r="D1153">
        <v>4.2608110000000003</v>
      </c>
      <c r="E1153">
        <v>0.52658680000000002</v>
      </c>
      <c r="F1153" t="s">
        <v>43</v>
      </c>
      <c r="G1153">
        <v>-158.6071</v>
      </c>
      <c r="H1153">
        <v>6.6740890000000004</v>
      </c>
      <c r="I1153">
        <v>360.53050000000002</v>
      </c>
      <c r="J1153">
        <v>-332.5471</v>
      </c>
      <c r="K1153">
        <v>1.1104259999999999</v>
      </c>
      <c r="L1153">
        <v>366.77820000000003</v>
      </c>
      <c r="M1153">
        <v>0.9998823</v>
      </c>
      <c r="N1153">
        <v>-1.109838E-2</v>
      </c>
      <c r="O1153">
        <v>1.058766E-2</v>
      </c>
      <c r="P1153">
        <v>0.98892670000000005</v>
      </c>
      <c r="Q1153">
        <v>0.1090184</v>
      </c>
      <c r="R1153">
        <v>0.1006938</v>
      </c>
      <c r="S1153">
        <v>3.0338440000000002</v>
      </c>
      <c r="T1153">
        <v>9.6962090000000001E-2</v>
      </c>
      <c r="U1153">
        <v>-0.1088562</v>
      </c>
      <c r="V1153">
        <v>-9.0212959999999995E-2</v>
      </c>
      <c r="W1153">
        <v>0.1200021</v>
      </c>
      <c r="X1153">
        <v>0.98866639999999995</v>
      </c>
      <c r="Y1153">
        <v>4.6411800000000003E-2</v>
      </c>
      <c r="Z1153">
        <v>9.391817E-4</v>
      </c>
      <c r="AA1153">
        <v>0.99892190000000003</v>
      </c>
      <c r="AB1153">
        <v>28</v>
      </c>
      <c r="AC1153">
        <v>173.94</v>
      </c>
      <c r="AD1153">
        <v>5.563663</v>
      </c>
      <c r="AE1153">
        <v>-6.2477</v>
      </c>
      <c r="AF1153">
        <v>8.0808239570078495</v>
      </c>
      <c r="AG1153">
        <v>5.563663</v>
      </c>
      <c r="AH1153">
        <v>173.68662500367799</v>
      </c>
      <c r="AI1153">
        <v>88.167266213594104</v>
      </c>
      <c r="AJ1153">
        <v>87.336217038047707</v>
      </c>
      <c r="AK1153">
        <v>173.96349550112501</v>
      </c>
      <c r="AL1153">
        <v>83.107776683047305</v>
      </c>
      <c r="AM1153">
        <v>95.213637116394295</v>
      </c>
      <c r="AN1153">
        <v>1.00000006632266</v>
      </c>
    </row>
    <row r="1154" spans="1:40" x14ac:dyDescent="0.25">
      <c r="A1154" t="str">
        <f>"20190304154744546"</f>
        <v>20190304154744546</v>
      </c>
      <c r="B1154" t="str">
        <f>"1551685664537978"</f>
        <v>1551685664537978</v>
      </c>
      <c r="C1154" t="s">
        <v>40</v>
      </c>
      <c r="D1154">
        <v>4.1981900000000003</v>
      </c>
      <c r="E1154">
        <v>0.52082879999999998</v>
      </c>
      <c r="F1154" t="s">
        <v>43</v>
      </c>
      <c r="G1154">
        <v>-158.19499999999999</v>
      </c>
      <c r="H1154">
        <v>3.753422</v>
      </c>
      <c r="I1154">
        <v>371.63749999999999</v>
      </c>
      <c r="J1154">
        <v>-332.41500000000002</v>
      </c>
      <c r="K1154">
        <v>1.110425</v>
      </c>
      <c r="L1154">
        <v>366.77969999999999</v>
      </c>
      <c r="M1154">
        <v>0.9998823</v>
      </c>
      <c r="N1154">
        <v>-1.110004E-2</v>
      </c>
      <c r="O1154">
        <v>1.0587829999999999E-2</v>
      </c>
      <c r="P1154">
        <v>0.98889050000000001</v>
      </c>
      <c r="Q1154">
        <v>0.1089141</v>
      </c>
      <c r="R1154">
        <v>0.1011614</v>
      </c>
      <c r="S1154">
        <v>3.0199889999999998</v>
      </c>
      <c r="T1154">
        <v>4.5781370000000002E-2</v>
      </c>
      <c r="U1154">
        <v>8.4167480000000003E-2</v>
      </c>
      <c r="V1154">
        <v>-9.0680350000000007E-2</v>
      </c>
      <c r="W1154">
        <v>0.1198989</v>
      </c>
      <c r="X1154">
        <v>0.98863610000000002</v>
      </c>
      <c r="Y1154">
        <v>-1.7276489999999999E-2</v>
      </c>
      <c r="Z1154">
        <v>2.429474E-4</v>
      </c>
      <c r="AA1154">
        <v>0.99985069999999998</v>
      </c>
      <c r="AB1154">
        <v>28</v>
      </c>
      <c r="AC1154">
        <v>174.22</v>
      </c>
      <c r="AD1154">
        <v>2.6429969999999998</v>
      </c>
      <c r="AE1154">
        <v>4.8577999999999903</v>
      </c>
      <c r="AF1154">
        <v>-3.0121095385474499</v>
      </c>
      <c r="AG1154">
        <v>2.6429969999999998</v>
      </c>
      <c r="AH1154">
        <v>174.22160534331101</v>
      </c>
      <c r="AI1154">
        <v>89.131001370786194</v>
      </c>
      <c r="AJ1154">
        <v>90.990485487937605</v>
      </c>
      <c r="AK1154">
        <v>174.26768491437099</v>
      </c>
      <c r="AL1154">
        <v>83.113732186419995</v>
      </c>
      <c r="AM1154">
        <v>95.240658484109701</v>
      </c>
      <c r="AN1154">
        <v>1.00000000516027</v>
      </c>
    </row>
    <row r="1155" spans="1:40" x14ac:dyDescent="0.25">
      <c r="A1155" t="str">
        <f>"20190304154744558"</f>
        <v>20190304154744558</v>
      </c>
      <c r="B1155" t="str">
        <f>"1551685664547738"</f>
        <v>1551685664547738</v>
      </c>
      <c r="C1155" t="s">
        <v>40</v>
      </c>
      <c r="D1155">
        <v>4.298489</v>
      </c>
      <c r="E1155">
        <v>0.51987380000000005</v>
      </c>
      <c r="F1155" t="s">
        <v>43</v>
      </c>
      <c r="G1155">
        <v>-158.19499999999999</v>
      </c>
      <c r="H1155">
        <v>2.061159</v>
      </c>
      <c r="I1155">
        <v>374.30070000000001</v>
      </c>
      <c r="J1155">
        <v>-332.28050000000002</v>
      </c>
      <c r="K1155">
        <v>1.1104240000000001</v>
      </c>
      <c r="L1155">
        <v>366.78109999999998</v>
      </c>
      <c r="M1155">
        <v>0.9998823</v>
      </c>
      <c r="N1155">
        <v>-1.1101720000000001E-2</v>
      </c>
      <c r="O1155">
        <v>1.0588E-2</v>
      </c>
      <c r="P1155">
        <v>0.98887069999999999</v>
      </c>
      <c r="Q1155">
        <v>0.1088586</v>
      </c>
      <c r="R1155">
        <v>0.1014135</v>
      </c>
      <c r="S1155">
        <v>3.0185550000000001</v>
      </c>
      <c r="T1155">
        <v>1.6474010000000001E-2</v>
      </c>
      <c r="U1155">
        <v>0.13031010000000001</v>
      </c>
      <c r="V1155">
        <v>-9.0932669999999993E-2</v>
      </c>
      <c r="W1155">
        <v>0.11984499999999999</v>
      </c>
      <c r="X1155">
        <v>0.98861940000000004</v>
      </c>
      <c r="Y1155">
        <v>-3.2550259999999998E-2</v>
      </c>
      <c r="Z1155">
        <v>2.6724250000000001E-4</v>
      </c>
      <c r="AA1155">
        <v>0.99947010000000003</v>
      </c>
      <c r="AB1155">
        <v>28</v>
      </c>
      <c r="AC1155">
        <v>174.0855</v>
      </c>
      <c r="AD1155">
        <v>0.950735</v>
      </c>
      <c r="AE1155">
        <v>7.51960000000002</v>
      </c>
      <c r="AF1155">
        <v>-5.6756785732039496</v>
      </c>
      <c r="AG1155">
        <v>0.950735</v>
      </c>
      <c r="AH1155">
        <v>174.15017844891199</v>
      </c>
      <c r="AI1155">
        <v>89.687375248651406</v>
      </c>
      <c r="AJ1155">
        <v>91.866649632249604</v>
      </c>
      <c r="AK1155">
        <v>174.24523487916201</v>
      </c>
      <c r="AL1155">
        <v>83.116842451593996</v>
      </c>
      <c r="AM1155">
        <v>95.255247469455696</v>
      </c>
      <c r="AN1155">
        <v>0.99999994627734301</v>
      </c>
    </row>
    <row r="1156" spans="1:40" x14ac:dyDescent="0.25">
      <c r="A1156" t="str">
        <f>"20190304154744575"</f>
        <v>20190304154744575</v>
      </c>
      <c r="B1156" t="str">
        <f>"1551685664568233"</f>
        <v>1551685664568233</v>
      </c>
      <c r="C1156" t="s">
        <v>40</v>
      </c>
      <c r="D1156">
        <v>4.175961</v>
      </c>
      <c r="E1156">
        <v>0.51923850000000005</v>
      </c>
      <c r="F1156" t="s">
        <v>43</v>
      </c>
      <c r="G1156">
        <v>-158.19499999999999</v>
      </c>
      <c r="H1156">
        <v>0.88846780000000003</v>
      </c>
      <c r="I1156">
        <v>374.7448</v>
      </c>
      <c r="J1156">
        <v>-332.07639999999998</v>
      </c>
      <c r="K1156">
        <v>1.1104290000000001</v>
      </c>
      <c r="L1156">
        <v>366.7833</v>
      </c>
      <c r="M1156">
        <v>0.9998823</v>
      </c>
      <c r="N1156">
        <v>-1.1104269999999999E-2</v>
      </c>
      <c r="O1156">
        <v>1.0588169999999999E-2</v>
      </c>
      <c r="P1156">
        <v>0.98884850000000002</v>
      </c>
      <c r="Q1156">
        <v>0.10878350000000001</v>
      </c>
      <c r="R1156">
        <v>0.10170990000000001</v>
      </c>
      <c r="S1156">
        <v>3.0199889999999998</v>
      </c>
      <c r="T1156">
        <v>-3.8489100000000001E-3</v>
      </c>
      <c r="U1156">
        <v>0.1381531</v>
      </c>
      <c r="V1156">
        <v>-9.1229060000000001E-2</v>
      </c>
      <c r="W1156">
        <v>0.11977210000000001</v>
      </c>
      <c r="X1156">
        <v>0.98860099999999995</v>
      </c>
      <c r="Y1156">
        <v>-3.511835E-2</v>
      </c>
      <c r="Z1156">
        <v>3.2149629999999999E-4</v>
      </c>
      <c r="AA1156">
        <v>0.99938309999999997</v>
      </c>
      <c r="AB1156">
        <v>28</v>
      </c>
      <c r="AC1156">
        <v>173.88140000000001</v>
      </c>
      <c r="AD1156">
        <v>-0.2219612</v>
      </c>
      <c r="AE1156">
        <v>7.9615</v>
      </c>
      <c r="AF1156">
        <v>-6.1198443868013204</v>
      </c>
      <c r="AG1156">
        <v>-0.2219612</v>
      </c>
      <c r="AH1156">
        <v>173.95567170857899</v>
      </c>
      <c r="AI1156">
        <v>90.073062121436806</v>
      </c>
      <c r="AJ1156">
        <v>92.014862174771395</v>
      </c>
      <c r="AK1156">
        <v>174.063429478095</v>
      </c>
      <c r="AL1156">
        <v>83.121050108984505</v>
      </c>
      <c r="AM1156">
        <v>95.272377858472197</v>
      </c>
      <c r="AN1156">
        <v>1.0000000172639401</v>
      </c>
    </row>
    <row r="1157" spans="1:40" x14ac:dyDescent="0.25">
      <c r="A1157" t="str">
        <f>"20190304154744585"</f>
        <v>20190304154744585</v>
      </c>
      <c r="B1157" t="str">
        <f>"1551685664577994"</f>
        <v>1551685664577994</v>
      </c>
      <c r="C1157" t="s">
        <v>40</v>
      </c>
      <c r="D1157">
        <v>4.201416</v>
      </c>
      <c r="E1157">
        <v>0.51845850000000004</v>
      </c>
      <c r="F1157" t="s">
        <v>43</v>
      </c>
      <c r="G1157">
        <v>-158.19499999999999</v>
      </c>
      <c r="H1157">
        <v>9.3172069999999996E-2</v>
      </c>
      <c r="I1157">
        <v>375.04059999999998</v>
      </c>
      <c r="J1157">
        <v>-331.93349999999998</v>
      </c>
      <c r="K1157">
        <v>1.110425</v>
      </c>
      <c r="L1157">
        <v>366.78480000000002</v>
      </c>
      <c r="M1157">
        <v>0.9998823</v>
      </c>
      <c r="N1157">
        <v>-1.1106029999999999E-2</v>
      </c>
      <c r="O1157">
        <v>1.058828E-2</v>
      </c>
      <c r="P1157">
        <v>0.98878580000000005</v>
      </c>
      <c r="Q1157">
        <v>0.1085354</v>
      </c>
      <c r="R1157">
        <v>0.10258059999999999</v>
      </c>
      <c r="S1157">
        <v>3.0210569999999999</v>
      </c>
      <c r="T1157">
        <v>-1.767254E-2</v>
      </c>
      <c r="U1157">
        <v>0.14346310000000001</v>
      </c>
      <c r="V1157">
        <v>-9.2100559999999998E-2</v>
      </c>
      <c r="W1157">
        <v>0.1195249</v>
      </c>
      <c r="X1157">
        <v>0.98855009999999999</v>
      </c>
      <c r="Y1157">
        <v>-3.6852929999999999E-2</v>
      </c>
      <c r="Z1157">
        <v>3.681429E-4</v>
      </c>
      <c r="AA1157">
        <v>0.9993206</v>
      </c>
      <c r="AB1157">
        <v>28</v>
      </c>
      <c r="AC1157">
        <v>173.73849999999999</v>
      </c>
      <c r="AD1157">
        <v>-1.0172529299999999</v>
      </c>
      <c r="AE1157">
        <v>8.2557999999999598</v>
      </c>
      <c r="AF1157">
        <v>-6.4154124240868198</v>
      </c>
      <c r="AG1157">
        <v>-1.0172529299999999</v>
      </c>
      <c r="AH1157">
        <v>173.81023444680201</v>
      </c>
      <c r="AI1157">
        <v>90.335100942009404</v>
      </c>
      <c r="AJ1157">
        <v>92.1138528870447</v>
      </c>
      <c r="AK1157">
        <v>173.93156676850501</v>
      </c>
      <c r="AL1157">
        <v>83.135316040839697</v>
      </c>
      <c r="AM1157">
        <v>95.322728815621304</v>
      </c>
      <c r="AN1157">
        <v>1.0000000075411599</v>
      </c>
    </row>
    <row r="1158" spans="1:40" x14ac:dyDescent="0.25">
      <c r="A1158" t="str">
        <f>"20190304154744597"</f>
        <v>20190304154744597</v>
      </c>
      <c r="B1158" t="str">
        <f>"1551685664587754"</f>
        <v>1551685664587754</v>
      </c>
      <c r="C1158" t="s">
        <v>40</v>
      </c>
      <c r="D1158">
        <v>4.1599469999999998</v>
      </c>
      <c r="E1158">
        <v>0.51773219999999998</v>
      </c>
      <c r="F1158" t="s">
        <v>53</v>
      </c>
      <c r="G1158">
        <v>-177.11940000000001</v>
      </c>
      <c r="H1158">
        <v>7.9988870000000004E-2</v>
      </c>
      <c r="I1158">
        <v>374.59</v>
      </c>
      <c r="J1158">
        <v>-331.80070000000001</v>
      </c>
      <c r="K1158">
        <v>1.1104290000000001</v>
      </c>
      <c r="L1158">
        <v>366.78620000000001</v>
      </c>
      <c r="M1158">
        <v>0.9998823</v>
      </c>
      <c r="N1158">
        <v>-1.110768E-2</v>
      </c>
      <c r="O1158">
        <v>1.0588449999999999E-2</v>
      </c>
      <c r="P1158">
        <v>0.98878600000000005</v>
      </c>
      <c r="Q1158">
        <v>0.1083065</v>
      </c>
      <c r="R1158">
        <v>0.10282089999999899</v>
      </c>
      <c r="S1158">
        <v>3.0204770000000001</v>
      </c>
      <c r="T1158">
        <v>-2.0104170000000001E-2</v>
      </c>
      <c r="U1158">
        <v>0.15228269999999999</v>
      </c>
      <c r="V1158">
        <v>-9.2340679999999994E-2</v>
      </c>
      <c r="W1158">
        <v>0.11929770000000001</v>
      </c>
      <c r="X1158">
        <v>0.98855510000000002</v>
      </c>
      <c r="Y1158">
        <v>-3.9772080000000001E-2</v>
      </c>
      <c r="Z1158">
        <v>4.0044370000000002E-4</v>
      </c>
      <c r="AA1158">
        <v>0.99920869999999995</v>
      </c>
      <c r="AB1158">
        <v>28</v>
      </c>
      <c r="AC1158">
        <v>154.68129999999999</v>
      </c>
      <c r="AD1158">
        <v>-1.0304401299999999</v>
      </c>
      <c r="AE1158">
        <v>7.8037999999999599</v>
      </c>
      <c r="AF1158">
        <v>-6.16515339827997</v>
      </c>
      <c r="AG1158">
        <v>-1.0304401299999999</v>
      </c>
      <c r="AH1158">
        <v>154.74841283508701</v>
      </c>
      <c r="AI1158">
        <v>90.381213610932306</v>
      </c>
      <c r="AJ1158">
        <v>92.281448665085193</v>
      </c>
      <c r="AK1158">
        <v>154.87460152737901</v>
      </c>
      <c r="AL1158">
        <v>83.148427156457004</v>
      </c>
      <c r="AM1158">
        <v>95.336499119453606</v>
      </c>
      <c r="AN1158">
        <v>0.99999996407208003</v>
      </c>
    </row>
    <row r="1159" spans="1:40" x14ac:dyDescent="0.25">
      <c r="A1159" t="str">
        <f>"20190304154744608"</f>
        <v>20190304154744608</v>
      </c>
      <c r="B1159" t="str">
        <f>"1551685664597514"</f>
        <v>1551685664597514</v>
      </c>
      <c r="C1159" t="s">
        <v>40</v>
      </c>
      <c r="D1159">
        <v>4.1637690000000003</v>
      </c>
      <c r="E1159">
        <v>0.51723640000000004</v>
      </c>
      <c r="F1159" t="s">
        <v>53</v>
      </c>
      <c r="G1159">
        <v>-180</v>
      </c>
      <c r="H1159">
        <v>1.0186860000000001E-2</v>
      </c>
      <c r="I1159">
        <v>374.76299999999998</v>
      </c>
      <c r="J1159">
        <v>-331.66460000000001</v>
      </c>
      <c r="K1159">
        <v>1.11043</v>
      </c>
      <c r="L1159">
        <v>366.7876</v>
      </c>
      <c r="M1159">
        <v>0.9998823</v>
      </c>
      <c r="N1159">
        <v>-1.110935E-2</v>
      </c>
      <c r="O1159">
        <v>1.0588439999999999E-2</v>
      </c>
      <c r="P1159">
        <v>0.98874930000000005</v>
      </c>
      <c r="Q1159">
        <v>0.1083397</v>
      </c>
      <c r="R1159">
        <v>0.1031383</v>
      </c>
      <c r="S1159">
        <v>3.0199280000000002</v>
      </c>
      <c r="T1159">
        <v>-2.188826E-2</v>
      </c>
      <c r="U1159">
        <v>0.15869140000000001</v>
      </c>
      <c r="V1159">
        <v>-9.2658000000000004E-2</v>
      </c>
      <c r="W1159">
        <v>0.1193327</v>
      </c>
      <c r="X1159">
        <v>0.98852119999999999</v>
      </c>
      <c r="Y1159">
        <v>-4.189553E-2</v>
      </c>
      <c r="Z1159">
        <v>4.2549260000000001E-4</v>
      </c>
      <c r="AA1159">
        <v>0.99912190000000001</v>
      </c>
      <c r="AB1159">
        <v>28</v>
      </c>
      <c r="AC1159">
        <v>151.66460000000001</v>
      </c>
      <c r="AD1159">
        <v>-1.1002431399999999</v>
      </c>
      <c r="AE1159">
        <v>7.9754000000000298</v>
      </c>
      <c r="AF1159">
        <v>-6.3686281069942101</v>
      </c>
      <c r="AG1159">
        <v>-1.1002431399999999</v>
      </c>
      <c r="AH1159">
        <v>151.73258580476599</v>
      </c>
      <c r="AI1159">
        <v>90.415090344257294</v>
      </c>
      <c r="AJ1159">
        <v>92.403448516037002</v>
      </c>
      <c r="AK1159">
        <v>151.87016676731801</v>
      </c>
      <c r="AL1159">
        <v>83.146407489131605</v>
      </c>
      <c r="AM1159">
        <v>95.354913643824105</v>
      </c>
      <c r="AN1159">
        <v>0.99999998055136397</v>
      </c>
    </row>
    <row r="1160" spans="1:40" x14ac:dyDescent="0.25">
      <c r="A1160" t="str">
        <f>"20190304154744618"</f>
        <v>20190304154744618</v>
      </c>
      <c r="B1160" t="str">
        <f>"1551685664608251"</f>
        <v>1551685664608251</v>
      </c>
      <c r="C1160" t="s">
        <v>40</v>
      </c>
      <c r="D1160">
        <v>4.1816750000000003</v>
      </c>
      <c r="E1160">
        <v>0.5168971</v>
      </c>
      <c r="F1160" t="s">
        <v>53</v>
      </c>
      <c r="G1160">
        <v>-180</v>
      </c>
      <c r="H1160">
        <v>3.5162660000000001E-3</v>
      </c>
      <c r="I1160">
        <v>375.00839999999999</v>
      </c>
      <c r="J1160">
        <v>-331.52749999999997</v>
      </c>
      <c r="K1160">
        <v>1.11043</v>
      </c>
      <c r="L1160">
        <v>366.78910000000002</v>
      </c>
      <c r="M1160">
        <v>0.9998823</v>
      </c>
      <c r="N1160">
        <v>-1.1111029999999999E-2</v>
      </c>
      <c r="O1160">
        <v>1.0588429999999999E-2</v>
      </c>
      <c r="P1160">
        <v>0.98869739999999995</v>
      </c>
      <c r="Q1160">
        <v>0.108583</v>
      </c>
      <c r="R1160">
        <v>0.10338029999999999</v>
      </c>
      <c r="S1160">
        <v>3.0194700000000001</v>
      </c>
      <c r="T1160">
        <v>-2.203739E-2</v>
      </c>
      <c r="U1160">
        <v>0.1636658</v>
      </c>
      <c r="V1160">
        <v>-9.2900830000000004E-2</v>
      </c>
      <c r="W1160">
        <v>0.119577</v>
      </c>
      <c r="X1160">
        <v>0.98846889999999998</v>
      </c>
      <c r="Y1160">
        <v>-4.3544579999999999E-2</v>
      </c>
      <c r="Z1160">
        <v>4.4125240000000002E-4</v>
      </c>
      <c r="AA1160">
        <v>0.99905140000000003</v>
      </c>
      <c r="AB1160">
        <v>28</v>
      </c>
      <c r="AC1160">
        <v>151.52749999999901</v>
      </c>
      <c r="AD1160">
        <v>-1.1069137339999999</v>
      </c>
      <c r="AE1160">
        <v>8.2192999999999703</v>
      </c>
      <c r="AF1160">
        <v>-6.6139500425476196</v>
      </c>
      <c r="AG1160">
        <v>-1.1069137339999999</v>
      </c>
      <c r="AH1160">
        <v>151.59797324868299</v>
      </c>
      <c r="AI1160">
        <v>90.4179481239821</v>
      </c>
      <c r="AJ1160">
        <v>92.498128798519005</v>
      </c>
      <c r="AK1160">
        <v>151.746219347595</v>
      </c>
      <c r="AL1160">
        <v>83.132309278510107</v>
      </c>
      <c r="AM1160">
        <v>95.369147843063004</v>
      </c>
      <c r="AN1160">
        <v>0.99999999470544898</v>
      </c>
    </row>
    <row r="1161" spans="1:40" x14ac:dyDescent="0.25">
      <c r="A1161" t="str">
        <f>"20190304154744630"</f>
        <v>20190304154744630</v>
      </c>
      <c r="B1161" t="str">
        <f>"1551685664627559"</f>
        <v>1551685664627559</v>
      </c>
      <c r="C1161" t="s">
        <v>40</v>
      </c>
      <c r="D1161">
        <v>4.1595940000000002</v>
      </c>
      <c r="E1161">
        <v>0.51648179999999999</v>
      </c>
      <c r="F1161" t="s">
        <v>53</v>
      </c>
      <c r="G1161">
        <v>-179.99539999999999</v>
      </c>
      <c r="H1161">
        <v>5.4565490000000001E-2</v>
      </c>
      <c r="I1161">
        <v>375.17509999999999</v>
      </c>
      <c r="J1161">
        <v>-331.38529999999997</v>
      </c>
      <c r="K1161">
        <v>1.1104309999999999</v>
      </c>
      <c r="L1161">
        <v>366.79059999999998</v>
      </c>
      <c r="M1161">
        <v>0.9998823</v>
      </c>
      <c r="N1161">
        <v>-1.1112759999999999E-2</v>
      </c>
      <c r="O1161">
        <v>1.0588419999999999E-2</v>
      </c>
      <c r="P1161">
        <v>0.98871109999999895</v>
      </c>
      <c r="Q1161">
        <v>0.10837860000000001</v>
      </c>
      <c r="R1161">
        <v>0.1034646</v>
      </c>
      <c r="S1161">
        <v>3.0191349999999999</v>
      </c>
      <c r="T1161">
        <v>-2.10371E-2</v>
      </c>
      <c r="U1161">
        <v>0.1670837</v>
      </c>
      <c r="V1161">
        <v>-9.2985120000000004E-2</v>
      </c>
      <c r="W1161">
        <v>0.11937440000000001</v>
      </c>
      <c r="X1161">
        <v>0.98848550000000002</v>
      </c>
      <c r="Y1161">
        <v>-4.4678339999999997E-2</v>
      </c>
      <c r="Z1161">
        <v>4.478676E-4</v>
      </c>
      <c r="AA1161">
        <v>0.99900129999999998</v>
      </c>
      <c r="AB1161">
        <v>28</v>
      </c>
      <c r="AC1161">
        <v>151.38989999999899</v>
      </c>
      <c r="AD1161">
        <v>-1.0558655099999901</v>
      </c>
      <c r="AE1161">
        <v>8.3844999999999992</v>
      </c>
      <c r="AF1161">
        <v>-6.7806224377944204</v>
      </c>
      <c r="AG1161">
        <v>-1.0558655099999901</v>
      </c>
      <c r="AH1161">
        <v>151.462851154492</v>
      </c>
      <c r="AI1161">
        <v>90.399009587213996</v>
      </c>
      <c r="AJ1161">
        <v>92.563280835651398</v>
      </c>
      <c r="AK1161">
        <v>151.61822770520399</v>
      </c>
      <c r="AL1161">
        <v>83.144001406575697</v>
      </c>
      <c r="AM1161">
        <v>95.373901106532102</v>
      </c>
      <c r="AN1161">
        <v>1.00000003181351</v>
      </c>
    </row>
    <row r="1162" spans="1:40" x14ac:dyDescent="0.25">
      <c r="A1162" t="str">
        <f>"20190304154744642"</f>
        <v>20190304154744642</v>
      </c>
      <c r="B1162" t="str">
        <f>"1551685664638296"</f>
        <v>1551685664638296</v>
      </c>
      <c r="C1162" t="s">
        <v>40</v>
      </c>
      <c r="D1162">
        <v>4.2642730000000002</v>
      </c>
      <c r="E1162">
        <v>0.51679160000000002</v>
      </c>
      <c r="F1162" t="s">
        <v>53</v>
      </c>
      <c r="G1162">
        <v>-178.99440000000001</v>
      </c>
      <c r="H1162">
        <v>7.9989030000000003E-2</v>
      </c>
      <c r="I1162">
        <v>375.39350000000002</v>
      </c>
      <c r="J1162">
        <v>-331.24610000000001</v>
      </c>
      <c r="K1162">
        <v>1.1104290000000001</v>
      </c>
      <c r="L1162">
        <v>366.7921</v>
      </c>
      <c r="M1162">
        <v>0.99988220000000005</v>
      </c>
      <c r="N1162">
        <v>-1.1114499999999999E-2</v>
      </c>
      <c r="O1162">
        <v>1.058775E-2</v>
      </c>
      <c r="P1162">
        <v>0.98868429999999996</v>
      </c>
      <c r="Q1162">
        <v>0.10859439999999999</v>
      </c>
      <c r="R1162">
        <v>0.1034931</v>
      </c>
      <c r="S1162">
        <v>3.0186160000000002</v>
      </c>
      <c r="T1162">
        <v>-2.0411370000000002E-2</v>
      </c>
      <c r="U1162">
        <v>0.17041020000000001</v>
      </c>
      <c r="V1162">
        <v>-9.3014260000000001E-2</v>
      </c>
      <c r="W1162">
        <v>0.1195917</v>
      </c>
      <c r="X1162">
        <v>0.98845649999999996</v>
      </c>
      <c r="Y1162">
        <v>-4.5785949999999999E-2</v>
      </c>
      <c r="Z1162">
        <v>4.55406E-4</v>
      </c>
      <c r="AA1162">
        <v>0.99895120000000004</v>
      </c>
      <c r="AB1162">
        <v>28</v>
      </c>
      <c r="AC1162">
        <v>152.2517</v>
      </c>
      <c r="AD1162">
        <v>-1.03043997</v>
      </c>
      <c r="AE1162">
        <v>8.6014000000000106</v>
      </c>
      <c r="AF1162">
        <v>-6.9884962453315698</v>
      </c>
      <c r="AG1162">
        <v>-1.03043997</v>
      </c>
      <c r="AH1162">
        <v>152.327284776737</v>
      </c>
      <c r="AI1162">
        <v>90.387172448406304</v>
      </c>
      <c r="AJ1162">
        <v>92.626783280751297</v>
      </c>
      <c r="AK1162">
        <v>152.49099177904199</v>
      </c>
      <c r="AL1162">
        <v>83.131461254376802</v>
      </c>
      <c r="AM1162">
        <v>95.375732122786602</v>
      </c>
      <c r="AN1162">
        <v>1.00000003983224</v>
      </c>
    </row>
    <row r="1163" spans="1:40" x14ac:dyDescent="0.25">
      <c r="A1163" t="str">
        <f>"20190304154744653"</f>
        <v>20190304154744653</v>
      </c>
      <c r="B1163" t="str">
        <f>"1551685664648054"</f>
        <v>1551685664648054</v>
      </c>
      <c r="C1163" t="s">
        <v>40</v>
      </c>
      <c r="D1163">
        <v>4.1713100000000001</v>
      </c>
      <c r="E1163">
        <v>0.51657739999999996</v>
      </c>
      <c r="F1163" t="s">
        <v>53</v>
      </c>
      <c r="G1163">
        <v>-180</v>
      </c>
      <c r="H1163">
        <v>2.4894280000000001E-2</v>
      </c>
      <c r="I1163">
        <v>375.21730000000002</v>
      </c>
      <c r="J1163">
        <v>-331.10419999999999</v>
      </c>
      <c r="K1163">
        <v>1.1104290000000001</v>
      </c>
      <c r="L1163">
        <v>366.79349999999999</v>
      </c>
      <c r="M1163">
        <v>0.9998823</v>
      </c>
      <c r="N1163">
        <v>-1.1116289999999999E-2</v>
      </c>
      <c r="O1163">
        <v>1.0586419999999999E-2</v>
      </c>
      <c r="P1163">
        <v>0.98868400000000001</v>
      </c>
      <c r="Q1163">
        <v>0.10864119999999999</v>
      </c>
      <c r="R1163">
        <v>0.1034461</v>
      </c>
      <c r="S1163">
        <v>3.0191349999999999</v>
      </c>
      <c r="T1163">
        <v>-2.1669150000000002E-2</v>
      </c>
      <c r="U1163">
        <v>0.16818239999999901</v>
      </c>
      <c r="V1163">
        <v>-9.2968460000000003E-2</v>
      </c>
      <c r="W1163">
        <v>0.11964039999999999</v>
      </c>
      <c r="X1163">
        <v>0.98845490000000003</v>
      </c>
      <c r="Y1163">
        <v>-4.5042600000000002E-2</v>
      </c>
      <c r="Z1163">
        <v>4.5376770000000002E-4</v>
      </c>
      <c r="AA1163">
        <v>0.99898500000000001</v>
      </c>
      <c r="AB1163">
        <v>28</v>
      </c>
      <c r="AC1163">
        <v>151.10419999999999</v>
      </c>
      <c r="AD1163">
        <v>-1.0855347200000001</v>
      </c>
      <c r="AE1163">
        <v>8.4238000000000195</v>
      </c>
      <c r="AF1163">
        <v>-6.8232256714833701</v>
      </c>
      <c r="AG1163">
        <v>-1.0855347200000001</v>
      </c>
      <c r="AH1163">
        <v>151.17713671759699</v>
      </c>
      <c r="AI1163">
        <v>90.410989655689605</v>
      </c>
      <c r="AJ1163">
        <v>92.584232685973205</v>
      </c>
      <c r="AK1163">
        <v>151.33493139498</v>
      </c>
      <c r="AL1163">
        <v>83.128650666225994</v>
      </c>
      <c r="AM1163">
        <v>95.373109267191694</v>
      </c>
      <c r="AN1163">
        <v>1.0000000246004701</v>
      </c>
    </row>
    <row r="1164" spans="1:40" x14ac:dyDescent="0.25">
      <c r="A1164" t="str">
        <f>"20190304154744665"</f>
        <v>20190304154744665</v>
      </c>
      <c r="B1164" t="str">
        <f>"1551685664657814"</f>
        <v>1551685664657814</v>
      </c>
      <c r="C1164" t="s">
        <v>40</v>
      </c>
      <c r="D1164">
        <v>4.1555070000000001</v>
      </c>
      <c r="E1164">
        <v>0.5164164</v>
      </c>
      <c r="F1164" t="s">
        <v>53</v>
      </c>
      <c r="G1164">
        <v>-180</v>
      </c>
      <c r="H1164">
        <v>4.4815880000000002E-2</v>
      </c>
      <c r="I1164">
        <v>375.28320000000002</v>
      </c>
      <c r="J1164">
        <v>-330.9522</v>
      </c>
      <c r="K1164">
        <v>1.1104229999999999</v>
      </c>
      <c r="L1164">
        <v>366.79509999999999</v>
      </c>
      <c r="M1164">
        <v>0.9998823</v>
      </c>
      <c r="N1164">
        <v>-1.1118309999999999E-2</v>
      </c>
      <c r="O1164">
        <v>1.058251E-2</v>
      </c>
      <c r="P1164">
        <v>0.98869320000000005</v>
      </c>
      <c r="Q1164">
        <v>0.10862089999999899</v>
      </c>
      <c r="R1164">
        <v>0.1033791</v>
      </c>
      <c r="S1164">
        <v>3.0189210000000002</v>
      </c>
      <c r="T1164">
        <v>-2.128994E-2</v>
      </c>
      <c r="U1164">
        <v>0.16961670000000001</v>
      </c>
      <c r="V1164">
        <v>-9.2905020000000005E-2</v>
      </c>
      <c r="W1164">
        <v>0.11962250000000001</v>
      </c>
      <c r="X1164">
        <v>0.98846299999999998</v>
      </c>
      <c r="Y1164">
        <v>-4.5523620000000001E-2</v>
      </c>
      <c r="Z1164">
        <v>4.5669809999999999E-4</v>
      </c>
      <c r="AA1164">
        <v>0.99896320000000005</v>
      </c>
      <c r="AB1164">
        <v>28</v>
      </c>
      <c r="AC1164">
        <v>150.9522</v>
      </c>
      <c r="AD1164">
        <v>-1.0656071199999999</v>
      </c>
      <c r="AE1164">
        <v>8.4881000000000295</v>
      </c>
      <c r="AF1164">
        <v>-6.8897306511561904</v>
      </c>
      <c r="AG1164">
        <v>-1.0656071199999999</v>
      </c>
      <c r="AH1164">
        <v>151.02607480216099</v>
      </c>
      <c r="AI1164">
        <v>90.403839853365398</v>
      </c>
      <c r="AJ1164">
        <v>92.611992568906203</v>
      </c>
      <c r="AK1164">
        <v>151.18690147340001</v>
      </c>
      <c r="AL1164">
        <v>83.129683466799406</v>
      </c>
      <c r="AM1164">
        <v>95.369420448160099</v>
      </c>
      <c r="AN1164">
        <v>0.99999999380822502</v>
      </c>
    </row>
    <row r="1165" spans="1:40" x14ac:dyDescent="0.25">
      <c r="A1165" t="str">
        <f>"20190304154744678"</f>
        <v>20190304154744678</v>
      </c>
      <c r="B1165" t="str">
        <f>"1551685664667574"</f>
        <v>1551685664667574</v>
      </c>
      <c r="C1165" t="s">
        <v>40</v>
      </c>
      <c r="D1165">
        <v>4.1752779999999996</v>
      </c>
      <c r="E1165">
        <v>0.51624479999999995</v>
      </c>
      <c r="F1165" t="s">
        <v>53</v>
      </c>
      <c r="G1165">
        <v>-179.99090000000001</v>
      </c>
      <c r="H1165">
        <v>5.9063289999999997E-2</v>
      </c>
      <c r="I1165">
        <v>375.3306</v>
      </c>
      <c r="J1165">
        <v>-330.80040000000002</v>
      </c>
      <c r="K1165">
        <v>1.1104210000000001</v>
      </c>
      <c r="L1165">
        <v>366.79669999999999</v>
      </c>
      <c r="M1165">
        <v>0.99988220000000005</v>
      </c>
      <c r="N1165">
        <v>-1.112022E-2</v>
      </c>
      <c r="O1165">
        <v>1.057692E-2</v>
      </c>
      <c r="P1165">
        <v>0.98868330000000004</v>
      </c>
      <c r="Q1165">
        <v>0.10865329999999999</v>
      </c>
      <c r="R1165">
        <v>0.1034405</v>
      </c>
      <c r="S1165">
        <v>3.018799</v>
      </c>
      <c r="T1165">
        <v>-2.1024230000000001E-2</v>
      </c>
      <c r="U1165">
        <v>0.1706848</v>
      </c>
      <c r="V1165">
        <v>-9.2971090000000006E-2</v>
      </c>
      <c r="W1165">
        <v>0.119657</v>
      </c>
      <c r="X1165">
        <v>0.98845260000000001</v>
      </c>
      <c r="Y1165">
        <v>-4.5883819999999999E-2</v>
      </c>
      <c r="Z1165">
        <v>4.589293E-4</v>
      </c>
      <c r="AA1165">
        <v>0.99894669999999997</v>
      </c>
      <c r="AB1165">
        <v>28</v>
      </c>
      <c r="AC1165">
        <v>150.80950000000001</v>
      </c>
      <c r="AD1165">
        <v>-1.05135770999999</v>
      </c>
      <c r="AE1165">
        <v>8.5339000000000098</v>
      </c>
      <c r="AF1165">
        <v>-6.9378877731289297</v>
      </c>
      <c r="AG1165">
        <v>-1.05135770999999</v>
      </c>
      <c r="AH1165">
        <v>150.884021378266</v>
      </c>
      <c r="AI1165">
        <v>90.398808348304698</v>
      </c>
      <c r="AJ1165">
        <v>92.632696858554496</v>
      </c>
      <c r="AK1165">
        <v>151.04710373609899</v>
      </c>
      <c r="AL1165">
        <v>83.127692379065905</v>
      </c>
      <c r="AM1165">
        <v>95.373272808014406</v>
      </c>
      <c r="AN1165">
        <v>0.99999998183577399</v>
      </c>
    </row>
    <row r="1166" spans="1:40" x14ac:dyDescent="0.25">
      <c r="A1166" t="str">
        <f>"20190304154744690"</f>
        <v>20190304154744690</v>
      </c>
      <c r="B1166" t="str">
        <f>"1551685664688071"</f>
        <v>1551685664688071</v>
      </c>
      <c r="C1166" t="s">
        <v>40</v>
      </c>
      <c r="D1166">
        <v>4.5906929999999999</v>
      </c>
      <c r="E1166">
        <v>0.51625279999999996</v>
      </c>
      <c r="F1166" t="s">
        <v>53</v>
      </c>
      <c r="G1166">
        <v>-179.97</v>
      </c>
      <c r="H1166">
        <v>7.994859E-2</v>
      </c>
      <c r="I1166">
        <v>375.4169</v>
      </c>
      <c r="J1166">
        <v>-330.6397</v>
      </c>
      <c r="K1166">
        <v>1.1104179999999999</v>
      </c>
      <c r="L1166">
        <v>366.79840000000002</v>
      </c>
      <c r="M1166">
        <v>0.9998823</v>
      </c>
      <c r="N1166">
        <v>-1.1122150000000001E-2</v>
      </c>
      <c r="O1166">
        <v>1.056882E-2</v>
      </c>
      <c r="P1166">
        <v>0.98868389999999995</v>
      </c>
      <c r="Q1166">
        <v>0.1089442</v>
      </c>
      <c r="R1166">
        <v>0.1031272</v>
      </c>
      <c r="S1166">
        <v>3.0185849999999999</v>
      </c>
      <c r="T1166">
        <v>-2.0622970000000001E-2</v>
      </c>
      <c r="U1166">
        <v>0.1725159</v>
      </c>
      <c r="V1166">
        <v>-9.2664730000000001E-2</v>
      </c>
      <c r="W1166">
        <v>0.1199505</v>
      </c>
      <c r="X1166">
        <v>0.98844580000000004</v>
      </c>
      <c r="Y1166">
        <v>-4.6499939999999997E-2</v>
      </c>
      <c r="Z1166">
        <v>4.6285579999999997E-4</v>
      </c>
      <c r="AA1166">
        <v>0.99891819999999998</v>
      </c>
      <c r="AB1166">
        <v>28</v>
      </c>
      <c r="AC1166">
        <v>150.66970000000001</v>
      </c>
      <c r="AD1166">
        <v>-1.03046941</v>
      </c>
      <c r="AE1166">
        <v>8.6184999999999796</v>
      </c>
      <c r="AF1166">
        <v>-7.02519162198048</v>
      </c>
      <c r="AG1166">
        <v>-1.03046941</v>
      </c>
      <c r="AH1166">
        <v>150.74534864173199</v>
      </c>
      <c r="AI1166">
        <v>90.391233439446196</v>
      </c>
      <c r="AJ1166">
        <v>92.668227006455098</v>
      </c>
      <c r="AK1166">
        <v>150.91247569915399</v>
      </c>
      <c r="AL1166">
        <v>83.110754107174003</v>
      </c>
      <c r="AM1166">
        <v>95.355706458723503</v>
      </c>
      <c r="AN1166">
        <v>0.99999998708693105</v>
      </c>
    </row>
    <row r="1167" spans="1:40" x14ac:dyDescent="0.25">
      <c r="A1167" t="str">
        <f>"20190304154744703"</f>
        <v>20190304154744703</v>
      </c>
      <c r="B1167" t="str">
        <f>"1551685664697831"</f>
        <v>1551685664697831</v>
      </c>
      <c r="C1167" t="s">
        <v>40</v>
      </c>
      <c r="D1167">
        <v>4.168882</v>
      </c>
      <c r="E1167">
        <v>0.51623999999999903</v>
      </c>
      <c r="F1167" t="s">
        <v>43</v>
      </c>
      <c r="G1167">
        <v>-158.19499999999999</v>
      </c>
      <c r="H1167">
        <v>0.1568727</v>
      </c>
      <c r="I1167">
        <v>376.58839999999998</v>
      </c>
      <c r="J1167">
        <v>-330.48939999999999</v>
      </c>
      <c r="K1167">
        <v>1.110417</v>
      </c>
      <c r="L1167">
        <v>366.8</v>
      </c>
      <c r="M1167">
        <v>0.99988239999999995</v>
      </c>
      <c r="N1167">
        <v>-1.1123879999999999E-2</v>
      </c>
      <c r="O1167">
        <v>1.0557189999999999E-2</v>
      </c>
      <c r="P1167">
        <v>0.98867490000000002</v>
      </c>
      <c r="Q1167">
        <v>0.1090733</v>
      </c>
      <c r="R1167">
        <v>0.1030785</v>
      </c>
      <c r="S1167">
        <v>3.0183409999999999</v>
      </c>
      <c r="T1167">
        <v>-1.668859E-2</v>
      </c>
      <c r="U1167">
        <v>0.17135619999999999</v>
      </c>
      <c r="V1167">
        <v>-9.2626470000000002E-2</v>
      </c>
      <c r="W1167">
        <v>0.1200821</v>
      </c>
      <c r="X1167">
        <v>0.98843340000000002</v>
      </c>
      <c r="Y1167">
        <v>-4.6134399999999999E-2</v>
      </c>
      <c r="Z1167">
        <v>4.4329219999999998E-4</v>
      </c>
      <c r="AA1167">
        <v>0.99893520000000002</v>
      </c>
      <c r="AB1167">
        <v>28</v>
      </c>
      <c r="AC1167">
        <v>172.2944</v>
      </c>
      <c r="AD1167">
        <v>-0.95354430000000001</v>
      </c>
      <c r="AE1167">
        <v>9.7883999999999602</v>
      </c>
      <c r="AF1167">
        <v>-7.9685538926071002</v>
      </c>
      <c r="AG1167">
        <v>-0.95354430000000001</v>
      </c>
      <c r="AH1167">
        <v>172.38287845547001</v>
      </c>
      <c r="AI1167">
        <v>90.316593100421699</v>
      </c>
      <c r="AJ1167">
        <v>92.646664949662494</v>
      </c>
      <c r="AK1167">
        <v>172.569591418838</v>
      </c>
      <c r="AL1167">
        <v>83.103159035678104</v>
      </c>
      <c r="AM1167">
        <v>95.353574781302797</v>
      </c>
      <c r="AN1167">
        <v>0.99999997996031498</v>
      </c>
    </row>
    <row r="1168" spans="1:40" x14ac:dyDescent="0.25">
      <c r="A1168" t="str">
        <f>"20190304154744716"</f>
        <v>20190304154744716</v>
      </c>
      <c r="B1168" t="str">
        <f>"1551685664707591"</f>
        <v>1551685664707591</v>
      </c>
      <c r="C1168" t="s">
        <v>40</v>
      </c>
      <c r="D1168">
        <v>4.1715429999999998</v>
      </c>
      <c r="E1168">
        <v>0.51613249999999999</v>
      </c>
      <c r="F1168" t="s">
        <v>43</v>
      </c>
      <c r="G1168">
        <v>-158.19499999999999</v>
      </c>
      <c r="H1168">
        <v>0.20986179999999999</v>
      </c>
      <c r="I1168">
        <v>376.57650000000001</v>
      </c>
      <c r="J1168">
        <v>-330.32429999999999</v>
      </c>
      <c r="K1168">
        <v>1.110414</v>
      </c>
      <c r="L1168">
        <v>366.80180000000001</v>
      </c>
      <c r="M1168">
        <v>0.99988259999999995</v>
      </c>
      <c r="N1168">
        <v>-1.112576E-2</v>
      </c>
      <c r="O1168">
        <v>1.054216E-2</v>
      </c>
      <c r="P1168">
        <v>0.98867769999999999</v>
      </c>
      <c r="Q1168">
        <v>0.109153399999999</v>
      </c>
      <c r="R1168">
        <v>0.1029682</v>
      </c>
      <c r="S1168">
        <v>3.0182500000000001</v>
      </c>
      <c r="T1168">
        <v>-1.5774369999999999E-2</v>
      </c>
      <c r="U1168">
        <v>0.17126459999999999</v>
      </c>
      <c r="V1168">
        <v>-9.2529860000000005E-2</v>
      </c>
      <c r="W1168">
        <v>0.12016540000000001</v>
      </c>
      <c r="X1168">
        <v>0.98843230000000004</v>
      </c>
      <c r="Y1168">
        <v>-4.6121099999999998E-2</v>
      </c>
      <c r="Z1168">
        <v>4.3937320000000002E-4</v>
      </c>
      <c r="AA1168">
        <v>0.99893580000000004</v>
      </c>
      <c r="AB1168">
        <v>28</v>
      </c>
      <c r="AC1168">
        <v>172.1293</v>
      </c>
      <c r="AD1168">
        <v>-0.90055219999999903</v>
      </c>
      <c r="AE1168">
        <v>9.7746999999999904</v>
      </c>
      <c r="AF1168">
        <v>-7.9592127721288897</v>
      </c>
      <c r="AG1168">
        <v>-0.90055219999999903</v>
      </c>
      <c r="AH1168">
        <v>172.21808757641401</v>
      </c>
      <c r="AI1168">
        <v>90.299285378251895</v>
      </c>
      <c r="AJ1168">
        <v>92.646092770865806</v>
      </c>
      <c r="AK1168">
        <v>172.404262565327</v>
      </c>
      <c r="AL1168">
        <v>83.098351312322905</v>
      </c>
      <c r="AM1168">
        <v>95.348029278580398</v>
      </c>
      <c r="AN1168">
        <v>0.999999955016033</v>
      </c>
    </row>
    <row r="1169" spans="1:40" x14ac:dyDescent="0.25">
      <c r="A1169" t="str">
        <f>"20190304154744726"</f>
        <v>20190304154744726</v>
      </c>
      <c r="B1169" t="str">
        <f>"1551685664718327"</f>
        <v>1551685664718327</v>
      </c>
      <c r="C1169" t="s">
        <v>40</v>
      </c>
      <c r="D1169">
        <v>4.1616910000000003</v>
      </c>
      <c r="E1169">
        <v>0.51600440000000003</v>
      </c>
      <c r="F1169" t="s">
        <v>43</v>
      </c>
      <c r="G1169">
        <v>-158.19499999999999</v>
      </c>
      <c r="H1169">
        <v>0.21717020000000001</v>
      </c>
      <c r="I1169">
        <v>376.58640000000003</v>
      </c>
      <c r="J1169">
        <v>-330.18720000000002</v>
      </c>
      <c r="K1169">
        <v>1.110409</v>
      </c>
      <c r="L1169">
        <v>366.8032</v>
      </c>
      <c r="M1169">
        <v>0.99988279999999996</v>
      </c>
      <c r="N1169">
        <v>-1.112729E-2</v>
      </c>
      <c r="O1169">
        <v>1.052701E-2</v>
      </c>
      <c r="P1169">
        <v>0.98864819999999998</v>
      </c>
      <c r="Q1169">
        <v>0.10952729999999999</v>
      </c>
      <c r="R1169">
        <v>0.10285320000000001</v>
      </c>
      <c r="S1169">
        <v>3.0182190000000002</v>
      </c>
      <c r="T1169">
        <v>-1.5661120000000001E-2</v>
      </c>
      <c r="U1169">
        <v>0.17156979999999999</v>
      </c>
      <c r="V1169">
        <v>-9.2428510000000005E-2</v>
      </c>
      <c r="W1169">
        <v>0.1205413</v>
      </c>
      <c r="X1169">
        <v>0.98839600000000005</v>
      </c>
      <c r="Y1169">
        <v>-4.6237500000000001E-2</v>
      </c>
      <c r="Z1169">
        <v>4.3981579999999998E-4</v>
      </c>
      <c r="AA1169">
        <v>0.9989304</v>
      </c>
      <c r="AB1169">
        <v>28</v>
      </c>
      <c r="AC1169">
        <v>171.9922</v>
      </c>
      <c r="AD1169">
        <v>-0.8932388</v>
      </c>
      <c r="AE1169">
        <v>9.7832000000000203</v>
      </c>
      <c r="AF1169">
        <v>-7.97176803379676</v>
      </c>
      <c r="AG1169">
        <v>-0.8932388</v>
      </c>
      <c r="AH1169">
        <v>172.08103640651001</v>
      </c>
      <c r="AI1169">
        <v>90.297089835569295</v>
      </c>
      <c r="AJ1169">
        <v>92.652368648252704</v>
      </c>
      <c r="AK1169">
        <v>172.26790197792801</v>
      </c>
      <c r="AL1169">
        <v>83.076656048797801</v>
      </c>
      <c r="AM1169">
        <v>95.342400436972397</v>
      </c>
      <c r="AN1169">
        <v>0.999999943641253</v>
      </c>
    </row>
    <row r="1170" spans="1:40" x14ac:dyDescent="0.25">
      <c r="A1170" t="str">
        <f>"20190304154744737"</f>
        <v>20190304154744737</v>
      </c>
      <c r="B1170" t="str">
        <f>"1551685664728088"</f>
        <v>1551685664728088</v>
      </c>
      <c r="C1170" t="s">
        <v>40</v>
      </c>
      <c r="D1170">
        <v>4.1674810000000004</v>
      </c>
      <c r="E1170">
        <v>0.51596889999999995</v>
      </c>
      <c r="F1170" t="s">
        <v>43</v>
      </c>
      <c r="G1170">
        <v>-158.19499999999999</v>
      </c>
      <c r="H1170">
        <v>0.24370339999999999</v>
      </c>
      <c r="I1170">
        <v>376.64449999999999</v>
      </c>
      <c r="J1170">
        <v>-330.05509999999998</v>
      </c>
      <c r="K1170">
        <v>1.110406</v>
      </c>
      <c r="L1170">
        <v>366.80459999999999</v>
      </c>
      <c r="M1170">
        <v>0.99988299999999997</v>
      </c>
      <c r="N1170">
        <v>-1.112876E-2</v>
      </c>
      <c r="O1170">
        <v>1.051039E-2</v>
      </c>
      <c r="P1170">
        <v>0.98868160000000005</v>
      </c>
      <c r="Q1170">
        <v>0.10961070000000001</v>
      </c>
      <c r="R1170">
        <v>0.10244259999999999</v>
      </c>
      <c r="S1170">
        <v>3.0181879999999999</v>
      </c>
      <c r="T1170">
        <v>-1.5207770000000001E-2</v>
      </c>
      <c r="U1170">
        <v>0.17269899999999999</v>
      </c>
      <c r="V1170">
        <v>-9.2033530000000002E-2</v>
      </c>
      <c r="W1170">
        <v>0.120627</v>
      </c>
      <c r="X1170">
        <v>0.98842249999999998</v>
      </c>
      <c r="Y1170">
        <v>-4.6627250000000002E-2</v>
      </c>
      <c r="Z1170">
        <v>4.4102719999999999E-4</v>
      </c>
      <c r="AA1170">
        <v>0.99891229999999998</v>
      </c>
      <c r="AB1170">
        <v>28</v>
      </c>
      <c r="AC1170">
        <v>171.86009999999999</v>
      </c>
      <c r="AD1170">
        <v>-0.86670259999999999</v>
      </c>
      <c r="AE1170">
        <v>9.8399000000000001</v>
      </c>
      <c r="AF1170">
        <v>-8.0327245510134198</v>
      </c>
      <c r="AG1170">
        <v>-0.86670259999999999</v>
      </c>
      <c r="AH1170">
        <v>171.94967476164999</v>
      </c>
      <c r="AI1170">
        <v>90.288479083619904</v>
      </c>
      <c r="AJ1170">
        <v>92.674659615932995</v>
      </c>
      <c r="AK1170">
        <v>172.13938099036699</v>
      </c>
      <c r="AL1170">
        <v>83.071710386106304</v>
      </c>
      <c r="AM1170">
        <v>95.319559904133598</v>
      </c>
      <c r="AN1170">
        <v>1.0000000411397501</v>
      </c>
    </row>
    <row r="1171" spans="1:40" x14ac:dyDescent="0.25">
      <c r="A1171" t="str">
        <f>"20190304154744747"</f>
        <v>20190304154744747</v>
      </c>
      <c r="B1171" t="str">
        <f>"1551685664737847"</f>
        <v>1551685664737847</v>
      </c>
      <c r="C1171" t="s">
        <v>40</v>
      </c>
      <c r="D1171">
        <v>4.1807480000000004</v>
      </c>
      <c r="E1171">
        <v>0.51590990000000003</v>
      </c>
      <c r="F1171" t="s">
        <v>43</v>
      </c>
      <c r="G1171">
        <v>-158.19499999999999</v>
      </c>
      <c r="H1171">
        <v>0.22010179999999999</v>
      </c>
      <c r="I1171">
        <v>376.58409999999998</v>
      </c>
      <c r="J1171">
        <v>-329.9228</v>
      </c>
      <c r="K1171">
        <v>1.1104050000000001</v>
      </c>
      <c r="L1171">
        <v>366.80590000000001</v>
      </c>
      <c r="M1171">
        <v>0.99988319999999997</v>
      </c>
      <c r="N1171">
        <v>-1.113022E-2</v>
      </c>
      <c r="O1171">
        <v>1.0492390000000001E-2</v>
      </c>
      <c r="P1171">
        <v>0.98870659999999999</v>
      </c>
      <c r="Q1171">
        <v>0.1096029</v>
      </c>
      <c r="R1171">
        <v>0.1022096</v>
      </c>
      <c r="S1171">
        <v>3.0183110000000002</v>
      </c>
      <c r="T1171">
        <v>-1.5634539999999999E-2</v>
      </c>
      <c r="U1171">
        <v>0.17175289999999999</v>
      </c>
      <c r="V1171">
        <v>-9.1816780000000001E-2</v>
      </c>
      <c r="W1171">
        <v>0.1206218</v>
      </c>
      <c r="X1171">
        <v>0.98844330000000002</v>
      </c>
      <c r="Y1171">
        <v>-4.6330780000000002E-2</v>
      </c>
      <c r="Z1171">
        <v>4.4035690000000002E-4</v>
      </c>
      <c r="AA1171">
        <v>0.99892599999999998</v>
      </c>
      <c r="AB1171">
        <v>28</v>
      </c>
      <c r="AC1171">
        <v>171.7278</v>
      </c>
      <c r="AD1171">
        <v>-0.89030319999999896</v>
      </c>
      <c r="AE1171">
        <v>9.7781999999999698</v>
      </c>
      <c r="AF1171">
        <v>-7.9755016832725403</v>
      </c>
      <c r="AG1171">
        <v>-0.89030319999999896</v>
      </c>
      <c r="AH1171">
        <v>171.81634568663301</v>
      </c>
      <c r="AI1171">
        <v>90.296568367270197</v>
      </c>
      <c r="AJ1171">
        <v>92.657691279790299</v>
      </c>
      <c r="AK1171">
        <v>172.00365668205001</v>
      </c>
      <c r="AL1171">
        <v>83.072010567007197</v>
      </c>
      <c r="AM1171">
        <v>95.306992281137795</v>
      </c>
      <c r="AN1171">
        <v>1.0000000485198399</v>
      </c>
    </row>
    <row r="1172" spans="1:40" x14ac:dyDescent="0.25">
      <c r="A1172" t="str">
        <f>"20190304154744758"</f>
        <v>20190304154744758</v>
      </c>
      <c r="B1172" t="str">
        <f>"1551685664747607"</f>
        <v>1551685664747607</v>
      </c>
      <c r="C1172" t="s">
        <v>40</v>
      </c>
      <c r="D1172">
        <v>4.2123860000000004</v>
      </c>
      <c r="E1172">
        <v>0.51583049999999997</v>
      </c>
      <c r="F1172" t="s">
        <v>43</v>
      </c>
      <c r="G1172">
        <v>-158.19499999999999</v>
      </c>
      <c r="H1172">
        <v>0.16909170000000001</v>
      </c>
      <c r="I1172">
        <v>376.57260000000002</v>
      </c>
      <c r="J1172">
        <v>-329.79300000000001</v>
      </c>
      <c r="K1172">
        <v>1.1104019999999999</v>
      </c>
      <c r="L1172">
        <v>366.8073</v>
      </c>
      <c r="M1172">
        <v>0.99988310000000002</v>
      </c>
      <c r="N1172">
        <v>-1.113167E-2</v>
      </c>
      <c r="O1172">
        <v>1.0472850000000001E-2</v>
      </c>
      <c r="P1172">
        <v>0.98869960000000001</v>
      </c>
      <c r="Q1172">
        <v>0.1098923</v>
      </c>
      <c r="R1172">
        <v>0.1019661</v>
      </c>
      <c r="S1172">
        <v>3.0183409999999999</v>
      </c>
      <c r="T1172">
        <v>-1.6543269999999999E-2</v>
      </c>
      <c r="U1172">
        <v>0.17166139999999999</v>
      </c>
      <c r="V1172">
        <v>-9.1591510000000001E-2</v>
      </c>
      <c r="W1172">
        <v>0.1209129</v>
      </c>
      <c r="X1172">
        <v>0.98842859999999999</v>
      </c>
      <c r="Y1172">
        <v>-4.6319350000000002E-2</v>
      </c>
      <c r="Z1172">
        <v>4.4401279999999998E-4</v>
      </c>
      <c r="AA1172">
        <v>0.9989266</v>
      </c>
      <c r="AB1172">
        <v>28</v>
      </c>
      <c r="AC1172">
        <v>171.59799999999899</v>
      </c>
      <c r="AD1172">
        <v>-0.94131030000000004</v>
      </c>
      <c r="AE1172">
        <v>9.7653000000000194</v>
      </c>
      <c r="AF1172">
        <v>-7.96729377333783</v>
      </c>
      <c r="AG1172">
        <v>-0.94131030000000004</v>
      </c>
      <c r="AH1172">
        <v>171.68571538594799</v>
      </c>
      <c r="AI1172">
        <v>90.313797735804002</v>
      </c>
      <c r="AJ1172">
        <v>92.656977240754003</v>
      </c>
      <c r="AK1172">
        <v>171.87305985155501</v>
      </c>
      <c r="AL1172">
        <v>83.055208562351297</v>
      </c>
      <c r="AM1172">
        <v>95.294124076802902</v>
      </c>
      <c r="AN1172">
        <v>1.0000000156942199</v>
      </c>
    </row>
    <row r="1173" spans="1:40" x14ac:dyDescent="0.25">
      <c r="A1173" t="str">
        <f>"20190304154744769"</f>
        <v>20190304154744769</v>
      </c>
      <c r="B1173" t="str">
        <f>"1551685664758343"</f>
        <v>1551685664758343</v>
      </c>
      <c r="C1173" t="s">
        <v>40</v>
      </c>
      <c r="D1173">
        <v>4.1880759999999997</v>
      </c>
      <c r="E1173">
        <v>0.51574709999999901</v>
      </c>
      <c r="F1173" t="s">
        <v>43</v>
      </c>
      <c r="G1173">
        <v>-158.19499999999999</v>
      </c>
      <c r="H1173">
        <v>0.1990256</v>
      </c>
      <c r="I1173">
        <v>376.56650000000002</v>
      </c>
      <c r="J1173">
        <v>-329.66</v>
      </c>
      <c r="K1173">
        <v>1.1103989999999999</v>
      </c>
      <c r="L1173">
        <v>366.80869999999999</v>
      </c>
      <c r="M1173">
        <v>0.99988359999999998</v>
      </c>
      <c r="N1173">
        <v>-1.113317E-2</v>
      </c>
      <c r="O1173">
        <v>1.0451520000000001E-2</v>
      </c>
      <c r="P1173">
        <v>0.98873149999999999</v>
      </c>
      <c r="Q1173">
        <v>0.10993609999999999</v>
      </c>
      <c r="R1173">
        <v>0.1016093</v>
      </c>
      <c r="S1173">
        <v>3.0183719999999998</v>
      </c>
      <c r="T1173">
        <v>-1.6029359999999999E-2</v>
      </c>
      <c r="U1173">
        <v>0.17166139999999999</v>
      </c>
      <c r="V1173">
        <v>-9.1254470000000004E-2</v>
      </c>
      <c r="W1173">
        <v>0.12095880000000001</v>
      </c>
      <c r="X1173">
        <v>0.98845419999999995</v>
      </c>
      <c r="Y1173">
        <v>-4.6340180000000002E-2</v>
      </c>
      <c r="Z1173">
        <v>4.419507E-4</v>
      </c>
      <c r="AA1173">
        <v>0.99892559999999997</v>
      </c>
      <c r="AB1173">
        <v>28</v>
      </c>
      <c r="AC1173">
        <v>171.465</v>
      </c>
      <c r="AD1173">
        <v>-0.9113734</v>
      </c>
      <c r="AE1173">
        <v>9.7578000000000298</v>
      </c>
      <c r="AF1173">
        <v>-7.9648620893490003</v>
      </c>
      <c r="AG1173">
        <v>-0.9113734</v>
      </c>
      <c r="AH1173">
        <v>171.552792821791</v>
      </c>
      <c r="AI1173">
        <v>90.304053173580201</v>
      </c>
      <c r="AJ1173">
        <v>92.658222572141597</v>
      </c>
      <c r="AK1173">
        <v>171.740008019486</v>
      </c>
      <c r="AL1173">
        <v>83.052559533143693</v>
      </c>
      <c r="AM1173">
        <v>95.274616917857699</v>
      </c>
      <c r="AN1173">
        <v>1.0000000575450201</v>
      </c>
    </row>
    <row r="1174" spans="1:40" x14ac:dyDescent="0.25">
      <c r="A1174" t="str">
        <f>"20190304154744779"</f>
        <v>20190304154744779</v>
      </c>
      <c r="B1174" t="str">
        <f>"1551685664768103"</f>
        <v>1551685664768103</v>
      </c>
      <c r="C1174" t="s">
        <v>40</v>
      </c>
      <c r="D1174">
        <v>4.1861110000000004</v>
      </c>
      <c r="E1174">
        <v>0.51571520000000004</v>
      </c>
      <c r="F1174" t="s">
        <v>43</v>
      </c>
      <c r="G1174">
        <v>-158.19499999999999</v>
      </c>
      <c r="H1174">
        <v>0.15867609999999999</v>
      </c>
      <c r="I1174">
        <v>376.53210000000001</v>
      </c>
      <c r="J1174">
        <v>-329.53359999999998</v>
      </c>
      <c r="K1174">
        <v>1.110398</v>
      </c>
      <c r="L1174">
        <v>366.80990000000003</v>
      </c>
      <c r="M1174">
        <v>0.99988370000000004</v>
      </c>
      <c r="N1174">
        <v>-1.113457E-2</v>
      </c>
      <c r="O1174">
        <v>1.043003E-2</v>
      </c>
      <c r="P1174">
        <v>0.98869459999999998</v>
      </c>
      <c r="Q1174">
        <v>0.1102137</v>
      </c>
      <c r="R1174">
        <v>0.1016663</v>
      </c>
      <c r="S1174">
        <v>3.018494</v>
      </c>
      <c r="T1174">
        <v>-1.6752719999999999E-2</v>
      </c>
      <c r="U1174">
        <v>0.17117309999999999</v>
      </c>
      <c r="V1174">
        <v>-9.1333349999999994E-2</v>
      </c>
      <c r="W1174">
        <v>0.1212381</v>
      </c>
      <c r="X1174">
        <v>0.98841259999999997</v>
      </c>
      <c r="Y1174">
        <v>-4.6198160000000002E-2</v>
      </c>
      <c r="Z1174">
        <v>4.4373580000000001E-4</v>
      </c>
      <c r="AA1174">
        <v>0.99893220000000005</v>
      </c>
      <c r="AB1174">
        <v>28</v>
      </c>
      <c r="AC1174">
        <v>171.33860000000001</v>
      </c>
      <c r="AD1174">
        <v>-0.95172190000000001</v>
      </c>
      <c r="AE1174">
        <v>9.7221999999999795</v>
      </c>
      <c r="AF1174">
        <v>-7.9342497174366198</v>
      </c>
      <c r="AG1174">
        <v>-0.95172190000000001</v>
      </c>
      <c r="AH1174">
        <v>171.42541596460799</v>
      </c>
      <c r="AI1174">
        <v>90.317752045010707</v>
      </c>
      <c r="AJ1174">
        <v>92.649985251486996</v>
      </c>
      <c r="AK1174">
        <v>171.61157108945901</v>
      </c>
      <c r="AL1174">
        <v>83.036437514518994</v>
      </c>
      <c r="AM1174">
        <v>95.279371457784606</v>
      </c>
      <c r="AN1174">
        <v>0.99999996277629499</v>
      </c>
    </row>
    <row r="1175" spans="1:40" x14ac:dyDescent="0.25">
      <c r="A1175" t="str">
        <f>"20190304154744789"</f>
        <v>20190304154744789</v>
      </c>
      <c r="B1175" t="str">
        <f>"1551685664777863"</f>
        <v>1551685664777863</v>
      </c>
      <c r="C1175" t="s">
        <v>40</v>
      </c>
      <c r="D1175">
        <v>4.1897830000000003</v>
      </c>
      <c r="E1175">
        <v>0.51565169999999905</v>
      </c>
      <c r="F1175" t="s">
        <v>43</v>
      </c>
      <c r="G1175">
        <v>-158.19499999999999</v>
      </c>
      <c r="H1175">
        <v>0.19715830000000001</v>
      </c>
      <c r="I1175">
        <v>376.5471</v>
      </c>
      <c r="J1175">
        <v>-329.40570000000002</v>
      </c>
      <c r="K1175">
        <v>1.1103970000000001</v>
      </c>
      <c r="L1175">
        <v>366.81119999999999</v>
      </c>
      <c r="M1175">
        <v>0.99988379999999999</v>
      </c>
      <c r="N1175">
        <v>-1.113599E-2</v>
      </c>
      <c r="O1175">
        <v>1.0408000000000001E-2</v>
      </c>
      <c r="P1175">
        <v>0.98869620000000003</v>
      </c>
      <c r="Q1175">
        <v>0.11030470000000001</v>
      </c>
      <c r="R1175">
        <v>0.1015525</v>
      </c>
      <c r="S1175">
        <v>3.0184630000000001</v>
      </c>
      <c r="T1175">
        <v>-1.6086940000000001E-2</v>
      </c>
      <c r="U1175">
        <v>0.17153929999999901</v>
      </c>
      <c r="V1175">
        <v>-9.1240390000000005E-2</v>
      </c>
      <c r="W1175">
        <v>0.1213313</v>
      </c>
      <c r="X1175">
        <v>0.98840980000000001</v>
      </c>
      <c r="Y1175">
        <v>-4.6341670000000001E-2</v>
      </c>
      <c r="Z1175">
        <v>4.4204569999999998E-4</v>
      </c>
      <c r="AA1175">
        <v>0.99892559999999997</v>
      </c>
      <c r="AB1175">
        <v>28</v>
      </c>
      <c r="AC1175">
        <v>171.2107</v>
      </c>
      <c r="AD1175">
        <v>-0.91323869999999896</v>
      </c>
      <c r="AE1175">
        <v>9.7359000000000098</v>
      </c>
      <c r="AF1175">
        <v>-7.9530755330785698</v>
      </c>
      <c r="AG1175">
        <v>-0.91323869999999896</v>
      </c>
      <c r="AH1175">
        <v>171.29790481489499</v>
      </c>
      <c r="AI1175">
        <v>90.305128803632499</v>
      </c>
      <c r="AJ1175">
        <v>92.658238391580198</v>
      </c>
      <c r="AK1175">
        <v>171.484861166608</v>
      </c>
      <c r="AL1175">
        <v>83.031058184842806</v>
      </c>
      <c r="AM1175">
        <v>95.274043233340095</v>
      </c>
      <c r="AN1175">
        <v>1.0000000129315401</v>
      </c>
    </row>
    <row r="1176" spans="1:40" x14ac:dyDescent="0.25">
      <c r="A1176" t="str">
        <f>"20190304154744800"</f>
        <v>20190304154744800</v>
      </c>
      <c r="B1176" t="str">
        <f>"1551685664798359"</f>
        <v>1551685664798359</v>
      </c>
      <c r="C1176" t="s">
        <v>40</v>
      </c>
      <c r="D1176">
        <v>4.208018</v>
      </c>
      <c r="E1176">
        <v>0.51544060000000003</v>
      </c>
      <c r="F1176" t="s">
        <v>43</v>
      </c>
      <c r="G1176">
        <v>-158.19499999999999</v>
      </c>
      <c r="H1176">
        <v>0.16821240000000001</v>
      </c>
      <c r="I1176">
        <v>376.56360000000001</v>
      </c>
      <c r="J1176">
        <v>-329.27460000000002</v>
      </c>
      <c r="K1176">
        <v>1.110392</v>
      </c>
      <c r="L1176">
        <v>366.81259999999997</v>
      </c>
      <c r="M1176">
        <v>0.9998842</v>
      </c>
      <c r="N1176">
        <v>-1.113745E-2</v>
      </c>
      <c r="O1176">
        <v>1.038349E-2</v>
      </c>
      <c r="P1176">
        <v>0.98867689999999997</v>
      </c>
      <c r="Q1176">
        <v>0.1104871</v>
      </c>
      <c r="R1176">
        <v>0.101541699999999</v>
      </c>
      <c r="S1176">
        <v>3.018494</v>
      </c>
      <c r="T1176">
        <v>-1.6609430000000001E-2</v>
      </c>
      <c r="U1176">
        <v>0.17193599999999901</v>
      </c>
      <c r="V1176">
        <v>-9.1253899999999999E-2</v>
      </c>
      <c r="W1176">
        <v>0.1215145</v>
      </c>
      <c r="X1176">
        <v>0.98838599999999999</v>
      </c>
      <c r="Y1176">
        <v>-4.6496339999999997E-2</v>
      </c>
      <c r="Z1176">
        <v>4.4545110000000001E-4</v>
      </c>
      <c r="AA1176">
        <v>0.99891839999999998</v>
      </c>
      <c r="AB1176">
        <v>28</v>
      </c>
      <c r="AC1176">
        <v>171.0796</v>
      </c>
      <c r="AD1176">
        <v>-0.94217960000000001</v>
      </c>
      <c r="AE1176">
        <v>9.7510000000000296</v>
      </c>
      <c r="AF1176">
        <v>-7.9737199421560101</v>
      </c>
      <c r="AG1176">
        <v>-0.94217960000000001</v>
      </c>
      <c r="AH1176">
        <v>171.16645700356599</v>
      </c>
      <c r="AI1176">
        <v>90.315037726893294</v>
      </c>
      <c r="AJ1176">
        <v>92.667172388603703</v>
      </c>
      <c r="AK1176">
        <v>171.35467287257799</v>
      </c>
      <c r="AL1176">
        <v>83.020483027783101</v>
      </c>
      <c r="AM1176">
        <v>95.274946057580607</v>
      </c>
      <c r="AN1176">
        <v>0.99999996648572897</v>
      </c>
    </row>
    <row r="1177" spans="1:40" x14ac:dyDescent="0.25">
      <c r="A1177" t="str">
        <f>"20190304154744811"</f>
        <v>20190304154744811</v>
      </c>
      <c r="B1177" t="str">
        <f>"1551685664808119"</f>
        <v>1551685664808119</v>
      </c>
      <c r="C1177" t="s">
        <v>40</v>
      </c>
      <c r="D1177">
        <v>4.1939780000000004</v>
      </c>
      <c r="E1177">
        <v>0.51537100000000002</v>
      </c>
      <c r="F1177" t="s">
        <v>43</v>
      </c>
      <c r="G1177">
        <v>-158.19499999999999</v>
      </c>
      <c r="H1177">
        <v>0.14518120000000001</v>
      </c>
      <c r="I1177">
        <v>376.64240000000001</v>
      </c>
      <c r="J1177">
        <v>-329.13799999999998</v>
      </c>
      <c r="K1177">
        <v>1.110393</v>
      </c>
      <c r="L1177">
        <v>366.81400000000002</v>
      </c>
      <c r="M1177">
        <v>0.99988440000000001</v>
      </c>
      <c r="N1177">
        <v>-1.113896E-2</v>
      </c>
      <c r="O1177">
        <v>1.035784E-2</v>
      </c>
      <c r="P1177">
        <v>0.98865749999999997</v>
      </c>
      <c r="Q1177">
        <v>0.1105674</v>
      </c>
      <c r="R1177">
        <v>0.1016426</v>
      </c>
      <c r="S1177">
        <v>3.0184329999999999</v>
      </c>
      <c r="T1177">
        <v>-1.7028089999999999E-2</v>
      </c>
      <c r="U1177">
        <v>0.17343140000000001</v>
      </c>
      <c r="V1177">
        <v>-9.1380219999999998E-2</v>
      </c>
      <c r="W1177">
        <v>0.1215968</v>
      </c>
      <c r="X1177">
        <v>0.98836420000000003</v>
      </c>
      <c r="Y1177">
        <v>-4.7016259999999997E-2</v>
      </c>
      <c r="Z1177">
        <v>4.5151019999999998E-4</v>
      </c>
      <c r="AA1177">
        <v>0.99889399999999995</v>
      </c>
      <c r="AB1177">
        <v>28</v>
      </c>
      <c r="AC1177">
        <v>170.94300000000001</v>
      </c>
      <c r="AD1177">
        <v>-0.96521179999999995</v>
      </c>
      <c r="AE1177">
        <v>9.8283999999999807</v>
      </c>
      <c r="AF1177">
        <v>-8.0569067355139605</v>
      </c>
      <c r="AG1177">
        <v>-0.96521179999999995</v>
      </c>
      <c r="AH1177">
        <v>171.03020134054199</v>
      </c>
      <c r="AI1177">
        <v>90.322988079695904</v>
      </c>
      <c r="AJ1177">
        <v>92.697101013479795</v>
      </c>
      <c r="AK1177">
        <v>171.22258948675599</v>
      </c>
      <c r="AL1177">
        <v>83.0157323051546</v>
      </c>
      <c r="AM1177">
        <v>95.282322577822598</v>
      </c>
      <c r="AN1177">
        <v>0.99999995910956296</v>
      </c>
    </row>
    <row r="1178" spans="1:40" x14ac:dyDescent="0.25">
      <c r="A1178" t="str">
        <f>"20190304154744824"</f>
        <v>20190304154744824</v>
      </c>
      <c r="B1178" t="str">
        <f>"1551685664817878"</f>
        <v>1551685664817878</v>
      </c>
      <c r="C1178" t="s">
        <v>40</v>
      </c>
      <c r="D1178">
        <v>4.2252099999999997</v>
      </c>
      <c r="E1178">
        <v>0.51531249999999995</v>
      </c>
      <c r="F1178" t="s">
        <v>43</v>
      </c>
      <c r="G1178">
        <v>-158.19499999999999</v>
      </c>
      <c r="H1178">
        <v>0.13622000000000001</v>
      </c>
      <c r="I1178">
        <v>376.6687</v>
      </c>
      <c r="J1178">
        <v>-328.97930000000002</v>
      </c>
      <c r="K1178">
        <v>1.1103940000000001</v>
      </c>
      <c r="L1178">
        <v>366.81560000000002</v>
      </c>
      <c r="M1178">
        <v>0.99988469999999996</v>
      </c>
      <c r="N1178">
        <v>-1.1140819999999999E-2</v>
      </c>
      <c r="O1178">
        <v>1.032749E-2</v>
      </c>
      <c r="P1178">
        <v>0.98865829999999999</v>
      </c>
      <c r="Q1178">
        <v>0.1104937</v>
      </c>
      <c r="R1178">
        <v>0.10171570000000001</v>
      </c>
      <c r="S1178">
        <v>3.0184630000000001</v>
      </c>
      <c r="T1178">
        <v>-1.7200110000000001E-2</v>
      </c>
      <c r="U1178">
        <v>0.1740112</v>
      </c>
      <c r="V1178">
        <v>-9.1483289999999995E-2</v>
      </c>
      <c r="W1178">
        <v>0.12152490000000001</v>
      </c>
      <c r="X1178">
        <v>0.98836360000000001</v>
      </c>
      <c r="Y1178">
        <v>-4.7237210000000002E-2</v>
      </c>
      <c r="Z1178">
        <v>4.5401760000000002E-4</v>
      </c>
      <c r="AA1178">
        <v>0.99888359999999998</v>
      </c>
      <c r="AB1178">
        <v>28</v>
      </c>
      <c r="AC1178">
        <v>170.7843</v>
      </c>
      <c r="AD1178">
        <v>-0.97417399999999998</v>
      </c>
      <c r="AE1178">
        <v>9.85309999999998</v>
      </c>
      <c r="AF1178">
        <v>-8.08842971713152</v>
      </c>
      <c r="AG1178">
        <v>-0.97417399999999998</v>
      </c>
      <c r="AH1178">
        <v>170.871413856061</v>
      </c>
      <c r="AI1178">
        <v>90.326286447062103</v>
      </c>
      <c r="AJ1178">
        <v>92.710150265248103</v>
      </c>
      <c r="AK1178">
        <v>171.06551897866601</v>
      </c>
      <c r="AL1178">
        <v>83.019883286654604</v>
      </c>
      <c r="AM1178">
        <v>95.288250071072198</v>
      </c>
      <c r="AN1178">
        <v>1.00000004973709</v>
      </c>
    </row>
    <row r="1179" spans="1:40" x14ac:dyDescent="0.25">
      <c r="A1179" t="str">
        <f>"20190304154744835"</f>
        <v>20190304154744835</v>
      </c>
      <c r="B1179" t="str">
        <f>"1551685664827940"</f>
        <v>1551685664827940</v>
      </c>
      <c r="C1179" t="s">
        <v>40</v>
      </c>
      <c r="D1179">
        <v>4.3178570000000001</v>
      </c>
      <c r="E1179">
        <v>0.51513609999999999</v>
      </c>
      <c r="F1179" t="s">
        <v>43</v>
      </c>
      <c r="G1179">
        <v>-158.19499999999999</v>
      </c>
      <c r="H1179">
        <v>9.4430920000000002E-2</v>
      </c>
      <c r="I1179">
        <v>376.70949999999999</v>
      </c>
      <c r="J1179">
        <v>-328.83609999999999</v>
      </c>
      <c r="K1179">
        <v>1.110393</v>
      </c>
      <c r="L1179">
        <v>366.81700000000001</v>
      </c>
      <c r="M1179">
        <v>0.99988489999999997</v>
      </c>
      <c r="N1179">
        <v>-1.114245E-2</v>
      </c>
      <c r="O1179">
        <v>1.0300119999999999E-2</v>
      </c>
      <c r="P1179">
        <v>0.9886412</v>
      </c>
      <c r="Q1179">
        <v>0.1107127</v>
      </c>
      <c r="R1179">
        <v>0.1016447</v>
      </c>
      <c r="S1179">
        <v>3.0184630000000001</v>
      </c>
      <c r="T1179">
        <v>-1.7954709999999999E-2</v>
      </c>
      <c r="U1179">
        <v>0.17486570000000001</v>
      </c>
      <c r="V1179">
        <v>-9.1439809999999996E-2</v>
      </c>
      <c r="W1179">
        <v>0.12174500000000001</v>
      </c>
      <c r="X1179">
        <v>0.98834049999999996</v>
      </c>
      <c r="Y1179">
        <v>-4.7546209999999998E-2</v>
      </c>
      <c r="Z1179">
        <v>4.5989339999999998E-4</v>
      </c>
      <c r="AA1179">
        <v>0.99886889999999995</v>
      </c>
      <c r="AB1179">
        <v>28</v>
      </c>
      <c r="AC1179">
        <v>170.64109999999999</v>
      </c>
      <c r="AD1179">
        <v>-1.01596208</v>
      </c>
      <c r="AE1179">
        <v>9.8925000000000392</v>
      </c>
      <c r="AF1179">
        <v>-8.1339549244618699</v>
      </c>
      <c r="AG1179">
        <v>-1.01596208</v>
      </c>
      <c r="AH1179">
        <v>170.72791539242499</v>
      </c>
      <c r="AI1179">
        <v>90.340563537789194</v>
      </c>
      <c r="AJ1179">
        <v>92.727668488730799</v>
      </c>
      <c r="AK1179">
        <v>170.92458716025601</v>
      </c>
      <c r="AL1179">
        <v>83.007177897531307</v>
      </c>
      <c r="AM1179">
        <v>95.285873763023503</v>
      </c>
      <c r="AN1179">
        <v>1.0000000139090399</v>
      </c>
    </row>
    <row r="1180" spans="1:40" x14ac:dyDescent="0.25">
      <c r="A1180" t="str">
        <f>"20190304154744846"</f>
        <v>20190304154744846</v>
      </c>
      <c r="B1180" t="str">
        <f>"1551685664837700"</f>
        <v>1551685664837700</v>
      </c>
      <c r="C1180" t="s">
        <v>40</v>
      </c>
      <c r="D1180">
        <v>4.1989660000000004</v>
      </c>
      <c r="E1180">
        <v>0.51501129999999995</v>
      </c>
      <c r="F1180" t="s">
        <v>43</v>
      </c>
      <c r="G1180">
        <v>-158.19499999999999</v>
      </c>
      <c r="H1180">
        <v>0.1119647</v>
      </c>
      <c r="I1180">
        <v>376.76510000000002</v>
      </c>
      <c r="J1180">
        <v>-328.69290000000001</v>
      </c>
      <c r="K1180">
        <v>1.110393</v>
      </c>
      <c r="L1180">
        <v>366.81849999999997</v>
      </c>
      <c r="M1180">
        <v>0.99988520000000003</v>
      </c>
      <c r="N1180">
        <v>-1.1144009999999999E-2</v>
      </c>
      <c r="O1180">
        <v>1.027263E-2</v>
      </c>
      <c r="P1180">
        <v>0.98862930000000004</v>
      </c>
      <c r="Q1180">
        <v>0.1108447</v>
      </c>
      <c r="R1180">
        <v>0.101616</v>
      </c>
      <c r="S1180">
        <v>3.0183719999999998</v>
      </c>
      <c r="T1180">
        <v>-1.7659069999999999E-2</v>
      </c>
      <c r="U1180">
        <v>0.17596439999999999</v>
      </c>
      <c r="V1180">
        <v>-9.1438290000000005E-2</v>
      </c>
      <c r="W1180">
        <v>0.121878399999999</v>
      </c>
      <c r="X1180">
        <v>0.98832419999999999</v>
      </c>
      <c r="Y1180">
        <v>-4.7937809999999997E-2</v>
      </c>
      <c r="Z1180">
        <v>4.6181389999999997E-4</v>
      </c>
      <c r="AA1180">
        <v>0.99885020000000002</v>
      </c>
      <c r="AB1180">
        <v>28</v>
      </c>
      <c r="AC1180">
        <v>170.49789999999999</v>
      </c>
      <c r="AD1180">
        <v>-0.99842830000000005</v>
      </c>
      <c r="AE1180">
        <v>9.9466000000000392</v>
      </c>
      <c r="AF1180">
        <v>-8.1942245631836705</v>
      </c>
      <c r="AG1180">
        <v>-0.99842830000000005</v>
      </c>
      <c r="AH1180">
        <v>170.58525675989301</v>
      </c>
      <c r="AI1180">
        <v>90.334959726940895</v>
      </c>
      <c r="AJ1180">
        <v>92.750143123999194</v>
      </c>
      <c r="AK1180">
        <v>170.78487052166099</v>
      </c>
      <c r="AL1180">
        <v>82.999477302183905</v>
      </c>
      <c r="AM1180">
        <v>95.285873076246901</v>
      </c>
      <c r="AN1180">
        <v>1.00000001478516</v>
      </c>
    </row>
    <row r="1181" spans="1:40" x14ac:dyDescent="0.25">
      <c r="A1181" t="str">
        <f>"20190304154744857"</f>
        <v>20190304154744857</v>
      </c>
      <c r="B1181" t="str">
        <f>"1551685664847460"</f>
        <v>1551685664847460</v>
      </c>
      <c r="C1181" t="s">
        <v>40</v>
      </c>
      <c r="D1181">
        <v>4.4470970000000003</v>
      </c>
      <c r="E1181">
        <v>0.51504090000000002</v>
      </c>
      <c r="F1181" t="s">
        <v>43</v>
      </c>
      <c r="G1181">
        <v>-158.19499999999999</v>
      </c>
      <c r="H1181">
        <v>0.1088457</v>
      </c>
      <c r="I1181">
        <v>376.81</v>
      </c>
      <c r="J1181">
        <v>-328.56900000000002</v>
      </c>
      <c r="K1181">
        <v>1.1103940000000001</v>
      </c>
      <c r="L1181">
        <v>366.81970000000001</v>
      </c>
      <c r="M1181">
        <v>0.99988540000000004</v>
      </c>
      <c r="N1181">
        <v>-1.114538E-2</v>
      </c>
      <c r="O1181">
        <v>1.024914E-2</v>
      </c>
      <c r="P1181">
        <v>0.98864220000000003</v>
      </c>
      <c r="Q1181">
        <v>0.1107592</v>
      </c>
      <c r="R1181">
        <v>0.10158349999999999</v>
      </c>
      <c r="S1181">
        <v>3.0183409999999999</v>
      </c>
      <c r="T1181">
        <v>-1.7728919999999999E-2</v>
      </c>
      <c r="U1181">
        <v>0.17687990000000001</v>
      </c>
      <c r="V1181">
        <v>-9.1428410000000002E-2</v>
      </c>
      <c r="W1181">
        <v>0.12179420000000001</v>
      </c>
      <c r="X1181">
        <v>0.98833550000000003</v>
      </c>
      <c r="Y1181">
        <v>-4.8263769999999998E-2</v>
      </c>
      <c r="Z1181">
        <v>4.6483000000000001E-4</v>
      </c>
      <c r="AA1181">
        <v>0.99883449999999996</v>
      </c>
      <c r="AB1181">
        <v>28</v>
      </c>
      <c r="AC1181">
        <v>170.374</v>
      </c>
      <c r="AD1181">
        <v>-1.0015483000000001</v>
      </c>
      <c r="AE1181">
        <v>9.9902999999999906</v>
      </c>
      <c r="AF1181">
        <v>-8.2431959453983108</v>
      </c>
      <c r="AG1181">
        <v>-1.0015483000000001</v>
      </c>
      <c r="AH1181">
        <v>170.46157806477299</v>
      </c>
      <c r="AI1181">
        <v>90.336244998490599</v>
      </c>
      <c r="AJ1181">
        <v>92.768557581052093</v>
      </c>
      <c r="AK1181">
        <v>170.66371311653799</v>
      </c>
      <c r="AL1181">
        <v>83.004337859801495</v>
      </c>
      <c r="AM1181">
        <v>95.285245080389501</v>
      </c>
      <c r="AN1181">
        <v>1.0000000209344999</v>
      </c>
    </row>
    <row r="1182" spans="1:40" x14ac:dyDescent="0.25">
      <c r="A1182" t="str">
        <f>"20190304154744868"</f>
        <v>20190304154744868</v>
      </c>
      <c r="B1182" t="str">
        <f>"1551685664858196"</f>
        <v>1551685664858196</v>
      </c>
      <c r="C1182" t="s">
        <v>40</v>
      </c>
      <c r="D1182">
        <v>4.214969</v>
      </c>
      <c r="E1182">
        <v>0.51492519999999997</v>
      </c>
      <c r="F1182" t="s">
        <v>43</v>
      </c>
      <c r="G1182">
        <v>-158.19499999999999</v>
      </c>
      <c r="H1182">
        <v>0.1268077</v>
      </c>
      <c r="I1182">
        <v>376.7869</v>
      </c>
      <c r="J1182">
        <v>-328.42129999999997</v>
      </c>
      <c r="K1182">
        <v>1.1103940000000001</v>
      </c>
      <c r="L1182">
        <v>366.82119999999998</v>
      </c>
      <c r="M1182">
        <v>0.99988569999999999</v>
      </c>
      <c r="N1182">
        <v>-1.114704E-2</v>
      </c>
      <c r="O1182">
        <v>1.022093E-2</v>
      </c>
      <c r="P1182">
        <v>0.98864390000000002</v>
      </c>
      <c r="Q1182">
        <v>0.110769699999999</v>
      </c>
      <c r="R1182">
        <v>0.1015556</v>
      </c>
      <c r="S1182">
        <v>3.0182799999999999</v>
      </c>
      <c r="T1182">
        <v>-1.7423270000000001E-2</v>
      </c>
      <c r="U1182">
        <v>0.1765747</v>
      </c>
      <c r="V1182">
        <v>-9.1428280000000001E-2</v>
      </c>
      <c r="W1182">
        <v>0.1218065</v>
      </c>
      <c r="X1182">
        <v>0.98833400000000005</v>
      </c>
      <c r="Y1182">
        <v>-4.8192539999999999E-2</v>
      </c>
      <c r="Z1182">
        <v>4.6272920000000001E-4</v>
      </c>
      <c r="AA1182">
        <v>0.99883789999999995</v>
      </c>
      <c r="AB1182">
        <v>28</v>
      </c>
      <c r="AC1182">
        <v>170.22629999999899</v>
      </c>
      <c r="AD1182">
        <v>-0.98358630000000002</v>
      </c>
      <c r="AE1182">
        <v>9.9657000000000195</v>
      </c>
      <c r="AF1182">
        <v>-8.2249266298262391</v>
      </c>
      <c r="AG1182">
        <v>-0.98358630000000002</v>
      </c>
      <c r="AH1182">
        <v>170.313605395042</v>
      </c>
      <c r="AI1182">
        <v>90.3305027695029</v>
      </c>
      <c r="AJ1182">
        <v>92.764827514539306</v>
      </c>
      <c r="AK1182">
        <v>170.51492909048699</v>
      </c>
      <c r="AL1182">
        <v>83.00362786174</v>
      </c>
      <c r="AM1182">
        <v>95.285245583984604</v>
      </c>
      <c r="AN1182">
        <v>1.0000000246909999</v>
      </c>
    </row>
    <row r="1183" spans="1:40" x14ac:dyDescent="0.25">
      <c r="A1183" t="str">
        <f>"20190304154744879"</f>
        <v>20190304154744879</v>
      </c>
      <c r="B1183" t="str">
        <f>"1551685664867956"</f>
        <v>1551685664867956</v>
      </c>
      <c r="C1183" t="s">
        <v>40</v>
      </c>
      <c r="D1183">
        <v>4.472118</v>
      </c>
      <c r="E1183">
        <v>0.51496830000000005</v>
      </c>
      <c r="F1183" t="s">
        <v>43</v>
      </c>
      <c r="G1183">
        <v>-158.19499999999999</v>
      </c>
      <c r="H1183">
        <v>8.7943549999999995E-2</v>
      </c>
      <c r="I1183">
        <v>376.83150000000001</v>
      </c>
      <c r="J1183">
        <v>-328.28320000000002</v>
      </c>
      <c r="K1183">
        <v>1.110393</v>
      </c>
      <c r="L1183">
        <v>366.82260000000002</v>
      </c>
      <c r="M1183">
        <v>0.99988589999999999</v>
      </c>
      <c r="N1183">
        <v>-1.114857E-2</v>
      </c>
      <c r="O1183">
        <v>1.019512E-2</v>
      </c>
      <c r="P1183">
        <v>0.98863350000000005</v>
      </c>
      <c r="Q1183">
        <v>0.1110126</v>
      </c>
      <c r="R1183">
        <v>0.1013907</v>
      </c>
      <c r="S1183">
        <v>3.0182500000000001</v>
      </c>
      <c r="T1183">
        <v>-1.8127319999999999E-2</v>
      </c>
      <c r="U1183">
        <v>0.17749019999999999</v>
      </c>
      <c r="V1183">
        <v>-9.1289309999999999E-2</v>
      </c>
      <c r="W1183">
        <v>0.1220507</v>
      </c>
      <c r="X1183">
        <v>0.98831670000000005</v>
      </c>
      <c r="Y1183">
        <v>-4.8520689999999998E-2</v>
      </c>
      <c r="Z1183">
        <v>4.687006E-4</v>
      </c>
      <c r="AA1183">
        <v>0.99882210000000005</v>
      </c>
      <c r="AB1183">
        <v>28</v>
      </c>
      <c r="AC1183">
        <v>170.0882</v>
      </c>
      <c r="AD1183">
        <v>-1.0224494500000001</v>
      </c>
      <c r="AE1183">
        <v>10.008899999999899</v>
      </c>
      <c r="AF1183">
        <v>-8.2739044604767198</v>
      </c>
      <c r="AG1183">
        <v>-1.0224494500000001</v>
      </c>
      <c r="AH1183">
        <v>170.17527925819701</v>
      </c>
      <c r="AI1183">
        <v>90.343835002037196</v>
      </c>
      <c r="AJ1183">
        <v>92.783522931362995</v>
      </c>
      <c r="AK1183">
        <v>170.379366616103</v>
      </c>
      <c r="AL1183">
        <v>82.989530919393701</v>
      </c>
      <c r="AM1183">
        <v>95.277349313593106</v>
      </c>
      <c r="AN1183">
        <v>1.0000000054948199</v>
      </c>
    </row>
    <row r="1184" spans="1:40" x14ac:dyDescent="0.25">
      <c r="A1184" t="str">
        <f>"20190304154744893"</f>
        <v>20190304154744893</v>
      </c>
      <c r="B1184" t="str">
        <f>"1551685664887475"</f>
        <v>1551685664887475</v>
      </c>
      <c r="C1184" t="s">
        <v>40</v>
      </c>
      <c r="D1184">
        <v>4.2358919999999998</v>
      </c>
      <c r="E1184">
        <v>0.51478999999999997</v>
      </c>
      <c r="F1184" t="s">
        <v>43</v>
      </c>
      <c r="G1184">
        <v>-158.19499999999999</v>
      </c>
      <c r="H1184">
        <v>0.1882067</v>
      </c>
      <c r="I1184">
        <v>376.77499999999998</v>
      </c>
      <c r="J1184">
        <v>-328.12169999999998</v>
      </c>
      <c r="K1184">
        <v>1.110393</v>
      </c>
      <c r="L1184">
        <v>366.82420000000002</v>
      </c>
      <c r="M1184">
        <v>0.99988619999999995</v>
      </c>
      <c r="N1184">
        <v>-1.115036E-2</v>
      </c>
      <c r="O1184">
        <v>1.016471E-2</v>
      </c>
      <c r="P1184">
        <v>0.9886568</v>
      </c>
      <c r="Q1184">
        <v>0.11099290000000001</v>
      </c>
      <c r="R1184">
        <v>0.1011842</v>
      </c>
      <c r="S1184">
        <v>3.0182190000000002</v>
      </c>
      <c r="T1184">
        <v>-1.6362669999999999E-2</v>
      </c>
      <c r="U1184">
        <v>0.17660519999999999</v>
      </c>
      <c r="V1184">
        <v>-9.1112789999999999E-2</v>
      </c>
      <c r="W1184">
        <v>0.12203319999999999</v>
      </c>
      <c r="X1184">
        <v>0.98833510000000002</v>
      </c>
      <c r="Y1184">
        <v>-4.8260150000000002E-2</v>
      </c>
      <c r="Z1184">
        <v>4.5821110000000001E-4</v>
      </c>
      <c r="AA1184">
        <v>0.99883469999999996</v>
      </c>
      <c r="AB1184">
        <v>28</v>
      </c>
      <c r="AC1184">
        <v>169.92669999999899</v>
      </c>
      <c r="AD1184">
        <v>-0.92218630000000001</v>
      </c>
      <c r="AE1184">
        <v>9.9507999999999495</v>
      </c>
      <c r="AF1184">
        <v>-8.2226815553961501</v>
      </c>
      <c r="AG1184">
        <v>-0.92218630000000001</v>
      </c>
      <c r="AH1184">
        <v>170.01408330283999</v>
      </c>
      <c r="AI1184">
        <v>90.310416505364003</v>
      </c>
      <c r="AJ1184">
        <v>92.768936030288003</v>
      </c>
      <c r="AK1184">
        <v>170.215309067188</v>
      </c>
      <c r="AL1184">
        <v>82.990540799407697</v>
      </c>
      <c r="AM1184">
        <v>95.267104800026502</v>
      </c>
      <c r="AN1184">
        <v>0.99999995614791604</v>
      </c>
    </row>
    <row r="1185" spans="1:40" x14ac:dyDescent="0.25">
      <c r="A1185" t="str">
        <f>"20190304154744906"</f>
        <v>20190304154744906</v>
      </c>
      <c r="B1185" t="str">
        <f>"1551685664898212"</f>
        <v>1551685664898212</v>
      </c>
      <c r="C1185" t="s">
        <v>40</v>
      </c>
      <c r="D1185">
        <v>4.334886</v>
      </c>
      <c r="E1185">
        <v>0.51479449999999904</v>
      </c>
      <c r="F1185" t="s">
        <v>43</v>
      </c>
      <c r="G1185">
        <v>-158.19499999999999</v>
      </c>
      <c r="H1185">
        <v>6.4400199999999894E-2</v>
      </c>
      <c r="I1185">
        <v>376.80470000000003</v>
      </c>
      <c r="J1185">
        <v>-327.94819999999999</v>
      </c>
      <c r="K1185">
        <v>1.1103889999999901</v>
      </c>
      <c r="L1185">
        <v>366.82600000000002</v>
      </c>
      <c r="M1185">
        <v>0.99988659999999996</v>
      </c>
      <c r="N1185">
        <v>-1.1152219999999999E-2</v>
      </c>
      <c r="O1185">
        <v>1.013299E-2</v>
      </c>
      <c r="P1185">
        <v>0.98868389999999995</v>
      </c>
      <c r="Q1185">
        <v>0.11077339999999999</v>
      </c>
      <c r="R1185">
        <v>0.1011611</v>
      </c>
      <c r="S1185">
        <v>3.0183110000000002</v>
      </c>
      <c r="T1185">
        <v>-1.857781E-2</v>
      </c>
      <c r="U1185">
        <v>0.17727660000000001</v>
      </c>
      <c r="V1185">
        <v>-9.1120900000000005E-2</v>
      </c>
      <c r="W1185">
        <v>0.12181599999999999</v>
      </c>
      <c r="X1185">
        <v>0.98836120000000005</v>
      </c>
      <c r="Y1185">
        <v>-4.8511029999999997E-2</v>
      </c>
      <c r="Z1185">
        <v>4.7052800000000001E-4</v>
      </c>
      <c r="AA1185">
        <v>0.99882249999999995</v>
      </c>
      <c r="AB1185">
        <v>28</v>
      </c>
      <c r="AC1185">
        <v>169.75319999999999</v>
      </c>
      <c r="AD1185">
        <v>-1.0459887999999999</v>
      </c>
      <c r="AE1185">
        <v>9.9787000000000603</v>
      </c>
      <c r="AF1185">
        <v>-8.2576609528635405</v>
      </c>
      <c r="AG1185">
        <v>-1.0459887999999999</v>
      </c>
      <c r="AH1185">
        <v>169.83917786707599</v>
      </c>
      <c r="AI1185">
        <v>90.352446815182006</v>
      </c>
      <c r="AJ1185">
        <v>92.783555815467693</v>
      </c>
      <c r="AK1185">
        <v>170.04302219011001</v>
      </c>
      <c r="AL1185">
        <v>83.003079357561205</v>
      </c>
      <c r="AM1185">
        <v>95.267432670620494</v>
      </c>
      <c r="AN1185">
        <v>1.0000000089691199</v>
      </c>
    </row>
    <row r="1186" spans="1:40" x14ac:dyDescent="0.25">
      <c r="A1186" t="str">
        <f>"20190304154744921"</f>
        <v>20190304154744921</v>
      </c>
      <c r="B1186" t="str">
        <f>"1551685664917732"</f>
        <v>1551685664917732</v>
      </c>
      <c r="C1186" t="s">
        <v>40</v>
      </c>
      <c r="D1186">
        <v>4.2483230000000001</v>
      </c>
      <c r="E1186">
        <v>0.51480400000000004</v>
      </c>
      <c r="F1186" t="s">
        <v>53</v>
      </c>
      <c r="G1186">
        <v>-178.35390000000001</v>
      </c>
      <c r="H1186">
        <v>7.9989060000000001E-2</v>
      </c>
      <c r="I1186">
        <v>375.59780000000001</v>
      </c>
      <c r="J1186">
        <v>-327.76830000000001</v>
      </c>
      <c r="K1186">
        <v>1.110387</v>
      </c>
      <c r="L1186">
        <v>366.82780000000002</v>
      </c>
      <c r="M1186">
        <v>0.99988679999999996</v>
      </c>
      <c r="N1186">
        <v>-1.115414E-2</v>
      </c>
      <c r="O1186">
        <v>1.0100430000000001E-2</v>
      </c>
      <c r="P1186">
        <v>0.98872919999999997</v>
      </c>
      <c r="Q1186">
        <v>0.11054410000000001</v>
      </c>
      <c r="R1186">
        <v>0.1009692</v>
      </c>
      <c r="S1186">
        <v>3.0185849999999999</v>
      </c>
      <c r="T1186">
        <v>-2.079189E-2</v>
      </c>
      <c r="U1186">
        <v>0.17700199999999999</v>
      </c>
      <c r="V1186">
        <v>-9.0960849999999996E-2</v>
      </c>
      <c r="W1186">
        <v>0.1215888</v>
      </c>
      <c r="X1186">
        <v>0.9884039</v>
      </c>
      <c r="Y1186">
        <v>-4.8447200000000003E-2</v>
      </c>
      <c r="Z1186">
        <v>4.8022229999999998E-4</v>
      </c>
      <c r="AA1186">
        <v>0.99882559999999998</v>
      </c>
      <c r="AB1186">
        <v>28</v>
      </c>
      <c r="AC1186">
        <v>149.4144</v>
      </c>
      <c r="AD1186">
        <v>-1.0303979400000001</v>
      </c>
      <c r="AE1186">
        <v>8.76999999999998</v>
      </c>
      <c r="AF1186">
        <v>-7.2599649535762696</v>
      </c>
      <c r="AG1186">
        <v>-1.0303979400000001</v>
      </c>
      <c r="AH1186">
        <v>149.48827862863999</v>
      </c>
      <c r="AI1186">
        <v>90.394459164564495</v>
      </c>
      <c r="AJ1186">
        <v>92.780410509614896</v>
      </c>
      <c r="AK1186">
        <v>149.668013477816</v>
      </c>
      <c r="AL1186">
        <v>83.016194321893906</v>
      </c>
      <c r="AM1186">
        <v>95.258006667952998</v>
      </c>
      <c r="AN1186">
        <v>0.99999999102668602</v>
      </c>
    </row>
    <row r="1187" spans="1:40" x14ac:dyDescent="0.25">
      <c r="A1187" t="str">
        <f>"20190304154744932"</f>
        <v>20190304154744932</v>
      </c>
      <c r="B1187" t="str">
        <f>"1551685664927492"</f>
        <v>1551685664927492</v>
      </c>
      <c r="C1187" t="s">
        <v>40</v>
      </c>
      <c r="D1187">
        <v>4.2644190000000002</v>
      </c>
      <c r="E1187">
        <v>0.51465850000000002</v>
      </c>
      <c r="F1187" t="s">
        <v>45</v>
      </c>
      <c r="G1187">
        <v>-153.49010000000001</v>
      </c>
      <c r="H1187">
        <v>-0.05</v>
      </c>
      <c r="I1187">
        <v>377.02289999999999</v>
      </c>
      <c r="J1187">
        <v>-327.6259</v>
      </c>
      <c r="K1187">
        <v>1.110384</v>
      </c>
      <c r="L1187">
        <v>366.82920000000001</v>
      </c>
      <c r="M1187">
        <v>0.99988719999999998</v>
      </c>
      <c r="N1187">
        <v>-1.1155669999999999E-2</v>
      </c>
      <c r="O1187">
        <v>1.007444E-2</v>
      </c>
      <c r="P1187">
        <v>0.98873390000000005</v>
      </c>
      <c r="Q1187">
        <v>0.1106502</v>
      </c>
      <c r="R1187">
        <v>0.10080799999999999</v>
      </c>
      <c r="S1187">
        <v>3.018402</v>
      </c>
      <c r="T1187">
        <v>-2.0097259999999999E-2</v>
      </c>
      <c r="U1187">
        <v>0.1765747</v>
      </c>
      <c r="V1187">
        <v>-9.0824840000000004E-2</v>
      </c>
      <c r="W1187">
        <v>0.1216967</v>
      </c>
      <c r="X1187">
        <v>0.98840309999999998</v>
      </c>
      <c r="Y1187">
        <v>-4.8335969999999999E-2</v>
      </c>
      <c r="Z1187">
        <v>4.7592460000000001E-4</v>
      </c>
      <c r="AA1187">
        <v>0.99883100000000002</v>
      </c>
      <c r="AB1187">
        <v>28</v>
      </c>
      <c r="AC1187">
        <v>174.13579999999999</v>
      </c>
      <c r="AD1187">
        <v>-1.1603840000000001</v>
      </c>
      <c r="AE1187">
        <v>10.1936999999999</v>
      </c>
      <c r="AF1187">
        <v>-8.4383796700619396</v>
      </c>
      <c r="AG1187">
        <v>-1.1603840000000001</v>
      </c>
      <c r="AH1187">
        <v>174.221954146332</v>
      </c>
      <c r="AI1187">
        <v>90.381159075095198</v>
      </c>
      <c r="AJ1187">
        <v>92.772934123857596</v>
      </c>
      <c r="AK1187">
        <v>174.43004915739201</v>
      </c>
      <c r="AL1187">
        <v>83.009965658963495</v>
      </c>
      <c r="AM1187">
        <v>95.250192782247495</v>
      </c>
      <c r="AN1187">
        <v>0.99999996322076201</v>
      </c>
    </row>
    <row r="1188" spans="1:40" x14ac:dyDescent="0.25">
      <c r="A1188" t="str">
        <f>"20190304154744943"</f>
        <v>20190304154744943</v>
      </c>
      <c r="B1188" t="str">
        <f>"1551685664938228"</f>
        <v>1551685664938228</v>
      </c>
      <c r="C1188" t="s">
        <v>40</v>
      </c>
      <c r="D1188">
        <v>4.23339</v>
      </c>
      <c r="E1188">
        <v>0.51461369999999995</v>
      </c>
      <c r="F1188" t="s">
        <v>53</v>
      </c>
      <c r="G1188">
        <v>-175.57589999999999</v>
      </c>
      <c r="H1188">
        <v>7.998914E-2</v>
      </c>
      <c r="I1188">
        <v>375.75779999999997</v>
      </c>
      <c r="J1188">
        <v>-327.48610000000002</v>
      </c>
      <c r="K1188">
        <v>1.110387</v>
      </c>
      <c r="L1188">
        <v>366.83049999999997</v>
      </c>
      <c r="M1188">
        <v>0.99988730000000003</v>
      </c>
      <c r="N1188">
        <v>-1.1157169999999999E-2</v>
      </c>
      <c r="O1188">
        <v>1.004945E-2</v>
      </c>
      <c r="P1188">
        <v>0.98877190000000004</v>
      </c>
      <c r="Q1188">
        <v>0.1105275</v>
      </c>
      <c r="R1188">
        <v>0.1005693</v>
      </c>
      <c r="S1188">
        <v>3.018402</v>
      </c>
      <c r="T1188">
        <v>-2.0454759999999999E-2</v>
      </c>
      <c r="U1188">
        <v>0.17724609999999999</v>
      </c>
      <c r="V1188">
        <v>-9.0610789999999997E-2</v>
      </c>
      <c r="W1188">
        <v>0.1215755</v>
      </c>
      <c r="X1188">
        <v>0.98843769999999997</v>
      </c>
      <c r="Y1188">
        <v>-4.8582239999999999E-2</v>
      </c>
      <c r="Z1188">
        <v>4.7974429999999999E-4</v>
      </c>
      <c r="AA1188">
        <v>0.99881909999999896</v>
      </c>
      <c r="AB1188">
        <v>28</v>
      </c>
      <c r="AC1188">
        <v>151.9102</v>
      </c>
      <c r="AD1188">
        <v>-1.0303978600000001</v>
      </c>
      <c r="AE1188">
        <v>8.9273000000000007</v>
      </c>
      <c r="AF1188">
        <v>-7.3998009411824697</v>
      </c>
      <c r="AG1188">
        <v>-1.0303978600000001</v>
      </c>
      <c r="AH1188">
        <v>151.985279556579</v>
      </c>
      <c r="AI1188">
        <v>90.387976374995901</v>
      </c>
      <c r="AJ1188">
        <v>92.787393815813701</v>
      </c>
      <c r="AK1188">
        <v>152.16880092716201</v>
      </c>
      <c r="AL1188">
        <v>83.016962129138506</v>
      </c>
      <c r="AM1188">
        <v>95.237706046562593</v>
      </c>
      <c r="AN1188">
        <v>1.00000000212298</v>
      </c>
    </row>
    <row r="1189" spans="1:40" x14ac:dyDescent="0.25">
      <c r="A1189" t="str">
        <f>"20190304154744955"</f>
        <v>20190304154744955</v>
      </c>
      <c r="B1189" t="str">
        <f>"1551685664947987"</f>
        <v>1551685664947987</v>
      </c>
      <c r="C1189" t="s">
        <v>40</v>
      </c>
      <c r="D1189">
        <v>4.1586949999999998</v>
      </c>
      <c r="E1189">
        <v>0.51461369999999995</v>
      </c>
      <c r="F1189" t="s">
        <v>53</v>
      </c>
      <c r="G1189">
        <v>-179.9796</v>
      </c>
      <c r="H1189">
        <v>7.0396539999999994E-2</v>
      </c>
      <c r="I1189">
        <v>375.46249999999998</v>
      </c>
      <c r="J1189">
        <v>-327.3399</v>
      </c>
      <c r="K1189">
        <v>1.1103889999999901</v>
      </c>
      <c r="L1189">
        <v>366.83199999999999</v>
      </c>
      <c r="M1189">
        <v>0.99988750000000004</v>
      </c>
      <c r="N1189">
        <v>-1.115876E-2</v>
      </c>
      <c r="O1189">
        <v>1.00231E-2</v>
      </c>
      <c r="P1189">
        <v>0.98877610000000005</v>
      </c>
      <c r="Q1189">
        <v>0.1105627</v>
      </c>
      <c r="R1189">
        <v>0.1004872</v>
      </c>
      <c r="S1189">
        <v>3.0184329999999999</v>
      </c>
      <c r="T1189">
        <v>-2.1281359999999999E-2</v>
      </c>
      <c r="U1189">
        <v>0.17663570000000001</v>
      </c>
      <c r="V1189">
        <v>-9.0554309999999999E-2</v>
      </c>
      <c r="W1189">
        <v>0.1216124</v>
      </c>
      <c r="X1189">
        <v>0.98843829999999999</v>
      </c>
      <c r="Y1189">
        <v>-4.8406530000000003E-2</v>
      </c>
      <c r="Z1189">
        <v>4.8198620000000002E-4</v>
      </c>
      <c r="AA1189">
        <v>0.99882760000000004</v>
      </c>
      <c r="AB1189">
        <v>28</v>
      </c>
      <c r="AC1189">
        <v>147.3603</v>
      </c>
      <c r="AD1189">
        <v>-1.0399924599999999</v>
      </c>
      <c r="AE1189">
        <v>8.6304999999999801</v>
      </c>
      <c r="AF1189">
        <v>-7.1526123809233901</v>
      </c>
      <c r="AG1189">
        <v>-1.0399924599999999</v>
      </c>
      <c r="AH1189">
        <v>147.43208834879201</v>
      </c>
      <c r="AI1189">
        <v>90.403685478640696</v>
      </c>
      <c r="AJ1189">
        <v>92.777505475684407</v>
      </c>
      <c r="AK1189">
        <v>147.60915324963599</v>
      </c>
      <c r="AL1189">
        <v>83.014831855697196</v>
      </c>
      <c r="AM1189">
        <v>95.234456233445897</v>
      </c>
      <c r="AN1189">
        <v>0.99999996590011198</v>
      </c>
    </row>
    <row r="1190" spans="1:40" x14ac:dyDescent="0.25">
      <c r="A1190" t="str">
        <f>"20190304154744966"</f>
        <v>20190304154744966</v>
      </c>
      <c r="B1190" t="str">
        <f>"1551685664957748"</f>
        <v>1551685664957748</v>
      </c>
      <c r="C1190" t="s">
        <v>40</v>
      </c>
      <c r="D1190">
        <v>4.2247640000000004</v>
      </c>
      <c r="E1190">
        <v>0.53730599999999995</v>
      </c>
      <c r="F1190" t="s">
        <v>53</v>
      </c>
      <c r="G1190">
        <v>-179.9727</v>
      </c>
      <c r="H1190">
        <v>7.7274880000000004E-2</v>
      </c>
      <c r="I1190">
        <v>375.44220000000001</v>
      </c>
      <c r="J1190">
        <v>-327.20060000000001</v>
      </c>
      <c r="K1190">
        <v>1.11039</v>
      </c>
      <c r="L1190">
        <v>366.83339999999998</v>
      </c>
      <c r="M1190">
        <v>0.99988779999999999</v>
      </c>
      <c r="N1190">
        <v>-1.116028E-2</v>
      </c>
      <c r="O1190">
        <v>9.9979409999999998E-3</v>
      </c>
      <c r="P1190">
        <v>0.98881479999999999</v>
      </c>
      <c r="Q1190">
        <v>0.1104743</v>
      </c>
      <c r="R1190">
        <v>0.10020469999999999</v>
      </c>
      <c r="S1190">
        <v>3.018494</v>
      </c>
      <c r="T1190">
        <v>-2.1161079999999999E-2</v>
      </c>
      <c r="U1190">
        <v>0.17636109999999999</v>
      </c>
      <c r="V1190">
        <v>-9.0296509999999996E-2</v>
      </c>
      <c r="W1190">
        <v>0.1215258</v>
      </c>
      <c r="X1190">
        <v>0.98847260000000003</v>
      </c>
      <c r="Y1190">
        <v>-4.8339930000000003E-2</v>
      </c>
      <c r="Z1190">
        <v>4.807619E-4</v>
      </c>
      <c r="AA1190">
        <v>0.99883089999999997</v>
      </c>
      <c r="AB1190">
        <v>28</v>
      </c>
      <c r="AC1190">
        <v>147.22790000000001</v>
      </c>
      <c r="AD1190">
        <v>-1.0331151199999999</v>
      </c>
      <c r="AE1190">
        <v>8.6088000000000306</v>
      </c>
      <c r="AF1190">
        <v>-7.1359520523719597</v>
      </c>
      <c r="AG1190">
        <v>-1.0331151199999999</v>
      </c>
      <c r="AH1190">
        <v>147.29938787235801</v>
      </c>
      <c r="AI1190">
        <v>90.401378651104096</v>
      </c>
      <c r="AJ1190">
        <v>92.773538535397805</v>
      </c>
      <c r="AK1190">
        <v>147.47575667246599</v>
      </c>
      <c r="AL1190">
        <v>83.019831199532703</v>
      </c>
      <c r="AM1190">
        <v>95.219456514427804</v>
      </c>
      <c r="AN1190">
        <v>1.00000003036728</v>
      </c>
    </row>
    <row r="1191" spans="1:40" x14ac:dyDescent="0.25">
      <c r="A1191" t="str">
        <f>"20190304154744977"</f>
        <v>20190304154744977</v>
      </c>
      <c r="B1191" t="str">
        <f>"1551685664967508"</f>
        <v>1551685664967508</v>
      </c>
      <c r="C1191" t="s">
        <v>40</v>
      </c>
      <c r="D1191">
        <v>4.2082480000000002</v>
      </c>
      <c r="E1191">
        <v>0.5405084</v>
      </c>
      <c r="F1191" t="s">
        <v>43</v>
      </c>
      <c r="G1191">
        <v>-158.19499999999999</v>
      </c>
      <c r="H1191">
        <v>2.9444859999999999</v>
      </c>
      <c r="I1191">
        <v>366.64449999999999</v>
      </c>
      <c r="J1191">
        <v>-327.06650000000002</v>
      </c>
      <c r="K1191">
        <v>1.110393</v>
      </c>
      <c r="L1191">
        <v>366.8347</v>
      </c>
      <c r="M1191">
        <v>0.99988809999999995</v>
      </c>
      <c r="N1191">
        <v>-1.116176E-2</v>
      </c>
      <c r="O1191">
        <v>9.9736140000000004E-3</v>
      </c>
      <c r="P1191">
        <v>0.98880950000000001</v>
      </c>
      <c r="Q1191">
        <v>0.110554399999999</v>
      </c>
      <c r="R1191">
        <v>0.1001687</v>
      </c>
      <c r="S1191">
        <v>3.0306090000000001</v>
      </c>
      <c r="T1191">
        <v>3.2890559999999999E-2</v>
      </c>
      <c r="U1191">
        <v>-3.3874510000000001E-3</v>
      </c>
      <c r="V1191">
        <v>-9.0284299999999998E-2</v>
      </c>
      <c r="W1191">
        <v>0.121607199999999</v>
      </c>
      <c r="X1191">
        <v>0.9884636</v>
      </c>
      <c r="Y1191">
        <v>1.108952E-2</v>
      </c>
      <c r="Z1191">
        <v>2.178414E-4</v>
      </c>
      <c r="AA1191">
        <v>0.99993849999999995</v>
      </c>
      <c r="AB1191">
        <v>28</v>
      </c>
      <c r="AC1191">
        <v>168.8715</v>
      </c>
      <c r="AD1191">
        <v>1.834093</v>
      </c>
      <c r="AE1191">
        <v>-0.190200000000004</v>
      </c>
      <c r="AF1191">
        <v>1.8743333003479701</v>
      </c>
      <c r="AG1191">
        <v>1.834093</v>
      </c>
      <c r="AH1191">
        <v>168.84128629845799</v>
      </c>
      <c r="AI1191">
        <v>89.377668913042797</v>
      </c>
      <c r="AJ1191">
        <v>89.3639767931829</v>
      </c>
      <c r="AK1191">
        <v>168.861650416462</v>
      </c>
      <c r="AL1191">
        <v>83.015131750086297</v>
      </c>
      <c r="AM1191">
        <v>95.218801885387904</v>
      </c>
      <c r="AN1191">
        <v>0.99999992722164199</v>
      </c>
    </row>
    <row r="1192" spans="1:40" x14ac:dyDescent="0.25">
      <c r="A1192" t="str">
        <f>"20190304154744988"</f>
        <v>20190304154744988</v>
      </c>
      <c r="B1192" t="str">
        <f>"1551685664978244"</f>
        <v>1551685664978244</v>
      </c>
      <c r="C1192" t="s">
        <v>40</v>
      </c>
      <c r="D1192">
        <v>4.2189949999999996</v>
      </c>
      <c r="E1192">
        <v>0.54254139999999995</v>
      </c>
      <c r="F1192" t="s">
        <v>43</v>
      </c>
      <c r="G1192">
        <v>-158.19499999999999</v>
      </c>
      <c r="H1192">
        <v>2.1732629999999999</v>
      </c>
      <c r="I1192">
        <v>365.21129999999999</v>
      </c>
      <c r="J1192">
        <v>-326.92509999999999</v>
      </c>
      <c r="K1192">
        <v>1.1103909999999999</v>
      </c>
      <c r="L1192">
        <v>366.83609999999999</v>
      </c>
      <c r="M1192">
        <v>0.9998882</v>
      </c>
      <c r="N1192">
        <v>-1.1163319999999999E-2</v>
      </c>
      <c r="O1192">
        <v>9.948096E-3</v>
      </c>
      <c r="P1192">
        <v>0.98882360000000002</v>
      </c>
      <c r="Q1192">
        <v>0.1105129</v>
      </c>
      <c r="R1192">
        <v>0.1000743</v>
      </c>
      <c r="S1192">
        <v>3.0347599999999999</v>
      </c>
      <c r="T1192">
        <v>1.910222E-2</v>
      </c>
      <c r="U1192">
        <v>-2.9174800000000001E-2</v>
      </c>
      <c r="V1192">
        <v>-9.0215450000000003E-2</v>
      </c>
      <c r="W1192">
        <v>0.1215675</v>
      </c>
      <c r="X1192">
        <v>0.98847479999999999</v>
      </c>
      <c r="Y1192">
        <v>1.9559670000000001E-2</v>
      </c>
      <c r="Z1192">
        <v>1.2604399999999999E-4</v>
      </c>
      <c r="AA1192">
        <v>0.99980869999999999</v>
      </c>
      <c r="AB1192">
        <v>28</v>
      </c>
      <c r="AC1192">
        <v>168.73009999999999</v>
      </c>
      <c r="AD1192">
        <v>1.062872</v>
      </c>
      <c r="AE1192">
        <v>-1.62479999999999</v>
      </c>
      <c r="AF1192">
        <v>3.3032363624378598</v>
      </c>
      <c r="AG1192">
        <v>1.062872</v>
      </c>
      <c r="AH1192">
        <v>168.69889149389201</v>
      </c>
      <c r="AI1192">
        <v>89.639087115273199</v>
      </c>
      <c r="AJ1192">
        <v>88.878253920838304</v>
      </c>
      <c r="AK1192">
        <v>168.73457576508301</v>
      </c>
      <c r="AL1192">
        <v>83.017423606477607</v>
      </c>
      <c r="AM1192">
        <v>95.214785263203794</v>
      </c>
      <c r="AN1192">
        <v>0.99999995735499503</v>
      </c>
    </row>
    <row r="1193" spans="1:40" x14ac:dyDescent="0.25">
      <c r="A1193" t="str">
        <f>"20190304154744998"</f>
        <v>20190304154744998</v>
      </c>
      <c r="B1193" t="str">
        <f>"1551685664988005"</f>
        <v>1551685664988005</v>
      </c>
      <c r="C1193" t="s">
        <v>40</v>
      </c>
      <c r="D1193">
        <v>4.2204519999999999</v>
      </c>
      <c r="E1193">
        <v>0.54377469999999895</v>
      </c>
      <c r="F1193" t="s">
        <v>43</v>
      </c>
      <c r="G1193">
        <v>-158.19499999999999</v>
      </c>
      <c r="H1193">
        <v>1.9176420000000001</v>
      </c>
      <c r="I1193">
        <v>364.29790000000003</v>
      </c>
      <c r="J1193">
        <v>-326.7928</v>
      </c>
      <c r="K1193">
        <v>1.110392</v>
      </c>
      <c r="L1193">
        <v>366.8374</v>
      </c>
      <c r="M1193">
        <v>0.99988849999999996</v>
      </c>
      <c r="N1193">
        <v>-1.1164800000000001E-2</v>
      </c>
      <c r="O1193">
        <v>9.9241280000000008E-3</v>
      </c>
      <c r="P1193">
        <v>0.98884839999999996</v>
      </c>
      <c r="Q1193">
        <v>0.1103666</v>
      </c>
      <c r="R1193">
        <v>9.9991399999999994E-2</v>
      </c>
      <c r="S1193">
        <v>3.036896</v>
      </c>
      <c r="T1193">
        <v>1.4530899999999999E-2</v>
      </c>
      <c r="U1193">
        <v>-4.5684809999999999E-2</v>
      </c>
      <c r="V1193">
        <v>-9.0155799999999994E-2</v>
      </c>
      <c r="W1193">
        <v>0.12142260000000001</v>
      </c>
      <c r="X1193">
        <v>0.98849810000000005</v>
      </c>
      <c r="Y1193">
        <v>2.4963570000000001E-2</v>
      </c>
      <c r="Z1193" s="1">
        <v>7.8628649999999998E-5</v>
      </c>
      <c r="AA1193">
        <v>0.99968840000000003</v>
      </c>
      <c r="AB1193">
        <v>28</v>
      </c>
      <c r="AC1193">
        <v>168.59780000000001</v>
      </c>
      <c r="AD1193">
        <v>0.80724999999999902</v>
      </c>
      <c r="AE1193">
        <v>-2.5394999999999701</v>
      </c>
      <c r="AF1193">
        <v>4.2125686865757599</v>
      </c>
      <c r="AG1193">
        <v>0.80724999999999902</v>
      </c>
      <c r="AH1193">
        <v>168.56042901532899</v>
      </c>
      <c r="AI1193">
        <v>89.725693462495698</v>
      </c>
      <c r="AJ1193">
        <v>88.568393676645101</v>
      </c>
      <c r="AK1193">
        <v>168.614992267395</v>
      </c>
      <c r="AL1193">
        <v>83.025788059507406</v>
      </c>
      <c r="AM1193">
        <v>95.211234103691893</v>
      </c>
      <c r="AN1193">
        <v>1.0000000048840001</v>
      </c>
    </row>
    <row r="1194" spans="1:40" x14ac:dyDescent="0.25">
      <c r="A1194" t="str">
        <f>"20190304154745009"</f>
        <v>20190304154745009</v>
      </c>
      <c r="B1194" t="str">
        <f>"1551685664997764"</f>
        <v>1551685664997764</v>
      </c>
      <c r="C1194" t="s">
        <v>40</v>
      </c>
      <c r="D1194">
        <v>4.3058360000000002</v>
      </c>
      <c r="E1194">
        <v>0.54417649999999995</v>
      </c>
      <c r="F1194" t="s">
        <v>43</v>
      </c>
      <c r="G1194">
        <v>-158.19499999999999</v>
      </c>
      <c r="H1194">
        <v>1.6645190000000001</v>
      </c>
      <c r="I1194">
        <v>363.75700000000001</v>
      </c>
      <c r="J1194">
        <v>-326.65429999999998</v>
      </c>
      <c r="K1194">
        <v>1.110392</v>
      </c>
      <c r="L1194">
        <v>366.83870000000002</v>
      </c>
      <c r="M1194">
        <v>0.99988869999999996</v>
      </c>
      <c r="N1194">
        <v>-1.116636E-2</v>
      </c>
      <c r="O1194">
        <v>9.8992650000000008E-3</v>
      </c>
      <c r="P1194">
        <v>0.98886169999999995</v>
      </c>
      <c r="Q1194">
        <v>0.110279</v>
      </c>
      <c r="R1194">
        <v>9.9956959999999997E-2</v>
      </c>
      <c r="S1194">
        <v>3.0383300000000002</v>
      </c>
      <c r="T1194">
        <v>9.9875929999999995E-3</v>
      </c>
      <c r="U1194">
        <v>-5.551147E-2</v>
      </c>
      <c r="V1194">
        <v>-9.0146359999999995E-2</v>
      </c>
      <c r="W1194">
        <v>0.121337</v>
      </c>
      <c r="X1194">
        <v>0.98850950000000004</v>
      </c>
      <c r="Y1194">
        <v>2.816401E-2</v>
      </c>
      <c r="Z1194" s="1">
        <v>3.2093569999999998E-5</v>
      </c>
      <c r="AA1194">
        <v>0.99960329999999997</v>
      </c>
      <c r="AB1194">
        <v>28</v>
      </c>
      <c r="AC1194">
        <v>168.45929999999899</v>
      </c>
      <c r="AD1194">
        <v>0.55412699999999904</v>
      </c>
      <c r="AE1194">
        <v>-3.0817000000000601</v>
      </c>
      <c r="AF1194">
        <v>4.7492247601333997</v>
      </c>
      <c r="AG1194">
        <v>0.55412699999999904</v>
      </c>
      <c r="AH1194">
        <v>168.41871449472899</v>
      </c>
      <c r="AI1194">
        <v>89.811562459159106</v>
      </c>
      <c r="AJ1194">
        <v>88.3847493170788</v>
      </c>
      <c r="AK1194">
        <v>168.486573900152</v>
      </c>
      <c r="AL1194">
        <v>83.030729306422003</v>
      </c>
      <c r="AM1194">
        <v>95.210631689983501</v>
      </c>
      <c r="AN1194">
        <v>1.0000000326902401</v>
      </c>
    </row>
    <row r="1195" spans="1:40" x14ac:dyDescent="0.25">
      <c r="A1195" t="str">
        <f>"20190304154745022"</f>
        <v>20190304154745022</v>
      </c>
      <c r="B1195" t="str">
        <f>"1551685665018261"</f>
        <v>1551685665018261</v>
      </c>
      <c r="C1195" t="s">
        <v>40</v>
      </c>
      <c r="D1195">
        <v>4.331105</v>
      </c>
      <c r="E1195">
        <v>0.54479619999999995</v>
      </c>
      <c r="F1195" t="s">
        <v>43</v>
      </c>
      <c r="G1195">
        <v>-158.19499999999999</v>
      </c>
      <c r="H1195">
        <v>1.587143</v>
      </c>
      <c r="I1195">
        <v>363.5702</v>
      </c>
      <c r="J1195">
        <v>-326.50279999999998</v>
      </c>
      <c r="K1195">
        <v>1.11039</v>
      </c>
      <c r="L1195">
        <v>366.84019999999998</v>
      </c>
      <c r="M1195">
        <v>0.99988900000000003</v>
      </c>
      <c r="N1195">
        <v>-1.1168040000000001E-2</v>
      </c>
      <c r="O1195">
        <v>9.8727950000000002E-3</v>
      </c>
      <c r="P1195">
        <v>0.98884870000000002</v>
      </c>
      <c r="Q1195">
        <v>0.11037859999999999</v>
      </c>
      <c r="R1195">
        <v>9.9975770000000005E-2</v>
      </c>
      <c r="S1195">
        <v>3.0387879999999998</v>
      </c>
      <c r="T1195">
        <v>8.6015459999999998E-3</v>
      </c>
      <c r="U1195">
        <v>-5.8959959999999999E-2</v>
      </c>
      <c r="V1195">
        <v>-9.0191450000000006E-2</v>
      </c>
      <c r="W1195">
        <v>0.1214378</v>
      </c>
      <c r="X1195">
        <v>0.98849299999999996</v>
      </c>
      <c r="Y1195">
        <v>2.9268800000000001E-2</v>
      </c>
      <c r="Z1195" s="1">
        <v>1.6156760000000001E-5</v>
      </c>
      <c r="AA1195">
        <v>0.9995716</v>
      </c>
      <c r="AB1195">
        <v>28</v>
      </c>
      <c r="AC1195">
        <v>168.30779999999999</v>
      </c>
      <c r="AD1195">
        <v>0.47675299999999998</v>
      </c>
      <c r="AE1195">
        <v>-3.26999999999998</v>
      </c>
      <c r="AF1195">
        <v>4.9315729223293303</v>
      </c>
      <c r="AG1195">
        <v>0.47675299999999998</v>
      </c>
      <c r="AH1195">
        <v>168.26596045538901</v>
      </c>
      <c r="AI1195">
        <v>89.837732257591497</v>
      </c>
      <c r="AJ1195">
        <v>88.321244221908003</v>
      </c>
      <c r="AK1195">
        <v>168.33888782122199</v>
      </c>
      <c r="AL1195">
        <v>83.024910804860795</v>
      </c>
      <c r="AM1195">
        <v>95.213310160814402</v>
      </c>
      <c r="AN1195">
        <v>1.0000000239854701</v>
      </c>
    </row>
    <row r="1196" spans="1:40" x14ac:dyDescent="0.25">
      <c r="A1196" t="str">
        <f>"20190304154745034"</f>
        <v>20190304154745034</v>
      </c>
      <c r="B1196" t="str">
        <f>"1551685665027552"</f>
        <v>1551685665027552</v>
      </c>
      <c r="C1196" t="s">
        <v>40</v>
      </c>
      <c r="D1196">
        <v>4.2223240000000004</v>
      </c>
      <c r="E1196">
        <v>0.5449889</v>
      </c>
      <c r="F1196" t="s">
        <v>43</v>
      </c>
      <c r="G1196">
        <v>-158.19499999999999</v>
      </c>
      <c r="H1196">
        <v>0.9346662</v>
      </c>
      <c r="I1196">
        <v>363.28449999999998</v>
      </c>
      <c r="J1196">
        <v>-326.36040000000003</v>
      </c>
      <c r="K1196">
        <v>1.11039</v>
      </c>
      <c r="L1196">
        <v>366.84160000000003</v>
      </c>
      <c r="M1196">
        <v>0.99988909999999998</v>
      </c>
      <c r="N1196">
        <v>-1.116962E-2</v>
      </c>
      <c r="O1196">
        <v>9.8484139999999998E-3</v>
      </c>
      <c r="P1196">
        <v>0.98885889999999999</v>
      </c>
      <c r="Q1196">
        <v>0.1103195</v>
      </c>
      <c r="R1196">
        <v>9.9937620000000005E-2</v>
      </c>
      <c r="S1196">
        <v>3.0407099999999998</v>
      </c>
      <c r="T1196">
        <v>-3.173113E-3</v>
      </c>
      <c r="U1196">
        <v>-6.4239500000000005E-2</v>
      </c>
      <c r="V1196">
        <v>-9.0177460000000001E-2</v>
      </c>
      <c r="W1196">
        <v>0.1213805</v>
      </c>
      <c r="X1196">
        <v>0.98850130000000003</v>
      </c>
      <c r="Y1196">
        <v>3.0966870000000001E-2</v>
      </c>
      <c r="Z1196" s="1">
        <v>-8.9408409999999997E-5</v>
      </c>
      <c r="AA1196">
        <v>0.99952039999999998</v>
      </c>
      <c r="AB1196">
        <v>28</v>
      </c>
      <c r="AC1196">
        <v>168.16540000000001</v>
      </c>
      <c r="AD1196">
        <v>-0.17572380000000001</v>
      </c>
      <c r="AE1196">
        <v>-3.5571000000000401</v>
      </c>
      <c r="AF1196">
        <v>5.2131876116256102</v>
      </c>
      <c r="AG1196">
        <v>-0.17572380000000001</v>
      </c>
      <c r="AH1196">
        <v>168.122026025412</v>
      </c>
      <c r="AI1196">
        <v>90.059857662738693</v>
      </c>
      <c r="AJ1196">
        <v>88.223921177449597</v>
      </c>
      <c r="AK1196">
        <v>168.20292458461299</v>
      </c>
      <c r="AL1196">
        <v>83.028218222754703</v>
      </c>
      <c r="AM1196">
        <v>95.212462429828605</v>
      </c>
      <c r="AN1196">
        <v>1.0000000100869899</v>
      </c>
    </row>
    <row r="1197" spans="1:40" x14ac:dyDescent="0.25">
      <c r="A1197" t="str">
        <f>"20190304154745044"</f>
        <v>20190304154745044</v>
      </c>
      <c r="B1197" t="str">
        <f>"1551685665038288"</f>
        <v>1551685665038288</v>
      </c>
      <c r="C1197" t="s">
        <v>40</v>
      </c>
      <c r="D1197">
        <v>4.206772</v>
      </c>
      <c r="E1197">
        <v>0.5453614</v>
      </c>
      <c r="F1197" t="s">
        <v>43</v>
      </c>
      <c r="G1197">
        <v>-158.19499999999999</v>
      </c>
      <c r="H1197">
        <v>0.93012430000000001</v>
      </c>
      <c r="I1197">
        <v>363.2079</v>
      </c>
      <c r="J1197">
        <v>-326.21780000000001</v>
      </c>
      <c r="K1197">
        <v>1.11039</v>
      </c>
      <c r="L1197">
        <v>366.84289999999999</v>
      </c>
      <c r="M1197">
        <v>0.99988960000000005</v>
      </c>
      <c r="N1197">
        <v>-1.1171220000000001E-2</v>
      </c>
      <c r="O1197">
        <v>9.8238000000000006E-3</v>
      </c>
      <c r="P1197">
        <v>0.98887999999999998</v>
      </c>
      <c r="Q1197">
        <v>0.1102799</v>
      </c>
      <c r="R1197">
        <v>9.9775660000000002E-2</v>
      </c>
      <c r="S1197">
        <v>3.0407709999999999</v>
      </c>
      <c r="T1197">
        <v>-3.2579900000000001E-3</v>
      </c>
      <c r="U1197">
        <v>-6.5704349999999995E-2</v>
      </c>
      <c r="V1197">
        <v>-9.0039800000000003E-2</v>
      </c>
      <c r="W1197">
        <v>0.1213422</v>
      </c>
      <c r="X1197">
        <v>0.98851849999999997</v>
      </c>
      <c r="Y1197">
        <v>3.1423109999999997E-2</v>
      </c>
      <c r="Z1197" s="1">
        <v>-9.3167070000000002E-5</v>
      </c>
      <c r="AA1197">
        <v>0.99950620000000001</v>
      </c>
      <c r="AB1197">
        <v>28</v>
      </c>
      <c r="AC1197">
        <v>168.02279999999999</v>
      </c>
      <c r="AD1197">
        <v>-0.1802657</v>
      </c>
      <c r="AE1197">
        <v>-3.63499999999999</v>
      </c>
      <c r="AF1197">
        <v>5.2855434538996802</v>
      </c>
      <c r="AG1197">
        <v>-0.1802657</v>
      </c>
      <c r="AH1197">
        <v>167.97878611272199</v>
      </c>
      <c r="AI1197">
        <v>90.061456275939193</v>
      </c>
      <c r="AJ1197">
        <v>88.197751909082598</v>
      </c>
      <c r="AK1197">
        <v>168.062018461131</v>
      </c>
      <c r="AL1197">
        <v>83.030428641153705</v>
      </c>
      <c r="AM1197">
        <v>95.204459039368402</v>
      </c>
      <c r="AN1197">
        <v>0.99999995996356394</v>
      </c>
    </row>
    <row r="1198" spans="1:40" x14ac:dyDescent="0.25">
      <c r="A1198" t="str">
        <f>"20190304154745056"</f>
        <v>20190304154745056</v>
      </c>
      <c r="B1198" t="str">
        <f>"1551685665047575"</f>
        <v>1551685665047575</v>
      </c>
      <c r="C1198" t="s">
        <v>40</v>
      </c>
      <c r="D1198">
        <v>4.2182320000000004</v>
      </c>
      <c r="E1198">
        <v>0.54559740000000001</v>
      </c>
      <c r="F1198" t="s">
        <v>43</v>
      </c>
      <c r="G1198">
        <v>-158.19499999999999</v>
      </c>
      <c r="H1198">
        <v>0.94754170000000004</v>
      </c>
      <c r="I1198">
        <v>363.03050000000002</v>
      </c>
      <c r="J1198">
        <v>-326.07920000000001</v>
      </c>
      <c r="K1198">
        <v>1.1103879999999999</v>
      </c>
      <c r="L1198">
        <v>366.84429999999998</v>
      </c>
      <c r="M1198">
        <v>0.99988969999999999</v>
      </c>
      <c r="N1198">
        <v>-1.117277E-2</v>
      </c>
      <c r="O1198">
        <v>9.8007960000000005E-3</v>
      </c>
      <c r="P1198">
        <v>0.98889340000000003</v>
      </c>
      <c r="Q1198">
        <v>0.110138899999999</v>
      </c>
      <c r="R1198">
        <v>9.9798719999999994E-2</v>
      </c>
      <c r="S1198">
        <v>3.0410159999999999</v>
      </c>
      <c r="T1198">
        <v>-2.9457810000000002E-3</v>
      </c>
      <c r="U1198">
        <v>-6.9000240000000004E-2</v>
      </c>
      <c r="V1198">
        <v>-9.008563E-2</v>
      </c>
      <c r="W1198">
        <v>0.1212025</v>
      </c>
      <c r="X1198">
        <v>0.98853150000000001</v>
      </c>
      <c r="Y1198">
        <v>3.2481129999999997E-2</v>
      </c>
      <c r="Z1198" s="1">
        <v>-9.7214419999999997E-5</v>
      </c>
      <c r="AA1198">
        <v>0.99947229999999998</v>
      </c>
      <c r="AB1198">
        <v>28</v>
      </c>
      <c r="AC1198">
        <v>167.88419999999999</v>
      </c>
      <c r="AD1198">
        <v>-0.1628463</v>
      </c>
      <c r="AE1198">
        <v>-3.8137999999999499</v>
      </c>
      <c r="AF1198">
        <v>5.45911292860076</v>
      </c>
      <c r="AG1198">
        <v>-0.1628463</v>
      </c>
      <c r="AH1198">
        <v>167.83859725448301</v>
      </c>
      <c r="AI1198">
        <v>90.055562137332998</v>
      </c>
      <c r="AJ1198">
        <v>88.137056054842006</v>
      </c>
      <c r="AK1198">
        <v>167.92743421263</v>
      </c>
      <c r="AL1198">
        <v>83.038492634557201</v>
      </c>
      <c r="AM1198">
        <v>95.207025434414206</v>
      </c>
      <c r="AN1198">
        <v>0.99999999661549799</v>
      </c>
    </row>
    <row r="1199" spans="1:40" x14ac:dyDescent="0.25">
      <c r="A1199" t="str">
        <f>"20190304154745067"</f>
        <v>20190304154745067</v>
      </c>
      <c r="B1199" t="str">
        <f>"1551685665058349"</f>
        <v>1551685665058349</v>
      </c>
      <c r="C1199" t="s">
        <v>40</v>
      </c>
      <c r="D1199">
        <v>4.1888239999999897</v>
      </c>
      <c r="E1199">
        <v>0.54568430000000001</v>
      </c>
      <c r="F1199" t="s">
        <v>43</v>
      </c>
      <c r="G1199">
        <v>-158.19499999999999</v>
      </c>
      <c r="H1199">
        <v>0.94669630000000005</v>
      </c>
      <c r="I1199">
        <v>362.93759999999997</v>
      </c>
      <c r="J1199">
        <v>-325.93990000000002</v>
      </c>
      <c r="K1199">
        <v>1.1103889999999901</v>
      </c>
      <c r="L1199">
        <v>366.84559999999999</v>
      </c>
      <c r="M1199">
        <v>0.99988980000000005</v>
      </c>
      <c r="N1199">
        <v>-1.117433E-2</v>
      </c>
      <c r="O1199">
        <v>9.77833E-3</v>
      </c>
      <c r="P1199">
        <v>0.98888129999999996</v>
      </c>
      <c r="Q1199">
        <v>0.11024489999999899</v>
      </c>
      <c r="R1199">
        <v>9.9801059999999997E-2</v>
      </c>
      <c r="S1199">
        <v>3.0411990000000002</v>
      </c>
      <c r="T1199">
        <v>-2.9636620000000002E-3</v>
      </c>
      <c r="U1199">
        <v>-7.0770260000000001E-2</v>
      </c>
      <c r="V1199">
        <v>-9.0110860000000001E-2</v>
      </c>
      <c r="W1199">
        <v>0.12131</v>
      </c>
      <c r="X1199">
        <v>0.98851599999999995</v>
      </c>
      <c r="Y1199">
        <v>3.3038699999999997E-2</v>
      </c>
      <c r="Z1199">
        <v>-1.009945E-4</v>
      </c>
      <c r="AA1199">
        <v>0.99945410000000001</v>
      </c>
      <c r="AB1199">
        <v>28</v>
      </c>
      <c r="AC1199">
        <v>167.7449</v>
      </c>
      <c r="AD1199">
        <v>-0.163692699999999</v>
      </c>
      <c r="AE1199">
        <v>-3.9080000000000101</v>
      </c>
      <c r="AF1199">
        <v>5.5481751858362802</v>
      </c>
      <c r="AG1199">
        <v>-0.163692699999999</v>
      </c>
      <c r="AH1199">
        <v>167.698503575892</v>
      </c>
      <c r="AI1199">
        <v>90.055896558229406</v>
      </c>
      <c r="AJ1199">
        <v>88.105104644904699</v>
      </c>
      <c r="AK1199">
        <v>167.790336863558</v>
      </c>
      <c r="AL1199">
        <v>83.032287455130799</v>
      </c>
      <c r="AM1199">
        <v>95.208556950072804</v>
      </c>
      <c r="AN1199">
        <v>0.99999998272296897</v>
      </c>
    </row>
    <row r="1200" spans="1:40" x14ac:dyDescent="0.25">
      <c r="A1200" t="str">
        <f>"20190304154745080"</f>
        <v>20190304154745080</v>
      </c>
      <c r="B1200" t="str">
        <f>"1551685665077868"</f>
        <v>1551685665077868</v>
      </c>
      <c r="C1200" t="s">
        <v>40</v>
      </c>
      <c r="D1200">
        <v>4.306273</v>
      </c>
      <c r="E1200">
        <v>0.54623730000000004</v>
      </c>
      <c r="F1200" t="s">
        <v>43</v>
      </c>
      <c r="G1200">
        <v>-158.19499999999999</v>
      </c>
      <c r="H1200">
        <v>0.99646330000000005</v>
      </c>
      <c r="I1200">
        <v>362.90179999999998</v>
      </c>
      <c r="J1200">
        <v>-325.7713</v>
      </c>
      <c r="K1200">
        <v>1.110392</v>
      </c>
      <c r="L1200">
        <v>366.84730000000002</v>
      </c>
      <c r="M1200">
        <v>0.9998901</v>
      </c>
      <c r="N1200">
        <v>-1.1176230000000001E-2</v>
      </c>
      <c r="O1200">
        <v>9.7521729999999994E-3</v>
      </c>
      <c r="P1200">
        <v>0.98886090000000004</v>
      </c>
      <c r="Q1200">
        <v>0.1103711</v>
      </c>
      <c r="R1200">
        <v>9.9862590000000001E-2</v>
      </c>
      <c r="S1200">
        <v>3.0411990000000002</v>
      </c>
      <c r="T1200">
        <v>-2.0638700000000002E-3</v>
      </c>
      <c r="U1200">
        <v>-7.1502689999999994E-2</v>
      </c>
      <c r="V1200">
        <v>-9.0198990000000007E-2</v>
      </c>
      <c r="W1200">
        <v>0.1214373</v>
      </c>
      <c r="X1200">
        <v>0.98849240000000005</v>
      </c>
      <c r="Y1200">
        <v>3.3253159999999997E-2</v>
      </c>
      <c r="Z1200" s="1">
        <v>-9.4774280000000004E-5</v>
      </c>
      <c r="AA1200">
        <v>0.99944690000000003</v>
      </c>
      <c r="AB1200">
        <v>28</v>
      </c>
      <c r="AC1200">
        <v>167.5763</v>
      </c>
      <c r="AD1200">
        <v>-0.11392869999999999</v>
      </c>
      <c r="AE1200">
        <v>-3.9455000000000302</v>
      </c>
      <c r="AF1200">
        <v>5.5796447348490403</v>
      </c>
      <c r="AG1200">
        <v>-0.11392869999999999</v>
      </c>
      <c r="AH1200">
        <v>167.52977316612501</v>
      </c>
      <c r="AI1200">
        <v>90.038942423013495</v>
      </c>
      <c r="AJ1200">
        <v>88.092446723111493</v>
      </c>
      <c r="AK1200">
        <v>167.622702257806</v>
      </c>
      <c r="AL1200">
        <v>83.024939850409794</v>
      </c>
      <c r="AM1200">
        <v>95.213746738619307</v>
      </c>
      <c r="AN1200">
        <v>1.00000005024303</v>
      </c>
    </row>
    <row r="1201" spans="1:40" x14ac:dyDescent="0.25">
      <c r="A1201" t="str">
        <f>"20190304154745100"</f>
        <v>20190304154745100</v>
      </c>
      <c r="B1201" t="str">
        <f>"1551685665098366"</f>
        <v>1551685665098366</v>
      </c>
      <c r="C1201" t="s">
        <v>40</v>
      </c>
      <c r="D1201">
        <v>4.2124059999999997</v>
      </c>
      <c r="E1201">
        <v>0.54622839999999995</v>
      </c>
      <c r="F1201" t="s">
        <v>43</v>
      </c>
      <c r="G1201">
        <v>-158.19499999999999</v>
      </c>
      <c r="H1201">
        <v>0.99585679999999999</v>
      </c>
      <c r="I1201">
        <v>362.66590000000002</v>
      </c>
      <c r="J1201">
        <v>-325.52420000000001</v>
      </c>
      <c r="K1201">
        <v>1.1103989999999999</v>
      </c>
      <c r="L1201">
        <v>366.84960000000001</v>
      </c>
      <c r="M1201">
        <v>0.99989039999999996</v>
      </c>
      <c r="N1201">
        <v>-1.1179E-2</v>
      </c>
      <c r="O1201">
        <v>9.7157709999999998E-3</v>
      </c>
      <c r="P1201">
        <v>0.98882599999999998</v>
      </c>
      <c r="Q1201">
        <v>0.11064350000000001</v>
      </c>
      <c r="R1201">
        <v>9.9906640000000005E-2</v>
      </c>
      <c r="S1201">
        <v>3.041687</v>
      </c>
      <c r="T1201">
        <v>-2.0773409999999999E-3</v>
      </c>
      <c r="U1201">
        <v>-7.5897220000000001E-2</v>
      </c>
      <c r="V1201">
        <v>-9.0279819999999997E-2</v>
      </c>
      <c r="W1201">
        <v>0.12171179999999999</v>
      </c>
      <c r="X1201">
        <v>0.98845119999999997</v>
      </c>
      <c r="Y1201">
        <v>3.4656079999999999E-2</v>
      </c>
      <c r="Z1201">
        <v>-1.036165E-4</v>
      </c>
      <c r="AA1201">
        <v>0.99939929999999999</v>
      </c>
      <c r="AB1201">
        <v>28</v>
      </c>
      <c r="AC1201">
        <v>167.32919999999999</v>
      </c>
      <c r="AD1201">
        <v>-0.114542199999999</v>
      </c>
      <c r="AE1201">
        <v>-4.1836999999999804</v>
      </c>
      <c r="AF1201">
        <v>5.8093334248458097</v>
      </c>
      <c r="AG1201">
        <v>-0.114542199999999</v>
      </c>
      <c r="AH1201">
        <v>167.28057246338</v>
      </c>
      <c r="AI1201">
        <v>90.039208556035405</v>
      </c>
      <c r="AJ1201">
        <v>88.011026811684999</v>
      </c>
      <c r="AK1201">
        <v>167.381454762565</v>
      </c>
      <c r="AL1201">
        <v>83.009094211675503</v>
      </c>
      <c r="AM1201">
        <v>95.218609457444799</v>
      </c>
      <c r="AN1201">
        <v>0.999999991469956</v>
      </c>
    </row>
    <row r="1202" spans="1:40" x14ac:dyDescent="0.25">
      <c r="A1202" t="str">
        <f>"20190304154745113"</f>
        <v>20190304154745113</v>
      </c>
      <c r="B1202" t="str">
        <f>"1551685665108124"</f>
        <v>1551685665108124</v>
      </c>
      <c r="C1202" t="s">
        <v>40</v>
      </c>
      <c r="D1202">
        <v>4.2083849999999998</v>
      </c>
      <c r="E1202">
        <v>0.54624240000000002</v>
      </c>
      <c r="F1202" t="s">
        <v>43</v>
      </c>
      <c r="G1202">
        <v>-158.19499999999999</v>
      </c>
      <c r="H1202">
        <v>1.0832389999999901</v>
      </c>
      <c r="I1202">
        <v>362.69779999999997</v>
      </c>
      <c r="J1202">
        <v>-325.35730000000001</v>
      </c>
      <c r="K1202">
        <v>1.1104019999999999</v>
      </c>
      <c r="L1202">
        <v>366.85120000000001</v>
      </c>
      <c r="M1202">
        <v>0.99989050000000002</v>
      </c>
      <c r="N1202">
        <v>-1.1180870000000001E-2</v>
      </c>
      <c r="O1202">
        <v>9.6924769999999997E-3</v>
      </c>
      <c r="P1202">
        <v>0.98885350000000005</v>
      </c>
      <c r="Q1202">
        <v>0.1105681</v>
      </c>
      <c r="R1202">
        <v>9.9718360000000006E-2</v>
      </c>
      <c r="S1202">
        <v>3.041595</v>
      </c>
      <c r="T1202">
        <v>-4.9209589999999999E-4</v>
      </c>
      <c r="U1202">
        <v>-7.5469969999999997E-2</v>
      </c>
      <c r="V1202">
        <v>-9.0115210000000001E-2</v>
      </c>
      <c r="W1202">
        <v>0.121638</v>
      </c>
      <c r="X1202">
        <v>0.98847529999999995</v>
      </c>
      <c r="Y1202">
        <v>3.4493320000000001E-2</v>
      </c>
      <c r="Z1202" s="1">
        <v>-8.887105E-5</v>
      </c>
      <c r="AA1202">
        <v>0.99940490000000004</v>
      </c>
      <c r="AB1202">
        <v>28</v>
      </c>
      <c r="AC1202">
        <v>167.16229999999999</v>
      </c>
      <c r="AD1202">
        <v>-2.7163000000000201E-2</v>
      </c>
      <c r="AE1202">
        <v>-4.1534000000000297</v>
      </c>
      <c r="AF1202">
        <v>5.7735227815592802</v>
      </c>
      <c r="AG1202">
        <v>-2.7163000000000201E-2</v>
      </c>
      <c r="AH1202">
        <v>167.11418321579899</v>
      </c>
      <c r="AI1202">
        <v>90.009307392340105</v>
      </c>
      <c r="AJ1202">
        <v>88.021311156623995</v>
      </c>
      <c r="AK1202">
        <v>167.21388858291999</v>
      </c>
      <c r="AL1202">
        <v>83.013354257110606</v>
      </c>
      <c r="AM1202">
        <v>95.209020294546093</v>
      </c>
      <c r="AN1202">
        <v>0.99999998641371601</v>
      </c>
    </row>
    <row r="1203" spans="1:40" x14ac:dyDescent="0.25">
      <c r="A1203" t="str">
        <f>"20190304154745126"</f>
        <v>20190304154745126</v>
      </c>
      <c r="B1203" t="str">
        <f>"1551685665117885"</f>
        <v>1551685665117885</v>
      </c>
      <c r="C1203" t="s">
        <v>40</v>
      </c>
      <c r="D1203">
        <v>4.2170030000000001</v>
      </c>
      <c r="E1203">
        <v>0.54625409999999996</v>
      </c>
      <c r="F1203" t="s">
        <v>43</v>
      </c>
      <c r="G1203">
        <v>-158.19499999999999</v>
      </c>
      <c r="H1203">
        <v>1.059625</v>
      </c>
      <c r="I1203">
        <v>362.67500000000001</v>
      </c>
      <c r="J1203">
        <v>-325.1902</v>
      </c>
      <c r="K1203">
        <v>1.1104050000000001</v>
      </c>
      <c r="L1203">
        <v>366.8528</v>
      </c>
      <c r="M1203">
        <v>0.99989070000000002</v>
      </c>
      <c r="N1203">
        <v>-1.118274E-2</v>
      </c>
      <c r="O1203">
        <v>9.6703099999999997E-3</v>
      </c>
      <c r="P1203">
        <v>0.98885060000000002</v>
      </c>
      <c r="Q1203">
        <v>0.11048470000000001</v>
      </c>
      <c r="R1203">
        <v>9.9838079999999996E-2</v>
      </c>
      <c r="S1203">
        <v>3.041595</v>
      </c>
      <c r="T1203">
        <v>-9.2232230000000004E-4</v>
      </c>
      <c r="U1203">
        <v>-7.5988769999999997E-2</v>
      </c>
      <c r="V1203">
        <v>-9.0256589999999998E-2</v>
      </c>
      <c r="W1203">
        <v>0.1215566</v>
      </c>
      <c r="X1203">
        <v>0.98847240000000003</v>
      </c>
      <c r="Y1203">
        <v>3.4641499999999999E-2</v>
      </c>
      <c r="Z1203" s="1">
        <v>-9.3788190000000004E-5</v>
      </c>
      <c r="AA1203">
        <v>0.99939979999999995</v>
      </c>
      <c r="AB1203">
        <v>28</v>
      </c>
      <c r="AC1203">
        <v>166.99520000000001</v>
      </c>
      <c r="AD1203">
        <v>-5.0779999999999798E-2</v>
      </c>
      <c r="AE1203">
        <v>-4.1777999999999897</v>
      </c>
      <c r="AF1203">
        <v>5.7926004444706098</v>
      </c>
      <c r="AG1203">
        <v>-5.0779999999999798E-2</v>
      </c>
      <c r="AH1203">
        <v>166.946971996363</v>
      </c>
      <c r="AI1203">
        <v>90.017417086271493</v>
      </c>
      <c r="AJ1203">
        <v>88.012791354887497</v>
      </c>
      <c r="AK1203">
        <v>167.04744313299801</v>
      </c>
      <c r="AL1203">
        <v>83.018052901558207</v>
      </c>
      <c r="AM1203">
        <v>95.217162784064598</v>
      </c>
      <c r="AN1203">
        <v>0.99999997230187299</v>
      </c>
    </row>
    <row r="1204" spans="1:40" x14ac:dyDescent="0.25">
      <c r="A1204" t="str">
        <f>"20190304154745138"</f>
        <v>20190304154745138</v>
      </c>
      <c r="B1204" t="str">
        <f>"1551685665127645"</f>
        <v>1551685665127645</v>
      </c>
      <c r="C1204" t="s">
        <v>40</v>
      </c>
      <c r="D1204">
        <v>4.2321619999999998</v>
      </c>
      <c r="E1204">
        <v>0.54623599999999894</v>
      </c>
      <c r="F1204" t="s">
        <v>43</v>
      </c>
      <c r="G1204">
        <v>-158.19499999999999</v>
      </c>
      <c r="H1204">
        <v>1.0662229999999999</v>
      </c>
      <c r="I1204">
        <v>362.6891</v>
      </c>
      <c r="J1204">
        <v>-325.0401</v>
      </c>
      <c r="K1204">
        <v>1.110406</v>
      </c>
      <c r="L1204">
        <v>366.85419999999999</v>
      </c>
      <c r="M1204">
        <v>0.99989099999999997</v>
      </c>
      <c r="N1204">
        <v>-1.1184410000000001E-2</v>
      </c>
      <c r="O1204">
        <v>9.650881E-3</v>
      </c>
      <c r="P1204">
        <v>0.98884919999999998</v>
      </c>
      <c r="Q1204">
        <v>0.1104189</v>
      </c>
      <c r="R1204">
        <v>9.9926399999999901E-2</v>
      </c>
      <c r="S1204">
        <v>3.041534</v>
      </c>
      <c r="T1204">
        <v>-8.0311300000000005E-4</v>
      </c>
      <c r="U1204">
        <v>-7.5836180000000003E-2</v>
      </c>
      <c r="V1204">
        <v>-9.0364780000000006E-2</v>
      </c>
      <c r="W1204">
        <v>0.1214918</v>
      </c>
      <c r="X1204">
        <v>0.98847050000000003</v>
      </c>
      <c r="Y1204">
        <v>3.4572480000000003E-2</v>
      </c>
      <c r="Z1204" s="1">
        <v>-9.2560179999999994E-5</v>
      </c>
      <c r="AA1204">
        <v>0.99940220000000002</v>
      </c>
      <c r="AB1204">
        <v>28</v>
      </c>
      <c r="AC1204">
        <v>166.8451</v>
      </c>
      <c r="AD1204">
        <v>-4.4183E-2</v>
      </c>
      <c r="AE1204">
        <v>-4.16509999999999</v>
      </c>
      <c r="AF1204">
        <v>5.7752083295477297</v>
      </c>
      <c r="AG1204">
        <v>-4.4183E-2</v>
      </c>
      <c r="AH1204">
        <v>166.797117830302</v>
      </c>
      <c r="AI1204">
        <v>90.015168027733907</v>
      </c>
      <c r="AJ1204">
        <v>88.016974554121603</v>
      </c>
      <c r="AK1204">
        <v>166.89707456957601</v>
      </c>
      <c r="AL1204">
        <v>83.021793516102804</v>
      </c>
      <c r="AM1204">
        <v>95.223391976101993</v>
      </c>
      <c r="AN1204">
        <v>0.99999999015096896</v>
      </c>
    </row>
    <row r="1205" spans="1:40" x14ac:dyDescent="0.25">
      <c r="A1205" t="str">
        <f>"20190304154745150"</f>
        <v>20190304154745150</v>
      </c>
      <c r="B1205" t="str">
        <f>"1551685665138382"</f>
        <v>1551685665138382</v>
      </c>
      <c r="C1205" t="s">
        <v>40</v>
      </c>
      <c r="D1205">
        <v>4.1990860000000003</v>
      </c>
      <c r="E1205">
        <v>0.54618869999999997</v>
      </c>
      <c r="F1205" t="s">
        <v>43</v>
      </c>
      <c r="G1205">
        <v>-158.19499999999999</v>
      </c>
      <c r="H1205">
        <v>1.037139</v>
      </c>
      <c r="I1205">
        <v>362.70100000000002</v>
      </c>
      <c r="J1205">
        <v>-324.89159999999998</v>
      </c>
      <c r="K1205">
        <v>1.110406</v>
      </c>
      <c r="L1205">
        <v>366.85570000000001</v>
      </c>
      <c r="M1205">
        <v>0.99989099999999997</v>
      </c>
      <c r="N1205">
        <v>-1.1186059999999999E-2</v>
      </c>
      <c r="O1205">
        <v>9.6319300000000004E-3</v>
      </c>
      <c r="P1205">
        <v>0.98882990000000004</v>
      </c>
      <c r="Q1205">
        <v>0.1105578</v>
      </c>
      <c r="R1205">
        <v>9.9962809999999999E-2</v>
      </c>
      <c r="S1205">
        <v>3.0416259999999999</v>
      </c>
      <c r="T1205">
        <v>-1.334071E-3</v>
      </c>
      <c r="U1205">
        <v>-7.5714110000000001E-2</v>
      </c>
      <c r="V1205">
        <v>-9.0420249999999994E-2</v>
      </c>
      <c r="W1205">
        <v>0.1216319</v>
      </c>
      <c r="X1205">
        <v>0.9884482</v>
      </c>
      <c r="Y1205">
        <v>3.4512699999999903E-2</v>
      </c>
      <c r="Z1205" s="1">
        <v>-9.7130080000000006E-5</v>
      </c>
      <c r="AA1205">
        <v>0.99940430000000002</v>
      </c>
      <c r="AB1205">
        <v>28</v>
      </c>
      <c r="AC1205">
        <v>166.69659999999999</v>
      </c>
      <c r="AD1205">
        <v>-7.3266999999999902E-2</v>
      </c>
      <c r="AE1205">
        <v>-4.15470000000004</v>
      </c>
      <c r="AF1205">
        <v>5.7602166494354998</v>
      </c>
      <c r="AG1205">
        <v>-7.3266999999999902E-2</v>
      </c>
      <c r="AH1205">
        <v>166.648813832256</v>
      </c>
      <c r="AI1205">
        <v>90.025175001631894</v>
      </c>
      <c r="AJ1205">
        <v>88.020359377695101</v>
      </c>
      <c r="AK1205">
        <v>166.74835116306099</v>
      </c>
      <c r="AL1205">
        <v>83.013706417884904</v>
      </c>
      <c r="AM1205">
        <v>95.226697840448395</v>
      </c>
      <c r="AN1205">
        <v>0.99999999239545601</v>
      </c>
    </row>
    <row r="1206" spans="1:40" x14ac:dyDescent="0.25">
      <c r="A1206" t="str">
        <f>"20190304154745161"</f>
        <v>20190304154745161</v>
      </c>
      <c r="B1206" t="str">
        <f>"1551685665157902"</f>
        <v>1551685665157902</v>
      </c>
      <c r="C1206" t="s">
        <v>40</v>
      </c>
      <c r="D1206">
        <v>4.1845869999999996</v>
      </c>
      <c r="E1206">
        <v>0.54625769999999996</v>
      </c>
      <c r="F1206" t="s">
        <v>43</v>
      </c>
      <c r="G1206">
        <v>-158.19499999999999</v>
      </c>
      <c r="H1206">
        <v>1.023544</v>
      </c>
      <c r="I1206">
        <v>362.74970000000002</v>
      </c>
      <c r="J1206">
        <v>-324.74880000000002</v>
      </c>
      <c r="K1206">
        <v>1.110403</v>
      </c>
      <c r="L1206">
        <v>366.85700000000003</v>
      </c>
      <c r="M1206">
        <v>0.99989130000000004</v>
      </c>
      <c r="N1206">
        <v>-1.118765E-2</v>
      </c>
      <c r="O1206">
        <v>9.6139889999999999E-3</v>
      </c>
      <c r="P1206">
        <v>0.98885889999999999</v>
      </c>
      <c r="Q1206">
        <v>0.1104888</v>
      </c>
      <c r="R1206">
        <v>9.9752729999999998E-2</v>
      </c>
      <c r="S1206">
        <v>3.0416560000000001</v>
      </c>
      <c r="T1206">
        <v>-1.5833380000000001E-3</v>
      </c>
      <c r="U1206">
        <v>-7.4920650000000005E-2</v>
      </c>
      <c r="V1206">
        <v>-9.0228210000000003E-2</v>
      </c>
      <c r="W1206">
        <v>0.1215651</v>
      </c>
      <c r="X1206">
        <v>0.98847399999999996</v>
      </c>
      <c r="Y1206">
        <v>3.4233949999999999E-2</v>
      </c>
      <c r="Z1206" s="1">
        <v>-9.7903600000000002E-5</v>
      </c>
      <c r="AA1206">
        <v>0.99941380000000002</v>
      </c>
      <c r="AB1206">
        <v>28</v>
      </c>
      <c r="AC1206">
        <v>166.5538</v>
      </c>
      <c r="AD1206">
        <v>-8.6859000000000006E-2</v>
      </c>
      <c r="AE1206">
        <v>-4.1072999999999498</v>
      </c>
      <c r="AF1206">
        <v>5.7084550598135904</v>
      </c>
      <c r="AG1206">
        <v>-8.6859000000000006E-2</v>
      </c>
      <c r="AH1206">
        <v>166.50656641584499</v>
      </c>
      <c r="AI1206">
        <v>90.029871083410896</v>
      </c>
      <c r="AJ1206">
        <v>88.036459840952702</v>
      </c>
      <c r="AK1206">
        <v>166.60441369678699</v>
      </c>
      <c r="AL1206">
        <v>83.017562625868194</v>
      </c>
      <c r="AM1206">
        <v>95.215522968607999</v>
      </c>
      <c r="AN1206">
        <v>1.0000000260469</v>
      </c>
    </row>
    <row r="1207" spans="1:40" x14ac:dyDescent="0.25">
      <c r="A1207" t="str">
        <f>"20190304154745178"</f>
        <v>20190304154745178</v>
      </c>
      <c r="B1207" t="str">
        <f>"1551685665167661"</f>
        <v>1551685665167661</v>
      </c>
      <c r="C1207" t="s">
        <v>40</v>
      </c>
      <c r="D1207">
        <v>4.2108270000000001</v>
      </c>
      <c r="E1207">
        <v>0.54631470000000004</v>
      </c>
      <c r="F1207" t="s">
        <v>43</v>
      </c>
      <c r="G1207">
        <v>-158.19499999999999</v>
      </c>
      <c r="H1207">
        <v>0.94888309999999998</v>
      </c>
      <c r="I1207">
        <v>362.68790000000001</v>
      </c>
      <c r="J1207">
        <v>-324.54289999999997</v>
      </c>
      <c r="K1207">
        <v>1.1104019999999999</v>
      </c>
      <c r="L1207">
        <v>366.85899999999998</v>
      </c>
      <c r="M1207">
        <v>0.99989159999999999</v>
      </c>
      <c r="N1207">
        <v>-1.1189940000000001E-2</v>
      </c>
      <c r="O1207">
        <v>9.5884750000000008E-3</v>
      </c>
      <c r="P1207">
        <v>0.98886949999999996</v>
      </c>
      <c r="Q1207">
        <v>0.110467</v>
      </c>
      <c r="R1207">
        <v>9.9671560000000006E-2</v>
      </c>
      <c r="S1207">
        <v>3.0418090000000002</v>
      </c>
      <c r="T1207">
        <v>-2.9482839999999998E-3</v>
      </c>
      <c r="U1207">
        <v>-7.6141360000000005E-2</v>
      </c>
      <c r="V1207">
        <v>-9.0171849999999998E-2</v>
      </c>
      <c r="W1207">
        <v>0.12154520000000001</v>
      </c>
      <c r="X1207">
        <v>0.98848159999999896</v>
      </c>
      <c r="Y1207">
        <v>3.4607989999999998E-2</v>
      </c>
      <c r="Z1207">
        <v>-1.1245E-4</v>
      </c>
      <c r="AA1207">
        <v>0.99940099999999998</v>
      </c>
      <c r="AB1207">
        <v>28</v>
      </c>
      <c r="AC1207">
        <v>166.34789999999899</v>
      </c>
      <c r="AD1207">
        <v>-0.16151889999999999</v>
      </c>
      <c r="AE1207">
        <v>-4.1711000000000196</v>
      </c>
      <c r="AF1207">
        <v>5.7660250544629301</v>
      </c>
      <c r="AG1207">
        <v>-0.16151889999999999</v>
      </c>
      <c r="AH1207">
        <v>166.30009828035199</v>
      </c>
      <c r="AI1207">
        <v>90.055615064595102</v>
      </c>
      <c r="AJ1207">
        <v>88.014212788633898</v>
      </c>
      <c r="AK1207">
        <v>166.40010763619901</v>
      </c>
      <c r="AL1207">
        <v>83.018711398687103</v>
      </c>
      <c r="AM1207">
        <v>95.212243248625001</v>
      </c>
      <c r="AN1207">
        <v>1.00000003585701</v>
      </c>
    </row>
    <row r="1208" spans="1:40" x14ac:dyDescent="0.25">
      <c r="A1208" t="str">
        <f>"20190304154745189"</f>
        <v>20190304154745189</v>
      </c>
      <c r="B1208" t="str">
        <f>"1551685665178398"</f>
        <v>1551685665178398</v>
      </c>
      <c r="C1208" t="s">
        <v>40</v>
      </c>
      <c r="D1208">
        <v>4.2125890000000004</v>
      </c>
      <c r="E1208">
        <v>0.5463462</v>
      </c>
      <c r="F1208" t="s">
        <v>43</v>
      </c>
      <c r="G1208">
        <v>-158.19499999999999</v>
      </c>
      <c r="H1208">
        <v>0.95645570000000002</v>
      </c>
      <c r="I1208">
        <v>362.67169999999999</v>
      </c>
      <c r="J1208">
        <v>-324.40230000000003</v>
      </c>
      <c r="K1208">
        <v>1.1104039999999999</v>
      </c>
      <c r="L1208">
        <v>366.8603</v>
      </c>
      <c r="M1208">
        <v>0.99989159999999999</v>
      </c>
      <c r="N1208">
        <v>-1.11915E-2</v>
      </c>
      <c r="O1208">
        <v>9.5715420000000006E-3</v>
      </c>
      <c r="P1208">
        <v>0.9888555</v>
      </c>
      <c r="Q1208">
        <v>0.1105232</v>
      </c>
      <c r="R1208">
        <v>9.9746390000000004E-2</v>
      </c>
      <c r="S1208">
        <v>3.0418400000000001</v>
      </c>
      <c r="T1208">
        <v>-2.813458E-3</v>
      </c>
      <c r="U1208">
        <v>-7.6568600000000001E-2</v>
      </c>
      <c r="V1208">
        <v>-9.0264079999999997E-2</v>
      </c>
      <c r="W1208">
        <v>0.1216025</v>
      </c>
      <c r="X1208">
        <v>0.98846610000000001</v>
      </c>
      <c r="Y1208">
        <v>3.4731089999999999E-2</v>
      </c>
      <c r="Z1208">
        <v>-1.121902E-4</v>
      </c>
      <c r="AA1208">
        <v>0.99939670000000003</v>
      </c>
      <c r="AB1208">
        <v>28</v>
      </c>
      <c r="AC1208">
        <v>166.2073</v>
      </c>
      <c r="AD1208">
        <v>-0.15394830000000001</v>
      </c>
      <c r="AE1208">
        <v>-4.1886000000000001</v>
      </c>
      <c r="AF1208">
        <v>5.77936287743288</v>
      </c>
      <c r="AG1208">
        <v>-0.15394830000000001</v>
      </c>
      <c r="AH1208">
        <v>166.15944904784601</v>
      </c>
      <c r="AI1208">
        <v>90.053052984305097</v>
      </c>
      <c r="AJ1208">
        <v>88.007939565874807</v>
      </c>
      <c r="AK1208">
        <v>166.25999892707699</v>
      </c>
      <c r="AL1208">
        <v>83.015403575092606</v>
      </c>
      <c r="AM1208">
        <v>95.217626414976394</v>
      </c>
      <c r="AN1208">
        <v>1.00000000149685</v>
      </c>
    </row>
    <row r="1209" spans="1:40" x14ac:dyDescent="0.25">
      <c r="A1209" t="str">
        <f>"20190304154745199"</f>
        <v>20190304154745199</v>
      </c>
      <c r="B1209" t="str">
        <f>"1551685665197916"</f>
        <v>1551685665197916</v>
      </c>
      <c r="C1209" t="s">
        <v>40</v>
      </c>
      <c r="D1209">
        <v>4.2458320000000001</v>
      </c>
      <c r="E1209">
        <v>0.54631130000000006</v>
      </c>
      <c r="F1209" t="s">
        <v>43</v>
      </c>
      <c r="G1209">
        <v>-158.19499999999999</v>
      </c>
      <c r="H1209">
        <v>0.96096800000000004</v>
      </c>
      <c r="I1209">
        <v>362.66</v>
      </c>
      <c r="J1209">
        <v>-324.26780000000002</v>
      </c>
      <c r="K1209">
        <v>1.1104039999999999</v>
      </c>
      <c r="L1209">
        <v>366.86160000000001</v>
      </c>
      <c r="M1209">
        <v>0.9998918</v>
      </c>
      <c r="N1209">
        <v>-1.119299E-2</v>
      </c>
      <c r="O1209">
        <v>9.5552039999999994E-3</v>
      </c>
      <c r="P1209">
        <v>0.98886410000000002</v>
      </c>
      <c r="Q1209">
        <v>0.1106321</v>
      </c>
      <c r="R1209">
        <v>9.9541210000000005E-2</v>
      </c>
      <c r="S1209">
        <v>3.0419010000000002</v>
      </c>
      <c r="T1209">
        <v>-2.7333499999999998E-3</v>
      </c>
      <c r="U1209">
        <v>-7.6873780000000003E-2</v>
      </c>
      <c r="V1209">
        <v>-9.0074790000000002E-2</v>
      </c>
      <c r="W1209">
        <v>0.1217128</v>
      </c>
      <c r="X1209">
        <v>0.98846979999999995</v>
      </c>
      <c r="Y1209">
        <v>3.481447E-2</v>
      </c>
      <c r="Z1209">
        <v>-1.121647E-4</v>
      </c>
      <c r="AA1209">
        <v>0.9993938</v>
      </c>
      <c r="AB1209">
        <v>28</v>
      </c>
      <c r="AC1209">
        <v>166.0728</v>
      </c>
      <c r="AD1209">
        <v>-0.14943600000000001</v>
      </c>
      <c r="AE1209">
        <v>-4.2015999999999796</v>
      </c>
      <c r="AF1209">
        <v>5.7883622202293399</v>
      </c>
      <c r="AG1209">
        <v>-0.14943600000000001</v>
      </c>
      <c r="AH1209">
        <v>166.02493349803001</v>
      </c>
      <c r="AI1209">
        <v>90.051539552846194</v>
      </c>
      <c r="AJ1209">
        <v>88.003224934942907</v>
      </c>
      <c r="AK1209">
        <v>166.12587399720701</v>
      </c>
      <c r="AL1209">
        <v>83.009036613374406</v>
      </c>
      <c r="AM1209">
        <v>95.206725512820597</v>
      </c>
      <c r="AN1209">
        <v>1.0000000094947099</v>
      </c>
    </row>
    <row r="1210" spans="1:40" x14ac:dyDescent="0.25">
      <c r="A1210" t="str">
        <f>"20190304154745210"</f>
        <v>20190304154745210</v>
      </c>
      <c r="B1210" t="str">
        <f>"1551685665207677"</f>
        <v>1551685665207677</v>
      </c>
      <c r="C1210" t="s">
        <v>40</v>
      </c>
      <c r="D1210">
        <v>4.3186229999999997</v>
      </c>
      <c r="E1210">
        <v>0.54641130000000004</v>
      </c>
      <c r="F1210" t="s">
        <v>43</v>
      </c>
      <c r="G1210">
        <v>-158.19499999999999</v>
      </c>
      <c r="H1210">
        <v>0.94515039999999995</v>
      </c>
      <c r="I1210">
        <v>362.6497</v>
      </c>
      <c r="J1210">
        <v>-324.13080000000002</v>
      </c>
      <c r="K1210">
        <v>1.110403</v>
      </c>
      <c r="L1210">
        <v>366.86290000000002</v>
      </c>
      <c r="M1210">
        <v>0.99989209999999995</v>
      </c>
      <c r="N1210">
        <v>-1.11945E-2</v>
      </c>
      <c r="O1210">
        <v>9.5386259999999997E-3</v>
      </c>
      <c r="P1210">
        <v>0.98886649999999998</v>
      </c>
      <c r="Q1210">
        <v>0.1107351</v>
      </c>
      <c r="R1210">
        <v>9.9404359999999997E-2</v>
      </c>
      <c r="S1210">
        <v>3.0419010000000002</v>
      </c>
      <c r="T1210">
        <v>-3.0252930000000001E-3</v>
      </c>
      <c r="U1210">
        <v>-7.7148439999999999E-2</v>
      </c>
      <c r="V1210">
        <v>-8.995438E-2</v>
      </c>
      <c r="W1210">
        <v>0.12181740000000001</v>
      </c>
      <c r="X1210">
        <v>0.98846789999999995</v>
      </c>
      <c r="Y1210">
        <v>3.488807E-2</v>
      </c>
      <c r="Z1210">
        <v>-1.1538189999999999E-4</v>
      </c>
      <c r="AA1210">
        <v>0.99939120000000004</v>
      </c>
      <c r="AB1210">
        <v>28</v>
      </c>
      <c r="AC1210">
        <v>165.9358</v>
      </c>
      <c r="AD1210">
        <v>-0.165252599999999</v>
      </c>
      <c r="AE1210">
        <v>-4.21320000000002</v>
      </c>
      <c r="AF1210">
        <v>5.7959008718311704</v>
      </c>
      <c r="AG1210">
        <v>-0.165252599999999</v>
      </c>
      <c r="AH1210">
        <v>165.88789495379501</v>
      </c>
      <c r="AI1210">
        <v>90.057041532086998</v>
      </c>
      <c r="AJ1210">
        <v>87.998976159898206</v>
      </c>
      <c r="AK1210">
        <v>165.98919683985201</v>
      </c>
      <c r="AL1210">
        <v>83.002998685112303</v>
      </c>
      <c r="AM1210">
        <v>95.199813396487997</v>
      </c>
      <c r="AN1210">
        <v>1.00000002937717</v>
      </c>
    </row>
    <row r="1211" spans="1:40" x14ac:dyDescent="0.25">
      <c r="A1211" t="str">
        <f>"20190304154745222"</f>
        <v>20190304154745222</v>
      </c>
      <c r="B1211" t="str">
        <f>"1551685665217436"</f>
        <v>1551685665217436</v>
      </c>
      <c r="C1211" t="s">
        <v>40</v>
      </c>
      <c r="D1211">
        <v>4.2450720000000004</v>
      </c>
      <c r="E1211">
        <v>0.54638980000000004</v>
      </c>
      <c r="F1211" t="s">
        <v>43</v>
      </c>
      <c r="G1211">
        <v>-158.19499999999999</v>
      </c>
      <c r="H1211">
        <v>0.92192320000000005</v>
      </c>
      <c r="I1211">
        <v>362.58800000000002</v>
      </c>
      <c r="J1211">
        <v>-323.9862</v>
      </c>
      <c r="K1211">
        <v>1.110403</v>
      </c>
      <c r="L1211">
        <v>366.86419999999998</v>
      </c>
      <c r="M1211">
        <v>0.999892</v>
      </c>
      <c r="N1211">
        <v>-1.11961E-2</v>
      </c>
      <c r="O1211">
        <v>9.5215100000000004E-3</v>
      </c>
      <c r="P1211">
        <v>0.98886280000000004</v>
      </c>
      <c r="Q1211">
        <v>0.110707</v>
      </c>
      <c r="R1211">
        <v>9.9471599999999993E-2</v>
      </c>
      <c r="S1211">
        <v>3.0420530000000001</v>
      </c>
      <c r="T1211">
        <v>-3.4537320000000002E-3</v>
      </c>
      <c r="U1211">
        <v>-7.8369140000000004E-2</v>
      </c>
      <c r="V1211">
        <v>-9.0038560000000004E-2</v>
      </c>
      <c r="W1211">
        <v>0.12179130000000001</v>
      </c>
      <c r="X1211">
        <v>0.98846339999999999</v>
      </c>
      <c r="Y1211">
        <v>3.5270429999999998E-2</v>
      </c>
      <c r="Z1211">
        <v>-1.217245E-4</v>
      </c>
      <c r="AA1211">
        <v>0.99937779999999998</v>
      </c>
      <c r="AB1211">
        <v>28</v>
      </c>
      <c r="AC1211">
        <v>165.7912</v>
      </c>
      <c r="AD1211">
        <v>-0.1884798</v>
      </c>
      <c r="AE1211">
        <v>-4.2761999999999603</v>
      </c>
      <c r="AF1211">
        <v>5.85468007049026</v>
      </c>
      <c r="AG1211">
        <v>-0.1884798</v>
      </c>
      <c r="AH1211">
        <v>165.74275114170101</v>
      </c>
      <c r="AI1211">
        <v>90.065115132967307</v>
      </c>
      <c r="AJ1211">
        <v>87.976930883676701</v>
      </c>
      <c r="AK1211">
        <v>165.84623106776499</v>
      </c>
      <c r="AL1211">
        <v>83.004504962579304</v>
      </c>
      <c r="AM1211">
        <v>95.204676274168094</v>
      </c>
      <c r="AN1211">
        <v>0.999999978091061</v>
      </c>
    </row>
    <row r="1212" spans="1:40" x14ac:dyDescent="0.25">
      <c r="A1212" t="str">
        <f>"20190304154745234"</f>
        <v>20190304154745234</v>
      </c>
      <c r="B1212" t="str">
        <f>"1551685665227706"</f>
        <v>1551685665227706</v>
      </c>
      <c r="C1212" t="s">
        <v>40</v>
      </c>
      <c r="D1212">
        <v>4.2268980000000003</v>
      </c>
      <c r="E1212">
        <v>0.5463789</v>
      </c>
      <c r="F1212" t="s">
        <v>43</v>
      </c>
      <c r="G1212">
        <v>-158.19499999999999</v>
      </c>
      <c r="H1212">
        <v>0.93010619999999999</v>
      </c>
      <c r="I1212">
        <v>362.63130000000001</v>
      </c>
      <c r="J1212">
        <v>-323.83620000000002</v>
      </c>
      <c r="K1212">
        <v>1.1104039999999999</v>
      </c>
      <c r="L1212">
        <v>366.86559999999997</v>
      </c>
      <c r="M1212">
        <v>0.99989240000000001</v>
      </c>
      <c r="N1212">
        <v>-1.1197769999999999E-2</v>
      </c>
      <c r="O1212">
        <v>9.5035569999999993E-3</v>
      </c>
      <c r="P1212">
        <v>0.98887259999999999</v>
      </c>
      <c r="Q1212">
        <v>0.110735</v>
      </c>
      <c r="R1212">
        <v>9.9343310000000004E-2</v>
      </c>
      <c r="S1212">
        <v>3.0419619999999998</v>
      </c>
      <c r="T1212">
        <v>-3.3065080000000001E-3</v>
      </c>
      <c r="U1212">
        <v>-7.7667239999999999E-2</v>
      </c>
      <c r="V1212">
        <v>-8.9927939999999998E-2</v>
      </c>
      <c r="W1212">
        <v>0.1218207</v>
      </c>
      <c r="X1212">
        <v>0.98846990000000001</v>
      </c>
      <c r="Y1212">
        <v>3.5022829999999998E-2</v>
      </c>
      <c r="Z1212">
        <v>-1.1908429999999999E-4</v>
      </c>
      <c r="AA1212">
        <v>0.99938649999999996</v>
      </c>
      <c r="AB1212">
        <v>28</v>
      </c>
      <c r="AC1212">
        <v>165.6412</v>
      </c>
      <c r="AD1212">
        <v>-0.18029780000000001</v>
      </c>
      <c r="AE1212">
        <v>-4.2342999999999602</v>
      </c>
      <c r="AF1212">
        <v>5.80838075821198</v>
      </c>
      <c r="AG1212">
        <v>-0.18029780000000001</v>
      </c>
      <c r="AH1212">
        <v>165.593279248946</v>
      </c>
      <c r="AI1212">
        <v>90.0623452228198</v>
      </c>
      <c r="AJ1212">
        <v>87.991106151200896</v>
      </c>
      <c r="AK1212">
        <v>165.69521395245101</v>
      </c>
      <c r="AL1212">
        <v>83.002808196605898</v>
      </c>
      <c r="AM1212">
        <v>95.198282946442703</v>
      </c>
      <c r="AN1212">
        <v>1.0000000302735701</v>
      </c>
    </row>
    <row r="1213" spans="1:40" x14ac:dyDescent="0.25">
      <c r="A1213" t="str">
        <f>"20190304154745245"</f>
        <v>20190304154745245</v>
      </c>
      <c r="B1213" t="str">
        <f>"1551685665237466"</f>
        <v>1551685665237466</v>
      </c>
      <c r="C1213" t="s">
        <v>40</v>
      </c>
      <c r="D1213">
        <v>4.2556510000000003</v>
      </c>
      <c r="E1213">
        <v>0.54634969999999905</v>
      </c>
      <c r="F1213" t="s">
        <v>43</v>
      </c>
      <c r="G1213">
        <v>-158.19499999999999</v>
      </c>
      <c r="H1213">
        <v>0.9585304</v>
      </c>
      <c r="I1213">
        <v>362.62650000000002</v>
      </c>
      <c r="J1213">
        <v>-323.69979999999998</v>
      </c>
      <c r="K1213">
        <v>1.1104050000000001</v>
      </c>
      <c r="L1213">
        <v>366.86689999999999</v>
      </c>
      <c r="M1213">
        <v>0.99989240000000001</v>
      </c>
      <c r="N1213">
        <v>-1.1199290000000001E-2</v>
      </c>
      <c r="O1213">
        <v>9.4869210000000006E-3</v>
      </c>
      <c r="P1213">
        <v>0.98887539999999996</v>
      </c>
      <c r="Q1213">
        <v>0.1107284</v>
      </c>
      <c r="R1213">
        <v>9.9321930000000003E-2</v>
      </c>
      <c r="S1213">
        <v>3.0419309999999999</v>
      </c>
      <c r="T1213">
        <v>-2.7874710000000001E-3</v>
      </c>
      <c r="U1213">
        <v>-7.7850340000000004E-2</v>
      </c>
      <c r="V1213">
        <v>-8.9923279999999994E-2</v>
      </c>
      <c r="W1213">
        <v>0.12181549999999999</v>
      </c>
      <c r="X1213">
        <v>0.98847090000000004</v>
      </c>
      <c r="Y1213">
        <v>3.5066590000000002E-2</v>
      </c>
      <c r="Z1213">
        <v>-1.1492449999999999E-4</v>
      </c>
      <c r="AA1213">
        <v>0.99938499999999997</v>
      </c>
      <c r="AB1213">
        <v>28</v>
      </c>
      <c r="AC1213">
        <v>165.50479999999999</v>
      </c>
      <c r="AD1213">
        <v>-0.151874599999999</v>
      </c>
      <c r="AE1213">
        <v>-4.2403999999999602</v>
      </c>
      <c r="AF1213">
        <v>5.8104335124277604</v>
      </c>
      <c r="AG1213">
        <v>-0.151874599999999</v>
      </c>
      <c r="AH1213">
        <v>165.45698095235301</v>
      </c>
      <c r="AI1213">
        <v>90.052559948723996</v>
      </c>
      <c r="AJ1213">
        <v>87.988742675686197</v>
      </c>
      <c r="AK1213">
        <v>165.55904309147201</v>
      </c>
      <c r="AL1213">
        <v>83.003107919909397</v>
      </c>
      <c r="AM1213">
        <v>95.198009821050206</v>
      </c>
      <c r="AN1213">
        <v>0.999999966236508</v>
      </c>
    </row>
    <row r="1214" spans="1:40" x14ac:dyDescent="0.25">
      <c r="A1214" t="str">
        <f>"20190304154745256"</f>
        <v>20190304154745256</v>
      </c>
      <c r="B1214" t="str">
        <f>"1551685665248202"</f>
        <v>1551685665248202</v>
      </c>
      <c r="C1214" t="s">
        <v>40</v>
      </c>
      <c r="D1214">
        <v>4.280297</v>
      </c>
      <c r="E1214">
        <v>0.54631879999999999</v>
      </c>
      <c r="F1214" t="s">
        <v>43</v>
      </c>
      <c r="G1214">
        <v>-158.19499999999999</v>
      </c>
      <c r="H1214">
        <v>0.97215600000000002</v>
      </c>
      <c r="I1214">
        <v>362.6345</v>
      </c>
      <c r="J1214">
        <v>-323.5575</v>
      </c>
      <c r="K1214">
        <v>1.110401</v>
      </c>
      <c r="L1214">
        <v>366.8682</v>
      </c>
      <c r="M1214">
        <v>0.99989240000000001</v>
      </c>
      <c r="N1214">
        <v>-1.120089E-2</v>
      </c>
      <c r="O1214">
        <v>9.4696269999999996E-3</v>
      </c>
      <c r="P1214">
        <v>0.98885509999999999</v>
      </c>
      <c r="Q1214">
        <v>0.11076179999999999</v>
      </c>
      <c r="R1214">
        <v>9.9486400000000003E-2</v>
      </c>
      <c r="S1214">
        <v>3.0418400000000001</v>
      </c>
      <c r="T1214">
        <v>-2.5392769999999999E-3</v>
      </c>
      <c r="U1214">
        <v>-7.778931E-2</v>
      </c>
      <c r="V1214">
        <v>-9.0104840000000005E-2</v>
      </c>
      <c r="W1214">
        <v>0.1218505</v>
      </c>
      <c r="X1214">
        <v>0.9884501</v>
      </c>
      <c r="Y1214">
        <v>3.503005E-2</v>
      </c>
      <c r="Z1214">
        <v>-1.12693E-4</v>
      </c>
      <c r="AA1214">
        <v>0.99938629999999995</v>
      </c>
      <c r="AB1214">
        <v>28</v>
      </c>
      <c r="AC1214">
        <v>165.36250000000001</v>
      </c>
      <c r="AD1214">
        <v>-0.13824500000000001</v>
      </c>
      <c r="AE1214">
        <v>-4.23369999999999</v>
      </c>
      <c r="AF1214">
        <v>5.7995255721463996</v>
      </c>
      <c r="AG1214">
        <v>-0.13824500000000001</v>
      </c>
      <c r="AH1214">
        <v>165.31487501661201</v>
      </c>
      <c r="AI1214">
        <v>90.047884278361494</v>
      </c>
      <c r="AJ1214">
        <v>87.990791086002602</v>
      </c>
      <c r="AK1214">
        <v>165.41663008990301</v>
      </c>
      <c r="AL1214">
        <v>83.001087848298198</v>
      </c>
      <c r="AM1214">
        <v>95.208556219603096</v>
      </c>
      <c r="AN1214">
        <v>1.00000001336584</v>
      </c>
    </row>
    <row r="1215" spans="1:40" x14ac:dyDescent="0.25">
      <c r="A1215" t="str">
        <f>"20190304154745267"</f>
        <v>20190304154745267</v>
      </c>
      <c r="B1215" t="str">
        <f>"1551685665257961"</f>
        <v>1551685665257961</v>
      </c>
      <c r="C1215" t="s">
        <v>40</v>
      </c>
      <c r="D1215">
        <v>4.2279749999999998</v>
      </c>
      <c r="E1215">
        <v>0.54641799999999996</v>
      </c>
      <c r="F1215" t="s">
        <v>43</v>
      </c>
      <c r="G1215">
        <v>-158.19499999999999</v>
      </c>
      <c r="H1215">
        <v>0.98781680000000005</v>
      </c>
      <c r="I1215">
        <v>362.68079999999998</v>
      </c>
      <c r="J1215">
        <v>-323.41609999999997</v>
      </c>
      <c r="K1215">
        <v>1.1104019999999999</v>
      </c>
      <c r="L1215">
        <v>366.86959999999999</v>
      </c>
      <c r="M1215">
        <v>0.99989260000000002</v>
      </c>
      <c r="N1215">
        <v>-1.1202480000000001E-2</v>
      </c>
      <c r="O1215">
        <v>9.4523339999999997E-3</v>
      </c>
      <c r="P1215">
        <v>0.98885400000000001</v>
      </c>
      <c r="Q1215">
        <v>0.1107728</v>
      </c>
      <c r="R1215">
        <v>9.9484119999999995E-2</v>
      </c>
      <c r="S1215">
        <v>3.0418090000000002</v>
      </c>
      <c r="T1215">
        <v>-2.2532939999999999E-3</v>
      </c>
      <c r="U1215">
        <v>-7.7026369999999997E-2</v>
      </c>
      <c r="V1215">
        <v>-9.0119290000000005E-2</v>
      </c>
      <c r="W1215">
        <v>0.12186329999999999</v>
      </c>
      <c r="X1215">
        <v>0.98844719999999997</v>
      </c>
      <c r="Y1215">
        <v>3.476253E-2</v>
      </c>
      <c r="Z1215">
        <v>-1.087515E-4</v>
      </c>
      <c r="AA1215">
        <v>0.99939560000000005</v>
      </c>
      <c r="AB1215">
        <v>28</v>
      </c>
      <c r="AC1215">
        <v>165.22109999999901</v>
      </c>
      <c r="AD1215">
        <v>-0.12258520000000001</v>
      </c>
      <c r="AE1215">
        <v>-4.1888000000000103</v>
      </c>
      <c r="AF1215">
        <v>5.7504326643947401</v>
      </c>
      <c r="AG1215">
        <v>-0.12258520000000001</v>
      </c>
      <c r="AH1215">
        <v>165.174030648236</v>
      </c>
      <c r="AI1215">
        <v>90.042496757419897</v>
      </c>
      <c r="AJ1215">
        <v>88.006087852942102</v>
      </c>
      <c r="AK1215">
        <v>165.27414469160999</v>
      </c>
      <c r="AL1215">
        <v>83.0003489234131</v>
      </c>
      <c r="AM1215">
        <v>95.209402113544499</v>
      </c>
      <c r="AN1215">
        <v>1.0000000087524099</v>
      </c>
    </row>
    <row r="1216" spans="1:40" x14ac:dyDescent="0.25">
      <c r="A1216" t="str">
        <f>"20190304154745278"</f>
        <v>20190304154745278</v>
      </c>
      <c r="B1216" t="str">
        <f>"1551685665267722"</f>
        <v>1551685665267722</v>
      </c>
      <c r="C1216" t="s">
        <v>40</v>
      </c>
      <c r="D1216">
        <v>4.2248210000000004</v>
      </c>
      <c r="E1216">
        <v>0.54650109999999996</v>
      </c>
      <c r="F1216" t="s">
        <v>43</v>
      </c>
      <c r="G1216">
        <v>-158.19499999999999</v>
      </c>
      <c r="H1216">
        <v>1.035819</v>
      </c>
      <c r="I1216">
        <v>362.62610000000001</v>
      </c>
      <c r="J1216">
        <v>-323.28089999999997</v>
      </c>
      <c r="K1216">
        <v>1.110403</v>
      </c>
      <c r="L1216">
        <v>366.87079999999997</v>
      </c>
      <c r="M1216">
        <v>0.99989269999999997</v>
      </c>
      <c r="N1216">
        <v>-1.120399E-2</v>
      </c>
      <c r="O1216">
        <v>9.4358740000000003E-3</v>
      </c>
      <c r="P1216">
        <v>0.9888285</v>
      </c>
      <c r="Q1216">
        <v>0.11090029999999999</v>
      </c>
      <c r="R1216">
        <v>9.9597249999999998E-2</v>
      </c>
      <c r="S1216">
        <v>3.0418090000000002</v>
      </c>
      <c r="T1216">
        <v>-1.3715029999999901E-3</v>
      </c>
      <c r="U1216">
        <v>-7.8125E-2</v>
      </c>
      <c r="V1216">
        <v>-9.0249369999999995E-2</v>
      </c>
      <c r="W1216">
        <v>0.1219915</v>
      </c>
      <c r="X1216">
        <v>0.98841950000000001</v>
      </c>
      <c r="Y1216">
        <v>3.5106829999999999E-2</v>
      </c>
      <c r="Z1216">
        <v>-1.031708E-4</v>
      </c>
      <c r="AA1216">
        <v>0.99938360000000004</v>
      </c>
      <c r="AB1216">
        <v>28</v>
      </c>
      <c r="AC1216">
        <v>165.08589999999899</v>
      </c>
      <c r="AD1216">
        <v>-7.45839999999999E-2</v>
      </c>
      <c r="AE1216">
        <v>-4.2446999999999599</v>
      </c>
      <c r="AF1216">
        <v>5.8023373729834198</v>
      </c>
      <c r="AG1216">
        <v>-7.45839999999999E-2</v>
      </c>
      <c r="AH1216">
        <v>165.03846100944801</v>
      </c>
      <c r="AI1216">
        <v>90.025877056262402</v>
      </c>
      <c r="AJ1216">
        <v>87.986453777713905</v>
      </c>
      <c r="AK1216">
        <v>165.14044415021499</v>
      </c>
      <c r="AL1216">
        <v>82.992948267247698</v>
      </c>
      <c r="AM1216">
        <v>95.217025402913706</v>
      </c>
      <c r="AN1216">
        <v>0.99999999141894802</v>
      </c>
    </row>
    <row r="1217" spans="1:40" x14ac:dyDescent="0.25">
      <c r="A1217" t="str">
        <f>"20190304154745290"</f>
        <v>20190304154745290</v>
      </c>
      <c r="B1217" t="str">
        <f>"1551685665288217"</f>
        <v>1551685665288217</v>
      </c>
      <c r="C1217" t="s">
        <v>40</v>
      </c>
      <c r="D1217">
        <v>4.265218</v>
      </c>
      <c r="E1217">
        <v>0.5465679</v>
      </c>
      <c r="F1217" t="s">
        <v>43</v>
      </c>
      <c r="G1217">
        <v>-158.19499999999999</v>
      </c>
      <c r="H1217">
        <v>1.094697</v>
      </c>
      <c r="I1217">
        <v>362.6259</v>
      </c>
      <c r="J1217">
        <v>-323.12740000000002</v>
      </c>
      <c r="K1217">
        <v>1.1104039999999999</v>
      </c>
      <c r="L1217">
        <v>366.8723</v>
      </c>
      <c r="M1217">
        <v>0.99989280000000003</v>
      </c>
      <c r="N1217">
        <v>-1.1205710000000001E-2</v>
      </c>
      <c r="O1217">
        <v>9.417089E-3</v>
      </c>
      <c r="P1217">
        <v>0.98877749999999998</v>
      </c>
      <c r="Q1217">
        <v>0.1113295</v>
      </c>
      <c r="R1217">
        <v>9.9624409999999997E-2</v>
      </c>
      <c r="S1217">
        <v>3.0418090000000002</v>
      </c>
      <c r="T1217">
        <v>-2.8777119999999999E-4</v>
      </c>
      <c r="U1217">
        <v>-7.8216549999999996E-2</v>
      </c>
      <c r="V1217">
        <v>-9.0295449999999999E-2</v>
      </c>
      <c r="W1217">
        <v>0.122421699999999</v>
      </c>
      <c r="X1217">
        <v>0.98836210000000002</v>
      </c>
      <c r="Y1217">
        <v>3.5118160000000002E-2</v>
      </c>
      <c r="Z1217" s="1">
        <v>-9.3843319999999998E-5</v>
      </c>
      <c r="AA1217">
        <v>0.99938320000000003</v>
      </c>
      <c r="AB1217">
        <v>28</v>
      </c>
      <c r="AC1217">
        <v>164.9324</v>
      </c>
      <c r="AD1217">
        <v>-1.5707000000000099E-2</v>
      </c>
      <c r="AE1217">
        <v>-4.2463999999999897</v>
      </c>
      <c r="AF1217">
        <v>5.7994923528277402</v>
      </c>
      <c r="AG1217">
        <v>-1.5707000000000099E-2</v>
      </c>
      <c r="AH1217">
        <v>164.88509295187899</v>
      </c>
      <c r="AI1217">
        <v>90.005454638920099</v>
      </c>
      <c r="AJ1217">
        <v>87.985569810702899</v>
      </c>
      <c r="AK1217">
        <v>164.98705475282</v>
      </c>
      <c r="AL1217">
        <v>82.968113473640003</v>
      </c>
      <c r="AM1217">
        <v>95.219975891973206</v>
      </c>
      <c r="AN1217">
        <v>0.99999999081900104</v>
      </c>
    </row>
    <row r="1218" spans="1:40" x14ac:dyDescent="0.25">
      <c r="A1218" t="str">
        <f>"20190304154745302"</f>
        <v>20190304154745302</v>
      </c>
      <c r="B1218" t="str">
        <f>"1551685665297978"</f>
        <v>1551685665297978</v>
      </c>
      <c r="C1218" t="s">
        <v>40</v>
      </c>
      <c r="D1218">
        <v>4.2342259999999996</v>
      </c>
      <c r="E1218">
        <v>0.5465274</v>
      </c>
      <c r="F1218" t="s">
        <v>43</v>
      </c>
      <c r="G1218">
        <v>-158.19499999999999</v>
      </c>
      <c r="H1218">
        <v>1.220218</v>
      </c>
      <c r="I1218">
        <v>362.62110000000001</v>
      </c>
      <c r="J1218">
        <v>-322.97570000000002</v>
      </c>
      <c r="K1218">
        <v>1.1104050000000001</v>
      </c>
      <c r="L1218">
        <v>366.87369999999999</v>
      </c>
      <c r="M1218">
        <v>0.99989300000000003</v>
      </c>
      <c r="N1218">
        <v>-1.1207389999999999E-2</v>
      </c>
      <c r="O1218">
        <v>9.3984210000000006E-3</v>
      </c>
      <c r="P1218">
        <v>0.98877749999999998</v>
      </c>
      <c r="Q1218">
        <v>0.11130760000000001</v>
      </c>
      <c r="R1218">
        <v>9.9647920000000001E-2</v>
      </c>
      <c r="S1218">
        <v>3.041687</v>
      </c>
      <c r="T1218">
        <v>2.026796E-3</v>
      </c>
      <c r="U1218">
        <v>-7.8399659999999996E-2</v>
      </c>
      <c r="V1218">
        <v>-9.033716E-2</v>
      </c>
      <c r="W1218">
        <v>0.12240189999999999</v>
      </c>
      <c r="X1218">
        <v>0.98836080000000004</v>
      </c>
      <c r="Y1218">
        <v>3.5160719999999999E-2</v>
      </c>
      <c r="Z1218" s="1">
        <v>-7.3778939999999995E-5</v>
      </c>
      <c r="AA1218">
        <v>0.99938170000000004</v>
      </c>
      <c r="AB1218">
        <v>28</v>
      </c>
      <c r="AC1218">
        <v>164.7807</v>
      </c>
      <c r="AD1218">
        <v>0.10981299999999999</v>
      </c>
      <c r="AE1218">
        <v>-4.25259999999997</v>
      </c>
      <c r="AF1218">
        <v>5.8011852833603701</v>
      </c>
      <c r="AG1218">
        <v>0.10981299999999999</v>
      </c>
      <c r="AH1218">
        <v>164.73337801060299</v>
      </c>
      <c r="AI1218">
        <v>89.961829698142296</v>
      </c>
      <c r="AJ1218">
        <v>87.9831280184479</v>
      </c>
      <c r="AK1218">
        <v>164.83552905963899</v>
      </c>
      <c r="AL1218">
        <v>82.969256939693494</v>
      </c>
      <c r="AM1218">
        <v>95.2223806465217</v>
      </c>
      <c r="AN1218">
        <v>1.0000000492885499</v>
      </c>
    </row>
    <row r="1219" spans="1:40" x14ac:dyDescent="0.25">
      <c r="A1219" t="str">
        <f>"20190304154745313"</f>
        <v>20190304154745313</v>
      </c>
      <c r="B1219" t="str">
        <f>"1551685665307738"</f>
        <v>1551685665307738</v>
      </c>
      <c r="C1219" t="s">
        <v>40</v>
      </c>
      <c r="D1219">
        <v>4.2579539999999998</v>
      </c>
      <c r="E1219">
        <v>0.54647219999999996</v>
      </c>
      <c r="F1219" t="s">
        <v>43</v>
      </c>
      <c r="G1219">
        <v>-158.19499999999999</v>
      </c>
      <c r="H1219">
        <v>1.217257</v>
      </c>
      <c r="I1219">
        <v>362.66449999999998</v>
      </c>
      <c r="J1219">
        <v>-322.84070000000003</v>
      </c>
      <c r="K1219">
        <v>1.110406</v>
      </c>
      <c r="L1219">
        <v>366.87490000000003</v>
      </c>
      <c r="M1219">
        <v>0.99989320000000004</v>
      </c>
      <c r="N1219">
        <v>-1.1208879999999999E-2</v>
      </c>
      <c r="O1219">
        <v>9.3818419999999996E-3</v>
      </c>
      <c r="P1219">
        <v>0.98878779999999999</v>
      </c>
      <c r="Q1219">
        <v>0.1112316</v>
      </c>
      <c r="R1219">
        <v>9.9629960000000004E-2</v>
      </c>
      <c r="S1219">
        <v>3.041687</v>
      </c>
      <c r="T1219">
        <v>1.973987E-3</v>
      </c>
      <c r="U1219">
        <v>-7.7697749999999996E-2</v>
      </c>
      <c r="V1219">
        <v>-9.0335609999999997E-2</v>
      </c>
      <c r="W1219">
        <v>0.12232709999999999</v>
      </c>
      <c r="X1219">
        <v>0.98837019999999998</v>
      </c>
      <c r="Y1219">
        <v>3.4913680000000002E-2</v>
      </c>
      <c r="Z1219" s="1">
        <v>-7.3150380000000002E-5</v>
      </c>
      <c r="AA1219">
        <v>0.99939029999999995</v>
      </c>
      <c r="AB1219">
        <v>28</v>
      </c>
      <c r="AC1219">
        <v>164.64570000000001</v>
      </c>
      <c r="AD1219">
        <v>0.106851</v>
      </c>
      <c r="AE1219">
        <v>-4.2104000000000497</v>
      </c>
      <c r="AF1219">
        <v>5.75498918786041</v>
      </c>
      <c r="AG1219">
        <v>0.106851</v>
      </c>
      <c r="AH1219">
        <v>164.598879892421</v>
      </c>
      <c r="AI1219">
        <v>89.962828593449004</v>
      </c>
      <c r="AJ1219">
        <v>87.997542104571195</v>
      </c>
      <c r="AK1219">
        <v>164.699491740345</v>
      </c>
      <c r="AL1219">
        <v>82.973575097988004</v>
      </c>
      <c r="AM1219">
        <v>95.2222421441124</v>
      </c>
      <c r="AN1219">
        <v>1.00000004703826</v>
      </c>
    </row>
    <row r="1220" spans="1:40" x14ac:dyDescent="0.25">
      <c r="A1220" t="str">
        <f>"20190304154745323"</f>
        <v>20190304154745323</v>
      </c>
      <c r="B1220" t="str">
        <f>"1551685665317498"</f>
        <v>1551685665317498</v>
      </c>
      <c r="C1220" t="s">
        <v>40</v>
      </c>
      <c r="D1220">
        <v>4.1992370000000001</v>
      </c>
      <c r="E1220">
        <v>0.54643850000000005</v>
      </c>
      <c r="F1220" t="s">
        <v>43</v>
      </c>
      <c r="G1220">
        <v>-158.19499999999999</v>
      </c>
      <c r="H1220">
        <v>1.2024410000000001</v>
      </c>
      <c r="I1220">
        <v>362.68220000000002</v>
      </c>
      <c r="J1220">
        <v>-322.69850000000002</v>
      </c>
      <c r="K1220">
        <v>1.1104099999999999</v>
      </c>
      <c r="L1220">
        <v>366.87619999999998</v>
      </c>
      <c r="M1220">
        <v>0.99989340000000004</v>
      </c>
      <c r="N1220">
        <v>-1.121044E-2</v>
      </c>
      <c r="O1220">
        <v>9.3640140000000004E-3</v>
      </c>
      <c r="P1220">
        <v>0.98881669999999999</v>
      </c>
      <c r="Q1220">
        <v>0.11100160000000001</v>
      </c>
      <c r="R1220">
        <v>9.9599750000000001E-2</v>
      </c>
      <c r="S1220">
        <v>3.041595</v>
      </c>
      <c r="T1220">
        <v>1.7018319999999999E-3</v>
      </c>
      <c r="U1220">
        <v>-7.7453610000000006E-2</v>
      </c>
      <c r="V1220">
        <v>-9.0322620000000006E-2</v>
      </c>
      <c r="W1220">
        <v>0.1220994</v>
      </c>
      <c r="X1220">
        <v>0.98839949999999999</v>
      </c>
      <c r="Y1220">
        <v>3.481646E-2</v>
      </c>
      <c r="Z1220" s="1">
        <v>-7.5255199999999997E-5</v>
      </c>
      <c r="AA1220">
        <v>0.99939370000000005</v>
      </c>
      <c r="AB1220">
        <v>28</v>
      </c>
      <c r="AC1220">
        <v>164.5035</v>
      </c>
      <c r="AD1220">
        <v>9.2030999999999905E-2</v>
      </c>
      <c r="AE1220">
        <v>-4.19399999999996</v>
      </c>
      <c r="AF1220">
        <v>5.7343240544377503</v>
      </c>
      <c r="AG1220">
        <v>9.2030999999999905E-2</v>
      </c>
      <c r="AH1220">
        <v>164.45696013391</v>
      </c>
      <c r="AI1220">
        <v>89.9679564500195</v>
      </c>
      <c r="AJ1220">
        <v>88.003006301911498</v>
      </c>
      <c r="AK1220">
        <v>164.55692838210399</v>
      </c>
      <c r="AL1220">
        <v>82.986719587850999</v>
      </c>
      <c r="AM1220">
        <v>95.221341422071802</v>
      </c>
      <c r="AN1220">
        <v>1.0000000053821301</v>
      </c>
    </row>
    <row r="1221" spans="1:40" x14ac:dyDescent="0.25">
      <c r="A1221" t="str">
        <f>"20190304154745336"</f>
        <v>20190304154745336</v>
      </c>
      <c r="B1221" t="str">
        <f>"1551685665327766"</f>
        <v>1551685665327766</v>
      </c>
      <c r="C1221" t="s">
        <v>40</v>
      </c>
      <c r="D1221">
        <v>4.2848389999999998</v>
      </c>
      <c r="E1221">
        <v>0.54643850000000005</v>
      </c>
      <c r="F1221" t="s">
        <v>43</v>
      </c>
      <c r="G1221">
        <v>-158.19499999999999</v>
      </c>
      <c r="H1221">
        <v>1.1145910000000001</v>
      </c>
      <c r="I1221">
        <v>362.70209999999997</v>
      </c>
      <c r="J1221">
        <v>-322.55180000000001</v>
      </c>
      <c r="K1221">
        <v>1.1104099999999999</v>
      </c>
      <c r="L1221">
        <v>366.87759999999997</v>
      </c>
      <c r="M1221">
        <v>0.99989340000000004</v>
      </c>
      <c r="N1221">
        <v>-1.1212049999999999E-2</v>
      </c>
      <c r="O1221">
        <v>9.3458859999999994E-3</v>
      </c>
      <c r="P1221">
        <v>0.98873359999999999</v>
      </c>
      <c r="Q1221">
        <v>0.11151419999999999</v>
      </c>
      <c r="R1221">
        <v>9.9853319999999995E-2</v>
      </c>
      <c r="S1221">
        <v>3.041687</v>
      </c>
      <c r="T1221" s="1">
        <v>7.8916549999999999E-5</v>
      </c>
      <c r="U1221">
        <v>-7.7178960000000005E-2</v>
      </c>
      <c r="V1221">
        <v>-9.0594930000000004E-2</v>
      </c>
      <c r="W1221">
        <v>0.122611999999999</v>
      </c>
      <c r="X1221">
        <v>0.9883111</v>
      </c>
      <c r="Y1221">
        <v>3.4707349999999998E-2</v>
      </c>
      <c r="Z1221" s="1">
        <v>-8.9143999999999999E-5</v>
      </c>
      <c r="AA1221">
        <v>0.99939750000000005</v>
      </c>
      <c r="AB1221">
        <v>28</v>
      </c>
      <c r="AC1221">
        <v>164.35679999999999</v>
      </c>
      <c r="AD1221">
        <v>4.1809999999997604E-3</v>
      </c>
      <c r="AE1221">
        <v>-4.1755000000000004</v>
      </c>
      <c r="AF1221">
        <v>5.7114741901081096</v>
      </c>
      <c r="AG1221">
        <v>4.1809999999997604E-3</v>
      </c>
      <c r="AH1221">
        <v>164.310594710457</v>
      </c>
      <c r="AI1221">
        <v>89.998542948113894</v>
      </c>
      <c r="AJ1221">
        <v>88.0091870393953</v>
      </c>
      <c r="AK1221">
        <v>164.40983087701599</v>
      </c>
      <c r="AL1221">
        <v>82.957127295691706</v>
      </c>
      <c r="AM1221">
        <v>95.237461454682403</v>
      </c>
      <c r="AN1221">
        <v>0.99999998713445704</v>
      </c>
    </row>
    <row r="1222" spans="1:40" x14ac:dyDescent="0.25">
      <c r="A1222" t="str">
        <f>"20190304154745346"</f>
        <v>20190304154745346</v>
      </c>
      <c r="B1222" t="str">
        <f>"1551685665337527"</f>
        <v>1551685665337527</v>
      </c>
      <c r="C1222" t="s">
        <v>40</v>
      </c>
      <c r="D1222">
        <v>4.1955539999999996</v>
      </c>
      <c r="E1222">
        <v>0.52751000000000003</v>
      </c>
      <c r="F1222" t="s">
        <v>43</v>
      </c>
      <c r="G1222">
        <v>-158.19499999999999</v>
      </c>
      <c r="H1222">
        <v>1.2049319999999999</v>
      </c>
      <c r="I1222">
        <v>362.73540000000003</v>
      </c>
      <c r="J1222">
        <v>-322.41800000000001</v>
      </c>
      <c r="K1222">
        <v>1.110414</v>
      </c>
      <c r="L1222">
        <v>366.87880000000001</v>
      </c>
      <c r="M1222">
        <v>0.9998937</v>
      </c>
      <c r="N1222">
        <v>-1.1213509999999999E-2</v>
      </c>
      <c r="O1222">
        <v>9.3293079999999997E-3</v>
      </c>
      <c r="P1222">
        <v>0.98870610000000003</v>
      </c>
      <c r="Q1222">
        <v>0.1117117</v>
      </c>
      <c r="R1222">
        <v>9.990454E-2</v>
      </c>
      <c r="S1222">
        <v>3.0417480000000001</v>
      </c>
      <c r="T1222">
        <v>1.750946E-3</v>
      </c>
      <c r="U1222">
        <v>-7.6660160000000005E-2</v>
      </c>
      <c r="V1222">
        <v>-9.0663369999999993E-2</v>
      </c>
      <c r="W1222">
        <v>0.1228108</v>
      </c>
      <c r="X1222">
        <v>0.98828020000000005</v>
      </c>
      <c r="Y1222">
        <v>3.4519960000000002E-2</v>
      </c>
      <c r="Z1222" s="1">
        <v>-7.3679130000000006E-5</v>
      </c>
      <c r="AA1222">
        <v>0.99940399999999996</v>
      </c>
      <c r="AB1222">
        <v>28</v>
      </c>
      <c r="AC1222">
        <v>164.22299999999899</v>
      </c>
      <c r="AD1222">
        <v>9.4517999999999797E-2</v>
      </c>
      <c r="AE1222">
        <v>-4.1433999999999802</v>
      </c>
      <c r="AF1222">
        <v>5.6754009177525999</v>
      </c>
      <c r="AG1222">
        <v>9.4517999999999797E-2</v>
      </c>
      <c r="AH1222">
        <v>164.177140460196</v>
      </c>
      <c r="AI1222">
        <v>89.967034088769097</v>
      </c>
      <c r="AJ1222">
        <v>88.020144077778198</v>
      </c>
      <c r="AK1222">
        <v>164.27523416180699</v>
      </c>
      <c r="AL1222">
        <v>82.945650575689996</v>
      </c>
      <c r="AM1222">
        <v>95.241559036380494</v>
      </c>
      <c r="AN1222">
        <v>1.00000004648421</v>
      </c>
    </row>
    <row r="1223" spans="1:40" x14ac:dyDescent="0.25">
      <c r="A1223" t="str">
        <f>"20190304154745357"</f>
        <v>20190304154745357</v>
      </c>
      <c r="B1223" t="str">
        <f>"1551685665348263"</f>
        <v>1551685665348263</v>
      </c>
      <c r="C1223" t="s">
        <v>40</v>
      </c>
      <c r="D1223">
        <v>4.198569</v>
      </c>
      <c r="E1223">
        <v>0.52904119999999999</v>
      </c>
      <c r="F1223" t="s">
        <v>43</v>
      </c>
      <c r="G1223">
        <v>-158.19499999999999</v>
      </c>
      <c r="H1223">
        <v>9.2458129999999999E-2</v>
      </c>
      <c r="I1223">
        <v>370.85820000000001</v>
      </c>
      <c r="J1223">
        <v>-322.29020000000003</v>
      </c>
      <c r="K1223">
        <v>1.1104069999999999</v>
      </c>
      <c r="L1223">
        <v>366.87990000000002</v>
      </c>
      <c r="M1223">
        <v>0.99989380000000005</v>
      </c>
      <c r="N1223">
        <v>-1.121494E-2</v>
      </c>
      <c r="O1223">
        <v>9.3133269999999997E-3</v>
      </c>
      <c r="P1223">
        <v>0.98868999999999996</v>
      </c>
      <c r="Q1223">
        <v>0.111763</v>
      </c>
      <c r="R1223">
        <v>0.1000066</v>
      </c>
      <c r="S1223">
        <v>3.028931</v>
      </c>
      <c r="T1223">
        <v>-1.8773560000000002E-2</v>
      </c>
      <c r="U1223">
        <v>7.3394780000000007E-2</v>
      </c>
      <c r="V1223">
        <v>-9.0781059999999997E-2</v>
      </c>
      <c r="W1223">
        <v>0.1228638</v>
      </c>
      <c r="X1223">
        <v>0.9882628</v>
      </c>
      <c r="Y1223">
        <v>-1.4911219999999999E-2</v>
      </c>
      <c r="Z1223">
        <v>1.7656240000000001E-4</v>
      </c>
      <c r="AA1223">
        <v>0.99988880000000002</v>
      </c>
      <c r="AB1223">
        <v>28</v>
      </c>
      <c r="AC1223">
        <v>164.09520000000001</v>
      </c>
      <c r="AD1223">
        <v>-1.0179488699999999</v>
      </c>
      <c r="AE1223">
        <v>3.9782999999999902</v>
      </c>
      <c r="AF1223">
        <v>-2.44966494639189</v>
      </c>
      <c r="AG1223">
        <v>-1.0179488699999999</v>
      </c>
      <c r="AH1223">
        <v>164.118823890887</v>
      </c>
      <c r="AI1223">
        <v>90.355333587054702</v>
      </c>
      <c r="AJ1223">
        <v>90.855142861917798</v>
      </c>
      <c r="AK1223">
        <v>164.14026146433301</v>
      </c>
      <c r="AL1223">
        <v>82.942590666802502</v>
      </c>
      <c r="AM1223">
        <v>95.2484170144389</v>
      </c>
      <c r="AN1223">
        <v>1.0000000380345</v>
      </c>
    </row>
    <row r="1224" spans="1:40" x14ac:dyDescent="0.25">
      <c r="A1224" t="str">
        <f>"20190304154745367"</f>
        <v>20190304154745367</v>
      </c>
      <c r="B1224" t="str">
        <f>"1551685665358023"</f>
        <v>1551685665358023</v>
      </c>
      <c r="C1224" t="s">
        <v>40</v>
      </c>
      <c r="D1224">
        <v>4.2499469999999997</v>
      </c>
      <c r="E1224">
        <v>0.5267944</v>
      </c>
      <c r="F1224" t="s">
        <v>43</v>
      </c>
      <c r="G1224">
        <v>-158.78319999999999</v>
      </c>
      <c r="H1224">
        <v>3.584946</v>
      </c>
      <c r="I1224">
        <v>370.29039999999998</v>
      </c>
      <c r="J1224">
        <v>-322.1508</v>
      </c>
      <c r="K1224">
        <v>1.1104069999999999</v>
      </c>
      <c r="L1224">
        <v>366.88130000000001</v>
      </c>
      <c r="M1224">
        <v>0.99989399999999995</v>
      </c>
      <c r="N1224">
        <v>-1.1216540000000001E-2</v>
      </c>
      <c r="O1224">
        <v>9.2955590000000001E-3</v>
      </c>
      <c r="P1224">
        <v>0.98867989999999994</v>
      </c>
      <c r="Q1224">
        <v>0.11200400000000001</v>
      </c>
      <c r="R1224">
        <v>9.9837819999999994E-2</v>
      </c>
      <c r="S1224">
        <v>3.0227659999999998</v>
      </c>
      <c r="T1224">
        <v>4.5748589999999999E-2</v>
      </c>
      <c r="U1224">
        <v>6.3049320000000006E-2</v>
      </c>
      <c r="V1224">
        <v>-9.0629879999999996E-2</v>
      </c>
      <c r="W1224">
        <v>0.12310599999999999</v>
      </c>
      <c r="X1224">
        <v>0.98824650000000003</v>
      </c>
      <c r="Y1224">
        <v>-1.1561480000000001E-2</v>
      </c>
      <c r="Z1224">
        <v>2.2228100000000001E-4</v>
      </c>
      <c r="AA1224">
        <v>0.99993310000000002</v>
      </c>
      <c r="AB1224">
        <v>28</v>
      </c>
      <c r="AC1224">
        <v>163.36760000000001</v>
      </c>
      <c r="AD1224">
        <v>2.474539</v>
      </c>
      <c r="AE1224">
        <v>3.4090999999999601</v>
      </c>
      <c r="AF1224">
        <v>-1.88983076392261</v>
      </c>
      <c r="AG1224">
        <v>2.474539</v>
      </c>
      <c r="AH1224">
        <v>163.35476961908901</v>
      </c>
      <c r="AI1224">
        <v>89.132193610041497</v>
      </c>
      <c r="AJ1224">
        <v>90.662818090631703</v>
      </c>
      <c r="AK1224">
        <v>163.38444100000601</v>
      </c>
      <c r="AL1224">
        <v>82.928607231773</v>
      </c>
      <c r="AM1224">
        <v>95.239811324876698</v>
      </c>
      <c r="AN1224">
        <v>1.0000000035735299</v>
      </c>
    </row>
    <row r="1225" spans="1:40" x14ac:dyDescent="0.25">
      <c r="A1225" t="str">
        <f>"20190304154745378"</f>
        <v>20190304154745378</v>
      </c>
      <c r="B1225" t="str">
        <f>"1551685665367783"</f>
        <v>1551685665367783</v>
      </c>
      <c r="C1225" t="s">
        <v>40</v>
      </c>
      <c r="D1225">
        <v>4.2577119999999997</v>
      </c>
      <c r="E1225">
        <v>0.5253409</v>
      </c>
      <c r="F1225" t="s">
        <v>43</v>
      </c>
      <c r="G1225">
        <v>-158.19499999999999</v>
      </c>
      <c r="H1225">
        <v>4.4748130000000002</v>
      </c>
      <c r="I1225">
        <v>371.25639999999999</v>
      </c>
      <c r="J1225">
        <v>-322.01249999999999</v>
      </c>
      <c r="K1225">
        <v>1.110406</v>
      </c>
      <c r="L1225">
        <v>366.88249999999999</v>
      </c>
      <c r="M1225">
        <v>0.99989410000000001</v>
      </c>
      <c r="N1225">
        <v>-1.121807E-2</v>
      </c>
      <c r="O1225">
        <v>9.2784430000000008E-3</v>
      </c>
      <c r="P1225">
        <v>0.98865959999999997</v>
      </c>
      <c r="Q1225">
        <v>0.11207590000000001</v>
      </c>
      <c r="R1225">
        <v>9.9956719999999999E-2</v>
      </c>
      <c r="S1225">
        <v>3.0191650000000001</v>
      </c>
      <c r="T1225">
        <v>6.1955450000000002E-2</v>
      </c>
      <c r="U1225">
        <v>8.0566410000000005E-2</v>
      </c>
      <c r="V1225">
        <v>-9.0765689999999996E-2</v>
      </c>
      <c r="W1225">
        <v>0.123179399999999</v>
      </c>
      <c r="X1225">
        <v>0.98822489999999996</v>
      </c>
      <c r="Y1225">
        <v>-1.7401639999999999E-2</v>
      </c>
      <c r="Z1225">
        <v>2.1353179999999999E-4</v>
      </c>
      <c r="AA1225">
        <v>0.99984850000000003</v>
      </c>
      <c r="AB1225">
        <v>28</v>
      </c>
      <c r="AC1225">
        <v>163.8175</v>
      </c>
      <c r="AD1225">
        <v>3.3644069999999999</v>
      </c>
      <c r="AE1225">
        <v>4.3738999999999901</v>
      </c>
      <c r="AF1225">
        <v>-2.85244254883811</v>
      </c>
      <c r="AG1225">
        <v>3.3644069999999999</v>
      </c>
      <c r="AH1225">
        <v>163.78200058255899</v>
      </c>
      <c r="AI1225">
        <v>88.823374987579299</v>
      </c>
      <c r="AJ1225">
        <v>90.997767749835702</v>
      </c>
      <c r="AK1225">
        <v>163.84138481403701</v>
      </c>
      <c r="AL1225">
        <v>82.924369542152107</v>
      </c>
      <c r="AM1225">
        <v>95.247733502020196</v>
      </c>
      <c r="AN1225">
        <v>1.0000000140227701</v>
      </c>
    </row>
    <row r="1226" spans="1:40" x14ac:dyDescent="0.25">
      <c r="A1226" t="str">
        <f>"20190304154745389"</f>
        <v>20190304154745389</v>
      </c>
      <c r="B1226" t="str">
        <f>"1551685665377542"</f>
        <v>1551685665377542</v>
      </c>
      <c r="C1226" t="s">
        <v>40</v>
      </c>
      <c r="D1226">
        <v>4.2234740000000004</v>
      </c>
      <c r="E1226">
        <v>0.52441309999999997</v>
      </c>
      <c r="F1226" t="s">
        <v>43</v>
      </c>
      <c r="G1226">
        <v>-158.19499999999999</v>
      </c>
      <c r="H1226">
        <v>5.0115059999999998</v>
      </c>
      <c r="I1226">
        <v>371.9085</v>
      </c>
      <c r="J1226">
        <v>-321.87290000000002</v>
      </c>
      <c r="K1226">
        <v>1.110403</v>
      </c>
      <c r="L1226">
        <v>366.88380000000001</v>
      </c>
      <c r="M1226">
        <v>0.99989430000000001</v>
      </c>
      <c r="N1226">
        <v>-1.121959E-2</v>
      </c>
      <c r="O1226">
        <v>9.2612649999999994E-3</v>
      </c>
      <c r="P1226">
        <v>0.98865349999999996</v>
      </c>
      <c r="Q1226">
        <v>0.11201419999999999</v>
      </c>
      <c r="R1226">
        <v>0.100087</v>
      </c>
      <c r="S1226">
        <v>3.0169069999999998</v>
      </c>
      <c r="T1226">
        <v>7.1845290000000006E-2</v>
      </c>
      <c r="U1226">
        <v>9.2559810000000006E-2</v>
      </c>
      <c r="V1226">
        <v>-9.0913400000000005E-2</v>
      </c>
      <c r="W1226">
        <v>0.1231193</v>
      </c>
      <c r="X1226">
        <v>0.98821879999999995</v>
      </c>
      <c r="Y1226">
        <v>-2.1409609999999999E-2</v>
      </c>
      <c r="Z1226">
        <v>1.8964009999999999E-4</v>
      </c>
      <c r="AA1226">
        <v>0.99977079999999996</v>
      </c>
      <c r="AB1226">
        <v>28</v>
      </c>
      <c r="AC1226">
        <v>163.67789999999999</v>
      </c>
      <c r="AD1226">
        <v>3.901103</v>
      </c>
      <c r="AE1226">
        <v>5.0246999999999904</v>
      </c>
      <c r="AF1226">
        <v>-3.50653480699413</v>
      </c>
      <c r="AG1226">
        <v>3.901103</v>
      </c>
      <c r="AH1226">
        <v>163.624556391075</v>
      </c>
      <c r="AI1226">
        <v>88.634537956889403</v>
      </c>
      <c r="AJ1226">
        <v>91.227681843241896</v>
      </c>
      <c r="AK1226">
        <v>163.70861261749599</v>
      </c>
      <c r="AL1226">
        <v>82.927839348840607</v>
      </c>
      <c r="AM1226">
        <v>95.256258010626595</v>
      </c>
      <c r="AN1226">
        <v>1.00000000250274</v>
      </c>
    </row>
    <row r="1227" spans="1:40" x14ac:dyDescent="0.25">
      <c r="A1227" t="str">
        <f>"20190304154745401"</f>
        <v>20190304154745401</v>
      </c>
      <c r="B1227" t="str">
        <f>"1551685665398039"</f>
        <v>1551685665398039</v>
      </c>
      <c r="C1227" t="s">
        <v>40</v>
      </c>
      <c r="D1227">
        <v>4.2342760000000004</v>
      </c>
      <c r="E1227">
        <v>0.5236864</v>
      </c>
      <c r="F1227" t="s">
        <v>43</v>
      </c>
      <c r="G1227">
        <v>-158.19499999999999</v>
      </c>
      <c r="H1227">
        <v>5.1299700000000001</v>
      </c>
      <c r="I1227">
        <v>372.34789999999998</v>
      </c>
      <c r="J1227">
        <v>-321.7303</v>
      </c>
      <c r="K1227">
        <v>1.110403</v>
      </c>
      <c r="L1227">
        <v>366.88510000000002</v>
      </c>
      <c r="M1227">
        <v>0.99989439999999996</v>
      </c>
      <c r="N1227">
        <v>-1.1221149999999999E-2</v>
      </c>
      <c r="O1227">
        <v>9.2436730000000009E-3</v>
      </c>
      <c r="P1227">
        <v>0.98866670000000001</v>
      </c>
      <c r="Q1227">
        <v>0.1118888</v>
      </c>
      <c r="R1227">
        <v>0.10009609999999999</v>
      </c>
      <c r="S1227">
        <v>3.0158390000000002</v>
      </c>
      <c r="T1227">
        <v>7.4063899999999905E-2</v>
      </c>
      <c r="U1227">
        <v>0.1006775</v>
      </c>
      <c r="V1227">
        <v>-9.0939790000000006E-2</v>
      </c>
      <c r="W1227">
        <v>0.1229953</v>
      </c>
      <c r="X1227">
        <v>0.98823179999999999</v>
      </c>
      <c r="Y1227">
        <v>-2.412576E-2</v>
      </c>
      <c r="Z1227">
        <v>1.6987729999999999E-4</v>
      </c>
      <c r="AA1227">
        <v>0.99970890000000001</v>
      </c>
      <c r="AB1227">
        <v>28</v>
      </c>
      <c r="AC1227">
        <v>163.53530000000001</v>
      </c>
      <c r="AD1227">
        <v>4.0195669999999897</v>
      </c>
      <c r="AE1227">
        <v>5.4627999999999597</v>
      </c>
      <c r="AF1227">
        <v>-3.9484219632066702</v>
      </c>
      <c r="AG1227">
        <v>4.0195669999999897</v>
      </c>
      <c r="AH1227">
        <v>163.48015745961899</v>
      </c>
      <c r="AI1227">
        <v>88.591934745691901</v>
      </c>
      <c r="AJ1227">
        <v>91.383555927206004</v>
      </c>
      <c r="AK1227">
        <v>163.57722591451699</v>
      </c>
      <c r="AL1227">
        <v>82.934998348021196</v>
      </c>
      <c r="AM1227">
        <v>95.257706450130101</v>
      </c>
      <c r="AN1227">
        <v>0.99999998987928695</v>
      </c>
    </row>
    <row r="1228" spans="1:40" x14ac:dyDescent="0.25">
      <c r="A1228" t="str">
        <f>"20190304154745412"</f>
        <v>20190304154745412</v>
      </c>
      <c r="B1228" t="str">
        <f>"1551685665407798"</f>
        <v>1551685665407798</v>
      </c>
      <c r="C1228" t="s">
        <v>40</v>
      </c>
      <c r="D1228">
        <v>4.2240489999999999</v>
      </c>
      <c r="E1228">
        <v>0.5234451</v>
      </c>
      <c r="F1228" t="s">
        <v>43</v>
      </c>
      <c r="G1228">
        <v>-158.19499999999999</v>
      </c>
      <c r="H1228">
        <v>5.6221829999999997</v>
      </c>
      <c r="I1228">
        <v>372.67540000000002</v>
      </c>
      <c r="J1228">
        <v>-321.59089999999998</v>
      </c>
      <c r="K1228">
        <v>1.110401</v>
      </c>
      <c r="L1228">
        <v>366.88639999999998</v>
      </c>
      <c r="M1228">
        <v>0.99989450000000002</v>
      </c>
      <c r="N1228">
        <v>-1.1222670000000001E-2</v>
      </c>
      <c r="O1228">
        <v>9.2266770000000008E-3</v>
      </c>
      <c r="P1228">
        <v>0.98862640000000002</v>
      </c>
      <c r="Q1228">
        <v>0.1120236</v>
      </c>
      <c r="R1228">
        <v>0.1003419</v>
      </c>
      <c r="S1228">
        <v>3.0141300000000002</v>
      </c>
      <c r="T1228">
        <v>8.3158490000000002E-2</v>
      </c>
      <c r="U1228">
        <v>0.10672</v>
      </c>
      <c r="V1228">
        <v>-9.1202110000000003E-2</v>
      </c>
      <c r="W1228">
        <v>0.12313109999999999</v>
      </c>
      <c r="X1228">
        <v>0.98819069999999998</v>
      </c>
      <c r="Y1228">
        <v>-2.616245E-2</v>
      </c>
      <c r="Z1228">
        <v>1.4406489999999999E-4</v>
      </c>
      <c r="AA1228">
        <v>0.99965769999999998</v>
      </c>
      <c r="AB1228">
        <v>28</v>
      </c>
      <c r="AC1228">
        <v>163.39589999999899</v>
      </c>
      <c r="AD1228">
        <v>4.5117820000000002</v>
      </c>
      <c r="AE1228">
        <v>5.7890000000000397</v>
      </c>
      <c r="AF1228">
        <v>-4.2777999390871502</v>
      </c>
      <c r="AG1228">
        <v>4.5117820000000002</v>
      </c>
      <c r="AH1228">
        <v>163.31799407379501</v>
      </c>
      <c r="AI1228">
        <v>88.418105907519703</v>
      </c>
      <c r="AJ1228">
        <v>91.500409395171403</v>
      </c>
      <c r="AK1228">
        <v>163.436296266841</v>
      </c>
      <c r="AL1228">
        <v>82.927157887311694</v>
      </c>
      <c r="AM1228">
        <v>95.273005249359002</v>
      </c>
      <c r="AN1228">
        <v>0.99999997611107505</v>
      </c>
    </row>
    <row r="1229" spans="1:40" x14ac:dyDescent="0.25">
      <c r="A1229" t="str">
        <f>"20190304154745423"</f>
        <v>20190304154745423</v>
      </c>
      <c r="B1229" t="str">
        <f>"1551685665417558"</f>
        <v>1551685665417558</v>
      </c>
      <c r="C1229" t="s">
        <v>40</v>
      </c>
      <c r="D1229">
        <v>4.1213179999999996</v>
      </c>
      <c r="E1229">
        <v>0.5234702</v>
      </c>
      <c r="F1229" t="s">
        <v>43</v>
      </c>
      <c r="G1229">
        <v>-158.19499999999999</v>
      </c>
      <c r="H1229">
        <v>5.8719020000000004</v>
      </c>
      <c r="I1229">
        <v>372.81369999999998</v>
      </c>
      <c r="J1229">
        <v>-321.44200000000001</v>
      </c>
      <c r="K1229">
        <v>1.1104069999999999</v>
      </c>
      <c r="L1229">
        <v>366.88780000000003</v>
      </c>
      <c r="M1229">
        <v>0.99989470000000003</v>
      </c>
      <c r="N1229">
        <v>-1.122427E-2</v>
      </c>
      <c r="O1229">
        <v>9.2082499999999994E-3</v>
      </c>
      <c r="P1229">
        <v>0.98864810000000003</v>
      </c>
      <c r="Q1229">
        <v>0.1119204</v>
      </c>
      <c r="R1229">
        <v>0.1002449</v>
      </c>
      <c r="S1229">
        <v>3.0134280000000002</v>
      </c>
      <c r="T1229">
        <v>8.7815519999999994E-2</v>
      </c>
      <c r="U1229">
        <v>0.10931399999999999</v>
      </c>
      <c r="V1229">
        <v>-9.1123170000000003E-2</v>
      </c>
      <c r="W1229">
        <v>0.1230299</v>
      </c>
      <c r="X1229">
        <v>0.98821060000000005</v>
      </c>
      <c r="Y1229">
        <v>-2.704792E-2</v>
      </c>
      <c r="Z1229">
        <v>1.294592E-4</v>
      </c>
      <c r="AA1229">
        <v>0.99963409999999997</v>
      </c>
      <c r="AB1229">
        <v>28</v>
      </c>
      <c r="AC1229">
        <v>163.24700000000001</v>
      </c>
      <c r="AD1229">
        <v>4.761495</v>
      </c>
      <c r="AE1229">
        <v>5.9258999999999498</v>
      </c>
      <c r="AF1229">
        <v>-4.4185808706257204</v>
      </c>
      <c r="AG1229">
        <v>4.761495</v>
      </c>
      <c r="AH1229">
        <v>163.15602806981599</v>
      </c>
      <c r="AI1229">
        <v>88.328984501164896</v>
      </c>
      <c r="AJ1229">
        <v>91.551301366262507</v>
      </c>
      <c r="AK1229">
        <v>163.28528772385999</v>
      </c>
      <c r="AL1229">
        <v>82.9330007374557</v>
      </c>
      <c r="AM1229">
        <v>95.268361396760895</v>
      </c>
      <c r="AN1229">
        <v>0.99999998917860899</v>
      </c>
    </row>
    <row r="1230" spans="1:40" x14ac:dyDescent="0.25">
      <c r="A1230" t="str">
        <f>"20190304154745435"</f>
        <v>20190304154745435</v>
      </c>
      <c r="B1230" t="str">
        <f>"1551685665427827"</f>
        <v>1551685665427827</v>
      </c>
      <c r="C1230" t="s">
        <v>40</v>
      </c>
      <c r="D1230">
        <v>4.1895870000000004</v>
      </c>
      <c r="E1230">
        <v>0.52336759999999904</v>
      </c>
      <c r="F1230" t="s">
        <v>43</v>
      </c>
      <c r="G1230">
        <v>-158.19499999999999</v>
      </c>
      <c r="H1230">
        <v>5.5966630000000004</v>
      </c>
      <c r="I1230">
        <v>372.77870000000001</v>
      </c>
      <c r="J1230">
        <v>-321.29820000000001</v>
      </c>
      <c r="K1230">
        <v>1.110374</v>
      </c>
      <c r="L1230">
        <v>366.88900000000001</v>
      </c>
      <c r="M1230">
        <v>0.99989620000000001</v>
      </c>
      <c r="N1230">
        <v>-1.110334E-2</v>
      </c>
      <c r="O1230">
        <v>9.1902819999999993E-3</v>
      </c>
      <c r="P1230">
        <v>0.98862150000000004</v>
      </c>
      <c r="Q1230">
        <v>0.1120654</v>
      </c>
      <c r="R1230">
        <v>0.1003444</v>
      </c>
      <c r="S1230">
        <v>3.0140380000000002</v>
      </c>
      <c r="T1230">
        <v>8.2831619999999995E-2</v>
      </c>
      <c r="U1230">
        <v>0.1087646</v>
      </c>
      <c r="V1230">
        <v>-9.1241149999999993E-2</v>
      </c>
      <c r="W1230">
        <v>0.12305489999999999</v>
      </c>
      <c r="X1230">
        <v>0.98819659999999998</v>
      </c>
      <c r="Y1230">
        <v>-2.687695E-2</v>
      </c>
      <c r="Z1230">
        <v>1.345711E-4</v>
      </c>
      <c r="AA1230">
        <v>0.99963869999999999</v>
      </c>
      <c r="AB1230">
        <v>28</v>
      </c>
      <c r="AC1230">
        <v>163.10319999999999</v>
      </c>
      <c r="AD1230">
        <v>4.4862889999999904</v>
      </c>
      <c r="AE1230">
        <v>5.8897000000000004</v>
      </c>
      <c r="AF1230">
        <v>-4.3870797307641496</v>
      </c>
      <c r="AG1230">
        <v>4.4862889999999904</v>
      </c>
      <c r="AH1230">
        <v>163.027261359541</v>
      </c>
      <c r="AI1230">
        <v>88.424265864099397</v>
      </c>
      <c r="AJ1230">
        <v>91.541463081288697</v>
      </c>
      <c r="AK1230">
        <v>163.14797333692999</v>
      </c>
      <c r="AL1230">
        <v>82.931557367491493</v>
      </c>
      <c r="AM1230">
        <v>95.275218363742496</v>
      </c>
      <c r="AN1230">
        <v>0.99999998805944601</v>
      </c>
    </row>
    <row r="1231" spans="1:40" x14ac:dyDescent="0.25">
      <c r="A1231" t="str">
        <f>"20190304154745445"</f>
        <v>20190304154745445</v>
      </c>
      <c r="B1231" t="str">
        <f>"1551685665437691"</f>
        <v>1551685665437691</v>
      </c>
      <c r="C1231" t="s">
        <v>40</v>
      </c>
      <c r="D1231">
        <v>4.3891260000000001</v>
      </c>
      <c r="E1231">
        <v>0.52283109999999999</v>
      </c>
      <c r="F1231" t="s">
        <v>43</v>
      </c>
      <c r="G1231">
        <v>-158.19499999999999</v>
      </c>
      <c r="H1231">
        <v>5.756481</v>
      </c>
      <c r="I1231">
        <v>372.84160000000003</v>
      </c>
      <c r="J1231">
        <v>-321.1576</v>
      </c>
      <c r="K1231">
        <v>1.1102730000000001</v>
      </c>
      <c r="L1231">
        <v>366.89030000000002</v>
      </c>
      <c r="M1231">
        <v>0.99990020000000002</v>
      </c>
      <c r="N1231">
        <v>-1.073881E-2</v>
      </c>
      <c r="O1231">
        <v>9.1716920000000004E-3</v>
      </c>
      <c r="P1231">
        <v>0.98854180000000003</v>
      </c>
      <c r="Q1231">
        <v>0.1126378</v>
      </c>
      <c r="R1231">
        <v>0.1004873</v>
      </c>
      <c r="S1231">
        <v>3.0136720000000001</v>
      </c>
      <c r="T1231">
        <v>8.5848090000000002E-2</v>
      </c>
      <c r="U1231">
        <v>0.1099854</v>
      </c>
      <c r="V1231">
        <v>-9.1403189999999995E-2</v>
      </c>
      <c r="W1231">
        <v>0.123266</v>
      </c>
      <c r="X1231">
        <v>0.98815529999999996</v>
      </c>
      <c r="Y1231">
        <v>-2.7303689999999999E-2</v>
      </c>
      <c r="Z1231">
        <v>1.17549E-4</v>
      </c>
      <c r="AA1231">
        <v>0.99962720000000005</v>
      </c>
      <c r="AB1231">
        <v>28</v>
      </c>
      <c r="AC1231">
        <v>162.96260000000001</v>
      </c>
      <c r="AD1231">
        <v>4.6462079999999997</v>
      </c>
      <c r="AE1231">
        <v>5.9512999999999998</v>
      </c>
      <c r="AF1231">
        <v>-4.4527059259642403</v>
      </c>
      <c r="AG1231">
        <v>4.6462079999999997</v>
      </c>
      <c r="AH1231">
        <v>162.87810902262399</v>
      </c>
      <c r="AI1231">
        <v>88.366652205483405</v>
      </c>
      <c r="AJ1231">
        <v>91.565942361679802</v>
      </c>
      <c r="AK1231">
        <v>163.00519083031699</v>
      </c>
      <c r="AL1231">
        <v>82.919369334503401</v>
      </c>
      <c r="AM1231">
        <v>95.284753526602103</v>
      </c>
      <c r="AN1231">
        <v>0.99999997340813196</v>
      </c>
    </row>
    <row r="1232" spans="1:40" x14ac:dyDescent="0.25">
      <c r="A1232" t="str">
        <f>"20190304154745457"</f>
        <v>20190304154745457</v>
      </c>
      <c r="B1232" t="str">
        <f>"1551685665447939"</f>
        <v>1551685665447939</v>
      </c>
      <c r="C1232" t="s">
        <v>40</v>
      </c>
      <c r="D1232">
        <v>4.218763</v>
      </c>
      <c r="E1232">
        <v>0.52290530000000002</v>
      </c>
      <c r="F1232" t="s">
        <v>43</v>
      </c>
      <c r="G1232">
        <v>-158.19499999999999</v>
      </c>
      <c r="H1232">
        <v>5.8767110000000002</v>
      </c>
      <c r="I1232">
        <v>373.10469999999998</v>
      </c>
      <c r="J1232">
        <v>-321.01339999999999</v>
      </c>
      <c r="K1232">
        <v>1.110152</v>
      </c>
      <c r="L1232">
        <v>366.89159999999998</v>
      </c>
      <c r="M1232">
        <v>0.99990449999999997</v>
      </c>
      <c r="N1232">
        <v>-1.03751E-2</v>
      </c>
      <c r="O1232">
        <v>9.1524910000000004E-3</v>
      </c>
      <c r="P1232">
        <v>0.98846080000000003</v>
      </c>
      <c r="Q1232">
        <v>0.1133557</v>
      </c>
      <c r="R1232">
        <v>0.100478</v>
      </c>
      <c r="S1232">
        <v>3.0130309999999998</v>
      </c>
      <c r="T1232">
        <v>8.8128689999999996E-2</v>
      </c>
      <c r="U1232">
        <v>0.11489870000000001</v>
      </c>
      <c r="V1232">
        <v>-9.1413229999999998E-2</v>
      </c>
      <c r="W1232">
        <v>0.1236237</v>
      </c>
      <c r="X1232">
        <v>0.98810969999999998</v>
      </c>
      <c r="Y1232">
        <v>-2.8957500000000001E-2</v>
      </c>
      <c r="Z1232" s="1">
        <v>8.9488169999999898E-5</v>
      </c>
      <c r="AA1232">
        <v>0.99958060000000004</v>
      </c>
      <c r="AB1232">
        <v>28</v>
      </c>
      <c r="AC1232">
        <v>162.8184</v>
      </c>
      <c r="AD1232">
        <v>4.766559</v>
      </c>
      <c r="AE1232">
        <v>6.2130999999999901</v>
      </c>
      <c r="AF1232">
        <v>-4.7185277939301997</v>
      </c>
      <c r="AG1232">
        <v>4.766559</v>
      </c>
      <c r="AH1232">
        <v>162.72918478600101</v>
      </c>
      <c r="AI1232">
        <v>88.322912951855997</v>
      </c>
      <c r="AJ1232">
        <v>91.660894435920596</v>
      </c>
      <c r="AK1232">
        <v>162.86734531623901</v>
      </c>
      <c r="AL1232">
        <v>82.898716778160406</v>
      </c>
      <c r="AM1232">
        <v>95.285573262252697</v>
      </c>
      <c r="AN1232">
        <v>0.99999998852740601</v>
      </c>
    </row>
    <row r="1233" spans="1:40" x14ac:dyDescent="0.25">
      <c r="A1233" t="str">
        <f>"20190304154745468"</f>
        <v>20190304154745468</v>
      </c>
      <c r="B1233" t="str">
        <f>"1551685665458358"</f>
        <v>1551685665458358</v>
      </c>
      <c r="C1233" t="s">
        <v>40</v>
      </c>
      <c r="D1233">
        <v>4.2157140000000002</v>
      </c>
      <c r="E1233">
        <v>0.52293639999999997</v>
      </c>
      <c r="F1233" t="s">
        <v>43</v>
      </c>
      <c r="G1233">
        <v>-158.19499999999999</v>
      </c>
      <c r="H1233">
        <v>6.1532179999999999</v>
      </c>
      <c r="I1233">
        <v>373.05680000000001</v>
      </c>
      <c r="J1233">
        <v>-320.86869999999999</v>
      </c>
      <c r="K1233">
        <v>1.110007</v>
      </c>
      <c r="L1233">
        <v>366.8929</v>
      </c>
      <c r="M1233">
        <v>0.99990809999999997</v>
      </c>
      <c r="N1233">
        <v>-1.001927E-2</v>
      </c>
      <c r="O1233">
        <v>9.1337169999999995E-3</v>
      </c>
      <c r="P1233">
        <v>0.98837949999999997</v>
      </c>
      <c r="Q1233">
        <v>0.1138702</v>
      </c>
      <c r="R1233">
        <v>0.1006951</v>
      </c>
      <c r="S1233">
        <v>3.0126650000000001</v>
      </c>
      <c r="T1233">
        <v>9.3314530000000007E-2</v>
      </c>
      <c r="U1233">
        <v>0.1140747</v>
      </c>
      <c r="V1233">
        <v>-9.164978E-2</v>
      </c>
      <c r="W1233">
        <v>0.12378550000000001</v>
      </c>
      <c r="X1233">
        <v>0.98806760000000005</v>
      </c>
      <c r="Y1233">
        <v>-2.8707099999999999E-2</v>
      </c>
      <c r="Z1233" s="1">
        <v>7.3751089999999999E-5</v>
      </c>
      <c r="AA1233">
        <v>0.99958789999999997</v>
      </c>
      <c r="AB1233">
        <v>29</v>
      </c>
      <c r="AC1233">
        <v>162.6737</v>
      </c>
      <c r="AD1233">
        <v>5.0432110000000003</v>
      </c>
      <c r="AE1233">
        <v>6.1639000000000097</v>
      </c>
      <c r="AF1233">
        <v>-4.67326759796007</v>
      </c>
      <c r="AG1233">
        <v>5.0432110000000003</v>
      </c>
      <c r="AH1233">
        <v>162.567192530917</v>
      </c>
      <c r="AI1233">
        <v>88.223855281309696</v>
      </c>
      <c r="AJ1233">
        <v>91.6466101570186</v>
      </c>
      <c r="AK1233">
        <v>162.71252408655201</v>
      </c>
      <c r="AL1233">
        <v>82.889375054854199</v>
      </c>
      <c r="AM1233">
        <v>95.299397477715999</v>
      </c>
      <c r="AN1233">
        <v>1.00000005717702</v>
      </c>
    </row>
    <row r="1234" spans="1:40" x14ac:dyDescent="0.25">
      <c r="A1234" t="str">
        <f>"20190304154745479"</f>
        <v>20190304154745479</v>
      </c>
      <c r="B1234" t="str">
        <f>"1551685665467699"</f>
        <v>1551685665467699</v>
      </c>
      <c r="C1234" t="s">
        <v>40</v>
      </c>
      <c r="D1234">
        <v>4.19834</v>
      </c>
      <c r="E1234">
        <v>0.52299340000000005</v>
      </c>
      <c r="F1234" t="s">
        <v>43</v>
      </c>
      <c r="G1234">
        <v>-158.19499999999999</v>
      </c>
      <c r="H1234">
        <v>6.3016860000000001</v>
      </c>
      <c r="I1234">
        <v>373.0727</v>
      </c>
      <c r="J1234">
        <v>-320.73599999999999</v>
      </c>
      <c r="K1234">
        <v>1.1098520000000001</v>
      </c>
      <c r="L1234">
        <v>366.89409999999998</v>
      </c>
      <c r="M1234">
        <v>0.99990999999999997</v>
      </c>
      <c r="N1234">
        <v>-9.8465879999999999E-3</v>
      </c>
      <c r="O1234">
        <v>9.1161149999999993E-3</v>
      </c>
      <c r="P1234">
        <v>0.98829610000000001</v>
      </c>
      <c r="Q1234">
        <v>0.1145456</v>
      </c>
      <c r="R1234">
        <v>0.10074950000000001</v>
      </c>
      <c r="S1234">
        <v>3.0125120000000001</v>
      </c>
      <c r="T1234">
        <v>9.614491E-2</v>
      </c>
      <c r="U1234">
        <v>0.114440899999999</v>
      </c>
      <c r="V1234">
        <v>-9.1722639999999994E-2</v>
      </c>
      <c r="W1234">
        <v>0.12428939999999999</v>
      </c>
      <c r="X1234">
        <v>0.98799749999999997</v>
      </c>
      <c r="Y1234">
        <v>-2.8847390000000001E-2</v>
      </c>
      <c r="Z1234" s="1">
        <v>6.2507230000000006E-5</v>
      </c>
      <c r="AA1234">
        <v>0.99958380000000002</v>
      </c>
      <c r="AB1234">
        <v>29</v>
      </c>
      <c r="AC1234">
        <v>162.541</v>
      </c>
      <c r="AD1234">
        <v>5.1918340000000001</v>
      </c>
      <c r="AE1234">
        <v>6.1786000000000101</v>
      </c>
      <c r="AF1234">
        <v>-4.6917490518839804</v>
      </c>
      <c r="AG1234">
        <v>5.1918340000000001</v>
      </c>
      <c r="AH1234">
        <v>162.42509431456301</v>
      </c>
      <c r="AI1234">
        <v>88.169956243737602</v>
      </c>
      <c r="AJ1234">
        <v>91.654563862546894</v>
      </c>
      <c r="AK1234">
        <v>162.57576360744599</v>
      </c>
      <c r="AL1234">
        <v>82.860278457528594</v>
      </c>
      <c r="AM1234">
        <v>95.303960545121996</v>
      </c>
      <c r="AN1234">
        <v>0.99999997882358904</v>
      </c>
    </row>
    <row r="1235" spans="1:40" x14ac:dyDescent="0.25">
      <c r="A1235" t="str">
        <f>"20190304154745492"</f>
        <v>20190304154745492</v>
      </c>
      <c r="B1235" t="str">
        <f>"1551685665487508"</f>
        <v>1551685665487508</v>
      </c>
      <c r="C1235" t="s">
        <v>40</v>
      </c>
      <c r="D1235">
        <v>4.1766829999999997</v>
      </c>
      <c r="E1235">
        <v>0.52311379999999996</v>
      </c>
      <c r="F1235" t="s">
        <v>43</v>
      </c>
      <c r="G1235">
        <v>-158.19499999999999</v>
      </c>
      <c r="H1235">
        <v>6.4935140000000002</v>
      </c>
      <c r="I1235">
        <v>373.0659</v>
      </c>
      <c r="J1235">
        <v>-320.56799999999998</v>
      </c>
      <c r="K1235">
        <v>1.109642</v>
      </c>
      <c r="L1235">
        <v>366.89569999999998</v>
      </c>
      <c r="M1235">
        <v>0.99991160000000001</v>
      </c>
      <c r="N1235">
        <v>-9.7128379999999997E-3</v>
      </c>
      <c r="O1235">
        <v>9.0934759999999996E-3</v>
      </c>
      <c r="P1235">
        <v>0.98828660000000002</v>
      </c>
      <c r="Q1235">
        <v>0.1146793</v>
      </c>
      <c r="R1235">
        <v>0.10069160000000001</v>
      </c>
      <c r="S1235">
        <v>3.0123289999999998</v>
      </c>
      <c r="T1235">
        <v>9.9775550000000005E-2</v>
      </c>
      <c r="U1235">
        <v>0.11437990000000001</v>
      </c>
      <c r="V1235">
        <v>-9.1687290000000005E-2</v>
      </c>
      <c r="W1235">
        <v>0.124290899999999</v>
      </c>
      <c r="X1235">
        <v>0.98800060000000001</v>
      </c>
      <c r="Y1235">
        <v>-2.8851479999999999E-2</v>
      </c>
      <c r="Z1235" s="1">
        <v>5.1941319999999998E-5</v>
      </c>
      <c r="AA1235">
        <v>0.99958369999999996</v>
      </c>
      <c r="AB1235">
        <v>29</v>
      </c>
      <c r="AC1235">
        <v>162.37299999999999</v>
      </c>
      <c r="AD1235">
        <v>5.3838720000000002</v>
      </c>
      <c r="AE1235">
        <v>6.1702000000000199</v>
      </c>
      <c r="AF1235">
        <v>-4.68819356451539</v>
      </c>
      <c r="AG1235">
        <v>5.3838720000000002</v>
      </c>
      <c r="AH1235">
        <v>162.24428035692799</v>
      </c>
      <c r="AI1235">
        <v>88.100201561955203</v>
      </c>
      <c r="AJ1235">
        <v>91.655152218153205</v>
      </c>
      <c r="AK1235">
        <v>162.401267683317</v>
      </c>
      <c r="AL1235">
        <v>82.860191895788304</v>
      </c>
      <c r="AM1235">
        <v>95.301911504013205</v>
      </c>
      <c r="AN1235">
        <v>0.99999998628535602</v>
      </c>
    </row>
    <row r="1236" spans="1:40" x14ac:dyDescent="0.25">
      <c r="A1236" t="str">
        <f>"20190304154745504"</f>
        <v>20190304154745504</v>
      </c>
      <c r="B1236" t="str">
        <f>"1551685665498245"</f>
        <v>1551685665498245</v>
      </c>
      <c r="C1236" t="s">
        <v>40</v>
      </c>
      <c r="D1236">
        <v>4.1619429999999999</v>
      </c>
      <c r="E1236">
        <v>0.52320230000000001</v>
      </c>
      <c r="F1236" t="s">
        <v>43</v>
      </c>
      <c r="G1236">
        <v>-158.19499999999999</v>
      </c>
      <c r="H1236">
        <v>6.6489459999999996</v>
      </c>
      <c r="I1236">
        <v>372.99250000000001</v>
      </c>
      <c r="J1236">
        <v>-320.41250000000002</v>
      </c>
      <c r="K1236">
        <v>1.1093900000000001</v>
      </c>
      <c r="L1236">
        <v>366.89710000000002</v>
      </c>
      <c r="M1236">
        <v>0.99991039999999998</v>
      </c>
      <c r="N1236">
        <v>-9.8429299999999997E-3</v>
      </c>
      <c r="O1236">
        <v>9.0735090000000004E-3</v>
      </c>
      <c r="P1236">
        <v>0.988232</v>
      </c>
      <c r="Q1236">
        <v>0.1149969</v>
      </c>
      <c r="R1236">
        <v>0.1008624</v>
      </c>
      <c r="S1236">
        <v>3.0120849999999999</v>
      </c>
      <c r="T1236">
        <v>0.1027579</v>
      </c>
      <c r="U1236">
        <v>0.11309809999999999</v>
      </c>
      <c r="V1236">
        <v>-9.1878080000000001E-2</v>
      </c>
      <c r="W1236">
        <v>0.124737</v>
      </c>
      <c r="X1236">
        <v>0.98792670000000005</v>
      </c>
      <c r="Y1236">
        <v>-2.844959E-2</v>
      </c>
      <c r="Z1236" s="1">
        <v>5.3706579999999997E-5</v>
      </c>
      <c r="AA1236">
        <v>0.99959520000000002</v>
      </c>
      <c r="AB1236">
        <v>29</v>
      </c>
      <c r="AC1236">
        <v>162.2175</v>
      </c>
      <c r="AD1236">
        <v>5.5395560000000001</v>
      </c>
      <c r="AE1236">
        <v>6.0953999999999802</v>
      </c>
      <c r="AF1236">
        <v>-4.6178183432014297</v>
      </c>
      <c r="AG1236">
        <v>5.5395560000000001</v>
      </c>
      <c r="AH1236">
        <v>162.07739089110899</v>
      </c>
      <c r="AI1236">
        <v>88.043273776872894</v>
      </c>
      <c r="AJ1236">
        <v>91.631997791916007</v>
      </c>
      <c r="AK1236">
        <v>162.23776245066199</v>
      </c>
      <c r="AL1236">
        <v>82.834432113127505</v>
      </c>
      <c r="AM1236">
        <v>95.313276208973605</v>
      </c>
      <c r="AN1236">
        <v>1.0000000326631799</v>
      </c>
    </row>
    <row r="1237" spans="1:40" x14ac:dyDescent="0.25">
      <c r="A1237" t="str">
        <f>"20190304154745516"</f>
        <v>20190304154745516</v>
      </c>
      <c r="B1237" t="str">
        <f>"1551685665508004"</f>
        <v>1551685665508004</v>
      </c>
      <c r="C1237" t="s">
        <v>40</v>
      </c>
      <c r="D1237">
        <v>4.1689499999999997</v>
      </c>
      <c r="E1237">
        <v>0.52327219999999997</v>
      </c>
      <c r="F1237" t="s">
        <v>43</v>
      </c>
      <c r="G1237">
        <v>-160.7997</v>
      </c>
      <c r="H1237">
        <v>6.6740899999999996</v>
      </c>
      <c r="I1237">
        <v>372.88889999999998</v>
      </c>
      <c r="J1237">
        <v>-320.25970000000001</v>
      </c>
      <c r="K1237">
        <v>1.10911</v>
      </c>
      <c r="L1237">
        <v>366.89839999999998</v>
      </c>
      <c r="M1237">
        <v>0.99990860000000004</v>
      </c>
      <c r="N1237">
        <v>-1.004681E-2</v>
      </c>
      <c r="O1237">
        <v>9.0538700000000003E-3</v>
      </c>
      <c r="P1237">
        <v>0.9882379</v>
      </c>
      <c r="Q1237">
        <v>0.1147913</v>
      </c>
      <c r="R1237">
        <v>0.10104009999999999</v>
      </c>
      <c r="S1237">
        <v>3.0119319999999998</v>
      </c>
      <c r="T1237">
        <v>0.1050088</v>
      </c>
      <c r="U1237">
        <v>0.1130676</v>
      </c>
      <c r="V1237">
        <v>-9.2075030000000002E-2</v>
      </c>
      <c r="W1237">
        <v>0.1247328</v>
      </c>
      <c r="X1237">
        <v>0.98790880000000003</v>
      </c>
      <c r="Y1237">
        <v>-2.8460820000000001E-2</v>
      </c>
      <c r="Z1237" s="1">
        <v>5.3582419999999897E-5</v>
      </c>
      <c r="AA1237">
        <v>0.99959489999999995</v>
      </c>
      <c r="AB1237">
        <v>29</v>
      </c>
      <c r="AC1237">
        <v>159.46</v>
      </c>
      <c r="AD1237">
        <v>5.5649799999999896</v>
      </c>
      <c r="AE1237">
        <v>5.9904999999999902</v>
      </c>
      <c r="AF1237">
        <v>-4.5409287919170103</v>
      </c>
      <c r="AG1237">
        <v>5.5649799999999896</v>
      </c>
      <c r="AH1237">
        <v>159.313943091353</v>
      </c>
      <c r="AI1237">
        <v>88.000231565009699</v>
      </c>
      <c r="AJ1237">
        <v>91.632660811217207</v>
      </c>
      <c r="AK1237">
        <v>159.475770887018</v>
      </c>
      <c r="AL1237">
        <v>82.834673980918097</v>
      </c>
      <c r="AM1237">
        <v>95.324696285426</v>
      </c>
      <c r="AN1237">
        <v>0.99999993983138802</v>
      </c>
    </row>
    <row r="1238" spans="1:40" x14ac:dyDescent="0.25">
      <c r="A1238" t="str">
        <f>"20190304154745528"</f>
        <v>20190304154745528</v>
      </c>
      <c r="B1238" t="str">
        <f>"1551685665517765"</f>
        <v>1551685665517765</v>
      </c>
      <c r="C1238" t="s">
        <v>40</v>
      </c>
      <c r="D1238">
        <v>4.1499689999999996</v>
      </c>
      <c r="E1238">
        <v>0.52335540000000003</v>
      </c>
      <c r="F1238" t="s">
        <v>43</v>
      </c>
      <c r="G1238">
        <v>-161.54159999999999</v>
      </c>
      <c r="H1238">
        <v>6.6740899999999996</v>
      </c>
      <c r="I1238">
        <v>372.84870000000001</v>
      </c>
      <c r="J1238">
        <v>-320.09879999999998</v>
      </c>
      <c r="K1238">
        <v>1.1087530000000001</v>
      </c>
      <c r="L1238">
        <v>366.8999</v>
      </c>
      <c r="M1238">
        <v>0.99990520000000005</v>
      </c>
      <c r="N1238">
        <v>-1.039678E-2</v>
      </c>
      <c r="O1238">
        <v>9.0337339999999999E-3</v>
      </c>
      <c r="P1238">
        <v>0.98824000000000001</v>
      </c>
      <c r="Q1238">
        <v>0.1146134</v>
      </c>
      <c r="R1238">
        <v>0.1012202</v>
      </c>
      <c r="S1238">
        <v>3.0119020000000001</v>
      </c>
      <c r="T1238">
        <v>0.105605</v>
      </c>
      <c r="U1238">
        <v>0.112915</v>
      </c>
      <c r="V1238">
        <v>-9.2274209999999995E-2</v>
      </c>
      <c r="W1238">
        <v>0.1249012</v>
      </c>
      <c r="X1238">
        <v>0.987869</v>
      </c>
      <c r="Y1238">
        <v>-2.8430939999999998E-2</v>
      </c>
      <c r="Z1238" s="1">
        <v>6.0159540000000002E-5</v>
      </c>
      <c r="AA1238">
        <v>0.99959580000000003</v>
      </c>
      <c r="AB1238">
        <v>29</v>
      </c>
      <c r="AC1238">
        <v>158.55719999999999</v>
      </c>
      <c r="AD1238">
        <v>5.5653370000000004</v>
      </c>
      <c r="AE1238">
        <v>5.9488000000000003</v>
      </c>
      <c r="AF1238">
        <v>-4.5105671116876103</v>
      </c>
      <c r="AG1238">
        <v>5.5653370000000004</v>
      </c>
      <c r="AH1238">
        <v>158.40958573841499</v>
      </c>
      <c r="AI1238">
        <v>87.988693704471601</v>
      </c>
      <c r="AJ1238">
        <v>91.631003875251395</v>
      </c>
      <c r="AK1238">
        <v>158.57148244690501</v>
      </c>
      <c r="AL1238">
        <v>82.824949758779397</v>
      </c>
      <c r="AM1238">
        <v>95.336362184451701</v>
      </c>
      <c r="AN1238">
        <v>1.0000000003767799</v>
      </c>
    </row>
    <row r="1239" spans="1:40" x14ac:dyDescent="0.25">
      <c r="A1239" t="str">
        <f>"20190304154745540"</f>
        <v>20190304154745540</v>
      </c>
      <c r="B1239" t="str">
        <f>"1551685665538261"</f>
        <v>1551685665538261</v>
      </c>
      <c r="C1239" t="s">
        <v>40</v>
      </c>
      <c r="D1239">
        <v>4.1412000000000004</v>
      </c>
      <c r="E1239">
        <v>0.52351369999999997</v>
      </c>
      <c r="F1239" t="s">
        <v>43</v>
      </c>
      <c r="G1239">
        <v>-162.73759999999999</v>
      </c>
      <c r="H1239">
        <v>6.6740890000000004</v>
      </c>
      <c r="I1239">
        <v>372.79149999999998</v>
      </c>
      <c r="J1239">
        <v>-319.94760000000002</v>
      </c>
      <c r="K1239">
        <v>1.108331</v>
      </c>
      <c r="L1239">
        <v>366.90120000000002</v>
      </c>
      <c r="M1239">
        <v>0.99990040000000002</v>
      </c>
      <c r="N1239">
        <v>-1.0867659999999999E-2</v>
      </c>
      <c r="O1239">
        <v>9.0182219999999993E-3</v>
      </c>
      <c r="P1239">
        <v>0.98823510000000003</v>
      </c>
      <c r="Q1239">
        <v>0.11447300000000001</v>
      </c>
      <c r="R1239">
        <v>0.10142660000000001</v>
      </c>
      <c r="S1239">
        <v>3.0118100000000001</v>
      </c>
      <c r="T1239">
        <v>0.10651919999999999</v>
      </c>
      <c r="U1239">
        <v>0.1127625</v>
      </c>
      <c r="V1239">
        <v>-9.2495549999999996E-2</v>
      </c>
      <c r="W1239">
        <v>0.12522619999999901</v>
      </c>
      <c r="X1239">
        <v>0.9878072</v>
      </c>
      <c r="Y1239">
        <v>-2.8397269999999999E-2</v>
      </c>
      <c r="Z1239" s="1">
        <v>6.9226599999999897E-5</v>
      </c>
      <c r="AA1239">
        <v>0.9995967</v>
      </c>
      <c r="AB1239">
        <v>29</v>
      </c>
      <c r="AC1239">
        <v>157.21</v>
      </c>
      <c r="AD1239">
        <v>5.5657579999999998</v>
      </c>
      <c r="AE1239">
        <v>5.8902999999999599</v>
      </c>
      <c r="AF1239">
        <v>-4.4666315953456399</v>
      </c>
      <c r="AG1239">
        <v>5.5657579999999998</v>
      </c>
      <c r="AH1239">
        <v>157.06014687621601</v>
      </c>
      <c r="AI1239">
        <v>87.971271868511494</v>
      </c>
      <c r="AJ1239">
        <v>91.628994903213894</v>
      </c>
      <c r="AK1239">
        <v>157.22219371546001</v>
      </c>
      <c r="AL1239">
        <v>82.806181604669803</v>
      </c>
      <c r="AM1239">
        <v>95.349421175229196</v>
      </c>
      <c r="AN1239">
        <v>1.0000000461540399</v>
      </c>
    </row>
    <row r="1240" spans="1:40" x14ac:dyDescent="0.25">
      <c r="A1240" t="str">
        <f>"20190304154745550"</f>
        <v>20190304154745550</v>
      </c>
      <c r="B1240" t="str">
        <f>"1551685665548022"</f>
        <v>1551685665548022</v>
      </c>
      <c r="C1240" t="s">
        <v>40</v>
      </c>
      <c r="D1240">
        <v>4.1093299999999999</v>
      </c>
      <c r="E1240">
        <v>0.52348609999999995</v>
      </c>
      <c r="F1240" t="s">
        <v>43</v>
      </c>
      <c r="G1240">
        <v>-165.45009999999999</v>
      </c>
      <c r="H1240">
        <v>6.6740899999999996</v>
      </c>
      <c r="I1240">
        <v>372.66559999999998</v>
      </c>
      <c r="J1240">
        <v>-319.79939999999999</v>
      </c>
      <c r="K1240">
        <v>1.1078870000000001</v>
      </c>
      <c r="L1240">
        <v>366.90260000000001</v>
      </c>
      <c r="M1240">
        <v>0.99989470000000003</v>
      </c>
      <c r="N1240">
        <v>-1.1380609999999999E-2</v>
      </c>
      <c r="O1240">
        <v>9.0043740000000008E-3</v>
      </c>
      <c r="P1240">
        <v>0.98820229999999998</v>
      </c>
      <c r="Q1240">
        <v>0.1145187</v>
      </c>
      <c r="R1240">
        <v>0.1016949</v>
      </c>
      <c r="S1240">
        <v>3.0116269999999998</v>
      </c>
      <c r="T1240">
        <v>0.1084952</v>
      </c>
      <c r="U1240">
        <v>0.1123657</v>
      </c>
      <c r="V1240">
        <v>-9.2776810000000001E-2</v>
      </c>
      <c r="W1240">
        <v>0.1257788</v>
      </c>
      <c r="X1240">
        <v>0.98771059999999999</v>
      </c>
      <c r="Y1240">
        <v>-2.8282060000000001E-2</v>
      </c>
      <c r="Z1240" s="1">
        <v>7.8491919999999906E-5</v>
      </c>
      <c r="AA1240">
        <v>0.99960000000000004</v>
      </c>
      <c r="AB1240">
        <v>29</v>
      </c>
      <c r="AC1240">
        <v>154.3493</v>
      </c>
      <c r="AD1240">
        <v>5.5662029999999998</v>
      </c>
      <c r="AE1240">
        <v>5.7629999999999697</v>
      </c>
      <c r="AF1240">
        <v>-4.3671859085223304</v>
      </c>
      <c r="AG1240">
        <v>5.5662029999999998</v>
      </c>
      <c r="AH1240">
        <v>154.194687120944</v>
      </c>
      <c r="AI1240">
        <v>87.933431721601806</v>
      </c>
      <c r="AJ1240">
        <v>91.622328572869407</v>
      </c>
      <c r="AK1240">
        <v>154.35691259196199</v>
      </c>
      <c r="AL1240">
        <v>82.7742675513297</v>
      </c>
      <c r="AM1240">
        <v>95.366114576773896</v>
      </c>
      <c r="AN1240">
        <v>1.0000000361777801</v>
      </c>
    </row>
    <row r="1241" spans="1:40" x14ac:dyDescent="0.25">
      <c r="A1241" t="str">
        <f>"20190304154745562"</f>
        <v>20190304154745562</v>
      </c>
      <c r="B1241" t="str">
        <f>"1551685665557781"</f>
        <v>1551685665557781</v>
      </c>
      <c r="C1241" t="s">
        <v>40</v>
      </c>
      <c r="D1241">
        <v>4.0942829999999999</v>
      </c>
      <c r="E1241">
        <v>0.52346579999999998</v>
      </c>
      <c r="F1241" t="s">
        <v>43</v>
      </c>
      <c r="G1241">
        <v>-165.09719999999999</v>
      </c>
      <c r="H1241">
        <v>6.6740899999999996</v>
      </c>
      <c r="I1241">
        <v>372.72480000000002</v>
      </c>
      <c r="J1241">
        <v>-319.66160000000002</v>
      </c>
      <c r="K1241">
        <v>1.107407</v>
      </c>
      <c r="L1241">
        <v>366.90379999999999</v>
      </c>
      <c r="M1241">
        <v>0.99988580000000005</v>
      </c>
      <c r="N1241">
        <v>-1.214643E-2</v>
      </c>
      <c r="O1241">
        <v>8.9927380000000001E-3</v>
      </c>
      <c r="P1241">
        <v>0.98824719999999999</v>
      </c>
      <c r="Q1241">
        <v>0.11390400000000001</v>
      </c>
      <c r="R1241">
        <v>0.101948</v>
      </c>
      <c r="S1241">
        <v>3.0115970000000001</v>
      </c>
      <c r="T1241">
        <v>0.1083592</v>
      </c>
      <c r="U1241">
        <v>0.11334230000000001</v>
      </c>
      <c r="V1241">
        <v>-9.3040739999999997E-2</v>
      </c>
      <c r="W1241">
        <v>0.12592110000000001</v>
      </c>
      <c r="X1241">
        <v>0.98766759999999998</v>
      </c>
      <c r="Y1241">
        <v>-2.8618250000000001E-2</v>
      </c>
      <c r="Z1241" s="1">
        <v>9.1889000000000001E-5</v>
      </c>
      <c r="AA1241">
        <v>0.99959039999999999</v>
      </c>
      <c r="AB1241">
        <v>29</v>
      </c>
      <c r="AC1241">
        <v>154.56440000000001</v>
      </c>
      <c r="AD1241">
        <v>5.5666829999999896</v>
      </c>
      <c r="AE1241">
        <v>5.8210000000000202</v>
      </c>
      <c r="AF1241">
        <v>-4.4249733925880204</v>
      </c>
      <c r="AG1241">
        <v>5.5666829999999896</v>
      </c>
      <c r="AH1241">
        <v>154.410497327071</v>
      </c>
      <c r="AI1241">
        <v>87.936159377415805</v>
      </c>
      <c r="AJ1241">
        <v>91.641487691456206</v>
      </c>
      <c r="AK1241">
        <v>154.57415707013001</v>
      </c>
      <c r="AL1241">
        <v>82.766048722506497</v>
      </c>
      <c r="AM1241">
        <v>95.381523435085199</v>
      </c>
      <c r="AN1241">
        <v>0.99999999540735796</v>
      </c>
    </row>
    <row r="1242" spans="1:40" x14ac:dyDescent="0.25">
      <c r="A1242" t="str">
        <f>"20190304154745574"</f>
        <v>20190304154745574</v>
      </c>
      <c r="B1242" t="str">
        <f>"1551685665567541"</f>
        <v>1551685665567541</v>
      </c>
      <c r="C1242" t="s">
        <v>40</v>
      </c>
      <c r="D1242">
        <v>4.1076680000000003</v>
      </c>
      <c r="E1242">
        <v>0.52349699999999999</v>
      </c>
      <c r="F1242" t="s">
        <v>43</v>
      </c>
      <c r="G1242">
        <v>-163.32900000000001</v>
      </c>
      <c r="H1242">
        <v>6.6740899999999996</v>
      </c>
      <c r="I1242">
        <v>372.83819999999997</v>
      </c>
      <c r="J1242">
        <v>-319.5129</v>
      </c>
      <c r="K1242">
        <v>1.106876</v>
      </c>
      <c r="L1242">
        <v>366.9051</v>
      </c>
      <c r="M1242">
        <v>0.99987490000000001</v>
      </c>
      <c r="N1242">
        <v>-1.301738E-2</v>
      </c>
      <c r="O1242">
        <v>8.9795789999999997E-3</v>
      </c>
      <c r="P1242">
        <v>0.98829389999999995</v>
      </c>
      <c r="Q1242">
        <v>0.1133605</v>
      </c>
      <c r="R1242">
        <v>0.1021003</v>
      </c>
      <c r="S1242">
        <v>3.011536</v>
      </c>
      <c r="T1242">
        <v>0.10723630000000001</v>
      </c>
      <c r="U1242">
        <v>0.1143188</v>
      </c>
      <c r="V1242">
        <v>-9.3205560000000007E-2</v>
      </c>
      <c r="W1242">
        <v>0.1262385</v>
      </c>
      <c r="X1242">
        <v>0.98761149999999998</v>
      </c>
      <c r="Y1242">
        <v>-2.8956559999999999E-2</v>
      </c>
      <c r="Z1242">
        <v>1.097072E-4</v>
      </c>
      <c r="AA1242">
        <v>0.99958069999999999</v>
      </c>
      <c r="AB1242">
        <v>29</v>
      </c>
      <c r="AC1242">
        <v>156.18389999999999</v>
      </c>
      <c r="AD1242">
        <v>5.5672139999999999</v>
      </c>
      <c r="AE1242">
        <v>5.9330999999999596</v>
      </c>
      <c r="AF1242">
        <v>-4.5245356569217101</v>
      </c>
      <c r="AG1242">
        <v>5.5672139999999999</v>
      </c>
      <c r="AH1242">
        <v>156.03291607832</v>
      </c>
      <c r="AI1242">
        <v>87.957426105834401</v>
      </c>
      <c r="AJ1242">
        <v>91.660958349599895</v>
      </c>
      <c r="AK1242">
        <v>156.197747085343</v>
      </c>
      <c r="AL1242">
        <v>82.747716460916905</v>
      </c>
      <c r="AM1242">
        <v>95.391305014693501</v>
      </c>
      <c r="AN1242">
        <v>0.99999995511470496</v>
      </c>
    </row>
    <row r="1243" spans="1:40" x14ac:dyDescent="0.25">
      <c r="A1243" t="str">
        <f>"20190304154745584"</f>
        <v>20190304154745584</v>
      </c>
      <c r="B1243" t="str">
        <f>"1551685665578277"</f>
        <v>1551685665578277</v>
      </c>
      <c r="C1243" t="s">
        <v>40</v>
      </c>
      <c r="D1243">
        <v>4.0908730000000002</v>
      </c>
      <c r="E1243">
        <v>0.52345259999999905</v>
      </c>
      <c r="F1243" t="s">
        <v>43</v>
      </c>
      <c r="G1243">
        <v>-162.58269999999999</v>
      </c>
      <c r="H1243">
        <v>6.6740909999999998</v>
      </c>
      <c r="I1243">
        <v>372.88479999999998</v>
      </c>
      <c r="J1243">
        <v>-319.37459999999999</v>
      </c>
      <c r="K1243">
        <v>1.106331</v>
      </c>
      <c r="L1243">
        <v>366.90629999999999</v>
      </c>
      <c r="M1243">
        <v>0.99986180000000002</v>
      </c>
      <c r="N1243">
        <v>-1.400502E-2</v>
      </c>
      <c r="O1243">
        <v>8.9658829999999991E-3</v>
      </c>
      <c r="P1243">
        <v>0.98835799999999996</v>
      </c>
      <c r="Q1243">
        <v>0.1127031</v>
      </c>
      <c r="R1243">
        <v>0.10220899999999999</v>
      </c>
      <c r="S1243">
        <v>3.0113829999999999</v>
      </c>
      <c r="T1243">
        <v>0.1068326</v>
      </c>
      <c r="U1243">
        <v>0.1147461</v>
      </c>
      <c r="V1243">
        <v>-9.3327460000000001E-2</v>
      </c>
      <c r="W1243">
        <v>0.1265578</v>
      </c>
      <c r="X1243">
        <v>0.98755910000000002</v>
      </c>
      <c r="Y1243">
        <v>-2.9114589999999999E-2</v>
      </c>
      <c r="Z1243">
        <v>1.3123240000000001E-4</v>
      </c>
      <c r="AA1243">
        <v>0.99957609999999997</v>
      </c>
      <c r="AB1243">
        <v>29</v>
      </c>
      <c r="AC1243">
        <v>156.7919</v>
      </c>
      <c r="AD1243">
        <v>5.5677599999999998</v>
      </c>
      <c r="AE1243">
        <v>5.9784999999999897</v>
      </c>
      <c r="AF1243">
        <v>-4.5665939407991303</v>
      </c>
      <c r="AG1243">
        <v>5.5677599999999998</v>
      </c>
      <c r="AH1243">
        <v>156.64196625016001</v>
      </c>
      <c r="AI1243">
        <v>87.965171108377106</v>
      </c>
      <c r="AJ1243">
        <v>91.669874804333205</v>
      </c>
      <c r="AK1243">
        <v>156.80739562391099</v>
      </c>
      <c r="AL1243">
        <v>82.729273845432303</v>
      </c>
      <c r="AM1243">
        <v>95.398599212185104</v>
      </c>
      <c r="AN1243">
        <v>0.99999993376184804</v>
      </c>
    </row>
    <row r="1244" spans="1:40" x14ac:dyDescent="0.25">
      <c r="A1244" t="str">
        <f>"20190304154745595"</f>
        <v>20190304154745595</v>
      </c>
      <c r="B1244" t="str">
        <f>"1551685665588036"</f>
        <v>1551685665588036</v>
      </c>
      <c r="C1244" t="s">
        <v>40</v>
      </c>
      <c r="D1244">
        <v>4.0719770000000004</v>
      </c>
      <c r="E1244">
        <v>0.52350719999999995</v>
      </c>
      <c r="F1244" t="s">
        <v>43</v>
      </c>
      <c r="G1244">
        <v>-159.864</v>
      </c>
      <c r="H1244">
        <v>6.6740909999999998</v>
      </c>
      <c r="I1244">
        <v>373.01499999999999</v>
      </c>
      <c r="J1244">
        <v>-319.23829999999998</v>
      </c>
      <c r="K1244">
        <v>1.1057699999999999</v>
      </c>
      <c r="L1244">
        <v>366.90750000000003</v>
      </c>
      <c r="M1244">
        <v>0.99984740000000005</v>
      </c>
      <c r="N1244">
        <v>-1.500345E-2</v>
      </c>
      <c r="O1244">
        <v>8.9514989999999999E-3</v>
      </c>
      <c r="P1244">
        <v>0.98842050000000004</v>
      </c>
      <c r="Q1244">
        <v>0.1118749</v>
      </c>
      <c r="R1244">
        <v>0.1025126</v>
      </c>
      <c r="S1244">
        <v>3.0114139999999998</v>
      </c>
      <c r="T1244">
        <v>0.1051158</v>
      </c>
      <c r="U1244">
        <v>0.1153259</v>
      </c>
      <c r="V1244">
        <v>-9.3644829999999998E-2</v>
      </c>
      <c r="W1244">
        <v>0.1267163</v>
      </c>
      <c r="X1244">
        <v>0.98750879999999996</v>
      </c>
      <c r="Y1244">
        <v>-2.9321710000000001E-2</v>
      </c>
      <c r="Z1244">
        <v>1.5513239999999999E-4</v>
      </c>
      <c r="AA1244">
        <v>0.99956999999999996</v>
      </c>
      <c r="AB1244">
        <v>29</v>
      </c>
      <c r="AC1244">
        <v>159.37429999999901</v>
      </c>
      <c r="AD1244">
        <v>5.5683210000000001</v>
      </c>
      <c r="AE1244">
        <v>6.1074999999999502</v>
      </c>
      <c r="AF1244">
        <v>-4.6747576521552299</v>
      </c>
      <c r="AG1244">
        <v>5.5683210000000001</v>
      </c>
      <c r="AH1244">
        <v>159.22850403807001</v>
      </c>
      <c r="AI1244">
        <v>87.998008632855601</v>
      </c>
      <c r="AJ1244">
        <v>91.681652227215395</v>
      </c>
      <c r="AK1244">
        <v>159.394404092701</v>
      </c>
      <c r="AL1244">
        <v>82.720119260174499</v>
      </c>
      <c r="AM1244">
        <v>95.417122982803207</v>
      </c>
      <c r="AN1244">
        <v>1.00000000247442</v>
      </c>
    </row>
    <row r="1245" spans="1:40" x14ac:dyDescent="0.25">
      <c r="A1245" t="str">
        <f>"20190304154745605"</f>
        <v>20190304154745605</v>
      </c>
      <c r="B1245" t="str">
        <f>"1551685665597797"</f>
        <v>1551685665597797</v>
      </c>
      <c r="C1245" t="s">
        <v>40</v>
      </c>
      <c r="D1245">
        <v>4.0662060000000002</v>
      </c>
      <c r="E1245">
        <v>0.52346009999999998</v>
      </c>
      <c r="F1245" t="s">
        <v>43</v>
      </c>
      <c r="G1245">
        <v>-158.19499999999999</v>
      </c>
      <c r="H1245">
        <v>6.6543409999999996</v>
      </c>
      <c r="I1245">
        <v>373.08800000000002</v>
      </c>
      <c r="J1245">
        <v>-319.09739999999999</v>
      </c>
      <c r="K1245">
        <v>1.1051359999999999</v>
      </c>
      <c r="L1245">
        <v>366.90879999999999</v>
      </c>
      <c r="M1245">
        <v>0.99983080000000002</v>
      </c>
      <c r="N1245">
        <v>-1.6088080000000001E-2</v>
      </c>
      <c r="O1245">
        <v>8.9345480000000005E-3</v>
      </c>
      <c r="P1245">
        <v>0.98845519999999998</v>
      </c>
      <c r="Q1245">
        <v>0.111058199999999</v>
      </c>
      <c r="R1245">
        <v>0.1030667</v>
      </c>
      <c r="S1245">
        <v>3.0113829999999999</v>
      </c>
      <c r="T1245">
        <v>0.1037555</v>
      </c>
      <c r="U1245">
        <v>0.1155701</v>
      </c>
      <c r="V1245">
        <v>-9.4215240000000006E-2</v>
      </c>
      <c r="W1245">
        <v>0.12697169999999999</v>
      </c>
      <c r="X1245">
        <v>0.98742180000000002</v>
      </c>
      <c r="Y1245">
        <v>-2.9420959999999999E-2</v>
      </c>
      <c r="Z1245">
        <v>1.8155370000000001E-4</v>
      </c>
      <c r="AA1245">
        <v>0.99956710000000004</v>
      </c>
      <c r="AB1245">
        <v>29</v>
      </c>
      <c r="AC1245">
        <v>160.9024</v>
      </c>
      <c r="AD1245">
        <v>5.5492049999999997</v>
      </c>
      <c r="AE1245">
        <v>6.17920000000003</v>
      </c>
      <c r="AF1245">
        <v>-4.7355529243782497</v>
      </c>
      <c r="AG1245">
        <v>5.5492049999999997</v>
      </c>
      <c r="AH1245">
        <v>160.760261163926</v>
      </c>
      <c r="AI1245">
        <v>88.023876411934495</v>
      </c>
      <c r="AJ1245">
        <v>91.687287365851006</v>
      </c>
      <c r="AK1245">
        <v>160.92569933707099</v>
      </c>
      <c r="AL1245">
        <v>82.705367234889806</v>
      </c>
      <c r="AM1245">
        <v>95.450399015872406</v>
      </c>
      <c r="AN1245">
        <v>1.0000000675821901</v>
      </c>
    </row>
    <row r="1246" spans="1:40" x14ac:dyDescent="0.25">
      <c r="A1246" t="str">
        <f>"20190304154745615"</f>
        <v>20190304154745615</v>
      </c>
      <c r="B1246" t="str">
        <f>"1551685665607557"</f>
        <v>1551685665607557</v>
      </c>
      <c r="C1246" t="s">
        <v>40</v>
      </c>
      <c r="D1246">
        <v>4.075475</v>
      </c>
      <c r="E1246">
        <v>0.5235012</v>
      </c>
      <c r="F1246" t="s">
        <v>43</v>
      </c>
      <c r="G1246">
        <v>-158.19499999999999</v>
      </c>
      <c r="H1246">
        <v>6.5284409999999999</v>
      </c>
      <c r="I1246">
        <v>373.22430000000003</v>
      </c>
      <c r="J1246">
        <v>-318.98020000000002</v>
      </c>
      <c r="K1246">
        <v>1.1045860000000001</v>
      </c>
      <c r="L1246">
        <v>366.90980000000002</v>
      </c>
      <c r="M1246">
        <v>0.99981629999999999</v>
      </c>
      <c r="N1246">
        <v>-1.6975110000000002E-2</v>
      </c>
      <c r="O1246">
        <v>8.9196090000000002E-3</v>
      </c>
      <c r="P1246">
        <v>0.9884849</v>
      </c>
      <c r="Q1246">
        <v>0.11046599999999999</v>
      </c>
      <c r="R1246">
        <v>0.1034171</v>
      </c>
      <c r="S1246">
        <v>3.0112920000000001</v>
      </c>
      <c r="T1246">
        <v>0.1014988</v>
      </c>
      <c r="U1246">
        <v>0.1181946</v>
      </c>
      <c r="V1246">
        <v>-9.4579960000000005E-2</v>
      </c>
      <c r="W1246">
        <v>0.12725549999999999</v>
      </c>
      <c r="X1246">
        <v>0.98735030000000001</v>
      </c>
      <c r="Y1246">
        <v>-3.0307589999999999E-2</v>
      </c>
      <c r="Z1246">
        <v>1.9869270000000001E-4</v>
      </c>
      <c r="AA1246">
        <v>0.9995406</v>
      </c>
      <c r="AB1246">
        <v>29</v>
      </c>
      <c r="AC1246">
        <v>160.7852</v>
      </c>
      <c r="AD1246">
        <v>5.4238549999999996</v>
      </c>
      <c r="AE1246">
        <v>6.3144999999999998</v>
      </c>
      <c r="AF1246">
        <v>-4.87436294452261</v>
      </c>
      <c r="AG1246">
        <v>5.4238549999999996</v>
      </c>
      <c r="AH1246">
        <v>160.65259958127399</v>
      </c>
      <c r="AI1246">
        <v>88.067238071121096</v>
      </c>
      <c r="AJ1246">
        <v>91.737878956447901</v>
      </c>
      <c r="AK1246">
        <v>160.81801941759201</v>
      </c>
      <c r="AL1246">
        <v>82.688973016995803</v>
      </c>
      <c r="AM1246">
        <v>95.471764270691907</v>
      </c>
      <c r="AN1246">
        <v>0.99999997301196997</v>
      </c>
    </row>
    <row r="1247" spans="1:40" x14ac:dyDescent="0.25">
      <c r="A1247" t="str">
        <f>"20190304154745625"</f>
        <v>20190304154745625</v>
      </c>
      <c r="B1247" t="str">
        <f>"1551685665618295"</f>
        <v>1551685665618295</v>
      </c>
      <c r="C1247" t="s">
        <v>40</v>
      </c>
      <c r="D1247">
        <v>4.0369070000000002</v>
      </c>
      <c r="E1247">
        <v>0.52356759999999902</v>
      </c>
      <c r="F1247" t="s">
        <v>43</v>
      </c>
      <c r="G1247">
        <v>-158.19499999999999</v>
      </c>
      <c r="H1247">
        <v>6.4757809999999996</v>
      </c>
      <c r="I1247">
        <v>373.23520000000002</v>
      </c>
      <c r="J1247">
        <v>-318.84519999999998</v>
      </c>
      <c r="K1247">
        <v>1.103912</v>
      </c>
      <c r="L1247">
        <v>366.91090000000003</v>
      </c>
      <c r="M1247">
        <v>0.99979899999999999</v>
      </c>
      <c r="N1247">
        <v>-1.7970239999999998E-2</v>
      </c>
      <c r="O1247">
        <v>8.901562E-3</v>
      </c>
      <c r="P1247">
        <v>0.98850550000000004</v>
      </c>
      <c r="Q1247">
        <v>0.10978449999999999</v>
      </c>
      <c r="R1247">
        <v>0.1039428</v>
      </c>
      <c r="S1247">
        <v>3.0113530000000002</v>
      </c>
      <c r="T1247">
        <v>0.1005989</v>
      </c>
      <c r="U1247">
        <v>0.1184692</v>
      </c>
      <c r="V1247">
        <v>-9.512379E-2</v>
      </c>
      <c r="W1247">
        <v>0.1275567</v>
      </c>
      <c r="X1247">
        <v>0.9872592</v>
      </c>
      <c r="Y1247">
        <v>-3.041671E-2</v>
      </c>
      <c r="Z1247">
        <v>2.2275069999999999E-4</v>
      </c>
      <c r="AA1247">
        <v>0.99953729999999996</v>
      </c>
      <c r="AB1247">
        <v>29</v>
      </c>
      <c r="AC1247">
        <v>160.65019999999899</v>
      </c>
      <c r="AD1247">
        <v>5.3718689999999896</v>
      </c>
      <c r="AE1247">
        <v>6.3242999999999903</v>
      </c>
      <c r="AF1247">
        <v>-4.8883235554007998</v>
      </c>
      <c r="AG1247">
        <v>5.3718689999999896</v>
      </c>
      <c r="AH1247">
        <v>160.52093437760999</v>
      </c>
      <c r="AI1247">
        <v>88.084186690747998</v>
      </c>
      <c r="AJ1247">
        <v>91.744282001560904</v>
      </c>
      <c r="AK1247">
        <v>160.685167508381</v>
      </c>
      <c r="AL1247">
        <v>82.671573841803706</v>
      </c>
      <c r="AM1247">
        <v>95.503538730878901</v>
      </c>
      <c r="AN1247">
        <v>0.99999998756174702</v>
      </c>
    </row>
    <row r="1248" spans="1:40" x14ac:dyDescent="0.25">
      <c r="A1248" t="str">
        <f>"20190304154745636"</f>
        <v>20190304154745636</v>
      </c>
      <c r="B1248" t="str">
        <f>"1551685665628054"</f>
        <v>1551685665628054</v>
      </c>
      <c r="C1248" t="s">
        <v>40</v>
      </c>
      <c r="D1248">
        <v>4.0513079999999997</v>
      </c>
      <c r="E1248">
        <v>0.52356639999999999</v>
      </c>
      <c r="F1248" t="s">
        <v>43</v>
      </c>
      <c r="G1248">
        <v>-158.19499999999999</v>
      </c>
      <c r="H1248">
        <v>6.4057079999999997</v>
      </c>
      <c r="I1248">
        <v>373.29969999999997</v>
      </c>
      <c r="J1248">
        <v>-318.70800000000003</v>
      </c>
      <c r="K1248">
        <v>1.1031839999999999</v>
      </c>
      <c r="L1248">
        <v>366.91219999999998</v>
      </c>
      <c r="M1248">
        <v>0.99978299999999998</v>
      </c>
      <c r="N1248">
        <v>-1.8849540000000001E-2</v>
      </c>
      <c r="O1248">
        <v>8.8822759999999997E-3</v>
      </c>
      <c r="P1248">
        <v>0.98854330000000001</v>
      </c>
      <c r="Q1248">
        <v>0.1091164</v>
      </c>
      <c r="R1248">
        <v>0.10428900000000001</v>
      </c>
      <c r="S1248">
        <v>3.0112299999999999</v>
      </c>
      <c r="T1248">
        <v>9.9378590000000003E-2</v>
      </c>
      <c r="U1248">
        <v>0.119751</v>
      </c>
      <c r="V1248">
        <v>-9.5488939999999994E-2</v>
      </c>
      <c r="W1248">
        <v>0.12775819999999999</v>
      </c>
      <c r="X1248">
        <v>0.98719789999999996</v>
      </c>
      <c r="Y1248">
        <v>-3.086305E-2</v>
      </c>
      <c r="Z1248">
        <v>2.4235049999999999E-4</v>
      </c>
      <c r="AA1248">
        <v>0.99952359999999896</v>
      </c>
      <c r="AB1248">
        <v>29</v>
      </c>
      <c r="AC1248">
        <v>160.51299999999901</v>
      </c>
      <c r="AD1248">
        <v>5.302524</v>
      </c>
      <c r="AE1248">
        <v>6.3874999999999797</v>
      </c>
      <c r="AF1248">
        <v>-4.9558741900672896</v>
      </c>
      <c r="AG1248">
        <v>5.302524</v>
      </c>
      <c r="AH1248">
        <v>160.38865573180701</v>
      </c>
      <c r="AI1248">
        <v>88.107367026039796</v>
      </c>
      <c r="AJ1248">
        <v>91.769828154478802</v>
      </c>
      <c r="AK1248">
        <v>160.55278987677099</v>
      </c>
      <c r="AL1248">
        <v>82.659933556078698</v>
      </c>
      <c r="AM1248">
        <v>95.524875538958796</v>
      </c>
      <c r="AN1248">
        <v>0.99999999454698596</v>
      </c>
    </row>
    <row r="1249" spans="1:40" x14ac:dyDescent="0.25">
      <c r="A1249" t="str">
        <f>"20190304154745646"</f>
        <v>20190304154745646</v>
      </c>
      <c r="B1249" t="str">
        <f>"1551685665637813"</f>
        <v>1551685665637813</v>
      </c>
      <c r="C1249" t="s">
        <v>40</v>
      </c>
      <c r="D1249">
        <v>4.0744239999999996</v>
      </c>
      <c r="E1249">
        <v>0.52363990000000005</v>
      </c>
      <c r="F1249" t="s">
        <v>43</v>
      </c>
      <c r="G1249">
        <v>-158.19499999999999</v>
      </c>
      <c r="H1249">
        <v>6.3387260000000003</v>
      </c>
      <c r="I1249">
        <v>373.33940000000001</v>
      </c>
      <c r="J1249">
        <v>-318.56970000000001</v>
      </c>
      <c r="K1249">
        <v>1.1023969999999901</v>
      </c>
      <c r="L1249">
        <v>366.91340000000002</v>
      </c>
      <c r="M1249">
        <v>0.99976889999999996</v>
      </c>
      <c r="N1249">
        <v>-1.9584620000000001E-2</v>
      </c>
      <c r="O1249">
        <v>8.862544E-3</v>
      </c>
      <c r="P1249">
        <v>0.98851820000000001</v>
      </c>
      <c r="Q1249">
        <v>0.1088519</v>
      </c>
      <c r="R1249">
        <v>0.1048005</v>
      </c>
      <c r="S1249">
        <v>3.0112299999999999</v>
      </c>
      <c r="T1249">
        <v>9.8220589999999997E-2</v>
      </c>
      <c r="U1249">
        <v>0.120575</v>
      </c>
      <c r="V1249">
        <v>-9.6019809999999997E-2</v>
      </c>
      <c r="W1249">
        <v>0.12821879999999999</v>
      </c>
      <c r="X1249">
        <v>0.98708669999999998</v>
      </c>
      <c r="Y1249">
        <v>-3.1156429999999999E-2</v>
      </c>
      <c r="Z1249">
        <v>2.5980749999999998E-4</v>
      </c>
      <c r="AA1249">
        <v>0.99951449999999997</v>
      </c>
      <c r="AB1249">
        <v>29</v>
      </c>
      <c r="AC1249">
        <v>160.37469999999999</v>
      </c>
      <c r="AD1249">
        <v>5.2363289999999996</v>
      </c>
      <c r="AE1249">
        <v>6.4259999999999797</v>
      </c>
      <c r="AF1249">
        <v>-4.9988264954927297</v>
      </c>
      <c r="AG1249">
        <v>5.2363289999999996</v>
      </c>
      <c r="AH1249">
        <v>160.25479323180701</v>
      </c>
      <c r="AI1249">
        <v>88.129434112661002</v>
      </c>
      <c r="AJ1249">
        <v>91.786647475670904</v>
      </c>
      <c r="AK1249">
        <v>160.418222660325</v>
      </c>
      <c r="AL1249">
        <v>82.633324382358097</v>
      </c>
      <c r="AM1249">
        <v>95.556021345038104</v>
      </c>
      <c r="AN1249">
        <v>1.0000000089513801</v>
      </c>
    </row>
    <row r="1250" spans="1:40" x14ac:dyDescent="0.25">
      <c r="A1250" t="str">
        <f>"20190304154745658"</f>
        <v>20190304154745658</v>
      </c>
      <c r="B1250" t="str">
        <f>"1551685665647573"</f>
        <v>1551685665647573</v>
      </c>
      <c r="C1250" t="s">
        <v>40</v>
      </c>
      <c r="D1250">
        <v>4.014742</v>
      </c>
      <c r="E1250">
        <v>0.52369460000000001</v>
      </c>
      <c r="F1250" t="s">
        <v>43</v>
      </c>
      <c r="G1250">
        <v>-158.19499999999999</v>
      </c>
      <c r="H1250">
        <v>6.3463510000000003</v>
      </c>
      <c r="I1250">
        <v>373.38900000000001</v>
      </c>
      <c r="J1250">
        <v>-318.42869999999999</v>
      </c>
      <c r="K1250">
        <v>1.10155</v>
      </c>
      <c r="L1250">
        <v>366.91460000000001</v>
      </c>
      <c r="M1250">
        <v>0.9997568</v>
      </c>
      <c r="N1250">
        <v>-2.0205270000000001E-2</v>
      </c>
      <c r="O1250">
        <v>8.8426900000000003E-3</v>
      </c>
      <c r="P1250">
        <v>0.98852010000000001</v>
      </c>
      <c r="Q1250">
        <v>0.1083493</v>
      </c>
      <c r="R1250">
        <v>0.1053028</v>
      </c>
      <c r="S1250">
        <v>3.0111080000000001</v>
      </c>
      <c r="T1250">
        <v>9.8459240000000003E-2</v>
      </c>
      <c r="U1250">
        <v>0.121582</v>
      </c>
      <c r="V1250">
        <v>-9.6541829999999995E-2</v>
      </c>
      <c r="W1250">
        <v>0.128329</v>
      </c>
      <c r="X1250">
        <v>0.98702140000000005</v>
      </c>
      <c r="Y1250">
        <v>-3.1512039999999998E-2</v>
      </c>
      <c r="Z1250">
        <v>2.7117610000000001E-4</v>
      </c>
      <c r="AA1250">
        <v>0.99950329999999998</v>
      </c>
      <c r="AB1250">
        <v>29</v>
      </c>
      <c r="AC1250">
        <v>160.2337</v>
      </c>
      <c r="AD1250">
        <v>5.2448009999999998</v>
      </c>
      <c r="AE1250">
        <v>6.4744000000000002</v>
      </c>
      <c r="AF1250">
        <v>-5.0515571880660897</v>
      </c>
      <c r="AG1250">
        <v>5.2448009999999998</v>
      </c>
      <c r="AH1250">
        <v>160.113430142091</v>
      </c>
      <c r="AI1250">
        <v>88.124777787124103</v>
      </c>
      <c r="AJ1250">
        <v>91.807074713477903</v>
      </c>
      <c r="AK1250">
        <v>160.27893398516301</v>
      </c>
      <c r="AL1250">
        <v>82.626957359225599</v>
      </c>
      <c r="AM1250">
        <v>95.586403828849598</v>
      </c>
      <c r="AN1250">
        <v>0.99999995061935298</v>
      </c>
    </row>
    <row r="1251" spans="1:40" x14ac:dyDescent="0.25">
      <c r="A1251" t="str">
        <f>"20190304154745669"</f>
        <v>20190304154745669</v>
      </c>
      <c r="B1251" t="str">
        <f>"1551685665658309"</f>
        <v>1551685665658309</v>
      </c>
      <c r="C1251" t="s">
        <v>40</v>
      </c>
      <c r="D1251">
        <v>4.0142059999999997</v>
      </c>
      <c r="E1251">
        <v>0.52376709999999904</v>
      </c>
      <c r="F1251" t="s">
        <v>43</v>
      </c>
      <c r="G1251">
        <v>-158.19499999999999</v>
      </c>
      <c r="H1251">
        <v>6.3242580000000004</v>
      </c>
      <c r="I1251">
        <v>373.44639999999998</v>
      </c>
      <c r="J1251">
        <v>-318.28879999999998</v>
      </c>
      <c r="K1251">
        <v>1.1006750000000001</v>
      </c>
      <c r="L1251">
        <v>366.91579999999999</v>
      </c>
      <c r="M1251">
        <v>0.99974609999999997</v>
      </c>
      <c r="N1251">
        <v>-2.0741019999999999E-2</v>
      </c>
      <c r="O1251">
        <v>8.8231709999999994E-3</v>
      </c>
      <c r="P1251">
        <v>0.98850510000000003</v>
      </c>
      <c r="Q1251">
        <v>0.1081384</v>
      </c>
      <c r="R1251">
        <v>0.1056612</v>
      </c>
      <c r="S1251">
        <v>3.011047</v>
      </c>
      <c r="T1251">
        <v>9.814465E-2</v>
      </c>
      <c r="U1251">
        <v>0.1227417</v>
      </c>
      <c r="V1251">
        <v>-9.6919459999999999E-2</v>
      </c>
      <c r="W1251">
        <v>0.12864729999999999</v>
      </c>
      <c r="X1251">
        <v>0.98694300000000001</v>
      </c>
      <c r="Y1251">
        <v>-3.1917019999999997E-2</v>
      </c>
      <c r="Z1251">
        <v>2.8164379999999999E-4</v>
      </c>
      <c r="AA1251">
        <v>0.99949049999999995</v>
      </c>
      <c r="AB1251">
        <v>29</v>
      </c>
      <c r="AC1251">
        <v>160.09379999999999</v>
      </c>
      <c r="AD1251">
        <v>5.2235829999999996</v>
      </c>
      <c r="AE1251">
        <v>6.53059999999999</v>
      </c>
      <c r="AF1251">
        <v>-5.1120737092756103</v>
      </c>
      <c r="AG1251">
        <v>5.2235829999999996</v>
      </c>
      <c r="AH1251">
        <v>159.975171437103</v>
      </c>
      <c r="AI1251">
        <v>88.130769734769203</v>
      </c>
      <c r="AJ1251">
        <v>91.830287839428806</v>
      </c>
      <c r="AK1251">
        <v>160.14204505156499</v>
      </c>
      <c r="AL1251">
        <v>82.608568027981207</v>
      </c>
      <c r="AM1251">
        <v>95.608559053485394</v>
      </c>
      <c r="AN1251">
        <v>0.99999999738649004</v>
      </c>
    </row>
    <row r="1252" spans="1:40" x14ac:dyDescent="0.25">
      <c r="A1252" t="str">
        <f>"20190304154745680"</f>
        <v>20190304154745680</v>
      </c>
      <c r="B1252" t="str">
        <f>"1551685665677829"</f>
        <v>1551685665677829</v>
      </c>
      <c r="C1252" t="s">
        <v>40</v>
      </c>
      <c r="D1252">
        <v>3.9828839999999999</v>
      </c>
      <c r="E1252">
        <v>0.52393880000000004</v>
      </c>
      <c r="F1252" t="s">
        <v>43</v>
      </c>
      <c r="G1252">
        <v>-158.19499999999999</v>
      </c>
      <c r="H1252">
        <v>6.3334960000000002</v>
      </c>
      <c r="I1252">
        <v>373.47620000000001</v>
      </c>
      <c r="J1252">
        <v>-318.1454</v>
      </c>
      <c r="K1252">
        <v>1.0997330000000001</v>
      </c>
      <c r="L1252">
        <v>366.9171</v>
      </c>
      <c r="M1252">
        <v>0.99973610000000002</v>
      </c>
      <c r="N1252">
        <v>-2.1219990000000001E-2</v>
      </c>
      <c r="O1252">
        <v>8.8046440000000004E-3</v>
      </c>
      <c r="P1252">
        <v>0.98850389999999999</v>
      </c>
      <c r="Q1252">
        <v>0.10774739999999999</v>
      </c>
      <c r="R1252">
        <v>0.10606939999999999</v>
      </c>
      <c r="S1252">
        <v>3.0109249999999999</v>
      </c>
      <c r="T1252">
        <v>9.8416569999999995E-2</v>
      </c>
      <c r="U1252">
        <v>0.1233826</v>
      </c>
      <c r="V1252">
        <v>-9.7345730000000005E-2</v>
      </c>
      <c r="W1252">
        <v>0.12872910000000001</v>
      </c>
      <c r="X1252">
        <v>0.98689039999999995</v>
      </c>
      <c r="Y1252">
        <v>-3.2149869999999997E-2</v>
      </c>
      <c r="Z1252">
        <v>2.905354E-4</v>
      </c>
      <c r="AA1252">
        <v>0.99948300000000001</v>
      </c>
      <c r="AB1252">
        <v>29</v>
      </c>
      <c r="AC1252">
        <v>159.9504</v>
      </c>
      <c r="AD1252">
        <v>5.2337629999999997</v>
      </c>
      <c r="AE1252">
        <v>6.5590999999999999</v>
      </c>
      <c r="AF1252">
        <v>-5.1447231150166104</v>
      </c>
      <c r="AG1252">
        <v>5.2337629999999997</v>
      </c>
      <c r="AH1252">
        <v>159.83112099546599</v>
      </c>
      <c r="AI1252">
        <v>88.125456706321899</v>
      </c>
      <c r="AJ1252">
        <v>91.843628316507903</v>
      </c>
      <c r="AK1252">
        <v>159.99952402972201</v>
      </c>
      <c r="AL1252">
        <v>82.603842081929102</v>
      </c>
      <c r="AM1252">
        <v>95.633366548708196</v>
      </c>
      <c r="AN1252">
        <v>1.0000000169740999</v>
      </c>
    </row>
    <row r="1253" spans="1:40" x14ac:dyDescent="0.25">
      <c r="A1253" t="str">
        <f>"20190304154745692"</f>
        <v>20190304154745692</v>
      </c>
      <c r="B1253" t="str">
        <f>"1551685665687589"</f>
        <v>1551685665687589</v>
      </c>
      <c r="C1253" t="s">
        <v>40</v>
      </c>
      <c r="D1253">
        <v>3.9868760000000001</v>
      </c>
      <c r="E1253">
        <v>0.52405740000000001</v>
      </c>
      <c r="F1253" t="s">
        <v>43</v>
      </c>
      <c r="G1253">
        <v>-158.19499999999999</v>
      </c>
      <c r="H1253">
        <v>6.3787010000000004</v>
      </c>
      <c r="I1253">
        <v>373.47340000000003</v>
      </c>
      <c r="J1253">
        <v>-317.99590000000001</v>
      </c>
      <c r="K1253">
        <v>1.098738</v>
      </c>
      <c r="L1253">
        <v>366.91829999999999</v>
      </c>
      <c r="M1253">
        <v>0.999726</v>
      </c>
      <c r="N1253">
        <v>-2.1697020000000001E-2</v>
      </c>
      <c r="O1253">
        <v>8.7858390000000001E-3</v>
      </c>
      <c r="P1253">
        <v>0.98851900000000004</v>
      </c>
      <c r="Q1253">
        <v>0.1074229</v>
      </c>
      <c r="R1253">
        <v>0.10625759999999999</v>
      </c>
      <c r="S1253">
        <v>3.010834</v>
      </c>
      <c r="T1253">
        <v>9.9370479999999997E-2</v>
      </c>
      <c r="U1253">
        <v>0.1234131</v>
      </c>
      <c r="V1253">
        <v>-9.7551849999999996E-2</v>
      </c>
      <c r="W1253">
        <v>0.12887609999999999</v>
      </c>
      <c r="X1253">
        <v>0.98685089999999998</v>
      </c>
      <c r="Y1253">
        <v>-3.2180309999999997E-2</v>
      </c>
      <c r="Z1253">
        <v>2.9889910000000002E-4</v>
      </c>
      <c r="AA1253">
        <v>0.99948199999999998</v>
      </c>
      <c r="AB1253">
        <v>29</v>
      </c>
      <c r="AC1253">
        <v>159.80090000000001</v>
      </c>
      <c r="AD1253">
        <v>5.2799629999999897</v>
      </c>
      <c r="AE1253">
        <v>6.5551000000000403</v>
      </c>
      <c r="AF1253">
        <v>-5.1449240523978599</v>
      </c>
      <c r="AG1253">
        <v>5.2799629999999897</v>
      </c>
      <c r="AH1253">
        <v>159.67830701874101</v>
      </c>
      <c r="AI1253">
        <v>88.107114994255198</v>
      </c>
      <c r="AJ1253">
        <v>91.845463496242701</v>
      </c>
      <c r="AK1253">
        <v>159.848396880162</v>
      </c>
      <c r="AL1253">
        <v>82.595349144488296</v>
      </c>
      <c r="AM1253">
        <v>95.645442179495205</v>
      </c>
      <c r="AN1253">
        <v>1.00000005571021</v>
      </c>
    </row>
    <row r="1254" spans="1:40" x14ac:dyDescent="0.25">
      <c r="A1254" t="str">
        <f>"20190304154745705"</f>
        <v>20190304154745705</v>
      </c>
      <c r="B1254" t="str">
        <f>"1551685665698326"</f>
        <v>1551685665698326</v>
      </c>
      <c r="C1254" t="s">
        <v>40</v>
      </c>
      <c r="D1254">
        <v>3.962739</v>
      </c>
      <c r="E1254">
        <v>0.52409600000000001</v>
      </c>
      <c r="F1254" t="s">
        <v>43</v>
      </c>
      <c r="G1254">
        <v>-158.19499999999999</v>
      </c>
      <c r="H1254">
        <v>6.374028</v>
      </c>
      <c r="I1254">
        <v>373.4572</v>
      </c>
      <c r="J1254">
        <v>-317.83120000000002</v>
      </c>
      <c r="K1254">
        <v>1.0975699999999999</v>
      </c>
      <c r="L1254">
        <v>366.91980000000001</v>
      </c>
      <c r="M1254">
        <v>0.99971659999999996</v>
      </c>
      <c r="N1254">
        <v>-2.213789E-2</v>
      </c>
      <c r="O1254">
        <v>8.7679509999999995E-3</v>
      </c>
      <c r="P1254">
        <v>0.98857030000000001</v>
      </c>
      <c r="Q1254">
        <v>0.1069011</v>
      </c>
      <c r="R1254">
        <v>0.1063055</v>
      </c>
      <c r="S1254">
        <v>3.0108030000000001</v>
      </c>
      <c r="T1254">
        <v>9.9393129999999996E-2</v>
      </c>
      <c r="U1254">
        <v>0.1231995</v>
      </c>
      <c r="V1254">
        <v>-9.7615980000000005E-2</v>
      </c>
      <c r="W1254">
        <v>0.1287915</v>
      </c>
      <c r="X1254">
        <v>0.98685560000000005</v>
      </c>
      <c r="Y1254">
        <v>-3.2128150000000001E-2</v>
      </c>
      <c r="Z1254">
        <v>3.0910719999999999E-4</v>
      </c>
      <c r="AA1254">
        <v>0.99948369999999997</v>
      </c>
      <c r="AB1254">
        <v>29</v>
      </c>
      <c r="AC1254">
        <v>159.6362</v>
      </c>
      <c r="AD1254">
        <v>5.2764579999999999</v>
      </c>
      <c r="AE1254">
        <v>6.5373999999999901</v>
      </c>
      <c r="AF1254">
        <v>-5.1315264504201403</v>
      </c>
      <c r="AG1254">
        <v>5.2764579999999999</v>
      </c>
      <c r="AH1254">
        <v>159.51341740253801</v>
      </c>
      <c r="AI1254">
        <v>88.106413589671703</v>
      </c>
      <c r="AJ1254">
        <v>91.842562527998496</v>
      </c>
      <c r="AK1254">
        <v>159.683135941693</v>
      </c>
      <c r="AL1254">
        <v>82.600237079561694</v>
      </c>
      <c r="AM1254">
        <v>95.649102731306897</v>
      </c>
      <c r="AN1254">
        <v>1.0000000526374799</v>
      </c>
    </row>
    <row r="1255" spans="1:40" x14ac:dyDescent="0.25">
      <c r="A1255" t="str">
        <f>"20190304154745717"</f>
        <v>20190304154745717</v>
      </c>
      <c r="B1255" t="str">
        <f>"1551685665708085"</f>
        <v>1551685665708085</v>
      </c>
      <c r="C1255" t="s">
        <v>40</v>
      </c>
      <c r="D1255">
        <v>3.9598469999999999</v>
      </c>
      <c r="E1255">
        <v>0.52419259999999901</v>
      </c>
      <c r="F1255" t="s">
        <v>43</v>
      </c>
      <c r="G1255">
        <v>-158.19499999999999</v>
      </c>
      <c r="H1255">
        <v>6.3412300000000004</v>
      </c>
      <c r="I1255">
        <v>373.42790000000002</v>
      </c>
      <c r="J1255">
        <v>-317.66669999999999</v>
      </c>
      <c r="K1255">
        <v>1.0963620000000001</v>
      </c>
      <c r="L1255">
        <v>366.9212</v>
      </c>
      <c r="M1255">
        <v>0.99970840000000005</v>
      </c>
      <c r="N1255">
        <v>-2.250775E-2</v>
      </c>
      <c r="O1255">
        <v>8.7487499999999996E-3</v>
      </c>
      <c r="P1255">
        <v>0.98861849999999996</v>
      </c>
      <c r="Q1255">
        <v>0.10626339999999999</v>
      </c>
      <c r="R1255">
        <v>0.1064976</v>
      </c>
      <c r="S1255">
        <v>3.010742</v>
      </c>
      <c r="T1255">
        <v>9.8897100000000002E-2</v>
      </c>
      <c r="U1255">
        <v>0.1227417</v>
      </c>
      <c r="V1255">
        <v>-9.7826029999999994E-2</v>
      </c>
      <c r="W1255">
        <v>0.12852049999999901</v>
      </c>
      <c r="X1255">
        <v>0.98687009999999997</v>
      </c>
      <c r="Y1255">
        <v>-3.1996799999999999E-2</v>
      </c>
      <c r="Z1255">
        <v>3.1910329999999999E-4</v>
      </c>
      <c r="AA1255">
        <v>0.99948789999999998</v>
      </c>
      <c r="AB1255">
        <v>29</v>
      </c>
      <c r="AC1255">
        <v>159.4717</v>
      </c>
      <c r="AD1255">
        <v>5.2448680000000003</v>
      </c>
      <c r="AE1255">
        <v>6.5067000000000199</v>
      </c>
      <c r="AF1255">
        <v>-5.1054060287967298</v>
      </c>
      <c r="AG1255">
        <v>5.2448680000000003</v>
      </c>
      <c r="AH1255">
        <v>159.35045272966499</v>
      </c>
      <c r="AI1255">
        <v>88.1158107828998</v>
      </c>
      <c r="AJ1255">
        <v>91.835063446041502</v>
      </c>
      <c r="AK1255">
        <v>159.51846475002699</v>
      </c>
      <c r="AL1255">
        <v>82.615894135727302</v>
      </c>
      <c r="AM1255">
        <v>95.661096951089505</v>
      </c>
      <c r="AN1255">
        <v>1.0000000226699099</v>
      </c>
    </row>
    <row r="1256" spans="1:40" x14ac:dyDescent="0.25">
      <c r="A1256" t="str">
        <f>"20190304154745729"</f>
        <v>20190304154745729</v>
      </c>
      <c r="B1256" t="str">
        <f>"1551685665717845"</f>
        <v>1551685665717845</v>
      </c>
      <c r="C1256" t="s">
        <v>40</v>
      </c>
      <c r="D1256">
        <v>3.9297149999999998</v>
      </c>
      <c r="E1256">
        <v>0.52428090000000005</v>
      </c>
      <c r="F1256" t="s">
        <v>43</v>
      </c>
      <c r="G1256">
        <v>-158.19499999999999</v>
      </c>
      <c r="H1256">
        <v>6.2645790000000003</v>
      </c>
      <c r="I1256">
        <v>373.42230000000001</v>
      </c>
      <c r="J1256">
        <v>-317.50619999999998</v>
      </c>
      <c r="K1256">
        <v>1.0951360000000001</v>
      </c>
      <c r="L1256">
        <v>366.92259999999999</v>
      </c>
      <c r="M1256">
        <v>0.99970230000000004</v>
      </c>
      <c r="N1256">
        <v>-2.2788409999999999E-2</v>
      </c>
      <c r="O1256">
        <v>8.7280120000000003E-3</v>
      </c>
      <c r="P1256">
        <v>0.98864810000000003</v>
      </c>
      <c r="Q1256">
        <v>0.10603319999999999</v>
      </c>
      <c r="R1256">
        <v>0.1064533</v>
      </c>
      <c r="S1256">
        <v>3.010834</v>
      </c>
      <c r="T1256">
        <v>9.7577810000000001E-2</v>
      </c>
      <c r="U1256">
        <v>0.1227417</v>
      </c>
      <c r="V1256">
        <v>-9.7801410000000005E-2</v>
      </c>
      <c r="W1256">
        <v>0.1285683</v>
      </c>
      <c r="X1256">
        <v>0.98686629999999997</v>
      </c>
      <c r="Y1256">
        <v>-3.2016570000000001E-2</v>
      </c>
      <c r="Z1256">
        <v>3.2799190000000001E-4</v>
      </c>
      <c r="AA1256">
        <v>0.99948729999999997</v>
      </c>
      <c r="AB1256">
        <v>29</v>
      </c>
      <c r="AC1256">
        <v>159.31120000000001</v>
      </c>
      <c r="AD1256">
        <v>5.1694430000000002</v>
      </c>
      <c r="AE1256">
        <v>6.4997000000000096</v>
      </c>
      <c r="AF1256">
        <v>-5.1032567876645096</v>
      </c>
      <c r="AG1256">
        <v>5.1694430000000002</v>
      </c>
      <c r="AH1256">
        <v>159.19453253014601</v>
      </c>
      <c r="AI1256">
        <v>88.141071100118893</v>
      </c>
      <c r="AJ1256">
        <v>91.836086795046498</v>
      </c>
      <c r="AK1256">
        <v>159.360175571762</v>
      </c>
      <c r="AL1256">
        <v>82.613132383324398</v>
      </c>
      <c r="AM1256">
        <v>95.659703118214296</v>
      </c>
      <c r="AN1256">
        <v>1.00000000881928</v>
      </c>
    </row>
    <row r="1257" spans="1:40" x14ac:dyDescent="0.25">
      <c r="A1257" t="str">
        <f>"20190304154745743"</f>
        <v>20190304154745743</v>
      </c>
      <c r="B1257" t="str">
        <f>"1551685665738340"</f>
        <v>1551685665738340</v>
      </c>
      <c r="C1257" t="s">
        <v>40</v>
      </c>
      <c r="D1257">
        <v>3.9290080000000001</v>
      </c>
      <c r="E1257">
        <v>0.52437999999999996</v>
      </c>
      <c r="F1257" t="s">
        <v>43</v>
      </c>
      <c r="G1257">
        <v>-158.19499999999999</v>
      </c>
      <c r="H1257">
        <v>6.2722179999999996</v>
      </c>
      <c r="I1257">
        <v>373.36880000000002</v>
      </c>
      <c r="J1257">
        <v>-317.34949999999998</v>
      </c>
      <c r="K1257">
        <v>1.0938619999999999</v>
      </c>
      <c r="L1257">
        <v>366.9239</v>
      </c>
      <c r="M1257">
        <v>0.99969980000000003</v>
      </c>
      <c r="N1257">
        <v>-2.2902860000000001E-2</v>
      </c>
      <c r="O1257">
        <v>8.7077149999999996E-3</v>
      </c>
      <c r="P1257">
        <v>0.98868140000000004</v>
      </c>
      <c r="Q1257">
        <v>0.10587480000000001</v>
      </c>
      <c r="R1257">
        <v>0.1063002</v>
      </c>
      <c r="S1257">
        <v>3.010834</v>
      </c>
      <c r="T1257">
        <v>9.7843650000000004E-2</v>
      </c>
      <c r="U1257">
        <v>0.1218262</v>
      </c>
      <c r="V1257">
        <v>-9.7667859999999995E-2</v>
      </c>
      <c r="W1257">
        <v>0.12852379999999999</v>
      </c>
      <c r="X1257">
        <v>0.98688529999999997</v>
      </c>
      <c r="Y1257">
        <v>-3.1733530000000003E-2</v>
      </c>
      <c r="Z1257">
        <v>3.3040800000000003E-4</v>
      </c>
      <c r="AA1257">
        <v>0.9994963</v>
      </c>
      <c r="AB1257">
        <v>29</v>
      </c>
      <c r="AC1257">
        <v>159.15449999999899</v>
      </c>
      <c r="AD1257">
        <v>5.1783559999999902</v>
      </c>
      <c r="AE1257">
        <v>6.4449000000000103</v>
      </c>
      <c r="AF1257">
        <v>-5.0530793166816403</v>
      </c>
      <c r="AG1257">
        <v>5.1783559999999902</v>
      </c>
      <c r="AH1257">
        <v>159.036512027546</v>
      </c>
      <c r="AI1257">
        <v>88.136002468376205</v>
      </c>
      <c r="AJ1257">
        <v>91.819850972643493</v>
      </c>
      <c r="AK1257">
        <v>159.201008600233</v>
      </c>
      <c r="AL1257">
        <v>82.615703211375006</v>
      </c>
      <c r="AM1257">
        <v>95.651916630769804</v>
      </c>
      <c r="AN1257">
        <v>0.99999998669975398</v>
      </c>
    </row>
    <row r="1258" spans="1:40" x14ac:dyDescent="0.25">
      <c r="A1258" t="str">
        <f>"20190304154745754"</f>
        <v>20190304154745754</v>
      </c>
      <c r="B1258" t="str">
        <f>"1551685665748101"</f>
        <v>1551685665748101</v>
      </c>
      <c r="C1258" t="s">
        <v>40</v>
      </c>
      <c r="D1258">
        <v>3.9322360000000001</v>
      </c>
      <c r="E1258">
        <v>0.52445079999999999</v>
      </c>
      <c r="F1258" t="s">
        <v>43</v>
      </c>
      <c r="G1258">
        <v>-158.19499999999999</v>
      </c>
      <c r="H1258">
        <v>6.3205939999999998</v>
      </c>
      <c r="I1258">
        <v>373.30419999999998</v>
      </c>
      <c r="J1258">
        <v>-317.18880000000001</v>
      </c>
      <c r="K1258">
        <v>1.0925180000000001</v>
      </c>
      <c r="L1258">
        <v>366.92529999999999</v>
      </c>
      <c r="M1258">
        <v>0.99969889999999995</v>
      </c>
      <c r="N1258">
        <v>-2.295028E-2</v>
      </c>
      <c r="O1258">
        <v>8.6870039999999999E-3</v>
      </c>
      <c r="P1258">
        <v>0.98868909999999999</v>
      </c>
      <c r="Q1258">
        <v>0.1059374</v>
      </c>
      <c r="R1258">
        <v>0.1061672</v>
      </c>
      <c r="S1258">
        <v>3.0107729999999999</v>
      </c>
      <c r="T1258">
        <v>9.8877190000000004E-2</v>
      </c>
      <c r="U1258">
        <v>0.120697</v>
      </c>
      <c r="V1258">
        <v>-9.7554940000000007E-2</v>
      </c>
      <c r="W1258">
        <v>0.12863359999999999</v>
      </c>
      <c r="X1258">
        <v>0.98688220000000004</v>
      </c>
      <c r="Y1258">
        <v>-3.1380810000000002E-2</v>
      </c>
      <c r="Z1258">
        <v>3.2969459999999999E-4</v>
      </c>
      <c r="AA1258">
        <v>0.99950740000000005</v>
      </c>
      <c r="AB1258">
        <v>29</v>
      </c>
      <c r="AC1258">
        <v>158.99379999999999</v>
      </c>
      <c r="AD1258">
        <v>5.2280759999999997</v>
      </c>
      <c r="AE1258">
        <v>6.3788999999999803</v>
      </c>
      <c r="AF1258">
        <v>-4.9917269663435802</v>
      </c>
      <c r="AG1258">
        <v>5.2280759999999997</v>
      </c>
      <c r="AH1258">
        <v>158.87172277862601</v>
      </c>
      <c r="AI1258">
        <v>88.116146538977503</v>
      </c>
      <c r="AJ1258">
        <v>91.7996332070459</v>
      </c>
      <c r="AK1258">
        <v>159.036078973977</v>
      </c>
      <c r="AL1258">
        <v>82.609359747259006</v>
      </c>
      <c r="AM1258">
        <v>95.645441946237497</v>
      </c>
      <c r="AN1258">
        <v>1.0000000230221</v>
      </c>
    </row>
    <row r="1259" spans="1:40" x14ac:dyDescent="0.25">
      <c r="A1259" t="str">
        <f>"20190304154745769"</f>
        <v>20190304154745769</v>
      </c>
      <c r="B1259" t="str">
        <f>"1551685665757861"</f>
        <v>1551685665757861</v>
      </c>
      <c r="C1259" t="s">
        <v>40</v>
      </c>
      <c r="D1259">
        <v>3.942196</v>
      </c>
      <c r="E1259">
        <v>0.5245225</v>
      </c>
      <c r="F1259" t="s">
        <v>43</v>
      </c>
      <c r="G1259">
        <v>-158.19499999999999</v>
      </c>
      <c r="H1259">
        <v>6.3721290000000002</v>
      </c>
      <c r="I1259">
        <v>373.24439999999998</v>
      </c>
      <c r="J1259">
        <v>-316.99619999999999</v>
      </c>
      <c r="K1259">
        <v>1.09083</v>
      </c>
      <c r="L1259">
        <v>366.92700000000002</v>
      </c>
      <c r="M1259">
        <v>0.99970170000000003</v>
      </c>
      <c r="N1259">
        <v>-2.2842959999999999E-2</v>
      </c>
      <c r="O1259">
        <v>8.6620669999999903E-3</v>
      </c>
      <c r="P1259">
        <v>0.98863979999999996</v>
      </c>
      <c r="Q1259">
        <v>0.1066848</v>
      </c>
      <c r="R1259">
        <v>0.105877</v>
      </c>
      <c r="S1259">
        <v>3.010742</v>
      </c>
      <c r="T1259">
        <v>9.9977490000000002E-2</v>
      </c>
      <c r="U1259">
        <v>0.1196594</v>
      </c>
      <c r="V1259">
        <v>-9.7289840000000002E-2</v>
      </c>
      <c r="W1259">
        <v>0.12927330000000001</v>
      </c>
      <c r="X1259">
        <v>0.98682479999999995</v>
      </c>
      <c r="Y1259">
        <v>-3.1062090000000001E-2</v>
      </c>
      <c r="Z1259">
        <v>3.2476519999999999E-4</v>
      </c>
      <c r="AA1259">
        <v>0.9995174</v>
      </c>
      <c r="AB1259">
        <v>29</v>
      </c>
      <c r="AC1259">
        <v>158.80119999999999</v>
      </c>
      <c r="AD1259">
        <v>5.2812989999999997</v>
      </c>
      <c r="AE1259">
        <v>6.3174000000000197</v>
      </c>
      <c r="AF1259">
        <v>-4.9358068231429799</v>
      </c>
      <c r="AG1259">
        <v>5.2812989999999997</v>
      </c>
      <c r="AH1259">
        <v>158.674750684874</v>
      </c>
      <c r="AI1259">
        <v>88.094603290956996</v>
      </c>
      <c r="AJ1259">
        <v>91.781693290407404</v>
      </c>
      <c r="AK1259">
        <v>158.839323887474</v>
      </c>
      <c r="AL1259">
        <v>82.572399184657698</v>
      </c>
      <c r="AM1259">
        <v>95.630524862489693</v>
      </c>
      <c r="AN1259">
        <v>1.0000000424775699</v>
      </c>
    </row>
    <row r="1260" spans="1:40" x14ac:dyDescent="0.25">
      <c r="A1260" t="str">
        <f>"20190304154745782"</f>
        <v>20190304154745782</v>
      </c>
      <c r="B1260" t="str">
        <f>"1551685665778357"</f>
        <v>1551685665778357</v>
      </c>
      <c r="C1260" t="s">
        <v>40</v>
      </c>
      <c r="D1260">
        <v>3.907619</v>
      </c>
      <c r="E1260">
        <v>0.52466709999999905</v>
      </c>
      <c r="F1260" t="s">
        <v>43</v>
      </c>
      <c r="G1260">
        <v>-158.19499999999999</v>
      </c>
      <c r="H1260">
        <v>6.525328</v>
      </c>
      <c r="I1260">
        <v>373.15640000000002</v>
      </c>
      <c r="J1260">
        <v>-316.8562</v>
      </c>
      <c r="K1260">
        <v>1.0895709999999901</v>
      </c>
      <c r="L1260">
        <v>366.92809999999997</v>
      </c>
      <c r="M1260">
        <v>0.99970479999999995</v>
      </c>
      <c r="N1260">
        <v>-2.2707149999999999E-2</v>
      </c>
      <c r="O1260">
        <v>8.6456780000000004E-3</v>
      </c>
      <c r="P1260">
        <v>0.98858820000000003</v>
      </c>
      <c r="Q1260">
        <v>0.1071988</v>
      </c>
      <c r="R1260">
        <v>0.10583819999999999</v>
      </c>
      <c r="S1260">
        <v>3.0107119999999998</v>
      </c>
      <c r="T1260">
        <v>0.1030343</v>
      </c>
      <c r="U1260">
        <v>0.118103</v>
      </c>
      <c r="V1260">
        <v>-9.7267110000000004E-2</v>
      </c>
      <c r="W1260">
        <v>0.12965209999999999</v>
      </c>
      <c r="X1260">
        <v>0.98677729999999997</v>
      </c>
      <c r="Y1260">
        <v>-3.056273E-2</v>
      </c>
      <c r="Z1260">
        <v>3.1643980000000001E-4</v>
      </c>
      <c r="AA1260">
        <v>0.9995328</v>
      </c>
      <c r="AB1260">
        <v>29</v>
      </c>
      <c r="AC1260">
        <v>158.66120000000001</v>
      </c>
      <c r="AD1260">
        <v>5.4357569999999997</v>
      </c>
      <c r="AE1260">
        <v>6.2283000000000399</v>
      </c>
      <c r="AF1260">
        <v>-4.8502953937585804</v>
      </c>
      <c r="AG1260">
        <v>5.4357569999999997</v>
      </c>
      <c r="AH1260">
        <v>158.52334703478201</v>
      </c>
      <c r="AI1260">
        <v>88.037018192795003</v>
      </c>
      <c r="AJ1260">
        <v>91.752516517515005</v>
      </c>
      <c r="AK1260">
        <v>158.69065622990999</v>
      </c>
      <c r="AL1260">
        <v>82.550511014970795</v>
      </c>
      <c r="AM1260">
        <v>95.629487073078806</v>
      </c>
      <c r="AN1260">
        <v>0.99999999875872503</v>
      </c>
    </row>
    <row r="1261" spans="1:40" x14ac:dyDescent="0.25">
      <c r="A1261" t="str">
        <f>"20190304154745792"</f>
        <v>20190304154745792</v>
      </c>
      <c r="B1261" t="str">
        <f>"1551685665788117"</f>
        <v>1551685665788117</v>
      </c>
      <c r="C1261" t="s">
        <v>40</v>
      </c>
      <c r="D1261">
        <v>3.9371309999999999</v>
      </c>
      <c r="E1261">
        <v>0.52469500000000002</v>
      </c>
      <c r="F1261" t="s">
        <v>43</v>
      </c>
      <c r="G1261">
        <v>-158.28739999999999</v>
      </c>
      <c r="H1261">
        <v>6.6740909999999998</v>
      </c>
      <c r="I1261">
        <v>373.08749999999998</v>
      </c>
      <c r="J1261">
        <v>-316.70429999999999</v>
      </c>
      <c r="K1261">
        <v>1.0881890000000001</v>
      </c>
      <c r="L1261">
        <v>366.92939999999999</v>
      </c>
      <c r="M1261">
        <v>0.99970870000000001</v>
      </c>
      <c r="N1261">
        <v>-2.2544069999999999E-2</v>
      </c>
      <c r="O1261">
        <v>8.62804E-3</v>
      </c>
      <c r="P1261">
        <v>0.98848360000000002</v>
      </c>
      <c r="Q1261">
        <v>0.1082138</v>
      </c>
      <c r="R1261">
        <v>0.1057826</v>
      </c>
      <c r="S1261">
        <v>3.0106199999999999</v>
      </c>
      <c r="T1261">
        <v>0.1060305</v>
      </c>
      <c r="U1261">
        <v>0.1169434</v>
      </c>
      <c r="V1261">
        <v>-9.722981E-2</v>
      </c>
      <c r="W1261">
        <v>0.13050400000000001</v>
      </c>
      <c r="X1261">
        <v>0.98666860000000001</v>
      </c>
      <c r="Y1261">
        <v>-3.0196830000000001E-2</v>
      </c>
      <c r="Z1261">
        <v>3.0722490000000002E-4</v>
      </c>
      <c r="AA1261">
        <v>0.99954390000000004</v>
      </c>
      <c r="AB1261">
        <v>29</v>
      </c>
      <c r="AC1261">
        <v>158.4169</v>
      </c>
      <c r="AD1261">
        <v>5.5859019999999999</v>
      </c>
      <c r="AE1261">
        <v>6.1580999999999904</v>
      </c>
      <c r="AF1261">
        <v>-4.7847559434020903</v>
      </c>
      <c r="AG1261">
        <v>5.5859019999999999</v>
      </c>
      <c r="AH1261">
        <v>158.26766544476499</v>
      </c>
      <c r="AI1261">
        <v>87.979563041349394</v>
      </c>
      <c r="AJ1261">
        <v>91.731641428018307</v>
      </c>
      <c r="AK1261">
        <v>158.43847422872901</v>
      </c>
      <c r="AL1261">
        <v>82.501281948280194</v>
      </c>
      <c r="AM1261">
        <v>95.627958112846798</v>
      </c>
      <c r="AN1261">
        <v>0.99999992809729499</v>
      </c>
    </row>
    <row r="1262" spans="1:40" x14ac:dyDescent="0.25">
      <c r="A1262" t="str">
        <f>"20190304154745804"</f>
        <v>20190304154745804</v>
      </c>
      <c r="B1262" t="str">
        <f>"1551685665797877"</f>
        <v>1551685665797877</v>
      </c>
      <c r="C1262" t="s">
        <v>40</v>
      </c>
      <c r="D1262">
        <v>3.9140329999999999</v>
      </c>
      <c r="E1262">
        <v>0.52474419999999899</v>
      </c>
      <c r="F1262" t="s">
        <v>43</v>
      </c>
      <c r="G1262">
        <v>-163.1474</v>
      </c>
      <c r="H1262">
        <v>6.6740899999999996</v>
      </c>
      <c r="I1262">
        <v>372.88670000000002</v>
      </c>
      <c r="J1262">
        <v>-316.54329999999999</v>
      </c>
      <c r="K1262">
        <v>1.0867009999999999</v>
      </c>
      <c r="L1262">
        <v>366.93079999999998</v>
      </c>
      <c r="M1262">
        <v>0.99971370000000004</v>
      </c>
      <c r="N1262">
        <v>-2.2334119999999999E-2</v>
      </c>
      <c r="O1262">
        <v>8.6089630000000007E-3</v>
      </c>
      <c r="P1262">
        <v>0.98841780000000001</v>
      </c>
      <c r="Q1262">
        <v>0.1091428</v>
      </c>
      <c r="R1262">
        <v>0.1054433</v>
      </c>
      <c r="S1262">
        <v>3.0104679999999999</v>
      </c>
      <c r="T1262">
        <v>0.1095127</v>
      </c>
      <c r="U1262">
        <v>0.1167908</v>
      </c>
      <c r="V1262">
        <v>-9.6909990000000001E-2</v>
      </c>
      <c r="W1262">
        <v>0.13122400000000001</v>
      </c>
      <c r="X1262">
        <v>0.98660460000000005</v>
      </c>
      <c r="Y1262">
        <v>-3.0166800000000001E-2</v>
      </c>
      <c r="Z1262">
        <v>2.9384609999999999E-4</v>
      </c>
      <c r="AA1262">
        <v>0.99954489999999996</v>
      </c>
      <c r="AB1262">
        <v>29</v>
      </c>
      <c r="AC1262">
        <v>153.39589999999899</v>
      </c>
      <c r="AD1262">
        <v>5.5873889999999999</v>
      </c>
      <c r="AE1262">
        <v>5.9559000000000397</v>
      </c>
      <c r="AF1262">
        <v>-4.6286385164450001</v>
      </c>
      <c r="AG1262">
        <v>5.5873889999999999</v>
      </c>
      <c r="AH1262">
        <v>153.238495845632</v>
      </c>
      <c r="AI1262">
        <v>87.912754870864106</v>
      </c>
      <c r="AJ1262">
        <v>91.7301190581165</v>
      </c>
      <c r="AK1262">
        <v>153.41016856579299</v>
      </c>
      <c r="AL1262">
        <v>82.459671389902098</v>
      </c>
      <c r="AM1262">
        <v>95.609925785297193</v>
      </c>
      <c r="AN1262">
        <v>0.99999996053947904</v>
      </c>
    </row>
    <row r="1263" spans="1:40" x14ac:dyDescent="0.25">
      <c r="A1263" t="str">
        <f>"20190304154745816"</f>
        <v>20190304154745816</v>
      </c>
      <c r="B1263" t="str">
        <f>"1551685665807637"</f>
        <v>1551685665807637</v>
      </c>
      <c r="C1263" t="s">
        <v>40</v>
      </c>
      <c r="D1263">
        <v>3.9148999999999998</v>
      </c>
      <c r="E1263">
        <v>0.52475550000000004</v>
      </c>
      <c r="F1263" t="s">
        <v>43</v>
      </c>
      <c r="G1263">
        <v>-167.584</v>
      </c>
      <c r="H1263">
        <v>6.6740909999999998</v>
      </c>
      <c r="I1263">
        <v>372.62670000000003</v>
      </c>
      <c r="J1263">
        <v>-316.40559999999999</v>
      </c>
      <c r="K1263">
        <v>1.085429</v>
      </c>
      <c r="L1263">
        <v>366.93189999999998</v>
      </c>
      <c r="M1263">
        <v>0.9997182</v>
      </c>
      <c r="N1263">
        <v>-2.2132200000000001E-2</v>
      </c>
      <c r="O1263">
        <v>8.5919289999999999E-3</v>
      </c>
      <c r="P1263">
        <v>0.98834869999999997</v>
      </c>
      <c r="Q1263">
        <v>0.1097643</v>
      </c>
      <c r="R1263">
        <v>0.1054465</v>
      </c>
      <c r="S1263">
        <v>3.0104060000000001</v>
      </c>
      <c r="T1263">
        <v>0.11292049999999999</v>
      </c>
      <c r="U1263">
        <v>0.1151123</v>
      </c>
      <c r="V1263">
        <v>-9.69304E-2</v>
      </c>
      <c r="W1263">
        <v>0.1316447</v>
      </c>
      <c r="X1263">
        <v>0.98654660000000005</v>
      </c>
      <c r="Y1263">
        <v>-2.9627790000000001E-2</v>
      </c>
      <c r="Z1263">
        <v>2.8485119999999999E-4</v>
      </c>
      <c r="AA1263">
        <v>0.99956100000000003</v>
      </c>
      <c r="AB1263">
        <v>29</v>
      </c>
      <c r="AC1263">
        <v>148.82159999999999</v>
      </c>
      <c r="AD1263">
        <v>5.5886620000000002</v>
      </c>
      <c r="AE1263">
        <v>5.6948000000000398</v>
      </c>
      <c r="AF1263">
        <v>-4.4094027865427003</v>
      </c>
      <c r="AG1263">
        <v>5.5886620000000002</v>
      </c>
      <c r="AH1263">
        <v>148.65571617039299</v>
      </c>
      <c r="AI1263">
        <v>87.847943862523493</v>
      </c>
      <c r="AJ1263">
        <v>91.699000363984098</v>
      </c>
      <c r="AK1263">
        <v>148.826066016732</v>
      </c>
      <c r="AL1263">
        <v>82.435356505792299</v>
      </c>
      <c r="AM1263">
        <v>95.611427516929794</v>
      </c>
      <c r="AN1263">
        <v>1.0000000117268999</v>
      </c>
    </row>
    <row r="1264" spans="1:40" x14ac:dyDescent="0.25">
      <c r="A1264" t="str">
        <f>"20190304154745828"</f>
        <v>20190304154745828</v>
      </c>
      <c r="B1264" t="str">
        <f>"1551685665818373"</f>
        <v>1551685665818373</v>
      </c>
      <c r="C1264" t="s">
        <v>40</v>
      </c>
      <c r="D1264">
        <v>3.9392299999999998</v>
      </c>
      <c r="E1264">
        <v>0.52476009999999995</v>
      </c>
      <c r="F1264" t="s">
        <v>43</v>
      </c>
      <c r="G1264">
        <v>-170.08879999999999</v>
      </c>
      <c r="H1264">
        <v>6.6818270000000002</v>
      </c>
      <c r="I1264">
        <v>372.52550000000002</v>
      </c>
      <c r="J1264">
        <v>-316.24110000000002</v>
      </c>
      <c r="K1264">
        <v>1.0839080000000001</v>
      </c>
      <c r="L1264">
        <v>366.93329999999997</v>
      </c>
      <c r="M1264">
        <v>0.99972450000000002</v>
      </c>
      <c r="N1264">
        <v>-2.184995E-2</v>
      </c>
      <c r="O1264">
        <v>8.570055E-3</v>
      </c>
      <c r="P1264">
        <v>0.98826190000000003</v>
      </c>
      <c r="Q1264">
        <v>0.1104115</v>
      </c>
      <c r="R1264">
        <v>0.10558289999999999</v>
      </c>
      <c r="S1264">
        <v>3.0103149999999999</v>
      </c>
      <c r="T1264">
        <v>0.1151417</v>
      </c>
      <c r="U1264">
        <v>0.1150818</v>
      </c>
      <c r="V1264">
        <v>-9.7089339999999996E-2</v>
      </c>
      <c r="W1264">
        <v>0.13201099999999999</v>
      </c>
      <c r="X1264">
        <v>0.98648199999999997</v>
      </c>
      <c r="Y1264">
        <v>-2.964019E-2</v>
      </c>
      <c r="Z1264">
        <v>2.7223710000000002E-4</v>
      </c>
      <c r="AA1264">
        <v>0.99956060000000002</v>
      </c>
      <c r="AB1264">
        <v>29</v>
      </c>
      <c r="AC1264">
        <v>146.1523</v>
      </c>
      <c r="AD1264">
        <v>5.5979190000000001</v>
      </c>
      <c r="AE1264">
        <v>5.59220000000004</v>
      </c>
      <c r="AF1264">
        <v>-4.3328150311399796</v>
      </c>
      <c r="AG1264">
        <v>5.5979190000000001</v>
      </c>
      <c r="AH1264">
        <v>145.98102021226001</v>
      </c>
      <c r="AI1264">
        <v>87.804926401526998</v>
      </c>
      <c r="AJ1264">
        <v>91.700078231177699</v>
      </c>
      <c r="AK1264">
        <v>146.15255127926099</v>
      </c>
      <c r="AL1264">
        <v>82.414184119660504</v>
      </c>
      <c r="AM1264">
        <v>95.620935600071903</v>
      </c>
      <c r="AN1264">
        <v>0.99999999019331698</v>
      </c>
    </row>
    <row r="1265" spans="1:40" x14ac:dyDescent="0.25">
      <c r="A1265" t="str">
        <f>"20190304154745839"</f>
        <v>20190304154745839</v>
      </c>
      <c r="B1265" t="str">
        <f>"1551685665828134"</f>
        <v>1551685665828134</v>
      </c>
      <c r="C1265" t="s">
        <v>40</v>
      </c>
      <c r="D1265">
        <v>3.9569930000000002</v>
      </c>
      <c r="E1265">
        <v>0.52478780000000003</v>
      </c>
      <c r="F1265" t="s">
        <v>43</v>
      </c>
      <c r="G1265">
        <v>-170.08879999999999</v>
      </c>
      <c r="H1265">
        <v>6.7884650000000004</v>
      </c>
      <c r="I1265">
        <v>372.53570000000002</v>
      </c>
      <c r="J1265">
        <v>-316.10329999999999</v>
      </c>
      <c r="K1265">
        <v>1.0826480000000001</v>
      </c>
      <c r="L1265">
        <v>366.93450000000001</v>
      </c>
      <c r="M1265">
        <v>0.99973100000000004</v>
      </c>
      <c r="N1265">
        <v>-2.1561199999999999E-2</v>
      </c>
      <c r="O1265">
        <v>8.5501250000000004E-3</v>
      </c>
      <c r="P1265">
        <v>0.98820759999999996</v>
      </c>
      <c r="Q1265">
        <v>0.1109338</v>
      </c>
      <c r="R1265">
        <v>0.10554280000000001</v>
      </c>
      <c r="S1265">
        <v>3.0101930000000001</v>
      </c>
      <c r="T1265">
        <v>0.1174943</v>
      </c>
      <c r="U1265">
        <v>0.115387</v>
      </c>
      <c r="V1265">
        <v>-9.7069810000000006E-2</v>
      </c>
      <c r="W1265">
        <v>0.1322469</v>
      </c>
      <c r="X1265">
        <v>0.98645229999999995</v>
      </c>
      <c r="Y1265">
        <v>-2.9762279999999999E-2</v>
      </c>
      <c r="Z1265">
        <v>2.5832470000000001E-4</v>
      </c>
      <c r="AA1265">
        <v>0.99955700000000003</v>
      </c>
      <c r="AB1265">
        <v>29</v>
      </c>
      <c r="AC1265">
        <v>146.0145</v>
      </c>
      <c r="AD1265">
        <v>5.7058169999999997</v>
      </c>
      <c r="AE1265">
        <v>5.6012000000000004</v>
      </c>
      <c r="AF1265">
        <v>-4.3456365760105902</v>
      </c>
      <c r="AG1265">
        <v>5.7058169999999997</v>
      </c>
      <c r="AH1265">
        <v>145.83469758621101</v>
      </c>
      <c r="AI1265">
        <v>87.760424971995405</v>
      </c>
      <c r="AJ1265">
        <v>91.706815889148004</v>
      </c>
      <c r="AK1265">
        <v>146.01095823584501</v>
      </c>
      <c r="AL1265">
        <v>82.400548305534002</v>
      </c>
      <c r="AM1265">
        <v>95.6199802772596</v>
      </c>
      <c r="AN1265">
        <v>0.99999996537416702</v>
      </c>
    </row>
    <row r="1266" spans="1:40" x14ac:dyDescent="0.25">
      <c r="A1266" t="str">
        <f>"20190304154745849"</f>
        <v>20190304154745849</v>
      </c>
      <c r="B1266" t="str">
        <f>"1551685665837893"</f>
        <v>1551685665837893</v>
      </c>
      <c r="C1266" t="s">
        <v>40</v>
      </c>
      <c r="D1266">
        <v>3.9318339999999998</v>
      </c>
      <c r="E1266">
        <v>0.52481339999999999</v>
      </c>
      <c r="F1266" t="s">
        <v>43</v>
      </c>
      <c r="G1266">
        <v>-170.08879999999999</v>
      </c>
      <c r="H1266">
        <v>6.8871149999999997</v>
      </c>
      <c r="I1266">
        <v>372.51100000000002</v>
      </c>
      <c r="J1266">
        <v>-315.96550000000002</v>
      </c>
      <c r="K1266">
        <v>1.0813919999999999</v>
      </c>
      <c r="L1266">
        <v>366.93560000000002</v>
      </c>
      <c r="M1266">
        <v>0.99973780000000001</v>
      </c>
      <c r="N1266">
        <v>-2.1253600000000001E-2</v>
      </c>
      <c r="O1266">
        <v>8.5296419999999901E-3</v>
      </c>
      <c r="P1266">
        <v>0.98809999999999998</v>
      </c>
      <c r="Q1266">
        <v>0.1116669</v>
      </c>
      <c r="R1266">
        <v>0.10577839999999999</v>
      </c>
      <c r="S1266">
        <v>3.0101010000000001</v>
      </c>
      <c r="T1266">
        <v>0.1196613</v>
      </c>
      <c r="U1266">
        <v>0.1149597</v>
      </c>
      <c r="V1266">
        <v>-9.7326670000000004E-2</v>
      </c>
      <c r="W1266">
        <v>0.13267419999999999</v>
      </c>
      <c r="X1266">
        <v>0.98636970000000002</v>
      </c>
      <c r="Y1266">
        <v>-2.9641730000000002E-2</v>
      </c>
      <c r="Z1266">
        <v>2.4642030000000001E-4</v>
      </c>
      <c r="AA1266">
        <v>0.99956049999999996</v>
      </c>
      <c r="AB1266">
        <v>29</v>
      </c>
      <c r="AC1266">
        <v>145.8767</v>
      </c>
      <c r="AD1266">
        <v>5.8057230000000004</v>
      </c>
      <c r="AE1266">
        <v>5.5753999999999397</v>
      </c>
      <c r="AF1266">
        <v>-4.3238013366537897</v>
      </c>
      <c r="AG1266">
        <v>5.8057230000000004</v>
      </c>
      <c r="AH1266">
        <v>145.688531423369</v>
      </c>
      <c r="AI1266">
        <v>87.718960189963099</v>
      </c>
      <c r="AJ1266">
        <v>91.699947609483104</v>
      </c>
      <c r="AK1266">
        <v>145.868262023819</v>
      </c>
      <c r="AL1266">
        <v>82.375848851132403</v>
      </c>
      <c r="AM1266">
        <v>95.635224762640306</v>
      </c>
      <c r="AN1266">
        <v>1.0000000545584999</v>
      </c>
    </row>
    <row r="1267" spans="1:40" x14ac:dyDescent="0.25">
      <c r="A1267" t="str">
        <f>"20190304154745862"</f>
        <v>20190304154745862</v>
      </c>
      <c r="B1267" t="str">
        <f>"1551685665858390"</f>
        <v>1551685665858390</v>
      </c>
      <c r="C1267" t="s">
        <v>40</v>
      </c>
      <c r="D1267">
        <v>4.0892299999999997</v>
      </c>
      <c r="E1267">
        <v>0.52481290000000003</v>
      </c>
      <c r="F1267" t="s">
        <v>43</v>
      </c>
      <c r="G1267">
        <v>-170.08879999999999</v>
      </c>
      <c r="H1267">
        <v>7.0143389999999997</v>
      </c>
      <c r="I1267">
        <v>372.52789999999999</v>
      </c>
      <c r="J1267">
        <v>-315.81439999999998</v>
      </c>
      <c r="K1267">
        <v>1.080066</v>
      </c>
      <c r="L1267">
        <v>366.93689999999998</v>
      </c>
      <c r="M1267">
        <v>0.99974629999999998</v>
      </c>
      <c r="N1267">
        <v>-2.0861540000000001E-2</v>
      </c>
      <c r="O1267">
        <v>8.5063069999999994E-3</v>
      </c>
      <c r="P1267">
        <v>0.98802780000000001</v>
      </c>
      <c r="Q1267">
        <v>0.11232399999999999</v>
      </c>
      <c r="R1267">
        <v>0.1057569</v>
      </c>
      <c r="S1267">
        <v>3.0099179999999999</v>
      </c>
      <c r="T1267">
        <v>0.122418</v>
      </c>
      <c r="U1267">
        <v>0.115387</v>
      </c>
      <c r="V1267">
        <v>-9.7328769999999995E-2</v>
      </c>
      <c r="W1267">
        <v>0.13294210000000001</v>
      </c>
      <c r="X1267">
        <v>0.98633340000000003</v>
      </c>
      <c r="Y1267">
        <v>-2.9808250000000001E-2</v>
      </c>
      <c r="Z1267">
        <v>2.284167E-4</v>
      </c>
      <c r="AA1267">
        <v>0.99955559999999999</v>
      </c>
      <c r="AB1267">
        <v>29</v>
      </c>
      <c r="AC1267">
        <v>145.72559999999999</v>
      </c>
      <c r="AD1267">
        <v>5.9342729999999904</v>
      </c>
      <c r="AE1267">
        <v>5.5910000000000002</v>
      </c>
      <c r="AF1267">
        <v>-4.3437486028631298</v>
      </c>
      <c r="AG1267">
        <v>5.9342729999999904</v>
      </c>
      <c r="AH1267">
        <v>145.52692185154601</v>
      </c>
      <c r="AI1267">
        <v>87.665934163365193</v>
      </c>
      <c r="AJ1267">
        <v>91.709680845212503</v>
      </c>
      <c r="AK1267">
        <v>145.71262378925601</v>
      </c>
      <c r="AL1267">
        <v>82.3603619671552</v>
      </c>
      <c r="AM1267">
        <v>95.635551632665894</v>
      </c>
      <c r="AN1267">
        <v>1.0000000336888399</v>
      </c>
    </row>
    <row r="1268" spans="1:40" x14ac:dyDescent="0.25">
      <c r="A1268" t="str">
        <f>"20190304154745874"</f>
        <v>20190304154745874</v>
      </c>
      <c r="B1268" t="str">
        <f>"1551685665868149"</f>
        <v>1551685665868149</v>
      </c>
      <c r="C1268" t="s">
        <v>40</v>
      </c>
      <c r="D1268">
        <v>3.9389460000000001</v>
      </c>
      <c r="E1268">
        <v>0.52482240000000002</v>
      </c>
      <c r="F1268" t="s">
        <v>43</v>
      </c>
      <c r="G1268">
        <v>-170.08879999999999</v>
      </c>
      <c r="H1268">
        <v>7.1609470000000002</v>
      </c>
      <c r="I1268">
        <v>372.51339999999999</v>
      </c>
      <c r="J1268">
        <v>-315.6585</v>
      </c>
      <c r="K1268">
        <v>1.078716</v>
      </c>
      <c r="L1268">
        <v>366.93819999999999</v>
      </c>
      <c r="M1268">
        <v>0.99975510000000001</v>
      </c>
      <c r="N1268">
        <v>-2.0443179999999998E-2</v>
      </c>
      <c r="O1268">
        <v>8.4823309999999992E-3</v>
      </c>
      <c r="P1268">
        <v>0.98796019999999896</v>
      </c>
      <c r="Q1268">
        <v>0.1130442</v>
      </c>
      <c r="R1268">
        <v>0.10562149999999999</v>
      </c>
      <c r="S1268">
        <v>3.009735</v>
      </c>
      <c r="T1268">
        <v>0.1255928</v>
      </c>
      <c r="U1268">
        <v>0.11517330000000001</v>
      </c>
      <c r="V1268">
        <v>-9.7217509999999993E-2</v>
      </c>
      <c r="W1268">
        <v>0.13324839999999999</v>
      </c>
      <c r="X1268">
        <v>0.98630300000000004</v>
      </c>
      <c r="Y1268">
        <v>-2.976287E-2</v>
      </c>
      <c r="Z1268">
        <v>2.1085989999999999E-4</v>
      </c>
      <c r="AA1268">
        <v>0.99955700000000003</v>
      </c>
      <c r="AB1268">
        <v>29</v>
      </c>
      <c r="AC1268">
        <v>145.56970000000001</v>
      </c>
      <c r="AD1268">
        <v>6.0822310000000002</v>
      </c>
      <c r="AE1268">
        <v>5.5751999999999899</v>
      </c>
      <c r="AF1268">
        <v>-4.3324186743746198</v>
      </c>
      <c r="AG1268">
        <v>6.0822310000000002</v>
      </c>
      <c r="AH1268">
        <v>145.35837267395101</v>
      </c>
      <c r="AI1268">
        <v>87.605032457878494</v>
      </c>
      <c r="AJ1268">
        <v>91.707200180149201</v>
      </c>
      <c r="AK1268">
        <v>145.55005974552799</v>
      </c>
      <c r="AL1268">
        <v>82.342654428499799</v>
      </c>
      <c r="AM1268">
        <v>95.629323219286903</v>
      </c>
      <c r="AN1268">
        <v>0.99999999408107998</v>
      </c>
    </row>
    <row r="1269" spans="1:40" x14ac:dyDescent="0.25">
      <c r="A1269" t="str">
        <f>"20190304154745884"</f>
        <v>20190304154745884</v>
      </c>
      <c r="B1269" t="str">
        <f>"1551685665877909"</f>
        <v>1551685665877909</v>
      </c>
      <c r="C1269" t="s">
        <v>40</v>
      </c>
      <c r="D1269">
        <v>3.9596100000000001</v>
      </c>
      <c r="E1269">
        <v>0.52483849999999999</v>
      </c>
      <c r="F1269" t="s">
        <v>43</v>
      </c>
      <c r="G1269">
        <v>-170.08879999999999</v>
      </c>
      <c r="H1269">
        <v>7.2805509999999902</v>
      </c>
      <c r="I1269">
        <v>372.49720000000002</v>
      </c>
      <c r="J1269">
        <v>-315.51740000000001</v>
      </c>
      <c r="K1269">
        <v>1.077547</v>
      </c>
      <c r="L1269">
        <v>366.93939999999998</v>
      </c>
      <c r="M1269">
        <v>0.99976339999999997</v>
      </c>
      <c r="N1269">
        <v>-2.004322E-2</v>
      </c>
      <c r="O1269">
        <v>8.4605740000000002E-3</v>
      </c>
      <c r="P1269">
        <v>0.98785279999999998</v>
      </c>
      <c r="Q1269">
        <v>0.113875</v>
      </c>
      <c r="R1269">
        <v>0.10573349999999999</v>
      </c>
      <c r="S1269">
        <v>3.0096129999999999</v>
      </c>
      <c r="T1269">
        <v>0.1282229</v>
      </c>
      <c r="U1269">
        <v>0.1149292</v>
      </c>
      <c r="V1269">
        <v>-9.7352389999999997E-2</v>
      </c>
      <c r="W1269">
        <v>0.13368260000000001</v>
      </c>
      <c r="X1269">
        <v>0.98623099999999997</v>
      </c>
      <c r="Y1269">
        <v>-2.970443E-2</v>
      </c>
      <c r="Z1269">
        <v>1.952159E-4</v>
      </c>
      <c r="AA1269">
        <v>0.99955870000000002</v>
      </c>
      <c r="AB1269">
        <v>29</v>
      </c>
      <c r="AC1269">
        <v>145.42859999999999</v>
      </c>
      <c r="AD1269">
        <v>6.2030039999999902</v>
      </c>
      <c r="AE1269">
        <v>5.5578000000000403</v>
      </c>
      <c r="AF1269">
        <v>-4.3190981709840601</v>
      </c>
      <c r="AG1269">
        <v>6.2030039999999902</v>
      </c>
      <c r="AH1269">
        <v>145.20663519480601</v>
      </c>
      <c r="AI1269">
        <v>87.554979728207499</v>
      </c>
      <c r="AJ1269">
        <v>91.703731749190794</v>
      </c>
      <c r="AK1269">
        <v>145.403228204301</v>
      </c>
      <c r="AL1269">
        <v>82.317552494679703</v>
      </c>
      <c r="AM1269">
        <v>95.637491984439194</v>
      </c>
      <c r="AN1269">
        <v>1.00000005537123</v>
      </c>
    </row>
    <row r="1270" spans="1:40" x14ac:dyDescent="0.25">
      <c r="A1270" t="str">
        <f>"20190304154745896"</f>
        <v>20190304154745896</v>
      </c>
      <c r="B1270" t="str">
        <f>"1551685665887669"</f>
        <v>1551685665887669</v>
      </c>
      <c r="C1270" t="s">
        <v>40</v>
      </c>
      <c r="D1270">
        <v>3.9732539999999998</v>
      </c>
      <c r="E1270">
        <v>0.52486849999999996</v>
      </c>
      <c r="F1270" t="s">
        <v>43</v>
      </c>
      <c r="G1270">
        <v>-170.08879999999999</v>
      </c>
      <c r="H1270">
        <v>7.4142700000000001</v>
      </c>
      <c r="I1270">
        <v>372.49619999999999</v>
      </c>
      <c r="J1270">
        <v>-315.387</v>
      </c>
      <c r="K1270">
        <v>1.0765039999999999</v>
      </c>
      <c r="L1270">
        <v>366.94049999999999</v>
      </c>
      <c r="M1270">
        <v>0.99977090000000002</v>
      </c>
      <c r="N1270">
        <v>-1.9672599999999998E-2</v>
      </c>
      <c r="O1270">
        <v>8.4406450000000001E-3</v>
      </c>
      <c r="P1270">
        <v>0.98778829999999995</v>
      </c>
      <c r="Q1270">
        <v>0.1145704</v>
      </c>
      <c r="R1270">
        <v>0.105584</v>
      </c>
      <c r="S1270">
        <v>3.0094599999999998</v>
      </c>
      <c r="T1270">
        <v>0.1311322</v>
      </c>
      <c r="U1270">
        <v>0.1149902</v>
      </c>
      <c r="V1270">
        <v>-9.7222950000000002E-2</v>
      </c>
      <c r="W1270">
        <v>0.13401060000000001</v>
      </c>
      <c r="X1270">
        <v>0.98619920000000005</v>
      </c>
      <c r="Y1270">
        <v>-2.974566E-2</v>
      </c>
      <c r="Z1270">
        <v>1.786421E-4</v>
      </c>
      <c r="AA1270">
        <v>0.99955749999999999</v>
      </c>
      <c r="AB1270">
        <v>29</v>
      </c>
      <c r="AC1270">
        <v>145.29820000000001</v>
      </c>
      <c r="AD1270">
        <v>6.3377660000000002</v>
      </c>
      <c r="AE1270">
        <v>5.5556999999999999</v>
      </c>
      <c r="AF1270">
        <v>-4.3206456249456302</v>
      </c>
      <c r="AG1270">
        <v>6.3377660000000002</v>
      </c>
      <c r="AH1270">
        <v>145.064325549909</v>
      </c>
      <c r="AI1270">
        <v>87.499482987299601</v>
      </c>
      <c r="AJ1270">
        <v>91.706012795043193</v>
      </c>
      <c r="AK1270">
        <v>145.266974236187</v>
      </c>
      <c r="AL1270">
        <v>82.298588436588702</v>
      </c>
      <c r="AM1270">
        <v>95.630224922721695</v>
      </c>
      <c r="AN1270">
        <v>1.0000000024998501</v>
      </c>
    </row>
    <row r="1271" spans="1:40" x14ac:dyDescent="0.25">
      <c r="A1271" t="str">
        <f>"20190304154745908"</f>
        <v>20190304154745908</v>
      </c>
      <c r="B1271" t="str">
        <f>"1551685665898405"</f>
        <v>1551685665898405</v>
      </c>
      <c r="C1271" t="s">
        <v>40</v>
      </c>
      <c r="D1271">
        <v>3.9745200000000001</v>
      </c>
      <c r="E1271">
        <v>0.52489209999999997</v>
      </c>
      <c r="F1271" t="s">
        <v>43</v>
      </c>
      <c r="G1271">
        <v>-170.08879999999999</v>
      </c>
      <c r="H1271">
        <v>7.5240970000000003</v>
      </c>
      <c r="I1271">
        <v>372.4717</v>
      </c>
      <c r="J1271">
        <v>-315.2303</v>
      </c>
      <c r="K1271">
        <v>1.0753029999999999</v>
      </c>
      <c r="L1271">
        <v>366.9418</v>
      </c>
      <c r="M1271">
        <v>0.99977990000000005</v>
      </c>
      <c r="N1271">
        <v>-1.9225760000000001E-2</v>
      </c>
      <c r="O1271">
        <v>8.4168579999999993E-3</v>
      </c>
      <c r="P1271">
        <v>0.98766149999999997</v>
      </c>
      <c r="Q1271">
        <v>0.115635</v>
      </c>
      <c r="R1271">
        <v>0.1056101</v>
      </c>
      <c r="S1271">
        <v>3.0093990000000002</v>
      </c>
      <c r="T1271">
        <v>0.13354360000000001</v>
      </c>
      <c r="U1271">
        <v>0.114563</v>
      </c>
      <c r="V1271">
        <v>-9.7273449999999997E-2</v>
      </c>
      <c r="W1271">
        <v>0.134632</v>
      </c>
      <c r="X1271">
        <v>0.98610960000000003</v>
      </c>
      <c r="Y1271">
        <v>-2.9627690000000002E-2</v>
      </c>
      <c r="Z1271">
        <v>1.6304110000000001E-4</v>
      </c>
      <c r="AA1271">
        <v>0.99956100000000003</v>
      </c>
      <c r="AB1271">
        <v>29</v>
      </c>
      <c r="AC1271">
        <v>145.14150000000001</v>
      </c>
      <c r="AD1271">
        <v>6.4487940000000004</v>
      </c>
      <c r="AE1271">
        <v>5.5298999999999898</v>
      </c>
      <c r="AF1271">
        <v>-4.2993678374722801</v>
      </c>
      <c r="AG1271">
        <v>6.4487940000000004</v>
      </c>
      <c r="AH1271">
        <v>144.897279669158</v>
      </c>
      <c r="AI1271">
        <v>87.452796994617202</v>
      </c>
      <c r="AJ1271">
        <v>91.699572122003204</v>
      </c>
      <c r="AK1271">
        <v>145.10442158452099</v>
      </c>
      <c r="AL1271">
        <v>82.262659389092704</v>
      </c>
      <c r="AM1271">
        <v>95.633639141806896</v>
      </c>
      <c r="AN1271">
        <v>1.00000002135553</v>
      </c>
    </row>
    <row r="1272" spans="1:40" x14ac:dyDescent="0.25">
      <c r="A1272" t="str">
        <f>"20190304154745919"</f>
        <v>20190304154745919</v>
      </c>
      <c r="B1272" t="str">
        <f>"1551685665908165"</f>
        <v>1551685665908165</v>
      </c>
      <c r="C1272" t="s">
        <v>40</v>
      </c>
      <c r="D1272">
        <v>4.0242899999999997</v>
      </c>
      <c r="E1272">
        <v>0.52492419999999995</v>
      </c>
      <c r="F1272" t="s">
        <v>43</v>
      </c>
      <c r="G1272">
        <v>-170.08879999999999</v>
      </c>
      <c r="H1272">
        <v>7.6900219999999999</v>
      </c>
      <c r="I1272">
        <v>372.44970000000001</v>
      </c>
      <c r="J1272">
        <v>-315.0874</v>
      </c>
      <c r="K1272">
        <v>1.074274</v>
      </c>
      <c r="L1272">
        <v>366.94299999999998</v>
      </c>
      <c r="M1272">
        <v>0.9997876</v>
      </c>
      <c r="N1272">
        <v>-1.8826430000000002E-2</v>
      </c>
      <c r="O1272">
        <v>8.3952000000000002E-3</v>
      </c>
      <c r="P1272">
        <v>0.98757150000000005</v>
      </c>
      <c r="Q1272">
        <v>0.11644400000000001</v>
      </c>
      <c r="R1272">
        <v>0.1055627</v>
      </c>
      <c r="S1272">
        <v>3.0092469999999998</v>
      </c>
      <c r="T1272">
        <v>0.13714599999999999</v>
      </c>
      <c r="U1272">
        <v>0.1141968</v>
      </c>
      <c r="V1272">
        <v>-9.7248189999999998E-2</v>
      </c>
      <c r="W1272">
        <v>0.13504539999999901</v>
      </c>
      <c r="X1272">
        <v>0.98605560000000003</v>
      </c>
      <c r="Y1272">
        <v>-2.9528780000000001E-2</v>
      </c>
      <c r="Z1272">
        <v>1.4603150000000001E-4</v>
      </c>
      <c r="AA1272">
        <v>0.99956389999999995</v>
      </c>
      <c r="AB1272">
        <v>29</v>
      </c>
      <c r="AC1272">
        <v>144.99860000000001</v>
      </c>
      <c r="AD1272">
        <v>6.615748</v>
      </c>
      <c r="AE1272">
        <v>5.5066999999999604</v>
      </c>
      <c r="AF1272">
        <v>-4.2801006387901097</v>
      </c>
      <c r="AG1272">
        <v>6.615748</v>
      </c>
      <c r="AH1272">
        <v>144.73884909680999</v>
      </c>
      <c r="AI1272">
        <v>87.384078193395396</v>
      </c>
      <c r="AJ1272">
        <v>91.693811026535698</v>
      </c>
      <c r="AK1272">
        <v>144.95317113104699</v>
      </c>
      <c r="AL1272">
        <v>82.238755298225399</v>
      </c>
      <c r="AM1272">
        <v>95.632492059606705</v>
      </c>
      <c r="AN1272">
        <v>1.0000000584053901</v>
      </c>
    </row>
    <row r="1273" spans="1:40" x14ac:dyDescent="0.25">
      <c r="A1273" t="str">
        <f>"20190304154745932"</f>
        <v>20190304154745932</v>
      </c>
      <c r="B1273" t="str">
        <f>"1551685665927685"</f>
        <v>1551685665927685</v>
      </c>
      <c r="C1273" t="s">
        <v>40</v>
      </c>
      <c r="D1273">
        <v>4.0282809999999998</v>
      </c>
      <c r="E1273">
        <v>0.52497450000000001</v>
      </c>
      <c r="F1273" t="s">
        <v>43</v>
      </c>
      <c r="G1273">
        <v>-170.08879999999999</v>
      </c>
      <c r="H1273">
        <v>7.8133970000000001</v>
      </c>
      <c r="I1273">
        <v>372.43259999999998</v>
      </c>
      <c r="J1273">
        <v>-314.92750000000001</v>
      </c>
      <c r="K1273">
        <v>1.073156</v>
      </c>
      <c r="L1273">
        <v>366.9443</v>
      </c>
      <c r="M1273">
        <v>0.99979609999999997</v>
      </c>
      <c r="N1273">
        <v>-1.8384069999999999E-2</v>
      </c>
      <c r="O1273">
        <v>8.3710019999999902E-3</v>
      </c>
      <c r="P1273">
        <v>0.98749679999999995</v>
      </c>
      <c r="Q1273">
        <v>0.11723459999999999</v>
      </c>
      <c r="R1273">
        <v>0.10538699999999999</v>
      </c>
      <c r="S1273">
        <v>3.009064</v>
      </c>
      <c r="T1273">
        <v>0.13985439999999999</v>
      </c>
      <c r="U1273">
        <v>0.1139221</v>
      </c>
      <c r="V1273">
        <v>-9.7096760000000004E-2</v>
      </c>
      <c r="W1273">
        <v>0.13539779999999901</v>
      </c>
      <c r="X1273">
        <v>0.98602210000000001</v>
      </c>
      <c r="Y1273">
        <v>-2.9463199999999998E-2</v>
      </c>
      <c r="Z1273">
        <v>1.2939749999999999E-4</v>
      </c>
      <c r="AA1273">
        <v>0.99956579999999995</v>
      </c>
      <c r="AB1273">
        <v>29</v>
      </c>
      <c r="AC1273">
        <v>144.83869999999999</v>
      </c>
      <c r="AD1273">
        <v>6.7402410000000001</v>
      </c>
      <c r="AE1273">
        <v>5.4882999999999802</v>
      </c>
      <c r="AF1273">
        <v>-4.2662320505628797</v>
      </c>
      <c r="AG1273">
        <v>6.7402410000000001</v>
      </c>
      <c r="AH1273">
        <v>144.56694611114199</v>
      </c>
      <c r="AI1273">
        <v>87.331753727260505</v>
      </c>
      <c r="AJ1273">
        <v>91.690332246035098</v>
      </c>
      <c r="AK1273">
        <v>144.78685538593999</v>
      </c>
      <c r="AL1273">
        <v>82.218376356502404</v>
      </c>
      <c r="AM1273">
        <v>95.623967534476407</v>
      </c>
      <c r="AN1273">
        <v>0.999999963367873</v>
      </c>
    </row>
    <row r="1274" spans="1:40" x14ac:dyDescent="0.25">
      <c r="A1274" t="str">
        <f>"20190304154745945"</f>
        <v>20190304154745945</v>
      </c>
      <c r="B1274" t="str">
        <f>"1551685665938421"</f>
        <v>1551685665938421</v>
      </c>
      <c r="C1274" t="s">
        <v>40</v>
      </c>
      <c r="D1274">
        <v>4.0056450000000003</v>
      </c>
      <c r="E1274">
        <v>0.52501059999999999</v>
      </c>
      <c r="F1274" t="s">
        <v>43</v>
      </c>
      <c r="G1274">
        <v>-170.08879999999999</v>
      </c>
      <c r="H1274">
        <v>7.9426009999999998</v>
      </c>
      <c r="I1274">
        <v>372.37509999999997</v>
      </c>
      <c r="J1274">
        <v>-314.75639999999999</v>
      </c>
      <c r="K1274">
        <v>1.0720769999999999</v>
      </c>
      <c r="L1274">
        <v>366.94569999999999</v>
      </c>
      <c r="M1274">
        <v>0.99980440000000004</v>
      </c>
      <c r="N1274">
        <v>-1.7934680000000001E-2</v>
      </c>
      <c r="O1274">
        <v>8.3451069999999992E-3</v>
      </c>
      <c r="P1274">
        <v>0.98742229999999998</v>
      </c>
      <c r="Q1274">
        <v>0.1178231</v>
      </c>
      <c r="R1274">
        <v>0.10542700000000001</v>
      </c>
      <c r="S1274">
        <v>3.0090029999999999</v>
      </c>
      <c r="T1274">
        <v>0.14271339999999999</v>
      </c>
      <c r="U1274">
        <v>0.11282349999999999</v>
      </c>
      <c r="V1274">
        <v>-9.7163009999999994E-2</v>
      </c>
      <c r="W1274">
        <v>0.13554189999999999</v>
      </c>
      <c r="X1274">
        <v>0.98599579999999998</v>
      </c>
      <c r="Y1274">
        <v>-2.9124569999999999E-2</v>
      </c>
      <c r="Z1274">
        <v>1.1626800000000001E-4</v>
      </c>
      <c r="AA1274">
        <v>0.99957580000000001</v>
      </c>
      <c r="AB1274">
        <v>29</v>
      </c>
      <c r="AC1274">
        <v>144.66759999999999</v>
      </c>
      <c r="AD1274">
        <v>6.8705239999999996</v>
      </c>
      <c r="AE1274">
        <v>5.4293999999999798</v>
      </c>
      <c r="AF1274">
        <v>-4.2122628809118003</v>
      </c>
      <c r="AG1274">
        <v>6.8705239999999996</v>
      </c>
      <c r="AH1274">
        <v>144.382684257683</v>
      </c>
      <c r="AI1274">
        <v>87.276763028683902</v>
      </c>
      <c r="AJ1274">
        <v>91.6710899146034</v>
      </c>
      <c r="AK1274">
        <v>144.607422949398</v>
      </c>
      <c r="AL1274">
        <v>82.210043403352202</v>
      </c>
      <c r="AM1274">
        <v>95.627929342631305</v>
      </c>
      <c r="AN1274">
        <v>0.99999998739275497</v>
      </c>
    </row>
    <row r="1275" spans="1:40" x14ac:dyDescent="0.25">
      <c r="A1275" t="str">
        <f>"20190304154745956"</f>
        <v>20190304154745956</v>
      </c>
      <c r="B1275" t="str">
        <f>"1551685665948181"</f>
        <v>1551685665948181</v>
      </c>
      <c r="C1275" t="s">
        <v>40</v>
      </c>
      <c r="D1275">
        <v>4.06881</v>
      </c>
      <c r="E1275">
        <v>0.52501059999999999</v>
      </c>
      <c r="F1275" t="s">
        <v>43</v>
      </c>
      <c r="G1275">
        <v>-170.08879999999999</v>
      </c>
      <c r="H1275">
        <v>8.0034639999999992</v>
      </c>
      <c r="I1275">
        <v>372.35980000000001</v>
      </c>
      <c r="J1275">
        <v>-314.60359999999997</v>
      </c>
      <c r="K1275">
        <v>1.0711580000000001</v>
      </c>
      <c r="L1275">
        <v>366.947</v>
      </c>
      <c r="M1275">
        <v>0.99981149999999996</v>
      </c>
      <c r="N1275">
        <v>-1.754503E-2</v>
      </c>
      <c r="O1275">
        <v>8.3219179999999993E-3</v>
      </c>
      <c r="P1275">
        <v>0.9873769</v>
      </c>
      <c r="Q1275">
        <v>0.1182236</v>
      </c>
      <c r="R1275">
        <v>0.1054037</v>
      </c>
      <c r="S1275">
        <v>3.0090029999999999</v>
      </c>
      <c r="T1275">
        <v>0.14417049999999901</v>
      </c>
      <c r="U1275">
        <v>0.1126099</v>
      </c>
      <c r="V1275">
        <v>-9.7163269999999996E-2</v>
      </c>
      <c r="W1275">
        <v>0.13555710000000001</v>
      </c>
      <c r="X1275">
        <v>0.98599369999999997</v>
      </c>
      <c r="Y1275">
        <v>-2.9076169999999998E-2</v>
      </c>
      <c r="Z1275">
        <v>1.035541E-4</v>
      </c>
      <c r="AA1275">
        <v>0.99957720000000005</v>
      </c>
      <c r="AB1275">
        <v>29</v>
      </c>
      <c r="AC1275">
        <v>144.51479999999901</v>
      </c>
      <c r="AD1275">
        <v>6.9323059999999899</v>
      </c>
      <c r="AE1275">
        <v>5.4128000000000602</v>
      </c>
      <c r="AF1275">
        <v>-4.20013583025084</v>
      </c>
      <c r="AG1275">
        <v>6.9323059999999899</v>
      </c>
      <c r="AH1275">
        <v>144.22344199015001</v>
      </c>
      <c r="AI1275">
        <v>87.249278839211499</v>
      </c>
      <c r="AJ1275">
        <v>91.668120346639697</v>
      </c>
      <c r="AK1275">
        <v>144.451027088617</v>
      </c>
      <c r="AL1275">
        <v>82.209164512539502</v>
      </c>
      <c r="AM1275">
        <v>95.6279562154308</v>
      </c>
      <c r="AN1275">
        <v>1.00000000241859</v>
      </c>
    </row>
    <row r="1276" spans="1:40" x14ac:dyDescent="0.25">
      <c r="A1276" t="str">
        <f>"20190304154745970"</f>
        <v>20190304154745970</v>
      </c>
      <c r="B1276" t="str">
        <f>"1551685665967701"</f>
        <v>1551685665967701</v>
      </c>
      <c r="C1276" t="s">
        <v>40</v>
      </c>
      <c r="D1276">
        <v>4.1637180000000003</v>
      </c>
      <c r="E1276">
        <v>0.54653699999999905</v>
      </c>
      <c r="F1276" t="s">
        <v>43</v>
      </c>
      <c r="G1276">
        <v>-170.08879999999999</v>
      </c>
      <c r="H1276">
        <v>8.0525479999999998</v>
      </c>
      <c r="I1276">
        <v>372.34969999999998</v>
      </c>
      <c r="J1276">
        <v>-314.43009999999998</v>
      </c>
      <c r="K1276">
        <v>1.0701750000000001</v>
      </c>
      <c r="L1276">
        <v>366.94830000000002</v>
      </c>
      <c r="M1276">
        <v>0.99981900000000001</v>
      </c>
      <c r="N1276">
        <v>-1.7118950000000001E-2</v>
      </c>
      <c r="O1276">
        <v>8.2950980000000007E-3</v>
      </c>
      <c r="P1276">
        <v>0.98729460000000002</v>
      </c>
      <c r="Q1276">
        <v>0.1189471</v>
      </c>
      <c r="R1276">
        <v>0.10536180000000001</v>
      </c>
      <c r="S1276">
        <v>3.0088810000000001</v>
      </c>
      <c r="T1276">
        <v>0.1453583</v>
      </c>
      <c r="U1276">
        <v>0.1124878</v>
      </c>
      <c r="V1276">
        <v>-9.7148880000000007E-2</v>
      </c>
      <c r="W1276">
        <v>0.1358589</v>
      </c>
      <c r="X1276">
        <v>0.98595359999999999</v>
      </c>
      <c r="Y1276">
        <v>-2.9063249999999999E-2</v>
      </c>
      <c r="Z1276" s="1">
        <v>8.979999E-5</v>
      </c>
      <c r="AA1276">
        <v>0.99957759999999996</v>
      </c>
      <c r="AB1276">
        <v>29</v>
      </c>
      <c r="AC1276">
        <v>144.34129999999999</v>
      </c>
      <c r="AD1276">
        <v>6.9823729999999999</v>
      </c>
      <c r="AE1276">
        <v>5.4013999999999598</v>
      </c>
      <c r="AF1276">
        <v>-4.1939131035294803</v>
      </c>
      <c r="AG1276">
        <v>6.9823729999999999</v>
      </c>
      <c r="AH1276">
        <v>144.044544331347</v>
      </c>
      <c r="AI1276">
        <v>87.2260071079059</v>
      </c>
      <c r="AJ1276">
        <v>91.667717834724399</v>
      </c>
      <c r="AK1276">
        <v>144.274645005477</v>
      </c>
      <c r="AL1276">
        <v>82.191711348802301</v>
      </c>
      <c r="AM1276">
        <v>95.627355451619707</v>
      </c>
      <c r="AN1276">
        <v>1.0000000234737101</v>
      </c>
    </row>
    <row r="1277" spans="1:40" x14ac:dyDescent="0.25">
      <c r="A1277" t="str">
        <f>"20190304154745982"</f>
        <v>20190304154745982</v>
      </c>
      <c r="B1277" t="str">
        <f>"1551685665978438"</f>
        <v>1551685665978438</v>
      </c>
      <c r="C1277" t="s">
        <v>40</v>
      </c>
      <c r="D1277">
        <v>4.036937</v>
      </c>
      <c r="E1277">
        <v>0.54896160000000005</v>
      </c>
      <c r="F1277" t="s">
        <v>43</v>
      </c>
      <c r="G1277">
        <v>-158.19499999999999</v>
      </c>
      <c r="H1277">
        <v>2.424839</v>
      </c>
      <c r="I1277">
        <v>363.78539999999998</v>
      </c>
      <c r="J1277">
        <v>-314.28559999999999</v>
      </c>
      <c r="K1277">
        <v>1.0694399999999999</v>
      </c>
      <c r="L1277">
        <v>366.9495</v>
      </c>
      <c r="M1277">
        <v>0.99982490000000002</v>
      </c>
      <c r="N1277">
        <v>-1.6788520000000001E-2</v>
      </c>
      <c r="O1277">
        <v>8.2722630000000002E-3</v>
      </c>
      <c r="P1277">
        <v>0.98726309999999995</v>
      </c>
      <c r="Q1277">
        <v>0.1194197</v>
      </c>
      <c r="R1277">
        <v>0.1051232</v>
      </c>
      <c r="S1277">
        <v>3.0419619999999998</v>
      </c>
      <c r="T1277">
        <v>2.6377560000000001E-2</v>
      </c>
      <c r="U1277">
        <v>-6.1584470000000002E-2</v>
      </c>
      <c r="V1277">
        <v>-9.693301E-2</v>
      </c>
      <c r="W1277">
        <v>0.13600489999999901</v>
      </c>
      <c r="X1277">
        <v>0.98595469999999996</v>
      </c>
      <c r="Y1277">
        <v>2.8510199999999999E-2</v>
      </c>
      <c r="Z1277" s="1">
        <v>9.4823280000000003E-5</v>
      </c>
      <c r="AA1277">
        <v>0.99959350000000002</v>
      </c>
      <c r="AB1277">
        <v>29</v>
      </c>
      <c r="AC1277">
        <v>156.09059999999999</v>
      </c>
      <c r="AD1277">
        <v>1.355399</v>
      </c>
      <c r="AE1277">
        <v>-3.1641000000000101</v>
      </c>
      <c r="AF1277">
        <v>4.4550603538633498</v>
      </c>
      <c r="AG1277">
        <v>1.355399</v>
      </c>
      <c r="AH1277">
        <v>156.047318390497</v>
      </c>
      <c r="AI1277">
        <v>89.502554332055297</v>
      </c>
      <c r="AJ1277">
        <v>88.364682957771507</v>
      </c>
      <c r="AK1277">
        <v>156.116783998617</v>
      </c>
      <c r="AL1277">
        <v>82.183267655047402</v>
      </c>
      <c r="AM1277">
        <v>95.614924936495399</v>
      </c>
      <c r="AN1277">
        <v>1.0000000058518701</v>
      </c>
    </row>
    <row r="1278" spans="1:40" x14ac:dyDescent="0.25">
      <c r="A1278" t="str">
        <f>"20190304154745993"</f>
        <v>20190304154745993</v>
      </c>
      <c r="B1278" t="str">
        <f>"1551685665988198"</f>
        <v>1551685665988198</v>
      </c>
      <c r="C1278" t="s">
        <v>40</v>
      </c>
      <c r="D1278">
        <v>4.0275699999999999</v>
      </c>
      <c r="E1278">
        <v>0.55005559999999998</v>
      </c>
      <c r="F1278" t="s">
        <v>43</v>
      </c>
      <c r="G1278">
        <v>-158.19499999999999</v>
      </c>
      <c r="H1278">
        <v>2.5051220000000001</v>
      </c>
      <c r="I1278">
        <v>362.77749999999997</v>
      </c>
      <c r="J1278">
        <v>-314.13900000000001</v>
      </c>
      <c r="K1278">
        <v>1.0687169999999999</v>
      </c>
      <c r="L1278">
        <v>366.95069999999998</v>
      </c>
      <c r="M1278">
        <v>0.99983069999999996</v>
      </c>
      <c r="N1278">
        <v>-1.6459939999999999E-2</v>
      </c>
      <c r="O1278">
        <v>8.2490600000000008E-3</v>
      </c>
      <c r="P1278">
        <v>0.98727710000000002</v>
      </c>
      <c r="Q1278">
        <v>0.1194982</v>
      </c>
      <c r="R1278">
        <v>0.10490240000000001</v>
      </c>
      <c r="S1278">
        <v>3.0439759999999998</v>
      </c>
      <c r="T1278">
        <v>2.7999400000000001E-2</v>
      </c>
      <c r="U1278">
        <v>-8.1359860000000006E-2</v>
      </c>
      <c r="V1278">
        <v>-9.6735080000000001E-2</v>
      </c>
      <c r="W1278">
        <v>0.1357592</v>
      </c>
      <c r="X1278">
        <v>0.986008</v>
      </c>
      <c r="Y1278">
        <v>3.4963389999999997E-2</v>
      </c>
      <c r="Z1278" s="1">
        <v>8.4572999999999897E-5</v>
      </c>
      <c r="AA1278">
        <v>0.99938859999999996</v>
      </c>
      <c r="AB1278">
        <v>29</v>
      </c>
      <c r="AC1278">
        <v>155.94399999999999</v>
      </c>
      <c r="AD1278">
        <v>1.4364049999999999</v>
      </c>
      <c r="AE1278">
        <v>-4.1731999999999996</v>
      </c>
      <c r="AF1278">
        <v>5.4591605797693701</v>
      </c>
      <c r="AG1278">
        <v>1.4364049999999999</v>
      </c>
      <c r="AH1278">
        <v>155.89104626655401</v>
      </c>
      <c r="AI1278">
        <v>89.472405862217201</v>
      </c>
      <c r="AJ1278">
        <v>87.994374264468803</v>
      </c>
      <c r="AK1278">
        <v>155.99321780013599</v>
      </c>
      <c r="AL1278">
        <v>82.197477021333199</v>
      </c>
      <c r="AM1278">
        <v>95.603231741528802</v>
      </c>
      <c r="AN1278">
        <v>1.00000000607562</v>
      </c>
    </row>
    <row r="1279" spans="1:40" x14ac:dyDescent="0.25">
      <c r="A1279" t="str">
        <f>"20190304154746004"</f>
        <v>20190304154746004</v>
      </c>
      <c r="B1279" t="str">
        <f>"1551685665997957"</f>
        <v>1551685665997957</v>
      </c>
      <c r="C1279" t="s">
        <v>40</v>
      </c>
      <c r="D1279">
        <v>4.0476760000000001</v>
      </c>
      <c r="E1279">
        <v>0.5507976</v>
      </c>
      <c r="F1279" t="s">
        <v>43</v>
      </c>
      <c r="G1279">
        <v>-158.19499999999999</v>
      </c>
      <c r="H1279">
        <v>2.2357960000000001</v>
      </c>
      <c r="I1279">
        <v>362.30349999999999</v>
      </c>
      <c r="J1279">
        <v>-313.99470000000002</v>
      </c>
      <c r="K1279">
        <v>1.0680750000000001</v>
      </c>
      <c r="L1279">
        <v>366.95190000000002</v>
      </c>
      <c r="M1279">
        <v>0.99983569999999999</v>
      </c>
      <c r="N1279">
        <v>-1.61596E-2</v>
      </c>
      <c r="O1279">
        <v>8.2263459999999903E-3</v>
      </c>
      <c r="P1279">
        <v>0.98724780000000001</v>
      </c>
      <c r="Q1279">
        <v>0.11977740000000001</v>
      </c>
      <c r="R1279">
        <v>0.1048596</v>
      </c>
      <c r="S1279">
        <v>3.0455019999999999</v>
      </c>
      <c r="T1279">
        <v>2.2794129999999999E-2</v>
      </c>
      <c r="U1279">
        <v>-9.0759279999999998E-2</v>
      </c>
      <c r="V1279">
        <v>-9.6715110000000007E-2</v>
      </c>
      <c r="W1279">
        <v>0.13574169999999999</v>
      </c>
      <c r="X1279">
        <v>0.98601229999999995</v>
      </c>
      <c r="Y1279">
        <v>3.8009569999999999E-2</v>
      </c>
      <c r="Z1279" s="1">
        <v>2.94772E-5</v>
      </c>
      <c r="AA1279">
        <v>0.99927739999999998</v>
      </c>
      <c r="AB1279">
        <v>29</v>
      </c>
      <c r="AC1279">
        <v>155.7997</v>
      </c>
      <c r="AD1279">
        <v>1.167721</v>
      </c>
      <c r="AE1279">
        <v>-4.6484000000000298</v>
      </c>
      <c r="AF1279">
        <v>5.9297393275710597</v>
      </c>
      <c r="AG1279">
        <v>1.167721</v>
      </c>
      <c r="AH1279">
        <v>155.747441131675</v>
      </c>
      <c r="AI1279">
        <v>89.570742252754897</v>
      </c>
      <c r="AJ1279">
        <v>87.819643021942596</v>
      </c>
      <c r="AK1279">
        <v>155.86465539015401</v>
      </c>
      <c r="AL1279">
        <v>82.198488536889698</v>
      </c>
      <c r="AM1279">
        <v>95.6020580933411</v>
      </c>
      <c r="AN1279">
        <v>0.99999993868624404</v>
      </c>
    </row>
    <row r="1280" spans="1:40" x14ac:dyDescent="0.25">
      <c r="A1280" t="str">
        <f>"20190304154746016"</f>
        <v>20190304154746016</v>
      </c>
      <c r="B1280" t="str">
        <f>"1551685666007717"</f>
        <v>1551685666007717</v>
      </c>
      <c r="C1280" t="s">
        <v>40</v>
      </c>
      <c r="D1280">
        <v>4.0675720000000002</v>
      </c>
      <c r="E1280">
        <v>0.55142340000000001</v>
      </c>
      <c r="F1280" t="s">
        <v>43</v>
      </c>
      <c r="G1280">
        <v>-158.19499999999999</v>
      </c>
      <c r="H1280">
        <v>2.0943130000000001</v>
      </c>
      <c r="I1280">
        <v>361.99380000000002</v>
      </c>
      <c r="J1280">
        <v>-313.84690000000001</v>
      </c>
      <c r="K1280">
        <v>1.0674509999999999</v>
      </c>
      <c r="L1280">
        <v>366.95310000000001</v>
      </c>
      <c r="M1280">
        <v>0.99984070000000003</v>
      </c>
      <c r="N1280">
        <v>-1.5863120000000001E-2</v>
      </c>
      <c r="O1280">
        <v>8.2030780000000008E-3</v>
      </c>
      <c r="P1280">
        <v>0.98728640000000001</v>
      </c>
      <c r="Q1280">
        <v>0.1197715</v>
      </c>
      <c r="R1280">
        <v>0.10450180000000001</v>
      </c>
      <c r="S1280">
        <v>3.0466000000000002</v>
      </c>
      <c r="T1280">
        <v>2.0069360000000001E-2</v>
      </c>
      <c r="U1280">
        <v>-9.6954349999999995E-2</v>
      </c>
      <c r="V1280">
        <v>-9.6380069999999998E-2</v>
      </c>
      <c r="W1280">
        <v>0.13544410000000001</v>
      </c>
      <c r="X1280">
        <v>0.98608609999999997</v>
      </c>
      <c r="Y1280">
        <v>4.0005730000000003E-2</v>
      </c>
      <c r="Z1280" s="1">
        <v>-1.551642E-6</v>
      </c>
      <c r="AA1280">
        <v>0.99919950000000002</v>
      </c>
      <c r="AB1280">
        <v>29</v>
      </c>
      <c r="AC1280">
        <v>155.65190000000001</v>
      </c>
      <c r="AD1280">
        <v>1.0268619999999999</v>
      </c>
      <c r="AE1280">
        <v>-4.9592999999999803</v>
      </c>
      <c r="AF1280">
        <v>6.2358471027270497</v>
      </c>
      <c r="AG1280">
        <v>1.0268619999999999</v>
      </c>
      <c r="AH1280">
        <v>155.59920979043</v>
      </c>
      <c r="AI1280">
        <v>89.622190781773199</v>
      </c>
      <c r="AJ1280">
        <v>87.7050228997132</v>
      </c>
      <c r="AK1280">
        <v>155.727500211305</v>
      </c>
      <c r="AL1280">
        <v>82.215699257751396</v>
      </c>
      <c r="AM1280">
        <v>95.582359099194903</v>
      </c>
      <c r="AN1280">
        <v>1.0000000093656101</v>
      </c>
    </row>
    <row r="1281" spans="1:40" x14ac:dyDescent="0.25">
      <c r="A1281" t="str">
        <f>"20190304154746027"</f>
        <v>20190304154746027</v>
      </c>
      <c r="B1281" t="str">
        <f>"1551685666018453"</f>
        <v>1551685666018453</v>
      </c>
      <c r="C1281" t="s">
        <v>40</v>
      </c>
      <c r="D1281">
        <v>4.2140709999999997</v>
      </c>
      <c r="E1281">
        <v>0.55277849999999995</v>
      </c>
      <c r="F1281" t="s">
        <v>43</v>
      </c>
      <c r="G1281">
        <v>-158.19499999999999</v>
      </c>
      <c r="H1281">
        <v>2.0455299999999998</v>
      </c>
      <c r="I1281">
        <v>361.69670000000002</v>
      </c>
      <c r="J1281">
        <v>-313.7013</v>
      </c>
      <c r="K1281">
        <v>1.066881</v>
      </c>
      <c r="L1281">
        <v>366.95429999999999</v>
      </c>
      <c r="M1281">
        <v>0.99984510000000004</v>
      </c>
      <c r="N1281">
        <v>-1.558727E-2</v>
      </c>
      <c r="O1281">
        <v>8.180138E-3</v>
      </c>
      <c r="P1281">
        <v>0.98729440000000002</v>
      </c>
      <c r="Q1281">
        <v>0.12001299999999999</v>
      </c>
      <c r="R1281">
        <v>0.104148</v>
      </c>
      <c r="S1281">
        <v>3.0472109999999999</v>
      </c>
      <c r="T1281">
        <v>1.9149659999999999E-2</v>
      </c>
      <c r="U1281">
        <v>-0.10290530000000001</v>
      </c>
      <c r="V1281">
        <v>-9.604944E-2</v>
      </c>
      <c r="W1281">
        <v>0.13541339999999999</v>
      </c>
      <c r="X1281">
        <v>0.98612250000000001</v>
      </c>
      <c r="Y1281">
        <v>4.1925690000000002E-2</v>
      </c>
      <c r="Z1281" s="1">
        <v>-1.630059E-5</v>
      </c>
      <c r="AA1281">
        <v>0.99912069999999997</v>
      </c>
      <c r="AB1281">
        <v>29</v>
      </c>
      <c r="AC1281">
        <v>155.50630000000001</v>
      </c>
      <c r="AD1281">
        <v>0.97864899999999999</v>
      </c>
      <c r="AE1281">
        <v>-5.2575999999999601</v>
      </c>
      <c r="AF1281">
        <v>6.5293832328775796</v>
      </c>
      <c r="AG1281">
        <v>0.97864899999999999</v>
      </c>
      <c r="AH1281">
        <v>155.45193295028301</v>
      </c>
      <c r="AI1281">
        <v>89.639616434446793</v>
      </c>
      <c r="AJ1281">
        <v>87.594842816836305</v>
      </c>
      <c r="AK1281">
        <v>155.59207581765301</v>
      </c>
      <c r="AL1281">
        <v>82.217474007265594</v>
      </c>
      <c r="AM1281">
        <v>95.563125200025596</v>
      </c>
      <c r="AN1281">
        <v>0.99999993441505897</v>
      </c>
    </row>
    <row r="1282" spans="1:40" x14ac:dyDescent="0.25">
      <c r="A1282" t="str">
        <f>"20190304154746037"</f>
        <v>20190304154746037</v>
      </c>
      <c r="B1282" t="str">
        <f>"1551685666028214"</f>
        <v>1551685666028214</v>
      </c>
      <c r="C1282" t="s">
        <v>40</v>
      </c>
      <c r="D1282">
        <v>4.043094</v>
      </c>
      <c r="E1282">
        <v>0.55375699999999894</v>
      </c>
      <c r="F1282" t="s">
        <v>43</v>
      </c>
      <c r="G1282">
        <v>-158.19499999999999</v>
      </c>
      <c r="H1282">
        <v>2.4068139999999998</v>
      </c>
      <c r="I1282">
        <v>361.10210000000001</v>
      </c>
      <c r="J1282">
        <v>-313.56799999999998</v>
      </c>
      <c r="K1282">
        <v>1.066403</v>
      </c>
      <c r="L1282">
        <v>366.95530000000002</v>
      </c>
      <c r="M1282">
        <v>0.99984890000000004</v>
      </c>
      <c r="N1282">
        <v>-1.5349410000000001E-2</v>
      </c>
      <c r="O1282">
        <v>8.1593059999999999E-3</v>
      </c>
      <c r="P1282">
        <v>0.9872898</v>
      </c>
      <c r="Q1282">
        <v>0.120093699999999</v>
      </c>
      <c r="R1282">
        <v>0.1040966</v>
      </c>
      <c r="S1282">
        <v>3.047485</v>
      </c>
      <c r="T1282">
        <v>2.626061E-2</v>
      </c>
      <c r="U1282">
        <v>-0.1146851</v>
      </c>
      <c r="V1282">
        <v>-9.601809E-2</v>
      </c>
      <c r="W1282">
        <v>0.1352594</v>
      </c>
      <c r="X1282">
        <v>0.98614669999999904</v>
      </c>
      <c r="Y1282">
        <v>4.575829E-2</v>
      </c>
      <c r="Z1282" s="1">
        <v>4.1237279999999998E-5</v>
      </c>
      <c r="AA1282">
        <v>0.99895259999999997</v>
      </c>
      <c r="AB1282">
        <v>29</v>
      </c>
      <c r="AC1282">
        <v>155.37299999999999</v>
      </c>
      <c r="AD1282">
        <v>1.34041099999999</v>
      </c>
      <c r="AE1282">
        <v>-5.85320000000001</v>
      </c>
      <c r="AF1282">
        <v>7.1203611440065204</v>
      </c>
      <c r="AG1282">
        <v>1.34041099999999</v>
      </c>
      <c r="AH1282">
        <v>155.30852047996899</v>
      </c>
      <c r="AI1282">
        <v>89.506032212695601</v>
      </c>
      <c r="AJ1282">
        <v>87.375023824369606</v>
      </c>
      <c r="AK1282">
        <v>155.47743494844099</v>
      </c>
      <c r="AL1282">
        <v>82.226379584778101</v>
      </c>
      <c r="AM1282">
        <v>95.561185193014097</v>
      </c>
      <c r="AN1282">
        <v>0.99999994640824696</v>
      </c>
    </row>
    <row r="1283" spans="1:40" x14ac:dyDescent="0.25">
      <c r="A1283" t="str">
        <f>"20190304154746048"</f>
        <v>20190304154746048</v>
      </c>
      <c r="B1283" t="str">
        <f>"1551685666037974"</f>
        <v>1551685666037974</v>
      </c>
      <c r="C1283" t="s">
        <v>40</v>
      </c>
      <c r="D1283">
        <v>4.058967</v>
      </c>
      <c r="E1283">
        <v>0.55397719999999995</v>
      </c>
      <c r="F1283" t="s">
        <v>43</v>
      </c>
      <c r="G1283">
        <v>-158.19499999999999</v>
      </c>
      <c r="H1283">
        <v>2.6623070000000002</v>
      </c>
      <c r="I1283">
        <v>360.69170000000003</v>
      </c>
      <c r="J1283">
        <v>-313.43020000000001</v>
      </c>
      <c r="K1283">
        <v>1.0659339999999999</v>
      </c>
      <c r="L1283">
        <v>366.95639999999997</v>
      </c>
      <c r="M1283">
        <v>0.99985270000000004</v>
      </c>
      <c r="N1283">
        <v>-1.511288E-2</v>
      </c>
      <c r="O1283">
        <v>8.1374810000000002E-3</v>
      </c>
      <c r="P1283">
        <v>0.98728570000000004</v>
      </c>
      <c r="Q1283">
        <v>0.1203665</v>
      </c>
      <c r="R1283">
        <v>0.10382280000000001</v>
      </c>
      <c r="S1283">
        <v>3.0477289999999999</v>
      </c>
      <c r="T1283">
        <v>3.1306269999999997E-2</v>
      </c>
      <c r="U1283">
        <v>-0.1228638</v>
      </c>
      <c r="V1283">
        <v>-9.5766489999999996E-2</v>
      </c>
      <c r="W1283">
        <v>0.13529859999999999</v>
      </c>
      <c r="X1283">
        <v>0.98616579999999998</v>
      </c>
      <c r="Y1283">
        <v>4.8409559999999997E-2</v>
      </c>
      <c r="Z1283" s="1">
        <v>8.9035780000000004E-5</v>
      </c>
      <c r="AA1283">
        <v>0.99882760000000004</v>
      </c>
      <c r="AB1283">
        <v>29</v>
      </c>
      <c r="AC1283">
        <v>155.23519999999999</v>
      </c>
      <c r="AD1283">
        <v>1.59637299999999</v>
      </c>
      <c r="AE1283">
        <v>-6.26469999999994</v>
      </c>
      <c r="AF1283">
        <v>7.5270655717792501</v>
      </c>
      <c r="AG1283">
        <v>1.59637299999999</v>
      </c>
      <c r="AH1283">
        <v>155.162692238071</v>
      </c>
      <c r="AI1283">
        <v>89.411232266311302</v>
      </c>
      <c r="AJ1283">
        <v>87.2227134075506</v>
      </c>
      <c r="AK1283">
        <v>155.353359105761</v>
      </c>
      <c r="AL1283">
        <v>82.224112846396594</v>
      </c>
      <c r="AM1283">
        <v>95.546597234290104</v>
      </c>
      <c r="AN1283">
        <v>0.99999995842925904</v>
      </c>
    </row>
    <row r="1284" spans="1:40" x14ac:dyDescent="0.25">
      <c r="A1284" t="str">
        <f>"20190304154746059"</f>
        <v>20190304154746059</v>
      </c>
      <c r="B1284" t="str">
        <f>"1551685666047733"</f>
        <v>1551685666047733</v>
      </c>
      <c r="C1284" t="s">
        <v>40</v>
      </c>
      <c r="D1284">
        <v>4.0667</v>
      </c>
      <c r="E1284">
        <v>0.55417819999999995</v>
      </c>
      <c r="F1284" t="s">
        <v>43</v>
      </c>
      <c r="G1284">
        <v>-158.19499999999999</v>
      </c>
      <c r="H1284">
        <v>2.6246480000000001</v>
      </c>
      <c r="I1284">
        <v>360.56389999999999</v>
      </c>
      <c r="J1284">
        <v>-313.2901</v>
      </c>
      <c r="K1284">
        <v>1.065504</v>
      </c>
      <c r="L1284">
        <v>366.95760000000001</v>
      </c>
      <c r="M1284">
        <v>0.99985639999999998</v>
      </c>
      <c r="N1284">
        <v>-1.489E-2</v>
      </c>
      <c r="O1284">
        <v>8.1155229999999995E-3</v>
      </c>
      <c r="P1284">
        <v>0.98726709999999995</v>
      </c>
      <c r="Q1284">
        <v>0.1207974</v>
      </c>
      <c r="R1284">
        <v>0.1034973</v>
      </c>
      <c r="S1284">
        <v>3.0480960000000001</v>
      </c>
      <c r="T1284">
        <v>3.0607579999999999E-2</v>
      </c>
      <c r="U1284">
        <v>-0.12551880000000001</v>
      </c>
      <c r="V1284">
        <v>-9.5462729999999996E-2</v>
      </c>
      <c r="W1284">
        <v>0.13550889999999999</v>
      </c>
      <c r="X1284">
        <v>0.9861664</v>
      </c>
      <c r="Y1284">
        <v>4.9251429999999999E-2</v>
      </c>
      <c r="Z1284" s="1">
        <v>8.2563840000000007E-5</v>
      </c>
      <c r="AA1284">
        <v>0.99878639999999996</v>
      </c>
      <c r="AB1284">
        <v>29</v>
      </c>
      <c r="AC1284">
        <v>155.0951</v>
      </c>
      <c r="AD1284">
        <v>1.5591440000000001</v>
      </c>
      <c r="AE1284">
        <v>-6.3937000000000204</v>
      </c>
      <c r="AF1284">
        <v>7.6515346112122602</v>
      </c>
      <c r="AG1284">
        <v>1.5591440000000001</v>
      </c>
      <c r="AH1284">
        <v>155.022457526072</v>
      </c>
      <c r="AI1284">
        <v>89.424465620986098</v>
      </c>
      <c r="AJ1284">
        <v>87.174311644258495</v>
      </c>
      <c r="AK1284">
        <v>155.21900415007801</v>
      </c>
      <c r="AL1284">
        <v>82.211951725891296</v>
      </c>
      <c r="AM1284">
        <v>95.529109932024795</v>
      </c>
      <c r="AN1284">
        <v>0.99999998164361104</v>
      </c>
    </row>
    <row r="1285" spans="1:40" x14ac:dyDescent="0.25">
      <c r="A1285" t="str">
        <f>"20190304154746072"</f>
        <v>20190304154746072</v>
      </c>
      <c r="B1285" t="str">
        <f>"1551685666068231"</f>
        <v>1551685666068231</v>
      </c>
      <c r="C1285" t="s">
        <v>40</v>
      </c>
      <c r="D1285">
        <v>4.1139549999999998</v>
      </c>
      <c r="E1285">
        <v>0.55409189999999997</v>
      </c>
      <c r="F1285" t="s">
        <v>43</v>
      </c>
      <c r="G1285">
        <v>-158.19499999999999</v>
      </c>
      <c r="H1285">
        <v>2.6400039999999998</v>
      </c>
      <c r="I1285">
        <v>360.44389999999999</v>
      </c>
      <c r="J1285">
        <v>-313.13330000000002</v>
      </c>
      <c r="K1285">
        <v>1.065042</v>
      </c>
      <c r="L1285">
        <v>366.9588</v>
      </c>
      <c r="M1285">
        <v>0.99985999999999997</v>
      </c>
      <c r="N1285">
        <v>-1.464791E-2</v>
      </c>
      <c r="O1285">
        <v>8.0910019999999999E-3</v>
      </c>
      <c r="P1285">
        <v>0.98726239999999998</v>
      </c>
      <c r="Q1285">
        <v>0.1211647</v>
      </c>
      <c r="R1285">
        <v>0.10311240000000001</v>
      </c>
      <c r="S1285">
        <v>3.048279</v>
      </c>
      <c r="T1285">
        <v>3.0947329999999999E-2</v>
      </c>
      <c r="U1285">
        <v>-0.1280212</v>
      </c>
      <c r="V1285">
        <v>-9.5102249999999999E-2</v>
      </c>
      <c r="W1285">
        <v>0.13563739999999999</v>
      </c>
      <c r="X1285">
        <v>0.98618360000000005</v>
      </c>
      <c r="Y1285">
        <v>5.0042919999999998E-2</v>
      </c>
      <c r="Z1285" s="1">
        <v>8.7786759999999893E-5</v>
      </c>
      <c r="AA1285">
        <v>0.9987471</v>
      </c>
      <c r="AB1285">
        <v>29</v>
      </c>
      <c r="AC1285">
        <v>154.9383</v>
      </c>
      <c r="AD1285">
        <v>1.574962</v>
      </c>
      <c r="AE1285">
        <v>-6.5149000000000097</v>
      </c>
      <c r="AF1285">
        <v>7.7676260750577697</v>
      </c>
      <c r="AG1285">
        <v>1.574962</v>
      </c>
      <c r="AH1285">
        <v>154.864535872218</v>
      </c>
      <c r="AI1285">
        <v>89.418057341385307</v>
      </c>
      <c r="AJ1285">
        <v>87.128590267796</v>
      </c>
      <c r="AK1285">
        <v>155.06721442993901</v>
      </c>
      <c r="AL1285">
        <v>82.204520890917607</v>
      </c>
      <c r="AM1285">
        <v>95.508264448856806</v>
      </c>
      <c r="AN1285">
        <v>1.0000000175713899</v>
      </c>
    </row>
    <row r="1286" spans="1:40" x14ac:dyDescent="0.25">
      <c r="A1286" t="str">
        <f>"20190304154746083"</f>
        <v>20190304154746083</v>
      </c>
      <c r="B1286" t="str">
        <f>"1551685666077989"</f>
        <v>1551685666077989</v>
      </c>
      <c r="C1286" t="s">
        <v>40</v>
      </c>
      <c r="D1286">
        <v>4.0808650000000002</v>
      </c>
      <c r="E1286">
        <v>0.55407850000000003</v>
      </c>
      <c r="F1286" t="s">
        <v>43</v>
      </c>
      <c r="G1286">
        <v>-158.19499999999999</v>
      </c>
      <c r="H1286">
        <v>2.3772540000000002</v>
      </c>
      <c r="I1286">
        <v>360.41759999999999</v>
      </c>
      <c r="J1286">
        <v>-312.98020000000002</v>
      </c>
      <c r="K1286">
        <v>1.064649</v>
      </c>
      <c r="L1286">
        <v>366.96</v>
      </c>
      <c r="M1286">
        <v>0.99986339999999996</v>
      </c>
      <c r="N1286">
        <v>-1.443445E-2</v>
      </c>
      <c r="O1286">
        <v>8.0668939999999998E-3</v>
      </c>
      <c r="P1286">
        <v>0.98724920000000005</v>
      </c>
      <c r="Q1286">
        <v>0.121738</v>
      </c>
      <c r="R1286">
        <v>0.10256410000000001</v>
      </c>
      <c r="S1286">
        <v>3.0489809999999999</v>
      </c>
      <c r="T1286">
        <v>2.582431E-2</v>
      </c>
      <c r="U1286">
        <v>-0.12872310000000001</v>
      </c>
      <c r="V1286">
        <v>-9.4578339999999997E-2</v>
      </c>
      <c r="W1286">
        <v>0.13599919999999999</v>
      </c>
      <c r="X1286">
        <v>0.98618410000000001</v>
      </c>
      <c r="Y1286">
        <v>5.0239190000000003E-2</v>
      </c>
      <c r="Z1286" s="1">
        <v>3.45782E-5</v>
      </c>
      <c r="AA1286">
        <v>0.99873719999999999</v>
      </c>
      <c r="AB1286">
        <v>29</v>
      </c>
      <c r="AC1286">
        <v>154.7852</v>
      </c>
      <c r="AD1286">
        <v>1.312605</v>
      </c>
      <c r="AE1286">
        <v>-6.5423999999999802</v>
      </c>
      <c r="AF1286">
        <v>7.7903935918681197</v>
      </c>
      <c r="AG1286">
        <v>1.312605</v>
      </c>
      <c r="AH1286">
        <v>154.71627390717001</v>
      </c>
      <c r="AI1286">
        <v>89.514532191294805</v>
      </c>
      <c r="AJ1286">
        <v>87.117433066740702</v>
      </c>
      <c r="AK1286">
        <v>154.91784460132601</v>
      </c>
      <c r="AL1286">
        <v>82.183596958566099</v>
      </c>
      <c r="AM1286">
        <v>95.478102237324293</v>
      </c>
      <c r="AN1286">
        <v>0.99999996194530205</v>
      </c>
    </row>
    <row r="1287" spans="1:40" x14ac:dyDescent="0.25">
      <c r="A1287" t="str">
        <f>"20190304154746106"</f>
        <v>20190304154746106</v>
      </c>
      <c r="B1287" t="str">
        <f>"1551685666097509"</f>
        <v>1551685666097509</v>
      </c>
      <c r="C1287" t="s">
        <v>40</v>
      </c>
      <c r="D1287">
        <v>4.0743530000000003</v>
      </c>
      <c r="E1287">
        <v>0.55408789999999997</v>
      </c>
      <c r="F1287" t="s">
        <v>43</v>
      </c>
      <c r="G1287">
        <v>-158.19499999999999</v>
      </c>
      <c r="H1287">
        <v>2.4054099999999998</v>
      </c>
      <c r="I1287">
        <v>360.34320000000002</v>
      </c>
      <c r="J1287">
        <v>-312.6995</v>
      </c>
      <c r="K1287">
        <v>1.0639909999999999</v>
      </c>
      <c r="L1287">
        <v>366.9622</v>
      </c>
      <c r="M1287">
        <v>0.99986900000000001</v>
      </c>
      <c r="N1287">
        <v>-1.406921E-2</v>
      </c>
      <c r="O1287">
        <v>8.0218549999999996E-3</v>
      </c>
      <c r="P1287">
        <v>0.98720059999999998</v>
      </c>
      <c r="Q1287">
        <v>0.123088</v>
      </c>
      <c r="R1287">
        <v>0.10141310000000001</v>
      </c>
      <c r="S1287">
        <v>3.0490110000000001</v>
      </c>
      <c r="T1287">
        <v>2.641249E-2</v>
      </c>
      <c r="U1287">
        <v>-0.1303406</v>
      </c>
      <c r="V1287">
        <v>-9.3471620000000005E-2</v>
      </c>
      <c r="W1287">
        <v>0.1369879</v>
      </c>
      <c r="X1287">
        <v>0.98615280000000005</v>
      </c>
      <c r="Y1287">
        <v>5.0722540000000003E-2</v>
      </c>
      <c r="Z1287" s="1">
        <v>4.4867399999999997E-5</v>
      </c>
      <c r="AA1287">
        <v>0.99871279999999996</v>
      </c>
      <c r="AB1287">
        <v>29</v>
      </c>
      <c r="AC1287">
        <v>154.50450000000001</v>
      </c>
      <c r="AD1287">
        <v>1.3414189999999999</v>
      </c>
      <c r="AE1287">
        <v>-6.6189999999999696</v>
      </c>
      <c r="AF1287">
        <v>7.8577309580961598</v>
      </c>
      <c r="AG1287">
        <v>1.3414189999999999</v>
      </c>
      <c r="AH1287">
        <v>154.43480612120899</v>
      </c>
      <c r="AI1287">
        <v>89.5029849109672</v>
      </c>
      <c r="AJ1287">
        <v>87.087269872206505</v>
      </c>
      <c r="AK1287">
        <v>154.640397963917</v>
      </c>
      <c r="AL1287">
        <v>82.126413630061904</v>
      </c>
      <c r="AM1287">
        <v>95.414553561487395</v>
      </c>
      <c r="AN1287">
        <v>0.99999998671983703</v>
      </c>
    </row>
    <row r="1288" spans="1:40" x14ac:dyDescent="0.25">
      <c r="A1288" t="str">
        <f>"20190304154746119"</f>
        <v>20190304154746119</v>
      </c>
      <c r="B1288" t="str">
        <f>"1551685666108245"</f>
        <v>1551685666108245</v>
      </c>
      <c r="C1288" t="s">
        <v>40</v>
      </c>
      <c r="D1288">
        <v>4.0978459999999997</v>
      </c>
      <c r="E1288">
        <v>0.55409489999999995</v>
      </c>
      <c r="F1288" t="s">
        <v>43</v>
      </c>
      <c r="G1288">
        <v>-158.19499999999999</v>
      </c>
      <c r="H1288">
        <v>2.546897</v>
      </c>
      <c r="I1288">
        <v>360.16419999999999</v>
      </c>
      <c r="J1288">
        <v>-312.52710000000002</v>
      </c>
      <c r="K1288">
        <v>1.0636410000000001</v>
      </c>
      <c r="L1288">
        <v>366.96359999999999</v>
      </c>
      <c r="M1288">
        <v>0.99987199999999998</v>
      </c>
      <c r="N1288">
        <v>-1.38662E-2</v>
      </c>
      <c r="O1288">
        <v>7.9932470000000002E-3</v>
      </c>
      <c r="P1288">
        <v>0.9872242</v>
      </c>
      <c r="Q1288">
        <v>0.1232805</v>
      </c>
      <c r="R1288">
        <v>0.1009478</v>
      </c>
      <c r="S1288">
        <v>3.049042</v>
      </c>
      <c r="T1288">
        <v>2.9265880000000001E-2</v>
      </c>
      <c r="U1288">
        <v>-0.13415529999999901</v>
      </c>
      <c r="V1288">
        <v>-9.3034389999999995E-2</v>
      </c>
      <c r="W1288">
        <v>0.13698080000000001</v>
      </c>
      <c r="X1288">
        <v>0.98619509999999999</v>
      </c>
      <c r="Y1288">
        <v>5.1940390000000003E-2</v>
      </c>
      <c r="Z1288" s="1">
        <v>7.6313739999999997E-5</v>
      </c>
      <c r="AA1288">
        <v>0.99865020000000004</v>
      </c>
      <c r="AB1288">
        <v>29</v>
      </c>
      <c r="AC1288">
        <v>154.3321</v>
      </c>
      <c r="AD1288">
        <v>1.4832559999999999</v>
      </c>
      <c r="AE1288">
        <v>-6.7993999999999897</v>
      </c>
      <c r="AF1288">
        <v>8.0321753615346108</v>
      </c>
      <c r="AG1288">
        <v>1.4832559999999999</v>
      </c>
      <c r="AH1288">
        <v>154.25859328216399</v>
      </c>
      <c r="AI1288">
        <v>89.449841166098096</v>
      </c>
      <c r="AJ1288">
        <v>87.019326435498598</v>
      </c>
      <c r="AK1288">
        <v>154.474688835395</v>
      </c>
      <c r="AL1288">
        <v>82.126824060217103</v>
      </c>
      <c r="AM1288">
        <v>95.389145707806406</v>
      </c>
      <c r="AN1288">
        <v>0.99999995627766003</v>
      </c>
    </row>
    <row r="1289" spans="1:40" x14ac:dyDescent="0.25">
      <c r="A1289" t="str">
        <f>"20190304154746133"</f>
        <v>20190304154746133</v>
      </c>
      <c r="B1289" t="str">
        <f>"1551685666127766"</f>
        <v>1551685666127766</v>
      </c>
      <c r="C1289" t="s">
        <v>40</v>
      </c>
      <c r="D1289">
        <v>4.0787699999999996</v>
      </c>
      <c r="E1289">
        <v>0.55398570000000003</v>
      </c>
      <c r="F1289" t="s">
        <v>43</v>
      </c>
      <c r="G1289">
        <v>-158.19499999999999</v>
      </c>
      <c r="H1289">
        <v>2.5108000000000001</v>
      </c>
      <c r="I1289">
        <v>360.09449999999998</v>
      </c>
      <c r="J1289">
        <v>-312.34859999999998</v>
      </c>
      <c r="K1289">
        <v>1.0633079999999999</v>
      </c>
      <c r="L1289">
        <v>366.96499999999997</v>
      </c>
      <c r="M1289">
        <v>0.99987490000000001</v>
      </c>
      <c r="N1289">
        <v>-1.366816E-2</v>
      </c>
      <c r="O1289">
        <v>7.9628519999999994E-3</v>
      </c>
      <c r="P1289">
        <v>0.98717270000000001</v>
      </c>
      <c r="Q1289">
        <v>0.1238059</v>
      </c>
      <c r="R1289">
        <v>0.1008081</v>
      </c>
      <c r="S1289">
        <v>3.0491329999999999</v>
      </c>
      <c r="T1289">
        <v>2.8593179999999999E-2</v>
      </c>
      <c r="U1289">
        <v>-0.13571169999999999</v>
      </c>
      <c r="V1289">
        <v>-9.2924789999999993E-2</v>
      </c>
      <c r="W1289">
        <v>0.1373105</v>
      </c>
      <c r="X1289">
        <v>0.98615960000000003</v>
      </c>
      <c r="Y1289">
        <v>5.2417520000000002E-2</v>
      </c>
      <c r="Z1289" s="1">
        <v>7.0643789999999995E-5</v>
      </c>
      <c r="AA1289">
        <v>0.99862530000000005</v>
      </c>
      <c r="AB1289">
        <v>29</v>
      </c>
      <c r="AC1289">
        <v>154.15359999999899</v>
      </c>
      <c r="AD1289">
        <v>1.447492</v>
      </c>
      <c r="AE1289">
        <v>-6.8704999999999901</v>
      </c>
      <c r="AF1289">
        <v>8.0971865694305407</v>
      </c>
      <c r="AG1289">
        <v>1.447492</v>
      </c>
      <c r="AH1289">
        <v>154.080439445575</v>
      </c>
      <c r="AI1289">
        <v>89.462498486934393</v>
      </c>
      <c r="AJ1289">
        <v>86.991777510921693</v>
      </c>
      <c r="AK1289">
        <v>154.299842784014</v>
      </c>
      <c r="AL1289">
        <v>82.107753575956096</v>
      </c>
      <c r="AM1289">
        <v>95.383026923430293</v>
      </c>
      <c r="AN1289">
        <v>0.99999997333947599</v>
      </c>
    </row>
    <row r="1290" spans="1:40" x14ac:dyDescent="0.25">
      <c r="A1290" t="str">
        <f>"20190304154746147"</f>
        <v>20190304154746147</v>
      </c>
      <c r="B1290" t="str">
        <f>"1551685666138501"</f>
        <v>1551685666138501</v>
      </c>
      <c r="C1290" t="s">
        <v>40</v>
      </c>
      <c r="D1290">
        <v>4.114452</v>
      </c>
      <c r="E1290">
        <v>0.55403049999999998</v>
      </c>
      <c r="F1290" t="s">
        <v>43</v>
      </c>
      <c r="G1290">
        <v>-158.19499999999999</v>
      </c>
      <c r="H1290">
        <v>2.43323</v>
      </c>
      <c r="I1290">
        <v>360.13199999999898</v>
      </c>
      <c r="J1290">
        <v>-312.16930000000002</v>
      </c>
      <c r="K1290">
        <v>1.0630120000000001</v>
      </c>
      <c r="L1290">
        <v>366.96629999999999</v>
      </c>
      <c r="M1290">
        <v>0.99987780000000004</v>
      </c>
      <c r="N1290">
        <v>-1.3488139999999999E-2</v>
      </c>
      <c r="O1290">
        <v>7.9298619999999993E-3</v>
      </c>
      <c r="P1290">
        <v>0.98715660000000005</v>
      </c>
      <c r="Q1290">
        <v>0.1240438</v>
      </c>
      <c r="R1290">
        <v>0.10067429999999999</v>
      </c>
      <c r="S1290">
        <v>3.0493160000000001</v>
      </c>
      <c r="T1290">
        <v>2.710021E-2</v>
      </c>
      <c r="U1290">
        <v>-0.13516239999999999</v>
      </c>
      <c r="V1290">
        <v>-9.2823379999999997E-2</v>
      </c>
      <c r="W1290">
        <v>0.13737050000000001</v>
      </c>
      <c r="X1290">
        <v>0.98616079999999995</v>
      </c>
      <c r="Y1290">
        <v>5.2202480000000002E-2</v>
      </c>
      <c r="Z1290" s="1">
        <v>5.695288E-5</v>
      </c>
      <c r="AA1290">
        <v>0.99863650000000004</v>
      </c>
      <c r="AB1290">
        <v>29</v>
      </c>
      <c r="AC1290">
        <v>153.9743</v>
      </c>
      <c r="AD1290">
        <v>1.3702179999999999</v>
      </c>
      <c r="AE1290">
        <v>-6.8343000000000398</v>
      </c>
      <c r="AF1290">
        <v>8.0545542459672905</v>
      </c>
      <c r="AG1290">
        <v>1.3702179999999999</v>
      </c>
      <c r="AH1290">
        <v>153.90309393663799</v>
      </c>
      <c r="AI1290">
        <v>89.490599274842296</v>
      </c>
      <c r="AJ1290">
        <v>87.004145239269903</v>
      </c>
      <c r="AK1290">
        <v>154.119809449461</v>
      </c>
      <c r="AL1290">
        <v>82.1042829843866</v>
      </c>
      <c r="AM1290">
        <v>95.377180305551704</v>
      </c>
      <c r="AN1290">
        <v>0.99999997880075597</v>
      </c>
    </row>
    <row r="1291" spans="1:40" x14ac:dyDescent="0.25">
      <c r="A1291" t="str">
        <f>"20190304154746161"</f>
        <v>20190304154746161</v>
      </c>
      <c r="B1291" t="str">
        <f>"1551685666158021"</f>
        <v>1551685666158021</v>
      </c>
      <c r="C1291" t="s">
        <v>40</v>
      </c>
      <c r="D1291">
        <v>4.0769849999999996</v>
      </c>
      <c r="E1291">
        <v>0.55402320000000005</v>
      </c>
      <c r="F1291" t="s">
        <v>43</v>
      </c>
      <c r="G1291">
        <v>-158.19499999999999</v>
      </c>
      <c r="H1291">
        <v>2.4123100000000002</v>
      </c>
      <c r="I1291">
        <v>360.11720000000003</v>
      </c>
      <c r="J1291">
        <v>-311.9907</v>
      </c>
      <c r="K1291">
        <v>1.0627420000000001</v>
      </c>
      <c r="L1291">
        <v>366.96769999999998</v>
      </c>
      <c r="M1291">
        <v>0.9998802</v>
      </c>
      <c r="N1291">
        <v>-1.332176E-2</v>
      </c>
      <c r="O1291">
        <v>7.8953229999999992E-3</v>
      </c>
      <c r="P1291">
        <v>0.98723749999999999</v>
      </c>
      <c r="Q1291">
        <v>0.1238247</v>
      </c>
      <c r="R1291">
        <v>0.1001495</v>
      </c>
      <c r="S1291">
        <v>3.0495299999999999</v>
      </c>
      <c r="T1291">
        <v>2.6725169999999999E-2</v>
      </c>
      <c r="U1291">
        <v>-0.13565060000000001</v>
      </c>
      <c r="V1291">
        <v>-9.2331709999999997E-2</v>
      </c>
      <c r="W1291">
        <v>0.13698929999999901</v>
      </c>
      <c r="X1291">
        <v>0.98626000000000003</v>
      </c>
      <c r="Y1291">
        <v>5.2324490000000001E-2</v>
      </c>
      <c r="Z1291" s="1">
        <v>5.4731619999999903E-5</v>
      </c>
      <c r="AA1291">
        <v>0.99863009999999997</v>
      </c>
      <c r="AB1291">
        <v>29</v>
      </c>
      <c r="AC1291">
        <v>153.79570000000001</v>
      </c>
      <c r="AD1291">
        <v>1.3495679999999901</v>
      </c>
      <c r="AE1291">
        <v>-6.8504999999999496</v>
      </c>
      <c r="AF1291">
        <v>8.0640410814028503</v>
      </c>
      <c r="AG1291">
        <v>1.3495679999999901</v>
      </c>
      <c r="AH1291">
        <v>153.72500018691201</v>
      </c>
      <c r="AI1291">
        <v>89.497697833660098</v>
      </c>
      <c r="AJ1291">
        <v>86.997154605887005</v>
      </c>
      <c r="AK1291">
        <v>153.942280660042</v>
      </c>
      <c r="AL1291">
        <v>82.126332760112604</v>
      </c>
      <c r="AM1291">
        <v>95.348329028754904</v>
      </c>
      <c r="AN1291">
        <v>1.0000000002930001</v>
      </c>
    </row>
    <row r="1292" spans="1:40" x14ac:dyDescent="0.25">
      <c r="A1292" t="str">
        <f>"20190304154746174"</f>
        <v>20190304154746174</v>
      </c>
      <c r="B1292" t="str">
        <f>"1551685666167781"</f>
        <v>1551685666167781</v>
      </c>
      <c r="C1292" t="s">
        <v>40</v>
      </c>
      <c r="D1292">
        <v>4.1026720000000001</v>
      </c>
      <c r="E1292">
        <v>0.5539868</v>
      </c>
      <c r="F1292" t="s">
        <v>43</v>
      </c>
      <c r="G1292">
        <v>-158.19499999999999</v>
      </c>
      <c r="H1292">
        <v>2.269612</v>
      </c>
      <c r="I1292">
        <v>360.03</v>
      </c>
      <c r="J1292">
        <v>-311.82119999999998</v>
      </c>
      <c r="K1292">
        <v>1.062505</v>
      </c>
      <c r="L1292">
        <v>366.96910000000003</v>
      </c>
      <c r="M1292">
        <v>0.9998823</v>
      </c>
      <c r="N1292">
        <v>-1.3173000000000001E-2</v>
      </c>
      <c r="O1292">
        <v>7.8610629999999997E-3</v>
      </c>
      <c r="P1292">
        <v>0.98728700000000003</v>
      </c>
      <c r="Q1292">
        <v>0.1237264</v>
      </c>
      <c r="R1292">
        <v>9.9779759999999995E-2</v>
      </c>
      <c r="S1292">
        <v>3.049744</v>
      </c>
      <c r="T1292">
        <v>2.393377E-2</v>
      </c>
      <c r="U1292">
        <v>-0.13757320000000001</v>
      </c>
      <c r="V1292">
        <v>-9.1994350000000003E-2</v>
      </c>
      <c r="W1292">
        <v>0.13674510000000001</v>
      </c>
      <c r="X1292">
        <v>0.98632540000000002</v>
      </c>
      <c r="Y1292">
        <v>5.2915690000000001E-2</v>
      </c>
      <c r="Z1292" s="1">
        <v>2.3968979999999999E-5</v>
      </c>
      <c r="AA1292">
        <v>0.99859900000000001</v>
      </c>
      <c r="AB1292">
        <v>29</v>
      </c>
      <c r="AC1292">
        <v>153.62619999999899</v>
      </c>
      <c r="AD1292">
        <v>1.2071069999999999</v>
      </c>
      <c r="AE1292">
        <v>-6.9391000000000496</v>
      </c>
      <c r="AF1292">
        <v>8.1461537106127899</v>
      </c>
      <c r="AG1292">
        <v>1.2071069999999999</v>
      </c>
      <c r="AH1292">
        <v>153.55743768917301</v>
      </c>
      <c r="AI1292">
        <v>89.5502425413558</v>
      </c>
      <c r="AJ1292">
        <v>86.963330922360996</v>
      </c>
      <c r="AK1292">
        <v>153.778098561696</v>
      </c>
      <c r="AL1292">
        <v>82.1404572185875</v>
      </c>
      <c r="AM1292">
        <v>95.328548792237299</v>
      </c>
      <c r="AN1292">
        <v>0.99999998874554596</v>
      </c>
    </row>
    <row r="1293" spans="1:40" x14ac:dyDescent="0.25">
      <c r="A1293" t="str">
        <f>"20190304154746185"</f>
        <v>20190304154746185</v>
      </c>
      <c r="B1293" t="str">
        <f>"1551685666178518"</f>
        <v>1551685666178518</v>
      </c>
      <c r="C1293" t="s">
        <v>40</v>
      </c>
      <c r="D1293">
        <v>4.1113949999999999</v>
      </c>
      <c r="E1293">
        <v>0.55395319999999904</v>
      </c>
      <c r="F1293" t="s">
        <v>43</v>
      </c>
      <c r="G1293">
        <v>-158.19499999999999</v>
      </c>
      <c r="H1293">
        <v>2.196275</v>
      </c>
      <c r="I1293">
        <v>359.99770000000001</v>
      </c>
      <c r="J1293">
        <v>-311.67039999999997</v>
      </c>
      <c r="K1293">
        <v>1.062319</v>
      </c>
      <c r="L1293">
        <v>366.97019999999998</v>
      </c>
      <c r="M1293">
        <v>0.99988440000000001</v>
      </c>
      <c r="N1293">
        <v>-1.305219E-2</v>
      </c>
      <c r="O1293">
        <v>7.8273790000000006E-3</v>
      </c>
      <c r="P1293">
        <v>0.9873383</v>
      </c>
      <c r="Q1293">
        <v>0.1234701</v>
      </c>
      <c r="R1293">
        <v>9.9591959999999993E-2</v>
      </c>
      <c r="S1293">
        <v>3.0498050000000001</v>
      </c>
      <c r="T1293">
        <v>2.2509459999999998E-2</v>
      </c>
      <c r="U1293">
        <v>-0.1383972</v>
      </c>
      <c r="V1293">
        <v>-9.1838290000000003E-2</v>
      </c>
      <c r="W1293">
        <v>0.13637099999999999</v>
      </c>
      <c r="X1293">
        <v>0.98639169999999998</v>
      </c>
      <c r="Y1293">
        <v>5.315048E-2</v>
      </c>
      <c r="Z1293" s="1">
        <v>8.8349329999999993E-6</v>
      </c>
      <c r="AA1293">
        <v>0.99858650000000004</v>
      </c>
      <c r="AB1293">
        <v>29</v>
      </c>
      <c r="AC1293">
        <v>153.47539999999901</v>
      </c>
      <c r="AD1293">
        <v>1.133956</v>
      </c>
      <c r="AE1293">
        <v>-6.9724999999999602</v>
      </c>
      <c r="AF1293">
        <v>8.1732533031864794</v>
      </c>
      <c r="AG1293">
        <v>1.133956</v>
      </c>
      <c r="AH1293">
        <v>153.40775922217401</v>
      </c>
      <c r="AI1293">
        <v>89.577089844772502</v>
      </c>
      <c r="AJ1293">
        <v>86.950280839761703</v>
      </c>
      <c r="AK1293">
        <v>153.62951707056899</v>
      </c>
      <c r="AL1293">
        <v>82.162093986338704</v>
      </c>
      <c r="AM1293">
        <v>95.319205795466203</v>
      </c>
      <c r="AN1293">
        <v>0.99999995349000503</v>
      </c>
    </row>
    <row r="1294" spans="1:40" x14ac:dyDescent="0.25">
      <c r="A1294" t="str">
        <f>"20190304154746196"</f>
        <v>20190304154746196</v>
      </c>
      <c r="B1294" t="str">
        <f>"1551685666188278"</f>
        <v>1551685666188278</v>
      </c>
      <c r="C1294" t="s">
        <v>40</v>
      </c>
      <c r="D1294">
        <v>4.0942439999999998</v>
      </c>
      <c r="E1294">
        <v>0.5538729</v>
      </c>
      <c r="F1294" t="s">
        <v>43</v>
      </c>
      <c r="G1294">
        <v>-158.19499999999999</v>
      </c>
      <c r="H1294">
        <v>2.0840040000000002</v>
      </c>
      <c r="I1294">
        <v>359.99059999999997</v>
      </c>
      <c r="J1294">
        <v>-311.53680000000003</v>
      </c>
      <c r="K1294">
        <v>1.0621670000000001</v>
      </c>
      <c r="L1294">
        <v>366.97120000000001</v>
      </c>
      <c r="M1294">
        <v>0.99988580000000005</v>
      </c>
      <c r="N1294">
        <v>-1.295049E-2</v>
      </c>
      <c r="O1294">
        <v>7.796486E-3</v>
      </c>
      <c r="P1294">
        <v>0.98734690000000003</v>
      </c>
      <c r="Q1294">
        <v>0.1233223</v>
      </c>
      <c r="R1294">
        <v>9.9688509999999994E-2</v>
      </c>
      <c r="S1294">
        <v>3.049957</v>
      </c>
      <c r="T1294">
        <v>2.0305279999999998E-2</v>
      </c>
      <c r="U1294">
        <v>-0.138702399999999</v>
      </c>
      <c r="V1294">
        <v>-9.1965140000000001E-2</v>
      </c>
      <c r="W1294">
        <v>0.13612349999999901</v>
      </c>
      <c r="X1294">
        <v>0.98641409999999996</v>
      </c>
      <c r="Y1294">
        <v>5.3217199999999999E-2</v>
      </c>
      <c r="Z1294" s="1">
        <v>-1.493475E-5</v>
      </c>
      <c r="AA1294">
        <v>0.998583</v>
      </c>
      <c r="AB1294">
        <v>29</v>
      </c>
      <c r="AC1294">
        <v>153.34180000000001</v>
      </c>
      <c r="AD1294">
        <v>1.0218370000000001</v>
      </c>
      <c r="AE1294">
        <v>-6.9806000000000301</v>
      </c>
      <c r="AF1294">
        <v>8.1756529007580703</v>
      </c>
      <c r="AG1294">
        <v>1.0218370000000001</v>
      </c>
      <c r="AH1294">
        <v>153.275917679005</v>
      </c>
      <c r="AI1294">
        <v>89.618576902876498</v>
      </c>
      <c r="AJ1294">
        <v>86.946768112047593</v>
      </c>
      <c r="AK1294">
        <v>153.49720646171099</v>
      </c>
      <c r="AL1294">
        <v>82.1764084258552</v>
      </c>
      <c r="AM1294">
        <v>95.326390362729796</v>
      </c>
      <c r="AN1294">
        <v>0.99999998545313895</v>
      </c>
    </row>
    <row r="1295" spans="1:40" x14ac:dyDescent="0.25">
      <c r="A1295" t="str">
        <f>"20190304154746206"</f>
        <v>20190304154746206</v>
      </c>
      <c r="B1295" t="str">
        <f>"1551685666198038"</f>
        <v>1551685666198038</v>
      </c>
      <c r="C1295" t="s">
        <v>40</v>
      </c>
      <c r="D1295">
        <v>4.3087260000000001</v>
      </c>
      <c r="E1295">
        <v>0.5538729</v>
      </c>
      <c r="F1295" t="s">
        <v>43</v>
      </c>
      <c r="G1295">
        <v>-158.19499999999999</v>
      </c>
      <c r="H1295">
        <v>2.0000110000000002</v>
      </c>
      <c r="I1295">
        <v>360.04250000000002</v>
      </c>
      <c r="J1295">
        <v>-311.39449999999999</v>
      </c>
      <c r="K1295">
        <v>1.0620149999999999</v>
      </c>
      <c r="L1295">
        <v>366.97230000000002</v>
      </c>
      <c r="M1295">
        <v>0.99988730000000003</v>
      </c>
      <c r="N1295">
        <v>-1.284884E-2</v>
      </c>
      <c r="O1295">
        <v>7.7620069999999996E-3</v>
      </c>
      <c r="P1295">
        <v>0.98737030000000003</v>
      </c>
      <c r="Q1295">
        <v>0.1232641</v>
      </c>
      <c r="R1295">
        <v>9.9528489999999997E-2</v>
      </c>
      <c r="S1295">
        <v>3.0500790000000002</v>
      </c>
      <c r="T1295">
        <v>1.865613E-2</v>
      </c>
      <c r="U1295">
        <v>-0.13781740000000001</v>
      </c>
      <c r="V1295">
        <v>-9.1837810000000006E-2</v>
      </c>
      <c r="W1295">
        <v>0.13596569999999999</v>
      </c>
      <c r="X1295">
        <v>0.98644779999999999</v>
      </c>
      <c r="Y1295">
        <v>5.2891870000000001E-2</v>
      </c>
      <c r="Z1295" s="1">
        <v>-3.1174280000000003E-5</v>
      </c>
      <c r="AA1295">
        <v>0.99860020000000005</v>
      </c>
      <c r="AB1295">
        <v>29</v>
      </c>
      <c r="AC1295">
        <v>153.1995</v>
      </c>
      <c r="AD1295">
        <v>0.93799600000000005</v>
      </c>
      <c r="AE1295">
        <v>-6.9298000000000002</v>
      </c>
      <c r="AF1295">
        <v>8.1185212739123997</v>
      </c>
      <c r="AG1295">
        <v>0.93799600000000005</v>
      </c>
      <c r="AH1295">
        <v>153.135361580416</v>
      </c>
      <c r="AI1295">
        <v>89.649544200735306</v>
      </c>
      <c r="AJ1295">
        <v>86.965286530997005</v>
      </c>
      <c r="AK1295">
        <v>153.35328229462701</v>
      </c>
      <c r="AL1295">
        <v>82.185535122751602</v>
      </c>
      <c r="AM1295">
        <v>95.318877383181999</v>
      </c>
      <c r="AN1295">
        <v>1.0000000585234601</v>
      </c>
    </row>
    <row r="1296" spans="1:40" x14ac:dyDescent="0.25">
      <c r="A1296" t="str">
        <f>"20190304154746217"</f>
        <v>20190304154746217</v>
      </c>
      <c r="B1296" t="str">
        <f>"1551685666207798"</f>
        <v>1551685666207798</v>
      </c>
      <c r="C1296" t="s">
        <v>40</v>
      </c>
      <c r="D1296">
        <v>4.2299959999999999</v>
      </c>
      <c r="E1296">
        <v>0.5536276</v>
      </c>
      <c r="F1296" t="s">
        <v>43</v>
      </c>
      <c r="G1296">
        <v>-158.19499999999999</v>
      </c>
      <c r="H1296">
        <v>1.9791890000000001</v>
      </c>
      <c r="I1296">
        <v>360.03440000000001</v>
      </c>
      <c r="J1296">
        <v>-311.26459999999997</v>
      </c>
      <c r="K1296">
        <v>1.0618890000000001</v>
      </c>
      <c r="L1296">
        <v>366.97320000000002</v>
      </c>
      <c r="M1296">
        <v>0.99988880000000002</v>
      </c>
      <c r="N1296">
        <v>-1.2762020000000001E-2</v>
      </c>
      <c r="O1296">
        <v>7.7280830000000002E-3</v>
      </c>
      <c r="P1296">
        <v>0.98741500000000004</v>
      </c>
      <c r="Q1296">
        <v>0.1229428</v>
      </c>
      <c r="R1296">
        <v>9.9483169999999996E-2</v>
      </c>
      <c r="S1296">
        <v>3.049957</v>
      </c>
      <c r="T1296">
        <v>1.826119E-2</v>
      </c>
      <c r="U1296">
        <v>-0.13812260000000001</v>
      </c>
      <c r="V1296">
        <v>-9.1825080000000003E-2</v>
      </c>
      <c r="W1296">
        <v>0.13555989999999901</v>
      </c>
      <c r="X1296">
        <v>0.98650479999999996</v>
      </c>
      <c r="Y1296">
        <v>5.2959510000000001E-2</v>
      </c>
      <c r="Z1296" s="1">
        <v>-3.4836060000000001E-5</v>
      </c>
      <c r="AA1296">
        <v>0.9985967</v>
      </c>
      <c r="AB1296">
        <v>29</v>
      </c>
      <c r="AC1296">
        <v>153.06959999999901</v>
      </c>
      <c r="AD1296">
        <v>0.9173</v>
      </c>
      <c r="AE1296">
        <v>-6.9388000000000103</v>
      </c>
      <c r="AF1296">
        <v>8.1213324965060902</v>
      </c>
      <c r="AG1296">
        <v>0.9173</v>
      </c>
      <c r="AH1296">
        <v>153.00591674822601</v>
      </c>
      <c r="AI1296">
        <v>89.656987697899694</v>
      </c>
      <c r="AJ1296">
        <v>86.961674176558105</v>
      </c>
      <c r="AK1296">
        <v>153.224045243474</v>
      </c>
      <c r="AL1296">
        <v>82.209002775460604</v>
      </c>
      <c r="AM1296">
        <v>95.317838820914005</v>
      </c>
      <c r="AN1296">
        <v>1.0000000261140201</v>
      </c>
    </row>
    <row r="1297" spans="1:40" x14ac:dyDescent="0.25">
      <c r="A1297" t="str">
        <f>"20190304154746227"</f>
        <v>20190304154746227</v>
      </c>
      <c r="B1297" t="str">
        <f>"1551685666218533"</f>
        <v>1551685666218533</v>
      </c>
      <c r="C1297" t="s">
        <v>40</v>
      </c>
      <c r="D1297">
        <v>4.1526449999999997</v>
      </c>
      <c r="E1297">
        <v>0.5534365</v>
      </c>
      <c r="F1297" t="s">
        <v>43</v>
      </c>
      <c r="G1297">
        <v>-158.19499999999999</v>
      </c>
      <c r="H1297">
        <v>1.9270050000000001</v>
      </c>
      <c r="I1297">
        <v>360.12979999999999</v>
      </c>
      <c r="J1297">
        <v>-311.12650000000002</v>
      </c>
      <c r="K1297">
        <v>1.0617650000000001</v>
      </c>
      <c r="L1297">
        <v>366.97430000000003</v>
      </c>
      <c r="M1297">
        <v>0.99989030000000001</v>
      </c>
      <c r="N1297">
        <v>-1.267415E-2</v>
      </c>
      <c r="O1297">
        <v>7.6905209999999996E-3</v>
      </c>
      <c r="P1297">
        <v>0.98742620000000003</v>
      </c>
      <c r="Q1297">
        <v>0.12278840000000001</v>
      </c>
      <c r="R1297">
        <v>9.9562999999999999E-2</v>
      </c>
      <c r="S1297">
        <v>3.0498349999999999</v>
      </c>
      <c r="T1297">
        <v>1.7238739999999999E-2</v>
      </c>
      <c r="U1297">
        <v>-0.13635249999999999</v>
      </c>
      <c r="V1297">
        <v>-9.1941030000000007E-2</v>
      </c>
      <c r="W1297">
        <v>0.13531940000000001</v>
      </c>
      <c r="X1297">
        <v>0.98652700000000004</v>
      </c>
      <c r="Y1297">
        <v>5.2345450000000002E-2</v>
      </c>
      <c r="Z1297" s="1">
        <v>-4.316116E-5</v>
      </c>
      <c r="AA1297">
        <v>0.99862899999999999</v>
      </c>
      <c r="AB1297">
        <v>29</v>
      </c>
      <c r="AC1297">
        <v>152.9315</v>
      </c>
      <c r="AD1297">
        <v>0.86523999999999901</v>
      </c>
      <c r="AE1297">
        <v>-6.8445000000000302</v>
      </c>
      <c r="AF1297">
        <v>8.0202585040031096</v>
      </c>
      <c r="AG1297">
        <v>0.86523999999999901</v>
      </c>
      <c r="AH1297">
        <v>152.86945122312</v>
      </c>
      <c r="AI1297">
        <v>89.6761551447633</v>
      </c>
      <c r="AJ1297">
        <v>86.996744408899701</v>
      </c>
      <c r="AK1297">
        <v>153.082142341902</v>
      </c>
      <c r="AL1297">
        <v>82.222910415374301</v>
      </c>
      <c r="AM1297">
        <v>95.324396099460202</v>
      </c>
      <c r="AN1297">
        <v>1.0000000073714099</v>
      </c>
    </row>
    <row r="1298" spans="1:40" x14ac:dyDescent="0.25">
      <c r="A1298" t="str">
        <f>"20190304154746240"</f>
        <v>20190304154746240</v>
      </c>
      <c r="B1298" t="str">
        <f>"1551685666228294"</f>
        <v>1551685666228294</v>
      </c>
      <c r="C1298" t="s">
        <v>40</v>
      </c>
      <c r="D1298">
        <v>4.1605809999999996</v>
      </c>
      <c r="E1298">
        <v>0.55329229999999996</v>
      </c>
      <c r="F1298" t="s">
        <v>43</v>
      </c>
      <c r="G1298">
        <v>-158.19499999999999</v>
      </c>
      <c r="H1298">
        <v>1.7841320000000001</v>
      </c>
      <c r="I1298">
        <v>360.23520000000002</v>
      </c>
      <c r="J1298">
        <v>-310.97829999999999</v>
      </c>
      <c r="K1298">
        <v>1.0616429999999999</v>
      </c>
      <c r="L1298">
        <v>366.97539999999998</v>
      </c>
      <c r="M1298">
        <v>0.99989159999999999</v>
      </c>
      <c r="N1298">
        <v>-1.2587279999999999E-2</v>
      </c>
      <c r="O1298">
        <v>7.6466819999999897E-3</v>
      </c>
      <c r="P1298">
        <v>0.98742459999999999</v>
      </c>
      <c r="Q1298">
        <v>0.1228249</v>
      </c>
      <c r="R1298">
        <v>9.9532850000000006E-2</v>
      </c>
      <c r="S1298">
        <v>3.049957</v>
      </c>
      <c r="T1298">
        <v>1.440811E-2</v>
      </c>
      <c r="U1298">
        <v>-0.1343994</v>
      </c>
      <c r="V1298">
        <v>-9.1952930000000002E-2</v>
      </c>
      <c r="W1298">
        <v>0.13527120000000001</v>
      </c>
      <c r="X1298">
        <v>0.98653250000000003</v>
      </c>
      <c r="Y1298">
        <v>5.1661690000000003E-2</v>
      </c>
      <c r="Z1298" s="1">
        <v>-7.1032150000000004E-5</v>
      </c>
      <c r="AA1298">
        <v>0.99866460000000001</v>
      </c>
      <c r="AB1298">
        <v>29</v>
      </c>
      <c r="AC1298">
        <v>152.7833</v>
      </c>
      <c r="AD1298">
        <v>0.72248899999999905</v>
      </c>
      <c r="AE1298">
        <v>-6.7401999999999598</v>
      </c>
      <c r="AF1298">
        <v>7.9082042109227899</v>
      </c>
      <c r="AG1298">
        <v>0.72248899999999905</v>
      </c>
      <c r="AH1298">
        <v>152.723879649933</v>
      </c>
      <c r="AI1298">
        <v>89.729316215555102</v>
      </c>
      <c r="AJ1298">
        <v>87.035811244896095</v>
      </c>
      <c r="AK1298">
        <v>152.93019682039201</v>
      </c>
      <c r="AL1298">
        <v>82.225697691116395</v>
      </c>
      <c r="AM1298">
        <v>95.325051761767995</v>
      </c>
      <c r="AN1298">
        <v>1.00000000622063</v>
      </c>
    </row>
    <row r="1299" spans="1:40" x14ac:dyDescent="0.25">
      <c r="A1299" t="str">
        <f>"20190304154746250"</f>
        <v>20190304154746250</v>
      </c>
      <c r="B1299" t="str">
        <f>"1551685666247813"</f>
        <v>1551685666247813</v>
      </c>
      <c r="C1299" t="s">
        <v>40</v>
      </c>
      <c r="D1299">
        <v>4.1672919999999998</v>
      </c>
      <c r="E1299">
        <v>0.55268130000000004</v>
      </c>
      <c r="F1299" t="s">
        <v>43</v>
      </c>
      <c r="G1299">
        <v>-158.19499999999999</v>
      </c>
      <c r="H1299">
        <v>1.6841790000000001</v>
      </c>
      <c r="I1299">
        <v>360.29820000000001</v>
      </c>
      <c r="J1299">
        <v>-310.8383</v>
      </c>
      <c r="K1299">
        <v>1.0615349999999999</v>
      </c>
      <c r="L1299">
        <v>366.97640000000001</v>
      </c>
      <c r="M1299">
        <v>0.99989300000000003</v>
      </c>
      <c r="N1299">
        <v>-1.2508170000000001E-2</v>
      </c>
      <c r="O1299">
        <v>7.6039829999999999E-3</v>
      </c>
      <c r="P1299">
        <v>0.98745720000000003</v>
      </c>
      <c r="Q1299">
        <v>0.12251190000000001</v>
      </c>
      <c r="R1299">
        <v>9.9597130000000006E-2</v>
      </c>
      <c r="S1299">
        <v>3.0501100000000001</v>
      </c>
      <c r="T1299">
        <v>1.2429829999999999E-2</v>
      </c>
      <c r="U1299">
        <v>-0.133300799999999</v>
      </c>
      <c r="V1299">
        <v>-9.2058059999999997E-2</v>
      </c>
      <c r="W1299">
        <v>0.1348809</v>
      </c>
      <c r="X1299">
        <v>0.98657609999999996</v>
      </c>
      <c r="Y1299">
        <v>5.1257829999999997E-2</v>
      </c>
      <c r="Z1299" s="1">
        <v>-9.0301269999999993E-5</v>
      </c>
      <c r="AA1299">
        <v>0.9986855</v>
      </c>
      <c r="AB1299">
        <v>29</v>
      </c>
      <c r="AC1299">
        <v>152.64330000000001</v>
      </c>
      <c r="AD1299">
        <v>0.62264399999999998</v>
      </c>
      <c r="AE1299">
        <v>-6.6782000000000004</v>
      </c>
      <c r="AF1299">
        <v>7.8386644217404298</v>
      </c>
      <c r="AG1299">
        <v>0.62264399999999998</v>
      </c>
      <c r="AH1299">
        <v>152.58556739884099</v>
      </c>
      <c r="AI1299">
        <v>89.766506788551794</v>
      </c>
      <c r="AJ1299">
        <v>87.059171937088706</v>
      </c>
      <c r="AK1299">
        <v>152.788048367317</v>
      </c>
      <c r="AL1299">
        <v>82.248266812793602</v>
      </c>
      <c r="AM1299">
        <v>95.330870606591304</v>
      </c>
      <c r="AN1299">
        <v>0.99999997234349103</v>
      </c>
    </row>
    <row r="1300" spans="1:40" x14ac:dyDescent="0.25">
      <c r="A1300" t="str">
        <f>"20190304154746261"</f>
        <v>20190304154746261</v>
      </c>
      <c r="B1300" t="str">
        <f>"1551685666258550"</f>
        <v>1551685666258550</v>
      </c>
      <c r="C1300" t="s">
        <v>40</v>
      </c>
      <c r="D1300">
        <v>4.3381610000000004</v>
      </c>
      <c r="E1300">
        <v>0.55268130000000004</v>
      </c>
      <c r="F1300" t="s">
        <v>43</v>
      </c>
      <c r="G1300">
        <v>-158.19499999999999</v>
      </c>
      <c r="H1300">
        <v>1.404393</v>
      </c>
      <c r="I1300">
        <v>360.55</v>
      </c>
      <c r="J1300">
        <v>-310.69929999999999</v>
      </c>
      <c r="K1300">
        <v>1.061436</v>
      </c>
      <c r="L1300">
        <v>366.97739999999999</v>
      </c>
      <c r="M1300">
        <v>0.99989430000000001</v>
      </c>
      <c r="N1300">
        <v>-1.2437299999999899E-2</v>
      </c>
      <c r="O1300">
        <v>7.5569919999999898E-3</v>
      </c>
      <c r="P1300">
        <v>0.98746909999999999</v>
      </c>
      <c r="Q1300">
        <v>0.12251860000000001</v>
      </c>
      <c r="R1300">
        <v>9.9470000000000003E-2</v>
      </c>
      <c r="S1300">
        <v>3.0502319999999998</v>
      </c>
      <c r="T1300">
        <v>6.8529840000000003E-3</v>
      </c>
      <c r="U1300">
        <v>-0.128418</v>
      </c>
      <c r="V1300">
        <v>-9.1976530000000001E-2</v>
      </c>
      <c r="W1300">
        <v>0.13481860000000001</v>
      </c>
      <c r="X1300">
        <v>0.98659220000000003</v>
      </c>
      <c r="Y1300">
        <v>4.9613230000000001E-2</v>
      </c>
      <c r="Z1300">
        <v>-1.4204739999999999E-4</v>
      </c>
      <c r="AA1300">
        <v>0.99876849999999995</v>
      </c>
      <c r="AB1300">
        <v>29</v>
      </c>
      <c r="AC1300">
        <v>152.5043</v>
      </c>
      <c r="AD1300">
        <v>0.34295700000000001</v>
      </c>
      <c r="AE1300">
        <v>-6.4273999999999702</v>
      </c>
      <c r="AF1300">
        <v>7.5797408635104198</v>
      </c>
      <c r="AG1300">
        <v>0.34295700000000001</v>
      </c>
      <c r="AH1300">
        <v>152.45059947558599</v>
      </c>
      <c r="AI1300">
        <v>89.871265097438894</v>
      </c>
      <c r="AJ1300">
        <v>87.153636401817195</v>
      </c>
      <c r="AK1300">
        <v>152.639298254176</v>
      </c>
      <c r="AL1300">
        <v>82.251869093865693</v>
      </c>
      <c r="AM1300">
        <v>95.326090138444002</v>
      </c>
      <c r="AN1300">
        <v>0.99999995303881895</v>
      </c>
    </row>
    <row r="1301" spans="1:40" x14ac:dyDescent="0.25">
      <c r="A1301" t="str">
        <f>"20190304154746273"</f>
        <v>20190304154746273</v>
      </c>
      <c r="B1301" t="str">
        <f>"1551685666268309"</f>
        <v>1551685666268309</v>
      </c>
      <c r="C1301" t="s">
        <v>40</v>
      </c>
      <c r="D1301">
        <v>4.3275100000000002</v>
      </c>
      <c r="E1301">
        <v>0.55261549999999904</v>
      </c>
      <c r="F1301" t="s">
        <v>43</v>
      </c>
      <c r="G1301">
        <v>-158.19499999999999</v>
      </c>
      <c r="H1301">
        <v>1.4031979999999999</v>
      </c>
      <c r="I1301">
        <v>360.53550000000001</v>
      </c>
      <c r="J1301">
        <v>-310.54950000000002</v>
      </c>
      <c r="K1301">
        <v>1.06134</v>
      </c>
      <c r="L1301">
        <v>366.9785</v>
      </c>
      <c r="M1301">
        <v>0.99989550000000005</v>
      </c>
      <c r="N1301">
        <v>-1.236287E-2</v>
      </c>
      <c r="O1301">
        <v>7.5051869999999904E-3</v>
      </c>
      <c r="P1301">
        <v>0.98753769999999996</v>
      </c>
      <c r="Q1301">
        <v>0.1219547</v>
      </c>
      <c r="R1301">
        <v>9.9481319999999998E-2</v>
      </c>
      <c r="S1301">
        <v>3.050262</v>
      </c>
      <c r="T1301">
        <v>6.8373679999999999E-3</v>
      </c>
      <c r="U1301">
        <v>-0.12884519999999999</v>
      </c>
      <c r="V1301">
        <v>-9.2036750000000001E-2</v>
      </c>
      <c r="W1301">
        <v>0.13418359999999999</v>
      </c>
      <c r="X1301">
        <v>0.98667320000000003</v>
      </c>
      <c r="Y1301">
        <v>4.9700710000000002E-2</v>
      </c>
      <c r="Z1301">
        <v>-1.421293E-4</v>
      </c>
      <c r="AA1301">
        <v>0.99876419999999999</v>
      </c>
      <c r="AB1301">
        <v>29</v>
      </c>
      <c r="AC1301">
        <v>152.3545</v>
      </c>
      <c r="AD1301">
        <v>0.341858</v>
      </c>
      <c r="AE1301">
        <v>-6.4429999999999801</v>
      </c>
      <c r="AF1301">
        <v>7.5863166853039097</v>
      </c>
      <c r="AG1301">
        <v>0.341858</v>
      </c>
      <c r="AH1301">
        <v>152.30108333947501</v>
      </c>
      <c r="AI1301">
        <v>89.871552235982307</v>
      </c>
      <c r="AJ1301">
        <v>87.148378976726207</v>
      </c>
      <c r="AK1301">
        <v>152.490291671699</v>
      </c>
      <c r="AL1301">
        <v>82.288585927818602</v>
      </c>
      <c r="AM1301">
        <v>95.329122221931101</v>
      </c>
      <c r="AN1301">
        <v>1.00000000272888</v>
      </c>
    </row>
    <row r="1302" spans="1:40" x14ac:dyDescent="0.25">
      <c r="A1302" t="str">
        <f>"20190304154746282"</f>
        <v>20190304154746282</v>
      </c>
      <c r="B1302" t="str">
        <f>"1551685666278069"</f>
        <v>1551685666278069</v>
      </c>
      <c r="C1302" t="s">
        <v>40</v>
      </c>
      <c r="D1302">
        <v>4.1842930000000003</v>
      </c>
      <c r="E1302">
        <v>0.55233849999999995</v>
      </c>
      <c r="F1302" t="s">
        <v>43</v>
      </c>
      <c r="G1302">
        <v>-158.19499999999999</v>
      </c>
      <c r="H1302">
        <v>1.3313630000000001</v>
      </c>
      <c r="I1302">
        <v>360.56549999999999</v>
      </c>
      <c r="J1302">
        <v>-310.41289999999998</v>
      </c>
      <c r="K1302">
        <v>1.061261</v>
      </c>
      <c r="L1302">
        <v>366.9794</v>
      </c>
      <c r="M1302">
        <v>0.99989649999999997</v>
      </c>
      <c r="N1302">
        <v>-1.230182E-2</v>
      </c>
      <c r="O1302">
        <v>7.4539539999999996E-3</v>
      </c>
      <c r="P1302">
        <v>0.9876026</v>
      </c>
      <c r="Q1302">
        <v>0.1216761</v>
      </c>
      <c r="R1302">
        <v>9.9176180000000003E-2</v>
      </c>
      <c r="S1302">
        <v>3.0501100000000001</v>
      </c>
      <c r="T1302">
        <v>5.4075719999999898E-3</v>
      </c>
      <c r="U1302">
        <v>-0.12838749999999999</v>
      </c>
      <c r="V1302">
        <v>-9.1780319999999999E-2</v>
      </c>
      <c r="W1302">
        <v>0.1338461</v>
      </c>
      <c r="X1302">
        <v>0.98674289999999998</v>
      </c>
      <c r="Y1302">
        <v>4.9501969999999999E-2</v>
      </c>
      <c r="Z1302">
        <v>-1.558989E-4</v>
      </c>
      <c r="AA1302">
        <v>0.99877400000000005</v>
      </c>
      <c r="AB1302">
        <v>29</v>
      </c>
      <c r="AC1302">
        <v>152.21789999999999</v>
      </c>
      <c r="AD1302">
        <v>0.27010199999999901</v>
      </c>
      <c r="AE1302">
        <v>-6.4139000000000097</v>
      </c>
      <c r="AF1302">
        <v>7.5484092039151101</v>
      </c>
      <c r="AG1302">
        <v>0.27010199999999901</v>
      </c>
      <c r="AH1302">
        <v>152.16537977679801</v>
      </c>
      <c r="AI1302">
        <v>89.898421821663305</v>
      </c>
      <c r="AJ1302">
        <v>87.160078384110193</v>
      </c>
      <c r="AK1302">
        <v>152.352729674323</v>
      </c>
      <c r="AL1302">
        <v>82.308099086950406</v>
      </c>
      <c r="AM1302">
        <v>95.313986274856205</v>
      </c>
      <c r="AN1302">
        <v>0.99999997816246</v>
      </c>
    </row>
    <row r="1303" spans="1:40" x14ac:dyDescent="0.25">
      <c r="A1303" t="str">
        <f>"20190304154746295"</f>
        <v>20190304154746295</v>
      </c>
      <c r="B1303" t="str">
        <f>"1551685666287830"</f>
        <v>1551685666287830</v>
      </c>
      <c r="C1303" t="s">
        <v>40</v>
      </c>
      <c r="D1303">
        <v>4.2867290000000002</v>
      </c>
      <c r="E1303">
        <v>0.55233849999999995</v>
      </c>
      <c r="F1303" t="s">
        <v>43</v>
      </c>
      <c r="G1303">
        <v>-158.19499999999999</v>
      </c>
      <c r="H1303">
        <v>1.1833750000000001</v>
      </c>
      <c r="I1303">
        <v>360.6454</v>
      </c>
      <c r="J1303">
        <v>-310.26650000000001</v>
      </c>
      <c r="K1303">
        <v>1.061177</v>
      </c>
      <c r="L1303">
        <v>366.98050000000001</v>
      </c>
      <c r="M1303">
        <v>0.99989779999999995</v>
      </c>
      <c r="N1303">
        <v>-1.2238580000000001E-2</v>
      </c>
      <c r="O1303">
        <v>7.3973049999999999E-3</v>
      </c>
      <c r="P1303">
        <v>0.98761949999999998</v>
      </c>
      <c r="Q1303">
        <v>0.1215686</v>
      </c>
      <c r="R1303">
        <v>9.9141469999999995E-2</v>
      </c>
      <c r="S1303">
        <v>3.0501399999999999</v>
      </c>
      <c r="T1303">
        <v>2.4486780000000001E-3</v>
      </c>
      <c r="U1303">
        <v>-0.1269226</v>
      </c>
      <c r="V1303">
        <v>-9.1800320000000005E-2</v>
      </c>
      <c r="W1303">
        <v>0.13367699999999999</v>
      </c>
      <c r="X1303">
        <v>0.98676399999999997</v>
      </c>
      <c r="Y1303">
        <v>4.8966000000000003E-2</v>
      </c>
      <c r="Z1303">
        <v>-1.8370079999999999E-4</v>
      </c>
      <c r="AA1303">
        <v>0.99880049999999998</v>
      </c>
      <c r="AB1303">
        <v>29</v>
      </c>
      <c r="AC1303">
        <v>152.07149999999999</v>
      </c>
      <c r="AD1303">
        <v>0.122198</v>
      </c>
      <c r="AE1303">
        <v>-6.3351000000000104</v>
      </c>
      <c r="AF1303">
        <v>7.4599252941872498</v>
      </c>
      <c r="AG1303">
        <v>0.122198</v>
      </c>
      <c r="AH1303">
        <v>152.02037447063299</v>
      </c>
      <c r="AI1303">
        <v>89.953999498505794</v>
      </c>
      <c r="AJ1303">
        <v>87.190642066362798</v>
      </c>
      <c r="AK1303">
        <v>152.203349739543</v>
      </c>
      <c r="AL1303">
        <v>82.317875947924406</v>
      </c>
      <c r="AM1303">
        <v>95.315024620189106</v>
      </c>
      <c r="AN1303">
        <v>1.00000001538855</v>
      </c>
    </row>
    <row r="1304" spans="1:40" x14ac:dyDescent="0.25">
      <c r="A1304" t="str">
        <f>"20190304154746306"</f>
        <v>20190304154746306</v>
      </c>
      <c r="B1304" t="str">
        <f>"1551685666298566"</f>
        <v>1551685666298566</v>
      </c>
      <c r="C1304" t="s">
        <v>40</v>
      </c>
      <c r="D1304">
        <v>4.2639800000000001</v>
      </c>
      <c r="E1304">
        <v>0.52598269999999903</v>
      </c>
      <c r="F1304" t="s">
        <v>43</v>
      </c>
      <c r="G1304">
        <v>-158.19499999999999</v>
      </c>
      <c r="H1304">
        <v>1.1631149999999999</v>
      </c>
      <c r="I1304">
        <v>360.6388</v>
      </c>
      <c r="J1304">
        <v>-310.11869999999999</v>
      </c>
      <c r="K1304">
        <v>1.061105</v>
      </c>
      <c r="L1304">
        <v>366.98149999999998</v>
      </c>
      <c r="M1304">
        <v>0.99989899999999998</v>
      </c>
      <c r="N1304">
        <v>-1.2179789999999999E-2</v>
      </c>
      <c r="O1304">
        <v>7.3369890000000004E-3</v>
      </c>
      <c r="P1304">
        <v>0.98764110000000005</v>
      </c>
      <c r="Q1304">
        <v>0.1215589</v>
      </c>
      <c r="R1304">
        <v>9.8938639999999994E-2</v>
      </c>
      <c r="S1304">
        <v>3.0501399999999999</v>
      </c>
      <c r="T1304">
        <v>2.046347E-3</v>
      </c>
      <c r="U1304">
        <v>-0.12719730000000001</v>
      </c>
      <c r="V1304">
        <v>-9.1655739999999999E-2</v>
      </c>
      <c r="W1304">
        <v>0.1336108</v>
      </c>
      <c r="X1304">
        <v>0.98678639999999995</v>
      </c>
      <c r="Y1304">
        <v>4.8995509999999999E-2</v>
      </c>
      <c r="Z1304">
        <v>-1.8784429999999999E-4</v>
      </c>
      <c r="AA1304">
        <v>0.99879899999999999</v>
      </c>
      <c r="AB1304">
        <v>29</v>
      </c>
      <c r="AC1304">
        <v>151.9237</v>
      </c>
      <c r="AD1304">
        <v>0.102009999999999</v>
      </c>
      <c r="AE1304">
        <v>-6.3426999999999696</v>
      </c>
      <c r="AF1304">
        <v>7.4572709961097896</v>
      </c>
      <c r="AG1304">
        <v>0.102009999999999</v>
      </c>
      <c r="AH1304">
        <v>151.87300208465101</v>
      </c>
      <c r="AI1304">
        <v>89.961561907868699</v>
      </c>
      <c r="AJ1304">
        <v>87.188919288919195</v>
      </c>
      <c r="AK1304">
        <v>152.05600961143799</v>
      </c>
      <c r="AL1304">
        <v>82.321703219212907</v>
      </c>
      <c r="AM1304">
        <v>95.306581828278695</v>
      </c>
      <c r="AN1304">
        <v>1.00000000988827</v>
      </c>
    </row>
    <row r="1305" spans="1:40" x14ac:dyDescent="0.25">
      <c r="A1305" t="str">
        <f>"20190304154746318"</f>
        <v>20190304154746318</v>
      </c>
      <c r="B1305" t="str">
        <f>"1551685666308325"</f>
        <v>1551685666308325</v>
      </c>
      <c r="C1305" t="s">
        <v>40</v>
      </c>
      <c r="D1305">
        <v>4.160711</v>
      </c>
      <c r="E1305">
        <v>0.52452949999999998</v>
      </c>
      <c r="F1305" t="s">
        <v>45</v>
      </c>
      <c r="G1305">
        <v>-278.59780000000001</v>
      </c>
      <c r="H1305">
        <v>-0.05</v>
      </c>
      <c r="I1305">
        <v>367.80029999999999</v>
      </c>
      <c r="J1305">
        <v>-309.96899999999999</v>
      </c>
      <c r="K1305">
        <v>1.0610379999999999</v>
      </c>
      <c r="L1305">
        <v>366.98250000000002</v>
      </c>
      <c r="M1305">
        <v>0.99990000000000001</v>
      </c>
      <c r="N1305">
        <v>-1.212417E-2</v>
      </c>
      <c r="O1305">
        <v>7.2732550000000002E-3</v>
      </c>
      <c r="P1305">
        <v>0.98767459999999996</v>
      </c>
      <c r="Q1305">
        <v>0.1214129</v>
      </c>
      <c r="R1305">
        <v>9.8782030000000007E-2</v>
      </c>
      <c r="S1305">
        <v>3.0428470000000001</v>
      </c>
      <c r="T1305">
        <v>-0.1072598</v>
      </c>
      <c r="U1305">
        <v>7.9040529999999998E-2</v>
      </c>
      <c r="V1305">
        <v>-9.1560390000000005E-2</v>
      </c>
      <c r="W1305">
        <v>0.1334109</v>
      </c>
      <c r="X1305">
        <v>0.98682230000000004</v>
      </c>
      <c r="Y1305">
        <v>-1.8681420000000001E-2</v>
      </c>
      <c r="Z1305">
        <v>2.7432429999999999E-4</v>
      </c>
      <c r="AA1305">
        <v>0.99982550000000003</v>
      </c>
      <c r="AB1305">
        <v>29</v>
      </c>
      <c r="AC1305">
        <v>31.371199999999899</v>
      </c>
      <c r="AD1305">
        <v>-1.111038</v>
      </c>
      <c r="AE1305">
        <v>0.81779999999997699</v>
      </c>
      <c r="AF1305">
        <v>-0.58885275925452696</v>
      </c>
      <c r="AG1305">
        <v>-1.111038</v>
      </c>
      <c r="AH1305">
        <v>31.3370397742816</v>
      </c>
      <c r="AI1305">
        <v>92.030182624741499</v>
      </c>
      <c r="AJ1305">
        <v>91.076515455573201</v>
      </c>
      <c r="AK1305">
        <v>31.362257808143099</v>
      </c>
      <c r="AL1305">
        <v>82.333260130496896</v>
      </c>
      <c r="AM1305">
        <v>95.300901075026403</v>
      </c>
      <c r="AN1305">
        <v>1.00000001251652</v>
      </c>
    </row>
    <row r="1306" spans="1:40" x14ac:dyDescent="0.25">
      <c r="A1306" t="str">
        <f>"20190304154746329"</f>
        <v>20190304154746329</v>
      </c>
      <c r="B1306" t="str">
        <f>"1551685666318088"</f>
        <v>1551685666318088</v>
      </c>
      <c r="C1306" t="s">
        <v>40</v>
      </c>
      <c r="D1306">
        <v>4.1496469999999999</v>
      </c>
      <c r="E1306">
        <v>0.52405259999999998</v>
      </c>
      <c r="F1306" t="s">
        <v>44</v>
      </c>
      <c r="G1306">
        <v>-274.67250000000001</v>
      </c>
      <c r="H1306" s="1">
        <v>-2.5481300000000002E-6</v>
      </c>
      <c r="I1306">
        <v>368.03609999999998</v>
      </c>
      <c r="J1306">
        <v>-309.81130000000002</v>
      </c>
      <c r="K1306">
        <v>1.060967</v>
      </c>
      <c r="L1306">
        <v>366.98360000000002</v>
      </c>
      <c r="M1306">
        <v>0.99990129999999999</v>
      </c>
      <c r="N1306">
        <v>-1.2068769999999999E-2</v>
      </c>
      <c r="O1306">
        <v>7.2036749999999997E-3</v>
      </c>
      <c r="P1306">
        <v>0.9876897</v>
      </c>
      <c r="Q1306">
        <v>0.121519</v>
      </c>
      <c r="R1306">
        <v>9.8500009999999999E-2</v>
      </c>
      <c r="S1306">
        <v>3.039612</v>
      </c>
      <c r="T1306">
        <v>-9.1372729999999999E-2</v>
      </c>
      <c r="U1306">
        <v>9.0728760000000006E-2</v>
      </c>
      <c r="V1306">
        <v>-9.1345140000000005E-2</v>
      </c>
      <c r="W1306">
        <v>0.13346379999999999</v>
      </c>
      <c r="X1306">
        <v>0.98683509999999997</v>
      </c>
      <c r="Y1306">
        <v>-2.2620600000000001E-2</v>
      </c>
      <c r="Z1306">
        <v>3.4689410000000002E-4</v>
      </c>
      <c r="AA1306">
        <v>0.99974410000000002</v>
      </c>
      <c r="AB1306">
        <v>29</v>
      </c>
      <c r="AC1306">
        <v>35.138800000000003</v>
      </c>
      <c r="AD1306">
        <v>-1.0609695481300001</v>
      </c>
      <c r="AE1306">
        <v>1.05249999999995</v>
      </c>
      <c r="AF1306">
        <v>-0.798598379082188</v>
      </c>
      <c r="AG1306">
        <v>-1.0609695481300001</v>
      </c>
      <c r="AH1306">
        <v>35.113487746237702</v>
      </c>
      <c r="AI1306">
        <v>91.730243569659507</v>
      </c>
      <c r="AJ1306">
        <v>91.302873417793606</v>
      </c>
      <c r="AK1306">
        <v>35.138589007789101</v>
      </c>
      <c r="AL1306">
        <v>82.330201873074898</v>
      </c>
      <c r="AM1306">
        <v>95.288441683091804</v>
      </c>
      <c r="AN1306">
        <v>1.0000000175520301</v>
      </c>
    </row>
    <row r="1307" spans="1:40" x14ac:dyDescent="0.25">
      <c r="A1307" t="str">
        <f>"20190304154746343"</f>
        <v>20190304154746343</v>
      </c>
      <c r="B1307" t="str">
        <f>"1551685666338581"</f>
        <v>1551685666338581</v>
      </c>
      <c r="C1307" t="s">
        <v>40</v>
      </c>
      <c r="D1307">
        <v>4.2335289999999999</v>
      </c>
      <c r="E1307">
        <v>0.52192470000000002</v>
      </c>
      <c r="F1307" t="s">
        <v>44</v>
      </c>
      <c r="G1307">
        <v>-270.10559999999998</v>
      </c>
      <c r="H1307" s="1">
        <v>-4.476375E-6</v>
      </c>
      <c r="I1307">
        <v>368.21050000000002</v>
      </c>
      <c r="J1307">
        <v>-309.6506</v>
      </c>
      <c r="K1307">
        <v>1.060913</v>
      </c>
      <c r="L1307">
        <v>366.98469999999998</v>
      </c>
      <c r="M1307">
        <v>0.99990239999999997</v>
      </c>
      <c r="N1307">
        <v>-1.201787E-2</v>
      </c>
      <c r="O1307">
        <v>7.1273350000000003E-3</v>
      </c>
      <c r="P1307">
        <v>0.98770970000000002</v>
      </c>
      <c r="Q1307">
        <v>0.121418</v>
      </c>
      <c r="R1307">
        <v>9.8425109999999996E-2</v>
      </c>
      <c r="S1307">
        <v>3.0379939999999999</v>
      </c>
      <c r="T1307">
        <v>-8.1177589999999994E-2</v>
      </c>
      <c r="U1307">
        <v>9.3872070000000002E-2</v>
      </c>
      <c r="V1307">
        <v>-9.1344659999999994E-2</v>
      </c>
      <c r="W1307">
        <v>0.1333136</v>
      </c>
      <c r="X1307">
        <v>0.98685540000000005</v>
      </c>
      <c r="Y1307">
        <v>-2.3747870000000001E-2</v>
      </c>
      <c r="Z1307">
        <v>3.5519460000000002E-4</v>
      </c>
      <c r="AA1307">
        <v>0.99971790000000005</v>
      </c>
      <c r="AB1307">
        <v>29</v>
      </c>
      <c r="AC1307">
        <v>39.545000000000002</v>
      </c>
      <c r="AD1307">
        <v>-1.060917476375</v>
      </c>
      <c r="AE1307">
        <v>1.22580000000004</v>
      </c>
      <c r="AF1307">
        <v>-0.94321981901926699</v>
      </c>
      <c r="AG1307">
        <v>-1.060917476375</v>
      </c>
      <c r="AH1307">
        <v>39.524312529085798</v>
      </c>
      <c r="AI1307">
        <v>91.537135203129395</v>
      </c>
      <c r="AJ1307">
        <v>91.367063857085299</v>
      </c>
      <c r="AK1307">
        <v>39.549797602712403</v>
      </c>
      <c r="AL1307">
        <v>82.338884942296602</v>
      </c>
      <c r="AM1307">
        <v>95.288305883019902</v>
      </c>
      <c r="AN1307">
        <v>0.99999997168231702</v>
      </c>
    </row>
    <row r="1308" spans="1:40" x14ac:dyDescent="0.25">
      <c r="A1308" t="str">
        <f>"20190304154746356"</f>
        <v>20190304154746356</v>
      </c>
      <c r="B1308" t="str">
        <f>"1551685666348341"</f>
        <v>1551685666348341</v>
      </c>
      <c r="C1308" t="s">
        <v>40</v>
      </c>
      <c r="D1308">
        <v>4.2064979999999998</v>
      </c>
      <c r="E1308">
        <v>0.52054079999999903</v>
      </c>
      <c r="F1308" t="s">
        <v>44</v>
      </c>
      <c r="G1308">
        <v>-272.54739999999998</v>
      </c>
      <c r="H1308" s="1">
        <v>-3.4068699999999898E-6</v>
      </c>
      <c r="I1308">
        <v>368.33429999999998</v>
      </c>
      <c r="J1308">
        <v>-309.48989999999998</v>
      </c>
      <c r="K1308">
        <v>1.060859</v>
      </c>
      <c r="L1308">
        <v>366.98579999999998</v>
      </c>
      <c r="M1308">
        <v>0.9999036</v>
      </c>
      <c r="N1308">
        <v>-1.19694E-2</v>
      </c>
      <c r="O1308">
        <v>7.0489530000000002E-3</v>
      </c>
      <c r="P1308">
        <v>0.98769709999999999</v>
      </c>
      <c r="Q1308">
        <v>0.1217752</v>
      </c>
      <c r="R1308">
        <v>9.810837E-2</v>
      </c>
      <c r="S1308">
        <v>3.0369869999999999</v>
      </c>
      <c r="T1308">
        <v>-8.6838360000000003E-2</v>
      </c>
      <c r="U1308">
        <v>0.11047360000000001</v>
      </c>
      <c r="V1308">
        <v>-9.110364E-2</v>
      </c>
      <c r="W1308">
        <v>0.13362399999999999</v>
      </c>
      <c r="X1308">
        <v>0.98683569999999998</v>
      </c>
      <c r="Y1308">
        <v>-2.929033E-2</v>
      </c>
      <c r="Z1308">
        <v>4.7684339999999999E-4</v>
      </c>
      <c r="AA1308">
        <v>0.99957079999999998</v>
      </c>
      <c r="AB1308">
        <v>29</v>
      </c>
      <c r="AC1308">
        <v>36.942500000000003</v>
      </c>
      <c r="AD1308">
        <v>-1.0608624068700001</v>
      </c>
      <c r="AE1308">
        <v>1.3485</v>
      </c>
      <c r="AF1308">
        <v>-1.0871465981905599</v>
      </c>
      <c r="AG1308">
        <v>-1.0608624068700001</v>
      </c>
      <c r="AH1308">
        <v>36.920682417248699</v>
      </c>
      <c r="AI1308">
        <v>91.645145848102999</v>
      </c>
      <c r="AJ1308">
        <v>91.686613432962503</v>
      </c>
      <c r="AK1308">
        <v>36.951916146900999</v>
      </c>
      <c r="AL1308">
        <v>82.3209397844563</v>
      </c>
      <c r="AM1308">
        <v>95.274535775997407</v>
      </c>
      <c r="AN1308">
        <v>0.99999997269586904</v>
      </c>
    </row>
    <row r="1309" spans="1:40" x14ac:dyDescent="0.25">
      <c r="A1309" t="str">
        <f>"20190304154746367"</f>
        <v>20190304154746367</v>
      </c>
      <c r="B1309" t="str">
        <f>"1551685666358102"</f>
        <v>1551685666358102</v>
      </c>
      <c r="C1309" t="s">
        <v>40</v>
      </c>
      <c r="D1309">
        <v>4.184437</v>
      </c>
      <c r="E1309">
        <v>0.51945410000000003</v>
      </c>
      <c r="F1309" t="s">
        <v>44</v>
      </c>
      <c r="G1309">
        <v>-275.02359999999999</v>
      </c>
      <c r="H1309" s="1">
        <v>-2.340927E-6</v>
      </c>
      <c r="I1309">
        <v>368.35489999999999</v>
      </c>
      <c r="J1309">
        <v>-309.32369999999997</v>
      </c>
      <c r="K1309">
        <v>1.0608089999999999</v>
      </c>
      <c r="L1309">
        <v>366.98689999999999</v>
      </c>
      <c r="M1309">
        <v>0.99990480000000004</v>
      </c>
      <c r="N1309">
        <v>-1.1923649999999999E-2</v>
      </c>
      <c r="O1309">
        <v>6.9638149999999999E-3</v>
      </c>
      <c r="P1309">
        <v>0.98770049999999998</v>
      </c>
      <c r="Q1309">
        <v>0.1219491</v>
      </c>
      <c r="R1309">
        <v>9.7858529999999999E-2</v>
      </c>
      <c r="S1309">
        <v>3.036896</v>
      </c>
      <c r="T1309">
        <v>-9.3474390000000004E-2</v>
      </c>
      <c r="U1309">
        <v>0.12063599999999999</v>
      </c>
      <c r="V1309">
        <v>-9.0936400000000001E-2</v>
      </c>
      <c r="W1309">
        <v>0.13375300000000001</v>
      </c>
      <c r="X1309">
        <v>0.98683370000000004</v>
      </c>
      <c r="Y1309">
        <v>-3.2712140000000001E-2</v>
      </c>
      <c r="Z1309">
        <v>5.6708360000000001E-4</v>
      </c>
      <c r="AA1309">
        <v>0.99946460000000004</v>
      </c>
      <c r="AB1309">
        <v>29</v>
      </c>
      <c r="AC1309">
        <v>34.300099999999901</v>
      </c>
      <c r="AD1309">
        <v>-1.0608113409269999</v>
      </c>
      <c r="AE1309">
        <v>1.3679999999999899</v>
      </c>
      <c r="AF1309">
        <v>-1.1280130927923899</v>
      </c>
      <c r="AG1309">
        <v>-1.0608113409269999</v>
      </c>
      <c r="AH1309">
        <v>34.276062331513302</v>
      </c>
      <c r="AI1309">
        <v>91.771725169851905</v>
      </c>
      <c r="AJ1309">
        <v>91.884903564524294</v>
      </c>
      <c r="AK1309">
        <v>34.311021307917102</v>
      </c>
      <c r="AL1309">
        <v>82.313482066622299</v>
      </c>
      <c r="AM1309">
        <v>95.264918322614193</v>
      </c>
      <c r="AN1309">
        <v>1.00000002265482</v>
      </c>
    </row>
    <row r="1310" spans="1:40" x14ac:dyDescent="0.25">
      <c r="A1310" t="str">
        <f>"20190304154746377"</f>
        <v>20190304154746377</v>
      </c>
      <c r="B1310" t="str">
        <f>"1551685666367862"</f>
        <v>1551685666367862</v>
      </c>
      <c r="C1310" t="s">
        <v>40</v>
      </c>
      <c r="D1310">
        <v>4.1449999999999996</v>
      </c>
      <c r="E1310">
        <v>0.51977229999999996</v>
      </c>
      <c r="F1310" t="s">
        <v>44</v>
      </c>
      <c r="G1310">
        <v>-276.66739999999999</v>
      </c>
      <c r="H1310" s="1">
        <v>-1.6341229999999999E-6</v>
      </c>
      <c r="I1310">
        <v>368.36410000000001</v>
      </c>
      <c r="J1310">
        <v>-309.19220000000001</v>
      </c>
      <c r="K1310">
        <v>1.060773</v>
      </c>
      <c r="L1310">
        <v>366.98770000000002</v>
      </c>
      <c r="M1310">
        <v>0.99990559999999995</v>
      </c>
      <c r="N1310">
        <v>-1.189016E-2</v>
      </c>
      <c r="O1310">
        <v>6.893934E-3</v>
      </c>
      <c r="P1310">
        <v>0.98766759999999998</v>
      </c>
      <c r="Q1310">
        <v>0.1223371</v>
      </c>
      <c r="R1310">
        <v>9.7706609999999999E-2</v>
      </c>
      <c r="S1310">
        <v>3.0368650000000001</v>
      </c>
      <c r="T1310">
        <v>-9.8649379999999995E-2</v>
      </c>
      <c r="U1310">
        <v>0.12808230000000001</v>
      </c>
      <c r="V1310">
        <v>-9.0852950000000002E-2</v>
      </c>
      <c r="W1310">
        <v>0.13410839999999999</v>
      </c>
      <c r="X1310">
        <v>0.98679309999999998</v>
      </c>
      <c r="Y1310">
        <v>-3.522517E-2</v>
      </c>
      <c r="Z1310">
        <v>6.3946559999999996E-4</v>
      </c>
      <c r="AA1310">
        <v>0.99937920000000002</v>
      </c>
      <c r="AB1310">
        <v>29</v>
      </c>
      <c r="AC1310">
        <v>32.524799999999999</v>
      </c>
      <c r="AD1310">
        <v>-1.060774634123</v>
      </c>
      <c r="AE1310">
        <v>1.3763999999999801</v>
      </c>
      <c r="AF1310">
        <v>-1.15090559998247</v>
      </c>
      <c r="AG1310">
        <v>-1.060774634123</v>
      </c>
      <c r="AH1310">
        <v>32.499009245034202</v>
      </c>
      <c r="AI1310">
        <v>91.868312472340506</v>
      </c>
      <c r="AJ1310">
        <v>92.028199915642503</v>
      </c>
      <c r="AK1310">
        <v>32.536678202196498</v>
      </c>
      <c r="AL1310">
        <v>82.292933629448598</v>
      </c>
      <c r="AM1310">
        <v>95.260329161366002</v>
      </c>
      <c r="AN1310">
        <v>0.99999997184093503</v>
      </c>
    </row>
    <row r="1311" spans="1:40" x14ac:dyDescent="0.25">
      <c r="A1311" t="str">
        <f>"20190304154746388"</f>
        <v>20190304154746388</v>
      </c>
      <c r="B1311" t="str">
        <f>"1551685666377622"</f>
        <v>1551685666377622</v>
      </c>
      <c r="C1311" t="s">
        <v>40</v>
      </c>
      <c r="D1311">
        <v>4.1656079999999998</v>
      </c>
      <c r="E1311">
        <v>0.51995749999999996</v>
      </c>
      <c r="F1311" t="s">
        <v>44</v>
      </c>
      <c r="G1311">
        <v>-274.19740000000002</v>
      </c>
      <c r="H1311" s="1">
        <v>-2.6817480000000001E-6</v>
      </c>
      <c r="I1311">
        <v>368.43169999999998</v>
      </c>
      <c r="J1311">
        <v>-309.05009999999999</v>
      </c>
      <c r="K1311">
        <v>1.060737</v>
      </c>
      <c r="L1311">
        <v>366.98860000000002</v>
      </c>
      <c r="M1311">
        <v>0.99990650000000003</v>
      </c>
      <c r="N1311">
        <v>-1.18555E-2</v>
      </c>
      <c r="O1311">
        <v>6.8167829999999999E-3</v>
      </c>
      <c r="P1311">
        <v>0.98770219999999997</v>
      </c>
      <c r="Q1311">
        <v>0.122270699999999</v>
      </c>
      <c r="R1311">
        <v>9.7440180000000001E-2</v>
      </c>
      <c r="S1311">
        <v>3.0364990000000001</v>
      </c>
      <c r="T1311">
        <v>-9.2043280000000005E-2</v>
      </c>
      <c r="U1311">
        <v>0.12530519999999901</v>
      </c>
      <c r="V1311">
        <v>-9.0661259999999994E-2</v>
      </c>
      <c r="W1311">
        <v>0.13400919999999999</v>
      </c>
      <c r="X1311">
        <v>0.98682420000000004</v>
      </c>
      <c r="Y1311">
        <v>-3.4398030000000003E-2</v>
      </c>
      <c r="Z1311">
        <v>5.9935030000000001E-4</v>
      </c>
      <c r="AA1311">
        <v>0.99940799999999996</v>
      </c>
      <c r="AB1311">
        <v>29</v>
      </c>
      <c r="AC1311">
        <v>34.852699999999899</v>
      </c>
      <c r="AD1311">
        <v>-1.0607396817479999</v>
      </c>
      <c r="AE1311">
        <v>1.4430999999999501</v>
      </c>
      <c r="AF1311">
        <v>-1.2043528129655201</v>
      </c>
      <c r="AG1311">
        <v>-1.0607396817479999</v>
      </c>
      <c r="AH1311">
        <v>34.829521233336003</v>
      </c>
      <c r="AI1311">
        <v>91.743373353300697</v>
      </c>
      <c r="AJ1311">
        <v>91.980413404792003</v>
      </c>
      <c r="AK1311">
        <v>34.8664765027087</v>
      </c>
      <c r="AL1311">
        <v>82.298669095883497</v>
      </c>
      <c r="AM1311">
        <v>95.249127988781794</v>
      </c>
      <c r="AN1311">
        <v>0.99999996572753302</v>
      </c>
    </row>
    <row r="1312" spans="1:40" x14ac:dyDescent="0.25">
      <c r="A1312" t="str">
        <f>"20190304154746399"</f>
        <v>20190304154746399</v>
      </c>
      <c r="B1312" t="str">
        <f>"1551685666388357"</f>
        <v>1551685666388357</v>
      </c>
      <c r="C1312" t="s">
        <v>40</v>
      </c>
      <c r="D1312">
        <v>4.1397059999999897</v>
      </c>
      <c r="E1312">
        <v>0.52012749999999996</v>
      </c>
      <c r="F1312" t="s">
        <v>44</v>
      </c>
      <c r="G1312">
        <v>-273.22789999999998</v>
      </c>
      <c r="H1312" s="1">
        <v>-3.09609E-6</v>
      </c>
      <c r="I1312">
        <v>368.44060000000002</v>
      </c>
      <c r="J1312">
        <v>-308.92529999999999</v>
      </c>
      <c r="K1312">
        <v>1.0607120000000001</v>
      </c>
      <c r="L1312">
        <v>366.98939999999999</v>
      </c>
      <c r="M1312">
        <v>0.99990730000000005</v>
      </c>
      <c r="N1312">
        <v>-1.182776E-2</v>
      </c>
      <c r="O1312">
        <v>6.7466920000000003E-3</v>
      </c>
      <c r="P1312">
        <v>0.98771819999999999</v>
      </c>
      <c r="Q1312">
        <v>0.1223959</v>
      </c>
      <c r="R1312">
        <v>9.711931E-2</v>
      </c>
      <c r="S1312">
        <v>3.036346</v>
      </c>
      <c r="T1312">
        <v>-8.9909669999999997E-2</v>
      </c>
      <c r="U1312">
        <v>0.1230774</v>
      </c>
      <c r="V1312">
        <v>-9.0408299999999997E-2</v>
      </c>
      <c r="W1312">
        <v>0.13410749999999999</v>
      </c>
      <c r="X1312">
        <v>0.98683410000000005</v>
      </c>
      <c r="Y1312">
        <v>-3.3739289999999998E-2</v>
      </c>
      <c r="Z1312">
        <v>5.7901260000000005E-4</v>
      </c>
      <c r="AA1312">
        <v>0.9994305</v>
      </c>
      <c r="AB1312">
        <v>29</v>
      </c>
      <c r="AC1312">
        <v>35.697400000000002</v>
      </c>
      <c r="AD1312">
        <v>-1.06071509609</v>
      </c>
      <c r="AE1312">
        <v>1.45120000000002</v>
      </c>
      <c r="AF1312">
        <v>-1.2092448467642001</v>
      </c>
      <c r="AG1312">
        <v>-1.06071509609</v>
      </c>
      <c r="AH1312">
        <v>35.674932569584598</v>
      </c>
      <c r="AI1312">
        <v>91.702084397346695</v>
      </c>
      <c r="AJ1312">
        <v>91.941366233539696</v>
      </c>
      <c r="AK1312">
        <v>35.711177570319798</v>
      </c>
      <c r="AL1312">
        <v>82.292985973947907</v>
      </c>
      <c r="AM1312">
        <v>95.2345113003569</v>
      </c>
      <c r="AN1312">
        <v>1.00000001159397</v>
      </c>
    </row>
    <row r="1313" spans="1:40" x14ac:dyDescent="0.25">
      <c r="A1313" t="str">
        <f>"20190304154746409"</f>
        <v>20190304154746409</v>
      </c>
      <c r="B1313" t="str">
        <f>"1551685666398118"</f>
        <v>1551685666398118</v>
      </c>
      <c r="C1313" t="s">
        <v>40</v>
      </c>
      <c r="D1313">
        <v>4.1596129999999896</v>
      </c>
      <c r="E1313">
        <v>0.52020429999999995</v>
      </c>
      <c r="F1313" t="s">
        <v>44</v>
      </c>
      <c r="G1313">
        <v>-271.98180000000002</v>
      </c>
      <c r="H1313" s="1">
        <v>-3.6265069999999999E-6</v>
      </c>
      <c r="I1313">
        <v>368.46390000000002</v>
      </c>
      <c r="J1313">
        <v>-308.77780000000001</v>
      </c>
      <c r="K1313">
        <v>1.060678</v>
      </c>
      <c r="L1313">
        <v>366.99020000000002</v>
      </c>
      <c r="M1313">
        <v>0.99990829999999997</v>
      </c>
      <c r="N1313">
        <v>-1.1795979999999999E-2</v>
      </c>
      <c r="O1313">
        <v>6.6628479999999999E-3</v>
      </c>
      <c r="P1313">
        <v>0.98774709999999999</v>
      </c>
      <c r="Q1313">
        <v>0.1224029</v>
      </c>
      <c r="R1313">
        <v>9.6815310000000002E-2</v>
      </c>
      <c r="S1313">
        <v>3.0361630000000002</v>
      </c>
      <c r="T1313">
        <v>-8.7173580000000001E-2</v>
      </c>
      <c r="U1313">
        <v>0.1211853</v>
      </c>
      <c r="V1313">
        <v>-9.0185520000000005E-2</v>
      </c>
      <c r="W1313">
        <v>0.13408429999999999</v>
      </c>
      <c r="X1313">
        <v>0.98685769999999995</v>
      </c>
      <c r="Y1313">
        <v>-3.3204980000000002E-2</v>
      </c>
      <c r="Z1313">
        <v>5.597636E-4</v>
      </c>
      <c r="AA1313">
        <v>0.99944840000000001</v>
      </c>
      <c r="AB1313">
        <v>29</v>
      </c>
      <c r="AC1313">
        <v>36.7959999999999</v>
      </c>
      <c r="AD1313">
        <v>-1.060681626507</v>
      </c>
      <c r="AE1313">
        <v>1.4737</v>
      </c>
      <c r="AF1313">
        <v>-1.22746577299449</v>
      </c>
      <c r="AG1313">
        <v>-1.060681626507</v>
      </c>
      <c r="AH1313">
        <v>36.774494440928798</v>
      </c>
      <c r="AI1313">
        <v>91.651197124178296</v>
      </c>
      <c r="AJ1313">
        <v>91.911719223631593</v>
      </c>
      <c r="AK1313">
        <v>36.810258884210299</v>
      </c>
      <c r="AL1313">
        <v>82.294327832998206</v>
      </c>
      <c r="AM1313">
        <v>95.221559864498005</v>
      </c>
      <c r="AN1313">
        <v>1.0000000737867201</v>
      </c>
    </row>
    <row r="1314" spans="1:40" x14ac:dyDescent="0.25">
      <c r="A1314" t="str">
        <f>"20190304154746420"</f>
        <v>20190304154746420</v>
      </c>
      <c r="B1314" t="str">
        <f>"1551685666417638"</f>
        <v>1551685666417638</v>
      </c>
      <c r="C1314" t="s">
        <v>40</v>
      </c>
      <c r="D1314">
        <v>4.1683269999999997</v>
      </c>
      <c r="E1314">
        <v>0.5202947</v>
      </c>
      <c r="F1314" t="s">
        <v>44</v>
      </c>
      <c r="G1314">
        <v>-271.18299999999999</v>
      </c>
      <c r="H1314" s="1">
        <v>-3.9684559999999998E-6</v>
      </c>
      <c r="I1314">
        <v>368.46809999999999</v>
      </c>
      <c r="J1314">
        <v>-308.6454</v>
      </c>
      <c r="K1314">
        <v>1.0606530000000001</v>
      </c>
      <c r="L1314">
        <v>366.99110000000002</v>
      </c>
      <c r="M1314">
        <v>0.99990919999999905</v>
      </c>
      <c r="N1314">
        <v>-1.177047E-2</v>
      </c>
      <c r="O1314">
        <v>6.5848199999999999E-3</v>
      </c>
      <c r="P1314">
        <v>0.98774629999999997</v>
      </c>
      <c r="Q1314">
        <v>0.12251140000000001</v>
      </c>
      <c r="R1314">
        <v>9.668765E-2</v>
      </c>
      <c r="S1314">
        <v>3.036133</v>
      </c>
      <c r="T1314">
        <v>-8.5659860000000004E-2</v>
      </c>
      <c r="U1314">
        <v>0.11935419999999999</v>
      </c>
      <c r="V1314">
        <v>-9.0134149999999996E-2</v>
      </c>
      <c r="W1314">
        <v>0.13416800000000001</v>
      </c>
      <c r="X1314">
        <v>0.98685100000000003</v>
      </c>
      <c r="Y1314">
        <v>-3.2682370000000002E-2</v>
      </c>
      <c r="Z1314">
        <v>5.4505869999999998E-4</v>
      </c>
      <c r="AA1314">
        <v>0.99946559999999995</v>
      </c>
      <c r="AB1314">
        <v>29</v>
      </c>
      <c r="AC1314">
        <v>37.462400000000002</v>
      </c>
      <c r="AD1314">
        <v>-1.0606569684559899</v>
      </c>
      <c r="AE1314">
        <v>1.4769999999999699</v>
      </c>
      <c r="AF1314">
        <v>-1.2292838948107501</v>
      </c>
      <c r="AG1314">
        <v>-1.0606569684559899</v>
      </c>
      <c r="AH1314">
        <v>37.441347675636401</v>
      </c>
      <c r="AI1314">
        <v>91.6217957250594</v>
      </c>
      <c r="AJ1314">
        <v>91.880474178602398</v>
      </c>
      <c r="AK1314">
        <v>37.476534629907498</v>
      </c>
      <c r="AL1314">
        <v>82.289488316759602</v>
      </c>
      <c r="AM1314">
        <v>95.218637306471095</v>
      </c>
      <c r="AN1314">
        <v>1.0000000567106</v>
      </c>
    </row>
    <row r="1315" spans="1:40" x14ac:dyDescent="0.25">
      <c r="A1315" t="str">
        <f>"20190304154746431"</f>
        <v>20190304154746431</v>
      </c>
      <c r="B1315" t="str">
        <f>"1551685666428374"</f>
        <v>1551685666428374</v>
      </c>
      <c r="C1315" t="s">
        <v>40</v>
      </c>
      <c r="D1315">
        <v>4.1292280000000003</v>
      </c>
      <c r="E1315">
        <v>0.52134939999999996</v>
      </c>
      <c r="F1315" t="s">
        <v>44</v>
      </c>
      <c r="G1315">
        <v>-269.69229999999999</v>
      </c>
      <c r="H1315" s="1">
        <v>-3.8443709999999998E-7</v>
      </c>
      <c r="I1315">
        <v>368.5127</v>
      </c>
      <c r="J1315">
        <v>-308.50549999999998</v>
      </c>
      <c r="K1315">
        <v>1.0606279999999999</v>
      </c>
      <c r="L1315">
        <v>366.99189999999999</v>
      </c>
      <c r="M1315">
        <v>0.99990990000000002</v>
      </c>
      <c r="N1315">
        <v>-1.174394E-2</v>
      </c>
      <c r="O1315">
        <v>6.5020859999999998E-3</v>
      </c>
      <c r="P1315">
        <v>0.98776560000000002</v>
      </c>
      <c r="Q1315">
        <v>0.1227129</v>
      </c>
      <c r="R1315">
        <v>9.6232590000000007E-2</v>
      </c>
      <c r="S1315">
        <v>3.035828</v>
      </c>
      <c r="T1315">
        <v>-8.2662219999999995E-2</v>
      </c>
      <c r="U1315">
        <v>0.1185913</v>
      </c>
      <c r="V1315">
        <v>-8.9759279999999997E-2</v>
      </c>
      <c r="W1315">
        <v>0.1343442</v>
      </c>
      <c r="X1315">
        <v>0.98686119999999999</v>
      </c>
      <c r="Y1315">
        <v>-3.2519279999999998E-2</v>
      </c>
      <c r="Z1315">
        <v>5.3295419999999896E-4</v>
      </c>
      <c r="AA1315">
        <v>0.99947090000000005</v>
      </c>
      <c r="AB1315">
        <v>29</v>
      </c>
      <c r="AC1315">
        <v>38.813200000000002</v>
      </c>
      <c r="AD1315">
        <v>-1.0606283844371001</v>
      </c>
      <c r="AE1315">
        <v>1.5207999999999999</v>
      </c>
      <c r="AF1315">
        <v>-1.26743868664777</v>
      </c>
      <c r="AG1315">
        <v>-1.0606283844371001</v>
      </c>
      <c r="AH1315">
        <v>38.793344463187204</v>
      </c>
      <c r="AI1315">
        <v>91.565268796446006</v>
      </c>
      <c r="AJ1315">
        <v>91.871276285829097</v>
      </c>
      <c r="AK1315">
        <v>38.828532138542002</v>
      </c>
      <c r="AL1315">
        <v>82.279300595345504</v>
      </c>
      <c r="AM1315">
        <v>95.196998551849703</v>
      </c>
      <c r="AN1315">
        <v>1.00000006024259</v>
      </c>
    </row>
    <row r="1316" spans="1:40" x14ac:dyDescent="0.25">
      <c r="A1316" t="str">
        <f>"20190304154746442"</f>
        <v>20190304154746442</v>
      </c>
      <c r="B1316" t="str">
        <f>"1551685666438134"</f>
        <v>1551685666438134</v>
      </c>
      <c r="C1316" t="s">
        <v>40</v>
      </c>
      <c r="D1316">
        <v>4.1613110000000004</v>
      </c>
      <c r="E1316">
        <v>0.52121600000000001</v>
      </c>
      <c r="F1316" t="s">
        <v>44</v>
      </c>
      <c r="G1316">
        <v>-265.34429999999998</v>
      </c>
      <c r="H1316" s="1">
        <v>-2.1700469999999998E-6</v>
      </c>
      <c r="I1316">
        <v>368.54259999999999</v>
      </c>
      <c r="J1316">
        <v>-308.37650000000002</v>
      </c>
      <c r="K1316">
        <v>1.0606059999999999</v>
      </c>
      <c r="L1316">
        <v>366.99270000000001</v>
      </c>
      <c r="M1316">
        <v>0.99991070000000004</v>
      </c>
      <c r="N1316">
        <v>-1.172224E-2</v>
      </c>
      <c r="O1316">
        <v>6.4230329999999999E-3</v>
      </c>
      <c r="P1316">
        <v>0.98780699999999999</v>
      </c>
      <c r="Q1316">
        <v>0.1225155</v>
      </c>
      <c r="R1316">
        <v>9.6057909999999996E-2</v>
      </c>
      <c r="S1316">
        <v>3.0357970000000001</v>
      </c>
      <c r="T1316">
        <v>-7.4600699999999895E-2</v>
      </c>
      <c r="U1316">
        <v>0.10906979999999999</v>
      </c>
      <c r="V1316">
        <v>-8.9662199999999997E-2</v>
      </c>
      <c r="W1316">
        <v>0.13412639999999901</v>
      </c>
      <c r="X1316">
        <v>0.98689959999999999</v>
      </c>
      <c r="Y1316">
        <v>-2.9472060000000001E-2</v>
      </c>
      <c r="Z1316">
        <v>4.5229629999999997E-4</v>
      </c>
      <c r="AA1316">
        <v>0.9995655</v>
      </c>
      <c r="AB1316">
        <v>29</v>
      </c>
      <c r="AC1316">
        <v>43.032200000000003</v>
      </c>
      <c r="AD1316">
        <v>-1.060608170047</v>
      </c>
      <c r="AE1316">
        <v>1.5498999999999701</v>
      </c>
      <c r="AF1316">
        <v>-1.2726796925219199</v>
      </c>
      <c r="AG1316">
        <v>-1.060608170047</v>
      </c>
      <c r="AH1316">
        <v>43.015171504476598</v>
      </c>
      <c r="AI1316">
        <v>91.411815774282303</v>
      </c>
      <c r="AJ1316">
        <v>91.694702274263193</v>
      </c>
      <c r="AK1316">
        <v>43.047062418354002</v>
      </c>
      <c r="AL1316">
        <v>82.291893205660699</v>
      </c>
      <c r="AM1316">
        <v>95.1912075257532</v>
      </c>
      <c r="AN1316">
        <v>1.0000000108829701</v>
      </c>
    </row>
    <row r="1317" spans="1:40" x14ac:dyDescent="0.25">
      <c r="A1317" t="str">
        <f>"20190304154746451"</f>
        <v>20190304154746451</v>
      </c>
      <c r="B1317" t="str">
        <f>"1551685666447893"</f>
        <v>1551685666447893</v>
      </c>
      <c r="C1317" t="s">
        <v>40</v>
      </c>
      <c r="D1317">
        <v>4.1615669999999998</v>
      </c>
      <c r="E1317">
        <v>0.52199589999999996</v>
      </c>
      <c r="F1317" t="s">
        <v>44</v>
      </c>
      <c r="G1317">
        <v>-265.29059999999998</v>
      </c>
      <c r="H1317" s="1">
        <v>-2.192271E-6</v>
      </c>
      <c r="I1317">
        <v>368.54719999999998</v>
      </c>
      <c r="J1317">
        <v>-308.24040000000002</v>
      </c>
      <c r="K1317">
        <v>1.060584</v>
      </c>
      <c r="L1317">
        <v>366.99349999999998</v>
      </c>
      <c r="M1317">
        <v>0.99991149999999995</v>
      </c>
      <c r="N1317">
        <v>-1.169951E-2</v>
      </c>
      <c r="O1317">
        <v>6.3398109999999999E-3</v>
      </c>
      <c r="P1317">
        <v>0.98784760000000005</v>
      </c>
      <c r="Q1317">
        <v>0.1222461</v>
      </c>
      <c r="R1317">
        <v>9.5984059999999996E-2</v>
      </c>
      <c r="S1317">
        <v>3.0356139999999998</v>
      </c>
      <c r="T1317">
        <v>-7.4725029999999998E-2</v>
      </c>
      <c r="U1317">
        <v>0.1095276</v>
      </c>
      <c r="V1317">
        <v>-8.967E-2</v>
      </c>
      <c r="W1317">
        <v>0.1338348</v>
      </c>
      <c r="X1317">
        <v>0.98693850000000005</v>
      </c>
      <c r="Y1317">
        <v>-2.9707830000000001E-2</v>
      </c>
      <c r="Z1317">
        <v>4.5752210000000001E-4</v>
      </c>
      <c r="AA1317">
        <v>0.99955850000000002</v>
      </c>
      <c r="AB1317">
        <v>29</v>
      </c>
      <c r="AC1317">
        <v>42.949800000000003</v>
      </c>
      <c r="AD1317">
        <v>-1.060586192271</v>
      </c>
      <c r="AE1317">
        <v>1.5536999999999901</v>
      </c>
      <c r="AF1317">
        <v>-1.28057668699272</v>
      </c>
      <c r="AG1317">
        <v>-1.060586192271</v>
      </c>
      <c r="AH1317">
        <v>42.9326425262106</v>
      </c>
      <c r="AI1317">
        <v>91.414489185825104</v>
      </c>
      <c r="AJ1317">
        <v>91.708487705394205</v>
      </c>
      <c r="AK1317">
        <v>42.9648288022412</v>
      </c>
      <c r="AL1317">
        <v>82.308752829162302</v>
      </c>
      <c r="AM1317">
        <v>95.191453147642804</v>
      </c>
      <c r="AN1317">
        <v>1.0000000326866401</v>
      </c>
    </row>
    <row r="1318" spans="1:40" x14ac:dyDescent="0.25">
      <c r="A1318" t="str">
        <f>"20190304154746462"</f>
        <v>20190304154746462</v>
      </c>
      <c r="B1318" t="str">
        <f>"1551685666457654"</f>
        <v>1551685666457654</v>
      </c>
      <c r="C1318" t="s">
        <v>40</v>
      </c>
      <c r="D1318">
        <v>4.1478330000000003</v>
      </c>
      <c r="E1318">
        <v>0.52276619999999996</v>
      </c>
      <c r="F1318" t="s">
        <v>44</v>
      </c>
      <c r="G1318">
        <v>-262.05450000000002</v>
      </c>
      <c r="H1318" s="1">
        <v>-3.5773539999999998E-6</v>
      </c>
      <c r="I1318">
        <v>368.5652</v>
      </c>
      <c r="J1318">
        <v>-308.10050000000001</v>
      </c>
      <c r="K1318">
        <v>1.060559</v>
      </c>
      <c r="L1318">
        <v>366.99419999999998</v>
      </c>
      <c r="M1318">
        <v>0.99991229999999998</v>
      </c>
      <c r="N1318">
        <v>-1.1678940000000001E-2</v>
      </c>
      <c r="O1318">
        <v>6.2526469999999897E-3</v>
      </c>
      <c r="P1318">
        <v>0.987896</v>
      </c>
      <c r="Q1318">
        <v>0.1219845</v>
      </c>
      <c r="R1318">
        <v>9.5819479999999999E-2</v>
      </c>
      <c r="S1318">
        <v>3.0354610000000002</v>
      </c>
      <c r="T1318">
        <v>-6.9704530000000001E-2</v>
      </c>
      <c r="U1318">
        <v>0.103302</v>
      </c>
      <c r="V1318">
        <v>-8.9590119999999995E-2</v>
      </c>
      <c r="W1318">
        <v>0.13355410000000001</v>
      </c>
      <c r="X1318">
        <v>0.98698370000000002</v>
      </c>
      <c r="Y1318">
        <v>-2.7751290000000001E-2</v>
      </c>
      <c r="Z1318">
        <v>4.1012159999999999E-4</v>
      </c>
      <c r="AA1318">
        <v>0.99961480000000003</v>
      </c>
      <c r="AB1318">
        <v>29</v>
      </c>
      <c r="AC1318">
        <v>46.0459999999999</v>
      </c>
      <c r="AD1318">
        <v>-1.0605625773539999</v>
      </c>
      <c r="AE1318">
        <v>1.5710000000000199</v>
      </c>
      <c r="AF1318">
        <v>-1.2823607728774</v>
      </c>
      <c r="AG1318">
        <v>-1.0605625773539999</v>
      </c>
      <c r="AH1318">
        <v>46.030532352618103</v>
      </c>
      <c r="AI1318">
        <v>91.319373308795903</v>
      </c>
      <c r="AJ1318">
        <v>91.595785602129396</v>
      </c>
      <c r="AK1318">
        <v>46.060603022514996</v>
      </c>
      <c r="AL1318">
        <v>82.324980849921502</v>
      </c>
      <c r="AM1318">
        <v>95.186617482025795</v>
      </c>
      <c r="AN1318">
        <v>0.99999995564705602</v>
      </c>
    </row>
    <row r="1319" spans="1:40" x14ac:dyDescent="0.25">
      <c r="A1319" t="str">
        <f>"20190304154746473"</f>
        <v>20190304154746473</v>
      </c>
      <c r="B1319" t="str">
        <f>"1551685666468389"</f>
        <v>1551685666468389</v>
      </c>
      <c r="C1319" t="s">
        <v>40</v>
      </c>
      <c r="D1319">
        <v>4.1583379999999996</v>
      </c>
      <c r="E1319">
        <v>0.5234413</v>
      </c>
      <c r="F1319" t="s">
        <v>44</v>
      </c>
      <c r="G1319">
        <v>-258.85480000000001</v>
      </c>
      <c r="H1319" s="1">
        <v>-6.5929169999999899E-7</v>
      </c>
      <c r="I1319">
        <v>368.56959999999998</v>
      </c>
      <c r="J1319">
        <v>-307.9622</v>
      </c>
      <c r="K1319">
        <v>1.06054</v>
      </c>
      <c r="L1319">
        <v>366.995</v>
      </c>
      <c r="M1319">
        <v>0.99991300000000005</v>
      </c>
      <c r="N1319">
        <v>-1.1659050000000001E-2</v>
      </c>
      <c r="O1319">
        <v>6.1663760000000003E-3</v>
      </c>
      <c r="P1319">
        <v>0.98792670000000005</v>
      </c>
      <c r="Q1319">
        <v>0.1217935</v>
      </c>
      <c r="R1319">
        <v>9.5746170000000005E-2</v>
      </c>
      <c r="S1319">
        <v>3.0354000000000001</v>
      </c>
      <c r="T1319">
        <v>-6.5370440000000002E-2</v>
      </c>
      <c r="U1319">
        <v>9.7106929999999994E-2</v>
      </c>
      <c r="V1319">
        <v>-8.9601630000000002E-2</v>
      </c>
      <c r="W1319">
        <v>0.1333443</v>
      </c>
      <c r="X1319">
        <v>0.98701110000000003</v>
      </c>
      <c r="Y1319">
        <v>-2.5801950000000001E-2</v>
      </c>
      <c r="Z1319">
        <v>3.6734650000000001E-4</v>
      </c>
      <c r="AA1319">
        <v>0.99966699999999997</v>
      </c>
      <c r="AB1319">
        <v>29</v>
      </c>
      <c r="AC1319">
        <v>49.107399999999899</v>
      </c>
      <c r="AD1319">
        <v>-1.0605406592916999</v>
      </c>
      <c r="AE1319">
        <v>1.57459999999997</v>
      </c>
      <c r="AF1319">
        <v>-1.2711425227311399</v>
      </c>
      <c r="AG1319">
        <v>-1.0605406592916999</v>
      </c>
      <c r="AH1319">
        <v>49.093302748824897</v>
      </c>
      <c r="AI1319">
        <v>91.237128115121294</v>
      </c>
      <c r="AJ1319">
        <v>91.483192787630401</v>
      </c>
      <c r="AK1319">
        <v>49.1212064651397</v>
      </c>
      <c r="AL1319">
        <v>82.337110588434697</v>
      </c>
      <c r="AM1319">
        <v>95.187136976131995</v>
      </c>
      <c r="AN1319">
        <v>1.0000000329821701</v>
      </c>
    </row>
    <row r="1320" spans="1:40" x14ac:dyDescent="0.25">
      <c r="A1320" t="str">
        <f>"20190304154746484"</f>
        <v>20190304154746484</v>
      </c>
      <c r="B1320" t="str">
        <f>"1551685666478150"</f>
        <v>1551685666478150</v>
      </c>
      <c r="C1320" t="s">
        <v>40</v>
      </c>
      <c r="D1320">
        <v>4.3401759999999996</v>
      </c>
      <c r="E1320">
        <v>0.52419749999999998</v>
      </c>
      <c r="F1320" t="s">
        <v>44</v>
      </c>
      <c r="G1320">
        <v>-255.5599</v>
      </c>
      <c r="H1320" s="1">
        <v>-2.072084E-6</v>
      </c>
      <c r="I1320">
        <v>368.57350000000002</v>
      </c>
      <c r="J1320">
        <v>-307.80939999999998</v>
      </c>
      <c r="K1320">
        <v>1.0605209999999901</v>
      </c>
      <c r="L1320">
        <v>366.99579999999997</v>
      </c>
      <c r="M1320">
        <v>0.99991390000000002</v>
      </c>
      <c r="N1320">
        <v>-1.1639299999999899E-2</v>
      </c>
      <c r="O1320">
        <v>6.0693250000000004E-3</v>
      </c>
      <c r="P1320">
        <v>0.98795350000000004</v>
      </c>
      <c r="Q1320">
        <v>0.1215222</v>
      </c>
      <c r="R1320">
        <v>9.5813460000000003E-2</v>
      </c>
      <c r="S1320">
        <v>3.0353089999999998</v>
      </c>
      <c r="T1320">
        <v>-6.1429860000000003E-2</v>
      </c>
      <c r="U1320">
        <v>9.1430659999999997E-2</v>
      </c>
      <c r="V1320">
        <v>-8.9764239999999995E-2</v>
      </c>
      <c r="W1320">
        <v>0.13305410000000001</v>
      </c>
      <c r="X1320">
        <v>0.98703549999999995</v>
      </c>
      <c r="Y1320">
        <v>-2.403365E-2</v>
      </c>
      <c r="Z1320">
        <v>3.308861E-4</v>
      </c>
      <c r="AA1320">
        <v>0.99971109999999996</v>
      </c>
      <c r="AB1320">
        <v>29</v>
      </c>
      <c r="AC1320">
        <v>52.249499999999898</v>
      </c>
      <c r="AD1320">
        <v>-1.06052307208399</v>
      </c>
      <c r="AE1320">
        <v>1.5777000000000401</v>
      </c>
      <c r="AF1320">
        <v>-1.26001164989174</v>
      </c>
      <c r="AG1320">
        <v>-1.06052307208399</v>
      </c>
      <c r="AH1320">
        <v>52.236612905640698</v>
      </c>
      <c r="AI1320">
        <v>91.162737859196795</v>
      </c>
      <c r="AJ1320">
        <v>91.381777053137498</v>
      </c>
      <c r="AK1320">
        <v>52.2625685017302</v>
      </c>
      <c r="AL1320">
        <v>82.353887410400901</v>
      </c>
      <c r="AM1320">
        <v>95.196371399286704</v>
      </c>
      <c r="AN1320">
        <v>1.00000004528491</v>
      </c>
    </row>
    <row r="1321" spans="1:40" x14ac:dyDescent="0.25">
      <c r="A1321" t="str">
        <f>"20190304154746496"</f>
        <v>20190304154746496</v>
      </c>
      <c r="B1321" t="str">
        <f>"1551685666487910"</f>
        <v>1551685666487910</v>
      </c>
      <c r="C1321" t="s">
        <v>40</v>
      </c>
      <c r="D1321">
        <v>4.175287</v>
      </c>
      <c r="E1321">
        <v>0.52401880000000001</v>
      </c>
      <c r="F1321" t="s">
        <v>44</v>
      </c>
      <c r="G1321">
        <v>-249.9863</v>
      </c>
      <c r="H1321" s="1">
        <v>-4.453409E-6</v>
      </c>
      <c r="I1321">
        <v>368.6284</v>
      </c>
      <c r="J1321">
        <v>-307.66770000000002</v>
      </c>
      <c r="K1321">
        <v>1.0605009999999999</v>
      </c>
      <c r="L1321">
        <v>366.9966</v>
      </c>
      <c r="M1321">
        <v>0.99991470000000005</v>
      </c>
      <c r="N1321">
        <v>-1.1621920000000001E-2</v>
      </c>
      <c r="O1321">
        <v>5.9789980000000001E-3</v>
      </c>
      <c r="P1321">
        <v>0.98799159999999997</v>
      </c>
      <c r="Q1321">
        <v>0.12127499999999999</v>
      </c>
      <c r="R1321">
        <v>9.5735550000000003E-2</v>
      </c>
      <c r="S1321">
        <v>3.035126</v>
      </c>
      <c r="T1321">
        <v>-5.5666800000000002E-2</v>
      </c>
      <c r="U1321">
        <v>8.5693359999999996E-2</v>
      </c>
      <c r="V1321">
        <v>-8.9774950000000006E-2</v>
      </c>
      <c r="W1321">
        <v>0.1327904</v>
      </c>
      <c r="X1321">
        <v>0.98707</v>
      </c>
      <c r="Y1321">
        <v>-2.2239129999999999E-2</v>
      </c>
      <c r="Z1321">
        <v>2.9301259999999998E-4</v>
      </c>
      <c r="AA1321">
        <v>0.99975259999999999</v>
      </c>
      <c r="AB1321">
        <v>29</v>
      </c>
      <c r="AC1321">
        <v>57.681399999999996</v>
      </c>
      <c r="AD1321">
        <v>-1.0605054534089999</v>
      </c>
      <c r="AE1321">
        <v>1.6317999999999899</v>
      </c>
      <c r="AF1321">
        <v>-1.2864360935041499</v>
      </c>
      <c r="AG1321">
        <v>-1.0605054534089999</v>
      </c>
      <c r="AH1321">
        <v>57.670647255208003</v>
      </c>
      <c r="AI1321">
        <v>91.053231329490998</v>
      </c>
      <c r="AJ1321">
        <v>91.277862148523496</v>
      </c>
      <c r="AK1321">
        <v>57.694741046944699</v>
      </c>
      <c r="AL1321">
        <v>82.369131293570405</v>
      </c>
      <c r="AM1321">
        <v>95.196807346654495</v>
      </c>
      <c r="AN1321">
        <v>1.0000000084398299</v>
      </c>
    </row>
    <row r="1322" spans="1:40" x14ac:dyDescent="0.25">
      <c r="A1322" t="str">
        <f>"20190304154746506"</f>
        <v>20190304154746506</v>
      </c>
      <c r="B1322" t="str">
        <f>"1551685666497669"</f>
        <v>1551685666497669</v>
      </c>
      <c r="C1322" t="s">
        <v>40</v>
      </c>
      <c r="D1322">
        <v>4.2012549999999997</v>
      </c>
      <c r="E1322">
        <v>0.52383760000000001</v>
      </c>
      <c r="F1322" t="s">
        <v>44</v>
      </c>
      <c r="G1322">
        <v>-251.86850000000001</v>
      </c>
      <c r="H1322" s="1">
        <v>-3.6517959999999998E-6</v>
      </c>
      <c r="I1322">
        <v>368.59559999999999</v>
      </c>
      <c r="J1322">
        <v>-307.52910000000003</v>
      </c>
      <c r="K1322">
        <v>1.0604849999999999</v>
      </c>
      <c r="L1322">
        <v>366.9973</v>
      </c>
      <c r="M1322">
        <v>0.99991540000000001</v>
      </c>
      <c r="N1322">
        <v>-1.1606129999999999E-2</v>
      </c>
      <c r="O1322">
        <v>5.890691E-3</v>
      </c>
      <c r="P1322">
        <v>0.98802400000000001</v>
      </c>
      <c r="Q1322">
        <v>0.1210412</v>
      </c>
      <c r="R1322">
        <v>9.5694769999999998E-2</v>
      </c>
      <c r="S1322">
        <v>3.0351560000000002</v>
      </c>
      <c r="T1322">
        <v>-5.7685260000000002E-2</v>
      </c>
      <c r="U1322">
        <v>8.69751E-2</v>
      </c>
      <c r="V1322">
        <v>-8.9821289999999998E-2</v>
      </c>
      <c r="W1322">
        <v>0.132541299999999</v>
      </c>
      <c r="X1322">
        <v>0.98709919999999995</v>
      </c>
      <c r="Y1322">
        <v>-2.274851E-2</v>
      </c>
      <c r="Z1322">
        <v>3.0460859999999998E-4</v>
      </c>
      <c r="AA1322">
        <v>0.9997412</v>
      </c>
      <c r="AB1322">
        <v>29</v>
      </c>
      <c r="AC1322">
        <v>55.660600000000002</v>
      </c>
      <c r="AD1322">
        <v>-1.0604886517959999</v>
      </c>
      <c r="AE1322">
        <v>1.5982999999999901</v>
      </c>
      <c r="AF1322">
        <v>-1.2699102110951199</v>
      </c>
      <c r="AG1322">
        <v>-1.0604886517959999</v>
      </c>
      <c r="AH1322">
        <v>55.648865523926197</v>
      </c>
      <c r="AI1322">
        <v>91.091457311396198</v>
      </c>
      <c r="AJ1322">
        <v>91.307265989828494</v>
      </c>
      <c r="AK1322">
        <v>55.673454556232201</v>
      </c>
      <c r="AL1322">
        <v>82.383530471054399</v>
      </c>
      <c r="AM1322">
        <v>95.199322167596407</v>
      </c>
      <c r="AN1322">
        <v>0.99999994549179505</v>
      </c>
    </row>
    <row r="1323" spans="1:40" x14ac:dyDescent="0.25">
      <c r="A1323" t="str">
        <f>"20190304154746519"</f>
        <v>20190304154746519</v>
      </c>
      <c r="B1323" t="str">
        <f>"1551685666508406"</f>
        <v>1551685666508406</v>
      </c>
      <c r="C1323" t="s">
        <v>40</v>
      </c>
      <c r="D1323">
        <v>4.1894450000000001</v>
      </c>
      <c r="E1323">
        <v>0.52371499999999904</v>
      </c>
      <c r="F1323" t="s">
        <v>44</v>
      </c>
      <c r="G1323">
        <v>-253.2353</v>
      </c>
      <c r="H1323" s="1">
        <v>-3.0688749999999999E-6</v>
      </c>
      <c r="I1323">
        <v>368.5761</v>
      </c>
      <c r="J1323">
        <v>-307.3784</v>
      </c>
      <c r="K1323">
        <v>1.0604720000000001</v>
      </c>
      <c r="L1323">
        <v>366.99810000000002</v>
      </c>
      <c r="M1323">
        <v>0.99991600000000003</v>
      </c>
      <c r="N1323">
        <v>-1.1590319999999999E-2</v>
      </c>
      <c r="O1323">
        <v>5.7946369999999896E-3</v>
      </c>
      <c r="P1323">
        <v>0.98808850000000004</v>
      </c>
      <c r="Q1323">
        <v>0.1206218</v>
      </c>
      <c r="R1323">
        <v>9.5559340000000006E-2</v>
      </c>
      <c r="S1323">
        <v>3.0350950000000001</v>
      </c>
      <c r="T1323">
        <v>-5.9282660000000001E-2</v>
      </c>
      <c r="U1323">
        <v>8.8256840000000003E-2</v>
      </c>
      <c r="V1323">
        <v>-8.9780879999999993E-2</v>
      </c>
      <c r="W1323">
        <v>0.132107</v>
      </c>
      <c r="X1323">
        <v>0.98716119999999996</v>
      </c>
      <c r="Y1323">
        <v>-2.3266539999999999E-2</v>
      </c>
      <c r="Z1323">
        <v>3.1604590000000002E-4</v>
      </c>
      <c r="AA1323">
        <v>0.99972930000000004</v>
      </c>
      <c r="AB1323">
        <v>29</v>
      </c>
      <c r="AC1323">
        <v>54.143099999999997</v>
      </c>
      <c r="AD1323">
        <v>-1.06047506887499</v>
      </c>
      <c r="AE1323">
        <v>1.5779999999999701</v>
      </c>
      <c r="AF1323">
        <v>-1.26372840991658</v>
      </c>
      <c r="AG1323">
        <v>-1.06047506887499</v>
      </c>
      <c r="AH1323">
        <v>54.130586824079202</v>
      </c>
      <c r="AI1323">
        <v>91.122035292866897</v>
      </c>
      <c r="AJ1323">
        <v>91.337379812439806</v>
      </c>
      <c r="AK1323">
        <v>54.1557203514542</v>
      </c>
      <c r="AL1323">
        <v>82.408635585057198</v>
      </c>
      <c r="AM1323">
        <v>95.196671221689101</v>
      </c>
      <c r="AN1323">
        <v>1.0000000503240001</v>
      </c>
    </row>
    <row r="1324" spans="1:40" x14ac:dyDescent="0.25">
      <c r="A1324" t="str">
        <f>"20190304154746529"</f>
        <v>20190304154746529</v>
      </c>
      <c r="B1324" t="str">
        <f>"1551685666518166"</f>
        <v>1551685666518166</v>
      </c>
      <c r="C1324" t="s">
        <v>40</v>
      </c>
      <c r="D1324">
        <v>4.1726000000000001</v>
      </c>
      <c r="E1324">
        <v>0.52348430000000001</v>
      </c>
      <c r="F1324" t="s">
        <v>44</v>
      </c>
      <c r="G1324">
        <v>-255.04</v>
      </c>
      <c r="H1324" s="1">
        <v>-2.3024639999999998E-6</v>
      </c>
      <c r="I1324">
        <v>368.53219999999999</v>
      </c>
      <c r="J1324">
        <v>-307.22449999999998</v>
      </c>
      <c r="K1324">
        <v>1.060462</v>
      </c>
      <c r="L1324">
        <v>366.99889999999999</v>
      </c>
      <c r="M1324">
        <v>0.9999169</v>
      </c>
      <c r="N1324">
        <v>-1.157507E-2</v>
      </c>
      <c r="O1324">
        <v>5.696553E-3</v>
      </c>
      <c r="P1324">
        <v>0.98813740000000005</v>
      </c>
      <c r="Q1324">
        <v>0.12026770000000001</v>
      </c>
      <c r="R1324">
        <v>9.5499669999999995E-2</v>
      </c>
      <c r="S1324">
        <v>3.0350649999999999</v>
      </c>
      <c r="T1324">
        <v>-6.1496019999999998E-2</v>
      </c>
      <c r="U1324">
        <v>8.8958739999999994E-2</v>
      </c>
      <c r="V1324">
        <v>-8.9817350000000004E-2</v>
      </c>
      <c r="W1324">
        <v>0.13173879999999999</v>
      </c>
      <c r="X1324">
        <v>0.9872071</v>
      </c>
      <c r="Y1324">
        <v>-2.3595390000000001E-2</v>
      </c>
      <c r="Z1324">
        <v>3.2612389999999998E-4</v>
      </c>
      <c r="AA1324">
        <v>0.99972150000000004</v>
      </c>
      <c r="AB1324">
        <v>29</v>
      </c>
      <c r="AC1324">
        <v>52.1844999999999</v>
      </c>
      <c r="AD1324">
        <v>-1.0604643024639999</v>
      </c>
      <c r="AE1324">
        <v>1.5332999999999899</v>
      </c>
      <c r="AF1324">
        <v>-1.2354737048022</v>
      </c>
      <c r="AG1324">
        <v>-1.0604643024639999</v>
      </c>
      <c r="AH1324">
        <v>52.170862328053097</v>
      </c>
      <c r="AI1324">
        <v>91.164150580003806</v>
      </c>
      <c r="AJ1324">
        <v>91.356584837902403</v>
      </c>
      <c r="AK1324">
        <v>52.196262853433602</v>
      </c>
      <c r="AL1324">
        <v>82.429917994769397</v>
      </c>
      <c r="AM1324">
        <v>95.198530211565895</v>
      </c>
      <c r="AN1324">
        <v>1.00000006303843</v>
      </c>
    </row>
    <row r="1325" spans="1:40" x14ac:dyDescent="0.25">
      <c r="A1325" t="str">
        <f>"20190304154746542"</f>
        <v>20190304154746542</v>
      </c>
      <c r="B1325" t="str">
        <f>"1551685666537686"</f>
        <v>1551685666537686</v>
      </c>
      <c r="C1325" t="s">
        <v>40</v>
      </c>
      <c r="D1325">
        <v>4.2150999999999996</v>
      </c>
      <c r="E1325">
        <v>0.52314129999999903</v>
      </c>
      <c r="F1325" t="s">
        <v>44</v>
      </c>
      <c r="G1325">
        <v>-256.4751</v>
      </c>
      <c r="H1325" s="1">
        <v>-1.6900389999999999E-6</v>
      </c>
      <c r="I1325">
        <v>368.51400000000001</v>
      </c>
      <c r="J1325">
        <v>-307.07420000000002</v>
      </c>
      <c r="K1325">
        <v>1.060451</v>
      </c>
      <c r="L1325">
        <v>366.99970000000002</v>
      </c>
      <c r="M1325">
        <v>0.99991759999999996</v>
      </c>
      <c r="N1325">
        <v>-1.156185E-2</v>
      </c>
      <c r="O1325">
        <v>5.6004879999999998E-3</v>
      </c>
      <c r="P1325">
        <v>0.98820469999999905</v>
      </c>
      <c r="Q1325">
        <v>0.1199339</v>
      </c>
      <c r="R1325">
        <v>9.5224719999999999E-2</v>
      </c>
      <c r="S1325">
        <v>3.0350039999999998</v>
      </c>
      <c r="T1325">
        <v>-6.3419580000000003E-2</v>
      </c>
      <c r="U1325">
        <v>9.0606690000000004E-2</v>
      </c>
      <c r="V1325">
        <v>-8.9637430000000004E-2</v>
      </c>
      <c r="W1325">
        <v>0.13139229999999999</v>
      </c>
      <c r="X1325">
        <v>0.98726959999999997</v>
      </c>
      <c r="Y1325">
        <v>-2.42338E-2</v>
      </c>
      <c r="Z1325">
        <v>3.4101660000000002E-4</v>
      </c>
      <c r="AA1325">
        <v>0.99970630000000005</v>
      </c>
      <c r="AB1325">
        <v>29</v>
      </c>
      <c r="AC1325">
        <v>50.5991</v>
      </c>
      <c r="AD1325">
        <v>-1.0604526900389999</v>
      </c>
      <c r="AE1325">
        <v>1.51429999999999</v>
      </c>
      <c r="AF1325">
        <v>-1.23033776475949</v>
      </c>
      <c r="AG1325">
        <v>-1.0604526900389999</v>
      </c>
      <c r="AH1325">
        <v>50.584589097032499</v>
      </c>
      <c r="AI1325">
        <v>91.2006148475419</v>
      </c>
      <c r="AJ1325">
        <v>91.393295205993198</v>
      </c>
      <c r="AK1325">
        <v>50.610660389277903</v>
      </c>
      <c r="AL1325">
        <v>82.4499448482227</v>
      </c>
      <c r="AM1325">
        <v>95.187846875339503</v>
      </c>
      <c r="AN1325">
        <v>1.00000003422022</v>
      </c>
    </row>
    <row r="1326" spans="1:40" x14ac:dyDescent="0.25">
      <c r="A1326" t="str">
        <f>"20190304154746555"</f>
        <v>20190304154746555</v>
      </c>
      <c r="B1326" t="str">
        <f>"1551685666548422"</f>
        <v>1551685666548422</v>
      </c>
      <c r="C1326" t="s">
        <v>40</v>
      </c>
      <c r="D1326">
        <v>4.196993</v>
      </c>
      <c r="E1326">
        <v>0.52296279999999995</v>
      </c>
      <c r="F1326" t="s">
        <v>44</v>
      </c>
      <c r="G1326">
        <v>-258.15179999999998</v>
      </c>
      <c r="H1326" s="1">
        <v>-9.7404930000000002E-7</v>
      </c>
      <c r="I1326">
        <v>368.49520000000001</v>
      </c>
      <c r="J1326">
        <v>-306.91489999999999</v>
      </c>
      <c r="K1326">
        <v>1.060441</v>
      </c>
      <c r="L1326">
        <v>367.00049999999999</v>
      </c>
      <c r="M1326">
        <v>0.99991830000000004</v>
      </c>
      <c r="N1326">
        <v>-1.154846E-2</v>
      </c>
      <c r="O1326">
        <v>5.4990019999999898E-3</v>
      </c>
      <c r="P1326">
        <v>0.98825790000000002</v>
      </c>
      <c r="Q1326">
        <v>0.1196956</v>
      </c>
      <c r="R1326">
        <v>9.4970639999999995E-2</v>
      </c>
      <c r="S1326">
        <v>3.034821</v>
      </c>
      <c r="T1326">
        <v>-6.5783380000000002E-2</v>
      </c>
      <c r="U1326">
        <v>9.2773439999999999E-2</v>
      </c>
      <c r="V1326">
        <v>-8.9483179999999996E-2</v>
      </c>
      <c r="W1326">
        <v>0.13114129999999999</v>
      </c>
      <c r="X1326">
        <v>0.98731690000000005</v>
      </c>
      <c r="Y1326">
        <v>-2.5049390000000001E-2</v>
      </c>
      <c r="Z1326">
        <v>3.6043579999999999E-4</v>
      </c>
      <c r="AA1326">
        <v>0.99968610000000002</v>
      </c>
      <c r="AB1326">
        <v>29</v>
      </c>
      <c r="AC1326">
        <v>48.763100000000001</v>
      </c>
      <c r="AD1326">
        <v>-1.0604419740493001</v>
      </c>
      <c r="AE1326">
        <v>1.4947000000000199</v>
      </c>
      <c r="AF1326">
        <v>-1.2259319307087999</v>
      </c>
      <c r="AG1326">
        <v>-1.0604419740493001</v>
      </c>
      <c r="AH1326">
        <v>48.747550289227199</v>
      </c>
      <c r="AI1326">
        <v>91.245807683852405</v>
      </c>
      <c r="AJ1326">
        <v>91.440604150418906</v>
      </c>
      <c r="AK1326">
        <v>48.774492365167603</v>
      </c>
      <c r="AL1326">
        <v>82.464451131751701</v>
      </c>
      <c r="AM1326">
        <v>95.1787213435517</v>
      </c>
      <c r="AN1326">
        <v>0.99999997054710499</v>
      </c>
    </row>
    <row r="1327" spans="1:40" x14ac:dyDescent="0.25">
      <c r="A1327" t="str">
        <f>"20190304154746566"</f>
        <v>20190304154746566</v>
      </c>
      <c r="B1327" t="str">
        <f>"1551685666558182"</f>
        <v>1551685666558182</v>
      </c>
      <c r="C1327" t="s">
        <v>40</v>
      </c>
      <c r="D1327">
        <v>4.1950710000000004</v>
      </c>
      <c r="E1327">
        <v>0.52277479999999998</v>
      </c>
      <c r="F1327" t="s">
        <v>44</v>
      </c>
      <c r="G1327">
        <v>-258.94670000000002</v>
      </c>
      <c r="H1327" s="1">
        <v>-6.4832660000000004E-7</v>
      </c>
      <c r="I1327">
        <v>368.47460000000001</v>
      </c>
      <c r="J1327">
        <v>-306.75</v>
      </c>
      <c r="K1327">
        <v>1.0604359999999999</v>
      </c>
      <c r="L1327">
        <v>367.00130000000001</v>
      </c>
      <c r="M1327">
        <v>0.99991890000000005</v>
      </c>
      <c r="N1327">
        <v>-1.1536070000000001E-2</v>
      </c>
      <c r="O1327">
        <v>5.3936969999999898E-3</v>
      </c>
      <c r="P1327">
        <v>0.98829330000000004</v>
      </c>
      <c r="Q1327">
        <v>0.11944390000000001</v>
      </c>
      <c r="R1327">
        <v>9.4918240000000001E-2</v>
      </c>
      <c r="S1327">
        <v>3.034821</v>
      </c>
      <c r="T1327">
        <v>-6.7091109999999995E-2</v>
      </c>
      <c r="U1327">
        <v>9.3261720000000006E-2</v>
      </c>
      <c r="V1327">
        <v>-8.9534359999999993E-2</v>
      </c>
      <c r="W1327">
        <v>0.13087799999999999</v>
      </c>
      <c r="X1327">
        <v>0.98734719999999998</v>
      </c>
      <c r="Y1327">
        <v>-2.5314989999999999E-2</v>
      </c>
      <c r="Z1327">
        <v>3.6881849999999999E-4</v>
      </c>
      <c r="AA1327">
        <v>0.9996794</v>
      </c>
      <c r="AB1327">
        <v>29</v>
      </c>
      <c r="AC1327">
        <v>47.803299999999901</v>
      </c>
      <c r="AD1327">
        <v>-1.0604366483265999</v>
      </c>
      <c r="AE1327">
        <v>1.4732999999999901</v>
      </c>
      <c r="AF1327">
        <v>-1.2148276398424001</v>
      </c>
      <c r="AG1327">
        <v>-1.0604366483265999</v>
      </c>
      <c r="AH1327">
        <v>47.787057905798299</v>
      </c>
      <c r="AI1327">
        <v>91.270824423566495</v>
      </c>
      <c r="AJ1327">
        <v>91.456241735914304</v>
      </c>
      <c r="AK1327">
        <v>47.814257657855102</v>
      </c>
      <c r="AL1327">
        <v>82.479668284056501</v>
      </c>
      <c r="AM1327">
        <v>95.181509048350193</v>
      </c>
      <c r="AN1327">
        <v>0.999999972926224</v>
      </c>
    </row>
    <row r="1328" spans="1:40" x14ac:dyDescent="0.25">
      <c r="A1328" t="str">
        <f>"20190304154746578"</f>
        <v>20190304154746578</v>
      </c>
      <c r="B1328" t="str">
        <f>"1551685666567942"</f>
        <v>1551685666567942</v>
      </c>
      <c r="C1328" t="s">
        <v>40</v>
      </c>
      <c r="D1328">
        <v>4.2259190000000002</v>
      </c>
      <c r="E1328">
        <v>0.52267989999999998</v>
      </c>
      <c r="F1328" t="s">
        <v>44</v>
      </c>
      <c r="G1328">
        <v>-259.74919999999997</v>
      </c>
      <c r="H1328" s="1">
        <v>-3.7888070000000001E-7</v>
      </c>
      <c r="I1328">
        <v>368.46080000000001</v>
      </c>
      <c r="J1328">
        <v>-306.60399999999998</v>
      </c>
      <c r="K1328">
        <v>1.0604279999999999</v>
      </c>
      <c r="L1328">
        <v>367.00200000000001</v>
      </c>
      <c r="M1328">
        <v>0.99991969999999997</v>
      </c>
      <c r="N1328">
        <v>-1.1525850000000001E-2</v>
      </c>
      <c r="O1328">
        <v>5.3005980000000001E-3</v>
      </c>
      <c r="P1328">
        <v>0.9883151</v>
      </c>
      <c r="Q1328">
        <v>0.1194316</v>
      </c>
      <c r="R1328">
        <v>9.4708070000000005E-2</v>
      </c>
      <c r="S1328">
        <v>3.0347900000000001</v>
      </c>
      <c r="T1328">
        <v>-6.8471069999999995E-2</v>
      </c>
      <c r="U1328">
        <v>9.4238279999999994E-2</v>
      </c>
      <c r="V1328">
        <v>-8.941644E-2</v>
      </c>
      <c r="W1328">
        <v>0.13085579999999999</v>
      </c>
      <c r="X1328">
        <v>0.98736080000000004</v>
      </c>
      <c r="Y1328">
        <v>-2.57293E-2</v>
      </c>
      <c r="Z1328">
        <v>3.8002460000000001E-4</v>
      </c>
      <c r="AA1328">
        <v>0.99966889999999997</v>
      </c>
      <c r="AB1328">
        <v>29</v>
      </c>
      <c r="AC1328">
        <v>46.854799999999997</v>
      </c>
      <c r="AD1328">
        <v>-1.0604283788807001</v>
      </c>
      <c r="AE1328">
        <v>1.4588000000000501</v>
      </c>
      <c r="AF1328">
        <v>-1.2097855161184401</v>
      </c>
      <c r="AG1328">
        <v>-1.0604283788807001</v>
      </c>
      <c r="AH1328">
        <v>46.837906741441302</v>
      </c>
      <c r="AI1328">
        <v>91.296544827650706</v>
      </c>
      <c r="AJ1328">
        <v>91.479574998178194</v>
      </c>
      <c r="AK1328">
        <v>46.865526746871197</v>
      </c>
      <c r="AL1328">
        <v>82.480951071231303</v>
      </c>
      <c r="AM1328">
        <v>95.174650996603802</v>
      </c>
      <c r="AN1328">
        <v>0.99999994475627496</v>
      </c>
    </row>
    <row r="1329" spans="1:40" x14ac:dyDescent="0.25">
      <c r="A1329" t="str">
        <f>"20190304154746589"</f>
        <v>20190304154746589</v>
      </c>
      <c r="B1329" t="str">
        <f>"1551685666577702"</f>
        <v>1551685666577702</v>
      </c>
      <c r="C1329" t="s">
        <v>40</v>
      </c>
      <c r="D1329">
        <v>4.1814429999999998</v>
      </c>
      <c r="E1329">
        <v>0.52255850000000004</v>
      </c>
      <c r="F1329" t="s">
        <v>44</v>
      </c>
      <c r="G1329">
        <v>-259.78469999999999</v>
      </c>
      <c r="H1329" s="1">
        <v>-3.6586810000000002E-7</v>
      </c>
      <c r="I1329">
        <v>368.46429999999998</v>
      </c>
      <c r="J1329">
        <v>-306.46019999999999</v>
      </c>
      <c r="K1329">
        <v>1.060422</v>
      </c>
      <c r="L1329">
        <v>367.0027</v>
      </c>
      <c r="M1329">
        <v>0.99992009999999998</v>
      </c>
      <c r="N1329">
        <v>-1.151629E-2</v>
      </c>
      <c r="O1329">
        <v>5.209343E-3</v>
      </c>
      <c r="P1329">
        <v>0.9883229</v>
      </c>
      <c r="Q1329">
        <v>0.1194385</v>
      </c>
      <c r="R1329">
        <v>9.4617499999999993E-2</v>
      </c>
      <c r="S1329">
        <v>3.0346980000000001</v>
      </c>
      <c r="T1329">
        <v>-6.8733929999999999E-2</v>
      </c>
      <c r="U1329">
        <v>9.47876E-2</v>
      </c>
      <c r="V1329">
        <v>-8.9415999999999995E-2</v>
      </c>
      <c r="W1329">
        <v>0.13085289999999999</v>
      </c>
      <c r="X1329">
        <v>0.9873613</v>
      </c>
      <c r="Y1329">
        <v>-2.600208E-2</v>
      </c>
      <c r="Z1329">
        <v>3.8618540000000002E-4</v>
      </c>
      <c r="AA1329">
        <v>0.99966180000000004</v>
      </c>
      <c r="AB1329">
        <v>29</v>
      </c>
      <c r="AC1329">
        <v>46.6755</v>
      </c>
      <c r="AD1329">
        <v>-1.0604223658681</v>
      </c>
      <c r="AE1329">
        <v>1.46159999999997</v>
      </c>
      <c r="AF1329">
        <v>-1.21778739610399</v>
      </c>
      <c r="AG1329">
        <v>-1.0604223658681</v>
      </c>
      <c r="AH1329">
        <v>46.658421703049299</v>
      </c>
      <c r="AI1329">
        <v>91.301514126379402</v>
      </c>
      <c r="AJ1329">
        <v>91.495083596917198</v>
      </c>
      <c r="AK1329">
        <v>46.686355796482097</v>
      </c>
      <c r="AL1329">
        <v>82.481119236197799</v>
      </c>
      <c r="AM1329">
        <v>95.174623065238706</v>
      </c>
      <c r="AN1329">
        <v>1.0000000196160499</v>
      </c>
    </row>
    <row r="1330" spans="1:40" x14ac:dyDescent="0.25">
      <c r="A1330" t="str">
        <f>"20190304154746600"</f>
        <v>20190304154746600</v>
      </c>
      <c r="B1330" t="str">
        <f>"1551685666588438"</f>
        <v>1551685666588438</v>
      </c>
      <c r="C1330" t="s">
        <v>40</v>
      </c>
      <c r="D1330">
        <v>4.2087389999999996</v>
      </c>
      <c r="E1330">
        <v>0.52242549999999999</v>
      </c>
      <c r="F1330" t="s">
        <v>44</v>
      </c>
      <c r="G1330">
        <v>-259.82749999999999</v>
      </c>
      <c r="H1330" s="1">
        <v>-3.4953910000000001E-7</v>
      </c>
      <c r="I1330">
        <v>368.471</v>
      </c>
      <c r="J1330">
        <v>-306.3218</v>
      </c>
      <c r="K1330">
        <v>1.0604180000000001</v>
      </c>
      <c r="L1330">
        <v>367.00330000000002</v>
      </c>
      <c r="M1330">
        <v>0.9999207</v>
      </c>
      <c r="N1330">
        <v>-1.150813E-2</v>
      </c>
      <c r="O1330">
        <v>5.1214770000000001E-3</v>
      </c>
      <c r="P1330">
        <v>0.98832759999999997</v>
      </c>
      <c r="Q1330">
        <v>0.11946320000000001</v>
      </c>
      <c r="R1330">
        <v>9.4535750000000002E-2</v>
      </c>
      <c r="S1330">
        <v>3.0346069999999998</v>
      </c>
      <c r="T1330">
        <v>-6.9006440000000002E-2</v>
      </c>
      <c r="U1330">
        <v>9.5550540000000003E-2</v>
      </c>
      <c r="V1330">
        <v>-8.9420979999999997E-2</v>
      </c>
      <c r="W1330">
        <v>0.1308695</v>
      </c>
      <c r="X1330">
        <v>0.98735859999999998</v>
      </c>
      <c r="Y1330">
        <v>-2.6341739999999999E-2</v>
      </c>
      <c r="Z1330">
        <v>3.9354329999999999E-4</v>
      </c>
      <c r="AA1330">
        <v>0.99965289999999996</v>
      </c>
      <c r="AB1330">
        <v>29</v>
      </c>
      <c r="AC1330">
        <v>46.494300000000003</v>
      </c>
      <c r="AD1330">
        <v>-1.0604183495391</v>
      </c>
      <c r="AE1330">
        <v>1.46769999999997</v>
      </c>
      <c r="AF1330">
        <v>-1.22890688144684</v>
      </c>
      <c r="AG1330">
        <v>-1.0604183495391</v>
      </c>
      <c r="AH1330">
        <v>46.477054998746702</v>
      </c>
      <c r="AI1330">
        <v>91.306574605077401</v>
      </c>
      <c r="AJ1330">
        <v>91.514613515021907</v>
      </c>
      <c r="AK1330">
        <v>46.505390446225</v>
      </c>
      <c r="AL1330">
        <v>82.480159511358394</v>
      </c>
      <c r="AM1330">
        <v>95.1749237740502</v>
      </c>
      <c r="AN1330">
        <v>0.99999997134418395</v>
      </c>
    </row>
    <row r="1331" spans="1:40" x14ac:dyDescent="0.25">
      <c r="A1331" t="str">
        <f>"20190304154746610"</f>
        <v>20190304154746610</v>
      </c>
      <c r="B1331" t="str">
        <f>"1551685666607957"</f>
        <v>1551685666607957</v>
      </c>
      <c r="C1331" t="s">
        <v>40</v>
      </c>
      <c r="D1331">
        <v>4.1745739999999998</v>
      </c>
      <c r="E1331">
        <v>0.52220979999999995</v>
      </c>
      <c r="F1331" t="s">
        <v>44</v>
      </c>
      <c r="G1331">
        <v>-259.85390000000001</v>
      </c>
      <c r="H1331" s="1">
        <v>-3.3952709999999999E-7</v>
      </c>
      <c r="I1331">
        <v>368.47489999999999</v>
      </c>
      <c r="J1331">
        <v>-306.17610000000002</v>
      </c>
      <c r="K1331">
        <v>1.0604129999999901</v>
      </c>
      <c r="L1331">
        <v>367.00400000000002</v>
      </c>
      <c r="M1331">
        <v>0.99992130000000001</v>
      </c>
      <c r="N1331">
        <v>-1.1499799999999999E-2</v>
      </c>
      <c r="O1331">
        <v>5.029024E-3</v>
      </c>
      <c r="P1331">
        <v>0.98829599999999995</v>
      </c>
      <c r="Q1331">
        <v>0.11979190000000001</v>
      </c>
      <c r="R1331">
        <v>9.4450809999999996E-2</v>
      </c>
      <c r="S1331">
        <v>3.0346069999999998</v>
      </c>
      <c r="T1331">
        <v>-6.9250820000000005E-2</v>
      </c>
      <c r="U1331">
        <v>9.6099850000000001E-2</v>
      </c>
      <c r="V1331">
        <v>-8.9427999999999994E-2</v>
      </c>
      <c r="W1331">
        <v>0.13118949999999999</v>
      </c>
      <c r="X1331">
        <v>0.98731550000000001</v>
      </c>
      <c r="Y1331">
        <v>-2.6614780000000001E-2</v>
      </c>
      <c r="Z1331">
        <v>3.9976950000000002E-4</v>
      </c>
      <c r="AA1331">
        <v>0.99964569999999997</v>
      </c>
      <c r="AB1331">
        <v>29</v>
      </c>
      <c r="AC1331">
        <v>46.322200000000002</v>
      </c>
      <c r="AD1331">
        <v>-1.06041333952709</v>
      </c>
      <c r="AE1331">
        <v>1.4708999999999699</v>
      </c>
      <c r="AF1331">
        <v>-1.23726281960995</v>
      </c>
      <c r="AG1331">
        <v>-1.06041333952709</v>
      </c>
      <c r="AH1331">
        <v>46.304770297389297</v>
      </c>
      <c r="AI1331">
        <v>91.311418338275303</v>
      </c>
      <c r="AJ1331">
        <v>91.530578246595894</v>
      </c>
      <c r="AK1331">
        <v>46.3334333719122</v>
      </c>
      <c r="AL1331">
        <v>82.4616654364157</v>
      </c>
      <c r="AM1331">
        <v>95.175552521153193</v>
      </c>
      <c r="AN1331">
        <v>0.99999997431724896</v>
      </c>
    </row>
    <row r="1332" spans="1:40" x14ac:dyDescent="0.25">
      <c r="A1332" t="str">
        <f>"20190304154746622"</f>
        <v>20190304154746622</v>
      </c>
      <c r="B1332" t="str">
        <f>"1551685666617717"</f>
        <v>1551685666617717</v>
      </c>
      <c r="C1332" t="s">
        <v>40</v>
      </c>
      <c r="D1332">
        <v>4.2232089999999998</v>
      </c>
      <c r="E1332">
        <v>0.52210789999999996</v>
      </c>
      <c r="F1332" t="s">
        <v>44</v>
      </c>
      <c r="G1332">
        <v>-259.43830000000003</v>
      </c>
      <c r="H1332" s="1">
        <v>-4.7262120000000002E-7</v>
      </c>
      <c r="I1332">
        <v>368.50619999999998</v>
      </c>
      <c r="J1332">
        <v>-306.03949999999998</v>
      </c>
      <c r="K1332">
        <v>1.0604089999999999</v>
      </c>
      <c r="L1332">
        <v>367.00450000000001</v>
      </c>
      <c r="M1332">
        <v>0.99992190000000003</v>
      </c>
      <c r="N1332">
        <v>-1.149304E-2</v>
      </c>
      <c r="O1332">
        <v>4.9422829999999996E-3</v>
      </c>
      <c r="P1332">
        <v>0.98827889999999996</v>
      </c>
      <c r="Q1332">
        <v>0.1199436</v>
      </c>
      <c r="R1332">
        <v>9.4439159999999994E-2</v>
      </c>
      <c r="S1332">
        <v>3.0345759999999999</v>
      </c>
      <c r="T1332">
        <v>-6.8850040000000001E-2</v>
      </c>
      <c r="U1332">
        <v>9.7534179999999998E-2</v>
      </c>
      <c r="V1332">
        <v>-8.9501600000000001E-2</v>
      </c>
      <c r="W1332">
        <v>0.13133410000000001</v>
      </c>
      <c r="X1332">
        <v>0.98728959999999999</v>
      </c>
      <c r="Y1332">
        <v>-2.7173699999999999E-2</v>
      </c>
      <c r="Z1332">
        <v>4.0907569999999998E-4</v>
      </c>
      <c r="AA1332">
        <v>0.99963060000000004</v>
      </c>
      <c r="AB1332">
        <v>29</v>
      </c>
      <c r="AC1332">
        <v>46.601199999999899</v>
      </c>
      <c r="AD1332">
        <v>-1.0604094726211999</v>
      </c>
      <c r="AE1332">
        <v>1.5016999999999701</v>
      </c>
      <c r="AF1332">
        <v>-1.2706928943661799</v>
      </c>
      <c r="AG1332">
        <v>-1.0604094726211999</v>
      </c>
      <c r="AH1332">
        <v>46.583957443490903</v>
      </c>
      <c r="AI1332">
        <v>91.303537109840306</v>
      </c>
      <c r="AJ1332">
        <v>91.562496935759796</v>
      </c>
      <c r="AK1332">
        <v>46.613348085911902</v>
      </c>
      <c r="AL1332">
        <v>82.453308111034204</v>
      </c>
      <c r="AM1332">
        <v>95.179924027867798</v>
      </c>
      <c r="AN1332">
        <v>0.99999996824676396</v>
      </c>
    </row>
    <row r="1333" spans="1:40" x14ac:dyDescent="0.25">
      <c r="A1333" t="str">
        <f>"20190304154746633"</f>
        <v>20190304154746633</v>
      </c>
      <c r="B1333" t="str">
        <f>"1551685666628454"</f>
        <v>1551685666628454</v>
      </c>
      <c r="C1333" t="s">
        <v>40</v>
      </c>
      <c r="D1333">
        <v>4.2075979999999999</v>
      </c>
      <c r="E1333">
        <v>0.52201589999999998</v>
      </c>
      <c r="F1333" t="s">
        <v>44</v>
      </c>
      <c r="G1333">
        <v>-259.13639999999998</v>
      </c>
      <c r="H1333" s="1">
        <v>-5.6911269999999999E-7</v>
      </c>
      <c r="I1333">
        <v>368.52949999999998</v>
      </c>
      <c r="J1333">
        <v>-305.9008</v>
      </c>
      <c r="K1333">
        <v>1.060408</v>
      </c>
      <c r="L1333">
        <v>367.00510000000003</v>
      </c>
      <c r="M1333">
        <v>0.99992230000000004</v>
      </c>
      <c r="N1333">
        <v>-1.148627E-2</v>
      </c>
      <c r="O1333">
        <v>4.85441E-3</v>
      </c>
      <c r="P1333">
        <v>0.98830720000000005</v>
      </c>
      <c r="Q1333">
        <v>0.11990140000000001</v>
      </c>
      <c r="R1333">
        <v>9.4195950000000001E-2</v>
      </c>
      <c r="S1333">
        <v>3.034424</v>
      </c>
      <c r="T1333">
        <v>-6.8603750000000005E-2</v>
      </c>
      <c r="U1333">
        <v>9.8663329999999994E-2</v>
      </c>
      <c r="V1333">
        <v>-8.9345869999999994E-2</v>
      </c>
      <c r="W1333">
        <v>0.1312854</v>
      </c>
      <c r="X1333">
        <v>0.98731020000000003</v>
      </c>
      <c r="Y1333">
        <v>-2.7634619999999999E-2</v>
      </c>
      <c r="Z1333">
        <v>4.1709180000000002E-4</v>
      </c>
      <c r="AA1333">
        <v>0.99961800000000001</v>
      </c>
      <c r="AB1333">
        <v>29</v>
      </c>
      <c r="AC1333">
        <v>46.764400000000002</v>
      </c>
      <c r="AD1333">
        <v>-1.0604085691126901</v>
      </c>
      <c r="AE1333">
        <v>1.52439999999995</v>
      </c>
      <c r="AF1333">
        <v>-1.29668747623613</v>
      </c>
      <c r="AG1333">
        <v>-1.0604085691126901</v>
      </c>
      <c r="AH1333">
        <v>46.747238454817001</v>
      </c>
      <c r="AI1333">
        <v>91.298968061923404</v>
      </c>
      <c r="AJ1333">
        <v>91.588878329006704</v>
      </c>
      <c r="AK1333">
        <v>46.777239849054801</v>
      </c>
      <c r="AL1333">
        <v>82.456122920578593</v>
      </c>
      <c r="AM1333">
        <v>95.170852718486799</v>
      </c>
      <c r="AN1333">
        <v>0.99999998588162797</v>
      </c>
    </row>
    <row r="1334" spans="1:40" x14ac:dyDescent="0.25">
      <c r="A1334" t="str">
        <f>"20190304154746643"</f>
        <v>20190304154746643</v>
      </c>
      <c r="B1334" t="str">
        <f>"1551685666638213"</f>
        <v>1551685666638213</v>
      </c>
      <c r="C1334" t="s">
        <v>40</v>
      </c>
      <c r="D1334">
        <v>4.2147249999999996</v>
      </c>
      <c r="E1334">
        <v>0.52193400000000001</v>
      </c>
      <c r="F1334" t="s">
        <v>44</v>
      </c>
      <c r="G1334">
        <v>-259.1798</v>
      </c>
      <c r="H1334" s="1">
        <v>-5.5603499999999996E-7</v>
      </c>
      <c r="I1334">
        <v>368.52330000000001</v>
      </c>
      <c r="J1334">
        <v>-305.7561</v>
      </c>
      <c r="K1334">
        <v>1.0604020000000001</v>
      </c>
      <c r="L1334">
        <v>367.00569999999999</v>
      </c>
      <c r="M1334">
        <v>0.99992289999999995</v>
      </c>
      <c r="N1334">
        <v>-1.148013E-2</v>
      </c>
      <c r="O1334">
        <v>4.762779E-3</v>
      </c>
      <c r="P1334">
        <v>0.98830130000000005</v>
      </c>
      <c r="Q1334">
        <v>0.119992</v>
      </c>
      <c r="R1334">
        <v>9.4142379999999998E-2</v>
      </c>
      <c r="S1334">
        <v>3.0344540000000002</v>
      </c>
      <c r="T1334">
        <v>-6.8871740000000001E-2</v>
      </c>
      <c r="U1334">
        <v>9.8602289999999995E-2</v>
      </c>
      <c r="V1334">
        <v>-8.9382539999999996E-2</v>
      </c>
      <c r="W1334">
        <v>0.13137009999999999</v>
      </c>
      <c r="X1334">
        <v>0.98729560000000005</v>
      </c>
      <c r="Y1334">
        <v>-2.770572E-2</v>
      </c>
      <c r="Z1334">
        <v>4.2000810000000001E-4</v>
      </c>
      <c r="AA1334">
        <v>0.99961599999999995</v>
      </c>
      <c r="AB1334">
        <v>29</v>
      </c>
      <c r="AC1334">
        <v>46.576300000000003</v>
      </c>
      <c r="AD1334">
        <v>-1.0604025560349899</v>
      </c>
      <c r="AE1334">
        <v>1.5176000000000101</v>
      </c>
      <c r="AF1334">
        <v>-1.2950650061983899</v>
      </c>
      <c r="AG1334">
        <v>-1.0604025560349899</v>
      </c>
      <c r="AH1334">
        <v>46.5588925597852</v>
      </c>
      <c r="AI1334">
        <v>91.304210807207696</v>
      </c>
      <c r="AJ1334">
        <v>91.593307464704395</v>
      </c>
      <c r="AK1334">
        <v>46.588969975142703</v>
      </c>
      <c r="AL1334">
        <v>82.451227461729502</v>
      </c>
      <c r="AM1334">
        <v>95.173039548765303</v>
      </c>
      <c r="AN1334">
        <v>0.99999997170511001</v>
      </c>
    </row>
    <row r="1335" spans="1:40" x14ac:dyDescent="0.25">
      <c r="A1335" t="str">
        <f>"20190304154746655"</f>
        <v>20190304154746655</v>
      </c>
      <c r="B1335" t="str">
        <f>"1551685666647974"</f>
        <v>1551685666647974</v>
      </c>
      <c r="C1335" t="s">
        <v>40</v>
      </c>
      <c r="D1335">
        <v>4.2226710000000001</v>
      </c>
      <c r="E1335">
        <v>0.52183409999999997</v>
      </c>
      <c r="F1335" t="s">
        <v>44</v>
      </c>
      <c r="G1335">
        <v>-258.90980000000002</v>
      </c>
      <c r="H1335" s="1">
        <v>-6.4591340000000004E-7</v>
      </c>
      <c r="I1335">
        <v>368.53070000000002</v>
      </c>
      <c r="J1335">
        <v>-305.60570000000001</v>
      </c>
      <c r="K1335">
        <v>1.0603990000000001</v>
      </c>
      <c r="L1335">
        <v>367.00630000000001</v>
      </c>
      <c r="M1335">
        <v>0.99992340000000002</v>
      </c>
      <c r="N1335">
        <v>-1.147403E-2</v>
      </c>
      <c r="O1335">
        <v>4.6676299999999999E-3</v>
      </c>
      <c r="P1335">
        <v>0.98829659999999997</v>
      </c>
      <c r="Q1335">
        <v>0.11992559999999999</v>
      </c>
      <c r="R1335">
        <v>9.4276559999999995E-2</v>
      </c>
      <c r="S1335">
        <v>3.0344850000000001</v>
      </c>
      <c r="T1335">
        <v>-6.8687799999999993E-2</v>
      </c>
      <c r="U1335">
        <v>9.8785399999999995E-2</v>
      </c>
      <c r="V1335">
        <v>-8.9611250000000003E-2</v>
      </c>
      <c r="W1335">
        <v>0.13129769999999999</v>
      </c>
      <c r="X1335">
        <v>0.98728450000000001</v>
      </c>
      <c r="Y1335">
        <v>-2.786075E-2</v>
      </c>
      <c r="Z1335">
        <v>4.2304670000000002E-4</v>
      </c>
      <c r="AA1335">
        <v>0.99961169999999999</v>
      </c>
      <c r="AB1335">
        <v>29</v>
      </c>
      <c r="AC1335">
        <v>46.695900000000002</v>
      </c>
      <c r="AD1335">
        <v>-1.0603996459134</v>
      </c>
      <c r="AE1335">
        <v>1.52440000000001</v>
      </c>
      <c r="AF1335">
        <v>-1.3057372581333899</v>
      </c>
      <c r="AG1335">
        <v>-1.0603996459134</v>
      </c>
      <c r="AH1335">
        <v>46.678461458048197</v>
      </c>
      <c r="AI1335">
        <v>91.300861890947701</v>
      </c>
      <c r="AJ1335">
        <v>91.602317800124297</v>
      </c>
      <c r="AK1335">
        <v>46.708758935416199</v>
      </c>
      <c r="AL1335">
        <v>82.455411931456496</v>
      </c>
      <c r="AM1335">
        <v>95.186262103669605</v>
      </c>
      <c r="AN1335">
        <v>0.99999997304605004</v>
      </c>
    </row>
    <row r="1336" spans="1:40" x14ac:dyDescent="0.25">
      <c r="A1336" t="str">
        <f>"20190304154746665"</f>
        <v>20190304154746665</v>
      </c>
      <c r="B1336" t="str">
        <f>"1551685666657734"</f>
        <v>1551685666657734</v>
      </c>
      <c r="C1336" t="s">
        <v>40</v>
      </c>
      <c r="D1336">
        <v>4.2107029999999996</v>
      </c>
      <c r="E1336">
        <v>0.52171690000000004</v>
      </c>
      <c r="F1336" t="s">
        <v>44</v>
      </c>
      <c r="G1336">
        <v>-258.89940000000001</v>
      </c>
      <c r="H1336" s="1">
        <v>-6.4523989999999998E-7</v>
      </c>
      <c r="I1336">
        <v>368.54660000000001</v>
      </c>
      <c r="J1336">
        <v>-305.46960000000001</v>
      </c>
      <c r="K1336">
        <v>1.060395</v>
      </c>
      <c r="L1336">
        <v>367.00689999999997</v>
      </c>
      <c r="M1336">
        <v>0.99992380000000003</v>
      </c>
      <c r="N1336">
        <v>-1.146904E-2</v>
      </c>
      <c r="O1336">
        <v>4.581534E-3</v>
      </c>
      <c r="P1336">
        <v>0.98831610000000003</v>
      </c>
      <c r="Q1336">
        <v>0.1198501</v>
      </c>
      <c r="R1336">
        <v>9.4167329999999994E-2</v>
      </c>
      <c r="S1336">
        <v>3.034332</v>
      </c>
      <c r="T1336">
        <v>-6.8889980000000003E-2</v>
      </c>
      <c r="U1336">
        <v>0.10006710000000001</v>
      </c>
      <c r="V1336">
        <v>-8.9586799999999994E-2</v>
      </c>
      <c r="W1336">
        <v>0.13121739999999901</v>
      </c>
      <c r="X1336">
        <v>0.98729739999999999</v>
      </c>
      <c r="Y1336">
        <v>-2.8369990000000001E-2</v>
      </c>
      <c r="Z1336">
        <v>4.3324770000000002E-4</v>
      </c>
      <c r="AA1336">
        <v>0.99959739999999997</v>
      </c>
      <c r="AB1336">
        <v>29</v>
      </c>
      <c r="AC1336">
        <v>46.5702</v>
      </c>
      <c r="AD1336">
        <v>-1.0603956452398999</v>
      </c>
      <c r="AE1336">
        <v>1.53970000000003</v>
      </c>
      <c r="AF1336">
        <v>-1.3256203262322499</v>
      </c>
      <c r="AG1336">
        <v>-1.0603956452398999</v>
      </c>
      <c r="AH1336">
        <v>46.552656238544401</v>
      </c>
      <c r="AI1336">
        <v>91.3043527588666</v>
      </c>
      <c r="AJ1336">
        <v>91.631097706280499</v>
      </c>
      <c r="AK1336">
        <v>46.583597016952801</v>
      </c>
      <c r="AL1336">
        <v>82.460052976011895</v>
      </c>
      <c r="AM1336">
        <v>95.184787394538304</v>
      </c>
      <c r="AN1336">
        <v>0.99999997842187904</v>
      </c>
    </row>
    <row r="1337" spans="1:40" x14ac:dyDescent="0.25">
      <c r="A1337" t="str">
        <f>"20190304154746675"</f>
        <v>20190304154746675</v>
      </c>
      <c r="B1337" t="str">
        <f>"1551685666667494"</f>
        <v>1551685666667494</v>
      </c>
      <c r="C1337" t="s">
        <v>40</v>
      </c>
      <c r="D1337">
        <v>4.2382030000000004</v>
      </c>
      <c r="E1337">
        <v>0.52165689999999998</v>
      </c>
      <c r="F1337" t="s">
        <v>44</v>
      </c>
      <c r="G1337">
        <v>-259.08980000000003</v>
      </c>
      <c r="H1337" s="1">
        <v>-5.8091229999999996E-7</v>
      </c>
      <c r="I1337">
        <v>368.54480000000001</v>
      </c>
      <c r="J1337">
        <v>-305.34370000000001</v>
      </c>
      <c r="K1337">
        <v>1.060392</v>
      </c>
      <c r="L1337">
        <v>367.00740000000002</v>
      </c>
      <c r="M1337">
        <v>0.99992420000000004</v>
      </c>
      <c r="N1337">
        <v>-1.14647E-2</v>
      </c>
      <c r="O1337">
        <v>4.50199E-3</v>
      </c>
      <c r="P1337">
        <v>0.98830609999999997</v>
      </c>
      <c r="Q1337">
        <v>0.11995690000000001</v>
      </c>
      <c r="R1337">
        <v>9.4135849999999993E-2</v>
      </c>
      <c r="S1337">
        <v>3.034332</v>
      </c>
      <c r="T1337">
        <v>-6.9374679999999994E-2</v>
      </c>
      <c r="U1337">
        <v>0.1006165</v>
      </c>
      <c r="V1337">
        <v>-8.9634050000000007E-2</v>
      </c>
      <c r="W1337">
        <v>0.13131950000000001</v>
      </c>
      <c r="X1337">
        <v>0.98727949999999998</v>
      </c>
      <c r="Y1337">
        <v>-2.8630039999999999E-2</v>
      </c>
      <c r="Z1337">
        <v>4.4006820000000002E-4</v>
      </c>
      <c r="AA1337">
        <v>0.99958999999999998</v>
      </c>
      <c r="AB1337">
        <v>29</v>
      </c>
      <c r="AC1337">
        <v>46.253899999999902</v>
      </c>
      <c r="AD1337">
        <v>-1.0603925809123</v>
      </c>
      <c r="AE1337">
        <v>1.5373999999999901</v>
      </c>
      <c r="AF1337">
        <v>-1.32843872117077</v>
      </c>
      <c r="AG1337">
        <v>-1.0603925809123</v>
      </c>
      <c r="AH1337">
        <v>46.236079195970397</v>
      </c>
      <c r="AI1337">
        <v>91.313267109482794</v>
      </c>
      <c r="AJ1337">
        <v>91.645749370339999</v>
      </c>
      <c r="AK1337">
        <v>46.267312449261702</v>
      </c>
      <c r="AL1337">
        <v>82.454151742757603</v>
      </c>
      <c r="AM1337">
        <v>95.187600586526003</v>
      </c>
      <c r="AN1337">
        <v>0.99999994255994895</v>
      </c>
    </row>
    <row r="1338" spans="1:40" x14ac:dyDescent="0.25">
      <c r="A1338" t="str">
        <f>"20190304154746686"</f>
        <v>20190304154746686</v>
      </c>
      <c r="B1338" t="str">
        <f>"1551685666678230"</f>
        <v>1551685666678230</v>
      </c>
      <c r="C1338" t="s">
        <v>40</v>
      </c>
      <c r="D1338">
        <v>4.2108780000000001</v>
      </c>
      <c r="E1338">
        <v>0.52157419999999999</v>
      </c>
      <c r="F1338" t="s">
        <v>44</v>
      </c>
      <c r="G1338">
        <v>-258.9008</v>
      </c>
      <c r="H1338" s="1">
        <v>-6.4281049999999998E-7</v>
      </c>
      <c r="I1338">
        <v>368.55399999999997</v>
      </c>
      <c r="J1338">
        <v>-305.2038</v>
      </c>
      <c r="K1338">
        <v>1.060389</v>
      </c>
      <c r="L1338">
        <v>367.00790000000001</v>
      </c>
      <c r="M1338">
        <v>0.99992449999999999</v>
      </c>
      <c r="N1338">
        <v>-1.146032E-2</v>
      </c>
      <c r="O1338">
        <v>4.4138620000000002E-3</v>
      </c>
      <c r="P1338">
        <v>0.98830320000000005</v>
      </c>
      <c r="Q1338">
        <v>0.12001680000000001</v>
      </c>
      <c r="R1338">
        <v>9.4089039999999999E-2</v>
      </c>
      <c r="S1338">
        <v>3.0342709999999999</v>
      </c>
      <c r="T1338">
        <v>-6.9278839999999994E-2</v>
      </c>
      <c r="U1338">
        <v>0.1010437</v>
      </c>
      <c r="V1338">
        <v>-8.967435E-2</v>
      </c>
      <c r="W1338">
        <v>0.1313753</v>
      </c>
      <c r="X1338">
        <v>0.98726849999999999</v>
      </c>
      <c r="Y1338">
        <v>-2.8859329999999999E-2</v>
      </c>
      <c r="Z1338">
        <v>4.4461279999999999E-4</v>
      </c>
      <c r="AA1338">
        <v>0.99958340000000001</v>
      </c>
      <c r="AB1338">
        <v>29</v>
      </c>
      <c r="AC1338">
        <v>46.302999999999997</v>
      </c>
      <c r="AD1338">
        <v>-1.0603896428105</v>
      </c>
      <c r="AE1338">
        <v>1.54610000000002</v>
      </c>
      <c r="AF1338">
        <v>-1.3409939299095699</v>
      </c>
      <c r="AG1338">
        <v>-1.0603896428105</v>
      </c>
      <c r="AH1338">
        <v>46.285125937474703</v>
      </c>
      <c r="AI1338">
        <v>91.311863234864603</v>
      </c>
      <c r="AJ1338">
        <v>91.659535407092093</v>
      </c>
      <c r="AK1338">
        <v>46.316687856133697</v>
      </c>
      <c r="AL1338">
        <v>82.450927321993007</v>
      </c>
      <c r="AM1338">
        <v>95.1899777377578</v>
      </c>
      <c r="AN1338">
        <v>1.0000000247951299</v>
      </c>
    </row>
    <row r="1339" spans="1:40" x14ac:dyDescent="0.25">
      <c r="A1339" t="str">
        <f>"20190304154746696"</f>
        <v>20190304154746696</v>
      </c>
      <c r="B1339" t="str">
        <f>"1551685666687990"</f>
        <v>1551685666687990</v>
      </c>
      <c r="C1339" t="s">
        <v>40</v>
      </c>
      <c r="D1339">
        <v>4.6774789999999999</v>
      </c>
      <c r="E1339">
        <v>0.52157419999999999</v>
      </c>
      <c r="F1339" t="s">
        <v>44</v>
      </c>
      <c r="G1339">
        <v>-258.8252</v>
      </c>
      <c r="H1339" s="1">
        <v>-6.7429789999999995E-7</v>
      </c>
      <c r="I1339">
        <v>368.55650000000003</v>
      </c>
      <c r="J1339">
        <v>-305.06490000000002</v>
      </c>
      <c r="K1339">
        <v>1.0603830000000001</v>
      </c>
      <c r="L1339">
        <v>367.00850000000003</v>
      </c>
      <c r="M1339">
        <v>0.99992499999999995</v>
      </c>
      <c r="N1339">
        <v>-1.1456300000000001E-2</v>
      </c>
      <c r="O1339">
        <v>4.3262689999999998E-3</v>
      </c>
      <c r="P1339">
        <v>0.98832850000000005</v>
      </c>
      <c r="Q1339">
        <v>0.1198743</v>
      </c>
      <c r="R1339">
        <v>9.4006270000000003E-2</v>
      </c>
      <c r="S1339">
        <v>3.0342709999999999</v>
      </c>
      <c r="T1339">
        <v>-6.93748E-2</v>
      </c>
      <c r="U1339">
        <v>0.1013184</v>
      </c>
      <c r="V1339">
        <v>-8.9677969999999996E-2</v>
      </c>
      <c r="W1339">
        <v>0.13122919999999999</v>
      </c>
      <c r="X1339">
        <v>0.98728760000000004</v>
      </c>
      <c r="Y1339">
        <v>-2.9037179999999999E-2</v>
      </c>
      <c r="Z1339">
        <v>4.489036E-4</v>
      </c>
      <c r="AA1339">
        <v>0.99957819999999997</v>
      </c>
      <c r="AB1339">
        <v>29</v>
      </c>
      <c r="AC1339">
        <v>46.239699999999999</v>
      </c>
      <c r="AD1339">
        <v>-1.0603836742979</v>
      </c>
      <c r="AE1339">
        <v>1.548</v>
      </c>
      <c r="AF1339">
        <v>-1.3472193007956299</v>
      </c>
      <c r="AG1339">
        <v>-1.0603836742979</v>
      </c>
      <c r="AH1339">
        <v>46.2216843473282</v>
      </c>
      <c r="AI1339">
        <v>91.3136491596036</v>
      </c>
      <c r="AJ1339">
        <v>91.669522292810996</v>
      </c>
      <c r="AK1339">
        <v>46.253470326940899</v>
      </c>
      <c r="AL1339">
        <v>82.459371327968896</v>
      </c>
      <c r="AM1339">
        <v>95.190086243423494</v>
      </c>
      <c r="AN1339">
        <v>1.00000002317486</v>
      </c>
    </row>
    <row r="1340" spans="1:40" x14ac:dyDescent="0.25">
      <c r="A1340" t="str">
        <f>"20190304154746707"</f>
        <v>20190304154746707</v>
      </c>
      <c r="B1340" t="str">
        <f>"1551685666697750"</f>
        <v>1551685666697750</v>
      </c>
      <c r="C1340" t="s">
        <v>40</v>
      </c>
      <c r="D1340">
        <v>4.3265010000000004</v>
      </c>
      <c r="E1340">
        <v>0.53425310000000004</v>
      </c>
      <c r="F1340" t="s">
        <v>44</v>
      </c>
      <c r="G1340">
        <v>-258.97120000000001</v>
      </c>
      <c r="H1340" s="1">
        <v>-6.2031489999999996E-7</v>
      </c>
      <c r="I1340">
        <v>368.54849999999999</v>
      </c>
      <c r="J1340">
        <v>-304.92059999999998</v>
      </c>
      <c r="K1340">
        <v>1.060376</v>
      </c>
      <c r="L1340">
        <v>367.00900000000001</v>
      </c>
      <c r="M1340">
        <v>0.99992550000000002</v>
      </c>
      <c r="N1340">
        <v>-1.1452449999999999E-2</v>
      </c>
      <c r="O1340">
        <v>4.2346249999999997E-3</v>
      </c>
      <c r="P1340">
        <v>0.98832160000000002</v>
      </c>
      <c r="Q1340">
        <v>0.1201255</v>
      </c>
      <c r="R1340">
        <v>9.3757289999999993E-2</v>
      </c>
      <c r="S1340">
        <v>3.0342410000000002</v>
      </c>
      <c r="T1340">
        <v>-6.9802279999999994E-2</v>
      </c>
      <c r="U1340">
        <v>0.10137939999999999</v>
      </c>
      <c r="V1340">
        <v>-8.9519660000000001E-2</v>
      </c>
      <c r="W1340">
        <v>0.13147639999999999</v>
      </c>
      <c r="X1340">
        <v>0.98726899999999995</v>
      </c>
      <c r="Y1340">
        <v>-2.9149049999999999E-2</v>
      </c>
      <c r="Z1340">
        <v>4.5325390000000001E-4</v>
      </c>
      <c r="AA1340">
        <v>0.99957499999999999</v>
      </c>
      <c r="AB1340">
        <v>29</v>
      </c>
      <c r="AC1340">
        <v>45.949399999999898</v>
      </c>
      <c r="AD1340">
        <v>-1.0603766203149001</v>
      </c>
      <c r="AE1340">
        <v>1.5394999999999699</v>
      </c>
      <c r="AF1340">
        <v>-1.34417992403979</v>
      </c>
      <c r="AG1340">
        <v>-1.0603766203149001</v>
      </c>
      <c r="AH1340">
        <v>45.931074414802403</v>
      </c>
      <c r="AI1340">
        <v>91.3219444421742</v>
      </c>
      <c r="AJ1340">
        <v>91.676291314959101</v>
      </c>
      <c r="AK1340">
        <v>45.962972218332702</v>
      </c>
      <c r="AL1340">
        <v>82.445083434056201</v>
      </c>
      <c r="AM1340">
        <v>95.181071082208504</v>
      </c>
      <c r="AN1340">
        <v>0.99999994582223595</v>
      </c>
    </row>
    <row r="1341" spans="1:40" x14ac:dyDescent="0.25">
      <c r="A1341" t="str">
        <f>"20190304154746719"</f>
        <v>20190304154746719</v>
      </c>
      <c r="B1341" t="str">
        <f>"1551685666707510"</f>
        <v>1551685666707510</v>
      </c>
      <c r="C1341" t="s">
        <v>40</v>
      </c>
      <c r="D1341">
        <v>4.2780969999999998</v>
      </c>
      <c r="E1341">
        <v>0.53908109999999998</v>
      </c>
      <c r="F1341" t="s">
        <v>44</v>
      </c>
      <c r="G1341">
        <v>-276.88889999999998</v>
      </c>
      <c r="H1341" s="1">
        <v>-1.780979E-6</v>
      </c>
      <c r="I1341">
        <v>367.00049999999999</v>
      </c>
      <c r="J1341">
        <v>-304.77600000000001</v>
      </c>
      <c r="K1341">
        <v>1.0603720000000001</v>
      </c>
      <c r="L1341">
        <v>367.0095</v>
      </c>
      <c r="M1341">
        <v>0.99992599999999998</v>
      </c>
      <c r="N1341">
        <v>-1.1449020000000001E-2</v>
      </c>
      <c r="O1341">
        <v>4.1430959999999998E-3</v>
      </c>
      <c r="P1341">
        <v>0.98833130000000002</v>
      </c>
      <c r="Q1341">
        <v>0.1200365</v>
      </c>
      <c r="R1341">
        <v>9.3770489999999998E-2</v>
      </c>
      <c r="S1341">
        <v>3.0495610000000002</v>
      </c>
      <c r="T1341">
        <v>-0.1153579</v>
      </c>
      <c r="U1341">
        <v>-9.1552729999999996E-4</v>
      </c>
      <c r="V1341">
        <v>-8.9623410000000001E-2</v>
      </c>
      <c r="W1341">
        <v>0.1313838</v>
      </c>
      <c r="X1341">
        <v>0.98727200000000004</v>
      </c>
      <c r="Y1341">
        <v>4.4380039999999997E-3</v>
      </c>
      <c r="Z1341">
        <v>-2.1857100000000001E-4</v>
      </c>
      <c r="AA1341">
        <v>0.99999009999999999</v>
      </c>
      <c r="AB1341">
        <v>29</v>
      </c>
      <c r="AC1341">
        <v>27.8871</v>
      </c>
      <c r="AD1341">
        <v>-1.0603737809789999</v>
      </c>
      <c r="AE1341">
        <v>-9.0000000000145502E-3</v>
      </c>
      <c r="AF1341">
        <v>0.12436660341465</v>
      </c>
      <c r="AG1341">
        <v>-1.0603737809789999</v>
      </c>
      <c r="AH1341">
        <v>27.84656249587</v>
      </c>
      <c r="AI1341">
        <v>92.180699951948299</v>
      </c>
      <c r="AJ1341">
        <v>89.744110817539905</v>
      </c>
      <c r="AK1341">
        <v>27.867021772048499</v>
      </c>
      <c r="AL1341">
        <v>82.4504360910461</v>
      </c>
      <c r="AM1341">
        <v>95.187027341225104</v>
      </c>
      <c r="AN1341">
        <v>1.0000000302532299</v>
      </c>
    </row>
    <row r="1342" spans="1:40" x14ac:dyDescent="0.25">
      <c r="A1342" t="str">
        <f>"20190304154746732"</f>
        <v>20190304154746732</v>
      </c>
      <c r="B1342" t="str">
        <f>"1551685666728007"</f>
        <v>1551685666728007</v>
      </c>
      <c r="C1342" t="s">
        <v>40</v>
      </c>
      <c r="D1342">
        <v>4.277196</v>
      </c>
      <c r="E1342">
        <v>0.54337150000000001</v>
      </c>
      <c r="F1342" t="s">
        <v>44</v>
      </c>
      <c r="G1342">
        <v>-269.80430000000001</v>
      </c>
      <c r="H1342" s="1">
        <v>-8.6459929999999995E-7</v>
      </c>
      <c r="I1342">
        <v>366.56470000000002</v>
      </c>
      <c r="J1342">
        <v>-304.60210000000001</v>
      </c>
      <c r="K1342">
        <v>1.06037</v>
      </c>
      <c r="L1342">
        <v>367.01010000000002</v>
      </c>
      <c r="M1342">
        <v>0.99992639999999999</v>
      </c>
      <c r="N1342">
        <v>-1.1445179999999999E-2</v>
      </c>
      <c r="O1342">
        <v>4.0330909999999999E-3</v>
      </c>
      <c r="P1342">
        <v>0.98835499999999998</v>
      </c>
      <c r="Q1342">
        <v>0.11995690000000001</v>
      </c>
      <c r="R1342">
        <v>9.3623129999999999E-2</v>
      </c>
      <c r="S1342">
        <v>3.050354</v>
      </c>
      <c r="T1342">
        <v>-9.2489360000000007E-2</v>
      </c>
      <c r="U1342">
        <v>-3.8787839999999997E-2</v>
      </c>
      <c r="V1342">
        <v>-8.9584849999999994E-2</v>
      </c>
      <c r="W1342">
        <v>0.13130059999999999</v>
      </c>
      <c r="X1342">
        <v>0.98728660000000001</v>
      </c>
      <c r="Y1342">
        <v>1.673643E-2</v>
      </c>
      <c r="Z1342">
        <v>-4.2557800000000002E-4</v>
      </c>
      <c r="AA1342">
        <v>0.99985990000000002</v>
      </c>
      <c r="AB1342">
        <v>29</v>
      </c>
      <c r="AC1342">
        <v>34.797799999999903</v>
      </c>
      <c r="AD1342">
        <v>-1.0603708645993</v>
      </c>
      <c r="AE1342">
        <v>-0.44540000000000601</v>
      </c>
      <c r="AF1342">
        <v>0.58520494803184897</v>
      </c>
      <c r="AG1342">
        <v>-1.0603708645993</v>
      </c>
      <c r="AH1342">
        <v>34.763445689945897</v>
      </c>
      <c r="AI1342">
        <v>91.746873589089304</v>
      </c>
      <c r="AJ1342">
        <v>89.035578714520398</v>
      </c>
      <c r="AK1342">
        <v>34.784536901323101</v>
      </c>
      <c r="AL1342">
        <v>82.455244995620305</v>
      </c>
      <c r="AM1342">
        <v>95.184731560848306</v>
      </c>
      <c r="AN1342">
        <v>1.00000006172471</v>
      </c>
    </row>
    <row r="1343" spans="1:40" x14ac:dyDescent="0.25">
      <c r="A1343" t="str">
        <f>"20190304154746745"</f>
        <v>20190304154746745</v>
      </c>
      <c r="B1343" t="str">
        <f>"1551685666738365"</f>
        <v>1551685666738365</v>
      </c>
      <c r="C1343" t="s">
        <v>40</v>
      </c>
      <c r="D1343">
        <v>4.2489080000000001</v>
      </c>
      <c r="E1343">
        <v>0.54479409999999995</v>
      </c>
      <c r="F1343" t="s">
        <v>44</v>
      </c>
      <c r="G1343">
        <v>-259.00349999999997</v>
      </c>
      <c r="H1343" s="1">
        <v>-1.30965E-6</v>
      </c>
      <c r="I1343">
        <v>365.91629999999998</v>
      </c>
      <c r="J1343">
        <v>-304.44240000000002</v>
      </c>
      <c r="K1343">
        <v>1.0603659999999999</v>
      </c>
      <c r="L1343">
        <v>367.01069999999999</v>
      </c>
      <c r="M1343">
        <v>0.99992689999999995</v>
      </c>
      <c r="N1343">
        <v>-1.1442229999999999E-2</v>
      </c>
      <c r="O1343">
        <v>3.9320220000000003E-3</v>
      </c>
      <c r="P1343">
        <v>0.98843309999999995</v>
      </c>
      <c r="Q1343">
        <v>0.11962589999999999</v>
      </c>
      <c r="R1343">
        <v>9.3218330000000002E-2</v>
      </c>
      <c r="S1343">
        <v>3.0509029999999999</v>
      </c>
      <c r="T1343">
        <v>-7.0947170000000004E-2</v>
      </c>
      <c r="U1343">
        <v>-7.318115E-2</v>
      </c>
      <c r="V1343">
        <v>-8.9279510000000006E-2</v>
      </c>
      <c r="W1343">
        <v>0.13096730000000001</v>
      </c>
      <c r="X1343">
        <v>0.98735850000000003</v>
      </c>
      <c r="Y1343">
        <v>2.7899259999999999E-2</v>
      </c>
      <c r="Z1343">
        <v>-5.3040610000000001E-4</v>
      </c>
      <c r="AA1343">
        <v>0.99961060000000002</v>
      </c>
      <c r="AB1343">
        <v>29</v>
      </c>
      <c r="AC1343">
        <v>45.438899999999997</v>
      </c>
      <c r="AD1343">
        <v>-1.0603673096499999</v>
      </c>
      <c r="AE1343">
        <v>-1.0944</v>
      </c>
      <c r="AF1343">
        <v>1.27237747101468</v>
      </c>
      <c r="AG1343">
        <v>-1.0603673096499999</v>
      </c>
      <c r="AH1343">
        <v>45.4095306847057</v>
      </c>
      <c r="AI1343">
        <v>91.33715783113</v>
      </c>
      <c r="AJ1343">
        <v>88.394989158984103</v>
      </c>
      <c r="AK1343">
        <v>45.439727114776403</v>
      </c>
      <c r="AL1343">
        <v>82.474507826272799</v>
      </c>
      <c r="AM1343">
        <v>95.166781564604193</v>
      </c>
      <c r="AN1343">
        <v>1.00000003604868</v>
      </c>
    </row>
    <row r="1344" spans="1:40" x14ac:dyDescent="0.25">
      <c r="A1344" t="str">
        <f>"20190304154746756"</f>
        <v>20190304154746756</v>
      </c>
      <c r="B1344" t="str">
        <f>"1551685666748124"</f>
        <v>1551685666748124</v>
      </c>
      <c r="C1344" t="s">
        <v>40</v>
      </c>
      <c r="D1344">
        <v>4.2820159999999996</v>
      </c>
      <c r="E1344">
        <v>0.5459387</v>
      </c>
      <c r="F1344" t="s">
        <v>44</v>
      </c>
      <c r="G1344">
        <v>-254.53399999999999</v>
      </c>
      <c r="H1344" s="1">
        <v>-3.0383580000000001E-6</v>
      </c>
      <c r="I1344">
        <v>365.60739999999998</v>
      </c>
      <c r="J1344">
        <v>-304.291</v>
      </c>
      <c r="K1344">
        <v>1.0603590000000001</v>
      </c>
      <c r="L1344">
        <v>367.0111</v>
      </c>
      <c r="M1344">
        <v>0.99992720000000002</v>
      </c>
      <c r="N1344">
        <v>-1.1439650000000001E-2</v>
      </c>
      <c r="O1344">
        <v>3.8363149999999999E-3</v>
      </c>
      <c r="P1344">
        <v>0.98845760000000005</v>
      </c>
      <c r="Q1344">
        <v>0.1195509</v>
      </c>
      <c r="R1344">
        <v>9.3055360000000004E-2</v>
      </c>
      <c r="S1344">
        <v>3.0510250000000001</v>
      </c>
      <c r="T1344">
        <v>-6.4822790000000005E-2</v>
      </c>
      <c r="U1344">
        <v>-8.5784910000000006E-2</v>
      </c>
      <c r="V1344">
        <v>-8.9211230000000002E-2</v>
      </c>
      <c r="W1344">
        <v>0.1308898</v>
      </c>
      <c r="X1344">
        <v>0.98737490000000006</v>
      </c>
      <c r="Y1344">
        <v>3.1929230000000003E-2</v>
      </c>
      <c r="Z1344">
        <v>-5.5939279999999997E-4</v>
      </c>
      <c r="AA1344">
        <v>0.99948999999999999</v>
      </c>
      <c r="AB1344">
        <v>29</v>
      </c>
      <c r="AC1344">
        <v>49.756999999999898</v>
      </c>
      <c r="AD1344">
        <v>-1.0603620383579999</v>
      </c>
      <c r="AE1344">
        <v>-1.4037000000000099</v>
      </c>
      <c r="AF1344">
        <v>1.5938624090517199</v>
      </c>
      <c r="AG1344">
        <v>-1.0603620383579999</v>
      </c>
      <c r="AH1344">
        <v>49.728682063366499</v>
      </c>
      <c r="AI1344">
        <v>91.220902994218207</v>
      </c>
      <c r="AJ1344">
        <v>88.164231711647304</v>
      </c>
      <c r="AK1344">
        <v>49.765516020541497</v>
      </c>
      <c r="AL1344">
        <v>82.478986443181995</v>
      </c>
      <c r="AM1344">
        <v>95.162766139256803</v>
      </c>
      <c r="AN1344">
        <v>0.99999998822608105</v>
      </c>
    </row>
    <row r="1345" spans="1:40" x14ac:dyDescent="0.25">
      <c r="A1345" t="str">
        <f>"20190304154746770"</f>
        <v>20190304154746770</v>
      </c>
      <c r="B1345" t="str">
        <f>"1551685666757884"</f>
        <v>1551685666757884</v>
      </c>
      <c r="C1345" t="s">
        <v>40</v>
      </c>
      <c r="D1345">
        <v>4.2459550000000004</v>
      </c>
      <c r="E1345">
        <v>0.54655609999999999</v>
      </c>
      <c r="F1345" t="s">
        <v>44</v>
      </c>
      <c r="G1345">
        <v>-249.90790000000001</v>
      </c>
      <c r="H1345" s="1">
        <v>-1.1628859999999999E-6</v>
      </c>
      <c r="I1345">
        <v>365.31950000000001</v>
      </c>
      <c r="J1345">
        <v>-304.11009999999999</v>
      </c>
      <c r="K1345">
        <v>1.0603560000000001</v>
      </c>
      <c r="L1345">
        <v>367.01170000000002</v>
      </c>
      <c r="M1345">
        <v>0.99992780000000003</v>
      </c>
      <c r="N1345">
        <v>-1.143694E-2</v>
      </c>
      <c r="O1345">
        <v>3.7212399999999998E-3</v>
      </c>
      <c r="P1345">
        <v>0.98851299999999998</v>
      </c>
      <c r="Q1345">
        <v>0.1193284</v>
      </c>
      <c r="R1345">
        <v>9.2753150000000006E-2</v>
      </c>
      <c r="S1345">
        <v>3.0511469999999998</v>
      </c>
      <c r="T1345">
        <v>-5.9491160000000001E-2</v>
      </c>
      <c r="U1345">
        <v>-9.4909670000000002E-2</v>
      </c>
      <c r="V1345">
        <v>-8.9022760000000006E-2</v>
      </c>
      <c r="W1345">
        <v>0.13066520000000001</v>
      </c>
      <c r="X1345">
        <v>0.98742169999999896</v>
      </c>
      <c r="Y1345">
        <v>3.4800039999999997E-2</v>
      </c>
      <c r="Z1345">
        <v>-5.6822299999999997E-4</v>
      </c>
      <c r="AA1345">
        <v>0.99939409999999895</v>
      </c>
      <c r="AB1345">
        <v>29</v>
      </c>
      <c r="AC1345">
        <v>54.202199999999898</v>
      </c>
      <c r="AD1345">
        <v>-1.06035716288599</v>
      </c>
      <c r="AE1345">
        <v>-1.6922000000000099</v>
      </c>
      <c r="AF1345">
        <v>1.8931770101713501</v>
      </c>
      <c r="AG1345">
        <v>-1.06035716288599</v>
      </c>
      <c r="AH1345">
        <v>54.174814082364001</v>
      </c>
      <c r="AI1345">
        <v>91.120616405552497</v>
      </c>
      <c r="AJ1345">
        <v>87.998573106604795</v>
      </c>
      <c r="AK1345">
        <v>54.2182529906989</v>
      </c>
      <c r="AL1345">
        <v>82.491966867090298</v>
      </c>
      <c r="AM1345">
        <v>95.151675033023196</v>
      </c>
      <c r="AN1345">
        <v>1.0000000299599701</v>
      </c>
    </row>
    <row r="1346" spans="1:40" x14ac:dyDescent="0.25">
      <c r="A1346" t="str">
        <f>"20190304154746782"</f>
        <v>20190304154746782</v>
      </c>
      <c r="B1346" t="str">
        <f>"1551685666778380"</f>
        <v>1551685666778380</v>
      </c>
      <c r="C1346" t="s">
        <v>40</v>
      </c>
      <c r="D1346">
        <v>4.4182100000000002</v>
      </c>
      <c r="E1346">
        <v>0.54688110000000001</v>
      </c>
      <c r="F1346" t="s">
        <v>44</v>
      </c>
      <c r="G1346">
        <v>-246.6711</v>
      </c>
      <c r="H1346" s="1">
        <v>-2.4591450000000001E-6</v>
      </c>
      <c r="I1346">
        <v>365.11930000000001</v>
      </c>
      <c r="J1346">
        <v>-303.96019999999999</v>
      </c>
      <c r="K1346">
        <v>1.0603549999999999</v>
      </c>
      <c r="L1346">
        <v>367.01220000000001</v>
      </c>
      <c r="M1346">
        <v>0.99992820000000004</v>
      </c>
      <c r="N1346">
        <v>-1.1435020000000001E-2</v>
      </c>
      <c r="O1346">
        <v>3.6264800000000001E-3</v>
      </c>
      <c r="P1346">
        <v>0.98856319999999998</v>
      </c>
      <c r="Q1346">
        <v>0.11907760000000001</v>
      </c>
      <c r="R1346">
        <v>9.2540520000000001E-2</v>
      </c>
      <c r="S1346">
        <v>3.0510860000000002</v>
      </c>
      <c r="T1346">
        <v>-5.6324840000000001E-2</v>
      </c>
      <c r="U1346">
        <v>-0.1005249</v>
      </c>
      <c r="V1346">
        <v>-8.8903780000000002E-2</v>
      </c>
      <c r="W1346">
        <v>0.1304128</v>
      </c>
      <c r="X1346">
        <v>0.9874657</v>
      </c>
      <c r="Y1346">
        <v>3.6543739999999998E-2</v>
      </c>
      <c r="Z1346">
        <v>-5.7168759999999996E-4</v>
      </c>
      <c r="AA1346">
        <v>0.99933190000000005</v>
      </c>
      <c r="AB1346">
        <v>29</v>
      </c>
      <c r="AC1346">
        <v>57.289099999999898</v>
      </c>
      <c r="AD1346">
        <v>-1.060357459145</v>
      </c>
      <c r="AE1346">
        <v>-1.89289999999999</v>
      </c>
      <c r="AF1346">
        <v>2.0999402675763901</v>
      </c>
      <c r="AG1346">
        <v>-1.060357459145</v>
      </c>
      <c r="AH1346">
        <v>57.262262773728601</v>
      </c>
      <c r="AI1346">
        <v>91.060144392303698</v>
      </c>
      <c r="AJ1346">
        <v>87.899771762149101</v>
      </c>
      <c r="AK1346">
        <v>57.310564864046697</v>
      </c>
      <c r="AL1346">
        <v>82.506552490174499</v>
      </c>
      <c r="AM1346">
        <v>95.144598716657299</v>
      </c>
      <c r="AN1346">
        <v>0.99999994458930697</v>
      </c>
    </row>
    <row r="1347" spans="1:40" x14ac:dyDescent="0.25">
      <c r="A1347" t="str">
        <f>"20190304154746793"</f>
        <v>20190304154746793</v>
      </c>
      <c r="B1347" t="str">
        <f>"1551685666788140"</f>
        <v>1551685666788140</v>
      </c>
      <c r="C1347" t="s">
        <v>40</v>
      </c>
      <c r="D1347">
        <v>4.258953</v>
      </c>
      <c r="E1347">
        <v>0.54727550000000003</v>
      </c>
      <c r="F1347" t="s">
        <v>44</v>
      </c>
      <c r="G1347">
        <v>-242.65479999999999</v>
      </c>
      <c r="H1347" s="1">
        <v>-4.2844909999999998E-6</v>
      </c>
      <c r="I1347">
        <v>364.92649999999998</v>
      </c>
      <c r="J1347">
        <v>-303.80619999999999</v>
      </c>
      <c r="K1347">
        <v>1.060351</v>
      </c>
      <c r="L1347">
        <v>367.01260000000002</v>
      </c>
      <c r="M1347">
        <v>0.99992840000000005</v>
      </c>
      <c r="N1347">
        <v>-1.143316E-2</v>
      </c>
      <c r="O1347">
        <v>3.5293960000000002E-3</v>
      </c>
      <c r="P1347">
        <v>0.98862070000000002</v>
      </c>
      <c r="Q1347">
        <v>0.11874410000000001</v>
      </c>
      <c r="R1347">
        <v>9.235343E-2</v>
      </c>
      <c r="S1347">
        <v>3.0507810000000002</v>
      </c>
      <c r="T1347">
        <v>-5.2767399999999999E-2</v>
      </c>
      <c r="U1347">
        <v>-0.1037903</v>
      </c>
      <c r="V1347">
        <v>-8.8812600000000005E-2</v>
      </c>
      <c r="W1347">
        <v>0.130078</v>
      </c>
      <c r="X1347">
        <v>0.98751809999999995</v>
      </c>
      <c r="Y1347">
        <v>3.7519209999999997E-2</v>
      </c>
      <c r="Z1347">
        <v>-5.5961610000000001E-4</v>
      </c>
      <c r="AA1347">
        <v>0.99929579999999996</v>
      </c>
      <c r="AB1347">
        <v>29</v>
      </c>
      <c r="AC1347">
        <v>61.151400000000002</v>
      </c>
      <c r="AD1347">
        <v>-1.060355284491</v>
      </c>
      <c r="AE1347">
        <v>-2.08610000000004</v>
      </c>
      <c r="AF1347">
        <v>2.3012375131012801</v>
      </c>
      <c r="AG1347">
        <v>-1.060355284491</v>
      </c>
      <c r="AH1347">
        <v>61.125298747842301</v>
      </c>
      <c r="AI1347">
        <v>90.993120594636594</v>
      </c>
      <c r="AJ1347">
        <v>87.8439539906134</v>
      </c>
      <c r="AK1347">
        <v>61.177791676669898</v>
      </c>
      <c r="AL1347">
        <v>82.525900196929896</v>
      </c>
      <c r="AM1347">
        <v>95.139079424722397</v>
      </c>
      <c r="AN1347">
        <v>0.99999998091518405</v>
      </c>
    </row>
    <row r="1348" spans="1:40" x14ac:dyDescent="0.25">
      <c r="A1348" t="str">
        <f>"20190304154746805"</f>
        <v>20190304154746805</v>
      </c>
      <c r="B1348" t="str">
        <f>"1551685666797901"</f>
        <v>1551685666797901</v>
      </c>
      <c r="C1348" t="s">
        <v>40</v>
      </c>
      <c r="D1348">
        <v>4.2588429999999997</v>
      </c>
      <c r="E1348">
        <v>0.54762739999999999</v>
      </c>
      <c r="F1348" t="s">
        <v>44</v>
      </c>
      <c r="G1348">
        <v>-242.476</v>
      </c>
      <c r="H1348" s="1">
        <v>-4.3824660000000003E-6</v>
      </c>
      <c r="I1348">
        <v>364.85070000000002</v>
      </c>
      <c r="J1348">
        <v>-303.65039999999999</v>
      </c>
      <c r="K1348">
        <v>1.0603479999999901</v>
      </c>
      <c r="L1348">
        <v>367.01310000000001</v>
      </c>
      <c r="M1348">
        <v>0.99992899999999996</v>
      </c>
      <c r="N1348">
        <v>-1.1431709999999999E-2</v>
      </c>
      <c r="O1348">
        <v>3.4308210000000001E-3</v>
      </c>
      <c r="P1348">
        <v>0.9886684</v>
      </c>
      <c r="Q1348">
        <v>0.1184844</v>
      </c>
      <c r="R1348">
        <v>9.2176270000000005E-2</v>
      </c>
      <c r="S1348">
        <v>3.0509029999999999</v>
      </c>
      <c r="T1348">
        <v>-5.2747960000000003E-2</v>
      </c>
      <c r="U1348">
        <v>-0.107543899999999</v>
      </c>
      <c r="V1348">
        <v>-8.8732309999999995E-2</v>
      </c>
      <c r="W1348">
        <v>0.1298175</v>
      </c>
      <c r="X1348">
        <v>0.98755959999999998</v>
      </c>
      <c r="Y1348">
        <v>3.8647050000000002E-2</v>
      </c>
      <c r="Z1348">
        <v>-5.7505220000000001E-4</v>
      </c>
      <c r="AA1348">
        <v>0.99925269999999999</v>
      </c>
      <c r="AB1348">
        <v>29</v>
      </c>
      <c r="AC1348">
        <v>61.174399999999899</v>
      </c>
      <c r="AD1348">
        <v>-1.0603523824659999</v>
      </c>
      <c r="AE1348">
        <v>-2.1623999999999901</v>
      </c>
      <c r="AF1348">
        <v>2.3715677252170799</v>
      </c>
      <c r="AG1348">
        <v>-1.0603523824659999</v>
      </c>
      <c r="AH1348">
        <v>61.148272036333204</v>
      </c>
      <c r="AI1348">
        <v>90.992701812965194</v>
      </c>
      <c r="AJ1348">
        <v>87.778960088404006</v>
      </c>
      <c r="AK1348">
        <v>61.2034300809987</v>
      </c>
      <c r="AL1348">
        <v>82.540953415684896</v>
      </c>
      <c r="AM1348">
        <v>95.134243732658007</v>
      </c>
      <c r="AN1348">
        <v>0.99999998484817298</v>
      </c>
    </row>
    <row r="1349" spans="1:40" x14ac:dyDescent="0.25">
      <c r="A1349" t="str">
        <f>"20190304154746820"</f>
        <v>20190304154746820</v>
      </c>
      <c r="B1349" t="str">
        <f>"1551685666818397"</f>
        <v>1551685666818397</v>
      </c>
      <c r="C1349" t="s">
        <v>40</v>
      </c>
      <c r="D1349">
        <v>4.2591210000000004</v>
      </c>
      <c r="E1349">
        <v>0.54789589999999999</v>
      </c>
      <c r="F1349" t="s">
        <v>44</v>
      </c>
      <c r="G1349">
        <v>-241.71029999999999</v>
      </c>
      <c r="H1349" s="1">
        <v>-4.7589359999999996E-6</v>
      </c>
      <c r="I1349">
        <v>364.76900000000001</v>
      </c>
      <c r="J1349">
        <v>-303.46170000000001</v>
      </c>
      <c r="K1349">
        <v>1.0603419999999999</v>
      </c>
      <c r="L1349">
        <v>367.0136</v>
      </c>
      <c r="M1349">
        <v>0.99992930000000002</v>
      </c>
      <c r="N1349">
        <v>-1.143019E-2</v>
      </c>
      <c r="O1349">
        <v>3.3113270000000002E-3</v>
      </c>
      <c r="P1349">
        <v>0.98869050000000003</v>
      </c>
      <c r="Q1349">
        <v>0.11820890000000001</v>
      </c>
      <c r="R1349">
        <v>9.2292819999999998E-2</v>
      </c>
      <c r="S1349">
        <v>3.050964</v>
      </c>
      <c r="T1349">
        <v>-5.2229400000000002E-2</v>
      </c>
      <c r="U1349">
        <v>-0.1105347</v>
      </c>
      <c r="V1349">
        <v>-8.8967229999999994E-2</v>
      </c>
      <c r="W1349">
        <v>0.12954099999999999</v>
      </c>
      <c r="X1349">
        <v>0.98757479999999997</v>
      </c>
      <c r="Y1349">
        <v>3.9505140000000001E-2</v>
      </c>
      <c r="Z1349">
        <v>-5.8272109999999995E-4</v>
      </c>
      <c r="AA1349">
        <v>0.99921919999999997</v>
      </c>
      <c r="AB1349">
        <v>29</v>
      </c>
      <c r="AC1349">
        <v>61.751399999999997</v>
      </c>
      <c r="AD1349">
        <v>-1.0603467589360001</v>
      </c>
      <c r="AE1349">
        <v>-2.2445999999999899</v>
      </c>
      <c r="AF1349">
        <v>2.4483591590570302</v>
      </c>
      <c r="AG1349">
        <v>-1.0603467589360001</v>
      </c>
      <c r="AH1349">
        <v>61.725452536866797</v>
      </c>
      <c r="AI1349">
        <v>90.983381963325598</v>
      </c>
      <c r="AJ1349">
        <v>87.728535950891796</v>
      </c>
      <c r="AK1349">
        <v>61.783090637341203</v>
      </c>
      <c r="AL1349">
        <v>82.556930814846794</v>
      </c>
      <c r="AM1349">
        <v>95.1476849715512</v>
      </c>
      <c r="AN1349">
        <v>1.0000000121449499</v>
      </c>
    </row>
    <row r="1350" spans="1:40" x14ac:dyDescent="0.25">
      <c r="A1350" t="str">
        <f>"20190304154746832"</f>
        <v>20190304154746832</v>
      </c>
      <c r="B1350" t="str">
        <f>"1551685666828157"</f>
        <v>1551685666828157</v>
      </c>
      <c r="C1350" t="s">
        <v>40</v>
      </c>
      <c r="D1350">
        <v>4.3007970000000002</v>
      </c>
      <c r="E1350">
        <v>0.54824790000000001</v>
      </c>
      <c r="F1350" t="s">
        <v>44</v>
      </c>
      <c r="G1350">
        <v>-243.60929999999999</v>
      </c>
      <c r="H1350" s="1">
        <v>-3.8533400000000003E-6</v>
      </c>
      <c r="I1350">
        <v>364.81369999999998</v>
      </c>
      <c r="J1350">
        <v>-303.30829999999997</v>
      </c>
      <c r="K1350">
        <v>1.060346</v>
      </c>
      <c r="L1350">
        <v>367.01400000000001</v>
      </c>
      <c r="M1350">
        <v>0.99992950000000003</v>
      </c>
      <c r="N1350">
        <v>-1.1429099999999999E-2</v>
      </c>
      <c r="O1350">
        <v>3.2142429999999999E-3</v>
      </c>
      <c r="P1350">
        <v>0.98871779999999998</v>
      </c>
      <c r="Q1350">
        <v>0.1182634</v>
      </c>
      <c r="R1350">
        <v>9.1928529999999994E-2</v>
      </c>
      <c r="S1350">
        <v>3.0512389999999998</v>
      </c>
      <c r="T1350">
        <v>-5.4055810000000003E-2</v>
      </c>
      <c r="U1350">
        <v>-0.1121521</v>
      </c>
      <c r="V1350">
        <v>-8.8699130000000001E-2</v>
      </c>
      <c r="W1350">
        <v>0.12959389999999901</v>
      </c>
      <c r="X1350">
        <v>0.98759200000000003</v>
      </c>
      <c r="Y1350">
        <v>3.9933169999999997E-2</v>
      </c>
      <c r="Z1350">
        <v>-6.0209290000000002E-4</v>
      </c>
      <c r="AA1350">
        <v>0.99920220000000004</v>
      </c>
      <c r="AB1350">
        <v>29</v>
      </c>
      <c r="AC1350">
        <v>59.698999999999899</v>
      </c>
      <c r="AD1350">
        <v>-1.06034985334</v>
      </c>
      <c r="AE1350">
        <v>-2.2003000000000199</v>
      </c>
      <c r="AF1350">
        <v>2.3914348496127098</v>
      </c>
      <c r="AG1350">
        <v>-1.06034985334</v>
      </c>
      <c r="AH1350">
        <v>59.672819097482297</v>
      </c>
      <c r="AI1350">
        <v>91.017187826176695</v>
      </c>
      <c r="AJ1350">
        <v>87.705054956024796</v>
      </c>
      <c r="AK1350">
        <v>59.730131771931198</v>
      </c>
      <c r="AL1350">
        <v>82.553874284467497</v>
      </c>
      <c r="AM1350">
        <v>95.132166643606695</v>
      </c>
      <c r="AN1350">
        <v>1.0000000365219801</v>
      </c>
    </row>
    <row r="1351" spans="1:40" x14ac:dyDescent="0.25">
      <c r="A1351" t="str">
        <f>"20190304154746841"</f>
        <v>20190304154746841</v>
      </c>
      <c r="B1351" t="str">
        <f>"1551685666837916"</f>
        <v>1551685666837916</v>
      </c>
      <c r="C1351" t="s">
        <v>40</v>
      </c>
      <c r="D1351">
        <v>4.2676290000000003</v>
      </c>
      <c r="E1351">
        <v>0.54831839999999998</v>
      </c>
      <c r="F1351" t="s">
        <v>44</v>
      </c>
      <c r="G1351">
        <v>-246.49950000000001</v>
      </c>
      <c r="H1351" s="1">
        <v>-2.5967690000000001E-6</v>
      </c>
      <c r="I1351">
        <v>364.84969999999998</v>
      </c>
      <c r="J1351">
        <v>-303.17619999999999</v>
      </c>
      <c r="K1351">
        <v>1.060346</v>
      </c>
      <c r="L1351">
        <v>367.01440000000002</v>
      </c>
      <c r="M1351">
        <v>0.99992979999999998</v>
      </c>
      <c r="N1351">
        <v>-1.142842E-2</v>
      </c>
      <c r="O1351">
        <v>3.1305650000000001E-3</v>
      </c>
      <c r="P1351">
        <v>0.98871370000000003</v>
      </c>
      <c r="Q1351">
        <v>0.11831510000000001</v>
      </c>
      <c r="R1351">
        <v>9.1906689999999999E-2</v>
      </c>
      <c r="S1351">
        <v>3.0518489999999998</v>
      </c>
      <c r="T1351">
        <v>-5.6963439999999997E-2</v>
      </c>
      <c r="U1351">
        <v>-0.116272</v>
      </c>
      <c r="V1351">
        <v>-8.8760229999999996E-2</v>
      </c>
      <c r="W1351">
        <v>0.12964500000000001</v>
      </c>
      <c r="X1351">
        <v>0.98757980000000001</v>
      </c>
      <c r="Y1351">
        <v>4.1187910000000001E-2</v>
      </c>
      <c r="Z1351">
        <v>-6.4234379999999905E-4</v>
      </c>
      <c r="AA1351">
        <v>0.99915120000000002</v>
      </c>
      <c r="AB1351">
        <v>29</v>
      </c>
      <c r="AC1351">
        <v>56.676699999999897</v>
      </c>
      <c r="AD1351">
        <v>-1.0603485967690001</v>
      </c>
      <c r="AE1351">
        <v>-2.16470000000003</v>
      </c>
      <c r="AF1351">
        <v>2.3413127674403902</v>
      </c>
      <c r="AG1351">
        <v>-1.0603485967690001</v>
      </c>
      <c r="AH1351">
        <v>56.649845573962203</v>
      </c>
      <c r="AI1351">
        <v>91.071399265802199</v>
      </c>
      <c r="AJ1351">
        <v>87.633337982290797</v>
      </c>
      <c r="AK1351">
        <v>56.708121888980003</v>
      </c>
      <c r="AL1351">
        <v>82.550921533467204</v>
      </c>
      <c r="AM1351">
        <v>95.135746118843102</v>
      </c>
      <c r="AN1351">
        <v>1.0000000329113401</v>
      </c>
    </row>
    <row r="1352" spans="1:40" x14ac:dyDescent="0.25">
      <c r="A1352" t="str">
        <f>"20190304154746853"</f>
        <v>20190304154746853</v>
      </c>
      <c r="B1352" t="str">
        <f>"1551685666847676"</f>
        <v>1551685666847676</v>
      </c>
      <c r="C1352" t="s">
        <v>40</v>
      </c>
      <c r="D1352">
        <v>4.2448360000000003</v>
      </c>
      <c r="E1352">
        <v>0.54834459999999996</v>
      </c>
      <c r="F1352" t="s">
        <v>44</v>
      </c>
      <c r="G1352">
        <v>-246.07470000000001</v>
      </c>
      <c r="H1352" s="1">
        <v>-2.7657879999999999E-6</v>
      </c>
      <c r="I1352">
        <v>364.82749999999999</v>
      </c>
      <c r="J1352">
        <v>-303.02640000000002</v>
      </c>
      <c r="K1352">
        <v>1.060344</v>
      </c>
      <c r="L1352">
        <v>367.01479999999998</v>
      </c>
      <c r="M1352">
        <v>0.99993010000000004</v>
      </c>
      <c r="N1352">
        <v>-1.1427690000000001E-2</v>
      </c>
      <c r="O1352">
        <v>3.0358009999999999E-3</v>
      </c>
      <c r="P1352">
        <v>0.98870709999999995</v>
      </c>
      <c r="Q1352">
        <v>0.118393899999999</v>
      </c>
      <c r="R1352">
        <v>9.1874999999999998E-2</v>
      </c>
      <c r="S1352">
        <v>3.0519099999999999</v>
      </c>
      <c r="T1352">
        <v>-5.6672569999999999E-2</v>
      </c>
      <c r="U1352">
        <v>-0.11688229999999999</v>
      </c>
      <c r="V1352">
        <v>-8.8821949999999997E-2</v>
      </c>
      <c r="W1352">
        <v>0.129723</v>
      </c>
      <c r="X1352">
        <v>0.987564</v>
      </c>
      <c r="Y1352">
        <v>4.1292059999999998E-2</v>
      </c>
      <c r="Z1352">
        <v>-6.4094689999999997E-4</v>
      </c>
      <c r="AA1352">
        <v>0.99914689999999995</v>
      </c>
      <c r="AB1352">
        <v>29</v>
      </c>
      <c r="AC1352">
        <v>56.951700000000002</v>
      </c>
      <c r="AD1352">
        <v>-1.0603467657879999</v>
      </c>
      <c r="AE1352">
        <v>-2.1872999999999898</v>
      </c>
      <c r="AF1352">
        <v>2.35937857907818</v>
      </c>
      <c r="AG1352">
        <v>-1.0603467657879999</v>
      </c>
      <c r="AH1352">
        <v>56.925093265987101</v>
      </c>
      <c r="AI1352">
        <v>91.066212952627396</v>
      </c>
      <c r="AJ1352">
        <v>87.626615985563006</v>
      </c>
      <c r="AK1352">
        <v>56.9838331975347</v>
      </c>
      <c r="AL1352">
        <v>82.546414341071596</v>
      </c>
      <c r="AM1352">
        <v>95.139379958622101</v>
      </c>
      <c r="AN1352">
        <v>1.0000000248134</v>
      </c>
    </row>
    <row r="1353" spans="1:40" x14ac:dyDescent="0.25">
      <c r="A1353" t="str">
        <f>"20190304154746864"</f>
        <v>20190304154746864</v>
      </c>
      <c r="B1353" t="str">
        <f>"1551685666858412"</f>
        <v>1551685666858412</v>
      </c>
      <c r="C1353" t="s">
        <v>40</v>
      </c>
      <c r="D1353">
        <v>4.2780480000000001</v>
      </c>
      <c r="E1353">
        <v>0.54838369999999903</v>
      </c>
      <c r="F1353" t="s">
        <v>44</v>
      </c>
      <c r="G1353">
        <v>-245.66239999999999</v>
      </c>
      <c r="H1353" s="1">
        <v>-2.9272909999999999E-6</v>
      </c>
      <c r="I1353">
        <v>364.81549999999999</v>
      </c>
      <c r="J1353">
        <v>-302.88150000000002</v>
      </c>
      <c r="K1353">
        <v>1.060343</v>
      </c>
      <c r="L1353">
        <v>367.01510000000002</v>
      </c>
      <c r="M1353">
        <v>0.9999304</v>
      </c>
      <c r="N1353">
        <v>-1.142719E-2</v>
      </c>
      <c r="O1353">
        <v>2.944075E-3</v>
      </c>
      <c r="P1353">
        <v>0.98875880000000005</v>
      </c>
      <c r="Q1353">
        <v>0.1180774</v>
      </c>
      <c r="R1353">
        <v>9.1726970000000005E-2</v>
      </c>
      <c r="S1353">
        <v>3.0518489999999998</v>
      </c>
      <c r="T1353">
        <v>-5.64121E-2</v>
      </c>
      <c r="U1353">
        <v>-0.117004399999999</v>
      </c>
      <c r="V1353">
        <v>-8.8764419999999997E-2</v>
      </c>
      <c r="W1353">
        <v>0.1294062</v>
      </c>
      <c r="X1353">
        <v>0.98761069999999995</v>
      </c>
      <c r="Y1353">
        <v>4.1241180000000002E-2</v>
      </c>
      <c r="Z1353">
        <v>-6.3751859999999999E-4</v>
      </c>
      <c r="AA1353">
        <v>0.99914899999999995</v>
      </c>
      <c r="AB1353">
        <v>29</v>
      </c>
      <c r="AC1353">
        <v>57.219099999999997</v>
      </c>
      <c r="AD1353">
        <v>-1.0603459272910001</v>
      </c>
      <c r="AE1353">
        <v>-2.19960000000003</v>
      </c>
      <c r="AF1353">
        <v>2.36724704614902</v>
      </c>
      <c r="AG1353">
        <v>-1.0603459272910001</v>
      </c>
      <c r="AH1353">
        <v>57.192764188367299</v>
      </c>
      <c r="AI1353">
        <v>91.061225691337995</v>
      </c>
      <c r="AJ1353">
        <v>87.629841971020795</v>
      </c>
      <c r="AK1353">
        <v>57.251554280815903</v>
      </c>
      <c r="AL1353">
        <v>82.564719687575902</v>
      </c>
      <c r="AM1353">
        <v>95.135827425903599</v>
      </c>
      <c r="AN1353">
        <v>0.999999990805433</v>
      </c>
    </row>
    <row r="1354" spans="1:40" x14ac:dyDescent="0.25">
      <c r="A1354" t="str">
        <f>"20190304154746875"</f>
        <v>20190304154746875</v>
      </c>
      <c r="B1354" t="str">
        <f>"1551685666868172"</f>
        <v>1551685666868172</v>
      </c>
      <c r="C1354" t="s">
        <v>40</v>
      </c>
      <c r="D1354">
        <v>4.2673129999999997</v>
      </c>
      <c r="E1354">
        <v>0.54838120000000001</v>
      </c>
      <c r="F1354" t="s">
        <v>44</v>
      </c>
      <c r="G1354">
        <v>-245.9811</v>
      </c>
      <c r="H1354" s="1">
        <v>-2.803442E-6</v>
      </c>
      <c r="I1354">
        <v>364.82100000000003</v>
      </c>
      <c r="J1354">
        <v>-302.73689999999999</v>
      </c>
      <c r="K1354">
        <v>1.060344</v>
      </c>
      <c r="L1354">
        <v>367.0154</v>
      </c>
      <c r="M1354">
        <v>0.9999306</v>
      </c>
      <c r="N1354">
        <v>-1.1426779999999999E-2</v>
      </c>
      <c r="O1354">
        <v>2.8527050000000001E-3</v>
      </c>
      <c r="P1354">
        <v>0.98881149999999995</v>
      </c>
      <c r="Q1354">
        <v>0.11779249999999999</v>
      </c>
      <c r="R1354">
        <v>9.152478E-2</v>
      </c>
      <c r="S1354">
        <v>3.0517880000000002</v>
      </c>
      <c r="T1354">
        <v>-5.6870459999999998E-2</v>
      </c>
      <c r="U1354">
        <v>-0.1176758</v>
      </c>
      <c r="V1354">
        <v>-8.8652839999999997E-2</v>
      </c>
      <c r="W1354">
        <v>0.1291215</v>
      </c>
      <c r="X1354">
        <v>0.98765800000000004</v>
      </c>
      <c r="Y1354">
        <v>4.1369940000000001E-2</v>
      </c>
      <c r="Z1354">
        <v>-6.4233390000000001E-4</v>
      </c>
      <c r="AA1354">
        <v>0.99914369999999997</v>
      </c>
      <c r="AB1354">
        <v>29</v>
      </c>
      <c r="AC1354">
        <v>56.755800000000001</v>
      </c>
      <c r="AD1354">
        <v>-1.0603468034420001</v>
      </c>
      <c r="AE1354">
        <v>-2.1944000000000301</v>
      </c>
      <c r="AF1354">
        <v>2.35548826983077</v>
      </c>
      <c r="AG1354">
        <v>-1.0603468034420001</v>
      </c>
      <c r="AH1354">
        <v>56.729537318178799</v>
      </c>
      <c r="AI1354">
        <v>91.069884256158403</v>
      </c>
      <c r="AJ1354">
        <v>87.622366315436395</v>
      </c>
      <c r="AK1354">
        <v>56.788318029921697</v>
      </c>
      <c r="AL1354">
        <v>82.581169925094301</v>
      </c>
      <c r="AM1354">
        <v>95.129161628873504</v>
      </c>
      <c r="AN1354">
        <v>1.00000000638315</v>
      </c>
    </row>
    <row r="1355" spans="1:40" x14ac:dyDescent="0.25">
      <c r="A1355" t="str">
        <f>"20190304154746886"</f>
        <v>20190304154746886</v>
      </c>
      <c r="B1355" t="str">
        <f>"1551685666877933"</f>
        <v>1551685666877933</v>
      </c>
      <c r="C1355" t="s">
        <v>40</v>
      </c>
      <c r="D1355">
        <v>4.3807559999999999</v>
      </c>
      <c r="E1355">
        <v>0.54830179999999995</v>
      </c>
      <c r="F1355" t="s">
        <v>44</v>
      </c>
      <c r="G1355">
        <v>-246.65190000000001</v>
      </c>
      <c r="H1355" s="1">
        <v>-2.5412579999999998E-6</v>
      </c>
      <c r="I1355">
        <v>364.8383</v>
      </c>
      <c r="J1355">
        <v>-302.58409999999998</v>
      </c>
      <c r="K1355">
        <v>1.0603400000000001</v>
      </c>
      <c r="L1355">
        <v>367.01580000000001</v>
      </c>
      <c r="M1355">
        <v>0.99993100000000001</v>
      </c>
      <c r="N1355">
        <v>-1.1426499999999999E-2</v>
      </c>
      <c r="O1355">
        <v>2.7562070000000001E-3</v>
      </c>
      <c r="P1355">
        <v>0.98881059999999998</v>
      </c>
      <c r="Q1355">
        <v>0.117836999999999</v>
      </c>
      <c r="R1355">
        <v>9.1478980000000001E-2</v>
      </c>
      <c r="S1355">
        <v>3.0517880000000002</v>
      </c>
      <c r="T1355">
        <v>-5.76973E-2</v>
      </c>
      <c r="U1355">
        <v>-0.1184692</v>
      </c>
      <c r="V1355">
        <v>-8.8702240000000002E-2</v>
      </c>
      <c r="W1355">
        <v>0.129166</v>
      </c>
      <c r="X1355">
        <v>0.98764770000000002</v>
      </c>
      <c r="Y1355">
        <v>4.1532579999999999E-2</v>
      </c>
      <c r="Z1355">
        <v>-6.5044699999999996E-4</v>
      </c>
      <c r="AA1355">
        <v>0.99913689999999999</v>
      </c>
      <c r="AB1355">
        <v>29</v>
      </c>
      <c r="AC1355">
        <v>55.932199999999902</v>
      </c>
      <c r="AD1355">
        <v>-1.0603425412580001</v>
      </c>
      <c r="AE1355">
        <v>-2.1775000000000002</v>
      </c>
      <c r="AF1355">
        <v>2.3308260884683101</v>
      </c>
      <c r="AG1355">
        <v>-1.0603425412580001</v>
      </c>
      <c r="AH1355">
        <v>55.905923747259799</v>
      </c>
      <c r="AI1355">
        <v>91.085630137803093</v>
      </c>
      <c r="AJ1355">
        <v>87.612610763090004</v>
      </c>
      <c r="AK1355">
        <v>55.9645368657145</v>
      </c>
      <c r="AL1355">
        <v>82.578598393684402</v>
      </c>
      <c r="AM1355">
        <v>95.132057727145494</v>
      </c>
      <c r="AN1355">
        <v>0.99999996112615297</v>
      </c>
    </row>
    <row r="1356" spans="1:40" x14ac:dyDescent="0.25">
      <c r="A1356" t="str">
        <f>"20190304154746899"</f>
        <v>20190304154746899</v>
      </c>
      <c r="B1356" t="str">
        <f>"1551685666887692"</f>
        <v>1551685666887692</v>
      </c>
      <c r="C1356" t="s">
        <v>40</v>
      </c>
      <c r="D1356">
        <v>4.2571430000000001</v>
      </c>
      <c r="E1356">
        <v>0.54839959999999999</v>
      </c>
      <c r="F1356" t="s">
        <v>44</v>
      </c>
      <c r="G1356">
        <v>-245.3571</v>
      </c>
      <c r="H1356" s="1">
        <v>-3.0468959999999999E-6</v>
      </c>
      <c r="I1356">
        <v>364.80669999999998</v>
      </c>
      <c r="J1356">
        <v>-302.43950000000001</v>
      </c>
      <c r="K1356">
        <v>1.060338</v>
      </c>
      <c r="L1356">
        <v>367.01609999999999</v>
      </c>
      <c r="M1356">
        <v>0.99993109999999996</v>
      </c>
      <c r="N1356">
        <v>-1.142632E-2</v>
      </c>
      <c r="O1356">
        <v>2.664956E-3</v>
      </c>
      <c r="P1356">
        <v>0.98887689999999995</v>
      </c>
      <c r="Q1356">
        <v>0.11748450000000001</v>
      </c>
      <c r="R1356">
        <v>9.121435E-2</v>
      </c>
      <c r="S1356">
        <v>3.0515750000000001</v>
      </c>
      <c r="T1356">
        <v>-5.6541800000000003E-2</v>
      </c>
      <c r="U1356">
        <v>-0.1177979</v>
      </c>
      <c r="V1356">
        <v>-8.8527839999999997E-2</v>
      </c>
      <c r="W1356">
        <v>0.1288137</v>
      </c>
      <c r="X1356">
        <v>0.98770939999999996</v>
      </c>
      <c r="Y1356">
        <v>4.1225100000000001E-2</v>
      </c>
      <c r="Z1356">
        <v>-6.3632059999999999E-4</v>
      </c>
      <c r="AA1356">
        <v>0.99914970000000003</v>
      </c>
      <c r="AB1356">
        <v>29</v>
      </c>
      <c r="AC1356">
        <v>57.0824</v>
      </c>
      <c r="AD1356">
        <v>-1.060341046896</v>
      </c>
      <c r="AE1356">
        <v>-2.2094000000000098</v>
      </c>
      <c r="AF1356">
        <v>2.3607108258775802</v>
      </c>
      <c r="AG1356">
        <v>-1.060341046896</v>
      </c>
      <c r="AH1356">
        <v>57.056650776452997</v>
      </c>
      <c r="AI1356">
        <v>91.063752552842203</v>
      </c>
      <c r="AJ1356">
        <v>87.630746598259094</v>
      </c>
      <c r="AK1356">
        <v>57.115310351649697</v>
      </c>
      <c r="AL1356">
        <v>82.598954062018905</v>
      </c>
      <c r="AM1356">
        <v>95.121702908252701</v>
      </c>
      <c r="AN1356">
        <v>1.0000000033055501</v>
      </c>
    </row>
    <row r="1357" spans="1:40" x14ac:dyDescent="0.25">
      <c r="A1357" t="str">
        <f>"20190304154746910"</f>
        <v>20190304154746910</v>
      </c>
      <c r="B1357" t="str">
        <f>"1551685666908188"</f>
        <v>1551685666908188</v>
      </c>
      <c r="C1357" t="s">
        <v>40</v>
      </c>
      <c r="D1357">
        <v>4.2579699999999896</v>
      </c>
      <c r="E1357">
        <v>0.54861000000000004</v>
      </c>
      <c r="F1357" t="s">
        <v>44</v>
      </c>
      <c r="G1357">
        <v>-245.9676</v>
      </c>
      <c r="H1357" s="1">
        <v>-2.8136320000000001E-6</v>
      </c>
      <c r="I1357">
        <v>364.80220000000003</v>
      </c>
      <c r="J1357">
        <v>-302.2833</v>
      </c>
      <c r="K1357">
        <v>1.060338</v>
      </c>
      <c r="L1357">
        <v>367.01639999999998</v>
      </c>
      <c r="M1357">
        <v>0.99993149999999997</v>
      </c>
      <c r="N1357">
        <v>-1.1426209999999999E-2</v>
      </c>
      <c r="O1357">
        <v>2.5659599999999999E-3</v>
      </c>
      <c r="P1357">
        <v>0.9889097</v>
      </c>
      <c r="Q1357">
        <v>0.117318699999999</v>
      </c>
      <c r="R1357">
        <v>9.1072139999999996E-2</v>
      </c>
      <c r="S1357">
        <v>3.0516049999999999</v>
      </c>
      <c r="T1357">
        <v>-5.7298300000000003E-2</v>
      </c>
      <c r="U1357">
        <v>-0.1196289</v>
      </c>
      <c r="V1357">
        <v>-8.8483619999999999E-2</v>
      </c>
      <c r="W1357">
        <v>0.12864819999999999</v>
      </c>
      <c r="X1357">
        <v>0.98773489999999997</v>
      </c>
      <c r="Y1357">
        <v>4.1724020000000001E-2</v>
      </c>
      <c r="Z1357">
        <v>-6.4888610000000003E-4</v>
      </c>
      <c r="AA1357">
        <v>0.99912889999999999</v>
      </c>
      <c r="AB1357">
        <v>29</v>
      </c>
      <c r="AC1357">
        <v>56.3156999999999</v>
      </c>
      <c r="AD1357">
        <v>-1.0603408136319901</v>
      </c>
      <c r="AE1357">
        <v>-2.21419999999994</v>
      </c>
      <c r="AF1357">
        <v>2.3578713611719202</v>
      </c>
      <c r="AG1357">
        <v>-1.0603408136319901</v>
      </c>
      <c r="AH1357">
        <v>56.289907966203501</v>
      </c>
      <c r="AI1357">
        <v>91.0782156426407</v>
      </c>
      <c r="AJ1357">
        <v>87.601396907375999</v>
      </c>
      <c r="AK1357">
        <v>56.349246834723097</v>
      </c>
      <c r="AL1357">
        <v>82.608515837468104</v>
      </c>
      <c r="AM1357">
        <v>95.119026736978</v>
      </c>
      <c r="AN1357">
        <v>0.99999997152477604</v>
      </c>
    </row>
    <row r="1358" spans="1:40" x14ac:dyDescent="0.25">
      <c r="A1358" t="str">
        <f>"20190304154746919"</f>
        <v>20190304154746919</v>
      </c>
      <c r="B1358" t="str">
        <f>"1551685666908188"</f>
        <v>1551685666908188</v>
      </c>
      <c r="C1358" t="s">
        <v>40</v>
      </c>
      <c r="D1358">
        <v>4.2579699999999896</v>
      </c>
      <c r="E1358">
        <v>0.54861000000000004</v>
      </c>
      <c r="F1358" t="s">
        <v>44</v>
      </c>
      <c r="G1358">
        <v>-245.22110000000001</v>
      </c>
      <c r="H1358" s="1">
        <v>-3.113817E-6</v>
      </c>
      <c r="I1358">
        <v>364.75139999999999</v>
      </c>
      <c r="J1358">
        <v>-302.16079999999999</v>
      </c>
      <c r="K1358">
        <v>1.060335</v>
      </c>
      <c r="L1358">
        <v>367.01659999999998</v>
      </c>
      <c r="M1358">
        <v>0.99993160000000003</v>
      </c>
      <c r="N1358">
        <v>-1.1426240000000001E-2</v>
      </c>
      <c r="O1358">
        <v>2.4890139999999999E-3</v>
      </c>
      <c r="P1358">
        <v>0.9889405</v>
      </c>
      <c r="Q1358">
        <v>0.1173109</v>
      </c>
      <c r="R1358">
        <v>9.0746049999999995E-2</v>
      </c>
      <c r="S1358">
        <v>3.0515750000000001</v>
      </c>
      <c r="T1358">
        <v>-5.6704999999999998E-2</v>
      </c>
      <c r="U1358">
        <v>-0.1211243</v>
      </c>
      <c r="V1358">
        <v>-8.8233599999999995E-2</v>
      </c>
      <c r="W1358">
        <v>0.12864020000000001</v>
      </c>
      <c r="X1358">
        <v>0.98775829999999998</v>
      </c>
      <c r="Y1358">
        <v>4.2136449999999999E-2</v>
      </c>
      <c r="Z1358">
        <v>-6.4997429999999999E-4</v>
      </c>
      <c r="AA1358">
        <v>0.99911170000000005</v>
      </c>
      <c r="AB1358">
        <v>29</v>
      </c>
      <c r="AC1358">
        <v>56.939699999999903</v>
      </c>
      <c r="AD1358">
        <v>-1.060338113817</v>
      </c>
      <c r="AE1358">
        <v>-2.2651999999999899</v>
      </c>
      <c r="AF1358">
        <v>2.40609287353859</v>
      </c>
      <c r="AG1358">
        <v>-1.060338113817</v>
      </c>
      <c r="AH1358">
        <v>56.914179407939301</v>
      </c>
      <c r="AI1358">
        <v>91.066371740923202</v>
      </c>
      <c r="AJ1358">
        <v>87.579216164330902</v>
      </c>
      <c r="AK1358">
        <v>56.974884093877698</v>
      </c>
      <c r="AL1358">
        <v>82.608977990003297</v>
      </c>
      <c r="AM1358">
        <v>95.104518612153399</v>
      </c>
      <c r="AN1358">
        <v>0.99999996422194404</v>
      </c>
    </row>
    <row r="1359" spans="1:40" x14ac:dyDescent="0.25">
      <c r="A1359" t="str">
        <f>"20190304154746933"</f>
        <v>20190304154746933</v>
      </c>
      <c r="B1359" t="str">
        <f>"1551685666927709"</f>
        <v>1551685666927709</v>
      </c>
      <c r="C1359" t="s">
        <v>40</v>
      </c>
      <c r="D1359">
        <v>4.2518459999999996</v>
      </c>
      <c r="E1359">
        <v>0.54885419999999996</v>
      </c>
      <c r="F1359" t="s">
        <v>44</v>
      </c>
      <c r="G1359">
        <v>-245.24969999999999</v>
      </c>
      <c r="H1359" s="1">
        <v>-3.1077220000000001E-6</v>
      </c>
      <c r="I1359">
        <v>364.73309999999998</v>
      </c>
      <c r="J1359">
        <v>-302.00049999999999</v>
      </c>
      <c r="K1359">
        <v>1.0603359999999999</v>
      </c>
      <c r="L1359">
        <v>367.01690000000002</v>
      </c>
      <c r="M1359">
        <v>0.99993189999999998</v>
      </c>
      <c r="N1359">
        <v>-1.142632E-2</v>
      </c>
      <c r="O1359">
        <v>2.3880479999999998E-3</v>
      </c>
      <c r="P1359">
        <v>0.98903350000000001</v>
      </c>
      <c r="Q1359">
        <v>0.1168766</v>
      </c>
      <c r="R1359">
        <v>9.0293010000000007E-2</v>
      </c>
      <c r="S1359">
        <v>3.0515140000000001</v>
      </c>
      <c r="T1359">
        <v>-5.6854250000000002E-2</v>
      </c>
      <c r="U1359">
        <v>-0.1224365</v>
      </c>
      <c r="V1359">
        <v>-8.7880609999999998E-2</v>
      </c>
      <c r="W1359">
        <v>0.12820699999999999</v>
      </c>
      <c r="X1359">
        <v>0.98784609999999995</v>
      </c>
      <c r="Y1359">
        <v>4.2465179999999998E-2</v>
      </c>
      <c r="Z1359">
        <v>-6.5534769999999896E-4</v>
      </c>
      <c r="AA1359">
        <v>0.99909769999999998</v>
      </c>
      <c r="AB1359">
        <v>29</v>
      </c>
      <c r="AC1359">
        <v>56.750799999999998</v>
      </c>
      <c r="AD1359">
        <v>-1.0603391077219999</v>
      </c>
      <c r="AE1359">
        <v>-2.2838000000000398</v>
      </c>
      <c r="AF1359">
        <v>2.4184830458046398</v>
      </c>
      <c r="AG1359">
        <v>-1.0603391077219999</v>
      </c>
      <c r="AH1359">
        <v>56.7254133508808</v>
      </c>
      <c r="AI1359">
        <v>91.069904223506597</v>
      </c>
      <c r="AJ1359">
        <v>87.558677952468798</v>
      </c>
      <c r="AK1359">
        <v>56.786846180207</v>
      </c>
      <c r="AL1359">
        <v>82.634005861392794</v>
      </c>
      <c r="AM1359">
        <v>95.083755047805894</v>
      </c>
      <c r="AN1359">
        <v>0.99999997687409004</v>
      </c>
    </row>
    <row r="1360" spans="1:40" x14ac:dyDescent="0.25">
      <c r="A1360" t="str">
        <f>"20190304154746944"</f>
        <v>20190304154746944</v>
      </c>
      <c r="B1360" t="str">
        <f>"1551685666937978"</f>
        <v>1551685666937978</v>
      </c>
      <c r="C1360" t="s">
        <v>40</v>
      </c>
      <c r="D1360">
        <v>4.3063459999999996</v>
      </c>
      <c r="E1360">
        <v>0.54878990000000005</v>
      </c>
      <c r="F1360" t="s">
        <v>44</v>
      </c>
      <c r="G1360">
        <v>-244.91470000000001</v>
      </c>
      <c r="H1360" s="1">
        <v>-3.2623909999999998E-6</v>
      </c>
      <c r="I1360">
        <v>364.66640000000001</v>
      </c>
      <c r="J1360">
        <v>-301.83429999999998</v>
      </c>
      <c r="K1360">
        <v>1.0603320000000001</v>
      </c>
      <c r="L1360">
        <v>367.0172</v>
      </c>
      <c r="M1360">
        <v>0.99993220000000005</v>
      </c>
      <c r="N1360">
        <v>-1.1426560000000001E-2</v>
      </c>
      <c r="O1360">
        <v>2.283626E-3</v>
      </c>
      <c r="P1360">
        <v>0.98902679999999998</v>
      </c>
      <c r="Q1360">
        <v>0.1170215</v>
      </c>
      <c r="R1360">
        <v>9.0178540000000001E-2</v>
      </c>
      <c r="S1360">
        <v>3.0514220000000001</v>
      </c>
      <c r="T1360">
        <v>-5.6678529999999998E-2</v>
      </c>
      <c r="U1360">
        <v>-0.1256409</v>
      </c>
      <c r="V1360">
        <v>-8.7869059999999999E-2</v>
      </c>
      <c r="W1360">
        <v>0.12835170000000001</v>
      </c>
      <c r="X1360">
        <v>0.98782840000000005</v>
      </c>
      <c r="Y1360">
        <v>4.340927E-2</v>
      </c>
      <c r="Z1360">
        <v>-6.6741670000000002E-4</v>
      </c>
      <c r="AA1360">
        <v>0.99905719999999998</v>
      </c>
      <c r="AB1360">
        <v>29</v>
      </c>
      <c r="AC1360">
        <v>56.919599999999903</v>
      </c>
      <c r="AD1360">
        <v>-1.0603352623909901</v>
      </c>
      <c r="AE1360">
        <v>-2.3507999999999898</v>
      </c>
      <c r="AF1360">
        <v>2.4799262875930799</v>
      </c>
      <c r="AG1360">
        <v>-1.0603352623909901</v>
      </c>
      <c r="AH1360">
        <v>56.894372627135397</v>
      </c>
      <c r="AI1360">
        <v>91.066680045517899</v>
      </c>
      <c r="AJ1360">
        <v>87.504156934784703</v>
      </c>
      <c r="AK1360">
        <v>56.958265264102899</v>
      </c>
      <c r="AL1360">
        <v>82.625646556453901</v>
      </c>
      <c r="AM1360">
        <v>95.083181001150706</v>
      </c>
      <c r="AN1360">
        <v>1.00000003922236</v>
      </c>
    </row>
    <row r="1361" spans="1:40" x14ac:dyDescent="0.25">
      <c r="A1361" t="str">
        <f>"20190304154746958"</f>
        <v>20190304154746958</v>
      </c>
      <c r="B1361" t="str">
        <f>"1551685666947738"</f>
        <v>1551685666947738</v>
      </c>
      <c r="C1361" t="s">
        <v>40</v>
      </c>
      <c r="D1361">
        <v>4.2504359999999997</v>
      </c>
      <c r="E1361">
        <v>0.54882600000000004</v>
      </c>
      <c r="F1361" t="s">
        <v>44</v>
      </c>
      <c r="G1361">
        <v>-243.61699999999999</v>
      </c>
      <c r="H1361" s="1">
        <v>-3.8836219999999997E-6</v>
      </c>
      <c r="I1361">
        <v>364.6223</v>
      </c>
      <c r="J1361">
        <v>-301.66559999999998</v>
      </c>
      <c r="K1361">
        <v>1.0603309999999999</v>
      </c>
      <c r="L1361">
        <v>367.01749999999998</v>
      </c>
      <c r="M1361">
        <v>0.9999323</v>
      </c>
      <c r="N1361">
        <v>-1.142686E-2</v>
      </c>
      <c r="O1361">
        <v>2.177535E-3</v>
      </c>
      <c r="P1361">
        <v>0.9890736</v>
      </c>
      <c r="Q1361">
        <v>0.11689380000000001</v>
      </c>
      <c r="R1361">
        <v>8.9829149999999997E-2</v>
      </c>
      <c r="S1361">
        <v>3.0512999999999999</v>
      </c>
      <c r="T1361">
        <v>-5.5574659999999998E-2</v>
      </c>
      <c r="U1361">
        <v>-0.12551880000000001</v>
      </c>
      <c r="V1361">
        <v>-8.7625090000000003E-2</v>
      </c>
      <c r="W1361">
        <v>0.12822449999999999</v>
      </c>
      <c r="X1361">
        <v>0.98786649999999998</v>
      </c>
      <c r="Y1361">
        <v>4.3265440000000002E-2</v>
      </c>
      <c r="Z1361">
        <v>-6.5591599999999999E-4</v>
      </c>
      <c r="AA1361">
        <v>0.99906340000000005</v>
      </c>
      <c r="AB1361">
        <v>29</v>
      </c>
      <c r="AC1361">
        <v>58.048599999999901</v>
      </c>
      <c r="AD1361">
        <v>-1.0603348836219999</v>
      </c>
      <c r="AE1361">
        <v>-2.39519999999998</v>
      </c>
      <c r="AF1361">
        <v>2.5207657909772001</v>
      </c>
      <c r="AG1361">
        <v>-1.0603348836219999</v>
      </c>
      <c r="AH1361">
        <v>58.023919099734101</v>
      </c>
      <c r="AI1361">
        <v>91.045925936485304</v>
      </c>
      <c r="AJ1361">
        <v>87.512431365476701</v>
      </c>
      <c r="AK1361">
        <v>58.088327208922799</v>
      </c>
      <c r="AL1361">
        <v>82.632994643780606</v>
      </c>
      <c r="AM1361">
        <v>95.068946606800694</v>
      </c>
      <c r="AN1361">
        <v>0.99999995031000199</v>
      </c>
    </row>
    <row r="1362" spans="1:40" x14ac:dyDescent="0.25">
      <c r="A1362" t="str">
        <f>"20190304154746970"</f>
        <v>20190304154746970</v>
      </c>
      <c r="B1362" t="str">
        <f>"1551685666968233"</f>
        <v>1551685666968233</v>
      </c>
      <c r="C1362" t="s">
        <v>40</v>
      </c>
      <c r="D1362">
        <v>4.2525240000000002</v>
      </c>
      <c r="E1362">
        <v>0.54870109999999905</v>
      </c>
      <c r="F1362" t="s">
        <v>44</v>
      </c>
      <c r="G1362">
        <v>-243.21680000000001</v>
      </c>
      <c r="H1362" s="1">
        <v>-4.0785230000000004E-6</v>
      </c>
      <c r="I1362">
        <v>364.59019999999998</v>
      </c>
      <c r="J1362">
        <v>-301.50209999999998</v>
      </c>
      <c r="K1362">
        <v>1.06033</v>
      </c>
      <c r="L1362">
        <v>367.01769999999999</v>
      </c>
      <c r="M1362">
        <v>0.99993259999999995</v>
      </c>
      <c r="N1362">
        <v>-1.142722E-2</v>
      </c>
      <c r="O1362">
        <v>2.074485E-3</v>
      </c>
      <c r="P1362">
        <v>0.98908200000000002</v>
      </c>
      <c r="Q1362">
        <v>0.1169485</v>
      </c>
      <c r="R1362">
        <v>8.9667750000000004E-2</v>
      </c>
      <c r="S1362">
        <v>3.0511780000000002</v>
      </c>
      <c r="T1362">
        <v>-5.5352209999999999E-2</v>
      </c>
      <c r="U1362">
        <v>-0.12670899999999999</v>
      </c>
      <c r="V1362">
        <v>-8.7565580000000004E-2</v>
      </c>
      <c r="W1362">
        <v>0.12827939999999999</v>
      </c>
      <c r="X1362">
        <v>0.98786470000000004</v>
      </c>
      <c r="Y1362">
        <v>4.355316E-2</v>
      </c>
      <c r="Z1362">
        <v>-6.5776609999999998E-4</v>
      </c>
      <c r="AA1362">
        <v>0.99905089999999996</v>
      </c>
      <c r="AB1362">
        <v>29</v>
      </c>
      <c r="AC1362">
        <v>58.2852999999999</v>
      </c>
      <c r="AD1362">
        <v>-1.060334078523</v>
      </c>
      <c r="AE1362">
        <v>-2.4275000000000002</v>
      </c>
      <c r="AF1362">
        <v>2.5475729773329401</v>
      </c>
      <c r="AG1362">
        <v>-1.060334078523</v>
      </c>
      <c r="AH1362">
        <v>58.2608901528952</v>
      </c>
      <c r="AI1362">
        <v>91.041659032736504</v>
      </c>
      <c r="AJ1362">
        <v>87.496223368030201</v>
      </c>
      <c r="AK1362">
        <v>58.326201297878498</v>
      </c>
      <c r="AL1362">
        <v>82.629823283068802</v>
      </c>
      <c r="AM1362">
        <v>95.065531163901596</v>
      </c>
      <c r="AN1362">
        <v>1.00000000038559</v>
      </c>
    </row>
    <row r="1363" spans="1:40" x14ac:dyDescent="0.25">
      <c r="A1363" t="str">
        <f>"20190304154746982"</f>
        <v>20190304154746982</v>
      </c>
      <c r="B1363" t="str">
        <f>"1551685666977993"</f>
        <v>1551685666977993</v>
      </c>
      <c r="C1363" t="s">
        <v>40</v>
      </c>
      <c r="D1363">
        <v>4.4063699999999999</v>
      </c>
      <c r="E1363">
        <v>0.54855669999999901</v>
      </c>
      <c r="F1363" t="s">
        <v>44</v>
      </c>
      <c r="G1363">
        <v>-241.3963</v>
      </c>
      <c r="H1363" s="1">
        <v>-4.9488160000000004E-6</v>
      </c>
      <c r="I1363">
        <v>364.53519999999997</v>
      </c>
      <c r="J1363">
        <v>-301.34870000000001</v>
      </c>
      <c r="K1363">
        <v>1.0603290000000001</v>
      </c>
      <c r="L1363">
        <v>367.0179</v>
      </c>
      <c r="M1363">
        <v>0.99993290000000001</v>
      </c>
      <c r="N1363">
        <v>-1.1427659999999999E-2</v>
      </c>
      <c r="O1363">
        <v>1.9783420000000001E-3</v>
      </c>
      <c r="P1363">
        <v>0.9891027</v>
      </c>
      <c r="Q1363">
        <v>0.1168775</v>
      </c>
      <c r="R1363">
        <v>8.9530609999999997E-2</v>
      </c>
      <c r="S1363">
        <v>3.0509339999999998</v>
      </c>
      <c r="T1363">
        <v>-5.3821920000000002E-2</v>
      </c>
      <c r="U1363">
        <v>-0.12600710000000001</v>
      </c>
      <c r="V1363">
        <v>-8.7523519999999994E-2</v>
      </c>
      <c r="W1363">
        <v>0.1282094</v>
      </c>
      <c r="X1363">
        <v>0.98787749999999996</v>
      </c>
      <c r="Y1363">
        <v>4.3231569999999997E-2</v>
      </c>
      <c r="Z1363">
        <v>-6.4058240000000003E-4</v>
      </c>
      <c r="AA1363">
        <v>0.99906490000000003</v>
      </c>
      <c r="AB1363">
        <v>29</v>
      </c>
      <c r="AC1363">
        <v>59.952399999999997</v>
      </c>
      <c r="AD1363">
        <v>-1.060333948816</v>
      </c>
      <c r="AE1363">
        <v>-2.4827000000000199</v>
      </c>
      <c r="AF1363">
        <v>2.60049716558528</v>
      </c>
      <c r="AG1363">
        <v>-1.060333948816</v>
      </c>
      <c r="AH1363">
        <v>59.928656886293602</v>
      </c>
      <c r="AI1363">
        <v>91.012691184169697</v>
      </c>
      <c r="AJ1363">
        <v>87.515310602091205</v>
      </c>
      <c r="AK1363">
        <v>59.994423155709498</v>
      </c>
      <c r="AL1363">
        <v>82.633867274127795</v>
      </c>
      <c r="AM1363">
        <v>95.063045446727699</v>
      </c>
      <c r="AN1363">
        <v>0.99999998590390005</v>
      </c>
    </row>
    <row r="1364" spans="1:40" x14ac:dyDescent="0.25">
      <c r="A1364" t="str">
        <f>"20190304154746998"</f>
        <v>20190304154746998</v>
      </c>
      <c r="B1364" t="str">
        <f>"1551685666987753"</f>
        <v>1551685666987753</v>
      </c>
      <c r="C1364" t="s">
        <v>40</v>
      </c>
      <c r="D1364">
        <v>4.2104670000000004</v>
      </c>
      <c r="E1364">
        <v>0.54857709999999904</v>
      </c>
      <c r="F1364" t="s">
        <v>44</v>
      </c>
      <c r="G1364">
        <v>-240.92429999999999</v>
      </c>
      <c r="H1364" s="1">
        <v>-5.1724029999999997E-6</v>
      </c>
      <c r="I1364">
        <v>364.53250000000003</v>
      </c>
      <c r="J1364">
        <v>-301.14210000000003</v>
      </c>
      <c r="K1364">
        <v>1.0603309999999999</v>
      </c>
      <c r="L1364">
        <v>367.01819999999998</v>
      </c>
      <c r="M1364">
        <v>0.99993310000000002</v>
      </c>
      <c r="N1364">
        <v>-1.142832E-2</v>
      </c>
      <c r="O1364">
        <v>1.8498379999999999E-3</v>
      </c>
      <c r="P1364">
        <v>0.98917069999999996</v>
      </c>
      <c r="Q1364">
        <v>0.11676449999999999</v>
      </c>
      <c r="R1364">
        <v>8.8924370000000003E-2</v>
      </c>
      <c r="S1364">
        <v>3.050751</v>
      </c>
      <c r="T1364">
        <v>-5.3534980000000003E-2</v>
      </c>
      <c r="U1364">
        <v>-0.1254883</v>
      </c>
      <c r="V1364">
        <v>-8.704431E-2</v>
      </c>
      <c r="W1364">
        <v>0.1280973</v>
      </c>
      <c r="X1364">
        <v>0.98793439999999999</v>
      </c>
      <c r="Y1364">
        <v>4.2936210000000002E-2</v>
      </c>
      <c r="Z1364">
        <v>-6.33338E-4</v>
      </c>
      <c r="AA1364">
        <v>0.99907760000000001</v>
      </c>
      <c r="AB1364">
        <v>29</v>
      </c>
      <c r="AC1364">
        <v>60.217799999999997</v>
      </c>
      <c r="AD1364">
        <v>-1.0603361724029901</v>
      </c>
      <c r="AE1364">
        <v>-2.4856999999999498</v>
      </c>
      <c r="AF1364">
        <v>2.59629256164793</v>
      </c>
      <c r="AG1364">
        <v>-1.0603361724029901</v>
      </c>
      <c r="AH1364">
        <v>60.194466724532603</v>
      </c>
      <c r="AI1364">
        <v>91.008233710259702</v>
      </c>
      <c r="AJ1364">
        <v>87.530263648018007</v>
      </c>
      <c r="AK1364">
        <v>60.259761633407003</v>
      </c>
      <c r="AL1364">
        <v>82.640343669122998</v>
      </c>
      <c r="AM1364">
        <v>95.0351785752555</v>
      </c>
      <c r="AN1364">
        <v>1.0000000044370101</v>
      </c>
    </row>
    <row r="1365" spans="1:40" x14ac:dyDescent="0.25">
      <c r="A1365" t="str">
        <f>"20190304154747009"</f>
        <v>20190304154747009</v>
      </c>
      <c r="B1365" t="str">
        <f>"1551685666997513"</f>
        <v>1551685666997513</v>
      </c>
      <c r="C1365" t="s">
        <v>40</v>
      </c>
      <c r="D1365">
        <v>4.4480740000000001</v>
      </c>
      <c r="E1365">
        <v>0.54857709999999904</v>
      </c>
      <c r="F1365" t="s">
        <v>44</v>
      </c>
      <c r="G1365">
        <v>-241.0359</v>
      </c>
      <c r="H1365" s="1">
        <v>-5.1241629999999996E-6</v>
      </c>
      <c r="I1365">
        <v>364.50720000000001</v>
      </c>
      <c r="J1365">
        <v>-300.98779999999999</v>
      </c>
      <c r="K1365">
        <v>1.0603309999999999</v>
      </c>
      <c r="L1365">
        <v>367.01839999999999</v>
      </c>
      <c r="M1365">
        <v>0.99993310000000002</v>
      </c>
      <c r="N1365">
        <v>-1.1428870000000001E-2</v>
      </c>
      <c r="O1365">
        <v>1.7542979999999901E-3</v>
      </c>
      <c r="P1365">
        <v>0.98922469999999996</v>
      </c>
      <c r="Q1365">
        <v>0.11654539999999999</v>
      </c>
      <c r="R1365">
        <v>8.8609549999999995E-2</v>
      </c>
      <c r="S1365">
        <v>3.050659</v>
      </c>
      <c r="T1365">
        <v>-5.3816799999999998E-2</v>
      </c>
      <c r="U1365">
        <v>-0.12744140000000001</v>
      </c>
      <c r="V1365">
        <v>-8.6824410000000005E-2</v>
      </c>
      <c r="W1365">
        <v>0.1278793</v>
      </c>
      <c r="X1365">
        <v>0.98798200000000003</v>
      </c>
      <c r="Y1365">
        <v>4.3480280000000003E-2</v>
      </c>
      <c r="Z1365">
        <v>-6.4282640000000002E-4</v>
      </c>
      <c r="AA1365">
        <v>0.99905409999999994</v>
      </c>
      <c r="AB1365">
        <v>29</v>
      </c>
      <c r="AC1365">
        <v>59.951900000000002</v>
      </c>
      <c r="AD1365">
        <v>-1.0603361241629901</v>
      </c>
      <c r="AE1365">
        <v>-2.5111999999999699</v>
      </c>
      <c r="AF1365">
        <v>2.6155597669114101</v>
      </c>
      <c r="AG1365">
        <v>-1.0603361241629901</v>
      </c>
      <c r="AH1365">
        <v>59.928688568724802</v>
      </c>
      <c r="AI1365">
        <v>91.012681673425107</v>
      </c>
      <c r="AJ1365">
        <v>87.500938295688499</v>
      </c>
      <c r="AK1365">
        <v>59.995109627016298</v>
      </c>
      <c r="AL1365">
        <v>82.652937789372402</v>
      </c>
      <c r="AM1365">
        <v>95.0222826089026</v>
      </c>
      <c r="AN1365">
        <v>1.00000001293216</v>
      </c>
    </row>
    <row r="1366" spans="1:40" x14ac:dyDescent="0.25">
      <c r="A1366" t="str">
        <f>"20190304154747020"</f>
        <v>20190304154747020</v>
      </c>
      <c r="B1366" t="str">
        <f>"1551685667018009"</f>
        <v>1551685667018009</v>
      </c>
      <c r="C1366" t="s">
        <v>40</v>
      </c>
      <c r="D1366">
        <v>4.3142509999999996</v>
      </c>
      <c r="E1366">
        <v>0.54842800000000003</v>
      </c>
      <c r="F1366" t="s">
        <v>44</v>
      </c>
      <c r="G1366">
        <v>-241.7687</v>
      </c>
      <c r="H1366" s="1">
        <v>-4.773043E-6</v>
      </c>
      <c r="I1366">
        <v>364.53379999999999</v>
      </c>
      <c r="J1366">
        <v>-300.84589999999997</v>
      </c>
      <c r="K1366">
        <v>1.0603320000000001</v>
      </c>
      <c r="L1366">
        <v>367.01859999999999</v>
      </c>
      <c r="M1366">
        <v>0.99993339999999997</v>
      </c>
      <c r="N1366">
        <v>-1.1429450000000001E-2</v>
      </c>
      <c r="O1366">
        <v>1.667946E-3</v>
      </c>
      <c r="P1366">
        <v>0.98927849999999995</v>
      </c>
      <c r="Q1366">
        <v>0.1162599</v>
      </c>
      <c r="R1366">
        <v>8.8384809999999994E-2</v>
      </c>
      <c r="S1366">
        <v>3.0505979999999999</v>
      </c>
      <c r="T1366">
        <v>-5.4621820000000001E-2</v>
      </c>
      <c r="U1366">
        <v>-0.12799070000000001</v>
      </c>
      <c r="V1366">
        <v>-8.6685349999999994E-2</v>
      </c>
      <c r="W1366">
        <v>0.12759409999999999</v>
      </c>
      <c r="X1366">
        <v>0.98803110000000005</v>
      </c>
      <c r="Y1366">
        <v>4.3574130000000003E-2</v>
      </c>
      <c r="Z1366">
        <v>-6.4985979999999997E-4</v>
      </c>
      <c r="AA1366">
        <v>0.99904999999999999</v>
      </c>
      <c r="AB1366">
        <v>29</v>
      </c>
      <c r="AC1366">
        <v>59.077199999999898</v>
      </c>
      <c r="AD1366">
        <v>-1.060336773043</v>
      </c>
      <c r="AE1366">
        <v>-2.4847999999999999</v>
      </c>
      <c r="AF1366">
        <v>2.5825100817595299</v>
      </c>
      <c r="AG1366">
        <v>-1.060336773043</v>
      </c>
      <c r="AH1366">
        <v>59.053982834326803</v>
      </c>
      <c r="AI1366">
        <v>91.027675028600001</v>
      </c>
      <c r="AJ1366">
        <v>87.495973959163706</v>
      </c>
      <c r="AK1366">
        <v>59.119933702530602</v>
      </c>
      <c r="AL1366">
        <v>82.669413634257793</v>
      </c>
      <c r="AM1366">
        <v>95.014031932046606</v>
      </c>
      <c r="AN1366">
        <v>1.00000002941332</v>
      </c>
    </row>
    <row r="1367" spans="1:40" x14ac:dyDescent="0.25">
      <c r="A1367" t="str">
        <f>"20190304154747033"</f>
        <v>20190304154747033</v>
      </c>
      <c r="B1367" t="str">
        <f>"1551685667027769"</f>
        <v>1551685667027769</v>
      </c>
      <c r="C1367" t="s">
        <v>40</v>
      </c>
      <c r="D1367">
        <v>4.2779309999999997</v>
      </c>
      <c r="E1367">
        <v>0.51543240000000001</v>
      </c>
      <c r="F1367" t="s">
        <v>44</v>
      </c>
      <c r="G1367">
        <v>-240.65639999999999</v>
      </c>
      <c r="H1367" s="1">
        <v>-5.3048889999999997E-6</v>
      </c>
      <c r="I1367">
        <v>364.49959999999999</v>
      </c>
      <c r="J1367">
        <v>-300.68099999999998</v>
      </c>
      <c r="K1367">
        <v>1.060333</v>
      </c>
      <c r="L1367">
        <v>367.01870000000002</v>
      </c>
      <c r="M1367">
        <v>0.99993339999999997</v>
      </c>
      <c r="N1367">
        <v>-1.143015E-2</v>
      </c>
      <c r="O1367">
        <v>1.568547E-3</v>
      </c>
      <c r="P1367">
        <v>0.98932799999999999</v>
      </c>
      <c r="Q1367">
        <v>0.1158869</v>
      </c>
      <c r="R1367">
        <v>8.83216E-2</v>
      </c>
      <c r="S1367">
        <v>3.0502319999999998</v>
      </c>
      <c r="T1367">
        <v>-5.3734900000000002E-2</v>
      </c>
      <c r="U1367">
        <v>-0.12765499999999999</v>
      </c>
      <c r="V1367">
        <v>-8.6721099999999995E-2</v>
      </c>
      <c r="W1367">
        <v>0.12722240000000001</v>
      </c>
      <c r="X1367">
        <v>0.98807590000000001</v>
      </c>
      <c r="Y1367">
        <v>4.3370430000000001E-2</v>
      </c>
      <c r="Z1367">
        <v>-6.3953559999999998E-4</v>
      </c>
      <c r="AA1367">
        <v>0.99905880000000002</v>
      </c>
      <c r="AB1367">
        <v>29</v>
      </c>
      <c r="AC1367">
        <v>60.0245999999999</v>
      </c>
      <c r="AD1367">
        <v>-1.060338304889</v>
      </c>
      <c r="AE1367">
        <v>-2.5191000000000301</v>
      </c>
      <c r="AF1367">
        <v>2.6124406716256701</v>
      </c>
      <c r="AG1367">
        <v>-1.060338304889</v>
      </c>
      <c r="AH1367">
        <v>60.001883631460998</v>
      </c>
      <c r="AI1367">
        <v>91.011453290128202</v>
      </c>
      <c r="AJ1367">
        <v>87.506955772653399</v>
      </c>
      <c r="AK1367">
        <v>60.068088057694702</v>
      </c>
      <c r="AL1367">
        <v>82.690885512559504</v>
      </c>
      <c r="AM1367">
        <v>95.015862954284202</v>
      </c>
      <c r="AN1367">
        <v>1.0000000362038799</v>
      </c>
    </row>
    <row r="1368" spans="1:40" x14ac:dyDescent="0.25">
      <c r="A1368" t="str">
        <f>"20190304154747043"</f>
        <v>20190304154747043</v>
      </c>
      <c r="B1368" t="str">
        <f>"1551685667037529"</f>
        <v>1551685667037529</v>
      </c>
      <c r="C1368" t="s">
        <v>40</v>
      </c>
      <c r="D1368">
        <v>4.3035880000000004</v>
      </c>
      <c r="E1368">
        <v>0.51210329999999904</v>
      </c>
      <c r="F1368" t="s">
        <v>44</v>
      </c>
      <c r="G1368">
        <v>-264.01249999999999</v>
      </c>
      <c r="H1368" s="1">
        <v>-2.7246620000000002E-6</v>
      </c>
      <c r="I1368">
        <v>368.637</v>
      </c>
      <c r="J1368">
        <v>-300.54500000000002</v>
      </c>
      <c r="K1368">
        <v>1.0603340000000001</v>
      </c>
      <c r="L1368">
        <v>367.01889999999997</v>
      </c>
      <c r="M1368">
        <v>0.99993370000000004</v>
      </c>
      <c r="N1368">
        <v>-1.143079E-2</v>
      </c>
      <c r="O1368">
        <v>1.489237E-3</v>
      </c>
      <c r="P1368">
        <v>0.98937459999999999</v>
      </c>
      <c r="Q1368">
        <v>0.11567089999999899</v>
      </c>
      <c r="R1368">
        <v>8.8081870000000007E-2</v>
      </c>
      <c r="S1368">
        <v>3.0307309999999998</v>
      </c>
      <c r="T1368">
        <v>-8.7638850000000004E-2</v>
      </c>
      <c r="U1368">
        <v>0.1337585</v>
      </c>
      <c r="V1368">
        <v>-8.6560490000000004E-2</v>
      </c>
      <c r="W1368">
        <v>0.1270067</v>
      </c>
      <c r="X1368">
        <v>0.98811769999999999</v>
      </c>
      <c r="Y1368">
        <v>-4.2578659999999997E-2</v>
      </c>
      <c r="Z1368">
        <v>8.3272089999999999E-4</v>
      </c>
      <c r="AA1368">
        <v>0.9990928</v>
      </c>
      <c r="AB1368">
        <v>29</v>
      </c>
      <c r="AC1368">
        <v>36.532499999999999</v>
      </c>
      <c r="AD1368">
        <v>-1.0603367246619999</v>
      </c>
      <c r="AE1368">
        <v>1.6180999999999699</v>
      </c>
      <c r="AF1368">
        <v>-1.5623755079130699</v>
      </c>
      <c r="AG1368">
        <v>-1.0603367246619999</v>
      </c>
      <c r="AH1368">
        <v>36.504177725138902</v>
      </c>
      <c r="AI1368">
        <v>91.662281524298805</v>
      </c>
      <c r="AJ1368">
        <v>92.450758456422506</v>
      </c>
      <c r="AK1368">
        <v>36.552979667681299</v>
      </c>
      <c r="AL1368">
        <v>82.703345053509494</v>
      </c>
      <c r="AM1368">
        <v>95.006409972023803</v>
      </c>
      <c r="AN1368">
        <v>1.0000000046636099</v>
      </c>
    </row>
    <row r="1369" spans="1:40" x14ac:dyDescent="0.25">
      <c r="A1369" t="str">
        <f>"20190304154747055"</f>
        <v>20190304154747055</v>
      </c>
      <c r="B1369" t="str">
        <f>"1551685667048264"</f>
        <v>1551685667048264</v>
      </c>
      <c r="C1369" t="s">
        <v>40</v>
      </c>
      <c r="D1369">
        <v>4.2814509999999997</v>
      </c>
      <c r="E1369">
        <v>0.51058809999999999</v>
      </c>
      <c r="F1369" t="s">
        <v>44</v>
      </c>
      <c r="G1369">
        <v>-268.84710000000001</v>
      </c>
      <c r="H1369" s="1">
        <v>-6.4261180000000003E-7</v>
      </c>
      <c r="I1369">
        <v>368.68220000000002</v>
      </c>
      <c r="J1369">
        <v>-300.39490000000001</v>
      </c>
      <c r="K1369">
        <v>1.060333</v>
      </c>
      <c r="L1369">
        <v>367.01900000000001</v>
      </c>
      <c r="M1369">
        <v>0.99993370000000004</v>
      </c>
      <c r="N1369">
        <v>-1.1431510000000001E-2</v>
      </c>
      <c r="O1369">
        <v>1.403376E-3</v>
      </c>
      <c r="P1369">
        <v>0.98937109999999995</v>
      </c>
      <c r="Q1369">
        <v>0.1157257</v>
      </c>
      <c r="R1369">
        <v>8.8047500000000001E-2</v>
      </c>
      <c r="S1369">
        <v>3.0299070000000001</v>
      </c>
      <c r="T1369">
        <v>-0.1013541</v>
      </c>
      <c r="U1369">
        <v>0.15899659999999999</v>
      </c>
      <c r="V1369">
        <v>-8.6611670000000002E-2</v>
      </c>
      <c r="W1369">
        <v>0.12706199999999901</v>
      </c>
      <c r="X1369">
        <v>0.98810609999999999</v>
      </c>
      <c r="Y1369">
        <v>-5.0964200000000001E-2</v>
      </c>
      <c r="Z1369">
        <v>1.1123319999999999E-3</v>
      </c>
      <c r="AA1369">
        <v>0.99869980000000003</v>
      </c>
      <c r="AB1369">
        <v>29</v>
      </c>
      <c r="AC1369">
        <v>31.547799999999899</v>
      </c>
      <c r="AD1369">
        <v>-1.0603336426118</v>
      </c>
      <c r="AE1369">
        <v>1.66320000000001</v>
      </c>
      <c r="AF1369">
        <v>-1.6171003378486599</v>
      </c>
      <c r="AG1369">
        <v>-1.0603336426118</v>
      </c>
      <c r="AH1369">
        <v>31.514601134999101</v>
      </c>
      <c r="AI1369">
        <v>91.924504774534597</v>
      </c>
      <c r="AJ1369">
        <v>92.937426809538493</v>
      </c>
      <c r="AK1369">
        <v>31.573872198930701</v>
      </c>
      <c r="AL1369">
        <v>82.700150676153001</v>
      </c>
      <c r="AM1369">
        <v>95.009413527727006</v>
      </c>
      <c r="AN1369">
        <v>0.99999999904069903</v>
      </c>
    </row>
    <row r="1370" spans="1:40" x14ac:dyDescent="0.25">
      <c r="A1370" t="str">
        <f>"20190304154747065"</f>
        <v>20190304154747065</v>
      </c>
      <c r="B1370" t="str">
        <f>"1551685667058026"</f>
        <v>1551685667058026</v>
      </c>
      <c r="C1370" t="s">
        <v>40</v>
      </c>
      <c r="D1370">
        <v>4.188364</v>
      </c>
      <c r="E1370">
        <v>0.51489960000000001</v>
      </c>
      <c r="F1370" t="s">
        <v>44</v>
      </c>
      <c r="G1370">
        <v>-270.64449999999999</v>
      </c>
      <c r="H1370" s="1">
        <v>-4.158956E-6</v>
      </c>
      <c r="I1370">
        <v>368.69650000000001</v>
      </c>
      <c r="J1370">
        <v>-300.25060000000002</v>
      </c>
      <c r="K1370">
        <v>1.0603340000000001</v>
      </c>
      <c r="L1370">
        <v>367.01909999999998</v>
      </c>
      <c r="M1370">
        <v>0.99993390000000004</v>
      </c>
      <c r="N1370">
        <v>-1.143223E-2</v>
      </c>
      <c r="O1370">
        <v>1.322707E-3</v>
      </c>
      <c r="P1370">
        <v>0.9894056</v>
      </c>
      <c r="Q1370">
        <v>0.1155341</v>
      </c>
      <c r="R1370">
        <v>8.7911959999999997E-2</v>
      </c>
      <c r="S1370">
        <v>3.0296940000000001</v>
      </c>
      <c r="T1370">
        <v>-0.1079812</v>
      </c>
      <c r="U1370">
        <v>0.1708374</v>
      </c>
      <c r="V1370">
        <v>-8.6556350000000004E-2</v>
      </c>
      <c r="W1370">
        <v>0.1268705</v>
      </c>
      <c r="X1370">
        <v>0.9881356</v>
      </c>
      <c r="Y1370">
        <v>-5.4931939999999999E-2</v>
      </c>
      <c r="Z1370">
        <v>1.260232E-3</v>
      </c>
      <c r="AA1370">
        <v>0.99848930000000002</v>
      </c>
      <c r="AB1370">
        <v>29</v>
      </c>
      <c r="AC1370">
        <v>29.606100000000001</v>
      </c>
      <c r="AD1370">
        <v>-1.0603381589559999</v>
      </c>
      <c r="AE1370">
        <v>1.67740000000003</v>
      </c>
      <c r="AF1370">
        <v>-1.6361438098021801</v>
      </c>
      <c r="AG1370">
        <v>-1.0603381589559999</v>
      </c>
      <c r="AH1370">
        <v>29.570484147097901</v>
      </c>
      <c r="AI1370">
        <v>92.050498014394805</v>
      </c>
      <c r="AJ1370">
        <v>93.166963576402793</v>
      </c>
      <c r="AK1370">
        <v>29.6346894073729</v>
      </c>
      <c r="AL1370">
        <v>82.711212674495599</v>
      </c>
      <c r="AM1370">
        <v>95.006081517567495</v>
      </c>
      <c r="AN1370">
        <v>1.0000000447414601</v>
      </c>
    </row>
    <row r="1371" spans="1:40" x14ac:dyDescent="0.25">
      <c r="A1371" t="str">
        <f>"20190304154747078"</f>
        <v>20190304154747078</v>
      </c>
      <c r="B1371" t="str">
        <f>"1551685667067785"</f>
        <v>1551685667067785</v>
      </c>
      <c r="C1371" t="s">
        <v>40</v>
      </c>
      <c r="D1371">
        <v>4.1762680000000003</v>
      </c>
      <c r="E1371">
        <v>0.51755200000000001</v>
      </c>
      <c r="F1371" t="s">
        <v>44</v>
      </c>
      <c r="G1371">
        <v>-257.78890000000001</v>
      </c>
      <c r="H1371" s="1">
        <v>-1.0506810000000001E-6</v>
      </c>
      <c r="I1371">
        <v>368.9409</v>
      </c>
      <c r="J1371">
        <v>-300.09879999999998</v>
      </c>
      <c r="K1371">
        <v>1.060335</v>
      </c>
      <c r="L1371">
        <v>367.01920000000001</v>
      </c>
      <c r="M1371">
        <v>0.99993390000000004</v>
      </c>
      <c r="N1371">
        <v>-1.143303E-2</v>
      </c>
      <c r="O1371">
        <v>1.2410349999999999E-3</v>
      </c>
      <c r="P1371">
        <v>0.98941900000000005</v>
      </c>
      <c r="Q1371">
        <v>0.1153903</v>
      </c>
      <c r="R1371">
        <v>8.7950650000000005E-2</v>
      </c>
      <c r="S1371">
        <v>3.028778</v>
      </c>
      <c r="T1371">
        <v>-7.563317E-2</v>
      </c>
      <c r="U1371">
        <v>0.13708499999999901</v>
      </c>
      <c r="V1371">
        <v>-8.6677160000000003E-2</v>
      </c>
      <c r="W1371">
        <v>0.12672710000000001</v>
      </c>
      <c r="X1371">
        <v>0.98814340000000001</v>
      </c>
      <c r="Y1371">
        <v>-4.3954809999999997E-2</v>
      </c>
      <c r="Z1371">
        <v>7.8311630000000004E-4</v>
      </c>
      <c r="AA1371">
        <v>0.99903319999999995</v>
      </c>
      <c r="AB1371">
        <v>29</v>
      </c>
      <c r="AC1371">
        <v>42.309899999999899</v>
      </c>
      <c r="AD1371">
        <v>-1.060336050681</v>
      </c>
      <c r="AE1371">
        <v>1.92169999999998</v>
      </c>
      <c r="AF1371">
        <v>-1.86801620649565</v>
      </c>
      <c r="AG1371">
        <v>-1.060336050681</v>
      </c>
      <c r="AH1371">
        <v>42.285749036307699</v>
      </c>
      <c r="AI1371">
        <v>91.435020000581801</v>
      </c>
      <c r="AJ1371">
        <v>92.529455079765498</v>
      </c>
      <c r="AK1371">
        <v>42.340268877862599</v>
      </c>
      <c r="AL1371">
        <v>82.719495663438394</v>
      </c>
      <c r="AM1371">
        <v>95.012993747721893</v>
      </c>
      <c r="AN1371">
        <v>1.00000003345181</v>
      </c>
    </row>
    <row r="1372" spans="1:40" x14ac:dyDescent="0.25">
      <c r="A1372" t="str">
        <f>"20190304154747091"</f>
        <v>20190304154747091</v>
      </c>
      <c r="B1372" t="str">
        <f>"1551685667088281"</f>
        <v>1551685667088281</v>
      </c>
      <c r="C1372" t="s">
        <v>40</v>
      </c>
      <c r="D1372">
        <v>4.1619289999999998</v>
      </c>
      <c r="E1372">
        <v>0.52080230000000005</v>
      </c>
      <c r="F1372" t="s">
        <v>44</v>
      </c>
      <c r="G1372">
        <v>-240.45249999999999</v>
      </c>
      <c r="H1372" s="1">
        <v>-4.5462779999999998E-6</v>
      </c>
      <c r="I1372">
        <v>369.31979999999999</v>
      </c>
      <c r="J1372">
        <v>-299.9221</v>
      </c>
      <c r="K1372">
        <v>1.060341</v>
      </c>
      <c r="L1372">
        <v>367.01929999999999</v>
      </c>
      <c r="M1372">
        <v>0.99993399999999999</v>
      </c>
      <c r="N1372">
        <v>-1.143398E-2</v>
      </c>
      <c r="O1372">
        <v>1.1482350000000001E-3</v>
      </c>
      <c r="P1372">
        <v>0.98945959999999999</v>
      </c>
      <c r="Q1372">
        <v>0.1151235</v>
      </c>
      <c r="R1372">
        <v>8.7844030000000003E-2</v>
      </c>
      <c r="S1372">
        <v>3.0279539999999998</v>
      </c>
      <c r="T1372">
        <v>-5.3828239999999999E-2</v>
      </c>
      <c r="U1372">
        <v>0.1167908</v>
      </c>
      <c r="V1372">
        <v>-8.6664110000000003E-2</v>
      </c>
      <c r="W1372">
        <v>0.1264604</v>
      </c>
      <c r="X1372">
        <v>0.98817869999999997</v>
      </c>
      <c r="Y1372">
        <v>-3.7385040000000001E-2</v>
      </c>
      <c r="Z1372">
        <v>5.3871430000000003E-4</v>
      </c>
      <c r="AA1372">
        <v>0.99930079999999999</v>
      </c>
      <c r="AB1372">
        <v>29</v>
      </c>
      <c r="AC1372">
        <v>59.4696</v>
      </c>
      <c r="AD1372">
        <v>-1.060345546278</v>
      </c>
      <c r="AE1372">
        <v>2.3004999999999902</v>
      </c>
      <c r="AF1372">
        <v>-2.2315005876721599</v>
      </c>
      <c r="AG1372">
        <v>-1.060345546278</v>
      </c>
      <c r="AH1372">
        <v>59.453329885198798</v>
      </c>
      <c r="AI1372">
        <v>91.0210386747613</v>
      </c>
      <c r="AJ1372">
        <v>92.149510829599606</v>
      </c>
      <c r="AK1372">
        <v>59.504641516343597</v>
      </c>
      <c r="AL1372">
        <v>82.734900299626105</v>
      </c>
      <c r="AM1372">
        <v>95.012064706221594</v>
      </c>
      <c r="AN1372">
        <v>1.00000002193197</v>
      </c>
    </row>
    <row r="1373" spans="1:40" x14ac:dyDescent="0.25">
      <c r="A1373" t="str">
        <f>"20190304154747104"</f>
        <v>20190304154747104</v>
      </c>
      <c r="B1373" t="str">
        <f>"1551685667098041"</f>
        <v>1551685667098041</v>
      </c>
      <c r="C1373" t="s">
        <v>40</v>
      </c>
      <c r="D1373">
        <v>4.1506429999999996</v>
      </c>
      <c r="E1373">
        <v>0.52206269999999999</v>
      </c>
      <c r="F1373" t="s">
        <v>53</v>
      </c>
      <c r="G1373">
        <v>-192.7869</v>
      </c>
      <c r="H1373" s="1">
        <v>-1.125851E-5</v>
      </c>
      <c r="I1373">
        <v>370.25170000000003</v>
      </c>
      <c r="J1373">
        <v>-299.76159999999999</v>
      </c>
      <c r="K1373">
        <v>1.060344</v>
      </c>
      <c r="L1373">
        <v>367.01940000000002</v>
      </c>
      <c r="M1373">
        <v>0.99993410000000005</v>
      </c>
      <c r="N1373">
        <v>-1.143488E-2</v>
      </c>
      <c r="O1373">
        <v>1.0710030000000001E-3</v>
      </c>
      <c r="P1373">
        <v>0.98946730000000005</v>
      </c>
      <c r="Q1373">
        <v>0.11497350000000001</v>
      </c>
      <c r="R1373">
        <v>8.7952559999999999E-2</v>
      </c>
      <c r="S1373">
        <v>3.027374</v>
      </c>
      <c r="T1373">
        <v>-2.9962900000000001E-2</v>
      </c>
      <c r="U1373">
        <v>9.1339110000000001E-2</v>
      </c>
      <c r="V1373">
        <v>-8.6850490000000002E-2</v>
      </c>
      <c r="W1373">
        <v>0.12631039999999999</v>
      </c>
      <c r="X1373">
        <v>0.98818150000000005</v>
      </c>
      <c r="Y1373">
        <v>-2.9083669999999999E-2</v>
      </c>
      <c r="Z1373">
        <v>3.1187229999999998E-4</v>
      </c>
      <c r="AA1373">
        <v>0.99957689999999999</v>
      </c>
      <c r="AB1373">
        <v>29</v>
      </c>
      <c r="AC1373">
        <v>106.974699999999</v>
      </c>
      <c r="AD1373">
        <v>-1.06035525851</v>
      </c>
      <c r="AE1373">
        <v>3.2323</v>
      </c>
      <c r="AF1373">
        <v>-3.11741442409933</v>
      </c>
      <c r="AG1373">
        <v>-1.06035525851</v>
      </c>
      <c r="AH1373">
        <v>106.967600492876</v>
      </c>
      <c r="AI1373">
        <v>90.567705635829498</v>
      </c>
      <c r="AJ1373">
        <v>91.669329272385994</v>
      </c>
      <c r="AK1373">
        <v>107.01827031478901</v>
      </c>
      <c r="AL1373">
        <v>82.743563986053303</v>
      </c>
      <c r="AM1373">
        <v>95.0227744221488</v>
      </c>
      <c r="AN1373">
        <v>1.0000000008518199</v>
      </c>
    </row>
    <row r="1374" spans="1:40" x14ac:dyDescent="0.25">
      <c r="A1374" t="str">
        <f>"20190304154747117"</f>
        <v>20190304154747117</v>
      </c>
      <c r="B1374" t="str">
        <f>"1551685667107802"</f>
        <v>1551685667107802</v>
      </c>
      <c r="C1374" t="s">
        <v>40</v>
      </c>
      <c r="D1374">
        <v>4.1552119999999997</v>
      </c>
      <c r="E1374">
        <v>0.52298579999999995</v>
      </c>
      <c r="F1374" t="s">
        <v>43</v>
      </c>
      <c r="G1374">
        <v>-158.19499999999999</v>
      </c>
      <c r="H1374">
        <v>6.2443140000000001E-2</v>
      </c>
      <c r="I1374">
        <v>370.8501</v>
      </c>
      <c r="J1374">
        <v>-299.58589999999998</v>
      </c>
      <c r="K1374">
        <v>1.060349</v>
      </c>
      <c r="L1374">
        <v>367.01949999999999</v>
      </c>
      <c r="M1374">
        <v>0.9999342</v>
      </c>
      <c r="N1374">
        <v>-1.143594E-2</v>
      </c>
      <c r="O1374">
        <v>9.898477000000001E-4</v>
      </c>
      <c r="P1374">
        <v>0.98948729999999996</v>
      </c>
      <c r="Q1374">
        <v>0.1147138</v>
      </c>
      <c r="R1374">
        <v>8.8066530000000004E-2</v>
      </c>
      <c r="S1374">
        <v>3.0270999999999999</v>
      </c>
      <c r="T1374">
        <v>-2.133608E-2</v>
      </c>
      <c r="U1374">
        <v>8.1909179999999998E-2</v>
      </c>
      <c r="V1374">
        <v>-8.7047059999999996E-2</v>
      </c>
      <c r="W1374">
        <v>0.12605069999999999</v>
      </c>
      <c r="X1374">
        <v>0.9881974</v>
      </c>
      <c r="Y1374">
        <v>-2.6057480000000001E-2</v>
      </c>
      <c r="Z1374">
        <v>2.4518910000000002E-4</v>
      </c>
      <c r="AA1374">
        <v>0.9996604</v>
      </c>
      <c r="AB1374">
        <v>29</v>
      </c>
      <c r="AC1374">
        <v>141.39089999999999</v>
      </c>
      <c r="AD1374">
        <v>-0.99790586000000003</v>
      </c>
      <c r="AE1374">
        <v>3.8306</v>
      </c>
      <c r="AF1374">
        <v>-3.6904498300745199</v>
      </c>
      <c r="AG1374">
        <v>-0.99790586000000003</v>
      </c>
      <c r="AH1374">
        <v>141.38758501262899</v>
      </c>
      <c r="AI1374">
        <v>90.404246093052706</v>
      </c>
      <c r="AJ1374">
        <v>91.495175124233896</v>
      </c>
      <c r="AK1374">
        <v>141.439260574131</v>
      </c>
      <c r="AL1374">
        <v>82.758563839665399</v>
      </c>
      <c r="AM1374">
        <v>95.034003610806494</v>
      </c>
      <c r="AN1374">
        <v>1.00000003549594</v>
      </c>
    </row>
    <row r="1375" spans="1:40" x14ac:dyDescent="0.25">
      <c r="A1375" t="str">
        <f>"20190304154747129"</f>
        <v>20190304154747129</v>
      </c>
      <c r="B1375" t="str">
        <f>"1551685667117562"</f>
        <v>1551685667117562</v>
      </c>
      <c r="C1375" t="s">
        <v>40</v>
      </c>
      <c r="D1375">
        <v>4.1536119999999999</v>
      </c>
      <c r="E1375">
        <v>0.52374489999999996</v>
      </c>
      <c r="F1375" t="s">
        <v>43</v>
      </c>
      <c r="G1375">
        <v>-158.19499999999999</v>
      </c>
      <c r="H1375">
        <v>0.4016826</v>
      </c>
      <c r="I1375">
        <v>370.52069999999998</v>
      </c>
      <c r="J1375">
        <v>-299.42520000000002</v>
      </c>
      <c r="K1375">
        <v>1.0603549999999999</v>
      </c>
      <c r="L1375">
        <v>367.0197</v>
      </c>
      <c r="M1375">
        <v>0.9999344</v>
      </c>
      <c r="N1375">
        <v>-1.1437020000000001E-2</v>
      </c>
      <c r="O1375">
        <v>9.2001520000000001E-4</v>
      </c>
      <c r="P1375">
        <v>0.98951900000000004</v>
      </c>
      <c r="Q1375">
        <v>0.1143706</v>
      </c>
      <c r="R1375">
        <v>8.8157899999999997E-2</v>
      </c>
      <c r="S1375">
        <v>3.0268250000000001</v>
      </c>
      <c r="T1375">
        <v>-1.409853E-2</v>
      </c>
      <c r="U1375">
        <v>7.4951169999999998E-2</v>
      </c>
      <c r="V1375">
        <v>-8.7209209999999995E-2</v>
      </c>
      <c r="W1375">
        <v>0.12570780000000001</v>
      </c>
      <c r="X1375">
        <v>0.98822679999999996</v>
      </c>
      <c r="Y1375">
        <v>-2.3834049999999999E-2</v>
      </c>
      <c r="Z1375">
        <v>1.9805859999999999E-4</v>
      </c>
      <c r="AA1375">
        <v>0.99971589999999999</v>
      </c>
      <c r="AB1375">
        <v>29</v>
      </c>
      <c r="AC1375">
        <v>141.2302</v>
      </c>
      <c r="AD1375">
        <v>-0.65867239999999905</v>
      </c>
      <c r="AE1375">
        <v>3.5009999999999701</v>
      </c>
      <c r="AF1375">
        <v>-3.3709828402241899</v>
      </c>
      <c r="AG1375">
        <v>-0.65867239999999905</v>
      </c>
      <c r="AH1375">
        <v>141.230291359049</v>
      </c>
      <c r="AI1375">
        <v>90.267139075977894</v>
      </c>
      <c r="AJ1375">
        <v>91.367315902386594</v>
      </c>
      <c r="AK1375">
        <v>141.27205163089201</v>
      </c>
      <c r="AL1375">
        <v>82.778368218757507</v>
      </c>
      <c r="AM1375">
        <v>95.043183295848294</v>
      </c>
      <c r="AN1375">
        <v>1.0000000527639501</v>
      </c>
    </row>
    <row r="1376" spans="1:40" x14ac:dyDescent="0.25">
      <c r="A1376" t="str">
        <f>"20190304154747145"</f>
        <v>20190304154747145</v>
      </c>
      <c r="B1376" t="str">
        <f>"1551685667137591"</f>
        <v>1551685667137591</v>
      </c>
      <c r="C1376" t="s">
        <v>40</v>
      </c>
      <c r="D1376">
        <v>4.2430849999999998</v>
      </c>
      <c r="E1376">
        <v>0.52494469999999904</v>
      </c>
      <c r="F1376" t="s">
        <v>43</v>
      </c>
      <c r="G1376">
        <v>-158.78319999999999</v>
      </c>
      <c r="H1376">
        <v>0.62773869999999998</v>
      </c>
      <c r="I1376">
        <v>370.25580000000002</v>
      </c>
      <c r="J1376">
        <v>-299.23149999999998</v>
      </c>
      <c r="K1376">
        <v>1.0603610000000001</v>
      </c>
      <c r="L1376">
        <v>367.0197</v>
      </c>
      <c r="M1376">
        <v>0.99993430000000005</v>
      </c>
      <c r="N1376">
        <v>-1.1438240000000001E-2</v>
      </c>
      <c r="O1376">
        <v>8.4293200000000001E-4</v>
      </c>
      <c r="P1376">
        <v>0.98955749999999998</v>
      </c>
      <c r="Q1376">
        <v>0.1140137</v>
      </c>
      <c r="R1376">
        <v>8.8186550000000002E-2</v>
      </c>
      <c r="S1376">
        <v>3.0266419999999998</v>
      </c>
      <c r="T1376">
        <v>-9.3080999999999997E-3</v>
      </c>
      <c r="U1376">
        <v>6.9641110000000006E-2</v>
      </c>
      <c r="V1376">
        <v>-8.7316379999999999E-2</v>
      </c>
      <c r="W1376">
        <v>0.12535109999999999</v>
      </c>
      <c r="X1376">
        <v>0.98826259999999999</v>
      </c>
      <c r="Y1376">
        <v>-2.2160050000000001E-2</v>
      </c>
      <c r="Z1376">
        <v>1.6787789999999999E-4</v>
      </c>
      <c r="AA1376">
        <v>0.99975440000000004</v>
      </c>
      <c r="AB1376">
        <v>29</v>
      </c>
      <c r="AC1376">
        <v>140.44829999999999</v>
      </c>
      <c r="AD1376">
        <v>-0.43262230000000002</v>
      </c>
      <c r="AE1376">
        <v>3.23610000000002</v>
      </c>
      <c r="AF1376">
        <v>-3.1176731817163499</v>
      </c>
      <c r="AG1376">
        <v>-0.43262230000000002</v>
      </c>
      <c r="AH1376">
        <v>140.449646177011</v>
      </c>
      <c r="AI1376">
        <v>90.176442231068705</v>
      </c>
      <c r="AJ1376">
        <v>91.271631430228297</v>
      </c>
      <c r="AK1376">
        <v>140.48491078891701</v>
      </c>
      <c r="AL1376">
        <v>82.798968245817207</v>
      </c>
      <c r="AM1376">
        <v>95.049166795649597</v>
      </c>
      <c r="AN1376">
        <v>1.0000000075231299</v>
      </c>
    </row>
    <row r="1377" spans="1:40" x14ac:dyDescent="0.25">
      <c r="A1377" t="str">
        <f>"20190304154747159"</f>
        <v>20190304154747159</v>
      </c>
      <c r="B1377" t="str">
        <f>"1551685667148328"</f>
        <v>1551685667148328</v>
      </c>
      <c r="C1377" t="s">
        <v>40</v>
      </c>
      <c r="D1377">
        <v>4.1479689999999998</v>
      </c>
      <c r="E1377">
        <v>0.52546479999999995</v>
      </c>
      <c r="F1377" t="s">
        <v>43</v>
      </c>
      <c r="G1377">
        <v>-158.78319999999999</v>
      </c>
      <c r="H1377">
        <v>1.0576890000000001</v>
      </c>
      <c r="I1377">
        <v>369.8254</v>
      </c>
      <c r="J1377">
        <v>-299.0471</v>
      </c>
      <c r="K1377">
        <v>1.0603629999999999</v>
      </c>
      <c r="L1377">
        <v>367.01979999999998</v>
      </c>
      <c r="M1377">
        <v>0.9999342</v>
      </c>
      <c r="N1377">
        <v>-1.143944E-2</v>
      </c>
      <c r="O1377">
        <v>7.7346749999999997E-4</v>
      </c>
      <c r="P1377">
        <v>0.98959439999999999</v>
      </c>
      <c r="Q1377">
        <v>0.1136987</v>
      </c>
      <c r="R1377">
        <v>8.8180030000000006E-2</v>
      </c>
      <c r="S1377">
        <v>3.0262760000000002</v>
      </c>
      <c r="T1377" s="1">
        <v>-5.5670739999999998E-5</v>
      </c>
      <c r="U1377">
        <v>6.045532E-2</v>
      </c>
      <c r="V1377">
        <v>-8.7381150000000005E-2</v>
      </c>
      <c r="W1377">
        <v>0.12503599999999901</v>
      </c>
      <c r="X1377">
        <v>0.98829679999999998</v>
      </c>
      <c r="Y1377">
        <v>-1.9199509999999999E-2</v>
      </c>
      <c r="Z1377">
        <v>1.188401E-4</v>
      </c>
      <c r="AA1377">
        <v>0.99981560000000003</v>
      </c>
      <c r="AB1377">
        <v>29</v>
      </c>
      <c r="AC1377">
        <v>140.26390000000001</v>
      </c>
      <c r="AD1377">
        <v>-2.67400000000006E-3</v>
      </c>
      <c r="AE1377">
        <v>2.8056000000000201</v>
      </c>
      <c r="AF1377">
        <v>-2.6971024849841001</v>
      </c>
      <c r="AG1377">
        <v>-2.67400000000006E-3</v>
      </c>
      <c r="AH1377">
        <v>140.266028169528</v>
      </c>
      <c r="AI1377">
        <v>90.001092071978803</v>
      </c>
      <c r="AJ1377">
        <v>91.101574987217703</v>
      </c>
      <c r="AK1377">
        <v>140.291956388881</v>
      </c>
      <c r="AL1377">
        <v>82.817165373903094</v>
      </c>
      <c r="AM1377">
        <v>95.052718860455798</v>
      </c>
      <c r="AN1377">
        <v>1.00000001578078</v>
      </c>
    </row>
    <row r="1378" spans="1:40" x14ac:dyDescent="0.25">
      <c r="A1378" t="str">
        <f>"20190304154747171"</f>
        <v>20190304154747171</v>
      </c>
      <c r="B1378" t="str">
        <f>"1551685667167848"</f>
        <v>1551685667167848</v>
      </c>
      <c r="C1378" t="s">
        <v>40</v>
      </c>
      <c r="D1378">
        <v>4.1484019999999999</v>
      </c>
      <c r="E1378">
        <v>0.52642900000000004</v>
      </c>
      <c r="F1378" t="s">
        <v>43</v>
      </c>
      <c r="G1378">
        <v>-158.78319999999999</v>
      </c>
      <c r="H1378">
        <v>1.2099869999999999</v>
      </c>
      <c r="I1378">
        <v>369.6352</v>
      </c>
      <c r="J1378">
        <v>-298.87459999999999</v>
      </c>
      <c r="K1378">
        <v>1.060368</v>
      </c>
      <c r="L1378">
        <v>367.01990000000001</v>
      </c>
      <c r="M1378">
        <v>0.9999344</v>
      </c>
      <c r="N1378">
        <v>-1.144059E-2</v>
      </c>
      <c r="O1378">
        <v>7.1120259999999996E-4</v>
      </c>
      <c r="P1378">
        <v>0.98960199999999998</v>
      </c>
      <c r="Q1378">
        <v>0.1137362</v>
      </c>
      <c r="R1378">
        <v>8.8047550000000002E-2</v>
      </c>
      <c r="S1378">
        <v>3.026154</v>
      </c>
      <c r="T1378">
        <v>3.2299759999999999E-3</v>
      </c>
      <c r="U1378">
        <v>5.6426999999999998E-2</v>
      </c>
      <c r="V1378">
        <v>-8.7311920000000001E-2</v>
      </c>
      <c r="W1378">
        <v>0.1250734</v>
      </c>
      <c r="X1378">
        <v>0.98829820000000002</v>
      </c>
      <c r="Y1378">
        <v>-1.793223E-2</v>
      </c>
      <c r="Z1378">
        <v>1.019155E-4</v>
      </c>
      <c r="AA1378">
        <v>0.99983920000000004</v>
      </c>
      <c r="AB1378">
        <v>29</v>
      </c>
      <c r="AC1378">
        <v>140.09139999999999</v>
      </c>
      <c r="AD1378">
        <v>0.149619</v>
      </c>
      <c r="AE1378">
        <v>2.6152999999999902</v>
      </c>
      <c r="AF1378">
        <v>-2.5156565909277502</v>
      </c>
      <c r="AG1378">
        <v>0.149619</v>
      </c>
      <c r="AH1378">
        <v>140.093064954525</v>
      </c>
      <c r="AI1378">
        <v>89.938818155028599</v>
      </c>
      <c r="AJ1378">
        <v>91.028751964875099</v>
      </c>
      <c r="AK1378">
        <v>140.115729888836</v>
      </c>
      <c r="AL1378">
        <v>82.815005655569706</v>
      </c>
      <c r="AM1378">
        <v>95.048729294843199</v>
      </c>
      <c r="AN1378">
        <v>1.00000002944244</v>
      </c>
    </row>
    <row r="1379" spans="1:40" x14ac:dyDescent="0.25">
      <c r="A1379" t="str">
        <f>"20190304154747184"</f>
        <v>20190304154747184</v>
      </c>
      <c r="B1379" t="str">
        <f>"1551685667177607"</f>
        <v>1551685667177607</v>
      </c>
      <c r="C1379" t="s">
        <v>40</v>
      </c>
      <c r="D1379">
        <v>4.181019</v>
      </c>
      <c r="E1379">
        <v>0.526814</v>
      </c>
      <c r="F1379" t="s">
        <v>43</v>
      </c>
      <c r="G1379">
        <v>-158.78319999999999</v>
      </c>
      <c r="H1379">
        <v>1.554746</v>
      </c>
      <c r="I1379">
        <v>369.26490000000001</v>
      </c>
      <c r="J1379">
        <v>-298.70650000000001</v>
      </c>
      <c r="K1379">
        <v>1.0603750000000001</v>
      </c>
      <c r="L1379">
        <v>367.01990000000001</v>
      </c>
      <c r="M1379">
        <v>0.99993430000000005</v>
      </c>
      <c r="N1379">
        <v>-1.1441730000000001E-2</v>
      </c>
      <c r="O1379">
        <v>6.5528730000000005E-4</v>
      </c>
      <c r="P1379">
        <v>0.98962600000000001</v>
      </c>
      <c r="Q1379">
        <v>0.113606</v>
      </c>
      <c r="R1379">
        <v>8.7943019999999997E-2</v>
      </c>
      <c r="S1379">
        <v>3.02597</v>
      </c>
      <c r="T1379">
        <v>1.0680439999999999E-2</v>
      </c>
      <c r="U1379">
        <v>4.8492430000000003E-2</v>
      </c>
      <c r="V1379">
        <v>-8.7263869999999993E-2</v>
      </c>
      <c r="W1379">
        <v>0.12494329999999999</v>
      </c>
      <c r="X1379">
        <v>0.9883189</v>
      </c>
      <c r="Y1379">
        <v>-1.5368400000000001E-2</v>
      </c>
      <c r="Z1379" s="1">
        <v>7.0618239999999997E-5</v>
      </c>
      <c r="AA1379">
        <v>0.99988189999999999</v>
      </c>
      <c r="AB1379">
        <v>29</v>
      </c>
      <c r="AC1379">
        <v>139.92330000000001</v>
      </c>
      <c r="AD1379">
        <v>0.49437099999999901</v>
      </c>
      <c r="AE1379">
        <v>2.2450000000000001</v>
      </c>
      <c r="AF1379">
        <v>-2.1532766788694899</v>
      </c>
      <c r="AG1379">
        <v>0.49437099999999901</v>
      </c>
      <c r="AH1379">
        <v>139.92299493368901</v>
      </c>
      <c r="AI1379">
        <v>89.797589377143694</v>
      </c>
      <c r="AJ1379">
        <v>90.881655857054</v>
      </c>
      <c r="AK1379">
        <v>139.94043559441499</v>
      </c>
      <c r="AL1379">
        <v>82.822518773048003</v>
      </c>
      <c r="AM1379">
        <v>95.045860056829596</v>
      </c>
      <c r="AN1379">
        <v>1.00000002965973</v>
      </c>
    </row>
    <row r="1380" spans="1:40" x14ac:dyDescent="0.25">
      <c r="A1380" t="str">
        <f>"20190304154747196"</f>
        <v>20190304154747196</v>
      </c>
      <c r="B1380" t="str">
        <f>"1551685667188344"</f>
        <v>1551685667188344</v>
      </c>
      <c r="C1380" t="s">
        <v>40</v>
      </c>
      <c r="D1380">
        <v>4.1648209999999999</v>
      </c>
      <c r="E1380">
        <v>0.52720840000000002</v>
      </c>
      <c r="F1380" t="s">
        <v>43</v>
      </c>
      <c r="G1380">
        <v>-158.78319999999999</v>
      </c>
      <c r="H1380">
        <v>1.66480299999999</v>
      </c>
      <c r="I1380">
        <v>369.10840000000002</v>
      </c>
      <c r="J1380">
        <v>-298.55220000000003</v>
      </c>
      <c r="K1380">
        <v>1.0603750000000001</v>
      </c>
      <c r="L1380">
        <v>367.02</v>
      </c>
      <c r="M1380">
        <v>0.9999344</v>
      </c>
      <c r="N1380">
        <v>-1.1442799999999999E-2</v>
      </c>
      <c r="O1380">
        <v>6.0460410000000005E-4</v>
      </c>
      <c r="P1380">
        <v>0.98963190000000001</v>
      </c>
      <c r="Q1380">
        <v>0.113694</v>
      </c>
      <c r="R1380">
        <v>8.7764659999999994E-2</v>
      </c>
      <c r="S1380">
        <v>3.02597</v>
      </c>
      <c r="T1380">
        <v>1.307321E-2</v>
      </c>
      <c r="U1380">
        <v>4.5166020000000001E-2</v>
      </c>
      <c r="V1380">
        <v>-8.7136610000000003E-2</v>
      </c>
      <c r="W1380">
        <v>0.1250318</v>
      </c>
      <c r="X1380">
        <v>0.9883189</v>
      </c>
      <c r="Y1380">
        <v>-1.432018E-2</v>
      </c>
      <c r="Z1380" s="1">
        <v>6.0535980000000003E-5</v>
      </c>
      <c r="AA1380">
        <v>0.99989749999999999</v>
      </c>
      <c r="AB1380">
        <v>29</v>
      </c>
      <c r="AC1380">
        <v>139.76900000000001</v>
      </c>
      <c r="AD1380">
        <v>0.60442799999999897</v>
      </c>
      <c r="AE1380">
        <v>2.0884000000000298</v>
      </c>
      <c r="AF1380">
        <v>-2.00385171346535</v>
      </c>
      <c r="AG1380">
        <v>0.60442799999999897</v>
      </c>
      <c r="AH1380">
        <v>139.767623961872</v>
      </c>
      <c r="AI1380">
        <v>89.7522502139784</v>
      </c>
      <c r="AJ1380">
        <v>90.821394662838799</v>
      </c>
      <c r="AK1380">
        <v>139.783294648695</v>
      </c>
      <c r="AL1380">
        <v>82.817407761968099</v>
      </c>
      <c r="AM1380">
        <v>95.038539405965807</v>
      </c>
      <c r="AN1380">
        <v>0.99999999395537098</v>
      </c>
    </row>
    <row r="1381" spans="1:40" x14ac:dyDescent="0.25">
      <c r="A1381" t="str">
        <f>"20190304154747206"</f>
        <v>20190304154747206</v>
      </c>
      <c r="B1381" t="str">
        <f>"1551685667198103"</f>
        <v>1551685667198103</v>
      </c>
      <c r="C1381" t="s">
        <v>40</v>
      </c>
      <c r="D1381">
        <v>4.1541379999999997</v>
      </c>
      <c r="E1381">
        <v>0.5274392</v>
      </c>
      <c r="F1381" t="s">
        <v>43</v>
      </c>
      <c r="G1381">
        <v>-158.78319999999999</v>
      </c>
      <c r="H1381">
        <v>1.799947</v>
      </c>
      <c r="I1381">
        <v>368.93849999999998</v>
      </c>
      <c r="J1381">
        <v>-298.40260000000001</v>
      </c>
      <c r="K1381">
        <v>1.0603769999999999</v>
      </c>
      <c r="L1381">
        <v>367.02</v>
      </c>
      <c r="M1381">
        <v>0.9999344</v>
      </c>
      <c r="N1381">
        <v>-1.144385E-2</v>
      </c>
      <c r="O1381">
        <v>5.5742300000000003E-4</v>
      </c>
      <c r="P1381">
        <v>0.9896469</v>
      </c>
      <c r="Q1381">
        <v>0.113746</v>
      </c>
      <c r="R1381">
        <v>8.7527930000000004E-2</v>
      </c>
      <c r="S1381">
        <v>3.025909</v>
      </c>
      <c r="T1381">
        <v>1.601315E-2</v>
      </c>
      <c r="U1381">
        <v>4.1534420000000002E-2</v>
      </c>
      <c r="V1381">
        <v>-8.6947499999999997E-2</v>
      </c>
      <c r="W1381">
        <v>0.12508469999999999</v>
      </c>
      <c r="X1381">
        <v>0.98832889999999995</v>
      </c>
      <c r="Y1381">
        <v>-1.316785E-2</v>
      </c>
      <c r="Z1381" s="1">
        <v>4.983907E-5</v>
      </c>
      <c r="AA1381">
        <v>0.9999133</v>
      </c>
      <c r="AB1381">
        <v>29</v>
      </c>
      <c r="AC1381">
        <v>139.61940000000001</v>
      </c>
      <c r="AD1381">
        <v>0.73956999999999995</v>
      </c>
      <c r="AE1381">
        <v>1.9184999999999901</v>
      </c>
      <c r="AF1381">
        <v>-1.84061590791973</v>
      </c>
      <c r="AG1381">
        <v>0.73956999999999995</v>
      </c>
      <c r="AH1381">
        <v>139.616531077628</v>
      </c>
      <c r="AI1381">
        <v>89.696524750804002</v>
      </c>
      <c r="AJ1381">
        <v>90.755307508281803</v>
      </c>
      <c r="AK1381">
        <v>139.63062193106401</v>
      </c>
      <c r="AL1381">
        <v>82.814353108828001</v>
      </c>
      <c r="AM1381">
        <v>95.027609910258704</v>
      </c>
      <c r="AN1381">
        <v>1.00000003225277</v>
      </c>
    </row>
    <row r="1382" spans="1:40" x14ac:dyDescent="0.25">
      <c r="A1382" t="str">
        <f>"20190304154747217"</f>
        <v>20190304154747217</v>
      </c>
      <c r="B1382" t="str">
        <f>"1551685667207864"</f>
        <v>1551685667207864</v>
      </c>
      <c r="C1382" t="s">
        <v>40</v>
      </c>
      <c r="D1382">
        <v>4.1462339999999998</v>
      </c>
      <c r="E1382">
        <v>0.52774940000000004</v>
      </c>
      <c r="F1382" t="s">
        <v>43</v>
      </c>
      <c r="G1382">
        <v>-158.78319999999999</v>
      </c>
      <c r="H1382">
        <v>1.8975150000000001</v>
      </c>
      <c r="I1382">
        <v>368.82530000000003</v>
      </c>
      <c r="J1382">
        <v>-298.26429999999999</v>
      </c>
      <c r="K1382">
        <v>1.0603769999999999</v>
      </c>
      <c r="L1382">
        <v>367.02</v>
      </c>
      <c r="M1382">
        <v>0.9999344</v>
      </c>
      <c r="N1382">
        <v>-1.144478E-2</v>
      </c>
      <c r="O1382">
        <v>5.1464179999999998E-4</v>
      </c>
      <c r="P1382">
        <v>0.98964969999999997</v>
      </c>
      <c r="Q1382">
        <v>0.11390069999999999</v>
      </c>
      <c r="R1382">
        <v>8.7292809999999998E-2</v>
      </c>
      <c r="S1382">
        <v>3.0258180000000001</v>
      </c>
      <c r="T1382">
        <v>1.8144250000000001E-2</v>
      </c>
      <c r="U1382">
        <v>3.9123539999999998E-2</v>
      </c>
      <c r="V1382">
        <v>-8.6754919999999999E-2</v>
      </c>
      <c r="W1382">
        <v>0.12523989999999999</v>
      </c>
      <c r="X1382">
        <v>0.98832609999999999</v>
      </c>
      <c r="Y1382">
        <v>-1.241447E-2</v>
      </c>
      <c r="Z1382" s="1">
        <v>4.2801159999999997E-5</v>
      </c>
      <c r="AA1382">
        <v>0.99992289999999995</v>
      </c>
      <c r="AB1382">
        <v>29</v>
      </c>
      <c r="AC1382">
        <v>139.4811</v>
      </c>
      <c r="AD1382">
        <v>0.83713799999999905</v>
      </c>
      <c r="AE1382">
        <v>1.8053000000000401</v>
      </c>
      <c r="AF1382">
        <v>-1.73344982554017</v>
      </c>
      <c r="AG1382">
        <v>0.83713799999999905</v>
      </c>
      <c r="AH1382">
        <v>139.47698732283999</v>
      </c>
      <c r="AI1382">
        <v>89.656142597401299</v>
      </c>
      <c r="AJ1382">
        <v>90.712047540902603</v>
      </c>
      <c r="AK1382">
        <v>139.490270775364</v>
      </c>
      <c r="AL1382">
        <v>82.805389831951899</v>
      </c>
      <c r="AM1382">
        <v>95.016545282817702</v>
      </c>
      <c r="AN1382">
        <v>0.99999996431871196</v>
      </c>
    </row>
    <row r="1383" spans="1:40" x14ac:dyDescent="0.25">
      <c r="A1383" t="str">
        <f>"20190304154747228"</f>
        <v>20190304154747228</v>
      </c>
      <c r="B1383" t="str">
        <f>"1551685667217624"</f>
        <v>1551685667217624</v>
      </c>
      <c r="C1383" t="s">
        <v>40</v>
      </c>
      <c r="D1383">
        <v>4.2578019999999999</v>
      </c>
      <c r="E1383">
        <v>0.52694030000000003</v>
      </c>
      <c r="F1383" t="s">
        <v>43</v>
      </c>
      <c r="G1383">
        <v>-158.78319999999999</v>
      </c>
      <c r="H1383">
        <v>2.033728</v>
      </c>
      <c r="I1383">
        <v>368.66320000000002</v>
      </c>
      <c r="J1383">
        <v>-298.12650000000002</v>
      </c>
      <c r="K1383">
        <v>1.060379</v>
      </c>
      <c r="L1383">
        <v>367.02010000000001</v>
      </c>
      <c r="M1383">
        <v>0.99993449999999995</v>
      </c>
      <c r="N1383">
        <v>-1.14457E-2</v>
      </c>
      <c r="O1383">
        <v>4.7268929999999998E-4</v>
      </c>
      <c r="P1383">
        <v>0.98962600000000001</v>
      </c>
      <c r="Q1383">
        <v>0.1140055</v>
      </c>
      <c r="R1383">
        <v>8.7426909999999997E-2</v>
      </c>
      <c r="S1383">
        <v>3.025757</v>
      </c>
      <c r="T1383">
        <v>2.111673E-2</v>
      </c>
      <c r="U1383">
        <v>3.5644530000000001E-2</v>
      </c>
      <c r="V1383">
        <v>-8.6930960000000002E-2</v>
      </c>
      <c r="W1383">
        <v>0.12534489999999901</v>
      </c>
      <c r="X1383">
        <v>0.98829730000000005</v>
      </c>
      <c r="Y1383">
        <v>-1.130712E-2</v>
      </c>
      <c r="Z1383" s="1">
        <v>3.3967300000000003E-5</v>
      </c>
      <c r="AA1383">
        <v>0.99993600000000005</v>
      </c>
      <c r="AB1383">
        <v>29</v>
      </c>
      <c r="AC1383">
        <v>139.3433</v>
      </c>
      <c r="AD1383">
        <v>0.97334899999999902</v>
      </c>
      <c r="AE1383">
        <v>1.6431</v>
      </c>
      <c r="AF1383">
        <v>-1.57715247769899</v>
      </c>
      <c r="AG1383">
        <v>0.97334899999999902</v>
      </c>
      <c r="AH1383">
        <v>139.33726330262499</v>
      </c>
      <c r="AI1383">
        <v>89.599788963379495</v>
      </c>
      <c r="AJ1383">
        <v>90.648500764686105</v>
      </c>
      <c r="AK1383">
        <v>139.34958831255599</v>
      </c>
      <c r="AL1383">
        <v>82.799325847313796</v>
      </c>
      <c r="AM1383">
        <v>95.026818309607904</v>
      </c>
      <c r="AN1383">
        <v>0.99999994447490903</v>
      </c>
    </row>
    <row r="1384" spans="1:40" x14ac:dyDescent="0.25">
      <c r="A1384" t="str">
        <f>"20190304154747239"</f>
        <v>20190304154747239</v>
      </c>
      <c r="B1384" t="str">
        <f>"1551685667228361"</f>
        <v>1551685667228361</v>
      </c>
      <c r="C1384" t="s">
        <v>40</v>
      </c>
      <c r="D1384">
        <v>4.2777200000000004</v>
      </c>
      <c r="E1384">
        <v>0.52610089999999998</v>
      </c>
      <c r="F1384" t="s">
        <v>43</v>
      </c>
      <c r="G1384">
        <v>-158.78319999999999</v>
      </c>
      <c r="H1384">
        <v>1.773709</v>
      </c>
      <c r="I1384">
        <v>368.98200000000003</v>
      </c>
      <c r="J1384">
        <v>-297.98289999999997</v>
      </c>
      <c r="K1384">
        <v>1.0603800000000001</v>
      </c>
      <c r="L1384">
        <v>367.02010000000001</v>
      </c>
      <c r="M1384">
        <v>0.9999344</v>
      </c>
      <c r="N1384">
        <v>-1.1446660000000001E-2</v>
      </c>
      <c r="O1384">
        <v>4.2953879999999998E-4</v>
      </c>
      <c r="P1384">
        <v>0.98960119999999896</v>
      </c>
      <c r="Q1384">
        <v>0.1142241</v>
      </c>
      <c r="R1384">
        <v>8.7421970000000002E-2</v>
      </c>
      <c r="S1384">
        <v>3.025909</v>
      </c>
      <c r="T1384">
        <v>1.5492199999999999E-2</v>
      </c>
      <c r="U1384">
        <v>4.2602540000000001E-2</v>
      </c>
      <c r="V1384">
        <v>-8.6968589999999998E-2</v>
      </c>
      <c r="W1384">
        <v>0.1255645</v>
      </c>
      <c r="X1384">
        <v>0.98826619999999998</v>
      </c>
      <c r="Y1384">
        <v>-1.364861E-2</v>
      </c>
      <c r="Z1384" s="1">
        <v>5.029947E-5</v>
      </c>
      <c r="AA1384">
        <v>0.99990679999999998</v>
      </c>
      <c r="AB1384">
        <v>29</v>
      </c>
      <c r="AC1384">
        <v>139.19969999999901</v>
      </c>
      <c r="AD1384">
        <v>0.71332899999999999</v>
      </c>
      <c r="AE1384">
        <v>1.96189999999995</v>
      </c>
      <c r="AF1384">
        <v>-1.9020542908187501</v>
      </c>
      <c r="AG1384">
        <v>0.71332899999999999</v>
      </c>
      <c r="AH1384">
        <v>139.196875269267</v>
      </c>
      <c r="AI1384">
        <v>89.706411740699593</v>
      </c>
      <c r="AJ1384">
        <v>90.782868875357494</v>
      </c>
      <c r="AK1384">
        <v>139.21169754555601</v>
      </c>
      <c r="AL1384">
        <v>82.786644119720705</v>
      </c>
      <c r="AM1384">
        <v>95.029140570342193</v>
      </c>
      <c r="AN1384">
        <v>1.0000000306846299</v>
      </c>
    </row>
    <row r="1385" spans="1:40" x14ac:dyDescent="0.25">
      <c r="A1385" t="str">
        <f>"20190304154747249"</f>
        <v>20190304154747249</v>
      </c>
      <c r="B1385" t="str">
        <f>"1551685667237652"</f>
        <v>1551685667237652</v>
      </c>
      <c r="C1385" t="s">
        <v>40</v>
      </c>
      <c r="D1385">
        <v>4.1373499999999996</v>
      </c>
      <c r="E1385">
        <v>0.52642819999999901</v>
      </c>
      <c r="F1385" t="s">
        <v>43</v>
      </c>
      <c r="G1385">
        <v>-158.78319999999999</v>
      </c>
      <c r="H1385">
        <v>1.5453920000000001</v>
      </c>
      <c r="I1385">
        <v>369.28879999999998</v>
      </c>
      <c r="J1385">
        <v>-297.84289999999999</v>
      </c>
      <c r="K1385">
        <v>1.0603819999999999</v>
      </c>
      <c r="L1385">
        <v>367.02010000000001</v>
      </c>
      <c r="M1385">
        <v>0.9999344</v>
      </c>
      <c r="N1385">
        <v>-1.1447590000000001E-2</v>
      </c>
      <c r="O1385">
        <v>3.8775680000000001E-4</v>
      </c>
      <c r="P1385">
        <v>0.9895948</v>
      </c>
      <c r="Q1385">
        <v>0.1142777</v>
      </c>
      <c r="R1385">
        <v>8.7422420000000001E-2</v>
      </c>
      <c r="S1385">
        <v>3.0259399999999999</v>
      </c>
      <c r="T1385">
        <v>1.054513E-2</v>
      </c>
      <c r="U1385">
        <v>4.9316409999999998E-2</v>
      </c>
      <c r="V1385">
        <v>-8.7010870000000004E-2</v>
      </c>
      <c r="W1385">
        <v>0.12561889999999901</v>
      </c>
      <c r="X1385">
        <v>0.98825560000000001</v>
      </c>
      <c r="Y1385">
        <v>-1.5908249999999999E-2</v>
      </c>
      <c r="Z1385" s="1">
        <v>6.9136339999999993E-5</v>
      </c>
      <c r="AA1385">
        <v>0.99987349999999997</v>
      </c>
      <c r="AB1385">
        <v>29</v>
      </c>
      <c r="AC1385">
        <v>139.05969999999999</v>
      </c>
      <c r="AD1385">
        <v>0.48501</v>
      </c>
      <c r="AE1385">
        <v>2.26869999999996</v>
      </c>
      <c r="AF1385">
        <v>-2.2147480173079801</v>
      </c>
      <c r="AG1385">
        <v>0.48501</v>
      </c>
      <c r="AH1385">
        <v>139.05887815663399</v>
      </c>
      <c r="AI1385">
        <v>89.800189747351197</v>
      </c>
      <c r="AJ1385">
        <v>90.912455126599795</v>
      </c>
      <c r="AK1385">
        <v>139.07735954375201</v>
      </c>
      <c r="AL1385">
        <v>82.783502603597995</v>
      </c>
      <c r="AM1385">
        <v>95.031626643545906</v>
      </c>
      <c r="AN1385">
        <v>1.00000006523336</v>
      </c>
    </row>
    <row r="1386" spans="1:40" x14ac:dyDescent="0.25">
      <c r="A1386" t="str">
        <f>"20190304154747260"</f>
        <v>20190304154747260</v>
      </c>
      <c r="B1386" t="str">
        <f>"1551685667258148"</f>
        <v>1551685667258148</v>
      </c>
      <c r="C1386" t="s">
        <v>40</v>
      </c>
      <c r="D1386">
        <v>4.1615849999999996</v>
      </c>
      <c r="E1386">
        <v>0.52608319999999997</v>
      </c>
      <c r="F1386" t="s">
        <v>43</v>
      </c>
      <c r="G1386">
        <v>-158.78319999999999</v>
      </c>
      <c r="H1386">
        <v>1.641599</v>
      </c>
      <c r="I1386">
        <v>369.1617</v>
      </c>
      <c r="J1386">
        <v>-297.71280000000002</v>
      </c>
      <c r="K1386">
        <v>1.0603880000000001</v>
      </c>
      <c r="L1386">
        <v>367.02010000000001</v>
      </c>
      <c r="M1386">
        <v>0.9999344</v>
      </c>
      <c r="N1386">
        <v>-1.1448450000000001E-2</v>
      </c>
      <c r="O1386">
        <v>3.4859499999999999E-4</v>
      </c>
      <c r="P1386">
        <v>0.98961200000000005</v>
      </c>
      <c r="Q1386">
        <v>0.1142672</v>
      </c>
      <c r="R1386">
        <v>8.7241379999999993E-2</v>
      </c>
      <c r="S1386">
        <v>3.02597</v>
      </c>
      <c r="T1386">
        <v>1.26493E-2</v>
      </c>
      <c r="U1386">
        <v>4.6600339999999997E-2</v>
      </c>
      <c r="V1386">
        <v>-8.6868669999999995E-2</v>
      </c>
      <c r="W1386">
        <v>0.1256089</v>
      </c>
      <c r="X1386">
        <v>0.98826930000000002</v>
      </c>
      <c r="Y1386">
        <v>-1.5049999999999999E-2</v>
      </c>
      <c r="Z1386" s="1">
        <v>6.0150330000000001E-5</v>
      </c>
      <c r="AA1386">
        <v>0.99988679999999996</v>
      </c>
      <c r="AB1386">
        <v>29</v>
      </c>
      <c r="AC1386">
        <v>138.92959999999999</v>
      </c>
      <c r="AD1386">
        <v>0.58121100000000003</v>
      </c>
      <c r="AE1386">
        <v>2.14159999999998</v>
      </c>
      <c r="AF1386">
        <v>-2.0931299072178202</v>
      </c>
      <c r="AG1386">
        <v>0.58121100000000003</v>
      </c>
      <c r="AH1386">
        <v>138.92790727276599</v>
      </c>
      <c r="AI1386">
        <v>89.7603291891037</v>
      </c>
      <c r="AJ1386">
        <v>90.863170251332306</v>
      </c>
      <c r="AK1386">
        <v>138.944889860064</v>
      </c>
      <c r="AL1386">
        <v>82.784079557130099</v>
      </c>
      <c r="AM1386">
        <v>95.023376392251294</v>
      </c>
      <c r="AN1386">
        <v>0.99999998545463398</v>
      </c>
    </row>
    <row r="1387" spans="1:40" x14ac:dyDescent="0.25">
      <c r="A1387" t="str">
        <f>"20190304154747269"</f>
        <v>20190304154747269</v>
      </c>
      <c r="B1387" t="str">
        <f>"1551685667267907"</f>
        <v>1551685667267907</v>
      </c>
      <c r="C1387" t="s">
        <v>40</v>
      </c>
      <c r="D1387">
        <v>4.2598770000000004</v>
      </c>
      <c r="E1387">
        <v>0.52547659999999996</v>
      </c>
      <c r="F1387" t="s">
        <v>43</v>
      </c>
      <c r="G1387">
        <v>-158.78319999999999</v>
      </c>
      <c r="H1387">
        <v>1.519792</v>
      </c>
      <c r="I1387">
        <v>369.27449999999999</v>
      </c>
      <c r="J1387">
        <v>-297.57369999999997</v>
      </c>
      <c r="K1387">
        <v>1.0603880000000001</v>
      </c>
      <c r="L1387">
        <v>367.02010000000001</v>
      </c>
      <c r="M1387">
        <v>0.9999344</v>
      </c>
      <c r="N1387">
        <v>-1.144937E-2</v>
      </c>
      <c r="O1387">
        <v>3.0698869999999998E-4</v>
      </c>
      <c r="P1387">
        <v>0.98959920000000001</v>
      </c>
      <c r="Q1387">
        <v>0.11407340000000001</v>
      </c>
      <c r="R1387">
        <v>8.7640199999999904E-2</v>
      </c>
      <c r="S1387">
        <v>3.0260009999999999</v>
      </c>
      <c r="T1387">
        <v>1.0008100000000001E-2</v>
      </c>
      <c r="U1387">
        <v>4.9102779999999999E-2</v>
      </c>
      <c r="V1387">
        <v>-8.7308590000000005E-2</v>
      </c>
      <c r="W1387">
        <v>0.1254159</v>
      </c>
      <c r="X1387">
        <v>0.98825510000000005</v>
      </c>
      <c r="Y1387">
        <v>-1.5918100000000001E-2</v>
      </c>
      <c r="Z1387" s="1">
        <v>6.9342719999999997E-5</v>
      </c>
      <c r="AA1387">
        <v>0.99987329999999996</v>
      </c>
      <c r="AB1387">
        <v>29</v>
      </c>
      <c r="AC1387">
        <v>138.79049999999901</v>
      </c>
      <c r="AD1387">
        <v>0.45940399999999998</v>
      </c>
      <c r="AE1387">
        <v>2.2543999999999702</v>
      </c>
      <c r="AF1387">
        <v>-2.2117657586667501</v>
      </c>
      <c r="AG1387">
        <v>0.45940399999999998</v>
      </c>
      <c r="AH1387">
        <v>138.78966533824999</v>
      </c>
      <c r="AI1387">
        <v>89.810371525702607</v>
      </c>
      <c r="AJ1387">
        <v>90.912993895624396</v>
      </c>
      <c r="AK1387">
        <v>138.80804790972999</v>
      </c>
      <c r="AL1387">
        <v>82.7952261835879</v>
      </c>
      <c r="AM1387">
        <v>95.048756775868796</v>
      </c>
      <c r="AN1387">
        <v>1.0000000402683</v>
      </c>
    </row>
    <row r="1388" spans="1:40" x14ac:dyDescent="0.25">
      <c r="A1388" t="str">
        <f>"20190304154747281"</f>
        <v>20190304154747281</v>
      </c>
      <c r="B1388" t="str">
        <f>"1551685667277668"</f>
        <v>1551685667277668</v>
      </c>
      <c r="C1388" t="s">
        <v>40</v>
      </c>
      <c r="D1388">
        <v>4.1844109999999999</v>
      </c>
      <c r="E1388">
        <v>0.52592550000000005</v>
      </c>
      <c r="F1388" t="s">
        <v>43</v>
      </c>
      <c r="G1388">
        <v>-158.78319999999999</v>
      </c>
      <c r="H1388">
        <v>1.2950170000000001</v>
      </c>
      <c r="I1388">
        <v>369.52980000000002</v>
      </c>
      <c r="J1388">
        <v>-297.43490000000003</v>
      </c>
      <c r="K1388">
        <v>1.060389</v>
      </c>
      <c r="L1388">
        <v>367.02010000000001</v>
      </c>
      <c r="M1388">
        <v>0.9999344</v>
      </c>
      <c r="N1388">
        <v>-1.1450299999999899E-2</v>
      </c>
      <c r="O1388">
        <v>2.6484529999999998E-4</v>
      </c>
      <c r="P1388">
        <v>0.98959180000000002</v>
      </c>
      <c r="Q1388">
        <v>0.1140905</v>
      </c>
      <c r="R1388">
        <v>8.7700589999999995E-2</v>
      </c>
      <c r="S1388">
        <v>3.026062</v>
      </c>
      <c r="T1388">
        <v>5.1175359999999998E-3</v>
      </c>
      <c r="U1388">
        <v>5.4718019999999999E-2</v>
      </c>
      <c r="V1388">
        <v>-8.7410650000000006E-2</v>
      </c>
      <c r="W1388">
        <v>0.12543389999999999</v>
      </c>
      <c r="X1388">
        <v>0.98824380000000001</v>
      </c>
      <c r="Y1388">
        <v>-1.7814650000000001E-2</v>
      </c>
      <c r="Z1388" s="1">
        <v>9.0420600000000006E-5</v>
      </c>
      <c r="AA1388">
        <v>0.99984130000000004</v>
      </c>
      <c r="AB1388">
        <v>29</v>
      </c>
      <c r="AC1388">
        <v>138.65170000000001</v>
      </c>
      <c r="AD1388">
        <v>0.234628</v>
      </c>
      <c r="AE1388">
        <v>2.5097</v>
      </c>
      <c r="AF1388">
        <v>-2.4729691738785</v>
      </c>
      <c r="AG1388">
        <v>0.234628</v>
      </c>
      <c r="AH1388">
        <v>138.65196295156099</v>
      </c>
      <c r="AI1388">
        <v>89.903059117902302</v>
      </c>
      <c r="AJ1388">
        <v>91.021807926069599</v>
      </c>
      <c r="AK1388">
        <v>138.674213382136</v>
      </c>
      <c r="AL1388">
        <v>82.794186696543605</v>
      </c>
      <c r="AM1388">
        <v>95.054685497457896</v>
      </c>
      <c r="AN1388">
        <v>1.0000000466205301</v>
      </c>
    </row>
    <row r="1389" spans="1:40" x14ac:dyDescent="0.25">
      <c r="A1389" t="str">
        <f>"20190304154747292"</f>
        <v>20190304154747292</v>
      </c>
      <c r="B1389" t="str">
        <f>"1551685667288404"</f>
        <v>1551685667288404</v>
      </c>
      <c r="C1389" t="s">
        <v>40</v>
      </c>
      <c r="D1389">
        <v>4.1990299999999996</v>
      </c>
      <c r="E1389">
        <v>0.52592550000000005</v>
      </c>
      <c r="F1389" t="s">
        <v>43</v>
      </c>
      <c r="G1389">
        <v>-158.78319999999999</v>
      </c>
      <c r="H1389">
        <v>1.4131009999999999</v>
      </c>
      <c r="I1389">
        <v>369.3818</v>
      </c>
      <c r="J1389">
        <v>-297.29520000000002</v>
      </c>
      <c r="K1389">
        <v>1.060392</v>
      </c>
      <c r="L1389">
        <v>367.02010000000001</v>
      </c>
      <c r="M1389">
        <v>0.9999344</v>
      </c>
      <c r="N1389">
        <v>-1.145122E-2</v>
      </c>
      <c r="O1389">
        <v>2.2252289999999999E-4</v>
      </c>
      <c r="P1389">
        <v>0.98958159999999895</v>
      </c>
      <c r="Q1389">
        <v>0.1138773</v>
      </c>
      <c r="R1389">
        <v>8.8092069999999995E-2</v>
      </c>
      <c r="S1389">
        <v>3.0261230000000001</v>
      </c>
      <c r="T1389">
        <v>7.6999659999999999E-3</v>
      </c>
      <c r="U1389">
        <v>5.1544189999999997E-2</v>
      </c>
      <c r="V1389">
        <v>-8.7844190000000003E-2</v>
      </c>
      <c r="W1389">
        <v>0.12522150000000001</v>
      </c>
      <c r="X1389">
        <v>0.98823229999999995</v>
      </c>
      <c r="Y1389">
        <v>-1.6808320000000002E-2</v>
      </c>
      <c r="Z1389" s="1">
        <v>7.7978849999999996E-5</v>
      </c>
      <c r="AA1389">
        <v>0.99985869999999999</v>
      </c>
      <c r="AB1389">
        <v>29</v>
      </c>
      <c r="AC1389">
        <v>138.512</v>
      </c>
      <c r="AD1389">
        <v>0.352708999999999</v>
      </c>
      <c r="AE1389">
        <v>2.3616999999999799</v>
      </c>
      <c r="AF1389">
        <v>-2.3308607188574699</v>
      </c>
      <c r="AG1389">
        <v>0.352708999999999</v>
      </c>
      <c r="AH1389">
        <v>138.51162425710399</v>
      </c>
      <c r="AI1389">
        <v>89.854121754676498</v>
      </c>
      <c r="AJ1389">
        <v>90.964077048865605</v>
      </c>
      <c r="AK1389">
        <v>138.531683631112</v>
      </c>
      <c r="AL1389">
        <v>82.806453075588706</v>
      </c>
      <c r="AM1389">
        <v>95.079683727164394</v>
      </c>
      <c r="AN1389">
        <v>1.0000000522711401</v>
      </c>
    </row>
    <row r="1390" spans="1:40" x14ac:dyDescent="0.25">
      <c r="A1390" t="str">
        <f>"20190304154747303"</f>
        <v>20190304154747303</v>
      </c>
      <c r="B1390" t="str">
        <f>"1551685667298165"</f>
        <v>1551685667298165</v>
      </c>
      <c r="C1390" t="s">
        <v>40</v>
      </c>
      <c r="D1390">
        <v>4.4986069999999998</v>
      </c>
      <c r="E1390">
        <v>0.5262464</v>
      </c>
      <c r="F1390" t="s">
        <v>43</v>
      </c>
      <c r="G1390">
        <v>-158.78319999999999</v>
      </c>
      <c r="H1390">
        <v>1.3857120000000001</v>
      </c>
      <c r="I1390">
        <v>369.4325</v>
      </c>
      <c r="J1390">
        <v>-297.13850000000002</v>
      </c>
      <c r="K1390">
        <v>1.0603910000000001</v>
      </c>
      <c r="L1390">
        <v>367.02010000000001</v>
      </c>
      <c r="M1390">
        <v>0.99993449999999995</v>
      </c>
      <c r="N1390">
        <v>-1.1452270000000001E-2</v>
      </c>
      <c r="O1390">
        <v>1.7447839999999999E-4</v>
      </c>
      <c r="P1390">
        <v>0.989564</v>
      </c>
      <c r="Q1390">
        <v>0.1137478</v>
      </c>
      <c r="R1390">
        <v>8.8457939999999999E-2</v>
      </c>
      <c r="S1390">
        <v>3.026062</v>
      </c>
      <c r="T1390">
        <v>7.1091649999999998E-3</v>
      </c>
      <c r="U1390">
        <v>5.2703859999999998E-2</v>
      </c>
      <c r="V1390">
        <v>-8.8257940000000007E-2</v>
      </c>
      <c r="W1390">
        <v>0.12509329999999999</v>
      </c>
      <c r="X1390">
        <v>0.98821159999999997</v>
      </c>
      <c r="Y1390">
        <v>-1.7239750000000002E-2</v>
      </c>
      <c r="Z1390" s="1">
        <v>8.0886019999999999E-5</v>
      </c>
      <c r="AA1390">
        <v>0.99985139999999995</v>
      </c>
      <c r="AB1390">
        <v>29</v>
      </c>
      <c r="AC1390">
        <v>138.3553</v>
      </c>
      <c r="AD1390">
        <v>0.32532100000000003</v>
      </c>
      <c r="AE1390">
        <v>2.4123999999999901</v>
      </c>
      <c r="AF1390">
        <v>-2.3882451708239301</v>
      </c>
      <c r="AG1390">
        <v>0.32532100000000003</v>
      </c>
      <c r="AH1390">
        <v>138.35495412562099</v>
      </c>
      <c r="AI1390">
        <v>89.865297851409906</v>
      </c>
      <c r="AJ1390">
        <v>90.988925775086201</v>
      </c>
      <c r="AK1390">
        <v>138.375947620429</v>
      </c>
      <c r="AL1390">
        <v>82.813856101418196</v>
      </c>
      <c r="AM1390">
        <v>95.103589544165104</v>
      </c>
      <c r="AN1390">
        <v>0.99999998202624596</v>
      </c>
    </row>
    <row r="1391" spans="1:40" x14ac:dyDescent="0.25">
      <c r="A1391" t="str">
        <f>"20190304154747313"</f>
        <v>20190304154747313</v>
      </c>
      <c r="B1391" t="str">
        <f>"1551685667307924"</f>
        <v>1551685667307924</v>
      </c>
      <c r="C1391" t="s">
        <v>40</v>
      </c>
      <c r="D1391">
        <v>4.342371</v>
      </c>
      <c r="E1391">
        <v>0.5262464</v>
      </c>
      <c r="F1391" t="s">
        <v>43</v>
      </c>
      <c r="G1391">
        <v>-158.78319999999999</v>
      </c>
      <c r="H1391">
        <v>1.3735889999999999</v>
      </c>
      <c r="I1391">
        <v>369.35149999999999</v>
      </c>
      <c r="J1391">
        <v>-297.01179999999999</v>
      </c>
      <c r="K1391">
        <v>1.0603880000000001</v>
      </c>
      <c r="L1391">
        <v>367.02010000000001</v>
      </c>
      <c r="M1391">
        <v>0.9999344</v>
      </c>
      <c r="N1391">
        <v>-1.1453130000000001E-2</v>
      </c>
      <c r="O1391">
        <v>1.3555389999999999E-4</v>
      </c>
      <c r="P1391">
        <v>0.98953290000000005</v>
      </c>
      <c r="Q1391">
        <v>0.11382299999999999</v>
      </c>
      <c r="R1391">
        <v>8.8707629999999996E-2</v>
      </c>
      <c r="S1391">
        <v>3.0263059999999999</v>
      </c>
      <c r="T1391">
        <v>6.8526269999999896E-3</v>
      </c>
      <c r="U1391">
        <v>5.0994869999999998E-2</v>
      </c>
      <c r="V1391">
        <v>-8.8545949999999998E-2</v>
      </c>
      <c r="W1391">
        <v>0.12516849999999999</v>
      </c>
      <c r="X1391">
        <v>0.98817630000000001</v>
      </c>
      <c r="Y1391">
        <v>-1.6712790000000002E-2</v>
      </c>
      <c r="Z1391" s="1">
        <v>7.8655149999999995E-5</v>
      </c>
      <c r="AA1391">
        <v>0.99986030000000004</v>
      </c>
      <c r="AB1391">
        <v>29</v>
      </c>
      <c r="AC1391">
        <v>138.2286</v>
      </c>
      <c r="AD1391">
        <v>0.31320100000000001</v>
      </c>
      <c r="AE1391">
        <v>2.3313999999999702</v>
      </c>
      <c r="AF1391">
        <v>-2.31264945405443</v>
      </c>
      <c r="AG1391">
        <v>0.31320100000000001</v>
      </c>
      <c r="AH1391">
        <v>138.228205328001</v>
      </c>
      <c r="AI1391">
        <v>89.870196146468899</v>
      </c>
      <c r="AJ1391">
        <v>90.958506924003999</v>
      </c>
      <c r="AK1391">
        <v>138.24790483245599</v>
      </c>
      <c r="AL1391">
        <v>82.809513233322406</v>
      </c>
      <c r="AM1391">
        <v>95.120337514077903</v>
      </c>
      <c r="AN1391">
        <v>0.99999996926766999</v>
      </c>
    </row>
    <row r="1392" spans="1:40" x14ac:dyDescent="0.25">
      <c r="A1392" t="str">
        <f>"20190304154747324"</f>
        <v>20190304154747324</v>
      </c>
      <c r="B1392" t="str">
        <f>"1551685667317684"</f>
        <v>1551685667317684</v>
      </c>
      <c r="C1392" t="s">
        <v>40</v>
      </c>
      <c r="D1392">
        <v>4.3115600000000001</v>
      </c>
      <c r="E1392">
        <v>0.55120559999999996</v>
      </c>
      <c r="F1392" t="s">
        <v>43</v>
      </c>
      <c r="G1392">
        <v>-158.78319999999999</v>
      </c>
      <c r="H1392">
        <v>1.3854850000000001</v>
      </c>
      <c r="I1392">
        <v>369.39260000000002</v>
      </c>
      <c r="J1392">
        <v>-296.85829999999999</v>
      </c>
      <c r="K1392">
        <v>1.0603860000000001</v>
      </c>
      <c r="L1392">
        <v>367.02010000000001</v>
      </c>
      <c r="M1392">
        <v>0.99993449999999995</v>
      </c>
      <c r="N1392">
        <v>-1.145419E-2</v>
      </c>
      <c r="O1392" s="1">
        <v>8.7807169999999898E-5</v>
      </c>
      <c r="P1392">
        <v>0.98953159999999896</v>
      </c>
      <c r="Q1392">
        <v>0.1135678</v>
      </c>
      <c r="R1392">
        <v>8.9048929999999998E-2</v>
      </c>
      <c r="S1392">
        <v>3.0262150000000001</v>
      </c>
      <c r="T1392">
        <v>7.1191789999999998E-3</v>
      </c>
      <c r="U1392">
        <v>5.1940920000000002E-2</v>
      </c>
      <c r="V1392">
        <v>-8.8934730000000004E-2</v>
      </c>
      <c r="W1392">
        <v>0.1249145</v>
      </c>
      <c r="X1392">
        <v>0.98817350000000004</v>
      </c>
      <c r="Y1392">
        <v>-1.707353E-2</v>
      </c>
      <c r="Z1392" s="1">
        <v>7.8922620000000004E-5</v>
      </c>
      <c r="AA1392">
        <v>0.99985420000000003</v>
      </c>
      <c r="AB1392">
        <v>29</v>
      </c>
      <c r="AC1392">
        <v>138.07509999999999</v>
      </c>
      <c r="AD1392">
        <v>0.32509899999999903</v>
      </c>
      <c r="AE1392">
        <v>2.3725000000000001</v>
      </c>
      <c r="AF1392">
        <v>-2.3603621316461201</v>
      </c>
      <c r="AG1392">
        <v>0.32509899999999903</v>
      </c>
      <c r="AH1392">
        <v>138.07454258444901</v>
      </c>
      <c r="AI1392">
        <v>89.865116010683707</v>
      </c>
      <c r="AJ1392">
        <v>90.979366755626401</v>
      </c>
      <c r="AK1392">
        <v>138.09509878579101</v>
      </c>
      <c r="AL1392">
        <v>82.824181290923804</v>
      </c>
      <c r="AM1392">
        <v>95.142713656555401</v>
      </c>
      <c r="AN1392">
        <v>0.99999994230633404</v>
      </c>
    </row>
    <row r="1393" spans="1:40" x14ac:dyDescent="0.25">
      <c r="A1393" t="str">
        <f>"20190304154747336"</f>
        <v>20190304154747336</v>
      </c>
      <c r="B1393" t="str">
        <f>"1551685667328422"</f>
        <v>1551685667328422</v>
      </c>
      <c r="C1393" t="s">
        <v>40</v>
      </c>
      <c r="D1393">
        <v>4.2770149999999996</v>
      </c>
      <c r="E1393">
        <v>0.55290030000000001</v>
      </c>
      <c r="F1393" t="s">
        <v>43</v>
      </c>
      <c r="G1393">
        <v>-158.19499999999999</v>
      </c>
      <c r="H1393">
        <v>1.261233</v>
      </c>
      <c r="I1393">
        <v>360.4008</v>
      </c>
      <c r="J1393">
        <v>-296.7183</v>
      </c>
      <c r="K1393">
        <v>1.060384</v>
      </c>
      <c r="L1393">
        <v>367.02</v>
      </c>
      <c r="M1393">
        <v>0.9999344</v>
      </c>
      <c r="N1393">
        <v>-1.1455170000000001E-2</v>
      </c>
      <c r="O1393" s="1">
        <v>4.4530860000000001E-5</v>
      </c>
      <c r="P1393">
        <v>0.98951020000000001</v>
      </c>
      <c r="Q1393">
        <v>0.1134854</v>
      </c>
      <c r="R1393">
        <v>8.9389640000000006E-2</v>
      </c>
      <c r="S1393">
        <v>3.0443120000000001</v>
      </c>
      <c r="T1393">
        <v>4.4114590000000004E-3</v>
      </c>
      <c r="U1393">
        <v>-0.1453247</v>
      </c>
      <c r="V1393">
        <v>-8.9318259999999997E-2</v>
      </c>
      <c r="W1393">
        <v>0.1248331</v>
      </c>
      <c r="X1393">
        <v>0.98814930000000001</v>
      </c>
      <c r="Y1393">
        <v>4.7726999999999999E-2</v>
      </c>
      <c r="Z1393">
        <v>-2.383892E-4</v>
      </c>
      <c r="AA1393">
        <v>0.99886039999999998</v>
      </c>
      <c r="AB1393">
        <v>29</v>
      </c>
      <c r="AC1393">
        <v>138.52330000000001</v>
      </c>
      <c r="AD1393">
        <v>0.200849</v>
      </c>
      <c r="AE1393">
        <v>-6.61919999999997</v>
      </c>
      <c r="AF1393">
        <v>6.625355063072</v>
      </c>
      <c r="AG1393">
        <v>0.200849</v>
      </c>
      <c r="AH1393">
        <v>138.52271453242</v>
      </c>
      <c r="AI1393">
        <v>89.917019731720302</v>
      </c>
      <c r="AJ1393">
        <v>87.261706703140902</v>
      </c>
      <c r="AK1393">
        <v>138.68121037639901</v>
      </c>
      <c r="AL1393">
        <v>82.828882714493204</v>
      </c>
      <c r="AM1393">
        <v>95.164897663197195</v>
      </c>
      <c r="AN1393">
        <v>1.0000000467577601</v>
      </c>
    </row>
    <row r="1394" spans="1:40" x14ac:dyDescent="0.25">
      <c r="A1394" t="str">
        <f>"20190304154747347"</f>
        <v>20190304154747347</v>
      </c>
      <c r="B1394" t="str">
        <f>"1551685667337711"</f>
        <v>1551685667337711</v>
      </c>
      <c r="C1394" t="s">
        <v>40</v>
      </c>
      <c r="D1394">
        <v>4.3336119999999996</v>
      </c>
      <c r="E1394">
        <v>0.55660180000000004</v>
      </c>
      <c r="F1394" t="s">
        <v>43</v>
      </c>
      <c r="G1394">
        <v>-158.19499999999999</v>
      </c>
      <c r="H1394">
        <v>1.74019199999999</v>
      </c>
      <c r="I1394">
        <v>359.85210000000001</v>
      </c>
      <c r="J1394">
        <v>-296.55689999999998</v>
      </c>
      <c r="K1394">
        <v>1.0603830000000001</v>
      </c>
      <c r="L1394">
        <v>367.02</v>
      </c>
      <c r="M1394">
        <v>0.99993460000000001</v>
      </c>
      <c r="N1394">
        <v>-1.1456300000000001E-2</v>
      </c>
      <c r="O1394" s="1">
        <v>-5.8989170000000002E-6</v>
      </c>
      <c r="P1394">
        <v>0.98950990000000005</v>
      </c>
      <c r="Q1394">
        <v>0.1135188</v>
      </c>
      <c r="R1394">
        <v>8.935411E-2</v>
      </c>
      <c r="S1394">
        <v>3.0443730000000002</v>
      </c>
      <c r="T1394">
        <v>1.494229E-2</v>
      </c>
      <c r="U1394">
        <v>-0.1575317</v>
      </c>
      <c r="V1394">
        <v>-8.9332460000000002E-2</v>
      </c>
      <c r="W1394">
        <v>0.1248676</v>
      </c>
      <c r="X1394">
        <v>0.98814360000000001</v>
      </c>
      <c r="Y1394">
        <v>5.1671040000000001E-2</v>
      </c>
      <c r="Z1394">
        <v>-1.695616E-4</v>
      </c>
      <c r="AA1394">
        <v>0.99866410000000005</v>
      </c>
      <c r="AB1394">
        <v>29</v>
      </c>
      <c r="AC1394">
        <v>138.36189999999999</v>
      </c>
      <c r="AD1394">
        <v>0.679808999999999</v>
      </c>
      <c r="AE1394">
        <v>-7.1678999999999702</v>
      </c>
      <c r="AF1394">
        <v>7.1669112135741901</v>
      </c>
      <c r="AG1394">
        <v>0.679808999999999</v>
      </c>
      <c r="AH1394">
        <v>138.35861121918501</v>
      </c>
      <c r="AI1394">
        <v>89.718863006952404</v>
      </c>
      <c r="AJ1394">
        <v>87.034755686388493</v>
      </c>
      <c r="AK1394">
        <v>138.545776027713</v>
      </c>
      <c r="AL1394">
        <v>82.826890012974602</v>
      </c>
      <c r="AM1394">
        <v>95.165743983707202</v>
      </c>
      <c r="AN1394">
        <v>0.99999999008018503</v>
      </c>
    </row>
    <row r="1395" spans="1:40" x14ac:dyDescent="0.25">
      <c r="A1395" t="str">
        <f>"20190304154747360"</f>
        <v>20190304154747360</v>
      </c>
      <c r="B1395" t="str">
        <f>"1551685667348447"</f>
        <v>1551685667348447</v>
      </c>
      <c r="C1395" t="s">
        <v>40</v>
      </c>
      <c r="D1395">
        <v>4.2000849999999996</v>
      </c>
      <c r="E1395">
        <v>0.55848430000000004</v>
      </c>
      <c r="F1395" t="s">
        <v>43</v>
      </c>
      <c r="G1395">
        <v>-158.19499999999999</v>
      </c>
      <c r="H1395">
        <v>2.697886</v>
      </c>
      <c r="I1395">
        <v>358.53789999999998</v>
      </c>
      <c r="J1395">
        <v>-296.40129999999999</v>
      </c>
      <c r="K1395">
        <v>1.0603819999999999</v>
      </c>
      <c r="L1395">
        <v>367.01990000000001</v>
      </c>
      <c r="M1395">
        <v>0.9999344</v>
      </c>
      <c r="N1395">
        <v>-1.145738E-2</v>
      </c>
      <c r="O1395" s="1">
        <v>-5.4123560000000002E-5</v>
      </c>
      <c r="P1395">
        <v>0.98953000000000002</v>
      </c>
      <c r="Q1395">
        <v>0.113303399999999</v>
      </c>
      <c r="R1395">
        <v>8.9403720000000006E-2</v>
      </c>
      <c r="S1395">
        <v>3.0445859999999998</v>
      </c>
      <c r="T1395">
        <v>3.603435E-2</v>
      </c>
      <c r="U1395">
        <v>-0.18664549999999999</v>
      </c>
      <c r="V1395">
        <v>-8.9429590000000003E-2</v>
      </c>
      <c r="W1395">
        <v>0.12465329999999999</v>
      </c>
      <c r="X1395">
        <v>0.98816190000000004</v>
      </c>
      <c r="Y1395">
        <v>6.1135059999999998E-2</v>
      </c>
      <c r="Z1395" s="1">
        <v>9.6079890000000001E-6</v>
      </c>
      <c r="AA1395">
        <v>0.9981295</v>
      </c>
      <c r="AB1395">
        <v>29</v>
      </c>
      <c r="AC1395">
        <v>138.2063</v>
      </c>
      <c r="AD1395">
        <v>1.6375040000000001</v>
      </c>
      <c r="AE1395">
        <v>-8.4820000000000206</v>
      </c>
      <c r="AF1395">
        <v>8.4733342462152894</v>
      </c>
      <c r="AG1395">
        <v>1.6375040000000001</v>
      </c>
      <c r="AH1395">
        <v>138.18743277359701</v>
      </c>
      <c r="AI1395">
        <v>89.322356478272994</v>
      </c>
      <c r="AJ1395">
        <v>86.491148315289806</v>
      </c>
      <c r="AK1395">
        <v>138.45665527216599</v>
      </c>
      <c r="AL1395">
        <v>82.839265393177797</v>
      </c>
      <c r="AM1395">
        <v>95.171234941751806</v>
      </c>
      <c r="AN1395">
        <v>1.00000001869003</v>
      </c>
    </row>
    <row r="1396" spans="1:40" x14ac:dyDescent="0.25">
      <c r="A1396" t="str">
        <f>"20190304154747372"</f>
        <v>20190304154747372</v>
      </c>
      <c r="B1396" t="str">
        <f>"1551685667367967"</f>
        <v>1551685667367967</v>
      </c>
      <c r="C1396" t="s">
        <v>40</v>
      </c>
      <c r="D1396">
        <v>4.2204600000000001</v>
      </c>
      <c r="E1396">
        <v>0.56110530000000003</v>
      </c>
      <c r="F1396" t="s">
        <v>43</v>
      </c>
      <c r="G1396">
        <v>-158.19499999999999</v>
      </c>
      <c r="H1396">
        <v>3.355585</v>
      </c>
      <c r="I1396">
        <v>357.88240000000002</v>
      </c>
      <c r="J1396">
        <v>-296.23439999999999</v>
      </c>
      <c r="K1396">
        <v>1.060381</v>
      </c>
      <c r="L1396">
        <v>367.01990000000001</v>
      </c>
      <c r="M1396">
        <v>0.99993430000000005</v>
      </c>
      <c r="N1396">
        <v>-1.145854E-2</v>
      </c>
      <c r="O1396">
        <v>-1.062233E-4</v>
      </c>
      <c r="P1396">
        <v>0.9895349</v>
      </c>
      <c r="Q1396">
        <v>0.11327</v>
      </c>
      <c r="R1396">
        <v>8.9389949999999996E-2</v>
      </c>
      <c r="S1396">
        <v>3.0441280000000002</v>
      </c>
      <c r="T1396">
        <v>5.0555940000000001E-2</v>
      </c>
      <c r="U1396">
        <v>-0.20126340000000001</v>
      </c>
      <c r="V1396">
        <v>-8.9467190000000002E-2</v>
      </c>
      <c r="W1396">
        <v>0.1246211</v>
      </c>
      <c r="X1396">
        <v>0.98816250000000005</v>
      </c>
      <c r="Y1396">
        <v>6.5862509999999999E-2</v>
      </c>
      <c r="Z1396">
        <v>1.655243E-4</v>
      </c>
      <c r="AA1396">
        <v>0.99782870000000001</v>
      </c>
      <c r="AB1396">
        <v>29</v>
      </c>
      <c r="AC1396">
        <v>138.0394</v>
      </c>
      <c r="AD1396">
        <v>2.295204</v>
      </c>
      <c r="AE1396">
        <v>-9.1374999999999797</v>
      </c>
      <c r="AF1396">
        <v>9.1203255552803704</v>
      </c>
      <c r="AG1396">
        <v>2.295204</v>
      </c>
      <c r="AH1396">
        <v>138.002383842087</v>
      </c>
      <c r="AI1396">
        <v>89.049239535446404</v>
      </c>
      <c r="AJ1396">
        <v>86.218924957462093</v>
      </c>
      <c r="AK1396">
        <v>138.32247194774499</v>
      </c>
      <c r="AL1396">
        <v>82.841124404961306</v>
      </c>
      <c r="AM1396">
        <v>95.173394228971006</v>
      </c>
      <c r="AN1396">
        <v>0.99999996152897697</v>
      </c>
    </row>
    <row r="1397" spans="1:40" x14ac:dyDescent="0.25">
      <c r="A1397" t="str">
        <f>"20190304154747385"</f>
        <v>20190304154747385</v>
      </c>
      <c r="B1397" t="str">
        <f>"1551685667377727"</f>
        <v>1551685667377727</v>
      </c>
      <c r="C1397" t="s">
        <v>40</v>
      </c>
      <c r="D1397">
        <v>4.2859249999999998</v>
      </c>
      <c r="E1397">
        <v>0.56170989999999998</v>
      </c>
      <c r="F1397" t="s">
        <v>43</v>
      </c>
      <c r="G1397">
        <v>-158.19499999999999</v>
      </c>
      <c r="H1397">
        <v>4.7834589999999997</v>
      </c>
      <c r="I1397">
        <v>356.95620000000002</v>
      </c>
      <c r="J1397">
        <v>-296.06400000000002</v>
      </c>
      <c r="K1397">
        <v>1.060379</v>
      </c>
      <c r="L1397">
        <v>367.01979999999998</v>
      </c>
      <c r="M1397">
        <v>0.99993430000000005</v>
      </c>
      <c r="N1397">
        <v>-1.1459749999999999E-2</v>
      </c>
      <c r="O1397">
        <v>-1.5904170000000001E-4</v>
      </c>
      <c r="P1397">
        <v>0.98952649999999998</v>
      </c>
      <c r="Q1397">
        <v>0.1132108</v>
      </c>
      <c r="R1397">
        <v>8.9558349999999995E-2</v>
      </c>
      <c r="S1397">
        <v>3.0423580000000001</v>
      </c>
      <c r="T1397">
        <v>8.2057710000000006E-2</v>
      </c>
      <c r="U1397">
        <v>-0.22180179999999999</v>
      </c>
      <c r="V1397">
        <v>-8.9687909999999996E-2</v>
      </c>
      <c r="W1397">
        <v>0.1245629</v>
      </c>
      <c r="X1397">
        <v>0.98814990000000003</v>
      </c>
      <c r="Y1397">
        <v>7.2538000000000005E-2</v>
      </c>
      <c r="Z1397">
        <v>5.5442060000000001E-4</v>
      </c>
      <c r="AA1397">
        <v>0.99736550000000002</v>
      </c>
      <c r="AB1397">
        <v>29</v>
      </c>
      <c r="AC1397">
        <v>137.869</v>
      </c>
      <c r="AD1397">
        <v>3.7230799999999999</v>
      </c>
      <c r="AE1397">
        <v>-10.0635999999999</v>
      </c>
      <c r="AF1397">
        <v>10.0343927964758</v>
      </c>
      <c r="AG1397">
        <v>3.7230799999999999</v>
      </c>
      <c r="AH1397">
        <v>137.77066325127299</v>
      </c>
      <c r="AI1397">
        <v>88.456117495006794</v>
      </c>
      <c r="AJ1397">
        <v>85.834273122076397</v>
      </c>
      <c r="AK1397">
        <v>138.18576632987899</v>
      </c>
      <c r="AL1397">
        <v>82.844485706782905</v>
      </c>
      <c r="AM1397">
        <v>95.186153505912998</v>
      </c>
      <c r="AN1397">
        <v>1.0000000310632899</v>
      </c>
    </row>
    <row r="1398" spans="1:40" x14ac:dyDescent="0.25">
      <c r="A1398" t="str">
        <f>"20190304154747397"</f>
        <v>20190304154747397</v>
      </c>
      <c r="B1398" t="str">
        <f>"1551685667388463"</f>
        <v>1551685667388463</v>
      </c>
      <c r="C1398" t="s">
        <v>40</v>
      </c>
      <c r="D1398">
        <v>4.2025009999999998</v>
      </c>
      <c r="E1398">
        <v>0.56239640000000002</v>
      </c>
      <c r="F1398" t="s">
        <v>43</v>
      </c>
      <c r="G1398">
        <v>-158.19499999999999</v>
      </c>
      <c r="H1398">
        <v>5.0640869999999998</v>
      </c>
      <c r="I1398">
        <v>356.7713</v>
      </c>
      <c r="J1398">
        <v>-295.90780000000001</v>
      </c>
      <c r="K1398">
        <v>1.060376</v>
      </c>
      <c r="L1398">
        <v>367.0197</v>
      </c>
      <c r="M1398">
        <v>0.99993430000000005</v>
      </c>
      <c r="N1398">
        <v>-1.146087E-2</v>
      </c>
      <c r="O1398">
        <v>-2.074465E-4</v>
      </c>
      <c r="P1398">
        <v>0.98954960000000003</v>
      </c>
      <c r="Q1398">
        <v>0.1129975</v>
      </c>
      <c r="R1398">
        <v>8.9572490000000005E-2</v>
      </c>
      <c r="S1398">
        <v>3.0421140000000002</v>
      </c>
      <c r="T1398">
        <v>8.8344690000000003E-2</v>
      </c>
      <c r="U1398">
        <v>-0.22613530000000001</v>
      </c>
      <c r="V1398">
        <v>-8.97506E-2</v>
      </c>
      <c r="W1398">
        <v>0.1243509</v>
      </c>
      <c r="X1398">
        <v>0.98817089999999996</v>
      </c>
      <c r="Y1398">
        <v>7.3904949999999997E-2</v>
      </c>
      <c r="Z1398">
        <v>6.3887060000000003E-4</v>
      </c>
      <c r="AA1398">
        <v>0.99726510000000002</v>
      </c>
      <c r="AB1398">
        <v>29</v>
      </c>
      <c r="AC1398">
        <v>137.71279999999999</v>
      </c>
      <c r="AD1398">
        <v>4.003711</v>
      </c>
      <c r="AE1398">
        <v>-10.2484</v>
      </c>
      <c r="AF1398">
        <v>10.211246510345701</v>
      </c>
      <c r="AG1398">
        <v>4.003711</v>
      </c>
      <c r="AH1398">
        <v>137.59926019049999</v>
      </c>
      <c r="AI1398">
        <v>88.337908872750305</v>
      </c>
      <c r="AJ1398">
        <v>85.7558575548546</v>
      </c>
      <c r="AK1398">
        <v>138.035704301603</v>
      </c>
      <c r="AL1398">
        <v>82.856727527574193</v>
      </c>
      <c r="AM1398">
        <v>95.1896490448473</v>
      </c>
      <c r="AN1398">
        <v>1.00000002206898</v>
      </c>
    </row>
    <row r="1399" spans="1:40" x14ac:dyDescent="0.25">
      <c r="A1399" t="str">
        <f>"20190304154747410"</f>
        <v>20190304154747410</v>
      </c>
      <c r="B1399" t="str">
        <f>"1551685667407984"</f>
        <v>1551685667407984</v>
      </c>
      <c r="C1399" t="s">
        <v>40</v>
      </c>
      <c r="D1399">
        <v>4.1972430000000003</v>
      </c>
      <c r="E1399">
        <v>0.56344490000000003</v>
      </c>
      <c r="F1399" t="s">
        <v>43</v>
      </c>
      <c r="G1399">
        <v>-158.19499999999999</v>
      </c>
      <c r="H1399">
        <v>5.3438040000000004</v>
      </c>
      <c r="I1399">
        <v>356.5498</v>
      </c>
      <c r="J1399">
        <v>-295.72370000000001</v>
      </c>
      <c r="K1399">
        <v>1.0603720000000001</v>
      </c>
      <c r="L1399">
        <v>367.0197</v>
      </c>
      <c r="M1399">
        <v>0.9999344</v>
      </c>
      <c r="N1399">
        <v>-1.146221E-2</v>
      </c>
      <c r="O1399">
        <v>-2.6526730000000001E-4</v>
      </c>
      <c r="P1399">
        <v>0.98958429999999997</v>
      </c>
      <c r="Q1399">
        <v>0.1125844</v>
      </c>
      <c r="R1399">
        <v>8.9710440000000002E-2</v>
      </c>
      <c r="S1399">
        <v>3.0418090000000002</v>
      </c>
      <c r="T1399">
        <v>9.4614509999999999E-2</v>
      </c>
      <c r="U1399">
        <v>-0.2312622</v>
      </c>
      <c r="V1399">
        <v>-8.9945650000000002E-2</v>
      </c>
      <c r="W1399">
        <v>0.1239393</v>
      </c>
      <c r="X1399">
        <v>0.98820479999999999</v>
      </c>
      <c r="Y1399">
        <v>7.5521909999999998E-2</v>
      </c>
      <c r="Z1399">
        <v>7.2776809999999998E-4</v>
      </c>
      <c r="AA1399">
        <v>0.99714389999999997</v>
      </c>
      <c r="AB1399">
        <v>29</v>
      </c>
      <c r="AC1399">
        <v>137.52869999999999</v>
      </c>
      <c r="AD1399">
        <v>4.2834320000000004</v>
      </c>
      <c r="AE1399">
        <v>-10.4698999999999</v>
      </c>
      <c r="AF1399">
        <v>10.423362384129501</v>
      </c>
      <c r="AG1399">
        <v>4.2834320000000004</v>
      </c>
      <c r="AH1399">
        <v>137.39895591392099</v>
      </c>
      <c r="AI1399">
        <v>88.219487058055506</v>
      </c>
      <c r="AJ1399">
        <v>85.6617359803695</v>
      </c>
      <c r="AK1399">
        <v>137.86031829110601</v>
      </c>
      <c r="AL1399">
        <v>82.880493800993094</v>
      </c>
      <c r="AM1399">
        <v>95.200688201454696</v>
      </c>
      <c r="AN1399">
        <v>0.99999994839072404</v>
      </c>
    </row>
    <row r="1400" spans="1:40" x14ac:dyDescent="0.25">
      <c r="A1400" t="str">
        <f>"20190304154747422"</f>
        <v>20190304154747422</v>
      </c>
      <c r="B1400" t="str">
        <f>"1551685667417743"</f>
        <v>1551685667417743</v>
      </c>
      <c r="C1400" t="s">
        <v>40</v>
      </c>
      <c r="D1400">
        <v>4.1636680000000004</v>
      </c>
      <c r="E1400">
        <v>0.56330780000000003</v>
      </c>
      <c r="F1400" t="s">
        <v>43</v>
      </c>
      <c r="G1400">
        <v>-158.19499999999999</v>
      </c>
      <c r="H1400">
        <v>5.8308660000000003</v>
      </c>
      <c r="I1400">
        <v>356.19740000000002</v>
      </c>
      <c r="J1400">
        <v>-295.5772</v>
      </c>
      <c r="K1400">
        <v>1.060376</v>
      </c>
      <c r="L1400">
        <v>367.01960000000003</v>
      </c>
      <c r="M1400">
        <v>0.9999342</v>
      </c>
      <c r="N1400">
        <v>-1.1463269999999999E-2</v>
      </c>
      <c r="O1400">
        <v>-3.1057220000000002E-4</v>
      </c>
      <c r="P1400">
        <v>0.98960049999999999</v>
      </c>
      <c r="Q1400">
        <v>0.1124849</v>
      </c>
      <c r="R1400">
        <v>8.9653479999999994E-2</v>
      </c>
      <c r="S1400">
        <v>3.0412599999999999</v>
      </c>
      <c r="T1400">
        <v>0.1054949</v>
      </c>
      <c r="U1400">
        <v>-0.2393188</v>
      </c>
      <c r="V1400">
        <v>-8.9933559999999996E-2</v>
      </c>
      <c r="W1400">
        <v>0.1238409</v>
      </c>
      <c r="X1400">
        <v>0.98821829999999999</v>
      </c>
      <c r="Y1400">
        <v>7.8107679999999999E-2</v>
      </c>
      <c r="Z1400">
        <v>8.8941289999999902E-4</v>
      </c>
      <c r="AA1400">
        <v>0.99694450000000001</v>
      </c>
      <c r="AB1400">
        <v>29</v>
      </c>
      <c r="AC1400">
        <v>137.38220000000001</v>
      </c>
      <c r="AD1400">
        <v>4.7704899999999997</v>
      </c>
      <c r="AE1400">
        <v>-10.8222</v>
      </c>
      <c r="AF1400">
        <v>10.766627549031799</v>
      </c>
      <c r="AG1400">
        <v>4.7704899999999997</v>
      </c>
      <c r="AH1400">
        <v>137.221117741841</v>
      </c>
      <c r="AI1400">
        <v>88.015010796859698</v>
      </c>
      <c r="AJ1400">
        <v>85.513656452887602</v>
      </c>
      <c r="AK1400">
        <v>137.72549872096999</v>
      </c>
      <c r="AL1400">
        <v>82.886175926289795</v>
      </c>
      <c r="AM1400">
        <v>95.199922338678604</v>
      </c>
      <c r="AN1400">
        <v>1.0000000110909799</v>
      </c>
    </row>
    <row r="1401" spans="1:40" x14ac:dyDescent="0.25">
      <c r="A1401" t="str">
        <f>"20190304154747434"</f>
        <v>20190304154747434</v>
      </c>
      <c r="B1401" t="str">
        <f>"1551685667427504"</f>
        <v>1551685667427504</v>
      </c>
      <c r="C1401" t="s">
        <v>40</v>
      </c>
      <c r="D1401">
        <v>4.2810680000000003</v>
      </c>
      <c r="E1401">
        <v>0.56353750000000002</v>
      </c>
      <c r="F1401" t="s">
        <v>43</v>
      </c>
      <c r="G1401">
        <v>-158.19499999999999</v>
      </c>
      <c r="H1401">
        <v>5.6863250000000001</v>
      </c>
      <c r="I1401">
        <v>356.24290000000002</v>
      </c>
      <c r="J1401">
        <v>-295.4194</v>
      </c>
      <c r="K1401">
        <v>1.0603750000000001</v>
      </c>
      <c r="L1401">
        <v>367.01949999999999</v>
      </c>
      <c r="M1401">
        <v>0.99993430000000005</v>
      </c>
      <c r="N1401">
        <v>-1.1464419999999999E-2</v>
      </c>
      <c r="O1401">
        <v>-3.5981190000000001E-4</v>
      </c>
      <c r="P1401">
        <v>0.98963939999999995</v>
      </c>
      <c r="Q1401">
        <v>0.112146</v>
      </c>
      <c r="R1401">
        <v>8.9651700000000001E-2</v>
      </c>
      <c r="S1401">
        <v>3.041534</v>
      </c>
      <c r="T1401">
        <v>0.1024168</v>
      </c>
      <c r="U1401">
        <v>-0.2385864</v>
      </c>
      <c r="V1401">
        <v>-8.9980729999999995E-2</v>
      </c>
      <c r="W1401">
        <v>0.123504</v>
      </c>
      <c r="X1401">
        <v>0.98825620000000003</v>
      </c>
      <c r="Y1401">
        <v>7.781536E-2</v>
      </c>
      <c r="Z1401">
        <v>8.4470319999999999E-4</v>
      </c>
      <c r="AA1401">
        <v>0.99696739999999995</v>
      </c>
      <c r="AB1401">
        <v>29</v>
      </c>
      <c r="AC1401">
        <v>137.2244</v>
      </c>
      <c r="AD1401">
        <v>4.6259499999999996</v>
      </c>
      <c r="AE1401">
        <v>-10.776599999999901</v>
      </c>
      <c r="AF1401">
        <v>10.715118844131201</v>
      </c>
      <c r="AG1401">
        <v>4.6259499999999996</v>
      </c>
      <c r="AH1401">
        <v>137.073450617753</v>
      </c>
      <c r="AI1401">
        <v>88.072991839480096</v>
      </c>
      <c r="AJ1401">
        <v>85.530242047256706</v>
      </c>
      <c r="AK1401">
        <v>137.56941538548401</v>
      </c>
      <c r="AL1401">
        <v>82.905628437370197</v>
      </c>
      <c r="AM1401">
        <v>95.202436297882201</v>
      </c>
      <c r="AN1401">
        <v>1.0000000433128799</v>
      </c>
    </row>
    <row r="1402" spans="1:40" x14ac:dyDescent="0.25">
      <c r="A1402" t="str">
        <f>"20190304154747445"</f>
        <v>20190304154747445</v>
      </c>
      <c r="B1402" t="str">
        <f>"1551685667438239"</f>
        <v>1551685667438239</v>
      </c>
      <c r="C1402" t="s">
        <v>40</v>
      </c>
      <c r="D1402">
        <v>4.1272399999999996</v>
      </c>
      <c r="E1402">
        <v>0.563417099999999</v>
      </c>
      <c r="F1402" t="s">
        <v>43</v>
      </c>
      <c r="G1402">
        <v>-158.19499999999999</v>
      </c>
      <c r="H1402">
        <v>5.5998739999999998</v>
      </c>
      <c r="I1402">
        <v>356.17750000000001</v>
      </c>
      <c r="J1402">
        <v>-295.2722</v>
      </c>
      <c r="K1402">
        <v>1.060376</v>
      </c>
      <c r="L1402">
        <v>367.01929999999999</v>
      </c>
      <c r="M1402">
        <v>0.9999342</v>
      </c>
      <c r="N1402">
        <v>-1.146549E-2</v>
      </c>
      <c r="O1402">
        <v>-4.0535719999999998E-4</v>
      </c>
      <c r="P1402">
        <v>0.98966659999999995</v>
      </c>
      <c r="Q1402">
        <v>0.11192240000000001</v>
      </c>
      <c r="R1402">
        <v>8.9630249999999995E-2</v>
      </c>
      <c r="S1402">
        <v>3.0417480000000001</v>
      </c>
      <c r="T1402">
        <v>0.10062550000000001</v>
      </c>
      <c r="U1402">
        <v>-0.24032590000000001</v>
      </c>
      <c r="V1402">
        <v>-9.0003970000000003E-2</v>
      </c>
      <c r="W1402">
        <v>0.12328210000000001</v>
      </c>
      <c r="X1402">
        <v>0.98828170000000004</v>
      </c>
      <c r="Y1402">
        <v>7.8332209999999999E-2</v>
      </c>
      <c r="Z1402">
        <v>8.2542889999999999E-4</v>
      </c>
      <c r="AA1402">
        <v>0.99692700000000001</v>
      </c>
      <c r="AB1402">
        <v>29</v>
      </c>
      <c r="AC1402">
        <v>137.0772</v>
      </c>
      <c r="AD1402">
        <v>4.539498</v>
      </c>
      <c r="AE1402">
        <v>-10.8417999999999</v>
      </c>
      <c r="AF1402">
        <v>10.7744873778265</v>
      </c>
      <c r="AG1402">
        <v>4.539498</v>
      </c>
      <c r="AH1402">
        <v>136.93234462387801</v>
      </c>
      <c r="AI1402">
        <v>88.107106868554197</v>
      </c>
      <c r="AJ1402">
        <v>85.500965544192297</v>
      </c>
      <c r="AK1402">
        <v>137.43057747291701</v>
      </c>
      <c r="AL1402">
        <v>82.918439649088597</v>
      </c>
      <c r="AM1402">
        <v>95.2036390617492</v>
      </c>
      <c r="AN1402">
        <v>0.99999995467552905</v>
      </c>
    </row>
    <row r="1403" spans="1:40" x14ac:dyDescent="0.25">
      <c r="A1403" t="str">
        <f>"20190304154747456"</f>
        <v>20190304154747456</v>
      </c>
      <c r="B1403" t="str">
        <f>"1551685667448000"</f>
        <v>1551685667448000</v>
      </c>
      <c r="C1403" t="s">
        <v>40</v>
      </c>
      <c r="D1403">
        <v>4.1827560000000004</v>
      </c>
      <c r="E1403">
        <v>0.56339349999999999</v>
      </c>
      <c r="F1403" t="s">
        <v>43</v>
      </c>
      <c r="G1403">
        <v>-158.19499999999999</v>
      </c>
      <c r="H1403">
        <v>5.4918969999999998</v>
      </c>
      <c r="I1403">
        <v>356.2226</v>
      </c>
      <c r="J1403">
        <v>-295.12650000000002</v>
      </c>
      <c r="K1403">
        <v>1.0603800000000001</v>
      </c>
      <c r="L1403">
        <v>367.01929999999999</v>
      </c>
      <c r="M1403">
        <v>0.9999342</v>
      </c>
      <c r="N1403">
        <v>-1.1466560000000001E-2</v>
      </c>
      <c r="O1403">
        <v>-4.5054269999999998E-4</v>
      </c>
      <c r="P1403">
        <v>0.98967890000000003</v>
      </c>
      <c r="Q1403">
        <v>0.11184429999999999</v>
      </c>
      <c r="R1403">
        <v>8.9592069999999996E-2</v>
      </c>
      <c r="S1403">
        <v>3.0419010000000002</v>
      </c>
      <c r="T1403">
        <v>9.834242E-2</v>
      </c>
      <c r="U1403">
        <v>-0.23959349999999999</v>
      </c>
      <c r="V1403">
        <v>-9.0010960000000001E-2</v>
      </c>
      <c r="W1403">
        <v>0.12320449999999999</v>
      </c>
      <c r="X1403">
        <v>0.98829080000000002</v>
      </c>
      <c r="Y1403">
        <v>7.8046370000000004E-2</v>
      </c>
      <c r="Z1403">
        <v>7.9137390000000004E-4</v>
      </c>
      <c r="AA1403">
        <v>0.99694939999999999</v>
      </c>
      <c r="AB1403">
        <v>29</v>
      </c>
      <c r="AC1403">
        <v>136.9315</v>
      </c>
      <c r="AD1403">
        <v>4.4315170000000004</v>
      </c>
      <c r="AE1403">
        <v>-10.7966999999999</v>
      </c>
      <c r="AF1403">
        <v>10.723838983578</v>
      </c>
      <c r="AG1403">
        <v>4.4315170000000004</v>
      </c>
      <c r="AH1403">
        <v>136.793962783636</v>
      </c>
      <c r="AI1403">
        <v>88.150191514849396</v>
      </c>
      <c r="AJ1403">
        <v>85.517516755552705</v>
      </c>
      <c r="AK1403">
        <v>137.28520429936299</v>
      </c>
      <c r="AL1403">
        <v>82.922920376289696</v>
      </c>
      <c r="AM1403">
        <v>95.203993319587397</v>
      </c>
      <c r="AN1403">
        <v>1.0000000135525</v>
      </c>
    </row>
    <row r="1404" spans="1:40" x14ac:dyDescent="0.25">
      <c r="A1404" t="str">
        <f>"20190304154747467"</f>
        <v>20190304154747467</v>
      </c>
      <c r="B1404" t="str">
        <f>"1551685667457760"</f>
        <v>1551685667457760</v>
      </c>
      <c r="C1404" t="s">
        <v>40</v>
      </c>
      <c r="D1404">
        <v>4.1617509999999998</v>
      </c>
      <c r="E1404">
        <v>0.5633918</v>
      </c>
      <c r="F1404" t="s">
        <v>43</v>
      </c>
      <c r="G1404">
        <v>-158.19499999999999</v>
      </c>
      <c r="H1404">
        <v>5.4003069999999997</v>
      </c>
      <c r="I1404">
        <v>356.23599999999999</v>
      </c>
      <c r="J1404">
        <v>-294.98140000000001</v>
      </c>
      <c r="K1404">
        <v>1.0603800000000001</v>
      </c>
      <c r="L1404">
        <v>367.01920000000001</v>
      </c>
      <c r="M1404">
        <v>0.99993430000000005</v>
      </c>
      <c r="N1404">
        <v>-1.1467629999999999E-2</v>
      </c>
      <c r="O1404">
        <v>-4.9608330000000002E-4</v>
      </c>
      <c r="P1404">
        <v>0.98969359999999995</v>
      </c>
      <c r="Q1404">
        <v>0.1117109</v>
      </c>
      <c r="R1404">
        <v>8.9597899999999994E-2</v>
      </c>
      <c r="S1404">
        <v>3.042084</v>
      </c>
      <c r="T1404">
        <v>9.6418139999999999E-2</v>
      </c>
      <c r="U1404">
        <v>-0.239563</v>
      </c>
      <c r="V1404">
        <v>-9.0061939999999993E-2</v>
      </c>
      <c r="W1404">
        <v>0.1230724</v>
      </c>
      <c r="X1404">
        <v>0.98830260000000003</v>
      </c>
      <c r="Y1404">
        <v>7.798766E-2</v>
      </c>
      <c r="Z1404">
        <v>7.6436509999999996E-4</v>
      </c>
      <c r="AA1404">
        <v>0.99695400000000001</v>
      </c>
      <c r="AB1404">
        <v>29</v>
      </c>
      <c r="AC1404">
        <v>136.78639999999999</v>
      </c>
      <c r="AD1404">
        <v>4.3399269999999897</v>
      </c>
      <c r="AE1404">
        <v>-10.783200000000001</v>
      </c>
      <c r="AF1404">
        <v>10.7046275013884</v>
      </c>
      <c r="AG1404">
        <v>4.3399269999999897</v>
      </c>
      <c r="AH1404">
        <v>136.65501856365799</v>
      </c>
      <c r="AI1404">
        <v>88.1865480514967</v>
      </c>
      <c r="AJ1404">
        <v>85.520983432220206</v>
      </c>
      <c r="AK1404">
        <v>137.14232794780199</v>
      </c>
      <c r="AL1404">
        <v>82.930547088587005</v>
      </c>
      <c r="AM1404">
        <v>95.206862709807794</v>
      </c>
      <c r="AN1404">
        <v>0.99999999892254099</v>
      </c>
    </row>
    <row r="1405" spans="1:40" x14ac:dyDescent="0.25">
      <c r="A1405" t="str">
        <f>"20190304154747478"</f>
        <v>20190304154747478</v>
      </c>
      <c r="B1405" t="str">
        <f>"1551685667468495"</f>
        <v>1551685667468495</v>
      </c>
      <c r="C1405" t="s">
        <v>40</v>
      </c>
      <c r="D1405">
        <v>4.1490999999999998</v>
      </c>
      <c r="E1405">
        <v>0.56322289999999997</v>
      </c>
      <c r="F1405" t="s">
        <v>43</v>
      </c>
      <c r="G1405">
        <v>-158.19499999999999</v>
      </c>
      <c r="H1405">
        <v>5.3202489999999996</v>
      </c>
      <c r="I1405">
        <v>356.25720000000001</v>
      </c>
      <c r="J1405">
        <v>-294.84030000000001</v>
      </c>
      <c r="K1405">
        <v>1.0603800000000001</v>
      </c>
      <c r="L1405">
        <v>367.01900000000001</v>
      </c>
      <c r="M1405">
        <v>0.99993410000000005</v>
      </c>
      <c r="N1405">
        <v>-1.1469740000000001E-2</v>
      </c>
      <c r="O1405">
        <v>-5.4008180000000004E-4</v>
      </c>
      <c r="P1405">
        <v>0.98966310000000002</v>
      </c>
      <c r="Q1405">
        <v>0.1116987</v>
      </c>
      <c r="R1405">
        <v>8.9947280000000004E-2</v>
      </c>
      <c r="S1405">
        <v>3.0421749999999999</v>
      </c>
      <c r="T1405">
        <v>9.4742770000000004E-2</v>
      </c>
      <c r="U1405">
        <v>-0.23934939999999999</v>
      </c>
      <c r="V1405">
        <v>-9.0454599999999996E-2</v>
      </c>
      <c r="W1405">
        <v>0.123062</v>
      </c>
      <c r="X1405">
        <v>0.98826800000000004</v>
      </c>
      <c r="Y1405">
        <v>7.7873049999999999E-2</v>
      </c>
      <c r="Z1405">
        <v>7.4010519999999998E-4</v>
      </c>
      <c r="AA1405">
        <v>0.99696300000000004</v>
      </c>
      <c r="AB1405">
        <v>29</v>
      </c>
      <c r="AC1405">
        <v>136.64529999999999</v>
      </c>
      <c r="AD1405">
        <v>4.2598690000000001</v>
      </c>
      <c r="AE1405">
        <v>-10.7617999999999</v>
      </c>
      <c r="AF1405">
        <v>10.6776807114747</v>
      </c>
      <c r="AG1405">
        <v>4.2598690000000001</v>
      </c>
      <c r="AH1405">
        <v>136.51923319382601</v>
      </c>
      <c r="AI1405">
        <v>88.218192949777603</v>
      </c>
      <c r="AJ1405">
        <v>85.5277870145636</v>
      </c>
      <c r="AK1405">
        <v>137.00241012881301</v>
      </c>
      <c r="AL1405">
        <v>82.931147289190804</v>
      </c>
      <c r="AM1405">
        <v>95.229620527887604</v>
      </c>
      <c r="AN1405">
        <v>0.99999996516457901</v>
      </c>
    </row>
    <row r="1406" spans="1:40" x14ac:dyDescent="0.25">
      <c r="A1406" t="str">
        <f>"20190304154747488"</f>
        <v>20190304154747488</v>
      </c>
      <c r="B1406" t="str">
        <f>"1551685667478255"</f>
        <v>1551685667478255</v>
      </c>
      <c r="C1406" t="s">
        <v>40</v>
      </c>
      <c r="D1406">
        <v>4.1424110000000001</v>
      </c>
      <c r="E1406">
        <v>0.56320769999999998</v>
      </c>
      <c r="F1406" t="s">
        <v>43</v>
      </c>
      <c r="G1406">
        <v>-158.19499999999999</v>
      </c>
      <c r="H1406">
        <v>5.1919950000000004</v>
      </c>
      <c r="I1406">
        <v>356.37759999999997</v>
      </c>
      <c r="J1406">
        <v>-294.69920000000002</v>
      </c>
      <c r="K1406">
        <v>1.060379</v>
      </c>
      <c r="L1406">
        <v>367.01889999999997</v>
      </c>
      <c r="M1406">
        <v>0.99993410000000005</v>
      </c>
      <c r="N1406">
        <v>-1.147244E-2</v>
      </c>
      <c r="O1406">
        <v>-5.8420369999999996E-4</v>
      </c>
      <c r="P1406">
        <v>0.98966969999999999</v>
      </c>
      <c r="Q1406">
        <v>0.11174290000000001</v>
      </c>
      <c r="R1406">
        <v>8.9819869999999996E-2</v>
      </c>
      <c r="S1406">
        <v>3.0424799999999999</v>
      </c>
      <c r="T1406">
        <v>9.1994519999999996E-2</v>
      </c>
      <c r="U1406">
        <v>-0.2369385</v>
      </c>
      <c r="V1406">
        <v>-9.0370649999999997E-2</v>
      </c>
      <c r="W1406">
        <v>0.12310889999999999</v>
      </c>
      <c r="X1406">
        <v>0.98826990000000003</v>
      </c>
      <c r="Y1406">
        <v>7.7038019999999999E-2</v>
      </c>
      <c r="Z1406">
        <v>6.9568669999999996E-4</v>
      </c>
      <c r="AA1406">
        <v>0.99702789999999997</v>
      </c>
      <c r="AB1406">
        <v>29</v>
      </c>
      <c r="AC1406">
        <v>136.5042</v>
      </c>
      <c r="AD1406">
        <v>4.1316159999999904</v>
      </c>
      <c r="AE1406">
        <v>-10.641299999999999</v>
      </c>
      <c r="AF1406">
        <v>10.5519383324008</v>
      </c>
      <c r="AG1406">
        <v>4.1316159999999904</v>
      </c>
      <c r="AH1406">
        <v>136.386203679077</v>
      </c>
      <c r="AI1406">
        <v>88.270007560496893</v>
      </c>
      <c r="AJ1406">
        <v>85.575948852826002</v>
      </c>
      <c r="AK1406">
        <v>136.85616612828599</v>
      </c>
      <c r="AL1406">
        <v>82.928439955864505</v>
      </c>
      <c r="AM1406">
        <v>95.224783855041096</v>
      </c>
      <c r="AN1406">
        <v>1.0000000254433199</v>
      </c>
    </row>
    <row r="1407" spans="1:40" x14ac:dyDescent="0.25">
      <c r="A1407" t="str">
        <f>"20190304154747500"</f>
        <v>20190304154747500</v>
      </c>
      <c r="B1407" t="str">
        <f>"1551685667497775"</f>
        <v>1551685667497775</v>
      </c>
      <c r="C1407" t="s">
        <v>40</v>
      </c>
      <c r="D1407">
        <v>4.1273369999999998</v>
      </c>
      <c r="E1407">
        <v>0.56320800000000004</v>
      </c>
      <c r="F1407" t="s">
        <v>43</v>
      </c>
      <c r="G1407">
        <v>-158.19499999999999</v>
      </c>
      <c r="H1407">
        <v>5.1641469999999998</v>
      </c>
      <c r="I1407">
        <v>356.36669999999998</v>
      </c>
      <c r="J1407">
        <v>-294.55009999999999</v>
      </c>
      <c r="K1407">
        <v>1.0603800000000001</v>
      </c>
      <c r="L1407">
        <v>367.0188</v>
      </c>
      <c r="M1407">
        <v>0.99993410000000005</v>
      </c>
      <c r="N1407">
        <v>-1.1476760000000001E-2</v>
      </c>
      <c r="O1407">
        <v>-6.3036359999999998E-4</v>
      </c>
      <c r="P1407">
        <v>0.98966160000000003</v>
      </c>
      <c r="Q1407">
        <v>0.11165360000000001</v>
      </c>
      <c r="R1407">
        <v>9.0021470000000006E-2</v>
      </c>
      <c r="S1407">
        <v>3.0425420000000001</v>
      </c>
      <c r="T1407">
        <v>9.1470720000000005E-2</v>
      </c>
      <c r="U1407">
        <v>-0.23742679999999999</v>
      </c>
      <c r="V1407">
        <v>-9.0618080000000004E-2</v>
      </c>
      <c r="W1407">
        <v>0.1230237</v>
      </c>
      <c r="X1407">
        <v>0.98825779999999996</v>
      </c>
      <c r="Y1407">
        <v>7.7149830000000003E-2</v>
      </c>
      <c r="Z1407">
        <v>6.8809019999999999E-4</v>
      </c>
      <c r="AA1407">
        <v>0.99701930000000005</v>
      </c>
      <c r="AB1407">
        <v>29</v>
      </c>
      <c r="AC1407">
        <v>136.35509999999999</v>
      </c>
      <c r="AD1407">
        <v>4.1037670000000004</v>
      </c>
      <c r="AE1407">
        <v>-10.652100000000001</v>
      </c>
      <c r="AF1407">
        <v>10.556634958379499</v>
      </c>
      <c r="AG1407">
        <v>4.1037670000000004</v>
      </c>
      <c r="AH1407">
        <v>136.23913392238799</v>
      </c>
      <c r="AI1407">
        <v>88.279823278408301</v>
      </c>
      <c r="AJ1407">
        <v>85.569228695238394</v>
      </c>
      <c r="AK1407">
        <v>136.709125727426</v>
      </c>
      <c r="AL1407">
        <v>82.9333585772075</v>
      </c>
      <c r="AM1407">
        <v>95.239073326513804</v>
      </c>
      <c r="AN1407">
        <v>0.99999997322270795</v>
      </c>
    </row>
    <row r="1408" spans="1:40" x14ac:dyDescent="0.25">
      <c r="A1408" t="str">
        <f>"20190304154747512"</f>
        <v>20190304154747512</v>
      </c>
      <c r="B1408" t="str">
        <f>"1551685667508512"</f>
        <v>1551685667508512</v>
      </c>
      <c r="C1408" t="s">
        <v>40</v>
      </c>
      <c r="D1408">
        <v>4.0988340000000001</v>
      </c>
      <c r="E1408">
        <v>0.56322490000000003</v>
      </c>
      <c r="F1408" t="s">
        <v>43</v>
      </c>
      <c r="G1408">
        <v>-158.19499999999999</v>
      </c>
      <c r="H1408">
        <v>5.0894690000000002</v>
      </c>
      <c r="I1408">
        <v>356.39550000000003</v>
      </c>
      <c r="J1408">
        <v>-294.39490000000001</v>
      </c>
      <c r="K1408">
        <v>1.0603800000000001</v>
      </c>
      <c r="L1408">
        <v>367.01859999999999</v>
      </c>
      <c r="M1408">
        <v>0.99993399999999999</v>
      </c>
      <c r="N1408">
        <v>-1.148185E-2</v>
      </c>
      <c r="O1408">
        <v>-6.7843600000000003E-4</v>
      </c>
      <c r="P1408">
        <v>0.98965530000000002</v>
      </c>
      <c r="Q1408">
        <v>0.1116538</v>
      </c>
      <c r="R1408">
        <v>9.0090069999999994E-2</v>
      </c>
      <c r="S1408">
        <v>3.042786</v>
      </c>
      <c r="T1408">
        <v>8.9911699999999997E-2</v>
      </c>
      <c r="U1408">
        <v>-0.23706050000000001</v>
      </c>
      <c r="V1408">
        <v>-9.0734410000000001E-2</v>
      </c>
      <c r="W1408">
        <v>0.123029399999999</v>
      </c>
      <c r="X1408">
        <v>0.98824639999999997</v>
      </c>
      <c r="Y1408">
        <v>7.6977450000000003E-2</v>
      </c>
      <c r="Z1408">
        <v>6.6489009999999896E-4</v>
      </c>
      <c r="AA1408">
        <v>0.99703260000000005</v>
      </c>
      <c r="AB1408">
        <v>29</v>
      </c>
      <c r="AC1408">
        <v>136.19990000000001</v>
      </c>
      <c r="AD1408">
        <v>4.0290889999999999</v>
      </c>
      <c r="AE1408">
        <v>-10.6230999999999</v>
      </c>
      <c r="AF1408">
        <v>10.521536787056</v>
      </c>
      <c r="AG1408">
        <v>4.0290889999999999</v>
      </c>
      <c r="AH1408">
        <v>136.08870442600499</v>
      </c>
      <c r="AI1408">
        <v>88.309219594884695</v>
      </c>
      <c r="AJ1408">
        <v>85.579039415051298</v>
      </c>
      <c r="AK1408">
        <v>136.554281393444</v>
      </c>
      <c r="AL1408">
        <v>82.933029374434298</v>
      </c>
      <c r="AM1408">
        <v>95.245821608732996</v>
      </c>
      <c r="AN1408">
        <v>0.99999995676768305</v>
      </c>
    </row>
    <row r="1409" spans="1:40" x14ac:dyDescent="0.25">
      <c r="A1409" t="str">
        <f>"20190304154747523"</f>
        <v>20190304154747523</v>
      </c>
      <c r="B1409" t="str">
        <f>"1551685667518271"</f>
        <v>1551685667518271</v>
      </c>
      <c r="C1409" t="s">
        <v>40</v>
      </c>
      <c r="D1409">
        <v>4.1506699999999999</v>
      </c>
      <c r="E1409">
        <v>0.56323590000000001</v>
      </c>
      <c r="F1409" t="s">
        <v>43</v>
      </c>
      <c r="G1409">
        <v>-158.19499999999999</v>
      </c>
      <c r="H1409">
        <v>5.0648369999999998</v>
      </c>
      <c r="I1409">
        <v>356.41030000000001</v>
      </c>
      <c r="J1409">
        <v>-294.24700000000001</v>
      </c>
      <c r="K1409">
        <v>1.060379</v>
      </c>
      <c r="L1409">
        <v>367.01850000000002</v>
      </c>
      <c r="M1409">
        <v>0.99993379999999998</v>
      </c>
      <c r="N1409">
        <v>-1.1489279999999999E-2</v>
      </c>
      <c r="O1409">
        <v>-7.246132E-4</v>
      </c>
      <c r="P1409">
        <v>0.98968630000000002</v>
      </c>
      <c r="Q1409">
        <v>0.1112904</v>
      </c>
      <c r="R1409">
        <v>9.0196120000000005E-2</v>
      </c>
      <c r="S1409">
        <v>3.0428160000000002</v>
      </c>
      <c r="T1409">
        <v>8.9464660000000001E-2</v>
      </c>
      <c r="U1409">
        <v>-0.2369995</v>
      </c>
      <c r="V1409">
        <v>-9.0885939999999998E-2</v>
      </c>
      <c r="W1409">
        <v>0.1226735</v>
      </c>
      <c r="X1409">
        <v>0.98827679999999996</v>
      </c>
      <c r="Y1409">
        <v>7.6911049999999995E-2</v>
      </c>
      <c r="Z1409">
        <v>6.5656929999999996E-4</v>
      </c>
      <c r="AA1409">
        <v>0.99703779999999997</v>
      </c>
      <c r="AB1409">
        <v>29</v>
      </c>
      <c r="AC1409">
        <v>136.05199999999999</v>
      </c>
      <c r="AD1409">
        <v>4.0044579999999996</v>
      </c>
      <c r="AE1409">
        <v>-10.6082</v>
      </c>
      <c r="AF1409">
        <v>10.500563775974401</v>
      </c>
      <c r="AG1409">
        <v>4.0044579999999996</v>
      </c>
      <c r="AH1409">
        <v>135.94259369513699</v>
      </c>
      <c r="AI1409">
        <v>88.317735585961998</v>
      </c>
      <c r="AJ1409">
        <v>85.583093618137994</v>
      </c>
      <c r="AK1409">
        <v>136.40632794723399</v>
      </c>
      <c r="AL1409">
        <v>82.953577159202098</v>
      </c>
      <c r="AM1409">
        <v>95.254372608804999</v>
      </c>
      <c r="AN1409">
        <v>1.0000000375550799</v>
      </c>
    </row>
    <row r="1410" spans="1:40" x14ac:dyDescent="0.25">
      <c r="A1410" t="str">
        <f>"20190304154747535"</f>
        <v>20190304154747535</v>
      </c>
      <c r="B1410" t="str">
        <f>"1551685667528032"</f>
        <v>1551685667528032</v>
      </c>
      <c r="C1410" t="s">
        <v>40</v>
      </c>
      <c r="D1410">
        <v>4.2862400000000003</v>
      </c>
      <c r="E1410">
        <v>0.56323590000000001</v>
      </c>
      <c r="F1410" t="s">
        <v>43</v>
      </c>
      <c r="G1410">
        <v>-158.19499999999999</v>
      </c>
      <c r="H1410">
        <v>5.0407199999999897</v>
      </c>
      <c r="I1410">
        <v>356.44869999999997</v>
      </c>
      <c r="J1410">
        <v>-294.0951</v>
      </c>
      <c r="K1410">
        <v>1.060378</v>
      </c>
      <c r="L1410">
        <v>367.01830000000001</v>
      </c>
      <c r="M1410">
        <v>0.99993370000000004</v>
      </c>
      <c r="N1410">
        <v>-1.149758E-2</v>
      </c>
      <c r="O1410">
        <v>-7.7198700000000002E-4</v>
      </c>
      <c r="P1410">
        <v>0.98968080000000003</v>
      </c>
      <c r="Q1410">
        <v>0.111397</v>
      </c>
      <c r="R1410">
        <v>9.01251E-2</v>
      </c>
      <c r="S1410">
        <v>3.0427550000000001</v>
      </c>
      <c r="T1410">
        <v>8.9020849999999999E-2</v>
      </c>
      <c r="U1410">
        <v>-0.23638919999999999</v>
      </c>
      <c r="V1410">
        <v>-9.0862029999999996E-2</v>
      </c>
      <c r="W1410">
        <v>0.12278799999999999</v>
      </c>
      <c r="X1410">
        <v>0.9882647</v>
      </c>
      <c r="Y1410">
        <v>7.6666940000000003E-2</v>
      </c>
      <c r="Z1410">
        <v>6.4670020000000001E-4</v>
      </c>
      <c r="AA1410">
        <v>0.99705650000000001</v>
      </c>
      <c r="AB1410">
        <v>29</v>
      </c>
      <c r="AC1410">
        <v>135.90010000000001</v>
      </c>
      <c r="AD1410">
        <v>3.9803419999999998</v>
      </c>
      <c r="AE1410">
        <v>-10.569599999999999</v>
      </c>
      <c r="AF1410">
        <v>10.455761476954599</v>
      </c>
      <c r="AG1410">
        <v>3.9803419999999998</v>
      </c>
      <c r="AH1410">
        <v>135.79243319191099</v>
      </c>
      <c r="AI1410">
        <v>88.325981520382797</v>
      </c>
      <c r="AJ1410">
        <v>85.597020557095902</v>
      </c>
      <c r="AK1410">
        <v>136.25252651851801</v>
      </c>
      <c r="AL1410">
        <v>82.946966264184596</v>
      </c>
      <c r="AM1410">
        <v>95.253061994551899</v>
      </c>
      <c r="AN1410">
        <v>0.99999995935290398</v>
      </c>
    </row>
    <row r="1411" spans="1:40" x14ac:dyDescent="0.25">
      <c r="A1411" t="str">
        <f>"20190304154747547"</f>
        <v>20190304154747547</v>
      </c>
      <c r="B1411" t="str">
        <f>"1551685667537791"</f>
        <v>1551685667537791</v>
      </c>
      <c r="C1411" t="s">
        <v>40</v>
      </c>
      <c r="D1411">
        <v>4.210013</v>
      </c>
      <c r="E1411">
        <v>0.5604924</v>
      </c>
      <c r="F1411" t="s">
        <v>43</v>
      </c>
      <c r="G1411">
        <v>-158.19499999999999</v>
      </c>
      <c r="H1411">
        <v>5.0522119999999999</v>
      </c>
      <c r="I1411">
        <v>356.44540000000001</v>
      </c>
      <c r="J1411">
        <v>-293.93150000000003</v>
      </c>
      <c r="K1411">
        <v>1.060378</v>
      </c>
      <c r="L1411">
        <v>367.01819999999998</v>
      </c>
      <c r="M1411">
        <v>0.99993359999999998</v>
      </c>
      <c r="N1411">
        <v>-1.150817E-2</v>
      </c>
      <c r="O1411">
        <v>-8.2318769999999999E-4</v>
      </c>
      <c r="P1411">
        <v>0.98970899999999995</v>
      </c>
      <c r="Q1411">
        <v>0.111163</v>
      </c>
      <c r="R1411">
        <v>9.0107329999999999E-2</v>
      </c>
      <c r="S1411">
        <v>3.042786</v>
      </c>
      <c r="T1411">
        <v>8.9378600000000002E-2</v>
      </c>
      <c r="U1411">
        <v>-0.23672489999999999</v>
      </c>
      <c r="V1411">
        <v>-9.0895190000000001E-2</v>
      </c>
      <c r="W1411">
        <v>0.1225651</v>
      </c>
      <c r="X1411">
        <v>0.98828939999999998</v>
      </c>
      <c r="Y1411">
        <v>7.6724290000000001E-2</v>
      </c>
      <c r="Z1411">
        <v>6.490946E-4</v>
      </c>
      <c r="AA1411">
        <v>0.9970521</v>
      </c>
      <c r="AB1411">
        <v>29</v>
      </c>
      <c r="AC1411">
        <v>135.73650000000001</v>
      </c>
      <c r="AD1411">
        <v>3.9918339999999901</v>
      </c>
      <c r="AE1411">
        <v>-10.5727999999999</v>
      </c>
      <c r="AF1411">
        <v>10.452067236326201</v>
      </c>
      <c r="AG1411">
        <v>3.9918339999999901</v>
      </c>
      <c r="AH1411">
        <v>135.628564076066</v>
      </c>
      <c r="AI1411">
        <v>88.319132282600705</v>
      </c>
      <c r="AJ1411">
        <v>85.593273148052504</v>
      </c>
      <c r="AK1411">
        <v>136.08926424054101</v>
      </c>
      <c r="AL1411">
        <v>82.959835254662096</v>
      </c>
      <c r="AM1411">
        <v>95.254837762415903</v>
      </c>
      <c r="AN1411">
        <v>1.0000000387277499</v>
      </c>
    </row>
    <row r="1412" spans="1:40" x14ac:dyDescent="0.25">
      <c r="A1412" t="str">
        <f>"20190304154747560"</f>
        <v>20190304154747560</v>
      </c>
      <c r="B1412" t="str">
        <f>"1551685667548527"</f>
        <v>1551685667548527</v>
      </c>
      <c r="C1412" t="s">
        <v>40</v>
      </c>
      <c r="D1412">
        <v>4.1021419999999997</v>
      </c>
      <c r="E1412">
        <v>0.5604924</v>
      </c>
      <c r="F1412" t="s">
        <v>43</v>
      </c>
      <c r="G1412">
        <v>-158.19499999999999</v>
      </c>
      <c r="H1412">
        <v>4.8355309999999996</v>
      </c>
      <c r="I1412">
        <v>357.42649999999998</v>
      </c>
      <c r="J1412">
        <v>-293.77699999999999</v>
      </c>
      <c r="K1412">
        <v>1.060373</v>
      </c>
      <c r="L1412">
        <v>367.01799999999997</v>
      </c>
      <c r="M1412">
        <v>0.99993319999999997</v>
      </c>
      <c r="N1412">
        <v>-1.1518860000000001E-2</v>
      </c>
      <c r="O1412">
        <v>-8.7093509999999904E-4</v>
      </c>
      <c r="P1412">
        <v>0.98975150000000001</v>
      </c>
      <c r="Q1412">
        <v>0.1107688</v>
      </c>
      <c r="R1412">
        <v>9.0123490000000001E-2</v>
      </c>
      <c r="S1412">
        <v>3.041229</v>
      </c>
      <c r="T1412">
        <v>8.4585670000000002E-2</v>
      </c>
      <c r="U1412">
        <v>-0.21490480000000001</v>
      </c>
      <c r="V1412">
        <v>-9.0958419999999998E-2</v>
      </c>
      <c r="W1412">
        <v>0.12218179999999999</v>
      </c>
      <c r="X1412">
        <v>0.98833099999999996</v>
      </c>
      <c r="Y1412">
        <v>6.9604189999999996E-2</v>
      </c>
      <c r="Z1412">
        <v>5.309151E-4</v>
      </c>
      <c r="AA1412">
        <v>0.99757459999999998</v>
      </c>
      <c r="AB1412">
        <v>29</v>
      </c>
      <c r="AC1412">
        <v>135.58199999999999</v>
      </c>
      <c r="AD1412">
        <v>3.77515799999999</v>
      </c>
      <c r="AE1412">
        <v>-9.5915000000000497</v>
      </c>
      <c r="AF1412">
        <v>9.4661029323393198</v>
      </c>
      <c r="AG1412">
        <v>3.77515799999999</v>
      </c>
      <c r="AH1412">
        <v>135.485784511676</v>
      </c>
      <c r="AI1412">
        <v>88.407810359579202</v>
      </c>
      <c r="AJ1412">
        <v>86.0033608092577</v>
      </c>
      <c r="AK1412">
        <v>135.86852736154501</v>
      </c>
      <c r="AL1412">
        <v>82.981962734421998</v>
      </c>
      <c r="AM1412">
        <v>95.258252638842194</v>
      </c>
      <c r="AN1412">
        <v>0.99999999599056799</v>
      </c>
    </row>
    <row r="1413" spans="1:40" x14ac:dyDescent="0.25">
      <c r="A1413" t="str">
        <f>"20190304154747574"</f>
        <v>20190304154747574</v>
      </c>
      <c r="B1413" t="str">
        <f>"1551685667568047"</f>
        <v>1551685667568047</v>
      </c>
      <c r="C1413" t="s">
        <v>40</v>
      </c>
      <c r="D1413">
        <v>4.096139</v>
      </c>
      <c r="E1413">
        <v>0.49664950000000002</v>
      </c>
      <c r="F1413" t="s">
        <v>43</v>
      </c>
      <c r="G1413">
        <v>-158.19499999999999</v>
      </c>
      <c r="H1413">
        <v>4.7747010000000003</v>
      </c>
      <c r="I1413">
        <v>357.43209999999999</v>
      </c>
      <c r="J1413">
        <v>-293.58229999999998</v>
      </c>
      <c r="K1413">
        <v>1.0603739999999999</v>
      </c>
      <c r="L1413">
        <v>367.01780000000002</v>
      </c>
      <c r="M1413">
        <v>0.99993310000000002</v>
      </c>
      <c r="N1413">
        <v>-1.153319E-2</v>
      </c>
      <c r="O1413">
        <v>-9.314611E-4</v>
      </c>
      <c r="P1413">
        <v>0.98979360000000005</v>
      </c>
      <c r="Q1413">
        <v>0.1104465</v>
      </c>
      <c r="R1413">
        <v>9.0057750000000006E-2</v>
      </c>
      <c r="S1413">
        <v>3.0413209999999999</v>
      </c>
      <c r="T1413">
        <v>8.3320259999999993E-2</v>
      </c>
      <c r="U1413">
        <v>-0.21502689999999999</v>
      </c>
      <c r="V1413">
        <v>-9.0952469999999994E-2</v>
      </c>
      <c r="W1413">
        <v>0.1218742</v>
      </c>
      <c r="X1413">
        <v>0.98836950000000001</v>
      </c>
      <c r="Y1413">
        <v>6.9582210000000005E-2</v>
      </c>
      <c r="Z1413">
        <v>5.1375589999999897E-4</v>
      </c>
      <c r="AA1413">
        <v>0.99757609999999997</v>
      </c>
      <c r="AB1413">
        <v>29</v>
      </c>
      <c r="AC1413">
        <v>135.38729999999899</v>
      </c>
      <c r="AD1413">
        <v>3.7143269999999999</v>
      </c>
      <c r="AE1413">
        <v>-9.5857000000000294</v>
      </c>
      <c r="AF1413">
        <v>9.4525003320729795</v>
      </c>
      <c r="AG1413">
        <v>3.7143269999999999</v>
      </c>
      <c r="AH1413">
        <v>135.29484616503299</v>
      </c>
      <c r="AI1413">
        <v>88.431243278227001</v>
      </c>
      <c r="AJ1413">
        <v>86.003471285326398</v>
      </c>
      <c r="AK1413">
        <v>135.67550031752501</v>
      </c>
      <c r="AL1413">
        <v>82.999719440125602</v>
      </c>
      <c r="AM1413">
        <v>95.257706937002396</v>
      </c>
      <c r="AN1413">
        <v>0.999999970477495</v>
      </c>
    </row>
    <row r="1414" spans="1:40" x14ac:dyDescent="0.25">
      <c r="A1414" t="str">
        <f>"20190304154747586"</f>
        <v>20190304154747586</v>
      </c>
      <c r="B1414" t="str">
        <f>"1551685667577807"</f>
        <v>1551685667577807</v>
      </c>
      <c r="C1414" t="s">
        <v>40</v>
      </c>
      <c r="D1414">
        <v>4.0935439999999996</v>
      </c>
      <c r="E1414">
        <v>0.49562390000000001</v>
      </c>
      <c r="F1414" t="s">
        <v>43</v>
      </c>
      <c r="G1414">
        <v>-158.19499999999999</v>
      </c>
      <c r="H1414">
        <v>3.612638</v>
      </c>
      <c r="I1414">
        <v>380.19389999999999</v>
      </c>
      <c r="J1414">
        <v>-293.40910000000002</v>
      </c>
      <c r="K1414">
        <v>1.0603739999999999</v>
      </c>
      <c r="L1414">
        <v>367.01749999999998</v>
      </c>
      <c r="M1414">
        <v>0.99993290000000001</v>
      </c>
      <c r="N1414">
        <v>-1.1547760000000001E-2</v>
      </c>
      <c r="O1414">
        <v>-9.8542950000000008E-4</v>
      </c>
      <c r="P1414">
        <v>0.98982740000000002</v>
      </c>
      <c r="Q1414">
        <v>0.1101415</v>
      </c>
      <c r="R1414">
        <v>9.0059799999999995E-2</v>
      </c>
      <c r="S1414">
        <v>2.9980769999999999</v>
      </c>
      <c r="T1414">
        <v>5.6520340000000002E-2</v>
      </c>
      <c r="U1414">
        <v>0.291778599999999</v>
      </c>
      <c r="V1414">
        <v>-9.1008030000000004E-2</v>
      </c>
      <c r="W1414">
        <v>0.121584</v>
      </c>
      <c r="X1414">
        <v>0.98840019999999995</v>
      </c>
      <c r="Y1414">
        <v>-9.7838019999999998E-2</v>
      </c>
      <c r="Z1414">
        <v>-3.8358549999999999E-4</v>
      </c>
      <c r="AA1414">
        <v>0.99520229999999998</v>
      </c>
      <c r="AB1414">
        <v>29</v>
      </c>
      <c r="AC1414">
        <v>135.2141</v>
      </c>
      <c r="AD1414">
        <v>2.5522640000000001</v>
      </c>
      <c r="AE1414">
        <v>13.176399999999999</v>
      </c>
      <c r="AF1414">
        <v>-13.3049505738623</v>
      </c>
      <c r="AG1414">
        <v>2.5522640000000001</v>
      </c>
      <c r="AH1414">
        <v>135.15334785692701</v>
      </c>
      <c r="AI1414">
        <v>88.923346307722895</v>
      </c>
      <c r="AJ1414">
        <v>95.622274127648694</v>
      </c>
      <c r="AK1414">
        <v>135.830641602822</v>
      </c>
      <c r="AL1414">
        <v>83.016471761858099</v>
      </c>
      <c r="AM1414">
        <v>95.260738200107895</v>
      </c>
      <c r="AN1414">
        <v>1.00000004297025</v>
      </c>
    </row>
    <row r="1415" spans="1:40" x14ac:dyDescent="0.25">
      <c r="A1415" t="str">
        <f>"20190304154747601"</f>
        <v>20190304154747601</v>
      </c>
      <c r="B1415" t="str">
        <f>"1551685667598304"</f>
        <v>1551685667598304</v>
      </c>
      <c r="C1415" t="s">
        <v>40</v>
      </c>
      <c r="D1415">
        <v>4.0804989999999997</v>
      </c>
      <c r="E1415">
        <v>0.49467040000000001</v>
      </c>
      <c r="F1415" t="s">
        <v>43</v>
      </c>
      <c r="G1415">
        <v>-158.19499999999999</v>
      </c>
      <c r="H1415">
        <v>2.775026</v>
      </c>
      <c r="I1415">
        <v>380.52359999999999</v>
      </c>
      <c r="J1415">
        <v>-293.22140000000002</v>
      </c>
      <c r="K1415">
        <v>1.060379</v>
      </c>
      <c r="L1415">
        <v>367.01729999999998</v>
      </c>
      <c r="M1415">
        <v>0.99993270000000001</v>
      </c>
      <c r="N1415">
        <v>-1.1564899999999999E-2</v>
      </c>
      <c r="O1415">
        <v>-1.0442979999999999E-3</v>
      </c>
      <c r="P1415">
        <v>0.98982760000000003</v>
      </c>
      <c r="Q1415">
        <v>0.1101538</v>
      </c>
      <c r="R1415">
        <v>9.004384E-2</v>
      </c>
      <c r="S1415">
        <v>2.9993289999999999</v>
      </c>
      <c r="T1415">
        <v>3.8036470000000003E-2</v>
      </c>
      <c r="U1415">
        <v>0.299591099999999</v>
      </c>
      <c r="V1415">
        <v>-9.1050599999999995E-2</v>
      </c>
      <c r="W1415">
        <v>0.1216129</v>
      </c>
      <c r="X1415">
        <v>0.98839270000000001</v>
      </c>
      <c r="Y1415">
        <v>-0.10042959999999999</v>
      </c>
      <c r="Z1415" s="1">
        <v>-7.8266139999999995E-5</v>
      </c>
      <c r="AA1415">
        <v>0.99494419999999995</v>
      </c>
      <c r="AB1415">
        <v>29</v>
      </c>
      <c r="AC1415">
        <v>135.0264</v>
      </c>
      <c r="AD1415">
        <v>1.71464699999999</v>
      </c>
      <c r="AE1415">
        <v>13.5063</v>
      </c>
      <c r="AF1415">
        <v>-13.6451313045999</v>
      </c>
      <c r="AG1415">
        <v>1.71464699999999</v>
      </c>
      <c r="AH1415">
        <v>134.99066859432901</v>
      </c>
      <c r="AI1415">
        <v>89.275959217519599</v>
      </c>
      <c r="AJ1415">
        <v>95.771968678480803</v>
      </c>
      <c r="AK1415">
        <v>135.68938878998</v>
      </c>
      <c r="AL1415">
        <v>83.014803368519495</v>
      </c>
      <c r="AM1415">
        <v>95.263224864527999</v>
      </c>
      <c r="AN1415">
        <v>1.00000001931002</v>
      </c>
    </row>
    <row r="1416" spans="1:40" x14ac:dyDescent="0.25">
      <c r="A1416" t="str">
        <f>"20190304154747612"</f>
        <v>20190304154747612</v>
      </c>
      <c r="B1416" t="str">
        <f>"1551685667608063"</f>
        <v>1551685667608063</v>
      </c>
      <c r="C1416" t="s">
        <v>40</v>
      </c>
      <c r="D1416">
        <v>4.0776320000000004</v>
      </c>
      <c r="E1416">
        <v>0.4944925</v>
      </c>
      <c r="F1416" t="s">
        <v>43</v>
      </c>
      <c r="G1416">
        <v>-158.19499999999999</v>
      </c>
      <c r="H1416">
        <v>1.9476830000000001</v>
      </c>
      <c r="I1416">
        <v>380.82339999999999</v>
      </c>
      <c r="J1416">
        <v>-293.0745</v>
      </c>
      <c r="K1416">
        <v>1.0603800000000001</v>
      </c>
      <c r="L1416">
        <v>367.01710000000003</v>
      </c>
      <c r="M1416">
        <v>0.9999323</v>
      </c>
      <c r="N1416">
        <v>-1.1578979999999999E-2</v>
      </c>
      <c r="O1416">
        <v>-1.0902749999999999E-3</v>
      </c>
      <c r="P1416">
        <v>0.98985259999999997</v>
      </c>
      <c r="Q1416">
        <v>0.11007550000000001</v>
      </c>
      <c r="R1416">
        <v>8.9861839999999998E-2</v>
      </c>
      <c r="S1416">
        <v>3.0007929999999998</v>
      </c>
      <c r="T1416">
        <v>1.972115E-2</v>
      </c>
      <c r="U1416">
        <v>0.30682369999999998</v>
      </c>
      <c r="V1416">
        <v>-9.0913690000000005E-2</v>
      </c>
      <c r="W1416">
        <v>0.121549</v>
      </c>
      <c r="X1416">
        <v>0.98841319999999999</v>
      </c>
      <c r="Y1416">
        <v>-0.1028033</v>
      </c>
      <c r="Z1416">
        <v>2.4007459999999999E-4</v>
      </c>
      <c r="AA1416">
        <v>0.99470170000000002</v>
      </c>
      <c r="AB1416">
        <v>29</v>
      </c>
      <c r="AC1416">
        <v>134.87950000000001</v>
      </c>
      <c r="AD1416">
        <v>0.88730299999999995</v>
      </c>
      <c r="AE1416">
        <v>13.806299999999901</v>
      </c>
      <c r="AF1416">
        <v>-13.952759843540999</v>
      </c>
      <c r="AG1416">
        <v>0.88730299999999995</v>
      </c>
      <c r="AH1416">
        <v>134.85859045908299</v>
      </c>
      <c r="AI1416">
        <v>89.625028997366599</v>
      </c>
      <c r="AJ1416">
        <v>95.906927679389796</v>
      </c>
      <c r="AK1416">
        <v>135.58136389075</v>
      </c>
      <c r="AL1416">
        <v>83.0184921910041</v>
      </c>
      <c r="AM1416">
        <v>95.255246674081704</v>
      </c>
      <c r="AN1416">
        <v>1.0000000561823199</v>
      </c>
    </row>
    <row r="1417" spans="1:40" x14ac:dyDescent="0.25">
      <c r="A1417" t="str">
        <f>"20190304154747623"</f>
        <v>20190304154747623</v>
      </c>
      <c r="B1417" t="str">
        <f>"1551685667617823"</f>
        <v>1551685667617823</v>
      </c>
      <c r="C1417" t="s">
        <v>40</v>
      </c>
      <c r="D1417">
        <v>4.0876080000000004</v>
      </c>
      <c r="E1417">
        <v>0.49427599999999999</v>
      </c>
      <c r="F1417" t="s">
        <v>43</v>
      </c>
      <c r="G1417">
        <v>-158.19499999999999</v>
      </c>
      <c r="H1417">
        <v>1.6986049999999999</v>
      </c>
      <c r="I1417">
        <v>380.83199999999999</v>
      </c>
      <c r="J1417">
        <v>-292.92219999999998</v>
      </c>
      <c r="K1417">
        <v>1.0603830000000001</v>
      </c>
      <c r="L1417">
        <v>367.01679999999999</v>
      </c>
      <c r="M1417">
        <v>0.99993220000000005</v>
      </c>
      <c r="N1417">
        <v>-1.1595640000000001E-2</v>
      </c>
      <c r="O1417">
        <v>-1.13794E-3</v>
      </c>
      <c r="P1417">
        <v>0.98989680000000002</v>
      </c>
      <c r="Q1417">
        <v>0.1095993</v>
      </c>
      <c r="R1417">
        <v>8.9958780000000002E-2</v>
      </c>
      <c r="S1417">
        <v>3.0012819999999998</v>
      </c>
      <c r="T1417">
        <v>1.420343E-2</v>
      </c>
      <c r="U1417">
        <v>0.307403599999999</v>
      </c>
      <c r="V1417">
        <v>-9.1057879999999994E-2</v>
      </c>
      <c r="W1417">
        <v>0.1210894</v>
      </c>
      <c r="X1417">
        <v>0.98845620000000001</v>
      </c>
      <c r="Y1417">
        <v>-0.10302459999999999</v>
      </c>
      <c r="Z1417">
        <v>3.3721750000000002E-4</v>
      </c>
      <c r="AA1417">
        <v>0.99467870000000003</v>
      </c>
      <c r="AB1417">
        <v>29</v>
      </c>
      <c r="AC1417">
        <v>134.72719999999899</v>
      </c>
      <c r="AD1417">
        <v>0.63822199999999896</v>
      </c>
      <c r="AE1417">
        <v>13.815200000000001</v>
      </c>
      <c r="AF1417">
        <v>-13.968202627859</v>
      </c>
      <c r="AG1417">
        <v>0.63822199999999896</v>
      </c>
      <c r="AH1417">
        <v>134.708399362178</v>
      </c>
      <c r="AI1417">
        <v>89.729993515325503</v>
      </c>
      <c r="AJ1417">
        <v>95.9199653890077</v>
      </c>
      <c r="AK1417">
        <v>135.43216335381501</v>
      </c>
      <c r="AL1417">
        <v>83.045020332802196</v>
      </c>
      <c r="AM1417">
        <v>95.263307079197304</v>
      </c>
      <c r="AN1417">
        <v>0.999999919810444</v>
      </c>
    </row>
    <row r="1418" spans="1:40" x14ac:dyDescent="0.25">
      <c r="A1418" t="str">
        <f>"20190304154747635"</f>
        <v>20190304154747635</v>
      </c>
      <c r="B1418" t="str">
        <f>"1551685667628560"</f>
        <v>1551685667628560</v>
      </c>
      <c r="C1418" t="s">
        <v>40</v>
      </c>
      <c r="D1418">
        <v>4.0951969999999998</v>
      </c>
      <c r="E1418">
        <v>0.49427100000000002</v>
      </c>
      <c r="F1418" t="s">
        <v>43</v>
      </c>
      <c r="G1418">
        <v>-158.19499999999999</v>
      </c>
      <c r="H1418">
        <v>1.4178170000000001</v>
      </c>
      <c r="I1418">
        <v>380.91480000000001</v>
      </c>
      <c r="J1418">
        <v>-292.76949999999999</v>
      </c>
      <c r="K1418">
        <v>1.0603830000000001</v>
      </c>
      <c r="L1418">
        <v>367.01659999999998</v>
      </c>
      <c r="M1418">
        <v>0.99993200000000004</v>
      </c>
      <c r="N1418">
        <v>-1.161352E-2</v>
      </c>
      <c r="O1418">
        <v>-1.185612E-3</v>
      </c>
      <c r="P1418">
        <v>0.98994599999999999</v>
      </c>
      <c r="Q1418">
        <v>0.1093276</v>
      </c>
      <c r="R1418">
        <v>8.9747969999999996E-2</v>
      </c>
      <c r="S1418">
        <v>3.0015869999999998</v>
      </c>
      <c r="T1418">
        <v>7.9652070000000002E-3</v>
      </c>
      <c r="U1418">
        <v>0.3096313</v>
      </c>
      <c r="V1418">
        <v>-9.0894329999999995E-2</v>
      </c>
      <c r="W1418">
        <v>0.1208362</v>
      </c>
      <c r="X1418">
        <v>0.98850229999999994</v>
      </c>
      <c r="Y1418">
        <v>-0.1037918</v>
      </c>
      <c r="Z1418">
        <v>4.5008549999999998E-4</v>
      </c>
      <c r="AA1418">
        <v>0.99459889999999995</v>
      </c>
      <c r="AB1418">
        <v>29</v>
      </c>
      <c r="AC1418">
        <v>134.5745</v>
      </c>
      <c r="AD1418">
        <v>0.35743399999999997</v>
      </c>
      <c r="AE1418">
        <v>13.898199999999999</v>
      </c>
      <c r="AF1418">
        <v>-14.0576559876208</v>
      </c>
      <c r="AG1418">
        <v>0.35743399999999997</v>
      </c>
      <c r="AH1418">
        <v>134.556987206797</v>
      </c>
      <c r="AI1418">
        <v>89.848625066742102</v>
      </c>
      <c r="AJ1418">
        <v>95.964261033915804</v>
      </c>
      <c r="AK1418">
        <v>135.28979361762899</v>
      </c>
      <c r="AL1418">
        <v>83.059635372071099</v>
      </c>
      <c r="AM1418">
        <v>95.253662899037593</v>
      </c>
      <c r="AN1418">
        <v>0.99999998178093896</v>
      </c>
    </row>
    <row r="1419" spans="1:40" x14ac:dyDescent="0.25">
      <c r="A1419" t="str">
        <f>"20190304154747646"</f>
        <v>20190304154747646</v>
      </c>
      <c r="B1419" t="str">
        <f>"1551685667638320"</f>
        <v>1551685667638320</v>
      </c>
      <c r="C1419" t="s">
        <v>40</v>
      </c>
      <c r="D1419">
        <v>4.082719</v>
      </c>
      <c r="E1419">
        <v>0.49427109999999902</v>
      </c>
      <c r="F1419" t="s">
        <v>43</v>
      </c>
      <c r="G1419">
        <v>-158.19499999999999</v>
      </c>
      <c r="H1419">
        <v>1.2047219999999901</v>
      </c>
      <c r="I1419">
        <v>380.85950000000003</v>
      </c>
      <c r="J1419">
        <v>-292.62799999999999</v>
      </c>
      <c r="K1419">
        <v>1.060384</v>
      </c>
      <c r="L1419">
        <v>367.01639999999998</v>
      </c>
      <c r="M1419">
        <v>0.99993160000000003</v>
      </c>
      <c r="N1419">
        <v>-1.1632119999999999E-2</v>
      </c>
      <c r="O1419">
        <v>-1.23007E-3</v>
      </c>
      <c r="P1419">
        <v>0.98997219999999997</v>
      </c>
      <c r="Q1419">
        <v>0.1091596</v>
      </c>
      <c r="R1419">
        <v>8.9662119999999998E-2</v>
      </c>
      <c r="S1419">
        <v>3.0021059999999999</v>
      </c>
      <c r="T1419">
        <v>3.221869E-3</v>
      </c>
      <c r="U1419">
        <v>0.30880740000000001</v>
      </c>
      <c r="V1419">
        <v>-9.0853100000000006E-2</v>
      </c>
      <c r="W1419">
        <v>0.12068710000000001</v>
      </c>
      <c r="X1419">
        <v>0.98852430000000002</v>
      </c>
      <c r="Y1419">
        <v>-0.1035478</v>
      </c>
      <c r="Z1419">
        <v>5.32838E-4</v>
      </c>
      <c r="AA1419">
        <v>0.99462430000000002</v>
      </c>
      <c r="AB1419">
        <v>29</v>
      </c>
      <c r="AC1419">
        <v>134.43299999999999</v>
      </c>
      <c r="AD1419">
        <v>0.14433799999999899</v>
      </c>
      <c r="AE1419">
        <v>13.8431</v>
      </c>
      <c r="AF1419">
        <v>-14.0084467331555</v>
      </c>
      <c r="AG1419">
        <v>0.14433799999999899</v>
      </c>
      <c r="AH1419">
        <v>134.41571582180799</v>
      </c>
      <c r="AI1419">
        <v>89.938806213542506</v>
      </c>
      <c r="AJ1419">
        <v>95.949734556911906</v>
      </c>
      <c r="AK1419">
        <v>135.14378296178799</v>
      </c>
      <c r="AL1419">
        <v>83.068241119325705</v>
      </c>
      <c r="AM1419">
        <v>95.251176928203904</v>
      </c>
      <c r="AN1419">
        <v>0.99999997678825403</v>
      </c>
    </row>
    <row r="1420" spans="1:40" x14ac:dyDescent="0.25">
      <c r="A1420" t="str">
        <f>"20190304154747657"</f>
        <v>20190304154747657</v>
      </c>
      <c r="B1420" t="str">
        <f>"1551685667648080"</f>
        <v>1551685667648080</v>
      </c>
      <c r="C1420" t="s">
        <v>40</v>
      </c>
      <c r="D1420">
        <v>4.1092979999999999</v>
      </c>
      <c r="E1420">
        <v>0.49415629999999999</v>
      </c>
      <c r="F1420" t="s">
        <v>43</v>
      </c>
      <c r="G1420">
        <v>-158.19499999999999</v>
      </c>
      <c r="H1420">
        <v>1.098071</v>
      </c>
      <c r="I1420">
        <v>380.82990000000001</v>
      </c>
      <c r="J1420">
        <v>-292.47660000000002</v>
      </c>
      <c r="K1420">
        <v>1.0603929999999999</v>
      </c>
      <c r="L1420">
        <v>367.01620000000003</v>
      </c>
      <c r="M1420">
        <v>0.99993129999999997</v>
      </c>
      <c r="N1420">
        <v>-1.1653169999999999E-2</v>
      </c>
      <c r="O1420">
        <v>-1.277881E-3</v>
      </c>
      <c r="P1420">
        <v>0.98999389999999998</v>
      </c>
      <c r="Q1420">
        <v>0.1090087</v>
      </c>
      <c r="R1420">
        <v>8.9605790000000005E-2</v>
      </c>
      <c r="S1420">
        <v>3.0023499999999999</v>
      </c>
      <c r="T1420">
        <v>8.4364409999999998E-4</v>
      </c>
      <c r="U1420">
        <v>0.3085022</v>
      </c>
      <c r="V1420">
        <v>-9.0843699999999999E-2</v>
      </c>
      <c r="W1420">
        <v>0.12055689999999999</v>
      </c>
      <c r="X1420">
        <v>0.98854109999999995</v>
      </c>
      <c r="Y1420">
        <v>-0.1034866</v>
      </c>
      <c r="Z1420">
        <v>5.7486530000000003E-4</v>
      </c>
      <c r="AA1420">
        <v>0.99463069999999998</v>
      </c>
      <c r="AB1420">
        <v>29</v>
      </c>
      <c r="AC1420">
        <v>134.2816</v>
      </c>
      <c r="AD1420">
        <v>3.76780000000001E-2</v>
      </c>
      <c r="AE1420">
        <v>13.8136999999999</v>
      </c>
      <c r="AF1420">
        <v>-13.985295184781799</v>
      </c>
      <c r="AG1420">
        <v>3.76780000000001E-2</v>
      </c>
      <c r="AH1420">
        <v>134.263826422389</v>
      </c>
      <c r="AI1420">
        <v>89.984007803800395</v>
      </c>
      <c r="AJ1420">
        <v>95.946643502412797</v>
      </c>
      <c r="AK1420">
        <v>134.990240338398</v>
      </c>
      <c r="AL1420">
        <v>83.075756235788702</v>
      </c>
      <c r="AM1420">
        <v>95.250547924277299</v>
      </c>
      <c r="AN1420">
        <v>1.0000000251782499</v>
      </c>
    </row>
    <row r="1421" spans="1:40" x14ac:dyDescent="0.25">
      <c r="A1421" t="str">
        <f>"20190304154747668"</f>
        <v>20190304154747668</v>
      </c>
      <c r="B1421" t="str">
        <f>"1551685667657841"</f>
        <v>1551685667657841</v>
      </c>
      <c r="C1421" t="s">
        <v>40</v>
      </c>
      <c r="D1421">
        <v>4.1049049999999996</v>
      </c>
      <c r="E1421">
        <v>0.4941623</v>
      </c>
      <c r="F1421" t="s">
        <v>43</v>
      </c>
      <c r="G1421">
        <v>-158.19499999999999</v>
      </c>
      <c r="H1421">
        <v>0.97690200000000005</v>
      </c>
      <c r="I1421">
        <v>380.83920000000001</v>
      </c>
      <c r="J1421">
        <v>-292.3331</v>
      </c>
      <c r="K1421">
        <v>1.0603959999999999</v>
      </c>
      <c r="L1421">
        <v>367.01589999999999</v>
      </c>
      <c r="M1421">
        <v>0.99993100000000001</v>
      </c>
      <c r="N1421">
        <v>-1.167407E-2</v>
      </c>
      <c r="O1421">
        <v>-1.323428E-3</v>
      </c>
      <c r="P1421">
        <v>0.99000650000000001</v>
      </c>
      <c r="Q1421">
        <v>0.1089754</v>
      </c>
      <c r="R1421">
        <v>8.9507149999999994E-2</v>
      </c>
      <c r="S1421">
        <v>3.0025330000000001</v>
      </c>
      <c r="T1421">
        <v>-1.86491E-3</v>
      </c>
      <c r="U1421">
        <v>0.30908200000000002</v>
      </c>
      <c r="V1421">
        <v>-9.0789610000000007E-2</v>
      </c>
      <c r="W1421">
        <v>0.1205451</v>
      </c>
      <c r="X1421">
        <v>0.98854750000000002</v>
      </c>
      <c r="Y1421">
        <v>-0.1037153</v>
      </c>
      <c r="Z1421">
        <v>6.2454209999999999E-4</v>
      </c>
      <c r="AA1421">
        <v>0.99460689999999996</v>
      </c>
      <c r="AB1421">
        <v>29</v>
      </c>
      <c r="AC1421">
        <v>134.13810000000001</v>
      </c>
      <c r="AD1421">
        <v>-8.3493999999999804E-2</v>
      </c>
      <c r="AE1421">
        <v>13.8233</v>
      </c>
      <c r="AF1421">
        <v>-14.000816737143101</v>
      </c>
      <c r="AG1421">
        <v>-8.3493999999999804E-2</v>
      </c>
      <c r="AH1421">
        <v>134.11963570896199</v>
      </c>
      <c r="AI1421">
        <v>90.035475779290707</v>
      </c>
      <c r="AJ1421">
        <v>95.959550185963806</v>
      </c>
      <c r="AK1421">
        <v>134.84845762284399</v>
      </c>
      <c r="AL1421">
        <v>83.076437236532698</v>
      </c>
      <c r="AM1421">
        <v>95.247405326615194</v>
      </c>
      <c r="AN1421">
        <v>1.0000000170871</v>
      </c>
    </row>
    <row r="1422" spans="1:40" x14ac:dyDescent="0.25">
      <c r="A1422" t="str">
        <f>"20190304154747680"</f>
        <v>20190304154747680</v>
      </c>
      <c r="B1422" t="str">
        <f>"1551685667668576"</f>
        <v>1551685667668576</v>
      </c>
      <c r="C1422" t="s">
        <v>40</v>
      </c>
      <c r="D1422">
        <v>4.1091829999999998</v>
      </c>
      <c r="E1422">
        <v>0.49412040000000002</v>
      </c>
      <c r="F1422" t="s">
        <v>43</v>
      </c>
      <c r="G1422">
        <v>-158.19499999999999</v>
      </c>
      <c r="H1422">
        <v>0.92958929999999995</v>
      </c>
      <c r="I1422">
        <v>380.80459999999999</v>
      </c>
      <c r="J1422">
        <v>-292.18740000000003</v>
      </c>
      <c r="K1422">
        <v>1.0604009999999999</v>
      </c>
      <c r="L1422">
        <v>367.01569999999998</v>
      </c>
      <c r="M1422">
        <v>0.99993069999999895</v>
      </c>
      <c r="N1422">
        <v>-1.169687E-2</v>
      </c>
      <c r="O1422">
        <v>-1.369943E-3</v>
      </c>
      <c r="P1422">
        <v>0.98998580000000003</v>
      </c>
      <c r="Q1422">
        <v>0.10913680000000001</v>
      </c>
      <c r="R1422">
        <v>8.9539859999999999E-2</v>
      </c>
      <c r="S1422">
        <v>3.0026549999999999</v>
      </c>
      <c r="T1422">
        <v>-2.9261109999999999E-3</v>
      </c>
      <c r="U1422">
        <v>0.30865479999999901</v>
      </c>
      <c r="V1422">
        <v>-9.0868190000000001E-2</v>
      </c>
      <c r="W1422">
        <v>0.1207283</v>
      </c>
      <c r="X1422">
        <v>0.98851789999999995</v>
      </c>
      <c r="Y1422">
        <v>-0.10361720000000001</v>
      </c>
      <c r="Z1422">
        <v>6.4331779999999997E-4</v>
      </c>
      <c r="AA1422">
        <v>0.99461699999999997</v>
      </c>
      <c r="AB1422">
        <v>29</v>
      </c>
      <c r="AC1422">
        <v>133.9924</v>
      </c>
      <c r="AD1422">
        <v>-0.130811699999999</v>
      </c>
      <c r="AE1422">
        <v>13.7889</v>
      </c>
      <c r="AF1422">
        <v>-13.9724483815629</v>
      </c>
      <c r="AG1422">
        <v>-0.130811699999999</v>
      </c>
      <c r="AH1422">
        <v>133.97325659937201</v>
      </c>
      <c r="AI1422">
        <v>90.055641882577106</v>
      </c>
      <c r="AJ1422">
        <v>95.954013277364297</v>
      </c>
      <c r="AK1422">
        <v>134.69996254386101</v>
      </c>
      <c r="AL1422">
        <v>83.065863269034907</v>
      </c>
      <c r="AM1422">
        <v>95.252078044503193</v>
      </c>
      <c r="AN1422">
        <v>0.99999999449758803</v>
      </c>
    </row>
    <row r="1423" spans="1:40" x14ac:dyDescent="0.25">
      <c r="A1423" t="str">
        <f>"20190304154747691"</f>
        <v>20190304154747691</v>
      </c>
      <c r="B1423" t="str">
        <f>"1551685667688096"</f>
        <v>1551685667688096</v>
      </c>
      <c r="C1423" t="s">
        <v>40</v>
      </c>
      <c r="D1423">
        <v>4.1974299999999998</v>
      </c>
      <c r="E1423">
        <v>0.49377480000000001</v>
      </c>
      <c r="F1423" t="s">
        <v>43</v>
      </c>
      <c r="G1423">
        <v>-158.19499999999999</v>
      </c>
      <c r="H1423">
        <v>0.83108329999999997</v>
      </c>
      <c r="I1423">
        <v>380.81529999999998</v>
      </c>
      <c r="J1423">
        <v>-292.0401</v>
      </c>
      <c r="K1423">
        <v>1.060408</v>
      </c>
      <c r="L1423">
        <v>367.0154</v>
      </c>
      <c r="M1423">
        <v>0.99993050000000006</v>
      </c>
      <c r="N1423">
        <v>-1.172048E-2</v>
      </c>
      <c r="O1423">
        <v>-1.4172989999999999E-3</v>
      </c>
      <c r="P1423">
        <v>0.98998109999999995</v>
      </c>
      <c r="Q1423">
        <v>0.1093003</v>
      </c>
      <c r="R1423">
        <v>8.9393500000000001E-2</v>
      </c>
      <c r="S1423">
        <v>3.0029300000000001</v>
      </c>
      <c r="T1423">
        <v>-5.1373240000000004E-3</v>
      </c>
      <c r="U1423">
        <v>0.30926510000000001</v>
      </c>
      <c r="V1423">
        <v>-9.076853E-2</v>
      </c>
      <c r="W1423">
        <v>0.1209152</v>
      </c>
      <c r="X1423">
        <v>0.98850420000000006</v>
      </c>
      <c r="Y1423">
        <v>-0.1038545</v>
      </c>
      <c r="Z1423">
        <v>6.8469349999999995E-4</v>
      </c>
      <c r="AA1423">
        <v>0.99459219999999904</v>
      </c>
      <c r="AB1423">
        <v>29</v>
      </c>
      <c r="AC1423">
        <v>133.8451</v>
      </c>
      <c r="AD1423">
        <v>-0.22932469999999899</v>
      </c>
      <c r="AE1423">
        <v>13.7998999999999</v>
      </c>
      <c r="AF1423">
        <v>-13.989557022938801</v>
      </c>
      <c r="AG1423">
        <v>-0.22932469999999899</v>
      </c>
      <c r="AH1423">
        <v>133.82501690320899</v>
      </c>
      <c r="AI1423">
        <v>90.097650768647895</v>
      </c>
      <c r="AJ1423">
        <v>95.967806959616695</v>
      </c>
      <c r="AK1423">
        <v>134.55443301749699</v>
      </c>
      <c r="AL1423">
        <v>83.055075576536595</v>
      </c>
      <c r="AM1423">
        <v>95.246422275699402</v>
      </c>
      <c r="AN1423">
        <v>0.99999998252351996</v>
      </c>
    </row>
    <row r="1424" spans="1:40" x14ac:dyDescent="0.25">
      <c r="A1424" t="str">
        <f>"20190304154747702"</f>
        <v>20190304154747702</v>
      </c>
      <c r="B1424" t="str">
        <f>"1551685667697856"</f>
        <v>1551685667697856</v>
      </c>
      <c r="C1424" t="s">
        <v>40</v>
      </c>
      <c r="D1424">
        <v>4.1212569999999999</v>
      </c>
      <c r="E1424">
        <v>0.49373889999999998</v>
      </c>
      <c r="F1424" t="s">
        <v>43</v>
      </c>
      <c r="G1424">
        <v>-158.19499999999999</v>
      </c>
      <c r="H1424">
        <v>0.77452089999999996</v>
      </c>
      <c r="I1424">
        <v>380.91849999999999</v>
      </c>
      <c r="J1424">
        <v>-291.89370000000002</v>
      </c>
      <c r="K1424">
        <v>1.0604119999999999</v>
      </c>
      <c r="L1424">
        <v>367.01519999999999</v>
      </c>
      <c r="M1424">
        <v>0.99992999999999999</v>
      </c>
      <c r="N1424">
        <v>-1.174501E-2</v>
      </c>
      <c r="O1424">
        <v>-1.4650170000000001E-3</v>
      </c>
      <c r="P1424">
        <v>0.98997329999999994</v>
      </c>
      <c r="Q1424">
        <v>0.1094555</v>
      </c>
      <c r="R1424">
        <v>8.9288049999999994E-2</v>
      </c>
      <c r="S1424">
        <v>3.002869</v>
      </c>
      <c r="T1424">
        <v>-6.4120289999999996E-3</v>
      </c>
      <c r="U1424">
        <v>0.31192019999999998</v>
      </c>
      <c r="V1424">
        <v>-9.0710449999999998E-2</v>
      </c>
      <c r="W1424">
        <v>0.1210946</v>
      </c>
      <c r="X1424">
        <v>0.98848760000000002</v>
      </c>
      <c r="Y1424">
        <v>-0.1047737</v>
      </c>
      <c r="Z1424">
        <v>7.1448149999999897E-4</v>
      </c>
      <c r="AA1424">
        <v>0.99449580000000004</v>
      </c>
      <c r="AB1424">
        <v>29</v>
      </c>
      <c r="AC1424">
        <v>133.6987</v>
      </c>
      <c r="AD1424">
        <v>-0.28589110000000001</v>
      </c>
      <c r="AE1424">
        <v>13.9033</v>
      </c>
      <c r="AF1424">
        <v>-14.0991056703742</v>
      </c>
      <c r="AG1424">
        <v>-0.28589110000000001</v>
      </c>
      <c r="AH1424">
        <v>133.67758183608299</v>
      </c>
      <c r="AI1424">
        <v>90.121860174461005</v>
      </c>
      <c r="AJ1424">
        <v>96.0207825874337</v>
      </c>
      <c r="AK1424">
        <v>134.41935277320701</v>
      </c>
      <c r="AL1424">
        <v>83.044720827754801</v>
      </c>
      <c r="AM1424">
        <v>95.243171524546796</v>
      </c>
      <c r="AN1424">
        <v>1.0000000116210599</v>
      </c>
    </row>
    <row r="1425" spans="1:40" x14ac:dyDescent="0.25">
      <c r="A1425" t="str">
        <f>"20190304154747713"</f>
        <v>20190304154747713</v>
      </c>
      <c r="B1425" t="str">
        <f>"1551685667708591"</f>
        <v>1551685667708591</v>
      </c>
      <c r="C1425" t="s">
        <v>40</v>
      </c>
      <c r="D1425">
        <v>4.1278969999999999</v>
      </c>
      <c r="E1425">
        <v>0.49370849999999999</v>
      </c>
      <c r="F1425" t="s">
        <v>43</v>
      </c>
      <c r="G1425">
        <v>-158.19499999999999</v>
      </c>
      <c r="H1425">
        <v>0.75929639999999998</v>
      </c>
      <c r="I1425">
        <v>380.89690000000002</v>
      </c>
      <c r="J1425">
        <v>-291.74360000000001</v>
      </c>
      <c r="K1425">
        <v>1.060416</v>
      </c>
      <c r="L1425">
        <v>367.01490000000001</v>
      </c>
      <c r="M1425">
        <v>0.99992959999999997</v>
      </c>
      <c r="N1425">
        <v>-1.177049E-2</v>
      </c>
      <c r="O1425">
        <v>-1.5145320000000001E-3</v>
      </c>
      <c r="P1425">
        <v>0.98996010000000001</v>
      </c>
      <c r="Q1425">
        <v>0.10965129999999999</v>
      </c>
      <c r="R1425">
        <v>8.9194410000000002E-2</v>
      </c>
      <c r="S1425">
        <v>3.0030209999999999</v>
      </c>
      <c r="T1425">
        <v>-6.7614320000000004E-3</v>
      </c>
      <c r="U1425">
        <v>0.31179810000000002</v>
      </c>
      <c r="V1425">
        <v>-9.0665090000000004E-2</v>
      </c>
      <c r="W1425">
        <v>0.1213157</v>
      </c>
      <c r="X1425">
        <v>0.98846469999999997</v>
      </c>
      <c r="Y1425">
        <v>-0.1047777</v>
      </c>
      <c r="Z1425">
        <v>7.2158240000000005E-4</v>
      </c>
      <c r="AA1425">
        <v>0.99449540000000003</v>
      </c>
      <c r="AB1425">
        <v>29</v>
      </c>
      <c r="AC1425">
        <v>133.54859999999999</v>
      </c>
      <c r="AD1425">
        <v>-0.30111959999999999</v>
      </c>
      <c r="AE1425">
        <v>13.882</v>
      </c>
      <c r="AF1425">
        <v>-14.084190875454</v>
      </c>
      <c r="AG1425">
        <v>-0.30111959999999999</v>
      </c>
      <c r="AH1425">
        <v>133.52674903810399</v>
      </c>
      <c r="AI1425">
        <v>90.128496139394201</v>
      </c>
      <c r="AJ1425">
        <v>96.021204283634901</v>
      </c>
      <c r="AK1425">
        <v>134.26782121682999</v>
      </c>
      <c r="AL1425">
        <v>83.031958982967495</v>
      </c>
      <c r="AM1425">
        <v>95.240684998111306</v>
      </c>
      <c r="AN1425">
        <v>1.0000000603786401</v>
      </c>
    </row>
    <row r="1426" spans="1:40" x14ac:dyDescent="0.25">
      <c r="A1426" t="str">
        <f>"20190304154747724"</f>
        <v>20190304154747724</v>
      </c>
      <c r="B1426" t="str">
        <f>"1551685667718351"</f>
        <v>1551685667718351</v>
      </c>
      <c r="C1426" t="s">
        <v>40</v>
      </c>
      <c r="D1426">
        <v>4.123227</v>
      </c>
      <c r="E1426">
        <v>0.4936258</v>
      </c>
      <c r="F1426" t="s">
        <v>43</v>
      </c>
      <c r="G1426">
        <v>-158.19499999999999</v>
      </c>
      <c r="H1426">
        <v>0.74198909999999996</v>
      </c>
      <c r="I1426">
        <v>380.88200000000001</v>
      </c>
      <c r="J1426">
        <v>-291.59899999999999</v>
      </c>
      <c r="K1426">
        <v>1.060419</v>
      </c>
      <c r="L1426">
        <v>367.01459999999997</v>
      </c>
      <c r="M1426">
        <v>0.99992919999999996</v>
      </c>
      <c r="N1426">
        <v>-1.179615E-2</v>
      </c>
      <c r="O1426">
        <v>-1.5639409999999999E-3</v>
      </c>
      <c r="P1426">
        <v>0.98997500000000005</v>
      </c>
      <c r="Q1426">
        <v>0.109588</v>
      </c>
      <c r="R1426">
        <v>8.9106870000000005E-2</v>
      </c>
      <c r="S1426">
        <v>3.0031129999999999</v>
      </c>
      <c r="T1426">
        <v>-7.158518E-3</v>
      </c>
      <c r="U1426">
        <v>0.31182860000000001</v>
      </c>
      <c r="V1426">
        <v>-9.0626380000000006E-2</v>
      </c>
      <c r="W1426">
        <v>0.12127830000000001</v>
      </c>
      <c r="X1426">
        <v>0.98847280000000004</v>
      </c>
      <c r="Y1426">
        <v>-0.1048336</v>
      </c>
      <c r="Z1426">
        <v>7.2993009999999998E-4</v>
      </c>
      <c r="AA1426">
        <v>0.99448950000000003</v>
      </c>
      <c r="AB1426">
        <v>29</v>
      </c>
      <c r="AC1426">
        <v>133.404</v>
      </c>
      <c r="AD1426">
        <v>-0.31842989999999999</v>
      </c>
      <c r="AE1426">
        <v>13.8673999999999</v>
      </c>
      <c r="AF1426">
        <v>-14.0759541993921</v>
      </c>
      <c r="AG1426">
        <v>-0.31842989999999999</v>
      </c>
      <c r="AH1426">
        <v>133.38139569913301</v>
      </c>
      <c r="AI1426">
        <v>90.136030224495499</v>
      </c>
      <c r="AJ1426">
        <v>96.024218469754999</v>
      </c>
      <c r="AK1426">
        <v>134.122446305133</v>
      </c>
      <c r="AL1426">
        <v>83.034117513358098</v>
      </c>
      <c r="AM1426">
        <v>95.238417220016899</v>
      </c>
      <c r="AN1426">
        <v>1.0000000215713101</v>
      </c>
    </row>
    <row r="1427" spans="1:40" x14ac:dyDescent="0.25">
      <c r="A1427" t="str">
        <f>"20190304154747735"</f>
        <v>20190304154747735</v>
      </c>
      <c r="B1427" t="str">
        <f>"1551685667728112"</f>
        <v>1551685667728112</v>
      </c>
      <c r="C1427" t="s">
        <v>40</v>
      </c>
      <c r="D1427">
        <v>4.1206630000000004</v>
      </c>
      <c r="E1427">
        <v>0.49357689999999999</v>
      </c>
      <c r="F1427" t="s">
        <v>43</v>
      </c>
      <c r="G1427">
        <v>-158.19499999999999</v>
      </c>
      <c r="H1427">
        <v>0.71288869999999904</v>
      </c>
      <c r="I1427">
        <v>380.8843</v>
      </c>
      <c r="J1427">
        <v>-291.44490000000002</v>
      </c>
      <c r="K1427">
        <v>1.0604209999999901</v>
      </c>
      <c r="L1427">
        <v>367.01429999999999</v>
      </c>
      <c r="M1427">
        <v>0.99992890000000001</v>
      </c>
      <c r="N1427">
        <v>-1.1823800000000001E-2</v>
      </c>
      <c r="O1427">
        <v>-1.6172960000000001E-3</v>
      </c>
      <c r="P1427">
        <v>0.9899483</v>
      </c>
      <c r="Q1427">
        <v>0.1098908</v>
      </c>
      <c r="R1427">
        <v>8.9032379999999994E-2</v>
      </c>
      <c r="S1427">
        <v>3.0031129999999999</v>
      </c>
      <c r="T1427">
        <v>-7.8214410000000002E-3</v>
      </c>
      <c r="U1427">
        <v>0.31222529999999998</v>
      </c>
      <c r="V1427">
        <v>-9.060385E-2</v>
      </c>
      <c r="W1427">
        <v>0.1216082</v>
      </c>
      <c r="X1427">
        <v>0.98843429999999999</v>
      </c>
      <c r="Y1427">
        <v>-0.1050164</v>
      </c>
      <c r="Z1427">
        <v>7.4405899999999896E-4</v>
      </c>
      <c r="AA1427">
        <v>0.99447019999999997</v>
      </c>
      <c r="AB1427">
        <v>29</v>
      </c>
      <c r="AC1427">
        <v>133.2499</v>
      </c>
      <c r="AD1427">
        <v>-0.34753229999999902</v>
      </c>
      <c r="AE1427">
        <v>13.87</v>
      </c>
      <c r="AF1427">
        <v>-14.0854066434314</v>
      </c>
      <c r="AG1427">
        <v>-0.34753229999999902</v>
      </c>
      <c r="AH1427">
        <v>133.22639571323</v>
      </c>
      <c r="AI1427">
        <v>90.148632157011093</v>
      </c>
      <c r="AJ1427">
        <v>96.035195856393003</v>
      </c>
      <c r="AK1427">
        <v>133.96936953553401</v>
      </c>
      <c r="AL1427">
        <v>83.015074457303996</v>
      </c>
      <c r="AM1427">
        <v>95.237325029718406</v>
      </c>
      <c r="AN1427">
        <v>0.99999998867927598</v>
      </c>
    </row>
    <row r="1428" spans="1:40" x14ac:dyDescent="0.25">
      <c r="A1428" t="str">
        <f>"20190304154747747"</f>
        <v>20190304154747747</v>
      </c>
      <c r="B1428" t="str">
        <f>"1551685667737872"</f>
        <v>1551685667737872</v>
      </c>
      <c r="C1428" t="s">
        <v>40</v>
      </c>
      <c r="D1428">
        <v>4.1336870000000001</v>
      </c>
      <c r="E1428">
        <v>0.49352580000000001</v>
      </c>
      <c r="F1428" t="s">
        <v>43</v>
      </c>
      <c r="G1428">
        <v>-158.19499999999999</v>
      </c>
      <c r="H1428">
        <v>0.73441509999999999</v>
      </c>
      <c r="I1428">
        <v>380.87419999999997</v>
      </c>
      <c r="J1428">
        <v>-291.29239999999999</v>
      </c>
      <c r="K1428">
        <v>1.060425</v>
      </c>
      <c r="L1428">
        <v>367.01400000000001</v>
      </c>
      <c r="M1428">
        <v>0.99992840000000005</v>
      </c>
      <c r="N1428">
        <v>-1.185162E-2</v>
      </c>
      <c r="O1428">
        <v>-1.670412E-3</v>
      </c>
      <c r="P1428">
        <v>0.98992500000000005</v>
      </c>
      <c r="Q1428">
        <v>0.1100439</v>
      </c>
      <c r="R1428">
        <v>8.9100899999999997E-2</v>
      </c>
      <c r="S1428">
        <v>3.0032350000000001</v>
      </c>
      <c r="T1428">
        <v>-7.3456759999999998E-3</v>
      </c>
      <c r="U1428">
        <v>0.31237789999999999</v>
      </c>
      <c r="V1428">
        <v>-9.0724840000000001E-2</v>
      </c>
      <c r="W1428">
        <v>0.12178899999999999</v>
      </c>
      <c r="X1428">
        <v>0.98840090000000003</v>
      </c>
      <c r="Y1428">
        <v>-0.10511520000000001</v>
      </c>
      <c r="Z1428">
        <v>7.371322E-4</v>
      </c>
      <c r="AA1428">
        <v>0.9944598</v>
      </c>
      <c r="AB1428">
        <v>29</v>
      </c>
      <c r="AC1428">
        <v>133.09739999999999</v>
      </c>
      <c r="AD1428">
        <v>-0.32600990000000002</v>
      </c>
      <c r="AE1428">
        <v>13.860199999999899</v>
      </c>
      <c r="AF1428">
        <v>-14.0824401814083</v>
      </c>
      <c r="AG1428">
        <v>-0.32600990000000002</v>
      </c>
      <c r="AH1428">
        <v>133.07327059300701</v>
      </c>
      <c r="AI1428">
        <v>90.139586508175299</v>
      </c>
      <c r="AJ1428">
        <v>96.040826024149595</v>
      </c>
      <c r="AK1428">
        <v>133.816728215262</v>
      </c>
      <c r="AL1428">
        <v>83.004637520497198</v>
      </c>
      <c r="AM1428">
        <v>95.244456072017201</v>
      </c>
      <c r="AN1428">
        <v>0.99999994811741599</v>
      </c>
    </row>
    <row r="1429" spans="1:40" x14ac:dyDescent="0.25">
      <c r="A1429" t="str">
        <f>"20190304154747760"</f>
        <v>20190304154747760</v>
      </c>
      <c r="B1429" t="str">
        <f>"1551685667748607"</f>
        <v>1551685667748607</v>
      </c>
      <c r="C1429" t="s">
        <v>40</v>
      </c>
      <c r="D1429">
        <v>4.1823129999999997</v>
      </c>
      <c r="E1429">
        <v>0.49344329999999997</v>
      </c>
      <c r="F1429" t="s">
        <v>43</v>
      </c>
      <c r="G1429">
        <v>-158.19499999999999</v>
      </c>
      <c r="H1429">
        <v>0.72681809999999902</v>
      </c>
      <c r="I1429">
        <v>380.8759</v>
      </c>
      <c r="J1429">
        <v>-291.13119999999998</v>
      </c>
      <c r="K1429">
        <v>1.060424</v>
      </c>
      <c r="L1429">
        <v>367.01369999999997</v>
      </c>
      <c r="M1429">
        <v>0.99992789999999998</v>
      </c>
      <c r="N1429">
        <v>-1.188059E-2</v>
      </c>
      <c r="O1429">
        <v>-1.726273E-3</v>
      </c>
      <c r="P1429">
        <v>0.98995109999999997</v>
      </c>
      <c r="Q1429">
        <v>0.109933</v>
      </c>
      <c r="R1429">
        <v>8.8945949999999996E-2</v>
      </c>
      <c r="S1429">
        <v>3.003174</v>
      </c>
      <c r="T1429">
        <v>-7.5254440000000001E-3</v>
      </c>
      <c r="U1429">
        <v>0.31277470000000002</v>
      </c>
      <c r="V1429">
        <v>-9.0624419999999997E-2</v>
      </c>
      <c r="W1429">
        <v>0.1217071</v>
      </c>
      <c r="X1429">
        <v>0.98842019999999997</v>
      </c>
      <c r="Y1429">
        <v>-0.1053027</v>
      </c>
      <c r="Z1429">
        <v>7.4268360000000005E-4</v>
      </c>
      <c r="AA1429">
        <v>0.99443999999999999</v>
      </c>
      <c r="AB1429">
        <v>29</v>
      </c>
      <c r="AC1429">
        <v>132.93620000000001</v>
      </c>
      <c r="AD1429">
        <v>-0.33360590000000001</v>
      </c>
      <c r="AE1429">
        <v>13.8622</v>
      </c>
      <c r="AF1429">
        <v>-14.0915919302349</v>
      </c>
      <c r="AG1429">
        <v>-0.33360590000000001</v>
      </c>
      <c r="AH1429">
        <v>132.91124223495399</v>
      </c>
      <c r="AI1429">
        <v>90.143010013426306</v>
      </c>
      <c r="AJ1429">
        <v>96.052037012148602</v>
      </c>
      <c r="AK1429">
        <v>133.65658445607301</v>
      </c>
      <c r="AL1429">
        <v>83.009365211500196</v>
      </c>
      <c r="AM1429">
        <v>95.238581769611699</v>
      </c>
      <c r="AN1429">
        <v>0.99999994772939105</v>
      </c>
    </row>
    <row r="1430" spans="1:40" x14ac:dyDescent="0.25">
      <c r="A1430" t="str">
        <f>"20190304154747773"</f>
        <v>20190304154747773</v>
      </c>
      <c r="B1430" t="str">
        <f>"1551685667768127"</f>
        <v>1551685667768127</v>
      </c>
      <c r="C1430" t="s">
        <v>40</v>
      </c>
      <c r="D1430">
        <v>4.1445660000000002</v>
      </c>
      <c r="E1430">
        <v>0.49331130000000001</v>
      </c>
      <c r="F1430" t="s">
        <v>43</v>
      </c>
      <c r="G1430">
        <v>-158.19499999999999</v>
      </c>
      <c r="H1430">
        <v>0.67898080000000005</v>
      </c>
      <c r="I1430">
        <v>380.87729999999999</v>
      </c>
      <c r="J1430">
        <v>-290.96850000000001</v>
      </c>
      <c r="K1430">
        <v>1.060427</v>
      </c>
      <c r="L1430">
        <v>367.01339999999999</v>
      </c>
      <c r="M1430">
        <v>0.99992749999999997</v>
      </c>
      <c r="N1430">
        <v>-1.190952E-2</v>
      </c>
      <c r="O1430">
        <v>-1.7827279999999999E-3</v>
      </c>
      <c r="P1430">
        <v>0.98994510000000002</v>
      </c>
      <c r="Q1430">
        <v>0.1101115</v>
      </c>
      <c r="R1430">
        <v>8.8793460000000005E-2</v>
      </c>
      <c r="S1430">
        <v>3.0032649999999999</v>
      </c>
      <c r="T1430">
        <v>-8.6154939999999996E-3</v>
      </c>
      <c r="U1430">
        <v>0.31320189999999998</v>
      </c>
      <c r="V1430">
        <v>-9.0527350000000006E-2</v>
      </c>
      <c r="W1430">
        <v>0.12191440000000001</v>
      </c>
      <c r="X1430">
        <v>0.98840360000000005</v>
      </c>
      <c r="Y1430">
        <v>-0.1054954</v>
      </c>
      <c r="Z1430">
        <v>7.6476179999999895E-4</v>
      </c>
      <c r="AA1430">
        <v>0.99441950000000001</v>
      </c>
      <c r="AB1430">
        <v>29</v>
      </c>
      <c r="AC1430">
        <v>132.77350000000001</v>
      </c>
      <c r="AD1430">
        <v>-0.38144620000000001</v>
      </c>
      <c r="AE1430">
        <v>13.863899999999999</v>
      </c>
      <c r="AF1430">
        <v>-14.1004786635194</v>
      </c>
      <c r="AG1430">
        <v>-0.38144620000000001</v>
      </c>
      <c r="AH1430">
        <v>132.74748784092401</v>
      </c>
      <c r="AI1430">
        <v>90.163716379460297</v>
      </c>
      <c r="AJ1430">
        <v>96.063240042093099</v>
      </c>
      <c r="AK1430">
        <v>133.494810864768</v>
      </c>
      <c r="AL1430">
        <v>82.997399047802105</v>
      </c>
      <c r="AM1430">
        <v>95.233089166642301</v>
      </c>
      <c r="AN1430">
        <v>0.99999999925917105</v>
      </c>
    </row>
    <row r="1431" spans="1:40" x14ac:dyDescent="0.25">
      <c r="A1431" t="str">
        <f>"20190304154747784"</f>
        <v>20190304154747784</v>
      </c>
      <c r="B1431" t="str">
        <f>"1551685667777888"</f>
        <v>1551685667777888</v>
      </c>
      <c r="C1431" t="s">
        <v>40</v>
      </c>
      <c r="D1431">
        <v>4.1681970000000002</v>
      </c>
      <c r="E1431">
        <v>0.49322300000000002</v>
      </c>
      <c r="F1431" t="s">
        <v>43</v>
      </c>
      <c r="G1431">
        <v>-158.19499999999999</v>
      </c>
      <c r="H1431">
        <v>0.65453149999999904</v>
      </c>
      <c r="I1431">
        <v>380.88260000000002</v>
      </c>
      <c r="J1431">
        <v>-290.80669999999998</v>
      </c>
      <c r="K1431">
        <v>1.0604309999999999</v>
      </c>
      <c r="L1431">
        <v>367.01299999999998</v>
      </c>
      <c r="M1431">
        <v>0.99992720000000002</v>
      </c>
      <c r="N1431">
        <v>-1.193687E-2</v>
      </c>
      <c r="O1431">
        <v>-1.8395169999999999E-3</v>
      </c>
      <c r="P1431">
        <v>0.98999899999999996</v>
      </c>
      <c r="Q1431">
        <v>0.10992979999999999</v>
      </c>
      <c r="R1431">
        <v>8.8416549999999997E-2</v>
      </c>
      <c r="S1431">
        <v>3.0033259999999999</v>
      </c>
      <c r="T1431">
        <v>-9.1793540000000007E-3</v>
      </c>
      <c r="U1431">
        <v>0.31372070000000002</v>
      </c>
      <c r="V1431">
        <v>-9.0207170000000003E-2</v>
      </c>
      <c r="W1431">
        <v>0.1217606</v>
      </c>
      <c r="X1431">
        <v>0.98845179999999999</v>
      </c>
      <c r="Y1431">
        <v>-0.10571949999999999</v>
      </c>
      <c r="Z1431">
        <v>7.7755160000000001E-4</v>
      </c>
      <c r="AA1431">
        <v>0.99439569999999999</v>
      </c>
      <c r="AB1431">
        <v>29</v>
      </c>
      <c r="AC1431">
        <v>132.61169999999899</v>
      </c>
      <c r="AD1431">
        <v>-0.40589950000000002</v>
      </c>
      <c r="AE1431">
        <v>13.869599999999901</v>
      </c>
      <c r="AF1431">
        <v>-14.1134045627284</v>
      </c>
      <c r="AG1431">
        <v>-0.40589950000000002</v>
      </c>
      <c r="AH1431">
        <v>132.584731732092</v>
      </c>
      <c r="AI1431">
        <v>90.174421327089206</v>
      </c>
      <c r="AJ1431">
        <v>96.0761508358067</v>
      </c>
      <c r="AK1431">
        <v>133.33440677944401</v>
      </c>
      <c r="AL1431">
        <v>83.006277068865998</v>
      </c>
      <c r="AM1431">
        <v>95.2144299485457</v>
      </c>
      <c r="AN1431">
        <v>0.99999996907750399</v>
      </c>
    </row>
    <row r="1432" spans="1:40" x14ac:dyDescent="0.25">
      <c r="A1432" t="str">
        <f>"20190304154747798"</f>
        <v>20190304154747798</v>
      </c>
      <c r="B1432" t="str">
        <f>"1551685667787648"</f>
        <v>1551685667787648</v>
      </c>
      <c r="C1432" t="s">
        <v>40</v>
      </c>
      <c r="D1432">
        <v>4.1460689999999998</v>
      </c>
      <c r="E1432">
        <v>0.49312600000000001</v>
      </c>
      <c r="F1432" t="s">
        <v>43</v>
      </c>
      <c r="G1432">
        <v>-158.19499999999999</v>
      </c>
      <c r="H1432">
        <v>0.60332680000000005</v>
      </c>
      <c r="I1432">
        <v>380.84309999999999</v>
      </c>
      <c r="J1432">
        <v>-290.63549999999998</v>
      </c>
      <c r="K1432">
        <v>1.060438</v>
      </c>
      <c r="L1432">
        <v>367.01260000000002</v>
      </c>
      <c r="M1432">
        <v>0.99992669999999995</v>
      </c>
      <c r="N1432">
        <v>-1.19647E-2</v>
      </c>
      <c r="O1432">
        <v>-1.8997630000000001E-3</v>
      </c>
      <c r="P1432">
        <v>0.98999729999999997</v>
      </c>
      <c r="Q1432">
        <v>0.1101005</v>
      </c>
      <c r="R1432">
        <v>8.8223380000000004E-2</v>
      </c>
      <c r="S1432">
        <v>3.003479</v>
      </c>
      <c r="T1432">
        <v>-1.035082E-2</v>
      </c>
      <c r="U1432">
        <v>0.31323240000000002</v>
      </c>
      <c r="V1432">
        <v>-9.0073459999999994E-2</v>
      </c>
      <c r="W1432">
        <v>0.121958399999999</v>
      </c>
      <c r="X1432">
        <v>0.98843959999999997</v>
      </c>
      <c r="Y1432">
        <v>-0.105613899999999</v>
      </c>
      <c r="Z1432">
        <v>7.9891420000000003E-4</v>
      </c>
      <c r="AA1432">
        <v>0.99440689999999998</v>
      </c>
      <c r="AB1432">
        <v>29</v>
      </c>
      <c r="AC1432">
        <v>132.44049999999999</v>
      </c>
      <c r="AD1432">
        <v>-0.4571112</v>
      </c>
      <c r="AE1432">
        <v>13.830499999999899</v>
      </c>
      <c r="AF1432">
        <v>-14.0819326490049</v>
      </c>
      <c r="AG1432">
        <v>-0.4571112</v>
      </c>
      <c r="AH1432">
        <v>132.412424075149</v>
      </c>
      <c r="AI1432">
        <v>90.196685288383094</v>
      </c>
      <c r="AJ1432">
        <v>96.070532958562694</v>
      </c>
      <c r="AK1432">
        <v>133.15990322629901</v>
      </c>
      <c r="AL1432">
        <v>82.994858812014201</v>
      </c>
      <c r="AM1432">
        <v>95.206807260879103</v>
      </c>
      <c r="AN1432">
        <v>0.99999996118754497</v>
      </c>
    </row>
    <row r="1433" spans="1:40" x14ac:dyDescent="0.25">
      <c r="A1433" t="str">
        <f>"20190304154747809"</f>
        <v>20190304154747809</v>
      </c>
      <c r="B1433" t="str">
        <f>"1551685667798383"</f>
        <v>1551685667798383</v>
      </c>
      <c r="C1433" t="s">
        <v>40</v>
      </c>
      <c r="D1433">
        <v>4.1493719999999996</v>
      </c>
      <c r="E1433">
        <v>0.49306509999999998</v>
      </c>
      <c r="F1433" t="s">
        <v>43</v>
      </c>
      <c r="G1433">
        <v>-158.19499999999999</v>
      </c>
      <c r="H1433">
        <v>0.60335539999999999</v>
      </c>
      <c r="I1433">
        <v>380.83949999999999</v>
      </c>
      <c r="J1433">
        <v>-290.4828</v>
      </c>
      <c r="K1433">
        <v>1.06044</v>
      </c>
      <c r="L1433">
        <v>367.01220000000001</v>
      </c>
      <c r="M1433">
        <v>0.99992619999999999</v>
      </c>
      <c r="N1433">
        <v>-1.198837E-2</v>
      </c>
      <c r="O1433">
        <v>-1.9539000000000002E-3</v>
      </c>
      <c r="P1433">
        <v>0.9900082</v>
      </c>
      <c r="Q1433">
        <v>0.1101405</v>
      </c>
      <c r="R1433">
        <v>8.8049769999999999E-2</v>
      </c>
      <c r="S1433">
        <v>3.0035099999999999</v>
      </c>
      <c r="T1433">
        <v>-1.0363819999999999E-2</v>
      </c>
      <c r="U1433">
        <v>0.31356810000000002</v>
      </c>
      <c r="V1433">
        <v>-8.995351E-2</v>
      </c>
      <c r="W1433">
        <v>0.1220218</v>
      </c>
      <c r="X1433">
        <v>0.98844270000000001</v>
      </c>
      <c r="Y1433">
        <v>-0.1057766</v>
      </c>
      <c r="Z1433">
        <v>8.0115699999999896E-4</v>
      </c>
      <c r="AA1433">
        <v>0.99438959999999998</v>
      </c>
      <c r="AB1433">
        <v>29</v>
      </c>
      <c r="AC1433">
        <v>132.2878</v>
      </c>
      <c r="AD1433">
        <v>-0.45708460000000001</v>
      </c>
      <c r="AE1433">
        <v>13.8272999999999</v>
      </c>
      <c r="AF1433">
        <v>-14.085602972623001</v>
      </c>
      <c r="AG1433">
        <v>-0.45708460000000001</v>
      </c>
      <c r="AH1433">
        <v>132.25896641727601</v>
      </c>
      <c r="AI1433">
        <v>90.196898906545897</v>
      </c>
      <c r="AJ1433">
        <v>96.079095992344193</v>
      </c>
      <c r="AK1433">
        <v>133.00769652617899</v>
      </c>
      <c r="AL1433">
        <v>82.991198933523705</v>
      </c>
      <c r="AM1433">
        <v>95.199895221239998</v>
      </c>
      <c r="AN1433">
        <v>0.99999996240992395</v>
      </c>
    </row>
    <row r="1434" spans="1:40" x14ac:dyDescent="0.25">
      <c r="A1434" t="str">
        <f>"20190304154747822"</f>
        <v>20190304154747822</v>
      </c>
      <c r="B1434" t="str">
        <f>"1551685667817903"</f>
        <v>1551685667817903</v>
      </c>
      <c r="C1434" t="s">
        <v>40</v>
      </c>
      <c r="D1434">
        <v>4.4301729999999999</v>
      </c>
      <c r="E1434">
        <v>0.492979</v>
      </c>
      <c r="F1434" t="s">
        <v>43</v>
      </c>
      <c r="G1434">
        <v>-158.19499999999999</v>
      </c>
      <c r="H1434">
        <v>0.58420939999999999</v>
      </c>
      <c r="I1434">
        <v>380.82279999999997</v>
      </c>
      <c r="J1434">
        <v>-290.31369999999998</v>
      </c>
      <c r="K1434">
        <v>1.0604450000000001</v>
      </c>
      <c r="L1434">
        <v>367.01190000000003</v>
      </c>
      <c r="M1434">
        <v>0.99992579999999998</v>
      </c>
      <c r="N1434">
        <v>-1.201439E-2</v>
      </c>
      <c r="O1434">
        <v>-2.0119640000000002E-3</v>
      </c>
      <c r="P1434">
        <v>0.99002400000000002</v>
      </c>
      <c r="Q1434">
        <v>0.1100318</v>
      </c>
      <c r="R1434">
        <v>8.8008340000000004E-2</v>
      </c>
      <c r="S1434">
        <v>3.0036010000000002</v>
      </c>
      <c r="T1434">
        <v>-1.081085E-2</v>
      </c>
      <c r="U1434">
        <v>0.31356810000000002</v>
      </c>
      <c r="V1434">
        <v>-8.996999E-2</v>
      </c>
      <c r="W1434">
        <v>0.12193809999999999</v>
      </c>
      <c r="X1434">
        <v>0.98845159999999999</v>
      </c>
      <c r="Y1434">
        <v>-0.1058311</v>
      </c>
      <c r="Z1434">
        <v>8.105597E-4</v>
      </c>
      <c r="AA1434">
        <v>0.99438380000000004</v>
      </c>
      <c r="AB1434">
        <v>29</v>
      </c>
      <c r="AC1434">
        <v>132.11869999999999</v>
      </c>
      <c r="AD1434">
        <v>-0.47623559999999998</v>
      </c>
      <c r="AE1434">
        <v>13.810899999999901</v>
      </c>
      <c r="AF1434">
        <v>-14.0765283761048</v>
      </c>
      <c r="AG1434">
        <v>-0.47623559999999998</v>
      </c>
      <c r="AH1434">
        <v>132.08894581087401</v>
      </c>
      <c r="AI1434">
        <v>90.205411116386301</v>
      </c>
      <c r="AJ1434">
        <v>96.082970075811502</v>
      </c>
      <c r="AK1434">
        <v>132.83773958065501</v>
      </c>
      <c r="AL1434">
        <v>82.996031164069905</v>
      </c>
      <c r="AM1434">
        <v>95.200796076603694</v>
      </c>
      <c r="AN1434">
        <v>1.0000000324373799</v>
      </c>
    </row>
    <row r="1435" spans="1:40" x14ac:dyDescent="0.25">
      <c r="A1435" t="str">
        <f>"20190304154747836"</f>
        <v>20190304154747836</v>
      </c>
      <c r="B1435" t="str">
        <f>"1551685667827664"</f>
        <v>1551685667827664</v>
      </c>
      <c r="C1435" t="s">
        <v>40</v>
      </c>
      <c r="D1435">
        <v>4.1340649999999997</v>
      </c>
      <c r="E1435">
        <v>0.4928458</v>
      </c>
      <c r="F1435" t="s">
        <v>43</v>
      </c>
      <c r="G1435">
        <v>-158.19499999999999</v>
      </c>
      <c r="H1435">
        <v>0.55225369999999996</v>
      </c>
      <c r="I1435">
        <v>380.8288</v>
      </c>
      <c r="J1435">
        <v>-290.11950000000002</v>
      </c>
      <c r="K1435">
        <v>1.060451</v>
      </c>
      <c r="L1435">
        <v>367.01139999999998</v>
      </c>
      <c r="M1435">
        <v>0.99992539999999996</v>
      </c>
      <c r="N1435">
        <v>-1.204417E-2</v>
      </c>
      <c r="O1435">
        <v>-2.0770760000000002E-3</v>
      </c>
      <c r="P1435">
        <v>0.99001139999999999</v>
      </c>
      <c r="Q1435">
        <v>0.1101492</v>
      </c>
      <c r="R1435">
        <v>8.8003440000000002E-2</v>
      </c>
      <c r="S1435">
        <v>3.0036320000000001</v>
      </c>
      <c r="T1435">
        <v>-1.155138E-2</v>
      </c>
      <c r="U1435">
        <v>0.31411739999999999</v>
      </c>
      <c r="V1435">
        <v>-9.0030570000000004E-2</v>
      </c>
      <c r="W1435">
        <v>0.12208479999999999</v>
      </c>
      <c r="X1435">
        <v>0.98842790000000003</v>
      </c>
      <c r="Y1435">
        <v>-0.1060744</v>
      </c>
      <c r="Z1435">
        <v>8.2699209999999995E-4</v>
      </c>
      <c r="AA1435">
        <v>0.99435779999999996</v>
      </c>
      <c r="AB1435">
        <v>29</v>
      </c>
      <c r="AC1435">
        <v>131.92449999999999</v>
      </c>
      <c r="AD1435">
        <v>-0.50819729999999996</v>
      </c>
      <c r="AE1435">
        <v>13.817399999999999</v>
      </c>
      <c r="AF1435">
        <v>-14.0912004197982</v>
      </c>
      <c r="AG1435">
        <v>-0.50819729999999996</v>
      </c>
      <c r="AH1435">
        <v>131.89357753931699</v>
      </c>
      <c r="AI1435">
        <v>90.219515237024098</v>
      </c>
      <c r="AJ1435">
        <v>96.098214627192206</v>
      </c>
      <c r="AK1435">
        <v>132.645150645949</v>
      </c>
      <c r="AL1435">
        <v>82.987562075618001</v>
      </c>
      <c r="AM1435">
        <v>95.204402834953598</v>
      </c>
      <c r="AN1435">
        <v>0.99999995771198602</v>
      </c>
    </row>
    <row r="1436" spans="1:40" x14ac:dyDescent="0.25">
      <c r="A1436" t="str">
        <f>"20190304154747847"</f>
        <v>20190304154747847</v>
      </c>
      <c r="B1436" t="str">
        <f>"1551685667838399"</f>
        <v>1551685667838399</v>
      </c>
      <c r="C1436" t="s">
        <v>40</v>
      </c>
      <c r="D1436">
        <v>4.1749150000000004</v>
      </c>
      <c r="E1436">
        <v>0.49277530000000003</v>
      </c>
      <c r="F1436" t="s">
        <v>43</v>
      </c>
      <c r="G1436">
        <v>-158.19499999999999</v>
      </c>
      <c r="H1436">
        <v>0.51087470000000001</v>
      </c>
      <c r="I1436">
        <v>380.84820000000002</v>
      </c>
      <c r="J1436">
        <v>-289.98090000000002</v>
      </c>
      <c r="K1436">
        <v>1.0604530000000001</v>
      </c>
      <c r="L1436">
        <v>367.01100000000002</v>
      </c>
      <c r="M1436">
        <v>0.99992510000000001</v>
      </c>
      <c r="N1436">
        <v>-1.2065340000000001E-2</v>
      </c>
      <c r="O1436">
        <v>-2.122002E-3</v>
      </c>
      <c r="P1436">
        <v>0.99001399999999995</v>
      </c>
      <c r="Q1436">
        <v>0.1103013</v>
      </c>
      <c r="R1436">
        <v>8.7785059999999998E-2</v>
      </c>
      <c r="S1436">
        <v>3.0036320000000001</v>
      </c>
      <c r="T1436">
        <v>-1.251066E-2</v>
      </c>
      <c r="U1436">
        <v>0.31503300000000001</v>
      </c>
      <c r="V1436">
        <v>-8.9857099999999995E-2</v>
      </c>
      <c r="W1436">
        <v>0.122257</v>
      </c>
      <c r="X1436">
        <v>0.98842249999999998</v>
      </c>
      <c r="Y1436">
        <v>-0.1064185</v>
      </c>
      <c r="Z1436">
        <v>8.4807830000000004E-4</v>
      </c>
      <c r="AA1436">
        <v>0.99432100000000001</v>
      </c>
      <c r="AB1436">
        <v>29</v>
      </c>
      <c r="AC1436">
        <v>131.7859</v>
      </c>
      <c r="AD1436">
        <v>-0.54957829999999996</v>
      </c>
      <c r="AE1436">
        <v>13.837199999999999</v>
      </c>
      <c r="AF1436">
        <v>-14.116596279827</v>
      </c>
      <c r="AG1436">
        <v>-0.54957829999999996</v>
      </c>
      <c r="AH1436">
        <v>131.75397221751001</v>
      </c>
      <c r="AI1436">
        <v>90.237633357449994</v>
      </c>
      <c r="AJ1436">
        <v>96.115546240035499</v>
      </c>
      <c r="AK1436">
        <v>132.50920542335101</v>
      </c>
      <c r="AL1436">
        <v>82.977621966280495</v>
      </c>
      <c r="AM1436">
        <v>95.194458176262103</v>
      </c>
      <c r="AN1436">
        <v>1.0000000554878199</v>
      </c>
    </row>
    <row r="1437" spans="1:40" x14ac:dyDescent="0.25">
      <c r="A1437" t="str">
        <f>"20190304154747858"</f>
        <v>20190304154747858</v>
      </c>
      <c r="B1437" t="str">
        <f>"1551685667848159"</f>
        <v>1551685667848159</v>
      </c>
      <c r="C1437" t="s">
        <v>40</v>
      </c>
      <c r="D1437">
        <v>4.1800629999999996</v>
      </c>
      <c r="E1437">
        <v>0.49271369999999998</v>
      </c>
      <c r="F1437" t="s">
        <v>43</v>
      </c>
      <c r="G1437">
        <v>-158.19499999999999</v>
      </c>
      <c r="H1437">
        <v>0.48010160000000002</v>
      </c>
      <c r="I1437">
        <v>380.83780000000002</v>
      </c>
      <c r="J1437">
        <v>-289.82740000000001</v>
      </c>
      <c r="K1437">
        <v>1.0604549999999999</v>
      </c>
      <c r="L1437">
        <v>367.01069999999999</v>
      </c>
      <c r="M1437">
        <v>0.9999247</v>
      </c>
      <c r="N1437">
        <v>-1.208818E-2</v>
      </c>
      <c r="O1437">
        <v>-2.1711120000000002E-3</v>
      </c>
      <c r="P1437">
        <v>0.99002250000000003</v>
      </c>
      <c r="Q1437">
        <v>0.110197699999999</v>
      </c>
      <c r="R1437">
        <v>8.7818729999999998E-2</v>
      </c>
      <c r="S1437">
        <v>3.0038149999999999</v>
      </c>
      <c r="T1437">
        <v>-1.322603E-2</v>
      </c>
      <c r="U1437">
        <v>0.31515500000000002</v>
      </c>
      <c r="V1437">
        <v>-8.9940019999999996E-2</v>
      </c>
      <c r="W1437">
        <v>0.1221756</v>
      </c>
      <c r="X1437">
        <v>0.988425</v>
      </c>
      <c r="Y1437">
        <v>-0.10650080000000001</v>
      </c>
      <c r="Z1437">
        <v>8.6268029999999999E-4</v>
      </c>
      <c r="AA1437">
        <v>0.99431219999999998</v>
      </c>
      <c r="AB1437">
        <v>29</v>
      </c>
      <c r="AC1437">
        <v>131.63239999999999</v>
      </c>
      <c r="AD1437">
        <v>-0.58035339999999902</v>
      </c>
      <c r="AE1437">
        <v>13.8271</v>
      </c>
      <c r="AF1437">
        <v>-14.112605605730201</v>
      </c>
      <c r="AG1437">
        <v>-0.58035339999999902</v>
      </c>
      <c r="AH1437">
        <v>131.599537181844</v>
      </c>
      <c r="AI1437">
        <v>90.251232044189607</v>
      </c>
      <c r="AJ1437">
        <v>96.120950793699905</v>
      </c>
      <c r="AK1437">
        <v>132.35535740394999</v>
      </c>
      <c r="AL1437">
        <v>82.982320907420203</v>
      </c>
      <c r="AM1437">
        <v>95.199212277679706</v>
      </c>
      <c r="AN1437">
        <v>1.00000003252897</v>
      </c>
    </row>
    <row r="1438" spans="1:40" x14ac:dyDescent="0.25">
      <c r="A1438" t="str">
        <f>"20190304154747869"</f>
        <v>20190304154747869</v>
      </c>
      <c r="B1438" t="str">
        <f>"1551685667857920"</f>
        <v>1551685667857920</v>
      </c>
      <c r="C1438" t="s">
        <v>40</v>
      </c>
      <c r="D1438">
        <v>4.1972950000000004</v>
      </c>
      <c r="E1438">
        <v>0.49265199999999998</v>
      </c>
      <c r="F1438" t="s">
        <v>43</v>
      </c>
      <c r="G1438">
        <v>-158.19499999999999</v>
      </c>
      <c r="H1438">
        <v>0.44591619999999998</v>
      </c>
      <c r="I1438">
        <v>380.8399</v>
      </c>
      <c r="J1438">
        <v>-289.68709999999999</v>
      </c>
      <c r="K1438">
        <v>1.060457</v>
      </c>
      <c r="L1438">
        <v>367.01029999999997</v>
      </c>
      <c r="M1438">
        <v>0.99992429999999999</v>
      </c>
      <c r="N1438">
        <v>-1.210875E-2</v>
      </c>
      <c r="O1438">
        <v>-2.2155640000000002E-3</v>
      </c>
      <c r="P1438">
        <v>0.99001340000000004</v>
      </c>
      <c r="Q1438">
        <v>0.1103213</v>
      </c>
      <c r="R1438">
        <v>8.7766159999999996E-2</v>
      </c>
      <c r="S1438">
        <v>3.0038450000000001</v>
      </c>
      <c r="T1438">
        <v>-1.4021749999999999E-2</v>
      </c>
      <c r="U1438">
        <v>0.31558229999999998</v>
      </c>
      <c r="V1438">
        <v>-8.9931819999999996E-2</v>
      </c>
      <c r="W1438">
        <v>0.122319</v>
      </c>
      <c r="X1438">
        <v>0.98840799999999995</v>
      </c>
      <c r="Y1438">
        <v>-0.1066835</v>
      </c>
      <c r="Z1438">
        <v>8.7958139999999997E-4</v>
      </c>
      <c r="AA1438">
        <v>0.99429259999999997</v>
      </c>
      <c r="AB1438">
        <v>29</v>
      </c>
      <c r="AC1438">
        <v>131.49209999999999</v>
      </c>
      <c r="AD1438">
        <v>-0.614540799999999</v>
      </c>
      <c r="AE1438">
        <v>13.829599999999999</v>
      </c>
      <c r="AF1438">
        <v>-14.1206115003994</v>
      </c>
      <c r="AG1438">
        <v>-0.614540799999999</v>
      </c>
      <c r="AH1438">
        <v>131.45829465313599</v>
      </c>
      <c r="AI1438">
        <v>90.266312240450105</v>
      </c>
      <c r="AJ1438">
        <v>96.130926885010993</v>
      </c>
      <c r="AK1438">
        <v>132.21593157653399</v>
      </c>
      <c r="AL1438">
        <v>82.974042530220004</v>
      </c>
      <c r="AM1438">
        <v>95.198829778433307</v>
      </c>
      <c r="AN1438">
        <v>1.00000002223675</v>
      </c>
    </row>
    <row r="1439" spans="1:40" x14ac:dyDescent="0.25">
      <c r="A1439" t="str">
        <f>"20190304154747881"</f>
        <v>20190304154747881</v>
      </c>
      <c r="B1439" t="str">
        <f>"1551685667878415"</f>
        <v>1551685667878415</v>
      </c>
      <c r="C1439" t="s">
        <v>40</v>
      </c>
      <c r="D1439">
        <v>4.2018219999999999</v>
      </c>
      <c r="E1439">
        <v>0.49244710000000003</v>
      </c>
      <c r="F1439" t="s">
        <v>43</v>
      </c>
      <c r="G1439">
        <v>-158.19499999999999</v>
      </c>
      <c r="H1439">
        <v>0.44874760000000002</v>
      </c>
      <c r="I1439">
        <v>380.8492</v>
      </c>
      <c r="J1439">
        <v>-289.53629999999998</v>
      </c>
      <c r="K1439">
        <v>1.0604579999999999</v>
      </c>
      <c r="L1439">
        <v>367.00990000000002</v>
      </c>
      <c r="M1439">
        <v>0.99992389999999998</v>
      </c>
      <c r="N1439">
        <v>-1.212945E-2</v>
      </c>
      <c r="O1439">
        <v>-2.2622940000000002E-3</v>
      </c>
      <c r="P1439">
        <v>0.99001779999999995</v>
      </c>
      <c r="Q1439">
        <v>0.110128</v>
      </c>
      <c r="R1439">
        <v>8.7958579999999995E-2</v>
      </c>
      <c r="S1439">
        <v>3.003784</v>
      </c>
      <c r="T1439">
        <v>-1.3971809999999999E-2</v>
      </c>
      <c r="U1439">
        <v>0.31613160000000001</v>
      </c>
      <c r="V1439">
        <v>-9.0170349999999996E-2</v>
      </c>
      <c r="W1439">
        <v>0.1221463</v>
      </c>
      <c r="X1439">
        <v>0.98840760000000005</v>
      </c>
      <c r="Y1439">
        <v>-0.1069119</v>
      </c>
      <c r="Z1439">
        <v>8.8130149999999998E-4</v>
      </c>
      <c r="AA1439">
        <v>0.99426809999999999</v>
      </c>
      <c r="AB1439">
        <v>29</v>
      </c>
      <c r="AC1439">
        <v>131.34129999999999</v>
      </c>
      <c r="AD1439">
        <v>-0.61171039999999999</v>
      </c>
      <c r="AE1439">
        <v>13.8392999999999</v>
      </c>
      <c r="AF1439">
        <v>-14.1361158019144</v>
      </c>
      <c r="AG1439">
        <v>-0.61171039999999999</v>
      </c>
      <c r="AH1439">
        <v>131.306836018046</v>
      </c>
      <c r="AI1439">
        <v>90.265384637234604</v>
      </c>
      <c r="AJ1439">
        <v>96.144632659871405</v>
      </c>
      <c r="AK1439">
        <v>132.06698733842799</v>
      </c>
      <c r="AL1439">
        <v>82.984012092783701</v>
      </c>
      <c r="AM1439">
        <v>95.212545094747895</v>
      </c>
      <c r="AN1439">
        <v>0.99999999718028598</v>
      </c>
    </row>
    <row r="1440" spans="1:40" x14ac:dyDescent="0.25">
      <c r="A1440" t="str">
        <f>"20190304154747891"</f>
        <v>20190304154747891</v>
      </c>
      <c r="B1440" t="str">
        <f>"1551685667888176"</f>
        <v>1551685667888176</v>
      </c>
      <c r="C1440" t="s">
        <v>40</v>
      </c>
      <c r="D1440">
        <v>4.3854519999999999</v>
      </c>
      <c r="E1440">
        <v>0.49222539999999998</v>
      </c>
      <c r="F1440" t="s">
        <v>43</v>
      </c>
      <c r="G1440">
        <v>-158.19499999999999</v>
      </c>
      <c r="H1440">
        <v>0.39172269999999998</v>
      </c>
      <c r="I1440">
        <v>380.9307</v>
      </c>
      <c r="J1440">
        <v>-289.39879999999999</v>
      </c>
      <c r="K1440">
        <v>1.060452</v>
      </c>
      <c r="L1440">
        <v>367.00959999999998</v>
      </c>
      <c r="M1440">
        <v>0.99992360000000002</v>
      </c>
      <c r="N1440">
        <v>-1.2148050000000001E-2</v>
      </c>
      <c r="O1440">
        <v>-2.3047219999999999E-3</v>
      </c>
      <c r="P1440">
        <v>0.99004859999999995</v>
      </c>
      <c r="Q1440">
        <v>0.1100251</v>
      </c>
      <c r="R1440">
        <v>8.7740589999999993E-2</v>
      </c>
      <c r="S1440">
        <v>3.0036930000000002</v>
      </c>
      <c r="T1440">
        <v>-1.5291570000000001E-2</v>
      </c>
      <c r="U1440">
        <v>0.31835940000000001</v>
      </c>
      <c r="V1440">
        <v>-8.999501E-2</v>
      </c>
      <c r="W1440">
        <v>0.12206210000000001</v>
      </c>
      <c r="X1440">
        <v>0.98843400000000003</v>
      </c>
      <c r="Y1440">
        <v>-0.107686</v>
      </c>
      <c r="Z1440">
        <v>9.1307629999999996E-4</v>
      </c>
      <c r="AA1440">
        <v>0.99418459999999997</v>
      </c>
      <c r="AB1440">
        <v>29</v>
      </c>
      <c r="AC1440">
        <v>131.2038</v>
      </c>
      <c r="AD1440">
        <v>-0.66872929999999897</v>
      </c>
      <c r="AE1440">
        <v>13.921099999999999</v>
      </c>
      <c r="AF1440">
        <v>-14.223108230723801</v>
      </c>
      <c r="AG1440">
        <v>-0.66872929999999897</v>
      </c>
      <c r="AH1440">
        <v>131.16799529083499</v>
      </c>
      <c r="AI1440">
        <v>90.290404312882004</v>
      </c>
      <c r="AJ1440">
        <v>96.188647305874596</v>
      </c>
      <c r="AK1440">
        <v>131.938572810366</v>
      </c>
      <c r="AL1440">
        <v>82.988872895581096</v>
      </c>
      <c r="AM1440">
        <v>95.202326567965798</v>
      </c>
      <c r="AN1440">
        <v>1.0000000152186499</v>
      </c>
    </row>
    <row r="1441" spans="1:40" x14ac:dyDescent="0.25">
      <c r="A1441" t="str">
        <f>"20190304154747903"</f>
        <v>20190304154747903</v>
      </c>
      <c r="B1441" t="str">
        <f>"1551685667897936"</f>
        <v>1551685667897936</v>
      </c>
      <c r="C1441" t="s">
        <v>40</v>
      </c>
      <c r="D1441">
        <v>4.1807049999999997</v>
      </c>
      <c r="E1441">
        <v>0.4921664</v>
      </c>
      <c r="F1441" t="s">
        <v>43</v>
      </c>
      <c r="G1441">
        <v>-158.19499999999999</v>
      </c>
      <c r="H1441">
        <v>0.3707857</v>
      </c>
      <c r="I1441">
        <v>380.9522</v>
      </c>
      <c r="J1441">
        <v>-289.23910000000001</v>
      </c>
      <c r="K1441">
        <v>1.060454</v>
      </c>
      <c r="L1441">
        <v>367.00909999999999</v>
      </c>
      <c r="M1441">
        <v>0.99992320000000001</v>
      </c>
      <c r="N1441">
        <v>-1.216778E-2</v>
      </c>
      <c r="O1441">
        <v>-2.3536020000000002E-3</v>
      </c>
      <c r="P1441">
        <v>0.99007889999999998</v>
      </c>
      <c r="Q1441">
        <v>0.1097974</v>
      </c>
      <c r="R1441">
        <v>8.7683200000000003E-2</v>
      </c>
      <c r="S1441">
        <v>3.0036010000000002</v>
      </c>
      <c r="T1441">
        <v>-1.5786290000000001E-2</v>
      </c>
      <c r="U1441">
        <v>0.3191833</v>
      </c>
      <c r="V1441">
        <v>-8.998602E-2</v>
      </c>
      <c r="W1441">
        <v>0.1218543</v>
      </c>
      <c r="X1441">
        <v>0.98846040000000002</v>
      </c>
      <c r="Y1441">
        <v>-0.108007199999999</v>
      </c>
      <c r="Z1441">
        <v>9.2579860000000002E-4</v>
      </c>
      <c r="AA1441">
        <v>0.99414970000000003</v>
      </c>
      <c r="AB1441">
        <v>29</v>
      </c>
      <c r="AC1441">
        <v>131.04409999999999</v>
      </c>
      <c r="AD1441">
        <v>-0.68966830000000001</v>
      </c>
      <c r="AE1441">
        <v>13.943099999999999</v>
      </c>
      <c r="AF1441">
        <v>-14.2511195597466</v>
      </c>
      <c r="AG1441">
        <v>-0.68966830000000001</v>
      </c>
      <c r="AH1441">
        <v>131.00733005471301</v>
      </c>
      <c r="AI1441">
        <v>90.299853309696701</v>
      </c>
      <c r="AJ1441">
        <v>96.208285663572894</v>
      </c>
      <c r="AK1441">
        <v>131.781981238464</v>
      </c>
      <c r="AL1441">
        <v>83.0008681023603</v>
      </c>
      <c r="AM1441">
        <v>95.201671566821403</v>
      </c>
      <c r="AN1441">
        <v>0.99999995829604404</v>
      </c>
    </row>
    <row r="1442" spans="1:40" x14ac:dyDescent="0.25">
      <c r="A1442" t="str">
        <f>"20190304154747914"</f>
        <v>20190304154747914</v>
      </c>
      <c r="B1442" t="str">
        <f>"1551685667907696"</f>
        <v>1551685667907696</v>
      </c>
      <c r="C1442" t="s">
        <v>40</v>
      </c>
      <c r="D1442">
        <v>4.2091539999999998</v>
      </c>
      <c r="E1442">
        <v>0.49209839999999999</v>
      </c>
      <c r="F1442" t="s">
        <v>43</v>
      </c>
      <c r="G1442">
        <v>-158.19499999999999</v>
      </c>
      <c r="H1442">
        <v>0.31715389999999999</v>
      </c>
      <c r="I1442">
        <v>380.96390000000002</v>
      </c>
      <c r="J1442">
        <v>-289.09550000000002</v>
      </c>
      <c r="K1442">
        <v>1.0604549999999999</v>
      </c>
      <c r="L1442">
        <v>367.00880000000001</v>
      </c>
      <c r="M1442">
        <v>0.99992289999999995</v>
      </c>
      <c r="N1442">
        <v>-1.218501E-2</v>
      </c>
      <c r="O1442">
        <v>-2.3976969999999998E-3</v>
      </c>
      <c r="P1442">
        <v>0.99006490000000003</v>
      </c>
      <c r="Q1442">
        <v>0.1098967</v>
      </c>
      <c r="R1442">
        <v>8.7717290000000003E-2</v>
      </c>
      <c r="S1442">
        <v>3.0036320000000001</v>
      </c>
      <c r="T1442">
        <v>-1.703501E-2</v>
      </c>
      <c r="U1442">
        <v>0.31985469999999999</v>
      </c>
      <c r="V1442">
        <v>-9.0063420000000005E-2</v>
      </c>
      <c r="W1442">
        <v>0.1219702</v>
      </c>
      <c r="X1442">
        <v>0.98843910000000001</v>
      </c>
      <c r="Y1442">
        <v>-0.1082692</v>
      </c>
      <c r="Z1442">
        <v>9.5211280000000002E-4</v>
      </c>
      <c r="AA1442">
        <v>0.99412109999999998</v>
      </c>
      <c r="AB1442">
        <v>29</v>
      </c>
      <c r="AC1442">
        <v>130.90049999999999</v>
      </c>
      <c r="AD1442">
        <v>-0.74330109999999905</v>
      </c>
      <c r="AE1442">
        <v>13.9551</v>
      </c>
      <c r="AF1442">
        <v>-14.268488013683299</v>
      </c>
      <c r="AG1442">
        <v>-0.74330109999999905</v>
      </c>
      <c r="AH1442">
        <v>130.86248899456899</v>
      </c>
      <c r="AI1442">
        <v>90.3235201198558</v>
      </c>
      <c r="AJ1442">
        <v>96.222618592738201</v>
      </c>
      <c r="AK1442">
        <v>131.64016587871501</v>
      </c>
      <c r="AL1442">
        <v>82.994177922833899</v>
      </c>
      <c r="AM1442">
        <v>95.206232694926499</v>
      </c>
      <c r="AN1442">
        <v>1.0000000018594699</v>
      </c>
    </row>
    <row r="1443" spans="1:40" x14ac:dyDescent="0.25">
      <c r="A1443" t="str">
        <f>"20190304154747925"</f>
        <v>20190304154747925</v>
      </c>
      <c r="B1443" t="str">
        <f>"1551685667918432"</f>
        <v>1551685667918432</v>
      </c>
      <c r="C1443" t="s">
        <v>40</v>
      </c>
      <c r="D1443">
        <v>4.2075680000000002</v>
      </c>
      <c r="E1443">
        <v>0.49223280000000003</v>
      </c>
      <c r="F1443" t="s">
        <v>43</v>
      </c>
      <c r="G1443">
        <v>-158.19499999999999</v>
      </c>
      <c r="H1443">
        <v>0.3213377</v>
      </c>
      <c r="I1443">
        <v>380.96980000000002</v>
      </c>
      <c r="J1443">
        <v>-288.95080000000002</v>
      </c>
      <c r="K1443">
        <v>1.0604629999999999</v>
      </c>
      <c r="L1443">
        <v>367.00839999999999</v>
      </c>
      <c r="M1443">
        <v>0.99992270000000005</v>
      </c>
      <c r="N1443">
        <v>-1.220107E-2</v>
      </c>
      <c r="O1443">
        <v>-2.4426180000000001E-3</v>
      </c>
      <c r="P1443">
        <v>0.99009139999999995</v>
      </c>
      <c r="Q1443">
        <v>0.109867699999999</v>
      </c>
      <c r="R1443">
        <v>8.7453779999999995E-2</v>
      </c>
      <c r="S1443">
        <v>3.0036010000000002</v>
      </c>
      <c r="T1443">
        <v>-1.695752E-2</v>
      </c>
      <c r="U1443">
        <v>0.32034299999999999</v>
      </c>
      <c r="V1443">
        <v>-8.9844880000000002E-2</v>
      </c>
      <c r="W1443">
        <v>0.1219575</v>
      </c>
      <c r="X1443">
        <v>0.98846049999999996</v>
      </c>
      <c r="Y1443">
        <v>-0.10847469999999999</v>
      </c>
      <c r="Z1443">
        <v>9.5304060000000004E-4</v>
      </c>
      <c r="AA1443">
        <v>0.9940987</v>
      </c>
      <c r="AB1443">
        <v>29</v>
      </c>
      <c r="AC1443">
        <v>130.75579999999999</v>
      </c>
      <c r="AD1443">
        <v>-0.73912529999999999</v>
      </c>
      <c r="AE1443">
        <v>13.961399999999999</v>
      </c>
      <c r="AF1443">
        <v>-14.2803173942652</v>
      </c>
      <c r="AG1443">
        <v>-0.73912529999999999</v>
      </c>
      <c r="AH1443">
        <v>130.71717522222099</v>
      </c>
      <c r="AI1443">
        <v>90.322052915329394</v>
      </c>
      <c r="AJ1443">
        <v>96.234605643421204</v>
      </c>
      <c r="AK1443">
        <v>131.49697209125</v>
      </c>
      <c r="AL1443">
        <v>82.994910667314599</v>
      </c>
      <c r="AM1443">
        <v>95.193557051484305</v>
      </c>
      <c r="AN1443">
        <v>0.99999994716435503</v>
      </c>
    </row>
    <row r="1444" spans="1:40" x14ac:dyDescent="0.25">
      <c r="A1444" t="str">
        <f>"20190304154747936"</f>
        <v>20190304154747936</v>
      </c>
      <c r="B1444" t="str">
        <f>"1551685667928192"</f>
        <v>1551685667928192</v>
      </c>
      <c r="C1444" t="s">
        <v>40</v>
      </c>
      <c r="D1444">
        <v>4.4713180000000001</v>
      </c>
      <c r="E1444">
        <v>0.49223280000000003</v>
      </c>
      <c r="F1444" t="s">
        <v>43</v>
      </c>
      <c r="G1444">
        <v>-158.19499999999999</v>
      </c>
      <c r="H1444">
        <v>0.30822559999999999</v>
      </c>
      <c r="I1444">
        <v>380.87580000000003</v>
      </c>
      <c r="J1444">
        <v>-288.80189999999999</v>
      </c>
      <c r="K1444">
        <v>1.060465</v>
      </c>
      <c r="L1444">
        <v>367.00790000000001</v>
      </c>
      <c r="M1444">
        <v>0.99992230000000004</v>
      </c>
      <c r="N1444">
        <v>-1.221683E-2</v>
      </c>
      <c r="O1444">
        <v>-2.489322E-3</v>
      </c>
      <c r="P1444">
        <v>0.99010069999999994</v>
      </c>
      <c r="Q1444">
        <v>0.1101096</v>
      </c>
      <c r="R1444">
        <v>8.7043399999999896E-2</v>
      </c>
      <c r="S1444">
        <v>3.0038149999999999</v>
      </c>
      <c r="T1444">
        <v>-1.7278910000000001E-2</v>
      </c>
      <c r="U1444">
        <v>0.318573</v>
      </c>
      <c r="V1444">
        <v>-8.9480030000000002E-2</v>
      </c>
      <c r="W1444">
        <v>0.1222149</v>
      </c>
      <c r="X1444">
        <v>0.9884619</v>
      </c>
      <c r="Y1444">
        <v>-0.1079343</v>
      </c>
      <c r="Z1444">
        <v>9.547119E-4</v>
      </c>
      <c r="AA1444">
        <v>0.99415759999999997</v>
      </c>
      <c r="AB1444">
        <v>29</v>
      </c>
      <c r="AC1444">
        <v>130.6069</v>
      </c>
      <c r="AD1444">
        <v>-0.7522394</v>
      </c>
      <c r="AE1444">
        <v>13.867900000000001</v>
      </c>
      <c r="AF1444">
        <v>-14.1925383566545</v>
      </c>
      <c r="AG1444">
        <v>-0.7522394</v>
      </c>
      <c r="AH1444">
        <v>130.567688041369</v>
      </c>
      <c r="AI1444">
        <v>90.328161480029493</v>
      </c>
      <c r="AJ1444">
        <v>96.203620665570597</v>
      </c>
      <c r="AK1444">
        <v>131.338932421382</v>
      </c>
      <c r="AL1444">
        <v>82.980052253128207</v>
      </c>
      <c r="AM1444">
        <v>95.172573950426099</v>
      </c>
      <c r="AN1444">
        <v>1.0000000426511999</v>
      </c>
    </row>
    <row r="1445" spans="1:40" x14ac:dyDescent="0.25">
      <c r="A1445" t="str">
        <f>"20190304154747948"</f>
        <v>20190304154747948</v>
      </c>
      <c r="B1445" t="str">
        <f>"1551685667937952"</f>
        <v>1551685667937952</v>
      </c>
      <c r="C1445" t="s">
        <v>40</v>
      </c>
      <c r="D1445">
        <v>4.4035390000000003</v>
      </c>
      <c r="E1445">
        <v>0.55460849999999995</v>
      </c>
      <c r="F1445" t="s">
        <v>43</v>
      </c>
      <c r="G1445">
        <v>-158.19499999999999</v>
      </c>
      <c r="H1445">
        <v>0.34002110000000002</v>
      </c>
      <c r="I1445">
        <v>380.80070000000001</v>
      </c>
      <c r="J1445">
        <v>-288.64519999999999</v>
      </c>
      <c r="K1445">
        <v>1.0604690000000001</v>
      </c>
      <c r="L1445">
        <v>367.00749999999999</v>
      </c>
      <c r="M1445">
        <v>0.99992199999999998</v>
      </c>
      <c r="N1445">
        <v>-1.22325E-2</v>
      </c>
      <c r="O1445">
        <v>-2.5392420000000001E-3</v>
      </c>
      <c r="P1445">
        <v>0.99009650000000005</v>
      </c>
      <c r="Q1445">
        <v>0.1102185</v>
      </c>
      <c r="R1445">
        <v>8.6952409999999994E-2</v>
      </c>
      <c r="S1445">
        <v>3.0039370000000001</v>
      </c>
      <c r="T1445">
        <v>-1.6568059999999999E-2</v>
      </c>
      <c r="U1445">
        <v>0.31723020000000002</v>
      </c>
      <c r="V1445">
        <v>-8.9438599999999993E-2</v>
      </c>
      <c r="W1445">
        <v>0.1223389</v>
      </c>
      <c r="X1445">
        <v>0.9884503</v>
      </c>
      <c r="Y1445">
        <v>-0.1075406</v>
      </c>
      <c r="Z1445">
        <v>9.3834319999999997E-4</v>
      </c>
      <c r="AA1445">
        <v>0.99420019999999998</v>
      </c>
      <c r="AB1445">
        <v>29</v>
      </c>
      <c r="AC1445">
        <v>130.4502</v>
      </c>
      <c r="AD1445">
        <v>-0.72044790000000003</v>
      </c>
      <c r="AE1445">
        <v>13.793200000000001</v>
      </c>
      <c r="AF1445">
        <v>-14.123998888827099</v>
      </c>
      <c r="AG1445">
        <v>-0.72044790000000003</v>
      </c>
      <c r="AH1445">
        <v>130.410818793083</v>
      </c>
      <c r="AI1445">
        <v>90.314684221130705</v>
      </c>
      <c r="AJ1445">
        <v>96.181262714148303</v>
      </c>
      <c r="AK1445">
        <v>131.17540946408599</v>
      </c>
      <c r="AL1445">
        <v>82.972893789360398</v>
      </c>
      <c r="AM1445">
        <v>95.170252334411998</v>
      </c>
      <c r="AN1445">
        <v>1.0000000325966201</v>
      </c>
    </row>
    <row r="1446" spans="1:40" x14ac:dyDescent="0.25">
      <c r="A1446" t="str">
        <f>"20190304154747961"</f>
        <v>20190304154747961</v>
      </c>
      <c r="B1446" t="str">
        <f>"1551685667958448"</f>
        <v>1551685667958448</v>
      </c>
      <c r="C1446" t="s">
        <v>40</v>
      </c>
      <c r="D1446">
        <v>4.2798150000000001</v>
      </c>
      <c r="E1446">
        <v>0.56216279999999996</v>
      </c>
      <c r="F1446" t="s">
        <v>43</v>
      </c>
      <c r="G1446">
        <v>-170.08879999999999</v>
      </c>
      <c r="H1446">
        <v>7.6034009999999999</v>
      </c>
      <c r="I1446">
        <v>360.1225</v>
      </c>
      <c r="J1446">
        <v>-288.47980000000001</v>
      </c>
      <c r="K1446">
        <v>1.060467</v>
      </c>
      <c r="L1446">
        <v>367.00700000000001</v>
      </c>
      <c r="M1446">
        <v>0.99992170000000002</v>
      </c>
      <c r="N1446">
        <v>-1.224772E-2</v>
      </c>
      <c r="O1446">
        <v>-2.5921439999999998E-3</v>
      </c>
      <c r="P1446">
        <v>0.99012599999999995</v>
      </c>
      <c r="Q1446">
        <v>0.1102741</v>
      </c>
      <c r="R1446">
        <v>8.654647E-2</v>
      </c>
      <c r="S1446">
        <v>3.0268549999999999</v>
      </c>
      <c r="T1446">
        <v>0.16704929999999901</v>
      </c>
      <c r="U1446">
        <v>-0.175781299999999</v>
      </c>
      <c r="V1446">
        <v>-8.9085250000000005E-2</v>
      </c>
      <c r="W1446">
        <v>0.1224104</v>
      </c>
      <c r="X1446">
        <v>0.98847339999999995</v>
      </c>
      <c r="Y1446">
        <v>5.532869E-2</v>
      </c>
      <c r="Z1446">
        <v>1.010485E-3</v>
      </c>
      <c r="AA1446">
        <v>0.99846769999999996</v>
      </c>
      <c r="AB1446">
        <v>29</v>
      </c>
      <c r="AC1446">
        <v>118.39100000000001</v>
      </c>
      <c r="AD1446">
        <v>6.5429339999999998</v>
      </c>
      <c r="AE1446">
        <v>-6.8844999999999397</v>
      </c>
      <c r="AF1446">
        <v>6.55760613332692</v>
      </c>
      <c r="AG1446">
        <v>6.5429339999999998</v>
      </c>
      <c r="AH1446">
        <v>118.049110160946</v>
      </c>
      <c r="AI1446">
        <v>86.832470587750393</v>
      </c>
      <c r="AJ1446">
        <v>86.820497824764104</v>
      </c>
      <c r="AK1446">
        <v>118.41201203137901</v>
      </c>
      <c r="AL1446">
        <v>82.968766418310096</v>
      </c>
      <c r="AM1446">
        <v>95.149816285431996</v>
      </c>
      <c r="AN1446">
        <v>1.00000007515163</v>
      </c>
    </row>
    <row r="1447" spans="1:40" x14ac:dyDescent="0.25">
      <c r="A1447" t="str">
        <f>"20190304154747974"</f>
        <v>20190304154747974</v>
      </c>
      <c r="B1447" t="str">
        <f>"1551685667968207"</f>
        <v>1551685667968207</v>
      </c>
      <c r="C1447" t="s">
        <v>40</v>
      </c>
      <c r="D1447">
        <v>4.342015</v>
      </c>
      <c r="E1447">
        <v>0.56407499999999999</v>
      </c>
      <c r="F1447" t="s">
        <v>43</v>
      </c>
      <c r="G1447">
        <v>-163.32910000000001</v>
      </c>
      <c r="H1447">
        <v>6.6740880000000002</v>
      </c>
      <c r="I1447">
        <v>357.22300000000001</v>
      </c>
      <c r="J1447">
        <v>-288.3143</v>
      </c>
      <c r="K1447">
        <v>1.0604690000000001</v>
      </c>
      <c r="L1447">
        <v>367.00650000000002</v>
      </c>
      <c r="M1447">
        <v>0.99992139999999996</v>
      </c>
      <c r="N1447">
        <v>-1.226258E-2</v>
      </c>
      <c r="O1447">
        <v>-2.6449249999999998E-3</v>
      </c>
      <c r="P1447">
        <v>0.99013039999999997</v>
      </c>
      <c r="Q1447">
        <v>0.110469899999999</v>
      </c>
      <c r="R1447">
        <v>8.6246740000000002E-2</v>
      </c>
      <c r="S1447">
        <v>3.0354610000000002</v>
      </c>
      <c r="T1447">
        <v>0.13615739999999901</v>
      </c>
      <c r="U1447">
        <v>-0.23730470000000001</v>
      </c>
      <c r="V1447">
        <v>-8.8837819999999998E-2</v>
      </c>
      <c r="W1447">
        <v>0.12262049999999999</v>
      </c>
      <c r="X1447">
        <v>0.9884695</v>
      </c>
      <c r="Y1447">
        <v>7.5252050000000001E-2</v>
      </c>
      <c r="Z1447">
        <v>1.071282E-3</v>
      </c>
      <c r="AA1447">
        <v>0.99716400000000005</v>
      </c>
      <c r="AB1447">
        <v>29</v>
      </c>
      <c r="AC1447">
        <v>124.98520000000001</v>
      </c>
      <c r="AD1447">
        <v>5.6136189999999999</v>
      </c>
      <c r="AE1447">
        <v>-9.7835000000000001</v>
      </c>
      <c r="AF1447">
        <v>9.4339493371827707</v>
      </c>
      <c r="AG1447">
        <v>5.6136189999999999</v>
      </c>
      <c r="AH1447">
        <v>124.76049574593399</v>
      </c>
      <c r="AI1447">
        <v>87.431028838994706</v>
      </c>
      <c r="AJ1447">
        <v>85.675724250161693</v>
      </c>
      <c r="AK1447">
        <v>125.24253836913699</v>
      </c>
      <c r="AL1447">
        <v>82.956636307714007</v>
      </c>
      <c r="AM1447">
        <v>95.1356096643607</v>
      </c>
      <c r="AN1447">
        <v>0.99999994885642396</v>
      </c>
    </row>
    <row r="1448" spans="1:40" x14ac:dyDescent="0.25">
      <c r="A1448" t="str">
        <f>"20190304154747986"</f>
        <v>20190304154747986</v>
      </c>
      <c r="B1448" t="str">
        <f>"1551685667977968"</f>
        <v>1551685667977968</v>
      </c>
      <c r="C1448" t="s">
        <v>40</v>
      </c>
      <c r="D1448">
        <v>4.3206490000000004</v>
      </c>
      <c r="E1448">
        <v>0.56479569999999901</v>
      </c>
      <c r="F1448" t="s">
        <v>43</v>
      </c>
      <c r="G1448">
        <v>-163.74189999999999</v>
      </c>
      <c r="H1448">
        <v>6.6740880000000002</v>
      </c>
      <c r="I1448">
        <v>356.5985</v>
      </c>
      <c r="J1448">
        <v>-288.1379</v>
      </c>
      <c r="K1448">
        <v>1.0604720000000001</v>
      </c>
      <c r="L1448">
        <v>367.00599999999997</v>
      </c>
      <c r="M1448">
        <v>0.99992110000000001</v>
      </c>
      <c r="N1448">
        <v>-1.2278560000000001E-2</v>
      </c>
      <c r="O1448">
        <v>-2.7006869999999998E-3</v>
      </c>
      <c r="P1448">
        <v>0.99013090000000004</v>
      </c>
      <c r="Q1448">
        <v>0.1106306</v>
      </c>
      <c r="R1448">
        <v>8.6034260000000001E-2</v>
      </c>
      <c r="S1448">
        <v>3.0367739999999999</v>
      </c>
      <c r="T1448">
        <v>0.13684839999999901</v>
      </c>
      <c r="U1448">
        <v>-0.25372309999999998</v>
      </c>
      <c r="V1448">
        <v>-8.8680800000000004E-2</v>
      </c>
      <c r="W1448">
        <v>0.12279660000000001</v>
      </c>
      <c r="X1448">
        <v>0.98846179999999995</v>
      </c>
      <c r="Y1448">
        <v>8.0513829999999995E-2</v>
      </c>
      <c r="Z1448">
        <v>1.1601929999999999E-3</v>
      </c>
      <c r="AA1448">
        <v>0.99675279999999999</v>
      </c>
      <c r="AB1448">
        <v>29</v>
      </c>
      <c r="AC1448">
        <v>124.396</v>
      </c>
      <c r="AD1448">
        <v>5.6136160000000004</v>
      </c>
      <c r="AE1448">
        <v>-10.407499999999899</v>
      </c>
      <c r="AF1448">
        <v>10.0511557540416</v>
      </c>
      <c r="AG1448">
        <v>5.6136160000000004</v>
      </c>
      <c r="AH1448">
        <v>124.172543020316</v>
      </c>
      <c r="AI1448">
        <v>87.419951058288007</v>
      </c>
      <c r="AJ1448">
        <v>85.372278362008004</v>
      </c>
      <c r="AK1448">
        <v>124.705087533427</v>
      </c>
      <c r="AL1448">
        <v>82.946470119778894</v>
      </c>
      <c r="AM1448">
        <v>95.126620657972595</v>
      </c>
      <c r="AN1448">
        <v>1.0000000096597199</v>
      </c>
    </row>
    <row r="1449" spans="1:40" x14ac:dyDescent="0.25">
      <c r="A1449" t="str">
        <f>"20190304154748004"</f>
        <v>20190304154748004</v>
      </c>
      <c r="B1449" t="str">
        <f>"1551685667998464"</f>
        <v>1551685667998464</v>
      </c>
      <c r="C1449" t="s">
        <v>40</v>
      </c>
      <c r="D1449">
        <v>4.3337409999999998</v>
      </c>
      <c r="E1449">
        <v>0.56615490000000002</v>
      </c>
      <c r="F1449" t="s">
        <v>43</v>
      </c>
      <c r="G1449">
        <v>-166.76669999999999</v>
      </c>
      <c r="H1449">
        <v>6.2082920000000001</v>
      </c>
      <c r="I1449">
        <v>356.61509999999998</v>
      </c>
      <c r="J1449">
        <v>-287.9169</v>
      </c>
      <c r="K1449">
        <v>1.0604750000000001</v>
      </c>
      <c r="L1449">
        <v>367.00529999999998</v>
      </c>
      <c r="M1449">
        <v>0.99992049999999999</v>
      </c>
      <c r="N1449">
        <v>-1.229913E-2</v>
      </c>
      <c r="O1449">
        <v>-2.7692350000000001E-3</v>
      </c>
      <c r="P1449">
        <v>0.99012880000000003</v>
      </c>
      <c r="Q1449">
        <v>0.1109221</v>
      </c>
      <c r="R1449">
        <v>8.5682389999999997E-2</v>
      </c>
      <c r="S1449">
        <v>3.038116</v>
      </c>
      <c r="T1449">
        <v>0.12886019999999901</v>
      </c>
      <c r="U1449">
        <v>-0.26010129999999998</v>
      </c>
      <c r="V1449">
        <v>-8.8396920000000004E-2</v>
      </c>
      <c r="W1449">
        <v>0.12310839999999899</v>
      </c>
      <c r="X1449">
        <v>0.9884484</v>
      </c>
      <c r="Y1449">
        <v>8.2492930000000006E-2</v>
      </c>
      <c r="Z1449">
        <v>1.085908E-3</v>
      </c>
      <c r="AA1449">
        <v>0.996591</v>
      </c>
      <c r="AB1449">
        <v>29</v>
      </c>
      <c r="AC1449">
        <v>121.1502</v>
      </c>
      <c r="AD1449">
        <v>5.1478169999999999</v>
      </c>
      <c r="AE1449">
        <v>-10.390199999999901</v>
      </c>
      <c r="AF1449">
        <v>10.0366525122363</v>
      </c>
      <c r="AG1449">
        <v>5.1478169999999999</v>
      </c>
      <c r="AH1449">
        <v>120.961708537845</v>
      </c>
      <c r="AI1449">
        <v>87.571445989700194</v>
      </c>
      <c r="AJ1449">
        <v>85.2568166394081</v>
      </c>
      <c r="AK1449">
        <v>121.486498615736</v>
      </c>
      <c r="AL1449">
        <v>82.928468404673097</v>
      </c>
      <c r="AM1449">
        <v>95.110365553658696</v>
      </c>
      <c r="AN1449">
        <v>0.99999996653930201</v>
      </c>
    </row>
    <row r="1450" spans="1:40" x14ac:dyDescent="0.25">
      <c r="A1450" t="str">
        <f>"20190304154748015"</f>
        <v>20190304154748015</v>
      </c>
      <c r="B1450" t="str">
        <f>"1551685668008224"</f>
        <v>1551685668008224</v>
      </c>
      <c r="C1450" t="s">
        <v>40</v>
      </c>
      <c r="D1450">
        <v>4.330883</v>
      </c>
      <c r="E1450">
        <v>0.56640769999999996</v>
      </c>
      <c r="F1450" t="s">
        <v>43</v>
      </c>
      <c r="G1450">
        <v>-169.2955</v>
      </c>
      <c r="H1450">
        <v>6.0900489999999996</v>
      </c>
      <c r="I1450">
        <v>356.39170000000001</v>
      </c>
      <c r="J1450">
        <v>-287.77300000000002</v>
      </c>
      <c r="K1450">
        <v>1.0604769999999999</v>
      </c>
      <c r="L1450">
        <v>367.00490000000002</v>
      </c>
      <c r="M1450">
        <v>0.99992029999999998</v>
      </c>
      <c r="N1450">
        <v>-1.231258E-2</v>
      </c>
      <c r="O1450">
        <v>-2.8133049999999999E-3</v>
      </c>
      <c r="P1450">
        <v>0.99015209999999998</v>
      </c>
      <c r="Q1450">
        <v>0.1108806</v>
      </c>
      <c r="R1450">
        <v>8.5465780000000005E-2</v>
      </c>
      <c r="S1450">
        <v>3.0389710000000001</v>
      </c>
      <c r="T1450">
        <v>0.1288551</v>
      </c>
      <c r="U1450">
        <v>-0.27191159999999998</v>
      </c>
      <c r="V1450">
        <v>-8.8223770000000007E-2</v>
      </c>
      <c r="W1450">
        <v>0.1230805</v>
      </c>
      <c r="X1450">
        <v>0.9884674</v>
      </c>
      <c r="Y1450">
        <v>8.6265969999999997E-2</v>
      </c>
      <c r="Z1450">
        <v>1.1385480000000001E-3</v>
      </c>
      <c r="AA1450">
        <v>0.99627149999999998</v>
      </c>
      <c r="AB1450">
        <v>29</v>
      </c>
      <c r="AC1450">
        <v>118.477499999999</v>
      </c>
      <c r="AD1450">
        <v>5.0295719999999999</v>
      </c>
      <c r="AE1450">
        <v>-10.613200000000001</v>
      </c>
      <c r="AF1450">
        <v>10.2614739287687</v>
      </c>
      <c r="AG1450">
        <v>5.0295719999999999</v>
      </c>
      <c r="AH1450">
        <v>118.295402858405</v>
      </c>
      <c r="AI1450">
        <v>87.574515919426403</v>
      </c>
      <c r="AJ1450">
        <v>85.042317067089499</v>
      </c>
      <c r="AK1450">
        <v>118.84610544366301</v>
      </c>
      <c r="AL1450">
        <v>82.930079601071299</v>
      </c>
      <c r="AM1450">
        <v>95.100310807363897</v>
      </c>
      <c r="AN1450">
        <v>1.0000000219680101</v>
      </c>
    </row>
    <row r="1451" spans="1:40" x14ac:dyDescent="0.25">
      <c r="A1451" t="str">
        <f>"20190304154748026"</f>
        <v>20190304154748026</v>
      </c>
      <c r="B1451" t="str">
        <f>"1551685668017984"</f>
        <v>1551685668017984</v>
      </c>
      <c r="C1451" t="s">
        <v>40</v>
      </c>
      <c r="D1451">
        <v>4.332128</v>
      </c>
      <c r="E1451">
        <v>0.56636830000000005</v>
      </c>
      <c r="F1451" t="s">
        <v>43</v>
      </c>
      <c r="G1451">
        <v>-169.2955</v>
      </c>
      <c r="H1451">
        <v>5.8042150000000001</v>
      </c>
      <c r="I1451">
        <v>356.2921</v>
      </c>
      <c r="J1451">
        <v>-287.61649999999997</v>
      </c>
      <c r="K1451">
        <v>1.060487</v>
      </c>
      <c r="L1451">
        <v>367.00439999999998</v>
      </c>
      <c r="M1451">
        <v>0.99991989999999997</v>
      </c>
      <c r="N1451">
        <v>-1.2327060000000001E-2</v>
      </c>
      <c r="O1451">
        <v>-2.8598899999999999E-3</v>
      </c>
      <c r="P1451">
        <v>0.99012639999999996</v>
      </c>
      <c r="Q1451">
        <v>0.11110250000000001</v>
      </c>
      <c r="R1451">
        <v>8.5474399999999895E-2</v>
      </c>
      <c r="S1451">
        <v>3.039917</v>
      </c>
      <c r="T1451">
        <v>0.1217178</v>
      </c>
      <c r="U1451">
        <v>-0.2748718</v>
      </c>
      <c r="V1451">
        <v>-8.8278199999999904E-2</v>
      </c>
      <c r="W1451">
        <v>0.1233161</v>
      </c>
      <c r="X1451">
        <v>0.98843309999999995</v>
      </c>
      <c r="Y1451">
        <v>8.7160669999999996E-2</v>
      </c>
      <c r="Z1451">
        <v>1.0528320000000001E-3</v>
      </c>
      <c r="AA1451">
        <v>0.99619369999999996</v>
      </c>
      <c r="AB1451">
        <v>29</v>
      </c>
      <c r="AC1451">
        <v>118.320999999999</v>
      </c>
      <c r="AD1451">
        <v>4.7437279999999999</v>
      </c>
      <c r="AE1451">
        <v>-10.7122999999999</v>
      </c>
      <c r="AF1451">
        <v>10.3573327014601</v>
      </c>
      <c r="AG1451">
        <v>4.7437279999999999</v>
      </c>
      <c r="AH1451">
        <v>118.162767241255</v>
      </c>
      <c r="AI1451">
        <v>87.709826404197997</v>
      </c>
      <c r="AJ1451">
        <v>84.9906502576587</v>
      </c>
      <c r="AK1451">
        <v>118.710643407142</v>
      </c>
      <c r="AL1451">
        <v>82.916476560043904</v>
      </c>
      <c r="AM1451">
        <v>95.103617013469304</v>
      </c>
      <c r="AN1451">
        <v>0.99999994714502805</v>
      </c>
    </row>
    <row r="1452" spans="1:40" x14ac:dyDescent="0.25">
      <c r="A1452" t="str">
        <f>"20190304154748037"</f>
        <v>20190304154748037</v>
      </c>
      <c r="B1452" t="str">
        <f>"1551685668027744"</f>
        <v>1551685668027744</v>
      </c>
      <c r="C1452" t="s">
        <v>40</v>
      </c>
      <c r="D1452">
        <v>4.3086789999999997</v>
      </c>
      <c r="E1452">
        <v>0.56594129999999998</v>
      </c>
      <c r="F1452" t="s">
        <v>43</v>
      </c>
      <c r="G1452">
        <v>-169.2955</v>
      </c>
      <c r="H1452">
        <v>5.6176240000000002</v>
      </c>
      <c r="I1452">
        <v>356.3313</v>
      </c>
      <c r="J1452">
        <v>-287.47879999999998</v>
      </c>
      <c r="K1452">
        <v>1.0604910000000001</v>
      </c>
      <c r="L1452">
        <v>367.00389999999999</v>
      </c>
      <c r="M1452">
        <v>0.99991969999999997</v>
      </c>
      <c r="N1452">
        <v>-1.234029E-2</v>
      </c>
      <c r="O1452">
        <v>-2.9005049999999998E-3</v>
      </c>
      <c r="P1452">
        <v>0.99014429999999998</v>
      </c>
      <c r="Q1452">
        <v>0.1111027</v>
      </c>
      <c r="R1452">
        <v>8.5266960000000003E-2</v>
      </c>
      <c r="S1452">
        <v>3.0404360000000001</v>
      </c>
      <c r="T1452">
        <v>0.1171046</v>
      </c>
      <c r="U1452">
        <v>-0.27426149999999999</v>
      </c>
      <c r="V1452">
        <v>-8.8111200000000001E-2</v>
      </c>
      <c r="W1452">
        <v>0.12332940000000001</v>
      </c>
      <c r="X1452">
        <v>0.98844639999999995</v>
      </c>
      <c r="Y1452">
        <v>8.6910940000000006E-2</v>
      </c>
      <c r="Z1452">
        <v>9.8507059999999999E-4</v>
      </c>
      <c r="AA1452">
        <v>0.99621559999999998</v>
      </c>
      <c r="AB1452">
        <v>29</v>
      </c>
      <c r="AC1452">
        <v>118.18329999999899</v>
      </c>
      <c r="AD1452">
        <v>4.5571330000000003</v>
      </c>
      <c r="AE1452">
        <v>-10.6725999999999</v>
      </c>
      <c r="AF1452">
        <v>10.3145255231248</v>
      </c>
      <c r="AG1452">
        <v>4.5571330000000003</v>
      </c>
      <c r="AH1452">
        <v>118.03967187343601</v>
      </c>
      <c r="AI1452">
        <v>87.797476271033503</v>
      </c>
      <c r="AJ1452">
        <v>85.006073233176096</v>
      </c>
      <c r="AK1452">
        <v>118.577067909167</v>
      </c>
      <c r="AL1452">
        <v>82.915709076964603</v>
      </c>
      <c r="AM1452">
        <v>95.093944925518798</v>
      </c>
      <c r="AN1452">
        <v>1.00000000507138</v>
      </c>
    </row>
    <row r="1453" spans="1:40" x14ac:dyDescent="0.25">
      <c r="A1453" t="str">
        <f>"20190304154748047"</f>
        <v>20190304154748047</v>
      </c>
      <c r="B1453" t="str">
        <f>"1551685668038480"</f>
        <v>1551685668038480</v>
      </c>
      <c r="C1453" t="s">
        <v>40</v>
      </c>
      <c r="D1453">
        <v>4.3259359999999996</v>
      </c>
      <c r="E1453">
        <v>0.56564820000000005</v>
      </c>
      <c r="F1453" t="s">
        <v>43</v>
      </c>
      <c r="G1453">
        <v>-169.2955</v>
      </c>
      <c r="H1453">
        <v>5.2422459999999997</v>
      </c>
      <c r="I1453">
        <v>356.42919999999998</v>
      </c>
      <c r="J1453">
        <v>-287.34019999999998</v>
      </c>
      <c r="K1453">
        <v>1.060494</v>
      </c>
      <c r="L1453">
        <v>367.00349999999997</v>
      </c>
      <c r="M1453">
        <v>0.99991949999999996</v>
      </c>
      <c r="N1453">
        <v>-1.235399E-2</v>
      </c>
      <c r="O1453">
        <v>-2.9410019999999999E-3</v>
      </c>
      <c r="P1453">
        <v>0.99011990000000005</v>
      </c>
      <c r="Q1453">
        <v>0.1112749</v>
      </c>
      <c r="R1453">
        <v>8.5327399999999901E-2</v>
      </c>
      <c r="S1453">
        <v>3.0412599999999999</v>
      </c>
      <c r="T1453">
        <v>0.107613</v>
      </c>
      <c r="U1453">
        <v>-0.27212520000000001</v>
      </c>
      <c r="V1453">
        <v>-8.8211440000000002E-2</v>
      </c>
      <c r="W1453">
        <v>0.123514899999999</v>
      </c>
      <c r="X1453">
        <v>0.98841429999999997</v>
      </c>
      <c r="Y1453">
        <v>8.6160470000000003E-2</v>
      </c>
      <c r="Z1453">
        <v>8.4738209999999997E-4</v>
      </c>
      <c r="AA1453">
        <v>0.99628090000000002</v>
      </c>
      <c r="AB1453">
        <v>29</v>
      </c>
      <c r="AC1453">
        <v>118.044699999999</v>
      </c>
      <c r="AD1453">
        <v>4.1817520000000004</v>
      </c>
      <c r="AE1453">
        <v>-10.5742999999999</v>
      </c>
      <c r="AF1453">
        <v>10.214341752273601</v>
      </c>
      <c r="AG1453">
        <v>4.1817520000000004</v>
      </c>
      <c r="AH1453">
        <v>117.928475547367</v>
      </c>
      <c r="AI1453">
        <v>87.976707542631999</v>
      </c>
      <c r="AJ1453">
        <v>85.049696737477703</v>
      </c>
      <c r="AK1453">
        <v>118.443848181945</v>
      </c>
      <c r="AL1453">
        <v>82.904998846910502</v>
      </c>
      <c r="AM1453">
        <v>95.099874273874804</v>
      </c>
      <c r="AN1453">
        <v>1.00000000855668</v>
      </c>
    </row>
    <row r="1454" spans="1:40" x14ac:dyDescent="0.25">
      <c r="A1454" t="str">
        <f>"20190304154748058"</f>
        <v>20190304154748058</v>
      </c>
      <c r="B1454" t="str">
        <f>"1551685668048240"</f>
        <v>1551685668048240</v>
      </c>
      <c r="C1454" t="s">
        <v>40</v>
      </c>
      <c r="D1454">
        <v>4.3029219999999997</v>
      </c>
      <c r="E1454">
        <v>0.56580489999999894</v>
      </c>
      <c r="F1454" t="s">
        <v>43</v>
      </c>
      <c r="G1454">
        <v>-169.2955</v>
      </c>
      <c r="H1454">
        <v>4.9465899999999996</v>
      </c>
      <c r="I1454">
        <v>356.5428</v>
      </c>
      <c r="J1454">
        <v>-287.19749999999999</v>
      </c>
      <c r="K1454">
        <v>1.0604979999999999</v>
      </c>
      <c r="L1454">
        <v>367.00299999999999</v>
      </c>
      <c r="M1454">
        <v>0.99991909999999895</v>
      </c>
      <c r="N1454">
        <v>-1.236865E-2</v>
      </c>
      <c r="O1454">
        <v>-2.9815089999999998E-3</v>
      </c>
      <c r="P1454">
        <v>0.99007590000000001</v>
      </c>
      <c r="Q1454">
        <v>0.111566899999999</v>
      </c>
      <c r="R1454">
        <v>8.545527E-2</v>
      </c>
      <c r="S1454">
        <v>3.0419010000000002</v>
      </c>
      <c r="T1454">
        <v>0.1001432</v>
      </c>
      <c r="U1454">
        <v>-0.26956180000000002</v>
      </c>
      <c r="V1454">
        <v>-8.8379589999999994E-2</v>
      </c>
      <c r="W1454">
        <v>0.123821</v>
      </c>
      <c r="X1454">
        <v>0.98836089999999999</v>
      </c>
      <c r="Y1454">
        <v>8.5274349999999999E-2</v>
      </c>
      <c r="Z1454">
        <v>7.3731610000000005E-4</v>
      </c>
      <c r="AA1454">
        <v>0.9963573</v>
      </c>
      <c r="AB1454">
        <v>29</v>
      </c>
      <c r="AC1454">
        <v>117.902</v>
      </c>
      <c r="AD1454">
        <v>3.8860920000000001</v>
      </c>
      <c r="AE1454">
        <v>-10.4602</v>
      </c>
      <c r="AF1454">
        <v>10.0977164114977</v>
      </c>
      <c r="AG1454">
        <v>3.8860920000000001</v>
      </c>
      <c r="AH1454">
        <v>117.805682603165</v>
      </c>
      <c r="AI1454">
        <v>88.117549339207798</v>
      </c>
      <c r="AJ1454">
        <v>85.100865795560097</v>
      </c>
      <c r="AK1454">
        <v>118.301498052041</v>
      </c>
      <c r="AL1454">
        <v>82.887324378448895</v>
      </c>
      <c r="AM1454">
        <v>95.109818922493304</v>
      </c>
      <c r="AN1454">
        <v>0.99999993030918599</v>
      </c>
    </row>
    <row r="1455" spans="1:40" x14ac:dyDescent="0.25">
      <c r="A1455" t="str">
        <f>"20190304154748070"</f>
        <v>20190304154748070</v>
      </c>
      <c r="B1455" t="str">
        <f>"1551685668067760"</f>
        <v>1551685668067760</v>
      </c>
      <c r="C1455" t="s">
        <v>40</v>
      </c>
      <c r="D1455">
        <v>4.3078029999999998</v>
      </c>
      <c r="E1455">
        <v>0.56594809999999995</v>
      </c>
      <c r="F1455" t="s">
        <v>43</v>
      </c>
      <c r="G1455">
        <v>-169.2955</v>
      </c>
      <c r="H1455">
        <v>4.769533</v>
      </c>
      <c r="I1455">
        <v>356.52199999999999</v>
      </c>
      <c r="J1455">
        <v>-287.0428</v>
      </c>
      <c r="K1455">
        <v>1.0605009999999999</v>
      </c>
      <c r="L1455">
        <v>367.0025</v>
      </c>
      <c r="M1455">
        <v>0.99991890000000005</v>
      </c>
      <c r="N1455">
        <v>-1.238481E-2</v>
      </c>
      <c r="O1455">
        <v>-3.0250070000000001E-3</v>
      </c>
      <c r="P1455">
        <v>0.99005189999999998</v>
      </c>
      <c r="Q1455">
        <v>0.1118464</v>
      </c>
      <c r="R1455">
        <v>8.5370370000000001E-2</v>
      </c>
      <c r="S1455">
        <v>3.0426329999999999</v>
      </c>
      <c r="T1455">
        <v>9.5719219999999994E-2</v>
      </c>
      <c r="U1455">
        <v>-0.27047729999999998</v>
      </c>
      <c r="V1455">
        <v>-8.8337199999999894E-2</v>
      </c>
      <c r="W1455">
        <v>0.1241163</v>
      </c>
      <c r="X1455">
        <v>0.98832770000000003</v>
      </c>
      <c r="Y1455">
        <v>8.5510399999999903E-2</v>
      </c>
      <c r="Z1455">
        <v>6.7908649999999895E-4</v>
      </c>
      <c r="AA1455">
        <v>0.99633709999999998</v>
      </c>
      <c r="AB1455">
        <v>29</v>
      </c>
      <c r="AC1455">
        <v>117.7473</v>
      </c>
      <c r="AD1455">
        <v>3.7090320000000001</v>
      </c>
      <c r="AE1455">
        <v>-10.480499999999999</v>
      </c>
      <c r="AF1455">
        <v>10.1142814063833</v>
      </c>
      <c r="AG1455">
        <v>3.7090320000000001</v>
      </c>
      <c r="AH1455">
        <v>117.662634629707</v>
      </c>
      <c r="AI1455">
        <v>88.2011154894046</v>
      </c>
      <c r="AJ1455">
        <v>85.086931481211707</v>
      </c>
      <c r="AK1455">
        <v>118.154776436454</v>
      </c>
      <c r="AL1455">
        <v>82.870273758618396</v>
      </c>
      <c r="AM1455">
        <v>95.107551696997703</v>
      </c>
      <c r="AN1455">
        <v>0.99999997970840904</v>
      </c>
    </row>
    <row r="1456" spans="1:40" x14ac:dyDescent="0.25">
      <c r="A1456" t="str">
        <f>"20190304154748082"</f>
        <v>20190304154748082</v>
      </c>
      <c r="B1456" t="str">
        <f>"1551685668078496"</f>
        <v>1551685668078496</v>
      </c>
      <c r="C1456" t="s">
        <v>40</v>
      </c>
      <c r="D1456">
        <v>4.2927299999999997</v>
      </c>
      <c r="E1456">
        <v>0.56593970000000005</v>
      </c>
      <c r="F1456" t="s">
        <v>43</v>
      </c>
      <c r="G1456">
        <v>-169.2955</v>
      </c>
      <c r="H1456">
        <v>4.4698169999999999</v>
      </c>
      <c r="I1456">
        <v>356.47969999999998</v>
      </c>
      <c r="J1456">
        <v>-286.89789999999999</v>
      </c>
      <c r="K1456">
        <v>1.0605020000000001</v>
      </c>
      <c r="L1456">
        <v>367.00200000000001</v>
      </c>
      <c r="M1456">
        <v>0.99991850000000004</v>
      </c>
      <c r="N1456">
        <v>-1.2399810000000001E-2</v>
      </c>
      <c r="O1456">
        <v>-3.0637329999999999E-3</v>
      </c>
      <c r="P1456">
        <v>0.9900466</v>
      </c>
      <c r="Q1456">
        <v>0.1119522</v>
      </c>
      <c r="R1456">
        <v>8.5290660000000004E-2</v>
      </c>
      <c r="S1456">
        <v>3.0436399999999999</v>
      </c>
      <c r="T1456">
        <v>8.8129280000000004E-2</v>
      </c>
      <c r="U1456">
        <v>-0.2720032</v>
      </c>
      <c r="V1456">
        <v>-8.8295319999999997E-2</v>
      </c>
      <c r="W1456">
        <v>0.1242369</v>
      </c>
      <c r="X1456">
        <v>0.98831630000000004</v>
      </c>
      <c r="Y1456">
        <v>8.5942999999999894E-2</v>
      </c>
      <c r="Z1456">
        <v>5.8111580000000005E-4</v>
      </c>
      <c r="AA1456">
        <v>0.99629990000000002</v>
      </c>
      <c r="AB1456">
        <v>29</v>
      </c>
      <c r="AC1456">
        <v>117.6024</v>
      </c>
      <c r="AD1456">
        <v>3.4093149999999999</v>
      </c>
      <c r="AE1456">
        <v>-10.5222999999999</v>
      </c>
      <c r="AF1456">
        <v>10.153455075015</v>
      </c>
      <c r="AG1456">
        <v>3.4093149999999999</v>
      </c>
      <c r="AH1456">
        <v>117.53609154883399</v>
      </c>
      <c r="AI1456">
        <v>88.344675235033407</v>
      </c>
      <c r="AJ1456">
        <v>85.062712615398695</v>
      </c>
      <c r="AK1456">
        <v>118.023086281055</v>
      </c>
      <c r="AL1456">
        <v>82.863310061570104</v>
      </c>
      <c r="AM1456">
        <v>95.1052016194907</v>
      </c>
      <c r="AN1456">
        <v>0.99999998985060101</v>
      </c>
    </row>
    <row r="1457" spans="1:40" x14ac:dyDescent="0.25">
      <c r="A1457" t="str">
        <f>"20190304154748095"</f>
        <v>20190304154748095</v>
      </c>
      <c r="B1457" t="str">
        <f>"1551685668088256"</f>
        <v>1551685668088256</v>
      </c>
      <c r="C1457" t="s">
        <v>40</v>
      </c>
      <c r="D1457">
        <v>4.2835939999999999</v>
      </c>
      <c r="E1457">
        <v>0.56595419999999996</v>
      </c>
      <c r="F1457" t="s">
        <v>43</v>
      </c>
      <c r="G1457">
        <v>-169.2955</v>
      </c>
      <c r="H1457">
        <v>4.3142889999999996</v>
      </c>
      <c r="I1457">
        <v>356.4796</v>
      </c>
      <c r="J1457">
        <v>-286.7337</v>
      </c>
      <c r="K1457">
        <v>1.0604990000000001</v>
      </c>
      <c r="L1457">
        <v>367.00139999999999</v>
      </c>
      <c r="M1457">
        <v>0.99991810000000003</v>
      </c>
      <c r="N1457">
        <v>-1.2417030000000001E-2</v>
      </c>
      <c r="O1457">
        <v>-3.1099639999999998E-3</v>
      </c>
      <c r="P1457">
        <v>0.99006499999999997</v>
      </c>
      <c r="Q1457">
        <v>0.1117836</v>
      </c>
      <c r="R1457">
        <v>8.5298470000000001E-2</v>
      </c>
      <c r="S1457">
        <v>3.044098</v>
      </c>
      <c r="T1457">
        <v>8.4225419999999995E-2</v>
      </c>
      <c r="U1457">
        <v>-0.27236939999999998</v>
      </c>
      <c r="V1457">
        <v>-8.8348850000000007E-2</v>
      </c>
      <c r="W1457">
        <v>0.1240851</v>
      </c>
      <c r="X1457">
        <v>0.98833059999999995</v>
      </c>
      <c r="Y1457">
        <v>8.6004869999999997E-2</v>
      </c>
      <c r="Z1457">
        <v>5.2772050000000003E-4</v>
      </c>
      <c r="AA1457">
        <v>0.99629460000000003</v>
      </c>
      <c r="AB1457">
        <v>29</v>
      </c>
      <c r="AC1457">
        <v>117.43819999999999</v>
      </c>
      <c r="AD1457">
        <v>3.2537899999999902</v>
      </c>
      <c r="AE1457">
        <v>-10.521799999999899</v>
      </c>
      <c r="AF1457">
        <v>10.148763780735701</v>
      </c>
      <c r="AG1457">
        <v>3.2537899999999902</v>
      </c>
      <c r="AH1457">
        <v>117.380967589687</v>
      </c>
      <c r="AI1457">
        <v>88.418071389873106</v>
      </c>
      <c r="AJ1457">
        <v>85.058493002790897</v>
      </c>
      <c r="AK1457">
        <v>117.863803213422</v>
      </c>
      <c r="AL1457">
        <v>82.872075481388606</v>
      </c>
      <c r="AM1457">
        <v>95.108206813150801</v>
      </c>
      <c r="AN1457">
        <v>1.0000000031173399</v>
      </c>
    </row>
    <row r="1458" spans="1:40" x14ac:dyDescent="0.25">
      <c r="A1458" t="str">
        <f>"20190304154748105"</f>
        <v>20190304154748105</v>
      </c>
      <c r="B1458" t="str">
        <f>"1551685668098016"</f>
        <v>1551685668098016</v>
      </c>
      <c r="C1458" t="s">
        <v>40</v>
      </c>
      <c r="D1458">
        <v>4.2936930000000002</v>
      </c>
      <c r="E1458">
        <v>0.56596650000000004</v>
      </c>
      <c r="F1458" t="s">
        <v>43</v>
      </c>
      <c r="G1458">
        <v>-169.2955</v>
      </c>
      <c r="H1458">
        <v>4.163761</v>
      </c>
      <c r="I1458">
        <v>356.48340000000002</v>
      </c>
      <c r="J1458">
        <v>-286.5779</v>
      </c>
      <c r="K1458">
        <v>1.0605059999999999</v>
      </c>
      <c r="L1458">
        <v>367.0009</v>
      </c>
      <c r="M1458">
        <v>0.99991779999999997</v>
      </c>
      <c r="N1458">
        <v>-1.2434219999999999E-2</v>
      </c>
      <c r="O1458">
        <v>-3.1619669999999999E-3</v>
      </c>
      <c r="P1458">
        <v>0.99006620000000001</v>
      </c>
      <c r="Q1458">
        <v>0.1117961</v>
      </c>
      <c r="R1458">
        <v>8.526773E-2</v>
      </c>
      <c r="S1458">
        <v>3.0445250000000001</v>
      </c>
      <c r="T1458">
        <v>8.0452679999999999E-2</v>
      </c>
      <c r="U1458">
        <v>-0.27267459999999999</v>
      </c>
      <c r="V1458">
        <v>-8.8371160000000004E-2</v>
      </c>
      <c r="W1458">
        <v>0.1241139</v>
      </c>
      <c r="X1458">
        <v>0.98832500000000001</v>
      </c>
      <c r="Y1458">
        <v>8.6041820000000005E-2</v>
      </c>
      <c r="Z1458">
        <v>4.7570339999999998E-4</v>
      </c>
      <c r="AA1458">
        <v>0.99629140000000005</v>
      </c>
      <c r="AB1458">
        <v>29</v>
      </c>
      <c r="AC1458">
        <v>117.2824</v>
      </c>
      <c r="AD1458">
        <v>3.1032549999999999</v>
      </c>
      <c r="AE1458">
        <v>-10.517499999999901</v>
      </c>
      <c r="AF1458">
        <v>10.1395335002378</v>
      </c>
      <c r="AG1458">
        <v>3.1032549999999999</v>
      </c>
      <c r="AH1458">
        <v>117.233649947472</v>
      </c>
      <c r="AI1458">
        <v>88.489332696317902</v>
      </c>
      <c r="AJ1458">
        <v>85.056791835654295</v>
      </c>
      <c r="AK1458">
        <v>117.712229658621</v>
      </c>
      <c r="AL1458">
        <v>82.870412584771302</v>
      </c>
      <c r="AM1458">
        <v>95.109518716847006</v>
      </c>
      <c r="AN1458">
        <v>1.00000001385897</v>
      </c>
    </row>
    <row r="1459" spans="1:40" x14ac:dyDescent="0.25">
      <c r="A1459" t="str">
        <f>"20190304154748118"</f>
        <v>20190304154748118</v>
      </c>
      <c r="B1459" t="str">
        <f>"1551685668107777"</f>
        <v>1551685668107777</v>
      </c>
      <c r="C1459" t="s">
        <v>40</v>
      </c>
      <c r="D1459">
        <v>4.2463100000000003</v>
      </c>
      <c r="E1459">
        <v>0.56602640000000004</v>
      </c>
      <c r="F1459" t="s">
        <v>43</v>
      </c>
      <c r="G1459">
        <v>-169.2955</v>
      </c>
      <c r="H1459">
        <v>4.0465049999999998</v>
      </c>
      <c r="I1459">
        <v>356.50020000000001</v>
      </c>
      <c r="J1459">
        <v>-286.42169999999999</v>
      </c>
      <c r="K1459">
        <v>1.060511</v>
      </c>
      <c r="L1459">
        <v>367.00029999999998</v>
      </c>
      <c r="M1459">
        <v>0.99991750000000001</v>
      </c>
      <c r="N1459">
        <v>-1.245195E-2</v>
      </c>
      <c r="O1459">
        <v>-3.213053E-3</v>
      </c>
      <c r="P1459">
        <v>0.99009440000000004</v>
      </c>
      <c r="Q1459">
        <v>0.1116431</v>
      </c>
      <c r="R1459">
        <v>8.5143300000000005E-2</v>
      </c>
      <c r="S1459">
        <v>3.0448300000000001</v>
      </c>
      <c r="T1459">
        <v>7.7523229999999999E-2</v>
      </c>
      <c r="U1459">
        <v>-0.27261350000000001</v>
      </c>
      <c r="V1459">
        <v>-8.8298669999999996E-2</v>
      </c>
      <c r="W1459">
        <v>0.12397809999999999</v>
      </c>
      <c r="X1459">
        <v>0.98834849999999996</v>
      </c>
      <c r="Y1459">
        <v>8.5963819999999996E-2</v>
      </c>
      <c r="Z1459">
        <v>4.340953E-4</v>
      </c>
      <c r="AA1459">
        <v>0.99629820000000002</v>
      </c>
      <c r="AB1459">
        <v>29</v>
      </c>
      <c r="AC1459">
        <v>117.126199999999</v>
      </c>
      <c r="AD1459">
        <v>2.9859939999999998</v>
      </c>
      <c r="AE1459">
        <v>-10.5000999999999</v>
      </c>
      <c r="AF1459">
        <v>10.1171609259022</v>
      </c>
      <c r="AG1459">
        <v>2.9859939999999998</v>
      </c>
      <c r="AH1459">
        <v>117.08384513784701</v>
      </c>
      <c r="AI1459">
        <v>88.5445213999744</v>
      </c>
      <c r="AJ1459">
        <v>85.061365420319802</v>
      </c>
      <c r="AK1459">
        <v>117.55807032114799</v>
      </c>
      <c r="AL1459">
        <v>82.878253750125495</v>
      </c>
      <c r="AM1459">
        <v>95.105228838860796</v>
      </c>
      <c r="AN1459">
        <v>0.999999990927814</v>
      </c>
    </row>
    <row r="1460" spans="1:40" x14ac:dyDescent="0.25">
      <c r="A1460" t="str">
        <f>"20190304154748130"</f>
        <v>20190304154748130</v>
      </c>
      <c r="B1460" t="str">
        <f>"1551685668118512"</f>
        <v>1551685668118512</v>
      </c>
      <c r="C1460" t="s">
        <v>40</v>
      </c>
      <c r="D1460">
        <v>4.2879969999999998</v>
      </c>
      <c r="E1460">
        <v>0.56600379999999995</v>
      </c>
      <c r="F1460" t="s">
        <v>43</v>
      </c>
      <c r="G1460">
        <v>-169.2955</v>
      </c>
      <c r="H1460">
        <v>3.9361999999999999</v>
      </c>
      <c r="I1460">
        <v>356.4794</v>
      </c>
      <c r="J1460">
        <v>-286.26409999999998</v>
      </c>
      <c r="K1460">
        <v>1.0605150000000001</v>
      </c>
      <c r="L1460">
        <v>366.99979999999999</v>
      </c>
      <c r="M1460">
        <v>0.99991699999999994</v>
      </c>
      <c r="N1460">
        <v>-1.2470200000000001E-2</v>
      </c>
      <c r="O1460">
        <v>-3.2633369999999998E-3</v>
      </c>
      <c r="P1460">
        <v>0.99010339999999997</v>
      </c>
      <c r="Q1460">
        <v>0.11161119999999999</v>
      </c>
      <c r="R1460">
        <v>8.5079619999999995E-2</v>
      </c>
      <c r="S1460">
        <v>3.045105</v>
      </c>
      <c r="T1460">
        <v>7.4765799999999993E-2</v>
      </c>
      <c r="U1460">
        <v>-0.27352910000000002</v>
      </c>
      <c r="V1460">
        <v>-8.8285169999999996E-2</v>
      </c>
      <c r="W1460">
        <v>0.1239639</v>
      </c>
      <c r="X1460">
        <v>0.98835150000000005</v>
      </c>
      <c r="Y1460">
        <v>8.6204240000000001E-2</v>
      </c>
      <c r="Z1460">
        <v>3.968059E-4</v>
      </c>
      <c r="AA1460">
        <v>0.99627739999999998</v>
      </c>
      <c r="AB1460">
        <v>29</v>
      </c>
      <c r="AC1460">
        <v>116.968599999999</v>
      </c>
      <c r="AD1460">
        <v>2.8756849999999998</v>
      </c>
      <c r="AE1460">
        <v>-10.520399999999899</v>
      </c>
      <c r="AF1460">
        <v>10.1325311297729</v>
      </c>
      <c r="AG1460">
        <v>2.8756849999999998</v>
      </c>
      <c r="AH1460">
        <v>116.932201507638</v>
      </c>
      <c r="AI1460">
        <v>88.5964802583118</v>
      </c>
      <c r="AJ1460">
        <v>85.047517260747895</v>
      </c>
      <c r="AK1460">
        <v>117.405611027489</v>
      </c>
      <c r="AL1460">
        <v>82.879073766288201</v>
      </c>
      <c r="AM1460">
        <v>95.104437011317401</v>
      </c>
      <c r="AN1460">
        <v>1.00000000364869</v>
      </c>
    </row>
    <row r="1461" spans="1:40" x14ac:dyDescent="0.25">
      <c r="A1461" t="str">
        <f>"20190304154748148"</f>
        <v>20190304154748148</v>
      </c>
      <c r="B1461" t="str">
        <f>"1551685668138032"</f>
        <v>1551685668138032</v>
      </c>
      <c r="C1461" t="s">
        <v>40</v>
      </c>
      <c r="D1461">
        <v>4.3060289999999997</v>
      </c>
      <c r="E1461">
        <v>0.56591409999999998</v>
      </c>
      <c r="F1461" t="s">
        <v>43</v>
      </c>
      <c r="G1461">
        <v>-169.2955</v>
      </c>
      <c r="H1461">
        <v>3.833351</v>
      </c>
      <c r="I1461">
        <v>356.48899999999998</v>
      </c>
      <c r="J1461">
        <v>-286.01920000000001</v>
      </c>
      <c r="K1461">
        <v>1.060516</v>
      </c>
      <c r="L1461">
        <v>366.99889999999999</v>
      </c>
      <c r="M1461">
        <v>0.99991649999999999</v>
      </c>
      <c r="N1461">
        <v>-1.2498459999999999E-2</v>
      </c>
      <c r="O1461">
        <v>-3.3358929999999999E-3</v>
      </c>
      <c r="P1461">
        <v>0.9901799</v>
      </c>
      <c r="Q1461">
        <v>0.11115129999999999</v>
      </c>
      <c r="R1461">
        <v>8.4792140000000002E-2</v>
      </c>
      <c r="S1461">
        <v>3.0452880000000002</v>
      </c>
      <c r="T1461">
        <v>7.2193259999999995E-2</v>
      </c>
      <c r="U1461">
        <v>-0.27365109999999998</v>
      </c>
      <c r="V1461">
        <v>-8.8069830000000002E-2</v>
      </c>
      <c r="W1461">
        <v>0.1235329</v>
      </c>
      <c r="X1461">
        <v>0.98842470000000004</v>
      </c>
      <c r="Y1461">
        <v>8.6167499999999994E-2</v>
      </c>
      <c r="Z1461">
        <v>3.5903820000000001E-4</v>
      </c>
      <c r="AA1461">
        <v>0.99628059999999996</v>
      </c>
      <c r="AB1461">
        <v>29</v>
      </c>
      <c r="AC1461">
        <v>116.72369999999999</v>
      </c>
      <c r="AD1461">
        <v>2.7728350000000002</v>
      </c>
      <c r="AE1461">
        <v>-10.509899999999901</v>
      </c>
      <c r="AF1461">
        <v>10.1147712678997</v>
      </c>
      <c r="AG1461">
        <v>2.7728350000000002</v>
      </c>
      <c r="AH1461">
        <v>116.692789907356</v>
      </c>
      <c r="AI1461">
        <v>88.643886127117696</v>
      </c>
      <c r="AJ1461">
        <v>85.046062131886401</v>
      </c>
      <c r="AK1461">
        <v>117.163153030727</v>
      </c>
      <c r="AL1461">
        <v>82.903959716258498</v>
      </c>
      <c r="AM1461">
        <v>95.091676982580694</v>
      </c>
      <c r="AN1461">
        <v>1.0000000299543601</v>
      </c>
    </row>
    <row r="1462" spans="1:40" x14ac:dyDescent="0.25">
      <c r="A1462" t="str">
        <f>"20190304154748162"</f>
        <v>20190304154748162</v>
      </c>
      <c r="B1462" t="str">
        <f>"1551685668158528"</f>
        <v>1551685668158528</v>
      </c>
      <c r="C1462" t="s">
        <v>40</v>
      </c>
      <c r="D1462">
        <v>4.2784459999999997</v>
      </c>
      <c r="E1462">
        <v>0.56581289999999995</v>
      </c>
      <c r="F1462" t="s">
        <v>43</v>
      </c>
      <c r="G1462">
        <v>-169.2955</v>
      </c>
      <c r="H1462">
        <v>3.5552290000000002</v>
      </c>
      <c r="I1462">
        <v>356.51679999999999</v>
      </c>
      <c r="J1462">
        <v>-285.846</v>
      </c>
      <c r="K1462">
        <v>1.060522</v>
      </c>
      <c r="L1462">
        <v>366.99829999999997</v>
      </c>
      <c r="M1462">
        <v>0.99991609999999997</v>
      </c>
      <c r="N1462">
        <v>-1.251913E-2</v>
      </c>
      <c r="O1462">
        <v>-3.3853920000000001E-3</v>
      </c>
      <c r="P1462">
        <v>0.99022920000000003</v>
      </c>
      <c r="Q1462">
        <v>0.11099530000000001</v>
      </c>
      <c r="R1462">
        <v>8.4418610000000005E-2</v>
      </c>
      <c r="S1462">
        <v>3.045868</v>
      </c>
      <c r="T1462">
        <v>6.5101030000000004E-2</v>
      </c>
      <c r="U1462">
        <v>-0.27352910000000002</v>
      </c>
      <c r="V1462">
        <v>-8.7744710000000004E-2</v>
      </c>
      <c r="W1462">
        <v>0.12339799999999999</v>
      </c>
      <c r="X1462">
        <v>0.98847039999999997</v>
      </c>
      <c r="Y1462">
        <v>8.6064699999999994E-2</v>
      </c>
      <c r="Z1462">
        <v>2.6345360000000001E-4</v>
      </c>
      <c r="AA1462">
        <v>0.99628950000000005</v>
      </c>
      <c r="AB1462">
        <v>29</v>
      </c>
      <c r="AC1462">
        <v>116.5505</v>
      </c>
      <c r="AD1462">
        <v>2.494707</v>
      </c>
      <c r="AE1462">
        <v>-10.481499999999899</v>
      </c>
      <c r="AF1462">
        <v>10.0822577900349</v>
      </c>
      <c r="AG1462">
        <v>2.494707</v>
      </c>
      <c r="AH1462">
        <v>116.532357414564</v>
      </c>
      <c r="AI1462">
        <v>88.778171086575497</v>
      </c>
      <c r="AJ1462">
        <v>85.055142787993006</v>
      </c>
      <c r="AK1462">
        <v>116.994298193357</v>
      </c>
      <c r="AL1462">
        <v>82.911748054854002</v>
      </c>
      <c r="AM1462">
        <v>95.072745411912507</v>
      </c>
      <c r="AN1462">
        <v>0.99999996610657105</v>
      </c>
    </row>
    <row r="1463" spans="1:40" x14ac:dyDescent="0.25">
      <c r="A1463" t="str">
        <f>"20190304154748175"</f>
        <v>20190304154748175</v>
      </c>
      <c r="B1463" t="str">
        <f>"1551685668168289"</f>
        <v>1551685668168289</v>
      </c>
      <c r="C1463" t="s">
        <v>40</v>
      </c>
      <c r="D1463">
        <v>4.2928269999999999</v>
      </c>
      <c r="E1463">
        <v>0.56586269999999905</v>
      </c>
      <c r="F1463" t="s">
        <v>43</v>
      </c>
      <c r="G1463">
        <v>-169.2955</v>
      </c>
      <c r="H1463">
        <v>3.375432</v>
      </c>
      <c r="I1463">
        <v>356.50479999999999</v>
      </c>
      <c r="J1463">
        <v>-285.67910000000001</v>
      </c>
      <c r="K1463">
        <v>1.0605230000000001</v>
      </c>
      <c r="L1463">
        <v>366.99770000000001</v>
      </c>
      <c r="M1463">
        <v>0.99991560000000002</v>
      </c>
      <c r="N1463">
        <v>-1.253992E-2</v>
      </c>
      <c r="O1463">
        <v>-3.4328599999999998E-3</v>
      </c>
      <c r="P1463">
        <v>0.99026069999999999</v>
      </c>
      <c r="Q1463">
        <v>0.1107913</v>
      </c>
      <c r="R1463">
        <v>8.4315379999999995E-2</v>
      </c>
      <c r="S1463">
        <v>3.0462039999999999</v>
      </c>
      <c r="T1463">
        <v>6.0505509999999998E-2</v>
      </c>
      <c r="U1463">
        <v>-0.27426149999999999</v>
      </c>
      <c r="V1463">
        <v>-8.7688249999999995E-2</v>
      </c>
      <c r="W1463">
        <v>0.1232153</v>
      </c>
      <c r="X1463">
        <v>0.98849819999999999</v>
      </c>
      <c r="Y1463">
        <v>8.6246939999999994E-2</v>
      </c>
      <c r="Z1463">
        <v>2.018387E-4</v>
      </c>
      <c r="AA1463">
        <v>0.99627379999999999</v>
      </c>
      <c r="AB1463">
        <v>29</v>
      </c>
      <c r="AC1463">
        <v>116.3836</v>
      </c>
      <c r="AD1463">
        <v>2.3149090000000001</v>
      </c>
      <c r="AE1463">
        <v>-10.492900000000001</v>
      </c>
      <c r="AF1463">
        <v>10.0893187817904</v>
      </c>
      <c r="AG1463">
        <v>2.3149090000000001</v>
      </c>
      <c r="AH1463">
        <v>116.37326859802999</v>
      </c>
      <c r="AI1463">
        <v>88.864674511745804</v>
      </c>
      <c r="AJ1463">
        <v>85.044965949676296</v>
      </c>
      <c r="AK1463">
        <v>116.832747127456</v>
      </c>
      <c r="AL1463">
        <v>82.922296488110405</v>
      </c>
      <c r="AM1463">
        <v>95.069356500702995</v>
      </c>
      <c r="AN1463">
        <v>0.99999996537269498</v>
      </c>
    </row>
    <row r="1464" spans="1:40" x14ac:dyDescent="0.25">
      <c r="A1464" t="str">
        <f>"20190304154748186"</f>
        <v>20190304154748186</v>
      </c>
      <c r="B1464" t="str">
        <f>"1551685668178047"</f>
        <v>1551685668178047</v>
      </c>
      <c r="C1464" t="s">
        <v>40</v>
      </c>
      <c r="D1464">
        <v>4.2808419999999998</v>
      </c>
      <c r="E1464">
        <v>0.56592959999999903</v>
      </c>
      <c r="F1464" t="s">
        <v>43</v>
      </c>
      <c r="G1464">
        <v>-169.2955</v>
      </c>
      <c r="H1464">
        <v>3.2948119999999999</v>
      </c>
      <c r="I1464">
        <v>356.48140000000001</v>
      </c>
      <c r="J1464">
        <v>-285.51319999999998</v>
      </c>
      <c r="K1464">
        <v>1.060527</v>
      </c>
      <c r="L1464">
        <v>366.99700000000001</v>
      </c>
      <c r="M1464">
        <v>0.99991509999999995</v>
      </c>
      <c r="N1464">
        <v>-1.256264E-2</v>
      </c>
      <c r="O1464">
        <v>-3.4806839999999999E-3</v>
      </c>
      <c r="P1464">
        <v>0.99028190000000005</v>
      </c>
      <c r="Q1464">
        <v>0.11065949999999999</v>
      </c>
      <c r="R1464">
        <v>8.4239229999999998E-2</v>
      </c>
      <c r="S1464">
        <v>3.0463870000000002</v>
      </c>
      <c r="T1464">
        <v>5.8485629999999997E-2</v>
      </c>
      <c r="U1464">
        <v>-0.27526859999999997</v>
      </c>
      <c r="V1464">
        <v>-8.7659749999999995E-2</v>
      </c>
      <c r="W1464">
        <v>0.12310649999999999</v>
      </c>
      <c r="X1464">
        <v>0.98851429999999996</v>
      </c>
      <c r="Y1464">
        <v>8.6521329999999994E-2</v>
      </c>
      <c r="Z1464">
        <v>1.738446E-4</v>
      </c>
      <c r="AA1464">
        <v>0.99624999999999997</v>
      </c>
      <c r="AB1464">
        <v>29</v>
      </c>
      <c r="AC1464">
        <v>116.217699999999</v>
      </c>
      <c r="AD1464">
        <v>2.2342849999999999</v>
      </c>
      <c r="AE1464">
        <v>-10.5155999999999</v>
      </c>
      <c r="AF1464">
        <v>10.1072819849271</v>
      </c>
      <c r="AG1464">
        <v>2.2342849999999999</v>
      </c>
      <c r="AH1464">
        <v>116.210997397596</v>
      </c>
      <c r="AI1464">
        <v>88.902702307159203</v>
      </c>
      <c r="AJ1464">
        <v>85.029291440903904</v>
      </c>
      <c r="AK1464">
        <v>116.67109794087</v>
      </c>
      <c r="AL1464">
        <v>82.928578208895402</v>
      </c>
      <c r="AM1464">
        <v>95.067635356071406</v>
      </c>
      <c r="AN1464">
        <v>0.99999998170840099</v>
      </c>
    </row>
    <row r="1465" spans="1:40" x14ac:dyDescent="0.25">
      <c r="A1465" t="str">
        <f>"20190304154748199"</f>
        <v>20190304154748199</v>
      </c>
      <c r="B1465" t="str">
        <f>"1551685668187808"</f>
        <v>1551685668187808</v>
      </c>
      <c r="C1465" t="s">
        <v>40</v>
      </c>
      <c r="D1465">
        <v>4.278187</v>
      </c>
      <c r="E1465">
        <v>0.56599239999999995</v>
      </c>
      <c r="F1465" t="s">
        <v>43</v>
      </c>
      <c r="G1465">
        <v>-169.2955</v>
      </c>
      <c r="H1465">
        <v>3.2282470000000001</v>
      </c>
      <c r="I1465">
        <v>356.46730000000002</v>
      </c>
      <c r="J1465">
        <v>-285.35919999999999</v>
      </c>
      <c r="K1465">
        <v>1.060532</v>
      </c>
      <c r="L1465">
        <v>366.99639999999999</v>
      </c>
      <c r="M1465">
        <v>0.99991479999999999</v>
      </c>
      <c r="N1465">
        <v>-1.258601E-2</v>
      </c>
      <c r="O1465">
        <v>-3.5269530000000002E-3</v>
      </c>
      <c r="P1465">
        <v>0.99030819999999997</v>
      </c>
      <c r="Q1465">
        <v>0.1105742</v>
      </c>
      <c r="R1465">
        <v>8.4044839999999996E-2</v>
      </c>
      <c r="S1465">
        <v>3.04657</v>
      </c>
      <c r="T1465">
        <v>5.6827549999999998E-2</v>
      </c>
      <c r="U1465">
        <v>-0.27603149999999999</v>
      </c>
      <c r="V1465">
        <v>-8.751196E-2</v>
      </c>
      <c r="W1465">
        <v>0.123044</v>
      </c>
      <c r="X1465">
        <v>0.98853519999999995</v>
      </c>
      <c r="Y1465">
        <v>8.6717900000000001E-2</v>
      </c>
      <c r="Z1465">
        <v>1.5023989999999999E-4</v>
      </c>
      <c r="AA1465">
        <v>0.99623289999999998</v>
      </c>
      <c r="AB1465">
        <v>29</v>
      </c>
      <c r="AC1465">
        <v>116.063699999999</v>
      </c>
      <c r="AD1465">
        <v>2.1677149999999998</v>
      </c>
      <c r="AE1465">
        <v>-10.5290999999999</v>
      </c>
      <c r="AF1465">
        <v>10.1161509595927</v>
      </c>
      <c r="AG1465">
        <v>2.1677149999999998</v>
      </c>
      <c r="AH1465">
        <v>116.059962056906</v>
      </c>
      <c r="AI1465">
        <v>88.934020737524193</v>
      </c>
      <c r="AJ1465">
        <v>85.018509853613693</v>
      </c>
      <c r="AK1465">
        <v>116.520171177393</v>
      </c>
      <c r="AL1465">
        <v>82.932186796778595</v>
      </c>
      <c r="AM1465">
        <v>95.059029542967806</v>
      </c>
      <c r="AN1465">
        <v>1.0000000053590401</v>
      </c>
    </row>
    <row r="1466" spans="1:40" x14ac:dyDescent="0.25">
      <c r="A1466" t="str">
        <f>"20190304154748220"</f>
        <v>20190304154748220</v>
      </c>
      <c r="B1466" t="str">
        <f>"1551685668218066"</f>
        <v>1551685668218066</v>
      </c>
      <c r="C1466" t="s">
        <v>40</v>
      </c>
      <c r="D1466">
        <v>4.262778</v>
      </c>
      <c r="E1466">
        <v>0.56641439999999998</v>
      </c>
      <c r="F1466" t="s">
        <v>43</v>
      </c>
      <c r="G1466">
        <v>-169.2955</v>
      </c>
      <c r="H1466">
        <v>3.1814779999999998</v>
      </c>
      <c r="I1466">
        <v>356.42989999999998</v>
      </c>
      <c r="J1466">
        <v>-285.07889999999998</v>
      </c>
      <c r="K1466">
        <v>1.060543</v>
      </c>
      <c r="L1466">
        <v>366.99529999999999</v>
      </c>
      <c r="M1466">
        <v>0.99991370000000002</v>
      </c>
      <c r="N1466">
        <v>-1.2635189999999999E-2</v>
      </c>
      <c r="O1466">
        <v>-3.6131850000000001E-3</v>
      </c>
      <c r="P1466">
        <v>0.99033689999999996</v>
      </c>
      <c r="Q1466">
        <v>0.1106087</v>
      </c>
      <c r="R1466">
        <v>8.3658860000000002E-2</v>
      </c>
      <c r="S1466">
        <v>3.0466920000000002</v>
      </c>
      <c r="T1466">
        <v>5.5677409999999997E-2</v>
      </c>
      <c r="U1466">
        <v>-0.27737430000000002</v>
      </c>
      <c r="V1466">
        <v>-8.7211739999999996E-2</v>
      </c>
      <c r="W1466">
        <v>0.1231269</v>
      </c>
      <c r="X1466">
        <v>0.98855139999999997</v>
      </c>
      <c r="Y1466">
        <v>8.7064299999999997E-2</v>
      </c>
      <c r="Z1466">
        <v>1.3118029999999999E-4</v>
      </c>
      <c r="AA1466">
        <v>0.9962027</v>
      </c>
      <c r="AB1466">
        <v>29</v>
      </c>
      <c r="AC1466">
        <v>115.78339999999901</v>
      </c>
      <c r="AD1466">
        <v>2.1209349999999998</v>
      </c>
      <c r="AE1466">
        <v>-10.5654</v>
      </c>
      <c r="AF1466">
        <v>10.1435751966394</v>
      </c>
      <c r="AG1466">
        <v>2.1209349999999998</v>
      </c>
      <c r="AH1466">
        <v>115.78229153607499</v>
      </c>
      <c r="AI1466">
        <v>88.954559467043396</v>
      </c>
      <c r="AJ1466">
        <v>84.993155503614005</v>
      </c>
      <c r="AK1466">
        <v>116.24512685006999</v>
      </c>
      <c r="AL1466">
        <v>82.927400514505706</v>
      </c>
      <c r="AM1466">
        <v>95.041681360359803</v>
      </c>
      <c r="AN1466">
        <v>0.999999995769698</v>
      </c>
    </row>
    <row r="1467" spans="1:40" x14ac:dyDescent="0.25">
      <c r="A1467" t="str">
        <f>"20190304154748230"</f>
        <v>20190304154748230</v>
      </c>
      <c r="B1467" t="str">
        <f>"1551685668227824"</f>
        <v>1551685668227824</v>
      </c>
      <c r="C1467" t="s">
        <v>40</v>
      </c>
      <c r="D1467">
        <v>4.2492789999999996</v>
      </c>
      <c r="E1467">
        <v>0.56653180000000003</v>
      </c>
      <c r="F1467" t="s">
        <v>43</v>
      </c>
      <c r="G1467">
        <v>-169.2955</v>
      </c>
      <c r="H1467">
        <v>3.150617</v>
      </c>
      <c r="I1467">
        <v>356.27780000000001</v>
      </c>
      <c r="J1467">
        <v>-284.93920000000003</v>
      </c>
      <c r="K1467">
        <v>1.0605500000000001</v>
      </c>
      <c r="L1467">
        <v>366.9948</v>
      </c>
      <c r="M1467">
        <v>0.99991319999999995</v>
      </c>
      <c r="N1467">
        <v>-1.2662720000000001E-2</v>
      </c>
      <c r="O1467">
        <v>-3.657095E-3</v>
      </c>
      <c r="P1467">
        <v>0.99034920000000004</v>
      </c>
      <c r="Q1467">
        <v>0.1107078</v>
      </c>
      <c r="R1467">
        <v>8.3381090000000005E-2</v>
      </c>
      <c r="S1467">
        <v>3.046967</v>
      </c>
      <c r="T1467">
        <v>5.5004839999999999E-2</v>
      </c>
      <c r="U1467">
        <v>-0.2820435</v>
      </c>
      <c r="V1467">
        <v>-8.6977960000000007E-2</v>
      </c>
      <c r="W1467">
        <v>0.12325319999999999</v>
      </c>
      <c r="X1467">
        <v>0.98855630000000005</v>
      </c>
      <c r="Y1467">
        <v>8.8526380000000002E-2</v>
      </c>
      <c r="Z1467">
        <v>1.234838E-4</v>
      </c>
      <c r="AA1467">
        <v>0.99607380000000001</v>
      </c>
      <c r="AB1467">
        <v>29</v>
      </c>
      <c r="AC1467">
        <v>115.6437</v>
      </c>
      <c r="AD1467">
        <v>2.0900669999999999</v>
      </c>
      <c r="AE1467">
        <v>-10.716999999999899</v>
      </c>
      <c r="AF1467">
        <v>10.290641673412599</v>
      </c>
      <c r="AG1467">
        <v>2.0900669999999999</v>
      </c>
      <c r="AH1467">
        <v>115.64466963488</v>
      </c>
      <c r="AI1467">
        <v>88.968670023703893</v>
      </c>
      <c r="AJ1467">
        <v>84.914928227726094</v>
      </c>
      <c r="AK1467">
        <v>116.120434468165</v>
      </c>
      <c r="AL1467">
        <v>82.920108812400898</v>
      </c>
      <c r="AM1467">
        <v>95.028211197824803</v>
      </c>
      <c r="AN1467">
        <v>1.0000000375528399</v>
      </c>
    </row>
    <row r="1468" spans="1:40" x14ac:dyDescent="0.25">
      <c r="A1468" t="str">
        <f>"20190304154748243"</f>
        <v>20190304154748243</v>
      </c>
      <c r="B1468" t="str">
        <f>"1551685668237584"</f>
        <v>1551685668237584</v>
      </c>
      <c r="C1468" t="s">
        <v>40</v>
      </c>
      <c r="D1468">
        <v>4.2706650000000002</v>
      </c>
      <c r="E1468">
        <v>0.56660129999999997</v>
      </c>
      <c r="F1468" t="s">
        <v>43</v>
      </c>
      <c r="G1468">
        <v>-169.2955</v>
      </c>
      <c r="H1468">
        <v>3.1656740000000001</v>
      </c>
      <c r="I1468">
        <v>356.22989999999999</v>
      </c>
      <c r="J1468">
        <v>-284.78989999999999</v>
      </c>
      <c r="K1468">
        <v>1.060559</v>
      </c>
      <c r="L1468">
        <v>366.99419999999998</v>
      </c>
      <c r="M1468">
        <v>0.99991269999999999</v>
      </c>
      <c r="N1468">
        <v>-1.2697730000000001E-2</v>
      </c>
      <c r="O1468">
        <v>-3.7041600000000002E-3</v>
      </c>
      <c r="P1468">
        <v>0.99034160000000004</v>
      </c>
      <c r="Q1468">
        <v>0.111069</v>
      </c>
      <c r="R1468">
        <v>8.2990339999999996E-2</v>
      </c>
      <c r="S1468">
        <v>3.0469360000000001</v>
      </c>
      <c r="T1468">
        <v>5.5467250000000003E-2</v>
      </c>
      <c r="U1468">
        <v>-0.2836304</v>
      </c>
      <c r="V1468">
        <v>-8.663332E-2</v>
      </c>
      <c r="W1468">
        <v>0.1236488</v>
      </c>
      <c r="X1468">
        <v>0.98853709999999995</v>
      </c>
      <c r="Y1468">
        <v>8.8994610000000002E-2</v>
      </c>
      <c r="Z1468">
        <v>1.277494E-4</v>
      </c>
      <c r="AA1468">
        <v>0.99603209999999998</v>
      </c>
      <c r="AB1468">
        <v>29</v>
      </c>
      <c r="AC1468">
        <v>115.494399999999</v>
      </c>
      <c r="AD1468">
        <v>2.1051150000000001</v>
      </c>
      <c r="AE1468">
        <v>-10.764299999999899</v>
      </c>
      <c r="AF1468">
        <v>10.332978697416999</v>
      </c>
      <c r="AG1468">
        <v>2.1051150000000001</v>
      </c>
      <c r="AH1468">
        <v>115.49544361381901</v>
      </c>
      <c r="AI1468">
        <v>88.959948803836099</v>
      </c>
      <c r="AJ1468">
        <v>84.887555824445698</v>
      </c>
      <c r="AK1468">
        <v>115.97585720087299</v>
      </c>
      <c r="AL1468">
        <v>82.897267459582906</v>
      </c>
      <c r="AM1468">
        <v>95.0084858164428</v>
      </c>
      <c r="AN1468">
        <v>0.99999997797603501</v>
      </c>
    </row>
    <row r="1469" spans="1:40" x14ac:dyDescent="0.25">
      <c r="A1469" t="str">
        <f>"20190304154748254"</f>
        <v>20190304154748254</v>
      </c>
      <c r="B1469" t="str">
        <f>"1551685668248321"</f>
        <v>1551685668248321</v>
      </c>
      <c r="C1469" t="s">
        <v>40</v>
      </c>
      <c r="D1469">
        <v>4.2629929999999998</v>
      </c>
      <c r="E1469">
        <v>0.56674190000000002</v>
      </c>
      <c r="F1469" t="s">
        <v>43</v>
      </c>
      <c r="G1469">
        <v>-169.2955</v>
      </c>
      <c r="H1469">
        <v>3.2048719999999999</v>
      </c>
      <c r="I1469">
        <v>356.17110000000002</v>
      </c>
      <c r="J1469">
        <v>-284.64019999999999</v>
      </c>
      <c r="K1469">
        <v>1.060568</v>
      </c>
      <c r="L1469">
        <v>366.99360000000001</v>
      </c>
      <c r="M1469">
        <v>0.99991200000000002</v>
      </c>
      <c r="N1469">
        <v>-1.2734809999999999E-2</v>
      </c>
      <c r="O1469">
        <v>-3.7510040000000001E-3</v>
      </c>
      <c r="P1469">
        <v>0.99034940000000005</v>
      </c>
      <c r="Q1469">
        <v>0.1112432</v>
      </c>
      <c r="R1469">
        <v>8.2663890000000004E-2</v>
      </c>
      <c r="S1469">
        <v>3.0468440000000001</v>
      </c>
      <c r="T1469">
        <v>5.6571129999999997E-2</v>
      </c>
      <c r="U1469">
        <v>-0.28552250000000001</v>
      </c>
      <c r="V1469">
        <v>-8.6353410000000005E-2</v>
      </c>
      <c r="W1469">
        <v>0.12385939999999999</v>
      </c>
      <c r="X1469">
        <v>0.98853530000000001</v>
      </c>
      <c r="Y1469">
        <v>8.9563589999999998E-2</v>
      </c>
      <c r="Z1469">
        <v>1.408631E-4</v>
      </c>
      <c r="AA1469">
        <v>0.99598109999999995</v>
      </c>
      <c r="AB1469">
        <v>29</v>
      </c>
      <c r="AC1469">
        <v>115.3447</v>
      </c>
      <c r="AD1469">
        <v>2.144304</v>
      </c>
      <c r="AE1469">
        <v>-10.8224999999999</v>
      </c>
      <c r="AF1469">
        <v>10.3861722201378</v>
      </c>
      <c r="AG1469">
        <v>2.144304</v>
      </c>
      <c r="AH1469">
        <v>115.344971260961</v>
      </c>
      <c r="AI1469">
        <v>88.939264334953904</v>
      </c>
      <c r="AJ1469">
        <v>84.854710240174398</v>
      </c>
      <c r="AK1469">
        <v>115.831485392456</v>
      </c>
      <c r="AL1469">
        <v>82.885108014729695</v>
      </c>
      <c r="AM1469">
        <v>94.992394487742999</v>
      </c>
      <c r="AN1469">
        <v>1.0000000508665301</v>
      </c>
    </row>
    <row r="1470" spans="1:40" x14ac:dyDescent="0.25">
      <c r="A1470" t="str">
        <f>"20190304154748264"</f>
        <v>20190304154748264</v>
      </c>
      <c r="B1470" t="str">
        <f>"1551685668258081"</f>
        <v>1551685668258081</v>
      </c>
      <c r="C1470" t="s">
        <v>40</v>
      </c>
      <c r="D1470">
        <v>4.2676470000000002</v>
      </c>
      <c r="E1470">
        <v>0.56699009999999905</v>
      </c>
      <c r="F1470" t="s">
        <v>43</v>
      </c>
      <c r="G1470">
        <v>-169.2955</v>
      </c>
      <c r="H1470">
        <v>3.2255039999999999</v>
      </c>
      <c r="I1470">
        <v>356.1071</v>
      </c>
      <c r="J1470">
        <v>-284.50200000000001</v>
      </c>
      <c r="K1470">
        <v>1.0605770000000001</v>
      </c>
      <c r="L1470">
        <v>366.99299999999999</v>
      </c>
      <c r="M1470">
        <v>0.9999112</v>
      </c>
      <c r="N1470">
        <v>-1.277504E-2</v>
      </c>
      <c r="O1470">
        <v>-3.793467E-3</v>
      </c>
      <c r="P1470">
        <v>0.9903518</v>
      </c>
      <c r="Q1470">
        <v>0.1114499</v>
      </c>
      <c r="R1470">
        <v>8.2354170000000004E-2</v>
      </c>
      <c r="S1470">
        <v>3.0468139999999999</v>
      </c>
      <c r="T1470">
        <v>5.7188749999999997E-2</v>
      </c>
      <c r="U1470">
        <v>-0.28756710000000002</v>
      </c>
      <c r="V1470">
        <v>-8.6085330000000002E-2</v>
      </c>
      <c r="W1470">
        <v>0.12410590000000001</v>
      </c>
      <c r="X1470">
        <v>0.98852770000000001</v>
      </c>
      <c r="Y1470">
        <v>9.0184539999999994E-2</v>
      </c>
      <c r="Z1470">
        <v>1.476731E-4</v>
      </c>
      <c r="AA1470">
        <v>0.99592510000000001</v>
      </c>
      <c r="AB1470">
        <v>29</v>
      </c>
      <c r="AC1470">
        <v>115.20650000000001</v>
      </c>
      <c r="AD1470">
        <v>2.164927</v>
      </c>
      <c r="AE1470">
        <v>-10.885899999999999</v>
      </c>
      <c r="AF1470">
        <v>10.4450981190062</v>
      </c>
      <c r="AG1470">
        <v>2.164927</v>
      </c>
      <c r="AH1470">
        <v>115.20664688948899</v>
      </c>
      <c r="AI1470">
        <v>88.927838989171605</v>
      </c>
      <c r="AJ1470">
        <v>84.819497645919697</v>
      </c>
      <c r="AK1470">
        <v>115.699431593895</v>
      </c>
      <c r="AL1470">
        <v>82.870874323282806</v>
      </c>
      <c r="AM1470">
        <v>94.977011876991895</v>
      </c>
      <c r="AN1470">
        <v>0.99999998606165397</v>
      </c>
    </row>
    <row r="1471" spans="1:40" x14ac:dyDescent="0.25">
      <c r="A1471" t="str">
        <f>"20190304154748275"</f>
        <v>20190304154748275</v>
      </c>
      <c r="B1471" t="str">
        <f>"1551685668267841"</f>
        <v>1551685668267841</v>
      </c>
      <c r="C1471" t="s">
        <v>40</v>
      </c>
      <c r="D1471">
        <v>4.2607889999999999</v>
      </c>
      <c r="E1471">
        <v>0.56705509999999903</v>
      </c>
      <c r="F1471" t="s">
        <v>43</v>
      </c>
      <c r="G1471">
        <v>-169.2955</v>
      </c>
      <c r="H1471">
        <v>3.293949</v>
      </c>
      <c r="I1471">
        <v>356.00740000000002</v>
      </c>
      <c r="J1471">
        <v>-284.36419999999998</v>
      </c>
      <c r="K1471">
        <v>1.0605869999999999</v>
      </c>
      <c r="L1471">
        <v>366.99250000000001</v>
      </c>
      <c r="M1471">
        <v>0.99991050000000004</v>
      </c>
      <c r="N1471">
        <v>-1.2816960000000001E-2</v>
      </c>
      <c r="O1471">
        <v>-3.8359420000000002E-3</v>
      </c>
      <c r="P1471">
        <v>0.99039379999999999</v>
      </c>
      <c r="Q1471">
        <v>0.1114462</v>
      </c>
      <c r="R1471">
        <v>8.1854759999999999E-2</v>
      </c>
      <c r="S1471">
        <v>3.046783</v>
      </c>
      <c r="T1471">
        <v>5.9066649999999998E-2</v>
      </c>
      <c r="U1471">
        <v>-0.29052729999999999</v>
      </c>
      <c r="V1471">
        <v>-8.5628620000000003E-2</v>
      </c>
      <c r="W1471">
        <v>0.124144699999999</v>
      </c>
      <c r="X1471">
        <v>0.98856250000000001</v>
      </c>
      <c r="Y1471">
        <v>9.1101489999999993E-2</v>
      </c>
      <c r="Z1471">
        <v>1.7256899999999999E-4</v>
      </c>
      <c r="AA1471">
        <v>0.99584159999999999</v>
      </c>
      <c r="AB1471">
        <v>29</v>
      </c>
      <c r="AC1471">
        <v>115.068699999999</v>
      </c>
      <c r="AD1471">
        <v>2.2333620000000001</v>
      </c>
      <c r="AE1471">
        <v>-10.9850999999999</v>
      </c>
      <c r="AF1471">
        <v>10.539651543079399</v>
      </c>
      <c r="AG1471">
        <v>2.2333620000000001</v>
      </c>
      <c r="AH1471">
        <v>115.067039844844</v>
      </c>
      <c r="AI1471">
        <v>88.892707079876402</v>
      </c>
      <c r="AJ1471">
        <v>84.766553461178205</v>
      </c>
      <c r="AK1471">
        <v>115.57030682284901</v>
      </c>
      <c r="AL1471">
        <v>82.868633961774094</v>
      </c>
      <c r="AM1471">
        <v>94.950565414070496</v>
      </c>
      <c r="AN1471">
        <v>0.99999999175372201</v>
      </c>
    </row>
    <row r="1472" spans="1:40" x14ac:dyDescent="0.25">
      <c r="A1472" t="str">
        <f>"20190304154748286"</f>
        <v>20190304154748286</v>
      </c>
      <c r="B1472" t="str">
        <f>"1551685668278576"</f>
        <v>1551685668278576</v>
      </c>
      <c r="C1472" t="s">
        <v>40</v>
      </c>
      <c r="D1472">
        <v>4.2701719999999996</v>
      </c>
      <c r="E1472">
        <v>0.56715260000000001</v>
      </c>
      <c r="F1472" t="s">
        <v>43</v>
      </c>
      <c r="G1472">
        <v>-169.2955</v>
      </c>
      <c r="H1472">
        <v>3.289072</v>
      </c>
      <c r="I1472">
        <v>355.93540000000002</v>
      </c>
      <c r="J1472">
        <v>-284.21679999999998</v>
      </c>
      <c r="K1472">
        <v>1.0605960000000001</v>
      </c>
      <c r="L1472">
        <v>366.99189999999999</v>
      </c>
      <c r="M1472">
        <v>0.99990979999999996</v>
      </c>
      <c r="N1472">
        <v>-1.286555E-2</v>
      </c>
      <c r="O1472">
        <v>-3.8812030000000002E-3</v>
      </c>
      <c r="P1472">
        <v>0.99039900000000003</v>
      </c>
      <c r="Q1472">
        <v>0.1115671</v>
      </c>
      <c r="R1472">
        <v>8.1626219999999999E-2</v>
      </c>
      <c r="S1472">
        <v>3.0466310000000001</v>
      </c>
      <c r="T1472">
        <v>5.9005019999999998E-2</v>
      </c>
      <c r="U1472">
        <v>-0.29275509999999999</v>
      </c>
      <c r="V1472">
        <v>-8.5444409999999998E-2</v>
      </c>
      <c r="W1472">
        <v>0.1243131</v>
      </c>
      <c r="X1472">
        <v>0.98855729999999997</v>
      </c>
      <c r="Y1472">
        <v>9.1782740000000002E-2</v>
      </c>
      <c r="Z1472">
        <v>1.700491E-4</v>
      </c>
      <c r="AA1472">
        <v>0.99577899999999997</v>
      </c>
      <c r="AB1472">
        <v>29</v>
      </c>
      <c r="AC1472">
        <v>114.92129999999899</v>
      </c>
      <c r="AD1472">
        <v>2.2284759999999899</v>
      </c>
      <c r="AE1472">
        <v>-11.0564999999999</v>
      </c>
      <c r="AF1472">
        <v>10.606395264931701</v>
      </c>
      <c r="AG1472">
        <v>2.2284759999999899</v>
      </c>
      <c r="AH1472">
        <v>114.920533860746</v>
      </c>
      <c r="AI1472">
        <v>88.893791087374893</v>
      </c>
      <c r="AJ1472">
        <v>84.726921716419398</v>
      </c>
      <c r="AK1472">
        <v>115.43045884270499</v>
      </c>
      <c r="AL1472">
        <v>82.858910191561904</v>
      </c>
      <c r="AM1472">
        <v>94.939994040974099</v>
      </c>
      <c r="AN1472">
        <v>1.0000000147075701</v>
      </c>
    </row>
    <row r="1473" spans="1:40" x14ac:dyDescent="0.25">
      <c r="A1473" t="str">
        <f>"20190304154748296"</f>
        <v>20190304154748296</v>
      </c>
      <c r="B1473" t="str">
        <f>"1551685668288336"</f>
        <v>1551685668288336</v>
      </c>
      <c r="C1473" t="s">
        <v>40</v>
      </c>
      <c r="D1473">
        <v>4.2446630000000001</v>
      </c>
      <c r="E1473">
        <v>0.56719819999999999</v>
      </c>
      <c r="F1473" t="s">
        <v>43</v>
      </c>
      <c r="G1473">
        <v>-169.2955</v>
      </c>
      <c r="H1473">
        <v>3.295674</v>
      </c>
      <c r="I1473">
        <v>355.89159999999998</v>
      </c>
      <c r="J1473">
        <v>-284.08600000000001</v>
      </c>
      <c r="K1473">
        <v>1.0606</v>
      </c>
      <c r="L1473">
        <v>366.99130000000002</v>
      </c>
      <c r="M1473">
        <v>0.99990900000000005</v>
      </c>
      <c r="N1473">
        <v>-1.2910929999999999E-2</v>
      </c>
      <c r="O1473">
        <v>-3.921201E-3</v>
      </c>
      <c r="P1473">
        <v>0.9904307</v>
      </c>
      <c r="Q1473">
        <v>0.1113615</v>
      </c>
      <c r="R1473">
        <v>8.1520339999999997E-2</v>
      </c>
      <c r="S1473">
        <v>3.0466920000000002</v>
      </c>
      <c r="T1473">
        <v>5.9256669999999997E-2</v>
      </c>
      <c r="U1473">
        <v>-0.29428100000000001</v>
      </c>
      <c r="V1473">
        <v>-8.5378239999999994E-2</v>
      </c>
      <c r="W1473">
        <v>0.1241527</v>
      </c>
      <c r="X1473">
        <v>0.98858310000000005</v>
      </c>
      <c r="Y1473">
        <v>9.22351E-2</v>
      </c>
      <c r="Z1473">
        <v>1.713688E-4</v>
      </c>
      <c r="AA1473">
        <v>0.99573730000000005</v>
      </c>
      <c r="AB1473">
        <v>29</v>
      </c>
      <c r="AC1473">
        <v>114.79049999999999</v>
      </c>
      <c r="AD1473">
        <v>2.235074</v>
      </c>
      <c r="AE1473">
        <v>-11.0997</v>
      </c>
      <c r="AF1473">
        <v>10.6454620481055</v>
      </c>
      <c r="AG1473">
        <v>2.235074</v>
      </c>
      <c r="AH1473">
        <v>114.790029544316</v>
      </c>
      <c r="AI1473">
        <v>88.889300980924503</v>
      </c>
      <c r="AJ1473">
        <v>84.701626678995595</v>
      </c>
      <c r="AK1473">
        <v>115.304259681887</v>
      </c>
      <c r="AL1473">
        <v>82.868171659337193</v>
      </c>
      <c r="AM1473">
        <v>94.936059123951296</v>
      </c>
      <c r="AN1473">
        <v>0.999999941194197</v>
      </c>
    </row>
    <row r="1474" spans="1:40" x14ac:dyDescent="0.25">
      <c r="A1474" t="str">
        <f>"20190304154748306"</f>
        <v>20190304154748306</v>
      </c>
      <c r="B1474" t="str">
        <f>"1551685668298096"</f>
        <v>1551685668298096</v>
      </c>
      <c r="C1474" t="s">
        <v>40</v>
      </c>
      <c r="D1474">
        <v>4.273568</v>
      </c>
      <c r="E1474">
        <v>0.56724049999999904</v>
      </c>
      <c r="F1474" t="s">
        <v>43</v>
      </c>
      <c r="G1474">
        <v>-169.2955</v>
      </c>
      <c r="H1474">
        <v>3.2557260000000001</v>
      </c>
      <c r="I1474">
        <v>355.87959999999998</v>
      </c>
      <c r="J1474">
        <v>-283.94729999999998</v>
      </c>
      <c r="K1474">
        <v>1.0606059999999999</v>
      </c>
      <c r="L1474">
        <v>366.99079999999998</v>
      </c>
      <c r="M1474">
        <v>0.99990809999999997</v>
      </c>
      <c r="N1474">
        <v>-1.2961520000000001E-2</v>
      </c>
      <c r="O1474">
        <v>-3.963261E-3</v>
      </c>
      <c r="P1474">
        <v>0.99043340000000002</v>
      </c>
      <c r="Q1474">
        <v>0.1113792</v>
      </c>
      <c r="R1474">
        <v>8.1465609999999994E-2</v>
      </c>
      <c r="S1474">
        <v>3.0467219999999999</v>
      </c>
      <c r="T1474">
        <v>5.8264370000000003E-2</v>
      </c>
      <c r="U1474">
        <v>-0.29492190000000001</v>
      </c>
      <c r="V1474">
        <v>-8.5365269999999993E-2</v>
      </c>
      <c r="W1474">
        <v>0.12422039999999999</v>
      </c>
      <c r="X1474">
        <v>0.9885758</v>
      </c>
      <c r="Y1474">
        <v>9.2400159999999995E-2</v>
      </c>
      <c r="Z1474">
        <v>1.542596E-4</v>
      </c>
      <c r="AA1474">
        <v>0.99572190000000005</v>
      </c>
      <c r="AB1474">
        <v>29</v>
      </c>
      <c r="AC1474">
        <v>114.651799999999</v>
      </c>
      <c r="AD1474">
        <v>2.1951200000000002</v>
      </c>
      <c r="AE1474">
        <v>-11.111199999999901</v>
      </c>
      <c r="AF1474">
        <v>10.652810872997399</v>
      </c>
      <c r="AG1474">
        <v>2.1951200000000002</v>
      </c>
      <c r="AH1474">
        <v>114.653302493616</v>
      </c>
      <c r="AI1474">
        <v>88.907867907660304</v>
      </c>
      <c r="AJ1474">
        <v>84.691703231491601</v>
      </c>
      <c r="AK1474">
        <v>115.168054181717</v>
      </c>
      <c r="AL1474">
        <v>82.864263072518696</v>
      </c>
      <c r="AM1474">
        <v>94.935349244118498</v>
      </c>
      <c r="AN1474">
        <v>1.00000002472198</v>
      </c>
    </row>
    <row r="1475" spans="1:40" x14ac:dyDescent="0.25">
      <c r="A1475" t="str">
        <f>"20190304154748319"</f>
        <v>20190304154748319</v>
      </c>
      <c r="B1475" t="str">
        <f>"1551685668307857"</f>
        <v>1551685668307857</v>
      </c>
      <c r="C1475" t="s">
        <v>40</v>
      </c>
      <c r="D1475">
        <v>4.2736029999999996</v>
      </c>
      <c r="E1475">
        <v>0.56730829999999999</v>
      </c>
      <c r="F1475" t="s">
        <v>43</v>
      </c>
      <c r="G1475">
        <v>-169.2955</v>
      </c>
      <c r="H1475">
        <v>3.2279080000000002</v>
      </c>
      <c r="I1475">
        <v>355.8732</v>
      </c>
      <c r="J1475">
        <v>-283.79700000000003</v>
      </c>
      <c r="K1475">
        <v>1.0606150000000001</v>
      </c>
      <c r="L1475">
        <v>366.99009999999998</v>
      </c>
      <c r="M1475">
        <v>0.9999072</v>
      </c>
      <c r="N1475">
        <v>-1.301894E-2</v>
      </c>
      <c r="O1475">
        <v>-4.0087059999999999E-3</v>
      </c>
      <c r="P1475">
        <v>0.99045950000000005</v>
      </c>
      <c r="Q1475">
        <v>0.1112779</v>
      </c>
      <c r="R1475">
        <v>8.1287349999999994E-2</v>
      </c>
      <c r="S1475">
        <v>3.046783</v>
      </c>
      <c r="T1475">
        <v>5.7596679999999997E-2</v>
      </c>
      <c r="U1475">
        <v>-0.2954407</v>
      </c>
      <c r="V1475">
        <v>-8.5232310000000006E-2</v>
      </c>
      <c r="W1475">
        <v>0.1241768</v>
      </c>
      <c r="X1475">
        <v>0.98859269999999999</v>
      </c>
      <c r="Y1475">
        <v>9.2521240000000005E-2</v>
      </c>
      <c r="Z1475">
        <v>1.4101949999999999E-4</v>
      </c>
      <c r="AA1475">
        <v>0.99571069999999995</v>
      </c>
      <c r="AB1475">
        <v>29</v>
      </c>
      <c r="AC1475">
        <v>114.50149999999999</v>
      </c>
      <c r="AD1475">
        <v>2.1672929999999999</v>
      </c>
      <c r="AE1475">
        <v>-11.1168999999999</v>
      </c>
      <c r="AF1475">
        <v>10.653987520276999</v>
      </c>
      <c r="AG1475">
        <v>2.1672929999999999</v>
      </c>
      <c r="AH1475">
        <v>114.50450733029101</v>
      </c>
      <c r="AI1475">
        <v>88.920321471171107</v>
      </c>
      <c r="AJ1475">
        <v>84.6842610225805</v>
      </c>
      <c r="AK1475">
        <v>115.019506206481</v>
      </c>
      <c r="AL1475">
        <v>82.866780307591895</v>
      </c>
      <c r="AM1475">
        <v>94.927616285108996</v>
      </c>
      <c r="AN1475">
        <v>0.99999997540973196</v>
      </c>
    </row>
    <row r="1476" spans="1:40" x14ac:dyDescent="0.25">
      <c r="A1476" t="str">
        <f>"20190304154748330"</f>
        <v>20190304154748330</v>
      </c>
      <c r="B1476" t="str">
        <f>"1551685668318593"</f>
        <v>1551685668318593</v>
      </c>
      <c r="C1476" t="s">
        <v>40</v>
      </c>
      <c r="D1476">
        <v>4.2667830000000002</v>
      </c>
      <c r="E1476">
        <v>0.56735459999999904</v>
      </c>
      <c r="F1476" t="s">
        <v>43</v>
      </c>
      <c r="G1476">
        <v>-169.2955</v>
      </c>
      <c r="H1476">
        <v>3.189918</v>
      </c>
      <c r="I1476">
        <v>355.85180000000003</v>
      </c>
      <c r="J1476">
        <v>-283.64580000000001</v>
      </c>
      <c r="K1476">
        <v>1.0606260000000001</v>
      </c>
      <c r="L1476">
        <v>366.98939999999999</v>
      </c>
      <c r="M1476">
        <v>0.99990619999999997</v>
      </c>
      <c r="N1476">
        <v>-1.30784E-2</v>
      </c>
      <c r="O1476">
        <v>-4.0548800000000003E-3</v>
      </c>
      <c r="P1476">
        <v>0.99048530000000001</v>
      </c>
      <c r="Q1476">
        <v>0.1109682</v>
      </c>
      <c r="R1476">
        <v>8.1393779999999999E-2</v>
      </c>
      <c r="S1476">
        <v>3.0468440000000001</v>
      </c>
      <c r="T1476">
        <v>5.6662200000000003E-2</v>
      </c>
      <c r="U1476">
        <v>-0.2963867</v>
      </c>
      <c r="V1476">
        <v>-8.5383970000000003E-2</v>
      </c>
      <c r="W1476">
        <v>0.1239261</v>
      </c>
      <c r="X1476">
        <v>0.98861109999999996</v>
      </c>
      <c r="Y1476">
        <v>9.2780020000000005E-2</v>
      </c>
      <c r="Z1476">
        <v>1.2430889999999901E-4</v>
      </c>
      <c r="AA1476">
        <v>0.99568670000000004</v>
      </c>
      <c r="AB1476">
        <v>29</v>
      </c>
      <c r="AC1476">
        <v>114.3503</v>
      </c>
      <c r="AD1476">
        <v>2.129292</v>
      </c>
      <c r="AE1476">
        <v>-11.1375999999999</v>
      </c>
      <c r="AF1476">
        <v>10.6701270697415</v>
      </c>
      <c r="AG1476">
        <v>2.129292</v>
      </c>
      <c r="AH1476">
        <v>114.355247072506</v>
      </c>
      <c r="AI1476">
        <v>88.937889577989793</v>
      </c>
      <c r="AJ1476">
        <v>84.669345806408401</v>
      </c>
      <c r="AK1476">
        <v>114.871702473323</v>
      </c>
      <c r="AL1476">
        <v>82.881256377875701</v>
      </c>
      <c r="AM1476">
        <v>94.936249641051603</v>
      </c>
      <c r="AN1476">
        <v>1.00000000381869</v>
      </c>
    </row>
    <row r="1477" spans="1:40" x14ac:dyDescent="0.25">
      <c r="A1477" t="str">
        <f>"20190304154748342"</f>
        <v>20190304154748342</v>
      </c>
      <c r="B1477" t="str">
        <f>"1551685668338112"</f>
        <v>1551685668338112</v>
      </c>
      <c r="C1477" t="s">
        <v>40</v>
      </c>
      <c r="D1477">
        <v>4.2949190000000002</v>
      </c>
      <c r="E1477">
        <v>0.56745789999999996</v>
      </c>
      <c r="F1477" t="s">
        <v>43</v>
      </c>
      <c r="G1477">
        <v>-169.2955</v>
      </c>
      <c r="H1477">
        <v>3.135526</v>
      </c>
      <c r="I1477">
        <v>355.85250000000002</v>
      </c>
      <c r="J1477">
        <v>-283.49959999999999</v>
      </c>
      <c r="K1477">
        <v>1.0606329999999999</v>
      </c>
      <c r="L1477">
        <v>366.98880000000003</v>
      </c>
      <c r="M1477">
        <v>0.9999053</v>
      </c>
      <c r="N1477">
        <v>-1.3138550000000001E-2</v>
      </c>
      <c r="O1477">
        <v>-4.0997469999999999E-3</v>
      </c>
      <c r="P1477">
        <v>0.99046270000000003</v>
      </c>
      <c r="Q1477">
        <v>0.1110807</v>
      </c>
      <c r="R1477">
        <v>8.1515249999999997E-2</v>
      </c>
      <c r="S1477">
        <v>3.046967</v>
      </c>
      <c r="T1477">
        <v>5.5289860000000003E-2</v>
      </c>
      <c r="U1477">
        <v>-0.29675289999999999</v>
      </c>
      <c r="V1477">
        <v>-8.5549470000000002E-2</v>
      </c>
      <c r="W1477">
        <v>0.12409779999999999</v>
      </c>
      <c r="X1477">
        <v>0.98857519999999999</v>
      </c>
      <c r="Y1477">
        <v>9.2850530000000001E-2</v>
      </c>
      <c r="Z1477">
        <v>1.00987E-4</v>
      </c>
      <c r="AA1477">
        <v>0.99568000000000001</v>
      </c>
      <c r="AB1477">
        <v>29</v>
      </c>
      <c r="AC1477">
        <v>114.204099999999</v>
      </c>
      <c r="AD1477">
        <v>2.0748929999999999</v>
      </c>
      <c r="AE1477">
        <v>-11.1363</v>
      </c>
      <c r="AF1477">
        <v>10.664471027461</v>
      </c>
      <c r="AG1477">
        <v>2.0748929999999999</v>
      </c>
      <c r="AH1477">
        <v>114.211455430417</v>
      </c>
      <c r="AI1477">
        <v>88.963722081272607</v>
      </c>
      <c r="AJ1477">
        <v>84.665486168524694</v>
      </c>
      <c r="AK1477">
        <v>114.727035500753</v>
      </c>
      <c r="AL1477">
        <v>82.871341782930301</v>
      </c>
      <c r="AM1477">
        <v>94.945948890702297</v>
      </c>
      <c r="AN1477">
        <v>0.99999995091857896</v>
      </c>
    </row>
    <row r="1478" spans="1:40" x14ac:dyDescent="0.25">
      <c r="A1478" t="str">
        <f>"20190304154748353"</f>
        <v>20190304154748353</v>
      </c>
      <c r="B1478" t="str">
        <f>"1551685668347872"</f>
        <v>1551685668347872</v>
      </c>
      <c r="C1478" t="s">
        <v>40</v>
      </c>
      <c r="D1478">
        <v>4.2948180000000002</v>
      </c>
      <c r="E1478">
        <v>0.56741330000000001</v>
      </c>
      <c r="F1478" t="s">
        <v>43</v>
      </c>
      <c r="G1478">
        <v>-169.2955</v>
      </c>
      <c r="H1478">
        <v>3.1070820000000001</v>
      </c>
      <c r="I1478">
        <v>355.85210000000001</v>
      </c>
      <c r="J1478">
        <v>-283.34410000000003</v>
      </c>
      <c r="K1478">
        <v>1.0606420000000001</v>
      </c>
      <c r="L1478">
        <v>366.98809999999997</v>
      </c>
      <c r="M1478">
        <v>0.99990429999999997</v>
      </c>
      <c r="N1478">
        <v>-1.32032E-2</v>
      </c>
      <c r="O1478">
        <v>-4.147268E-3</v>
      </c>
      <c r="P1478">
        <v>0.99047070000000004</v>
      </c>
      <c r="Q1478">
        <v>0.1108521</v>
      </c>
      <c r="R1478">
        <v>8.1729159999999995E-2</v>
      </c>
      <c r="S1478">
        <v>3.0472109999999999</v>
      </c>
      <c r="T1478">
        <v>5.4605960000000002E-2</v>
      </c>
      <c r="U1478">
        <v>-0.29714970000000002</v>
      </c>
      <c r="V1478">
        <v>-8.5810499999999998E-2</v>
      </c>
      <c r="W1478">
        <v>0.1239336</v>
      </c>
      <c r="X1478">
        <v>0.98857320000000004</v>
      </c>
      <c r="Y1478">
        <v>9.2924209999999993E-2</v>
      </c>
      <c r="Z1478" s="1">
        <v>8.6865970000000003E-5</v>
      </c>
      <c r="AA1478">
        <v>0.99567320000000004</v>
      </c>
      <c r="AB1478">
        <v>29</v>
      </c>
      <c r="AC1478">
        <v>114.04859999999999</v>
      </c>
      <c r="AD1478">
        <v>2.04644</v>
      </c>
      <c r="AE1478">
        <v>-11.1359999999999</v>
      </c>
      <c r="AF1478">
        <v>10.6594732647326</v>
      </c>
      <c r="AG1478">
        <v>2.04644</v>
      </c>
      <c r="AH1478">
        <v>114.057430532171</v>
      </c>
      <c r="AI1478">
        <v>88.976557391373404</v>
      </c>
      <c r="AJ1478">
        <v>84.660812837187706</v>
      </c>
      <c r="AK1478">
        <v>114.572726888017</v>
      </c>
      <c r="AL1478">
        <v>82.880823118000094</v>
      </c>
      <c r="AM1478">
        <v>94.960974841825305</v>
      </c>
      <c r="AN1478">
        <v>0.99999997543872399</v>
      </c>
    </row>
    <row r="1479" spans="1:40" x14ac:dyDescent="0.25">
      <c r="A1479" t="str">
        <f>"20190304154748365"</f>
        <v>20190304154748365</v>
      </c>
      <c r="B1479" t="str">
        <f>"1551685668358608"</f>
        <v>1551685668358608</v>
      </c>
      <c r="C1479" t="s">
        <v>40</v>
      </c>
      <c r="D1479">
        <v>4.2835910000000004</v>
      </c>
      <c r="E1479">
        <v>0.56744949999999905</v>
      </c>
      <c r="F1479" t="s">
        <v>43</v>
      </c>
      <c r="G1479">
        <v>-169.2955</v>
      </c>
      <c r="H1479">
        <v>3.051901</v>
      </c>
      <c r="I1479">
        <v>355.9092</v>
      </c>
      <c r="J1479">
        <v>-283.1814</v>
      </c>
      <c r="K1479">
        <v>1.0606549999999999</v>
      </c>
      <c r="L1479">
        <v>366.98739999999998</v>
      </c>
      <c r="M1479">
        <v>0.99990319999999999</v>
      </c>
      <c r="N1479">
        <v>-1.327278E-2</v>
      </c>
      <c r="O1479">
        <v>-4.1973269999999998E-3</v>
      </c>
      <c r="P1479">
        <v>0.99049880000000001</v>
      </c>
      <c r="Q1479">
        <v>0.1106123</v>
      </c>
      <c r="R1479">
        <v>8.171341E-2</v>
      </c>
      <c r="S1479">
        <v>3.0473020000000002</v>
      </c>
      <c r="T1479">
        <v>5.3207400000000002E-2</v>
      </c>
      <c r="U1479">
        <v>-0.29602050000000002</v>
      </c>
      <c r="V1479">
        <v>-8.5844409999999996E-2</v>
      </c>
      <c r="W1479">
        <v>0.12376280000000001</v>
      </c>
      <c r="X1479">
        <v>0.98859169999999996</v>
      </c>
      <c r="Y1479">
        <v>9.2506480000000002E-2</v>
      </c>
      <c r="Z1479" s="1">
        <v>6.1575209999999994E-5</v>
      </c>
      <c r="AA1479">
        <v>0.99571209999999999</v>
      </c>
      <c r="AB1479">
        <v>29</v>
      </c>
      <c r="AC1479">
        <v>113.88590000000001</v>
      </c>
      <c r="AD1479">
        <v>1.9912459999999901</v>
      </c>
      <c r="AE1479">
        <v>-11.078199999999899</v>
      </c>
      <c r="AF1479">
        <v>10.596834775552001</v>
      </c>
      <c r="AG1479">
        <v>1.9912459999999901</v>
      </c>
      <c r="AH1479">
        <v>113.896906483283</v>
      </c>
      <c r="AI1479">
        <v>89.002712967650794</v>
      </c>
      <c r="AJ1479">
        <v>84.6845697235713</v>
      </c>
      <c r="AK1479">
        <v>114.406133027712</v>
      </c>
      <c r="AL1479">
        <v>82.890685491639999</v>
      </c>
      <c r="AM1479">
        <v>94.962833086334101</v>
      </c>
      <c r="AN1479">
        <v>1.0000000213504801</v>
      </c>
    </row>
    <row r="1480" spans="1:40" x14ac:dyDescent="0.25">
      <c r="A1480" t="str">
        <f>"20190304154748384"</f>
        <v>20190304154748384</v>
      </c>
      <c r="B1480" t="str">
        <f>"1551685668378128"</f>
        <v>1551685668378128</v>
      </c>
      <c r="C1480" t="s">
        <v>40</v>
      </c>
      <c r="D1480">
        <v>4.3010299999999999</v>
      </c>
      <c r="E1480">
        <v>0.5674903</v>
      </c>
      <c r="F1480" t="s">
        <v>43</v>
      </c>
      <c r="G1480">
        <v>-169.2955</v>
      </c>
      <c r="H1480">
        <v>3.0087350000000002</v>
      </c>
      <c r="I1480">
        <v>355.90769999999998</v>
      </c>
      <c r="J1480">
        <v>-282.94420000000002</v>
      </c>
      <c r="K1480">
        <v>1.0606679999999999</v>
      </c>
      <c r="L1480">
        <v>366.98630000000003</v>
      </c>
      <c r="M1480">
        <v>0.9999015</v>
      </c>
      <c r="N1480">
        <v>-1.337348E-2</v>
      </c>
      <c r="O1480">
        <v>-4.2701290000000001E-3</v>
      </c>
      <c r="P1480">
        <v>0.99045229999999995</v>
      </c>
      <c r="Q1480">
        <v>0.11078159999999999</v>
      </c>
      <c r="R1480">
        <v>8.2045580000000007E-2</v>
      </c>
      <c r="S1480">
        <v>3.0474239999999999</v>
      </c>
      <c r="T1480">
        <v>5.2130099999999902E-2</v>
      </c>
      <c r="U1480">
        <v>-0.29647829999999997</v>
      </c>
      <c r="V1480">
        <v>-8.6247850000000001E-2</v>
      </c>
      <c r="W1480">
        <v>0.1240306</v>
      </c>
      <c r="X1480">
        <v>0.98852300000000004</v>
      </c>
      <c r="Y1480">
        <v>9.2578740000000007E-2</v>
      </c>
      <c r="Z1480" s="1">
        <v>3.953674E-5</v>
      </c>
      <c r="AA1480">
        <v>0.99570539999999996</v>
      </c>
      <c r="AB1480">
        <v>29</v>
      </c>
      <c r="AC1480">
        <v>113.64870000000001</v>
      </c>
      <c r="AD1480">
        <v>1.948067</v>
      </c>
      <c r="AE1480">
        <v>-11.0786</v>
      </c>
      <c r="AF1480">
        <v>10.590078718233</v>
      </c>
      <c r="AG1480">
        <v>1.948067</v>
      </c>
      <c r="AH1480">
        <v>113.661893370803</v>
      </c>
      <c r="AI1480">
        <v>89.0223293738336</v>
      </c>
      <c r="AJ1480">
        <v>84.677018745166507</v>
      </c>
      <c r="AK1480">
        <v>114.170796340092</v>
      </c>
      <c r="AL1480">
        <v>82.8752223994791</v>
      </c>
      <c r="AM1480">
        <v>94.986384210125294</v>
      </c>
      <c r="AN1480">
        <v>1.0000000014474899</v>
      </c>
    </row>
    <row r="1481" spans="1:40" x14ac:dyDescent="0.25">
      <c r="A1481" t="str">
        <f>"20190304154748396"</f>
        <v>20190304154748396</v>
      </c>
      <c r="B1481" t="str">
        <f>"1551685668387888"</f>
        <v>1551685668387888</v>
      </c>
      <c r="C1481" t="s">
        <v>40</v>
      </c>
      <c r="D1481">
        <v>4.290737</v>
      </c>
      <c r="E1481">
        <v>0.56751629999999997</v>
      </c>
      <c r="F1481" t="s">
        <v>43</v>
      </c>
      <c r="G1481">
        <v>-169.2955</v>
      </c>
      <c r="H1481">
        <v>2.9927359999999998</v>
      </c>
      <c r="I1481">
        <v>355.96319999999997</v>
      </c>
      <c r="J1481">
        <v>-282.78969999999998</v>
      </c>
      <c r="K1481">
        <v>1.0606690000000001</v>
      </c>
      <c r="L1481">
        <v>366.98559999999998</v>
      </c>
      <c r="M1481">
        <v>0.99990049999999997</v>
      </c>
      <c r="N1481">
        <v>-1.3438479999999999E-2</v>
      </c>
      <c r="O1481">
        <v>-4.3176589999999997E-3</v>
      </c>
      <c r="P1481">
        <v>0.99046140000000005</v>
      </c>
      <c r="Q1481">
        <v>0.1107278</v>
      </c>
      <c r="R1481">
        <v>8.2010979999999997E-2</v>
      </c>
      <c r="S1481">
        <v>3.047577</v>
      </c>
      <c r="T1481">
        <v>5.1812169999999998E-2</v>
      </c>
      <c r="U1481">
        <v>-0.2955933</v>
      </c>
      <c r="V1481">
        <v>-8.6260920000000005E-2</v>
      </c>
      <c r="W1481">
        <v>0.1240415</v>
      </c>
      <c r="X1481">
        <v>0.98852050000000002</v>
      </c>
      <c r="Y1481">
        <v>9.2240349999999999E-2</v>
      </c>
      <c r="Z1481" s="1">
        <v>2.9820130000000001E-5</v>
      </c>
      <c r="AA1481">
        <v>0.99573679999999998</v>
      </c>
      <c r="AB1481">
        <v>29</v>
      </c>
      <c r="AC1481">
        <v>113.494199999999</v>
      </c>
      <c r="AD1481">
        <v>1.932067</v>
      </c>
      <c r="AE1481">
        <v>-11.022399999999999</v>
      </c>
      <c r="AF1481">
        <v>10.5292009508559</v>
      </c>
      <c r="AG1481">
        <v>1.932067</v>
      </c>
      <c r="AH1481">
        <v>113.50814997503601</v>
      </c>
      <c r="AI1481">
        <v>89.029007909302607</v>
      </c>
      <c r="AJ1481">
        <v>84.700316171842601</v>
      </c>
      <c r="AK1481">
        <v>114.01182862453901</v>
      </c>
      <c r="AL1481">
        <v>82.874593072734797</v>
      </c>
      <c r="AM1481">
        <v>94.987148585298698</v>
      </c>
      <c r="AN1481">
        <v>1.0000000094808701</v>
      </c>
    </row>
    <row r="1482" spans="1:40" x14ac:dyDescent="0.25">
      <c r="A1482" t="str">
        <f>"20190304154748407"</f>
        <v>20190304154748407</v>
      </c>
      <c r="B1482" t="str">
        <f>"1551685668398625"</f>
        <v>1551685668398625</v>
      </c>
      <c r="C1482" t="s">
        <v>40</v>
      </c>
      <c r="D1482">
        <v>4.2971879999999896</v>
      </c>
      <c r="E1482">
        <v>0.56751600000000002</v>
      </c>
      <c r="F1482" t="s">
        <v>43</v>
      </c>
      <c r="G1482">
        <v>-169.2955</v>
      </c>
      <c r="H1482">
        <v>2.9688680000000001</v>
      </c>
      <c r="I1482">
        <v>355.96190000000001</v>
      </c>
      <c r="J1482">
        <v>-282.64109999999999</v>
      </c>
      <c r="K1482">
        <v>1.0606789999999999</v>
      </c>
      <c r="L1482">
        <v>366.98489999999998</v>
      </c>
      <c r="M1482">
        <v>0.99989950000000005</v>
      </c>
      <c r="N1482">
        <v>-1.3500409999999999E-2</v>
      </c>
      <c r="O1482">
        <v>-4.3632640000000004E-3</v>
      </c>
      <c r="P1482">
        <v>0.99047149999999995</v>
      </c>
      <c r="Q1482">
        <v>0.1106608</v>
      </c>
      <c r="R1482">
        <v>8.1980079999999997E-2</v>
      </c>
      <c r="S1482">
        <v>3.0476679999999998</v>
      </c>
      <c r="T1482">
        <v>5.124331E-2</v>
      </c>
      <c r="U1482">
        <v>-0.29602050000000002</v>
      </c>
      <c r="V1482">
        <v>-8.627464E-2</v>
      </c>
      <c r="W1482">
        <v>0.1240363</v>
      </c>
      <c r="X1482">
        <v>0.98851999999999995</v>
      </c>
      <c r="Y1482">
        <v>9.2330549999999997E-2</v>
      </c>
      <c r="Z1482" s="1">
        <v>1.7645190000000001E-5</v>
      </c>
      <c r="AA1482">
        <v>0.99572839999999996</v>
      </c>
      <c r="AB1482">
        <v>29</v>
      </c>
      <c r="AC1482">
        <v>113.3456</v>
      </c>
      <c r="AD1482">
        <v>1.9081889999999999</v>
      </c>
      <c r="AE1482">
        <v>-11.0229999999999</v>
      </c>
      <c r="AF1482">
        <v>10.525338114880601</v>
      </c>
      <c r="AG1482">
        <v>1.9081889999999999</v>
      </c>
      <c r="AH1482">
        <v>113.360793580623</v>
      </c>
      <c r="AI1482">
        <v>89.039767225748506</v>
      </c>
      <c r="AJ1482">
        <v>84.695402170070494</v>
      </c>
      <c r="AK1482">
        <v>113.864364262577</v>
      </c>
      <c r="AL1482">
        <v>82.874893647067296</v>
      </c>
      <c r="AM1482">
        <v>94.987940311748801</v>
      </c>
      <c r="AN1482">
        <v>1.0000000538124001</v>
      </c>
    </row>
    <row r="1483" spans="1:40" x14ac:dyDescent="0.25">
      <c r="A1483" t="str">
        <f>"20190304154748418"</f>
        <v>20190304154748418</v>
      </c>
      <c r="B1483" t="str">
        <f>"1551685668408385"</f>
        <v>1551685668408385</v>
      </c>
      <c r="C1483" t="s">
        <v>40</v>
      </c>
      <c r="D1483">
        <v>4.3226279999999999</v>
      </c>
      <c r="E1483">
        <v>0.56751600000000002</v>
      </c>
      <c r="F1483" t="s">
        <v>43</v>
      </c>
      <c r="G1483">
        <v>-169.2955</v>
      </c>
      <c r="H1483">
        <v>2.9505590000000002</v>
      </c>
      <c r="I1483">
        <v>355.97019999999998</v>
      </c>
      <c r="J1483">
        <v>-282.50810000000001</v>
      </c>
      <c r="K1483">
        <v>1.0606850000000001</v>
      </c>
      <c r="L1483">
        <v>366.98430000000002</v>
      </c>
      <c r="M1483">
        <v>0.99989839999999997</v>
      </c>
      <c r="N1483">
        <v>-1.3555559999999999E-2</v>
      </c>
      <c r="O1483">
        <v>-4.4038150000000002E-3</v>
      </c>
      <c r="P1483">
        <v>0.99045810000000001</v>
      </c>
      <c r="Q1483">
        <v>0.1107495</v>
      </c>
      <c r="R1483">
        <v>8.2021090000000005E-2</v>
      </c>
      <c r="S1483">
        <v>3.0477289999999999</v>
      </c>
      <c r="T1483">
        <v>5.0818919999999997E-2</v>
      </c>
      <c r="U1483">
        <v>-0.29617310000000002</v>
      </c>
      <c r="V1483">
        <v>-8.6356050000000004E-2</v>
      </c>
      <c r="W1483">
        <v>0.1241787</v>
      </c>
      <c r="X1483">
        <v>0.98849489999999995</v>
      </c>
      <c r="Y1483">
        <v>9.2337820000000001E-2</v>
      </c>
      <c r="Z1483" s="1">
        <v>7.8189189999999993E-6</v>
      </c>
      <c r="AA1483">
        <v>0.99572769999999999</v>
      </c>
      <c r="AB1483">
        <v>29</v>
      </c>
      <c r="AC1483">
        <v>113.21259999999999</v>
      </c>
      <c r="AD1483">
        <v>1.8898740000000001</v>
      </c>
      <c r="AE1483">
        <v>-11.014099999999999</v>
      </c>
      <c r="AF1483">
        <v>10.5124780573341</v>
      </c>
      <c r="AG1483">
        <v>1.8898740000000001</v>
      </c>
      <c r="AH1483">
        <v>113.22875390962101</v>
      </c>
      <c r="AI1483">
        <v>89.047872667451998</v>
      </c>
      <c r="AJ1483">
        <v>84.695703396959203</v>
      </c>
      <c r="AK1483">
        <v>113.731414000562</v>
      </c>
      <c r="AL1483">
        <v>82.866670357710206</v>
      </c>
      <c r="AM1483">
        <v>94.992749359143602</v>
      </c>
      <c r="AN1483">
        <v>0.99999994211564902</v>
      </c>
    </row>
    <row r="1484" spans="1:40" x14ac:dyDescent="0.25">
      <c r="A1484" t="str">
        <f>"20190304154748428"</f>
        <v>20190304154748428</v>
      </c>
      <c r="B1484" t="str">
        <f>"1551685668418144"</f>
        <v>1551685668418144</v>
      </c>
      <c r="C1484" t="s">
        <v>40</v>
      </c>
      <c r="D1484">
        <v>4.3182660000000004</v>
      </c>
      <c r="E1484">
        <v>0.56752590000000003</v>
      </c>
      <c r="F1484" t="s">
        <v>43</v>
      </c>
      <c r="G1484">
        <v>-169.2955</v>
      </c>
      <c r="H1484">
        <v>2.9609990000000002</v>
      </c>
      <c r="I1484">
        <v>355.97789999999998</v>
      </c>
      <c r="J1484">
        <v>-282.36880000000002</v>
      </c>
      <c r="K1484">
        <v>1.0606910000000001</v>
      </c>
      <c r="L1484">
        <v>366.98360000000002</v>
      </c>
      <c r="M1484">
        <v>0.9998977</v>
      </c>
      <c r="N1484">
        <v>-1.361304E-2</v>
      </c>
      <c r="O1484">
        <v>-4.4467669999999999E-3</v>
      </c>
      <c r="P1484">
        <v>0.99046500000000004</v>
      </c>
      <c r="Q1484">
        <v>0.1107807</v>
      </c>
      <c r="R1484">
        <v>8.1896189999999994E-2</v>
      </c>
      <c r="S1484">
        <v>3.0476990000000002</v>
      </c>
      <c r="T1484">
        <v>5.1159019999999999E-2</v>
      </c>
      <c r="U1484">
        <v>-0.29629519999999998</v>
      </c>
      <c r="V1484">
        <v>-8.6274009999999998E-2</v>
      </c>
      <c r="W1484">
        <v>0.12426719999999999</v>
      </c>
      <c r="X1484">
        <v>0.98849100000000001</v>
      </c>
      <c r="Y1484">
        <v>9.2335490000000006E-2</v>
      </c>
      <c r="Z1484" s="1">
        <v>8.2524489999999998E-6</v>
      </c>
      <c r="AA1484">
        <v>0.99572799999999995</v>
      </c>
      <c r="AB1484">
        <v>29</v>
      </c>
      <c r="AC1484">
        <v>113.0733</v>
      </c>
      <c r="AD1484">
        <v>1.9003080000000001</v>
      </c>
      <c r="AE1484">
        <v>-11.005699999999999</v>
      </c>
      <c r="AF1484">
        <v>10.499796335528201</v>
      </c>
      <c r="AG1484">
        <v>1.9003080000000001</v>
      </c>
      <c r="AH1484">
        <v>113.089484795384</v>
      </c>
      <c r="AI1484">
        <v>89.041438346706002</v>
      </c>
      <c r="AJ1484">
        <v>84.6955786143144</v>
      </c>
      <c r="AK1484">
        <v>113.59176231077601</v>
      </c>
      <c r="AL1484">
        <v>82.861560509881699</v>
      </c>
      <c r="AM1484">
        <v>94.988049667369197</v>
      </c>
      <c r="AN1484">
        <v>0.99999999943915996</v>
      </c>
    </row>
    <row r="1485" spans="1:40" x14ac:dyDescent="0.25">
      <c r="A1485" t="str">
        <f>"20190304154748439"</f>
        <v>20190304154748439</v>
      </c>
      <c r="B1485" t="str">
        <f>"1551685668427905"</f>
        <v>1551685668427905</v>
      </c>
      <c r="C1485" t="s">
        <v>40</v>
      </c>
      <c r="D1485">
        <v>4.2970309999999996</v>
      </c>
      <c r="E1485">
        <v>0.56752880000000006</v>
      </c>
      <c r="F1485" t="s">
        <v>43</v>
      </c>
      <c r="G1485">
        <v>-169.2955</v>
      </c>
      <c r="H1485">
        <v>2.9459810000000002</v>
      </c>
      <c r="I1485">
        <v>355.97489999999999</v>
      </c>
      <c r="J1485">
        <v>-282.2296</v>
      </c>
      <c r="K1485">
        <v>1.0606979999999999</v>
      </c>
      <c r="L1485">
        <v>366.98289999999997</v>
      </c>
      <c r="M1485">
        <v>0.99989649999999997</v>
      </c>
      <c r="N1485">
        <v>-1.366933E-2</v>
      </c>
      <c r="O1485">
        <v>-4.4895919999999997E-3</v>
      </c>
      <c r="P1485">
        <v>0.99043840000000005</v>
      </c>
      <c r="Q1485">
        <v>0.1109395</v>
      </c>
      <c r="R1485">
        <v>8.2002140000000001E-2</v>
      </c>
      <c r="S1485">
        <v>3.0477289999999999</v>
      </c>
      <c r="T1485">
        <v>5.0817609999999999E-2</v>
      </c>
      <c r="U1485">
        <v>-0.2967224</v>
      </c>
      <c r="V1485">
        <v>-8.6422040000000006E-2</v>
      </c>
      <c r="W1485">
        <v>0.1244811</v>
      </c>
      <c r="X1485">
        <v>0.98845119999999997</v>
      </c>
      <c r="Y1485">
        <v>9.2430300000000007E-2</v>
      </c>
      <c r="Z1485" s="1">
        <v>-4.3667390000000002E-7</v>
      </c>
      <c r="AA1485">
        <v>0.99571909999999997</v>
      </c>
      <c r="AB1485">
        <v>29</v>
      </c>
      <c r="AC1485">
        <v>112.9341</v>
      </c>
      <c r="AD1485">
        <v>1.885283</v>
      </c>
      <c r="AE1485">
        <v>-11.0079999999999</v>
      </c>
      <c r="AF1485">
        <v>10.4979156285338</v>
      </c>
      <c r="AG1485">
        <v>1.885283</v>
      </c>
      <c r="AH1485">
        <v>112.95120686715499</v>
      </c>
      <c r="AI1485">
        <v>89.047860424695301</v>
      </c>
      <c r="AJ1485">
        <v>84.690067745655696</v>
      </c>
      <c r="AK1485">
        <v>113.453671854554</v>
      </c>
      <c r="AL1485">
        <v>82.849209358703106</v>
      </c>
      <c r="AM1485">
        <v>94.996765103148206</v>
      </c>
      <c r="AN1485">
        <v>1.0000000440182</v>
      </c>
    </row>
    <row r="1486" spans="1:40" x14ac:dyDescent="0.25">
      <c r="A1486" t="str">
        <f>"20190304154748450"</f>
        <v>20190304154748450</v>
      </c>
      <c r="B1486" t="str">
        <f>"1551685668437665"</f>
        <v>1551685668437665</v>
      </c>
      <c r="C1486" t="s">
        <v>40</v>
      </c>
      <c r="D1486">
        <v>4.3025190000000002</v>
      </c>
      <c r="E1486">
        <v>0.56755949999999999</v>
      </c>
      <c r="F1486" t="s">
        <v>43</v>
      </c>
      <c r="G1486">
        <v>-169.2955</v>
      </c>
      <c r="H1486">
        <v>2.9537089999999999</v>
      </c>
      <c r="I1486">
        <v>355.9982</v>
      </c>
      <c r="J1486">
        <v>-282.09249999999997</v>
      </c>
      <c r="K1486">
        <v>1.060705</v>
      </c>
      <c r="L1486">
        <v>366.98230000000001</v>
      </c>
      <c r="M1486">
        <v>0.9998956</v>
      </c>
      <c r="N1486">
        <v>-1.372439E-2</v>
      </c>
      <c r="O1486">
        <v>-4.5321700000000003E-3</v>
      </c>
      <c r="P1486">
        <v>0.99040740000000005</v>
      </c>
      <c r="Q1486">
        <v>0.11119560000000001</v>
      </c>
      <c r="R1486">
        <v>8.2030119999999998E-2</v>
      </c>
      <c r="S1486">
        <v>3.0477910000000001</v>
      </c>
      <c r="T1486">
        <v>5.1089639999999999E-2</v>
      </c>
      <c r="U1486">
        <v>-0.29644779999999998</v>
      </c>
      <c r="V1486">
        <v>-8.6491699999999894E-2</v>
      </c>
      <c r="W1486">
        <v>0.1247914</v>
      </c>
      <c r="X1486">
        <v>0.98840589999999995</v>
      </c>
      <c r="Y1486">
        <v>9.2297110000000002E-2</v>
      </c>
      <c r="Z1486" s="1">
        <v>-1.020147E-6</v>
      </c>
      <c r="AA1486">
        <v>0.99573149999999999</v>
      </c>
      <c r="AB1486">
        <v>29</v>
      </c>
      <c r="AC1486">
        <v>112.796999999999</v>
      </c>
      <c r="AD1486">
        <v>1.8930039999999999</v>
      </c>
      <c r="AE1486">
        <v>-10.9841</v>
      </c>
      <c r="AF1486">
        <v>10.469802756648001</v>
      </c>
      <c r="AG1486">
        <v>1.8930039999999999</v>
      </c>
      <c r="AH1486">
        <v>112.814152312715</v>
      </c>
      <c r="AI1486">
        <v>89.042788492346901</v>
      </c>
      <c r="AJ1486">
        <v>84.697809455902203</v>
      </c>
      <c r="AK1486">
        <v>113.31475277272401</v>
      </c>
      <c r="AL1486">
        <v>82.831290192379399</v>
      </c>
      <c r="AM1486">
        <v>95.0010003325512</v>
      </c>
      <c r="AN1486">
        <v>0.99999996541882896</v>
      </c>
    </row>
    <row r="1487" spans="1:40" x14ac:dyDescent="0.25">
      <c r="A1487" t="str">
        <f>"20190304154748461"</f>
        <v>20190304154748461</v>
      </c>
      <c r="B1487" t="str">
        <f>"1551685668458161"</f>
        <v>1551685668458161</v>
      </c>
      <c r="C1487" t="s">
        <v>40</v>
      </c>
      <c r="D1487">
        <v>4.3867539999999998</v>
      </c>
      <c r="E1487">
        <v>0.56766269999999996</v>
      </c>
      <c r="F1487" t="s">
        <v>43</v>
      </c>
      <c r="G1487">
        <v>-169.2955</v>
      </c>
      <c r="H1487">
        <v>2.9775580000000001</v>
      </c>
      <c r="I1487">
        <v>356.00310000000002</v>
      </c>
      <c r="J1487">
        <v>-281.95089999999999</v>
      </c>
      <c r="K1487">
        <v>1.060719</v>
      </c>
      <c r="L1487">
        <v>366.98160000000001</v>
      </c>
      <c r="M1487">
        <v>0.99989459999999997</v>
      </c>
      <c r="N1487">
        <v>-1.37798E-2</v>
      </c>
      <c r="O1487">
        <v>-4.5757100000000002E-3</v>
      </c>
      <c r="P1487">
        <v>0.99038519999999997</v>
      </c>
      <c r="Q1487">
        <v>0.1116106</v>
      </c>
      <c r="R1487">
        <v>8.1734050000000003E-2</v>
      </c>
      <c r="S1487">
        <v>3.0478209999999999</v>
      </c>
      <c r="T1487">
        <v>5.1796439999999999E-2</v>
      </c>
      <c r="U1487">
        <v>-0.29666140000000002</v>
      </c>
      <c r="V1487">
        <v>-8.623865E-2</v>
      </c>
      <c r="W1487">
        <v>0.1252607</v>
      </c>
      <c r="X1487">
        <v>0.98836869999999999</v>
      </c>
      <c r="Y1487">
        <v>9.2321810000000004E-2</v>
      </c>
      <c r="Z1487" s="1">
        <v>4.4825720000000002E-6</v>
      </c>
      <c r="AA1487">
        <v>0.99572919999999998</v>
      </c>
      <c r="AB1487">
        <v>29</v>
      </c>
      <c r="AC1487">
        <v>112.6554</v>
      </c>
      <c r="AD1487">
        <v>1.916839</v>
      </c>
      <c r="AE1487">
        <v>-10.978499999999899</v>
      </c>
      <c r="AF1487">
        <v>10.4598578983602</v>
      </c>
      <c r="AG1487">
        <v>1.916839</v>
      </c>
      <c r="AH1487">
        <v>112.672146516627</v>
      </c>
      <c r="AI1487">
        <v>89.029519625274503</v>
      </c>
      <c r="AJ1487">
        <v>84.696178908443301</v>
      </c>
      <c r="AK1487">
        <v>113.172856726647</v>
      </c>
      <c r="AL1487">
        <v>82.804189004557202</v>
      </c>
      <c r="AM1487">
        <v>94.986629443605906</v>
      </c>
      <c r="AN1487">
        <v>1.000000017429</v>
      </c>
    </row>
    <row r="1488" spans="1:40" x14ac:dyDescent="0.25">
      <c r="A1488" t="str">
        <f>"20190304154748472"</f>
        <v>20190304154748472</v>
      </c>
      <c r="B1488" t="str">
        <f>"1551685668467920"</f>
        <v>1551685668467920</v>
      </c>
      <c r="C1488" t="s">
        <v>40</v>
      </c>
      <c r="D1488">
        <v>4.3632359999999997</v>
      </c>
      <c r="E1488">
        <v>0.56766269999999996</v>
      </c>
      <c r="F1488" t="s">
        <v>43</v>
      </c>
      <c r="G1488">
        <v>-169.2955</v>
      </c>
      <c r="H1488">
        <v>3.0505580000000001</v>
      </c>
      <c r="I1488">
        <v>355.95589999999999</v>
      </c>
      <c r="J1488">
        <v>-281.803</v>
      </c>
      <c r="K1488">
        <v>1.0607260000000001</v>
      </c>
      <c r="L1488">
        <v>366.98090000000002</v>
      </c>
      <c r="M1488">
        <v>0.9998937</v>
      </c>
      <c r="N1488">
        <v>-1.3837210000000001E-2</v>
      </c>
      <c r="O1488">
        <v>-4.6211730000000001E-3</v>
      </c>
      <c r="P1488">
        <v>0.99038939999999998</v>
      </c>
      <c r="Q1488">
        <v>0.111630199999999</v>
      </c>
      <c r="R1488">
        <v>8.1656549999999994E-2</v>
      </c>
      <c r="S1488">
        <v>3.0476679999999998</v>
      </c>
      <c r="T1488">
        <v>5.3833480000000003E-2</v>
      </c>
      <c r="U1488">
        <v>-0.29827880000000001</v>
      </c>
      <c r="V1488">
        <v>-8.6206240000000003E-2</v>
      </c>
      <c r="W1488">
        <v>0.1253369</v>
      </c>
      <c r="X1488">
        <v>0.98836179999999996</v>
      </c>
      <c r="Y1488">
        <v>9.2804310000000001E-2</v>
      </c>
      <c r="Z1488" s="1">
        <v>2.876355E-5</v>
      </c>
      <c r="AA1488">
        <v>0.99568440000000002</v>
      </c>
      <c r="AB1488">
        <v>29</v>
      </c>
      <c r="AC1488">
        <v>112.50749999999999</v>
      </c>
      <c r="AD1488">
        <v>1.989832</v>
      </c>
      <c r="AE1488">
        <v>-11.025</v>
      </c>
      <c r="AF1488">
        <v>10.501662215697101</v>
      </c>
      <c r="AG1488">
        <v>1.989832</v>
      </c>
      <c r="AH1488">
        <v>112.52238927377201</v>
      </c>
      <c r="AI1488">
        <v>88.991276881404005</v>
      </c>
      <c r="AJ1488">
        <v>84.668056893878898</v>
      </c>
      <c r="AK1488">
        <v>113.028900855308</v>
      </c>
      <c r="AL1488">
        <v>82.799787904396496</v>
      </c>
      <c r="AM1488">
        <v>94.984799449284296</v>
      </c>
      <c r="AN1488">
        <v>0.99999995100789196</v>
      </c>
    </row>
    <row r="1489" spans="1:40" x14ac:dyDescent="0.25">
      <c r="A1489" t="str">
        <f>"20190304154748484"</f>
        <v>20190304154748484</v>
      </c>
      <c r="B1489" t="str">
        <f>"1551685668477680"</f>
        <v>1551685668477680</v>
      </c>
      <c r="C1489" t="s">
        <v>40</v>
      </c>
      <c r="D1489">
        <v>4.3413879999999896</v>
      </c>
      <c r="E1489">
        <v>0.53351090000000001</v>
      </c>
      <c r="F1489" t="s">
        <v>43</v>
      </c>
      <c r="G1489">
        <v>-169.2955</v>
      </c>
      <c r="H1489">
        <v>3.0389919999999999</v>
      </c>
      <c r="I1489">
        <v>355.96839999999997</v>
      </c>
      <c r="J1489">
        <v>-281.65109999999999</v>
      </c>
      <c r="K1489">
        <v>1.0607310000000001</v>
      </c>
      <c r="L1489">
        <v>366.98009999999999</v>
      </c>
      <c r="M1489">
        <v>0.99989269999999997</v>
      </c>
      <c r="N1489">
        <v>-1.389395E-2</v>
      </c>
      <c r="O1489">
        <v>-4.6680609999999899E-3</v>
      </c>
      <c r="P1489">
        <v>0.99039410000000005</v>
      </c>
      <c r="Q1489">
        <v>0.1116446</v>
      </c>
      <c r="R1489">
        <v>8.158311E-2</v>
      </c>
      <c r="S1489">
        <v>3.0476380000000001</v>
      </c>
      <c r="T1489">
        <v>5.3590180000000001E-2</v>
      </c>
      <c r="U1489">
        <v>-0.2983093</v>
      </c>
      <c r="V1489">
        <v>-8.617909E-2</v>
      </c>
      <c r="W1489">
        <v>0.125407399999999</v>
      </c>
      <c r="X1489">
        <v>0.98835530000000005</v>
      </c>
      <c r="Y1489">
        <v>9.2768589999999998E-2</v>
      </c>
      <c r="Z1489" s="1">
        <v>2.1005750000000001E-5</v>
      </c>
      <c r="AA1489">
        <v>0.99568769999999995</v>
      </c>
      <c r="AB1489">
        <v>29</v>
      </c>
      <c r="AC1489">
        <v>112.355599999999</v>
      </c>
      <c r="AD1489">
        <v>1.978261</v>
      </c>
      <c r="AE1489">
        <v>-11.011699999999999</v>
      </c>
      <c r="AF1489">
        <v>10.4838274533281</v>
      </c>
      <c r="AG1489">
        <v>1.978261</v>
      </c>
      <c r="AH1489">
        <v>112.371278895505</v>
      </c>
      <c r="AI1489">
        <v>88.995790074859499</v>
      </c>
      <c r="AJ1489">
        <v>84.669943186189997</v>
      </c>
      <c r="AK1489">
        <v>112.876607298708</v>
      </c>
      <c r="AL1489">
        <v>82.795716964840196</v>
      </c>
      <c r="AM1489">
        <v>94.983270038590803</v>
      </c>
      <c r="AN1489">
        <v>1.0000000252830299</v>
      </c>
    </row>
    <row r="1490" spans="1:40" x14ac:dyDescent="0.25">
      <c r="A1490" t="str">
        <f>"20190304154748495"</f>
        <v>20190304154748495</v>
      </c>
      <c r="B1490" t="str">
        <f>"1551685668488416"</f>
        <v>1551685668488416</v>
      </c>
      <c r="C1490" t="s">
        <v>40</v>
      </c>
      <c r="D1490">
        <v>4.3540669999999997</v>
      </c>
      <c r="E1490">
        <v>0.5309526</v>
      </c>
      <c r="F1490" t="s">
        <v>53</v>
      </c>
      <c r="G1490">
        <v>-196.8921</v>
      </c>
      <c r="H1490" s="1">
        <v>-8.2846869999999999E-6</v>
      </c>
      <c r="I1490">
        <v>366.18169999999998</v>
      </c>
      <c r="J1490">
        <v>-281.51159999999999</v>
      </c>
      <c r="K1490">
        <v>1.060737</v>
      </c>
      <c r="L1490">
        <v>366.9794</v>
      </c>
      <c r="M1490">
        <v>0.9998918</v>
      </c>
      <c r="N1490">
        <v>-1.394539E-2</v>
      </c>
      <c r="O1490">
        <v>-4.7112170000000002E-3</v>
      </c>
      <c r="P1490">
        <v>0.99044650000000001</v>
      </c>
      <c r="Q1490">
        <v>0.11125259999999999</v>
      </c>
      <c r="R1490">
        <v>8.1480360000000002E-2</v>
      </c>
      <c r="S1490">
        <v>3.035736</v>
      </c>
      <c r="T1490">
        <v>-3.7991520000000001E-2</v>
      </c>
      <c r="U1490">
        <v>-2.8594970000000001E-2</v>
      </c>
      <c r="V1490">
        <v>-8.6119639999999997E-2</v>
      </c>
      <c r="W1490">
        <v>0.12506719999999999</v>
      </c>
      <c r="X1490">
        <v>0.98840360000000005</v>
      </c>
      <c r="Y1490">
        <v>4.7066900000000004E-3</v>
      </c>
      <c r="Z1490" s="1">
        <v>-6.9019779999999998E-5</v>
      </c>
      <c r="AA1490">
        <v>0.99998889999999996</v>
      </c>
      <c r="AB1490">
        <v>29</v>
      </c>
      <c r="AC1490">
        <v>84.619499999999903</v>
      </c>
      <c r="AD1490">
        <v>-1.060745284687</v>
      </c>
      <c r="AE1490">
        <v>-0.79770000000001995</v>
      </c>
      <c r="AF1490">
        <v>0.398928923107714</v>
      </c>
      <c r="AG1490">
        <v>-1.060745284687</v>
      </c>
      <c r="AH1490">
        <v>84.609025112006094</v>
      </c>
      <c r="AI1490">
        <v>90.718272885485504</v>
      </c>
      <c r="AJ1490">
        <v>89.729854182639201</v>
      </c>
      <c r="AK1490">
        <v>84.616614534314493</v>
      </c>
      <c r="AL1490">
        <v>82.815363753232504</v>
      </c>
      <c r="AM1490">
        <v>94.979607534253404</v>
      </c>
      <c r="AN1490">
        <v>1.00000003670126</v>
      </c>
    </row>
    <row r="1491" spans="1:40" x14ac:dyDescent="0.25">
      <c r="A1491" t="str">
        <f>"20190304154748505"</f>
        <v>20190304154748505</v>
      </c>
      <c r="B1491" t="str">
        <f>"1551685668498177"</f>
        <v>1551685668498177</v>
      </c>
      <c r="C1491" t="s">
        <v>40</v>
      </c>
      <c r="D1491">
        <v>4.3514989999999996</v>
      </c>
      <c r="E1491">
        <v>0.52970950000000006</v>
      </c>
      <c r="F1491" t="s">
        <v>44</v>
      </c>
      <c r="G1491">
        <v>-218.37540000000001</v>
      </c>
      <c r="H1491" s="1">
        <v>-1.2912649999999999E-6</v>
      </c>
      <c r="I1491">
        <v>366.78899999999999</v>
      </c>
      <c r="J1491">
        <v>-281.37040000000002</v>
      </c>
      <c r="K1491">
        <v>1.060746</v>
      </c>
      <c r="L1491">
        <v>366.9787</v>
      </c>
      <c r="M1491">
        <v>0.99989079999999997</v>
      </c>
      <c r="N1491">
        <v>-1.399618E-2</v>
      </c>
      <c r="O1491">
        <v>-4.7549630000000001E-3</v>
      </c>
      <c r="P1491">
        <v>0.99045810000000001</v>
      </c>
      <c r="Q1491">
        <v>0.11116910000000001</v>
      </c>
      <c r="R1491">
        <v>8.1450419999999996E-2</v>
      </c>
      <c r="S1491">
        <v>3.035431</v>
      </c>
      <c r="T1491">
        <v>-5.0997609999999999E-2</v>
      </c>
      <c r="U1491">
        <v>-9.1552730000000002E-3</v>
      </c>
      <c r="V1491">
        <v>-8.6132730000000005E-2</v>
      </c>
      <c r="W1491">
        <v>0.12503359999999999</v>
      </c>
      <c r="X1491">
        <v>0.98840669999999997</v>
      </c>
      <c r="Y1491">
        <v>-1.7388499999999999E-3</v>
      </c>
      <c r="Z1491" s="1">
        <v>4.0103749999999997E-5</v>
      </c>
      <c r="AA1491">
        <v>0.99999850000000001</v>
      </c>
      <c r="AB1491">
        <v>29</v>
      </c>
      <c r="AC1491">
        <v>62.994999999999997</v>
      </c>
      <c r="AD1491">
        <v>-1.060747291265</v>
      </c>
      <c r="AE1491">
        <v>-0.18970000000001599</v>
      </c>
      <c r="AF1491">
        <v>-0.109839221731984</v>
      </c>
      <c r="AG1491">
        <v>-1.060747291265</v>
      </c>
      <c r="AH1491">
        <v>62.977333490169599</v>
      </c>
      <c r="AI1491">
        <v>90.964958354933501</v>
      </c>
      <c r="AJ1491">
        <v>90.099929881121398</v>
      </c>
      <c r="AK1491">
        <v>62.9863618809866</v>
      </c>
      <c r="AL1491">
        <v>82.817304048513606</v>
      </c>
      <c r="AM1491">
        <v>94.980345075715903</v>
      </c>
      <c r="AN1491">
        <v>1.00000002645555</v>
      </c>
    </row>
    <row r="1492" spans="1:40" x14ac:dyDescent="0.25">
      <c r="A1492" t="str">
        <f>"20190304154748517"</f>
        <v>20190304154748517</v>
      </c>
      <c r="B1492" t="str">
        <f>"1551685668507936"</f>
        <v>1551685668507936</v>
      </c>
      <c r="C1492" t="s">
        <v>40</v>
      </c>
      <c r="D1492">
        <v>4.3502900000000002</v>
      </c>
      <c r="E1492">
        <v>0.52903250000000002</v>
      </c>
      <c r="F1492" t="s">
        <v>44</v>
      </c>
      <c r="G1492">
        <v>-217.8246</v>
      </c>
      <c r="H1492" s="1">
        <v>-1.426176E-6</v>
      </c>
      <c r="I1492">
        <v>366.9864</v>
      </c>
      <c r="J1492">
        <v>-281.22539999999998</v>
      </c>
      <c r="K1492">
        <v>1.0608249999999999</v>
      </c>
      <c r="L1492">
        <v>366.97800000000001</v>
      </c>
      <c r="M1492">
        <v>0.9998861</v>
      </c>
      <c r="N1492">
        <v>-1.4314820000000001E-2</v>
      </c>
      <c r="O1492">
        <v>-4.7967959999999999E-3</v>
      </c>
      <c r="P1492">
        <v>0.99046619999999996</v>
      </c>
      <c r="Q1492">
        <v>0.110958399999999</v>
      </c>
      <c r="R1492">
        <v>8.1639039999999996E-2</v>
      </c>
      <c r="S1492">
        <v>3.0345460000000002</v>
      </c>
      <c r="T1492">
        <v>-5.0654530000000003E-2</v>
      </c>
      <c r="U1492">
        <v>3.6621089999999999E-4</v>
      </c>
      <c r="V1492">
        <v>-8.6363460000000003E-2</v>
      </c>
      <c r="W1492">
        <v>0.1251382</v>
      </c>
      <c r="X1492">
        <v>0.98837330000000001</v>
      </c>
      <c r="Y1492">
        <v>-4.916681E-3</v>
      </c>
      <c r="Z1492" s="1">
        <v>8.7627350000000004E-5</v>
      </c>
      <c r="AA1492">
        <v>0.99998790000000004</v>
      </c>
      <c r="AB1492">
        <v>29</v>
      </c>
      <c r="AC1492">
        <v>63.400799999999897</v>
      </c>
      <c r="AD1492">
        <v>-1.0608264261760001</v>
      </c>
      <c r="AE1492">
        <v>8.3999999999946305E-3</v>
      </c>
      <c r="AF1492">
        <v>-0.31246427240074398</v>
      </c>
      <c r="AG1492">
        <v>-1.0608264261760001</v>
      </c>
      <c r="AH1492">
        <v>63.382285511655397</v>
      </c>
      <c r="AI1492">
        <v>90.958855675278201</v>
      </c>
      <c r="AJ1492">
        <v>90.282456507868503</v>
      </c>
      <c r="AK1492">
        <v>63.391932478107996</v>
      </c>
      <c r="AL1492">
        <v>82.811263262973895</v>
      </c>
      <c r="AM1492">
        <v>94.993786815344905</v>
      </c>
      <c r="AN1492">
        <v>0.99999999823764996</v>
      </c>
    </row>
    <row r="1493" spans="1:40" x14ac:dyDescent="0.25">
      <c r="A1493" t="str">
        <f>"20190304154748528"</f>
        <v>20190304154748528</v>
      </c>
      <c r="B1493" t="str">
        <f>"1551685668518672"</f>
        <v>1551685668518672</v>
      </c>
      <c r="C1493" t="s">
        <v>40</v>
      </c>
      <c r="D1493">
        <v>4.3330659999999996</v>
      </c>
      <c r="E1493">
        <v>0.52843640000000003</v>
      </c>
      <c r="F1493" t="s">
        <v>44</v>
      </c>
      <c r="G1493">
        <v>-220.9974</v>
      </c>
      <c r="H1493" s="1">
        <v>-4.2897419999999997E-6</v>
      </c>
      <c r="I1493">
        <v>367.10570000000001</v>
      </c>
      <c r="J1493">
        <v>-281.08670000000001</v>
      </c>
      <c r="K1493">
        <v>1.0609649999999999</v>
      </c>
      <c r="L1493">
        <v>366.97730000000001</v>
      </c>
      <c r="M1493">
        <v>0.99987820000000005</v>
      </c>
      <c r="N1493">
        <v>-1.484219E-2</v>
      </c>
      <c r="O1493">
        <v>-4.8340170000000003E-3</v>
      </c>
      <c r="P1493">
        <v>0.99054209999999998</v>
      </c>
      <c r="Q1493">
        <v>0.11030239999999999</v>
      </c>
      <c r="R1493">
        <v>8.160866E-2</v>
      </c>
      <c r="S1493">
        <v>3.0343019999999998</v>
      </c>
      <c r="T1493">
        <v>-5.3444739999999998E-2</v>
      </c>
      <c r="U1493">
        <v>6.4392090000000004E-3</v>
      </c>
      <c r="V1493">
        <v>-8.6371080000000003E-2</v>
      </c>
      <c r="W1493">
        <v>0.1250039</v>
      </c>
      <c r="X1493">
        <v>0.98838959999999998</v>
      </c>
      <c r="Y1493">
        <v>-6.9546419999999996E-3</v>
      </c>
      <c r="Z1493">
        <v>1.262511E-4</v>
      </c>
      <c r="AA1493">
        <v>0.99997579999999997</v>
      </c>
      <c r="AB1493">
        <v>29</v>
      </c>
      <c r="AC1493">
        <v>60.089300000000001</v>
      </c>
      <c r="AD1493">
        <v>-1.060969289742</v>
      </c>
      <c r="AE1493">
        <v>0.12839999999999899</v>
      </c>
      <c r="AF1493">
        <v>-0.41877263279474902</v>
      </c>
      <c r="AG1493">
        <v>-1.060969289742</v>
      </c>
      <c r="AH1493">
        <v>60.0692502966672</v>
      </c>
      <c r="AI1493">
        <v>91.011853242363898</v>
      </c>
      <c r="AJ1493">
        <v>90.399430917017895</v>
      </c>
      <c r="AK1493">
        <v>60.080078707966202</v>
      </c>
      <c r="AL1493">
        <v>82.819018781430799</v>
      </c>
      <c r="AM1493">
        <v>94.994143252041894</v>
      </c>
      <c r="AN1493">
        <v>0.99999996993186702</v>
      </c>
    </row>
    <row r="1494" spans="1:40" x14ac:dyDescent="0.25">
      <c r="A1494" t="str">
        <f>"20190304154748540"</f>
        <v>20190304154748540</v>
      </c>
      <c r="B1494" t="str">
        <f>"1551685668528432"</f>
        <v>1551685668528432</v>
      </c>
      <c r="C1494" t="s">
        <v>40</v>
      </c>
      <c r="D1494">
        <v>4.3498830000000002</v>
      </c>
      <c r="E1494">
        <v>0.52829179999999998</v>
      </c>
      <c r="F1494" t="s">
        <v>44</v>
      </c>
      <c r="G1494">
        <v>-223.7731</v>
      </c>
      <c r="H1494" s="1">
        <v>-3.0848699999999999E-6</v>
      </c>
      <c r="I1494">
        <v>367.18540000000002</v>
      </c>
      <c r="J1494">
        <v>-280.9477</v>
      </c>
      <c r="K1494">
        <v>1.0612459999999999</v>
      </c>
      <c r="L1494">
        <v>366.97660000000002</v>
      </c>
      <c r="M1494">
        <v>0.9998686</v>
      </c>
      <c r="N1494">
        <v>-1.546963E-2</v>
      </c>
      <c r="O1494">
        <v>-4.8710659999999899E-3</v>
      </c>
      <c r="P1494">
        <v>0.99059399999999997</v>
      </c>
      <c r="Q1494">
        <v>0.10978930000000001</v>
      </c>
      <c r="R1494">
        <v>8.1669930000000002E-2</v>
      </c>
      <c r="S1494">
        <v>3.0339969999999998</v>
      </c>
      <c r="T1494">
        <v>-5.6164150000000003E-2</v>
      </c>
      <c r="U1494">
        <v>1.101685E-2</v>
      </c>
      <c r="V1494">
        <v>-8.6469809999999994E-2</v>
      </c>
      <c r="W1494">
        <v>0.12511120000000001</v>
      </c>
      <c r="X1494">
        <v>0.98836740000000001</v>
      </c>
      <c r="Y1494">
        <v>-8.4999869999999901E-3</v>
      </c>
      <c r="Z1494">
        <v>1.592338E-4</v>
      </c>
      <c r="AA1494">
        <v>0.99996390000000002</v>
      </c>
      <c r="AB1494">
        <v>29</v>
      </c>
      <c r="AC1494">
        <v>57.174599999999998</v>
      </c>
      <c r="AD1494">
        <v>-1.06124908486999</v>
      </c>
      <c r="AE1494">
        <v>0.20879999999999599</v>
      </c>
      <c r="AF1494">
        <v>-0.487164226006993</v>
      </c>
      <c r="AG1494">
        <v>-1.06124908486999</v>
      </c>
      <c r="AH1494">
        <v>57.153213539664897</v>
      </c>
      <c r="AI1494">
        <v>91.063735438681604</v>
      </c>
      <c r="AJ1494">
        <v>90.4883676066748</v>
      </c>
      <c r="AK1494">
        <v>57.165141445760199</v>
      </c>
      <c r="AL1494">
        <v>82.812822363301393</v>
      </c>
      <c r="AM1494">
        <v>94.999934824592899</v>
      </c>
      <c r="AN1494">
        <v>0.99999997889481695</v>
      </c>
    </row>
    <row r="1495" spans="1:40" x14ac:dyDescent="0.25">
      <c r="A1495" t="str">
        <f>"20190304154748549"</f>
        <v>20190304154748549</v>
      </c>
      <c r="B1495" t="str">
        <f>"1551685668538192"</f>
        <v>1551685668538192</v>
      </c>
      <c r="C1495" t="s">
        <v>40</v>
      </c>
      <c r="D1495">
        <v>4.3332139999999999</v>
      </c>
      <c r="E1495">
        <v>0.52830269999999901</v>
      </c>
      <c r="F1495" t="s">
        <v>44</v>
      </c>
      <c r="G1495">
        <v>-226.0478</v>
      </c>
      <c r="H1495" s="1">
        <v>-2.106788E-6</v>
      </c>
      <c r="I1495">
        <v>367.1979</v>
      </c>
      <c r="J1495">
        <v>-280.81169999999997</v>
      </c>
      <c r="K1495">
        <v>1.0615749999999999</v>
      </c>
      <c r="L1495">
        <v>366.97590000000002</v>
      </c>
      <c r="M1495">
        <v>0.99985809999999997</v>
      </c>
      <c r="N1495">
        <v>-1.611918E-2</v>
      </c>
      <c r="O1495">
        <v>-4.9068139999999998E-3</v>
      </c>
      <c r="P1495">
        <v>0.990649</v>
      </c>
      <c r="Q1495">
        <v>0.1093059</v>
      </c>
      <c r="R1495">
        <v>8.1651810000000005E-2</v>
      </c>
      <c r="S1495">
        <v>3.0339659999999999</v>
      </c>
      <c r="T1495">
        <v>-5.8648350000000002E-2</v>
      </c>
      <c r="U1495">
        <v>1.223755E-2</v>
      </c>
      <c r="V1495">
        <v>-8.6488330000000002E-2</v>
      </c>
      <c r="W1495">
        <v>0.1252702</v>
      </c>
      <c r="X1495">
        <v>0.98834569999999999</v>
      </c>
      <c r="Y1495">
        <v>-8.937759E-3</v>
      </c>
      <c r="Z1495">
        <v>1.7417450000000001E-4</v>
      </c>
      <c r="AA1495">
        <v>0.99996010000000002</v>
      </c>
      <c r="AB1495">
        <v>28</v>
      </c>
      <c r="AC1495">
        <v>54.7638999999999</v>
      </c>
      <c r="AD1495">
        <v>-1.061577106788</v>
      </c>
      <c r="AE1495">
        <v>0.22199999999997999</v>
      </c>
      <c r="AF1495">
        <v>-0.49056416501502498</v>
      </c>
      <c r="AG1495">
        <v>-1.061577106788</v>
      </c>
      <c r="AH1495">
        <v>54.741581561372499</v>
      </c>
      <c r="AI1495">
        <v>91.110925587284001</v>
      </c>
      <c r="AJ1495">
        <v>90.513439748377607</v>
      </c>
      <c r="AK1495">
        <v>54.754071547183202</v>
      </c>
      <c r="AL1495">
        <v>82.803640525465994</v>
      </c>
      <c r="AM1495">
        <v>95.001109519011194</v>
      </c>
      <c r="AN1495">
        <v>1.0000000384713501</v>
      </c>
    </row>
    <row r="1496" spans="1:40" x14ac:dyDescent="0.25">
      <c r="A1496" t="str">
        <f>"20190304154748562"</f>
        <v>20190304154748562</v>
      </c>
      <c r="B1496" t="str">
        <f>"1551685668557712"</f>
        <v>1551685668557712</v>
      </c>
      <c r="C1496" t="s">
        <v>40</v>
      </c>
      <c r="D1496">
        <v>4.3462440000000004</v>
      </c>
      <c r="E1496">
        <v>0.52806239999999904</v>
      </c>
      <c r="F1496" t="s">
        <v>44</v>
      </c>
      <c r="G1496">
        <v>-226.86969999999999</v>
      </c>
      <c r="H1496" s="1">
        <v>-1.75490999999999E-6</v>
      </c>
      <c r="I1496">
        <v>367.19389999999999</v>
      </c>
      <c r="J1496">
        <v>-280.67270000000002</v>
      </c>
      <c r="K1496">
        <v>1.0620099999999999</v>
      </c>
      <c r="L1496">
        <v>366.9751</v>
      </c>
      <c r="M1496">
        <v>0.99985239999999997</v>
      </c>
      <c r="N1496">
        <v>-1.6465819999999999E-2</v>
      </c>
      <c r="O1496">
        <v>-4.9447090000000003E-3</v>
      </c>
      <c r="P1496">
        <v>0.99070440000000004</v>
      </c>
      <c r="Q1496">
        <v>0.1087857</v>
      </c>
      <c r="R1496">
        <v>8.1676650000000003E-2</v>
      </c>
      <c r="S1496">
        <v>3.0339360000000002</v>
      </c>
      <c r="T1496">
        <v>-5.9707639999999999E-2</v>
      </c>
      <c r="U1496">
        <v>1.2268070000000001E-2</v>
      </c>
      <c r="V1496">
        <v>-8.6551069999999994E-2</v>
      </c>
      <c r="W1496">
        <v>0.1250937</v>
      </c>
      <c r="X1496">
        <v>0.98836250000000003</v>
      </c>
      <c r="Y1496">
        <v>-8.9856490000000001E-3</v>
      </c>
      <c r="Z1496">
        <v>1.7828509999999901E-4</v>
      </c>
      <c r="AA1496">
        <v>0.99995959999999995</v>
      </c>
      <c r="AB1496">
        <v>28</v>
      </c>
      <c r="AC1496">
        <v>53.802999999999997</v>
      </c>
      <c r="AD1496">
        <v>-1.0620117549099899</v>
      </c>
      <c r="AE1496">
        <v>0.218799999999987</v>
      </c>
      <c r="AF1496">
        <v>-0.48468468068090398</v>
      </c>
      <c r="AG1496">
        <v>-1.0620117549099899</v>
      </c>
      <c r="AH1496">
        <v>53.780306273702102</v>
      </c>
      <c r="AI1496">
        <v>91.131239630657902</v>
      </c>
      <c r="AJ1496">
        <v>90.516353228640099</v>
      </c>
      <c r="AK1496">
        <v>53.792974737417701</v>
      </c>
      <c r="AL1496">
        <v>82.813832961387803</v>
      </c>
      <c r="AM1496">
        <v>95.004634346945096</v>
      </c>
      <c r="AN1496">
        <v>0.99999997645204197</v>
      </c>
    </row>
    <row r="1497" spans="1:40" x14ac:dyDescent="0.25">
      <c r="A1497" t="str">
        <f>"20190304154748575"</f>
        <v>20190304154748575</v>
      </c>
      <c r="B1497" t="str">
        <f>"1551685668568449"</f>
        <v>1551685668568449</v>
      </c>
      <c r="C1497" t="s">
        <v>40</v>
      </c>
      <c r="D1497">
        <v>4.3476629999999998</v>
      </c>
      <c r="E1497">
        <v>0.52806419999999998</v>
      </c>
      <c r="F1497" t="s">
        <v>44</v>
      </c>
      <c r="G1497">
        <v>-228.79560000000001</v>
      </c>
      <c r="H1497" s="1">
        <v>-1.034141E-6</v>
      </c>
      <c r="I1497">
        <v>367.21769999999998</v>
      </c>
      <c r="J1497">
        <v>-280.51459999999997</v>
      </c>
      <c r="K1497">
        <v>1.062503</v>
      </c>
      <c r="L1497">
        <v>366.97430000000003</v>
      </c>
      <c r="M1497">
        <v>0.99985029999999997</v>
      </c>
      <c r="N1497">
        <v>-1.6577930000000001E-2</v>
      </c>
      <c r="O1497">
        <v>-4.9889340000000004E-3</v>
      </c>
      <c r="P1497">
        <v>0.99070190000000002</v>
      </c>
      <c r="Q1497">
        <v>0.1087973</v>
      </c>
      <c r="R1497">
        <v>8.168831E-2</v>
      </c>
      <c r="S1497">
        <v>3.0337519999999998</v>
      </c>
      <c r="T1497">
        <v>-6.2105889999999997E-2</v>
      </c>
      <c r="U1497">
        <v>1.4190670000000001E-2</v>
      </c>
      <c r="V1497">
        <v>-8.6606269999999999E-2</v>
      </c>
      <c r="W1497">
        <v>0.1252163</v>
      </c>
      <c r="X1497">
        <v>0.98834219999999895</v>
      </c>
      <c r="Y1497">
        <v>-9.6633520000000001E-3</v>
      </c>
      <c r="Z1497">
        <v>1.9843230000000001E-4</v>
      </c>
      <c r="AA1497">
        <v>0.99995330000000004</v>
      </c>
      <c r="AB1497">
        <v>28</v>
      </c>
      <c r="AC1497">
        <v>51.718999999999902</v>
      </c>
      <c r="AD1497">
        <v>-1.0625040341409999</v>
      </c>
      <c r="AE1497">
        <v>0.24339999999995099</v>
      </c>
      <c r="AF1497">
        <v>-0.50124352332226296</v>
      </c>
      <c r="AG1497">
        <v>-1.0625040341409999</v>
      </c>
      <c r="AH1497">
        <v>51.6953243376553</v>
      </c>
      <c r="AI1497">
        <v>91.177390168368206</v>
      </c>
      <c r="AJ1497">
        <v>90.555528740903199</v>
      </c>
      <c r="AK1497">
        <v>51.7086715964316</v>
      </c>
      <c r="AL1497">
        <v>82.8067532599229</v>
      </c>
      <c r="AM1497">
        <v>95.007912280445296</v>
      </c>
      <c r="AN1497">
        <v>1.0000000360449199</v>
      </c>
    </row>
    <row r="1498" spans="1:40" x14ac:dyDescent="0.25">
      <c r="A1498" t="str">
        <f>"20190304154748586"</f>
        <v>20190304154748586</v>
      </c>
      <c r="B1498" t="str">
        <f>"1551685668578208"</f>
        <v>1551685668578208</v>
      </c>
      <c r="C1498" t="s">
        <v>40</v>
      </c>
      <c r="D1498">
        <v>4.3242820000000002</v>
      </c>
      <c r="E1498">
        <v>0.52790319999999902</v>
      </c>
      <c r="F1498" t="s">
        <v>44</v>
      </c>
      <c r="G1498">
        <v>-228.12</v>
      </c>
      <c r="H1498" s="1">
        <v>-1.2620829999999999E-6</v>
      </c>
      <c r="I1498">
        <v>367.22519999999997</v>
      </c>
      <c r="J1498">
        <v>-280.37610000000001</v>
      </c>
      <c r="K1498">
        <v>1.062894</v>
      </c>
      <c r="L1498">
        <v>366.97359999999998</v>
      </c>
      <c r="M1498">
        <v>0.99985950000000001</v>
      </c>
      <c r="N1498">
        <v>-1.5992599999999999E-2</v>
      </c>
      <c r="O1498">
        <v>-5.0310219999999996E-3</v>
      </c>
      <c r="P1498">
        <v>0.99061390000000005</v>
      </c>
      <c r="Q1498">
        <v>0.1095593</v>
      </c>
      <c r="R1498">
        <v>8.1736820000000002E-2</v>
      </c>
      <c r="S1498">
        <v>3.033722</v>
      </c>
      <c r="T1498">
        <v>-6.152034E-2</v>
      </c>
      <c r="U1498">
        <v>1.452637E-2</v>
      </c>
      <c r="V1498">
        <v>-8.6695209999999995E-2</v>
      </c>
      <c r="W1498">
        <v>0.12539839999999999</v>
      </c>
      <c r="X1498">
        <v>0.9883113</v>
      </c>
      <c r="Y1498">
        <v>-9.8161350000000001E-3</v>
      </c>
      <c r="Z1498">
        <v>1.995818E-4</v>
      </c>
      <c r="AA1498">
        <v>0.99995179999999995</v>
      </c>
      <c r="AB1498">
        <v>28</v>
      </c>
      <c r="AC1498">
        <v>52.256100000000004</v>
      </c>
      <c r="AD1498">
        <v>-1.0628952620829999</v>
      </c>
      <c r="AE1498">
        <v>0.25159999999999599</v>
      </c>
      <c r="AF1498">
        <v>-0.51431923866464602</v>
      </c>
      <c r="AG1498">
        <v>-1.0628952620829999</v>
      </c>
      <c r="AH1498">
        <v>52.2325633509044</v>
      </c>
      <c r="AI1498">
        <v>91.165710695565494</v>
      </c>
      <c r="AJ1498">
        <v>90.564157059658697</v>
      </c>
      <c r="AK1498">
        <v>52.2459084027033</v>
      </c>
      <c r="AL1498">
        <v>82.796236705664697</v>
      </c>
      <c r="AM1498">
        <v>95.013184881181701</v>
      </c>
      <c r="AN1498">
        <v>1.0000000219335901</v>
      </c>
    </row>
    <row r="1499" spans="1:40" x14ac:dyDescent="0.25">
      <c r="A1499" t="str">
        <f>"20190304154748598"</f>
        <v>20190304154748598</v>
      </c>
      <c r="B1499" t="str">
        <f>"1551685668587968"</f>
        <v>1551685668587968</v>
      </c>
      <c r="C1499" t="s">
        <v>40</v>
      </c>
      <c r="D1499">
        <v>4.6436580000000003</v>
      </c>
      <c r="E1499">
        <v>0.52850459999999999</v>
      </c>
      <c r="F1499" t="s">
        <v>44</v>
      </c>
      <c r="G1499">
        <v>-225.85769999999999</v>
      </c>
      <c r="H1499" s="1">
        <v>-2.177865E-6</v>
      </c>
      <c r="I1499">
        <v>367.25709999999998</v>
      </c>
      <c r="J1499">
        <v>-280.22000000000003</v>
      </c>
      <c r="K1499">
        <v>1.063366</v>
      </c>
      <c r="L1499">
        <v>366.97269999999997</v>
      </c>
      <c r="M1499">
        <v>0.99987420000000005</v>
      </c>
      <c r="N1499">
        <v>-1.5034779999999999E-2</v>
      </c>
      <c r="O1499">
        <v>-5.0771080000000003E-3</v>
      </c>
      <c r="P1499">
        <v>0.99051350000000005</v>
      </c>
      <c r="Q1499">
        <v>0.1104281</v>
      </c>
      <c r="R1499">
        <v>8.1786869999999998E-2</v>
      </c>
      <c r="S1499">
        <v>3.0336609999999999</v>
      </c>
      <c r="T1499">
        <v>-5.9144500000000003E-2</v>
      </c>
      <c r="U1499">
        <v>1.5777590000000001E-2</v>
      </c>
      <c r="V1499">
        <v>-8.6789399999999906E-2</v>
      </c>
      <c r="W1499">
        <v>0.1253194</v>
      </c>
      <c r="X1499">
        <v>0.988313</v>
      </c>
      <c r="Y1499">
        <v>-1.0274810000000001E-2</v>
      </c>
      <c r="Z1499">
        <v>2.0004500000000001E-4</v>
      </c>
      <c r="AA1499">
        <v>0.99994720000000004</v>
      </c>
      <c r="AB1499">
        <v>28</v>
      </c>
      <c r="AC1499">
        <v>54.362299999999998</v>
      </c>
      <c r="AD1499">
        <v>-1.0633681778649999</v>
      </c>
      <c r="AE1499">
        <v>0.28440000000000498</v>
      </c>
      <c r="AF1499">
        <v>-0.56021642279938499</v>
      </c>
      <c r="AG1499">
        <v>-1.0633681778649999</v>
      </c>
      <c r="AH1499">
        <v>54.3393641452098</v>
      </c>
      <c r="AI1499">
        <v>91.121019685021807</v>
      </c>
      <c r="AJ1499">
        <v>90.590674918819204</v>
      </c>
      <c r="AK1499">
        <v>54.352654857217303</v>
      </c>
      <c r="AL1499">
        <v>82.800798679164302</v>
      </c>
      <c r="AM1499">
        <v>95.018595066346194</v>
      </c>
      <c r="AN1499">
        <v>0.99999996896885901</v>
      </c>
    </row>
    <row r="1500" spans="1:40" x14ac:dyDescent="0.25">
      <c r="A1500" t="str">
        <f>"20190304154748611"</f>
        <v>20190304154748611</v>
      </c>
      <c r="B1500" t="str">
        <f>"1551685668608464"</f>
        <v>1551685668608464</v>
      </c>
      <c r="C1500" t="s">
        <v>40</v>
      </c>
      <c r="D1500">
        <v>4.3243429999999998</v>
      </c>
      <c r="E1500">
        <v>0.52829110000000001</v>
      </c>
      <c r="F1500" t="s">
        <v>44</v>
      </c>
      <c r="G1500">
        <v>-223.37219999999999</v>
      </c>
      <c r="H1500" s="1">
        <v>-3.256765E-6</v>
      </c>
      <c r="I1500">
        <v>367.1859</v>
      </c>
      <c r="J1500">
        <v>-280.05470000000003</v>
      </c>
      <c r="K1500">
        <v>1.063893</v>
      </c>
      <c r="L1500">
        <v>366.97179999999997</v>
      </c>
      <c r="M1500">
        <v>0.99989249999999996</v>
      </c>
      <c r="N1500">
        <v>-1.3745469999999999E-2</v>
      </c>
      <c r="O1500">
        <v>-5.1246649999999996E-3</v>
      </c>
      <c r="P1500">
        <v>0.99039849999999996</v>
      </c>
      <c r="Q1500">
        <v>0.111525</v>
      </c>
      <c r="R1500">
        <v>8.1689800000000007E-2</v>
      </c>
      <c r="S1500">
        <v>3.0340880000000001</v>
      </c>
      <c r="T1500">
        <v>-5.6754110000000003E-2</v>
      </c>
      <c r="U1500">
        <v>1.138306E-2</v>
      </c>
      <c r="V1500">
        <v>-8.6737649999999999E-2</v>
      </c>
      <c r="W1500">
        <v>0.12514059999999999</v>
      </c>
      <c r="X1500">
        <v>0.98834029999999995</v>
      </c>
      <c r="Y1500">
        <v>-8.8740069999999997E-3</v>
      </c>
      <c r="Z1500">
        <v>1.6939799999999999E-4</v>
      </c>
      <c r="AA1500">
        <v>0.99996059999999998</v>
      </c>
      <c r="AB1500">
        <v>28</v>
      </c>
      <c r="AC1500">
        <v>56.682499999999997</v>
      </c>
      <c r="AD1500">
        <v>-1.0638962567650001</v>
      </c>
      <c r="AE1500">
        <v>0.21410000000002999</v>
      </c>
      <c r="AF1500">
        <v>-0.50442572460948398</v>
      </c>
      <c r="AG1500">
        <v>-1.0638962567650001</v>
      </c>
      <c r="AH1500">
        <v>56.660697532990298</v>
      </c>
      <c r="AI1500">
        <v>91.0756519291632</v>
      </c>
      <c r="AJ1500">
        <v>90.510066110321802</v>
      </c>
      <c r="AK1500">
        <v>56.672929741471997</v>
      </c>
      <c r="AL1500">
        <v>82.811125176068501</v>
      </c>
      <c r="AM1500">
        <v>95.015480057380699</v>
      </c>
      <c r="AN1500">
        <v>1.00000006914998</v>
      </c>
    </row>
    <row r="1501" spans="1:40" x14ac:dyDescent="0.25">
      <c r="A1501" t="str">
        <f>"20190304154748624"</f>
        <v>20190304154748624</v>
      </c>
      <c r="B1501" t="str">
        <f>"1551685668618224"</f>
        <v>1551685668618224</v>
      </c>
      <c r="C1501" t="s">
        <v>40</v>
      </c>
      <c r="D1501">
        <v>4.3740880000000004</v>
      </c>
      <c r="E1501">
        <v>0.52834720000000002</v>
      </c>
      <c r="F1501" t="s">
        <v>44</v>
      </c>
      <c r="G1501">
        <v>-220.9212</v>
      </c>
      <c r="H1501" s="1">
        <v>-4.3027180000000004E-6</v>
      </c>
      <c r="I1501">
        <v>367.21679999999998</v>
      </c>
      <c r="J1501">
        <v>-279.8997</v>
      </c>
      <c r="K1501">
        <v>1.064546</v>
      </c>
      <c r="L1501">
        <v>366.971</v>
      </c>
      <c r="M1501">
        <v>0.99990860000000004</v>
      </c>
      <c r="N1501">
        <v>-1.2501089999999999E-2</v>
      </c>
      <c r="O1501">
        <v>-5.1707619999999998E-3</v>
      </c>
      <c r="P1501">
        <v>0.9902512</v>
      </c>
      <c r="Q1501">
        <v>0.1129676</v>
      </c>
      <c r="R1501">
        <v>8.149228E-2</v>
      </c>
      <c r="S1501">
        <v>3.0341800000000001</v>
      </c>
      <c r="T1501">
        <v>-5.4589270000000002E-2</v>
      </c>
      <c r="U1501">
        <v>1.2573239999999999E-2</v>
      </c>
      <c r="V1501">
        <v>-8.6584510000000003E-2</v>
      </c>
      <c r="W1501">
        <v>0.12535160000000001</v>
      </c>
      <c r="X1501">
        <v>0.98832690000000001</v>
      </c>
      <c r="Y1501">
        <v>-9.3122670000000008E-3</v>
      </c>
      <c r="Z1501">
        <v>1.703613E-4</v>
      </c>
      <c r="AA1501">
        <v>0.99995659999999997</v>
      </c>
      <c r="AB1501">
        <v>28</v>
      </c>
      <c r="AC1501">
        <v>58.978499999999997</v>
      </c>
      <c r="AD1501">
        <v>-1.0645503027180001</v>
      </c>
      <c r="AE1501">
        <v>0.24579999999997401</v>
      </c>
      <c r="AF1501">
        <v>-0.55060491703292502</v>
      </c>
      <c r="AG1501">
        <v>-1.0645503027180001</v>
      </c>
      <c r="AH1501">
        <v>58.957232690832299</v>
      </c>
      <c r="AI1501">
        <v>91.034393074805493</v>
      </c>
      <c r="AJ1501">
        <v>90.535072956588706</v>
      </c>
      <c r="AK1501">
        <v>58.969413424949501</v>
      </c>
      <c r="AL1501">
        <v>82.798939179095996</v>
      </c>
      <c r="AM1501">
        <v>95.006737541202796</v>
      </c>
      <c r="AN1501">
        <v>0.99999998112905397</v>
      </c>
    </row>
    <row r="1502" spans="1:40" x14ac:dyDescent="0.25">
      <c r="A1502" t="str">
        <f>"20190304154748634"</f>
        <v>20190304154748634</v>
      </c>
      <c r="B1502" t="str">
        <f>"1551685668627985"</f>
        <v>1551685668627985</v>
      </c>
      <c r="C1502" t="s">
        <v>40</v>
      </c>
      <c r="D1502">
        <v>4.3658070000000002</v>
      </c>
      <c r="E1502">
        <v>0.52824479999999996</v>
      </c>
      <c r="F1502" t="s">
        <v>44</v>
      </c>
      <c r="G1502">
        <v>-216.2817</v>
      </c>
      <c r="H1502" s="1">
        <v>-2.0038319999999998E-6</v>
      </c>
      <c r="I1502">
        <v>367.21280000000002</v>
      </c>
      <c r="J1502">
        <v>-279.76260000000002</v>
      </c>
      <c r="K1502">
        <v>1.0651619999999999</v>
      </c>
      <c r="L1502">
        <v>366.97030000000001</v>
      </c>
      <c r="M1502">
        <v>0.99992110000000001</v>
      </c>
      <c r="N1502">
        <v>-1.1427410000000001E-2</v>
      </c>
      <c r="O1502">
        <v>-5.2121659999999998E-3</v>
      </c>
      <c r="P1502">
        <v>0.99012560000000005</v>
      </c>
      <c r="Q1502">
        <v>0.1140789</v>
      </c>
      <c r="R1502">
        <v>8.1468120000000005E-2</v>
      </c>
      <c r="S1502">
        <v>3.0343629999999999</v>
      </c>
      <c r="T1502">
        <v>-5.0775290000000001E-2</v>
      </c>
      <c r="U1502">
        <v>1.153564E-2</v>
      </c>
      <c r="V1502">
        <v>-8.6600949999999996E-2</v>
      </c>
      <c r="W1502">
        <v>0.12539939999999999</v>
      </c>
      <c r="X1502">
        <v>0.98831939999999996</v>
      </c>
      <c r="Y1502">
        <v>-9.0118639999999996E-3</v>
      </c>
      <c r="Z1502">
        <v>1.54542099999999E-4</v>
      </c>
      <c r="AA1502">
        <v>0.99995940000000005</v>
      </c>
      <c r="AB1502">
        <v>28</v>
      </c>
      <c r="AC1502">
        <v>63.480899999999998</v>
      </c>
      <c r="AD1502">
        <v>-1.0651640038320001</v>
      </c>
      <c r="AE1502">
        <v>0.24250000000000599</v>
      </c>
      <c r="AF1502">
        <v>-0.57322991953591296</v>
      </c>
      <c r="AG1502">
        <v>-1.0651640038320001</v>
      </c>
      <c r="AH1502">
        <v>63.460906767352697</v>
      </c>
      <c r="AI1502">
        <v>90.961555483428199</v>
      </c>
      <c r="AJ1502">
        <v>90.517527459689603</v>
      </c>
      <c r="AK1502">
        <v>63.472433816817997</v>
      </c>
      <c r="AL1502">
        <v>82.796178688273798</v>
      </c>
      <c r="AM1502">
        <v>95.007721156884401</v>
      </c>
      <c r="AN1502">
        <v>0.99999998523881095</v>
      </c>
    </row>
    <row r="1503" spans="1:40" x14ac:dyDescent="0.25">
      <c r="A1503" t="str">
        <f>"20190304154748645"</f>
        <v>20190304154748645</v>
      </c>
      <c r="B1503" t="str">
        <f>"1551685668637745"</f>
        <v>1551685668637745</v>
      </c>
      <c r="C1503" t="s">
        <v>40</v>
      </c>
      <c r="D1503">
        <v>4.3565550000000002</v>
      </c>
      <c r="E1503">
        <v>0.52825580000000005</v>
      </c>
      <c r="F1503" t="s">
        <v>44</v>
      </c>
      <c r="G1503">
        <v>-212.45359999999999</v>
      </c>
      <c r="H1503" s="1">
        <v>-3.6412809999999999E-6</v>
      </c>
      <c r="I1503">
        <v>367.23970000000003</v>
      </c>
      <c r="J1503">
        <v>-279.61950000000002</v>
      </c>
      <c r="K1503">
        <v>1.0658989999999999</v>
      </c>
      <c r="L1503">
        <v>366.96949999999998</v>
      </c>
      <c r="M1503">
        <v>0.9999323</v>
      </c>
      <c r="N1503">
        <v>-1.0380260000000001E-2</v>
      </c>
      <c r="O1503">
        <v>-5.2574850000000001E-3</v>
      </c>
      <c r="P1503">
        <v>0.9899751</v>
      </c>
      <c r="Q1503">
        <v>0.1154756</v>
      </c>
      <c r="R1503">
        <v>8.1333459999999996E-2</v>
      </c>
      <c r="S1503">
        <v>3.034424</v>
      </c>
      <c r="T1503">
        <v>-4.8019770000000003E-2</v>
      </c>
      <c r="U1503">
        <v>1.2146000000000001E-2</v>
      </c>
      <c r="V1503">
        <v>-8.651122E-2</v>
      </c>
      <c r="W1503">
        <v>0.12575890000000001</v>
      </c>
      <c r="X1503">
        <v>0.98828159999999998</v>
      </c>
      <c r="Y1503">
        <v>-9.2583760000000005E-3</v>
      </c>
      <c r="Z1503">
        <v>1.4993059999999901E-4</v>
      </c>
      <c r="AA1503">
        <v>0.99995710000000004</v>
      </c>
      <c r="AB1503">
        <v>28</v>
      </c>
      <c r="AC1503">
        <v>67.165899999999993</v>
      </c>
      <c r="AD1503">
        <v>-1.065902641281</v>
      </c>
      <c r="AE1503">
        <v>0.27020000000004502</v>
      </c>
      <c r="AF1503">
        <v>-0.62318205962985895</v>
      </c>
      <c r="AG1503">
        <v>-1.065902641281</v>
      </c>
      <c r="AH1503">
        <v>67.146640542882594</v>
      </c>
      <c r="AI1503">
        <v>90.909412053324402</v>
      </c>
      <c r="AJ1503">
        <v>90.531741818730794</v>
      </c>
      <c r="AK1503">
        <v>67.157991635509902</v>
      </c>
      <c r="AL1503">
        <v>82.775416647824599</v>
      </c>
      <c r="AM1503">
        <v>95.002749208504696</v>
      </c>
      <c r="AN1503">
        <v>1.00000000650682</v>
      </c>
    </row>
    <row r="1504" spans="1:40" x14ac:dyDescent="0.25">
      <c r="A1504" t="str">
        <f>"20190304154748657"</f>
        <v>20190304154748657</v>
      </c>
      <c r="B1504" t="str">
        <f>"1551685668648481"</f>
        <v>1551685668648481</v>
      </c>
      <c r="C1504" t="s">
        <v>40</v>
      </c>
      <c r="D1504">
        <v>4.3585070000000004</v>
      </c>
      <c r="E1504">
        <v>0.52821759999999995</v>
      </c>
      <c r="F1504" t="s">
        <v>53</v>
      </c>
      <c r="G1504">
        <v>-205.9785</v>
      </c>
      <c r="H1504" s="1">
        <v>-3.9346899999999999E-6</v>
      </c>
      <c r="I1504">
        <v>367.25310000000002</v>
      </c>
      <c r="J1504">
        <v>-279.48099999999999</v>
      </c>
      <c r="K1504">
        <v>1.0666450000000001</v>
      </c>
      <c r="L1504">
        <v>366.96870000000001</v>
      </c>
      <c r="M1504">
        <v>0.99994179999999999</v>
      </c>
      <c r="N1504">
        <v>-9.4032869999999998E-3</v>
      </c>
      <c r="O1504">
        <v>-5.3027339999999999E-3</v>
      </c>
      <c r="P1504">
        <v>0.98985109999999998</v>
      </c>
      <c r="Q1504">
        <v>0.1165988</v>
      </c>
      <c r="R1504">
        <v>8.1239259999999994E-2</v>
      </c>
      <c r="S1504">
        <v>3.0345759999999999</v>
      </c>
      <c r="T1504">
        <v>-4.3923379999999998E-2</v>
      </c>
      <c r="U1504">
        <v>1.1688230000000001E-2</v>
      </c>
      <c r="V1504">
        <v>-8.6461419999999997E-2</v>
      </c>
      <c r="W1504">
        <v>0.125915</v>
      </c>
      <c r="X1504">
        <v>0.98826610000000004</v>
      </c>
      <c r="Y1504">
        <v>-9.1528849999999995E-3</v>
      </c>
      <c r="Z1504">
        <v>1.36161299999999E-4</v>
      </c>
      <c r="AA1504">
        <v>0.99995809999999996</v>
      </c>
      <c r="AB1504">
        <v>28</v>
      </c>
      <c r="AC1504">
        <v>73.502499999999998</v>
      </c>
      <c r="AD1504">
        <v>-1.0666489346899899</v>
      </c>
      <c r="AE1504">
        <v>0.28440000000000498</v>
      </c>
      <c r="AF1504">
        <v>-0.67403546845734397</v>
      </c>
      <c r="AG1504">
        <v>-1.0666489346899899</v>
      </c>
      <c r="AH1504">
        <v>73.484483426616407</v>
      </c>
      <c r="AI1504">
        <v>90.831571748357902</v>
      </c>
      <c r="AJ1504">
        <v>90.525530054293</v>
      </c>
      <c r="AK1504">
        <v>73.495315280902602</v>
      </c>
      <c r="AL1504">
        <v>82.766401241689607</v>
      </c>
      <c r="AM1504">
        <v>94.999962009367806</v>
      </c>
      <c r="AN1504">
        <v>1.0000000243913101</v>
      </c>
    </row>
    <row r="1505" spans="1:40" x14ac:dyDescent="0.25">
      <c r="A1505" t="str">
        <f>"20190304154748668"</f>
        <v>20190304154748668</v>
      </c>
      <c r="B1505" t="str">
        <f>"1551685668658241"</f>
        <v>1551685668658241</v>
      </c>
      <c r="C1505" t="s">
        <v>40</v>
      </c>
      <c r="D1505">
        <v>4.3390000000000004</v>
      </c>
      <c r="E1505">
        <v>0.52815519999999905</v>
      </c>
      <c r="F1505" t="s">
        <v>53</v>
      </c>
      <c r="G1505">
        <v>-199.22239999999999</v>
      </c>
      <c r="H1505" s="1">
        <v>-8.9737599999999993E-6</v>
      </c>
      <c r="I1505">
        <v>367.28339999999997</v>
      </c>
      <c r="J1505">
        <v>-279.33890000000002</v>
      </c>
      <c r="K1505">
        <v>1.0674380000000001</v>
      </c>
      <c r="L1505">
        <v>366.96789999999999</v>
      </c>
      <c r="M1505">
        <v>0.99995009999999995</v>
      </c>
      <c r="N1505">
        <v>-8.4395689999999992E-3</v>
      </c>
      <c r="O1505">
        <v>-5.3504269999999996E-3</v>
      </c>
      <c r="P1505">
        <v>0.98971920000000002</v>
      </c>
      <c r="Q1505">
        <v>0.1179342</v>
      </c>
      <c r="R1505">
        <v>8.0917939999999994E-2</v>
      </c>
      <c r="S1505">
        <v>3.0345759999999999</v>
      </c>
      <c r="T1505">
        <v>-4.0330169999999999E-2</v>
      </c>
      <c r="U1505">
        <v>1.190186E-2</v>
      </c>
      <c r="V1505">
        <v>-8.6187659999999999E-2</v>
      </c>
      <c r="W1505">
        <v>0.1262963</v>
      </c>
      <c r="X1505">
        <v>0.98824129999999999</v>
      </c>
      <c r="Y1505">
        <v>-9.2711700000000005E-3</v>
      </c>
      <c r="Z1505">
        <v>1.2668059999999999E-4</v>
      </c>
      <c r="AA1505">
        <v>0.99995699999999998</v>
      </c>
      <c r="AB1505">
        <v>28</v>
      </c>
      <c r="AC1505">
        <v>80.116500000000002</v>
      </c>
      <c r="AD1505">
        <v>-1.0674469737600001</v>
      </c>
      <c r="AE1505">
        <v>0.31549999999998501</v>
      </c>
      <c r="AF1505">
        <v>-0.74403614348482905</v>
      </c>
      <c r="AG1505">
        <v>-1.0674469737600001</v>
      </c>
      <c r="AH1505">
        <v>80.099445961282001</v>
      </c>
      <c r="AI1505">
        <v>90.763475297103298</v>
      </c>
      <c r="AJ1505">
        <v>90.532199745988393</v>
      </c>
      <c r="AK1505">
        <v>80.110013582129298</v>
      </c>
      <c r="AL1505">
        <v>82.744378135748505</v>
      </c>
      <c r="AM1505">
        <v>94.984335112775</v>
      </c>
      <c r="AN1505">
        <v>0.99999996757782705</v>
      </c>
    </row>
    <row r="1506" spans="1:40" x14ac:dyDescent="0.25">
      <c r="A1506" t="str">
        <f>"20190304154748678"</f>
        <v>20190304154748678</v>
      </c>
      <c r="B1506" t="str">
        <f>"1551685668668001"</f>
        <v>1551685668668001</v>
      </c>
      <c r="C1506" t="s">
        <v>40</v>
      </c>
      <c r="D1506">
        <v>4.3547330000000004</v>
      </c>
      <c r="E1506">
        <v>0.52806779999999998</v>
      </c>
      <c r="F1506" t="s">
        <v>53</v>
      </c>
      <c r="G1506">
        <v>-189.11850000000001</v>
      </c>
      <c r="H1506" s="1">
        <v>-8.1435119999999902E-6</v>
      </c>
      <c r="I1506">
        <v>367.31540000000001</v>
      </c>
      <c r="J1506">
        <v>-279.20999999999998</v>
      </c>
      <c r="K1506">
        <v>1.068176</v>
      </c>
      <c r="L1506">
        <v>366.96710000000002</v>
      </c>
      <c r="M1506">
        <v>0.99995659999999997</v>
      </c>
      <c r="N1506">
        <v>-7.5991629999999999E-3</v>
      </c>
      <c r="O1506">
        <v>-5.392165E-3</v>
      </c>
      <c r="P1506">
        <v>0.9896104</v>
      </c>
      <c r="Q1506">
        <v>0.1188799</v>
      </c>
      <c r="R1506">
        <v>8.0864450000000004E-2</v>
      </c>
      <c r="S1506">
        <v>3.0344540000000002</v>
      </c>
      <c r="T1506">
        <v>-3.5902259999999998E-2</v>
      </c>
      <c r="U1506">
        <v>1.1688230000000001E-2</v>
      </c>
      <c r="V1506">
        <v>-8.6175080000000001E-2</v>
      </c>
      <c r="W1506">
        <v>0.126410199999999</v>
      </c>
      <c r="X1506">
        <v>0.98822779999999999</v>
      </c>
      <c r="Y1506">
        <v>-9.2429290000000004E-3</v>
      </c>
      <c r="Z1506">
        <v>1.12618E-4</v>
      </c>
      <c r="AA1506">
        <v>0.99995730000000005</v>
      </c>
      <c r="AB1506">
        <v>28</v>
      </c>
      <c r="AC1506">
        <v>90.091499999999897</v>
      </c>
      <c r="AD1506">
        <v>-1.0681841435120001</v>
      </c>
      <c r="AE1506">
        <v>0.348299999999994</v>
      </c>
      <c r="AF1506">
        <v>-0.83397995094413002</v>
      </c>
      <c r="AG1506">
        <v>-1.0681841435120001</v>
      </c>
      <c r="AH1506">
        <v>90.075649367456705</v>
      </c>
      <c r="AI1506">
        <v>90.6793950661407</v>
      </c>
      <c r="AJ1506">
        <v>90.530467073107999</v>
      </c>
      <c r="AK1506">
        <v>90.085843221296599</v>
      </c>
      <c r="AL1506">
        <v>82.737799173874805</v>
      </c>
      <c r="AM1506">
        <v>94.983678997832598</v>
      </c>
      <c r="AN1506">
        <v>0.99999993388494102</v>
      </c>
    </row>
    <row r="1507" spans="1:40" x14ac:dyDescent="0.25">
      <c r="A1507" t="str">
        <f>"20190304154748689"</f>
        <v>20190304154748689</v>
      </c>
      <c r="B1507" t="str">
        <f>"1551685668677761"</f>
        <v>1551685668677761</v>
      </c>
      <c r="C1507" t="s">
        <v>40</v>
      </c>
      <c r="D1507">
        <v>4.3475289999999998</v>
      </c>
      <c r="E1507">
        <v>0.52795179999999997</v>
      </c>
      <c r="F1507" t="s">
        <v>53</v>
      </c>
      <c r="G1507">
        <v>-180.48480000000001</v>
      </c>
      <c r="H1507" s="1">
        <v>-8.8785770000000004E-6</v>
      </c>
      <c r="I1507">
        <v>367.3623</v>
      </c>
      <c r="J1507">
        <v>-279.07069999999999</v>
      </c>
      <c r="K1507">
        <v>1.068973</v>
      </c>
      <c r="L1507">
        <v>366.96629999999999</v>
      </c>
      <c r="M1507">
        <v>0.99996289999999999</v>
      </c>
      <c r="N1507">
        <v>-6.7093200000000004E-3</v>
      </c>
      <c r="O1507">
        <v>-5.4365960000000001E-3</v>
      </c>
      <c r="P1507">
        <v>0.98948800000000003</v>
      </c>
      <c r="Q1507">
        <v>0.1200928</v>
      </c>
      <c r="R1507">
        <v>8.0570420000000004E-2</v>
      </c>
      <c r="S1507">
        <v>3.034424</v>
      </c>
      <c r="T1507">
        <v>-3.283179E-2</v>
      </c>
      <c r="U1507">
        <v>1.2146000000000001E-2</v>
      </c>
      <c r="V1507">
        <v>-8.5924009999999995E-2</v>
      </c>
      <c r="W1507">
        <v>0.12674279999999999</v>
      </c>
      <c r="X1507">
        <v>0.98820719999999995</v>
      </c>
      <c r="Y1507">
        <v>-9.4383780000000007E-3</v>
      </c>
      <c r="Z1507">
        <v>1.0506840000000001E-4</v>
      </c>
      <c r="AA1507">
        <v>0.9999555</v>
      </c>
      <c r="AB1507">
        <v>28</v>
      </c>
      <c r="AC1507">
        <v>98.585899999999896</v>
      </c>
      <c r="AD1507">
        <v>-1.068981878577</v>
      </c>
      <c r="AE1507">
        <v>0.39600000000001501</v>
      </c>
      <c r="AF1507">
        <v>-0.93186825927181705</v>
      </c>
      <c r="AG1507">
        <v>-1.068981878577</v>
      </c>
      <c r="AH1507">
        <v>98.570700894521906</v>
      </c>
      <c r="AI1507">
        <v>90.621310511053693</v>
      </c>
      <c r="AJ1507">
        <v>90.541647033945907</v>
      </c>
      <c r="AK1507">
        <v>98.580901677488498</v>
      </c>
      <c r="AL1507">
        <v>82.718589085868899</v>
      </c>
      <c r="AM1507">
        <v>94.969334989787399</v>
      </c>
      <c r="AN1507">
        <v>1.00000007148907</v>
      </c>
    </row>
    <row r="1508" spans="1:40" x14ac:dyDescent="0.25">
      <c r="A1508" t="str">
        <f>"20190304154748700"</f>
        <v>20190304154748700</v>
      </c>
      <c r="B1508" t="str">
        <f>"1551685668688496"</f>
        <v>1551685668688496</v>
      </c>
      <c r="C1508" t="s">
        <v>40</v>
      </c>
      <c r="D1508">
        <v>4.3391199999999897</v>
      </c>
      <c r="E1508">
        <v>0.52785799999999905</v>
      </c>
      <c r="F1508" t="s">
        <v>53</v>
      </c>
      <c r="G1508">
        <v>-175.37029999999999</v>
      </c>
      <c r="H1508">
        <v>7.9988080000000003E-2</v>
      </c>
      <c r="I1508">
        <v>367.37200000000001</v>
      </c>
      <c r="J1508">
        <v>-278.94409999999999</v>
      </c>
      <c r="K1508">
        <v>1.069701</v>
      </c>
      <c r="L1508">
        <v>366.96559999999999</v>
      </c>
      <c r="M1508">
        <v>0.99996739999999995</v>
      </c>
      <c r="N1508">
        <v>-5.9478319999999897E-3</v>
      </c>
      <c r="O1508">
        <v>-5.4766779999999996E-3</v>
      </c>
      <c r="P1508">
        <v>0.98935340000000005</v>
      </c>
      <c r="Q1508">
        <v>0.1212167</v>
      </c>
      <c r="R1508">
        <v>8.0539520000000003E-2</v>
      </c>
      <c r="S1508">
        <v>3.034424</v>
      </c>
      <c r="T1508">
        <v>-2.893913E-2</v>
      </c>
      <c r="U1508">
        <v>1.1871339999999999E-2</v>
      </c>
      <c r="V1508">
        <v>-8.5932629999999996E-2</v>
      </c>
      <c r="W1508">
        <v>0.12711310000000001</v>
      </c>
      <c r="X1508">
        <v>0.9881588</v>
      </c>
      <c r="Y1508">
        <v>-9.3881369999999995E-3</v>
      </c>
      <c r="Z1508" s="1">
        <v>9.2341830000000006E-5</v>
      </c>
      <c r="AA1508">
        <v>0.99995599999999996</v>
      </c>
      <c r="AB1508">
        <v>28</v>
      </c>
      <c r="AC1508">
        <v>103.57380000000001</v>
      </c>
      <c r="AD1508">
        <v>-0.98971292</v>
      </c>
      <c r="AE1508">
        <v>0.40639999999996201</v>
      </c>
      <c r="AF1508">
        <v>-0.97355534785359299</v>
      </c>
      <c r="AG1508">
        <v>-0.98971292</v>
      </c>
      <c r="AH1508">
        <v>103.560564899691</v>
      </c>
      <c r="AI1508">
        <v>90.547526383851903</v>
      </c>
      <c r="AJ1508">
        <v>90.538612062227998</v>
      </c>
      <c r="AK1508">
        <v>103.56986986581801</v>
      </c>
      <c r="AL1508">
        <v>82.697198828545197</v>
      </c>
      <c r="AM1508">
        <v>94.970073225774698</v>
      </c>
      <c r="AN1508">
        <v>0.99999998555388303</v>
      </c>
    </row>
    <row r="1509" spans="1:40" x14ac:dyDescent="0.25">
      <c r="A1509" t="str">
        <f>"20190304154748709"</f>
        <v>20190304154748709</v>
      </c>
      <c r="B1509" t="str">
        <f>"1551685668708017"</f>
        <v>1551685668708017</v>
      </c>
      <c r="C1509" t="s">
        <v>40</v>
      </c>
      <c r="D1509">
        <v>4.3483039999999997</v>
      </c>
      <c r="E1509">
        <v>0.52765810000000002</v>
      </c>
      <c r="F1509" t="s">
        <v>43</v>
      </c>
      <c r="G1509">
        <v>-158.78319999999999</v>
      </c>
      <c r="H1509">
        <v>5.4976579999999997E-2</v>
      </c>
      <c r="I1509">
        <v>367.45870000000002</v>
      </c>
      <c r="J1509">
        <v>-278.8066</v>
      </c>
      <c r="K1509">
        <v>1.070486</v>
      </c>
      <c r="L1509">
        <v>366.96480000000003</v>
      </c>
      <c r="M1509">
        <v>0.99997159999999996</v>
      </c>
      <c r="N1509">
        <v>-5.1335010000000004E-3</v>
      </c>
      <c r="O1509">
        <v>-5.5200079999999999E-3</v>
      </c>
      <c r="P1509">
        <v>0.98920660000000005</v>
      </c>
      <c r="Q1509">
        <v>0.12255919999999999</v>
      </c>
      <c r="R1509">
        <v>8.0308569999999996E-2</v>
      </c>
      <c r="S1509">
        <v>3.034424</v>
      </c>
      <c r="T1509">
        <v>-2.5622610000000001E-2</v>
      </c>
      <c r="U1509">
        <v>1.2451169999999999E-2</v>
      </c>
      <c r="V1509">
        <v>-8.5743360000000005E-2</v>
      </c>
      <c r="W1509">
        <v>0.12764990000000001</v>
      </c>
      <c r="X1509">
        <v>0.98810609999999999</v>
      </c>
      <c r="Y1509">
        <v>-9.6226620000000006E-3</v>
      </c>
      <c r="Z1509" s="1">
        <v>8.3598719999999896E-5</v>
      </c>
      <c r="AA1509">
        <v>0.99995369999999995</v>
      </c>
      <c r="AB1509">
        <v>28</v>
      </c>
      <c r="AC1509">
        <v>120.0234</v>
      </c>
      <c r="AD1509">
        <v>-1.0155094200000001</v>
      </c>
      <c r="AE1509">
        <v>0.49389999999999601</v>
      </c>
      <c r="AF1509">
        <v>-1.1563485467133401</v>
      </c>
      <c r="AG1509">
        <v>-1.0155094200000001</v>
      </c>
      <c r="AH1509">
        <v>120.01025391813199</v>
      </c>
      <c r="AI1509">
        <v>90.484794529485001</v>
      </c>
      <c r="AJ1509">
        <v>90.552051503601206</v>
      </c>
      <c r="AK1509">
        <v>120.020121008263</v>
      </c>
      <c r="AL1509">
        <v>82.666190269968396</v>
      </c>
      <c r="AM1509">
        <v>94.959444269994606</v>
      </c>
      <c r="AN1509">
        <v>1.0000000428056499</v>
      </c>
    </row>
    <row r="1510" spans="1:40" x14ac:dyDescent="0.25">
      <c r="A1510" t="str">
        <f>"20190304154748721"</f>
        <v>20190304154748721</v>
      </c>
      <c r="B1510" t="str">
        <f>"1551685668717776"</f>
        <v>1551685668717776</v>
      </c>
      <c r="C1510" t="s">
        <v>40</v>
      </c>
      <c r="D1510">
        <v>4.3396319999999999</v>
      </c>
      <c r="E1510">
        <v>0.52757889999999996</v>
      </c>
      <c r="F1510" t="s">
        <v>43</v>
      </c>
      <c r="G1510">
        <v>-158.78319999999999</v>
      </c>
      <c r="H1510">
        <v>0.2208116</v>
      </c>
      <c r="I1510">
        <v>367.50080000000003</v>
      </c>
      <c r="J1510">
        <v>-278.67579999999998</v>
      </c>
      <c r="K1510">
        <v>1.0713170000000001</v>
      </c>
      <c r="L1510">
        <v>366.964</v>
      </c>
      <c r="M1510">
        <v>0.99997340000000001</v>
      </c>
      <c r="N1510">
        <v>-4.7694030000000002E-3</v>
      </c>
      <c r="O1510">
        <v>-5.5628140000000001E-3</v>
      </c>
      <c r="P1510">
        <v>0.98912100000000003</v>
      </c>
      <c r="Q1510">
        <v>0.12324019999999999</v>
      </c>
      <c r="R1510">
        <v>8.0323580000000006E-2</v>
      </c>
      <c r="S1510">
        <v>3.034332</v>
      </c>
      <c r="T1510">
        <v>-2.1478529999999999E-2</v>
      </c>
      <c r="U1510">
        <v>1.3549800000000001E-2</v>
      </c>
      <c r="V1510">
        <v>-8.5801059999999998E-2</v>
      </c>
      <c r="W1510">
        <v>0.12797049999999999</v>
      </c>
      <c r="X1510">
        <v>0.98805960000000004</v>
      </c>
      <c r="Y1510">
        <v>-1.002777E-2</v>
      </c>
      <c r="Z1510" s="1">
        <v>7.2248639999999994E-5</v>
      </c>
      <c r="AA1510">
        <v>0.99994970000000005</v>
      </c>
      <c r="AB1510">
        <v>28</v>
      </c>
      <c r="AC1510">
        <v>119.8926</v>
      </c>
      <c r="AD1510">
        <v>-0.85050539999999997</v>
      </c>
      <c r="AE1510">
        <v>0.53680000000002703</v>
      </c>
      <c r="AF1510">
        <v>-1.2036787773019499</v>
      </c>
      <c r="AG1510">
        <v>-0.85050539999999997</v>
      </c>
      <c r="AH1510">
        <v>119.88172603331201</v>
      </c>
      <c r="AI1510">
        <v>90.406459749339803</v>
      </c>
      <c r="AJ1510">
        <v>90.575261957856696</v>
      </c>
      <c r="AK1510">
        <v>119.89078546227201</v>
      </c>
      <c r="AL1510">
        <v>82.647669193001093</v>
      </c>
      <c r="AM1510">
        <v>94.962997399532497</v>
      </c>
      <c r="AN1510">
        <v>1.00000002195976</v>
      </c>
    </row>
    <row r="1511" spans="1:40" x14ac:dyDescent="0.25">
      <c r="A1511" t="str">
        <f>"20190304154748731"</f>
        <v>20190304154748731</v>
      </c>
      <c r="B1511" t="str">
        <f>"1551685668728513"</f>
        <v>1551685668728513</v>
      </c>
      <c r="C1511" t="s">
        <v>40</v>
      </c>
      <c r="D1511">
        <v>4.3578799999999998</v>
      </c>
      <c r="E1511">
        <v>0.52751789999999998</v>
      </c>
      <c r="F1511" t="s">
        <v>43</v>
      </c>
      <c r="G1511">
        <v>-158.78319999999999</v>
      </c>
      <c r="H1511">
        <v>0.28430029999999901</v>
      </c>
      <c r="I1511">
        <v>367.52839999999998</v>
      </c>
      <c r="J1511">
        <v>-278.54969999999997</v>
      </c>
      <c r="K1511">
        <v>1.0721210000000001</v>
      </c>
      <c r="L1511">
        <v>366.9633</v>
      </c>
      <c r="M1511">
        <v>0.99997449999999999</v>
      </c>
      <c r="N1511">
        <v>-4.4547040000000003E-3</v>
      </c>
      <c r="O1511">
        <v>-5.604014E-3</v>
      </c>
      <c r="P1511">
        <v>0.9890004</v>
      </c>
      <c r="Q1511">
        <v>0.12414890000000001</v>
      </c>
      <c r="R1511">
        <v>8.0408300000000002E-2</v>
      </c>
      <c r="S1511">
        <v>3.034332</v>
      </c>
      <c r="T1511">
        <v>-1.9916179999999999E-2</v>
      </c>
      <c r="U1511">
        <v>1.428223E-2</v>
      </c>
      <c r="V1511">
        <v>-8.5925810000000005E-2</v>
      </c>
      <c r="W1511">
        <v>0.12856689999999901</v>
      </c>
      <c r="X1511">
        <v>0.9879713</v>
      </c>
      <c r="Y1511">
        <v>-1.0310369999999999E-2</v>
      </c>
      <c r="Z1511" s="1">
        <v>6.8619380000000001E-5</v>
      </c>
      <c r="AA1511">
        <v>0.99994680000000002</v>
      </c>
      <c r="AB1511">
        <v>28</v>
      </c>
      <c r="AC1511">
        <v>119.766499999999</v>
      </c>
      <c r="AD1511">
        <v>-0.78782069999999904</v>
      </c>
      <c r="AE1511">
        <v>0.56509999999997196</v>
      </c>
      <c r="AF1511">
        <v>-1.23621735513388</v>
      </c>
      <c r="AG1511">
        <v>-0.78782069999999904</v>
      </c>
      <c r="AH1511">
        <v>119.756270752563</v>
      </c>
      <c r="AI1511">
        <v>90.376896717008506</v>
      </c>
      <c r="AJ1511">
        <v>90.591430585212805</v>
      </c>
      <c r="AK1511">
        <v>119.765242367582</v>
      </c>
      <c r="AL1511">
        <v>82.613213137171698</v>
      </c>
      <c r="AM1511">
        <v>94.970619189313098</v>
      </c>
      <c r="AN1511">
        <v>0.99999999111172799</v>
      </c>
    </row>
    <row r="1512" spans="1:40" x14ac:dyDescent="0.25">
      <c r="A1512" t="str">
        <f>"20190304154748742"</f>
        <v>20190304154748742</v>
      </c>
      <c r="B1512" t="str">
        <f>"1551685668738273"</f>
        <v>1551685668738273</v>
      </c>
      <c r="C1512" t="s">
        <v>40</v>
      </c>
      <c r="D1512">
        <v>4.3408879999999996</v>
      </c>
      <c r="E1512">
        <v>0.5274141</v>
      </c>
      <c r="F1512" t="s">
        <v>43</v>
      </c>
      <c r="G1512">
        <v>-158.78319999999999</v>
      </c>
      <c r="H1512">
        <v>0.36570540000000001</v>
      </c>
      <c r="I1512">
        <v>367.55840000000001</v>
      </c>
      <c r="J1512">
        <v>-278.42630000000003</v>
      </c>
      <c r="K1512">
        <v>1.0731219999999999</v>
      </c>
      <c r="L1512">
        <v>366.96260000000001</v>
      </c>
      <c r="M1512">
        <v>0.99997380000000002</v>
      </c>
      <c r="N1512">
        <v>-4.5498400000000003E-3</v>
      </c>
      <c r="O1512">
        <v>-5.6464289999999997E-3</v>
      </c>
      <c r="P1512">
        <v>0.9889867</v>
      </c>
      <c r="Q1512">
        <v>0.1243319</v>
      </c>
      <c r="R1512">
        <v>8.02929E-2</v>
      </c>
      <c r="S1512">
        <v>3.0343930000000001</v>
      </c>
      <c r="T1512">
        <v>-1.7895459999999998E-2</v>
      </c>
      <c r="U1512">
        <v>1.5075679999999999E-2</v>
      </c>
      <c r="V1512">
        <v>-8.5852510000000007E-2</v>
      </c>
      <c r="W1512">
        <v>0.1288435</v>
      </c>
      <c r="X1512">
        <v>0.98794159999999998</v>
      </c>
      <c r="Y1512">
        <v>-1.0614220000000001E-2</v>
      </c>
      <c r="Z1512" s="1">
        <v>6.3054809999999999E-5</v>
      </c>
      <c r="AA1512">
        <v>0.99994369999999999</v>
      </c>
      <c r="AB1512">
        <v>28</v>
      </c>
      <c r="AC1512">
        <v>119.6431</v>
      </c>
      <c r="AD1512">
        <v>-0.70741659999999995</v>
      </c>
      <c r="AE1512">
        <v>0.595799999999997</v>
      </c>
      <c r="AF1512">
        <v>-1.2713092576223199</v>
      </c>
      <c r="AG1512">
        <v>-0.70741659999999995</v>
      </c>
      <c r="AH1512">
        <v>119.633646203784</v>
      </c>
      <c r="AI1512">
        <v>90.338777811500805</v>
      </c>
      <c r="AJ1512">
        <v>90.608841371432305</v>
      </c>
      <c r="AK1512">
        <v>119.642492323951</v>
      </c>
      <c r="AL1512">
        <v>82.597231925563406</v>
      </c>
      <c r="AM1512">
        <v>94.966548717413701</v>
      </c>
      <c r="AN1512">
        <v>0.999999952988054</v>
      </c>
    </row>
    <row r="1513" spans="1:40" x14ac:dyDescent="0.25">
      <c r="A1513" t="str">
        <f>"20190304154748753"</f>
        <v>20190304154748753</v>
      </c>
      <c r="B1513" t="str">
        <f>"1551685668748033"</f>
        <v>1551685668748033</v>
      </c>
      <c r="C1513" t="s">
        <v>40</v>
      </c>
      <c r="D1513">
        <v>4.359324</v>
      </c>
      <c r="E1513">
        <v>0.5274141</v>
      </c>
      <c r="F1513" t="s">
        <v>43</v>
      </c>
      <c r="G1513">
        <v>-158.78319999999999</v>
      </c>
      <c r="H1513">
        <v>0.37429560000000001</v>
      </c>
      <c r="I1513">
        <v>367.59190000000001</v>
      </c>
      <c r="J1513">
        <v>-278.28289999999998</v>
      </c>
      <c r="K1513">
        <v>1.0743069999999999</v>
      </c>
      <c r="L1513">
        <v>366.96170000000001</v>
      </c>
      <c r="M1513">
        <v>0.99997290000000005</v>
      </c>
      <c r="N1513">
        <v>-4.6678580000000004E-3</v>
      </c>
      <c r="O1513">
        <v>-5.6955790000000001E-3</v>
      </c>
      <c r="P1513">
        <v>0.9889791</v>
      </c>
      <c r="Q1513">
        <v>0.12451959999999999</v>
      </c>
      <c r="R1513">
        <v>8.009484E-2</v>
      </c>
      <c r="S1513">
        <v>3.034332</v>
      </c>
      <c r="T1513">
        <v>-1.772106E-2</v>
      </c>
      <c r="U1513">
        <v>1.596069E-2</v>
      </c>
      <c r="V1513">
        <v>-8.5703520000000005E-2</v>
      </c>
      <c r="W1513">
        <v>0.12914800000000001</v>
      </c>
      <c r="X1513">
        <v>0.98791479999999998</v>
      </c>
      <c r="Y1513">
        <v>-1.0955100000000001E-2</v>
      </c>
      <c r="Z1513" s="1">
        <v>6.4235169999999996E-5</v>
      </c>
      <c r="AA1513">
        <v>0.99994000000000005</v>
      </c>
      <c r="AB1513">
        <v>28</v>
      </c>
      <c r="AC1513">
        <v>119.4997</v>
      </c>
      <c r="AD1513">
        <v>-0.70001139999999995</v>
      </c>
      <c r="AE1513">
        <v>0.63020000000000198</v>
      </c>
      <c r="AF1513">
        <v>-1.3107721878127101</v>
      </c>
      <c r="AG1513">
        <v>-0.70001139999999995</v>
      </c>
      <c r="AH1513">
        <v>119.49007216886901</v>
      </c>
      <c r="AI1513">
        <v>90.335633131760105</v>
      </c>
      <c r="AJ1513">
        <v>90.628493235231801</v>
      </c>
      <c r="AK1513">
        <v>119.499311657473</v>
      </c>
      <c r="AL1513">
        <v>82.579638537319596</v>
      </c>
      <c r="AM1513">
        <v>94.958106506156</v>
      </c>
      <c r="AN1513">
        <v>0.99999997565171395</v>
      </c>
    </row>
    <row r="1514" spans="1:40" x14ac:dyDescent="0.25">
      <c r="A1514" t="str">
        <f>"20190304154748763"</f>
        <v>20190304154748763</v>
      </c>
      <c r="B1514" t="str">
        <f>"1551685668757792"</f>
        <v>1551685668757792</v>
      </c>
      <c r="C1514" t="s">
        <v>40</v>
      </c>
      <c r="D1514">
        <v>4.2436350000000003</v>
      </c>
      <c r="E1514">
        <v>0.560704599999999</v>
      </c>
      <c r="F1514" t="s">
        <v>43</v>
      </c>
      <c r="G1514">
        <v>-158.78319999999999</v>
      </c>
      <c r="H1514">
        <v>0.3999586</v>
      </c>
      <c r="I1514">
        <v>367.55669999999998</v>
      </c>
      <c r="J1514">
        <v>-278.15260000000001</v>
      </c>
      <c r="K1514">
        <v>1.075485</v>
      </c>
      <c r="L1514">
        <v>366.96100000000001</v>
      </c>
      <c r="M1514">
        <v>0.99997219999999998</v>
      </c>
      <c r="N1514">
        <v>-4.7597619999999998E-3</v>
      </c>
      <c r="O1514">
        <v>-5.7406280000000002E-3</v>
      </c>
      <c r="P1514">
        <v>0.98892959999999996</v>
      </c>
      <c r="Q1514">
        <v>0.124838</v>
      </c>
      <c r="R1514">
        <v>8.0210859999999995E-2</v>
      </c>
      <c r="S1514">
        <v>3.0343629999999999</v>
      </c>
      <c r="T1514">
        <v>-1.7120960000000001E-2</v>
      </c>
      <c r="U1514">
        <v>1.51062E-2</v>
      </c>
      <c r="V1514">
        <v>-8.5863309999999998E-2</v>
      </c>
      <c r="W1514">
        <v>0.12955659999999999</v>
      </c>
      <c r="X1514">
        <v>0.98784740000000004</v>
      </c>
      <c r="Y1514">
        <v>-1.071854E-2</v>
      </c>
      <c r="Z1514" s="1">
        <v>6.0814209999999897E-5</v>
      </c>
      <c r="AA1514">
        <v>0.99994249999999996</v>
      </c>
      <c r="AB1514">
        <v>28</v>
      </c>
      <c r="AC1514">
        <v>119.3694</v>
      </c>
      <c r="AD1514">
        <v>-0.67552639999999997</v>
      </c>
      <c r="AE1514">
        <v>0.59569999999996504</v>
      </c>
      <c r="AF1514">
        <v>-1.28091224173586</v>
      </c>
      <c r="AG1514">
        <v>-0.67552639999999997</v>
      </c>
      <c r="AH1514">
        <v>119.36019081203401</v>
      </c>
      <c r="AI1514">
        <v>90.324246884288897</v>
      </c>
      <c r="AJ1514">
        <v>90.614845265623899</v>
      </c>
      <c r="AK1514">
        <v>119.368975126593</v>
      </c>
      <c r="AL1514">
        <v>82.556028962890494</v>
      </c>
      <c r="AM1514">
        <v>94.967641663097893</v>
      </c>
      <c r="AN1514">
        <v>0.999999953147237</v>
      </c>
    </row>
    <row r="1515" spans="1:40" x14ac:dyDescent="0.25">
      <c r="A1515" t="str">
        <f>"20190304154748775"</f>
        <v>20190304154748775</v>
      </c>
      <c r="B1515" t="str">
        <f>"1551685668768528"</f>
        <v>1551685668768528</v>
      </c>
      <c r="C1515" t="s">
        <v>40</v>
      </c>
      <c r="D1515">
        <v>4.484356</v>
      </c>
      <c r="E1515">
        <v>0.56410590000000005</v>
      </c>
      <c r="F1515" t="s">
        <v>43</v>
      </c>
      <c r="G1515">
        <v>-170.08879999999999</v>
      </c>
      <c r="H1515">
        <v>6.6898520000000001</v>
      </c>
      <c r="I1515">
        <v>358.19040000000001</v>
      </c>
      <c r="J1515">
        <v>-278.01729999999998</v>
      </c>
      <c r="K1515">
        <v>1.0767169999999999</v>
      </c>
      <c r="L1515">
        <v>366.96010000000001</v>
      </c>
      <c r="M1515">
        <v>0.99997179999999997</v>
      </c>
      <c r="N1515">
        <v>-4.8034260000000004E-3</v>
      </c>
      <c r="O1515">
        <v>-5.7871119999999996E-3</v>
      </c>
      <c r="P1515">
        <v>0.98892869999999999</v>
      </c>
      <c r="Q1515">
        <v>0.12495290000000001</v>
      </c>
      <c r="R1515">
        <v>8.0044619999999997E-2</v>
      </c>
      <c r="S1515">
        <v>3.0336609999999999</v>
      </c>
      <c r="T1515">
        <v>0.1576138</v>
      </c>
      <c r="U1515">
        <v>-0.24621580000000001</v>
      </c>
      <c r="V1515">
        <v>-8.574329E-2</v>
      </c>
      <c r="W1515">
        <v>0.129715</v>
      </c>
      <c r="X1515">
        <v>0.98783710000000002</v>
      </c>
      <c r="Y1515">
        <v>7.5043799999999994E-2</v>
      </c>
      <c r="Z1515">
        <v>1.436615E-3</v>
      </c>
      <c r="AA1515">
        <v>0.99717920000000004</v>
      </c>
      <c r="AB1515">
        <v>28</v>
      </c>
      <c r="AC1515">
        <v>107.9285</v>
      </c>
      <c r="AD1515">
        <v>5.6131349999999998</v>
      </c>
      <c r="AE1515">
        <v>-8.7697000000000003</v>
      </c>
      <c r="AF1515">
        <v>8.1231241791717199</v>
      </c>
      <c r="AG1515">
        <v>5.6131349999999998</v>
      </c>
      <c r="AH1515">
        <v>107.688077872145</v>
      </c>
      <c r="AI1515">
        <v>87.024651775503898</v>
      </c>
      <c r="AJ1515">
        <v>85.686235678874297</v>
      </c>
      <c r="AK1515">
        <v>108.139791689996</v>
      </c>
      <c r="AL1515">
        <v>82.546876536353494</v>
      </c>
      <c r="AM1515">
        <v>94.960784018604301</v>
      </c>
      <c r="AN1515">
        <v>1.00000001457071</v>
      </c>
    </row>
    <row r="1516" spans="1:40" x14ac:dyDescent="0.25">
      <c r="A1516" t="str">
        <f>"20190304154748788"</f>
        <v>20190304154748788</v>
      </c>
      <c r="B1516" t="str">
        <f>"1551685668778288"</f>
        <v>1551685668778288</v>
      </c>
      <c r="C1516" t="s">
        <v>40</v>
      </c>
      <c r="D1516">
        <v>4.4722220000000004</v>
      </c>
      <c r="E1516">
        <v>0.56825809999999999</v>
      </c>
      <c r="F1516" t="s">
        <v>43</v>
      </c>
      <c r="G1516">
        <v>-158.19499999999999</v>
      </c>
      <c r="H1516">
        <v>5.4028660000000004</v>
      </c>
      <c r="I1516">
        <v>356.14479999999998</v>
      </c>
      <c r="J1516">
        <v>-277.8544</v>
      </c>
      <c r="K1516">
        <v>1.078236</v>
      </c>
      <c r="L1516">
        <v>366.95920000000001</v>
      </c>
      <c r="M1516">
        <v>0.99997199999999997</v>
      </c>
      <c r="N1516">
        <v>-4.6923080000000001E-3</v>
      </c>
      <c r="O1516">
        <v>-5.8423989999999999E-3</v>
      </c>
      <c r="P1516">
        <v>0.98891209999999996</v>
      </c>
      <c r="Q1516">
        <v>0.12514259999999999</v>
      </c>
      <c r="R1516">
        <v>7.9953049999999998E-2</v>
      </c>
      <c r="S1516">
        <v>3.0419010000000002</v>
      </c>
      <c r="T1516">
        <v>0.1098291</v>
      </c>
      <c r="U1516">
        <v>-0.2745667</v>
      </c>
      <c r="V1516">
        <v>-8.570564E-2</v>
      </c>
      <c r="W1516">
        <v>0.12979479999999999</v>
      </c>
      <c r="X1516">
        <v>0.98782990000000004</v>
      </c>
      <c r="Y1516">
        <v>8.4033369999999996E-2</v>
      </c>
      <c r="Z1516">
        <v>1.0780690000000001E-3</v>
      </c>
      <c r="AA1516">
        <v>0.99646230000000002</v>
      </c>
      <c r="AB1516">
        <v>28</v>
      </c>
      <c r="AC1516">
        <v>119.65940000000001</v>
      </c>
      <c r="AD1516">
        <v>4.32463</v>
      </c>
      <c r="AE1516">
        <v>-10.814399999999999</v>
      </c>
      <c r="AF1516">
        <v>10.1020216318244</v>
      </c>
      <c r="AG1516">
        <v>4.32463</v>
      </c>
      <c r="AH1516">
        <v>119.56563106798799</v>
      </c>
      <c r="AI1516">
        <v>87.935890643129795</v>
      </c>
      <c r="AJ1516">
        <v>85.170586936672393</v>
      </c>
      <c r="AK1516">
        <v>120.06953567984201</v>
      </c>
      <c r="AL1516">
        <v>82.542265459561506</v>
      </c>
      <c r="AM1516">
        <v>94.958652555860894</v>
      </c>
      <c r="AN1516">
        <v>1.00000002908442</v>
      </c>
    </row>
    <row r="1517" spans="1:40" x14ac:dyDescent="0.25">
      <c r="A1517" t="str">
        <f>"20190304154748799"</f>
        <v>20190304154748799</v>
      </c>
      <c r="B1517" t="str">
        <f>"1551685668788049"</f>
        <v>1551685668788049</v>
      </c>
      <c r="C1517" t="s">
        <v>40</v>
      </c>
      <c r="D1517">
        <v>4.4228670000000001</v>
      </c>
      <c r="E1517">
        <v>0.57011880000000004</v>
      </c>
      <c r="F1517" t="s">
        <v>43</v>
      </c>
      <c r="G1517">
        <v>-169.2955</v>
      </c>
      <c r="H1517">
        <v>3.8297910000000002</v>
      </c>
      <c r="I1517">
        <v>355.97750000000002</v>
      </c>
      <c r="J1517">
        <v>-277.71159999999998</v>
      </c>
      <c r="K1517">
        <v>1.0796110000000001</v>
      </c>
      <c r="L1517">
        <v>366.95830000000001</v>
      </c>
      <c r="M1517">
        <v>0.99997219999999998</v>
      </c>
      <c r="N1517">
        <v>-4.5953970000000002E-3</v>
      </c>
      <c r="O1517">
        <v>-5.8897359999999996E-3</v>
      </c>
      <c r="P1517">
        <v>0.98886969999999996</v>
      </c>
      <c r="Q1517">
        <v>0.12543119999999999</v>
      </c>
      <c r="R1517">
        <v>8.0024310000000001E-2</v>
      </c>
      <c r="S1517">
        <v>3.0487980000000001</v>
      </c>
      <c r="T1517">
        <v>7.7277780000000004E-2</v>
      </c>
      <c r="U1517">
        <v>-0.30841059999999998</v>
      </c>
      <c r="V1517">
        <v>-8.5823099999999999E-2</v>
      </c>
      <c r="W1517">
        <v>0.1299882</v>
      </c>
      <c r="X1517">
        <v>0.98779419999999996</v>
      </c>
      <c r="Y1517">
        <v>9.4760839999999999E-2</v>
      </c>
      <c r="Z1517">
        <v>8.0352139999999999E-4</v>
      </c>
      <c r="AA1517">
        <v>0.99549969999999999</v>
      </c>
      <c r="AB1517">
        <v>28</v>
      </c>
      <c r="AC1517">
        <v>108.41609999999901</v>
      </c>
      <c r="AD1517">
        <v>2.7501799999999998</v>
      </c>
      <c r="AE1517">
        <v>-10.980799999999901</v>
      </c>
      <c r="AF1517">
        <v>10.3354775198691</v>
      </c>
      <c r="AG1517">
        <v>2.7501799999999998</v>
      </c>
      <c r="AH1517">
        <v>108.40984306116999</v>
      </c>
      <c r="AI1517">
        <v>88.553368335736494</v>
      </c>
      <c r="AJ1517">
        <v>84.554047780375797</v>
      </c>
      <c r="AK1517">
        <v>108.93612650605699</v>
      </c>
      <c r="AL1517">
        <v>82.531089252387005</v>
      </c>
      <c r="AM1517">
        <v>94.965593019502293</v>
      </c>
      <c r="AN1517">
        <v>0.99999995909324402</v>
      </c>
    </row>
    <row r="1518" spans="1:40" x14ac:dyDescent="0.25">
      <c r="A1518" t="str">
        <f>"20190304154748813"</f>
        <v>20190304154748813</v>
      </c>
      <c r="B1518" t="str">
        <f>"1551685668808544"</f>
        <v>1551685668808544</v>
      </c>
      <c r="C1518" t="s">
        <v>40</v>
      </c>
      <c r="D1518">
        <v>4.4137300000000002</v>
      </c>
      <c r="E1518">
        <v>0.57345249999999903</v>
      </c>
      <c r="F1518" t="s">
        <v>43</v>
      </c>
      <c r="G1518">
        <v>-169.2955</v>
      </c>
      <c r="H1518">
        <v>3.4544229999999998</v>
      </c>
      <c r="I1518">
        <v>355.47059999999999</v>
      </c>
      <c r="J1518">
        <v>-277.53919999999999</v>
      </c>
      <c r="K1518">
        <v>1.08131</v>
      </c>
      <c r="L1518">
        <v>366.9572</v>
      </c>
      <c r="M1518">
        <v>0.99997230000000004</v>
      </c>
      <c r="N1518">
        <v>-4.4980130000000004E-3</v>
      </c>
      <c r="O1518">
        <v>-5.9460169999999996E-3</v>
      </c>
      <c r="P1518">
        <v>0.98884289999999997</v>
      </c>
      <c r="Q1518">
        <v>0.125749</v>
      </c>
      <c r="R1518">
        <v>7.9857339999999999E-2</v>
      </c>
      <c r="S1518">
        <v>3.0514830000000002</v>
      </c>
      <c r="T1518">
        <v>6.6843990000000006E-2</v>
      </c>
      <c r="U1518">
        <v>-0.3233337</v>
      </c>
      <c r="V1518">
        <v>-8.5711300000000004E-2</v>
      </c>
      <c r="W1518">
        <v>0.13020950000000001</v>
      </c>
      <c r="X1518">
        <v>0.98777479999999995</v>
      </c>
      <c r="Y1518">
        <v>9.9438189999999996E-2</v>
      </c>
      <c r="Z1518">
        <v>7.0513520000000003E-4</v>
      </c>
      <c r="AA1518">
        <v>0.99504349999999997</v>
      </c>
      <c r="AB1518">
        <v>28</v>
      </c>
      <c r="AC1518">
        <v>108.2437</v>
      </c>
      <c r="AD1518">
        <v>2.373113</v>
      </c>
      <c r="AE1518">
        <v>-11.486599999999999</v>
      </c>
      <c r="AF1518">
        <v>10.837620481346899</v>
      </c>
      <c r="AG1518">
        <v>2.373113</v>
      </c>
      <c r="AH1518">
        <v>108.258631277351</v>
      </c>
      <c r="AI1518">
        <v>88.750476865015102</v>
      </c>
      <c r="AJ1518">
        <v>84.283245969939699</v>
      </c>
      <c r="AK1518">
        <v>108.82562625160401</v>
      </c>
      <c r="AL1518">
        <v>82.518301302989201</v>
      </c>
      <c r="AM1518">
        <v>94.959253634340897</v>
      </c>
      <c r="AN1518">
        <v>0.99999999817648999</v>
      </c>
    </row>
    <row r="1519" spans="1:40" x14ac:dyDescent="0.25">
      <c r="A1519" t="str">
        <f>"20190304154748827"</f>
        <v>20190304154748827</v>
      </c>
      <c r="B1519" t="str">
        <f>"1551685668818305"</f>
        <v>1551685668818305</v>
      </c>
      <c r="C1519" t="s">
        <v>40</v>
      </c>
      <c r="D1519">
        <v>4.3822660000000004</v>
      </c>
      <c r="E1519">
        <v>0.57420470000000001</v>
      </c>
      <c r="F1519" t="s">
        <v>43</v>
      </c>
      <c r="G1519">
        <v>-169.2955</v>
      </c>
      <c r="H1519">
        <v>2.9444900000000001</v>
      </c>
      <c r="I1519">
        <v>354.52429999999998</v>
      </c>
      <c r="J1519">
        <v>-277.36399999999998</v>
      </c>
      <c r="K1519">
        <v>1.0831189999999999</v>
      </c>
      <c r="L1519">
        <v>366.95609999999999</v>
      </c>
      <c r="M1519">
        <v>0.99997159999999996</v>
      </c>
      <c r="N1519">
        <v>-4.5705470000000003E-3</v>
      </c>
      <c r="O1519">
        <v>-5.9997169999999999E-3</v>
      </c>
      <c r="P1519">
        <v>0.98887219999999998</v>
      </c>
      <c r="Q1519">
        <v>0.1256283</v>
      </c>
      <c r="R1519">
        <v>7.9682370000000002E-2</v>
      </c>
      <c r="S1519">
        <v>3.05545</v>
      </c>
      <c r="T1519">
        <v>5.2595379999999997E-2</v>
      </c>
      <c r="U1519">
        <v>-0.35095209999999999</v>
      </c>
      <c r="V1519">
        <v>-8.5588929999999994E-2</v>
      </c>
      <c r="W1519">
        <v>0.13016079999999999</v>
      </c>
      <c r="X1519">
        <v>0.9877918</v>
      </c>
      <c r="Y1519">
        <v>0.1081379</v>
      </c>
      <c r="Z1519">
        <v>5.4940239999999997E-4</v>
      </c>
      <c r="AA1519">
        <v>0.99413569999999996</v>
      </c>
      <c r="AB1519">
        <v>28</v>
      </c>
      <c r="AC1519">
        <v>108.0685</v>
      </c>
      <c r="AD1519">
        <v>1.8613709999999899</v>
      </c>
      <c r="AE1519">
        <v>-12.431800000000001</v>
      </c>
      <c r="AF1519">
        <v>11.7797400759449</v>
      </c>
      <c r="AG1519">
        <v>1.8613709999999899</v>
      </c>
      <c r="AH1519">
        <v>108.109489432473</v>
      </c>
      <c r="AI1519">
        <v>89.019412284658898</v>
      </c>
      <c r="AJ1519">
        <v>83.781515220595395</v>
      </c>
      <c r="AK1519">
        <v>108.765291723079</v>
      </c>
      <c r="AL1519">
        <v>82.521115341694795</v>
      </c>
      <c r="AM1519">
        <v>94.952123739991904</v>
      </c>
      <c r="AN1519">
        <v>0.99999996947121195</v>
      </c>
    </row>
    <row r="1520" spans="1:40" x14ac:dyDescent="0.25">
      <c r="A1520" t="str">
        <f>"20190304154748840"</f>
        <v>20190304154748840</v>
      </c>
      <c r="B1520" t="str">
        <f>"1551685668837825"</f>
        <v>1551685668837825</v>
      </c>
      <c r="C1520" t="s">
        <v>40</v>
      </c>
      <c r="D1520">
        <v>4.4116330000000001</v>
      </c>
      <c r="E1520">
        <v>0.57540449999999999</v>
      </c>
      <c r="F1520" t="s">
        <v>43</v>
      </c>
      <c r="G1520">
        <v>-169.2955</v>
      </c>
      <c r="H1520">
        <v>2.8714040000000001</v>
      </c>
      <c r="I1520">
        <v>354.32690000000002</v>
      </c>
      <c r="J1520">
        <v>-277.19029999999998</v>
      </c>
      <c r="K1520">
        <v>1.0849470000000001</v>
      </c>
      <c r="L1520">
        <v>366.95510000000002</v>
      </c>
      <c r="M1520">
        <v>0.99997009999999997</v>
      </c>
      <c r="N1520">
        <v>-4.7927509999999996E-3</v>
      </c>
      <c r="O1520">
        <v>-6.0523520000000004E-3</v>
      </c>
      <c r="P1520">
        <v>0.98887879999999995</v>
      </c>
      <c r="Q1520">
        <v>0.125637</v>
      </c>
      <c r="R1520">
        <v>7.9585909999999996E-2</v>
      </c>
      <c r="S1520">
        <v>3.0561219999999998</v>
      </c>
      <c r="T1520">
        <v>5.0574180000000003E-2</v>
      </c>
      <c r="U1520">
        <v>-0.3571472</v>
      </c>
      <c r="V1520">
        <v>-8.5544880000000004E-2</v>
      </c>
      <c r="W1520">
        <v>0.13038910000000001</v>
      </c>
      <c r="X1520">
        <v>0.98776560000000002</v>
      </c>
      <c r="Y1520">
        <v>0.1100502</v>
      </c>
      <c r="Z1520">
        <v>5.140915E-4</v>
      </c>
      <c r="AA1520">
        <v>0.99392590000000003</v>
      </c>
      <c r="AB1520">
        <v>28</v>
      </c>
      <c r="AC1520">
        <v>107.89479999999899</v>
      </c>
      <c r="AD1520">
        <v>1.786457</v>
      </c>
      <c r="AE1520">
        <v>-12.6281999999999</v>
      </c>
      <c r="AF1520">
        <v>11.971706167712799</v>
      </c>
      <c r="AG1520">
        <v>1.786457</v>
      </c>
      <c r="AH1520">
        <v>107.940063390986</v>
      </c>
      <c r="AI1520">
        <v>89.057593024107405</v>
      </c>
      <c r="AJ1520">
        <v>83.671152136094506</v>
      </c>
      <c r="AK1520">
        <v>108.616621481378</v>
      </c>
      <c r="AL1520">
        <v>82.507922981153698</v>
      </c>
      <c r="AM1520">
        <v>94.949718331195001</v>
      </c>
      <c r="AN1520">
        <v>1.0000000622181899</v>
      </c>
    </row>
    <row r="1521" spans="1:40" x14ac:dyDescent="0.25">
      <c r="A1521" t="str">
        <f>"20190304154748853"</f>
        <v>20190304154748853</v>
      </c>
      <c r="B1521" t="str">
        <f>"1551685668848561"</f>
        <v>1551685668848561</v>
      </c>
      <c r="C1521" t="s">
        <v>40</v>
      </c>
      <c r="D1521">
        <v>4.3856229999999998</v>
      </c>
      <c r="E1521">
        <v>0.57582900000000004</v>
      </c>
      <c r="F1521" t="s">
        <v>43</v>
      </c>
      <c r="G1521">
        <v>-169.2955</v>
      </c>
      <c r="H1521">
        <v>2.6398739999999998</v>
      </c>
      <c r="I1521">
        <v>354.00360000000001</v>
      </c>
      <c r="J1521">
        <v>-277.03699999999998</v>
      </c>
      <c r="K1521">
        <v>1.0865629999999999</v>
      </c>
      <c r="L1521">
        <v>366.95409999999998</v>
      </c>
      <c r="M1521">
        <v>0.99996870000000004</v>
      </c>
      <c r="N1521">
        <v>-5.0700950000000002E-3</v>
      </c>
      <c r="O1521">
        <v>-6.0983590000000002E-3</v>
      </c>
      <c r="P1521">
        <v>0.98888679999999995</v>
      </c>
      <c r="Q1521">
        <v>0.12559389999999901</v>
      </c>
      <c r="R1521">
        <v>7.955856E-2</v>
      </c>
      <c r="S1521">
        <v>3.0576479999999999</v>
      </c>
      <c r="T1521">
        <v>4.4067740000000001E-2</v>
      </c>
      <c r="U1521">
        <v>-0.3670349</v>
      </c>
      <c r="V1521">
        <v>-8.5562520000000003E-2</v>
      </c>
      <c r="W1521">
        <v>0.13061980000000001</v>
      </c>
      <c r="X1521">
        <v>0.98773350000000004</v>
      </c>
      <c r="Y1521">
        <v>0.1131192</v>
      </c>
      <c r="Z1521">
        <v>4.0602370000000001E-4</v>
      </c>
      <c r="AA1521">
        <v>0.99358139999999995</v>
      </c>
      <c r="AB1521">
        <v>28</v>
      </c>
      <c r="AC1521">
        <v>107.7415</v>
      </c>
      <c r="AD1521">
        <v>1.5533110000000001</v>
      </c>
      <c r="AE1521">
        <v>-12.9504999999999</v>
      </c>
      <c r="AF1521">
        <v>12.2906862431945</v>
      </c>
      <c r="AG1521">
        <v>1.5533110000000001</v>
      </c>
      <c r="AH1521">
        <v>107.79638786481701</v>
      </c>
      <c r="AI1521">
        <v>89.179757164753397</v>
      </c>
      <c r="AJ1521">
        <v>83.495362041284395</v>
      </c>
      <c r="AK1521">
        <v>108.50592140566999</v>
      </c>
      <c r="AL1521">
        <v>82.494590144330303</v>
      </c>
      <c r="AM1521">
        <v>94.950894020771202</v>
      </c>
      <c r="AN1521">
        <v>0.99999997200151902</v>
      </c>
    </row>
    <row r="1522" spans="1:40" x14ac:dyDescent="0.25">
      <c r="A1522" t="str">
        <f>"20190304154748864"</f>
        <v>20190304154748864</v>
      </c>
      <c r="B1522" t="str">
        <f>"1551685668858321"</f>
        <v>1551685668858321</v>
      </c>
      <c r="C1522" t="s">
        <v>40</v>
      </c>
      <c r="D1522">
        <v>4.4135629999999999</v>
      </c>
      <c r="E1522">
        <v>0.57609769999999905</v>
      </c>
      <c r="F1522" t="s">
        <v>43</v>
      </c>
      <c r="G1522">
        <v>-169.2955</v>
      </c>
      <c r="H1522">
        <v>2.5878700000000001</v>
      </c>
      <c r="I1522">
        <v>353.90559999999999</v>
      </c>
      <c r="J1522">
        <v>-276.90280000000001</v>
      </c>
      <c r="K1522">
        <v>1.08796</v>
      </c>
      <c r="L1522">
        <v>366.95319999999998</v>
      </c>
      <c r="M1522">
        <v>0.99996669999999999</v>
      </c>
      <c r="N1522">
        <v>-5.4060690000000003E-3</v>
      </c>
      <c r="O1522">
        <v>-6.1390809999999898E-3</v>
      </c>
      <c r="P1522">
        <v>0.98896139999999999</v>
      </c>
      <c r="Q1522">
        <v>0.12508230000000001</v>
      </c>
      <c r="R1522">
        <v>7.9435290000000006E-2</v>
      </c>
      <c r="S1522">
        <v>3.0580750000000001</v>
      </c>
      <c r="T1522">
        <v>4.2614699999999998E-2</v>
      </c>
      <c r="U1522">
        <v>-0.3703613</v>
      </c>
      <c r="V1522">
        <v>-8.5479780000000005E-2</v>
      </c>
      <c r="W1522">
        <v>0.13044069999999999</v>
      </c>
      <c r="X1522">
        <v>0.98776439999999999</v>
      </c>
      <c r="Y1522">
        <v>0.1141284</v>
      </c>
      <c r="Z1522">
        <v>3.6434340000000002E-4</v>
      </c>
      <c r="AA1522">
        <v>0.99346599999999996</v>
      </c>
      <c r="AB1522">
        <v>28</v>
      </c>
      <c r="AC1522">
        <v>107.6073</v>
      </c>
      <c r="AD1522">
        <v>1.4999100000000001</v>
      </c>
      <c r="AE1522">
        <v>-13.0475999999999</v>
      </c>
      <c r="AF1522">
        <v>12.384363363268401</v>
      </c>
      <c r="AG1522">
        <v>1.4999100000000001</v>
      </c>
      <c r="AH1522">
        <v>107.66475864961799</v>
      </c>
      <c r="AI1522">
        <v>89.207074743742396</v>
      </c>
      <c r="AJ1522">
        <v>83.438271993613796</v>
      </c>
      <c r="AK1522">
        <v>108.385065581021</v>
      </c>
      <c r="AL1522">
        <v>82.504940880390905</v>
      </c>
      <c r="AM1522">
        <v>94.945976246166396</v>
      </c>
      <c r="AN1522">
        <v>1.00000003945634</v>
      </c>
    </row>
    <row r="1523" spans="1:40" x14ac:dyDescent="0.25">
      <c r="A1523" t="str">
        <f>"20190304154748874"</f>
        <v>20190304154748874</v>
      </c>
      <c r="B1523" t="str">
        <f>"1551685668868081"</f>
        <v>1551685668868081</v>
      </c>
      <c r="C1523" t="s">
        <v>40</v>
      </c>
      <c r="D1523">
        <v>4.3665330000000004</v>
      </c>
      <c r="E1523">
        <v>0.57642530000000003</v>
      </c>
      <c r="F1523" t="s">
        <v>43</v>
      </c>
      <c r="G1523">
        <v>-169.2955</v>
      </c>
      <c r="H1523">
        <v>2.488772</v>
      </c>
      <c r="I1523">
        <v>353.83640000000003</v>
      </c>
      <c r="J1523">
        <v>-276.7688</v>
      </c>
      <c r="K1523">
        <v>1.0893360000000001</v>
      </c>
      <c r="L1523">
        <v>366.95240000000001</v>
      </c>
      <c r="M1523">
        <v>0.99996439999999998</v>
      </c>
      <c r="N1523">
        <v>-5.7522279999999999E-3</v>
      </c>
      <c r="O1523">
        <v>-6.1798909999999999E-3</v>
      </c>
      <c r="P1523">
        <v>0.98899199999999998</v>
      </c>
      <c r="Q1523">
        <v>0.1248233</v>
      </c>
      <c r="R1523">
        <v>7.9461130000000005E-2</v>
      </c>
      <c r="S1523">
        <v>3.0583800000000001</v>
      </c>
      <c r="T1523">
        <v>3.9815900000000001E-2</v>
      </c>
      <c r="U1523">
        <v>-0.37280269999999999</v>
      </c>
      <c r="V1523">
        <v>-8.5546659999999997E-2</v>
      </c>
      <c r="W1523">
        <v>0.13052339999999901</v>
      </c>
      <c r="X1523">
        <v>0.98774770000000001</v>
      </c>
      <c r="Y1523">
        <v>0.11485869999999999</v>
      </c>
      <c r="Z1523">
        <v>2.977236E-4</v>
      </c>
      <c r="AA1523">
        <v>0.99338179999999998</v>
      </c>
      <c r="AB1523">
        <v>28</v>
      </c>
      <c r="AC1523">
        <v>107.47329999999999</v>
      </c>
      <c r="AD1523">
        <v>1.3994359999999999</v>
      </c>
      <c r="AE1523">
        <v>-13.1159999999999</v>
      </c>
      <c r="AF1523">
        <v>12.449485423323701</v>
      </c>
      <c r="AG1523">
        <v>1.3994359999999999</v>
      </c>
      <c r="AH1523">
        <v>107.534339262758</v>
      </c>
      <c r="AI1523">
        <v>89.259349745451104</v>
      </c>
      <c r="AJ1523">
        <v>83.396141966480002</v>
      </c>
      <c r="AK1523">
        <v>108.261637846014</v>
      </c>
      <c r="AL1523">
        <v>82.500161769593305</v>
      </c>
      <c r="AM1523">
        <v>94.949910067398605</v>
      </c>
      <c r="AN1523">
        <v>1.00000005392</v>
      </c>
    </row>
    <row r="1524" spans="1:40" x14ac:dyDescent="0.25">
      <c r="A1524" t="str">
        <f>"20190304154748885"</f>
        <v>20190304154748885</v>
      </c>
      <c r="B1524" t="str">
        <f>"1551685668877841"</f>
        <v>1551685668877841</v>
      </c>
      <c r="C1524" t="s">
        <v>40</v>
      </c>
      <c r="D1524">
        <v>4.4415870000000002</v>
      </c>
      <c r="E1524">
        <v>0.5764338</v>
      </c>
      <c r="F1524" t="s">
        <v>43</v>
      </c>
      <c r="G1524">
        <v>-169.2955</v>
      </c>
      <c r="H1524">
        <v>2.4465889999999999</v>
      </c>
      <c r="I1524">
        <v>353.75990000000002</v>
      </c>
      <c r="J1524">
        <v>-276.62419999999997</v>
      </c>
      <c r="K1524">
        <v>1.0907659999999999</v>
      </c>
      <c r="L1524">
        <v>366.95139999999998</v>
      </c>
      <c r="M1524">
        <v>0.99996169999999995</v>
      </c>
      <c r="N1524">
        <v>-6.1531880000000004E-3</v>
      </c>
      <c r="O1524">
        <v>-6.2246269999999999E-3</v>
      </c>
      <c r="P1524">
        <v>0.98904259999999999</v>
      </c>
      <c r="Q1524">
        <v>0.1245096</v>
      </c>
      <c r="R1524">
        <v>7.9322340000000005E-2</v>
      </c>
      <c r="S1524">
        <v>3.0586850000000001</v>
      </c>
      <c r="T1524">
        <v>3.862989E-2</v>
      </c>
      <c r="U1524">
        <v>-0.37545780000000001</v>
      </c>
      <c r="V1524">
        <v>-8.5452459999999994E-2</v>
      </c>
      <c r="W1524">
        <v>0.13060659999999999</v>
      </c>
      <c r="X1524">
        <v>0.98774479999999998</v>
      </c>
      <c r="Y1524">
        <v>0.11565259999999999</v>
      </c>
      <c r="Z1524">
        <v>2.539358E-4</v>
      </c>
      <c r="AA1524">
        <v>0.99328970000000005</v>
      </c>
      <c r="AB1524">
        <v>28</v>
      </c>
      <c r="AC1524">
        <v>107.328699999999</v>
      </c>
      <c r="AD1524">
        <v>1.355823</v>
      </c>
      <c r="AE1524">
        <v>-13.1914999999999</v>
      </c>
      <c r="AF1524">
        <v>12.5211822843594</v>
      </c>
      <c r="AG1524">
        <v>1.355823</v>
      </c>
      <c r="AH1524">
        <v>107.391851948308</v>
      </c>
      <c r="AI1524">
        <v>89.2815450953766</v>
      </c>
      <c r="AJ1524">
        <v>83.349715892681701</v>
      </c>
      <c r="AK1524">
        <v>108.127832340673</v>
      </c>
      <c r="AL1524">
        <v>82.495353182870303</v>
      </c>
      <c r="AM1524">
        <v>94.944500937734702</v>
      </c>
      <c r="AN1524">
        <v>0.99999999840532505</v>
      </c>
    </row>
    <row r="1525" spans="1:40" x14ac:dyDescent="0.25">
      <c r="A1525" t="str">
        <f>"20190304154748896"</f>
        <v>20190304154748896</v>
      </c>
      <c r="B1525" t="str">
        <f>"1551685668888576"</f>
        <v>1551685668888576</v>
      </c>
      <c r="C1525" t="s">
        <v>40</v>
      </c>
      <c r="D1525">
        <v>4.444839</v>
      </c>
      <c r="E1525">
        <v>0.57657959999999997</v>
      </c>
      <c r="F1525" t="s">
        <v>43</v>
      </c>
      <c r="G1525">
        <v>-169.2955</v>
      </c>
      <c r="H1525">
        <v>2.326797</v>
      </c>
      <c r="I1525">
        <v>353.76069999999999</v>
      </c>
      <c r="J1525">
        <v>-276.49450000000002</v>
      </c>
      <c r="K1525">
        <v>1.092004</v>
      </c>
      <c r="L1525">
        <v>366.95060000000001</v>
      </c>
      <c r="M1525">
        <v>0.99995919999999905</v>
      </c>
      <c r="N1525">
        <v>-6.5124980000000002E-3</v>
      </c>
      <c r="O1525">
        <v>-6.2650129999999998E-3</v>
      </c>
      <c r="P1525">
        <v>0.98907429999999996</v>
      </c>
      <c r="Q1525">
        <v>0.12438399999999999</v>
      </c>
      <c r="R1525">
        <v>7.9126290000000002E-2</v>
      </c>
      <c r="S1525">
        <v>3.0589599999999999</v>
      </c>
      <c r="T1525">
        <v>3.5230400000000002E-2</v>
      </c>
      <c r="U1525">
        <v>-0.375946</v>
      </c>
      <c r="V1525">
        <v>-8.5296769999999994E-2</v>
      </c>
      <c r="W1525">
        <v>0.1308359</v>
      </c>
      <c r="X1525">
        <v>0.98772789999999999</v>
      </c>
      <c r="Y1525">
        <v>0.11575920000000001</v>
      </c>
      <c r="Z1525">
        <v>1.731979E-4</v>
      </c>
      <c r="AA1525">
        <v>0.99327730000000003</v>
      </c>
      <c r="AB1525">
        <v>28</v>
      </c>
      <c r="AC1525">
        <v>107.199</v>
      </c>
      <c r="AD1525">
        <v>1.23479299999999</v>
      </c>
      <c r="AE1525">
        <v>-13.1899</v>
      </c>
      <c r="AF1525">
        <v>12.5163878693008</v>
      </c>
      <c r="AG1525">
        <v>1.23479299999999</v>
      </c>
      <c r="AH1525">
        <v>107.26551294779399</v>
      </c>
      <c r="AI1525">
        <v>89.344909799811802</v>
      </c>
      <c r="AJ1525">
        <v>83.344479886121604</v>
      </c>
      <c r="AK1525">
        <v>108.000346976299</v>
      </c>
      <c r="AL1525">
        <v>82.482101472314795</v>
      </c>
      <c r="AM1525">
        <v>94.9356208792492</v>
      </c>
      <c r="AN1525">
        <v>0.99999998806982604</v>
      </c>
    </row>
    <row r="1526" spans="1:40" x14ac:dyDescent="0.25">
      <c r="A1526" t="str">
        <f>"20190304154748909"</f>
        <v>20190304154748909</v>
      </c>
      <c r="B1526" t="str">
        <f>"1551685668898337"</f>
        <v>1551685668898337</v>
      </c>
      <c r="C1526" t="s">
        <v>40</v>
      </c>
      <c r="D1526">
        <v>4.4450989999999999</v>
      </c>
      <c r="E1526">
        <v>0.57667089999999999</v>
      </c>
      <c r="F1526" t="s">
        <v>43</v>
      </c>
      <c r="G1526">
        <v>-169.2955</v>
      </c>
      <c r="H1526">
        <v>2.201066</v>
      </c>
      <c r="I1526">
        <v>353.71460000000002</v>
      </c>
      <c r="J1526">
        <v>-276.33580000000001</v>
      </c>
      <c r="K1526">
        <v>1.0934649999999999</v>
      </c>
      <c r="L1526">
        <v>366.9495</v>
      </c>
      <c r="M1526">
        <v>0.99995590000000001</v>
      </c>
      <c r="N1526">
        <v>-6.9512069999999896E-3</v>
      </c>
      <c r="O1526">
        <v>-6.3144469999999999E-3</v>
      </c>
      <c r="P1526">
        <v>0.98910799999999999</v>
      </c>
      <c r="Q1526">
        <v>0.12425460000000001</v>
      </c>
      <c r="R1526">
        <v>7.8906329999999997E-2</v>
      </c>
      <c r="S1526">
        <v>3.0593870000000001</v>
      </c>
      <c r="T1526">
        <v>3.1654359999999999E-2</v>
      </c>
      <c r="U1526">
        <v>-0.37774659999999999</v>
      </c>
      <c r="V1526">
        <v>-8.5125190000000003E-2</v>
      </c>
      <c r="W1526">
        <v>0.131139899999999</v>
      </c>
      <c r="X1526">
        <v>0.98770239999999998</v>
      </c>
      <c r="Y1526">
        <v>0.11627029999999999</v>
      </c>
      <c r="Z1526" s="1">
        <v>8.4757800000000004E-5</v>
      </c>
      <c r="AA1526">
        <v>0.99321760000000003</v>
      </c>
      <c r="AB1526">
        <v>28</v>
      </c>
      <c r="AC1526">
        <v>107.0403</v>
      </c>
      <c r="AD1526">
        <v>1.1076010000000001</v>
      </c>
      <c r="AE1526">
        <v>-13.2348999999999</v>
      </c>
      <c r="AF1526">
        <v>12.557395210629901</v>
      </c>
      <c r="AG1526">
        <v>1.1076010000000001</v>
      </c>
      <c r="AH1526">
        <v>107.11044326181801</v>
      </c>
      <c r="AI1526">
        <v>89.411570298662397</v>
      </c>
      <c r="AJ1526">
        <v>83.313291661002594</v>
      </c>
      <c r="AK1526">
        <v>107.849719564746</v>
      </c>
      <c r="AL1526">
        <v>82.464532276611905</v>
      </c>
      <c r="AM1526">
        <v>94.925867997608293</v>
      </c>
      <c r="AN1526">
        <v>1.00000000115515</v>
      </c>
    </row>
    <row r="1527" spans="1:40" x14ac:dyDescent="0.25">
      <c r="A1527" t="str">
        <f>"20190304154748920"</f>
        <v>20190304154748920</v>
      </c>
      <c r="B1527" t="str">
        <f>"1551685668917856"</f>
        <v>1551685668917856</v>
      </c>
      <c r="C1527" t="s">
        <v>40</v>
      </c>
      <c r="D1527">
        <v>4.431578</v>
      </c>
      <c r="E1527">
        <v>0.57696320000000001</v>
      </c>
      <c r="F1527" t="s">
        <v>43</v>
      </c>
      <c r="G1527">
        <v>-158.78319999999999</v>
      </c>
      <c r="H1527">
        <v>2.204196</v>
      </c>
      <c r="I1527">
        <v>352.38249999999999</v>
      </c>
      <c r="J1527">
        <v>-276.20280000000002</v>
      </c>
      <c r="K1527">
        <v>1.0946070000000001</v>
      </c>
      <c r="L1527">
        <v>366.9486</v>
      </c>
      <c r="M1527">
        <v>0.99995319999999999</v>
      </c>
      <c r="N1527">
        <v>-7.3085509999999999E-3</v>
      </c>
      <c r="O1527">
        <v>-6.355566E-3</v>
      </c>
      <c r="P1527">
        <v>0.98915419999999998</v>
      </c>
      <c r="Q1527">
        <v>0.1239402</v>
      </c>
      <c r="R1527">
        <v>7.8820619999999994E-2</v>
      </c>
      <c r="S1527">
        <v>3.0596619999999999</v>
      </c>
      <c r="T1527">
        <v>2.8912429999999999E-2</v>
      </c>
      <c r="U1527">
        <v>-0.3791504</v>
      </c>
      <c r="V1527">
        <v>-8.5079999999999906E-2</v>
      </c>
      <c r="W1527">
        <v>0.13117909999999999</v>
      </c>
      <c r="X1527">
        <v>0.9877011</v>
      </c>
      <c r="Y1527">
        <v>0.1166682</v>
      </c>
      <c r="Z1527" s="1">
        <v>1.5051510000000001E-5</v>
      </c>
      <c r="AA1527">
        <v>0.99317089999999997</v>
      </c>
      <c r="AB1527">
        <v>28</v>
      </c>
      <c r="AC1527">
        <v>117.4196</v>
      </c>
      <c r="AD1527">
        <v>1.1095889999999999</v>
      </c>
      <c r="AE1527">
        <v>-14.5661</v>
      </c>
      <c r="AF1527">
        <v>13.8183026754133</v>
      </c>
      <c r="AG1527">
        <v>1.1095889999999999</v>
      </c>
      <c r="AH1527">
        <v>117.499473164073</v>
      </c>
      <c r="AI1527">
        <v>89.462654707371698</v>
      </c>
      <c r="AJ1527">
        <v>83.292647291415406</v>
      </c>
      <c r="AK1527">
        <v>118.314423763178</v>
      </c>
      <c r="AL1527">
        <v>82.462266798817694</v>
      </c>
      <c r="AM1527">
        <v>94.923272329986503</v>
      </c>
      <c r="AN1527">
        <v>1.0000000128090001</v>
      </c>
    </row>
    <row r="1528" spans="1:40" x14ac:dyDescent="0.25">
      <c r="A1528" t="str">
        <f>"20190304154748930"</f>
        <v>20190304154748930</v>
      </c>
      <c r="B1528" t="str">
        <f>"1551685668917856"</f>
        <v>1551685668917856</v>
      </c>
      <c r="C1528" t="s">
        <v>40</v>
      </c>
      <c r="D1528">
        <v>4.431578</v>
      </c>
      <c r="E1528">
        <v>0.57696320000000001</v>
      </c>
      <c r="F1528" t="s">
        <v>43</v>
      </c>
      <c r="G1528">
        <v>-158.78319999999999</v>
      </c>
      <c r="H1528">
        <v>2.0711930000000001</v>
      </c>
      <c r="I1528">
        <v>352.29860000000002</v>
      </c>
      <c r="J1528">
        <v>-276.07839999999999</v>
      </c>
      <c r="K1528">
        <v>1.0956570000000001</v>
      </c>
      <c r="L1528">
        <v>366.94779999999997</v>
      </c>
      <c r="M1528">
        <v>0.99995049999999996</v>
      </c>
      <c r="N1528">
        <v>-7.6408300000000004E-3</v>
      </c>
      <c r="O1528">
        <v>-6.3943860000000002E-3</v>
      </c>
      <c r="P1528">
        <v>0.98917679999999997</v>
      </c>
      <c r="Q1528">
        <v>0.1238389</v>
      </c>
      <c r="R1528">
        <v>7.8697740000000002E-2</v>
      </c>
      <c r="S1528">
        <v>3.0601500000000001</v>
      </c>
      <c r="T1528">
        <v>2.5453690000000001E-2</v>
      </c>
      <c r="U1528">
        <v>-0.38180540000000002</v>
      </c>
      <c r="V1528">
        <v>-8.4995950000000001E-2</v>
      </c>
      <c r="W1528">
        <v>0.131406</v>
      </c>
      <c r="X1528">
        <v>0.98767819999999995</v>
      </c>
      <c r="Y1528">
        <v>0.1174596</v>
      </c>
      <c r="Z1528" s="1">
        <v>-6.5526229999999998E-5</v>
      </c>
      <c r="AA1528">
        <v>0.9930776</v>
      </c>
      <c r="AB1528">
        <v>28</v>
      </c>
      <c r="AC1528">
        <v>117.29519999999999</v>
      </c>
      <c r="AD1528">
        <v>0.97553599999999996</v>
      </c>
      <c r="AE1528">
        <v>-14.649199999999899</v>
      </c>
      <c r="AF1528">
        <v>13.897901340682401</v>
      </c>
      <c r="AG1528">
        <v>0.97553599999999996</v>
      </c>
      <c r="AH1528">
        <v>117.378482676614</v>
      </c>
      <c r="AI1528">
        <v>89.527127014490205</v>
      </c>
      <c r="AJ1528">
        <v>83.247476397806594</v>
      </c>
      <c r="AK1528">
        <v>118.202417604831</v>
      </c>
      <c r="AL1528">
        <v>82.449153055968907</v>
      </c>
      <c r="AM1528">
        <v>94.918546007947299</v>
      </c>
      <c r="AN1528">
        <v>1.0000000375538201</v>
      </c>
    </row>
    <row r="1529" spans="1:40" x14ac:dyDescent="0.25">
      <c r="A1529" t="str">
        <f>"20190304154748941"</f>
        <v>20190304154748941</v>
      </c>
      <c r="B1529" t="str">
        <f>"1551685668938353"</f>
        <v>1551685668938353</v>
      </c>
      <c r="C1529" t="s">
        <v>40</v>
      </c>
      <c r="D1529">
        <v>4.4144329999999998</v>
      </c>
      <c r="E1529">
        <v>0.57728000000000002</v>
      </c>
      <c r="F1529" t="s">
        <v>43</v>
      </c>
      <c r="G1529">
        <v>-158.78319999999999</v>
      </c>
      <c r="H1529">
        <v>2.063714</v>
      </c>
      <c r="I1529">
        <v>352.29640000000001</v>
      </c>
      <c r="J1529">
        <v>-275.94510000000002</v>
      </c>
      <c r="K1529">
        <v>1.096689</v>
      </c>
      <c r="L1529">
        <v>366.94690000000003</v>
      </c>
      <c r="M1529">
        <v>0.99994749999999999</v>
      </c>
      <c r="N1529">
        <v>-7.9831969999999992E-3</v>
      </c>
      <c r="O1529">
        <v>-6.4356860000000004E-3</v>
      </c>
      <c r="P1529">
        <v>0.98921110000000001</v>
      </c>
      <c r="Q1529">
        <v>0.1236886</v>
      </c>
      <c r="R1529">
        <v>7.8502799999999998E-2</v>
      </c>
      <c r="S1529">
        <v>3.0600589999999999</v>
      </c>
      <c r="T1529">
        <v>2.5257470000000001E-2</v>
      </c>
      <c r="U1529">
        <v>-0.38223269999999998</v>
      </c>
      <c r="V1529">
        <v>-8.4841680000000003E-2</v>
      </c>
      <c r="W1529">
        <v>0.13159460000000001</v>
      </c>
      <c r="X1529">
        <v>0.9876663</v>
      </c>
      <c r="Y1529">
        <v>0.11755889999999999</v>
      </c>
      <c r="Z1529" s="1">
        <v>-9.1887599999999998E-5</v>
      </c>
      <c r="AA1529">
        <v>0.99306589999999995</v>
      </c>
      <c r="AB1529">
        <v>28</v>
      </c>
      <c r="AC1529">
        <v>117.1619</v>
      </c>
      <c r="AD1529">
        <v>0.96702500000000002</v>
      </c>
      <c r="AE1529">
        <v>-14.650499999999999</v>
      </c>
      <c r="AF1529">
        <v>13.895223379254499</v>
      </c>
      <c r="AG1529">
        <v>0.96702500000000002</v>
      </c>
      <c r="AH1529">
        <v>117.24589819075599</v>
      </c>
      <c r="AI1529">
        <v>89.530728419203498</v>
      </c>
      <c r="AJ1529">
        <v>83.241201647468202</v>
      </c>
      <c r="AK1529">
        <v>118.070373136816</v>
      </c>
      <c r="AL1529">
        <v>82.438252011229494</v>
      </c>
      <c r="AM1529">
        <v>94.909721252097896</v>
      </c>
      <c r="AN1529">
        <v>0.99999998478503505</v>
      </c>
    </row>
    <row r="1530" spans="1:40" x14ac:dyDescent="0.25">
      <c r="A1530" t="str">
        <f>"20190304154748952"</f>
        <v>20190304154748952</v>
      </c>
      <c r="B1530" t="str">
        <f>"1551685668948112"</f>
        <v>1551685668948112</v>
      </c>
      <c r="C1530" t="s">
        <v>40</v>
      </c>
      <c r="D1530">
        <v>4.3815609999999996</v>
      </c>
      <c r="E1530">
        <v>0.57729940000000002</v>
      </c>
      <c r="F1530" t="s">
        <v>43</v>
      </c>
      <c r="G1530">
        <v>-158.78319999999999</v>
      </c>
      <c r="H1530">
        <v>1.986386</v>
      </c>
      <c r="I1530">
        <v>352.18189999999998</v>
      </c>
      <c r="J1530">
        <v>-275.7989</v>
      </c>
      <c r="K1530">
        <v>1.0977969999999999</v>
      </c>
      <c r="L1530">
        <v>366.94589999999999</v>
      </c>
      <c r="M1530">
        <v>0.99994419999999995</v>
      </c>
      <c r="N1530">
        <v>-8.3544520000000001E-3</v>
      </c>
      <c r="O1530">
        <v>-6.4807440000000001E-3</v>
      </c>
      <c r="P1530">
        <v>0.98922690000000002</v>
      </c>
      <c r="Q1530">
        <v>0.12349889999999999</v>
      </c>
      <c r="R1530">
        <v>7.8601110000000002E-2</v>
      </c>
      <c r="S1530">
        <v>3.060425</v>
      </c>
      <c r="T1530">
        <v>2.3242349999999998E-2</v>
      </c>
      <c r="U1530">
        <v>-0.3856812</v>
      </c>
      <c r="V1530">
        <v>-8.4984729999999994E-2</v>
      </c>
      <c r="W1530">
        <v>0.13177139999999901</v>
      </c>
      <c r="X1530">
        <v>0.98763040000000002</v>
      </c>
      <c r="Y1530">
        <v>0.1186016</v>
      </c>
      <c r="Z1530">
        <v>-1.5175940000000001E-4</v>
      </c>
      <c r="AA1530">
        <v>0.99294190000000004</v>
      </c>
      <c r="AB1530">
        <v>28</v>
      </c>
      <c r="AC1530">
        <v>117.0157</v>
      </c>
      <c r="AD1530">
        <v>0.88858899999999996</v>
      </c>
      <c r="AE1530">
        <v>-14.763999999999999</v>
      </c>
      <c r="AF1530">
        <v>14.004519825824</v>
      </c>
      <c r="AG1530">
        <v>0.88858899999999996</v>
      </c>
      <c r="AH1530">
        <v>117.10228059504701</v>
      </c>
      <c r="AI1530">
        <v>89.568315664167798</v>
      </c>
      <c r="AJ1530">
        <v>83.180261009278098</v>
      </c>
      <c r="AK1530">
        <v>117.940070741559</v>
      </c>
      <c r="AL1530">
        <v>82.428032915291297</v>
      </c>
      <c r="AM1530">
        <v>94.918136765853902</v>
      </c>
      <c r="AN1530">
        <v>0.99999995659764496</v>
      </c>
    </row>
    <row r="1531" spans="1:40" x14ac:dyDescent="0.25">
      <c r="A1531" t="str">
        <f>"20190304154748963"</f>
        <v>20190304154748963</v>
      </c>
      <c r="B1531" t="str">
        <f>"1551685668957873"</f>
        <v>1551685668957873</v>
      </c>
      <c r="C1531" t="s">
        <v>40</v>
      </c>
      <c r="D1531">
        <v>4.3908559999999897</v>
      </c>
      <c r="E1531">
        <v>0.57756809999999903</v>
      </c>
      <c r="F1531" t="s">
        <v>43</v>
      </c>
      <c r="G1531">
        <v>-158.78319999999999</v>
      </c>
      <c r="H1531">
        <v>1.906919</v>
      </c>
      <c r="I1531">
        <v>352.21550000000002</v>
      </c>
      <c r="J1531">
        <v>-275.66120000000001</v>
      </c>
      <c r="K1531">
        <v>1.098749</v>
      </c>
      <c r="L1531">
        <v>366.94499999999999</v>
      </c>
      <c r="M1531">
        <v>0.99994119999999997</v>
      </c>
      <c r="N1531">
        <v>-8.6875870000000001E-3</v>
      </c>
      <c r="O1531">
        <v>-6.523315E-3</v>
      </c>
      <c r="P1531">
        <v>0.98927989999999999</v>
      </c>
      <c r="Q1531">
        <v>0.1231743</v>
      </c>
      <c r="R1531">
        <v>7.8445459999999995E-2</v>
      </c>
      <c r="S1531">
        <v>3.060638</v>
      </c>
      <c r="T1531">
        <v>2.1165489999999999E-2</v>
      </c>
      <c r="U1531">
        <v>-0.38528440000000003</v>
      </c>
      <c r="V1531">
        <v>-8.4871169999999996E-2</v>
      </c>
      <c r="W1531">
        <v>0.13177610000000001</v>
      </c>
      <c r="X1531">
        <v>0.98763959999999995</v>
      </c>
      <c r="Y1531">
        <v>0.1184243</v>
      </c>
      <c r="Z1531">
        <v>-2.099635E-4</v>
      </c>
      <c r="AA1531">
        <v>0.99296309999999999</v>
      </c>
      <c r="AB1531">
        <v>28</v>
      </c>
      <c r="AC1531">
        <v>116.878</v>
      </c>
      <c r="AD1531">
        <v>0.80816999999999894</v>
      </c>
      <c r="AE1531">
        <v>-14.7294999999999</v>
      </c>
      <c r="AF1531">
        <v>13.9660686457542</v>
      </c>
      <c r="AG1531">
        <v>0.80816999999999894</v>
      </c>
      <c r="AH1531">
        <v>116.966096778289</v>
      </c>
      <c r="AI1531">
        <v>89.606916750293095</v>
      </c>
      <c r="AJ1531">
        <v>83.190965498407195</v>
      </c>
      <c r="AK1531">
        <v>117.79971140760399</v>
      </c>
      <c r="AL1531">
        <v>82.427761722037303</v>
      </c>
      <c r="AM1531">
        <v>94.9115515955977</v>
      </c>
      <c r="AN1531">
        <v>1.00000001775826</v>
      </c>
    </row>
    <row r="1532" spans="1:40" x14ac:dyDescent="0.25">
      <c r="A1532" t="str">
        <f>"20190304154748975"</f>
        <v>20190304154748975</v>
      </c>
      <c r="B1532" t="str">
        <f>"1551685668967633"</f>
        <v>1551685668967633</v>
      </c>
      <c r="C1532" t="s">
        <v>40</v>
      </c>
      <c r="D1532">
        <v>4.3849099999999996</v>
      </c>
      <c r="E1532">
        <v>0.57775750000000003</v>
      </c>
      <c r="F1532" t="s">
        <v>43</v>
      </c>
      <c r="G1532">
        <v>-158.78319999999999</v>
      </c>
      <c r="H1532">
        <v>1.8663479999999999</v>
      </c>
      <c r="I1532">
        <v>352.1266</v>
      </c>
      <c r="J1532">
        <v>-275.5224</v>
      </c>
      <c r="K1532">
        <v>1.099675</v>
      </c>
      <c r="L1532">
        <v>366.94400000000002</v>
      </c>
      <c r="M1532">
        <v>0.99993779999999999</v>
      </c>
      <c r="N1532">
        <v>-9.016016E-3</v>
      </c>
      <c r="O1532">
        <v>-6.5658000000000001E-3</v>
      </c>
      <c r="P1532">
        <v>0.98931659999999999</v>
      </c>
      <c r="Q1532">
        <v>0.1229315</v>
      </c>
      <c r="R1532">
        <v>7.8362000000000001E-2</v>
      </c>
      <c r="S1532">
        <v>3.060791</v>
      </c>
      <c r="T1532">
        <v>2.0104049999999998E-2</v>
      </c>
      <c r="U1532">
        <v>-0.3880615</v>
      </c>
      <c r="V1532">
        <v>-8.4829749999999995E-2</v>
      </c>
      <c r="W1532">
        <v>0.13185829999999901</v>
      </c>
      <c r="X1532">
        <v>0.98763219999999996</v>
      </c>
      <c r="Y1532">
        <v>0.11926299999999999</v>
      </c>
      <c r="Z1532">
        <v>-2.5159789999999998E-4</v>
      </c>
      <c r="AA1532">
        <v>0.99286260000000004</v>
      </c>
      <c r="AB1532">
        <v>28</v>
      </c>
      <c r="AC1532">
        <v>116.7392</v>
      </c>
      <c r="AD1532">
        <v>0.76667299999999905</v>
      </c>
      <c r="AE1532">
        <v>-14.817399999999999</v>
      </c>
      <c r="AF1532">
        <v>14.049966812330601</v>
      </c>
      <c r="AG1532">
        <v>0.76667299999999905</v>
      </c>
      <c r="AH1532">
        <v>116.829016480665</v>
      </c>
      <c r="AI1532">
        <v>89.626700081279395</v>
      </c>
      <c r="AJ1532">
        <v>83.142488772392596</v>
      </c>
      <c r="AK1532">
        <v>117.673312381168</v>
      </c>
      <c r="AL1532">
        <v>82.423010644738198</v>
      </c>
      <c r="AM1532">
        <v>94.909202912343204</v>
      </c>
      <c r="AN1532">
        <v>1.00000003012039</v>
      </c>
    </row>
    <row r="1533" spans="1:40" x14ac:dyDescent="0.25">
      <c r="A1533" t="str">
        <f>"20190304154748988"</f>
        <v>20190304154748988</v>
      </c>
      <c r="B1533" t="str">
        <f>"1551685668978369"</f>
        <v>1551685668978369</v>
      </c>
      <c r="C1533" t="s">
        <v>40</v>
      </c>
      <c r="D1533">
        <v>4.4253109999999998</v>
      </c>
      <c r="E1533">
        <v>0.57774360000000002</v>
      </c>
      <c r="F1533" t="s">
        <v>43</v>
      </c>
      <c r="G1533">
        <v>-158.78319999999999</v>
      </c>
      <c r="H1533">
        <v>1.820095</v>
      </c>
      <c r="I1533">
        <v>352.07740000000001</v>
      </c>
      <c r="J1533">
        <v>-275.36759999999998</v>
      </c>
      <c r="K1533">
        <v>1.1006309999999999</v>
      </c>
      <c r="L1533">
        <v>366.94290000000001</v>
      </c>
      <c r="M1533">
        <v>0.99993430000000005</v>
      </c>
      <c r="N1533">
        <v>-9.3654919999999996E-3</v>
      </c>
      <c r="O1533">
        <v>-6.6133260000000001E-3</v>
      </c>
      <c r="P1533">
        <v>0.98933649999999995</v>
      </c>
      <c r="Q1533">
        <v>0.1227613</v>
      </c>
      <c r="R1533">
        <v>7.8377660000000002E-2</v>
      </c>
      <c r="S1533">
        <v>3.060883</v>
      </c>
      <c r="T1533">
        <v>1.889157E-2</v>
      </c>
      <c r="U1533">
        <v>-0.38980100000000001</v>
      </c>
      <c r="V1533">
        <v>-8.4892739999999994E-2</v>
      </c>
      <c r="W1533">
        <v>0.13203319999999999</v>
      </c>
      <c r="X1533">
        <v>0.98760340000000002</v>
      </c>
      <c r="Y1533">
        <v>0.1197675</v>
      </c>
      <c r="Z1533">
        <v>-2.9734E-4</v>
      </c>
      <c r="AA1533">
        <v>0.99280190000000001</v>
      </c>
      <c r="AB1533">
        <v>28</v>
      </c>
      <c r="AC1533">
        <v>116.5844</v>
      </c>
      <c r="AD1533">
        <v>0.71946399999999999</v>
      </c>
      <c r="AE1533">
        <v>-14.8654999999999</v>
      </c>
      <c r="AF1533">
        <v>14.0936023020557</v>
      </c>
      <c r="AG1533">
        <v>0.71946399999999999</v>
      </c>
      <c r="AH1533">
        <v>116.67579264379199</v>
      </c>
      <c r="AI1533">
        <v>89.649248101289203</v>
      </c>
      <c r="AJ1533">
        <v>83.1124483208866</v>
      </c>
      <c r="AK1533">
        <v>117.52611558012499</v>
      </c>
      <c r="AL1533">
        <v>82.412901068172005</v>
      </c>
      <c r="AM1533">
        <v>94.912972951546806</v>
      </c>
      <c r="AN1533">
        <v>1.00000000944925</v>
      </c>
    </row>
    <row r="1534" spans="1:40" x14ac:dyDescent="0.25">
      <c r="A1534" t="str">
        <f>"20190304154749000"</f>
        <v>20190304154749000</v>
      </c>
      <c r="B1534" t="str">
        <f>"1551685668997889"</f>
        <v>1551685668997889</v>
      </c>
      <c r="C1534" t="s">
        <v>40</v>
      </c>
      <c r="D1534">
        <v>4.3502349999999996</v>
      </c>
      <c r="E1534">
        <v>0.57810779999999995</v>
      </c>
      <c r="F1534" t="s">
        <v>43</v>
      </c>
      <c r="G1534">
        <v>-158.78319999999999</v>
      </c>
      <c r="H1534">
        <v>1.754561</v>
      </c>
      <c r="I1534">
        <v>352.0994</v>
      </c>
      <c r="J1534">
        <v>-275.21420000000001</v>
      </c>
      <c r="K1534">
        <v>1.1015060000000001</v>
      </c>
      <c r="L1534">
        <v>366.94189999999998</v>
      </c>
      <c r="M1534">
        <v>0.99993089999999996</v>
      </c>
      <c r="N1534">
        <v>-9.6933550000000007E-3</v>
      </c>
      <c r="O1534">
        <v>-6.66104E-3</v>
      </c>
      <c r="P1534">
        <v>0.98934639999999996</v>
      </c>
      <c r="Q1534">
        <v>0.1224527</v>
      </c>
      <c r="R1534">
        <v>7.8734990000000005E-2</v>
      </c>
      <c r="S1534">
        <v>3.061096</v>
      </c>
      <c r="T1534">
        <v>1.7172219999999998E-2</v>
      </c>
      <c r="U1534">
        <v>-0.38973999999999998</v>
      </c>
      <c r="V1534">
        <v>-8.529755E-2</v>
      </c>
      <c r="W1534">
        <v>0.13204839999999901</v>
      </c>
      <c r="X1534">
        <v>0.98756650000000001</v>
      </c>
      <c r="Y1534">
        <v>0.1196921</v>
      </c>
      <c r="Z1534">
        <v>-3.4960619999999999E-4</v>
      </c>
      <c r="AA1534">
        <v>0.992811</v>
      </c>
      <c r="AB1534">
        <v>28</v>
      </c>
      <c r="AC1534">
        <v>116.431</v>
      </c>
      <c r="AD1534">
        <v>0.65305500000000005</v>
      </c>
      <c r="AE1534">
        <v>-14.8424999999999</v>
      </c>
      <c r="AF1534">
        <v>14.066147306288</v>
      </c>
      <c r="AG1534">
        <v>0.65305500000000005</v>
      </c>
      <c r="AH1534">
        <v>116.52368061964</v>
      </c>
      <c r="AI1534">
        <v>89.681204443626996</v>
      </c>
      <c r="AJ1534">
        <v>83.116849335132997</v>
      </c>
      <c r="AK1534">
        <v>117.371423805044</v>
      </c>
      <c r="AL1534">
        <v>82.412022575075696</v>
      </c>
      <c r="AM1534">
        <v>94.936468450535699</v>
      </c>
      <c r="AN1534">
        <v>1.0000000219503999</v>
      </c>
    </row>
    <row r="1535" spans="1:40" x14ac:dyDescent="0.25">
      <c r="A1535" t="str">
        <f>"20190304154749015"</f>
        <v>20190304154749015</v>
      </c>
      <c r="B1535" t="str">
        <f>"1551685669007649"</f>
        <v>1551685669007649</v>
      </c>
      <c r="C1535" t="s">
        <v>40</v>
      </c>
      <c r="D1535">
        <v>4.3738419999999998</v>
      </c>
      <c r="E1535">
        <v>0.57822459999999998</v>
      </c>
      <c r="F1535" t="s">
        <v>43</v>
      </c>
      <c r="G1535">
        <v>-158.78319999999999</v>
      </c>
      <c r="H1535">
        <v>1.7101550000000001</v>
      </c>
      <c r="I1535">
        <v>352.04680000000002</v>
      </c>
      <c r="J1535">
        <v>-275.03840000000002</v>
      </c>
      <c r="K1535">
        <v>1.10244599999999</v>
      </c>
      <c r="L1535">
        <v>366.94060000000002</v>
      </c>
      <c r="M1535">
        <v>0.99992700000000001</v>
      </c>
      <c r="N1535">
        <v>-1.0053329999999999E-2</v>
      </c>
      <c r="O1535">
        <v>-6.7161209999999898E-3</v>
      </c>
      <c r="P1535">
        <v>0.98934049999999996</v>
      </c>
      <c r="Q1535">
        <v>0.1224841</v>
      </c>
      <c r="R1535">
        <v>7.8759990000000002E-2</v>
      </c>
      <c r="S1535">
        <v>3.0615230000000002</v>
      </c>
      <c r="T1535">
        <v>1.6006590000000001E-2</v>
      </c>
      <c r="U1535">
        <v>-0.39166260000000003</v>
      </c>
      <c r="V1535">
        <v>-8.5377399999999895E-2</v>
      </c>
      <c r="W1535">
        <v>0.13243550000000001</v>
      </c>
      <c r="X1535">
        <v>0.98750780000000005</v>
      </c>
      <c r="Y1535">
        <v>0.1202337</v>
      </c>
      <c r="Z1535">
        <v>-3.9602780000000002E-4</v>
      </c>
      <c r="AA1535">
        <v>0.99274549999999995</v>
      </c>
      <c r="AB1535">
        <v>28</v>
      </c>
      <c r="AC1535">
        <v>116.2552</v>
      </c>
      <c r="AD1535">
        <v>0.60770900000000005</v>
      </c>
      <c r="AE1535">
        <v>-14.893800000000001</v>
      </c>
      <c r="AF1535">
        <v>14.112261285065401</v>
      </c>
      <c r="AG1535">
        <v>0.60770900000000005</v>
      </c>
      <c r="AH1535">
        <v>116.34948343774199</v>
      </c>
      <c r="AI1535">
        <v>89.702916450151903</v>
      </c>
      <c r="AJ1535">
        <v>83.084262602027806</v>
      </c>
      <c r="AK1535">
        <v>117.203786308446</v>
      </c>
      <c r="AL1535">
        <v>82.389647144131501</v>
      </c>
      <c r="AM1535">
        <v>94.941359038531004</v>
      </c>
      <c r="AN1535">
        <v>1.0000000585759199</v>
      </c>
    </row>
    <row r="1536" spans="1:40" x14ac:dyDescent="0.25">
      <c r="A1536" t="str">
        <f>"20190304154749027"</f>
        <v>20190304154749027</v>
      </c>
      <c r="B1536" t="str">
        <f>"1551685669018385"</f>
        <v>1551685669018385</v>
      </c>
      <c r="C1536" t="s">
        <v>40</v>
      </c>
      <c r="D1536">
        <v>4.3260480000000001</v>
      </c>
      <c r="E1536">
        <v>0.57836769999999904</v>
      </c>
      <c r="F1536" t="s">
        <v>43</v>
      </c>
      <c r="G1536">
        <v>-158.78319999999999</v>
      </c>
      <c r="H1536">
        <v>1.7055279999999999</v>
      </c>
      <c r="I1536">
        <v>352.04059999999998</v>
      </c>
      <c r="J1536">
        <v>-274.875</v>
      </c>
      <c r="K1536">
        <v>1.1032379999999999</v>
      </c>
      <c r="L1536">
        <v>366.93950000000001</v>
      </c>
      <c r="M1536">
        <v>0.99992349999999997</v>
      </c>
      <c r="N1536">
        <v>-1.036521E-2</v>
      </c>
      <c r="O1536">
        <v>-6.7669610000000002E-3</v>
      </c>
      <c r="P1536">
        <v>0.98940340000000004</v>
      </c>
      <c r="Q1536">
        <v>0.121986999999999</v>
      </c>
      <c r="R1536">
        <v>7.8740569999999996E-2</v>
      </c>
      <c r="S1536">
        <v>3.0616150000000002</v>
      </c>
      <c r="T1536">
        <v>1.5884639999999998E-2</v>
      </c>
      <c r="U1536">
        <v>-0.39239499999999999</v>
      </c>
      <c r="V1536">
        <v>-8.5408289999999998E-2</v>
      </c>
      <c r="W1536">
        <v>0.1322469</v>
      </c>
      <c r="X1536">
        <v>0.98753040000000003</v>
      </c>
      <c r="Y1536">
        <v>0.1204132</v>
      </c>
      <c r="Z1536">
        <v>-4.2033800000000003E-4</v>
      </c>
      <c r="AA1536">
        <v>0.99272380000000005</v>
      </c>
      <c r="AB1536">
        <v>28</v>
      </c>
      <c r="AC1536">
        <v>116.09180000000001</v>
      </c>
      <c r="AD1536">
        <v>0.60228999999999999</v>
      </c>
      <c r="AE1536">
        <v>-14.898899999999999</v>
      </c>
      <c r="AF1536">
        <v>14.112554344640101</v>
      </c>
      <c r="AG1536">
        <v>0.60228999999999999</v>
      </c>
      <c r="AH1536">
        <v>116.186890743522</v>
      </c>
      <c r="AI1536">
        <v>89.705159574948198</v>
      </c>
      <c r="AJ1536">
        <v>83.074536177146499</v>
      </c>
      <c r="AK1536">
        <v>117.04238772351501</v>
      </c>
      <c r="AL1536">
        <v>82.400548988693103</v>
      </c>
      <c r="AM1536">
        <v>94.943025427027194</v>
      </c>
      <c r="AN1536">
        <v>1.0000000547422401</v>
      </c>
    </row>
    <row r="1537" spans="1:40" x14ac:dyDescent="0.25">
      <c r="A1537" t="str">
        <f>"20190304154749042"</f>
        <v>20190304154749042</v>
      </c>
      <c r="B1537" t="str">
        <f>"1551685669037908"</f>
        <v>1551685669037908</v>
      </c>
      <c r="C1537" t="s">
        <v>40</v>
      </c>
      <c r="D1537">
        <v>4.3969959999999997</v>
      </c>
      <c r="E1537">
        <v>0.57829109999999995</v>
      </c>
      <c r="F1537" t="s">
        <v>43</v>
      </c>
      <c r="G1537">
        <v>-158.78319999999999</v>
      </c>
      <c r="H1537">
        <v>1.6502139999999901</v>
      </c>
      <c r="I1537">
        <v>352.01209999999998</v>
      </c>
      <c r="J1537">
        <v>-274.70060000000001</v>
      </c>
      <c r="K1537">
        <v>1.104006</v>
      </c>
      <c r="L1537">
        <v>366.93819999999999</v>
      </c>
      <c r="M1537">
        <v>0.99991969999999997</v>
      </c>
      <c r="N1537">
        <v>-1.067676E-2</v>
      </c>
      <c r="O1537">
        <v>-6.8211859999999999E-3</v>
      </c>
      <c r="P1537">
        <v>0.98943789999999998</v>
      </c>
      <c r="Q1537">
        <v>0.1215291</v>
      </c>
      <c r="R1537">
        <v>7.9013559999999997E-2</v>
      </c>
      <c r="S1537">
        <v>3.0616759999999998</v>
      </c>
      <c r="T1537">
        <v>1.442766E-2</v>
      </c>
      <c r="U1537">
        <v>-0.39367679999999999</v>
      </c>
      <c r="V1537">
        <v>-8.5735399999999906E-2</v>
      </c>
      <c r="W1537">
        <v>0.13209699999999999</v>
      </c>
      <c r="X1537">
        <v>0.98752209999999996</v>
      </c>
      <c r="Y1537">
        <v>0.12076580000000001</v>
      </c>
      <c r="Z1537">
        <v>-4.6852109999999999E-4</v>
      </c>
      <c r="AA1537">
        <v>0.99268089999999998</v>
      </c>
      <c r="AB1537">
        <v>28</v>
      </c>
      <c r="AC1537">
        <v>115.9174</v>
      </c>
      <c r="AD1537">
        <v>0.54620799999999903</v>
      </c>
      <c r="AE1537">
        <v>-14.9261</v>
      </c>
      <c r="AF1537">
        <v>14.134704746740301</v>
      </c>
      <c r="AG1537">
        <v>0.54620799999999903</v>
      </c>
      <c r="AH1537">
        <v>116.01398854828599</v>
      </c>
      <c r="AI1537">
        <v>89.732226551527802</v>
      </c>
      <c r="AJ1537">
        <v>83.053535580197305</v>
      </c>
      <c r="AK1537">
        <v>116.873152436043</v>
      </c>
      <c r="AL1537">
        <v>82.409213507615107</v>
      </c>
      <c r="AM1537">
        <v>94.961904159579504</v>
      </c>
      <c r="AN1537">
        <v>1.00000003710528</v>
      </c>
    </row>
    <row r="1538" spans="1:40" x14ac:dyDescent="0.25">
      <c r="A1538" t="str">
        <f>"20190304154749054"</f>
        <v>20190304154749054</v>
      </c>
      <c r="B1538" t="str">
        <f>"1551685669048173"</f>
        <v>1551685669048173</v>
      </c>
      <c r="C1538" t="s">
        <v>40</v>
      </c>
      <c r="D1538">
        <v>4.3646099999999999</v>
      </c>
      <c r="E1538">
        <v>0.5783604</v>
      </c>
      <c r="F1538" t="s">
        <v>43</v>
      </c>
      <c r="G1538">
        <v>-158.78319999999999</v>
      </c>
      <c r="H1538">
        <v>1.540375</v>
      </c>
      <c r="I1538">
        <v>352.09030000000001</v>
      </c>
      <c r="J1538">
        <v>-274.55290000000002</v>
      </c>
      <c r="K1538">
        <v>1.1046069999999999</v>
      </c>
      <c r="L1538">
        <v>366.93720000000002</v>
      </c>
      <c r="M1538">
        <v>0.9999169</v>
      </c>
      <c r="N1538">
        <v>-1.0929070000000001E-2</v>
      </c>
      <c r="O1538">
        <v>-6.8673839999999998E-3</v>
      </c>
      <c r="P1538">
        <v>0.98948409999999998</v>
      </c>
      <c r="Q1538">
        <v>0.1211743</v>
      </c>
      <c r="R1538">
        <v>7.898384E-2</v>
      </c>
      <c r="S1538">
        <v>3.0619809999999998</v>
      </c>
      <c r="T1538">
        <v>1.1529090000000001E-2</v>
      </c>
      <c r="U1538">
        <v>-0.3922119</v>
      </c>
      <c r="V1538">
        <v>-8.5752149999999999E-2</v>
      </c>
      <c r="W1538">
        <v>0.13199169999999999</v>
      </c>
      <c r="X1538">
        <v>0.98753469999999999</v>
      </c>
      <c r="Y1538">
        <v>0.12024</v>
      </c>
      <c r="Z1538">
        <v>-5.3480779999999896E-4</v>
      </c>
      <c r="AA1538">
        <v>0.99274470000000004</v>
      </c>
      <c r="AB1538">
        <v>27</v>
      </c>
      <c r="AC1538">
        <v>115.7697</v>
      </c>
      <c r="AD1538">
        <v>0.43576799999999999</v>
      </c>
      <c r="AE1538">
        <v>-14.8469</v>
      </c>
      <c r="AF1538">
        <v>14.0512716873579</v>
      </c>
      <c r="AG1538">
        <v>0.43576799999999999</v>
      </c>
      <c r="AH1538">
        <v>115.86732007822199</v>
      </c>
      <c r="AI1538">
        <v>89.786083262563807</v>
      </c>
      <c r="AJ1538">
        <v>83.085484349554903</v>
      </c>
      <c r="AK1538">
        <v>116.71702528719101</v>
      </c>
      <c r="AL1538">
        <v>82.415299855590504</v>
      </c>
      <c r="AM1538">
        <v>94.962805713295097</v>
      </c>
      <c r="AN1538">
        <v>1.0000000119012999</v>
      </c>
    </row>
    <row r="1539" spans="1:40" x14ac:dyDescent="0.25">
      <c r="A1539" t="str">
        <f>"20190304154749064"</f>
        <v>20190304154749064</v>
      </c>
      <c r="B1539" t="str">
        <f>"1551685669057933"</f>
        <v>1551685669057933</v>
      </c>
      <c r="C1539" t="s">
        <v>40</v>
      </c>
      <c r="D1539">
        <v>4.3961639999999997</v>
      </c>
      <c r="E1539">
        <v>0.57829619999999904</v>
      </c>
      <c r="F1539" t="s">
        <v>43</v>
      </c>
      <c r="G1539">
        <v>-158.78319999999999</v>
      </c>
      <c r="H1539">
        <v>1.4730490000000001</v>
      </c>
      <c r="I1539">
        <v>352.09109999999998</v>
      </c>
      <c r="J1539">
        <v>-274.41820000000001</v>
      </c>
      <c r="K1539">
        <v>1.1051059999999999</v>
      </c>
      <c r="L1539">
        <v>366.93619999999999</v>
      </c>
      <c r="M1539">
        <v>0.99991410000000003</v>
      </c>
      <c r="N1539">
        <v>-1.11427E-2</v>
      </c>
      <c r="O1539">
        <v>-6.9088680000000003E-3</v>
      </c>
      <c r="P1539">
        <v>0.98953959999999996</v>
      </c>
      <c r="Q1539">
        <v>0.1207096</v>
      </c>
      <c r="R1539">
        <v>7.8998390000000002E-2</v>
      </c>
      <c r="S1539">
        <v>3.0620419999999999</v>
      </c>
      <c r="T1539">
        <v>9.7473860000000002E-3</v>
      </c>
      <c r="U1539">
        <v>-0.39266970000000001</v>
      </c>
      <c r="V1539">
        <v>-8.5808270000000006E-2</v>
      </c>
      <c r="W1539">
        <v>0.13173879999999999</v>
      </c>
      <c r="X1539">
        <v>0.98756359999999999</v>
      </c>
      <c r="Y1539">
        <v>0.1203422</v>
      </c>
      <c r="Z1539">
        <v>-5.8103919999999995E-4</v>
      </c>
      <c r="AA1539">
        <v>0.99273230000000001</v>
      </c>
      <c r="AB1539">
        <v>27</v>
      </c>
      <c r="AC1539">
        <v>115.63500000000001</v>
      </c>
      <c r="AD1539">
        <v>0.36794300000000002</v>
      </c>
      <c r="AE1539">
        <v>-14.8451</v>
      </c>
      <c r="AF1539">
        <v>14.0456492408707</v>
      </c>
      <c r="AG1539">
        <v>0.36794300000000002</v>
      </c>
      <c r="AH1539">
        <v>115.73365628180601</v>
      </c>
      <c r="AI1539">
        <v>89.819171412139397</v>
      </c>
      <c r="AJ1539">
        <v>83.080319102452293</v>
      </c>
      <c r="AK1539">
        <v>116.583424383589</v>
      </c>
      <c r="AL1539">
        <v>82.429917646766299</v>
      </c>
      <c r="AM1539">
        <v>94.965892757354794</v>
      </c>
      <c r="AN1539">
        <v>1.00000001733539</v>
      </c>
    </row>
    <row r="1540" spans="1:40" x14ac:dyDescent="0.25">
      <c r="A1540" t="str">
        <f>"20190304154749077"</f>
        <v>20190304154749077</v>
      </c>
      <c r="B1540" t="str">
        <f>"1551685669067693"</f>
        <v>1551685669067693</v>
      </c>
      <c r="C1540" t="s">
        <v>40</v>
      </c>
      <c r="D1540">
        <v>4.4246179999999997</v>
      </c>
      <c r="E1540">
        <v>0.57838279999999997</v>
      </c>
      <c r="F1540" t="s">
        <v>43</v>
      </c>
      <c r="G1540">
        <v>-158.78319999999999</v>
      </c>
      <c r="H1540">
        <v>1.3774299999999999</v>
      </c>
      <c r="I1540">
        <v>352.12290000000002</v>
      </c>
      <c r="J1540">
        <v>-274.27429999999998</v>
      </c>
      <c r="K1540">
        <v>1.1056090000000001</v>
      </c>
      <c r="L1540">
        <v>366.93520000000001</v>
      </c>
      <c r="M1540">
        <v>0.99991140000000001</v>
      </c>
      <c r="N1540">
        <v>-1.1361100000000001E-2</v>
      </c>
      <c r="O1540">
        <v>-6.9533809999999998E-3</v>
      </c>
      <c r="P1540">
        <v>0.98961080000000001</v>
      </c>
      <c r="Q1540">
        <v>0.1201393</v>
      </c>
      <c r="R1540">
        <v>7.8976009999999999E-2</v>
      </c>
      <c r="S1540">
        <v>3.0621339999999999</v>
      </c>
      <c r="T1540">
        <v>7.2137119999999997E-3</v>
      </c>
      <c r="U1540">
        <v>-0.39227289999999998</v>
      </c>
      <c r="V1540">
        <v>-8.5830240000000002E-2</v>
      </c>
      <c r="W1540">
        <v>0.13138469999999999</v>
      </c>
      <c r="X1540">
        <v>0.98760890000000001</v>
      </c>
      <c r="Y1540">
        <v>0.12016739999999999</v>
      </c>
      <c r="Z1540">
        <v>-6.3944529999999998E-4</v>
      </c>
      <c r="AA1540">
        <v>0.99275340000000001</v>
      </c>
      <c r="AB1540">
        <v>27</v>
      </c>
      <c r="AC1540">
        <v>115.4911</v>
      </c>
      <c r="AD1540">
        <v>0.27182099999999898</v>
      </c>
      <c r="AE1540">
        <v>-14.812299999999899</v>
      </c>
      <c r="AF1540">
        <v>14.0087601612277</v>
      </c>
      <c r="AG1540">
        <v>0.27182099999999898</v>
      </c>
      <c r="AH1540">
        <v>115.590679888739</v>
      </c>
      <c r="AI1540">
        <v>89.866243211324601</v>
      </c>
      <c r="AJ1540">
        <v>83.089862895420595</v>
      </c>
      <c r="AK1540">
        <v>116.43678338502799</v>
      </c>
      <c r="AL1540">
        <v>82.450384257494406</v>
      </c>
      <c r="AM1540">
        <v>94.966931148519905</v>
      </c>
      <c r="AN1540">
        <v>1.00000005442587</v>
      </c>
    </row>
    <row r="1541" spans="1:40" x14ac:dyDescent="0.25">
      <c r="A1541" t="str">
        <f>"20190304154749089"</f>
        <v>20190304154749089</v>
      </c>
      <c r="B1541" t="str">
        <f>"1551685669078429"</f>
        <v>1551685669078429</v>
      </c>
      <c r="C1541" t="s">
        <v>40</v>
      </c>
      <c r="D1541">
        <v>4.378539</v>
      </c>
      <c r="E1541">
        <v>0.57847930000000003</v>
      </c>
      <c r="F1541" t="s">
        <v>43</v>
      </c>
      <c r="G1541">
        <v>-158.78319999999999</v>
      </c>
      <c r="H1541">
        <v>1.302273</v>
      </c>
      <c r="I1541">
        <v>352.11079999999998</v>
      </c>
      <c r="J1541">
        <v>-274.1259</v>
      </c>
      <c r="K1541">
        <v>1.1060909999999999</v>
      </c>
      <c r="L1541">
        <v>366.9341</v>
      </c>
      <c r="M1541">
        <v>0.99990860000000004</v>
      </c>
      <c r="N1541">
        <v>-1.157449E-2</v>
      </c>
      <c r="O1541">
        <v>-6.9996729999999997E-3</v>
      </c>
      <c r="P1541">
        <v>0.98965110000000001</v>
      </c>
      <c r="Q1541">
        <v>0.119853399999999</v>
      </c>
      <c r="R1541">
        <v>7.8907430000000001E-2</v>
      </c>
      <c r="S1541">
        <v>3.0622250000000002</v>
      </c>
      <c r="T1541">
        <v>5.2168370000000002E-3</v>
      </c>
      <c r="U1541">
        <v>-0.39306639999999998</v>
      </c>
      <c r="V1541">
        <v>-8.5808010000000004E-2</v>
      </c>
      <c r="W1541">
        <v>0.1313105</v>
      </c>
      <c r="X1541">
        <v>0.98762070000000002</v>
      </c>
      <c r="Y1541">
        <v>0.1203704</v>
      </c>
      <c r="Z1541">
        <v>-6.8994009999999895E-4</v>
      </c>
      <c r="AA1541">
        <v>0.99272879999999997</v>
      </c>
      <c r="AB1541">
        <v>27</v>
      </c>
      <c r="AC1541">
        <v>115.34269999999999</v>
      </c>
      <c r="AD1541">
        <v>0.196182</v>
      </c>
      <c r="AE1541">
        <v>-14.8233</v>
      </c>
      <c r="AF1541">
        <v>14.015481723699899</v>
      </c>
      <c r="AG1541">
        <v>0.196182</v>
      </c>
      <c r="AH1541">
        <v>115.443310606578</v>
      </c>
      <c r="AI1541">
        <v>89.903342545624994</v>
      </c>
      <c r="AJ1541">
        <v>83.077839652062707</v>
      </c>
      <c r="AK1541">
        <v>116.291144027098</v>
      </c>
      <c r="AL1541">
        <v>82.454672758847593</v>
      </c>
      <c r="AM1541">
        <v>94.9655921156088</v>
      </c>
      <c r="AN1541">
        <v>1.0000000545294401</v>
      </c>
    </row>
    <row r="1542" spans="1:40" x14ac:dyDescent="0.25">
      <c r="A1542" t="str">
        <f>"20190304154749101"</f>
        <v>20190304154749101</v>
      </c>
      <c r="B1542" t="str">
        <f>"1551685669097949"</f>
        <v>1551685669097949</v>
      </c>
      <c r="C1542" t="s">
        <v>40</v>
      </c>
      <c r="D1542">
        <v>4.3919069999999998</v>
      </c>
      <c r="E1542">
        <v>0.57874539999999997</v>
      </c>
      <c r="F1542" t="s">
        <v>43</v>
      </c>
      <c r="G1542">
        <v>-158.78319999999999</v>
      </c>
      <c r="H1542">
        <v>1.266785</v>
      </c>
      <c r="I1542">
        <v>352.08879999999999</v>
      </c>
      <c r="J1542">
        <v>-273.97829999999999</v>
      </c>
      <c r="K1542">
        <v>1.106517</v>
      </c>
      <c r="L1542">
        <v>366.93299999999999</v>
      </c>
      <c r="M1542">
        <v>0.99990599999999996</v>
      </c>
      <c r="N1542">
        <v>-1.177074E-2</v>
      </c>
      <c r="O1542">
        <v>-7.0452919999999999E-3</v>
      </c>
      <c r="P1542">
        <v>0.9896665</v>
      </c>
      <c r="Q1542">
        <v>0.1196885</v>
      </c>
      <c r="R1542">
        <v>7.896309E-2</v>
      </c>
      <c r="S1542">
        <v>3.0622859999999998</v>
      </c>
      <c r="T1542">
        <v>4.2686460000000001E-3</v>
      </c>
      <c r="U1542">
        <v>-0.3941345</v>
      </c>
      <c r="V1542">
        <v>-8.5908470000000001E-2</v>
      </c>
      <c r="W1542">
        <v>0.13133880000000001</v>
      </c>
      <c r="X1542">
        <v>0.98760809999999999</v>
      </c>
      <c r="Y1542">
        <v>0.1206632</v>
      </c>
      <c r="Z1542">
        <v>-7.2171259999999999E-4</v>
      </c>
      <c r="AA1542">
        <v>0.99269320000000005</v>
      </c>
      <c r="AB1542">
        <v>27</v>
      </c>
      <c r="AC1542">
        <v>115.1951</v>
      </c>
      <c r="AD1542">
        <v>0.16026799999999999</v>
      </c>
      <c r="AE1542">
        <v>-14.844200000000001</v>
      </c>
      <c r="AF1542">
        <v>14.0321655568303</v>
      </c>
      <c r="AG1542">
        <v>0.16026799999999999</v>
      </c>
      <c r="AH1542">
        <v>115.296610079909</v>
      </c>
      <c r="AI1542">
        <v>89.920939452139805</v>
      </c>
      <c r="AJ1542">
        <v>83.060947650635697</v>
      </c>
      <c r="AK1542">
        <v>116.147473721837</v>
      </c>
      <c r="AL1542">
        <v>82.453036347514299</v>
      </c>
      <c r="AM1542">
        <v>94.971439588738207</v>
      </c>
      <c r="AN1542">
        <v>0.99999995239439399</v>
      </c>
    </row>
    <row r="1543" spans="1:40" x14ac:dyDescent="0.25">
      <c r="A1543" t="str">
        <f>"20190304154749113"</f>
        <v>20190304154749113</v>
      </c>
      <c r="B1543" t="str">
        <f>"1551685669107708"</f>
        <v>1551685669107708</v>
      </c>
      <c r="C1543" t="s">
        <v>40</v>
      </c>
      <c r="D1543">
        <v>4.3245649999999998</v>
      </c>
      <c r="E1543">
        <v>0.57880019999999999</v>
      </c>
      <c r="F1543" t="s">
        <v>43</v>
      </c>
      <c r="G1543">
        <v>-158.78319999999999</v>
      </c>
      <c r="H1543">
        <v>1.2546759999999999</v>
      </c>
      <c r="I1543">
        <v>352.03730000000002</v>
      </c>
      <c r="J1543">
        <v>-273.83080000000001</v>
      </c>
      <c r="K1543">
        <v>1.1069249999999999</v>
      </c>
      <c r="L1543">
        <v>366.93189999999998</v>
      </c>
      <c r="M1543">
        <v>0.9999034</v>
      </c>
      <c r="N1543">
        <v>-1.1960149999999999E-2</v>
      </c>
      <c r="O1543">
        <v>-7.0908890000000004E-3</v>
      </c>
      <c r="P1543">
        <v>0.98972789999999999</v>
      </c>
      <c r="Q1543">
        <v>0.1192414</v>
      </c>
      <c r="R1543">
        <v>7.8868750000000001E-2</v>
      </c>
      <c r="S1543">
        <v>3.062408</v>
      </c>
      <c r="T1543">
        <v>3.9410590000000002E-3</v>
      </c>
      <c r="U1543">
        <v>-0.39599610000000002</v>
      </c>
      <c r="V1543">
        <v>-8.5860099999999995E-2</v>
      </c>
      <c r="W1543">
        <v>0.131079799999999</v>
      </c>
      <c r="X1543">
        <v>0.98764680000000005</v>
      </c>
      <c r="Y1543">
        <v>0.12120640000000001</v>
      </c>
      <c r="Z1543">
        <v>-7.4373949999999897E-4</v>
      </c>
      <c r="AA1543">
        <v>0.99262700000000004</v>
      </c>
      <c r="AB1543">
        <v>27</v>
      </c>
      <c r="AC1543">
        <v>115.0476</v>
      </c>
      <c r="AD1543">
        <v>0.14775099999999999</v>
      </c>
      <c r="AE1543">
        <v>-14.894599999999899</v>
      </c>
      <c r="AF1543">
        <v>14.0783545894739</v>
      </c>
      <c r="AG1543">
        <v>0.14775099999999999</v>
      </c>
      <c r="AH1543">
        <v>115.150143926802</v>
      </c>
      <c r="AI1543">
        <v>89.927026276605901</v>
      </c>
      <c r="AJ1543">
        <v>83.0295625784713</v>
      </c>
      <c r="AK1543">
        <v>116.00766157744999</v>
      </c>
      <c r="AL1543">
        <v>82.468006001467998</v>
      </c>
      <c r="AM1543">
        <v>94.968460762696196</v>
      </c>
      <c r="AN1543">
        <v>1.00000003614514</v>
      </c>
    </row>
    <row r="1544" spans="1:40" x14ac:dyDescent="0.25">
      <c r="A1544" t="str">
        <f>"20190304154749126"</f>
        <v>20190304154749126</v>
      </c>
      <c r="B1544" t="str">
        <f>"1551685669118445"</f>
        <v>1551685669118445</v>
      </c>
      <c r="C1544" t="s">
        <v>40</v>
      </c>
      <c r="D1544">
        <v>4.361084</v>
      </c>
      <c r="E1544">
        <v>0.5788761</v>
      </c>
      <c r="F1544" t="s">
        <v>43</v>
      </c>
      <c r="G1544">
        <v>-158.78319999999999</v>
      </c>
      <c r="H1544">
        <v>1.204995</v>
      </c>
      <c r="I1544">
        <v>352.03019999999998</v>
      </c>
      <c r="J1544">
        <v>-273.67140000000001</v>
      </c>
      <c r="K1544">
        <v>1.10731</v>
      </c>
      <c r="L1544">
        <v>366.9307</v>
      </c>
      <c r="M1544">
        <v>0.99990080000000003</v>
      </c>
      <c r="N1544">
        <v>-1.21476E-2</v>
      </c>
      <c r="O1544">
        <v>-7.1403069999999898E-3</v>
      </c>
      <c r="P1544">
        <v>0.98974899999999999</v>
      </c>
      <c r="Q1544">
        <v>0.11916069999999999</v>
      </c>
      <c r="R1544">
        <v>7.8725059999999999E-2</v>
      </c>
      <c r="S1544">
        <v>3.0624389999999999</v>
      </c>
      <c r="T1544">
        <v>2.6128290000000001E-3</v>
      </c>
      <c r="U1544">
        <v>-0.39666750000000001</v>
      </c>
      <c r="V1544">
        <v>-8.5765179999999996E-2</v>
      </c>
      <c r="W1544">
        <v>0.13118479999999999</v>
      </c>
      <c r="X1544">
        <v>0.98764110000000005</v>
      </c>
      <c r="Y1544">
        <v>0.1213698</v>
      </c>
      <c r="Z1544">
        <v>-7.8116419999999995E-4</v>
      </c>
      <c r="AA1544">
        <v>0.99260709999999996</v>
      </c>
      <c r="AB1544">
        <v>27</v>
      </c>
      <c r="AC1544">
        <v>114.8882</v>
      </c>
      <c r="AD1544">
        <v>9.7684999999999994E-2</v>
      </c>
      <c r="AE1544">
        <v>-14.900499999999999</v>
      </c>
      <c r="AF1544">
        <v>14.079712598532501</v>
      </c>
      <c r="AG1544">
        <v>9.7684999999999994E-2</v>
      </c>
      <c r="AH1544">
        <v>114.99159103140801</v>
      </c>
      <c r="AI1544">
        <v>89.951688218937306</v>
      </c>
      <c r="AJ1544">
        <v>83.019379683677599</v>
      </c>
      <c r="AK1544">
        <v>115.850394290011</v>
      </c>
      <c r="AL1544">
        <v>82.461937497349993</v>
      </c>
      <c r="AM1544">
        <v>94.963023982274706</v>
      </c>
      <c r="AN1544">
        <v>1.00000003013034</v>
      </c>
    </row>
    <row r="1545" spans="1:40" x14ac:dyDescent="0.25">
      <c r="A1545" t="str">
        <f>"20190304154749137"</f>
        <v>20190304154749137</v>
      </c>
      <c r="B1545" t="str">
        <f>"1551685669128205"</f>
        <v>1551685669128205</v>
      </c>
      <c r="C1545" t="s">
        <v>40</v>
      </c>
      <c r="D1545">
        <v>4.3288409999999997</v>
      </c>
      <c r="E1545">
        <v>0.57893490000000003</v>
      </c>
      <c r="F1545" t="s">
        <v>43</v>
      </c>
      <c r="G1545">
        <v>-158.78319999999999</v>
      </c>
      <c r="H1545">
        <v>1.2018629999999999</v>
      </c>
      <c r="I1545">
        <v>352.00369999999998</v>
      </c>
      <c r="J1545">
        <v>-273.53320000000002</v>
      </c>
      <c r="K1545">
        <v>1.107621</v>
      </c>
      <c r="L1545">
        <v>366.92970000000003</v>
      </c>
      <c r="M1545">
        <v>0.99989870000000003</v>
      </c>
      <c r="N1545">
        <v>-1.230151E-2</v>
      </c>
      <c r="O1545">
        <v>-7.1829779999999996E-3</v>
      </c>
      <c r="P1545">
        <v>0.98976810000000004</v>
      </c>
      <c r="Q1545">
        <v>0.1190706</v>
      </c>
      <c r="R1545">
        <v>7.8622059999999994E-2</v>
      </c>
      <c r="S1545">
        <v>3.062408</v>
      </c>
      <c r="T1545">
        <v>2.5227069999999999E-3</v>
      </c>
      <c r="U1545">
        <v>-0.39788820000000003</v>
      </c>
      <c r="V1545">
        <v>-8.570419E-2</v>
      </c>
      <c r="W1545">
        <v>0.13124669999999999</v>
      </c>
      <c r="X1545">
        <v>0.98763809999999996</v>
      </c>
      <c r="Y1545">
        <v>0.1217178</v>
      </c>
      <c r="Z1545">
        <v>-7.9578979999999895E-4</v>
      </c>
      <c r="AA1545">
        <v>0.99256440000000001</v>
      </c>
      <c r="AB1545">
        <v>27</v>
      </c>
      <c r="AC1545">
        <v>114.75</v>
      </c>
      <c r="AD1545">
        <v>9.4241999999999895E-2</v>
      </c>
      <c r="AE1545">
        <v>-14.926</v>
      </c>
      <c r="AF1545">
        <v>14.1012965680571</v>
      </c>
      <c r="AG1545">
        <v>9.4241999999999895E-2</v>
      </c>
      <c r="AH1545">
        <v>114.854184286025</v>
      </c>
      <c r="AI1545">
        <v>89.953337136403107</v>
      </c>
      <c r="AJ1545">
        <v>83.000503251432093</v>
      </c>
      <c r="AK1545">
        <v>115.716632747687</v>
      </c>
      <c r="AL1545">
        <v>82.458359428581005</v>
      </c>
      <c r="AM1545">
        <v>94.959527236924202</v>
      </c>
      <c r="AN1545">
        <v>0.99999996050802697</v>
      </c>
    </row>
    <row r="1546" spans="1:40" x14ac:dyDescent="0.25">
      <c r="A1546" t="str">
        <f>"20190304154749149"</f>
        <v>20190304154749149</v>
      </c>
      <c r="B1546" t="str">
        <f>"1551685669137965"</f>
        <v>1551685669137965</v>
      </c>
      <c r="C1546" t="s">
        <v>40</v>
      </c>
      <c r="D1546">
        <v>4.3357960000000002</v>
      </c>
      <c r="E1546">
        <v>0.57898070000000001</v>
      </c>
      <c r="F1546" t="s">
        <v>43</v>
      </c>
      <c r="G1546">
        <v>-158.78319999999999</v>
      </c>
      <c r="H1546">
        <v>1.200939</v>
      </c>
      <c r="I1546">
        <v>351.99310000000003</v>
      </c>
      <c r="J1546">
        <v>-273.3861</v>
      </c>
      <c r="K1546">
        <v>1.107931</v>
      </c>
      <c r="L1546">
        <v>366.92860000000002</v>
      </c>
      <c r="M1546">
        <v>0.99989629999999996</v>
      </c>
      <c r="N1546">
        <v>-1.245747E-2</v>
      </c>
      <c r="O1546">
        <v>-7.2286519999999899E-3</v>
      </c>
      <c r="P1546">
        <v>0.98978759999999999</v>
      </c>
      <c r="Q1546">
        <v>0.11895070000000001</v>
      </c>
      <c r="R1546">
        <v>7.8558210000000003E-2</v>
      </c>
      <c r="S1546">
        <v>3.0623779999999998</v>
      </c>
      <c r="T1546">
        <v>2.492785E-3</v>
      </c>
      <c r="U1546">
        <v>-0.39862059999999999</v>
      </c>
      <c r="V1546">
        <v>-8.5685899999999995E-2</v>
      </c>
      <c r="W1546">
        <v>0.1312807</v>
      </c>
      <c r="X1546">
        <v>0.98763520000000005</v>
      </c>
      <c r="Y1546">
        <v>0.1219071</v>
      </c>
      <c r="Z1546">
        <v>-8.0868209999999995E-4</v>
      </c>
      <c r="AA1546">
        <v>0.99254120000000001</v>
      </c>
      <c r="AB1546">
        <v>27</v>
      </c>
      <c r="AC1546">
        <v>114.60290000000001</v>
      </c>
      <c r="AD1546">
        <v>9.3007999999999896E-2</v>
      </c>
      <c r="AE1546">
        <v>-14.9354999999999</v>
      </c>
      <c r="AF1546">
        <v>14.1066118339863</v>
      </c>
      <c r="AG1546">
        <v>9.3007999999999896E-2</v>
      </c>
      <c r="AH1546">
        <v>114.707802917961</v>
      </c>
      <c r="AI1546">
        <v>89.953890502610406</v>
      </c>
      <c r="AJ1546">
        <v>82.989044399498994</v>
      </c>
      <c r="AK1546">
        <v>115.57199140876899</v>
      </c>
      <c r="AL1546">
        <v>82.4563946079803</v>
      </c>
      <c r="AM1546">
        <v>94.958488596063404</v>
      </c>
      <c r="AN1546">
        <v>0.99999999196516998</v>
      </c>
    </row>
    <row r="1547" spans="1:40" x14ac:dyDescent="0.25">
      <c r="A1547" t="str">
        <f>"20190304154749160"</f>
        <v>20190304154749160</v>
      </c>
      <c r="B1547" t="str">
        <f>"1551685669158461"</f>
        <v>1551685669158461</v>
      </c>
      <c r="C1547" t="s">
        <v>40</v>
      </c>
      <c r="D1547">
        <v>4.332103</v>
      </c>
      <c r="E1547">
        <v>0.57911360000000001</v>
      </c>
      <c r="F1547" t="s">
        <v>43</v>
      </c>
      <c r="G1547">
        <v>-158.78319999999999</v>
      </c>
      <c r="H1547">
        <v>1.1967669999999999</v>
      </c>
      <c r="I1547">
        <v>351.98950000000002</v>
      </c>
      <c r="J1547">
        <v>-273.255</v>
      </c>
      <c r="K1547">
        <v>1.1081730000000001</v>
      </c>
      <c r="L1547">
        <v>366.92759999999998</v>
      </c>
      <c r="M1547">
        <v>0.99989450000000002</v>
      </c>
      <c r="N1547">
        <v>-1.258634E-2</v>
      </c>
      <c r="O1547">
        <v>-7.2697550000000001E-3</v>
      </c>
      <c r="P1547">
        <v>0.98977400000000004</v>
      </c>
      <c r="Q1547">
        <v>0.11909649999999999</v>
      </c>
      <c r="R1547">
        <v>7.8508530000000007E-2</v>
      </c>
      <c r="S1547">
        <v>3.062408</v>
      </c>
      <c r="T1547">
        <v>2.3761989999999998E-3</v>
      </c>
      <c r="U1547">
        <v>-0.39920040000000001</v>
      </c>
      <c r="V1547">
        <v>-8.5677130000000004E-2</v>
      </c>
      <c r="W1547">
        <v>0.1315539</v>
      </c>
      <c r="X1547">
        <v>0.98759960000000002</v>
      </c>
      <c r="Y1547">
        <v>0.1220499</v>
      </c>
      <c r="Z1547">
        <v>-8.2093869999999905E-4</v>
      </c>
      <c r="AA1547">
        <v>0.99252359999999995</v>
      </c>
      <c r="AB1547">
        <v>27</v>
      </c>
      <c r="AC1547">
        <v>114.4718</v>
      </c>
      <c r="AD1547">
        <v>8.8594000000000006E-2</v>
      </c>
      <c r="AE1547">
        <v>-14.938099999999899</v>
      </c>
      <c r="AF1547">
        <v>14.105449141958401</v>
      </c>
      <c r="AG1547">
        <v>8.8594000000000006E-2</v>
      </c>
      <c r="AH1547">
        <v>114.57731203678</v>
      </c>
      <c r="AI1547">
        <v>89.956029450306005</v>
      </c>
      <c r="AJ1547">
        <v>82.981712033331803</v>
      </c>
      <c r="AK1547">
        <v>115.44233182835001</v>
      </c>
      <c r="AL1547">
        <v>82.440604398743204</v>
      </c>
      <c r="AM1547">
        <v>94.958161451300697</v>
      </c>
      <c r="AN1547">
        <v>0.999999984565203</v>
      </c>
    </row>
    <row r="1548" spans="1:40" x14ac:dyDescent="0.25">
      <c r="A1548" t="str">
        <f>"20190304154749172"</f>
        <v>20190304154749172</v>
      </c>
      <c r="B1548" t="str">
        <f>"1551685669168221"</f>
        <v>1551685669168221</v>
      </c>
      <c r="C1548" t="s">
        <v>40</v>
      </c>
      <c r="D1548">
        <v>4.3383620000000001</v>
      </c>
      <c r="E1548">
        <v>0.5791927</v>
      </c>
      <c r="F1548" t="s">
        <v>43</v>
      </c>
      <c r="G1548">
        <v>-158.78319999999999</v>
      </c>
      <c r="H1548">
        <v>1.2391319999999999</v>
      </c>
      <c r="I1548">
        <v>351.96300000000002</v>
      </c>
      <c r="J1548">
        <v>-273.113</v>
      </c>
      <c r="K1548">
        <v>1.108428</v>
      </c>
      <c r="L1548">
        <v>366.92649999999998</v>
      </c>
      <c r="M1548">
        <v>0.99989220000000001</v>
      </c>
      <c r="N1548">
        <v>-1.2723E-2</v>
      </c>
      <c r="O1548">
        <v>-7.3138949999999999E-3</v>
      </c>
      <c r="P1548">
        <v>0.98979410000000001</v>
      </c>
      <c r="Q1548">
        <v>0.1188558</v>
      </c>
      <c r="R1548">
        <v>7.8618309999999997E-2</v>
      </c>
      <c r="S1548">
        <v>3.0623170000000002</v>
      </c>
      <c r="T1548">
        <v>3.5057069999999998E-3</v>
      </c>
      <c r="U1548">
        <v>-0.40032960000000001</v>
      </c>
      <c r="V1548">
        <v>-8.5830909999999996E-2</v>
      </c>
      <c r="W1548">
        <v>0.13144810000000001</v>
      </c>
      <c r="X1548">
        <v>0.98760029999999999</v>
      </c>
      <c r="Y1548">
        <v>0.12237000000000001</v>
      </c>
      <c r="Z1548">
        <v>-8.1304879999999997E-4</v>
      </c>
      <c r="AA1548">
        <v>0.99248420000000004</v>
      </c>
      <c r="AB1548">
        <v>27</v>
      </c>
      <c r="AC1548">
        <v>114.32980000000001</v>
      </c>
      <c r="AD1548">
        <v>0.13070399999999899</v>
      </c>
      <c r="AE1548">
        <v>-14.9634999999999</v>
      </c>
      <c r="AF1548">
        <v>14.1268176234052</v>
      </c>
      <c r="AG1548">
        <v>0.13070399999999899</v>
      </c>
      <c r="AH1548">
        <v>114.436044833433</v>
      </c>
      <c r="AI1548">
        <v>89.935052223040699</v>
      </c>
      <c r="AJ1548">
        <v>82.962596363912397</v>
      </c>
      <c r="AK1548">
        <v>115.304780546255</v>
      </c>
      <c r="AL1548">
        <v>82.446719134630001</v>
      </c>
      <c r="AM1548">
        <v>94.9670127628318</v>
      </c>
      <c r="AN1548">
        <v>0.99999995033256195</v>
      </c>
    </row>
    <row r="1549" spans="1:40" x14ac:dyDescent="0.25">
      <c r="A1549" t="str">
        <f>"20190304154749184"</f>
        <v>20190304154749184</v>
      </c>
      <c r="B1549" t="str">
        <f>"1551685669177981"</f>
        <v>1551685669177981</v>
      </c>
      <c r="C1549" t="s">
        <v>40</v>
      </c>
      <c r="D1549">
        <v>4.3527199999999997</v>
      </c>
      <c r="E1549">
        <v>0.57923559999999996</v>
      </c>
      <c r="F1549" t="s">
        <v>43</v>
      </c>
      <c r="G1549">
        <v>-158.78319999999999</v>
      </c>
      <c r="H1549">
        <v>1.230739</v>
      </c>
      <c r="I1549">
        <v>351.96249999999998</v>
      </c>
      <c r="J1549">
        <v>-272.9579</v>
      </c>
      <c r="K1549">
        <v>1.1086689999999999</v>
      </c>
      <c r="L1549">
        <v>366.92540000000002</v>
      </c>
      <c r="M1549">
        <v>0.9998901</v>
      </c>
      <c r="N1549">
        <v>-1.2860440000000001E-2</v>
      </c>
      <c r="O1549">
        <v>-7.3623430000000004E-3</v>
      </c>
      <c r="P1549">
        <v>0.98979119999999998</v>
      </c>
      <c r="Q1549">
        <v>0.1189103</v>
      </c>
      <c r="R1549">
        <v>7.8573489999999996E-2</v>
      </c>
      <c r="S1549">
        <v>3.0623779999999998</v>
      </c>
      <c r="T1549">
        <v>3.2784939999999999E-3</v>
      </c>
      <c r="U1549">
        <v>-0.4008179</v>
      </c>
      <c r="V1549">
        <v>-8.583346E-2</v>
      </c>
      <c r="W1549">
        <v>0.13163810000000001</v>
      </c>
      <c r="X1549">
        <v>0.98757479999999997</v>
      </c>
      <c r="Y1549">
        <v>0.1224749</v>
      </c>
      <c r="Z1549">
        <v>-8.2777839999999996E-4</v>
      </c>
      <c r="AA1549">
        <v>0.99247129999999995</v>
      </c>
      <c r="AB1549">
        <v>27</v>
      </c>
      <c r="AC1549">
        <v>114.1747</v>
      </c>
      <c r="AD1549">
        <v>0.122069999999999</v>
      </c>
      <c r="AE1549">
        <v>-14.962899999999999</v>
      </c>
      <c r="AF1549">
        <v>14.1218156259672</v>
      </c>
      <c r="AG1549">
        <v>0.122069999999999</v>
      </c>
      <c r="AH1549">
        <v>114.281647773413</v>
      </c>
      <c r="AI1549">
        <v>89.939261477079398</v>
      </c>
      <c r="AJ1549">
        <v>82.955654251304694</v>
      </c>
      <c r="AK1549">
        <v>115.150925291398</v>
      </c>
      <c r="AL1549">
        <v>82.435737728049403</v>
      </c>
      <c r="AM1549">
        <v>94.967287206906605</v>
      </c>
      <c r="AN1549">
        <v>0.99999997891111003</v>
      </c>
    </row>
    <row r="1550" spans="1:40" x14ac:dyDescent="0.25">
      <c r="A1550" t="str">
        <f>"20190304154749199"</f>
        <v>20190304154749199</v>
      </c>
      <c r="B1550" t="str">
        <f>"1551685669187740"</f>
        <v>1551685669187740</v>
      </c>
      <c r="C1550" t="s">
        <v>40</v>
      </c>
      <c r="D1550">
        <v>4.35649</v>
      </c>
      <c r="E1550">
        <v>0.57929549999999996</v>
      </c>
      <c r="F1550" t="s">
        <v>43</v>
      </c>
      <c r="G1550">
        <v>-158.78319999999999</v>
      </c>
      <c r="H1550">
        <v>1.2403850000000001</v>
      </c>
      <c r="I1550">
        <v>351.96589999999998</v>
      </c>
      <c r="J1550">
        <v>-272.79169999999999</v>
      </c>
      <c r="K1550">
        <v>1.1089070000000001</v>
      </c>
      <c r="L1550">
        <v>366.92399999999998</v>
      </c>
      <c r="M1550">
        <v>0.999888</v>
      </c>
      <c r="N1550">
        <v>-1.300085E-2</v>
      </c>
      <c r="O1550">
        <v>-7.4141579999999997E-3</v>
      </c>
      <c r="P1550">
        <v>0.989819</v>
      </c>
      <c r="Q1550">
        <v>0.1188925</v>
      </c>
      <c r="R1550">
        <v>7.8250029999999998E-2</v>
      </c>
      <c r="S1550">
        <v>3.062408</v>
      </c>
      <c r="T1550">
        <v>3.535271E-3</v>
      </c>
      <c r="U1550">
        <v>-0.40124510000000002</v>
      </c>
      <c r="V1550">
        <v>-8.5561750000000006E-2</v>
      </c>
      <c r="W1550">
        <v>0.1317596</v>
      </c>
      <c r="X1550">
        <v>0.98758219999999997</v>
      </c>
      <c r="Y1550">
        <v>0.122558399999999</v>
      </c>
      <c r="Z1550">
        <v>-8.3418019999999997E-4</v>
      </c>
      <c r="AA1550">
        <v>0.99246100000000004</v>
      </c>
      <c r="AB1550">
        <v>27</v>
      </c>
      <c r="AC1550">
        <v>114.0085</v>
      </c>
      <c r="AD1550">
        <v>0.13147800000000001</v>
      </c>
      <c r="AE1550">
        <v>-14.9581</v>
      </c>
      <c r="AF1550">
        <v>14.112321877712301</v>
      </c>
      <c r="AG1550">
        <v>0.13147800000000001</v>
      </c>
      <c r="AH1550">
        <v>114.116127809432</v>
      </c>
      <c r="AI1550">
        <v>89.934486208730803</v>
      </c>
      <c r="AJ1550">
        <v>82.950234443724796</v>
      </c>
      <c r="AK1550">
        <v>114.98550144023901</v>
      </c>
      <c r="AL1550">
        <v>82.428715309495999</v>
      </c>
      <c r="AM1550">
        <v>94.951604399361699</v>
      </c>
      <c r="AN1550">
        <v>1.0000000035060299</v>
      </c>
    </row>
    <row r="1551" spans="1:40" x14ac:dyDescent="0.25">
      <c r="A1551" t="str">
        <f>"20190304154749213"</f>
        <v>20190304154749213</v>
      </c>
      <c r="B1551" t="str">
        <f>"1551685669208237"</f>
        <v>1551685669208237</v>
      </c>
      <c r="C1551" t="s">
        <v>40</v>
      </c>
      <c r="D1551">
        <v>4.3643369999999999</v>
      </c>
      <c r="E1551">
        <v>0.57941480000000001</v>
      </c>
      <c r="F1551" t="s">
        <v>43</v>
      </c>
      <c r="G1551">
        <v>-158.78319999999999</v>
      </c>
      <c r="H1551">
        <v>1.23099</v>
      </c>
      <c r="I1551">
        <v>351.92919999999998</v>
      </c>
      <c r="J1551">
        <v>-272.61610000000002</v>
      </c>
      <c r="K1551">
        <v>1.109135</v>
      </c>
      <c r="L1551">
        <v>366.92270000000002</v>
      </c>
      <c r="M1551">
        <v>0.99988600000000005</v>
      </c>
      <c r="N1551">
        <v>-1.314124E-2</v>
      </c>
      <c r="O1551">
        <v>-7.4690809999999998E-3</v>
      </c>
      <c r="P1551">
        <v>0.98983719999999997</v>
      </c>
      <c r="Q1551">
        <v>0.11874220000000001</v>
      </c>
      <c r="R1551">
        <v>7.8251109999999999E-2</v>
      </c>
      <c r="S1551">
        <v>3.0623469999999999</v>
      </c>
      <c r="T1551">
        <v>3.2815930000000002E-3</v>
      </c>
      <c r="U1551">
        <v>-0.40277099999999999</v>
      </c>
      <c r="V1551">
        <v>-8.5617449999999998E-2</v>
      </c>
      <c r="W1551">
        <v>0.13174820000000001</v>
      </c>
      <c r="X1551">
        <v>0.98757890000000004</v>
      </c>
      <c r="Y1551">
        <v>0.1229925</v>
      </c>
      <c r="Z1551">
        <v>-8.5173550000000001E-4</v>
      </c>
      <c r="AA1551">
        <v>0.99240729999999999</v>
      </c>
      <c r="AB1551">
        <v>27</v>
      </c>
      <c r="AC1551">
        <v>113.8329</v>
      </c>
      <c r="AD1551">
        <v>0.121855</v>
      </c>
      <c r="AE1551">
        <v>-14.993499999999999</v>
      </c>
      <c r="AF1551">
        <v>14.142765405161599</v>
      </c>
      <c r="AG1551">
        <v>0.121855</v>
      </c>
      <c r="AH1551">
        <v>113.94159317002099</v>
      </c>
      <c r="AI1551">
        <v>89.939191601541793</v>
      </c>
      <c r="AJ1551">
        <v>82.924467774683507</v>
      </c>
      <c r="AK1551">
        <v>114.816023777472</v>
      </c>
      <c r="AL1551">
        <v>82.429374273715098</v>
      </c>
      <c r="AM1551">
        <v>94.954828285798897</v>
      </c>
      <c r="AN1551">
        <v>1.0000000098364701</v>
      </c>
    </row>
    <row r="1552" spans="1:40" x14ac:dyDescent="0.25">
      <c r="A1552" t="str">
        <f>"20190304154749232"</f>
        <v>20190304154749232</v>
      </c>
      <c r="B1552" t="str">
        <f>"1551685669227760"</f>
        <v>1551685669227760</v>
      </c>
      <c r="C1552" t="s">
        <v>40</v>
      </c>
      <c r="D1552">
        <v>4.344576</v>
      </c>
      <c r="E1552">
        <v>0.57950179999999996</v>
      </c>
      <c r="F1552" t="s">
        <v>43</v>
      </c>
      <c r="G1552">
        <v>-158.78319999999999</v>
      </c>
      <c r="H1552">
        <v>1.2155739999999999</v>
      </c>
      <c r="I1552">
        <v>351.92939999999999</v>
      </c>
      <c r="J1552">
        <v>-272.38490000000002</v>
      </c>
      <c r="K1552">
        <v>1.1094010000000001</v>
      </c>
      <c r="L1552">
        <v>366.92079999999999</v>
      </c>
      <c r="M1552">
        <v>0.99988310000000002</v>
      </c>
      <c r="N1552">
        <v>-1.3312569999999999E-2</v>
      </c>
      <c r="O1552">
        <v>-7.5409099999999996E-3</v>
      </c>
      <c r="P1552">
        <v>0.98988869999999896</v>
      </c>
      <c r="Q1552">
        <v>0.11844</v>
      </c>
      <c r="R1552">
        <v>7.8054540000000006E-2</v>
      </c>
      <c r="S1552">
        <v>3.0623469999999999</v>
      </c>
      <c r="T1552">
        <v>2.8657909999999999E-3</v>
      </c>
      <c r="U1552">
        <v>-0.40335080000000001</v>
      </c>
      <c r="V1552">
        <v>-8.5492280000000004E-2</v>
      </c>
      <c r="W1552">
        <v>0.13161629999999999</v>
      </c>
      <c r="X1552">
        <v>0.98760729999999997</v>
      </c>
      <c r="Y1552">
        <v>0.1231058</v>
      </c>
      <c r="Z1552">
        <v>-8.7263070000000002E-4</v>
      </c>
      <c r="AA1552">
        <v>0.99239310000000003</v>
      </c>
      <c r="AB1552">
        <v>27</v>
      </c>
      <c r="AC1552">
        <v>113.60169999999999</v>
      </c>
      <c r="AD1552">
        <v>0.106172999999999</v>
      </c>
      <c r="AE1552">
        <v>-14.991400000000001</v>
      </c>
      <c r="AF1552">
        <v>14.1342255521109</v>
      </c>
      <c r="AG1552">
        <v>0.106172999999999</v>
      </c>
      <c r="AH1552">
        <v>113.71143055783401</v>
      </c>
      <c r="AI1552">
        <v>89.946911170982901</v>
      </c>
      <c r="AJ1552">
        <v>82.914529295009203</v>
      </c>
      <c r="AK1552">
        <v>114.586548268865</v>
      </c>
      <c r="AL1552">
        <v>82.436997744981198</v>
      </c>
      <c r="AM1552">
        <v>94.947478896796596</v>
      </c>
      <c r="AN1552">
        <v>0.999999979689289</v>
      </c>
    </row>
    <row r="1553" spans="1:40" x14ac:dyDescent="0.25">
      <c r="A1553" t="str">
        <f>"20190304154749242"</f>
        <v>20190304154749242</v>
      </c>
      <c r="B1553" t="str">
        <f>"1551685669238493"</f>
        <v>1551685669238493</v>
      </c>
      <c r="C1553" t="s">
        <v>40</v>
      </c>
      <c r="D1553">
        <v>4.432245</v>
      </c>
      <c r="E1553">
        <v>0.5795979</v>
      </c>
      <c r="F1553" t="s">
        <v>43</v>
      </c>
      <c r="G1553">
        <v>-158.78319999999999</v>
      </c>
      <c r="H1553">
        <v>1.2041230000000001</v>
      </c>
      <c r="I1553">
        <v>351.8888</v>
      </c>
      <c r="J1553">
        <v>-272.25290000000001</v>
      </c>
      <c r="K1553">
        <v>1.109529</v>
      </c>
      <c r="L1553">
        <v>366.91980000000001</v>
      </c>
      <c r="M1553">
        <v>0.99988149999999998</v>
      </c>
      <c r="N1553">
        <v>-1.3403200000000001E-2</v>
      </c>
      <c r="O1553">
        <v>-7.5821650000000001E-3</v>
      </c>
      <c r="P1553">
        <v>0.9899173</v>
      </c>
      <c r="Q1553">
        <v>0.1181837</v>
      </c>
      <c r="R1553">
        <v>7.8080239999999995E-2</v>
      </c>
      <c r="S1553">
        <v>3.0623170000000002</v>
      </c>
      <c r="T1553">
        <v>2.5557280000000002E-3</v>
      </c>
      <c r="U1553">
        <v>-0.40521239999999997</v>
      </c>
      <c r="V1553">
        <v>-8.5559170000000004E-2</v>
      </c>
      <c r="W1553">
        <v>0.1314495</v>
      </c>
      <c r="X1553">
        <v>0.98762380000000005</v>
      </c>
      <c r="Y1553">
        <v>0.12365900000000001</v>
      </c>
      <c r="Z1553">
        <v>-8.8846889999999999E-4</v>
      </c>
      <c r="AA1553">
        <v>0.9923244</v>
      </c>
      <c r="AB1553">
        <v>27</v>
      </c>
      <c r="AC1553">
        <v>113.4697</v>
      </c>
      <c r="AD1553">
        <v>9.4593999999999998E-2</v>
      </c>
      <c r="AE1553">
        <v>-15.031000000000001</v>
      </c>
      <c r="AF1553">
        <v>14.1701349649755</v>
      </c>
      <c r="AG1553">
        <v>9.4593999999999998E-2</v>
      </c>
      <c r="AH1553">
        <v>113.58033790288199</v>
      </c>
      <c r="AI1553">
        <v>89.952648999239898</v>
      </c>
      <c r="AJ1553">
        <v>82.888596994733902</v>
      </c>
      <c r="AK1553">
        <v>114.46088777867899</v>
      </c>
      <c r="AL1553">
        <v>82.446639024822304</v>
      </c>
      <c r="AM1553">
        <v>94.951248307669104</v>
      </c>
      <c r="AN1553">
        <v>1.00000005647388</v>
      </c>
    </row>
    <row r="1554" spans="1:40" x14ac:dyDescent="0.25">
      <c r="A1554" t="str">
        <f>"20190304154749255"</f>
        <v>20190304154749255</v>
      </c>
      <c r="B1554" t="str">
        <f>"1551685669247785"</f>
        <v>1551685669247785</v>
      </c>
      <c r="C1554" t="s">
        <v>40</v>
      </c>
      <c r="D1554">
        <v>4.4236620000000002</v>
      </c>
      <c r="E1554">
        <v>0.57969859999999995</v>
      </c>
      <c r="F1554" t="s">
        <v>43</v>
      </c>
      <c r="G1554">
        <v>-158.78319999999999</v>
      </c>
      <c r="H1554">
        <v>1.181392</v>
      </c>
      <c r="I1554">
        <v>351.8861</v>
      </c>
      <c r="J1554">
        <v>-272.11349999999999</v>
      </c>
      <c r="K1554">
        <v>1.109658</v>
      </c>
      <c r="L1554">
        <v>366.9187</v>
      </c>
      <c r="M1554">
        <v>0.99987999999999999</v>
      </c>
      <c r="N1554">
        <v>-1.349648E-2</v>
      </c>
      <c r="O1554">
        <v>-7.6258280000000003E-3</v>
      </c>
      <c r="P1554">
        <v>0.98993730000000002</v>
      </c>
      <c r="Q1554">
        <v>0.11795</v>
      </c>
      <c r="R1554">
        <v>7.8182080000000001E-2</v>
      </c>
      <c r="S1554">
        <v>3.0623170000000002</v>
      </c>
      <c r="T1554">
        <v>1.9418E-3</v>
      </c>
      <c r="U1554">
        <v>-0.40573120000000001</v>
      </c>
      <c r="V1554">
        <v>-8.5704909999999995E-2</v>
      </c>
      <c r="W1554">
        <v>0.1313077</v>
      </c>
      <c r="X1554">
        <v>0.98763000000000001</v>
      </c>
      <c r="Y1554">
        <v>0.12378069999999999</v>
      </c>
      <c r="Z1554">
        <v>-9.0720530000000001E-4</v>
      </c>
      <c r="AA1554">
        <v>0.9923092</v>
      </c>
      <c r="AB1554">
        <v>27</v>
      </c>
      <c r="AC1554">
        <v>113.33029999999999</v>
      </c>
      <c r="AD1554">
        <v>7.1733999999999895E-2</v>
      </c>
      <c r="AE1554">
        <v>-15.0326</v>
      </c>
      <c r="AF1554">
        <v>14.167841279887501</v>
      </c>
      <c r="AG1554">
        <v>7.1733999999999895E-2</v>
      </c>
      <c r="AH1554">
        <v>113.441605871877</v>
      </c>
      <c r="AI1554">
        <v>89.964048717483706</v>
      </c>
      <c r="AJ1554">
        <v>82.881130067722694</v>
      </c>
      <c r="AK1554">
        <v>114.322923401605</v>
      </c>
      <c r="AL1554">
        <v>82.454834404259898</v>
      </c>
      <c r="AM1554">
        <v>94.959609166832806</v>
      </c>
      <c r="AN1554">
        <v>1.00000003028869</v>
      </c>
    </row>
    <row r="1555" spans="1:40" x14ac:dyDescent="0.25">
      <c r="A1555" t="str">
        <f>"20190304154749265"</f>
        <v>20190304154749265</v>
      </c>
      <c r="B1555" t="str">
        <f>"1551685669258521"</f>
        <v>1551685669258521</v>
      </c>
      <c r="C1555" t="s">
        <v>40</v>
      </c>
      <c r="D1555">
        <v>4.3719530000000004</v>
      </c>
      <c r="E1555">
        <v>0.57972599999999996</v>
      </c>
      <c r="F1555" t="s">
        <v>43</v>
      </c>
      <c r="G1555">
        <v>-158.78319999999999</v>
      </c>
      <c r="H1555">
        <v>1.1544449999999999</v>
      </c>
      <c r="I1555">
        <v>351.87479999999999</v>
      </c>
      <c r="J1555">
        <v>-271.97750000000002</v>
      </c>
      <c r="K1555">
        <v>1.1097699999999999</v>
      </c>
      <c r="L1555">
        <v>366.91759999999999</v>
      </c>
      <c r="M1555">
        <v>0.9998783</v>
      </c>
      <c r="N1555">
        <v>-1.3581869999999999E-2</v>
      </c>
      <c r="O1555">
        <v>-7.6680109999999998E-3</v>
      </c>
      <c r="P1555">
        <v>0.98991910000000005</v>
      </c>
      <c r="Q1555">
        <v>0.1180645</v>
      </c>
      <c r="R1555">
        <v>7.8236719999999996E-2</v>
      </c>
      <c r="S1555">
        <v>3.0624690000000001</v>
      </c>
      <c r="T1555">
        <v>1.2125969999999999E-3</v>
      </c>
      <c r="U1555">
        <v>-0.40652470000000002</v>
      </c>
      <c r="V1555">
        <v>-8.5800580000000001E-2</v>
      </c>
      <c r="W1555">
        <v>0.1315067</v>
      </c>
      <c r="X1555">
        <v>0.98759520000000001</v>
      </c>
      <c r="Y1555">
        <v>0.1239849</v>
      </c>
      <c r="Z1555">
        <v>-9.2798170000000005E-4</v>
      </c>
      <c r="AA1555">
        <v>0.99228369999999999</v>
      </c>
      <c r="AB1555">
        <v>27</v>
      </c>
      <c r="AC1555">
        <v>113.1943</v>
      </c>
      <c r="AD1555">
        <v>4.4674999999999999E-2</v>
      </c>
      <c r="AE1555">
        <v>-15.0428</v>
      </c>
      <c r="AF1555">
        <v>14.1743002390188</v>
      </c>
      <c r="AG1555">
        <v>4.4674999999999999E-2</v>
      </c>
      <c r="AH1555">
        <v>113.306313175188</v>
      </c>
      <c r="AI1555">
        <v>89.977583842196594</v>
      </c>
      <c r="AJ1555">
        <v>82.869501382095294</v>
      </c>
      <c r="AK1555">
        <v>114.189462685815</v>
      </c>
      <c r="AL1555">
        <v>82.443332694695499</v>
      </c>
      <c r="AM1555">
        <v>94.965291862245394</v>
      </c>
      <c r="AN1555">
        <v>1.0000000153681301</v>
      </c>
    </row>
    <row r="1556" spans="1:40" x14ac:dyDescent="0.25">
      <c r="A1556" t="str">
        <f>"20190304154749278"</f>
        <v>20190304154749278</v>
      </c>
      <c r="B1556" t="str">
        <f>"1551685669268280"</f>
        <v>1551685669268280</v>
      </c>
      <c r="C1556" t="s">
        <v>40</v>
      </c>
      <c r="D1556">
        <v>4.401573</v>
      </c>
      <c r="E1556">
        <v>0.57979700000000001</v>
      </c>
      <c r="F1556" t="s">
        <v>43</v>
      </c>
      <c r="G1556">
        <v>-158.78319999999999</v>
      </c>
      <c r="H1556">
        <v>1.172523</v>
      </c>
      <c r="I1556">
        <v>351.89519999999999</v>
      </c>
      <c r="J1556">
        <v>-271.83710000000002</v>
      </c>
      <c r="K1556">
        <v>1.109877</v>
      </c>
      <c r="L1556">
        <v>366.91649999999998</v>
      </c>
      <c r="M1556">
        <v>0.99987689999999996</v>
      </c>
      <c r="N1556">
        <v>-1.3665510000000001E-2</v>
      </c>
      <c r="O1556">
        <v>-7.7116169999999996E-3</v>
      </c>
      <c r="P1556">
        <v>0.98987619999999998</v>
      </c>
      <c r="Q1556">
        <v>0.11823359999999999</v>
      </c>
      <c r="R1556">
        <v>7.8524060000000007E-2</v>
      </c>
      <c r="S1556">
        <v>3.0624690000000001</v>
      </c>
      <c r="T1556">
        <v>1.700163E-3</v>
      </c>
      <c r="U1556">
        <v>-0.40643309999999999</v>
      </c>
      <c r="V1556">
        <v>-8.6131070000000004E-2</v>
      </c>
      <c r="W1556">
        <v>0.1317576</v>
      </c>
      <c r="X1556">
        <v>0.98753299999999999</v>
      </c>
      <c r="Y1556">
        <v>0.1239126</v>
      </c>
      <c r="Z1556">
        <v>-9.2535670000000003E-4</v>
      </c>
      <c r="AA1556">
        <v>0.99229270000000003</v>
      </c>
      <c r="AB1556">
        <v>27</v>
      </c>
      <c r="AC1556">
        <v>113.0539</v>
      </c>
      <c r="AD1556">
        <v>6.2645999999999896E-2</v>
      </c>
      <c r="AE1556">
        <v>-15.021299999999901</v>
      </c>
      <c r="AF1556">
        <v>14.1489392090675</v>
      </c>
      <c r="AG1556">
        <v>6.2645999999999896E-2</v>
      </c>
      <c r="AH1556">
        <v>113.166352901907</v>
      </c>
      <c r="AI1556">
        <v>89.968527558273095</v>
      </c>
      <c r="AJ1556">
        <v>82.873415801510703</v>
      </c>
      <c r="AK1556">
        <v>114.047445540802</v>
      </c>
      <c r="AL1556">
        <v>82.428831081948104</v>
      </c>
      <c r="AM1556">
        <v>94.984633560884703</v>
      </c>
      <c r="AN1556">
        <v>1.00000002623305</v>
      </c>
    </row>
    <row r="1557" spans="1:40" x14ac:dyDescent="0.25">
      <c r="A1557" t="str">
        <f>"20190304154749287"</f>
        <v>20190304154749287</v>
      </c>
      <c r="B1557" t="str">
        <f>"1551685669278040"</f>
        <v>1551685669278040</v>
      </c>
      <c r="C1557" t="s">
        <v>40</v>
      </c>
      <c r="D1557">
        <v>4.4382359999999998</v>
      </c>
      <c r="E1557">
        <v>0.57988790000000001</v>
      </c>
      <c r="F1557" t="s">
        <v>43</v>
      </c>
      <c r="G1557">
        <v>-158.78319999999999</v>
      </c>
      <c r="H1557">
        <v>1.186331</v>
      </c>
      <c r="I1557">
        <v>351.93049999999999</v>
      </c>
      <c r="J1557">
        <v>-271.70650000000001</v>
      </c>
      <c r="K1557">
        <v>1.1099730000000001</v>
      </c>
      <c r="L1557">
        <v>366.91539999999998</v>
      </c>
      <c r="M1557">
        <v>0.99987550000000003</v>
      </c>
      <c r="N1557">
        <v>-1.3739700000000001E-2</v>
      </c>
      <c r="O1557">
        <v>-7.7522989999999998E-3</v>
      </c>
      <c r="P1557">
        <v>0.98990350000000005</v>
      </c>
      <c r="Q1557">
        <v>0.1179384</v>
      </c>
      <c r="R1557">
        <v>7.8623100000000001E-2</v>
      </c>
      <c r="S1557">
        <v>3.0626530000000001</v>
      </c>
      <c r="T1557">
        <v>2.073526E-3</v>
      </c>
      <c r="U1557">
        <v>-0.40597529999999998</v>
      </c>
      <c r="V1557">
        <v>-8.627021E-2</v>
      </c>
      <c r="W1557">
        <v>0.13153599999999999</v>
      </c>
      <c r="X1557">
        <v>0.98755040000000005</v>
      </c>
      <c r="Y1557">
        <v>0.1237188</v>
      </c>
      <c r="Z1557">
        <v>-9.232655E-4</v>
      </c>
      <c r="AA1557">
        <v>0.99231689999999995</v>
      </c>
      <c r="AB1557">
        <v>27</v>
      </c>
      <c r="AC1557">
        <v>112.9233</v>
      </c>
      <c r="AD1557">
        <v>7.6358000000000106E-2</v>
      </c>
      <c r="AE1557">
        <v>-14.9848999999999</v>
      </c>
      <c r="AF1557">
        <v>14.1089454119744</v>
      </c>
      <c r="AG1557">
        <v>7.6358000000000106E-2</v>
      </c>
      <c r="AH1557">
        <v>113.036033675909</v>
      </c>
      <c r="AI1557">
        <v>89.961593633195406</v>
      </c>
      <c r="AJ1557">
        <v>82.885244416682696</v>
      </c>
      <c r="AK1557">
        <v>113.913182206291</v>
      </c>
      <c r="AL1557">
        <v>82.441639332644897</v>
      </c>
      <c r="AM1557">
        <v>94.992557772198893</v>
      </c>
      <c r="AN1557">
        <v>1.0000000304848</v>
      </c>
    </row>
    <row r="1558" spans="1:40" x14ac:dyDescent="0.25">
      <c r="A1558" t="str">
        <f>"20190304154749300"</f>
        <v>20190304154749300</v>
      </c>
      <c r="B1558" t="str">
        <f>"1551685669287800"</f>
        <v>1551685669287800</v>
      </c>
      <c r="C1558" t="s">
        <v>40</v>
      </c>
      <c r="D1558">
        <v>4.4414389999999999</v>
      </c>
      <c r="E1558">
        <v>0.57997299999999996</v>
      </c>
      <c r="F1558" t="s">
        <v>43</v>
      </c>
      <c r="G1558">
        <v>-158.78319999999999</v>
      </c>
      <c r="H1558">
        <v>1.1533279999999999</v>
      </c>
      <c r="I1558">
        <v>351.92680000000001</v>
      </c>
      <c r="J1558">
        <v>-271.57470000000001</v>
      </c>
      <c r="K1558">
        <v>1.1100540000000001</v>
      </c>
      <c r="L1558">
        <v>366.9144</v>
      </c>
      <c r="M1558">
        <v>0.99987440000000005</v>
      </c>
      <c r="N1558">
        <v>-1.3809E-2</v>
      </c>
      <c r="O1558">
        <v>-7.7936659999999899E-3</v>
      </c>
      <c r="P1558">
        <v>0.98985509999999999</v>
      </c>
      <c r="Q1558">
        <v>0.1182178</v>
      </c>
      <c r="R1558">
        <v>7.8813659999999994E-2</v>
      </c>
      <c r="S1558">
        <v>3.0627140000000002</v>
      </c>
      <c r="T1558">
        <v>1.178265E-3</v>
      </c>
      <c r="U1558">
        <v>-0.40652470000000002</v>
      </c>
      <c r="V1558">
        <v>-8.6501170000000002E-2</v>
      </c>
      <c r="W1558">
        <v>0.13188339999999901</v>
      </c>
      <c r="X1558">
        <v>0.98748389999999997</v>
      </c>
      <c r="Y1558">
        <v>0.1238499</v>
      </c>
      <c r="Z1558">
        <v>-9.4533289999999999E-4</v>
      </c>
      <c r="AA1558">
        <v>0.99230050000000003</v>
      </c>
      <c r="AB1558">
        <v>27</v>
      </c>
      <c r="AC1558">
        <v>112.7915</v>
      </c>
      <c r="AD1558">
        <v>4.3274E-2</v>
      </c>
      <c r="AE1558">
        <v>-14.987599999999899</v>
      </c>
      <c r="AF1558">
        <v>14.107999687181699</v>
      </c>
      <c r="AG1558">
        <v>4.3274E-2</v>
      </c>
      <c r="AH1558">
        <v>112.904876890057</v>
      </c>
      <c r="AI1558">
        <v>89.978209224917606</v>
      </c>
      <c r="AJ1558">
        <v>82.877536901532196</v>
      </c>
      <c r="AK1558">
        <v>113.782901849846</v>
      </c>
      <c r="AL1558">
        <v>82.421560140946198</v>
      </c>
      <c r="AM1558">
        <v>95.006191269119597</v>
      </c>
      <c r="AN1558">
        <v>1.0000000681830601</v>
      </c>
    </row>
    <row r="1559" spans="1:40" x14ac:dyDescent="0.25">
      <c r="A1559" t="str">
        <f>"20190304154749310"</f>
        <v>20190304154749310</v>
      </c>
      <c r="B1559" t="str">
        <f>"1551685669308297"</f>
        <v>1551685669308297</v>
      </c>
      <c r="C1559" t="s">
        <v>40</v>
      </c>
      <c r="D1559">
        <v>4.3790940000000003</v>
      </c>
      <c r="E1559">
        <v>0.58011979999999996</v>
      </c>
      <c r="F1559" t="s">
        <v>43</v>
      </c>
      <c r="G1559">
        <v>-158.78319999999999</v>
      </c>
      <c r="H1559">
        <v>1.1777610000000001</v>
      </c>
      <c r="I1559">
        <v>351.95179999999999</v>
      </c>
      <c r="J1559">
        <v>-271.44569999999999</v>
      </c>
      <c r="K1559">
        <v>1.1101299999999901</v>
      </c>
      <c r="L1559">
        <v>366.91340000000002</v>
      </c>
      <c r="M1559">
        <v>0.99987300000000001</v>
      </c>
      <c r="N1559">
        <v>-1.3874879999999999E-2</v>
      </c>
      <c r="O1559">
        <v>-7.8334619999999994E-3</v>
      </c>
      <c r="P1559">
        <v>0.98985369999999995</v>
      </c>
      <c r="Q1559">
        <v>0.11801499999999999</v>
      </c>
      <c r="R1559">
        <v>7.9135430000000007E-2</v>
      </c>
      <c r="S1559">
        <v>3.0628660000000001</v>
      </c>
      <c r="T1559">
        <v>1.8409489999999999E-3</v>
      </c>
      <c r="U1559">
        <v>-0.40631099999999998</v>
      </c>
      <c r="V1559">
        <v>-8.6862510000000004E-2</v>
      </c>
      <c r="W1559">
        <v>0.13174539999999901</v>
      </c>
      <c r="X1559">
        <v>0.98747050000000003</v>
      </c>
      <c r="Y1559">
        <v>0.1237361</v>
      </c>
      <c r="Z1559">
        <v>-9.3809310000000001E-4</v>
      </c>
      <c r="AA1559">
        <v>0.99231469999999999</v>
      </c>
      <c r="AB1559">
        <v>27</v>
      </c>
      <c r="AC1559">
        <v>112.66249999999999</v>
      </c>
      <c r="AD1559">
        <v>6.7631000000000205E-2</v>
      </c>
      <c r="AE1559">
        <v>-14.961600000000001</v>
      </c>
      <c r="AF1559">
        <v>14.0785134515056</v>
      </c>
      <c r="AG1559">
        <v>6.7631000000000205E-2</v>
      </c>
      <c r="AH1559">
        <v>112.776215098336</v>
      </c>
      <c r="AI1559">
        <v>89.965904822727495</v>
      </c>
      <c r="AJ1559">
        <v>82.884244856784093</v>
      </c>
      <c r="AK1559">
        <v>113.651589548332</v>
      </c>
      <c r="AL1559">
        <v>82.429535788044006</v>
      </c>
      <c r="AM1559">
        <v>95.027064487225303</v>
      </c>
      <c r="AN1559">
        <v>0.99999996721745399</v>
      </c>
    </row>
    <row r="1560" spans="1:40" x14ac:dyDescent="0.25">
      <c r="A1560" t="str">
        <f>"20190304154749323"</f>
        <v>20190304154749323</v>
      </c>
      <c r="B1560" t="str">
        <f>"1551685669318056"</f>
        <v>1551685669318056</v>
      </c>
      <c r="C1560" t="s">
        <v>40</v>
      </c>
      <c r="D1560">
        <v>4.4092969999999996</v>
      </c>
      <c r="E1560">
        <v>0.58020260000000001</v>
      </c>
      <c r="F1560" t="s">
        <v>43</v>
      </c>
      <c r="G1560">
        <v>-158.78319999999999</v>
      </c>
      <c r="H1560">
        <v>1.1643059999999901</v>
      </c>
      <c r="I1560">
        <v>351.9554</v>
      </c>
      <c r="J1560">
        <v>-271.29379999999998</v>
      </c>
      <c r="K1560">
        <v>1.110209</v>
      </c>
      <c r="L1560">
        <v>366.91210000000001</v>
      </c>
      <c r="M1560">
        <v>0.99987170000000003</v>
      </c>
      <c r="N1560">
        <v>-1.3945259999999999E-2</v>
      </c>
      <c r="O1560">
        <v>-7.8810400000000006E-3</v>
      </c>
      <c r="P1560">
        <v>0.98987559999999997</v>
      </c>
      <c r="Q1560">
        <v>0.11778370000000001</v>
      </c>
      <c r="R1560">
        <v>7.9204759999999999E-2</v>
      </c>
      <c r="S1560">
        <v>3.0630799999999998</v>
      </c>
      <c r="T1560">
        <v>1.475334E-3</v>
      </c>
      <c r="U1560">
        <v>-0.40667720000000002</v>
      </c>
      <c r="V1560">
        <v>-8.6979280000000006E-2</v>
      </c>
      <c r="W1560">
        <v>0.1315837</v>
      </c>
      <c r="X1560">
        <v>0.98748179999999997</v>
      </c>
      <c r="Y1560">
        <v>0.1237963</v>
      </c>
      <c r="Z1560">
        <v>-9.5053659999999997E-4</v>
      </c>
      <c r="AA1560">
        <v>0.99230719999999994</v>
      </c>
      <c r="AB1560">
        <v>27</v>
      </c>
      <c r="AC1560">
        <v>112.510599999999</v>
      </c>
      <c r="AD1560">
        <v>5.4096999999999798E-2</v>
      </c>
      <c r="AE1560">
        <v>-14.9567</v>
      </c>
      <c r="AF1560">
        <v>14.0694454488919</v>
      </c>
      <c r="AG1560">
        <v>5.4096999999999798E-2</v>
      </c>
      <c r="AH1560">
        <v>112.624965434142</v>
      </c>
      <c r="AI1560">
        <v>89.972691456663298</v>
      </c>
      <c r="AJ1560">
        <v>82.879329150675801</v>
      </c>
      <c r="AK1560">
        <v>113.500374716414</v>
      </c>
      <c r="AL1560">
        <v>82.438882017385396</v>
      </c>
      <c r="AM1560">
        <v>95.033730407002096</v>
      </c>
      <c r="AN1560">
        <v>0.99999998529312395</v>
      </c>
    </row>
    <row r="1561" spans="1:40" x14ac:dyDescent="0.25">
      <c r="A1561" t="str">
        <f>"20190304154749333"</f>
        <v>20190304154749333</v>
      </c>
      <c r="B1561" t="str">
        <f>"1551685669327816"</f>
        <v>1551685669327816</v>
      </c>
      <c r="C1561" t="s">
        <v>40</v>
      </c>
      <c r="D1561">
        <v>4.3072609999999996</v>
      </c>
      <c r="E1561">
        <v>0.58020260000000001</v>
      </c>
      <c r="F1561" t="s">
        <v>43</v>
      </c>
      <c r="G1561">
        <v>-158.78319999999999</v>
      </c>
      <c r="H1561">
        <v>1.1376630000000001</v>
      </c>
      <c r="I1561">
        <v>351.9658</v>
      </c>
      <c r="J1561">
        <v>-271.16699999999997</v>
      </c>
      <c r="K1561">
        <v>1.110271</v>
      </c>
      <c r="L1561">
        <v>366.91109999999998</v>
      </c>
      <c r="M1561">
        <v>0.9998707</v>
      </c>
      <c r="N1561">
        <v>-1.40021E-2</v>
      </c>
      <c r="O1561">
        <v>-7.9206559999999999E-3</v>
      </c>
      <c r="P1561">
        <v>0.98987559999999997</v>
      </c>
      <c r="Q1561">
        <v>0.1176229</v>
      </c>
      <c r="R1561">
        <v>7.9444059999999997E-2</v>
      </c>
      <c r="S1561">
        <v>3.0631409999999999</v>
      </c>
      <c r="T1561">
        <v>7.4982640000000001E-4</v>
      </c>
      <c r="U1561">
        <v>-0.40692139999999999</v>
      </c>
      <c r="V1561">
        <v>-8.7257360000000006E-2</v>
      </c>
      <c r="W1561">
        <v>0.13147929999999999</v>
      </c>
      <c r="X1561">
        <v>0.98747119999999999</v>
      </c>
      <c r="Y1561">
        <v>0.12383189999999999</v>
      </c>
      <c r="Z1561">
        <v>-9.6806870000000001E-4</v>
      </c>
      <c r="AA1561">
        <v>0.99230269999999998</v>
      </c>
      <c r="AB1561">
        <v>27</v>
      </c>
      <c r="AC1561">
        <v>112.38379999999999</v>
      </c>
      <c r="AD1561">
        <v>2.7391999999999798E-2</v>
      </c>
      <c r="AE1561">
        <v>-14.9452999999999</v>
      </c>
      <c r="AF1561">
        <v>14.054589671000199</v>
      </c>
      <c r="AG1561">
        <v>2.7391999999999798E-2</v>
      </c>
      <c r="AH1561">
        <v>112.498655561151</v>
      </c>
      <c r="AI1561">
        <v>89.986156815062003</v>
      </c>
      <c r="AJ1561">
        <v>82.878866175021102</v>
      </c>
      <c r="AK1561">
        <v>113.373187942337</v>
      </c>
      <c r="AL1561">
        <v>82.444916324276505</v>
      </c>
      <c r="AM1561">
        <v>95.049794510738494</v>
      </c>
      <c r="AN1561">
        <v>1.0000000120160399</v>
      </c>
    </row>
    <row r="1562" spans="1:40" x14ac:dyDescent="0.25">
      <c r="A1562" t="str">
        <f>"20190304154749343"</f>
        <v>20190304154749343</v>
      </c>
      <c r="B1562" t="str">
        <f>"1551685669337576"</f>
        <v>1551685669337576</v>
      </c>
      <c r="C1562" t="s">
        <v>40</v>
      </c>
      <c r="D1562">
        <v>4.4352910000000003</v>
      </c>
      <c r="E1562">
        <v>0.57921319999999998</v>
      </c>
      <c r="F1562" t="s">
        <v>43</v>
      </c>
      <c r="G1562">
        <v>-158.78319999999999</v>
      </c>
      <c r="H1562">
        <v>1.1203160000000001</v>
      </c>
      <c r="I1562">
        <v>352.00779999999997</v>
      </c>
      <c r="J1562">
        <v>-271.04610000000002</v>
      </c>
      <c r="K1562">
        <v>1.110322</v>
      </c>
      <c r="L1562">
        <v>366.9101</v>
      </c>
      <c r="M1562">
        <v>0.99986960000000003</v>
      </c>
      <c r="N1562">
        <v>-1.4051599999999999E-2</v>
      </c>
      <c r="O1562">
        <v>-7.9583150000000005E-3</v>
      </c>
      <c r="P1562">
        <v>0.98989000000000005</v>
      </c>
      <c r="Q1562">
        <v>0.11740349999999999</v>
      </c>
      <c r="R1562">
        <v>7.9587729999999995E-2</v>
      </c>
      <c r="S1562">
        <v>3.0632630000000001</v>
      </c>
      <c r="T1562">
        <v>2.7620789999999997E-4</v>
      </c>
      <c r="U1562">
        <v>-0.40621950000000001</v>
      </c>
      <c r="V1562">
        <v>-8.7438749999999996E-2</v>
      </c>
      <c r="W1562">
        <v>0.1313086</v>
      </c>
      <c r="X1562">
        <v>0.98747779999999996</v>
      </c>
      <c r="Y1562">
        <v>0.1235658</v>
      </c>
      <c r="Z1562">
        <v>-9.785035000000001E-4</v>
      </c>
      <c r="AA1562">
        <v>0.99233590000000005</v>
      </c>
      <c r="AB1562">
        <v>27</v>
      </c>
      <c r="AC1562">
        <v>112.2629</v>
      </c>
      <c r="AD1562">
        <v>9.9940000000000497E-3</v>
      </c>
      <c r="AE1562">
        <v>-14.9023</v>
      </c>
      <c r="AF1562">
        <v>14.008316136785</v>
      </c>
      <c r="AG1562">
        <v>9.9940000000000497E-3</v>
      </c>
      <c r="AH1562">
        <v>112.377952201274</v>
      </c>
      <c r="AI1562">
        <v>89.994943701997599</v>
      </c>
      <c r="AJ1562">
        <v>82.894526482320302</v>
      </c>
      <c r="AK1562">
        <v>113.247680602385</v>
      </c>
      <c r="AL1562">
        <v>82.454781736345396</v>
      </c>
      <c r="AM1562">
        <v>95.060203897384696</v>
      </c>
      <c r="AN1562">
        <v>0.99999994446417895</v>
      </c>
    </row>
    <row r="1563" spans="1:40" x14ac:dyDescent="0.25">
      <c r="A1563" t="str">
        <f>"20190304154749355"</f>
        <v>20190304154749355</v>
      </c>
      <c r="B1563" t="str">
        <f>"1551685669347843"</f>
        <v>1551685669347843</v>
      </c>
      <c r="C1563" t="s">
        <v>40</v>
      </c>
      <c r="D1563">
        <v>4.3104060000000004</v>
      </c>
      <c r="E1563">
        <v>0.57921319999999998</v>
      </c>
      <c r="F1563" t="s">
        <v>43</v>
      </c>
      <c r="G1563">
        <v>-169.2955</v>
      </c>
      <c r="H1563">
        <v>1.204426</v>
      </c>
      <c r="I1563">
        <v>353.69749999999999</v>
      </c>
      <c r="J1563">
        <v>-270.90620000000001</v>
      </c>
      <c r="K1563">
        <v>1.110382</v>
      </c>
      <c r="L1563">
        <v>366.90890000000002</v>
      </c>
      <c r="M1563">
        <v>0.9998686</v>
      </c>
      <c r="N1563">
        <v>-1.4106799999999999E-2</v>
      </c>
      <c r="O1563">
        <v>-8.002215E-3</v>
      </c>
      <c r="P1563">
        <v>0.98989959999999999</v>
      </c>
      <c r="Q1563">
        <v>0.11736480000000001</v>
      </c>
      <c r="R1563">
        <v>7.9527719999999996E-2</v>
      </c>
      <c r="S1563">
        <v>3.0622859999999998</v>
      </c>
      <c r="T1563">
        <v>2.834797E-3</v>
      </c>
      <c r="U1563">
        <v>-0.397644</v>
      </c>
      <c r="V1563">
        <v>-8.7422570000000005E-2</v>
      </c>
      <c r="W1563">
        <v>0.13132469999999999</v>
      </c>
      <c r="X1563">
        <v>0.9874771</v>
      </c>
      <c r="Y1563">
        <v>0.12083199999999999</v>
      </c>
      <c r="Z1563">
        <v>-9.1999550000000001E-4</v>
      </c>
      <c r="AA1563">
        <v>0.99267260000000002</v>
      </c>
      <c r="AB1563">
        <v>27</v>
      </c>
      <c r="AC1563">
        <v>101.61069999999999</v>
      </c>
      <c r="AD1563">
        <v>9.4044000000000003E-2</v>
      </c>
      <c r="AE1563">
        <v>-13.211399999999999</v>
      </c>
      <c r="AF1563">
        <v>12.3977749851701</v>
      </c>
      <c r="AG1563">
        <v>9.4044000000000003E-2</v>
      </c>
      <c r="AH1563">
        <v>101.713091248578</v>
      </c>
      <c r="AI1563">
        <v>89.947413495402202</v>
      </c>
      <c r="AJ1563">
        <v>83.050517485207706</v>
      </c>
      <c r="AK1563">
        <v>102.465928972504</v>
      </c>
      <c r="AL1563">
        <v>82.453851279651403</v>
      </c>
      <c r="AM1563">
        <v>95.059275965828704</v>
      </c>
      <c r="AN1563">
        <v>0.99999995279995102</v>
      </c>
    </row>
    <row r="1564" spans="1:40" x14ac:dyDescent="0.25">
      <c r="A1564" t="str">
        <f>"20190304154749366"</f>
        <v>20190304154749366</v>
      </c>
      <c r="B1564" t="str">
        <f>"1551685669357603"</f>
        <v>1551685669357603</v>
      </c>
      <c r="C1564" t="s">
        <v>40</v>
      </c>
      <c r="D1564">
        <v>4.334168</v>
      </c>
      <c r="E1564">
        <v>0.49328899999999998</v>
      </c>
      <c r="F1564" t="s">
        <v>43</v>
      </c>
      <c r="G1564">
        <v>-169.2955</v>
      </c>
      <c r="H1564">
        <v>1.196372</v>
      </c>
      <c r="I1564">
        <v>353.70729999999998</v>
      </c>
      <c r="J1564">
        <v>-270.76780000000002</v>
      </c>
      <c r="K1564">
        <v>1.1104339999999999</v>
      </c>
      <c r="L1564">
        <v>366.90769999999998</v>
      </c>
      <c r="M1564">
        <v>0.99986739999999996</v>
      </c>
      <c r="N1564">
        <v>-1.4157350000000001E-2</v>
      </c>
      <c r="O1564">
        <v>-8.0451289999999998E-3</v>
      </c>
      <c r="P1564">
        <v>0.98988149999999997</v>
      </c>
      <c r="Q1564">
        <v>0.1174497</v>
      </c>
      <c r="R1564">
        <v>7.9627160000000002E-2</v>
      </c>
      <c r="S1564">
        <v>3.0622560000000001</v>
      </c>
      <c r="T1564">
        <v>2.5941129999999999E-3</v>
      </c>
      <c r="U1564">
        <v>-0.39785769999999998</v>
      </c>
      <c r="V1564">
        <v>-8.7564130000000004E-2</v>
      </c>
      <c r="W1564">
        <v>0.1314594</v>
      </c>
      <c r="X1564">
        <v>0.98744670000000001</v>
      </c>
      <c r="Y1564">
        <v>0.1208587</v>
      </c>
      <c r="Z1564">
        <v>-9.2839089999999995E-4</v>
      </c>
      <c r="AA1564">
        <v>0.99266929999999998</v>
      </c>
      <c r="AB1564">
        <v>27</v>
      </c>
      <c r="AC1564">
        <v>101.4723</v>
      </c>
      <c r="AD1564">
        <v>8.5938000000000001E-2</v>
      </c>
      <c r="AE1564">
        <v>-13.2004</v>
      </c>
      <c r="AF1564">
        <v>12.3835244024733</v>
      </c>
      <c r="AG1564">
        <v>8.5938000000000001E-2</v>
      </c>
      <c r="AH1564">
        <v>101.57515336025401</v>
      </c>
      <c r="AI1564">
        <v>89.951881007631002</v>
      </c>
      <c r="AJ1564">
        <v>83.049093146470994</v>
      </c>
      <c r="AK1564">
        <v>102.327273207712</v>
      </c>
      <c r="AL1564">
        <v>82.446066539135501</v>
      </c>
      <c r="AM1564">
        <v>95.067580832112696</v>
      </c>
      <c r="AN1564">
        <v>1.0000000180259501</v>
      </c>
    </row>
    <row r="1565" spans="1:40" x14ac:dyDescent="0.25">
      <c r="A1565" t="str">
        <f>"20190304154749378"</f>
        <v>20190304154749378</v>
      </c>
      <c r="B1565" t="str">
        <f>"1551685669368340"</f>
        <v>1551685669368340</v>
      </c>
      <c r="C1565" t="s">
        <v>40</v>
      </c>
      <c r="D1565">
        <v>4.3189089999999997</v>
      </c>
      <c r="E1565">
        <v>0.48810500000000001</v>
      </c>
      <c r="F1565" t="s">
        <v>43</v>
      </c>
      <c r="G1565">
        <v>-158.19499999999999</v>
      </c>
      <c r="H1565">
        <v>0.52357200000000004</v>
      </c>
      <c r="I1565">
        <v>377.57979999999998</v>
      </c>
      <c r="J1565">
        <v>-270.64109999999999</v>
      </c>
      <c r="K1565">
        <v>1.1104769999999999</v>
      </c>
      <c r="L1565">
        <v>366.9067</v>
      </c>
      <c r="M1565">
        <v>0.99986649999999999</v>
      </c>
      <c r="N1565">
        <v>-1.420047E-2</v>
      </c>
      <c r="O1565">
        <v>-8.0845350000000003E-3</v>
      </c>
      <c r="P1565">
        <v>0.98989470000000002</v>
      </c>
      <c r="Q1565">
        <v>0.11746180000000001</v>
      </c>
      <c r="R1565">
        <v>7.9444680000000004E-2</v>
      </c>
      <c r="S1565">
        <v>3.0095519999999998</v>
      </c>
      <c r="T1565">
        <v>-1.5686990000000001E-2</v>
      </c>
      <c r="U1565">
        <v>0.28530879999999997</v>
      </c>
      <c r="V1565">
        <v>-8.7420830000000005E-2</v>
      </c>
      <c r="W1565">
        <v>0.131514299999999</v>
      </c>
      <c r="X1565">
        <v>0.98745210000000005</v>
      </c>
      <c r="Y1565">
        <v>-0.1024186</v>
      </c>
      <c r="Z1565">
        <v>9.2270700000000004E-4</v>
      </c>
      <c r="AA1565">
        <v>0.99474099999999999</v>
      </c>
      <c r="AB1565">
        <v>27</v>
      </c>
      <c r="AC1565">
        <v>112.4461</v>
      </c>
      <c r="AD1565">
        <v>-0.58690499999999901</v>
      </c>
      <c r="AE1565">
        <v>10.6730999999999</v>
      </c>
      <c r="AF1565">
        <v>-11.581604523865</v>
      </c>
      <c r="AG1565">
        <v>-0.58690499999999901</v>
      </c>
      <c r="AH1565">
        <v>112.353095277406</v>
      </c>
      <c r="AI1565">
        <v>90.297718807560102</v>
      </c>
      <c r="AJ1565">
        <v>95.8853879634609</v>
      </c>
      <c r="AK1565">
        <v>112.94997139990799</v>
      </c>
      <c r="AL1565">
        <v>82.442893552086602</v>
      </c>
      <c r="AM1565">
        <v>95.059303213849603</v>
      </c>
      <c r="AN1565">
        <v>1.0000000312083901</v>
      </c>
    </row>
    <row r="1566" spans="1:40" x14ac:dyDescent="0.25">
      <c r="A1566" t="str">
        <f>"20190304154749389"</f>
        <v>20190304154749389</v>
      </c>
      <c r="B1566" t="str">
        <f>"1551685669378099"</f>
        <v>1551685669378099</v>
      </c>
      <c r="C1566" t="s">
        <v>40</v>
      </c>
      <c r="D1566">
        <v>4.2878489999999996</v>
      </c>
      <c r="E1566">
        <v>0.48656519999999998</v>
      </c>
      <c r="F1566" t="s">
        <v>43</v>
      </c>
      <c r="G1566">
        <v>-158.19499999999999</v>
      </c>
      <c r="H1566">
        <v>0.1894932</v>
      </c>
      <c r="I1566">
        <v>379.08510000000001</v>
      </c>
      <c r="J1566">
        <v>-270.50209999999998</v>
      </c>
      <c r="K1566">
        <v>1.110519</v>
      </c>
      <c r="L1566">
        <v>366.90550000000002</v>
      </c>
      <c r="M1566">
        <v>0.99986549999999996</v>
      </c>
      <c r="N1566">
        <v>-1.424536E-2</v>
      </c>
      <c r="O1566">
        <v>-8.1277699999999994E-3</v>
      </c>
      <c r="P1566">
        <v>0.98990140000000004</v>
      </c>
      <c r="Q1566">
        <v>0.117677</v>
      </c>
      <c r="R1566">
        <v>7.9041509999999995E-2</v>
      </c>
      <c r="S1566">
        <v>3.0074160000000001</v>
      </c>
      <c r="T1566">
        <v>-2.4629709999999999E-2</v>
      </c>
      <c r="U1566">
        <v>0.32571409999999901</v>
      </c>
      <c r="V1566">
        <v>-8.7059929999999994E-2</v>
      </c>
      <c r="W1566">
        <v>0.13177420000000001</v>
      </c>
      <c r="X1566">
        <v>0.98744929999999997</v>
      </c>
      <c r="Y1566">
        <v>-0.115741</v>
      </c>
      <c r="Z1566">
        <v>1.250354E-3</v>
      </c>
      <c r="AA1566">
        <v>0.99327860000000001</v>
      </c>
      <c r="AB1566">
        <v>27</v>
      </c>
      <c r="AC1566">
        <v>112.30710000000001</v>
      </c>
      <c r="AD1566">
        <v>-0.92102580000000001</v>
      </c>
      <c r="AE1566">
        <v>12.179599999999899</v>
      </c>
      <c r="AF1566">
        <v>-13.091226296912099</v>
      </c>
      <c r="AG1566">
        <v>-0.92102580000000001</v>
      </c>
      <c r="AH1566">
        <v>112.19692844599901</v>
      </c>
      <c r="AI1566">
        <v>90.467161935681403</v>
      </c>
      <c r="AJ1566">
        <v>96.655223411113496</v>
      </c>
      <c r="AK1566">
        <v>112.961848635713</v>
      </c>
      <c r="AL1566">
        <v>82.427871373173105</v>
      </c>
      <c r="AM1566">
        <v>95.0385388060824</v>
      </c>
      <c r="AN1566">
        <v>0.99999999563386699</v>
      </c>
    </row>
    <row r="1567" spans="1:40" x14ac:dyDescent="0.25">
      <c r="A1567" t="str">
        <f>"20190304154749403"</f>
        <v>20190304154749403</v>
      </c>
      <c r="B1567" t="str">
        <f>"1551685669398596"</f>
        <v>1551685669398596</v>
      </c>
      <c r="C1567" t="s">
        <v>40</v>
      </c>
      <c r="D1567">
        <v>4.2721470000000004</v>
      </c>
      <c r="E1567">
        <v>0.48471219999999998</v>
      </c>
      <c r="F1567" t="s">
        <v>43</v>
      </c>
      <c r="G1567">
        <v>-158.19499999999999</v>
      </c>
      <c r="H1567">
        <v>0.1060905</v>
      </c>
      <c r="I1567">
        <v>379.49509999999998</v>
      </c>
      <c r="J1567">
        <v>-270.34429999999998</v>
      </c>
      <c r="K1567">
        <v>1.1105609999999999</v>
      </c>
      <c r="L1567">
        <v>366.9042</v>
      </c>
      <c r="M1567">
        <v>0.99986450000000004</v>
      </c>
      <c r="N1567">
        <v>-1.4291460000000001E-2</v>
      </c>
      <c r="O1567">
        <v>-8.1769730000000006E-3</v>
      </c>
      <c r="P1567">
        <v>0.98989079999999996</v>
      </c>
      <c r="Q1567">
        <v>0.1180668</v>
      </c>
      <c r="R1567">
        <v>7.8590900000000005E-2</v>
      </c>
      <c r="S1567">
        <v>3.006866</v>
      </c>
      <c r="T1567">
        <v>-2.6889799999999998E-2</v>
      </c>
      <c r="U1567">
        <v>0.3370667</v>
      </c>
      <c r="V1567">
        <v>-8.6657949999999997E-2</v>
      </c>
      <c r="W1567">
        <v>0.13220860000000001</v>
      </c>
      <c r="X1567">
        <v>0.98742660000000004</v>
      </c>
      <c r="Y1567">
        <v>-0.1195119</v>
      </c>
      <c r="Z1567">
        <v>1.3458729999999901E-3</v>
      </c>
      <c r="AA1567">
        <v>0.99283180000000004</v>
      </c>
      <c r="AB1567">
        <v>27</v>
      </c>
      <c r="AC1567">
        <v>112.149299999999</v>
      </c>
      <c r="AD1567">
        <v>-1.0044705</v>
      </c>
      <c r="AE1567">
        <v>12.5908999999999</v>
      </c>
      <c r="AF1567">
        <v>-13.5065443754344</v>
      </c>
      <c r="AG1567">
        <v>-1.0044705</v>
      </c>
      <c r="AH1567">
        <v>112.033708454784</v>
      </c>
      <c r="AI1567">
        <v>90.509995438617395</v>
      </c>
      <c r="AJ1567">
        <v>96.874280739085904</v>
      </c>
      <c r="AK1567">
        <v>112.84940200144</v>
      </c>
      <c r="AL1567">
        <v>82.402762455327505</v>
      </c>
      <c r="AM1567">
        <v>95.015508108320105</v>
      </c>
      <c r="AN1567">
        <v>1.0000000022998601</v>
      </c>
    </row>
    <row r="1568" spans="1:40" x14ac:dyDescent="0.25">
      <c r="A1568" t="str">
        <f>"20190304154749422"</f>
        <v>20190304154749422</v>
      </c>
      <c r="B1568" t="str">
        <f>"1551685669418115"</f>
        <v>1551685669418115</v>
      </c>
      <c r="C1568" t="s">
        <v>40</v>
      </c>
      <c r="D1568">
        <v>4.2864649999999997</v>
      </c>
      <c r="E1568">
        <v>0.48442429999999997</v>
      </c>
      <c r="F1568" t="s">
        <v>45</v>
      </c>
      <c r="G1568">
        <v>-156.17349999999999</v>
      </c>
      <c r="H1568">
        <v>-0.05</v>
      </c>
      <c r="I1568">
        <v>380.21780000000001</v>
      </c>
      <c r="J1568">
        <v>-270.11320000000001</v>
      </c>
      <c r="K1568">
        <v>1.110617</v>
      </c>
      <c r="L1568">
        <v>366.90219999999999</v>
      </c>
      <c r="M1568">
        <v>0.99986299999999995</v>
      </c>
      <c r="N1568">
        <v>-1.435343E-2</v>
      </c>
      <c r="O1568">
        <v>-8.2491769999999999E-3</v>
      </c>
      <c r="P1568">
        <v>0.9898787</v>
      </c>
      <c r="Q1568">
        <v>0.1185837</v>
      </c>
      <c r="R1568">
        <v>7.7962370000000003E-2</v>
      </c>
      <c r="S1568">
        <v>3.0064389999999999</v>
      </c>
      <c r="T1568">
        <v>-3.0560850000000001E-2</v>
      </c>
      <c r="U1568">
        <v>0.35058590000000001</v>
      </c>
      <c r="V1568">
        <v>-8.6101280000000002E-2</v>
      </c>
      <c r="W1568">
        <v>0.1327866</v>
      </c>
      <c r="X1568">
        <v>0.98739770000000004</v>
      </c>
      <c r="Y1568">
        <v>-0.124002</v>
      </c>
      <c r="Z1568">
        <v>1.4867159999999999E-3</v>
      </c>
      <c r="AA1568">
        <v>0.99228079999999996</v>
      </c>
      <c r="AB1568">
        <v>27</v>
      </c>
      <c r="AC1568">
        <v>113.9397</v>
      </c>
      <c r="AD1568">
        <v>-1.160617</v>
      </c>
      <c r="AE1568">
        <v>13.3156</v>
      </c>
      <c r="AF1568">
        <v>-14.253693360366601</v>
      </c>
      <c r="AG1568">
        <v>-1.160617</v>
      </c>
      <c r="AH1568">
        <v>113.81431814579901</v>
      </c>
      <c r="AI1568">
        <v>90.579722959282805</v>
      </c>
      <c r="AJ1568">
        <v>97.138351255456001</v>
      </c>
      <c r="AK1568">
        <v>114.709257783429</v>
      </c>
      <c r="AL1568">
        <v>82.369350627553999</v>
      </c>
      <c r="AM1568">
        <v>94.983597571231101</v>
      </c>
      <c r="AN1568">
        <v>0.99999996476124298</v>
      </c>
    </row>
    <row r="1569" spans="1:40" x14ac:dyDescent="0.25">
      <c r="A1569" t="str">
        <f>"20190304154749435"</f>
        <v>20190304154749435</v>
      </c>
      <c r="B1569" t="str">
        <f>"1551685669427874"</f>
        <v>1551685669427874</v>
      </c>
      <c r="C1569" t="s">
        <v>40</v>
      </c>
      <c r="D1569">
        <v>4.235957</v>
      </c>
      <c r="E1569">
        <v>0.48421839999999999</v>
      </c>
      <c r="F1569" t="s">
        <v>53</v>
      </c>
      <c r="G1569">
        <v>-180.21510000000001</v>
      </c>
      <c r="H1569">
        <v>6.4111799999999997E-2</v>
      </c>
      <c r="I1569">
        <v>377.38639999999998</v>
      </c>
      <c r="J1569">
        <v>-269.9579</v>
      </c>
      <c r="K1569">
        <v>1.110649</v>
      </c>
      <c r="L1569">
        <v>366.90089999999998</v>
      </c>
      <c r="M1569">
        <v>0.99986209999999998</v>
      </c>
      <c r="N1569">
        <v>-1.4391309999999999E-2</v>
      </c>
      <c r="O1569">
        <v>-8.2977250000000006E-3</v>
      </c>
      <c r="P1569">
        <v>0.98985389999999995</v>
      </c>
      <c r="Q1569">
        <v>0.1190006</v>
      </c>
      <c r="R1569">
        <v>7.7642699999999995E-2</v>
      </c>
      <c r="S1569">
        <v>3.0072019999999999</v>
      </c>
      <c r="T1569">
        <v>-3.5006879999999997E-2</v>
      </c>
      <c r="U1569">
        <v>0.35070800000000002</v>
      </c>
      <c r="V1569">
        <v>-8.5829039999999995E-2</v>
      </c>
      <c r="W1569">
        <v>0.13323989999999999</v>
      </c>
      <c r="X1569">
        <v>0.98736040000000003</v>
      </c>
      <c r="Y1569">
        <v>-0.1240576</v>
      </c>
      <c r="Z1569">
        <v>1.592689E-3</v>
      </c>
      <c r="AA1569">
        <v>0.99227370000000004</v>
      </c>
      <c r="AB1569">
        <v>27</v>
      </c>
      <c r="AC1569">
        <v>89.742799999999903</v>
      </c>
      <c r="AD1569">
        <v>-1.0465371999999999</v>
      </c>
      <c r="AE1569">
        <v>10.4855</v>
      </c>
      <c r="AF1569">
        <v>-11.228370684272599</v>
      </c>
      <c r="AG1569">
        <v>-1.0465371999999999</v>
      </c>
      <c r="AH1569">
        <v>89.640668863950197</v>
      </c>
      <c r="AI1569">
        <v>90.663700580537693</v>
      </c>
      <c r="AJ1569">
        <v>97.139671328967793</v>
      </c>
      <c r="AK1569">
        <v>90.347224986220795</v>
      </c>
      <c r="AL1569">
        <v>82.343146079960107</v>
      </c>
      <c r="AM1569">
        <v>94.9681058627325</v>
      </c>
      <c r="AN1569">
        <v>1.0000000272737399</v>
      </c>
    </row>
    <row r="1570" spans="1:40" x14ac:dyDescent="0.25">
      <c r="A1570" t="str">
        <f>"20190304154749446"</f>
        <v>20190304154749446</v>
      </c>
      <c r="B1570" t="str">
        <f>"1551685669437635"</f>
        <v>1551685669437635</v>
      </c>
      <c r="C1570" t="s">
        <v>40</v>
      </c>
      <c r="D1570">
        <v>4.1805620000000001</v>
      </c>
      <c r="E1570">
        <v>0.48398020000000003</v>
      </c>
      <c r="F1570" t="s">
        <v>53</v>
      </c>
      <c r="G1570">
        <v>-184.05070000000001</v>
      </c>
      <c r="H1570" s="1">
        <v>-7.1435869999999999E-6</v>
      </c>
      <c r="I1570">
        <v>376.93389999999999</v>
      </c>
      <c r="J1570">
        <v>-269.81540000000001</v>
      </c>
      <c r="K1570">
        <v>1.110676</v>
      </c>
      <c r="L1570">
        <v>366.89960000000002</v>
      </c>
      <c r="M1570">
        <v>0.99986120000000001</v>
      </c>
      <c r="N1570">
        <v>-1.4422920000000001E-2</v>
      </c>
      <c r="O1570">
        <v>-8.3422949999999996E-3</v>
      </c>
      <c r="P1570">
        <v>0.9897958</v>
      </c>
      <c r="Q1570">
        <v>0.1195551</v>
      </c>
      <c r="R1570">
        <v>7.7530260000000004E-2</v>
      </c>
      <c r="S1570">
        <v>3.0078740000000002</v>
      </c>
      <c r="T1570">
        <v>-3.8887499999999998E-2</v>
      </c>
      <c r="U1570">
        <v>0.35128779999999998</v>
      </c>
      <c r="V1570">
        <v>-8.5760069999999994E-2</v>
      </c>
      <c r="W1570">
        <v>0.1338249</v>
      </c>
      <c r="X1570">
        <v>0.98728720000000003</v>
      </c>
      <c r="Y1570">
        <v>-0.124261999999999</v>
      </c>
      <c r="Z1570">
        <v>1.6873719999999999E-3</v>
      </c>
      <c r="AA1570">
        <v>0.99224800000000002</v>
      </c>
      <c r="AB1570">
        <v>27</v>
      </c>
      <c r="AC1570">
        <v>85.764700000000005</v>
      </c>
      <c r="AD1570">
        <v>-1.1106831435869999</v>
      </c>
      <c r="AE1570">
        <v>10.034299999999901</v>
      </c>
      <c r="AF1570">
        <v>-10.747721425169299</v>
      </c>
      <c r="AG1570">
        <v>-1.1106831435869999</v>
      </c>
      <c r="AH1570">
        <v>85.663824364870706</v>
      </c>
      <c r="AI1570">
        <v>90.737054941862795</v>
      </c>
      <c r="AJ1570">
        <v>97.151188038262404</v>
      </c>
      <c r="AK1570">
        <v>86.342561565510195</v>
      </c>
      <c r="AL1570">
        <v>82.309324600367603</v>
      </c>
      <c r="AM1570">
        <v>94.964499792095694</v>
      </c>
      <c r="AN1570">
        <v>0.99999995437512601</v>
      </c>
    </row>
    <row r="1571" spans="1:40" x14ac:dyDescent="0.25">
      <c r="A1571" t="str">
        <f>"20190304154749458"</f>
        <v>20190304154749458</v>
      </c>
      <c r="B1571" t="str">
        <f>"1551685669447903"</f>
        <v>1551685669447903</v>
      </c>
      <c r="C1571" t="s">
        <v>40</v>
      </c>
      <c r="D1571">
        <v>4.2624370000000003</v>
      </c>
      <c r="E1571">
        <v>0.48397069999999998</v>
      </c>
      <c r="F1571" t="s">
        <v>53</v>
      </c>
      <c r="G1571">
        <v>-191.24799999999999</v>
      </c>
      <c r="H1571" s="1">
        <v>-1.27717E-5</v>
      </c>
      <c r="I1571">
        <v>376.11520000000002</v>
      </c>
      <c r="J1571">
        <v>-269.68790000000001</v>
      </c>
      <c r="K1571">
        <v>1.110703</v>
      </c>
      <c r="L1571">
        <v>366.89850000000001</v>
      </c>
      <c r="M1571">
        <v>0.99986059999999999</v>
      </c>
      <c r="N1571">
        <v>-1.444909E-2</v>
      </c>
      <c r="O1571">
        <v>-8.3820609999999997E-3</v>
      </c>
      <c r="P1571">
        <v>0.98976719999999896</v>
      </c>
      <c r="Q1571">
        <v>0.12002069999999999</v>
      </c>
      <c r="R1571">
        <v>7.7176930000000005E-2</v>
      </c>
      <c r="S1571">
        <v>3.0084230000000001</v>
      </c>
      <c r="T1571">
        <v>-4.2529339999999999E-2</v>
      </c>
      <c r="U1571">
        <v>0.35287479999999999</v>
      </c>
      <c r="V1571">
        <v>-8.5445980000000005E-2</v>
      </c>
      <c r="W1571">
        <v>0.13431589999999999</v>
      </c>
      <c r="X1571">
        <v>0.98724780000000001</v>
      </c>
      <c r="Y1571">
        <v>-0.12479369999999999</v>
      </c>
      <c r="Z1571">
        <v>1.7812329999999999E-3</v>
      </c>
      <c r="AA1571">
        <v>0.99218110000000004</v>
      </c>
      <c r="AB1571">
        <v>27</v>
      </c>
      <c r="AC1571">
        <v>78.439899999999994</v>
      </c>
      <c r="AD1571">
        <v>-1.1107157717</v>
      </c>
      <c r="AE1571">
        <v>9.2166999999999994</v>
      </c>
      <c r="AF1571">
        <v>-9.8719802811894297</v>
      </c>
      <c r="AG1571">
        <v>-1.1107157717</v>
      </c>
      <c r="AH1571">
        <v>78.344386071829206</v>
      </c>
      <c r="AI1571">
        <v>90.805876135581499</v>
      </c>
      <c r="AJ1571">
        <v>97.181846734906401</v>
      </c>
      <c r="AK1571">
        <v>78.971719705028093</v>
      </c>
      <c r="AL1571">
        <v>82.280936409285303</v>
      </c>
      <c r="AM1571">
        <v>94.946604471683997</v>
      </c>
      <c r="AN1571">
        <v>0.99999999754790503</v>
      </c>
    </row>
    <row r="1572" spans="1:40" x14ac:dyDescent="0.25">
      <c r="A1572" t="str">
        <f>"20190304154749468"</f>
        <v>20190304154749468</v>
      </c>
      <c r="B1572" t="str">
        <f>"1551685669457662"</f>
        <v>1551685669457662</v>
      </c>
      <c r="C1572" t="s">
        <v>40</v>
      </c>
      <c r="D1572">
        <v>4.2641349999999996</v>
      </c>
      <c r="E1572">
        <v>0.48389460000000001</v>
      </c>
      <c r="F1572" t="s">
        <v>53</v>
      </c>
      <c r="G1572">
        <v>-188.68879999999999</v>
      </c>
      <c r="H1572" s="1">
        <v>-8.9104409999999906E-6</v>
      </c>
      <c r="I1572">
        <v>376.37329999999997</v>
      </c>
      <c r="J1572">
        <v>-269.56119999999999</v>
      </c>
      <c r="K1572">
        <v>1.110724</v>
      </c>
      <c r="L1572">
        <v>366.8974</v>
      </c>
      <c r="M1572">
        <v>0.99985979999999997</v>
      </c>
      <c r="N1572">
        <v>-1.4473690000000001E-2</v>
      </c>
      <c r="O1572">
        <v>-8.4213380000000004E-3</v>
      </c>
      <c r="P1572">
        <v>0.98972780000000005</v>
      </c>
      <c r="Q1572">
        <v>0.1204351</v>
      </c>
      <c r="R1572">
        <v>7.7034790000000006E-2</v>
      </c>
      <c r="S1572">
        <v>3.0086059999999999</v>
      </c>
      <c r="T1572">
        <v>-4.125595E-2</v>
      </c>
      <c r="U1572">
        <v>0.35192869999999998</v>
      </c>
      <c r="V1572">
        <v>-8.5342470000000004E-2</v>
      </c>
      <c r="W1572">
        <v>0.13475390000000001</v>
      </c>
      <c r="X1572">
        <v>0.98719710000000005</v>
      </c>
      <c r="Y1572">
        <v>-0.124519</v>
      </c>
      <c r="Z1572">
        <v>1.7487500000000001E-3</v>
      </c>
      <c r="AA1572">
        <v>0.99221570000000003</v>
      </c>
      <c r="AB1572">
        <v>26</v>
      </c>
      <c r="AC1572">
        <v>80.872399999999999</v>
      </c>
      <c r="AD1572">
        <v>-1.110732910441</v>
      </c>
      <c r="AE1572">
        <v>9.4758999999999602</v>
      </c>
      <c r="AF1572">
        <v>-10.1547994748418</v>
      </c>
      <c r="AG1572">
        <v>-1.110732910441</v>
      </c>
      <c r="AH1572">
        <v>80.774693088489201</v>
      </c>
      <c r="AI1572">
        <v>90.781672541070094</v>
      </c>
      <c r="AJ1572">
        <v>97.165494918165805</v>
      </c>
      <c r="AK1572">
        <v>81.418085973033101</v>
      </c>
      <c r="AL1572">
        <v>82.255610889494903</v>
      </c>
      <c r="AM1572">
        <v>94.940894273887494</v>
      </c>
      <c r="AN1572">
        <v>1.0000000324996601</v>
      </c>
    </row>
    <row r="1573" spans="1:40" x14ac:dyDescent="0.25">
      <c r="A1573" t="str">
        <f>"20190304154749480"</f>
        <v>20190304154749480</v>
      </c>
      <c r="B1573" t="str">
        <f>"1551685669468398"</f>
        <v>1551685669468398</v>
      </c>
      <c r="C1573" t="s">
        <v>40</v>
      </c>
      <c r="D1573">
        <v>4.2966439999999997</v>
      </c>
      <c r="E1573">
        <v>0.48375750000000001</v>
      </c>
      <c r="F1573" t="s">
        <v>53</v>
      </c>
      <c r="G1573">
        <v>-187.3372</v>
      </c>
      <c r="H1573" s="1">
        <v>-8.3982879999999994E-6</v>
      </c>
      <c r="I1573">
        <v>376.51769999999999</v>
      </c>
      <c r="J1573">
        <v>-269.43340000000001</v>
      </c>
      <c r="K1573">
        <v>1.1107419999999999</v>
      </c>
      <c r="L1573">
        <v>366.8963</v>
      </c>
      <c r="M1573">
        <v>0.99985930000000001</v>
      </c>
      <c r="N1573">
        <v>-1.449635E-2</v>
      </c>
      <c r="O1573">
        <v>-8.4614340000000003E-3</v>
      </c>
      <c r="P1573">
        <v>0.98970239999999998</v>
      </c>
      <c r="Q1573">
        <v>0.12071659999999999</v>
      </c>
      <c r="R1573">
        <v>7.6922190000000001E-2</v>
      </c>
      <c r="S1573">
        <v>3.0086979999999999</v>
      </c>
      <c r="T1573">
        <v>-4.0643329999999998E-2</v>
      </c>
      <c r="U1573">
        <v>0.35202030000000001</v>
      </c>
      <c r="V1573">
        <v>-8.5268780000000002E-2</v>
      </c>
      <c r="W1573">
        <v>0.13505719999999999</v>
      </c>
      <c r="X1573">
        <v>0.98716199999999998</v>
      </c>
      <c r="Y1573">
        <v>-0.1245856</v>
      </c>
      <c r="Z1573">
        <v>1.736497E-3</v>
      </c>
      <c r="AA1573">
        <v>0.99220730000000001</v>
      </c>
      <c r="AB1573">
        <v>26</v>
      </c>
      <c r="AC1573">
        <v>82.096199999999996</v>
      </c>
      <c r="AD1573">
        <v>-1.11075039828799</v>
      </c>
      <c r="AE1573">
        <v>9.6213999999999906</v>
      </c>
      <c r="AF1573">
        <v>-10.313917492213101</v>
      </c>
      <c r="AG1573">
        <v>-1.11075039828799</v>
      </c>
      <c r="AH1573">
        <v>81.997034298063397</v>
      </c>
      <c r="AI1573">
        <v>90.770027242380806</v>
      </c>
      <c r="AJ1573">
        <v>97.169242629039204</v>
      </c>
      <c r="AK1573">
        <v>82.650615812353493</v>
      </c>
      <c r="AL1573">
        <v>82.238072603665103</v>
      </c>
      <c r="AM1573">
        <v>94.936823752649502</v>
      </c>
      <c r="AN1573">
        <v>1.0000000131792599</v>
      </c>
    </row>
    <row r="1574" spans="1:40" x14ac:dyDescent="0.25">
      <c r="A1574" t="str">
        <f>"20190304154749490"</f>
        <v>20190304154749490</v>
      </c>
      <c r="B1574" t="str">
        <f>"1551685669487918"</f>
        <v>1551685669487918</v>
      </c>
      <c r="C1574" t="s">
        <v>40</v>
      </c>
      <c r="D1574">
        <v>4.2582959999999996</v>
      </c>
      <c r="E1574">
        <v>0.48344019999999999</v>
      </c>
      <c r="F1574" t="s">
        <v>53</v>
      </c>
      <c r="G1574">
        <v>-188.49760000000001</v>
      </c>
      <c r="H1574" s="1">
        <v>-8.8374399999999904E-6</v>
      </c>
      <c r="I1574">
        <v>376.39760000000001</v>
      </c>
      <c r="J1574">
        <v>-269.29849999999999</v>
      </c>
      <c r="K1574">
        <v>1.110762</v>
      </c>
      <c r="L1574">
        <v>366.89510000000001</v>
      </c>
      <c r="M1574">
        <v>0.99985849999999998</v>
      </c>
      <c r="N1574">
        <v>-1.451948E-2</v>
      </c>
      <c r="O1574">
        <v>-8.5036799999999996E-3</v>
      </c>
      <c r="P1574">
        <v>0.98971209999999998</v>
      </c>
      <c r="Q1574">
        <v>0.12072620000000001</v>
      </c>
      <c r="R1574">
        <v>7.6782950000000003E-2</v>
      </c>
      <c r="S1574">
        <v>3.0087890000000002</v>
      </c>
      <c r="T1574">
        <v>-4.1292189999999999E-2</v>
      </c>
      <c r="U1574">
        <v>0.35321039999999998</v>
      </c>
      <c r="V1574">
        <v>-8.5171910000000003E-2</v>
      </c>
      <c r="W1574">
        <v>0.135089299999999</v>
      </c>
      <c r="X1574">
        <v>0.98716590000000004</v>
      </c>
      <c r="Y1574">
        <v>-0.1250105</v>
      </c>
      <c r="Z1574">
        <v>1.758896E-3</v>
      </c>
      <c r="AA1574">
        <v>0.99215390000000003</v>
      </c>
      <c r="AB1574">
        <v>26</v>
      </c>
      <c r="AC1574">
        <v>80.800899999999899</v>
      </c>
      <c r="AD1574">
        <v>-1.11077083744</v>
      </c>
      <c r="AE1574">
        <v>9.5024999999999906</v>
      </c>
      <c r="AF1574">
        <v>-10.187434769730601</v>
      </c>
      <c r="AG1574">
        <v>-1.11077083744</v>
      </c>
      <c r="AH1574">
        <v>80.702120083367603</v>
      </c>
      <c r="AI1574">
        <v>90.782351903082002</v>
      </c>
      <c r="AJ1574">
        <v>97.194679239596297</v>
      </c>
      <c r="AK1574">
        <v>81.350167946913899</v>
      </c>
      <c r="AL1574">
        <v>82.236215855245007</v>
      </c>
      <c r="AM1574">
        <v>94.931223535895597</v>
      </c>
      <c r="AN1574">
        <v>0.99999994367517198</v>
      </c>
    </row>
    <row r="1575" spans="1:40" x14ac:dyDescent="0.25">
      <c r="A1575" t="str">
        <f>"20190304154749501"</f>
        <v>20190304154749501</v>
      </c>
      <c r="B1575" t="str">
        <f>"1551685669497678"</f>
        <v>1551685669497678</v>
      </c>
      <c r="C1575" t="s">
        <v>40</v>
      </c>
      <c r="D1575">
        <v>4.2107489999999999</v>
      </c>
      <c r="E1575">
        <v>0.48323769999999999</v>
      </c>
      <c r="F1575" t="s">
        <v>53</v>
      </c>
      <c r="G1575">
        <v>-192.1568</v>
      </c>
      <c r="H1575" s="1">
        <v>-1.247212E-5</v>
      </c>
      <c r="I1575">
        <v>376.00150000000002</v>
      </c>
      <c r="J1575">
        <v>-269.17259999999999</v>
      </c>
      <c r="K1575">
        <v>1.110778</v>
      </c>
      <c r="L1575">
        <v>366.89400000000001</v>
      </c>
      <c r="M1575">
        <v>0.99985780000000002</v>
      </c>
      <c r="N1575">
        <v>-1.453833E-2</v>
      </c>
      <c r="O1575">
        <v>-8.5431499999999994E-3</v>
      </c>
      <c r="P1575">
        <v>0.98971869999999995</v>
      </c>
      <c r="Q1575">
        <v>0.1206661</v>
      </c>
      <c r="R1575">
        <v>7.6789099999999999E-2</v>
      </c>
      <c r="S1575">
        <v>3.0089109999999999</v>
      </c>
      <c r="T1575">
        <v>-4.3325780000000001E-2</v>
      </c>
      <c r="U1575">
        <v>0.35519410000000001</v>
      </c>
      <c r="V1575">
        <v>-8.5217109999999999E-2</v>
      </c>
      <c r="W1575">
        <v>0.13504820000000001</v>
      </c>
      <c r="X1575">
        <v>0.98716769999999998</v>
      </c>
      <c r="Y1575">
        <v>-0.1256883</v>
      </c>
      <c r="Z1575">
        <v>1.8175089999999999E-3</v>
      </c>
      <c r="AA1575">
        <v>0.99206810000000001</v>
      </c>
      <c r="AB1575">
        <v>26</v>
      </c>
      <c r="AC1575">
        <v>77.015799999999899</v>
      </c>
      <c r="AD1575">
        <v>-1.1107904721199999</v>
      </c>
      <c r="AE1575">
        <v>9.1075000000000106</v>
      </c>
      <c r="AF1575">
        <v>-9.7631917258236491</v>
      </c>
      <c r="AG1575">
        <v>-1.1107904721199999</v>
      </c>
      <c r="AH1575">
        <v>76.919393792728997</v>
      </c>
      <c r="AI1575">
        <v>90.820764803668496</v>
      </c>
      <c r="AJ1575">
        <v>97.233732939939102</v>
      </c>
      <c r="AK1575">
        <v>77.544483424606398</v>
      </c>
      <c r="AL1575">
        <v>82.238593087226207</v>
      </c>
      <c r="AM1575">
        <v>94.933818627614897</v>
      </c>
      <c r="AN1575">
        <v>1.0000000200416399</v>
      </c>
    </row>
    <row r="1576" spans="1:40" x14ac:dyDescent="0.25">
      <c r="A1576" t="str">
        <f>"20190304154749512"</f>
        <v>20190304154749512</v>
      </c>
      <c r="B1576" t="str">
        <f>"1551685669508414"</f>
        <v>1551685669508414</v>
      </c>
      <c r="C1576" t="s">
        <v>40</v>
      </c>
      <c r="D1576">
        <v>4.2677699999999996</v>
      </c>
      <c r="E1576">
        <v>0.48309560000000001</v>
      </c>
      <c r="F1576" t="s">
        <v>53</v>
      </c>
      <c r="G1576">
        <v>-196.85659999999999</v>
      </c>
      <c r="H1576" s="1">
        <v>-1.084139E-5</v>
      </c>
      <c r="I1576">
        <v>375.4735</v>
      </c>
      <c r="J1576">
        <v>-269.04750000000001</v>
      </c>
      <c r="K1576">
        <v>1.1107940000000001</v>
      </c>
      <c r="L1576">
        <v>366.8929</v>
      </c>
      <c r="M1576">
        <v>0.9998572</v>
      </c>
      <c r="N1576">
        <v>-1.455677E-2</v>
      </c>
      <c r="O1576">
        <v>-8.5827360000000005E-3</v>
      </c>
      <c r="P1576">
        <v>0.98970970000000003</v>
      </c>
      <c r="Q1576">
        <v>0.12060070000000001</v>
      </c>
      <c r="R1576">
        <v>7.7008489999999999E-2</v>
      </c>
      <c r="S1576">
        <v>3.0090940000000002</v>
      </c>
      <c r="T1576">
        <v>-4.6220299999999999E-2</v>
      </c>
      <c r="U1576">
        <v>0.3569946</v>
      </c>
      <c r="V1576">
        <v>-8.5475599999999999E-2</v>
      </c>
      <c r="W1576">
        <v>0.13500100000000001</v>
      </c>
      <c r="X1576">
        <v>0.98715180000000002</v>
      </c>
      <c r="Y1576">
        <v>-0.1263031</v>
      </c>
      <c r="Z1576">
        <v>1.896111E-3</v>
      </c>
      <c r="AA1576">
        <v>0.99198989999999998</v>
      </c>
      <c r="AB1576">
        <v>26</v>
      </c>
      <c r="AC1576">
        <v>72.190899999999999</v>
      </c>
      <c r="AD1576">
        <v>-1.11080484139</v>
      </c>
      <c r="AE1576">
        <v>8.5806000000000004</v>
      </c>
      <c r="AF1576">
        <v>-9.1977976421464493</v>
      </c>
      <c r="AG1576">
        <v>-1.11080484139</v>
      </c>
      <c r="AH1576">
        <v>72.097755491033695</v>
      </c>
      <c r="AI1576">
        <v>90.875586778848998</v>
      </c>
      <c r="AJ1576">
        <v>97.270179365852698</v>
      </c>
      <c r="AK1576">
        <v>72.690575150472</v>
      </c>
      <c r="AL1576">
        <v>82.241322381668397</v>
      </c>
      <c r="AM1576">
        <v>94.948789539383995</v>
      </c>
      <c r="AN1576">
        <v>1.0000000122198001</v>
      </c>
    </row>
    <row r="1577" spans="1:40" x14ac:dyDescent="0.25">
      <c r="A1577" t="str">
        <f>"20190304154749523"</f>
        <v>20190304154749523</v>
      </c>
      <c r="B1577" t="str">
        <f>"1551685669518174"</f>
        <v>1551685669518174</v>
      </c>
      <c r="C1577" t="s">
        <v>40</v>
      </c>
      <c r="D1577">
        <v>4.214791</v>
      </c>
      <c r="E1577">
        <v>0.48298170000000001</v>
      </c>
      <c r="F1577" t="s">
        <v>53</v>
      </c>
      <c r="G1577">
        <v>-197.22720000000001</v>
      </c>
      <c r="H1577" s="1">
        <v>-1.0711620000000001E-5</v>
      </c>
      <c r="I1577">
        <v>375.45030000000003</v>
      </c>
      <c r="J1577">
        <v>-268.9171</v>
      </c>
      <c r="K1577">
        <v>1.1108049999999901</v>
      </c>
      <c r="L1577">
        <v>366.89170000000001</v>
      </c>
      <c r="M1577">
        <v>0.99985670000000004</v>
      </c>
      <c r="N1577">
        <v>-1.4573640000000001E-2</v>
      </c>
      <c r="O1577">
        <v>-8.6237439999999992E-3</v>
      </c>
      <c r="P1577">
        <v>0.98973540000000004</v>
      </c>
      <c r="Q1577">
        <v>0.1203476</v>
      </c>
      <c r="R1577">
        <v>7.7073600000000006E-2</v>
      </c>
      <c r="S1577">
        <v>3.008972</v>
      </c>
      <c r="T1577">
        <v>-4.6538110000000001E-2</v>
      </c>
      <c r="U1577">
        <v>0.35852050000000002</v>
      </c>
      <c r="V1577">
        <v>-8.5581470000000007E-2</v>
      </c>
      <c r="W1577">
        <v>0.1347652</v>
      </c>
      <c r="X1577">
        <v>0.98717480000000002</v>
      </c>
      <c r="Y1577">
        <v>-0.12684409999999999</v>
      </c>
      <c r="Z1577">
        <v>1.9127910000000001E-3</v>
      </c>
      <c r="AA1577">
        <v>0.99192080000000005</v>
      </c>
      <c r="AB1577">
        <v>26</v>
      </c>
      <c r="AC1577">
        <v>71.689899999999994</v>
      </c>
      <c r="AD1577">
        <v>-1.1108157116199999</v>
      </c>
      <c r="AE1577">
        <v>8.5586000000000109</v>
      </c>
      <c r="AF1577">
        <v>-9.1744109310289392</v>
      </c>
      <c r="AG1577">
        <v>-1.1108157116199999</v>
      </c>
      <c r="AH1577">
        <v>71.596470813303995</v>
      </c>
      <c r="AI1577">
        <v>90.881662054226695</v>
      </c>
      <c r="AJ1577">
        <v>97.302119106945895</v>
      </c>
      <c r="AK1577">
        <v>72.190431224621804</v>
      </c>
      <c r="AL1577">
        <v>82.254956972364496</v>
      </c>
      <c r="AM1577">
        <v>94.954773741118601</v>
      </c>
      <c r="AN1577">
        <v>0.99999996644671996</v>
      </c>
    </row>
    <row r="1578" spans="1:40" x14ac:dyDescent="0.25">
      <c r="A1578" t="str">
        <f>"20190304154749534"</f>
        <v>20190304154749534</v>
      </c>
      <c r="B1578" t="str">
        <f>"1551685669527934"</f>
        <v>1551685669527934</v>
      </c>
      <c r="C1578" t="s">
        <v>40</v>
      </c>
      <c r="D1578">
        <v>4.2242790000000001</v>
      </c>
      <c r="E1578">
        <v>0.48288629999999999</v>
      </c>
      <c r="F1578" t="s">
        <v>53</v>
      </c>
      <c r="G1578">
        <v>-200.00919999999999</v>
      </c>
      <c r="H1578" s="1">
        <v>-1.1945219999999999E-6</v>
      </c>
      <c r="I1578">
        <v>375.12720000000002</v>
      </c>
      <c r="J1578">
        <v>-268.79000000000002</v>
      </c>
      <c r="K1578">
        <v>1.1108150000000001</v>
      </c>
      <c r="L1578">
        <v>366.89060000000001</v>
      </c>
      <c r="M1578">
        <v>0.99985610000000003</v>
      </c>
      <c r="N1578">
        <v>-1.458955E-2</v>
      </c>
      <c r="O1578">
        <v>-8.6635529999999992E-3</v>
      </c>
      <c r="P1578">
        <v>0.98972669999999996</v>
      </c>
      <c r="Q1578">
        <v>0.1202983</v>
      </c>
      <c r="R1578">
        <v>7.7262979999999995E-2</v>
      </c>
      <c r="S1578">
        <v>3.0090029999999999</v>
      </c>
      <c r="T1578">
        <v>-4.8505659999999999E-2</v>
      </c>
      <c r="U1578">
        <v>0.35961910000000002</v>
      </c>
      <c r="V1578">
        <v>-8.5810170000000005E-2</v>
      </c>
      <c r="W1578">
        <v>0.1347312</v>
      </c>
      <c r="X1578">
        <v>0.98715960000000003</v>
      </c>
      <c r="Y1578">
        <v>-0.1272374</v>
      </c>
      <c r="Z1578">
        <v>1.9666969999999999E-3</v>
      </c>
      <c r="AA1578">
        <v>0.99187029999999998</v>
      </c>
      <c r="AB1578">
        <v>26</v>
      </c>
      <c r="AC1578">
        <v>68.780799999999999</v>
      </c>
      <c r="AD1578">
        <v>-1.1108161945220001</v>
      </c>
      <c r="AE1578">
        <v>8.2366000000000099</v>
      </c>
      <c r="AF1578">
        <v>-8.8299697953229508</v>
      </c>
      <c r="AG1578">
        <v>-1.1108161945220001</v>
      </c>
      <c r="AH1578">
        <v>68.689189745613007</v>
      </c>
      <c r="AI1578">
        <v>90.918925215060199</v>
      </c>
      <c r="AJ1578">
        <v>97.325177893186194</v>
      </c>
      <c r="AK1578">
        <v>69.263316893671401</v>
      </c>
      <c r="AL1578">
        <v>82.256923054446304</v>
      </c>
      <c r="AM1578">
        <v>94.968024356147197</v>
      </c>
      <c r="AN1578">
        <v>0.99999997870051405</v>
      </c>
    </row>
    <row r="1579" spans="1:40" x14ac:dyDescent="0.25">
      <c r="A1579" t="str">
        <f>"20190304154749547"</f>
        <v>20190304154749547</v>
      </c>
      <c r="B1579" t="str">
        <f>"1551685669537694"</f>
        <v>1551685669537694</v>
      </c>
      <c r="C1579" t="s">
        <v>40</v>
      </c>
      <c r="D1579">
        <v>4.2776959999999997</v>
      </c>
      <c r="E1579">
        <v>0.48277419999999999</v>
      </c>
      <c r="F1579" t="s">
        <v>53</v>
      </c>
      <c r="G1579">
        <v>-201.5909</v>
      </c>
      <c r="H1579" s="1">
        <v>-2.1760910000000002E-6</v>
      </c>
      <c r="I1579">
        <v>374.95659999999998</v>
      </c>
      <c r="J1579">
        <v>-268.63569999999999</v>
      </c>
      <c r="K1579">
        <v>1.1108290000000001</v>
      </c>
      <c r="L1579">
        <v>366.88920000000002</v>
      </c>
      <c r="M1579">
        <v>0.9998553</v>
      </c>
      <c r="N1579">
        <v>-1.4606920000000001E-2</v>
      </c>
      <c r="O1579">
        <v>-8.7123089999999997E-3</v>
      </c>
      <c r="P1579">
        <v>0.98975579999999996</v>
      </c>
      <c r="Q1579">
        <v>0.1200532</v>
      </c>
      <c r="R1579">
        <v>7.7269740000000003E-2</v>
      </c>
      <c r="S1579">
        <v>3.0090029999999999</v>
      </c>
      <c r="T1579">
        <v>-4.9739480000000003E-2</v>
      </c>
      <c r="U1579">
        <v>0.36117549999999998</v>
      </c>
      <c r="V1579">
        <v>-8.5865559999999994E-2</v>
      </c>
      <c r="W1579">
        <v>0.13450390000000001</v>
      </c>
      <c r="X1579">
        <v>0.9871858</v>
      </c>
      <c r="Y1579">
        <v>-0.12779019999999999</v>
      </c>
      <c r="Z1579">
        <v>2.005883E-3</v>
      </c>
      <c r="AA1579">
        <v>0.99179919999999999</v>
      </c>
      <c r="AB1579">
        <v>26</v>
      </c>
      <c r="AC1579">
        <v>67.044799999999896</v>
      </c>
      <c r="AD1579">
        <v>-1.1108311760909999</v>
      </c>
      <c r="AE1579">
        <v>8.0673999999999602</v>
      </c>
      <c r="AF1579">
        <v>-8.6489307506502193</v>
      </c>
      <c r="AG1579">
        <v>-1.1108311760909999</v>
      </c>
      <c r="AH1579">
        <v>66.953844222804406</v>
      </c>
      <c r="AI1579">
        <v>90.942675861937303</v>
      </c>
      <c r="AJ1579">
        <v>97.360565129671997</v>
      </c>
      <c r="AK1579">
        <v>67.519295058841394</v>
      </c>
      <c r="AL1579">
        <v>82.270066172423597</v>
      </c>
      <c r="AM1579">
        <v>94.971083848911107</v>
      </c>
      <c r="AN1579">
        <v>0.99999999861548095</v>
      </c>
    </row>
    <row r="1580" spans="1:40" x14ac:dyDescent="0.25">
      <c r="A1580" t="str">
        <f>"20190304154749559"</f>
        <v>20190304154749559</v>
      </c>
      <c r="B1580" t="str">
        <f>"1551685669548431"</f>
        <v>1551685669548431</v>
      </c>
      <c r="C1580" t="s">
        <v>40</v>
      </c>
      <c r="D1580">
        <v>4.2541799999999999</v>
      </c>
      <c r="E1580">
        <v>0.48273719999999998</v>
      </c>
      <c r="F1580" t="s">
        <v>53</v>
      </c>
      <c r="G1580">
        <v>-203.2619</v>
      </c>
      <c r="H1580" s="1">
        <v>-3.157759E-6</v>
      </c>
      <c r="I1580">
        <v>374.75670000000002</v>
      </c>
      <c r="J1580">
        <v>-268.50409999999999</v>
      </c>
      <c r="K1580">
        <v>1.11084</v>
      </c>
      <c r="L1580">
        <v>366.88799999999998</v>
      </c>
      <c r="M1580">
        <v>0.99985489999999999</v>
      </c>
      <c r="N1580">
        <v>-1.461927E-2</v>
      </c>
      <c r="O1580">
        <v>-8.7537629999999995E-3</v>
      </c>
      <c r="P1580">
        <v>0.98977360000000003</v>
      </c>
      <c r="Q1580">
        <v>0.11992700000000001</v>
      </c>
      <c r="R1580">
        <v>7.7240500000000004E-2</v>
      </c>
      <c r="S1580">
        <v>3.008972</v>
      </c>
      <c r="T1580">
        <v>-5.1128510000000002E-2</v>
      </c>
      <c r="U1580">
        <v>0.36212159999999999</v>
      </c>
      <c r="V1580">
        <v>-8.5877739999999994E-2</v>
      </c>
      <c r="W1580">
        <v>0.1343895</v>
      </c>
      <c r="X1580">
        <v>0.98720030000000003</v>
      </c>
      <c r="Y1580">
        <v>-0.12813830000000001</v>
      </c>
      <c r="Z1580">
        <v>2.0455730000000002E-3</v>
      </c>
      <c r="AA1580">
        <v>0.99175420000000003</v>
      </c>
      <c r="AB1580">
        <v>26</v>
      </c>
      <c r="AC1580">
        <v>65.242199999999997</v>
      </c>
      <c r="AD1580">
        <v>-1.1108431577590001</v>
      </c>
      <c r="AE1580">
        <v>7.8686999999999898</v>
      </c>
      <c r="AF1580">
        <v>-8.4371633288949308</v>
      </c>
      <c r="AG1580">
        <v>-1.1108431577590001</v>
      </c>
      <c r="AH1580">
        <v>65.152194804515702</v>
      </c>
      <c r="AI1580">
        <v>90.968709515481294</v>
      </c>
      <c r="AJ1580">
        <v>97.378698845475299</v>
      </c>
      <c r="AK1580">
        <v>65.705617609190398</v>
      </c>
      <c r="AL1580">
        <v>82.276680706368495</v>
      </c>
      <c r="AM1580">
        <v>94.971712801723299</v>
      </c>
      <c r="AN1580">
        <v>0.99999997812892305</v>
      </c>
    </row>
    <row r="1581" spans="1:40" x14ac:dyDescent="0.25">
      <c r="A1581" t="str">
        <f>"20190304154749569"</f>
        <v>20190304154749569</v>
      </c>
      <c r="B1581" t="str">
        <f>"1551685669558190"</f>
        <v>1551685669558190</v>
      </c>
      <c r="C1581" t="s">
        <v>40</v>
      </c>
      <c r="D1581">
        <v>4.1773189999999998</v>
      </c>
      <c r="E1581">
        <v>0.48256549999999998</v>
      </c>
      <c r="F1581" t="s">
        <v>53</v>
      </c>
      <c r="G1581">
        <v>-203.7406</v>
      </c>
      <c r="H1581" s="1">
        <v>-3.4137379999999998E-6</v>
      </c>
      <c r="I1581">
        <v>374.68869999999998</v>
      </c>
      <c r="J1581">
        <v>-268.37150000000003</v>
      </c>
      <c r="K1581">
        <v>1.110849</v>
      </c>
      <c r="L1581">
        <v>366.88670000000002</v>
      </c>
      <c r="M1581">
        <v>0.99985440000000003</v>
      </c>
      <c r="N1581">
        <v>-1.4630229999999999E-2</v>
      </c>
      <c r="O1581">
        <v>-8.7950879999999995E-3</v>
      </c>
      <c r="P1581">
        <v>0.98978290000000002</v>
      </c>
      <c r="Q1581">
        <v>0.11985609999999999</v>
      </c>
      <c r="R1581">
        <v>7.7231369999999994E-2</v>
      </c>
      <c r="S1581">
        <v>3.008972</v>
      </c>
      <c r="T1581">
        <v>-5.1610830000000003E-2</v>
      </c>
      <c r="U1581">
        <v>0.36242679999999999</v>
      </c>
      <c r="V1581">
        <v>-8.5909509999999994E-2</v>
      </c>
      <c r="W1581">
        <v>0.13432949999999999</v>
      </c>
      <c r="X1581">
        <v>0.98720569999999996</v>
      </c>
      <c r="Y1581">
        <v>-0.1282779</v>
      </c>
      <c r="Z1581">
        <v>2.0601339999999999E-3</v>
      </c>
      <c r="AA1581">
        <v>0.99173610000000001</v>
      </c>
      <c r="AB1581">
        <v>26</v>
      </c>
      <c r="AC1581">
        <v>64.630899999999997</v>
      </c>
      <c r="AD1581">
        <v>-1.110852413738</v>
      </c>
      <c r="AE1581">
        <v>7.8019999999999596</v>
      </c>
      <c r="AF1581">
        <v>-8.3677569542980201</v>
      </c>
      <c r="AG1581">
        <v>-1.110852413738</v>
      </c>
      <c r="AH1581">
        <v>64.540980575810195</v>
      </c>
      <c r="AI1581">
        <v>90.9778709223595</v>
      </c>
      <c r="AJ1581">
        <v>97.387207429711793</v>
      </c>
      <c r="AK1581">
        <v>65.090640826607498</v>
      </c>
      <c r="AL1581">
        <v>82.280149895443898</v>
      </c>
      <c r="AM1581">
        <v>94.973515767253701</v>
      </c>
      <c r="AN1581">
        <v>0.99999997629558901</v>
      </c>
    </row>
    <row r="1582" spans="1:40" x14ac:dyDescent="0.25">
      <c r="A1582" t="str">
        <f>"20190304154749581"</f>
        <v>20190304154749581</v>
      </c>
      <c r="B1582" t="str">
        <f>"1551685669577710"</f>
        <v>1551685669577710</v>
      </c>
      <c r="C1582" t="s">
        <v>40</v>
      </c>
      <c r="D1582">
        <v>4.2078179999999996</v>
      </c>
      <c r="E1582">
        <v>0.48241679999999998</v>
      </c>
      <c r="F1582" t="s">
        <v>53</v>
      </c>
      <c r="G1582">
        <v>-207.23849999999999</v>
      </c>
      <c r="H1582" s="1">
        <v>-5.1805550000000002E-6</v>
      </c>
      <c r="I1582">
        <v>374.28129999999999</v>
      </c>
      <c r="J1582">
        <v>-268.24549999999999</v>
      </c>
      <c r="K1582">
        <v>1.110854</v>
      </c>
      <c r="L1582">
        <v>366.88560000000001</v>
      </c>
      <c r="M1582">
        <v>0.99985380000000001</v>
      </c>
      <c r="N1582">
        <v>-1.4637320000000001E-2</v>
      </c>
      <c r="O1582">
        <v>-8.8345939999999994E-3</v>
      </c>
      <c r="P1582">
        <v>0.98976739999999996</v>
      </c>
      <c r="Q1582">
        <v>0.1199915</v>
      </c>
      <c r="R1582">
        <v>7.7217560000000005E-2</v>
      </c>
      <c r="S1582">
        <v>3.0091549999999998</v>
      </c>
      <c r="T1582">
        <v>-5.467963E-2</v>
      </c>
      <c r="U1582">
        <v>0.36398320000000001</v>
      </c>
      <c r="V1582">
        <v>-8.5934650000000001E-2</v>
      </c>
      <c r="W1582">
        <v>0.13447219999999999</v>
      </c>
      <c r="X1582">
        <v>0.98718410000000001</v>
      </c>
      <c r="Y1582">
        <v>-0.12881210000000001</v>
      </c>
      <c r="Z1582">
        <v>2.143453E-3</v>
      </c>
      <c r="AA1582">
        <v>0.99166670000000001</v>
      </c>
      <c r="AB1582">
        <v>26</v>
      </c>
      <c r="AC1582">
        <v>61.006999999999998</v>
      </c>
      <c r="AD1582">
        <v>-1.1108591805550001</v>
      </c>
      <c r="AE1582">
        <v>7.3956999999999704</v>
      </c>
      <c r="AF1582">
        <v>-7.9318493847616498</v>
      </c>
      <c r="AG1582">
        <v>-1.1108591805550001</v>
      </c>
      <c r="AH1582">
        <v>60.9193679031466</v>
      </c>
      <c r="AI1582">
        <v>91.035925574487194</v>
      </c>
      <c r="AJ1582">
        <v>97.418317138735105</v>
      </c>
      <c r="AK1582">
        <v>61.443613406931902</v>
      </c>
      <c r="AL1582">
        <v>82.271899048707198</v>
      </c>
      <c r="AM1582">
        <v>94.975072189313494</v>
      </c>
      <c r="AN1582">
        <v>0.99999999196813605</v>
      </c>
    </row>
    <row r="1583" spans="1:40" x14ac:dyDescent="0.25">
      <c r="A1583" t="str">
        <f>"20190304154749593"</f>
        <v>20190304154749593</v>
      </c>
      <c r="B1583" t="str">
        <f>"1551685669588446"</f>
        <v>1551685669588446</v>
      </c>
      <c r="C1583" t="s">
        <v>40</v>
      </c>
      <c r="D1583">
        <v>4.2451249999999998</v>
      </c>
      <c r="E1583">
        <v>0.48233619999999999</v>
      </c>
      <c r="F1583" t="s">
        <v>53</v>
      </c>
      <c r="G1583">
        <v>-208.63570000000001</v>
      </c>
      <c r="H1583" s="1">
        <v>-5.686894E-6</v>
      </c>
      <c r="I1583">
        <v>374.11970000000002</v>
      </c>
      <c r="J1583">
        <v>-268.10219999999998</v>
      </c>
      <c r="K1583">
        <v>1.1108629999999999</v>
      </c>
      <c r="L1583">
        <v>366.8843</v>
      </c>
      <c r="M1583">
        <v>0.9998534</v>
      </c>
      <c r="N1583">
        <v>-1.464414E-2</v>
      </c>
      <c r="O1583">
        <v>-8.8798190000000006E-3</v>
      </c>
      <c r="P1583">
        <v>0.98976010000000003</v>
      </c>
      <c r="Q1583">
        <v>0.1199789</v>
      </c>
      <c r="R1583">
        <v>7.733081E-2</v>
      </c>
      <c r="S1583">
        <v>3.0093079999999999</v>
      </c>
      <c r="T1583">
        <v>-5.6079980000000001E-2</v>
      </c>
      <c r="U1583">
        <v>0.36520390000000003</v>
      </c>
      <c r="V1583">
        <v>-8.6092429999999998E-2</v>
      </c>
      <c r="W1583">
        <v>0.13446559999999999</v>
      </c>
      <c r="X1583">
        <v>0.98717120000000003</v>
      </c>
      <c r="Y1583">
        <v>-0.12924569999999999</v>
      </c>
      <c r="Z1583">
        <v>2.1851079999999998E-3</v>
      </c>
      <c r="AA1583">
        <v>0.9916102</v>
      </c>
      <c r="AB1583">
        <v>26</v>
      </c>
      <c r="AC1583">
        <v>59.466499999999897</v>
      </c>
      <c r="AD1583">
        <v>-1.1108686868940001</v>
      </c>
      <c r="AE1583">
        <v>7.2354000000000198</v>
      </c>
      <c r="AF1583">
        <v>-7.7605543791656002</v>
      </c>
      <c r="AG1583">
        <v>-1.1108686868940001</v>
      </c>
      <c r="AH1583">
        <v>59.379480000458003</v>
      </c>
      <c r="AI1583">
        <v>91.062726215665293</v>
      </c>
      <c r="AJ1583">
        <v>97.446023065922006</v>
      </c>
      <c r="AK1583">
        <v>59.894765035320901</v>
      </c>
      <c r="AL1583">
        <v>82.272280271270304</v>
      </c>
      <c r="AM1583">
        <v>94.984225485158504</v>
      </c>
      <c r="AN1583">
        <v>0.99999994109805002</v>
      </c>
    </row>
    <row r="1584" spans="1:40" x14ac:dyDescent="0.25">
      <c r="A1584" t="str">
        <f>"20190304154749606"</f>
        <v>20190304154749606</v>
      </c>
      <c r="B1584" t="str">
        <f>"1551685669598206"</f>
        <v>1551685669598206</v>
      </c>
      <c r="C1584" t="s">
        <v>40</v>
      </c>
      <c r="D1584">
        <v>4.2240390000000003</v>
      </c>
      <c r="E1584">
        <v>0.48225760000000001</v>
      </c>
      <c r="F1584" t="s">
        <v>53</v>
      </c>
      <c r="G1584">
        <v>-209.13069999999999</v>
      </c>
      <c r="H1584" s="1">
        <v>-5.8614299999999999E-6</v>
      </c>
      <c r="I1584">
        <v>374.06310000000002</v>
      </c>
      <c r="J1584">
        <v>-267.94799999999998</v>
      </c>
      <c r="K1584">
        <v>1.1108690000000001</v>
      </c>
      <c r="L1584">
        <v>366.88290000000001</v>
      </c>
      <c r="M1584">
        <v>0.99985279999999999</v>
      </c>
      <c r="N1584">
        <v>-1.4646589999999999E-2</v>
      </c>
      <c r="O1584">
        <v>-8.9281129999999997E-3</v>
      </c>
      <c r="P1584">
        <v>0.98975869999999999</v>
      </c>
      <c r="Q1584">
        <v>0.1200822</v>
      </c>
      <c r="R1584">
        <v>7.7186699999999997E-2</v>
      </c>
      <c r="S1584">
        <v>3.009277</v>
      </c>
      <c r="T1584">
        <v>-5.6686880000000002E-2</v>
      </c>
      <c r="U1584">
        <v>0.36633300000000002</v>
      </c>
      <c r="V1584">
        <v>-8.5996100000000006E-2</v>
      </c>
      <c r="W1584">
        <v>0.13457149999999901</v>
      </c>
      <c r="X1584">
        <v>0.98716519999999996</v>
      </c>
      <c r="Y1584">
        <v>-0.12966069999999999</v>
      </c>
      <c r="Z1584">
        <v>2.2071669999999999E-3</v>
      </c>
      <c r="AA1584">
        <v>0.99155599999999999</v>
      </c>
      <c r="AB1584">
        <v>26</v>
      </c>
      <c r="AC1584">
        <v>58.817299999999904</v>
      </c>
      <c r="AD1584">
        <v>-1.1108748614299999</v>
      </c>
      <c r="AE1584">
        <v>7.1802000000000099</v>
      </c>
      <c r="AF1584">
        <v>-7.70239042957403</v>
      </c>
      <c r="AG1584">
        <v>-1.1108748614299999</v>
      </c>
      <c r="AH1584">
        <v>58.730200473733902</v>
      </c>
      <c r="AI1584">
        <v>91.074415353922006</v>
      </c>
      <c r="AJ1584">
        <v>97.471625406797003</v>
      </c>
      <c r="AK1584">
        <v>59.243542339839202</v>
      </c>
      <c r="AL1584">
        <v>82.266157257326498</v>
      </c>
      <c r="AM1584">
        <v>94.978706721296604</v>
      </c>
      <c r="AN1584">
        <v>0.99999997495924897</v>
      </c>
    </row>
    <row r="1585" spans="1:40" x14ac:dyDescent="0.25">
      <c r="A1585" t="str">
        <f>"20190304154749619"</f>
        <v>20190304154749619</v>
      </c>
      <c r="B1585" t="str">
        <f>"1551685669607969"</f>
        <v>1551685669607969</v>
      </c>
      <c r="C1585" t="s">
        <v>40</v>
      </c>
      <c r="D1585">
        <v>4.2252530000000004</v>
      </c>
      <c r="E1585">
        <v>0.4821859</v>
      </c>
      <c r="F1585" t="s">
        <v>53</v>
      </c>
      <c r="G1585">
        <v>-209.21899999999999</v>
      </c>
      <c r="H1585" s="1">
        <v>-5.8960419999999999E-6</v>
      </c>
      <c r="I1585">
        <v>374.0308</v>
      </c>
      <c r="J1585">
        <v>-267.80169999999998</v>
      </c>
      <c r="K1585">
        <v>1.1108739999999999</v>
      </c>
      <c r="L1585">
        <v>366.88150000000002</v>
      </c>
      <c r="M1585">
        <v>0.99985239999999997</v>
      </c>
      <c r="N1585">
        <v>-1.46464E-2</v>
      </c>
      <c r="O1585">
        <v>-8.9740029999999995E-3</v>
      </c>
      <c r="P1585">
        <v>0.98979039999999996</v>
      </c>
      <c r="Q1585">
        <v>0.1199277</v>
      </c>
      <c r="R1585">
        <v>7.7022149999999998E-2</v>
      </c>
      <c r="S1585">
        <v>3.009369</v>
      </c>
      <c r="T1585">
        <v>-5.6923029999999999E-2</v>
      </c>
      <c r="U1585">
        <v>0.36627199999999999</v>
      </c>
      <c r="V1585">
        <v>-8.5877399999999895E-2</v>
      </c>
      <c r="W1585">
        <v>0.13441700000000001</v>
      </c>
      <c r="X1585">
        <v>0.98719659999999998</v>
      </c>
      <c r="Y1585">
        <v>-0.129682399999999</v>
      </c>
      <c r="Z1585">
        <v>2.2134419999999999E-3</v>
      </c>
      <c r="AA1585">
        <v>0.99155309999999997</v>
      </c>
      <c r="AB1585">
        <v>26</v>
      </c>
      <c r="AC1585">
        <v>58.582699999999903</v>
      </c>
      <c r="AD1585">
        <v>-1.1108798960420001</v>
      </c>
      <c r="AE1585">
        <v>7.1492999999999798</v>
      </c>
      <c r="AF1585">
        <v>-7.6720715728918698</v>
      </c>
      <c r="AG1585">
        <v>-1.1108798960420001</v>
      </c>
      <c r="AH1585">
        <v>58.495450680734599</v>
      </c>
      <c r="AI1585">
        <v>91.078729879170098</v>
      </c>
      <c r="AJ1585">
        <v>97.472076324184002</v>
      </c>
      <c r="AK1585">
        <v>59.006885078821597</v>
      </c>
      <c r="AL1585">
        <v>82.275090756133494</v>
      </c>
      <c r="AM1585">
        <v>94.971711757234402</v>
      </c>
      <c r="AN1585">
        <v>0.99999999238565995</v>
      </c>
    </row>
    <row r="1586" spans="1:40" x14ac:dyDescent="0.25">
      <c r="A1586" t="str">
        <f>"20190304154749633"</f>
        <v>20190304154749633</v>
      </c>
      <c r="B1586" t="str">
        <f>"1551685669628462"</f>
        <v>1551685669628462</v>
      </c>
      <c r="C1586" t="s">
        <v>40</v>
      </c>
      <c r="D1586">
        <v>4.3139589999999997</v>
      </c>
      <c r="E1586">
        <v>0.48217539999999998</v>
      </c>
      <c r="F1586" t="s">
        <v>44</v>
      </c>
      <c r="G1586">
        <v>-210.01669999999999</v>
      </c>
      <c r="H1586" s="1">
        <v>-5.0339939999999998E-6</v>
      </c>
      <c r="I1586">
        <v>373.92149999999998</v>
      </c>
      <c r="J1586">
        <v>-267.64010000000002</v>
      </c>
      <c r="K1586">
        <v>1.1108750000000001</v>
      </c>
      <c r="L1586">
        <v>366.88</v>
      </c>
      <c r="M1586">
        <v>0.99985210000000002</v>
      </c>
      <c r="N1586">
        <v>-1.4643730000000001E-2</v>
      </c>
      <c r="O1586">
        <v>-9.0247629999999999E-3</v>
      </c>
      <c r="P1586">
        <v>0.98980869999999999</v>
      </c>
      <c r="Q1586">
        <v>0.1199149</v>
      </c>
      <c r="R1586">
        <v>7.6805010000000007E-2</v>
      </c>
      <c r="S1586">
        <v>3.0093990000000002</v>
      </c>
      <c r="T1586">
        <v>-5.7853700000000001E-2</v>
      </c>
      <c r="U1586">
        <v>0.36663820000000003</v>
      </c>
      <c r="V1586">
        <v>-8.5710469999999997E-2</v>
      </c>
      <c r="W1586">
        <v>0.13440179999999999</v>
      </c>
      <c r="X1586">
        <v>0.98721320000000001</v>
      </c>
      <c r="Y1586">
        <v>-0.1298494</v>
      </c>
      <c r="Z1586">
        <v>2.2390740000000002E-3</v>
      </c>
      <c r="AA1586">
        <v>0.99153119999999995</v>
      </c>
      <c r="AB1586">
        <v>26</v>
      </c>
      <c r="AC1586">
        <v>57.623399999999997</v>
      </c>
      <c r="AD1586">
        <v>-1.1108800339939999</v>
      </c>
      <c r="AE1586">
        <v>7.0414999999999797</v>
      </c>
      <c r="AF1586">
        <v>-7.5585386318061802</v>
      </c>
      <c r="AG1586">
        <v>-1.1108800339939999</v>
      </c>
      <c r="AH1586">
        <v>57.536429239857597</v>
      </c>
      <c r="AI1586">
        <v>91.096675888195307</v>
      </c>
      <c r="AJ1586">
        <v>97.484067648070393</v>
      </c>
      <c r="AK1586">
        <v>58.041418404201501</v>
      </c>
      <c r="AL1586">
        <v>82.275969805674805</v>
      </c>
      <c r="AM1586">
        <v>94.962012932714998</v>
      </c>
      <c r="AN1586">
        <v>1.0000000153825499</v>
      </c>
    </row>
    <row r="1587" spans="1:40" x14ac:dyDescent="0.25">
      <c r="A1587" t="str">
        <f>"20190304154749646"</f>
        <v>20190304154749646</v>
      </c>
      <c r="B1587" t="str">
        <f>"1551685669638222"</f>
        <v>1551685669638222</v>
      </c>
      <c r="C1587" t="s">
        <v>40</v>
      </c>
      <c r="D1587">
        <v>4.2101459999999999</v>
      </c>
      <c r="E1587">
        <v>0.48210819999999999</v>
      </c>
      <c r="F1587" t="s">
        <v>53</v>
      </c>
      <c r="G1587">
        <v>-208.92840000000001</v>
      </c>
      <c r="H1587" s="1">
        <v>-5.8002820000000001E-6</v>
      </c>
      <c r="I1587">
        <v>374.02109999999999</v>
      </c>
      <c r="J1587">
        <v>-267.47649999999999</v>
      </c>
      <c r="K1587">
        <v>1.1108769999999999</v>
      </c>
      <c r="L1587">
        <v>366.87849999999997</v>
      </c>
      <c r="M1587">
        <v>0.99985179999999996</v>
      </c>
      <c r="N1587">
        <v>-1.4636140000000001E-2</v>
      </c>
      <c r="O1587">
        <v>-9.0758469999999997E-3</v>
      </c>
      <c r="P1587">
        <v>0.9898342</v>
      </c>
      <c r="Q1587">
        <v>0.1199625</v>
      </c>
      <c r="R1587">
        <v>7.6403509999999994E-2</v>
      </c>
      <c r="S1587">
        <v>3.009369</v>
      </c>
      <c r="T1587">
        <v>-5.6940079999999997E-2</v>
      </c>
      <c r="U1587">
        <v>0.36602780000000001</v>
      </c>
      <c r="V1587">
        <v>-8.5359770000000001E-2</v>
      </c>
      <c r="W1587">
        <v>0.13444249999999999</v>
      </c>
      <c r="X1587">
        <v>0.98723799999999995</v>
      </c>
      <c r="Y1587">
        <v>-0.12970419999999999</v>
      </c>
      <c r="Z1587">
        <v>2.2140829999999999E-3</v>
      </c>
      <c r="AA1587">
        <v>0.9915503</v>
      </c>
      <c r="AB1587">
        <v>26</v>
      </c>
      <c r="AC1587">
        <v>58.548099999999899</v>
      </c>
      <c r="AD1587">
        <v>-1.1108828002819999</v>
      </c>
      <c r="AE1587">
        <v>7.1426000000000096</v>
      </c>
      <c r="AF1587">
        <v>-7.6710151045755399</v>
      </c>
      <c r="AG1587">
        <v>-1.1108828002819999</v>
      </c>
      <c r="AH1587">
        <v>58.460118603100199</v>
      </c>
      <c r="AI1587">
        <v>91.079375991162706</v>
      </c>
      <c r="AJ1587">
        <v>97.475523318390202</v>
      </c>
      <c r="AK1587">
        <v>58.971722040475697</v>
      </c>
      <c r="AL1587">
        <v>82.273616175150806</v>
      </c>
      <c r="AM1587">
        <v>94.941687173827304</v>
      </c>
      <c r="AN1587">
        <v>0.99999997239234995</v>
      </c>
    </row>
    <row r="1588" spans="1:40" x14ac:dyDescent="0.25">
      <c r="A1588" t="str">
        <f>"20190304154749658"</f>
        <v>20190304154749658</v>
      </c>
      <c r="B1588" t="str">
        <f>"1551685669647982"</f>
        <v>1551685669647982</v>
      </c>
      <c r="C1588" t="s">
        <v>40</v>
      </c>
      <c r="D1588">
        <v>4.1911189999999996</v>
      </c>
      <c r="E1588">
        <v>0.48202709999999999</v>
      </c>
      <c r="F1588" t="s">
        <v>53</v>
      </c>
      <c r="G1588">
        <v>-208.81120000000001</v>
      </c>
      <c r="H1588" s="1">
        <v>-5.7640740000000001E-6</v>
      </c>
      <c r="I1588">
        <v>374.0016</v>
      </c>
      <c r="J1588">
        <v>-267.33730000000003</v>
      </c>
      <c r="K1588">
        <v>1.110878</v>
      </c>
      <c r="L1588">
        <v>366.87720000000002</v>
      </c>
      <c r="M1588">
        <v>0.99985159999999995</v>
      </c>
      <c r="N1588">
        <v>-1.4626510000000001E-2</v>
      </c>
      <c r="O1588">
        <v>-9.1195229999999992E-3</v>
      </c>
      <c r="P1588">
        <v>0.98989150000000004</v>
      </c>
      <c r="Q1588">
        <v>0.11969299999999999</v>
      </c>
      <c r="R1588">
        <v>7.6084780000000005E-2</v>
      </c>
      <c r="S1588">
        <v>3.0095209999999999</v>
      </c>
      <c r="T1588">
        <v>-5.6988120000000003E-2</v>
      </c>
      <c r="U1588">
        <v>0.36541750000000001</v>
      </c>
      <c r="V1588">
        <v>-8.5084779999999999E-2</v>
      </c>
      <c r="W1588">
        <v>0.1341637</v>
      </c>
      <c r="X1588">
        <v>0.9872997</v>
      </c>
      <c r="Y1588">
        <v>-0.1295433</v>
      </c>
      <c r="Z1588">
        <v>2.2121409999999999E-3</v>
      </c>
      <c r="AA1588">
        <v>0.99157130000000004</v>
      </c>
      <c r="AB1588">
        <v>26</v>
      </c>
      <c r="AC1588">
        <v>58.5261</v>
      </c>
      <c r="AD1588">
        <v>-1.1108837640739999</v>
      </c>
      <c r="AE1588">
        <v>7.1243999999999801</v>
      </c>
      <c r="AF1588">
        <v>-7.6551730869150303</v>
      </c>
      <c r="AG1588">
        <v>-1.1108837640739999</v>
      </c>
      <c r="AH1588">
        <v>58.437941183999797</v>
      </c>
      <c r="AI1588">
        <v>91.079817249854997</v>
      </c>
      <c r="AJ1588">
        <v>97.463058389751197</v>
      </c>
      <c r="AK1588">
        <v>58.947677711276597</v>
      </c>
      <c r="AL1588">
        <v>82.289736557784494</v>
      </c>
      <c r="AM1588">
        <v>94.925539460585995</v>
      </c>
      <c r="AN1588">
        <v>1.00000000790271</v>
      </c>
    </row>
    <row r="1589" spans="1:40" x14ac:dyDescent="0.25">
      <c r="A1589" t="str">
        <f>"20190304154749669"</f>
        <v>20190304154749669</v>
      </c>
      <c r="B1589" t="str">
        <f>"1551685669657744"</f>
        <v>1551685669657744</v>
      </c>
      <c r="C1589" t="s">
        <v>40</v>
      </c>
      <c r="D1589">
        <v>4.2066879999999998</v>
      </c>
      <c r="E1589">
        <v>0.48194559999999997</v>
      </c>
      <c r="F1589" t="s">
        <v>53</v>
      </c>
      <c r="G1589">
        <v>-209.8244</v>
      </c>
      <c r="H1589" s="1">
        <v>-6.1266269999999996E-6</v>
      </c>
      <c r="I1589">
        <v>373.85199999999998</v>
      </c>
      <c r="J1589">
        <v>-267.20569999999998</v>
      </c>
      <c r="K1589">
        <v>1.1108789999999999</v>
      </c>
      <c r="L1589">
        <v>366.8759</v>
      </c>
      <c r="M1589">
        <v>0.9998513</v>
      </c>
      <c r="N1589">
        <v>-1.461524E-2</v>
      </c>
      <c r="O1589">
        <v>-9.1606829999999993E-3</v>
      </c>
      <c r="P1589">
        <v>0.98988149999999997</v>
      </c>
      <c r="Q1589">
        <v>0.11987929999999999</v>
      </c>
      <c r="R1589">
        <v>7.5919319999999998E-2</v>
      </c>
      <c r="S1589">
        <v>3.0096440000000002</v>
      </c>
      <c r="T1589">
        <v>-5.8132410000000002E-2</v>
      </c>
      <c r="U1589">
        <v>0.36499019999999999</v>
      </c>
      <c r="V1589">
        <v>-8.4960359999999999E-2</v>
      </c>
      <c r="W1589">
        <v>0.13433899999999999</v>
      </c>
      <c r="X1589">
        <v>0.98728660000000001</v>
      </c>
      <c r="Y1589">
        <v>-0.12943930000000001</v>
      </c>
      <c r="Z1589">
        <v>2.2378760000000002E-3</v>
      </c>
      <c r="AA1589">
        <v>0.99158480000000004</v>
      </c>
      <c r="AB1589">
        <v>26</v>
      </c>
      <c r="AC1589">
        <v>57.381299999999896</v>
      </c>
      <c r="AD1589">
        <v>-1.1108851266269999</v>
      </c>
      <c r="AE1589">
        <v>6.9760999999999704</v>
      </c>
      <c r="AF1589">
        <v>-7.4987456506976704</v>
      </c>
      <c r="AG1589">
        <v>-1.1108851266269999</v>
      </c>
      <c r="AH1589">
        <v>57.293818250582802</v>
      </c>
      <c r="AI1589">
        <v>91.101392847045901</v>
      </c>
      <c r="AJ1589">
        <v>97.456617404136907</v>
      </c>
      <c r="AK1589">
        <v>57.7931385358957</v>
      </c>
      <c r="AL1589">
        <v>82.279601024863496</v>
      </c>
      <c r="AM1589">
        <v>94.918437110859202</v>
      </c>
      <c r="AN1589">
        <v>1.00000003011594</v>
      </c>
    </row>
    <row r="1590" spans="1:40" x14ac:dyDescent="0.25">
      <c r="A1590" t="str">
        <f>"20190304154749680"</f>
        <v>20190304154749680</v>
      </c>
      <c r="B1590" t="str">
        <f>"1551685669668478"</f>
        <v>1551685669668478</v>
      </c>
      <c r="C1590" t="s">
        <v>40</v>
      </c>
      <c r="D1590">
        <v>4.1936039999999997</v>
      </c>
      <c r="E1590">
        <v>0.48186220000000002</v>
      </c>
      <c r="F1590" t="s">
        <v>53</v>
      </c>
      <c r="G1590">
        <v>-209.23439999999999</v>
      </c>
      <c r="H1590" s="1">
        <v>-5.9202520000000003E-6</v>
      </c>
      <c r="I1590">
        <v>373.90870000000001</v>
      </c>
      <c r="J1590">
        <v>-267.0822</v>
      </c>
      <c r="K1590">
        <v>1.1108769999999999</v>
      </c>
      <c r="L1590">
        <v>366.87470000000002</v>
      </c>
      <c r="M1590">
        <v>0.99985119999999905</v>
      </c>
      <c r="N1590">
        <v>-1.459996E-2</v>
      </c>
      <c r="O1590">
        <v>-9.1995489999999996E-3</v>
      </c>
      <c r="P1590">
        <v>0.98988279999999995</v>
      </c>
      <c r="Q1590">
        <v>0.1200749</v>
      </c>
      <c r="R1590">
        <v>7.55942E-2</v>
      </c>
      <c r="S1590">
        <v>3.0096129999999999</v>
      </c>
      <c r="T1590">
        <v>-5.7672139999999997E-2</v>
      </c>
      <c r="U1590">
        <v>0.3651123</v>
      </c>
      <c r="V1590">
        <v>-8.4673429999999994E-2</v>
      </c>
      <c r="W1590">
        <v>0.13451949999999999</v>
      </c>
      <c r="X1590">
        <v>0.98728660000000001</v>
      </c>
      <c r="Y1590">
        <v>-0.1295192</v>
      </c>
      <c r="Z1590">
        <v>2.2273039999999998E-3</v>
      </c>
      <c r="AA1590">
        <v>0.99157439999999997</v>
      </c>
      <c r="AB1590">
        <v>26</v>
      </c>
      <c r="AC1590">
        <v>57.847799999999999</v>
      </c>
      <c r="AD1590">
        <v>-1.1108829202519901</v>
      </c>
      <c r="AE1590">
        <v>7.03399999999999</v>
      </c>
      <c r="AF1590">
        <v>-7.5631841374215396</v>
      </c>
      <c r="AG1590">
        <v>-1.1108829202519901</v>
      </c>
      <c r="AH1590">
        <v>57.7596449915658</v>
      </c>
      <c r="AI1590">
        <v>91.092501751965003</v>
      </c>
      <c r="AJ1590">
        <v>97.460001558837604</v>
      </c>
      <c r="AK1590">
        <v>58.263302384183199</v>
      </c>
      <c r="AL1590">
        <v>82.269163845526506</v>
      </c>
      <c r="AM1590">
        <v>94.901907529269593</v>
      </c>
      <c r="AN1590">
        <v>0.99999995808388598</v>
      </c>
    </row>
    <row r="1591" spans="1:40" x14ac:dyDescent="0.25">
      <c r="A1591" t="str">
        <f>"20190304154749691"</f>
        <v>20190304154749691</v>
      </c>
      <c r="B1591" t="str">
        <f>"1551685669687999"</f>
        <v>1551685669687999</v>
      </c>
      <c r="C1591" t="s">
        <v>40</v>
      </c>
      <c r="D1591">
        <v>4.2108629999999998</v>
      </c>
      <c r="E1591">
        <v>0.48174159999999999</v>
      </c>
      <c r="F1591" t="s">
        <v>53</v>
      </c>
      <c r="G1591">
        <v>-208.7637</v>
      </c>
      <c r="H1591" s="1">
        <v>-5.7564329999999999E-6</v>
      </c>
      <c r="I1591">
        <v>373.94889999999998</v>
      </c>
      <c r="J1591">
        <v>-266.95249999999999</v>
      </c>
      <c r="K1591">
        <v>1.110878</v>
      </c>
      <c r="L1591">
        <v>366.87349999999998</v>
      </c>
      <c r="M1591">
        <v>0.99985100000000005</v>
      </c>
      <c r="N1591">
        <v>-1.4582919999999999E-2</v>
      </c>
      <c r="O1591">
        <v>-9.2404280000000002E-3</v>
      </c>
      <c r="P1591">
        <v>0.98988889999999996</v>
      </c>
      <c r="Q1591">
        <v>0.12022140000000001</v>
      </c>
      <c r="R1591">
        <v>7.5280029999999998E-2</v>
      </c>
      <c r="S1591">
        <v>3.0097049999999999</v>
      </c>
      <c r="T1591">
        <v>-5.7330489999999998E-2</v>
      </c>
      <c r="U1591">
        <v>0.36508180000000001</v>
      </c>
      <c r="V1591">
        <v>-8.4399840000000004E-2</v>
      </c>
      <c r="W1591">
        <v>0.13464899999999999</v>
      </c>
      <c r="X1591">
        <v>0.98729239999999996</v>
      </c>
      <c r="Y1591">
        <v>-0.12954660000000001</v>
      </c>
      <c r="Z1591">
        <v>2.218589E-3</v>
      </c>
      <c r="AA1591">
        <v>0.99157079999999997</v>
      </c>
      <c r="AB1591">
        <v>26</v>
      </c>
      <c r="AC1591">
        <v>58.188799999999901</v>
      </c>
      <c r="AD1591">
        <v>-1.1108837564329901</v>
      </c>
      <c r="AE1591">
        <v>7.0754000000000001</v>
      </c>
      <c r="AF1591">
        <v>-7.6101112163346603</v>
      </c>
      <c r="AG1591">
        <v>-1.1108837564329901</v>
      </c>
      <c r="AH1591">
        <v>58.100061458356599</v>
      </c>
      <c r="AI1591">
        <v>91.086097325061004</v>
      </c>
      <c r="AJ1591">
        <v>97.462282029090701</v>
      </c>
      <c r="AK1591">
        <v>58.606868171828701</v>
      </c>
      <c r="AL1591">
        <v>82.261676124547094</v>
      </c>
      <c r="AM1591">
        <v>94.886117116567604</v>
      </c>
      <c r="AN1591">
        <v>0.99999998464539197</v>
      </c>
    </row>
    <row r="1592" spans="1:40" x14ac:dyDescent="0.25">
      <c r="A1592" t="str">
        <f>"20190304154749703"</f>
        <v>20190304154749703</v>
      </c>
      <c r="B1592" t="str">
        <f>"1551685669697759"</f>
        <v>1551685669697759</v>
      </c>
      <c r="C1592" t="s">
        <v>40</v>
      </c>
      <c r="D1592">
        <v>4.1780379999999999</v>
      </c>
      <c r="E1592">
        <v>0.4816433</v>
      </c>
      <c r="F1592" t="s">
        <v>53</v>
      </c>
      <c r="G1592">
        <v>-208.81200000000001</v>
      </c>
      <c r="H1592" s="1">
        <v>-5.7761420000000004E-6</v>
      </c>
      <c r="I1592">
        <v>373.92619999999999</v>
      </c>
      <c r="J1592">
        <v>-266.81229999999999</v>
      </c>
      <c r="K1592">
        <v>1.1108769999999999</v>
      </c>
      <c r="L1592">
        <v>366.87209999999999</v>
      </c>
      <c r="M1592">
        <v>0.99985100000000005</v>
      </c>
      <c r="N1592">
        <v>-1.4558140000000001E-2</v>
      </c>
      <c r="O1592">
        <v>-9.2844699999999995E-3</v>
      </c>
      <c r="P1592">
        <v>0.98987769999999997</v>
      </c>
      <c r="Q1592">
        <v>0.12036669999999999</v>
      </c>
      <c r="R1592">
        <v>7.5194360000000002E-2</v>
      </c>
      <c r="S1592">
        <v>3.0098880000000001</v>
      </c>
      <c r="T1592">
        <v>-5.7509539999999998E-2</v>
      </c>
      <c r="U1592">
        <v>0.3651123</v>
      </c>
      <c r="V1592">
        <v>-8.4357940000000006E-2</v>
      </c>
      <c r="W1592">
        <v>0.1347699</v>
      </c>
      <c r="X1592">
        <v>0.98727949999999998</v>
      </c>
      <c r="Y1592">
        <v>-0.12959280000000001</v>
      </c>
      <c r="Z1592">
        <v>2.2224839999999998E-3</v>
      </c>
      <c r="AA1592">
        <v>0.99156480000000002</v>
      </c>
      <c r="AB1592">
        <v>26</v>
      </c>
      <c r="AC1592">
        <v>58.000299999999903</v>
      </c>
      <c r="AD1592">
        <v>-1.1108827761419999</v>
      </c>
      <c r="AE1592">
        <v>7.0541</v>
      </c>
      <c r="AF1592">
        <v>-7.5896113820403599</v>
      </c>
      <c r="AG1592">
        <v>-1.1108827761419999</v>
      </c>
      <c r="AH1592">
        <v>57.911364537111503</v>
      </c>
      <c r="AI1592">
        <v>91.089624207970402</v>
      </c>
      <c r="AJ1592">
        <v>97.466383038326697</v>
      </c>
      <c r="AK1592">
        <v>58.417141354425603</v>
      </c>
      <c r="AL1592">
        <v>82.254685460901499</v>
      </c>
      <c r="AM1592">
        <v>94.883766658740001</v>
      </c>
      <c r="AN1592">
        <v>0.99999999955365104</v>
      </c>
    </row>
    <row r="1593" spans="1:40" x14ac:dyDescent="0.25">
      <c r="A1593" t="str">
        <f>"20190304154749715"</f>
        <v>20190304154749715</v>
      </c>
      <c r="B1593" t="str">
        <f>"1551685669708494"</f>
        <v>1551685669708494</v>
      </c>
      <c r="C1593" t="s">
        <v>40</v>
      </c>
      <c r="D1593">
        <v>4.1906410000000003</v>
      </c>
      <c r="E1593">
        <v>0.4815487</v>
      </c>
      <c r="F1593" t="s">
        <v>53</v>
      </c>
      <c r="G1593">
        <v>-208.49199999999999</v>
      </c>
      <c r="H1593" s="1">
        <v>-5.6638860000000001E-6</v>
      </c>
      <c r="I1593">
        <v>373.95909999999998</v>
      </c>
      <c r="J1593">
        <v>-266.68979999999999</v>
      </c>
      <c r="K1593">
        <v>1.1108769999999999</v>
      </c>
      <c r="L1593">
        <v>366.87099999999998</v>
      </c>
      <c r="M1593">
        <v>0.99985100000000005</v>
      </c>
      <c r="N1593">
        <v>-1.4535640000000001E-2</v>
      </c>
      <c r="O1593">
        <v>-9.3230450000000003E-3</v>
      </c>
      <c r="P1593">
        <v>0.98985299999999998</v>
      </c>
      <c r="Q1593">
        <v>0.12067509999999999</v>
      </c>
      <c r="R1593">
        <v>7.5027179999999999E-2</v>
      </c>
      <c r="S1593">
        <v>3.0098569999999998</v>
      </c>
      <c r="T1593">
        <v>-5.7331680000000003E-2</v>
      </c>
      <c r="U1593">
        <v>0.3657532</v>
      </c>
      <c r="V1593">
        <v>-8.4228460000000005E-2</v>
      </c>
      <c r="W1593">
        <v>0.13505529999999999</v>
      </c>
      <c r="X1593">
        <v>0.98725160000000001</v>
      </c>
      <c r="Y1593">
        <v>-0.1298405</v>
      </c>
      <c r="Z1593">
        <v>2.2212070000000002E-3</v>
      </c>
      <c r="AA1593">
        <v>0.99153239999999998</v>
      </c>
      <c r="AB1593">
        <v>26</v>
      </c>
      <c r="AC1593">
        <v>58.197799999999901</v>
      </c>
      <c r="AD1593">
        <v>-1.1108826638860001</v>
      </c>
      <c r="AE1593">
        <v>7.0880999999999901</v>
      </c>
      <c r="AF1593">
        <v>-7.62769130263721</v>
      </c>
      <c r="AG1593">
        <v>-1.1108826638860001</v>
      </c>
      <c r="AH1593">
        <v>58.1083179915464</v>
      </c>
      <c r="AI1593">
        <v>91.085902236041704</v>
      </c>
      <c r="AJ1593">
        <v>97.478274970000598</v>
      </c>
      <c r="AK1593">
        <v>58.617338345475297</v>
      </c>
      <c r="AL1593">
        <v>82.238182717788405</v>
      </c>
      <c r="AM1593">
        <v>94.876443937109599</v>
      </c>
      <c r="AN1593">
        <v>1.0000000446173101</v>
      </c>
    </row>
    <row r="1594" spans="1:40" x14ac:dyDescent="0.25">
      <c r="A1594" t="str">
        <f>"20190304154749725"</f>
        <v>20190304154749725</v>
      </c>
      <c r="B1594" t="str">
        <f>"1551685669718254"</f>
        <v>1551685669718254</v>
      </c>
      <c r="C1594" t="s">
        <v>40</v>
      </c>
      <c r="D1594">
        <v>4.1944499999999998</v>
      </c>
      <c r="E1594">
        <v>0.48145579999999999</v>
      </c>
      <c r="F1594" t="s">
        <v>53</v>
      </c>
      <c r="G1594">
        <v>-207.58799999999999</v>
      </c>
      <c r="H1594" s="1">
        <v>-5.3454959999999998E-6</v>
      </c>
      <c r="I1594">
        <v>374.06009999999998</v>
      </c>
      <c r="J1594">
        <v>-266.56540000000001</v>
      </c>
      <c r="K1594">
        <v>1.110878</v>
      </c>
      <c r="L1594">
        <v>366.8698</v>
      </c>
      <c r="M1594">
        <v>0.99985089999999999</v>
      </c>
      <c r="N1594">
        <v>-1.451027E-2</v>
      </c>
      <c r="O1594">
        <v>-9.3623119999999994E-3</v>
      </c>
      <c r="P1594">
        <v>0.98982729999999997</v>
      </c>
      <c r="Q1594">
        <v>0.1207792</v>
      </c>
      <c r="R1594">
        <v>7.5196040000000006E-2</v>
      </c>
      <c r="S1594">
        <v>3.0098569999999998</v>
      </c>
      <c r="T1594">
        <v>-5.657351E-2</v>
      </c>
      <c r="U1594">
        <v>0.36611939999999998</v>
      </c>
      <c r="V1594">
        <v>-8.44361E-2</v>
      </c>
      <c r="W1594">
        <v>0.1351337</v>
      </c>
      <c r="X1594">
        <v>0.98722310000000002</v>
      </c>
      <c r="Y1594">
        <v>-0.12999910000000001</v>
      </c>
      <c r="Z1594">
        <v>2.2039640000000001E-3</v>
      </c>
      <c r="AA1594">
        <v>0.99151160000000005</v>
      </c>
      <c r="AB1594">
        <v>26</v>
      </c>
      <c r="AC1594">
        <v>58.977400000000003</v>
      </c>
      <c r="AD1594">
        <v>-1.1108833454960001</v>
      </c>
      <c r="AE1594">
        <v>7.1902999999999704</v>
      </c>
      <c r="AF1594">
        <v>-7.7395021062539797</v>
      </c>
      <c r="AG1594">
        <v>-1.1108833454960001</v>
      </c>
      <c r="AH1594">
        <v>58.886903484762399</v>
      </c>
      <c r="AI1594">
        <v>91.071526210037007</v>
      </c>
      <c r="AJ1594">
        <v>97.487465197215201</v>
      </c>
      <c r="AK1594">
        <v>59.403715007427998</v>
      </c>
      <c r="AL1594">
        <v>82.233648902080702</v>
      </c>
      <c r="AM1594">
        <v>94.888547603226797</v>
      </c>
      <c r="AN1594">
        <v>1.0000000105162501</v>
      </c>
    </row>
    <row r="1595" spans="1:40" x14ac:dyDescent="0.25">
      <c r="A1595" t="str">
        <f>"20190304154749735"</f>
        <v>20190304154749735</v>
      </c>
      <c r="B1595" t="str">
        <f>"1551685669728015"</f>
        <v>1551685669728015</v>
      </c>
      <c r="C1595" t="s">
        <v>40</v>
      </c>
      <c r="D1595">
        <v>4.1938110000000002</v>
      </c>
      <c r="E1595">
        <v>0.48137049999999998</v>
      </c>
      <c r="F1595" t="s">
        <v>53</v>
      </c>
      <c r="G1595">
        <v>-207.54480000000001</v>
      </c>
      <c r="H1595" s="1">
        <v>-5.3292849999999997E-6</v>
      </c>
      <c r="I1595">
        <v>374.07139999999998</v>
      </c>
      <c r="J1595">
        <v>-266.4434</v>
      </c>
      <c r="K1595">
        <v>1.1108769999999999</v>
      </c>
      <c r="L1595">
        <v>366.86860000000001</v>
      </c>
      <c r="M1595">
        <v>0.99985089999999999</v>
      </c>
      <c r="N1595">
        <v>-1.448434E-2</v>
      </c>
      <c r="O1595">
        <v>-9.4007429999999996E-3</v>
      </c>
      <c r="P1595">
        <v>0.9898342</v>
      </c>
      <c r="Q1595">
        <v>0.1206846</v>
      </c>
      <c r="R1595">
        <v>7.5255130000000003E-2</v>
      </c>
      <c r="S1595">
        <v>3.0097960000000001</v>
      </c>
      <c r="T1595">
        <v>-5.6650279999999997E-2</v>
      </c>
      <c r="U1595">
        <v>0.36724849999999998</v>
      </c>
      <c r="V1595">
        <v>-8.4533040000000004E-2</v>
      </c>
      <c r="W1595">
        <v>0.1350142</v>
      </c>
      <c r="X1595">
        <v>0.98723110000000003</v>
      </c>
      <c r="Y1595">
        <v>-0.13040599999999999</v>
      </c>
      <c r="Z1595">
        <v>2.211364E-3</v>
      </c>
      <c r="AA1595">
        <v>0.99145819999999996</v>
      </c>
      <c r="AB1595">
        <v>26</v>
      </c>
      <c r="AC1595">
        <v>58.898599999999902</v>
      </c>
      <c r="AD1595">
        <v>-1.1108823292849901</v>
      </c>
      <c r="AE1595">
        <v>7.2027999999999599</v>
      </c>
      <c r="AF1595">
        <v>-7.75351279855344</v>
      </c>
      <c r="AG1595">
        <v>-1.1108823292849901</v>
      </c>
      <c r="AH1595">
        <v>58.807666396185397</v>
      </c>
      <c r="AI1595">
        <v>91.072911010514005</v>
      </c>
      <c r="AJ1595">
        <v>97.510856737640594</v>
      </c>
      <c r="AK1595">
        <v>59.326997625296002</v>
      </c>
      <c r="AL1595">
        <v>82.240558657453093</v>
      </c>
      <c r="AM1595">
        <v>94.8940933698685</v>
      </c>
      <c r="AN1595">
        <v>0.99999995693024402</v>
      </c>
    </row>
    <row r="1596" spans="1:40" x14ac:dyDescent="0.25">
      <c r="A1596" t="str">
        <f>"20190304154749746"</f>
        <v>20190304154749746</v>
      </c>
      <c r="B1596" t="str">
        <f>"1551685669737775"</f>
        <v>1551685669737775</v>
      </c>
      <c r="C1596" t="s">
        <v>40</v>
      </c>
      <c r="D1596">
        <v>4.16472</v>
      </c>
      <c r="E1596">
        <v>0.48129460000000002</v>
      </c>
      <c r="F1596" t="s">
        <v>53</v>
      </c>
      <c r="G1596">
        <v>-207.97559999999999</v>
      </c>
      <c r="H1596" s="1">
        <v>-5.4812680000000003E-6</v>
      </c>
      <c r="I1596">
        <v>374.02170000000001</v>
      </c>
      <c r="J1596">
        <v>-266.31639999999999</v>
      </c>
      <c r="K1596">
        <v>1.11087</v>
      </c>
      <c r="L1596">
        <v>366.8673</v>
      </c>
      <c r="M1596">
        <v>0.99985100000000005</v>
      </c>
      <c r="N1596">
        <v>-1.4455580000000001E-2</v>
      </c>
      <c r="O1596">
        <v>-9.4404689999999999E-3</v>
      </c>
      <c r="P1596">
        <v>0.98978429999999995</v>
      </c>
      <c r="Q1596">
        <v>0.12101870000000001</v>
      </c>
      <c r="R1596">
        <v>7.5378650000000005E-2</v>
      </c>
      <c r="S1596">
        <v>3.0097960000000001</v>
      </c>
      <c r="T1596">
        <v>-5.7185890000000003E-2</v>
      </c>
      <c r="U1596">
        <v>0.36822510000000003</v>
      </c>
      <c r="V1596">
        <v>-8.4695210000000007E-2</v>
      </c>
      <c r="W1596">
        <v>0.13531850000000001</v>
      </c>
      <c r="X1596">
        <v>0.98717560000000004</v>
      </c>
      <c r="Y1596">
        <v>-0.13076160000000001</v>
      </c>
      <c r="Z1596">
        <v>2.2290949999999999E-3</v>
      </c>
      <c r="AA1596">
        <v>0.9914113</v>
      </c>
      <c r="AB1596">
        <v>26</v>
      </c>
      <c r="AC1596">
        <v>58.340800000000002</v>
      </c>
      <c r="AD1596">
        <v>-1.110875481268</v>
      </c>
      <c r="AE1596">
        <v>7.1544000000000096</v>
      </c>
      <c r="AF1596">
        <v>-7.7021519968345</v>
      </c>
      <c r="AG1596">
        <v>-1.110875481268</v>
      </c>
      <c r="AH1596">
        <v>58.249845250405301</v>
      </c>
      <c r="AI1596">
        <v>91.083122951281396</v>
      </c>
      <c r="AJ1596">
        <v>97.532304735064898</v>
      </c>
      <c r="AK1596">
        <v>58.767352002735301</v>
      </c>
      <c r="AL1596">
        <v>82.222962560174693</v>
      </c>
      <c r="AM1596">
        <v>94.9037109024041</v>
      </c>
      <c r="AN1596">
        <v>1.0000000201372701</v>
      </c>
    </row>
    <row r="1597" spans="1:40" x14ac:dyDescent="0.25">
      <c r="A1597" t="str">
        <f>"20190304154749758"</f>
        <v>20190304154749758</v>
      </c>
      <c r="B1597" t="str">
        <f>"1551685669748510"</f>
        <v>1551685669748510</v>
      </c>
      <c r="C1597" t="s">
        <v>40</v>
      </c>
      <c r="D1597">
        <v>4.1936819999999999</v>
      </c>
      <c r="E1597">
        <v>0.48119410000000001</v>
      </c>
      <c r="F1597" t="s">
        <v>53</v>
      </c>
      <c r="G1597">
        <v>-207.1473</v>
      </c>
      <c r="H1597" s="1">
        <v>-5.1729080000000003E-6</v>
      </c>
      <c r="I1597">
        <v>374.12430000000001</v>
      </c>
      <c r="J1597">
        <v>-266.18029999999999</v>
      </c>
      <c r="K1597">
        <v>1.1108709999999999</v>
      </c>
      <c r="L1597">
        <v>366.86599999999999</v>
      </c>
      <c r="M1597">
        <v>0.99985109999999999</v>
      </c>
      <c r="N1597">
        <v>-1.442274E-2</v>
      </c>
      <c r="O1597">
        <v>-9.4832609999999998E-3</v>
      </c>
      <c r="P1597">
        <v>0.98978809999999995</v>
      </c>
      <c r="Q1597">
        <v>0.1210209</v>
      </c>
      <c r="R1597">
        <v>7.5325030000000001E-2</v>
      </c>
      <c r="S1597">
        <v>3.0097659999999999</v>
      </c>
      <c r="T1597">
        <v>-5.6507109999999999E-2</v>
      </c>
      <c r="U1597">
        <v>0.36914059999999999</v>
      </c>
      <c r="V1597">
        <v>-8.4684250000000003E-2</v>
      </c>
      <c r="W1597">
        <v>0.13528870000000001</v>
      </c>
      <c r="X1597">
        <v>0.98718059999999996</v>
      </c>
      <c r="Y1597">
        <v>-0.1311031</v>
      </c>
      <c r="Z1597">
        <v>2.2162979999999998E-3</v>
      </c>
      <c r="AA1597">
        <v>0.99136630000000003</v>
      </c>
      <c r="AB1597">
        <v>26</v>
      </c>
      <c r="AC1597">
        <v>59.032999999999902</v>
      </c>
      <c r="AD1597">
        <v>-1.1108761729079999</v>
      </c>
      <c r="AE1597">
        <v>7.25830000000001</v>
      </c>
      <c r="AF1597">
        <v>-7.8151308575482101</v>
      </c>
      <c r="AG1597">
        <v>-1.1108761729079999</v>
      </c>
      <c r="AH1597">
        <v>58.940944484090302</v>
      </c>
      <c r="AI1597">
        <v>91.070375640065294</v>
      </c>
      <c r="AJ1597">
        <v>97.552937642085993</v>
      </c>
      <c r="AK1597">
        <v>59.467177946063302</v>
      </c>
      <c r="AL1597">
        <v>82.224685630607595</v>
      </c>
      <c r="AM1597">
        <v>94.9030547176976</v>
      </c>
      <c r="AN1597">
        <v>0.99999999578105603</v>
      </c>
    </row>
    <row r="1598" spans="1:40" x14ac:dyDescent="0.25">
      <c r="A1598" t="str">
        <f>"20190304154749769"</f>
        <v>20190304154749769</v>
      </c>
      <c r="B1598" t="str">
        <f>"1551685669758271"</f>
        <v>1551685669758271</v>
      </c>
      <c r="C1598" t="s">
        <v>40</v>
      </c>
      <c r="D1598">
        <v>4.1920679999999999</v>
      </c>
      <c r="E1598">
        <v>0.48110350000000002</v>
      </c>
      <c r="F1598" t="s">
        <v>53</v>
      </c>
      <c r="G1598">
        <v>-206.92160000000001</v>
      </c>
      <c r="H1598" s="1">
        <v>-5.0621119999999997E-6</v>
      </c>
      <c r="I1598">
        <v>374.1497</v>
      </c>
      <c r="J1598">
        <v>-266.048</v>
      </c>
      <c r="K1598">
        <v>1.110868</v>
      </c>
      <c r="L1598">
        <v>366.86470000000003</v>
      </c>
      <c r="M1598">
        <v>0.99985119999999905</v>
      </c>
      <c r="N1598">
        <v>-1.43894E-2</v>
      </c>
      <c r="O1598">
        <v>-9.5252129999999994E-3</v>
      </c>
      <c r="P1598">
        <v>0.98976699999999995</v>
      </c>
      <c r="Q1598">
        <v>0.12115099999999999</v>
      </c>
      <c r="R1598">
        <v>7.5393440000000006E-2</v>
      </c>
      <c r="S1598">
        <v>3.0097049999999999</v>
      </c>
      <c r="T1598">
        <v>-5.6420560000000002E-2</v>
      </c>
      <c r="U1598">
        <v>0.36993409999999999</v>
      </c>
      <c r="V1598">
        <v>-8.4793759999999996E-2</v>
      </c>
      <c r="W1598">
        <v>0.13538510000000001</v>
      </c>
      <c r="X1598">
        <v>0.98715799999999998</v>
      </c>
      <c r="Y1598">
        <v>-0.13140460000000001</v>
      </c>
      <c r="Z1598">
        <v>2.2174680000000002E-3</v>
      </c>
      <c r="AA1598">
        <v>0.99132629999999999</v>
      </c>
      <c r="AB1598">
        <v>26</v>
      </c>
      <c r="AC1598">
        <v>59.126399999999897</v>
      </c>
      <c r="AD1598">
        <v>-1.110873062112</v>
      </c>
      <c r="AE1598">
        <v>7.2849999999999602</v>
      </c>
      <c r="AF1598">
        <v>-7.84519136640266</v>
      </c>
      <c r="AG1598">
        <v>-1.110873062112</v>
      </c>
      <c r="AH1598">
        <v>59.033791875050397</v>
      </c>
      <c r="AI1598">
        <v>91.0686476652794</v>
      </c>
      <c r="AJ1598">
        <v>97.569866414359595</v>
      </c>
      <c r="AK1598">
        <v>59.563156814278898</v>
      </c>
      <c r="AL1598">
        <v>82.2191111560699</v>
      </c>
      <c r="AM1598">
        <v>94.909476012935201</v>
      </c>
      <c r="AN1598">
        <v>1.00000001200047</v>
      </c>
    </row>
    <row r="1599" spans="1:40" x14ac:dyDescent="0.25">
      <c r="A1599" t="str">
        <f>"20190304154749779"</f>
        <v>20190304154749779</v>
      </c>
      <c r="B1599" t="str">
        <f>"1551685669768029"</f>
        <v>1551685669768029</v>
      </c>
      <c r="C1599" t="s">
        <v>40</v>
      </c>
      <c r="D1599">
        <v>4.0909139999999997</v>
      </c>
      <c r="E1599">
        <v>0.48099619999999998</v>
      </c>
      <c r="F1599" t="s">
        <v>53</v>
      </c>
      <c r="G1599">
        <v>-206.435</v>
      </c>
      <c r="H1599" s="1">
        <v>-4.820936E-6</v>
      </c>
      <c r="I1599">
        <v>374.21510000000001</v>
      </c>
      <c r="J1599">
        <v>-265.93209999999999</v>
      </c>
      <c r="K1599">
        <v>1.110867</v>
      </c>
      <c r="L1599">
        <v>366.86360000000002</v>
      </c>
      <c r="M1599">
        <v>0.99985119999999905</v>
      </c>
      <c r="N1599">
        <v>-1.435881E-2</v>
      </c>
      <c r="O1599">
        <v>-9.5615869999999999E-3</v>
      </c>
      <c r="P1599">
        <v>0.98979430000000002</v>
      </c>
      <c r="Q1599">
        <v>0.1208462</v>
      </c>
      <c r="R1599">
        <v>7.5523080000000006E-2</v>
      </c>
      <c r="S1599">
        <v>3.0096129999999999</v>
      </c>
      <c r="T1599">
        <v>-5.6083319999999999E-2</v>
      </c>
      <c r="U1599">
        <v>0.37109379999999997</v>
      </c>
      <c r="V1599">
        <v>-8.4959590000000001E-2</v>
      </c>
      <c r="W1599">
        <v>0.13505059999999999</v>
      </c>
      <c r="X1599">
        <v>0.98718950000000005</v>
      </c>
      <c r="Y1599">
        <v>-0.13182089999999999</v>
      </c>
      <c r="Z1599">
        <v>2.2143979999999998E-3</v>
      </c>
      <c r="AA1599">
        <v>0.99127109999999996</v>
      </c>
      <c r="AB1599">
        <v>26</v>
      </c>
      <c r="AC1599">
        <v>59.497099999999897</v>
      </c>
      <c r="AD1599">
        <v>-1.110871820936</v>
      </c>
      <c r="AE1599">
        <v>7.3514999999999802</v>
      </c>
      <c r="AF1599">
        <v>-7.9173906632432498</v>
      </c>
      <c r="AG1599">
        <v>-1.110871820936</v>
      </c>
      <c r="AH1599">
        <v>59.403683252244797</v>
      </c>
      <c r="AI1599">
        <v>91.061939956673896</v>
      </c>
      <c r="AJ1599">
        <v>97.5917051629892</v>
      </c>
      <c r="AK1599">
        <v>59.939275062766498</v>
      </c>
      <c r="AL1599">
        <v>82.238453780082494</v>
      </c>
      <c r="AM1599">
        <v>94.918874153369103</v>
      </c>
      <c r="AN1599">
        <v>0.99999995270178799</v>
      </c>
    </row>
    <row r="1600" spans="1:40" x14ac:dyDescent="0.25">
      <c r="A1600" t="str">
        <f>"20190304154749790"</f>
        <v>20190304154749790</v>
      </c>
      <c r="B1600" t="str">
        <f>"1551685669788527"</f>
        <v>1551685669788527</v>
      </c>
      <c r="C1600" t="s">
        <v>40</v>
      </c>
      <c r="D1600">
        <v>4.1606230000000002</v>
      </c>
      <c r="E1600">
        <v>0.48083890000000001</v>
      </c>
      <c r="F1600" t="s">
        <v>53</v>
      </c>
      <c r="G1600">
        <v>-208.37610000000001</v>
      </c>
      <c r="H1600" s="1">
        <v>-5.6218960000000002E-6</v>
      </c>
      <c r="I1600">
        <v>373.9796</v>
      </c>
      <c r="J1600">
        <v>-265.8039</v>
      </c>
      <c r="K1600">
        <v>1.11086</v>
      </c>
      <c r="L1600">
        <v>366.8623</v>
      </c>
      <c r="M1600">
        <v>0.9998513</v>
      </c>
      <c r="N1600">
        <v>-1.4324659999999999E-2</v>
      </c>
      <c r="O1600">
        <v>-9.6018700000000002E-3</v>
      </c>
      <c r="P1600">
        <v>0.9897918</v>
      </c>
      <c r="Q1600">
        <v>0.1208476</v>
      </c>
      <c r="R1600">
        <v>7.5552339999999996E-2</v>
      </c>
      <c r="S1600">
        <v>3.0096440000000002</v>
      </c>
      <c r="T1600">
        <v>-5.8088300000000002E-2</v>
      </c>
      <c r="U1600">
        <v>0.37210080000000001</v>
      </c>
      <c r="V1600">
        <v>-8.5029160000000006E-2</v>
      </c>
      <c r="W1600">
        <v>0.13501840000000001</v>
      </c>
      <c r="X1600">
        <v>0.98718799999999995</v>
      </c>
      <c r="Y1600">
        <v>-0.13218389999999999</v>
      </c>
      <c r="Z1600">
        <v>2.2688259999999998E-3</v>
      </c>
      <c r="AA1600">
        <v>0.99122259999999995</v>
      </c>
      <c r="AB1600">
        <v>26</v>
      </c>
      <c r="AC1600">
        <v>57.427799999999898</v>
      </c>
      <c r="AD1600">
        <v>-1.110865621896</v>
      </c>
      <c r="AE1600">
        <v>7.1173000000000002</v>
      </c>
      <c r="AF1600">
        <v>-7.6656177627381501</v>
      </c>
      <c r="AG1600">
        <v>-1.110865621896</v>
      </c>
      <c r="AH1600">
        <v>57.335676460596602</v>
      </c>
      <c r="AI1600">
        <v>91.100167039239693</v>
      </c>
      <c r="AJ1600">
        <v>97.615124647787994</v>
      </c>
      <c r="AK1600">
        <v>57.856507959852898</v>
      </c>
      <c r="AL1600">
        <v>82.240316415435103</v>
      </c>
      <c r="AM1600">
        <v>94.922889679389797</v>
      </c>
      <c r="AN1600">
        <v>1.0000000368664299</v>
      </c>
    </row>
    <row r="1601" spans="1:40" x14ac:dyDescent="0.25">
      <c r="A1601" t="str">
        <f>"20190304154749804"</f>
        <v>20190304154749804</v>
      </c>
      <c r="B1601" t="str">
        <f>"1551685669798287"</f>
        <v>1551685669798287</v>
      </c>
      <c r="C1601" t="s">
        <v>40</v>
      </c>
      <c r="D1601">
        <v>4.1669109999999998</v>
      </c>
      <c r="E1601">
        <v>0.48076160000000001</v>
      </c>
      <c r="F1601" t="s">
        <v>53</v>
      </c>
      <c r="G1601">
        <v>-208.30410000000001</v>
      </c>
      <c r="H1601" s="1">
        <v>-5.5948290000000004E-6</v>
      </c>
      <c r="I1601">
        <v>373.99849999999998</v>
      </c>
      <c r="J1601">
        <v>-265.65879999999999</v>
      </c>
      <c r="K1601">
        <v>1.1108559999999901</v>
      </c>
      <c r="L1601">
        <v>366.86079999999998</v>
      </c>
      <c r="M1601">
        <v>0.9998515</v>
      </c>
      <c r="N1601">
        <v>-1.428599E-2</v>
      </c>
      <c r="O1601">
        <v>-9.6478380000000006E-3</v>
      </c>
      <c r="P1601">
        <v>0.98979879999999998</v>
      </c>
      <c r="Q1601">
        <v>0.120703</v>
      </c>
      <c r="R1601">
        <v>7.5693559999999993E-2</v>
      </c>
      <c r="S1601">
        <v>3.0095209999999999</v>
      </c>
      <c r="T1601">
        <v>-5.8142300000000001E-2</v>
      </c>
      <c r="U1601">
        <v>0.37350460000000002</v>
      </c>
      <c r="V1601">
        <v>-8.5215830000000006E-2</v>
      </c>
      <c r="W1601">
        <v>0.1348356</v>
      </c>
      <c r="X1601">
        <v>0.98719690000000004</v>
      </c>
      <c r="Y1601">
        <v>-0.13268959999999999</v>
      </c>
      <c r="Z1601">
        <v>2.2767540000000002E-3</v>
      </c>
      <c r="AA1601">
        <v>0.99115500000000001</v>
      </c>
      <c r="AB1601">
        <v>26</v>
      </c>
      <c r="AC1601">
        <v>57.354699999999902</v>
      </c>
      <c r="AD1601">
        <v>-1.1108615948289999</v>
      </c>
      <c r="AE1601">
        <v>7.1376999999999899</v>
      </c>
      <c r="AF1601">
        <v>-7.6879330182986303</v>
      </c>
      <c r="AG1601">
        <v>-1.1108615948289999</v>
      </c>
      <c r="AH1601">
        <v>57.262006594371002</v>
      </c>
      <c r="AI1601">
        <v>91.101496690761394</v>
      </c>
      <c r="AJ1601">
        <v>97.646740812248694</v>
      </c>
      <c r="AK1601">
        <v>57.786466640473002</v>
      </c>
      <c r="AL1601">
        <v>82.250886830591</v>
      </c>
      <c r="AM1601">
        <v>94.933599671737795</v>
      </c>
      <c r="AN1601">
        <v>1.0000000480397699</v>
      </c>
    </row>
    <row r="1602" spans="1:40" x14ac:dyDescent="0.25">
      <c r="A1602" t="str">
        <f>"20190304154749816"</f>
        <v>20190304154749816</v>
      </c>
      <c r="B1602" t="str">
        <f>"1551685669808046"</f>
        <v>1551685669808046</v>
      </c>
      <c r="C1602" t="s">
        <v>40</v>
      </c>
      <c r="D1602">
        <v>4.1765999999999996</v>
      </c>
      <c r="E1602">
        <v>0.48067779999999999</v>
      </c>
      <c r="F1602" t="s">
        <v>53</v>
      </c>
      <c r="G1602">
        <v>-208.7629</v>
      </c>
      <c r="H1602" s="1">
        <v>-5.7570839999999999E-6</v>
      </c>
      <c r="I1602">
        <v>373.94299999999998</v>
      </c>
      <c r="J1602">
        <v>-265.50779999999997</v>
      </c>
      <c r="K1602">
        <v>1.110854</v>
      </c>
      <c r="L1602">
        <v>366.85930000000002</v>
      </c>
      <c r="M1602">
        <v>0.99985159999999995</v>
      </c>
      <c r="N1602">
        <v>-1.424652E-2</v>
      </c>
      <c r="O1602">
        <v>-9.6954720000000001E-3</v>
      </c>
      <c r="P1602">
        <v>0.98980210000000002</v>
      </c>
      <c r="Q1602">
        <v>0.1206614</v>
      </c>
      <c r="R1602">
        <v>7.5714760000000006E-2</v>
      </c>
      <c r="S1602">
        <v>3.00943</v>
      </c>
      <c r="T1602">
        <v>-5.8757539999999997E-2</v>
      </c>
      <c r="U1602">
        <v>0.37460329999999997</v>
      </c>
      <c r="V1602">
        <v>-8.5284079999999998E-2</v>
      </c>
      <c r="W1602">
        <v>0.13475479999999901</v>
      </c>
      <c r="X1602">
        <v>0.98720200000000002</v>
      </c>
      <c r="Y1602">
        <v>-0.13309599999999999</v>
      </c>
      <c r="Z1602">
        <v>2.2971229999999999E-3</v>
      </c>
      <c r="AA1602">
        <v>0.99110050000000005</v>
      </c>
      <c r="AB1602">
        <v>26</v>
      </c>
      <c r="AC1602">
        <v>56.744899999999902</v>
      </c>
      <c r="AD1602">
        <v>-1.110859757084</v>
      </c>
      <c r="AE1602">
        <v>7.0837000000000199</v>
      </c>
      <c r="AF1602">
        <v>-7.6307118802162401</v>
      </c>
      <c r="AG1602">
        <v>-1.110859757084</v>
      </c>
      <c r="AH1602">
        <v>56.652167614085897</v>
      </c>
      <c r="AI1602">
        <v>91.113285089681497</v>
      </c>
      <c r="AJ1602">
        <v>97.671233157584197</v>
      </c>
      <c r="AK1602">
        <v>57.174556129219397</v>
      </c>
      <c r="AL1602">
        <v>82.255558670310194</v>
      </c>
      <c r="AM1602">
        <v>94.937506121164404</v>
      </c>
      <c r="AN1602">
        <v>1.0000000096142401</v>
      </c>
    </row>
    <row r="1603" spans="1:40" x14ac:dyDescent="0.25">
      <c r="A1603" t="str">
        <f>"20190304154749831"</f>
        <v>20190304154749831</v>
      </c>
      <c r="B1603" t="str">
        <f>"1551685669828542"</f>
        <v>1551685669828542</v>
      </c>
      <c r="C1603" t="s">
        <v>40</v>
      </c>
      <c r="D1603">
        <v>4.1671490000000002</v>
      </c>
      <c r="E1603">
        <v>0.48052980000000001</v>
      </c>
      <c r="F1603" t="s">
        <v>53</v>
      </c>
      <c r="G1603">
        <v>-208.6103</v>
      </c>
      <c r="H1603" s="1">
        <v>-5.7034700000000001E-6</v>
      </c>
      <c r="I1603">
        <v>373.95920000000001</v>
      </c>
      <c r="J1603">
        <v>-265.3374</v>
      </c>
      <c r="K1603">
        <v>1.110852</v>
      </c>
      <c r="L1603">
        <v>366.85759999999999</v>
      </c>
      <c r="M1603">
        <v>0.99985170000000001</v>
      </c>
      <c r="N1603">
        <v>-1.420331E-2</v>
      </c>
      <c r="O1603">
        <v>-9.7490419999999994E-3</v>
      </c>
      <c r="P1603">
        <v>0.98977700000000002</v>
      </c>
      <c r="Q1603">
        <v>0.1209002</v>
      </c>
      <c r="R1603">
        <v>7.5662289999999993E-2</v>
      </c>
      <c r="S1603">
        <v>3.0093380000000001</v>
      </c>
      <c r="T1603">
        <v>-5.8753970000000003E-2</v>
      </c>
      <c r="U1603">
        <v>0.37551879999999999</v>
      </c>
      <c r="V1603">
        <v>-8.5284150000000003E-2</v>
      </c>
      <c r="W1603">
        <v>0.13495090000000001</v>
      </c>
      <c r="X1603">
        <v>0.98717520000000003</v>
      </c>
      <c r="Y1603">
        <v>-0.1334496</v>
      </c>
      <c r="Z1603">
        <v>2.3008450000000001E-3</v>
      </c>
      <c r="AA1603">
        <v>0.99105290000000001</v>
      </c>
      <c r="AB1603">
        <v>26</v>
      </c>
      <c r="AC1603">
        <v>56.7271</v>
      </c>
      <c r="AD1603">
        <v>-1.11085770347</v>
      </c>
      <c r="AE1603">
        <v>7.1016000000000101</v>
      </c>
      <c r="AF1603">
        <v>-7.6514641978207596</v>
      </c>
      <c r="AG1603">
        <v>-1.11085770347</v>
      </c>
      <c r="AH1603">
        <v>56.633780378336198</v>
      </c>
      <c r="AI1603">
        <v>91.1135838894307</v>
      </c>
      <c r="AJ1603">
        <v>97.694313639385797</v>
      </c>
      <c r="AK1603">
        <v>57.159111164796002</v>
      </c>
      <c r="AL1603">
        <v>82.244219343795706</v>
      </c>
      <c r="AM1603">
        <v>94.937643535456601</v>
      </c>
      <c r="AN1603">
        <v>1.0000000035735299</v>
      </c>
    </row>
    <row r="1604" spans="1:40" x14ac:dyDescent="0.25">
      <c r="A1604" t="str">
        <f>"20190304154749844"</f>
        <v>20190304154749844</v>
      </c>
      <c r="B1604" t="str">
        <f>"1551685669838302"</f>
        <v>1551685669838302</v>
      </c>
      <c r="C1604" t="s">
        <v>40</v>
      </c>
      <c r="D1604">
        <v>4.1942849999999998</v>
      </c>
      <c r="E1604">
        <v>0.48045949999999998</v>
      </c>
      <c r="F1604" t="s">
        <v>53</v>
      </c>
      <c r="G1604">
        <v>-207.86410000000001</v>
      </c>
      <c r="H1604" s="1">
        <v>-5.43969799999999E-6</v>
      </c>
      <c r="I1604">
        <v>374.0487</v>
      </c>
      <c r="J1604">
        <v>-265.19349999999997</v>
      </c>
      <c r="K1604">
        <v>1.110852</v>
      </c>
      <c r="L1604">
        <v>366.85610000000003</v>
      </c>
      <c r="M1604">
        <v>0.99985179999999996</v>
      </c>
      <c r="N1604">
        <v>-1.4169309999999999E-2</v>
      </c>
      <c r="O1604">
        <v>-9.7939789999999995E-3</v>
      </c>
      <c r="P1604">
        <v>0.98979130000000004</v>
      </c>
      <c r="Q1604">
        <v>0.1208419</v>
      </c>
      <c r="R1604">
        <v>7.5570319999999996E-2</v>
      </c>
      <c r="S1604">
        <v>3.0093079999999999</v>
      </c>
      <c r="T1604">
        <v>-5.8164599999999997E-2</v>
      </c>
      <c r="U1604">
        <v>0.37652590000000002</v>
      </c>
      <c r="V1604">
        <v>-8.5237209999999994E-2</v>
      </c>
      <c r="W1604">
        <v>0.1348587</v>
      </c>
      <c r="X1604">
        <v>0.98719190000000001</v>
      </c>
      <c r="Y1604">
        <v>-0.13382260000000001</v>
      </c>
      <c r="Z1604">
        <v>2.2904599999999998E-3</v>
      </c>
      <c r="AA1604">
        <v>0.99100270000000001</v>
      </c>
      <c r="AB1604">
        <v>26</v>
      </c>
      <c r="AC1604">
        <v>57.3293999999999</v>
      </c>
      <c r="AD1604">
        <v>-1.110857439698</v>
      </c>
      <c r="AE1604">
        <v>7.1925999999999704</v>
      </c>
      <c r="AF1604">
        <v>-7.7509291281750601</v>
      </c>
      <c r="AG1604">
        <v>-1.110857439698</v>
      </c>
      <c r="AH1604">
        <v>57.2350422032316</v>
      </c>
      <c r="AI1604">
        <v>91.101841566686403</v>
      </c>
      <c r="AJ1604">
        <v>97.712236962560596</v>
      </c>
      <c r="AK1604">
        <v>57.768165650356501</v>
      </c>
      <c r="AL1604">
        <v>82.249551107009793</v>
      </c>
      <c r="AM1604">
        <v>94.934856233336006</v>
      </c>
      <c r="AN1604">
        <v>1.0000000491799399</v>
      </c>
    </row>
    <row r="1605" spans="1:40" x14ac:dyDescent="0.25">
      <c r="A1605" t="str">
        <f>"20190304154749859"</f>
        <v>20190304154749859</v>
      </c>
      <c r="B1605" t="str">
        <f>"1551685669848063"</f>
        <v>1551685669848063</v>
      </c>
      <c r="C1605" t="s">
        <v>40</v>
      </c>
      <c r="D1605">
        <v>4.1673330000000002</v>
      </c>
      <c r="E1605">
        <v>0.4803867</v>
      </c>
      <c r="F1605" t="s">
        <v>53</v>
      </c>
      <c r="G1605">
        <v>-207.88319999999999</v>
      </c>
      <c r="H1605" s="1">
        <v>-5.448615E-6</v>
      </c>
      <c r="I1605">
        <v>374.0326</v>
      </c>
      <c r="J1605">
        <v>-265.01949999999999</v>
      </c>
      <c r="K1605">
        <v>1.110851</v>
      </c>
      <c r="L1605">
        <v>366.8544</v>
      </c>
      <c r="M1605">
        <v>0.99985179999999996</v>
      </c>
      <c r="N1605">
        <v>-1.4129879999999999E-2</v>
      </c>
      <c r="O1605">
        <v>-9.8486509999999999E-3</v>
      </c>
      <c r="P1605">
        <v>0.98977440000000005</v>
      </c>
      <c r="Q1605">
        <v>0.12126679999999999</v>
      </c>
      <c r="R1605">
        <v>7.5107370000000007E-2</v>
      </c>
      <c r="S1605">
        <v>3.0093079999999999</v>
      </c>
      <c r="T1605">
        <v>-5.8330060000000003E-2</v>
      </c>
      <c r="U1605">
        <v>0.37683109999999997</v>
      </c>
      <c r="V1605">
        <v>-8.4828329999999993E-2</v>
      </c>
      <c r="W1605">
        <v>0.1352447</v>
      </c>
      <c r="X1605">
        <v>0.98717429999999995</v>
      </c>
      <c r="Y1605">
        <v>-0.1339755</v>
      </c>
      <c r="Z1605">
        <v>2.29524E-3</v>
      </c>
      <c r="AA1605">
        <v>0.99098200000000003</v>
      </c>
      <c r="AB1605">
        <v>26</v>
      </c>
      <c r="AC1605">
        <v>57.136299999999999</v>
      </c>
      <c r="AD1605">
        <v>-1.1108564486149901</v>
      </c>
      <c r="AE1605">
        <v>7.1782000000000004</v>
      </c>
      <c r="AF1605">
        <v>-7.7377439597086601</v>
      </c>
      <c r="AG1605">
        <v>-1.1108564486149901</v>
      </c>
      <c r="AH1605">
        <v>57.041599067487802</v>
      </c>
      <c r="AI1605">
        <v>91.105542735403702</v>
      </c>
      <c r="AJ1605">
        <v>97.725070625551794</v>
      </c>
      <c r="AK1605">
        <v>57.574740188831598</v>
      </c>
      <c r="AL1605">
        <v>82.227230348488405</v>
      </c>
      <c r="AM1605">
        <v>94.911387093026505</v>
      </c>
      <c r="AN1605">
        <v>1.00000003651458</v>
      </c>
    </row>
    <row r="1606" spans="1:40" x14ac:dyDescent="0.25">
      <c r="A1606" t="str">
        <f>"20190304154749871"</f>
        <v>20190304154749871</v>
      </c>
      <c r="B1606" t="str">
        <f>"1551685669868559"</f>
        <v>1551685669868559</v>
      </c>
      <c r="C1606" t="s">
        <v>40</v>
      </c>
      <c r="D1606">
        <v>4.1046209999999999</v>
      </c>
      <c r="E1606">
        <v>0.4801936</v>
      </c>
      <c r="F1606" t="s">
        <v>53</v>
      </c>
      <c r="G1606">
        <v>-206.12180000000001</v>
      </c>
      <c r="H1606" s="1">
        <v>-4.6737440000000002E-6</v>
      </c>
      <c r="I1606">
        <v>374.22109999999998</v>
      </c>
      <c r="J1606">
        <v>-264.87700000000001</v>
      </c>
      <c r="K1606">
        <v>1.110851</v>
      </c>
      <c r="L1606">
        <v>366.85289999999998</v>
      </c>
      <c r="M1606">
        <v>0.99985179999999996</v>
      </c>
      <c r="N1606">
        <v>-1.4098950000000001E-2</v>
      </c>
      <c r="O1606">
        <v>-9.8934890000000001E-3</v>
      </c>
      <c r="P1606">
        <v>0.98974169999999995</v>
      </c>
      <c r="Q1606">
        <v>0.12154520000000001</v>
      </c>
      <c r="R1606">
        <v>7.5088749999999996E-2</v>
      </c>
      <c r="S1606">
        <v>3.0093990000000002</v>
      </c>
      <c r="T1606">
        <v>-5.67596E-2</v>
      </c>
      <c r="U1606">
        <v>0.37640380000000001</v>
      </c>
      <c r="V1606">
        <v>-8.4853219999999993E-2</v>
      </c>
      <c r="W1606">
        <v>0.1354918</v>
      </c>
      <c r="X1606">
        <v>0.98713819999999997</v>
      </c>
      <c r="Y1606">
        <v>-0.13387959999999999</v>
      </c>
      <c r="Z1606">
        <v>2.2521160000000002E-3</v>
      </c>
      <c r="AA1606">
        <v>0.99099499999999996</v>
      </c>
      <c r="AB1606">
        <v>26</v>
      </c>
      <c r="AC1606">
        <v>58.755200000000002</v>
      </c>
      <c r="AD1606">
        <v>-1.1108556737440001</v>
      </c>
      <c r="AE1606">
        <v>7.3681999999999999</v>
      </c>
      <c r="AF1606">
        <v>-7.9463944340224799</v>
      </c>
      <c r="AG1606">
        <v>-1.1108556737440001</v>
      </c>
      <c r="AH1606">
        <v>58.658776115140299</v>
      </c>
      <c r="AI1606">
        <v>91.075096432614799</v>
      </c>
      <c r="AJ1606">
        <v>97.714787664096306</v>
      </c>
      <c r="AK1606">
        <v>59.204993033992601</v>
      </c>
      <c r="AL1606">
        <v>82.212940444900397</v>
      </c>
      <c r="AM1606">
        <v>94.912999905484895</v>
      </c>
      <c r="AN1606">
        <v>0.99999996135542302</v>
      </c>
    </row>
    <row r="1607" spans="1:40" x14ac:dyDescent="0.25">
      <c r="A1607" t="str">
        <f>"20190304154749883"</f>
        <v>20190304154749883</v>
      </c>
      <c r="B1607" t="str">
        <f>"1551685669878319"</f>
        <v>1551685669878319</v>
      </c>
      <c r="C1607" t="s">
        <v>40</v>
      </c>
      <c r="D1607">
        <v>4.1436960000000003</v>
      </c>
      <c r="E1607">
        <v>0.48010900000000001</v>
      </c>
      <c r="F1607" t="s">
        <v>53</v>
      </c>
      <c r="G1607">
        <v>-206.89250000000001</v>
      </c>
      <c r="H1607" s="1">
        <v>-5.0520860000000003E-6</v>
      </c>
      <c r="I1607">
        <v>374.13400000000001</v>
      </c>
      <c r="J1607">
        <v>-264.75040000000001</v>
      </c>
      <c r="K1607">
        <v>1.110849</v>
      </c>
      <c r="L1607">
        <v>366.85169999999999</v>
      </c>
      <c r="M1607">
        <v>0.99985170000000001</v>
      </c>
      <c r="N1607">
        <v>-1.4073810000000001E-2</v>
      </c>
      <c r="O1607">
        <v>-9.933005E-3</v>
      </c>
      <c r="P1607">
        <v>0.98970380000000002</v>
      </c>
      <c r="Q1607">
        <v>0.1220029</v>
      </c>
      <c r="R1607">
        <v>7.4844880000000003E-2</v>
      </c>
      <c r="S1607">
        <v>3.0094910000000001</v>
      </c>
      <c r="T1607">
        <v>-5.7655329999999998E-2</v>
      </c>
      <c r="U1607">
        <v>0.37789919999999999</v>
      </c>
      <c r="V1607">
        <v>-8.4648119999999993E-2</v>
      </c>
      <c r="W1607">
        <v>0.13592360000000001</v>
      </c>
      <c r="X1607">
        <v>0.98709650000000004</v>
      </c>
      <c r="Y1607">
        <v>-0.13439870000000001</v>
      </c>
      <c r="Z1607">
        <v>2.282217E-3</v>
      </c>
      <c r="AA1607">
        <v>0.99092469999999999</v>
      </c>
      <c r="AB1607">
        <v>26</v>
      </c>
      <c r="AC1607">
        <v>57.857900000000001</v>
      </c>
      <c r="AD1607">
        <v>-1.110854052086</v>
      </c>
      <c r="AE1607">
        <v>7.2823000000000198</v>
      </c>
      <c r="AF1607">
        <v>-7.8538503549877703</v>
      </c>
      <c r="AG1607">
        <v>-1.110854052086</v>
      </c>
      <c r="AH1607">
        <v>57.761742265778203</v>
      </c>
      <c r="AI1607">
        <v>91.091713998371503</v>
      </c>
      <c r="AJ1607">
        <v>97.743009498581003</v>
      </c>
      <c r="AK1607">
        <v>58.303823474123597</v>
      </c>
      <c r="AL1607">
        <v>82.187969534314107</v>
      </c>
      <c r="AM1607">
        <v>94.901388577131598</v>
      </c>
      <c r="AN1607">
        <v>1.00000001478437</v>
      </c>
    </row>
    <row r="1608" spans="1:40" x14ac:dyDescent="0.25">
      <c r="A1608" t="str">
        <f>"20190304154749894"</f>
        <v>20190304154749894</v>
      </c>
      <c r="B1608" t="str">
        <f>"1551685669888078"</f>
        <v>1551685669888078</v>
      </c>
      <c r="C1608" t="s">
        <v>40</v>
      </c>
      <c r="D1608">
        <v>4.2144069999999996</v>
      </c>
      <c r="E1608">
        <v>0.48003899999999999</v>
      </c>
      <c r="F1608" t="s">
        <v>53</v>
      </c>
      <c r="G1608">
        <v>-205.50559999999999</v>
      </c>
      <c r="H1608" s="1">
        <v>-4.3724650000000002E-6</v>
      </c>
      <c r="I1608">
        <v>374.28519999999997</v>
      </c>
      <c r="J1608">
        <v>-264.61579999999998</v>
      </c>
      <c r="K1608">
        <v>1.1108469999999999</v>
      </c>
      <c r="L1608">
        <v>366.8503</v>
      </c>
      <c r="M1608">
        <v>0.99985159999999995</v>
      </c>
      <c r="N1608">
        <v>-1.404765E-2</v>
      </c>
      <c r="O1608">
        <v>-9.9752550000000006E-3</v>
      </c>
      <c r="P1608">
        <v>0.98968270000000003</v>
      </c>
      <c r="Q1608">
        <v>0.1222155</v>
      </c>
      <c r="R1608">
        <v>7.4778049999999999E-2</v>
      </c>
      <c r="S1608">
        <v>3.0096129999999999</v>
      </c>
      <c r="T1608">
        <v>-5.6430939999999999E-2</v>
      </c>
      <c r="U1608">
        <v>0.37762449999999997</v>
      </c>
      <c r="V1608">
        <v>-8.4622870000000003E-2</v>
      </c>
      <c r="W1608">
        <v>0.1361107</v>
      </c>
      <c r="X1608">
        <v>0.98707290000000003</v>
      </c>
      <c r="Y1608">
        <v>-0.134348</v>
      </c>
      <c r="Z1608">
        <v>2.2487660000000001E-3</v>
      </c>
      <c r="AA1608">
        <v>0.99093169999999997</v>
      </c>
      <c r="AB1608">
        <v>26</v>
      </c>
      <c r="AC1608">
        <v>59.110199999999899</v>
      </c>
      <c r="AD1608">
        <v>-1.110851372465</v>
      </c>
      <c r="AE1608">
        <v>7.4348999999999696</v>
      </c>
      <c r="AF1608">
        <v>-8.0214386652958805</v>
      </c>
      <c r="AG1608">
        <v>-1.110851372465</v>
      </c>
      <c r="AH1608">
        <v>59.0125690740715</v>
      </c>
      <c r="AI1608">
        <v>91.068582949801396</v>
      </c>
      <c r="AJ1608">
        <v>97.740639322681204</v>
      </c>
      <c r="AK1608">
        <v>59.5656006244784</v>
      </c>
      <c r="AL1608">
        <v>82.1771490630492</v>
      </c>
      <c r="AM1608">
        <v>94.900050225614905</v>
      </c>
      <c r="AN1608">
        <v>1.00000003134796</v>
      </c>
    </row>
    <row r="1609" spans="1:40" x14ac:dyDescent="0.25">
      <c r="A1609" t="str">
        <f>"20190304154749905"</f>
        <v>20190304154749905</v>
      </c>
      <c r="B1609" t="str">
        <f>"1551685669897838"</f>
        <v>1551685669897838</v>
      </c>
      <c r="C1609" t="s">
        <v>40</v>
      </c>
      <c r="D1609">
        <v>4.1365730000000003</v>
      </c>
      <c r="E1609">
        <v>0.48003899999999999</v>
      </c>
      <c r="F1609" t="s">
        <v>53</v>
      </c>
      <c r="G1609">
        <v>-204.07599999999999</v>
      </c>
      <c r="H1609" s="1">
        <v>-3.6339870000000001E-6</v>
      </c>
      <c r="I1609">
        <v>374.45650000000001</v>
      </c>
      <c r="J1609">
        <v>-264.48770000000002</v>
      </c>
      <c r="K1609">
        <v>1.1108480000000001</v>
      </c>
      <c r="L1609">
        <v>366.84890000000001</v>
      </c>
      <c r="M1609">
        <v>0.99985159999999995</v>
      </c>
      <c r="N1609">
        <v>-1.4024490000000001E-2</v>
      </c>
      <c r="O1609">
        <v>-1.00155E-2</v>
      </c>
      <c r="P1609">
        <v>0.98966379999999998</v>
      </c>
      <c r="Q1609">
        <v>0.1224485</v>
      </c>
      <c r="R1609">
        <v>7.464635E-2</v>
      </c>
      <c r="S1609">
        <v>3.0094910000000001</v>
      </c>
      <c r="T1609">
        <v>-5.5221439999999997E-2</v>
      </c>
      <c r="U1609">
        <v>0.37811280000000003</v>
      </c>
      <c r="V1609">
        <v>-8.4530969999999997E-2</v>
      </c>
      <c r="W1609">
        <v>0.13632</v>
      </c>
      <c r="X1609">
        <v>0.98705180000000003</v>
      </c>
      <c r="Y1609">
        <v>-0.13455249999999999</v>
      </c>
      <c r="Z1609">
        <v>2.2200879999999998E-3</v>
      </c>
      <c r="AA1609">
        <v>0.99090400000000001</v>
      </c>
      <c r="AB1609">
        <v>26</v>
      </c>
      <c r="AC1609">
        <v>60.411700000000003</v>
      </c>
      <c r="AD1609">
        <v>-1.110851633987</v>
      </c>
      <c r="AE1609">
        <v>7.6075999999999899</v>
      </c>
      <c r="AF1609">
        <v>-8.2095986905085603</v>
      </c>
      <c r="AG1609">
        <v>-1.110851633987</v>
      </c>
      <c r="AH1609">
        <v>60.312393526602598</v>
      </c>
      <c r="AI1609">
        <v>91.045532197586198</v>
      </c>
      <c r="AJ1609">
        <v>97.751345121942506</v>
      </c>
      <c r="AK1609">
        <v>60.878701652710298</v>
      </c>
      <c r="AL1609">
        <v>82.165043522956196</v>
      </c>
      <c r="AM1609">
        <v>94.894858789607397</v>
      </c>
      <c r="AN1609">
        <v>0.99999994158618799</v>
      </c>
    </row>
    <row r="1610" spans="1:40" x14ac:dyDescent="0.25">
      <c r="A1610" t="str">
        <f>"20190304154749915"</f>
        <v>20190304154749915</v>
      </c>
      <c r="B1610" t="str">
        <f>"1551685669908575"</f>
        <v>1551685669908575</v>
      </c>
      <c r="C1610" t="s">
        <v>40</v>
      </c>
      <c r="D1610">
        <v>4.2199970000000002</v>
      </c>
      <c r="E1610">
        <v>0.47945450000000001</v>
      </c>
      <c r="F1610" t="s">
        <v>53</v>
      </c>
      <c r="G1610">
        <v>-203.12620000000001</v>
      </c>
      <c r="H1610" s="1">
        <v>-3.1347299999999998E-6</v>
      </c>
      <c r="I1610">
        <v>374.55259999999998</v>
      </c>
      <c r="J1610">
        <v>-264.3777</v>
      </c>
      <c r="K1610">
        <v>1.1108499999999999</v>
      </c>
      <c r="L1610">
        <v>366.84780000000001</v>
      </c>
      <c r="M1610">
        <v>0.9998515</v>
      </c>
      <c r="N1610">
        <v>-1.400533E-2</v>
      </c>
      <c r="O1610">
        <v>-1.004993E-2</v>
      </c>
      <c r="P1610">
        <v>0.98962320000000004</v>
      </c>
      <c r="Q1610">
        <v>0.12275519999999999</v>
      </c>
      <c r="R1610">
        <v>7.4680289999999996E-2</v>
      </c>
      <c r="S1610">
        <v>3.0095830000000001</v>
      </c>
      <c r="T1610">
        <v>-5.4483650000000002E-2</v>
      </c>
      <c r="U1610">
        <v>0.37783810000000001</v>
      </c>
      <c r="V1610">
        <v>-8.4598679999999996E-2</v>
      </c>
      <c r="W1610">
        <v>0.13660720000000001</v>
      </c>
      <c r="X1610">
        <v>0.98700639999999995</v>
      </c>
      <c r="Y1610">
        <v>-0.13449469999999999</v>
      </c>
      <c r="Z1610">
        <v>2.199285E-3</v>
      </c>
      <c r="AA1610">
        <v>0.99091180000000001</v>
      </c>
      <c r="AB1610">
        <v>26</v>
      </c>
      <c r="AC1610">
        <v>61.251499999999901</v>
      </c>
      <c r="AD1610">
        <v>-1.1108531347299999</v>
      </c>
      <c r="AE1610">
        <v>7.7047999999999703</v>
      </c>
      <c r="AF1610">
        <v>-8.3173513676331901</v>
      </c>
      <c r="AG1610">
        <v>-1.1108531347299999</v>
      </c>
      <c r="AH1610">
        <v>61.151165731219201</v>
      </c>
      <c r="AI1610">
        <v>91.031210257011907</v>
      </c>
      <c r="AJ1610">
        <v>97.745439897946497</v>
      </c>
      <c r="AK1610">
        <v>61.724204318457197</v>
      </c>
      <c r="AL1610">
        <v>82.148433628259895</v>
      </c>
      <c r="AM1610">
        <v>94.898984774204294</v>
      </c>
      <c r="AN1610">
        <v>1.00000004869527</v>
      </c>
    </row>
    <row r="1611" spans="1:40" x14ac:dyDescent="0.25">
      <c r="A1611" t="str">
        <f>"20190304154749926"</f>
        <v>20190304154749926</v>
      </c>
      <c r="B1611" t="str">
        <f>"1551685669918335"</f>
        <v>1551685669918335</v>
      </c>
      <c r="C1611" t="s">
        <v>40</v>
      </c>
      <c r="D1611">
        <v>4.1960089999999903</v>
      </c>
      <c r="E1611">
        <v>0.47945450000000001</v>
      </c>
      <c r="F1611" t="s">
        <v>53</v>
      </c>
      <c r="G1611">
        <v>-201.05779999999999</v>
      </c>
      <c r="H1611" s="1">
        <v>-1.876654E-6</v>
      </c>
      <c r="I1611">
        <v>374.89609999999999</v>
      </c>
      <c r="J1611">
        <v>-264.2516</v>
      </c>
      <c r="K1611">
        <v>1.1108559999999901</v>
      </c>
      <c r="L1611">
        <v>366.84649999999999</v>
      </c>
      <c r="M1611">
        <v>0.9998515</v>
      </c>
      <c r="N1611">
        <v>-1.398489E-2</v>
      </c>
      <c r="O1611">
        <v>-1.0089839999999999E-2</v>
      </c>
      <c r="P1611">
        <v>0.98960800000000004</v>
      </c>
      <c r="Q1611">
        <v>0.1230487</v>
      </c>
      <c r="R1611">
        <v>7.4400220000000003E-2</v>
      </c>
      <c r="S1611">
        <v>3.009125</v>
      </c>
      <c r="T1611">
        <v>-5.2790520000000001E-2</v>
      </c>
      <c r="U1611">
        <v>0.38247680000000001</v>
      </c>
      <c r="V1611">
        <v>-8.4357769999999999E-2</v>
      </c>
      <c r="W1611">
        <v>0.13688069999999999</v>
      </c>
      <c r="X1611">
        <v>0.98698909999999995</v>
      </c>
      <c r="Y1611">
        <v>-0.1360577</v>
      </c>
      <c r="Z1611">
        <v>2.1797460000000002E-3</v>
      </c>
      <c r="AA1611">
        <v>0.99069850000000004</v>
      </c>
      <c r="AB1611">
        <v>26</v>
      </c>
      <c r="AC1611">
        <v>63.193800000000003</v>
      </c>
      <c r="AD1611">
        <v>-1.1108578766539901</v>
      </c>
      <c r="AE1611">
        <v>8.0495999999999892</v>
      </c>
      <c r="AF1611">
        <v>-8.6842270886238495</v>
      </c>
      <c r="AG1611">
        <v>-1.1108578766539901</v>
      </c>
      <c r="AH1611">
        <v>63.090171447349597</v>
      </c>
      <c r="AI1611">
        <v>90.999308543167601</v>
      </c>
      <c r="AJ1611">
        <v>97.837390902628499</v>
      </c>
      <c r="AK1611">
        <v>63.694737134278903</v>
      </c>
      <c r="AL1611">
        <v>82.132614420760802</v>
      </c>
      <c r="AM1611">
        <v>94.885186850374396</v>
      </c>
      <c r="AN1611">
        <v>1.00000002145533</v>
      </c>
    </row>
    <row r="1612" spans="1:40" x14ac:dyDescent="0.25">
      <c r="A1612" t="str">
        <f>"20190304154749936"</f>
        <v>20190304154749936</v>
      </c>
      <c r="B1612" t="str">
        <f>"1551685669928095"</f>
        <v>1551685669928095</v>
      </c>
      <c r="C1612" t="s">
        <v>40</v>
      </c>
      <c r="D1612">
        <v>4.2036809999999996</v>
      </c>
      <c r="E1612">
        <v>0.4514051</v>
      </c>
      <c r="F1612" t="s">
        <v>53</v>
      </c>
      <c r="G1612">
        <v>-199.77090000000001</v>
      </c>
      <c r="H1612" s="1">
        <v>-9.7832839999999996E-6</v>
      </c>
      <c r="I1612">
        <v>375.02949999999998</v>
      </c>
      <c r="J1612">
        <v>-264.12790000000001</v>
      </c>
      <c r="K1612">
        <v>1.110859</v>
      </c>
      <c r="L1612">
        <v>366.84519999999998</v>
      </c>
      <c r="M1612">
        <v>0.99985119999999905</v>
      </c>
      <c r="N1612">
        <v>-1.3965730000000001E-2</v>
      </c>
      <c r="O1612">
        <v>-1.0128679999999999E-2</v>
      </c>
      <c r="P1612">
        <v>0.98957499999999998</v>
      </c>
      <c r="Q1612">
        <v>0.123369699999999</v>
      </c>
      <c r="R1612">
        <v>7.4306220000000006E-2</v>
      </c>
      <c r="S1612">
        <v>3.009277</v>
      </c>
      <c r="T1612">
        <v>-5.1843399999999998E-2</v>
      </c>
      <c r="U1612">
        <v>0.38189699999999999</v>
      </c>
      <c r="V1612">
        <v>-8.4302020000000005E-2</v>
      </c>
      <c r="W1612">
        <v>0.13718159999999999</v>
      </c>
      <c r="X1612">
        <v>0.9869521</v>
      </c>
      <c r="Y1612">
        <v>-0.1359032</v>
      </c>
      <c r="Z1612">
        <v>2.1517939999999998E-3</v>
      </c>
      <c r="AA1612">
        <v>0.99071980000000004</v>
      </c>
      <c r="AB1612">
        <v>26</v>
      </c>
      <c r="AC1612">
        <v>64.356999999999999</v>
      </c>
      <c r="AD1612">
        <v>-1.1108687832840001</v>
      </c>
      <c r="AE1612">
        <v>8.1843000000000004</v>
      </c>
      <c r="AF1612">
        <v>-8.8332052011545503</v>
      </c>
      <c r="AG1612">
        <v>-1.1108687832840001</v>
      </c>
      <c r="AH1612">
        <v>64.251955048010998</v>
      </c>
      <c r="AI1612">
        <v>90.981275108681999</v>
      </c>
      <c r="AJ1612">
        <v>97.827817443047607</v>
      </c>
      <c r="AK1612">
        <v>64.865809723389802</v>
      </c>
      <c r="AL1612">
        <v>82.115210046082098</v>
      </c>
      <c r="AM1612">
        <v>94.882156094301493</v>
      </c>
      <c r="AN1612">
        <v>1.0000000348245199</v>
      </c>
    </row>
    <row r="1613" spans="1:40" x14ac:dyDescent="0.25">
      <c r="A1613" t="str">
        <f>"20190304154749947"</f>
        <v>20190304154749947</v>
      </c>
      <c r="B1613" t="str">
        <f>"1551685669937854"</f>
        <v>1551685669937854</v>
      </c>
      <c r="C1613" t="s">
        <v>40</v>
      </c>
      <c r="D1613">
        <v>4.1628089999999904</v>
      </c>
      <c r="E1613">
        <v>0.45138509999999998</v>
      </c>
      <c r="F1613" t="s">
        <v>44</v>
      </c>
      <c r="G1613">
        <v>-216.37719999999999</v>
      </c>
      <c r="H1613" s="1">
        <v>-3.3239769999999999E-6</v>
      </c>
      <c r="I1613">
        <v>376.48360000000002</v>
      </c>
      <c r="J1613">
        <v>-264.00529999999998</v>
      </c>
      <c r="K1613">
        <v>1.1108610000000001</v>
      </c>
      <c r="L1613">
        <v>366.84390000000002</v>
      </c>
      <c r="M1613">
        <v>0.99985119999999905</v>
      </c>
      <c r="N1613">
        <v>-1.394775E-2</v>
      </c>
      <c r="O1613">
        <v>-1.0167300000000001E-2</v>
      </c>
      <c r="P1613">
        <v>0.9895642</v>
      </c>
      <c r="Q1613">
        <v>0.12355869999999999</v>
      </c>
      <c r="R1613">
        <v>7.413467E-2</v>
      </c>
      <c r="S1613">
        <v>2.9949340000000002</v>
      </c>
      <c r="T1613">
        <v>-6.967342E-2</v>
      </c>
      <c r="U1613">
        <v>0.60452269999999997</v>
      </c>
      <c r="V1613">
        <v>-8.4168199999999999E-2</v>
      </c>
      <c r="W1613">
        <v>0.13735249999999999</v>
      </c>
      <c r="X1613">
        <v>0.98693969999999998</v>
      </c>
      <c r="Y1613">
        <v>-0.20772699999999999</v>
      </c>
      <c r="Z1613">
        <v>3.9491550000000002E-3</v>
      </c>
      <c r="AA1613">
        <v>0.97817889999999996</v>
      </c>
      <c r="AB1613">
        <v>26</v>
      </c>
      <c r="AC1613">
        <v>47.628099999999897</v>
      </c>
      <c r="AD1613">
        <v>-1.110864323977</v>
      </c>
      <c r="AE1613">
        <v>9.6396999999999995</v>
      </c>
      <c r="AF1613">
        <v>-10.1182101919724</v>
      </c>
      <c r="AG1613">
        <v>-1.110864323977</v>
      </c>
      <c r="AH1613">
        <v>47.5027940486112</v>
      </c>
      <c r="AI1613">
        <v>91.310248766586994</v>
      </c>
      <c r="AJ1613">
        <v>102.02443942651701</v>
      </c>
      <c r="AK1613">
        <v>48.5811448965542</v>
      </c>
      <c r="AL1613">
        <v>82.105324213612505</v>
      </c>
      <c r="AM1613">
        <v>94.874504536941899</v>
      </c>
      <c r="AN1613">
        <v>0.99999998329178896</v>
      </c>
    </row>
    <row r="1614" spans="1:40" x14ac:dyDescent="0.25">
      <c r="A1614" t="str">
        <f>"20190304154749958"</f>
        <v>20190304154749958</v>
      </c>
      <c r="B1614" t="str">
        <f>"1551685669948591"</f>
        <v>1551685669948591</v>
      </c>
      <c r="C1614" t="s">
        <v>40</v>
      </c>
      <c r="D1614">
        <v>4.1857829999999998</v>
      </c>
      <c r="E1614">
        <v>0.45119789999999999</v>
      </c>
      <c r="F1614" t="s">
        <v>44</v>
      </c>
      <c r="G1614">
        <v>-215.06880000000001</v>
      </c>
      <c r="H1614" s="1">
        <v>-3.810423E-6</v>
      </c>
      <c r="I1614">
        <v>376.71600000000001</v>
      </c>
      <c r="J1614">
        <v>-263.87990000000002</v>
      </c>
      <c r="K1614">
        <v>1.110862</v>
      </c>
      <c r="L1614">
        <v>366.8426</v>
      </c>
      <c r="M1614">
        <v>0.99985089999999999</v>
      </c>
      <c r="N1614">
        <v>-1.393052E-2</v>
      </c>
      <c r="O1614">
        <v>-1.020651E-2</v>
      </c>
      <c r="P1614">
        <v>0.989568</v>
      </c>
      <c r="Q1614">
        <v>0.123514</v>
      </c>
      <c r="R1614">
        <v>7.4159959999999997E-2</v>
      </c>
      <c r="S1614">
        <v>2.9948429999999999</v>
      </c>
      <c r="T1614">
        <v>-6.7983269999999998E-2</v>
      </c>
      <c r="U1614">
        <v>0.60415649999999999</v>
      </c>
      <c r="V1614">
        <v>-8.4232929999999998E-2</v>
      </c>
      <c r="W1614">
        <v>0.1372911</v>
      </c>
      <c r="X1614">
        <v>0.98694269999999995</v>
      </c>
      <c r="Y1614">
        <v>-0.20765980000000001</v>
      </c>
      <c r="Z1614">
        <v>3.8830240000000001E-3</v>
      </c>
      <c r="AA1614">
        <v>0.97819339999999999</v>
      </c>
      <c r="AB1614">
        <v>26</v>
      </c>
      <c r="AC1614">
        <v>48.811100000000003</v>
      </c>
      <c r="AD1614">
        <v>-1.110865810423</v>
      </c>
      <c r="AE1614">
        <v>9.8734000000000002</v>
      </c>
      <c r="AF1614">
        <v>-10.3659669453617</v>
      </c>
      <c r="AG1614">
        <v>-1.110865810423</v>
      </c>
      <c r="AH1614">
        <v>48.683549944975503</v>
      </c>
      <c r="AI1614">
        <v>91.2785028237532</v>
      </c>
      <c r="AJ1614">
        <v>102.02022077266</v>
      </c>
      <c r="AK1614">
        <v>49.787300878899103</v>
      </c>
      <c r="AL1614">
        <v>82.108875658466602</v>
      </c>
      <c r="AM1614">
        <v>94.878220460238694</v>
      </c>
      <c r="AN1614">
        <v>0.99999996285944104</v>
      </c>
    </row>
    <row r="1615" spans="1:40" x14ac:dyDescent="0.25">
      <c r="A1615" t="str">
        <f>"20190304154749970"</f>
        <v>20190304154749970</v>
      </c>
      <c r="B1615" t="str">
        <f>"1551685669968111"</f>
        <v>1551685669968111</v>
      </c>
      <c r="C1615" t="s">
        <v>40</v>
      </c>
      <c r="D1615">
        <v>4.1922240000000004</v>
      </c>
      <c r="E1615">
        <v>0.4513645</v>
      </c>
      <c r="F1615" t="s">
        <v>44</v>
      </c>
      <c r="G1615">
        <v>-214.37909999999999</v>
      </c>
      <c r="H1615" s="1">
        <v>-4.0706359999999998E-6</v>
      </c>
      <c r="I1615">
        <v>376.8596</v>
      </c>
      <c r="J1615">
        <v>-263.74200000000002</v>
      </c>
      <c r="K1615">
        <v>1.1108629999999999</v>
      </c>
      <c r="L1615">
        <v>366.84109999999998</v>
      </c>
      <c r="M1615">
        <v>0.99985080000000004</v>
      </c>
      <c r="N1615">
        <v>-1.3912330000000001E-2</v>
      </c>
      <c r="O1615">
        <v>-1.024978E-2</v>
      </c>
      <c r="P1615">
        <v>0.98959350000000001</v>
      </c>
      <c r="Q1615">
        <v>0.1232833</v>
      </c>
      <c r="R1615">
        <v>7.4201790000000004E-2</v>
      </c>
      <c r="S1615">
        <v>2.9945979999999999</v>
      </c>
      <c r="T1615">
        <v>-6.7202689999999995E-2</v>
      </c>
      <c r="U1615">
        <v>0.60598750000000001</v>
      </c>
      <c r="V1615">
        <v>-8.431727E-2</v>
      </c>
      <c r="W1615">
        <v>0.1370432</v>
      </c>
      <c r="X1615">
        <v>0.98697000000000001</v>
      </c>
      <c r="Y1615">
        <v>-0.20829349999999999</v>
      </c>
      <c r="Z1615">
        <v>3.8638829999999998E-3</v>
      </c>
      <c r="AA1615">
        <v>0.97805880000000001</v>
      </c>
      <c r="AB1615">
        <v>26</v>
      </c>
      <c r="AC1615">
        <v>49.362900000000003</v>
      </c>
      <c r="AD1615">
        <v>-1.110867070636</v>
      </c>
      <c r="AE1615">
        <v>10.0185</v>
      </c>
      <c r="AF1615">
        <v>-10.5188650388701</v>
      </c>
      <c r="AG1615">
        <v>-1.110867070636</v>
      </c>
      <c r="AH1615">
        <v>49.233661911084802</v>
      </c>
      <c r="AI1615">
        <v>91.2640362953519</v>
      </c>
      <c r="AJ1615">
        <v>102.060031585994</v>
      </c>
      <c r="AK1615">
        <v>50.3570651699401</v>
      </c>
      <c r="AL1615">
        <v>82.123215197690399</v>
      </c>
      <c r="AM1615">
        <v>94.882946860740304</v>
      </c>
      <c r="AN1615">
        <v>1.0000000107932401</v>
      </c>
    </row>
    <row r="1616" spans="1:40" x14ac:dyDescent="0.25">
      <c r="A1616" t="str">
        <f>"20190304154749981"</f>
        <v>20190304154749981</v>
      </c>
      <c r="B1616" t="str">
        <f>"1551685669977871"</f>
        <v>1551685669977871</v>
      </c>
      <c r="C1616" t="s">
        <v>40</v>
      </c>
      <c r="D1616">
        <v>4.2069549999999998</v>
      </c>
      <c r="E1616">
        <v>0.45177230000000002</v>
      </c>
      <c r="F1616" t="s">
        <v>44</v>
      </c>
      <c r="G1616">
        <v>-216.84829999999999</v>
      </c>
      <c r="H1616" s="1">
        <v>-3.1150299999999998E-6</v>
      </c>
      <c r="I1616">
        <v>376.30869999999999</v>
      </c>
      <c r="J1616">
        <v>-263.62130000000002</v>
      </c>
      <c r="K1616">
        <v>1.1108629999999999</v>
      </c>
      <c r="L1616">
        <v>366.8399</v>
      </c>
      <c r="M1616">
        <v>0.99985060000000003</v>
      </c>
      <c r="N1616">
        <v>-1.389783E-2</v>
      </c>
      <c r="O1616">
        <v>-1.028782E-2</v>
      </c>
      <c r="P1616">
        <v>0.98955000000000004</v>
      </c>
      <c r="Q1616">
        <v>0.1234975</v>
      </c>
      <c r="R1616">
        <v>7.4427240000000006E-2</v>
      </c>
      <c r="S1616">
        <v>2.9950260000000002</v>
      </c>
      <c r="T1616">
        <v>-7.0949199999999907E-2</v>
      </c>
      <c r="U1616">
        <v>0.60467530000000003</v>
      </c>
      <c r="V1616">
        <v>-8.4579890000000005E-2</v>
      </c>
      <c r="W1616">
        <v>0.137242</v>
      </c>
      <c r="X1616">
        <v>0.98691989999999996</v>
      </c>
      <c r="Y1616">
        <v>-0.2078844</v>
      </c>
      <c r="Z1616">
        <v>3.9965340000000004E-3</v>
      </c>
      <c r="AA1616">
        <v>0.97814520000000005</v>
      </c>
      <c r="AB1616">
        <v>26</v>
      </c>
      <c r="AC1616">
        <v>46.773000000000003</v>
      </c>
      <c r="AD1616">
        <v>-1.1108661150300001</v>
      </c>
      <c r="AE1616">
        <v>9.4687999999999803</v>
      </c>
      <c r="AF1616">
        <v>-9.9441490698322106</v>
      </c>
      <c r="AG1616">
        <v>-1.1108661150300001</v>
      </c>
      <c r="AH1616">
        <v>46.647824807087702</v>
      </c>
      <c r="AI1616">
        <v>91.334209863931207</v>
      </c>
      <c r="AJ1616">
        <v>102.03389677240899</v>
      </c>
      <c r="AK1616">
        <v>47.708905704085403</v>
      </c>
      <c r="AL1616">
        <v>82.111716113304198</v>
      </c>
      <c r="AM1616">
        <v>94.898329161819902</v>
      </c>
      <c r="AN1616">
        <v>1.00000000668621</v>
      </c>
    </row>
    <row r="1617" spans="1:40" x14ac:dyDescent="0.25">
      <c r="A1617" t="str">
        <f>"20190304154749992"</f>
        <v>20190304154749992</v>
      </c>
      <c r="B1617" t="str">
        <f>"1551685669988606"</f>
        <v>1551685669988606</v>
      </c>
      <c r="C1617" t="s">
        <v>40</v>
      </c>
      <c r="D1617">
        <v>4.1960360000000003</v>
      </c>
      <c r="E1617">
        <v>0.45193850000000002</v>
      </c>
      <c r="F1617" t="s">
        <v>44</v>
      </c>
      <c r="G1617">
        <v>-218.8929</v>
      </c>
      <c r="H1617" s="1">
        <v>-2.1097849999999999E-6</v>
      </c>
      <c r="I1617">
        <v>375.8272</v>
      </c>
      <c r="J1617">
        <v>-263.49720000000002</v>
      </c>
      <c r="K1617">
        <v>1.110865</v>
      </c>
      <c r="L1617">
        <v>366.83850000000001</v>
      </c>
      <c r="M1617">
        <v>0.99985029999999997</v>
      </c>
      <c r="N1617">
        <v>-1.388314E-2</v>
      </c>
      <c r="O1617">
        <v>-1.032682E-2</v>
      </c>
      <c r="P1617">
        <v>0.98954629999999999</v>
      </c>
      <c r="Q1617">
        <v>0.1234489</v>
      </c>
      <c r="R1617">
        <v>7.4555899999999994E-2</v>
      </c>
      <c r="S1617">
        <v>2.9956969999999998</v>
      </c>
      <c r="T1617">
        <v>-7.4400419999999995E-2</v>
      </c>
      <c r="U1617">
        <v>0.60192869999999998</v>
      </c>
      <c r="V1617">
        <v>-8.4747230000000007E-2</v>
      </c>
      <c r="W1617">
        <v>0.1371792</v>
      </c>
      <c r="X1617">
        <v>0.98691430000000002</v>
      </c>
      <c r="Y1617">
        <v>-0.20701120000000001</v>
      </c>
      <c r="Z1617">
        <v>4.1084820000000001E-3</v>
      </c>
      <c r="AA1617">
        <v>0.97833000000000003</v>
      </c>
      <c r="AB1617">
        <v>26</v>
      </c>
      <c r="AC1617">
        <v>44.604300000000002</v>
      </c>
      <c r="AD1617">
        <v>-1.110867109785</v>
      </c>
      <c r="AE1617">
        <v>8.9886999999999908</v>
      </c>
      <c r="AF1617">
        <v>-9.4432569248237606</v>
      </c>
      <c r="AG1617">
        <v>-1.110867109785</v>
      </c>
      <c r="AH1617">
        <v>44.482573646656597</v>
      </c>
      <c r="AI1617">
        <v>91.399382017169302</v>
      </c>
      <c r="AJ1617">
        <v>101.9854498615</v>
      </c>
      <c r="AK1617">
        <v>45.487454152920698</v>
      </c>
      <c r="AL1617">
        <v>82.115348835833004</v>
      </c>
      <c r="AM1617">
        <v>94.908000851348106</v>
      </c>
      <c r="AN1617">
        <v>1.0000000307249</v>
      </c>
    </row>
    <row r="1618" spans="1:40" x14ac:dyDescent="0.25">
      <c r="A1618" t="str">
        <f>"20190304154750003"</f>
        <v>20190304154750003</v>
      </c>
      <c r="B1618" t="str">
        <f>"1551685669998367"</f>
        <v>1551685669998367</v>
      </c>
      <c r="C1618" t="s">
        <v>40</v>
      </c>
      <c r="D1618">
        <v>4.2081600000000003</v>
      </c>
      <c r="E1618">
        <v>0.45185330000000001</v>
      </c>
      <c r="F1618" t="s">
        <v>44</v>
      </c>
      <c r="G1618">
        <v>-220.34829999999999</v>
      </c>
      <c r="H1618" s="1">
        <v>-5.2003779999999899E-6</v>
      </c>
      <c r="I1618">
        <v>375.49560000000002</v>
      </c>
      <c r="J1618">
        <v>-263.36680000000001</v>
      </c>
      <c r="K1618">
        <v>1.110868</v>
      </c>
      <c r="L1618">
        <v>366.8372</v>
      </c>
      <c r="M1618">
        <v>0.99985020000000002</v>
      </c>
      <c r="N1618">
        <v>-1.386927E-2</v>
      </c>
      <c r="O1618">
        <v>-1.036785E-2</v>
      </c>
      <c r="P1618">
        <v>0.98953919999999995</v>
      </c>
      <c r="Q1618">
        <v>0.1232145</v>
      </c>
      <c r="R1618">
        <v>7.5036699999999998E-2</v>
      </c>
      <c r="S1618">
        <v>2.9960330000000002</v>
      </c>
      <c r="T1618">
        <v>-7.7132939999999997E-2</v>
      </c>
      <c r="U1618">
        <v>0.60110469999999905</v>
      </c>
      <c r="V1618">
        <v>-8.5268300000000005E-2</v>
      </c>
      <c r="W1618">
        <v>0.13693079999999999</v>
      </c>
      <c r="X1618">
        <v>0.98690389999999995</v>
      </c>
      <c r="Y1618">
        <v>-0.2067657</v>
      </c>
      <c r="Z1618">
        <v>4.2053000000000004E-3</v>
      </c>
      <c r="AA1618">
        <v>0.97838150000000002</v>
      </c>
      <c r="AB1618">
        <v>26</v>
      </c>
      <c r="AC1618">
        <v>43.018500000000003</v>
      </c>
      <c r="AD1618">
        <v>-1.110873200378</v>
      </c>
      <c r="AE1618">
        <v>8.6584000000000199</v>
      </c>
      <c r="AF1618">
        <v>-9.0981559755201395</v>
      </c>
      <c r="AG1618">
        <v>-1.110873200378</v>
      </c>
      <c r="AH1618">
        <v>42.898917033915097</v>
      </c>
      <c r="AI1618">
        <v>91.451089000885403</v>
      </c>
      <c r="AJ1618">
        <v>101.97406919983</v>
      </c>
      <c r="AK1618">
        <v>43.867158149405299</v>
      </c>
      <c r="AL1618">
        <v>82.129716584689007</v>
      </c>
      <c r="AM1618">
        <v>94.938080811550407</v>
      </c>
      <c r="AN1618">
        <v>1.00000001740436</v>
      </c>
    </row>
    <row r="1619" spans="1:40" x14ac:dyDescent="0.25">
      <c r="A1619" t="str">
        <f>"20190304154750017"</f>
        <v>20190304154750017</v>
      </c>
      <c r="B1619" t="str">
        <f>"1551685670008127"</f>
        <v>1551685670008127</v>
      </c>
      <c r="C1619" t="s">
        <v>40</v>
      </c>
      <c r="D1619">
        <v>4.2154449999999999</v>
      </c>
      <c r="E1619">
        <v>0.45176959999999999</v>
      </c>
      <c r="F1619" t="s">
        <v>44</v>
      </c>
      <c r="G1619">
        <v>-220.4529</v>
      </c>
      <c r="H1619" s="1">
        <v>-5.1613589999999998E-6</v>
      </c>
      <c r="I1619">
        <v>375.47629999999998</v>
      </c>
      <c r="J1619">
        <v>-263.20659999999998</v>
      </c>
      <c r="K1619">
        <v>1.1108659999999999</v>
      </c>
      <c r="L1619">
        <v>366.83539999999999</v>
      </c>
      <c r="M1619">
        <v>0.99984989999999996</v>
      </c>
      <c r="N1619">
        <v>-1.3852929999999999E-2</v>
      </c>
      <c r="O1619">
        <v>-1.041839E-2</v>
      </c>
      <c r="P1619">
        <v>0.98946440000000002</v>
      </c>
      <c r="Q1619">
        <v>0.12358189999999999</v>
      </c>
      <c r="R1619">
        <v>7.5419169999999994E-2</v>
      </c>
      <c r="S1619">
        <v>2.9956360000000002</v>
      </c>
      <c r="T1619">
        <v>-7.7545050000000004E-2</v>
      </c>
      <c r="U1619">
        <v>0.60305790000000004</v>
      </c>
      <c r="V1619">
        <v>-8.5699849999999994E-2</v>
      </c>
      <c r="W1619">
        <v>0.13728070000000001</v>
      </c>
      <c r="X1619">
        <v>0.98681790000000003</v>
      </c>
      <c r="Y1619">
        <v>-0.207452</v>
      </c>
      <c r="Z1619">
        <v>4.233746E-3</v>
      </c>
      <c r="AA1619">
        <v>0.97823599999999999</v>
      </c>
      <c r="AB1619">
        <v>26</v>
      </c>
      <c r="AC1619">
        <v>42.753699999999903</v>
      </c>
      <c r="AD1619">
        <v>-1.1108711613590001</v>
      </c>
      <c r="AE1619">
        <v>8.6408999999999807</v>
      </c>
      <c r="AF1619">
        <v>-9.0800088424918108</v>
      </c>
      <c r="AG1619">
        <v>-1.1108711613590001</v>
      </c>
      <c r="AH1619">
        <v>42.633693080036203</v>
      </c>
      <c r="AI1619">
        <v>91.459844430409206</v>
      </c>
      <c r="AJ1619">
        <v>102.023062498109</v>
      </c>
      <c r="AK1619">
        <v>43.604040878794599</v>
      </c>
      <c r="AL1619">
        <v>82.109477615429995</v>
      </c>
      <c r="AM1619">
        <v>94.963378695462197</v>
      </c>
      <c r="AN1619">
        <v>1.00000001132146</v>
      </c>
    </row>
    <row r="1620" spans="1:40" x14ac:dyDescent="0.25">
      <c r="A1620" t="str">
        <f>"20190304154750030"</f>
        <v>20190304154750030</v>
      </c>
      <c r="B1620" t="str">
        <f>"1551685670017887"</f>
        <v>1551685670017887</v>
      </c>
      <c r="C1620" t="s">
        <v>40</v>
      </c>
      <c r="D1620">
        <v>4.2267380000000001</v>
      </c>
      <c r="E1620">
        <v>0.4517408</v>
      </c>
      <c r="F1620" t="s">
        <v>44</v>
      </c>
      <c r="G1620">
        <v>-219.48269999999999</v>
      </c>
      <c r="H1620" s="1">
        <v>-1.8133089999999999E-6</v>
      </c>
      <c r="I1620">
        <v>375.66379999999998</v>
      </c>
      <c r="J1620">
        <v>-263.05270000000002</v>
      </c>
      <c r="K1620">
        <v>1.110867</v>
      </c>
      <c r="L1620">
        <v>366.8338</v>
      </c>
      <c r="M1620">
        <v>0.99984960000000001</v>
      </c>
      <c r="N1620">
        <v>-1.38382E-2</v>
      </c>
      <c r="O1620">
        <v>-1.046716E-2</v>
      </c>
      <c r="P1620">
        <v>0.98937390000000003</v>
      </c>
      <c r="Q1620">
        <v>0.12394959999999999</v>
      </c>
      <c r="R1620">
        <v>7.6000150000000002E-2</v>
      </c>
      <c r="S1620">
        <v>2.9953609999999999</v>
      </c>
      <c r="T1620">
        <v>-7.6101299999999997E-2</v>
      </c>
      <c r="U1620">
        <v>0.60479740000000004</v>
      </c>
      <c r="V1620">
        <v>-8.6328479999999999E-2</v>
      </c>
      <c r="W1620">
        <v>0.1376327</v>
      </c>
      <c r="X1620">
        <v>0.98671410000000004</v>
      </c>
      <c r="Y1620">
        <v>-0.2080659</v>
      </c>
      <c r="Z1620">
        <v>4.1906570000000004E-3</v>
      </c>
      <c r="AA1620">
        <v>0.97810580000000003</v>
      </c>
      <c r="AB1620">
        <v>26</v>
      </c>
      <c r="AC1620">
        <v>43.57</v>
      </c>
      <c r="AD1620">
        <v>-1.1108688133089999</v>
      </c>
      <c r="AE1620">
        <v>8.8299999999999805</v>
      </c>
      <c r="AF1620">
        <v>-9.2798195409511504</v>
      </c>
      <c r="AG1620">
        <v>-1.1108688133089999</v>
      </c>
      <c r="AH1620">
        <v>43.448049437732202</v>
      </c>
      <c r="AI1620">
        <v>91.432313440930002</v>
      </c>
      <c r="AJ1620">
        <v>102.056325712157</v>
      </c>
      <c r="AK1620">
        <v>44.441895551119501</v>
      </c>
      <c r="AL1620">
        <v>82.089116461430095</v>
      </c>
      <c r="AM1620">
        <v>95.000125746547695</v>
      </c>
      <c r="AN1620">
        <v>1.0000000408536001</v>
      </c>
    </row>
    <row r="1621" spans="1:40" x14ac:dyDescent="0.25">
      <c r="A1621" t="str">
        <f>"20190304154750044"</f>
        <v>20190304154750044</v>
      </c>
      <c r="B1621" t="str">
        <f>"1551685670038383"</f>
        <v>1551685670038383</v>
      </c>
      <c r="C1621" t="s">
        <v>40</v>
      </c>
      <c r="D1621">
        <v>4.2407750000000002</v>
      </c>
      <c r="E1621">
        <v>0.45164779999999999</v>
      </c>
      <c r="F1621" t="s">
        <v>44</v>
      </c>
      <c r="G1621">
        <v>-218.8792</v>
      </c>
      <c r="H1621" s="1">
        <v>-2.104297E-6</v>
      </c>
      <c r="I1621">
        <v>375.78449999999998</v>
      </c>
      <c r="J1621">
        <v>-262.91230000000002</v>
      </c>
      <c r="K1621">
        <v>1.1108690000000001</v>
      </c>
      <c r="L1621">
        <v>366.8322</v>
      </c>
      <c r="M1621">
        <v>0.99984919999999999</v>
      </c>
      <c r="N1621">
        <v>-1.3826059999999999E-2</v>
      </c>
      <c r="O1621">
        <v>-1.0511299999999999E-2</v>
      </c>
      <c r="P1621">
        <v>0.98933099999999996</v>
      </c>
      <c r="Q1621">
        <v>0.1240745</v>
      </c>
      <c r="R1621">
        <v>7.6353959999999998E-2</v>
      </c>
      <c r="S1621">
        <v>2.9950559999999999</v>
      </c>
      <c r="T1621">
        <v>-7.5319170000000005E-2</v>
      </c>
      <c r="U1621">
        <v>0.60687259999999998</v>
      </c>
      <c r="V1621">
        <v>-8.6725609999999995E-2</v>
      </c>
      <c r="W1621">
        <v>0.13774459999999999</v>
      </c>
      <c r="X1621">
        <v>0.98666359999999997</v>
      </c>
      <c r="Y1621">
        <v>-0.20878089999999999</v>
      </c>
      <c r="Z1621">
        <v>4.1745030000000004E-3</v>
      </c>
      <c r="AA1621">
        <v>0.97795359999999998</v>
      </c>
      <c r="AB1621">
        <v>26</v>
      </c>
      <c r="AC1621">
        <v>44.033099999999997</v>
      </c>
      <c r="AD1621">
        <v>-1.1108711042970001</v>
      </c>
      <c r="AE1621">
        <v>8.9522999999999797</v>
      </c>
      <c r="AF1621">
        <v>-9.4089440021415598</v>
      </c>
      <c r="AG1621">
        <v>-1.1108711042970001</v>
      </c>
      <c r="AH1621">
        <v>43.909720282673703</v>
      </c>
      <c r="AI1621">
        <v>91.417061647633403</v>
      </c>
      <c r="AJ1621">
        <v>102.094405545968</v>
      </c>
      <c r="AK1621">
        <v>44.920215907188698</v>
      </c>
      <c r="AL1621">
        <v>82.082642950108706</v>
      </c>
      <c r="AM1621">
        <v>95.0232657927329</v>
      </c>
      <c r="AN1621">
        <v>0.99999998291199499</v>
      </c>
    </row>
    <row r="1622" spans="1:40" x14ac:dyDescent="0.25">
      <c r="A1622" t="str">
        <f>"20190304154750057"</f>
        <v>20190304154750057</v>
      </c>
      <c r="B1622" t="str">
        <f>"1551685670048142"</f>
        <v>1551685670048142</v>
      </c>
      <c r="C1622" t="s">
        <v>40</v>
      </c>
      <c r="D1622">
        <v>4.2157210000000003</v>
      </c>
      <c r="E1622">
        <v>0.45176909999999998</v>
      </c>
      <c r="F1622" t="s">
        <v>44</v>
      </c>
      <c r="G1622">
        <v>-218.62379999999999</v>
      </c>
      <c r="H1622" s="1">
        <v>-2.2263039999999999E-6</v>
      </c>
      <c r="I1622">
        <v>375.83120000000002</v>
      </c>
      <c r="J1622">
        <v>-262.75420000000003</v>
      </c>
      <c r="K1622">
        <v>1.1108690000000001</v>
      </c>
      <c r="L1622">
        <v>366.83049999999997</v>
      </c>
      <c r="M1622">
        <v>0.99984899999999999</v>
      </c>
      <c r="N1622">
        <v>-1.381305E-2</v>
      </c>
      <c r="O1622">
        <v>-1.0561030000000001E-2</v>
      </c>
      <c r="P1622">
        <v>0.98929270000000002</v>
      </c>
      <c r="Q1622">
        <v>0.1241765</v>
      </c>
      <c r="R1622">
        <v>7.6682780000000006E-2</v>
      </c>
      <c r="S1622">
        <v>2.9948429999999999</v>
      </c>
      <c r="T1622">
        <v>-7.5118420000000005E-2</v>
      </c>
      <c r="U1622">
        <v>0.60852050000000002</v>
      </c>
      <c r="V1622">
        <v>-8.7102789999999999E-2</v>
      </c>
      <c r="W1622">
        <v>0.13783329999999999</v>
      </c>
      <c r="X1622">
        <v>0.98661799999999999</v>
      </c>
      <c r="Y1622">
        <v>-0.20935999999999999</v>
      </c>
      <c r="Z1622">
        <v>4.1775620000000001E-3</v>
      </c>
      <c r="AA1622">
        <v>0.97782970000000002</v>
      </c>
      <c r="AB1622">
        <v>25</v>
      </c>
      <c r="AC1622">
        <v>44.130400000000002</v>
      </c>
      <c r="AD1622">
        <v>-1.1108712263039999</v>
      </c>
      <c r="AE1622">
        <v>9.0007000000000499</v>
      </c>
      <c r="AF1622">
        <v>-9.4605495085710292</v>
      </c>
      <c r="AG1622">
        <v>-1.1108712263039999</v>
      </c>
      <c r="AH1622">
        <v>44.006101715807397</v>
      </c>
      <c r="AI1622">
        <v>91.413755476165605</v>
      </c>
      <c r="AJ1622">
        <v>102.132931432242</v>
      </c>
      <c r="AK1622">
        <v>45.025248695676801</v>
      </c>
      <c r="AL1622">
        <v>82.077511978667403</v>
      </c>
      <c r="AM1622">
        <v>95.045232038873294</v>
      </c>
      <c r="AN1622">
        <v>0.999999996269337</v>
      </c>
    </row>
    <row r="1623" spans="1:40" x14ac:dyDescent="0.25">
      <c r="A1623" t="str">
        <f>"20190304154750069"</f>
        <v>20190304154750069</v>
      </c>
      <c r="B1623" t="str">
        <f>"1551685670057902"</f>
        <v>1551685670057902</v>
      </c>
      <c r="C1623" t="s">
        <v>40</v>
      </c>
      <c r="D1623">
        <v>4.2386990000000004</v>
      </c>
      <c r="E1623">
        <v>0.4516617</v>
      </c>
      <c r="F1623" t="s">
        <v>44</v>
      </c>
      <c r="G1623">
        <v>-219.30170000000001</v>
      </c>
      <c r="H1623" s="1">
        <v>-1.8906040000000001E-6</v>
      </c>
      <c r="I1623">
        <v>375.6626</v>
      </c>
      <c r="J1623">
        <v>-262.61529999999999</v>
      </c>
      <c r="K1623">
        <v>1.1108659999999999</v>
      </c>
      <c r="L1623">
        <v>366.82900000000001</v>
      </c>
      <c r="M1623">
        <v>0.99984859999999998</v>
      </c>
      <c r="N1623">
        <v>-1.380236E-2</v>
      </c>
      <c r="O1623">
        <v>-1.060447E-2</v>
      </c>
      <c r="P1623">
        <v>0.9892822</v>
      </c>
      <c r="Q1623">
        <v>0.124129</v>
      </c>
      <c r="R1623">
        <v>7.6896800000000001E-2</v>
      </c>
      <c r="S1623">
        <v>2.994904</v>
      </c>
      <c r="T1623">
        <v>-7.6565149999999998E-2</v>
      </c>
      <c r="U1623">
        <v>0.60873409999999994</v>
      </c>
      <c r="V1623">
        <v>-8.7359909999999999E-2</v>
      </c>
      <c r="W1623">
        <v>0.13777529999999999</v>
      </c>
      <c r="X1623">
        <v>0.98660340000000002</v>
      </c>
      <c r="Y1623">
        <v>-0.20946239999999999</v>
      </c>
      <c r="Z1623">
        <v>4.2340850000000003E-3</v>
      </c>
      <c r="AA1623">
        <v>0.97780750000000005</v>
      </c>
      <c r="AB1623">
        <v>25</v>
      </c>
      <c r="AC1623">
        <v>43.313599999999902</v>
      </c>
      <c r="AD1623">
        <v>-1.1108678906039999</v>
      </c>
      <c r="AE1623">
        <v>8.8335999999999899</v>
      </c>
      <c r="AF1623">
        <v>-9.2866001384406296</v>
      </c>
      <c r="AG1623">
        <v>-1.1108678906039999</v>
      </c>
      <c r="AH1623">
        <v>43.1902045928327</v>
      </c>
      <c r="AI1623">
        <v>91.440437000300903</v>
      </c>
      <c r="AJ1623">
        <v>102.134775552687</v>
      </c>
      <c r="AK1623">
        <v>44.191274504956397</v>
      </c>
      <c r="AL1623">
        <v>82.080867397042994</v>
      </c>
      <c r="AM1623">
        <v>95.060122419134004</v>
      </c>
      <c r="AN1623">
        <v>1.00000002802842</v>
      </c>
    </row>
    <row r="1624" spans="1:40" x14ac:dyDescent="0.25">
      <c r="A1624" t="str">
        <f>"20190304154750083"</f>
        <v>20190304154750083</v>
      </c>
      <c r="B1624" t="str">
        <f>"1551685670078400"</f>
        <v>1551685670078400</v>
      </c>
      <c r="C1624" t="s">
        <v>40</v>
      </c>
      <c r="D1624">
        <v>4.2342550000000001</v>
      </c>
      <c r="E1624">
        <v>0.45157049999999999</v>
      </c>
      <c r="F1624" t="s">
        <v>44</v>
      </c>
      <c r="G1624">
        <v>-219.47149999999999</v>
      </c>
      <c r="H1624" s="1">
        <v>-1.805228E-6</v>
      </c>
      <c r="I1624">
        <v>375.61540000000002</v>
      </c>
      <c r="J1624">
        <v>-262.4726</v>
      </c>
      <c r="K1624">
        <v>1.110868</v>
      </c>
      <c r="L1624">
        <v>366.82749999999999</v>
      </c>
      <c r="M1624">
        <v>0.99984819999999996</v>
      </c>
      <c r="N1624">
        <v>-1.3793949999999999E-2</v>
      </c>
      <c r="O1624">
        <v>-1.064935E-2</v>
      </c>
      <c r="P1624">
        <v>0.98924630000000002</v>
      </c>
      <c r="Q1624">
        <v>0.1244122</v>
      </c>
      <c r="R1624">
        <v>7.6899449999999994E-2</v>
      </c>
      <c r="S1624">
        <v>2.9947810000000001</v>
      </c>
      <c r="T1624">
        <v>-7.7109579999999997E-2</v>
      </c>
      <c r="U1624">
        <v>0.60989380000000004</v>
      </c>
      <c r="V1624">
        <v>-8.7405930000000007E-2</v>
      </c>
      <c r="W1624">
        <v>0.13804959999999999</v>
      </c>
      <c r="X1624">
        <v>0.98656089999999996</v>
      </c>
      <c r="Y1624">
        <v>-0.20987620000000001</v>
      </c>
      <c r="Z1624">
        <v>4.2627860000000002E-3</v>
      </c>
      <c r="AA1624">
        <v>0.97771870000000005</v>
      </c>
      <c r="AB1624">
        <v>25</v>
      </c>
      <c r="AC1624">
        <v>43.001100000000001</v>
      </c>
      <c r="AD1624">
        <v>-1.1108698052279999</v>
      </c>
      <c r="AE1624">
        <v>8.7879000000000307</v>
      </c>
      <c r="AF1624">
        <v>-9.2394599499877899</v>
      </c>
      <c r="AG1624">
        <v>-1.1108698052279999</v>
      </c>
      <c r="AH1624">
        <v>42.877598738734498</v>
      </c>
      <c r="AI1624">
        <v>91.450797075264902</v>
      </c>
      <c r="AJ1624">
        <v>102.160413415756</v>
      </c>
      <c r="AK1624">
        <v>43.875849000236101</v>
      </c>
      <c r="AL1624">
        <v>82.064998907724998</v>
      </c>
      <c r="AM1624">
        <v>95.062991137650698</v>
      </c>
      <c r="AN1624">
        <v>0.99999994903406597</v>
      </c>
    </row>
    <row r="1625" spans="1:40" x14ac:dyDescent="0.25">
      <c r="A1625" t="str">
        <f>"20190304154750095"</f>
        <v>20190304154750095</v>
      </c>
      <c r="B1625" t="str">
        <f>"1551685670088159"</f>
        <v>1551685670088159</v>
      </c>
      <c r="C1625" t="s">
        <v>40</v>
      </c>
      <c r="D1625">
        <v>4.2126229999999998</v>
      </c>
      <c r="E1625">
        <v>0.45150560000000001</v>
      </c>
      <c r="F1625" t="s">
        <v>44</v>
      </c>
      <c r="G1625">
        <v>-219.0488</v>
      </c>
      <c r="H1625" s="1">
        <v>-2.0042720000000001E-6</v>
      </c>
      <c r="I1625">
        <v>375.68189999999998</v>
      </c>
      <c r="J1625">
        <v>-262.32220000000001</v>
      </c>
      <c r="K1625">
        <v>1.1108739999999999</v>
      </c>
      <c r="L1625">
        <v>366.82580000000002</v>
      </c>
      <c r="M1625">
        <v>0.99984779999999995</v>
      </c>
      <c r="N1625">
        <v>-1.3786629999999999E-2</v>
      </c>
      <c r="O1625">
        <v>-1.069662E-2</v>
      </c>
      <c r="P1625">
        <v>0.98920909999999995</v>
      </c>
      <c r="Q1625">
        <v>0.1247105</v>
      </c>
      <c r="R1625">
        <v>7.6892580000000002E-2</v>
      </c>
      <c r="S1625">
        <v>2.9947810000000001</v>
      </c>
      <c r="T1625">
        <v>-7.6612470000000002E-2</v>
      </c>
      <c r="U1625">
        <v>0.61065669999999905</v>
      </c>
      <c r="V1625">
        <v>-8.7445629999999996E-2</v>
      </c>
      <c r="W1625">
        <v>0.13834009999999999</v>
      </c>
      <c r="X1625">
        <v>0.98651670000000002</v>
      </c>
      <c r="Y1625">
        <v>-0.2101626</v>
      </c>
      <c r="Z1625">
        <v>4.2492399999999996E-3</v>
      </c>
      <c r="AA1625">
        <v>0.9776572</v>
      </c>
      <c r="AB1625">
        <v>25</v>
      </c>
      <c r="AC1625">
        <v>43.273400000000002</v>
      </c>
      <c r="AD1625">
        <v>-1.1108760042719901</v>
      </c>
      <c r="AE1625">
        <v>8.8560999999999694</v>
      </c>
      <c r="AF1625">
        <v>-9.3126259642820699</v>
      </c>
      <c r="AG1625">
        <v>-1.1108760042719901</v>
      </c>
      <c r="AH1625">
        <v>43.148892234964798</v>
      </c>
      <c r="AI1625">
        <v>91.441586054665095</v>
      </c>
      <c r="AJ1625">
        <v>102.17907372792</v>
      </c>
      <c r="AK1625">
        <v>44.156380614267903</v>
      </c>
      <c r="AL1625">
        <v>82.0481933245932</v>
      </c>
      <c r="AM1625">
        <v>95.065504565413406</v>
      </c>
      <c r="AN1625">
        <v>0.99999996042649697</v>
      </c>
    </row>
    <row r="1626" spans="1:40" x14ac:dyDescent="0.25">
      <c r="A1626" t="str">
        <f>"20190304154750106"</f>
        <v>20190304154750106</v>
      </c>
      <c r="B1626" t="str">
        <f>"1551685670097919"</f>
        <v>1551685670097919</v>
      </c>
      <c r="C1626" t="s">
        <v>40</v>
      </c>
      <c r="D1626">
        <v>4.2192740000000004</v>
      </c>
      <c r="E1626">
        <v>0.45135890000000001</v>
      </c>
      <c r="F1626" t="s">
        <v>44</v>
      </c>
      <c r="G1626">
        <v>-218.56020000000001</v>
      </c>
      <c r="H1626" s="1">
        <v>-2.2335560000000002E-6</v>
      </c>
      <c r="I1626">
        <v>375.7559</v>
      </c>
      <c r="J1626">
        <v>-262.18540000000002</v>
      </c>
      <c r="K1626">
        <v>1.110876</v>
      </c>
      <c r="L1626">
        <v>366.82429999999999</v>
      </c>
      <c r="M1626">
        <v>0.99984740000000005</v>
      </c>
      <c r="N1626">
        <v>-1.378238E-2</v>
      </c>
      <c r="O1626">
        <v>-1.0739739999999999E-2</v>
      </c>
      <c r="P1626">
        <v>0.98921360000000003</v>
      </c>
      <c r="Q1626">
        <v>0.12476619999999999</v>
      </c>
      <c r="R1626">
        <v>7.6747629999999997E-2</v>
      </c>
      <c r="S1626">
        <v>2.994812</v>
      </c>
      <c r="T1626">
        <v>-7.6021549999999993E-2</v>
      </c>
      <c r="U1626">
        <v>0.6111145</v>
      </c>
      <c r="V1626">
        <v>-8.7343390000000007E-2</v>
      </c>
      <c r="W1626">
        <v>0.1383916</v>
      </c>
      <c r="X1626">
        <v>0.98651860000000002</v>
      </c>
      <c r="Y1626">
        <v>-0.21034749999999999</v>
      </c>
      <c r="Z1626">
        <v>4.2302829999999996E-3</v>
      </c>
      <c r="AA1626">
        <v>0.97761759999999998</v>
      </c>
      <c r="AB1626">
        <v>25</v>
      </c>
      <c r="AC1626">
        <v>43.6252</v>
      </c>
      <c r="AD1626">
        <v>-1.1108782335559999</v>
      </c>
      <c r="AE1626">
        <v>8.9315999999999995</v>
      </c>
      <c r="AF1626">
        <v>-9.3938064682028397</v>
      </c>
      <c r="AG1626">
        <v>-1.1108782335559999</v>
      </c>
      <c r="AH1626">
        <v>43.499679939184901</v>
      </c>
      <c r="AI1626">
        <v>91.429931524836704</v>
      </c>
      <c r="AJ1626">
        <v>102.185959746187</v>
      </c>
      <c r="AK1626">
        <v>44.5162869658215</v>
      </c>
      <c r="AL1626">
        <v>82.045214454108304</v>
      </c>
      <c r="AM1626">
        <v>95.059603125709998</v>
      </c>
      <c r="AN1626">
        <v>1.0000000254365999</v>
      </c>
    </row>
    <row r="1627" spans="1:40" x14ac:dyDescent="0.25">
      <c r="A1627" t="str">
        <f>"20190304154750119"</f>
        <v>20190304154750119</v>
      </c>
      <c r="B1627" t="str">
        <f>"1551685670108655"</f>
        <v>1551685670108655</v>
      </c>
      <c r="C1627" t="s">
        <v>40</v>
      </c>
      <c r="D1627">
        <v>4.2357170000000002</v>
      </c>
      <c r="E1627">
        <v>0.45129730000000001</v>
      </c>
      <c r="F1627" t="s">
        <v>44</v>
      </c>
      <c r="G1627">
        <v>-219.1712</v>
      </c>
      <c r="H1627" s="1">
        <v>-1.932496E-6</v>
      </c>
      <c r="I1627">
        <v>375.6096</v>
      </c>
      <c r="J1627">
        <v>-262.05169999999998</v>
      </c>
      <c r="K1627">
        <v>1.110878</v>
      </c>
      <c r="L1627">
        <v>366.82279999999997</v>
      </c>
      <c r="M1627">
        <v>0.99984689999999998</v>
      </c>
      <c r="N1627">
        <v>-1.3780850000000001E-2</v>
      </c>
      <c r="O1627">
        <v>-1.0781809999999999E-2</v>
      </c>
      <c r="P1627">
        <v>0.98918410000000001</v>
      </c>
      <c r="Q1627">
        <v>0.12495530000000001</v>
      </c>
      <c r="R1627">
        <v>7.6818129999999998E-2</v>
      </c>
      <c r="S1627">
        <v>2.9949650000000001</v>
      </c>
      <c r="T1627">
        <v>-7.7347399999999997E-2</v>
      </c>
      <c r="U1627">
        <v>0.61169430000000002</v>
      </c>
      <c r="V1627">
        <v>-8.745493E-2</v>
      </c>
      <c r="W1627">
        <v>0.1385786</v>
      </c>
      <c r="X1627">
        <v>0.98648239999999998</v>
      </c>
      <c r="Y1627">
        <v>-0.21055740000000001</v>
      </c>
      <c r="Z1627">
        <v>4.2853880000000002E-3</v>
      </c>
      <c r="AA1627">
        <v>0.97757210000000005</v>
      </c>
      <c r="AB1627">
        <v>25</v>
      </c>
      <c r="AC1627">
        <v>42.880499999999898</v>
      </c>
      <c r="AD1627">
        <v>-1.1108799324959999</v>
      </c>
      <c r="AE1627">
        <v>8.7868000000000208</v>
      </c>
      <c r="AF1627">
        <v>-9.2427092816314396</v>
      </c>
      <c r="AG1627">
        <v>-1.1108799324959999</v>
      </c>
      <c r="AH1627">
        <v>42.755721648470796</v>
      </c>
      <c r="AI1627">
        <v>91.454737120216194</v>
      </c>
      <c r="AJ1627">
        <v>102.19820133717</v>
      </c>
      <c r="AK1627">
        <v>43.7574389420895</v>
      </c>
      <c r="AL1627">
        <v>82.034395371662796</v>
      </c>
      <c r="AM1627">
        <v>95.066215717237498</v>
      </c>
      <c r="AN1627">
        <v>0.99999995933451102</v>
      </c>
    </row>
    <row r="1628" spans="1:40" x14ac:dyDescent="0.25">
      <c r="A1628" t="str">
        <f>"20190304154750131"</f>
        <v>20190304154750131</v>
      </c>
      <c r="B1628" t="str">
        <f>"1551685670128175"</f>
        <v>1551685670128175</v>
      </c>
      <c r="C1628" t="s">
        <v>40</v>
      </c>
      <c r="D1628">
        <v>4.2717710000000002</v>
      </c>
      <c r="E1628">
        <v>0.451206</v>
      </c>
      <c r="F1628" t="s">
        <v>44</v>
      </c>
      <c r="G1628">
        <v>-218.57939999999999</v>
      </c>
      <c r="H1628" s="1">
        <v>-2.213795E-6</v>
      </c>
      <c r="I1628">
        <v>375.71260000000001</v>
      </c>
      <c r="J1628">
        <v>-261.9126</v>
      </c>
      <c r="K1628">
        <v>1.1108769999999999</v>
      </c>
      <c r="L1628">
        <v>366.82130000000001</v>
      </c>
      <c r="M1628">
        <v>0.99984649999999997</v>
      </c>
      <c r="N1628">
        <v>-1.3780809999999999E-2</v>
      </c>
      <c r="O1628">
        <v>-1.082556E-2</v>
      </c>
      <c r="P1628">
        <v>0.9891974</v>
      </c>
      <c r="Q1628">
        <v>0.12510209999999999</v>
      </c>
      <c r="R1628">
        <v>7.6407710000000004E-2</v>
      </c>
      <c r="S1628">
        <v>2.9948730000000001</v>
      </c>
      <c r="T1628">
        <v>-7.6530100000000004E-2</v>
      </c>
      <c r="U1628">
        <v>0.61242680000000005</v>
      </c>
      <c r="V1628">
        <v>-8.7088079999999998E-2</v>
      </c>
      <c r="W1628">
        <v>0.1387254</v>
      </c>
      <c r="X1628">
        <v>0.98649419999999999</v>
      </c>
      <c r="Y1628">
        <v>-0.21083730000000001</v>
      </c>
      <c r="Z1628">
        <v>4.2600989999999998E-3</v>
      </c>
      <c r="AA1628">
        <v>0.97751189999999999</v>
      </c>
      <c r="AB1628">
        <v>25</v>
      </c>
      <c r="AC1628">
        <v>43.333199999999998</v>
      </c>
      <c r="AD1628">
        <v>-1.1108792137950001</v>
      </c>
      <c r="AE1628">
        <v>8.8912999999999993</v>
      </c>
      <c r="AF1628">
        <v>-9.3540305261793293</v>
      </c>
      <c r="AG1628">
        <v>-1.1108792137950001</v>
      </c>
      <c r="AH1628">
        <v>43.2071496208955</v>
      </c>
      <c r="AI1628">
        <v>91.439449015545804</v>
      </c>
      <c r="AJ1628">
        <v>102.215599241448</v>
      </c>
      <c r="AK1628">
        <v>44.222050134234998</v>
      </c>
      <c r="AL1628">
        <v>82.025902150316298</v>
      </c>
      <c r="AM1628">
        <v>95.0450141696451</v>
      </c>
      <c r="AN1628">
        <v>0.99999993845844104</v>
      </c>
    </row>
    <row r="1629" spans="1:40" x14ac:dyDescent="0.25">
      <c r="A1629" t="str">
        <f>"20190304154750143"</f>
        <v>20190304154750143</v>
      </c>
      <c r="B1629" t="str">
        <f>"1551685670137935"</f>
        <v>1551685670137935</v>
      </c>
      <c r="C1629" t="s">
        <v>40</v>
      </c>
      <c r="D1629">
        <v>4.4979100000000001</v>
      </c>
      <c r="E1629">
        <v>0.4699044</v>
      </c>
      <c r="F1629" t="s">
        <v>44</v>
      </c>
      <c r="G1629">
        <v>-217.9999</v>
      </c>
      <c r="H1629" s="1">
        <v>-2.4850989999999999E-6</v>
      </c>
      <c r="I1629">
        <v>375.79790000000003</v>
      </c>
      <c r="J1629">
        <v>-261.77839999999998</v>
      </c>
      <c r="K1629">
        <v>1.1108750000000001</v>
      </c>
      <c r="L1629">
        <v>366.81979999999999</v>
      </c>
      <c r="M1629">
        <v>0.99984600000000001</v>
      </c>
      <c r="N1629">
        <v>-1.3784080000000001E-2</v>
      </c>
      <c r="O1629">
        <v>-1.086789E-2</v>
      </c>
      <c r="P1629">
        <v>0.98916249999999994</v>
      </c>
      <c r="Q1629">
        <v>0.12549469999999999</v>
      </c>
      <c r="R1629">
        <v>7.6214690000000002E-2</v>
      </c>
      <c r="S1629">
        <v>2.9950559999999999</v>
      </c>
      <c r="T1629">
        <v>-7.576716E-2</v>
      </c>
      <c r="U1629">
        <v>0.61224369999999995</v>
      </c>
      <c r="V1629">
        <v>-8.6936440000000004E-2</v>
      </c>
      <c r="W1629">
        <v>0.1391211</v>
      </c>
      <c r="X1629">
        <v>0.98645190000000005</v>
      </c>
      <c r="Y1629">
        <v>-0.21081130000000001</v>
      </c>
      <c r="Z1629">
        <v>4.2309169999999998E-3</v>
      </c>
      <c r="AA1629">
        <v>0.97751759999999999</v>
      </c>
      <c r="AB1629">
        <v>25</v>
      </c>
      <c r="AC1629">
        <v>43.778499999999902</v>
      </c>
      <c r="AD1629">
        <v>-1.110877485099</v>
      </c>
      <c r="AE1629">
        <v>8.9781000000000297</v>
      </c>
      <c r="AF1629">
        <v>-9.4475571202379598</v>
      </c>
      <c r="AG1629">
        <v>-1.110877485099</v>
      </c>
      <c r="AH1629">
        <v>43.651359594197899</v>
      </c>
      <c r="AI1629">
        <v>91.424822403764495</v>
      </c>
      <c r="AJ1629">
        <v>102.212287126787</v>
      </c>
      <c r="AK1629">
        <v>44.675850061851399</v>
      </c>
      <c r="AL1629">
        <v>82.003008608785194</v>
      </c>
      <c r="AM1629">
        <v>95.036489728279705</v>
      </c>
      <c r="AN1629">
        <v>0.99999998803934598</v>
      </c>
    </row>
    <row r="1630" spans="1:40" x14ac:dyDescent="0.25">
      <c r="A1630" t="str">
        <f>"20190304154750159"</f>
        <v>20190304154750159</v>
      </c>
      <c r="B1630" t="str">
        <f>"1551685670148672"</f>
        <v>1551685670148672</v>
      </c>
      <c r="C1630" t="s">
        <v>40</v>
      </c>
      <c r="D1630">
        <v>3.9102769999999998</v>
      </c>
      <c r="E1630">
        <v>0.4699044</v>
      </c>
      <c r="F1630" t="s">
        <v>53</v>
      </c>
      <c r="G1630">
        <v>-209.21770000000001</v>
      </c>
      <c r="H1630" s="1">
        <v>-5.7575850000000004E-6</v>
      </c>
      <c r="I1630">
        <v>374.9144</v>
      </c>
      <c r="J1630">
        <v>-261.59769999999997</v>
      </c>
      <c r="K1630">
        <v>1.110884</v>
      </c>
      <c r="L1630">
        <v>366.81779999999998</v>
      </c>
      <c r="M1630">
        <v>0.99984530000000005</v>
      </c>
      <c r="N1630">
        <v>-1.378968E-2</v>
      </c>
      <c r="O1630">
        <v>-1.0925259999999999E-2</v>
      </c>
      <c r="P1630">
        <v>0.98917699999999997</v>
      </c>
      <c r="Q1630">
        <v>0.12569930000000001</v>
      </c>
      <c r="R1630">
        <v>7.5687859999999996E-2</v>
      </c>
      <c r="S1630">
        <v>3.00528</v>
      </c>
      <c r="T1630">
        <v>-6.3517210000000004E-2</v>
      </c>
      <c r="U1630">
        <v>0.46282960000000001</v>
      </c>
      <c r="V1630">
        <v>-8.6466769999999998E-2</v>
      </c>
      <c r="W1630">
        <v>0.1393308</v>
      </c>
      <c r="X1630">
        <v>0.9864636</v>
      </c>
      <c r="Y1630">
        <v>-0.16294139999999999</v>
      </c>
      <c r="Z1630">
        <v>2.9217470000000001E-3</v>
      </c>
      <c r="AA1630">
        <v>0.98663140000000005</v>
      </c>
      <c r="AB1630">
        <v>25</v>
      </c>
      <c r="AC1630">
        <v>52.379999999999903</v>
      </c>
      <c r="AD1630">
        <v>-1.1108897575849901</v>
      </c>
      <c r="AE1630">
        <v>8.09660000000002</v>
      </c>
      <c r="AF1630">
        <v>-8.6646298506082502</v>
      </c>
      <c r="AG1630">
        <v>-1.1108897575849901</v>
      </c>
      <c r="AH1630">
        <v>52.265447423926503</v>
      </c>
      <c r="AI1630">
        <v>91.201234713715493</v>
      </c>
      <c r="AJ1630">
        <v>99.412954146514906</v>
      </c>
      <c r="AK1630">
        <v>52.990441410926003</v>
      </c>
      <c r="AL1630">
        <v>81.990875644831306</v>
      </c>
      <c r="AM1630">
        <v>95.009360041895505</v>
      </c>
      <c r="AN1630">
        <v>1.0000000041339101</v>
      </c>
    </row>
    <row r="1631" spans="1:40" x14ac:dyDescent="0.25">
      <c r="A1631" t="str">
        <f>"20190304154750173"</f>
        <v>20190304154750173</v>
      </c>
      <c r="B1631" t="str">
        <f>"1551685670168191"</f>
        <v>1551685670168191</v>
      </c>
      <c r="C1631" t="s">
        <v>40</v>
      </c>
      <c r="D1631">
        <v>4.3534980000000001</v>
      </c>
      <c r="E1631">
        <v>0.52304059999999997</v>
      </c>
      <c r="F1631" t="s">
        <v>53</v>
      </c>
      <c r="G1631">
        <v>-208.58779999999999</v>
      </c>
      <c r="H1631" s="1">
        <v>-5.5407199999999999E-6</v>
      </c>
      <c r="I1631">
        <v>374.9529</v>
      </c>
      <c r="J1631">
        <v>-261.44810000000001</v>
      </c>
      <c r="K1631">
        <v>1.110884</v>
      </c>
      <c r="L1631">
        <v>366.81610000000001</v>
      </c>
      <c r="M1631">
        <v>0.99984470000000003</v>
      </c>
      <c r="N1631">
        <v>-1.379536E-2</v>
      </c>
      <c r="O1631">
        <v>-1.0972859999999999E-2</v>
      </c>
      <c r="P1631">
        <v>0.98917129999999998</v>
      </c>
      <c r="Q1631">
        <v>0.1258629</v>
      </c>
      <c r="R1631">
        <v>7.5490970000000004E-2</v>
      </c>
      <c r="S1631">
        <v>3.0055239999999999</v>
      </c>
      <c r="T1631">
        <v>-6.2984589999999993E-2</v>
      </c>
      <c r="U1631">
        <v>0.46124270000000001</v>
      </c>
      <c r="V1631">
        <v>-8.6317459999999999E-2</v>
      </c>
      <c r="W1631">
        <v>0.13949979999999901</v>
      </c>
      <c r="X1631">
        <v>0.98645280000000002</v>
      </c>
      <c r="Y1631">
        <v>-0.16246830000000001</v>
      </c>
      <c r="Z1631">
        <v>2.897873E-3</v>
      </c>
      <c r="AA1631">
        <v>0.98670950000000002</v>
      </c>
      <c r="AB1631">
        <v>25</v>
      </c>
      <c r="AC1631">
        <v>52.860300000000002</v>
      </c>
      <c r="AD1631">
        <v>-1.1108895407199999</v>
      </c>
      <c r="AE1631">
        <v>8.1367999999999903</v>
      </c>
      <c r="AF1631">
        <v>-8.7126349662719598</v>
      </c>
      <c r="AG1631">
        <v>-1.1108895407199999</v>
      </c>
      <c r="AH1631">
        <v>52.745068655477702</v>
      </c>
      <c r="AI1631">
        <v>91.190429075500504</v>
      </c>
      <c r="AJ1631">
        <v>99.379640980799707</v>
      </c>
      <c r="AK1631">
        <v>53.471360101443501</v>
      </c>
      <c r="AL1631">
        <v>81.981097227883694</v>
      </c>
      <c r="AM1631">
        <v>95.000808298867</v>
      </c>
      <c r="AN1631">
        <v>1.00000001236436</v>
      </c>
    </row>
    <row r="1632" spans="1:40" x14ac:dyDescent="0.25">
      <c r="A1632" t="str">
        <f>"20190304154750182"</f>
        <v>20190304154750182</v>
      </c>
      <c r="B1632" t="str">
        <f>"1551685670177951"</f>
        <v>1551685670177951</v>
      </c>
      <c r="C1632" t="s">
        <v>40</v>
      </c>
      <c r="D1632">
        <v>4.4261350000000004</v>
      </c>
      <c r="E1632">
        <v>0.52615509999999999</v>
      </c>
      <c r="F1632" t="s">
        <v>45</v>
      </c>
      <c r="G1632">
        <v>-163.77549999999999</v>
      </c>
      <c r="H1632">
        <v>-0.05</v>
      </c>
      <c r="I1632">
        <v>368.04880000000003</v>
      </c>
      <c r="J1632">
        <v>-261.32479999999998</v>
      </c>
      <c r="K1632">
        <v>1.1108849999999999</v>
      </c>
      <c r="L1632">
        <v>366.81470000000002</v>
      </c>
      <c r="M1632">
        <v>0.99984430000000002</v>
      </c>
      <c r="N1632">
        <v>-1.3800460000000001E-2</v>
      </c>
      <c r="O1632">
        <v>-1.101152E-2</v>
      </c>
      <c r="P1632">
        <v>0.98915679999999995</v>
      </c>
      <c r="Q1632">
        <v>0.1261139</v>
      </c>
      <c r="R1632">
        <v>7.5260750000000001E-2</v>
      </c>
      <c r="S1632">
        <v>3.0345149999999999</v>
      </c>
      <c r="T1632">
        <v>-3.6066649999999999E-2</v>
      </c>
      <c r="U1632">
        <v>3.8299560000000003E-2</v>
      </c>
      <c r="V1632">
        <v>-8.6124290000000006E-2</v>
      </c>
      <c r="W1632">
        <v>0.13975580000000001</v>
      </c>
      <c r="X1632">
        <v>0.98643340000000002</v>
      </c>
      <c r="Y1632">
        <v>-2.362761E-2</v>
      </c>
      <c r="Z1632">
        <v>2.8236659999999997E-4</v>
      </c>
      <c r="AA1632">
        <v>0.99972079999999997</v>
      </c>
      <c r="AB1632">
        <v>25</v>
      </c>
      <c r="AC1632">
        <v>97.549300000000002</v>
      </c>
      <c r="AD1632">
        <v>-1.1608849999999999</v>
      </c>
      <c r="AE1632">
        <v>1.23410000000001</v>
      </c>
      <c r="AF1632">
        <v>-2.30796655183127</v>
      </c>
      <c r="AG1632">
        <v>-1.1608849999999999</v>
      </c>
      <c r="AH1632">
        <v>97.515985807974005</v>
      </c>
      <c r="AI1632">
        <v>90.681857954976095</v>
      </c>
      <c r="AJ1632">
        <v>91.355798835439899</v>
      </c>
      <c r="AK1632">
        <v>97.550201699886799</v>
      </c>
      <c r="AL1632">
        <v>81.966284018249098</v>
      </c>
      <c r="AM1632">
        <v>94.989771176953795</v>
      </c>
      <c r="AN1632">
        <v>0.99999996479860098</v>
      </c>
    </row>
    <row r="1633" spans="1:40" x14ac:dyDescent="0.25">
      <c r="A1633" t="str">
        <f>"20190304154750193"</f>
        <v>20190304154750193</v>
      </c>
      <c r="B1633" t="str">
        <f>"1551685670188687"</f>
        <v>1551685670188687</v>
      </c>
      <c r="C1633" t="s">
        <v>40</v>
      </c>
      <c r="D1633">
        <v>4.3492800000000003</v>
      </c>
      <c r="E1633">
        <v>0.52751859999999995</v>
      </c>
      <c r="F1633" t="s">
        <v>53</v>
      </c>
      <c r="G1633">
        <v>-183.43170000000001</v>
      </c>
      <c r="H1633" s="1">
        <v>-8.5329719999999995E-6</v>
      </c>
      <c r="I1633">
        <v>367.14179999999999</v>
      </c>
      <c r="J1633">
        <v>-261.20920000000001</v>
      </c>
      <c r="K1633">
        <v>1.1108819999999999</v>
      </c>
      <c r="L1633">
        <v>366.8134</v>
      </c>
      <c r="M1633">
        <v>0.99984379999999995</v>
      </c>
      <c r="N1633">
        <v>-1.380525E-2</v>
      </c>
      <c r="O1633">
        <v>-1.1047909999999999E-2</v>
      </c>
      <c r="P1633">
        <v>0.98913660000000003</v>
      </c>
      <c r="Q1633">
        <v>0.12626709999999999</v>
      </c>
      <c r="R1633">
        <v>7.526919E-2</v>
      </c>
      <c r="S1633">
        <v>3.037445</v>
      </c>
      <c r="T1633">
        <v>-4.3319339999999998E-2</v>
      </c>
      <c r="U1633">
        <v>1.275635E-2</v>
      </c>
      <c r="V1633">
        <v>-8.6168930000000005E-2</v>
      </c>
      <c r="W1633">
        <v>0.13991300000000001</v>
      </c>
      <c r="X1633">
        <v>0.98640729999999999</v>
      </c>
      <c r="Y1633">
        <v>-1.524522E-2</v>
      </c>
      <c r="Z1633">
        <v>2.1897950000000001E-4</v>
      </c>
      <c r="AA1633">
        <v>0.99988379999999999</v>
      </c>
      <c r="AB1633">
        <v>25</v>
      </c>
      <c r="AC1633">
        <v>77.777500000000003</v>
      </c>
      <c r="AD1633">
        <v>-1.110890532972</v>
      </c>
      <c r="AE1633">
        <v>0.32839999999998698</v>
      </c>
      <c r="AF1633">
        <v>-1.1874983064975599</v>
      </c>
      <c r="AG1633">
        <v>-1.110890532972</v>
      </c>
      <c r="AH1633">
        <v>77.753262311455401</v>
      </c>
      <c r="AI1633">
        <v>90.818455539592406</v>
      </c>
      <c r="AJ1633">
        <v>90.874990318966397</v>
      </c>
      <c r="AK1633">
        <v>77.770264433639198</v>
      </c>
      <c r="AL1633">
        <v>81.957188413389105</v>
      </c>
      <c r="AM1633">
        <v>94.992475839490496</v>
      </c>
      <c r="AN1633">
        <v>1.00000004677981</v>
      </c>
    </row>
    <row r="1634" spans="1:40" x14ac:dyDescent="0.25">
      <c r="A1634" t="str">
        <f>"20190304154750204"</f>
        <v>20190304154750204</v>
      </c>
      <c r="B1634" t="str">
        <f>"1551685670198447"</f>
        <v>1551685670198447</v>
      </c>
      <c r="C1634" t="s">
        <v>40</v>
      </c>
      <c r="D1634">
        <v>4.3462290000000001</v>
      </c>
      <c r="E1634">
        <v>0.52845869999999995</v>
      </c>
      <c r="F1634" t="s">
        <v>53</v>
      </c>
      <c r="G1634">
        <v>-181.77109999999999</v>
      </c>
      <c r="H1634" s="1">
        <v>-8.5672029999999998E-6</v>
      </c>
      <c r="I1634">
        <v>366.858</v>
      </c>
      <c r="J1634">
        <v>-261.08929999999998</v>
      </c>
      <c r="K1634">
        <v>1.1108830000000001</v>
      </c>
      <c r="L1634">
        <v>366.81200000000001</v>
      </c>
      <c r="M1634">
        <v>0.99984320000000004</v>
      </c>
      <c r="N1634">
        <v>-1.381022E-2</v>
      </c>
      <c r="O1634">
        <v>-1.108585E-2</v>
      </c>
      <c r="P1634">
        <v>0.98915719999999996</v>
      </c>
      <c r="Q1634">
        <v>0.12616169999999999</v>
      </c>
      <c r="R1634">
        <v>7.5173459999999998E-2</v>
      </c>
      <c r="S1634">
        <v>3.0382690000000001</v>
      </c>
      <c r="T1634">
        <v>-4.248822E-2</v>
      </c>
      <c r="U1634">
        <v>1.708984E-3</v>
      </c>
      <c r="V1634">
        <v>-8.6110899999999893E-2</v>
      </c>
      <c r="W1634">
        <v>0.13981289999999999</v>
      </c>
      <c r="X1634">
        <v>0.98642649999999998</v>
      </c>
      <c r="Y1634">
        <v>-1.1647090000000001E-2</v>
      </c>
      <c r="Z1634">
        <v>1.637818E-4</v>
      </c>
      <c r="AA1634">
        <v>0.99993220000000005</v>
      </c>
      <c r="AB1634">
        <v>25</v>
      </c>
      <c r="AC1634">
        <v>79.318199999999905</v>
      </c>
      <c r="AD1634">
        <v>-1.110891567203</v>
      </c>
      <c r="AE1634">
        <v>4.6000000000049099E-2</v>
      </c>
      <c r="AF1634">
        <v>-0.925209201698731</v>
      </c>
      <c r="AG1634">
        <v>-1.110891567203</v>
      </c>
      <c r="AH1634">
        <v>79.297260488902097</v>
      </c>
      <c r="AI1634">
        <v>90.802561190604905</v>
      </c>
      <c r="AJ1634">
        <v>90.668474254930501</v>
      </c>
      <c r="AK1634">
        <v>79.310438235996301</v>
      </c>
      <c r="AL1634">
        <v>81.962980169719103</v>
      </c>
      <c r="AM1634">
        <v>94.989034039632898</v>
      </c>
      <c r="AN1634">
        <v>0.99999998700373405</v>
      </c>
    </row>
    <row r="1635" spans="1:40" x14ac:dyDescent="0.25">
      <c r="A1635" t="str">
        <f>"20190304154750215"</f>
        <v>20190304154750215</v>
      </c>
      <c r="B1635" t="str">
        <f>"1551685670208208"</f>
        <v>1551685670208208</v>
      </c>
      <c r="C1635" t="s">
        <v>40</v>
      </c>
      <c r="D1635">
        <v>4.3406399999999996</v>
      </c>
      <c r="E1635">
        <v>0.52874679999999996</v>
      </c>
      <c r="F1635" t="s">
        <v>53</v>
      </c>
      <c r="G1635">
        <v>-180</v>
      </c>
      <c r="H1635">
        <v>1.127331E-2</v>
      </c>
      <c r="I1635">
        <v>366.65320000000003</v>
      </c>
      <c r="J1635">
        <v>-260.96870000000001</v>
      </c>
      <c r="K1635">
        <v>1.110881</v>
      </c>
      <c r="L1635">
        <v>366.81060000000002</v>
      </c>
      <c r="M1635">
        <v>0.99984260000000003</v>
      </c>
      <c r="N1635">
        <v>-1.381569E-2</v>
      </c>
      <c r="O1635">
        <v>-1.112427E-2</v>
      </c>
      <c r="P1635">
        <v>0.98916349999999997</v>
      </c>
      <c r="Q1635">
        <v>0.1261321</v>
      </c>
      <c r="R1635">
        <v>7.5142089999999995E-2</v>
      </c>
      <c r="S1635">
        <v>3.038605</v>
      </c>
      <c r="T1635">
        <v>-4.1204930000000001E-2</v>
      </c>
      <c r="U1635">
        <v>-5.9509280000000003E-3</v>
      </c>
      <c r="V1635">
        <v>-8.611779E-2</v>
      </c>
      <c r="W1635">
        <v>0.13978879999999999</v>
      </c>
      <c r="X1635">
        <v>0.98642929999999995</v>
      </c>
      <c r="Y1635">
        <v>-9.1652899999999995E-3</v>
      </c>
      <c r="Z1635">
        <v>1.226023E-4</v>
      </c>
      <c r="AA1635">
        <v>0.99995800000000001</v>
      </c>
      <c r="AB1635">
        <v>25</v>
      </c>
      <c r="AC1635">
        <v>80.968699999999998</v>
      </c>
      <c r="AD1635">
        <v>-1.09960769</v>
      </c>
      <c r="AE1635">
        <v>-0.15739999999999499</v>
      </c>
      <c r="AF1635">
        <v>-0.74327637910522404</v>
      </c>
      <c r="AG1635">
        <v>-1.09960769</v>
      </c>
      <c r="AH1635">
        <v>80.950510124283497</v>
      </c>
      <c r="AI1635">
        <v>90.778208190838598</v>
      </c>
      <c r="AJ1635">
        <v>90.526067133520996</v>
      </c>
      <c r="AK1635">
        <v>80.961390095707799</v>
      </c>
      <c r="AL1635">
        <v>81.964374580512498</v>
      </c>
      <c r="AM1635">
        <v>94.989417121632499</v>
      </c>
      <c r="AN1635">
        <v>0.99999997312920597</v>
      </c>
    </row>
    <row r="1636" spans="1:40" x14ac:dyDescent="0.25">
      <c r="A1636" t="str">
        <f>"20190304154750227"</f>
        <v>20190304154750227</v>
      </c>
      <c r="B1636" t="str">
        <f>"1551685670217967"</f>
        <v>1551685670217967</v>
      </c>
      <c r="C1636" t="s">
        <v>40</v>
      </c>
      <c r="D1636">
        <v>4.3082830000000003</v>
      </c>
      <c r="E1636">
        <v>0.52871449999999998</v>
      </c>
      <c r="F1636" t="s">
        <v>53</v>
      </c>
      <c r="G1636">
        <v>-180</v>
      </c>
      <c r="H1636">
        <v>6.4917339999999999E-3</v>
      </c>
      <c r="I1636">
        <v>366.57889999999998</v>
      </c>
      <c r="J1636">
        <v>-260.82029999999997</v>
      </c>
      <c r="K1636">
        <v>1.1108830000000001</v>
      </c>
      <c r="L1636">
        <v>366.80889999999999</v>
      </c>
      <c r="M1636">
        <v>0.99984220000000001</v>
      </c>
      <c r="N1636">
        <v>-1.382366E-2</v>
      </c>
      <c r="O1636">
        <v>-1.1170930000000001E-2</v>
      </c>
      <c r="P1636">
        <v>0.98930640000000003</v>
      </c>
      <c r="Q1636">
        <v>0.1249643</v>
      </c>
      <c r="R1636">
        <v>7.5214290000000003E-2</v>
      </c>
      <c r="S1636">
        <v>3.038818</v>
      </c>
      <c r="T1636">
        <v>-4.144859E-2</v>
      </c>
      <c r="U1636">
        <v>-8.6975100000000003E-3</v>
      </c>
      <c r="V1636">
        <v>-8.6238259999999997E-2</v>
      </c>
      <c r="W1636">
        <v>0.138631</v>
      </c>
      <c r="X1636">
        <v>0.98658219999999996</v>
      </c>
      <c r="Y1636">
        <v>-8.3084509999999997E-3</v>
      </c>
      <c r="Z1636">
        <v>1.12019E-4</v>
      </c>
      <c r="AA1636">
        <v>0.99996549999999995</v>
      </c>
      <c r="AB1636">
        <v>25</v>
      </c>
      <c r="AC1636">
        <v>80.820299999999904</v>
      </c>
      <c r="AD1636">
        <v>-1.1043912659999999</v>
      </c>
      <c r="AE1636">
        <v>-0.230000000000018</v>
      </c>
      <c r="AF1636">
        <v>-0.67281277367667403</v>
      </c>
      <c r="AG1636">
        <v>-1.1043912659999999</v>
      </c>
      <c r="AH1636">
        <v>80.802737812449294</v>
      </c>
      <c r="AI1636">
        <v>90.7830282411269</v>
      </c>
      <c r="AJ1636">
        <v>90.477068506696398</v>
      </c>
      <c r="AK1636">
        <v>80.813085543643595</v>
      </c>
      <c r="AL1636">
        <v>82.031364253853198</v>
      </c>
      <c r="AM1636">
        <v>94.995591086408098</v>
      </c>
      <c r="AN1636">
        <v>1.00000001450283</v>
      </c>
    </row>
    <row r="1637" spans="1:40" x14ac:dyDescent="0.25">
      <c r="A1637" t="str">
        <f>"20190304154750240"</f>
        <v>20190304154750240</v>
      </c>
      <c r="B1637" t="str">
        <f>"1551685670238463"</f>
        <v>1551685670238463</v>
      </c>
      <c r="C1637" t="s">
        <v>40</v>
      </c>
      <c r="D1637">
        <v>4.3446680000000004</v>
      </c>
      <c r="E1637">
        <v>0.52848909999999905</v>
      </c>
      <c r="F1637" t="s">
        <v>53</v>
      </c>
      <c r="G1637">
        <v>-187.6601</v>
      </c>
      <c r="H1637" s="1">
        <v>-7.9692249999999999E-6</v>
      </c>
      <c r="I1637">
        <v>366.60320000000002</v>
      </c>
      <c r="J1637">
        <v>-260.68369999999999</v>
      </c>
      <c r="K1637">
        <v>1.1108819999999999</v>
      </c>
      <c r="L1637">
        <v>366.8073</v>
      </c>
      <c r="M1637">
        <v>0.99984130000000004</v>
      </c>
      <c r="N1637">
        <v>-1.383239E-2</v>
      </c>
      <c r="O1637">
        <v>-1.1213549999999999E-2</v>
      </c>
      <c r="P1637">
        <v>0.98940159999999999</v>
      </c>
      <c r="Q1637">
        <v>0.1242641</v>
      </c>
      <c r="R1637">
        <v>7.5117740000000002E-2</v>
      </c>
      <c r="S1637">
        <v>3.03891</v>
      </c>
      <c r="T1637">
        <v>-4.614389E-2</v>
      </c>
      <c r="U1637">
        <v>-8.5449219999999999E-3</v>
      </c>
      <c r="V1637">
        <v>-8.6184540000000004E-2</v>
      </c>
      <c r="W1637">
        <v>0.13794100000000001</v>
      </c>
      <c r="X1637">
        <v>0.98668359999999999</v>
      </c>
      <c r="Y1637">
        <v>-8.4010649999999992E-3</v>
      </c>
      <c r="Z1637">
        <v>1.3702880000000001E-4</v>
      </c>
      <c r="AA1637">
        <v>0.99996470000000004</v>
      </c>
      <c r="AB1637">
        <v>25</v>
      </c>
      <c r="AC1637">
        <v>73.023599999999902</v>
      </c>
      <c r="AD1637">
        <v>-1.1108899692249901</v>
      </c>
      <c r="AE1637">
        <v>-0.20409999999998199</v>
      </c>
      <c r="AF1637">
        <v>-0.61470283675521897</v>
      </c>
      <c r="AG1637">
        <v>-1.1108899692249901</v>
      </c>
      <c r="AH1637">
        <v>73.004401632182706</v>
      </c>
      <c r="AI1637">
        <v>90.871757561041093</v>
      </c>
      <c r="AJ1637">
        <v>90.482423595184599</v>
      </c>
      <c r="AK1637">
        <v>73.015440790111498</v>
      </c>
      <c r="AL1637">
        <v>82.071281824594905</v>
      </c>
      <c r="AM1637">
        <v>94.991984459873606</v>
      </c>
      <c r="AN1637">
        <v>1.00000001046248</v>
      </c>
    </row>
    <row r="1638" spans="1:40" x14ac:dyDescent="0.25">
      <c r="A1638" t="str">
        <f>"20190304154750253"</f>
        <v>20190304154750253</v>
      </c>
      <c r="B1638" t="str">
        <f>"1551685670248222"</f>
        <v>1551685670248222</v>
      </c>
      <c r="C1638" t="s">
        <v>40</v>
      </c>
      <c r="D1638">
        <v>4.3262229999999997</v>
      </c>
      <c r="E1638">
        <v>0.52862219999999904</v>
      </c>
      <c r="F1638" t="s">
        <v>53</v>
      </c>
      <c r="G1638">
        <v>-195.56139999999999</v>
      </c>
      <c r="H1638" s="1">
        <v>-7.7332809999999905E-6</v>
      </c>
      <c r="I1638">
        <v>366.6524</v>
      </c>
      <c r="J1638">
        <v>-260.54320000000001</v>
      </c>
      <c r="K1638">
        <v>1.1108819999999999</v>
      </c>
      <c r="L1638">
        <v>366.8057</v>
      </c>
      <c r="M1638">
        <v>0.99984090000000003</v>
      </c>
      <c r="N1638">
        <v>-1.384199E-2</v>
      </c>
      <c r="O1638">
        <v>-1.125784E-2</v>
      </c>
      <c r="P1638">
        <v>0.98938079999999995</v>
      </c>
      <c r="Q1638">
        <v>0.1242258</v>
      </c>
      <c r="R1638">
        <v>7.5458380000000005E-2</v>
      </c>
      <c r="S1638">
        <v>3.0391849999999998</v>
      </c>
      <c r="T1638">
        <v>-5.1844000000000001E-2</v>
      </c>
      <c r="U1638">
        <v>-7.2326659999999996E-3</v>
      </c>
      <c r="V1638">
        <v>-8.6568809999999996E-2</v>
      </c>
      <c r="W1638">
        <v>0.13791129999999999</v>
      </c>
      <c r="X1638">
        <v>0.98665409999999998</v>
      </c>
      <c r="Y1638">
        <v>-8.8768400000000004E-3</v>
      </c>
      <c r="Z1638">
        <v>1.733402E-4</v>
      </c>
      <c r="AA1638">
        <v>0.99996059999999998</v>
      </c>
      <c r="AB1638">
        <v>25</v>
      </c>
      <c r="AC1638">
        <v>64.981800000000007</v>
      </c>
      <c r="AD1638">
        <v>-1.1108897332809999</v>
      </c>
      <c r="AE1638">
        <v>-0.15330000000000099</v>
      </c>
      <c r="AF1638">
        <v>-0.57816548748444996</v>
      </c>
      <c r="AG1638">
        <v>-1.1108897332809999</v>
      </c>
      <c r="AH1638">
        <v>64.960422461360693</v>
      </c>
      <c r="AI1638">
        <v>90.979682199728401</v>
      </c>
      <c r="AJ1638">
        <v>90.509934609063194</v>
      </c>
      <c r="AK1638">
        <v>64.972492931154207</v>
      </c>
      <c r="AL1638">
        <v>82.072999840857094</v>
      </c>
      <c r="AM1638">
        <v>95.014278098655893</v>
      </c>
      <c r="AN1638">
        <v>0.99999999928965799</v>
      </c>
    </row>
    <row r="1639" spans="1:40" x14ac:dyDescent="0.25">
      <c r="A1639" t="str">
        <f>"20190304154750265"</f>
        <v>20190304154750265</v>
      </c>
      <c r="B1639" t="str">
        <f>"1551685670257982"</f>
        <v>1551685670257982</v>
      </c>
      <c r="C1639" t="s">
        <v>40</v>
      </c>
      <c r="D1639">
        <v>4.3542239999999897</v>
      </c>
      <c r="E1639">
        <v>0.52863249999999995</v>
      </c>
      <c r="F1639" t="s">
        <v>53</v>
      </c>
      <c r="G1639">
        <v>-196.97280000000001</v>
      </c>
      <c r="H1639" s="1">
        <v>-8.2463299999999997E-6</v>
      </c>
      <c r="I1639">
        <v>366.65309999999999</v>
      </c>
      <c r="J1639">
        <v>-260.40780000000001</v>
      </c>
      <c r="K1639">
        <v>1.110881</v>
      </c>
      <c r="L1639">
        <v>366.80419999999998</v>
      </c>
      <c r="M1639">
        <v>0.99984030000000002</v>
      </c>
      <c r="N1639">
        <v>-1.385198E-2</v>
      </c>
      <c r="O1639">
        <v>-1.1300579999999999E-2</v>
      </c>
      <c r="P1639">
        <v>0.98934580000000005</v>
      </c>
      <c r="Q1639">
        <v>0.1245107</v>
      </c>
      <c r="R1639">
        <v>7.5448119999999994E-2</v>
      </c>
      <c r="S1639">
        <v>3.0393979999999998</v>
      </c>
      <c r="T1639">
        <v>-5.3113340000000002E-2</v>
      </c>
      <c r="U1639">
        <v>-7.2937009999999997E-3</v>
      </c>
      <c r="V1639">
        <v>-8.6600499999999997E-2</v>
      </c>
      <c r="W1639">
        <v>0.13820589999999999</v>
      </c>
      <c r="X1639">
        <v>0.98661010000000005</v>
      </c>
      <c r="Y1639">
        <v>-8.8995640000000004E-3</v>
      </c>
      <c r="Z1639">
        <v>1.8031819999999999E-4</v>
      </c>
      <c r="AA1639">
        <v>0.99996039999999997</v>
      </c>
      <c r="AB1639">
        <v>25</v>
      </c>
      <c r="AC1639">
        <v>63.435000000000002</v>
      </c>
      <c r="AD1639">
        <v>-1.11088924633</v>
      </c>
      <c r="AE1639">
        <v>-0.151099999999985</v>
      </c>
      <c r="AF1639">
        <v>-0.56565717830864104</v>
      </c>
      <c r="AG1639">
        <v>-1.11088924633</v>
      </c>
      <c r="AH1639">
        <v>63.413208980893003</v>
      </c>
      <c r="AI1639">
        <v>91.003579933894102</v>
      </c>
      <c r="AJ1639">
        <v>90.511075057066407</v>
      </c>
      <c r="AK1639">
        <v>63.425461103687603</v>
      </c>
      <c r="AL1639">
        <v>82.055957338811197</v>
      </c>
      <c r="AM1639">
        <v>95.016326860731297</v>
      </c>
      <c r="AN1639">
        <v>1.0000000034085299</v>
      </c>
    </row>
    <row r="1640" spans="1:40" x14ac:dyDescent="0.25">
      <c r="A1640" t="str">
        <f>"20190304154750277"</f>
        <v>20190304154750277</v>
      </c>
      <c r="B1640" t="str">
        <f>"1551685670268719"</f>
        <v>1551685670268719</v>
      </c>
      <c r="C1640" t="s">
        <v>40</v>
      </c>
      <c r="D1640">
        <v>4.3016730000000001</v>
      </c>
      <c r="E1640">
        <v>0.52865189999999995</v>
      </c>
      <c r="F1640" t="s">
        <v>53</v>
      </c>
      <c r="G1640">
        <v>-197.45769999999999</v>
      </c>
      <c r="H1640" s="1">
        <v>-8.4232779999999993E-6</v>
      </c>
      <c r="I1640">
        <v>366.64870000000002</v>
      </c>
      <c r="J1640">
        <v>-260.27109999999999</v>
      </c>
      <c r="K1640">
        <v>1.110884</v>
      </c>
      <c r="L1640">
        <v>366.80259999999998</v>
      </c>
      <c r="M1640">
        <v>0.9998397</v>
      </c>
      <c r="N1640">
        <v>-1.386187E-2</v>
      </c>
      <c r="O1640">
        <v>-1.134368E-2</v>
      </c>
      <c r="P1640">
        <v>0.98929259999999997</v>
      </c>
      <c r="Q1640">
        <v>0.12479410000000001</v>
      </c>
      <c r="R1640">
        <v>7.5677309999999998E-2</v>
      </c>
      <c r="S1640">
        <v>3.0396730000000001</v>
      </c>
      <c r="T1640">
        <v>-5.3641559999999998E-2</v>
      </c>
      <c r="U1640">
        <v>-7.5073240000000001E-3</v>
      </c>
      <c r="V1640">
        <v>-8.6871680000000007E-2</v>
      </c>
      <c r="W1640">
        <v>0.13849779999999901</v>
      </c>
      <c r="X1640">
        <v>0.98654529999999996</v>
      </c>
      <c r="Y1640">
        <v>-8.8725729999999999E-3</v>
      </c>
      <c r="Z1640">
        <v>1.8269980000000001E-4</v>
      </c>
      <c r="AA1640">
        <v>0.99996059999999998</v>
      </c>
      <c r="AB1640">
        <v>25</v>
      </c>
      <c r="AC1640">
        <v>62.813400000000001</v>
      </c>
      <c r="AD1640">
        <v>-1.110892423278</v>
      </c>
      <c r="AE1640">
        <v>-0.15389999999996401</v>
      </c>
      <c r="AF1640">
        <v>-0.55853869041456605</v>
      </c>
      <c r="AG1640">
        <v>-1.110892423278</v>
      </c>
      <c r="AH1640">
        <v>62.791463853369898</v>
      </c>
      <c r="AI1640">
        <v>91.013518188741799</v>
      </c>
      <c r="AJ1640">
        <v>90.509640382589197</v>
      </c>
      <c r="AK1640">
        <v>62.803773615076999</v>
      </c>
      <c r="AL1640">
        <v>82.039070106294901</v>
      </c>
      <c r="AM1640">
        <v>95.032283238085896</v>
      </c>
      <c r="AN1640">
        <v>0.99999997917147598</v>
      </c>
    </row>
    <row r="1641" spans="1:40" x14ac:dyDescent="0.25">
      <c r="A1641" t="str">
        <f>"20190304154750287"</f>
        <v>20190304154750287</v>
      </c>
      <c r="B1641" t="str">
        <f>"1551685670278479"</f>
        <v>1551685670278479</v>
      </c>
      <c r="C1641" t="s">
        <v>40</v>
      </c>
      <c r="D1641">
        <v>4.3479669999999997</v>
      </c>
      <c r="E1641">
        <v>0.52860659999999904</v>
      </c>
      <c r="F1641" t="s">
        <v>53</v>
      </c>
      <c r="G1641">
        <v>-196.79730000000001</v>
      </c>
      <c r="H1641" s="1">
        <v>-8.1819219999999904E-6</v>
      </c>
      <c r="I1641">
        <v>366.65730000000002</v>
      </c>
      <c r="J1641">
        <v>-260.14879999999999</v>
      </c>
      <c r="K1641">
        <v>1.110886</v>
      </c>
      <c r="L1641">
        <v>366.80110000000002</v>
      </c>
      <c r="M1641">
        <v>0.99983909999999998</v>
      </c>
      <c r="N1641">
        <v>-1.3870530000000001E-2</v>
      </c>
      <c r="O1641">
        <v>-1.138224E-2</v>
      </c>
      <c r="P1641">
        <v>0.98925660000000004</v>
      </c>
      <c r="Q1641">
        <v>0.1249951</v>
      </c>
      <c r="R1641">
        <v>7.5811790000000004E-2</v>
      </c>
      <c r="S1641">
        <v>3.0397029999999998</v>
      </c>
      <c r="T1641">
        <v>-5.3199650000000001E-2</v>
      </c>
      <c r="U1641">
        <v>-6.9580079999999999E-3</v>
      </c>
      <c r="V1641">
        <v>-8.7043620000000002E-2</v>
      </c>
      <c r="W1641">
        <v>0.138707</v>
      </c>
      <c r="X1641">
        <v>0.98650070000000001</v>
      </c>
      <c r="Y1641">
        <v>-9.0918490000000008E-3</v>
      </c>
      <c r="Z1641">
        <v>1.8392319999999999E-4</v>
      </c>
      <c r="AA1641">
        <v>0.99995860000000003</v>
      </c>
      <c r="AB1641">
        <v>25</v>
      </c>
      <c r="AC1641">
        <v>63.351499999999902</v>
      </c>
      <c r="AD1641">
        <v>-1.110894181922</v>
      </c>
      <c r="AE1641">
        <v>-0.14379999999999801</v>
      </c>
      <c r="AF1641">
        <v>-0.57718312984175901</v>
      </c>
      <c r="AG1641">
        <v>-1.110894181922</v>
      </c>
      <c r="AH1641">
        <v>63.329559105476797</v>
      </c>
      <c r="AI1641">
        <v>91.004907965456198</v>
      </c>
      <c r="AJ1641">
        <v>90.522177040376704</v>
      </c>
      <c r="AK1641">
        <v>63.341931473099898</v>
      </c>
      <c r="AL1641">
        <v>82.026966595440797</v>
      </c>
      <c r="AM1641">
        <v>95.042418829636503</v>
      </c>
      <c r="AN1641">
        <v>0.999999927366094</v>
      </c>
    </row>
    <row r="1642" spans="1:40" x14ac:dyDescent="0.25">
      <c r="A1642" t="str">
        <f>"20190304154750298"</f>
        <v>20190304154750298</v>
      </c>
      <c r="B1642" t="str">
        <f>"1551685670288239"</f>
        <v>1551685670288239</v>
      </c>
      <c r="C1642" t="s">
        <v>40</v>
      </c>
      <c r="D1642">
        <v>4.3477680000000003</v>
      </c>
      <c r="E1642">
        <v>0.5286189</v>
      </c>
      <c r="F1642" t="s">
        <v>53</v>
      </c>
      <c r="G1642">
        <v>-197.12870000000001</v>
      </c>
      <c r="H1642" s="1">
        <v>-8.3008420000000001E-6</v>
      </c>
      <c r="I1642">
        <v>366.66820000000001</v>
      </c>
      <c r="J1642">
        <v>-260.03280000000001</v>
      </c>
      <c r="K1642">
        <v>1.1108849999999999</v>
      </c>
      <c r="L1642">
        <v>366.7998</v>
      </c>
      <c r="M1642">
        <v>0.99983869999999997</v>
      </c>
      <c r="N1642">
        <v>-1.387832E-2</v>
      </c>
      <c r="O1642">
        <v>-1.1418889999999999E-2</v>
      </c>
      <c r="P1642">
        <v>0.98928519999999998</v>
      </c>
      <c r="Q1642">
        <v>0.1248755</v>
      </c>
      <c r="R1642">
        <v>7.5639380000000006E-2</v>
      </c>
      <c r="S1642">
        <v>3.0398559999999999</v>
      </c>
      <c r="T1642">
        <v>-5.358541E-2</v>
      </c>
      <c r="U1642">
        <v>-6.4086909999999898E-3</v>
      </c>
      <c r="V1642">
        <v>-8.6908100000000002E-2</v>
      </c>
      <c r="W1642">
        <v>0.13859560000000001</v>
      </c>
      <c r="X1642">
        <v>0.98652839999999997</v>
      </c>
      <c r="Y1642">
        <v>-9.3092169999999998E-3</v>
      </c>
      <c r="Z1642">
        <v>1.8943869999999999E-4</v>
      </c>
      <c r="AA1642">
        <v>0.99995670000000003</v>
      </c>
      <c r="AB1642">
        <v>25</v>
      </c>
      <c r="AC1642">
        <v>62.9041</v>
      </c>
      <c r="AD1642">
        <v>-1.1108933008419899</v>
      </c>
      <c r="AE1642">
        <v>-0.131599999999991</v>
      </c>
      <c r="AF1642">
        <v>-0.58658966760445597</v>
      </c>
      <c r="AG1642">
        <v>-1.1108933008419899</v>
      </c>
      <c r="AH1642">
        <v>62.881889397913703</v>
      </c>
      <c r="AI1642">
        <v>91.012057835332399</v>
      </c>
      <c r="AJ1642">
        <v>90.534464497604802</v>
      </c>
      <c r="AK1642">
        <v>62.8944368415479</v>
      </c>
      <c r="AL1642">
        <v>82.033412347879107</v>
      </c>
      <c r="AM1642">
        <v>95.034467927551006</v>
      </c>
      <c r="AN1642">
        <v>1.00000002109576</v>
      </c>
    </row>
    <row r="1643" spans="1:40" x14ac:dyDescent="0.25">
      <c r="A1643" t="str">
        <f>"20190304154750308"</f>
        <v>20190304154750308</v>
      </c>
      <c r="B1643" t="str">
        <f>"1551685670297999"</f>
        <v>1551685670297999</v>
      </c>
      <c r="C1643" t="s">
        <v>40</v>
      </c>
      <c r="D1643">
        <v>4.3269339999999996</v>
      </c>
      <c r="E1643">
        <v>0.52865509999999905</v>
      </c>
      <c r="F1643" t="s">
        <v>53</v>
      </c>
      <c r="G1643">
        <v>-197.25450000000001</v>
      </c>
      <c r="H1643" s="1">
        <v>-8.3488730000000001E-6</v>
      </c>
      <c r="I1643">
        <v>366.65230000000003</v>
      </c>
      <c r="J1643">
        <v>-259.9067</v>
      </c>
      <c r="K1643">
        <v>1.1108849999999999</v>
      </c>
      <c r="L1643">
        <v>366.79829999999998</v>
      </c>
      <c r="M1643">
        <v>0.99983789999999995</v>
      </c>
      <c r="N1643">
        <v>-1.3886539999999999E-2</v>
      </c>
      <c r="O1643">
        <v>-1.1458640000000001E-2</v>
      </c>
      <c r="P1643">
        <v>0.98926230000000004</v>
      </c>
      <c r="Q1643">
        <v>0.12487139999999999</v>
      </c>
      <c r="R1643">
        <v>7.5942709999999997E-2</v>
      </c>
      <c r="S1643">
        <v>3.039825</v>
      </c>
      <c r="T1643">
        <v>-5.3791169999999999E-2</v>
      </c>
      <c r="U1643">
        <v>-7.1411130000000001E-3</v>
      </c>
      <c r="V1643">
        <v>-8.7250510000000003E-2</v>
      </c>
      <c r="W1643">
        <v>0.13859939999999901</v>
      </c>
      <c r="X1643">
        <v>0.98649759999999997</v>
      </c>
      <c r="Y1643">
        <v>-9.1080610000000006E-3</v>
      </c>
      <c r="Z1643">
        <v>1.8744820000000001E-4</v>
      </c>
      <c r="AA1643">
        <v>0.99995849999999997</v>
      </c>
      <c r="AB1643">
        <v>25</v>
      </c>
      <c r="AC1643">
        <v>62.652199999999901</v>
      </c>
      <c r="AD1643">
        <v>-1.110893348873</v>
      </c>
      <c r="AE1643">
        <v>-0.145999999999958</v>
      </c>
      <c r="AF1643">
        <v>-0.57180806370566395</v>
      </c>
      <c r="AG1643">
        <v>-1.110893348873</v>
      </c>
      <c r="AH1643">
        <v>62.630068751192702</v>
      </c>
      <c r="AI1643">
        <v>91.016128133263706</v>
      </c>
      <c r="AJ1643">
        <v>90.523091849277804</v>
      </c>
      <c r="AK1643">
        <v>62.6425299638626</v>
      </c>
      <c r="AL1643">
        <v>82.033192172542002</v>
      </c>
      <c r="AM1643">
        <v>95.054357717079498</v>
      </c>
      <c r="AN1643">
        <v>0.99999997999068901</v>
      </c>
    </row>
    <row r="1644" spans="1:40" x14ac:dyDescent="0.25">
      <c r="A1644" t="str">
        <f>"20190304154750320"</f>
        <v>20190304154750320</v>
      </c>
      <c r="B1644" t="str">
        <f>"1551685670318495"</f>
        <v>1551685670318495</v>
      </c>
      <c r="C1644" t="s">
        <v>40</v>
      </c>
      <c r="D1644">
        <v>4.3387479999999998</v>
      </c>
      <c r="E1644">
        <v>0.52874880000000002</v>
      </c>
      <c r="F1644" t="s">
        <v>53</v>
      </c>
      <c r="G1644">
        <v>-197.71180000000001</v>
      </c>
      <c r="H1644" s="1">
        <v>-8.5132839999999999E-6</v>
      </c>
      <c r="I1644">
        <v>366.6653</v>
      </c>
      <c r="J1644">
        <v>-259.78460000000001</v>
      </c>
      <c r="K1644">
        <v>1.110887</v>
      </c>
      <c r="L1644">
        <v>366.79680000000002</v>
      </c>
      <c r="M1644">
        <v>0.99983750000000005</v>
      </c>
      <c r="N1644">
        <v>-1.3893809999999999E-2</v>
      </c>
      <c r="O1644">
        <v>-1.149755E-2</v>
      </c>
      <c r="P1644">
        <v>0.98927750000000003</v>
      </c>
      <c r="Q1644">
        <v>0.1249096</v>
      </c>
      <c r="R1644">
        <v>7.568213E-2</v>
      </c>
      <c r="S1644">
        <v>3.039917</v>
      </c>
      <c r="T1644">
        <v>-5.4297449999999997E-2</v>
      </c>
      <c r="U1644">
        <v>-6.5002439999999996E-3</v>
      </c>
      <c r="V1644">
        <v>-8.7028380000000002E-2</v>
      </c>
      <c r="W1644">
        <v>0.13864470000000001</v>
      </c>
      <c r="X1644">
        <v>0.98651089999999997</v>
      </c>
      <c r="Y1644">
        <v>-9.3577399999999998E-3</v>
      </c>
      <c r="Z1644">
        <v>1.941747E-4</v>
      </c>
      <c r="AA1644">
        <v>0.99995619999999996</v>
      </c>
      <c r="AB1644">
        <v>25</v>
      </c>
      <c r="AC1644">
        <v>62.072800000000001</v>
      </c>
      <c r="AD1644">
        <v>-1.1108955132839999</v>
      </c>
      <c r="AE1644">
        <v>-0.13150000000001599</v>
      </c>
      <c r="AF1644">
        <v>-0.58207618486572299</v>
      </c>
      <c r="AG1644">
        <v>-1.1108955132839999</v>
      </c>
      <c r="AH1644">
        <v>62.050334302166199</v>
      </c>
      <c r="AI1644">
        <v>91.025619388068293</v>
      </c>
      <c r="AJ1644">
        <v>90.537459321023206</v>
      </c>
      <c r="AK1644">
        <v>62.063007408093</v>
      </c>
      <c r="AL1644">
        <v>82.030571722106302</v>
      </c>
      <c r="AM1644">
        <v>95.041488671706603</v>
      </c>
      <c r="AN1644">
        <v>1.0000000237911599</v>
      </c>
    </row>
    <row r="1645" spans="1:40" x14ac:dyDescent="0.25">
      <c r="A1645" t="str">
        <f>"20190304154750333"</f>
        <v>20190304154750333</v>
      </c>
      <c r="B1645" t="str">
        <f>"1551685670328255"</f>
        <v>1551685670328255</v>
      </c>
      <c r="C1645" t="s">
        <v>40</v>
      </c>
      <c r="D1645">
        <v>4.3148260000000001</v>
      </c>
      <c r="E1645">
        <v>0.52876109999999998</v>
      </c>
      <c r="F1645" t="s">
        <v>53</v>
      </c>
      <c r="G1645">
        <v>-198.535</v>
      </c>
      <c r="H1645" s="1">
        <v>-8.8171249999999906E-6</v>
      </c>
      <c r="I1645">
        <v>366.63389999999998</v>
      </c>
      <c r="J1645">
        <v>-259.64530000000002</v>
      </c>
      <c r="K1645">
        <v>1.110895</v>
      </c>
      <c r="L1645">
        <v>366.79520000000002</v>
      </c>
      <c r="M1645">
        <v>0.99983679999999997</v>
      </c>
      <c r="N1645">
        <v>-1.3902080000000001E-2</v>
      </c>
      <c r="O1645">
        <v>-1.154147E-2</v>
      </c>
      <c r="P1645">
        <v>0.98924650000000003</v>
      </c>
      <c r="Q1645">
        <v>0.12530139999999901</v>
      </c>
      <c r="R1645">
        <v>7.543917E-2</v>
      </c>
      <c r="S1645">
        <v>3.0400999999999998</v>
      </c>
      <c r="T1645">
        <v>-5.5138949999999999E-2</v>
      </c>
      <c r="U1645">
        <v>-8.0871580000000005E-3</v>
      </c>
      <c r="V1645">
        <v>-8.6828269999999999E-2</v>
      </c>
      <c r="W1645">
        <v>0.13904369999999999</v>
      </c>
      <c r="X1645">
        <v>0.98647240000000003</v>
      </c>
      <c r="Y1645">
        <v>-8.8798890000000002E-3</v>
      </c>
      <c r="Z1645">
        <v>1.9110810000000001E-4</v>
      </c>
      <c r="AA1645">
        <v>0.99996050000000003</v>
      </c>
      <c r="AB1645">
        <v>25</v>
      </c>
      <c r="AC1645">
        <v>61.110300000000002</v>
      </c>
      <c r="AD1645">
        <v>-1.1109038171250001</v>
      </c>
      <c r="AE1645">
        <v>-0.161300000000039</v>
      </c>
      <c r="AF1645">
        <v>-0.54390183167448303</v>
      </c>
      <c r="AG1645">
        <v>-1.1109038171250001</v>
      </c>
      <c r="AH1645">
        <v>61.087903572902299</v>
      </c>
      <c r="AI1645">
        <v>91.041786661931397</v>
      </c>
      <c r="AJ1645">
        <v>90.510124822787802</v>
      </c>
      <c r="AK1645">
        <v>61.100424707407797</v>
      </c>
      <c r="AL1645">
        <v>82.007487304935196</v>
      </c>
      <c r="AM1645">
        <v>95.030151288255098</v>
      </c>
      <c r="AN1645">
        <v>1.00000004747132</v>
      </c>
    </row>
    <row r="1646" spans="1:40" x14ac:dyDescent="0.25">
      <c r="A1646" t="str">
        <f>"20190304154750344"</f>
        <v>20190304154750344</v>
      </c>
      <c r="B1646" t="str">
        <f>"1551685670338015"</f>
        <v>1551685670338015</v>
      </c>
      <c r="C1646" t="s">
        <v>40</v>
      </c>
      <c r="D1646">
        <v>4.31914</v>
      </c>
      <c r="E1646">
        <v>0.52882769999999901</v>
      </c>
      <c r="F1646" t="s">
        <v>53</v>
      </c>
      <c r="G1646">
        <v>-198.16990000000001</v>
      </c>
      <c r="H1646" s="1">
        <v>-8.6873459999999998E-6</v>
      </c>
      <c r="I1646">
        <v>366.61309999999997</v>
      </c>
      <c r="J1646">
        <v>-259.50599999999997</v>
      </c>
      <c r="K1646">
        <v>1.1108990000000001</v>
      </c>
      <c r="L1646">
        <v>366.79349999999999</v>
      </c>
      <c r="M1646">
        <v>0.99983610000000001</v>
      </c>
      <c r="N1646">
        <v>-1.391151E-2</v>
      </c>
      <c r="O1646">
        <v>-1.158552E-2</v>
      </c>
      <c r="P1646">
        <v>0.98923179999999999</v>
      </c>
      <c r="Q1646">
        <v>0.1256543</v>
      </c>
      <c r="R1646">
        <v>7.5045000000000001E-2</v>
      </c>
      <c r="S1646">
        <v>3.0402529999999999</v>
      </c>
      <c r="T1646">
        <v>-5.4939509999999997E-2</v>
      </c>
      <c r="U1646">
        <v>-9.0026859999999993E-3</v>
      </c>
      <c r="V1646">
        <v>-8.6477609999999996E-2</v>
      </c>
      <c r="W1646">
        <v>0.1394059</v>
      </c>
      <c r="X1646">
        <v>0.986452</v>
      </c>
      <c r="Y1646">
        <v>-8.6230500000000002E-3</v>
      </c>
      <c r="Z1646">
        <v>1.860539E-4</v>
      </c>
      <c r="AA1646">
        <v>0.99996280000000004</v>
      </c>
      <c r="AB1646">
        <v>25</v>
      </c>
      <c r="AC1646">
        <v>61.336099999999902</v>
      </c>
      <c r="AD1646">
        <v>-1.110907687346</v>
      </c>
      <c r="AE1646">
        <v>-0.18040000000001999</v>
      </c>
      <c r="AF1646">
        <v>-0.53011760497083504</v>
      </c>
      <c r="AG1646">
        <v>-1.110907687346</v>
      </c>
      <c r="AH1646">
        <v>61.313959787988303</v>
      </c>
      <c r="AI1646">
        <v>91.037952539386794</v>
      </c>
      <c r="AJ1646">
        <v>90.495364264804493</v>
      </c>
      <c r="AK1646">
        <v>61.326314135515702</v>
      </c>
      <c r="AL1646">
        <v>81.986530009632304</v>
      </c>
      <c r="AM1646">
        <v>95.010043463866893</v>
      </c>
      <c r="AN1646">
        <v>0.99999996514505995</v>
      </c>
    </row>
    <row r="1647" spans="1:40" x14ac:dyDescent="0.25">
      <c r="A1647" t="str">
        <f>"20190304154750355"</f>
        <v>20190304154750355</v>
      </c>
      <c r="B1647" t="str">
        <f>"1551685670347775"</f>
        <v>1551685670347775</v>
      </c>
      <c r="C1647" t="s">
        <v>40</v>
      </c>
      <c r="D1647">
        <v>4.3417529999999998</v>
      </c>
      <c r="E1647">
        <v>0.52889209999999998</v>
      </c>
      <c r="F1647" t="s">
        <v>53</v>
      </c>
      <c r="G1647">
        <v>-197.3065</v>
      </c>
      <c r="H1647" s="1">
        <v>-8.3792589999999906E-6</v>
      </c>
      <c r="I1647">
        <v>366.57249999999999</v>
      </c>
      <c r="J1647">
        <v>-259.39400000000001</v>
      </c>
      <c r="K1647">
        <v>1.1109009999999999</v>
      </c>
      <c r="L1647">
        <v>366.79219999999998</v>
      </c>
      <c r="M1647">
        <v>0.99983560000000005</v>
      </c>
      <c r="N1647">
        <v>-1.3919569999999999E-2</v>
      </c>
      <c r="O1647">
        <v>-1.162086E-2</v>
      </c>
      <c r="P1647">
        <v>0.98923899999999998</v>
      </c>
      <c r="Q1647">
        <v>0.12582639999999901</v>
      </c>
      <c r="R1647">
        <v>7.4659149999999994E-2</v>
      </c>
      <c r="S1647">
        <v>3.040375</v>
      </c>
      <c r="T1647">
        <v>-5.4302330000000003E-2</v>
      </c>
      <c r="U1647">
        <v>-1.0803220000000001E-2</v>
      </c>
      <c r="V1647">
        <v>-8.6126839999999996E-2</v>
      </c>
      <c r="W1647">
        <v>0.1395863</v>
      </c>
      <c r="X1647">
        <v>0.98645720000000003</v>
      </c>
      <c r="Y1647">
        <v>-8.0665449999999996E-3</v>
      </c>
      <c r="Z1647">
        <v>1.7394829999999999E-4</v>
      </c>
      <c r="AA1647">
        <v>0.99996750000000001</v>
      </c>
      <c r="AB1647">
        <v>25</v>
      </c>
      <c r="AC1647">
        <v>62.087499999999999</v>
      </c>
      <c r="AD1647">
        <v>-1.1109093792589999</v>
      </c>
      <c r="AE1647">
        <v>-0.21969999999998799</v>
      </c>
      <c r="AF1647">
        <v>-0.50173425546285699</v>
      </c>
      <c r="AG1647">
        <v>-1.1109093792589999</v>
      </c>
      <c r="AH1647">
        <v>62.065990144008502</v>
      </c>
      <c r="AI1647">
        <v>91.025385139761795</v>
      </c>
      <c r="AJ1647">
        <v>90.463162337857497</v>
      </c>
      <c r="AK1647">
        <v>62.077958966674998</v>
      </c>
      <c r="AL1647">
        <v>81.976091973365399</v>
      </c>
      <c r="AM1647">
        <v>94.989798387388205</v>
      </c>
      <c r="AN1647">
        <v>0.99999998757395703</v>
      </c>
    </row>
    <row r="1648" spans="1:40" x14ac:dyDescent="0.25">
      <c r="A1648" t="str">
        <f>"20190304154750365"</f>
        <v>20190304154750365</v>
      </c>
      <c r="B1648" t="str">
        <f>"1551685670358511"</f>
        <v>1551685670358511</v>
      </c>
      <c r="C1648" t="s">
        <v>40</v>
      </c>
      <c r="D1648">
        <v>4.3216010000000002</v>
      </c>
      <c r="E1648">
        <v>0.52889030000000004</v>
      </c>
      <c r="F1648" t="s">
        <v>53</v>
      </c>
      <c r="G1648">
        <v>-196.661</v>
      </c>
      <c r="H1648" s="1">
        <v>-8.1501829999999903E-6</v>
      </c>
      <c r="I1648">
        <v>366.53339999999997</v>
      </c>
      <c r="J1648">
        <v>-259.2747</v>
      </c>
      <c r="K1648">
        <v>1.1109020000000001</v>
      </c>
      <c r="L1648">
        <v>366.79070000000002</v>
      </c>
      <c r="M1648">
        <v>0.99983500000000003</v>
      </c>
      <c r="N1648">
        <v>-1.3928950000000001E-2</v>
      </c>
      <c r="O1648">
        <v>-1.165836E-2</v>
      </c>
      <c r="P1648">
        <v>0.98927830000000005</v>
      </c>
      <c r="Q1648">
        <v>0.1257491</v>
      </c>
      <c r="R1648">
        <v>7.4267589999999994E-2</v>
      </c>
      <c r="S1648">
        <v>3.0404360000000001</v>
      </c>
      <c r="T1648">
        <v>-5.3841710000000001E-2</v>
      </c>
      <c r="U1648">
        <v>-1.254272E-2</v>
      </c>
      <c r="V1648">
        <v>-8.577253E-2</v>
      </c>
      <c r="W1648">
        <v>0.1395187</v>
      </c>
      <c r="X1648">
        <v>0.98649759999999997</v>
      </c>
      <c r="Y1648">
        <v>-7.5322059999999996E-3</v>
      </c>
      <c r="Z1648">
        <v>1.631886E-4</v>
      </c>
      <c r="AA1648">
        <v>0.99997159999999996</v>
      </c>
      <c r="AB1648">
        <v>25</v>
      </c>
      <c r="AC1648">
        <v>62.613700000000001</v>
      </c>
      <c r="AD1648">
        <v>-1.1109101501829901</v>
      </c>
      <c r="AE1648">
        <v>-0.25730000000004299</v>
      </c>
      <c r="AF1648">
        <v>-0.472612612613728</v>
      </c>
      <c r="AG1648">
        <v>-1.1109101501829901</v>
      </c>
      <c r="AH1648">
        <v>62.592740717503098</v>
      </c>
      <c r="AI1648">
        <v>91.016762750948601</v>
      </c>
      <c r="AJ1648">
        <v>90.432609167694494</v>
      </c>
      <c r="AK1648">
        <v>62.604382231373798</v>
      </c>
      <c r="AL1648">
        <v>81.980003177564896</v>
      </c>
      <c r="AM1648">
        <v>94.969171780090704</v>
      </c>
      <c r="AN1648">
        <v>0.99999995467902403</v>
      </c>
    </row>
    <row r="1649" spans="1:40" x14ac:dyDescent="0.25">
      <c r="A1649" t="str">
        <f>"20190304154750376"</f>
        <v>20190304154750376</v>
      </c>
      <c r="B1649" t="str">
        <f>"1551685670368271"</f>
        <v>1551685670368271</v>
      </c>
      <c r="C1649" t="s">
        <v>40</v>
      </c>
      <c r="D1649">
        <v>4.3085570000000004</v>
      </c>
      <c r="E1649">
        <v>0.52887209999999996</v>
      </c>
      <c r="F1649" t="s">
        <v>53</v>
      </c>
      <c r="G1649">
        <v>-197.2296</v>
      </c>
      <c r="H1649" s="1">
        <v>-8.3597599999999997E-6</v>
      </c>
      <c r="I1649">
        <v>366.5136</v>
      </c>
      <c r="J1649">
        <v>-259.1644</v>
      </c>
      <c r="K1649">
        <v>1.1109039999999999</v>
      </c>
      <c r="L1649">
        <v>366.78949999999998</v>
      </c>
      <c r="M1649">
        <v>0.99983449999999996</v>
      </c>
      <c r="N1649">
        <v>-1.393783E-2</v>
      </c>
      <c r="O1649">
        <v>-1.169334E-2</v>
      </c>
      <c r="P1649">
        <v>0.98930779999999996</v>
      </c>
      <c r="Q1649">
        <v>0.1259294</v>
      </c>
      <c r="R1649">
        <v>7.3564809999999994E-2</v>
      </c>
      <c r="S1649">
        <v>3.0404659999999999</v>
      </c>
      <c r="T1649">
        <v>-5.4439189999999998E-2</v>
      </c>
      <c r="U1649">
        <v>-1.358032E-2</v>
      </c>
      <c r="V1649">
        <v>-8.510508E-2</v>
      </c>
      <c r="W1649">
        <v>0.1397081</v>
      </c>
      <c r="X1649">
        <v>0.98652859999999998</v>
      </c>
      <c r="Y1649">
        <v>-7.2260359999999999E-3</v>
      </c>
      <c r="Z1649">
        <v>1.6140999999999999E-4</v>
      </c>
      <c r="AA1649">
        <v>0.99997389999999997</v>
      </c>
      <c r="AB1649">
        <v>25</v>
      </c>
      <c r="AC1649">
        <v>61.934800000000003</v>
      </c>
      <c r="AD1649">
        <v>-1.1109123597599999</v>
      </c>
      <c r="AE1649">
        <v>-0.275899999999978</v>
      </c>
      <c r="AF1649">
        <v>-0.44826966893683101</v>
      </c>
      <c r="AG1649">
        <v>-1.1109123597599999</v>
      </c>
      <c r="AH1649">
        <v>61.913872147037999</v>
      </c>
      <c r="AI1649">
        <v>91.027913298580501</v>
      </c>
      <c r="AJ1649">
        <v>90.414826442716702</v>
      </c>
      <c r="AK1649">
        <v>61.925460322931201</v>
      </c>
      <c r="AL1649">
        <v>81.969044011732706</v>
      </c>
      <c r="AM1649">
        <v>94.930540725738894</v>
      </c>
      <c r="AN1649">
        <v>0.99999995323268698</v>
      </c>
    </row>
    <row r="1650" spans="1:40" x14ac:dyDescent="0.25">
      <c r="A1650" t="str">
        <f>"20190304154750386"</f>
        <v>20190304154750386</v>
      </c>
      <c r="B1650" t="str">
        <f>"1551685670378031"</f>
        <v>1551685670378031</v>
      </c>
      <c r="C1650" t="s">
        <v>40</v>
      </c>
      <c r="D1650">
        <v>4.3298110000000003</v>
      </c>
      <c r="E1650">
        <v>0.52887200000000001</v>
      </c>
      <c r="F1650" t="s">
        <v>53</v>
      </c>
      <c r="G1650">
        <v>-196.4999</v>
      </c>
      <c r="H1650" s="1">
        <v>-8.1017120000000002E-6</v>
      </c>
      <c r="I1650">
        <v>366.46300000000002</v>
      </c>
      <c r="J1650">
        <v>-259.04579999999999</v>
      </c>
      <c r="K1650">
        <v>1.1109070000000001</v>
      </c>
      <c r="L1650">
        <v>366.78800000000001</v>
      </c>
      <c r="M1650">
        <v>0.99983390000000005</v>
      </c>
      <c r="N1650">
        <v>-1.3947620000000001E-2</v>
      </c>
      <c r="O1650">
        <v>-1.173072E-2</v>
      </c>
      <c r="P1650">
        <v>0.98928269999999996</v>
      </c>
      <c r="Q1650">
        <v>0.12640879999999999</v>
      </c>
      <c r="R1650">
        <v>7.30793E-2</v>
      </c>
      <c r="S1650">
        <v>3.0404659999999999</v>
      </c>
      <c r="T1650">
        <v>-5.3901200000000003E-2</v>
      </c>
      <c r="U1650">
        <v>-1.5838620000000001E-2</v>
      </c>
      <c r="V1650">
        <v>-8.4656510000000004E-2</v>
      </c>
      <c r="W1650">
        <v>0.1401963</v>
      </c>
      <c r="X1650">
        <v>0.98649799999999999</v>
      </c>
      <c r="Y1650">
        <v>-6.5209439999999999E-3</v>
      </c>
      <c r="Z1650">
        <v>1.47596E-4</v>
      </c>
      <c r="AA1650">
        <v>0.9999787</v>
      </c>
      <c r="AB1650">
        <v>25</v>
      </c>
      <c r="AC1650">
        <v>62.545899999999897</v>
      </c>
      <c r="AD1650">
        <v>-1.11091510171199</v>
      </c>
      <c r="AE1650">
        <v>-0.32499999999998802</v>
      </c>
      <c r="AF1650">
        <v>-0.40867327084333999</v>
      </c>
      <c r="AG1650">
        <v>-1.11091510171199</v>
      </c>
      <c r="AH1650">
        <v>62.525683688624703</v>
      </c>
      <c r="AI1650">
        <v>91.017864778067903</v>
      </c>
      <c r="AJ1650">
        <v>90.374484832628895</v>
      </c>
      <c r="AK1650">
        <v>62.536887250129901</v>
      </c>
      <c r="AL1650">
        <v>81.940794689163894</v>
      </c>
      <c r="AM1650">
        <v>94.904831437942704</v>
      </c>
      <c r="AN1650">
        <v>1.0000000156115301</v>
      </c>
    </row>
    <row r="1651" spans="1:40" x14ac:dyDescent="0.25">
      <c r="A1651" t="str">
        <f>"20190304154750396"</f>
        <v>20190304154750396</v>
      </c>
      <c r="B1651" t="str">
        <f>"1551685670387791"</f>
        <v>1551685670387791</v>
      </c>
      <c r="C1651" t="s">
        <v>40</v>
      </c>
      <c r="D1651">
        <v>4.3254669999999997</v>
      </c>
      <c r="E1651">
        <v>0.5288252</v>
      </c>
      <c r="F1651" t="s">
        <v>53</v>
      </c>
      <c r="G1651">
        <v>-194.85919999999999</v>
      </c>
      <c r="H1651" s="1">
        <v>-7.5114879999999997E-6</v>
      </c>
      <c r="I1651">
        <v>366.41890000000001</v>
      </c>
      <c r="J1651">
        <v>-258.93939999999998</v>
      </c>
      <c r="K1651">
        <v>1.110905</v>
      </c>
      <c r="L1651">
        <v>366.7867</v>
      </c>
      <c r="M1651">
        <v>0.99983359999999999</v>
      </c>
      <c r="N1651">
        <v>-1.39562E-2</v>
      </c>
      <c r="O1651">
        <v>-1.176463E-2</v>
      </c>
      <c r="P1651">
        <v>0.98925280000000004</v>
      </c>
      <c r="Q1651">
        <v>0.12691040000000001</v>
      </c>
      <c r="R1651">
        <v>7.2614739999999997E-2</v>
      </c>
      <c r="S1651">
        <v>3.040527</v>
      </c>
      <c r="T1651">
        <v>-5.2624110000000002E-2</v>
      </c>
      <c r="U1651">
        <v>-1.748657E-2</v>
      </c>
      <c r="V1651">
        <v>-8.4225110000000006E-2</v>
      </c>
      <c r="W1651">
        <v>0.1407062</v>
      </c>
      <c r="X1651">
        <v>0.98646230000000001</v>
      </c>
      <c r="Y1651">
        <v>-6.0132170000000004E-3</v>
      </c>
      <c r="Z1651">
        <v>1.3339849999999999E-4</v>
      </c>
      <c r="AA1651">
        <v>0.99998189999999998</v>
      </c>
      <c r="AB1651">
        <v>25</v>
      </c>
      <c r="AC1651">
        <v>64.080199999999905</v>
      </c>
      <c r="AD1651">
        <v>-1.1109125114880001</v>
      </c>
      <c r="AE1651">
        <v>-0.36779999999998803</v>
      </c>
      <c r="AF1651">
        <v>-0.38606255100959902</v>
      </c>
      <c r="AG1651">
        <v>-1.1109125114880001</v>
      </c>
      <c r="AH1651">
        <v>64.060839236042696</v>
      </c>
      <c r="AI1651">
        <v>90.993478453263606</v>
      </c>
      <c r="AJ1651">
        <v>90.345288748691502</v>
      </c>
      <c r="AK1651">
        <v>64.071634086603197</v>
      </c>
      <c r="AL1651">
        <v>81.911286843688004</v>
      </c>
      <c r="AM1651">
        <v>94.880133731436899</v>
      </c>
      <c r="AN1651">
        <v>0.99999998659712097</v>
      </c>
    </row>
    <row r="1652" spans="1:40" x14ac:dyDescent="0.25">
      <c r="A1652" t="str">
        <f>"20190304154750406"</f>
        <v>20190304154750406</v>
      </c>
      <c r="B1652" t="str">
        <f>"1551685670398526"</f>
        <v>1551685670398526</v>
      </c>
      <c r="C1652" t="s">
        <v>40</v>
      </c>
      <c r="D1652">
        <v>4.294861</v>
      </c>
      <c r="E1652">
        <v>0.5287674</v>
      </c>
      <c r="F1652" t="s">
        <v>53</v>
      </c>
      <c r="G1652">
        <v>-192.6687</v>
      </c>
      <c r="H1652" s="1">
        <v>-6.7262769999999999E-6</v>
      </c>
      <c r="I1652">
        <v>366.38830000000002</v>
      </c>
      <c r="J1652">
        <v>-258.82089999999999</v>
      </c>
      <c r="K1652">
        <v>1.1109020000000001</v>
      </c>
      <c r="L1652">
        <v>366.78530000000001</v>
      </c>
      <c r="M1652">
        <v>0.99983290000000002</v>
      </c>
      <c r="N1652">
        <v>-1.39655E-2</v>
      </c>
      <c r="O1652">
        <v>-1.180224E-2</v>
      </c>
      <c r="P1652">
        <v>0.9894075</v>
      </c>
      <c r="Q1652">
        <v>0.1259903</v>
      </c>
      <c r="R1652">
        <v>7.2109099999999995E-2</v>
      </c>
      <c r="S1652">
        <v>3.0404819999999999</v>
      </c>
      <c r="T1652">
        <v>-5.0968289999999999E-2</v>
      </c>
      <c r="U1652">
        <v>-1.8280029999999999E-2</v>
      </c>
      <c r="V1652">
        <v>-8.3758540000000006E-2</v>
      </c>
      <c r="W1652">
        <v>0.13979730000000001</v>
      </c>
      <c r="X1652">
        <v>0.98663129999999999</v>
      </c>
      <c r="Y1652">
        <v>-5.7899539999999999E-3</v>
      </c>
      <c r="Z1652">
        <v>1.2195229999999999E-4</v>
      </c>
      <c r="AA1652">
        <v>0.99998330000000002</v>
      </c>
      <c r="AB1652">
        <v>25</v>
      </c>
      <c r="AC1652">
        <v>66.152199999999993</v>
      </c>
      <c r="AD1652">
        <v>-1.1109087262770001</v>
      </c>
      <c r="AE1652">
        <v>-0.39699999999999103</v>
      </c>
      <c r="AF1652">
        <v>-0.38373966799696202</v>
      </c>
      <c r="AG1652">
        <v>-1.1109087262770001</v>
      </c>
      <c r="AH1652">
        <v>66.133627792453296</v>
      </c>
      <c r="AI1652">
        <v>90.962344371975902</v>
      </c>
      <c r="AJ1652">
        <v>90.332454416783193</v>
      </c>
      <c r="AK1652">
        <v>66.144070779788393</v>
      </c>
      <c r="AL1652">
        <v>81.963883359669893</v>
      </c>
      <c r="AM1652">
        <v>94.852402082540905</v>
      </c>
      <c r="AN1652">
        <v>1.00000005012495</v>
      </c>
    </row>
    <row r="1653" spans="1:40" x14ac:dyDescent="0.25">
      <c r="A1653" t="str">
        <f>"20190304154750417"</f>
        <v>20190304154750417</v>
      </c>
      <c r="B1653" t="str">
        <f>"1551685670408287"</f>
        <v>1551685670408287</v>
      </c>
      <c r="C1653" t="s">
        <v>40</v>
      </c>
      <c r="D1653">
        <v>4.2794639999999999</v>
      </c>
      <c r="E1653">
        <v>0.52878999999999998</v>
      </c>
      <c r="F1653" t="s">
        <v>53</v>
      </c>
      <c r="G1653">
        <v>-196.09819999999999</v>
      </c>
      <c r="H1653" s="1">
        <v>-7.9668630000000004E-6</v>
      </c>
      <c r="I1653">
        <v>366.38490000000002</v>
      </c>
      <c r="J1653">
        <v>-258.71390000000002</v>
      </c>
      <c r="K1653">
        <v>1.1109</v>
      </c>
      <c r="L1653">
        <v>366.78399999999999</v>
      </c>
      <c r="M1653">
        <v>0.99983230000000001</v>
      </c>
      <c r="N1653">
        <v>-1.397351E-2</v>
      </c>
      <c r="O1653">
        <v>-1.1836030000000001E-2</v>
      </c>
      <c r="P1653">
        <v>0.98949909999999996</v>
      </c>
      <c r="Q1653">
        <v>0.1252114</v>
      </c>
      <c r="R1653">
        <v>7.2206210000000007E-2</v>
      </c>
      <c r="S1653">
        <v>3.0403899999999999</v>
      </c>
      <c r="T1653">
        <v>-5.3849699999999903E-2</v>
      </c>
      <c r="U1653">
        <v>-1.9409180000000002E-2</v>
      </c>
      <c r="V1653">
        <v>-8.3890039999999999E-2</v>
      </c>
      <c r="W1653">
        <v>0.1390277</v>
      </c>
      <c r="X1653">
        <v>0.98672879999999996</v>
      </c>
      <c r="Y1653">
        <v>-5.4521300000000003E-3</v>
      </c>
      <c r="Z1653">
        <v>1.3058850000000001E-4</v>
      </c>
      <c r="AA1653">
        <v>0.99998509999999996</v>
      </c>
      <c r="AB1653">
        <v>25</v>
      </c>
      <c r="AC1653">
        <v>62.615699999999997</v>
      </c>
      <c r="AD1653">
        <v>-1.110907966863</v>
      </c>
      <c r="AE1653">
        <v>-0.39909999999997497</v>
      </c>
      <c r="AF1653">
        <v>-0.342013988710409</v>
      </c>
      <c r="AG1653">
        <v>-1.110907966863</v>
      </c>
      <c r="AH1653">
        <v>62.596334761329302</v>
      </c>
      <c r="AI1653">
        <v>91.016716189391303</v>
      </c>
      <c r="AJ1653">
        <v>90.313049688380204</v>
      </c>
      <c r="AK1653">
        <v>62.607125917356299</v>
      </c>
      <c r="AL1653">
        <v>82.008412505667394</v>
      </c>
      <c r="AM1653">
        <v>94.859505918866105</v>
      </c>
      <c r="AN1653">
        <v>0.99999998246396504</v>
      </c>
    </row>
    <row r="1654" spans="1:40" x14ac:dyDescent="0.25">
      <c r="A1654" t="str">
        <f>"20190304154750427"</f>
        <v>20190304154750427</v>
      </c>
      <c r="B1654" t="str">
        <f>"1551685670418047"</f>
        <v>1551685670418047</v>
      </c>
      <c r="C1654" t="s">
        <v>40</v>
      </c>
      <c r="D1654">
        <v>4.2935850000000002</v>
      </c>
      <c r="E1654">
        <v>0.52876809999999996</v>
      </c>
      <c r="F1654" t="s">
        <v>53</v>
      </c>
      <c r="G1654">
        <v>-198.02160000000001</v>
      </c>
      <c r="H1654" s="1">
        <v>-8.6643409999999999E-6</v>
      </c>
      <c r="I1654">
        <v>366.39780000000002</v>
      </c>
      <c r="J1654">
        <v>-258.59059999999999</v>
      </c>
      <c r="K1654">
        <v>1.110908</v>
      </c>
      <c r="L1654">
        <v>366.78250000000003</v>
      </c>
      <c r="M1654">
        <v>0.99983169999999999</v>
      </c>
      <c r="N1654">
        <v>-1.3982319999999999E-2</v>
      </c>
      <c r="O1654">
        <v>-1.187472E-2</v>
      </c>
      <c r="P1654">
        <v>0.98951920000000004</v>
      </c>
      <c r="Q1654">
        <v>0.12523960000000001</v>
      </c>
      <c r="R1654">
        <v>7.1881100000000003E-2</v>
      </c>
      <c r="S1654">
        <v>3.0402680000000002</v>
      </c>
      <c r="T1654">
        <v>-5.5648919999999998E-2</v>
      </c>
      <c r="U1654">
        <v>-1.934814E-2</v>
      </c>
      <c r="V1654">
        <v>-8.3603520000000001E-2</v>
      </c>
      <c r="W1654">
        <v>0.13906499999999999</v>
      </c>
      <c r="X1654">
        <v>0.98674790000000001</v>
      </c>
      <c r="Y1654">
        <v>-5.5105149999999997E-3</v>
      </c>
      <c r="Z1654">
        <v>1.4024449999999999E-4</v>
      </c>
      <c r="AA1654">
        <v>0.99998480000000001</v>
      </c>
      <c r="AB1654">
        <v>25</v>
      </c>
      <c r="AC1654">
        <v>60.568999999999903</v>
      </c>
      <c r="AD1654">
        <v>-1.110916664341</v>
      </c>
      <c r="AE1654">
        <v>-0.38470000000000898</v>
      </c>
      <c r="AF1654">
        <v>-0.33452485236581903</v>
      </c>
      <c r="AG1654">
        <v>-1.110916664341</v>
      </c>
      <c r="AH1654">
        <v>60.548929151900602</v>
      </c>
      <c r="AI1654">
        <v>91.0510957878422</v>
      </c>
      <c r="AJ1654">
        <v>90.316548408656004</v>
      </c>
      <c r="AK1654">
        <v>60.560043462284902</v>
      </c>
      <c r="AL1654">
        <v>82.006254714811206</v>
      </c>
      <c r="AM1654">
        <v>94.842894427365295</v>
      </c>
      <c r="AN1654">
        <v>1.0000000204679</v>
      </c>
    </row>
    <row r="1655" spans="1:40" x14ac:dyDescent="0.25">
      <c r="A1655" t="str">
        <f>"20190304154750441"</f>
        <v>20190304154750441</v>
      </c>
      <c r="B1655" t="str">
        <f>"1551685670438543"</f>
        <v>1551685670438543</v>
      </c>
      <c r="C1655" t="s">
        <v>40</v>
      </c>
      <c r="D1655">
        <v>4.2802119999999997</v>
      </c>
      <c r="E1655">
        <v>0.52889090000000005</v>
      </c>
      <c r="F1655" t="s">
        <v>53</v>
      </c>
      <c r="G1655">
        <v>-198.3443</v>
      </c>
      <c r="H1655" s="1">
        <v>-8.7853259999999999E-6</v>
      </c>
      <c r="I1655">
        <v>366.3725</v>
      </c>
      <c r="J1655">
        <v>-258.44200000000001</v>
      </c>
      <c r="K1655">
        <v>1.1109119999999999</v>
      </c>
      <c r="L1655">
        <v>366.78070000000002</v>
      </c>
      <c r="M1655">
        <v>0.99983109999999997</v>
      </c>
      <c r="N1655">
        <v>-1.399212E-2</v>
      </c>
      <c r="O1655">
        <v>-1.192175E-2</v>
      </c>
      <c r="P1655">
        <v>0.98949350000000003</v>
      </c>
      <c r="Q1655">
        <v>0.1256313</v>
      </c>
      <c r="R1655">
        <v>7.1551909999999996E-2</v>
      </c>
      <c r="S1655">
        <v>3.0403440000000002</v>
      </c>
      <c r="T1655">
        <v>-5.6062699999999903E-2</v>
      </c>
      <c r="U1655">
        <v>-2.0690920000000002E-2</v>
      </c>
      <c r="V1655">
        <v>-8.3320710000000006E-2</v>
      </c>
      <c r="W1655">
        <v>0.13946539999999999</v>
      </c>
      <c r="X1655">
        <v>0.98671529999999996</v>
      </c>
      <c r="Y1655">
        <v>-5.1161820000000004E-3</v>
      </c>
      <c r="Z1655">
        <v>1.3595299999999999E-4</v>
      </c>
      <c r="AA1655">
        <v>0.99998690000000001</v>
      </c>
      <c r="AB1655">
        <v>25</v>
      </c>
      <c r="AC1655">
        <v>60.097700000000003</v>
      </c>
      <c r="AD1655">
        <v>-1.1109207853259999</v>
      </c>
      <c r="AE1655">
        <v>-0.40820000000002199</v>
      </c>
      <c r="AF1655">
        <v>-0.30826353646374</v>
      </c>
      <c r="AG1655">
        <v>-1.1109207853259999</v>
      </c>
      <c r="AH1655">
        <v>60.0777672741185</v>
      </c>
      <c r="AI1655">
        <v>91.059343320998295</v>
      </c>
      <c r="AJ1655">
        <v>90.293986368300693</v>
      </c>
      <c r="AK1655">
        <v>60.088828346393299</v>
      </c>
      <c r="AL1655">
        <v>81.983087648146693</v>
      </c>
      <c r="AM1655">
        <v>94.826748350555903</v>
      </c>
      <c r="AN1655">
        <v>1.00000001088307</v>
      </c>
    </row>
    <row r="1656" spans="1:40" x14ac:dyDescent="0.25">
      <c r="A1656" t="str">
        <f>"20190304154750455"</f>
        <v>20190304154750455</v>
      </c>
      <c r="B1656" t="str">
        <f>"1551685670448303"</f>
        <v>1551685670448303</v>
      </c>
      <c r="C1656" t="s">
        <v>40</v>
      </c>
      <c r="D1656">
        <v>4.2769450000000004</v>
      </c>
      <c r="E1656">
        <v>0.52893570000000001</v>
      </c>
      <c r="F1656" t="s">
        <v>53</v>
      </c>
      <c r="G1656">
        <v>-195.7764</v>
      </c>
      <c r="H1656" s="1">
        <v>-7.8604269999999905E-6</v>
      </c>
      <c r="I1656">
        <v>366.31139999999999</v>
      </c>
      <c r="J1656">
        <v>-258.29640000000001</v>
      </c>
      <c r="K1656">
        <v>1.110914</v>
      </c>
      <c r="L1656">
        <v>366.77890000000002</v>
      </c>
      <c r="M1656">
        <v>0.99983040000000001</v>
      </c>
      <c r="N1656">
        <v>-1.400117E-2</v>
      </c>
      <c r="O1656">
        <v>-1.196794E-2</v>
      </c>
      <c r="P1656">
        <v>0.98936259999999998</v>
      </c>
      <c r="Q1656">
        <v>0.12672539999999999</v>
      </c>
      <c r="R1656">
        <v>7.1430939999999998E-2</v>
      </c>
      <c r="S1656">
        <v>3.0403440000000002</v>
      </c>
      <c r="T1656">
        <v>-5.3898450000000001E-2</v>
      </c>
      <c r="U1656">
        <v>-2.2766109999999999E-2</v>
      </c>
      <c r="V1656">
        <v>-8.3243629999999999E-2</v>
      </c>
      <c r="W1656">
        <v>0.14056640000000001</v>
      </c>
      <c r="X1656">
        <v>0.98656549999999998</v>
      </c>
      <c r="Y1656">
        <v>-4.4801789999999999E-3</v>
      </c>
      <c r="Z1656">
        <v>1.1564400000000001E-4</v>
      </c>
      <c r="AA1656">
        <v>0.99999000000000005</v>
      </c>
      <c r="AB1656">
        <v>25</v>
      </c>
      <c r="AC1656">
        <v>62.52</v>
      </c>
      <c r="AD1656">
        <v>-1.1109218604269999</v>
      </c>
      <c r="AE1656">
        <v>-0.467500000000029</v>
      </c>
      <c r="AF1656">
        <v>-0.28075377209553198</v>
      </c>
      <c r="AG1656">
        <v>-1.1109218604269999</v>
      </c>
      <c r="AH1656">
        <v>62.5013840427549</v>
      </c>
      <c r="AI1656">
        <v>91.018278094298694</v>
      </c>
      <c r="AJ1656">
        <v>90.257368669161295</v>
      </c>
      <c r="AK1656">
        <v>62.511886688216798</v>
      </c>
      <c r="AL1656">
        <v>81.919376905669793</v>
      </c>
      <c r="AM1656">
        <v>94.823032956252504</v>
      </c>
      <c r="AN1656">
        <v>0.99999995026739197</v>
      </c>
    </row>
    <row r="1657" spans="1:40" x14ac:dyDescent="0.25">
      <c r="A1657" t="str">
        <f>"20190304154750466"</f>
        <v>20190304154750466</v>
      </c>
      <c r="B1657" t="str">
        <f>"1551685670458063"</f>
        <v>1551685670458063</v>
      </c>
      <c r="C1657" t="s">
        <v>40</v>
      </c>
      <c r="D1657">
        <v>4.27461</v>
      </c>
      <c r="E1657">
        <v>0.52895669999999995</v>
      </c>
      <c r="F1657" t="s">
        <v>53</v>
      </c>
      <c r="G1657">
        <v>-190.87970000000001</v>
      </c>
      <c r="H1657" s="1">
        <v>-6.1193610000000002E-6</v>
      </c>
      <c r="I1657">
        <v>366.25380000000001</v>
      </c>
      <c r="J1657">
        <v>-258.15370000000001</v>
      </c>
      <c r="K1657">
        <v>1.1109150000000001</v>
      </c>
      <c r="L1657">
        <v>366.77710000000002</v>
      </c>
      <c r="M1657">
        <v>0.99982979999999999</v>
      </c>
      <c r="N1657">
        <v>-1.400918E-2</v>
      </c>
      <c r="O1657">
        <v>-1.201294E-2</v>
      </c>
      <c r="P1657">
        <v>0.98936780000000002</v>
      </c>
      <c r="Q1657">
        <v>0.12685089999999999</v>
      </c>
      <c r="R1657">
        <v>7.1134840000000005E-2</v>
      </c>
      <c r="S1657">
        <v>3.040375</v>
      </c>
      <c r="T1657">
        <v>-5.0100560000000002E-2</v>
      </c>
      <c r="U1657">
        <v>-2.368164E-2</v>
      </c>
      <c r="V1657">
        <v>-8.2991759999999998E-2</v>
      </c>
      <c r="W1657">
        <v>0.14069999999999999</v>
      </c>
      <c r="X1657">
        <v>0.98656770000000005</v>
      </c>
      <c r="Y1657">
        <v>-4.224401E-3</v>
      </c>
      <c r="Z1657" s="1">
        <v>9.4030170000000004E-5</v>
      </c>
      <c r="AA1657">
        <v>0.99999110000000002</v>
      </c>
      <c r="AB1657">
        <v>25</v>
      </c>
      <c r="AC1657">
        <v>67.274000000000001</v>
      </c>
      <c r="AD1657">
        <v>-1.11092111936099</v>
      </c>
      <c r="AE1657">
        <v>-0.52330000000000598</v>
      </c>
      <c r="AF1657">
        <v>-0.28489784420243802</v>
      </c>
      <c r="AG1657">
        <v>-1.11092111936099</v>
      </c>
      <c r="AH1657">
        <v>67.257092338558806</v>
      </c>
      <c r="AI1657">
        <v>90.946290283096999</v>
      </c>
      <c r="AJ1657">
        <v>90.242700745252904</v>
      </c>
      <c r="AK1657">
        <v>67.266869871821001</v>
      </c>
      <c r="AL1657">
        <v>81.911645548097098</v>
      </c>
      <c r="AM1657">
        <v>94.808497776096402</v>
      </c>
      <c r="AN1657">
        <v>0.99999997445559297</v>
      </c>
    </row>
    <row r="1658" spans="1:40" x14ac:dyDescent="0.25">
      <c r="A1658" t="str">
        <f>"20190304154750479"</f>
        <v>20190304154750479</v>
      </c>
      <c r="B1658" t="str">
        <f>"1551685670467822"</f>
        <v>1551685670467822</v>
      </c>
      <c r="C1658" t="s">
        <v>40</v>
      </c>
      <c r="D1658">
        <v>4.256297</v>
      </c>
      <c r="E1658">
        <v>0.52895599999999998</v>
      </c>
      <c r="F1658" t="s">
        <v>53</v>
      </c>
      <c r="G1658">
        <v>-190.10079999999999</v>
      </c>
      <c r="H1658" s="1">
        <v>-5.8522039999999997E-6</v>
      </c>
      <c r="I1658">
        <v>366.21359999999999</v>
      </c>
      <c r="J1658">
        <v>-258.02080000000001</v>
      </c>
      <c r="K1658">
        <v>1.1109180000000001</v>
      </c>
      <c r="L1658">
        <v>366.77550000000002</v>
      </c>
      <c r="M1658">
        <v>0.99982910000000003</v>
      </c>
      <c r="N1658">
        <v>-1.4016020000000001E-2</v>
      </c>
      <c r="O1658">
        <v>-1.2055059999999999E-2</v>
      </c>
      <c r="P1658">
        <v>0.98933760000000004</v>
      </c>
      <c r="Q1658">
        <v>0.1272056</v>
      </c>
      <c r="R1658">
        <v>7.0922760000000001E-2</v>
      </c>
      <c r="S1658">
        <v>3.040451</v>
      </c>
      <c r="T1658">
        <v>-4.9633379999999998E-2</v>
      </c>
      <c r="U1658">
        <v>-2.5177000000000001E-2</v>
      </c>
      <c r="V1658">
        <v>-8.2820939999999996E-2</v>
      </c>
      <c r="W1658">
        <v>0.1410612</v>
      </c>
      <c r="X1658">
        <v>0.98653049999999998</v>
      </c>
      <c r="Y1658">
        <v>-3.7750739999999998E-3</v>
      </c>
      <c r="Z1658" s="1">
        <v>8.5066539999999999E-5</v>
      </c>
      <c r="AA1658">
        <v>0.99999280000000002</v>
      </c>
      <c r="AB1658">
        <v>25</v>
      </c>
      <c r="AC1658">
        <v>67.92</v>
      </c>
      <c r="AD1658">
        <v>-1.1109238522039999</v>
      </c>
      <c r="AE1658">
        <v>-0.56190000000003604</v>
      </c>
      <c r="AF1658">
        <v>-0.256932216106803</v>
      </c>
      <c r="AG1658">
        <v>-1.1109238522039999</v>
      </c>
      <c r="AH1658">
        <v>67.903672978228201</v>
      </c>
      <c r="AI1658">
        <v>90.937285300591398</v>
      </c>
      <c r="AJ1658">
        <v>90.216793300051194</v>
      </c>
      <c r="AK1658">
        <v>67.913245909051</v>
      </c>
      <c r="AL1658">
        <v>81.890742029674499</v>
      </c>
      <c r="AM1658">
        <v>94.798826924053003</v>
      </c>
      <c r="AN1658">
        <v>0.99999999883908597</v>
      </c>
    </row>
    <row r="1659" spans="1:40" x14ac:dyDescent="0.25">
      <c r="A1659" t="str">
        <f>"20190304154750492"</f>
        <v>20190304154750492</v>
      </c>
      <c r="B1659" t="str">
        <f>"1551685670488318"</f>
        <v>1551685670488318</v>
      </c>
      <c r="C1659" t="s">
        <v>40</v>
      </c>
      <c r="D1659">
        <v>4.2944069999999996</v>
      </c>
      <c r="E1659">
        <v>0.52896880000000002</v>
      </c>
      <c r="F1659" t="s">
        <v>53</v>
      </c>
      <c r="G1659">
        <v>-187.84190000000001</v>
      </c>
      <c r="H1659" s="1">
        <v>-7.8028420000000008E-6</v>
      </c>
      <c r="I1659">
        <v>366.1746</v>
      </c>
      <c r="J1659">
        <v>-257.88099999999997</v>
      </c>
      <c r="K1659">
        <v>1.110922</v>
      </c>
      <c r="L1659">
        <v>366.77370000000002</v>
      </c>
      <c r="M1659">
        <v>0.99982859999999996</v>
      </c>
      <c r="N1659">
        <v>-1.402284E-2</v>
      </c>
      <c r="O1659">
        <v>-1.209934E-2</v>
      </c>
      <c r="P1659">
        <v>0.98929460000000002</v>
      </c>
      <c r="Q1659">
        <v>0.12757460000000001</v>
      </c>
      <c r="R1659">
        <v>7.0862709999999995E-2</v>
      </c>
      <c r="S1659">
        <v>3.0403899999999999</v>
      </c>
      <c r="T1659">
        <v>-4.8129079999999998E-2</v>
      </c>
      <c r="U1659">
        <v>-2.6031490000000001E-2</v>
      </c>
      <c r="V1659">
        <v>-8.2804230000000006E-2</v>
      </c>
      <c r="W1659">
        <v>0.14143599999999901</v>
      </c>
      <c r="X1659">
        <v>0.98647830000000003</v>
      </c>
      <c r="Y1659">
        <v>-3.538271E-3</v>
      </c>
      <c r="Z1659" s="1">
        <v>7.4649359999999994E-5</v>
      </c>
      <c r="AA1659">
        <v>0.99999369999999999</v>
      </c>
      <c r="AB1659">
        <v>25</v>
      </c>
      <c r="AC1659">
        <v>70.039099999999905</v>
      </c>
      <c r="AD1659">
        <v>-1.110929802842</v>
      </c>
      <c r="AE1659">
        <v>-0.59910000000002095</v>
      </c>
      <c r="AF1659">
        <v>-0.24839147834394301</v>
      </c>
      <c r="AG1659">
        <v>-1.110929802842</v>
      </c>
      <c r="AH1659">
        <v>70.023605679566103</v>
      </c>
      <c r="AI1659">
        <v>90.908919906159895</v>
      </c>
      <c r="AJ1659">
        <v>90.203241800326893</v>
      </c>
      <c r="AK1659">
        <v>70.032858114750098</v>
      </c>
      <c r="AL1659">
        <v>81.869050587857402</v>
      </c>
      <c r="AM1659">
        <v>94.798115926381399</v>
      </c>
      <c r="AN1659">
        <v>1.00000005948638</v>
      </c>
    </row>
    <row r="1660" spans="1:40" x14ac:dyDescent="0.25">
      <c r="A1660" t="str">
        <f>"20190304154750504"</f>
        <v>20190304154750504</v>
      </c>
      <c r="B1660" t="str">
        <f>"1551685670498079"</f>
        <v>1551685670498079</v>
      </c>
      <c r="C1660" t="s">
        <v>40</v>
      </c>
      <c r="D1660">
        <v>4.2779170000000004</v>
      </c>
      <c r="E1660">
        <v>0.52895990000000004</v>
      </c>
      <c r="F1660" t="s">
        <v>53</v>
      </c>
      <c r="G1660">
        <v>-185.26320000000001</v>
      </c>
      <c r="H1660" s="1">
        <v>-7.9818340000000001E-6</v>
      </c>
      <c r="I1660">
        <v>366.14980000000003</v>
      </c>
      <c r="J1660">
        <v>-257.73090000000002</v>
      </c>
      <c r="K1660">
        <v>1.1109359999999999</v>
      </c>
      <c r="L1660">
        <v>366.77190000000002</v>
      </c>
      <c r="M1660">
        <v>0.99982789999999999</v>
      </c>
      <c r="N1660">
        <v>-1.4029130000000001E-2</v>
      </c>
      <c r="O1660">
        <v>-1.21467E-2</v>
      </c>
      <c r="P1660">
        <v>0.98902199999999996</v>
      </c>
      <c r="Q1660">
        <v>0.12991739999999999</v>
      </c>
      <c r="R1660">
        <v>7.0408830000000006E-2</v>
      </c>
      <c r="S1660">
        <v>3.0403289999999998</v>
      </c>
      <c r="T1660">
        <v>-4.651189E-2</v>
      </c>
      <c r="U1660">
        <v>-2.6123049999999998E-2</v>
      </c>
      <c r="V1660">
        <v>-8.2393670000000002E-2</v>
      </c>
      <c r="W1660">
        <v>0.1437812</v>
      </c>
      <c r="X1660">
        <v>0.98617359999999998</v>
      </c>
      <c r="Y1660">
        <v>-3.5554150000000001E-3</v>
      </c>
      <c r="Z1660" s="1">
        <v>6.7524389999999999E-5</v>
      </c>
      <c r="AA1660">
        <v>0.99999369999999999</v>
      </c>
      <c r="AB1660">
        <v>25</v>
      </c>
      <c r="AC1660">
        <v>72.467699999999994</v>
      </c>
      <c r="AD1660">
        <v>-1.1109439818339999</v>
      </c>
      <c r="AE1660">
        <v>-0.622099999999989</v>
      </c>
      <c r="AF1660">
        <v>-0.25821518844938601</v>
      </c>
      <c r="AG1660">
        <v>-1.1109439818339999</v>
      </c>
      <c r="AH1660">
        <v>72.452883678856395</v>
      </c>
      <c r="AI1660">
        <v>90.878460681027605</v>
      </c>
      <c r="AJ1660">
        <v>90.204195845851203</v>
      </c>
      <c r="AK1660">
        <v>72.461860485335393</v>
      </c>
      <c r="AL1660">
        <v>81.733292946350105</v>
      </c>
      <c r="AM1660">
        <v>94.775904496861202</v>
      </c>
      <c r="AN1660">
        <v>1.0000000598332299</v>
      </c>
    </row>
    <row r="1661" spans="1:40" x14ac:dyDescent="0.25">
      <c r="A1661" t="str">
        <f>"20190304154750516"</f>
        <v>20190304154750516</v>
      </c>
      <c r="B1661" t="str">
        <f>"1551685670507839"</f>
        <v>1551685670507839</v>
      </c>
      <c r="C1661" t="s">
        <v>40</v>
      </c>
      <c r="D1661">
        <v>4.2520069999999999</v>
      </c>
      <c r="E1661">
        <v>0.52890749999999997</v>
      </c>
      <c r="F1661" t="s">
        <v>53</v>
      </c>
      <c r="G1661">
        <v>-178.03389999999999</v>
      </c>
      <c r="H1661">
        <v>7.9987970000000005E-2</v>
      </c>
      <c r="I1661">
        <v>366.04390000000001</v>
      </c>
      <c r="J1661">
        <v>-257.6062</v>
      </c>
      <c r="K1661">
        <v>1.1109420000000001</v>
      </c>
      <c r="L1661">
        <v>366.77030000000002</v>
      </c>
      <c r="M1661">
        <v>0.99982740000000003</v>
      </c>
      <c r="N1661">
        <v>-1.403399E-2</v>
      </c>
      <c r="O1661">
        <v>-1.2186310000000001E-2</v>
      </c>
      <c r="P1661">
        <v>0.98891899999999999</v>
      </c>
      <c r="Q1661">
        <v>0.13098129999999999</v>
      </c>
      <c r="R1661">
        <v>6.9882239999999998E-2</v>
      </c>
      <c r="S1661">
        <v>3.0404360000000001</v>
      </c>
      <c r="T1661">
        <v>-3.93306E-2</v>
      </c>
      <c r="U1661">
        <v>-2.7771000000000001E-2</v>
      </c>
      <c r="V1661">
        <v>-8.1904400000000002E-2</v>
      </c>
      <c r="W1661">
        <v>0.14484849999999999</v>
      </c>
      <c r="X1661">
        <v>0.98605810000000005</v>
      </c>
      <c r="Y1661">
        <v>-3.0536339999999999E-3</v>
      </c>
      <c r="Z1661" s="1">
        <v>2.7771829999999999E-5</v>
      </c>
      <c r="AA1661">
        <v>0.99999539999999998</v>
      </c>
      <c r="AB1661">
        <v>25</v>
      </c>
      <c r="AC1661">
        <v>79.572299999999998</v>
      </c>
      <c r="AD1661">
        <v>-1.03095403</v>
      </c>
      <c r="AE1661">
        <v>-0.72640000000001204</v>
      </c>
      <c r="AF1661">
        <v>-0.24340117655080701</v>
      </c>
      <c r="AG1661">
        <v>-1.03095403</v>
      </c>
      <c r="AH1661">
        <v>79.561888758226601</v>
      </c>
      <c r="AI1661">
        <v>90.742387261389595</v>
      </c>
      <c r="AJ1661">
        <v>90.175282624077596</v>
      </c>
      <c r="AK1661">
        <v>79.568940253852503</v>
      </c>
      <c r="AL1661">
        <v>81.671493719823602</v>
      </c>
      <c r="AM1661">
        <v>94.748227817580499</v>
      </c>
      <c r="AN1661">
        <v>0.99999999763360903</v>
      </c>
    </row>
    <row r="1662" spans="1:40" x14ac:dyDescent="0.25">
      <c r="A1662" t="str">
        <f>"20190304154750528"</f>
        <v>20190304154750528</v>
      </c>
      <c r="B1662" t="str">
        <f>"1551685670518575"</f>
        <v>1551685670518575</v>
      </c>
      <c r="C1662" t="s">
        <v>40</v>
      </c>
      <c r="D1662">
        <v>4.3108360000000001</v>
      </c>
      <c r="E1662">
        <v>0.52904589999999996</v>
      </c>
      <c r="F1662" t="s">
        <v>45</v>
      </c>
      <c r="G1662">
        <v>-159.6934</v>
      </c>
      <c r="H1662">
        <v>-0.05</v>
      </c>
      <c r="I1662">
        <v>365.82979999999998</v>
      </c>
      <c r="J1662">
        <v>-257.47829999999999</v>
      </c>
      <c r="K1662">
        <v>1.1109469999999999</v>
      </c>
      <c r="L1662">
        <v>366.76870000000002</v>
      </c>
      <c r="M1662">
        <v>0.99982669999999996</v>
      </c>
      <c r="N1662">
        <v>-1.4038500000000001E-2</v>
      </c>
      <c r="O1662">
        <v>-1.222663E-2</v>
      </c>
      <c r="P1662">
        <v>0.98877349999999997</v>
      </c>
      <c r="Q1662">
        <v>0.13226299999999999</v>
      </c>
      <c r="R1662">
        <v>6.9524089999999997E-2</v>
      </c>
      <c r="S1662">
        <v>3.040451</v>
      </c>
      <c r="T1662">
        <v>-3.6050319999999997E-2</v>
      </c>
      <c r="U1662">
        <v>-2.920532E-2</v>
      </c>
      <c r="V1662">
        <v>-8.1584149999999994E-2</v>
      </c>
      <c r="W1662">
        <v>0.14613209999999999</v>
      </c>
      <c r="X1662">
        <v>0.98589519999999997</v>
      </c>
      <c r="Y1662">
        <v>-2.622414E-3</v>
      </c>
      <c r="Z1662" s="1">
        <v>7.2578089999999998E-6</v>
      </c>
      <c r="AA1662">
        <v>0.99999649999999995</v>
      </c>
      <c r="AB1662">
        <v>25</v>
      </c>
      <c r="AC1662">
        <v>97.784899999999993</v>
      </c>
      <c r="AD1662">
        <v>-1.160947</v>
      </c>
      <c r="AE1662">
        <v>-0.93890000000004603</v>
      </c>
      <c r="AF1662">
        <v>-0.25683161777017</v>
      </c>
      <c r="AG1662">
        <v>-1.160947</v>
      </c>
      <c r="AH1662">
        <v>97.775289376428702</v>
      </c>
      <c r="AI1662">
        <v>90.680274214918896</v>
      </c>
      <c r="AJ1662">
        <v>90.150501563259894</v>
      </c>
      <c r="AK1662">
        <v>97.782518749831098</v>
      </c>
      <c r="AL1662">
        <v>81.597157531781406</v>
      </c>
      <c r="AM1662">
        <v>94.730524371899307</v>
      </c>
      <c r="AN1662">
        <v>0.99999995478233505</v>
      </c>
    </row>
    <row r="1663" spans="1:40" x14ac:dyDescent="0.25">
      <c r="A1663" t="str">
        <f>"20190304154750540"</f>
        <v>20190304154750540</v>
      </c>
      <c r="B1663" t="str">
        <f>"1551685670528335"</f>
        <v>1551685670528335</v>
      </c>
      <c r="C1663" t="s">
        <v>40</v>
      </c>
      <c r="D1663">
        <v>4.399508</v>
      </c>
      <c r="E1663">
        <v>0.52904589999999996</v>
      </c>
      <c r="F1663" t="s">
        <v>43</v>
      </c>
      <c r="G1663">
        <v>-158.19499999999999</v>
      </c>
      <c r="H1663">
        <v>8.3743570000000003E-2</v>
      </c>
      <c r="I1663">
        <v>365.74130000000002</v>
      </c>
      <c r="J1663">
        <v>-257.35399999999998</v>
      </c>
      <c r="K1663">
        <v>1.1109549999999999</v>
      </c>
      <c r="L1663">
        <v>366.7672</v>
      </c>
      <c r="M1663">
        <v>0.99982629999999995</v>
      </c>
      <c r="N1663">
        <v>-1.404235E-2</v>
      </c>
      <c r="O1663">
        <v>-1.226588E-2</v>
      </c>
      <c r="P1663">
        <v>0.98865289999999995</v>
      </c>
      <c r="Q1663">
        <v>0.1336579</v>
      </c>
      <c r="R1663">
        <v>6.8564970000000003E-2</v>
      </c>
      <c r="S1663">
        <v>3.0404819999999999</v>
      </c>
      <c r="T1663">
        <v>-3.1454679999999999E-2</v>
      </c>
      <c r="U1663">
        <v>-3.1463619999999998E-2</v>
      </c>
      <c r="V1663">
        <v>-8.0662719999999993E-2</v>
      </c>
      <c r="W1663">
        <v>0.14752879999999999</v>
      </c>
      <c r="X1663">
        <v>0.9857631</v>
      </c>
      <c r="Y1663">
        <v>-1.9191989999999999E-3</v>
      </c>
      <c r="Z1663" s="1">
        <v>-2.1966619999999999E-5</v>
      </c>
      <c r="AA1663">
        <v>0.99999819999999995</v>
      </c>
      <c r="AB1663">
        <v>25</v>
      </c>
      <c r="AC1663">
        <v>99.159000000000006</v>
      </c>
      <c r="AD1663">
        <v>-1.0272114299999999</v>
      </c>
      <c r="AE1663">
        <v>-1.0258999999999701</v>
      </c>
      <c r="AF1663">
        <v>-0.190548911612264</v>
      </c>
      <c r="AG1663">
        <v>-1.0272114299999999</v>
      </c>
      <c r="AH1663">
        <v>99.153484335620405</v>
      </c>
      <c r="AI1663">
        <v>90.593551158806804</v>
      </c>
      <c r="AJ1663">
        <v>90.110108435010602</v>
      </c>
      <c r="AK1663">
        <v>99.158988135739705</v>
      </c>
      <c r="AL1663">
        <v>81.516256523845698</v>
      </c>
      <c r="AM1663">
        <v>94.677959166948497</v>
      </c>
      <c r="AN1663">
        <v>1.0000000552744199</v>
      </c>
    </row>
    <row r="1664" spans="1:40" x14ac:dyDescent="0.25">
      <c r="A1664" t="str">
        <f>"20190304154750551"</f>
        <v>20190304154750551</v>
      </c>
      <c r="B1664" t="str">
        <f>"1551685670547854"</f>
        <v>1551685670547854</v>
      </c>
      <c r="C1664" t="s">
        <v>40</v>
      </c>
      <c r="D1664">
        <v>4.4014639999999998</v>
      </c>
      <c r="E1664">
        <v>0.53209499999999998</v>
      </c>
      <c r="F1664" t="s">
        <v>43</v>
      </c>
      <c r="G1664">
        <v>-158.19499999999999</v>
      </c>
      <c r="H1664">
        <v>0.22821659999999999</v>
      </c>
      <c r="I1664">
        <v>365.63350000000003</v>
      </c>
      <c r="J1664">
        <v>-257.22210000000001</v>
      </c>
      <c r="K1664">
        <v>1.1109560000000001</v>
      </c>
      <c r="L1664">
        <v>366.76549999999997</v>
      </c>
      <c r="M1664">
        <v>0.99982570000000004</v>
      </c>
      <c r="N1664">
        <v>-1.404621E-2</v>
      </c>
      <c r="O1664">
        <v>-1.230727E-2</v>
      </c>
      <c r="P1664">
        <v>0.98854679999999995</v>
      </c>
      <c r="Q1664">
        <v>0.1348779</v>
      </c>
      <c r="R1664">
        <v>6.7698430000000004E-2</v>
      </c>
      <c r="S1664">
        <v>3.0404969999999998</v>
      </c>
      <c r="T1664">
        <v>-2.7064560000000001E-2</v>
      </c>
      <c r="U1664">
        <v>-3.4759520000000002E-2</v>
      </c>
      <c r="V1664">
        <v>-7.9835669999999997E-2</v>
      </c>
      <c r="W1664">
        <v>0.14875060000000001</v>
      </c>
      <c r="X1664">
        <v>0.98564680000000005</v>
      </c>
      <c r="Y1664">
        <v>-8.7685429999999895E-4</v>
      </c>
      <c r="Z1664" s="1">
        <v>-5.3278429999999997E-5</v>
      </c>
      <c r="AA1664">
        <v>0.99999959999999999</v>
      </c>
      <c r="AB1664">
        <v>25</v>
      </c>
      <c r="AC1664">
        <v>99.027100000000004</v>
      </c>
      <c r="AD1664">
        <v>-0.88273939999999995</v>
      </c>
      <c r="AE1664">
        <v>-1.1319999999999399</v>
      </c>
      <c r="AF1664">
        <v>-8.6952226439779498E-2</v>
      </c>
      <c r="AG1664">
        <v>-0.88273939999999995</v>
      </c>
      <c r="AH1664">
        <v>99.025663975233599</v>
      </c>
      <c r="AI1664">
        <v>90.510735105223006</v>
      </c>
      <c r="AJ1664">
        <v>90.050310132887404</v>
      </c>
      <c r="AK1664">
        <v>99.029636550246295</v>
      </c>
      <c r="AL1664">
        <v>81.445471439041597</v>
      </c>
      <c r="AM1664">
        <v>94.630748756087996</v>
      </c>
      <c r="AN1664">
        <v>1.00000004477747</v>
      </c>
    </row>
    <row r="1665" spans="1:40" x14ac:dyDescent="0.25">
      <c r="A1665" t="str">
        <f>"20190304154750561"</f>
        <v>20190304154750561</v>
      </c>
      <c r="B1665" t="str">
        <f>"1551685670558590"</f>
        <v>1551685670558590</v>
      </c>
      <c r="C1665" t="s">
        <v>40</v>
      </c>
      <c r="D1665">
        <v>4.3703750000000001</v>
      </c>
      <c r="E1665">
        <v>0.53331580000000001</v>
      </c>
      <c r="F1665" t="s">
        <v>43</v>
      </c>
      <c r="G1665">
        <v>-158.19499999999999</v>
      </c>
      <c r="H1665">
        <v>0.48596669999999997</v>
      </c>
      <c r="I1665">
        <v>364.74860000000001</v>
      </c>
      <c r="J1665">
        <v>-257.10599999999999</v>
      </c>
      <c r="K1665">
        <v>1.110957</v>
      </c>
      <c r="L1665">
        <v>366.76400000000001</v>
      </c>
      <c r="M1665">
        <v>0.99982530000000003</v>
      </c>
      <c r="N1665">
        <v>-1.4048949999999999E-2</v>
      </c>
      <c r="O1665">
        <v>-1.2344239999999999E-2</v>
      </c>
      <c r="P1665">
        <v>0.98860950000000003</v>
      </c>
      <c r="Q1665">
        <v>0.13494579999999901</v>
      </c>
      <c r="R1665">
        <v>6.664341E-2</v>
      </c>
      <c r="S1665">
        <v>3.0416259999999999</v>
      </c>
      <c r="T1665">
        <v>-1.9193890000000002E-2</v>
      </c>
      <c r="U1665">
        <v>-6.1950680000000001E-2</v>
      </c>
      <c r="V1665">
        <v>-7.8817719999999994E-2</v>
      </c>
      <c r="W1665">
        <v>0.14882229999999999</v>
      </c>
      <c r="X1665">
        <v>0.98571779999999998</v>
      </c>
      <c r="Y1665">
        <v>8.018809E-3</v>
      </c>
      <c r="Z1665">
        <v>-1.7717709999999999E-4</v>
      </c>
      <c r="AA1665">
        <v>0.99996779999999996</v>
      </c>
      <c r="AB1665">
        <v>25</v>
      </c>
      <c r="AC1665">
        <v>98.911000000000001</v>
      </c>
      <c r="AD1665">
        <v>-0.624990299999999</v>
      </c>
      <c r="AE1665">
        <v>-2.0154000000000001</v>
      </c>
      <c r="AF1665">
        <v>0.79411331711041799</v>
      </c>
      <c r="AG1665">
        <v>-0.624990299999999</v>
      </c>
      <c r="AH1665">
        <v>98.924395187509205</v>
      </c>
      <c r="AI1665">
        <v>90.361970131253898</v>
      </c>
      <c r="AJ1665">
        <v>89.540069321168403</v>
      </c>
      <c r="AK1665">
        <v>98.929556716130094</v>
      </c>
      <c r="AL1665">
        <v>81.4413162360499</v>
      </c>
      <c r="AM1665">
        <v>94.571628096204407</v>
      </c>
      <c r="AN1665">
        <v>0.999999945600062</v>
      </c>
    </row>
    <row r="1666" spans="1:40" x14ac:dyDescent="0.25">
      <c r="A1666" t="str">
        <f>"20190304154750573"</f>
        <v>20190304154750573</v>
      </c>
      <c r="B1666" t="str">
        <f>"1551685670568351"</f>
        <v>1551685670568351</v>
      </c>
      <c r="C1666" t="s">
        <v>40</v>
      </c>
      <c r="D1666">
        <v>4.3854850000000001</v>
      </c>
      <c r="E1666">
        <v>0.5345915</v>
      </c>
      <c r="F1666" t="s">
        <v>43</v>
      </c>
      <c r="G1666">
        <v>-158.19499999999999</v>
      </c>
      <c r="H1666">
        <v>0.50467629999999997</v>
      </c>
      <c r="I1666">
        <v>364.33710000000002</v>
      </c>
      <c r="J1666">
        <v>-256.98469999999998</v>
      </c>
      <c r="K1666">
        <v>1.110957</v>
      </c>
      <c r="L1666">
        <v>366.76249999999999</v>
      </c>
      <c r="M1666">
        <v>0.99982479999999996</v>
      </c>
      <c r="N1666">
        <v>-1.405173E-2</v>
      </c>
      <c r="O1666">
        <v>-1.238276E-2</v>
      </c>
      <c r="P1666">
        <v>0.98871200000000004</v>
      </c>
      <c r="Q1666">
        <v>0.134706399999999</v>
      </c>
      <c r="R1666">
        <v>6.560146E-2</v>
      </c>
      <c r="S1666">
        <v>3.0421749999999999</v>
      </c>
      <c r="T1666">
        <v>-1.864445E-2</v>
      </c>
      <c r="U1666">
        <v>-7.4646000000000004E-2</v>
      </c>
      <c r="V1666">
        <v>-7.7815529999999994E-2</v>
      </c>
      <c r="W1666">
        <v>0.148587</v>
      </c>
      <c r="X1666">
        <v>0.98583299999999996</v>
      </c>
      <c r="Y1666">
        <v>1.2147170000000001E-2</v>
      </c>
      <c r="Z1666">
        <v>-2.2070139999999999E-4</v>
      </c>
      <c r="AA1666">
        <v>0.99992619999999999</v>
      </c>
      <c r="AB1666">
        <v>25</v>
      </c>
      <c r="AC1666">
        <v>98.789699999999897</v>
      </c>
      <c r="AD1666">
        <v>-0.60628070000000001</v>
      </c>
      <c r="AE1666">
        <v>-2.4253999999999598</v>
      </c>
      <c r="AF1666">
        <v>1.20175909432613</v>
      </c>
      <c r="AG1666">
        <v>-0.60628070000000001</v>
      </c>
      <c r="AH1666">
        <v>98.808441214608195</v>
      </c>
      <c r="AI1666">
        <v>90.351531914045594</v>
      </c>
      <c r="AJ1666">
        <v>89.303173611991497</v>
      </c>
      <c r="AK1666">
        <v>98.817609040437006</v>
      </c>
      <c r="AL1666">
        <v>81.454950227639202</v>
      </c>
      <c r="AM1666">
        <v>94.513215001241505</v>
      </c>
      <c r="AN1666">
        <v>1.0000000285835899</v>
      </c>
    </row>
    <row r="1667" spans="1:40" x14ac:dyDescent="0.25">
      <c r="A1667" t="str">
        <f>"20190304154750583"</f>
        <v>20190304154750583</v>
      </c>
      <c r="B1667" t="str">
        <f>"1551685670578111"</f>
        <v>1551685670578111</v>
      </c>
      <c r="C1667" t="s">
        <v>40</v>
      </c>
      <c r="D1667">
        <v>4.3447079999999998</v>
      </c>
      <c r="E1667">
        <v>0.53565069999999904</v>
      </c>
      <c r="F1667" t="s">
        <v>43</v>
      </c>
      <c r="G1667">
        <v>-158.19499999999999</v>
      </c>
      <c r="H1667">
        <v>0.48213909999999999</v>
      </c>
      <c r="I1667">
        <v>363.88420000000002</v>
      </c>
      <c r="J1667">
        <v>-256.86689999999999</v>
      </c>
      <c r="K1667">
        <v>1.1109579999999999</v>
      </c>
      <c r="L1667">
        <v>366.76100000000002</v>
      </c>
      <c r="M1667">
        <v>0.99982420000000005</v>
      </c>
      <c r="N1667">
        <v>-1.4053919999999999E-2</v>
      </c>
      <c r="O1667">
        <v>-1.242008E-2</v>
      </c>
      <c r="P1667">
        <v>0.98878029999999995</v>
      </c>
      <c r="Q1667">
        <v>0.13452439999999999</v>
      </c>
      <c r="R1667">
        <v>6.4939510000000006E-2</v>
      </c>
      <c r="S1667">
        <v>3.04277</v>
      </c>
      <c r="T1667">
        <v>-1.9365190000000001E-2</v>
      </c>
      <c r="U1667">
        <v>-8.8653560000000006E-2</v>
      </c>
      <c r="V1667">
        <v>-7.7190999999999996E-2</v>
      </c>
      <c r="W1667">
        <v>0.14840829999999999</v>
      </c>
      <c r="X1667">
        <v>0.98590900000000004</v>
      </c>
      <c r="Y1667">
        <v>1.6704449999999999E-2</v>
      </c>
      <c r="Z1667">
        <v>-2.6607330000000002E-4</v>
      </c>
      <c r="AA1667">
        <v>0.99986039999999998</v>
      </c>
      <c r="AB1667">
        <v>25</v>
      </c>
      <c r="AC1667">
        <v>98.671899999999994</v>
      </c>
      <c r="AD1667">
        <v>-0.62881889999999996</v>
      </c>
      <c r="AE1667">
        <v>-2.8767999999999398</v>
      </c>
      <c r="AF1667">
        <v>1.65087725933258</v>
      </c>
      <c r="AG1667">
        <v>-0.62881889999999996</v>
      </c>
      <c r="AH1667">
        <v>98.696016403093793</v>
      </c>
      <c r="AI1667">
        <v>90.364990846853701</v>
      </c>
      <c r="AJ1667">
        <v>89.041709252316593</v>
      </c>
      <c r="AK1667">
        <v>98.711825344150796</v>
      </c>
      <c r="AL1667">
        <v>81.465303659784993</v>
      </c>
      <c r="AM1667">
        <v>94.476797086105194</v>
      </c>
      <c r="AN1667">
        <v>1.00000001513544</v>
      </c>
    </row>
    <row r="1668" spans="1:40" x14ac:dyDescent="0.25">
      <c r="A1668" t="str">
        <f>"20190304154750595"</f>
        <v>20190304154750595</v>
      </c>
      <c r="B1668" t="str">
        <f>"1551685670587871"</f>
        <v>1551685670587871</v>
      </c>
      <c r="C1668" t="s">
        <v>40</v>
      </c>
      <c r="D1668">
        <v>4.3225490000000004</v>
      </c>
      <c r="E1668">
        <v>0.53671029999999997</v>
      </c>
      <c r="F1668" t="s">
        <v>43</v>
      </c>
      <c r="G1668">
        <v>-158.19499999999999</v>
      </c>
      <c r="H1668">
        <v>0.46127220000000002</v>
      </c>
      <c r="I1668">
        <v>363.5521</v>
      </c>
      <c r="J1668">
        <v>-256.74009999999998</v>
      </c>
      <c r="K1668">
        <v>1.110957</v>
      </c>
      <c r="L1668">
        <v>366.75940000000003</v>
      </c>
      <c r="M1668">
        <v>0.99982360000000003</v>
      </c>
      <c r="N1668">
        <v>-1.405607E-2</v>
      </c>
      <c r="O1668">
        <v>-1.246015E-2</v>
      </c>
      <c r="P1668">
        <v>0.98879760000000005</v>
      </c>
      <c r="Q1668">
        <v>0.1347158</v>
      </c>
      <c r="R1668">
        <v>6.4273319999999995E-2</v>
      </c>
      <c r="S1668">
        <v>3.0432589999999999</v>
      </c>
      <c r="T1668">
        <v>-2.0035029999999999E-2</v>
      </c>
      <c r="U1668">
        <v>-9.8968509999999996E-2</v>
      </c>
      <c r="V1668">
        <v>-7.6564889999999997E-2</v>
      </c>
      <c r="W1668">
        <v>0.1486016</v>
      </c>
      <c r="X1668">
        <v>0.98592869999999999</v>
      </c>
      <c r="Y1668">
        <v>2.004506E-2</v>
      </c>
      <c r="Z1668">
        <v>-3.0000619999999997E-4</v>
      </c>
      <c r="AA1668">
        <v>0.99979899999999999</v>
      </c>
      <c r="AB1668">
        <v>25</v>
      </c>
      <c r="AC1668">
        <v>98.545100000000005</v>
      </c>
      <c r="AD1668">
        <v>-0.64968479999999995</v>
      </c>
      <c r="AE1668">
        <v>-3.2073000000000298</v>
      </c>
      <c r="AF1668">
        <v>1.9789570345707701</v>
      </c>
      <c r="AG1668">
        <v>-0.64968479999999995</v>
      </c>
      <c r="AH1668">
        <v>98.573135846705796</v>
      </c>
      <c r="AI1668">
        <v>90.377548698107702</v>
      </c>
      <c r="AJ1668">
        <v>88.849882827090894</v>
      </c>
      <c r="AK1668">
        <v>98.595139190211398</v>
      </c>
      <c r="AL1668">
        <v>81.454104155560501</v>
      </c>
      <c r="AM1668">
        <v>94.440542439316502</v>
      </c>
      <c r="AN1668">
        <v>1.00000000969348</v>
      </c>
    </row>
    <row r="1669" spans="1:40" x14ac:dyDescent="0.25">
      <c r="A1669" t="str">
        <f>"20190304154750605"</f>
        <v>20190304154750605</v>
      </c>
      <c r="B1669" t="str">
        <f>"1551685670598608"</f>
        <v>1551685670598608</v>
      </c>
      <c r="C1669" t="s">
        <v>40</v>
      </c>
      <c r="D1669">
        <v>4.4100169999999999</v>
      </c>
      <c r="E1669">
        <v>0.53766599999999998</v>
      </c>
      <c r="F1669" t="s">
        <v>43</v>
      </c>
      <c r="G1669">
        <v>-158.19499999999999</v>
      </c>
      <c r="H1669">
        <v>0.4986157</v>
      </c>
      <c r="I1669">
        <v>363.21620000000001</v>
      </c>
      <c r="J1669">
        <v>-256.62189999999998</v>
      </c>
      <c r="K1669">
        <v>1.110957</v>
      </c>
      <c r="L1669">
        <v>366.75779999999997</v>
      </c>
      <c r="M1669">
        <v>0.99982320000000002</v>
      </c>
      <c r="N1669">
        <v>-1.4057740000000001E-2</v>
      </c>
      <c r="O1669">
        <v>-1.24977E-2</v>
      </c>
      <c r="P1669">
        <v>0.98876459999999999</v>
      </c>
      <c r="Q1669">
        <v>0.1352747</v>
      </c>
      <c r="R1669">
        <v>6.3605850000000005E-2</v>
      </c>
      <c r="S1669">
        <v>3.0436860000000001</v>
      </c>
      <c r="T1669">
        <v>-1.891017E-2</v>
      </c>
      <c r="U1669">
        <v>-0.10943600000000001</v>
      </c>
      <c r="V1669">
        <v>-7.5934070000000006E-2</v>
      </c>
      <c r="W1669">
        <v>0.14916179999999901</v>
      </c>
      <c r="X1669">
        <v>0.98589289999999996</v>
      </c>
      <c r="Y1669">
        <v>2.3437119999999999E-2</v>
      </c>
      <c r="Z1669">
        <v>-3.3562650000000001E-4</v>
      </c>
      <c r="AA1669">
        <v>0.99972530000000004</v>
      </c>
      <c r="AB1669">
        <v>25</v>
      </c>
      <c r="AC1669">
        <v>98.426900000000003</v>
      </c>
      <c r="AD1669">
        <v>-0.61234129999999998</v>
      </c>
      <c r="AE1669">
        <v>-3.5415999999999599</v>
      </c>
      <c r="AF1669">
        <v>2.3110027354293998</v>
      </c>
      <c r="AG1669">
        <v>-0.61234129999999998</v>
      </c>
      <c r="AH1669">
        <v>98.459671745699296</v>
      </c>
      <c r="AI1669">
        <v>90.3562317365692</v>
      </c>
      <c r="AJ1669">
        <v>88.655425178507102</v>
      </c>
      <c r="AK1669">
        <v>98.488693035199304</v>
      </c>
      <c r="AL1669">
        <v>81.421645377414706</v>
      </c>
      <c r="AM1669">
        <v>94.404260527776998</v>
      </c>
      <c r="AN1669">
        <v>1.0000000179182</v>
      </c>
    </row>
    <row r="1670" spans="1:40" x14ac:dyDescent="0.25">
      <c r="A1670" t="str">
        <f>"20190304154750618"</f>
        <v>20190304154750618</v>
      </c>
      <c r="B1670" t="str">
        <f>"1551685670608368"</f>
        <v>1551685670608368</v>
      </c>
      <c r="C1670" t="s">
        <v>40</v>
      </c>
      <c r="D1670">
        <v>4.32714</v>
      </c>
      <c r="E1670">
        <v>0.53852849999999997</v>
      </c>
      <c r="F1670" t="s">
        <v>43</v>
      </c>
      <c r="G1670">
        <v>-158.19499999999999</v>
      </c>
      <c r="H1670">
        <v>0.52781630000000002</v>
      </c>
      <c r="I1670">
        <v>362.9117</v>
      </c>
      <c r="J1670">
        <v>-256.49489999999997</v>
      </c>
      <c r="K1670">
        <v>1.1109579999999999</v>
      </c>
      <c r="L1670">
        <v>366.75619999999998</v>
      </c>
      <c r="M1670">
        <v>0.99982260000000001</v>
      </c>
      <c r="N1670">
        <v>-1.4059250000000001E-2</v>
      </c>
      <c r="O1670">
        <v>-1.2537889999999999E-2</v>
      </c>
      <c r="P1670">
        <v>0.98868420000000001</v>
      </c>
      <c r="Q1670">
        <v>0.13598729999999901</v>
      </c>
      <c r="R1670">
        <v>6.3332970000000002E-2</v>
      </c>
      <c r="S1670">
        <v>3.0442499999999999</v>
      </c>
      <c r="T1670">
        <v>-1.8033270000000001E-2</v>
      </c>
      <c r="U1670">
        <v>-0.11895749999999999</v>
      </c>
      <c r="V1670">
        <v>-7.5700149999999994E-2</v>
      </c>
      <c r="W1670">
        <v>0.1498747</v>
      </c>
      <c r="X1670">
        <v>0.98580279999999998</v>
      </c>
      <c r="Y1670">
        <v>2.6512540000000001E-2</v>
      </c>
      <c r="Z1670">
        <v>-3.6695020000000002E-4</v>
      </c>
      <c r="AA1670">
        <v>0.99964839999999999</v>
      </c>
      <c r="AB1670">
        <v>25</v>
      </c>
      <c r="AC1670">
        <v>98.299899999999894</v>
      </c>
      <c r="AD1670">
        <v>-0.58314169999999899</v>
      </c>
      <c r="AE1670">
        <v>-3.84449999999998</v>
      </c>
      <c r="AF1670">
        <v>2.6115108886684002</v>
      </c>
      <c r="AG1670">
        <v>-0.58314169999999899</v>
      </c>
      <c r="AH1670">
        <v>98.336923169777407</v>
      </c>
      <c r="AI1670">
        <v>90.339642427774805</v>
      </c>
      <c r="AJ1670">
        <v>88.478766811549306</v>
      </c>
      <c r="AK1670">
        <v>98.373322104433399</v>
      </c>
      <c r="AL1670">
        <v>81.380335116735097</v>
      </c>
      <c r="AM1670">
        <v>94.391145779030893</v>
      </c>
      <c r="AN1670">
        <v>1.00000004944897</v>
      </c>
    </row>
    <row r="1671" spans="1:40" x14ac:dyDescent="0.25">
      <c r="A1671" t="str">
        <f>"20190304154750630"</f>
        <v>20190304154750630</v>
      </c>
      <c r="B1671" t="str">
        <f>"1551685670618127"</f>
        <v>1551685670618127</v>
      </c>
      <c r="C1671" t="s">
        <v>40</v>
      </c>
      <c r="D1671">
        <v>4.4239139999999999</v>
      </c>
      <c r="E1671">
        <v>0.53934789999999999</v>
      </c>
      <c r="F1671" t="s">
        <v>43</v>
      </c>
      <c r="G1671">
        <v>-158.19499999999999</v>
      </c>
      <c r="H1671">
        <v>0.58764269999999996</v>
      </c>
      <c r="I1671">
        <v>362.66230000000002</v>
      </c>
      <c r="J1671">
        <v>-256.35739999999998</v>
      </c>
      <c r="K1671">
        <v>1.1109549999999999</v>
      </c>
      <c r="L1671">
        <v>366.75439999999998</v>
      </c>
      <c r="M1671">
        <v>0.99982210000000005</v>
      </c>
      <c r="N1671">
        <v>-1.4060639999999999E-2</v>
      </c>
      <c r="O1671">
        <v>-1.2581520000000001E-2</v>
      </c>
      <c r="P1671">
        <v>0.98867329999999998</v>
      </c>
      <c r="Q1671">
        <v>0.13620650000000001</v>
      </c>
      <c r="R1671">
        <v>6.3033179999999994E-2</v>
      </c>
      <c r="S1671">
        <v>3.0446620000000002</v>
      </c>
      <c r="T1671">
        <v>-1.620603E-2</v>
      </c>
      <c r="U1671">
        <v>-0.12680050000000001</v>
      </c>
      <c r="V1671">
        <v>-7.5443289999999996E-2</v>
      </c>
      <c r="W1671">
        <v>0.150094799999999</v>
      </c>
      <c r="X1671">
        <v>0.98578889999999997</v>
      </c>
      <c r="Y1671">
        <v>2.9034580000000001E-2</v>
      </c>
      <c r="Z1671">
        <v>-3.9138459999999998E-4</v>
      </c>
      <c r="AA1671">
        <v>0.99957839999999998</v>
      </c>
      <c r="AB1671">
        <v>25</v>
      </c>
      <c r="AC1671">
        <v>98.162400000000005</v>
      </c>
      <c r="AD1671">
        <v>-0.52331229999999995</v>
      </c>
      <c r="AE1671">
        <v>-4.0920999999999497</v>
      </c>
      <c r="AF1671">
        <v>2.8565408408930302</v>
      </c>
      <c r="AG1671">
        <v>-0.52331229999999995</v>
      </c>
      <c r="AH1671">
        <v>98.203332643936207</v>
      </c>
      <c r="AI1671">
        <v>90.305189500128293</v>
      </c>
      <c r="AJ1671">
        <v>88.333848834524602</v>
      </c>
      <c r="AK1671">
        <v>98.246263153947098</v>
      </c>
      <c r="AL1671">
        <v>81.367579145157507</v>
      </c>
      <c r="AM1671">
        <v>94.376365525175999</v>
      </c>
      <c r="AN1671">
        <v>0.99999994717813501</v>
      </c>
    </row>
    <row r="1672" spans="1:40" x14ac:dyDescent="0.25">
      <c r="A1672" t="str">
        <f>"20190304154750643"</f>
        <v>20190304154750643</v>
      </c>
      <c r="B1672" t="str">
        <f>"1551685670638623"</f>
        <v>1551685670638623</v>
      </c>
      <c r="C1672" t="s">
        <v>40</v>
      </c>
      <c r="D1672">
        <v>4.4711509999999999</v>
      </c>
      <c r="E1672">
        <v>0.54092039999999997</v>
      </c>
      <c r="F1672" t="s">
        <v>43</v>
      </c>
      <c r="G1672">
        <v>-158.19499999999999</v>
      </c>
      <c r="H1672">
        <v>0.58535000000000004</v>
      </c>
      <c r="I1672">
        <v>362.423</v>
      </c>
      <c r="J1672">
        <v>-256.2165</v>
      </c>
      <c r="K1672">
        <v>1.1109519999999999</v>
      </c>
      <c r="L1672">
        <v>366.75259999999997</v>
      </c>
      <c r="M1672">
        <v>0.99982150000000003</v>
      </c>
      <c r="N1672">
        <v>-1.406161E-2</v>
      </c>
      <c r="O1672">
        <v>-1.2626109999999999E-2</v>
      </c>
      <c r="P1672">
        <v>0.98870919999999896</v>
      </c>
      <c r="Q1672">
        <v>0.13610249999999999</v>
      </c>
      <c r="R1672">
        <v>6.2693949999999998E-2</v>
      </c>
      <c r="S1672">
        <v>3.0451510000000002</v>
      </c>
      <c r="T1672">
        <v>-1.630235E-2</v>
      </c>
      <c r="U1672">
        <v>-0.13436890000000001</v>
      </c>
      <c r="V1672">
        <v>-7.5148339999999994E-2</v>
      </c>
      <c r="W1672">
        <v>0.14999199999999999</v>
      </c>
      <c r="X1672">
        <v>0.98582709999999996</v>
      </c>
      <c r="Y1672">
        <v>3.146289E-2</v>
      </c>
      <c r="Z1672">
        <v>-4.1543999999999999E-4</v>
      </c>
      <c r="AA1672">
        <v>0.99950490000000003</v>
      </c>
      <c r="AB1672">
        <v>25</v>
      </c>
      <c r="AC1672">
        <v>98.021500000000003</v>
      </c>
      <c r="AD1672">
        <v>-0.52560199999999901</v>
      </c>
      <c r="AE1672">
        <v>-4.3295999999999699</v>
      </c>
      <c r="AF1672">
        <v>3.09141359054219</v>
      </c>
      <c r="AG1672">
        <v>-0.52560199999999901</v>
      </c>
      <c r="AH1672">
        <v>98.065542211722502</v>
      </c>
      <c r="AI1672">
        <v>90.306932847304793</v>
      </c>
      <c r="AJ1672">
        <v>88.194408461688894</v>
      </c>
      <c r="AK1672">
        <v>98.115664726532401</v>
      </c>
      <c r="AL1672">
        <v>81.373536809901694</v>
      </c>
      <c r="AM1672">
        <v>94.359153678934206</v>
      </c>
      <c r="AN1672">
        <v>0.99999997208158198</v>
      </c>
    </row>
    <row r="1673" spans="1:40" x14ac:dyDescent="0.25">
      <c r="A1673" t="str">
        <f>"20190304154750657"</f>
        <v>20190304154750657</v>
      </c>
      <c r="B1673" t="str">
        <f>"1551685670648383"</f>
        <v>1551685670648383</v>
      </c>
      <c r="C1673" t="s">
        <v>40</v>
      </c>
      <c r="D1673">
        <v>4.4395280000000001</v>
      </c>
      <c r="E1673">
        <v>0.5416455</v>
      </c>
      <c r="F1673" t="s">
        <v>43</v>
      </c>
      <c r="G1673">
        <v>-158.19499999999999</v>
      </c>
      <c r="H1673">
        <v>0.52918290000000001</v>
      </c>
      <c r="I1673">
        <v>361.9889</v>
      </c>
      <c r="J1673">
        <v>-256.06970000000001</v>
      </c>
      <c r="K1673">
        <v>1.1109500000000001</v>
      </c>
      <c r="L1673">
        <v>366.75069999999999</v>
      </c>
      <c r="M1673">
        <v>0.99982079999999995</v>
      </c>
      <c r="N1673">
        <v>-1.4062399999999999E-2</v>
      </c>
      <c r="O1673">
        <v>-1.2672599999999999E-2</v>
      </c>
      <c r="P1673">
        <v>0.9888361</v>
      </c>
      <c r="Q1673">
        <v>0.13549340000000001</v>
      </c>
      <c r="R1673">
        <v>6.2007720000000002E-2</v>
      </c>
      <c r="S1673">
        <v>3.046173</v>
      </c>
      <c r="T1673">
        <v>-1.8076660000000001E-2</v>
      </c>
      <c r="U1673">
        <v>-0.1480408</v>
      </c>
      <c r="V1673">
        <v>-7.4510290000000007E-2</v>
      </c>
      <c r="W1673">
        <v>0.14938580000000001</v>
      </c>
      <c r="X1673">
        <v>0.98596760000000006</v>
      </c>
      <c r="Y1673">
        <v>3.5877119999999998E-2</v>
      </c>
      <c r="Z1673">
        <v>-4.6179640000000002E-4</v>
      </c>
      <c r="AA1673">
        <v>0.99935609999999997</v>
      </c>
      <c r="AB1673">
        <v>24</v>
      </c>
      <c r="AC1673">
        <v>97.874700000000004</v>
      </c>
      <c r="AD1673">
        <v>-0.58176709999999998</v>
      </c>
      <c r="AE1673">
        <v>-4.7617999999999903</v>
      </c>
      <c r="AF1673">
        <v>3.5208438541920501</v>
      </c>
      <c r="AG1673">
        <v>-0.58176709999999998</v>
      </c>
      <c r="AH1673">
        <v>97.923737815478006</v>
      </c>
      <c r="AI1673">
        <v>90.340171689326993</v>
      </c>
      <c r="AJ1673">
        <v>87.940819704925104</v>
      </c>
      <c r="AK1673">
        <v>97.988740282538203</v>
      </c>
      <c r="AL1673">
        <v>81.408665580395507</v>
      </c>
      <c r="AM1673">
        <v>94.321669376078503</v>
      </c>
      <c r="AN1673">
        <v>1.0000000044036399</v>
      </c>
    </row>
    <row r="1674" spans="1:40" x14ac:dyDescent="0.25">
      <c r="A1674" t="str">
        <f>"20190304154750668"</f>
        <v>20190304154750668</v>
      </c>
      <c r="B1674" t="str">
        <f>"1551685670658143"</f>
        <v>1551685670658143</v>
      </c>
      <c r="C1674" t="s">
        <v>40</v>
      </c>
      <c r="D1674">
        <v>4.431292</v>
      </c>
      <c r="E1674">
        <v>0.54225950000000001</v>
      </c>
      <c r="F1674" t="s">
        <v>43</v>
      </c>
      <c r="G1674">
        <v>-158.19499999999999</v>
      </c>
      <c r="H1674">
        <v>0.44262079999999998</v>
      </c>
      <c r="I1674">
        <v>361.73869999999999</v>
      </c>
      <c r="J1674">
        <v>-255.93010000000001</v>
      </c>
      <c r="K1674">
        <v>1.110951</v>
      </c>
      <c r="L1674">
        <v>366.74889999999999</v>
      </c>
      <c r="M1674">
        <v>0.99982040000000005</v>
      </c>
      <c r="N1674">
        <v>-1.406289E-2</v>
      </c>
      <c r="O1674">
        <v>-1.271683E-2</v>
      </c>
      <c r="P1674">
        <v>0.98893830000000005</v>
      </c>
      <c r="Q1674">
        <v>0.13514419999999999</v>
      </c>
      <c r="R1674">
        <v>6.1135920000000003E-2</v>
      </c>
      <c r="S1674">
        <v>3.0465089999999999</v>
      </c>
      <c r="T1674">
        <v>-2.080011E-2</v>
      </c>
      <c r="U1674">
        <v>-0.1560059</v>
      </c>
      <c r="V1674">
        <v>-7.3682940000000002E-2</v>
      </c>
      <c r="W1674">
        <v>0.14903820000000001</v>
      </c>
      <c r="X1674">
        <v>0.98608240000000003</v>
      </c>
      <c r="Y1674">
        <v>3.8433080000000001E-2</v>
      </c>
      <c r="Z1674">
        <v>-4.9354360000000003E-4</v>
      </c>
      <c r="AA1674">
        <v>0.99926110000000001</v>
      </c>
      <c r="AB1674">
        <v>24</v>
      </c>
      <c r="AC1674">
        <v>97.735100000000003</v>
      </c>
      <c r="AD1674">
        <v>-0.66833019999999999</v>
      </c>
      <c r="AE1674">
        <v>-5.0101999999999904</v>
      </c>
      <c r="AF1674">
        <v>3.7666157431782601</v>
      </c>
      <c r="AG1674">
        <v>-0.66833019999999999</v>
      </c>
      <c r="AH1674">
        <v>97.786354947261501</v>
      </c>
      <c r="AI1674">
        <v>90.391297223283203</v>
      </c>
      <c r="AJ1674">
        <v>87.7941242708213</v>
      </c>
      <c r="AK1674">
        <v>97.861153034719607</v>
      </c>
      <c r="AL1674">
        <v>81.428807295108697</v>
      </c>
      <c r="AM1674">
        <v>94.273365347478105</v>
      </c>
      <c r="AN1674">
        <v>1.0000000301480201</v>
      </c>
    </row>
    <row r="1675" spans="1:40" x14ac:dyDescent="0.25">
      <c r="A1675" t="str">
        <f>"20190304154750684"</f>
        <v>20190304154750684</v>
      </c>
      <c r="B1675" t="str">
        <f>"1551685670678639"</f>
        <v>1551685670678639</v>
      </c>
      <c r="C1675" t="s">
        <v>40</v>
      </c>
      <c r="D1675">
        <v>4.5020030000000002</v>
      </c>
      <c r="E1675">
        <v>0.54346289999999997</v>
      </c>
      <c r="F1675" t="s">
        <v>43</v>
      </c>
      <c r="G1675">
        <v>-158.19499999999999</v>
      </c>
      <c r="H1675">
        <v>0.36567309999999997</v>
      </c>
      <c r="I1675">
        <v>361.50580000000002</v>
      </c>
      <c r="J1675">
        <v>-255.76750000000001</v>
      </c>
      <c r="K1675">
        <v>1.1109500000000001</v>
      </c>
      <c r="L1675">
        <v>366.74680000000001</v>
      </c>
      <c r="M1675">
        <v>0.99981960000000003</v>
      </c>
      <c r="N1675">
        <v>-1.406308E-2</v>
      </c>
      <c r="O1675">
        <v>-1.276773E-2</v>
      </c>
      <c r="P1675">
        <v>0.98905900000000002</v>
      </c>
      <c r="Q1675">
        <v>0.134661</v>
      </c>
      <c r="R1675">
        <v>6.023825E-2</v>
      </c>
      <c r="S1675">
        <v>3.046875</v>
      </c>
      <c r="T1675">
        <v>-2.3231149999999999E-2</v>
      </c>
      <c r="U1675">
        <v>-0.16345209999999999</v>
      </c>
      <c r="V1675">
        <v>-7.2837669999999993E-2</v>
      </c>
      <c r="W1675">
        <v>0.148557299999999</v>
      </c>
      <c r="X1675">
        <v>0.98621769999999997</v>
      </c>
      <c r="Y1675">
        <v>4.0810680000000002E-2</v>
      </c>
      <c r="Z1675">
        <v>-5.2484989999999996E-4</v>
      </c>
      <c r="AA1675">
        <v>0.99916680000000002</v>
      </c>
      <c r="AB1675">
        <v>24</v>
      </c>
      <c r="AC1675">
        <v>97.572500000000005</v>
      </c>
      <c r="AD1675">
        <v>-0.74527690000000002</v>
      </c>
      <c r="AE1675">
        <v>-5.2409999999999801</v>
      </c>
      <c r="AF1675">
        <v>3.9944378131715101</v>
      </c>
      <c r="AG1675">
        <v>-0.74527690000000002</v>
      </c>
      <c r="AH1675">
        <v>97.625788219199507</v>
      </c>
      <c r="AI1675">
        <v>90.437022798978703</v>
      </c>
      <c r="AJ1675">
        <v>87.657003889003605</v>
      </c>
      <c r="AK1675">
        <v>97.710314176759098</v>
      </c>
      <c r="AL1675">
        <v>81.456670546212095</v>
      </c>
      <c r="AM1675">
        <v>94.223943534235502</v>
      </c>
      <c r="AN1675">
        <v>0.99999997467380397</v>
      </c>
    </row>
    <row r="1676" spans="1:40" x14ac:dyDescent="0.25">
      <c r="A1676" t="str">
        <f>"20190304154750696"</f>
        <v>20190304154750696</v>
      </c>
      <c r="B1676" t="str">
        <f>"1551685670688400"</f>
        <v>1551685670688400</v>
      </c>
      <c r="C1676" t="s">
        <v>40</v>
      </c>
      <c r="D1676">
        <v>4.4577239999999998</v>
      </c>
      <c r="E1676">
        <v>0.544037199999999</v>
      </c>
      <c r="F1676" t="s">
        <v>43</v>
      </c>
      <c r="G1676">
        <v>-158.19499999999999</v>
      </c>
      <c r="H1676">
        <v>0.22861339999999999</v>
      </c>
      <c r="I1676">
        <v>361.12479999999999</v>
      </c>
      <c r="J1676">
        <v>-255.63820000000001</v>
      </c>
      <c r="K1676">
        <v>1.1109500000000001</v>
      </c>
      <c r="L1676">
        <v>366.74509999999998</v>
      </c>
      <c r="M1676">
        <v>0.99981900000000001</v>
      </c>
      <c r="N1676">
        <v>-1.406307E-2</v>
      </c>
      <c r="O1676">
        <v>-1.28085E-2</v>
      </c>
      <c r="P1676">
        <v>0.98909069999999999</v>
      </c>
      <c r="Q1676">
        <v>0.1345093</v>
      </c>
      <c r="R1676">
        <v>6.0057180000000002E-2</v>
      </c>
      <c r="S1676">
        <v>3.0476230000000002</v>
      </c>
      <c r="T1676">
        <v>-2.7556540000000001E-2</v>
      </c>
      <c r="U1676">
        <v>-0.17559810000000001</v>
      </c>
      <c r="V1676">
        <v>-7.2697319999999996E-2</v>
      </c>
      <c r="W1676">
        <v>0.14840590000000001</v>
      </c>
      <c r="X1676">
        <v>0.98625090000000004</v>
      </c>
      <c r="Y1676">
        <v>4.4724890000000003E-2</v>
      </c>
      <c r="Z1676">
        <v>-5.8111220000000002E-4</v>
      </c>
      <c r="AA1676">
        <v>0.99899919999999998</v>
      </c>
      <c r="AB1676">
        <v>24</v>
      </c>
      <c r="AC1676">
        <v>97.443200000000004</v>
      </c>
      <c r="AD1676">
        <v>-0.88233660000000003</v>
      </c>
      <c r="AE1676">
        <v>-5.6202999999999799</v>
      </c>
      <c r="AF1676">
        <v>4.3712568972141703</v>
      </c>
      <c r="AG1676">
        <v>-0.88233660000000003</v>
      </c>
      <c r="AH1676">
        <v>97.499232133158401</v>
      </c>
      <c r="AI1676">
        <v>90.517973877354805</v>
      </c>
      <c r="AJ1676">
        <v>87.432934004271502</v>
      </c>
      <c r="AK1676">
        <v>97.6011612189765</v>
      </c>
      <c r="AL1676">
        <v>81.465442790994402</v>
      </c>
      <c r="AM1676">
        <v>94.215692437933996</v>
      </c>
      <c r="AN1676">
        <v>1.0000000246203999</v>
      </c>
    </row>
    <row r="1677" spans="1:40" x14ac:dyDescent="0.25">
      <c r="A1677" t="str">
        <f>"20190304154750707"</f>
        <v>20190304154750707</v>
      </c>
      <c r="B1677" t="str">
        <f>"1551685670698159"</f>
        <v>1551685670698159</v>
      </c>
      <c r="C1677" t="s">
        <v>40</v>
      </c>
      <c r="D1677">
        <v>4.4161720000000004</v>
      </c>
      <c r="E1677">
        <v>0.54460280000000005</v>
      </c>
      <c r="F1677" t="s">
        <v>43</v>
      </c>
      <c r="G1677">
        <v>-158.19499999999999</v>
      </c>
      <c r="H1677">
        <v>0.19026899999999999</v>
      </c>
      <c r="I1677">
        <v>360.95859999999999</v>
      </c>
      <c r="J1677">
        <v>-255.50989999999999</v>
      </c>
      <c r="K1677">
        <v>1.1109519999999999</v>
      </c>
      <c r="L1677">
        <v>366.74340000000001</v>
      </c>
      <c r="M1677">
        <v>0.99981850000000005</v>
      </c>
      <c r="N1677">
        <v>-1.406289E-2</v>
      </c>
      <c r="O1677">
        <v>-1.284914E-2</v>
      </c>
      <c r="P1677">
        <v>0.98909720000000001</v>
      </c>
      <c r="Q1677">
        <v>0.13455529999999999</v>
      </c>
      <c r="R1677">
        <v>5.9846679999999999E-2</v>
      </c>
      <c r="S1677">
        <v>3.0480040000000002</v>
      </c>
      <c r="T1677">
        <v>-2.8795959999999999E-2</v>
      </c>
      <c r="U1677">
        <v>-0.18099979999999999</v>
      </c>
      <c r="V1677">
        <v>-7.2527510000000003E-2</v>
      </c>
      <c r="W1677">
        <v>0.14845169999999999</v>
      </c>
      <c r="X1677">
        <v>0.98625649999999998</v>
      </c>
      <c r="Y1677">
        <v>4.64409E-2</v>
      </c>
      <c r="Z1677">
        <v>-6.0534559999999996E-4</v>
      </c>
      <c r="AA1677">
        <v>0.9989209</v>
      </c>
      <c r="AB1677">
        <v>24</v>
      </c>
      <c r="AC1677">
        <v>97.314899999999994</v>
      </c>
      <c r="AD1677">
        <v>-0.92068300000000003</v>
      </c>
      <c r="AE1677">
        <v>-5.7848000000000104</v>
      </c>
      <c r="AF1677">
        <v>4.5333815044842396</v>
      </c>
      <c r="AG1677">
        <v>-0.92068300000000003</v>
      </c>
      <c r="AH1677">
        <v>97.372516849465896</v>
      </c>
      <c r="AI1677">
        <v>90.541144534151996</v>
      </c>
      <c r="AJ1677">
        <v>87.334399797906997</v>
      </c>
      <c r="AK1677">
        <v>97.482338106198497</v>
      </c>
      <c r="AL1677">
        <v>81.462789171759795</v>
      </c>
      <c r="AM1677">
        <v>94.205856796924706</v>
      </c>
      <c r="AN1677">
        <v>1.0000000153659601</v>
      </c>
    </row>
    <row r="1678" spans="1:40" x14ac:dyDescent="0.25">
      <c r="A1678" t="str">
        <f>"20190304154750718"</f>
        <v>20190304154750718</v>
      </c>
      <c r="B1678" t="str">
        <f>"1551685670707919"</f>
        <v>1551685670707919</v>
      </c>
      <c r="C1678" t="s">
        <v>40</v>
      </c>
      <c r="D1678">
        <v>4.4524470000000003</v>
      </c>
      <c r="E1678">
        <v>0.54525500000000005</v>
      </c>
      <c r="F1678" t="s">
        <v>43</v>
      </c>
      <c r="G1678">
        <v>-158.19499999999999</v>
      </c>
      <c r="H1678">
        <v>0.18220710000000001</v>
      </c>
      <c r="I1678">
        <v>360.79169999999999</v>
      </c>
      <c r="J1678">
        <v>-255.39609999999999</v>
      </c>
      <c r="K1678">
        <v>1.1109519999999999</v>
      </c>
      <c r="L1678">
        <v>366.74189999999999</v>
      </c>
      <c r="M1678">
        <v>0.99981810000000004</v>
      </c>
      <c r="N1678">
        <v>-1.406255E-2</v>
      </c>
      <c r="O1678">
        <v>-1.288514E-2</v>
      </c>
      <c r="P1678">
        <v>0.98905690000000002</v>
      </c>
      <c r="Q1678">
        <v>0.13491249999999999</v>
      </c>
      <c r="R1678">
        <v>5.970959E-2</v>
      </c>
      <c r="S1678">
        <v>3.0483250000000002</v>
      </c>
      <c r="T1678">
        <v>-2.9089569999999999E-2</v>
      </c>
      <c r="U1678">
        <v>-0.18643190000000001</v>
      </c>
      <c r="V1678">
        <v>-7.2425299999999998E-2</v>
      </c>
      <c r="W1678">
        <v>0.1488081</v>
      </c>
      <c r="X1678">
        <v>0.98621029999999998</v>
      </c>
      <c r="Y1678">
        <v>4.8172010000000001E-2</v>
      </c>
      <c r="Z1678">
        <v>-6.2692399999999995E-4</v>
      </c>
      <c r="AA1678">
        <v>0.99883880000000003</v>
      </c>
      <c r="AB1678">
        <v>24</v>
      </c>
      <c r="AC1678">
        <v>97.201099999999997</v>
      </c>
      <c r="AD1678">
        <v>-0.92874489999999998</v>
      </c>
      <c r="AE1678">
        <v>-5.9501999999999899</v>
      </c>
      <c r="AF1678">
        <v>4.6967051172152496</v>
      </c>
      <c r="AG1678">
        <v>-0.92874489999999998</v>
      </c>
      <c r="AH1678">
        <v>97.260859462832997</v>
      </c>
      <c r="AI1678">
        <v>90.546464590119498</v>
      </c>
      <c r="AJ1678">
        <v>87.235347273609193</v>
      </c>
      <c r="AK1678">
        <v>97.378623883767801</v>
      </c>
      <c r="AL1678">
        <v>81.442139598258095</v>
      </c>
      <c r="AM1678">
        <v>94.200146929202802</v>
      </c>
      <c r="AN1678">
        <v>1.0000000152658901</v>
      </c>
    </row>
    <row r="1679" spans="1:40" x14ac:dyDescent="0.25">
      <c r="A1679" t="str">
        <f>"20190304154750730"</f>
        <v>20190304154750730</v>
      </c>
      <c r="B1679" t="str">
        <f>"1551685670718656"</f>
        <v>1551685670718656</v>
      </c>
      <c r="C1679" t="s">
        <v>40</v>
      </c>
      <c r="D1679">
        <v>4.4281230000000003</v>
      </c>
      <c r="E1679">
        <v>0.54594730000000002</v>
      </c>
      <c r="F1679" t="s">
        <v>43</v>
      </c>
      <c r="G1679">
        <v>-158.19499999999999</v>
      </c>
      <c r="H1679">
        <v>0.2131681</v>
      </c>
      <c r="I1679">
        <v>360.61099999999999</v>
      </c>
      <c r="J1679">
        <v>-255.27</v>
      </c>
      <c r="K1679">
        <v>1.1109599999999999</v>
      </c>
      <c r="L1679">
        <v>366.74020000000002</v>
      </c>
      <c r="M1679">
        <v>0.99981770000000003</v>
      </c>
      <c r="N1679">
        <v>-1.4062059999999999E-2</v>
      </c>
      <c r="O1679">
        <v>-1.292507E-2</v>
      </c>
      <c r="P1679">
        <v>0.98903640000000004</v>
      </c>
      <c r="Q1679">
        <v>0.13507160000000001</v>
      </c>
      <c r="R1679">
        <v>5.968888E-2</v>
      </c>
      <c r="S1679">
        <v>3.0486300000000002</v>
      </c>
      <c r="T1679">
        <v>-2.8155449999999999E-2</v>
      </c>
      <c r="U1679">
        <v>-0.1922913</v>
      </c>
      <c r="V1679">
        <v>-7.2443309999999997E-2</v>
      </c>
      <c r="W1679">
        <v>0.14896609999999999</v>
      </c>
      <c r="X1679">
        <v>0.98618510000000004</v>
      </c>
      <c r="Y1679">
        <v>5.0038369999999999E-2</v>
      </c>
      <c r="Z1679">
        <v>-6.4540859999999997E-4</v>
      </c>
      <c r="AA1679">
        <v>0.9987471</v>
      </c>
      <c r="AB1679">
        <v>24</v>
      </c>
      <c r="AC1679">
        <v>97.075000000000003</v>
      </c>
      <c r="AD1679">
        <v>-0.89779189999999998</v>
      </c>
      <c r="AE1679">
        <v>-6.1292000000000204</v>
      </c>
      <c r="AF1679">
        <v>4.8734476288618502</v>
      </c>
      <c r="AG1679">
        <v>-0.89779189999999998</v>
      </c>
      <c r="AH1679">
        <v>97.137842117480702</v>
      </c>
      <c r="AI1679">
        <v>90.528873297572702</v>
      </c>
      <c r="AJ1679">
        <v>87.127854099895004</v>
      </c>
      <c r="AK1679">
        <v>97.264160374351505</v>
      </c>
      <c r="AL1679">
        <v>81.432984625347302</v>
      </c>
      <c r="AM1679">
        <v>94.201294609220696</v>
      </c>
      <c r="AN1679">
        <v>0.999999991787488</v>
      </c>
    </row>
    <row r="1680" spans="1:40" x14ac:dyDescent="0.25">
      <c r="A1680" t="str">
        <f>"20190304154750741"</f>
        <v>20190304154750741</v>
      </c>
      <c r="B1680" t="str">
        <f>"1551685670738176"</f>
        <v>1551685670738176</v>
      </c>
      <c r="C1680" t="s">
        <v>40</v>
      </c>
      <c r="D1680">
        <v>4.3712</v>
      </c>
      <c r="E1680">
        <v>0.54706259999999995</v>
      </c>
      <c r="F1680" t="s">
        <v>43</v>
      </c>
      <c r="G1680">
        <v>-158.19499999999999</v>
      </c>
      <c r="H1680">
        <v>0.2352533</v>
      </c>
      <c r="I1680">
        <v>360.44589999999999</v>
      </c>
      <c r="J1680">
        <v>-255.1532</v>
      </c>
      <c r="K1680">
        <v>1.1109599999999999</v>
      </c>
      <c r="L1680">
        <v>366.73869999999999</v>
      </c>
      <c r="M1680">
        <v>0.99981739999999997</v>
      </c>
      <c r="N1680">
        <v>-1.40614E-2</v>
      </c>
      <c r="O1680">
        <v>-1.2962130000000001E-2</v>
      </c>
      <c r="P1680">
        <v>0.98899749999999997</v>
      </c>
      <c r="Q1680">
        <v>0.13524620000000001</v>
      </c>
      <c r="R1680">
        <v>5.9939550000000001E-2</v>
      </c>
      <c r="S1680">
        <v>3.04895</v>
      </c>
      <c r="T1680">
        <v>-2.7501580000000001E-2</v>
      </c>
      <c r="U1680">
        <v>-0.1976929</v>
      </c>
      <c r="V1680">
        <v>-7.2730100000000006E-2</v>
      </c>
      <c r="W1680">
        <v>0.14913959999999901</v>
      </c>
      <c r="X1680">
        <v>0.98613770000000001</v>
      </c>
      <c r="Y1680">
        <v>5.175689E-2</v>
      </c>
      <c r="Z1680">
        <v>-6.6280970000000001E-4</v>
      </c>
      <c r="AA1680">
        <v>0.99865950000000003</v>
      </c>
      <c r="AB1680">
        <v>24</v>
      </c>
      <c r="AC1680">
        <v>96.958200000000005</v>
      </c>
      <c r="AD1680">
        <v>-0.87570669999999995</v>
      </c>
      <c r="AE1680">
        <v>-6.2927999999999997</v>
      </c>
      <c r="AF1680">
        <v>5.0349535315078997</v>
      </c>
      <c r="AG1680">
        <v>-0.87570669999999995</v>
      </c>
      <c r="AH1680">
        <v>97.023747528251107</v>
      </c>
      <c r="AI1680">
        <v>90.516425298617193</v>
      </c>
      <c r="AJ1680">
        <v>87.0293556684816</v>
      </c>
      <c r="AK1680">
        <v>97.158248253633502</v>
      </c>
      <c r="AL1680">
        <v>81.422930934009401</v>
      </c>
      <c r="AM1680">
        <v>94.218068875833694</v>
      </c>
      <c r="AN1680">
        <v>0.99999992554772699</v>
      </c>
    </row>
    <row r="1681" spans="1:40" x14ac:dyDescent="0.25">
      <c r="A1681" t="str">
        <f>"20190304154750751"</f>
        <v>20190304154750751</v>
      </c>
      <c r="B1681" t="str">
        <f>"1551685670747935"</f>
        <v>1551685670747935</v>
      </c>
      <c r="C1681" t="s">
        <v>40</v>
      </c>
      <c r="D1681">
        <v>4.481922</v>
      </c>
      <c r="E1681">
        <v>0.54760430000000004</v>
      </c>
      <c r="F1681" t="s">
        <v>43</v>
      </c>
      <c r="G1681">
        <v>-158.19499999999999</v>
      </c>
      <c r="H1681">
        <v>0.24220559999999999</v>
      </c>
      <c r="I1681">
        <v>360.19909999999999</v>
      </c>
      <c r="J1681">
        <v>-255.03739999999999</v>
      </c>
      <c r="K1681">
        <v>1.110962</v>
      </c>
      <c r="L1681">
        <v>366.7371</v>
      </c>
      <c r="M1681">
        <v>0.9998167</v>
      </c>
      <c r="N1681">
        <v>-1.4060710000000001E-2</v>
      </c>
      <c r="O1681">
        <v>-1.2998839999999999E-2</v>
      </c>
      <c r="P1681">
        <v>0.98892970000000002</v>
      </c>
      <c r="Q1681">
        <v>0.1355682</v>
      </c>
      <c r="R1681">
        <v>6.0327680000000002E-2</v>
      </c>
      <c r="S1681">
        <v>3.0495760000000001</v>
      </c>
      <c r="T1681">
        <v>-2.7321700000000001E-2</v>
      </c>
      <c r="U1681">
        <v>-0.2056885</v>
      </c>
      <c r="V1681">
        <v>-7.3153960000000004E-2</v>
      </c>
      <c r="W1681">
        <v>0.14946019999999999</v>
      </c>
      <c r="X1681">
        <v>0.98605790000000004</v>
      </c>
      <c r="Y1681">
        <v>5.4313569999999999E-2</v>
      </c>
      <c r="Z1681">
        <v>-6.9162830000000001E-4</v>
      </c>
      <c r="AA1681">
        <v>0.99852370000000001</v>
      </c>
      <c r="AB1681">
        <v>24</v>
      </c>
      <c r="AC1681">
        <v>96.842399999999998</v>
      </c>
      <c r="AD1681">
        <v>-0.86875639999999998</v>
      </c>
      <c r="AE1681">
        <v>-6.53800000000001</v>
      </c>
      <c r="AF1681">
        <v>5.2780614240299597</v>
      </c>
      <c r="AG1681">
        <v>-0.86875639999999998</v>
      </c>
      <c r="AH1681">
        <v>96.911447493921898</v>
      </c>
      <c r="AI1681">
        <v>90.5128505482988</v>
      </c>
      <c r="AJ1681">
        <v>86.882595605286895</v>
      </c>
      <c r="AK1681">
        <v>97.058957986604995</v>
      </c>
      <c r="AL1681">
        <v>81.404354489234095</v>
      </c>
      <c r="AM1681">
        <v>94.242903733629703</v>
      </c>
      <c r="AN1681">
        <v>1.0000000177000601</v>
      </c>
    </row>
    <row r="1682" spans="1:40" x14ac:dyDescent="0.25">
      <c r="A1682" t="str">
        <f>"20190304154750763"</f>
        <v>20190304154750763</v>
      </c>
      <c r="B1682" t="str">
        <f>"1551685670758672"</f>
        <v>1551685670758672</v>
      </c>
      <c r="C1682" t="s">
        <v>40</v>
      </c>
      <c r="D1682">
        <v>4.3698880000000004</v>
      </c>
      <c r="E1682">
        <v>0.54806269999999901</v>
      </c>
      <c r="F1682" t="s">
        <v>43</v>
      </c>
      <c r="G1682">
        <v>-158.19499999999999</v>
      </c>
      <c r="H1682">
        <v>0.26176929999999998</v>
      </c>
      <c r="I1682">
        <v>360.09960000000001</v>
      </c>
      <c r="J1682">
        <v>-254.90979999999999</v>
      </c>
      <c r="K1682">
        <v>1.1109610000000001</v>
      </c>
      <c r="L1682">
        <v>366.73540000000003</v>
      </c>
      <c r="M1682">
        <v>0.99981620000000004</v>
      </c>
      <c r="N1682">
        <v>-1.4059729999999999E-2</v>
      </c>
      <c r="O1682">
        <v>-1.303936E-2</v>
      </c>
      <c r="P1682">
        <v>0.98889119999999997</v>
      </c>
      <c r="Q1682">
        <v>0.1357737</v>
      </c>
      <c r="R1682">
        <v>6.049653E-2</v>
      </c>
      <c r="S1682">
        <v>3.0500029999999998</v>
      </c>
      <c r="T1682">
        <v>-2.6742100000000001E-2</v>
      </c>
      <c r="U1682">
        <v>-0.20904539999999999</v>
      </c>
      <c r="V1682">
        <v>-7.336231E-2</v>
      </c>
      <c r="W1682">
        <v>0.14966389999999999</v>
      </c>
      <c r="X1682">
        <v>0.98601150000000004</v>
      </c>
      <c r="Y1682">
        <v>5.5357700000000003E-2</v>
      </c>
      <c r="Z1682">
        <v>-7.0102229999999895E-4</v>
      </c>
      <c r="AA1682">
        <v>0.99846630000000003</v>
      </c>
      <c r="AB1682">
        <v>24</v>
      </c>
      <c r="AC1682">
        <v>96.714799999999997</v>
      </c>
      <c r="AD1682">
        <v>-0.84919169999999999</v>
      </c>
      <c r="AE1682">
        <v>-6.6358000000000104</v>
      </c>
      <c r="AF1682">
        <v>5.3735997303616001</v>
      </c>
      <c r="AG1682">
        <v>-0.84919169999999999</v>
      </c>
      <c r="AH1682">
        <v>96.785684476157002</v>
      </c>
      <c r="AI1682">
        <v>90.501923815447299</v>
      </c>
      <c r="AJ1682">
        <v>86.822166257716205</v>
      </c>
      <c r="AK1682">
        <v>96.938462026812203</v>
      </c>
      <c r="AL1682">
        <v>81.3925503742134</v>
      </c>
      <c r="AM1682">
        <v>94.255143136906298</v>
      </c>
      <c r="AN1682">
        <v>0.99999999481199797</v>
      </c>
    </row>
    <row r="1683" spans="1:40" x14ac:dyDescent="0.25">
      <c r="A1683" t="str">
        <f>"20190304154750777"</f>
        <v>20190304154750777</v>
      </c>
      <c r="B1683" t="str">
        <f>"1551685670768432"</f>
        <v>1551685670768432</v>
      </c>
      <c r="C1683" t="s">
        <v>40</v>
      </c>
      <c r="D1683">
        <v>4.4365209999999999</v>
      </c>
      <c r="E1683">
        <v>0.54858799999999996</v>
      </c>
      <c r="F1683" t="s">
        <v>43</v>
      </c>
      <c r="G1683">
        <v>-158.19499999999999</v>
      </c>
      <c r="H1683">
        <v>0.28371429999999997</v>
      </c>
      <c r="I1683">
        <v>360.00959999999998</v>
      </c>
      <c r="J1683">
        <v>-254.77029999999999</v>
      </c>
      <c r="K1683">
        <v>1.110965</v>
      </c>
      <c r="L1683">
        <v>366.73349999999999</v>
      </c>
      <c r="M1683">
        <v>0.99981569999999997</v>
      </c>
      <c r="N1683">
        <v>-1.4058589999999999E-2</v>
      </c>
      <c r="O1683">
        <v>-1.308381E-2</v>
      </c>
      <c r="P1683">
        <v>0.98885650000000003</v>
      </c>
      <c r="Q1683">
        <v>0.13590759999999999</v>
      </c>
      <c r="R1683">
        <v>6.0764529999999997E-2</v>
      </c>
      <c r="S1683">
        <v>3.050278</v>
      </c>
      <c r="T1683">
        <v>-2.6087639999999999E-2</v>
      </c>
      <c r="U1683">
        <v>-0.2121277</v>
      </c>
      <c r="V1683">
        <v>-7.3673470000000005E-2</v>
      </c>
      <c r="W1683">
        <v>0.1497964</v>
      </c>
      <c r="X1683">
        <v>0.98596819999999996</v>
      </c>
      <c r="Y1683">
        <v>5.6311420000000001E-2</v>
      </c>
      <c r="Z1683">
        <v>-7.0886029999999995E-4</v>
      </c>
      <c r="AA1683">
        <v>0.99841299999999999</v>
      </c>
      <c r="AB1683">
        <v>24</v>
      </c>
      <c r="AC1683">
        <v>96.575299999999999</v>
      </c>
      <c r="AD1683">
        <v>-0.82725070000000001</v>
      </c>
      <c r="AE1683">
        <v>-6.7239000000000102</v>
      </c>
      <c r="AF1683">
        <v>5.4592281133269003</v>
      </c>
      <c r="AG1683">
        <v>-0.82725070000000001</v>
      </c>
      <c r="AH1683">
        <v>96.647957516768898</v>
      </c>
      <c r="AI1683">
        <v>90.489626357601296</v>
      </c>
      <c r="AJ1683">
        <v>86.767042918347798</v>
      </c>
      <c r="AK1683">
        <v>96.805553598319705</v>
      </c>
      <c r="AL1683">
        <v>81.384872314181806</v>
      </c>
      <c r="AM1683">
        <v>94.2733112201783</v>
      </c>
      <c r="AN1683">
        <v>1.0000000165230201</v>
      </c>
    </row>
    <row r="1684" spans="1:40" x14ac:dyDescent="0.25">
      <c r="A1684" t="str">
        <f>"20190304154750787"</f>
        <v>20190304154750787</v>
      </c>
      <c r="B1684" t="str">
        <f>"1551685670778191"</f>
        <v>1551685670778191</v>
      </c>
      <c r="C1684" t="s">
        <v>40</v>
      </c>
      <c r="D1684">
        <v>4.3989690000000001</v>
      </c>
      <c r="E1684">
        <v>0.54904350000000002</v>
      </c>
      <c r="F1684" t="s">
        <v>43</v>
      </c>
      <c r="G1684">
        <v>-158.19499999999999</v>
      </c>
      <c r="H1684">
        <v>0.29209800000000002</v>
      </c>
      <c r="I1684">
        <v>359.89929999999998</v>
      </c>
      <c r="J1684">
        <v>-254.64169999999999</v>
      </c>
      <c r="K1684">
        <v>1.110967</v>
      </c>
      <c r="L1684">
        <v>366.73180000000002</v>
      </c>
      <c r="M1684">
        <v>0.99981509999999996</v>
      </c>
      <c r="N1684">
        <v>-1.4057439999999999E-2</v>
      </c>
      <c r="O1684">
        <v>-1.3124800000000001E-2</v>
      </c>
      <c r="P1684">
        <v>0.9887939</v>
      </c>
      <c r="Q1684">
        <v>0.13622000000000001</v>
      </c>
      <c r="R1684">
        <v>6.1080269999999999E-2</v>
      </c>
      <c r="S1684">
        <v>3.0506289999999998</v>
      </c>
      <c r="T1684">
        <v>-2.5863649999999998E-2</v>
      </c>
      <c r="U1684">
        <v>-0.2158813</v>
      </c>
      <c r="V1684">
        <v>-7.4029139999999993E-2</v>
      </c>
      <c r="W1684">
        <v>0.15010660000000001</v>
      </c>
      <c r="X1684">
        <v>0.98589439999999995</v>
      </c>
      <c r="Y1684">
        <v>5.7484939999999998E-2</v>
      </c>
      <c r="Z1684">
        <v>-7.2115289999999995E-4</v>
      </c>
      <c r="AA1684">
        <v>0.99834610000000001</v>
      </c>
      <c r="AB1684">
        <v>24</v>
      </c>
      <c r="AC1684">
        <v>96.446700000000007</v>
      </c>
      <c r="AD1684">
        <v>-0.81886899999999996</v>
      </c>
      <c r="AE1684">
        <v>-6.8325000000000404</v>
      </c>
      <c r="AF1684">
        <v>5.5655435044115604</v>
      </c>
      <c r="AG1684">
        <v>-0.81886899999999996</v>
      </c>
      <c r="AH1684">
        <v>96.521151951457497</v>
      </c>
      <c r="AI1684">
        <v>90.485269951735802</v>
      </c>
      <c r="AJ1684">
        <v>86.699900071988395</v>
      </c>
      <c r="AK1684">
        <v>96.684945027522303</v>
      </c>
      <c r="AL1684">
        <v>81.366896084040306</v>
      </c>
      <c r="AM1684">
        <v>94.2941845333483</v>
      </c>
      <c r="AN1684">
        <v>1.0000000364420201</v>
      </c>
    </row>
    <row r="1685" spans="1:40" x14ac:dyDescent="0.25">
      <c r="A1685" t="str">
        <f>"20190304154750798"</f>
        <v>20190304154750798</v>
      </c>
      <c r="B1685" t="str">
        <f>"1551685670787952"</f>
        <v>1551685670787952</v>
      </c>
      <c r="C1685" t="s">
        <v>40</v>
      </c>
      <c r="D1685">
        <v>4.422784</v>
      </c>
      <c r="E1685">
        <v>0.54951830000000002</v>
      </c>
      <c r="F1685" t="s">
        <v>43</v>
      </c>
      <c r="G1685">
        <v>-158.19499999999999</v>
      </c>
      <c r="H1685">
        <v>0.31914999999999999</v>
      </c>
      <c r="I1685">
        <v>359.82920000000001</v>
      </c>
      <c r="J1685">
        <v>-254.52799999999999</v>
      </c>
      <c r="K1685">
        <v>1.1109690000000001</v>
      </c>
      <c r="L1685">
        <v>366.7303</v>
      </c>
      <c r="M1685">
        <v>0.9998146</v>
      </c>
      <c r="N1685">
        <v>-1.405754E-2</v>
      </c>
      <c r="O1685">
        <v>-1.316116E-2</v>
      </c>
      <c r="P1685">
        <v>0.98874989999999996</v>
      </c>
      <c r="Q1685">
        <v>0.13632069999999999</v>
      </c>
      <c r="R1685">
        <v>6.156499E-2</v>
      </c>
      <c r="S1685">
        <v>3.0509189999999999</v>
      </c>
      <c r="T1685">
        <v>-2.5044919999999998E-2</v>
      </c>
      <c r="U1685">
        <v>-0.2183533</v>
      </c>
      <c r="V1685">
        <v>-7.4548859999999995E-2</v>
      </c>
      <c r="W1685">
        <v>0.15020649999999999</v>
      </c>
      <c r="X1685">
        <v>0.98584000000000005</v>
      </c>
      <c r="Y1685">
        <v>5.8246930000000002E-2</v>
      </c>
      <c r="Z1685">
        <v>-7.256602E-4</v>
      </c>
      <c r="AA1685">
        <v>0.99830189999999996</v>
      </c>
      <c r="AB1685">
        <v>24</v>
      </c>
      <c r="AC1685">
        <v>96.332999999999998</v>
      </c>
      <c r="AD1685">
        <v>-0.79181899999999905</v>
      </c>
      <c r="AE1685">
        <v>-6.90109999999998</v>
      </c>
      <c r="AF1685">
        <v>5.6321443129251598</v>
      </c>
      <c r="AG1685">
        <v>-0.79181899999999905</v>
      </c>
      <c r="AH1685">
        <v>96.409009913026097</v>
      </c>
      <c r="AI1685">
        <v>90.469765777980399</v>
      </c>
      <c r="AJ1685">
        <v>86.656622173401104</v>
      </c>
      <c r="AK1685">
        <v>96.576628742674302</v>
      </c>
      <c r="AL1685">
        <v>81.3611064127075</v>
      </c>
      <c r="AM1685">
        <v>94.324455522957805</v>
      </c>
      <c r="AN1685">
        <v>1.0000000153847699</v>
      </c>
    </row>
    <row r="1686" spans="1:40" x14ac:dyDescent="0.25">
      <c r="A1686" t="str">
        <f>"20190304154750809"</f>
        <v>20190304154750809</v>
      </c>
      <c r="B1686" t="str">
        <f>"1551685670798688"</f>
        <v>1551685670798688</v>
      </c>
      <c r="C1686" t="s">
        <v>40</v>
      </c>
      <c r="D1686">
        <v>4.3790279999999999</v>
      </c>
      <c r="E1686">
        <v>0.54995430000000001</v>
      </c>
      <c r="F1686" t="s">
        <v>43</v>
      </c>
      <c r="G1686">
        <v>-158.19499999999999</v>
      </c>
      <c r="H1686">
        <v>0.3245287</v>
      </c>
      <c r="I1686">
        <v>359.75479999999999</v>
      </c>
      <c r="J1686">
        <v>-254.4126</v>
      </c>
      <c r="K1686">
        <v>1.1109690000000001</v>
      </c>
      <c r="L1686">
        <v>366.72879999999998</v>
      </c>
      <c r="M1686">
        <v>0.99981410000000004</v>
      </c>
      <c r="N1686">
        <v>-1.405818E-2</v>
      </c>
      <c r="O1686">
        <v>-1.3197759999999999E-2</v>
      </c>
      <c r="P1686">
        <v>0.98866089999999995</v>
      </c>
      <c r="Q1686">
        <v>0.13685899999999901</v>
      </c>
      <c r="R1686">
        <v>6.1801309999999998E-2</v>
      </c>
      <c r="S1686">
        <v>3.0513309999999998</v>
      </c>
      <c r="T1686">
        <v>-2.490759E-2</v>
      </c>
      <c r="U1686">
        <v>-0.22094730000000001</v>
      </c>
      <c r="V1686">
        <v>-7.4820499999999998E-2</v>
      </c>
      <c r="W1686">
        <v>0.15074389999999999</v>
      </c>
      <c r="X1686">
        <v>0.98573739999999999</v>
      </c>
      <c r="Y1686">
        <v>5.904504E-2</v>
      </c>
      <c r="Z1686">
        <v>-7.3404190000000004E-4</v>
      </c>
      <c r="AA1686">
        <v>0.99825509999999995</v>
      </c>
      <c r="AB1686">
        <v>24</v>
      </c>
      <c r="AC1686">
        <v>96.217600000000004</v>
      </c>
      <c r="AD1686">
        <v>-0.78644029999999998</v>
      </c>
      <c r="AE1686">
        <v>-6.9739999999999798</v>
      </c>
      <c r="AF1686">
        <v>5.7030312099053502</v>
      </c>
      <c r="AG1686">
        <v>-0.78644029999999998</v>
      </c>
      <c r="AH1686">
        <v>96.294869060544201</v>
      </c>
      <c r="AI1686">
        <v>90.467105842466296</v>
      </c>
      <c r="AJ1686">
        <v>86.610635842950401</v>
      </c>
      <c r="AK1686">
        <v>96.466807041147504</v>
      </c>
      <c r="AL1686">
        <v>81.3299611272014</v>
      </c>
      <c r="AM1686">
        <v>94.340602824355202</v>
      </c>
      <c r="AN1686">
        <v>1.0000000261830999</v>
      </c>
    </row>
    <row r="1687" spans="1:40" x14ac:dyDescent="0.25">
      <c r="A1687" t="str">
        <f>"20190304154750822"</f>
        <v>20190304154750822</v>
      </c>
      <c r="B1687" t="str">
        <f>"1551685670818208"</f>
        <v>1551685670818208</v>
      </c>
      <c r="C1687" t="s">
        <v>40</v>
      </c>
      <c r="D1687">
        <v>4.3746710000000002</v>
      </c>
      <c r="E1687">
        <v>0.55080600000000002</v>
      </c>
      <c r="F1687" t="s">
        <v>43</v>
      </c>
      <c r="G1687">
        <v>-158.19499999999999</v>
      </c>
      <c r="H1687">
        <v>0.38010880000000002</v>
      </c>
      <c r="I1687">
        <v>359.67570000000001</v>
      </c>
      <c r="J1687">
        <v>-254.2809</v>
      </c>
      <c r="K1687">
        <v>1.110973</v>
      </c>
      <c r="L1687">
        <v>366.7269</v>
      </c>
      <c r="M1687">
        <v>0.99981350000000002</v>
      </c>
      <c r="N1687">
        <v>-1.406089E-2</v>
      </c>
      <c r="O1687">
        <v>-1.323974E-2</v>
      </c>
      <c r="P1687">
        <v>0.98862760000000005</v>
      </c>
      <c r="Q1687">
        <v>0.13700279999999901</v>
      </c>
      <c r="R1687">
        <v>6.2015000000000001E-2</v>
      </c>
      <c r="S1687">
        <v>3.0516049999999999</v>
      </c>
      <c r="T1687">
        <v>-2.3176909999999998E-2</v>
      </c>
      <c r="U1687">
        <v>-0.2236938</v>
      </c>
      <c r="V1687">
        <v>-7.5074959999999996E-2</v>
      </c>
      <c r="W1687">
        <v>0.1508901</v>
      </c>
      <c r="X1687">
        <v>0.98569569999999995</v>
      </c>
      <c r="Y1687">
        <v>5.9890840000000001E-2</v>
      </c>
      <c r="Z1687">
        <v>-7.3433459999999999E-4</v>
      </c>
      <c r="AA1687">
        <v>0.9982046</v>
      </c>
      <c r="AB1687">
        <v>24</v>
      </c>
      <c r="AC1687">
        <v>96.085899999999995</v>
      </c>
      <c r="AD1687">
        <v>-0.73086419999999996</v>
      </c>
      <c r="AE1687">
        <v>-7.0511999999999899</v>
      </c>
      <c r="AF1687">
        <v>5.7779712533880803</v>
      </c>
      <c r="AG1687">
        <v>-0.73086419999999996</v>
      </c>
      <c r="AH1687">
        <v>96.165307755439301</v>
      </c>
      <c r="AI1687">
        <v>90.434660387021495</v>
      </c>
      <c r="AJ1687">
        <v>86.561588979859593</v>
      </c>
      <c r="AK1687">
        <v>96.341504711013201</v>
      </c>
      <c r="AL1687">
        <v>81.321487703496402</v>
      </c>
      <c r="AM1687">
        <v>94.355491790941002</v>
      </c>
      <c r="AN1687">
        <v>1.00000004244774</v>
      </c>
    </row>
    <row r="1688" spans="1:40" x14ac:dyDescent="0.25">
      <c r="A1688" t="str">
        <f>"20190304154750833"</f>
        <v>20190304154750833</v>
      </c>
      <c r="B1688" t="str">
        <f>"1551685670827968"</f>
        <v>1551685670827968</v>
      </c>
      <c r="C1688" t="s">
        <v>40</v>
      </c>
      <c r="D1688">
        <v>4.4553710000000004</v>
      </c>
      <c r="E1688">
        <v>0.55129589999999995</v>
      </c>
      <c r="F1688" t="s">
        <v>43</v>
      </c>
      <c r="G1688">
        <v>-158.19499999999999</v>
      </c>
      <c r="H1688">
        <v>0.38284020000000002</v>
      </c>
      <c r="I1688">
        <v>359.4907</v>
      </c>
      <c r="J1688">
        <v>-254.1515</v>
      </c>
      <c r="K1688">
        <v>1.1109800000000001</v>
      </c>
      <c r="L1688">
        <v>366.72519999999997</v>
      </c>
      <c r="M1688">
        <v>0.99981299999999995</v>
      </c>
      <c r="N1688">
        <v>-1.4064200000000001E-2</v>
      </c>
      <c r="O1688">
        <v>-1.3280999999999999E-2</v>
      </c>
      <c r="P1688">
        <v>0.9885526</v>
      </c>
      <c r="Q1688">
        <v>0.1374454</v>
      </c>
      <c r="R1688">
        <v>6.2233740000000003E-2</v>
      </c>
      <c r="S1688">
        <v>3.0521389999999999</v>
      </c>
      <c r="T1688">
        <v>-2.3126130000000002E-2</v>
      </c>
      <c r="U1688">
        <v>-0.22985839999999999</v>
      </c>
      <c r="V1688">
        <v>-7.5333479999999994E-2</v>
      </c>
      <c r="W1688">
        <v>0.15133460000000001</v>
      </c>
      <c r="X1688">
        <v>0.98560780000000003</v>
      </c>
      <c r="Y1688">
        <v>6.1841699999999902E-2</v>
      </c>
      <c r="Z1688">
        <v>-7.5557399999999996E-4</v>
      </c>
      <c r="AA1688">
        <v>0.99808569999999996</v>
      </c>
      <c r="AB1688">
        <v>24</v>
      </c>
      <c r="AC1688">
        <v>95.956500000000005</v>
      </c>
      <c r="AD1688">
        <v>-0.728139799999999</v>
      </c>
      <c r="AE1688">
        <v>-7.2344999999999597</v>
      </c>
      <c r="AF1688">
        <v>5.9589964374340001</v>
      </c>
      <c r="AG1688">
        <v>-0.728139799999999</v>
      </c>
      <c r="AH1688">
        <v>96.038627436484504</v>
      </c>
      <c r="AI1688">
        <v>90.433559562297205</v>
      </c>
      <c r="AJ1688">
        <v>86.449468215576601</v>
      </c>
      <c r="AK1688">
        <v>96.226076434579696</v>
      </c>
      <c r="AL1688">
        <v>81.295723632175395</v>
      </c>
      <c r="AM1688">
        <v>94.370820141099799</v>
      </c>
      <c r="AN1688">
        <v>1.00000001489345</v>
      </c>
    </row>
    <row r="1689" spans="1:40" x14ac:dyDescent="0.25">
      <c r="A1689" t="str">
        <f>"20190304154750847"</f>
        <v>20190304154750847</v>
      </c>
      <c r="B1689" t="str">
        <f>"1551685670838704"</f>
        <v>1551685670838704</v>
      </c>
      <c r="C1689" t="s">
        <v>40</v>
      </c>
      <c r="D1689">
        <v>4.3886690000000002</v>
      </c>
      <c r="E1689">
        <v>0.55163649999999997</v>
      </c>
      <c r="F1689" t="s">
        <v>43</v>
      </c>
      <c r="G1689">
        <v>-158.19499999999999</v>
      </c>
      <c r="H1689">
        <v>0.4250546</v>
      </c>
      <c r="I1689">
        <v>359.40339999999998</v>
      </c>
      <c r="J1689">
        <v>-254.00380000000001</v>
      </c>
      <c r="K1689">
        <v>1.110986</v>
      </c>
      <c r="L1689">
        <v>366.72320000000002</v>
      </c>
      <c r="M1689">
        <v>0.99981240000000005</v>
      </c>
      <c r="N1689">
        <v>-1.406923E-2</v>
      </c>
      <c r="O1689">
        <v>-1.332788E-2</v>
      </c>
      <c r="P1689">
        <v>0.98848279999999999</v>
      </c>
      <c r="Q1689">
        <v>0.13779810000000001</v>
      </c>
      <c r="R1689">
        <v>6.2561119999999998E-2</v>
      </c>
      <c r="S1689">
        <v>3.0524439999999999</v>
      </c>
      <c r="T1689">
        <v>-2.1816970000000002E-2</v>
      </c>
      <c r="U1689">
        <v>-0.23291020000000001</v>
      </c>
      <c r="V1689">
        <v>-7.5706190000000007E-2</v>
      </c>
      <c r="W1689">
        <v>0.151691299999999</v>
      </c>
      <c r="X1689">
        <v>0.98552439999999997</v>
      </c>
      <c r="Y1689">
        <v>6.2779920000000003E-2</v>
      </c>
      <c r="Z1689">
        <v>-7.5851429999999995E-4</v>
      </c>
      <c r="AA1689">
        <v>0.99802709999999994</v>
      </c>
      <c r="AB1689">
        <v>24</v>
      </c>
      <c r="AC1689">
        <v>95.808800000000005</v>
      </c>
      <c r="AD1689">
        <v>-0.68593139999999997</v>
      </c>
      <c r="AE1689">
        <v>-7.3198000000000398</v>
      </c>
      <c r="AF1689">
        <v>6.0417875155938399</v>
      </c>
      <c r="AG1689">
        <v>-0.68593139999999997</v>
      </c>
      <c r="AH1689">
        <v>95.892968987563293</v>
      </c>
      <c r="AI1689">
        <v>90.409024075078094</v>
      </c>
      <c r="AJ1689">
        <v>86.394814395423396</v>
      </c>
      <c r="AK1689">
        <v>96.085561868154002</v>
      </c>
      <c r="AL1689">
        <v>81.275047487856895</v>
      </c>
      <c r="AM1689">
        <v>94.392730466388002</v>
      </c>
      <c r="AN1689">
        <v>1.00000001034768</v>
      </c>
    </row>
    <row r="1690" spans="1:40" x14ac:dyDescent="0.25">
      <c r="A1690" t="str">
        <f>"20190304154750861"</f>
        <v>20190304154750861</v>
      </c>
      <c r="B1690" t="str">
        <f>"1551685670858223"</f>
        <v>1551685670858223</v>
      </c>
      <c r="C1690" t="s">
        <v>40</v>
      </c>
      <c r="D1690">
        <v>4.4644149999999998</v>
      </c>
      <c r="E1690">
        <v>0.55251289999999997</v>
      </c>
      <c r="F1690" t="s">
        <v>43</v>
      </c>
      <c r="G1690">
        <v>-158.19499999999999</v>
      </c>
      <c r="H1690">
        <v>0.44994260000000003</v>
      </c>
      <c r="I1690">
        <v>359.34829999999999</v>
      </c>
      <c r="J1690">
        <v>-253.8569</v>
      </c>
      <c r="K1690">
        <v>1.1109910000000001</v>
      </c>
      <c r="L1690">
        <v>366.72120000000001</v>
      </c>
      <c r="M1690">
        <v>0.99981160000000002</v>
      </c>
      <c r="N1690">
        <v>-1.4074379999999999E-2</v>
      </c>
      <c r="O1690">
        <v>-1.337441E-2</v>
      </c>
      <c r="P1690">
        <v>0.98840760000000005</v>
      </c>
      <c r="Q1690">
        <v>0.13826669999999999</v>
      </c>
      <c r="R1690">
        <v>6.2713359999999996E-2</v>
      </c>
      <c r="S1690">
        <v>3.0527500000000001</v>
      </c>
      <c r="T1690">
        <v>-2.1059990000000001E-2</v>
      </c>
      <c r="U1690">
        <v>-0.23498540000000001</v>
      </c>
      <c r="V1690">
        <v>-7.5903170000000006E-2</v>
      </c>
      <c r="W1690">
        <v>0.15216360000000001</v>
      </c>
      <c r="X1690">
        <v>0.98543639999999999</v>
      </c>
      <c r="Y1690">
        <v>6.3400570000000003E-2</v>
      </c>
      <c r="Z1690">
        <v>-7.6110789999999902E-4</v>
      </c>
      <c r="AA1690">
        <v>0.99798790000000004</v>
      </c>
      <c r="AB1690">
        <v>24</v>
      </c>
      <c r="AC1690">
        <v>95.661900000000003</v>
      </c>
      <c r="AD1690">
        <v>-0.66104839999999998</v>
      </c>
      <c r="AE1690">
        <v>-7.3729000000000102</v>
      </c>
      <c r="AF1690">
        <v>6.0924031394379998</v>
      </c>
      <c r="AG1690">
        <v>-0.66104839999999998</v>
      </c>
      <c r="AH1690">
        <v>95.747415016066995</v>
      </c>
      <c r="AI1690">
        <v>90.394770376922807</v>
      </c>
      <c r="AJ1690">
        <v>86.359180788460094</v>
      </c>
      <c r="AK1690">
        <v>95.943326204898398</v>
      </c>
      <c r="AL1690">
        <v>81.2476685624178</v>
      </c>
      <c r="AM1690">
        <v>94.404506748916106</v>
      </c>
      <c r="AN1690">
        <v>0.99999997541298402</v>
      </c>
    </row>
    <row r="1691" spans="1:40" x14ac:dyDescent="0.25">
      <c r="A1691" t="str">
        <f>"20190304154750874"</f>
        <v>20190304154750874</v>
      </c>
      <c r="B1691" t="str">
        <f>"1551685670867983"</f>
        <v>1551685670867983</v>
      </c>
      <c r="C1691" t="s">
        <v>40</v>
      </c>
      <c r="D1691">
        <v>4.4783540000000004</v>
      </c>
      <c r="E1691">
        <v>0.5529115</v>
      </c>
      <c r="F1691" t="s">
        <v>43</v>
      </c>
      <c r="G1691">
        <v>-158.19499999999999</v>
      </c>
      <c r="H1691">
        <v>0.48384670000000002</v>
      </c>
      <c r="I1691">
        <v>359.15719999999999</v>
      </c>
      <c r="J1691">
        <v>-253.71029999999999</v>
      </c>
      <c r="K1691">
        <v>1.110997</v>
      </c>
      <c r="L1691">
        <v>366.7192</v>
      </c>
      <c r="M1691">
        <v>0.99981089999999995</v>
      </c>
      <c r="N1691">
        <v>-1.407948E-2</v>
      </c>
      <c r="O1691">
        <v>-1.342105E-2</v>
      </c>
      <c r="P1691">
        <v>0.98827969999999998</v>
      </c>
      <c r="Q1691">
        <v>0.13903180000000001</v>
      </c>
      <c r="R1691">
        <v>6.3035969999999997E-2</v>
      </c>
      <c r="S1691">
        <v>3.0532840000000001</v>
      </c>
      <c r="T1691">
        <v>-2.0014049999999999E-2</v>
      </c>
      <c r="U1691">
        <v>-0.24142459999999999</v>
      </c>
      <c r="V1691">
        <v>-7.6270389999999993E-2</v>
      </c>
      <c r="W1691">
        <v>0.15293219999999999</v>
      </c>
      <c r="X1691">
        <v>0.98528910000000003</v>
      </c>
      <c r="Y1691">
        <v>6.5432679999999993E-2</v>
      </c>
      <c r="Z1691">
        <v>-7.7638779999999997E-4</v>
      </c>
      <c r="AA1691">
        <v>0.99785670000000004</v>
      </c>
      <c r="AB1691">
        <v>24</v>
      </c>
      <c r="AC1691">
        <v>95.515299999999996</v>
      </c>
      <c r="AD1691">
        <v>-0.62715029999999905</v>
      </c>
      <c r="AE1691">
        <v>-7.56200000000001</v>
      </c>
      <c r="AF1691">
        <v>6.2790071984862896</v>
      </c>
      <c r="AG1691">
        <v>-0.62715029999999905</v>
      </c>
      <c r="AH1691">
        <v>95.604099610027404</v>
      </c>
      <c r="AI1691">
        <v>90.375039404171602</v>
      </c>
      <c r="AJ1691">
        <v>86.242371683279998</v>
      </c>
      <c r="AK1691">
        <v>95.812124030007098</v>
      </c>
      <c r="AL1691">
        <v>81.203109907038098</v>
      </c>
      <c r="AM1691">
        <v>94.426390336162001</v>
      </c>
      <c r="AN1691">
        <v>1.0000000203832</v>
      </c>
    </row>
    <row r="1692" spans="1:40" x14ac:dyDescent="0.25">
      <c r="A1692" t="str">
        <f>"20190304154750888"</f>
        <v>20190304154750888</v>
      </c>
      <c r="B1692" t="str">
        <f>"1551685670878720"</f>
        <v>1551685670878720</v>
      </c>
      <c r="C1692" t="s">
        <v>40</v>
      </c>
      <c r="D1692">
        <v>4.5031629999999998</v>
      </c>
      <c r="E1692">
        <v>0.55324119999999999</v>
      </c>
      <c r="F1692" t="s">
        <v>43</v>
      </c>
      <c r="G1692">
        <v>-158.19499999999999</v>
      </c>
      <c r="H1692">
        <v>0.54684350000000004</v>
      </c>
      <c r="I1692">
        <v>359.08280000000002</v>
      </c>
      <c r="J1692">
        <v>-253.5608</v>
      </c>
      <c r="K1692">
        <v>1.111</v>
      </c>
      <c r="L1692">
        <v>366.71710000000002</v>
      </c>
      <c r="M1692">
        <v>0.99981010000000003</v>
      </c>
      <c r="N1692">
        <v>-1.4084330000000001E-2</v>
      </c>
      <c r="O1692">
        <v>-1.3468290000000001E-2</v>
      </c>
      <c r="P1692">
        <v>0.98823050000000001</v>
      </c>
      <c r="Q1692">
        <v>0.13937949999999999</v>
      </c>
      <c r="R1692">
        <v>6.3038739999999996E-2</v>
      </c>
      <c r="S1692">
        <v>3.0536799999999999</v>
      </c>
      <c r="T1692">
        <v>-1.8033500000000001E-2</v>
      </c>
      <c r="U1692">
        <v>-0.24414060000000001</v>
      </c>
      <c r="V1692">
        <v>-7.6318789999999997E-2</v>
      </c>
      <c r="W1692">
        <v>0.1532838</v>
      </c>
      <c r="X1692">
        <v>0.98523070000000001</v>
      </c>
      <c r="Y1692">
        <v>6.6257860000000002E-2</v>
      </c>
      <c r="Z1692">
        <v>-7.727427E-4</v>
      </c>
      <c r="AA1692">
        <v>0.99780230000000003</v>
      </c>
      <c r="AB1692">
        <v>24</v>
      </c>
      <c r="AC1692">
        <v>95.365799999999993</v>
      </c>
      <c r="AD1692">
        <v>-0.56415649999999995</v>
      </c>
      <c r="AE1692">
        <v>-7.6342999999999899</v>
      </c>
      <c r="AF1692">
        <v>6.3488449893310799</v>
      </c>
      <c r="AG1692">
        <v>-0.56415649999999995</v>
      </c>
      <c r="AH1692">
        <v>95.456660330846404</v>
      </c>
      <c r="AI1692">
        <v>90.337872232873593</v>
      </c>
      <c r="AJ1692">
        <v>86.194848426973905</v>
      </c>
      <c r="AK1692">
        <v>95.669222358988804</v>
      </c>
      <c r="AL1692">
        <v>81.182724232454106</v>
      </c>
      <c r="AM1692">
        <v>94.429449578145906</v>
      </c>
      <c r="AN1692">
        <v>1.00000000663599</v>
      </c>
    </row>
    <row r="1693" spans="1:40" x14ac:dyDescent="0.25">
      <c r="A1693" t="str">
        <f>"20190304154750899"</f>
        <v>20190304154750899</v>
      </c>
      <c r="B1693" t="str">
        <f>"1551685670888480"</f>
        <v>1551685670888480</v>
      </c>
      <c r="C1693" t="s">
        <v>40</v>
      </c>
      <c r="D1693">
        <v>4.3983629999999998</v>
      </c>
      <c r="E1693">
        <v>0.55357860000000003</v>
      </c>
      <c r="F1693" t="s">
        <v>43</v>
      </c>
      <c r="G1693">
        <v>-158.19499999999999</v>
      </c>
      <c r="H1693">
        <v>0.56024649999999998</v>
      </c>
      <c r="I1693">
        <v>359.02190000000002</v>
      </c>
      <c r="J1693">
        <v>-253.4495</v>
      </c>
      <c r="K1693">
        <v>1.111</v>
      </c>
      <c r="L1693">
        <v>366.71550000000002</v>
      </c>
      <c r="M1693">
        <v>0.99980959999999997</v>
      </c>
      <c r="N1693">
        <v>-1.408766E-2</v>
      </c>
      <c r="O1693">
        <v>-1.350383E-2</v>
      </c>
      <c r="P1693">
        <v>0.98815419999999998</v>
      </c>
      <c r="Q1693">
        <v>0.13988390000000001</v>
      </c>
      <c r="R1693">
        <v>6.3117679999999995E-2</v>
      </c>
      <c r="S1693">
        <v>3.0539550000000002</v>
      </c>
      <c r="T1693">
        <v>-1.7634270000000001E-2</v>
      </c>
      <c r="U1693">
        <v>-0.24642939999999999</v>
      </c>
      <c r="V1693">
        <v>-7.6431559999999996E-2</v>
      </c>
      <c r="W1693">
        <v>0.1537898</v>
      </c>
      <c r="X1693">
        <v>0.98514310000000005</v>
      </c>
      <c r="Y1693">
        <v>6.6958359999999995E-2</v>
      </c>
      <c r="Z1693">
        <v>-7.7758320000000005E-4</v>
      </c>
      <c r="AA1693">
        <v>0.99775550000000002</v>
      </c>
      <c r="AB1693">
        <v>24</v>
      </c>
      <c r="AC1693">
        <v>95.254499999999993</v>
      </c>
      <c r="AD1693">
        <v>-0.55075350000000001</v>
      </c>
      <c r="AE1693">
        <v>-7.6936</v>
      </c>
      <c r="AF1693">
        <v>6.4062573736216297</v>
      </c>
      <c r="AG1693">
        <v>-0.55075350000000001</v>
      </c>
      <c r="AH1693">
        <v>95.346549434472394</v>
      </c>
      <c r="AI1693">
        <v>90.330211374065499</v>
      </c>
      <c r="AJ1693">
        <v>86.156120322284494</v>
      </c>
      <c r="AK1693">
        <v>95.563109786230399</v>
      </c>
      <c r="AL1693">
        <v>81.153384687530902</v>
      </c>
      <c r="AM1693">
        <v>94.436361383734095</v>
      </c>
      <c r="AN1693">
        <v>1.0000000067128401</v>
      </c>
    </row>
    <row r="1694" spans="1:40" x14ac:dyDescent="0.25">
      <c r="A1694" t="str">
        <f>"20190304154750918"</f>
        <v>20190304154750918</v>
      </c>
      <c r="B1694" t="str">
        <f>"1551685670907999"</f>
        <v>1551685670907999</v>
      </c>
      <c r="C1694" t="s">
        <v>40</v>
      </c>
      <c r="D1694">
        <v>4.508267</v>
      </c>
      <c r="E1694">
        <v>0.55424300000000004</v>
      </c>
      <c r="F1694" t="s">
        <v>43</v>
      </c>
      <c r="G1694">
        <v>-158.19499999999999</v>
      </c>
      <c r="H1694">
        <v>0.60395049999999995</v>
      </c>
      <c r="I1694">
        <v>358.93279999999999</v>
      </c>
      <c r="J1694">
        <v>-253.2396</v>
      </c>
      <c r="K1694">
        <v>1.111005</v>
      </c>
      <c r="L1694">
        <v>366.71260000000001</v>
      </c>
      <c r="M1694">
        <v>0.99980860000000005</v>
      </c>
      <c r="N1694">
        <v>-1.409348E-2</v>
      </c>
      <c r="O1694">
        <v>-1.357074E-2</v>
      </c>
      <c r="P1694">
        <v>0.98804650000000005</v>
      </c>
      <c r="Q1694">
        <v>0.14062820000000001</v>
      </c>
      <c r="R1694">
        <v>6.315047E-2</v>
      </c>
      <c r="S1694">
        <v>3.0541990000000001</v>
      </c>
      <c r="T1694">
        <v>-1.6255019999999998E-2</v>
      </c>
      <c r="U1694">
        <v>-0.24954219999999999</v>
      </c>
      <c r="V1694">
        <v>-7.6529159999999999E-2</v>
      </c>
      <c r="W1694">
        <v>0.15453839999999999</v>
      </c>
      <c r="X1694">
        <v>0.98501839999999996</v>
      </c>
      <c r="Y1694">
        <v>6.7895780000000003E-2</v>
      </c>
      <c r="Z1694">
        <v>-7.7854089999999996E-4</v>
      </c>
      <c r="AA1694">
        <v>0.99769209999999997</v>
      </c>
      <c r="AB1694">
        <v>24</v>
      </c>
      <c r="AC1694">
        <v>95.044600000000003</v>
      </c>
      <c r="AD1694">
        <v>-0.50705449999999996</v>
      </c>
      <c r="AE1694">
        <v>-7.7798000000000203</v>
      </c>
      <c r="AF1694">
        <v>6.4889463340736899</v>
      </c>
      <c r="AG1694">
        <v>-0.50705449999999996</v>
      </c>
      <c r="AH1694">
        <v>95.1387442945679</v>
      </c>
      <c r="AI1694">
        <v>90.304654749804598</v>
      </c>
      <c r="AJ1694">
        <v>86.0981792222764</v>
      </c>
      <c r="AK1694">
        <v>95.361125175511802</v>
      </c>
      <c r="AL1694">
        <v>81.109974392028107</v>
      </c>
      <c r="AM1694">
        <v>94.442563870456297</v>
      </c>
      <c r="AN1694">
        <v>1.0000000388717101</v>
      </c>
    </row>
    <row r="1695" spans="1:40" x14ac:dyDescent="0.25">
      <c r="A1695" t="str">
        <f>"20190304154750929"</f>
        <v>20190304154750929</v>
      </c>
      <c r="B1695" t="str">
        <f>"1551685670917759"</f>
        <v>1551685670917759</v>
      </c>
      <c r="C1695" t="s">
        <v>40</v>
      </c>
      <c r="D1695">
        <v>4.4795930000000004</v>
      </c>
      <c r="E1695">
        <v>0.554539</v>
      </c>
      <c r="F1695" t="s">
        <v>43</v>
      </c>
      <c r="G1695">
        <v>-158.19499999999999</v>
      </c>
      <c r="H1695">
        <v>0.6407003</v>
      </c>
      <c r="I1695">
        <v>358.78890000000001</v>
      </c>
      <c r="J1695">
        <v>-253.11779999999999</v>
      </c>
      <c r="K1695">
        <v>1.111011</v>
      </c>
      <c r="L1695">
        <v>366.71089999999998</v>
      </c>
      <c r="M1695">
        <v>0.99980809999999998</v>
      </c>
      <c r="N1695">
        <v>-1.4096590000000001E-2</v>
      </c>
      <c r="O1695">
        <v>-1.3609619999999999E-2</v>
      </c>
      <c r="P1695">
        <v>0.98804159999999996</v>
      </c>
      <c r="Q1695">
        <v>0.1407061</v>
      </c>
      <c r="R1695">
        <v>6.3055669999999994E-2</v>
      </c>
      <c r="S1695">
        <v>3.0547330000000001</v>
      </c>
      <c r="T1695">
        <v>-1.5112759999999999E-2</v>
      </c>
      <c r="U1695">
        <v>-0.25466919999999998</v>
      </c>
      <c r="V1695">
        <v>-7.6472750000000006E-2</v>
      </c>
      <c r="W1695">
        <v>0.15461949999999999</v>
      </c>
      <c r="X1695">
        <v>0.98501000000000005</v>
      </c>
      <c r="Y1695">
        <v>6.9506189999999995E-2</v>
      </c>
      <c r="Z1695">
        <v>-7.8677779999999995E-4</v>
      </c>
      <c r="AA1695">
        <v>0.99758119999999995</v>
      </c>
      <c r="AB1695">
        <v>24</v>
      </c>
      <c r="AC1695">
        <v>94.922799999999995</v>
      </c>
      <c r="AD1695">
        <v>-0.47031069999999903</v>
      </c>
      <c r="AE1695">
        <v>-7.9219999999999597</v>
      </c>
      <c r="AF1695">
        <v>6.62911304580361</v>
      </c>
      <c r="AG1695">
        <v>-0.47031069999999903</v>
      </c>
      <c r="AH1695">
        <v>95.019516605451201</v>
      </c>
      <c r="AI1695">
        <v>90.282902506918703</v>
      </c>
      <c r="AJ1695">
        <v>86.009180245022606</v>
      </c>
      <c r="AK1695">
        <v>95.251639712197004</v>
      </c>
      <c r="AL1695">
        <v>81.105270696970393</v>
      </c>
      <c r="AM1695">
        <v>94.439340036881404</v>
      </c>
      <c r="AN1695">
        <v>0.99999998568640602</v>
      </c>
    </row>
    <row r="1696" spans="1:40" x14ac:dyDescent="0.25">
      <c r="A1696" t="str">
        <f>"20190304154750943"</f>
        <v>20190304154750943</v>
      </c>
      <c r="B1696" t="str">
        <f>"1551685670938256"</f>
        <v>1551685670938256</v>
      </c>
      <c r="C1696" t="s">
        <v>40</v>
      </c>
      <c r="D1696">
        <v>4.420153</v>
      </c>
      <c r="E1696">
        <v>0.55519160000000001</v>
      </c>
      <c r="F1696" t="s">
        <v>43</v>
      </c>
      <c r="G1696">
        <v>-158.19499999999999</v>
      </c>
      <c r="H1696">
        <v>0.62655260000000002</v>
      </c>
      <c r="I1696">
        <v>358.71539999999999</v>
      </c>
      <c r="J1696">
        <v>-252.9829</v>
      </c>
      <c r="K1696">
        <v>1.111011</v>
      </c>
      <c r="L1696">
        <v>366.709</v>
      </c>
      <c r="M1696">
        <v>0.99980740000000001</v>
      </c>
      <c r="N1696">
        <v>-1.40996E-2</v>
      </c>
      <c r="O1696">
        <v>-1.3652310000000001E-2</v>
      </c>
      <c r="P1696">
        <v>0.98801629999999996</v>
      </c>
      <c r="Q1696">
        <v>0.14098039999999901</v>
      </c>
      <c r="R1696">
        <v>6.2835329999999995E-2</v>
      </c>
      <c r="S1696">
        <v>3.054932</v>
      </c>
      <c r="T1696">
        <v>-1.5588640000000001E-2</v>
      </c>
      <c r="U1696">
        <v>-0.2573242</v>
      </c>
      <c r="V1696">
        <v>-7.6294680000000004E-2</v>
      </c>
      <c r="W1696">
        <v>0.15489600000000001</v>
      </c>
      <c r="X1696">
        <v>0.98498039999999998</v>
      </c>
      <c r="Y1696">
        <v>7.0318939999999996E-2</v>
      </c>
      <c r="Z1696">
        <v>-7.9840670000000001E-4</v>
      </c>
      <c r="AA1696">
        <v>0.99752430000000003</v>
      </c>
      <c r="AB1696">
        <v>24</v>
      </c>
      <c r="AC1696">
        <v>94.787899999999993</v>
      </c>
      <c r="AD1696">
        <v>-0.48445840000000001</v>
      </c>
      <c r="AE1696">
        <v>-7.9936000000000096</v>
      </c>
      <c r="AF1696">
        <v>6.6984786984814102</v>
      </c>
      <c r="AG1696">
        <v>-0.48445840000000001</v>
      </c>
      <c r="AH1696">
        <v>94.885745130000103</v>
      </c>
      <c r="AI1696">
        <v>90.291806452032205</v>
      </c>
      <c r="AJ1696">
        <v>85.961891982655899</v>
      </c>
      <c r="AK1696">
        <v>95.123125188834393</v>
      </c>
      <c r="AL1696">
        <v>81.089235522020203</v>
      </c>
      <c r="AM1696">
        <v>94.429176595396896</v>
      </c>
      <c r="AN1696">
        <v>1.0000000186982301</v>
      </c>
    </row>
    <row r="1697" spans="1:40" x14ac:dyDescent="0.25">
      <c r="A1697" t="str">
        <f>"20190304154750954"</f>
        <v>20190304154750954</v>
      </c>
      <c r="B1697" t="str">
        <f>"1551685670948015"</f>
        <v>1551685670948015</v>
      </c>
      <c r="C1697" t="s">
        <v>40</v>
      </c>
      <c r="D1697">
        <v>4.4432619999999998</v>
      </c>
      <c r="E1697">
        <v>0.55553129999999995</v>
      </c>
      <c r="F1697" t="s">
        <v>43</v>
      </c>
      <c r="G1697">
        <v>-158.19499999999999</v>
      </c>
      <c r="H1697">
        <v>0.62653059999999905</v>
      </c>
      <c r="I1697">
        <v>358.5394</v>
      </c>
      <c r="J1697">
        <v>-252.8597</v>
      </c>
      <c r="K1697">
        <v>1.1110120000000001</v>
      </c>
      <c r="L1697">
        <v>366.70729999999998</v>
      </c>
      <c r="M1697">
        <v>0.99980690000000005</v>
      </c>
      <c r="N1697">
        <v>-1.4102190000000001E-2</v>
      </c>
      <c r="O1697">
        <v>-1.3691790000000001E-2</v>
      </c>
      <c r="P1697">
        <v>0.98796779999999995</v>
      </c>
      <c r="Q1697">
        <v>0.14150560000000001</v>
      </c>
      <c r="R1697">
        <v>6.2417649999999998E-2</v>
      </c>
      <c r="S1697">
        <v>3.0553439999999998</v>
      </c>
      <c r="T1697">
        <v>-1.561368E-2</v>
      </c>
      <c r="U1697">
        <v>-0.26333620000000002</v>
      </c>
      <c r="V1697">
        <v>-7.5914919999999997E-2</v>
      </c>
      <c r="W1697">
        <v>0.15542259999999999</v>
      </c>
      <c r="X1697">
        <v>0.98492679999999999</v>
      </c>
      <c r="Y1697">
        <v>7.2216760000000005E-2</v>
      </c>
      <c r="Z1697">
        <v>-8.1731320000000003E-4</v>
      </c>
      <c r="AA1697">
        <v>0.99738859999999996</v>
      </c>
      <c r="AB1697">
        <v>24</v>
      </c>
      <c r="AC1697">
        <v>94.664699999999996</v>
      </c>
      <c r="AD1697">
        <v>-0.48448140000000001</v>
      </c>
      <c r="AE1697">
        <v>-8.1678999999999693</v>
      </c>
      <c r="AF1697">
        <v>6.8706976015445402</v>
      </c>
      <c r="AG1697">
        <v>-0.48448140000000001</v>
      </c>
      <c r="AH1697">
        <v>94.765205137862907</v>
      </c>
      <c r="AI1697">
        <v>90.292151826731498</v>
      </c>
      <c r="AJ1697">
        <v>85.853178718083001</v>
      </c>
      <c r="AK1697">
        <v>95.015184642140497</v>
      </c>
      <c r="AL1697">
        <v>81.058693793217103</v>
      </c>
      <c r="AM1697">
        <v>94.407456153577002</v>
      </c>
      <c r="AN1697">
        <v>1.0000000305137999</v>
      </c>
    </row>
    <row r="1698" spans="1:40" x14ac:dyDescent="0.25">
      <c r="A1698" t="str">
        <f>"20190304154750963"</f>
        <v>20190304154750963</v>
      </c>
      <c r="B1698" t="str">
        <f>"1551685670957776"</f>
        <v>1551685670957776</v>
      </c>
      <c r="C1698" t="s">
        <v>40</v>
      </c>
      <c r="D1698">
        <v>4.4485140000000003</v>
      </c>
      <c r="E1698">
        <v>0.55585669999999898</v>
      </c>
      <c r="F1698" t="s">
        <v>43</v>
      </c>
      <c r="G1698">
        <v>-158.19499999999999</v>
      </c>
      <c r="H1698">
        <v>0.66756629999999995</v>
      </c>
      <c r="I1698">
        <v>358.4323</v>
      </c>
      <c r="J1698">
        <v>-252.74969999999999</v>
      </c>
      <c r="K1698">
        <v>1.1110089999999999</v>
      </c>
      <c r="L1698">
        <v>366.70580000000001</v>
      </c>
      <c r="M1698">
        <v>0.99980639999999998</v>
      </c>
      <c r="N1698">
        <v>-1.4104149999999999E-2</v>
      </c>
      <c r="O1698">
        <v>-1.3726840000000001E-2</v>
      </c>
      <c r="P1698">
        <v>0.98797679999999999</v>
      </c>
      <c r="Q1698">
        <v>0.141574799999999</v>
      </c>
      <c r="R1698">
        <v>6.2117310000000002E-2</v>
      </c>
      <c r="S1698">
        <v>3.055466</v>
      </c>
      <c r="T1698">
        <v>-1.4310120000000001E-2</v>
      </c>
      <c r="U1698">
        <v>-0.26708979999999999</v>
      </c>
      <c r="V1698">
        <v>-7.5649649999999999E-2</v>
      </c>
      <c r="W1698">
        <v>0.1554942</v>
      </c>
      <c r="X1698">
        <v>0.98493589999999998</v>
      </c>
      <c r="Y1698">
        <v>7.3394829999999994E-2</v>
      </c>
      <c r="Z1698">
        <v>-8.1927809999999895E-4</v>
      </c>
      <c r="AA1698">
        <v>0.99730269999999999</v>
      </c>
      <c r="AB1698">
        <v>24</v>
      </c>
      <c r="AC1698">
        <v>94.554699999999997</v>
      </c>
      <c r="AD1698">
        <v>-0.44344269999999902</v>
      </c>
      <c r="AE1698">
        <v>-8.2735000000000092</v>
      </c>
      <c r="AF1698">
        <v>6.9745018721750904</v>
      </c>
      <c r="AG1698">
        <v>-0.44344269999999902</v>
      </c>
      <c r="AH1698">
        <v>94.657303722399703</v>
      </c>
      <c r="AI1698">
        <v>90.267686921765005</v>
      </c>
      <c r="AJ1698">
        <v>85.785970071832296</v>
      </c>
      <c r="AK1698">
        <v>94.914938053963795</v>
      </c>
      <c r="AL1698">
        <v>81.054540845006699</v>
      </c>
      <c r="AM1698">
        <v>94.392075097865003</v>
      </c>
      <c r="AN1698">
        <v>1.0000000214437801</v>
      </c>
    </row>
    <row r="1699" spans="1:40" x14ac:dyDescent="0.25">
      <c r="A1699" t="str">
        <f>"20190304154750975"</f>
        <v>20190304154750975</v>
      </c>
      <c r="B1699" t="str">
        <f>"1551685670968511"</f>
        <v>1551685670968511</v>
      </c>
      <c r="C1699" t="s">
        <v>40</v>
      </c>
      <c r="D1699">
        <v>4.4077169999999999</v>
      </c>
      <c r="E1699">
        <v>0.5561275</v>
      </c>
      <c r="F1699" t="s">
        <v>43</v>
      </c>
      <c r="G1699">
        <v>-158.19499999999999</v>
      </c>
      <c r="H1699">
        <v>0.66389370000000003</v>
      </c>
      <c r="I1699">
        <v>358.33030000000002</v>
      </c>
      <c r="J1699">
        <v>-252.63929999999999</v>
      </c>
      <c r="K1699">
        <v>1.1110100000000001</v>
      </c>
      <c r="L1699">
        <v>366.70420000000001</v>
      </c>
      <c r="M1699">
        <v>0.99980579999999997</v>
      </c>
      <c r="N1699">
        <v>-1.4105990000000001E-2</v>
      </c>
      <c r="O1699">
        <v>-1.376226E-2</v>
      </c>
      <c r="P1699">
        <v>0.98790630000000001</v>
      </c>
      <c r="Q1699">
        <v>0.14213310000000001</v>
      </c>
      <c r="R1699">
        <v>6.1965289999999999E-2</v>
      </c>
      <c r="S1699">
        <v>3.0556030000000001</v>
      </c>
      <c r="T1699">
        <v>-1.444602E-2</v>
      </c>
      <c r="U1699">
        <v>-0.27066040000000002</v>
      </c>
      <c r="V1699">
        <v>-7.5531600000000004E-2</v>
      </c>
      <c r="W1699">
        <v>0.15605289999999999</v>
      </c>
      <c r="X1699">
        <v>0.98485659999999997</v>
      </c>
      <c r="Y1699">
        <v>7.4511919999999995E-2</v>
      </c>
      <c r="Z1699">
        <v>-8.3125910000000003E-4</v>
      </c>
      <c r="AA1699">
        <v>0.99721979999999999</v>
      </c>
      <c r="AB1699">
        <v>24</v>
      </c>
      <c r="AC1699">
        <v>94.444299999999998</v>
      </c>
      <c r="AD1699">
        <v>-0.44711629999999902</v>
      </c>
      <c r="AE1699">
        <v>-8.3738999999999901</v>
      </c>
      <c r="AF1699">
        <v>7.0730531752784396</v>
      </c>
      <c r="AG1699">
        <v>-0.44711629999999902</v>
      </c>
      <c r="AH1699">
        <v>94.548506650526207</v>
      </c>
      <c r="AI1699">
        <v>90.270192567931105</v>
      </c>
      <c r="AJ1699">
        <v>85.721744810669506</v>
      </c>
      <c r="AK1699">
        <v>94.813754825186805</v>
      </c>
      <c r="AL1699">
        <v>81.022134142033394</v>
      </c>
      <c r="AM1699">
        <v>94.385599813940402</v>
      </c>
      <c r="AN1699">
        <v>1.00000002638026</v>
      </c>
    </row>
    <row r="1700" spans="1:40" x14ac:dyDescent="0.25">
      <c r="A1700" t="str">
        <f>"20190304154750986"</f>
        <v>20190304154750986</v>
      </c>
      <c r="B1700" t="str">
        <f>"1551685670978271"</f>
        <v>1551685670978271</v>
      </c>
      <c r="C1700" t="s">
        <v>40</v>
      </c>
      <c r="D1700">
        <v>4.4317580000000003</v>
      </c>
      <c r="E1700">
        <v>0.55642689999999995</v>
      </c>
      <c r="F1700" t="s">
        <v>43</v>
      </c>
      <c r="G1700">
        <v>-158.19499999999999</v>
      </c>
      <c r="H1700">
        <v>0.70478249999999998</v>
      </c>
      <c r="I1700">
        <v>358.25599999999997</v>
      </c>
      <c r="J1700">
        <v>-252.511</v>
      </c>
      <c r="K1700">
        <v>1.1110100000000001</v>
      </c>
      <c r="L1700">
        <v>366.70240000000001</v>
      </c>
      <c r="M1700">
        <v>0.99980539999999996</v>
      </c>
      <c r="N1700">
        <v>-1.410777E-2</v>
      </c>
      <c r="O1700">
        <v>-1.380291E-2</v>
      </c>
      <c r="P1700">
        <v>0.98786560000000001</v>
      </c>
      <c r="Q1700">
        <v>0.142558399999999</v>
      </c>
      <c r="R1700">
        <v>6.1636070000000001E-2</v>
      </c>
      <c r="S1700">
        <v>3.0557560000000001</v>
      </c>
      <c r="T1700">
        <v>-1.314068E-2</v>
      </c>
      <c r="U1700">
        <v>-0.27334589999999998</v>
      </c>
      <c r="V1700">
        <v>-7.5241879999999997E-2</v>
      </c>
      <c r="W1700">
        <v>0.1564796</v>
      </c>
      <c r="X1700">
        <v>0.98481110000000005</v>
      </c>
      <c r="Y1700">
        <v>7.5336849999999997E-2</v>
      </c>
      <c r="Z1700">
        <v>-8.2933469999999995E-4</v>
      </c>
      <c r="AA1700">
        <v>0.99715779999999998</v>
      </c>
      <c r="AB1700">
        <v>24</v>
      </c>
      <c r="AC1700">
        <v>94.316000000000003</v>
      </c>
      <c r="AD1700">
        <v>-0.40622750000000002</v>
      </c>
      <c r="AE1700">
        <v>-8.4464000000000397</v>
      </c>
      <c r="AF1700">
        <v>7.1434991532012804</v>
      </c>
      <c r="AG1700">
        <v>-0.40622750000000002</v>
      </c>
      <c r="AH1700">
        <v>94.421872023145795</v>
      </c>
      <c r="AI1700">
        <v>90.245797431125894</v>
      </c>
      <c r="AJ1700">
        <v>85.6735221853328</v>
      </c>
      <c r="AK1700">
        <v>94.692578997980902</v>
      </c>
      <c r="AL1700">
        <v>80.9973822044944</v>
      </c>
      <c r="AM1700">
        <v>94.369044088533499</v>
      </c>
      <c r="AN1700">
        <v>1.0000000542026499</v>
      </c>
    </row>
    <row r="1701" spans="1:40" x14ac:dyDescent="0.25">
      <c r="A1701" t="str">
        <f>"20190304154750997"</f>
        <v>20190304154750997</v>
      </c>
      <c r="B1701" t="str">
        <f>"1551685670988031"</f>
        <v>1551685670988031</v>
      </c>
      <c r="C1701" t="s">
        <v>40</v>
      </c>
      <c r="D1701">
        <v>4.3718500000000002</v>
      </c>
      <c r="E1701">
        <v>0.55671780000000004</v>
      </c>
      <c r="F1701" t="s">
        <v>43</v>
      </c>
      <c r="G1701">
        <v>-158.19499999999999</v>
      </c>
      <c r="H1701">
        <v>0.73194499999999996</v>
      </c>
      <c r="I1701">
        <v>358.15949999999998</v>
      </c>
      <c r="J1701">
        <v>-252.39869999999999</v>
      </c>
      <c r="K1701">
        <v>1.111013</v>
      </c>
      <c r="L1701">
        <v>366.70080000000002</v>
      </c>
      <c r="M1701">
        <v>0.99980469999999999</v>
      </c>
      <c r="N1701">
        <v>-1.4109089999999999E-2</v>
      </c>
      <c r="O1701">
        <v>-1.3838090000000001E-2</v>
      </c>
      <c r="P1701">
        <v>0.98783460000000001</v>
      </c>
      <c r="Q1701">
        <v>0.14283299999999999</v>
      </c>
      <c r="R1701">
        <v>6.1493659999999999E-2</v>
      </c>
      <c r="S1701">
        <v>3.0558779999999999</v>
      </c>
      <c r="T1701">
        <v>-1.227903E-2</v>
      </c>
      <c r="U1701">
        <v>-0.2767944</v>
      </c>
      <c r="V1701">
        <v>-7.5133829999999999E-2</v>
      </c>
      <c r="W1701">
        <v>0.15675510000000001</v>
      </c>
      <c r="X1701">
        <v>0.98477550000000003</v>
      </c>
      <c r="Y1701">
        <v>7.6414670000000004E-2</v>
      </c>
      <c r="Z1701">
        <v>-8.3282899999999999E-4</v>
      </c>
      <c r="AA1701">
        <v>0.99707579999999996</v>
      </c>
      <c r="AB1701">
        <v>24</v>
      </c>
      <c r="AC1701">
        <v>94.203699999999998</v>
      </c>
      <c r="AD1701">
        <v>-0.37906800000000002</v>
      </c>
      <c r="AE1701">
        <v>-8.5413000000000299</v>
      </c>
      <c r="AF1701">
        <v>7.2366367284369399</v>
      </c>
      <c r="AG1701">
        <v>-0.37906800000000002</v>
      </c>
      <c r="AH1701">
        <v>94.311370523740607</v>
      </c>
      <c r="AI1701">
        <v>90.229614139001498</v>
      </c>
      <c r="AJ1701">
        <v>85.612216569454802</v>
      </c>
      <c r="AK1701">
        <v>94.589360996648495</v>
      </c>
      <c r="AL1701">
        <v>80.981399672493694</v>
      </c>
      <c r="AM1701">
        <v>94.362951335447804</v>
      </c>
      <c r="AN1701">
        <v>1.00000001959336</v>
      </c>
    </row>
    <row r="1702" spans="1:40" x14ac:dyDescent="0.25">
      <c r="A1702" t="str">
        <f>"20190304154751008"</f>
        <v>20190304154751008</v>
      </c>
      <c r="B1702" t="str">
        <f>"1551685670997792"</f>
        <v>1551685670997792</v>
      </c>
      <c r="C1702" t="s">
        <v>40</v>
      </c>
      <c r="D1702">
        <v>4.4316550000000001</v>
      </c>
      <c r="E1702">
        <v>0.55703789999999997</v>
      </c>
      <c r="F1702" t="s">
        <v>43</v>
      </c>
      <c r="G1702">
        <v>-158.19499999999999</v>
      </c>
      <c r="H1702">
        <v>0.75736519999999996</v>
      </c>
      <c r="I1702">
        <v>358.0772</v>
      </c>
      <c r="J1702">
        <v>-252.27109999999999</v>
      </c>
      <c r="K1702">
        <v>1.1110150000000001</v>
      </c>
      <c r="L1702">
        <v>366.69900000000001</v>
      </c>
      <c r="M1702">
        <v>0.99980420000000003</v>
      </c>
      <c r="N1702">
        <v>-1.411038E-2</v>
      </c>
      <c r="O1702">
        <v>-1.387743E-2</v>
      </c>
      <c r="P1702">
        <v>0.98782119999999995</v>
      </c>
      <c r="Q1702">
        <v>0.1430091</v>
      </c>
      <c r="R1702">
        <v>6.1300720000000003E-2</v>
      </c>
      <c r="S1702">
        <v>3.0560299999999998</v>
      </c>
      <c r="T1702">
        <v>-1.1469719999999999E-2</v>
      </c>
      <c r="U1702">
        <v>-0.27975460000000002</v>
      </c>
      <c r="V1702">
        <v>-7.4979539999999997E-2</v>
      </c>
      <c r="W1702">
        <v>0.15693219999999999</v>
      </c>
      <c r="X1702">
        <v>0.98475900000000005</v>
      </c>
      <c r="Y1702">
        <v>7.7329030000000007E-2</v>
      </c>
      <c r="Z1702">
        <v>-8.3504480000000001E-4</v>
      </c>
      <c r="AA1702">
        <v>0.99700529999999998</v>
      </c>
      <c r="AB1702">
        <v>24</v>
      </c>
      <c r="AC1702">
        <v>94.076099999999997</v>
      </c>
      <c r="AD1702">
        <v>-0.35364979999999901</v>
      </c>
      <c r="AE1702">
        <v>-8.6218000000000004</v>
      </c>
      <c r="AF1702">
        <v>7.3152026761882301</v>
      </c>
      <c r="AG1702">
        <v>-0.35364979999999901</v>
      </c>
      <c r="AH1702">
        <v>94.185379465988007</v>
      </c>
      <c r="AI1702">
        <v>90.2144887695938</v>
      </c>
      <c r="AJ1702">
        <v>85.558859552258099</v>
      </c>
      <c r="AK1702">
        <v>94.469693359970705</v>
      </c>
      <c r="AL1702">
        <v>80.971124955662503</v>
      </c>
      <c r="AM1702">
        <v>94.354099020216907</v>
      </c>
      <c r="AN1702">
        <v>0.99999996744822495</v>
      </c>
    </row>
    <row r="1703" spans="1:40" x14ac:dyDescent="0.25">
      <c r="A1703" t="str">
        <f>"20190304154751020"</f>
        <v>20190304154751020</v>
      </c>
      <c r="B1703" t="str">
        <f>"1551685671008527"</f>
        <v>1551685671008527</v>
      </c>
      <c r="C1703" t="s">
        <v>40</v>
      </c>
      <c r="D1703">
        <v>4.4263029999999999</v>
      </c>
      <c r="E1703">
        <v>0.55729930000000005</v>
      </c>
      <c r="F1703" t="s">
        <v>43</v>
      </c>
      <c r="G1703">
        <v>-158.19499999999999</v>
      </c>
      <c r="H1703">
        <v>0.77285769999999998</v>
      </c>
      <c r="I1703">
        <v>357.9803</v>
      </c>
      <c r="J1703">
        <v>-252.1593</v>
      </c>
      <c r="K1703">
        <v>1.111016</v>
      </c>
      <c r="L1703">
        <v>366.69740000000002</v>
      </c>
      <c r="M1703">
        <v>0.99980369999999996</v>
      </c>
      <c r="N1703">
        <v>-1.4111200000000001E-2</v>
      </c>
      <c r="O1703">
        <v>-1.391103E-2</v>
      </c>
      <c r="P1703">
        <v>0.98778650000000001</v>
      </c>
      <c r="Q1703">
        <v>0.143238</v>
      </c>
      <c r="R1703">
        <v>6.132605E-2</v>
      </c>
      <c r="S1703">
        <v>3.0561219999999998</v>
      </c>
      <c r="T1703">
        <v>-1.098239E-2</v>
      </c>
      <c r="U1703">
        <v>-0.28323359999999997</v>
      </c>
      <c r="V1703">
        <v>-7.503783E-2</v>
      </c>
      <c r="W1703">
        <v>0.157161</v>
      </c>
      <c r="X1703">
        <v>0.98471810000000004</v>
      </c>
      <c r="Y1703">
        <v>7.8418310000000005E-2</v>
      </c>
      <c r="Z1703">
        <v>-8.4116249999999996E-4</v>
      </c>
      <c r="AA1703">
        <v>0.99692020000000003</v>
      </c>
      <c r="AB1703">
        <v>24</v>
      </c>
      <c r="AC1703">
        <v>93.964299999999994</v>
      </c>
      <c r="AD1703">
        <v>-0.33815830000000002</v>
      </c>
      <c r="AE1703">
        <v>-8.7171000000000092</v>
      </c>
      <c r="AF1703">
        <v>7.4088908972674297</v>
      </c>
      <c r="AG1703">
        <v>-0.33815830000000002</v>
      </c>
      <c r="AH1703">
        <v>94.075273823176701</v>
      </c>
      <c r="AI1703">
        <v>90.205315942428996</v>
      </c>
      <c r="AJ1703">
        <v>85.496969749459794</v>
      </c>
      <c r="AK1703">
        <v>94.367172047641304</v>
      </c>
      <c r="AL1703">
        <v>80.957851228269107</v>
      </c>
      <c r="AM1703">
        <v>94.357651206620503</v>
      </c>
      <c r="AN1703">
        <v>0.99999999615985902</v>
      </c>
    </row>
    <row r="1704" spans="1:40" x14ac:dyDescent="0.25">
      <c r="A1704" t="str">
        <f>"20190304154751030"</f>
        <v>20190304154751030</v>
      </c>
      <c r="B1704" t="str">
        <f>"1551685671028047"</f>
        <v>1551685671028047</v>
      </c>
      <c r="C1704" t="s">
        <v>40</v>
      </c>
      <c r="D1704">
        <v>4.486084</v>
      </c>
      <c r="E1704">
        <v>0.55779519999999905</v>
      </c>
      <c r="F1704" t="s">
        <v>43</v>
      </c>
      <c r="G1704">
        <v>-158.19499999999999</v>
      </c>
      <c r="H1704">
        <v>0.78263570000000005</v>
      </c>
      <c r="I1704">
        <v>357.92320000000001</v>
      </c>
      <c r="J1704">
        <v>-252.03980000000001</v>
      </c>
      <c r="K1704">
        <v>1.1110249999999999</v>
      </c>
      <c r="L1704">
        <v>366.69569999999999</v>
      </c>
      <c r="M1704">
        <v>0.99980329999999995</v>
      </c>
      <c r="N1704">
        <v>-1.4112E-2</v>
      </c>
      <c r="O1704">
        <v>-1.39469E-2</v>
      </c>
      <c r="P1704">
        <v>0.98778840000000001</v>
      </c>
      <c r="Q1704">
        <v>0.14320729999999901</v>
      </c>
      <c r="R1704">
        <v>6.1367249999999998E-2</v>
      </c>
      <c r="S1704">
        <v>3.056381</v>
      </c>
      <c r="T1704">
        <v>-1.0678409999999999E-2</v>
      </c>
      <c r="U1704">
        <v>-0.2854004</v>
      </c>
      <c r="V1704">
        <v>-7.5115199999999993E-2</v>
      </c>
      <c r="W1704">
        <v>0.15713089999999999</v>
      </c>
      <c r="X1704">
        <v>0.98471699999999995</v>
      </c>
      <c r="Y1704">
        <v>7.9075499999999896E-2</v>
      </c>
      <c r="Z1704">
        <v>-8.4486809999999996E-4</v>
      </c>
      <c r="AA1704">
        <v>0.99686830000000004</v>
      </c>
      <c r="AB1704">
        <v>24</v>
      </c>
      <c r="AC1704">
        <v>93.844800000000006</v>
      </c>
      <c r="AD1704">
        <v>-0.328389299999999</v>
      </c>
      <c r="AE1704">
        <v>-8.7724999999999795</v>
      </c>
      <c r="AF1704">
        <v>7.4625818161664004</v>
      </c>
      <c r="AG1704">
        <v>-0.328389299999999</v>
      </c>
      <c r="AH1704">
        <v>93.956891395944993</v>
      </c>
      <c r="AI1704">
        <v>90.199625344762893</v>
      </c>
      <c r="AJ1704">
        <v>85.458782034692504</v>
      </c>
      <c r="AK1704">
        <v>94.253357540645396</v>
      </c>
      <c r="AL1704">
        <v>80.959597486289297</v>
      </c>
      <c r="AM1704">
        <v>94.362131814083099</v>
      </c>
      <c r="AN1704">
        <v>0.99999999154742403</v>
      </c>
    </row>
    <row r="1705" spans="1:40" x14ac:dyDescent="0.25">
      <c r="A1705" t="str">
        <f>"20190304154751042"</f>
        <v>20190304154751042</v>
      </c>
      <c r="B1705" t="str">
        <f>"1551685671037807"</f>
        <v>1551685671037807</v>
      </c>
      <c r="C1705" t="s">
        <v>40</v>
      </c>
      <c r="D1705">
        <v>4.4810689999999997</v>
      </c>
      <c r="E1705">
        <v>0.55801179999999995</v>
      </c>
      <c r="F1705" t="s">
        <v>43</v>
      </c>
      <c r="G1705">
        <v>-158.19499999999999</v>
      </c>
      <c r="H1705">
        <v>0.74680139999999995</v>
      </c>
      <c r="I1705">
        <v>357.80360000000002</v>
      </c>
      <c r="J1705">
        <v>-251.9247</v>
      </c>
      <c r="K1705">
        <v>1.111027</v>
      </c>
      <c r="L1705">
        <v>366.69409999999999</v>
      </c>
      <c r="M1705">
        <v>0.99980279999999999</v>
      </c>
      <c r="N1705">
        <v>-1.411244E-2</v>
      </c>
      <c r="O1705">
        <v>-1.3978809999999999E-2</v>
      </c>
      <c r="P1705">
        <v>0.9878053</v>
      </c>
      <c r="Q1705">
        <v>0.1431287</v>
      </c>
      <c r="R1705">
        <v>6.1279380000000001E-2</v>
      </c>
      <c r="S1705">
        <v>3.0568080000000002</v>
      </c>
      <c r="T1705">
        <v>-1.186097E-2</v>
      </c>
      <c r="U1705">
        <v>-0.28964230000000002</v>
      </c>
      <c r="V1705">
        <v>-7.5059319999999999E-2</v>
      </c>
      <c r="W1705">
        <v>0.15705269999999999</v>
      </c>
      <c r="X1705">
        <v>0.98473379999999999</v>
      </c>
      <c r="Y1705">
        <v>8.0401509999999995E-2</v>
      </c>
      <c r="Z1705">
        <v>-8.6704849999999999E-4</v>
      </c>
      <c r="AA1705">
        <v>0.99676220000000004</v>
      </c>
      <c r="AB1705">
        <v>24</v>
      </c>
      <c r="AC1705">
        <v>93.729699999999994</v>
      </c>
      <c r="AD1705">
        <v>-0.36422559999999898</v>
      </c>
      <c r="AE1705">
        <v>-8.8904999999999692</v>
      </c>
      <c r="AF1705">
        <v>7.5791576990498601</v>
      </c>
      <c r="AG1705">
        <v>-0.36422559999999898</v>
      </c>
      <c r="AH1705">
        <v>93.843426548125706</v>
      </c>
      <c r="AI1705">
        <v>90.221653843986999</v>
      </c>
      <c r="AJ1705">
        <v>85.382593552131397</v>
      </c>
      <c r="AK1705">
        <v>94.149694625145898</v>
      </c>
      <c r="AL1705">
        <v>80.9641349193205</v>
      </c>
      <c r="AM1705">
        <v>94.358825152658497</v>
      </c>
      <c r="AN1705">
        <v>1.00000005447929</v>
      </c>
    </row>
    <row r="1706" spans="1:40" x14ac:dyDescent="0.25">
      <c r="A1706" t="str">
        <f>"20190304154751055"</f>
        <v>20190304154751055</v>
      </c>
      <c r="B1706" t="str">
        <f>"1551685671048543"</f>
        <v>1551685671048543</v>
      </c>
      <c r="C1706" t="s">
        <v>40</v>
      </c>
      <c r="D1706">
        <v>4.4717900000000004</v>
      </c>
      <c r="E1706">
        <v>0.55816109999999997</v>
      </c>
      <c r="F1706" t="s">
        <v>43</v>
      </c>
      <c r="G1706">
        <v>-158.19499999999999</v>
      </c>
      <c r="H1706">
        <v>0.71454519999999899</v>
      </c>
      <c r="I1706">
        <v>357.75920000000002</v>
      </c>
      <c r="J1706">
        <v>-251.7851</v>
      </c>
      <c r="K1706">
        <v>1.111029</v>
      </c>
      <c r="L1706">
        <v>366.69200000000001</v>
      </c>
      <c r="M1706">
        <v>0.99980219999999997</v>
      </c>
      <c r="N1706">
        <v>-1.411286E-2</v>
      </c>
      <c r="O1706">
        <v>-1.401608E-2</v>
      </c>
      <c r="P1706">
        <v>0.98782119999999995</v>
      </c>
      <c r="Q1706">
        <v>0.14311099999999999</v>
      </c>
      <c r="R1706">
        <v>6.1064599999999997E-2</v>
      </c>
      <c r="S1706">
        <v>3.0569920000000002</v>
      </c>
      <c r="T1706">
        <v>-1.292837E-2</v>
      </c>
      <c r="U1706">
        <v>-0.29141240000000002</v>
      </c>
      <c r="V1706">
        <v>-7.4882989999999996E-2</v>
      </c>
      <c r="W1706">
        <v>0.15703529999999999</v>
      </c>
      <c r="X1706">
        <v>0.98475000000000001</v>
      </c>
      <c r="Y1706">
        <v>8.0930310000000005E-2</v>
      </c>
      <c r="Z1706">
        <v>-8.8143369999999996E-4</v>
      </c>
      <c r="AA1706">
        <v>0.99671940000000003</v>
      </c>
      <c r="AB1706">
        <v>24</v>
      </c>
      <c r="AC1706">
        <v>93.590100000000007</v>
      </c>
      <c r="AD1706">
        <v>-0.3964838</v>
      </c>
      <c r="AE1706">
        <v>-8.9327999999999292</v>
      </c>
      <c r="AF1706">
        <v>7.6198898948405001</v>
      </c>
      <c r="AG1706">
        <v>-0.3964838</v>
      </c>
      <c r="AH1706">
        <v>93.7044535837029</v>
      </c>
      <c r="AI1706">
        <v>90.241631792591505</v>
      </c>
      <c r="AJ1706">
        <v>85.351032119588893</v>
      </c>
      <c r="AK1706">
        <v>94.014597498651696</v>
      </c>
      <c r="AL1706">
        <v>80.965144397129095</v>
      </c>
      <c r="AM1706">
        <v>94.348553423592705</v>
      </c>
      <c r="AN1706">
        <v>1.00000005506871</v>
      </c>
    </row>
    <row r="1707" spans="1:40" x14ac:dyDescent="0.25">
      <c r="A1707" t="str">
        <f>"20190304154751069"</f>
        <v>20190304154751069</v>
      </c>
      <c r="B1707" t="str">
        <f>"1551685671057835"</f>
        <v>1551685671057835</v>
      </c>
      <c r="C1707" t="s">
        <v>40</v>
      </c>
      <c r="D1707">
        <v>4.5319209999999996</v>
      </c>
      <c r="E1707">
        <v>0.5583726</v>
      </c>
      <c r="F1707" t="s">
        <v>43</v>
      </c>
      <c r="G1707">
        <v>-158.19499999999999</v>
      </c>
      <c r="H1707">
        <v>0.67846200000000001</v>
      </c>
      <c r="I1707">
        <v>357.71859999999998</v>
      </c>
      <c r="J1707">
        <v>-251.63720000000001</v>
      </c>
      <c r="K1707">
        <v>1.1110340000000001</v>
      </c>
      <c r="L1707">
        <v>366.68990000000002</v>
      </c>
      <c r="M1707">
        <v>0.99980159999999996</v>
      </c>
      <c r="N1707">
        <v>-1.4113000000000001E-2</v>
      </c>
      <c r="O1707">
        <v>-1.405202E-2</v>
      </c>
      <c r="P1707">
        <v>0.98786260000000004</v>
      </c>
      <c r="Q1707">
        <v>0.1427418</v>
      </c>
      <c r="R1707">
        <v>6.1257369999999998E-2</v>
      </c>
      <c r="S1707">
        <v>3.0571440000000001</v>
      </c>
      <c r="T1707">
        <v>-1.4127020000000001E-2</v>
      </c>
      <c r="U1707">
        <v>-0.29312129999999997</v>
      </c>
      <c r="V1707">
        <v>-7.5113310000000003E-2</v>
      </c>
      <c r="W1707">
        <v>0.1566661</v>
      </c>
      <c r="X1707">
        <v>0.98479119999999998</v>
      </c>
      <c r="Y1707">
        <v>8.1441479999999997E-2</v>
      </c>
      <c r="Z1707">
        <v>-8.9692630000000003E-4</v>
      </c>
      <c r="AA1707">
        <v>0.9966777</v>
      </c>
      <c r="AB1707">
        <v>24</v>
      </c>
      <c r="AC1707">
        <v>93.4422</v>
      </c>
      <c r="AD1707">
        <v>-0.43257200000000001</v>
      </c>
      <c r="AE1707">
        <v>-8.9713000000000402</v>
      </c>
      <c r="AF1707">
        <v>7.65706892178404</v>
      </c>
      <c r="AG1707">
        <v>-0.43257200000000001</v>
      </c>
      <c r="AH1707">
        <v>93.557062987818</v>
      </c>
      <c r="AI1707">
        <v>90.264029036596597</v>
      </c>
      <c r="AJ1707">
        <v>85.321122040858199</v>
      </c>
      <c r="AK1707">
        <v>93.870878646759706</v>
      </c>
      <c r="AL1707">
        <v>80.986562537746494</v>
      </c>
      <c r="AM1707">
        <v>94.361695088301403</v>
      </c>
      <c r="AN1707">
        <v>0.99999999191290301</v>
      </c>
    </row>
    <row r="1708" spans="1:40" x14ac:dyDescent="0.25">
      <c r="A1708" t="str">
        <f>"20190304154751083"</f>
        <v>20190304154751083</v>
      </c>
      <c r="B1708" t="str">
        <f>"1551685671078331"</f>
        <v>1551685671078331</v>
      </c>
      <c r="C1708" t="s">
        <v>40</v>
      </c>
      <c r="D1708">
        <v>4.4643430000000004</v>
      </c>
      <c r="E1708">
        <v>0.5587666</v>
      </c>
      <c r="F1708" t="s">
        <v>43</v>
      </c>
      <c r="G1708">
        <v>-158.19499999999999</v>
      </c>
      <c r="H1708">
        <v>0.61429209999999901</v>
      </c>
      <c r="I1708">
        <v>357.70170000000002</v>
      </c>
      <c r="J1708">
        <v>-251.5026</v>
      </c>
      <c r="K1708">
        <v>1.1110359999999999</v>
      </c>
      <c r="L1708">
        <v>366.68799999999999</v>
      </c>
      <c r="M1708">
        <v>0.9998013</v>
      </c>
      <c r="N1708">
        <v>-1.411284E-2</v>
      </c>
      <c r="O1708">
        <v>-1.4081150000000001E-2</v>
      </c>
      <c r="P1708">
        <v>0.98788019999999999</v>
      </c>
      <c r="Q1708">
        <v>0.1426055</v>
      </c>
      <c r="R1708">
        <v>6.1291489999999997E-2</v>
      </c>
      <c r="S1708">
        <v>3.0574490000000001</v>
      </c>
      <c r="T1708">
        <v>-1.6250609999999999E-2</v>
      </c>
      <c r="U1708">
        <v>-0.29409790000000002</v>
      </c>
      <c r="V1708">
        <v>-7.5177880000000002E-2</v>
      </c>
      <c r="W1708">
        <v>0.156529</v>
      </c>
      <c r="X1708">
        <v>0.98480809999999996</v>
      </c>
      <c r="Y1708">
        <v>8.1717650000000003E-2</v>
      </c>
      <c r="Z1708">
        <v>-9.1833520000000001E-4</v>
      </c>
      <c r="AA1708">
        <v>0.99665510000000002</v>
      </c>
      <c r="AB1708">
        <v>24</v>
      </c>
      <c r="AC1708">
        <v>93.307599999999994</v>
      </c>
      <c r="AD1708">
        <v>-0.49674390000000002</v>
      </c>
      <c r="AE1708">
        <v>-8.9863000000000195</v>
      </c>
      <c r="AF1708">
        <v>7.6711843473295103</v>
      </c>
      <c r="AG1708">
        <v>-0.49674390000000002</v>
      </c>
      <c r="AH1708">
        <v>93.422273832003697</v>
      </c>
      <c r="AI1708">
        <v>90.303627752340702</v>
      </c>
      <c r="AJ1708">
        <v>85.305802315251796</v>
      </c>
      <c r="AK1708">
        <v>93.738012949575506</v>
      </c>
      <c r="AL1708">
        <v>80.994516147734103</v>
      </c>
      <c r="AM1708">
        <v>94.365355440406006</v>
      </c>
      <c r="AN1708">
        <v>1.0000000176539501</v>
      </c>
    </row>
    <row r="1709" spans="1:40" x14ac:dyDescent="0.25">
      <c r="A1709" t="str">
        <f>"20190304154751096"</f>
        <v>20190304154751096</v>
      </c>
      <c r="B1709" t="str">
        <f>"1551685671088091"</f>
        <v>1551685671088091</v>
      </c>
      <c r="C1709" t="s">
        <v>40</v>
      </c>
      <c r="D1709">
        <v>4.4929779999999999</v>
      </c>
      <c r="E1709">
        <v>0.55892649999999999</v>
      </c>
      <c r="F1709" t="s">
        <v>43</v>
      </c>
      <c r="G1709">
        <v>-158.19499999999999</v>
      </c>
      <c r="H1709">
        <v>0.53754519999999995</v>
      </c>
      <c r="I1709">
        <v>357.62110000000001</v>
      </c>
      <c r="J1709">
        <v>-251.3458</v>
      </c>
      <c r="K1709">
        <v>1.1110420000000001</v>
      </c>
      <c r="L1709">
        <v>366.68579999999997</v>
      </c>
      <c r="M1709">
        <v>0.99980089999999999</v>
      </c>
      <c r="N1709">
        <v>-1.411247E-2</v>
      </c>
      <c r="O1709">
        <v>-1.4111449999999999E-2</v>
      </c>
      <c r="P1709">
        <v>0.98793969999999998</v>
      </c>
      <c r="Q1709">
        <v>0.1421422</v>
      </c>
      <c r="R1709">
        <v>6.1407499999999997E-2</v>
      </c>
      <c r="S1709">
        <v>3.0579529999999999</v>
      </c>
      <c r="T1709">
        <v>-1.8792030000000001E-2</v>
      </c>
      <c r="U1709">
        <v>-0.29714970000000002</v>
      </c>
      <c r="V1709">
        <v>-7.5326699999999996E-2</v>
      </c>
      <c r="W1709">
        <v>0.15606510000000001</v>
      </c>
      <c r="X1709">
        <v>0.98487029999999998</v>
      </c>
      <c r="Y1709">
        <v>8.2656170000000001E-2</v>
      </c>
      <c r="Z1709">
        <v>-9.5026650000000002E-4</v>
      </c>
      <c r="AA1709">
        <v>0.99657770000000001</v>
      </c>
      <c r="AB1709">
        <v>24</v>
      </c>
      <c r="AC1709">
        <v>93.150800000000004</v>
      </c>
      <c r="AD1709">
        <v>-0.57349680000000003</v>
      </c>
      <c r="AE1709">
        <v>-9.0646999999999593</v>
      </c>
      <c r="AF1709">
        <v>7.7488825877323899</v>
      </c>
      <c r="AG1709">
        <v>-0.57349680000000003</v>
      </c>
      <c r="AH1709">
        <v>93.265949763349596</v>
      </c>
      <c r="AI1709">
        <v>90.351100365134101</v>
      </c>
      <c r="AJ1709">
        <v>85.250561435246993</v>
      </c>
      <c r="AK1709">
        <v>93.589056332445907</v>
      </c>
      <c r="AL1709">
        <v>81.021425929806895</v>
      </c>
      <c r="AM1709">
        <v>94.373688304136607</v>
      </c>
      <c r="AN1709">
        <v>0.999999967496494</v>
      </c>
    </row>
    <row r="1710" spans="1:40" x14ac:dyDescent="0.25">
      <c r="A1710" t="str">
        <f>"20190304154751109"</f>
        <v>20190304154751109</v>
      </c>
      <c r="B1710" t="str">
        <f>"1551685671097851"</f>
        <v>1551685671097851</v>
      </c>
      <c r="C1710" t="s">
        <v>40</v>
      </c>
      <c r="D1710">
        <v>4.5162930000000001</v>
      </c>
      <c r="E1710">
        <v>0.55913040000000003</v>
      </c>
      <c r="F1710" t="s">
        <v>43</v>
      </c>
      <c r="G1710">
        <v>-158.19499999999999</v>
      </c>
      <c r="H1710">
        <v>0.46663670000000002</v>
      </c>
      <c r="I1710">
        <v>357.61149999999998</v>
      </c>
      <c r="J1710">
        <v>-251.20930000000001</v>
      </c>
      <c r="K1710">
        <v>1.1110450000000001</v>
      </c>
      <c r="L1710">
        <v>366.68380000000002</v>
      </c>
      <c r="M1710">
        <v>0.99980060000000004</v>
      </c>
      <c r="N1710">
        <v>-1.411196E-2</v>
      </c>
      <c r="O1710">
        <v>-1.4133400000000001E-2</v>
      </c>
      <c r="P1710">
        <v>0.98790800000000001</v>
      </c>
      <c r="Q1710">
        <v>0.14216239999999999</v>
      </c>
      <c r="R1710">
        <v>6.1869229999999997E-2</v>
      </c>
      <c r="S1710">
        <v>3.058182</v>
      </c>
      <c r="T1710">
        <v>-2.1153209999999999E-2</v>
      </c>
      <c r="U1710">
        <v>-0.29791260000000003</v>
      </c>
      <c r="V1710">
        <v>-7.5811600000000007E-2</v>
      </c>
      <c r="W1710">
        <v>0.156083</v>
      </c>
      <c r="X1710">
        <v>0.98483030000000005</v>
      </c>
      <c r="Y1710">
        <v>8.2872420000000002E-2</v>
      </c>
      <c r="Z1710">
        <v>-9.7363099999999998E-4</v>
      </c>
      <c r="AA1710">
        <v>0.99655970000000005</v>
      </c>
      <c r="AB1710">
        <v>24</v>
      </c>
      <c r="AC1710">
        <v>93.014300000000006</v>
      </c>
      <c r="AD1710">
        <v>-0.64440830000000004</v>
      </c>
      <c r="AE1710">
        <v>-9.0723000000000393</v>
      </c>
      <c r="AF1710">
        <v>7.75628575179236</v>
      </c>
      <c r="AG1710">
        <v>-0.64440830000000004</v>
      </c>
      <c r="AH1710">
        <v>93.128815080136505</v>
      </c>
      <c r="AI1710">
        <v>90.395086107364904</v>
      </c>
      <c r="AJ1710">
        <v>85.239076509064205</v>
      </c>
      <c r="AK1710">
        <v>93.453472000513898</v>
      </c>
      <c r="AL1710">
        <v>81.020388002170094</v>
      </c>
      <c r="AM1710">
        <v>94.401910795918099</v>
      </c>
      <c r="AN1710">
        <v>1.00000001069082</v>
      </c>
    </row>
    <row r="1711" spans="1:40" x14ac:dyDescent="0.25">
      <c r="A1711" t="str">
        <f>"20190304154751122"</f>
        <v>20190304154751122</v>
      </c>
      <c r="B1711" t="str">
        <f>"1551685671118347"</f>
        <v>1551685671118347</v>
      </c>
      <c r="C1711" t="s">
        <v>40</v>
      </c>
      <c r="D1711">
        <v>4.5325559999999996</v>
      </c>
      <c r="E1711">
        <v>0.55942890000000001</v>
      </c>
      <c r="F1711" t="s">
        <v>43</v>
      </c>
      <c r="G1711">
        <v>-158.19499999999999</v>
      </c>
      <c r="H1711">
        <v>0.44445509999999999</v>
      </c>
      <c r="I1711">
        <v>357.61470000000003</v>
      </c>
      <c r="J1711">
        <v>-251.0763</v>
      </c>
      <c r="K1711">
        <v>1.111051</v>
      </c>
      <c r="L1711">
        <v>366.68189999999998</v>
      </c>
      <c r="M1711">
        <v>0.99980029999999998</v>
      </c>
      <c r="N1711">
        <v>-1.411133E-2</v>
      </c>
      <c r="O1711">
        <v>-1.414964E-2</v>
      </c>
      <c r="P1711">
        <v>0.98792579999999997</v>
      </c>
      <c r="Q1711">
        <v>0.1420507</v>
      </c>
      <c r="R1711">
        <v>6.1840399999999997E-2</v>
      </c>
      <c r="S1711">
        <v>3.0585629999999999</v>
      </c>
      <c r="T1711">
        <v>-2.1916390000000001E-2</v>
      </c>
      <c r="U1711">
        <v>-0.29821779999999998</v>
      </c>
      <c r="V1711">
        <v>-7.5801220000000002E-2</v>
      </c>
      <c r="W1711">
        <v>0.15597039999999901</v>
      </c>
      <c r="X1711">
        <v>0.98484890000000003</v>
      </c>
      <c r="Y1711">
        <v>8.2942429999999998E-2</v>
      </c>
      <c r="Z1711">
        <v>-9.8122899999999991E-4</v>
      </c>
      <c r="AA1711">
        <v>0.99655380000000005</v>
      </c>
      <c r="AB1711">
        <v>24</v>
      </c>
      <c r="AC1711">
        <v>92.881299999999996</v>
      </c>
      <c r="AD1711">
        <v>-0.66659590000000002</v>
      </c>
      <c r="AE1711">
        <v>-9.06719999999995</v>
      </c>
      <c r="AF1711">
        <v>7.7515287589824098</v>
      </c>
      <c r="AG1711">
        <v>-0.66659590000000002</v>
      </c>
      <c r="AH1711">
        <v>92.995565352601005</v>
      </c>
      <c r="AI1711">
        <v>90.409272115256101</v>
      </c>
      <c r="AJ1711">
        <v>85.235196801940901</v>
      </c>
      <c r="AK1711">
        <v>93.320446438307997</v>
      </c>
      <c r="AL1711">
        <v>81.026919160268093</v>
      </c>
      <c r="AM1711">
        <v>94.401227664683404</v>
      </c>
      <c r="AN1711">
        <v>0.999999973230428</v>
      </c>
    </row>
    <row r="1712" spans="1:40" x14ac:dyDescent="0.25">
      <c r="A1712" t="str">
        <f>"20190304154751134"</f>
        <v>20190304154751134</v>
      </c>
      <c r="B1712" t="str">
        <f>"1551685671128107"</f>
        <v>1551685671128107</v>
      </c>
      <c r="C1712" t="s">
        <v>40</v>
      </c>
      <c r="D1712">
        <v>4.4621089999999999</v>
      </c>
      <c r="E1712">
        <v>0.55963750000000001</v>
      </c>
      <c r="F1712" t="s">
        <v>43</v>
      </c>
      <c r="G1712">
        <v>-158.19499999999999</v>
      </c>
      <c r="H1712">
        <v>0.3812914</v>
      </c>
      <c r="I1712">
        <v>357.54539999999997</v>
      </c>
      <c r="J1712">
        <v>-250.9408</v>
      </c>
      <c r="K1712">
        <v>1.111051</v>
      </c>
      <c r="L1712">
        <v>366.68</v>
      </c>
      <c r="M1712">
        <v>0.99980029999999998</v>
      </c>
      <c r="N1712">
        <v>-1.4110579999999999E-2</v>
      </c>
      <c r="O1712">
        <v>-1.416336E-2</v>
      </c>
      <c r="P1712">
        <v>0.98791660000000003</v>
      </c>
      <c r="Q1712">
        <v>0.14200460000000001</v>
      </c>
      <c r="R1712">
        <v>6.2095919999999999E-2</v>
      </c>
      <c r="S1712">
        <v>3.0589750000000002</v>
      </c>
      <c r="T1712">
        <v>-2.4031159999999999E-2</v>
      </c>
      <c r="U1712">
        <v>-0.30090329999999998</v>
      </c>
      <c r="V1712">
        <v>-7.6072310000000004E-2</v>
      </c>
      <c r="W1712">
        <v>0.1559219</v>
      </c>
      <c r="X1712">
        <v>0.98483569999999998</v>
      </c>
      <c r="Y1712">
        <v>8.3781389999999997E-2</v>
      </c>
      <c r="Z1712">
        <v>-1.0093229999999999E-3</v>
      </c>
      <c r="AA1712">
        <v>0.99648360000000002</v>
      </c>
      <c r="AB1712">
        <v>24</v>
      </c>
      <c r="AC1712">
        <v>92.745800000000003</v>
      </c>
      <c r="AD1712">
        <v>-0.72975959999999995</v>
      </c>
      <c r="AE1712">
        <v>-9.1346000000000291</v>
      </c>
      <c r="AF1712">
        <v>7.8194813856981202</v>
      </c>
      <c r="AG1712">
        <v>-0.72975959999999995</v>
      </c>
      <c r="AH1712">
        <v>92.860190854130494</v>
      </c>
      <c r="AI1712">
        <v>90.448672736287904</v>
      </c>
      <c r="AJ1712">
        <v>85.186647708285903</v>
      </c>
      <c r="AK1712">
        <v>93.191694284848197</v>
      </c>
      <c r="AL1712">
        <v>81.029732626876907</v>
      </c>
      <c r="AM1712">
        <v>94.416964687232394</v>
      </c>
      <c r="AN1712">
        <v>0.99999999562141795</v>
      </c>
    </row>
    <row r="1713" spans="1:40" x14ac:dyDescent="0.25">
      <c r="A1713" t="str">
        <f>"20190304154751146"</f>
        <v>20190304154751146</v>
      </c>
      <c r="B1713" t="str">
        <f>"1551685671137868"</f>
        <v>1551685671137868</v>
      </c>
      <c r="C1713" t="s">
        <v>40</v>
      </c>
      <c r="D1713">
        <v>4.4679510000000002</v>
      </c>
      <c r="E1713">
        <v>0.55985090000000004</v>
      </c>
      <c r="F1713" t="s">
        <v>43</v>
      </c>
      <c r="G1713">
        <v>-158.19499999999999</v>
      </c>
      <c r="H1713">
        <v>0.36586089999999999</v>
      </c>
      <c r="I1713">
        <v>357.53250000000003</v>
      </c>
      <c r="J1713">
        <v>-250.81280000000001</v>
      </c>
      <c r="K1713">
        <v>1.111056</v>
      </c>
      <c r="L1713">
        <v>366.6782</v>
      </c>
      <c r="M1713">
        <v>0.99980000000000002</v>
      </c>
      <c r="N1713">
        <v>-1.4109689999999999E-2</v>
      </c>
      <c r="O1713">
        <v>-1.417185E-2</v>
      </c>
      <c r="P1713">
        <v>0.98791989999999996</v>
      </c>
      <c r="Q1713">
        <v>0.14181299999999999</v>
      </c>
      <c r="R1713">
        <v>6.2477489999999997E-2</v>
      </c>
      <c r="S1713">
        <v>3.0591889999999999</v>
      </c>
      <c r="T1713">
        <v>-2.4576899999999999E-2</v>
      </c>
      <c r="U1713">
        <v>-0.30172729999999998</v>
      </c>
      <c r="V1713">
        <v>-7.646443E-2</v>
      </c>
      <c r="W1713">
        <v>0.155728799999999</v>
      </c>
      <c r="X1713">
        <v>0.98483589999999999</v>
      </c>
      <c r="Y1713">
        <v>8.4031709999999996E-2</v>
      </c>
      <c r="Z1713">
        <v>-1.0170209999999999E-3</v>
      </c>
      <c r="AA1713">
        <v>0.99646259999999998</v>
      </c>
      <c r="AB1713">
        <v>24</v>
      </c>
      <c r="AC1713">
        <v>92.617800000000003</v>
      </c>
      <c r="AD1713">
        <v>-0.7451951</v>
      </c>
      <c r="AE1713">
        <v>-9.1456999999999695</v>
      </c>
      <c r="AF1713">
        <v>7.8315829915246802</v>
      </c>
      <c r="AG1713">
        <v>-0.7451951</v>
      </c>
      <c r="AH1713">
        <v>92.732176122962798</v>
      </c>
      <c r="AI1713">
        <v>90.458785408406996</v>
      </c>
      <c r="AJ1713">
        <v>85.172610001811407</v>
      </c>
      <c r="AK1713">
        <v>93.065275459703003</v>
      </c>
      <c r="AL1713">
        <v>81.040933383405005</v>
      </c>
      <c r="AM1713">
        <v>94.439640548474202</v>
      </c>
      <c r="AN1713">
        <v>1.00000000906673</v>
      </c>
    </row>
    <row r="1714" spans="1:40" x14ac:dyDescent="0.25">
      <c r="A1714" t="str">
        <f>"20190304154751158"</f>
        <v>20190304154751158</v>
      </c>
      <c r="B1714" t="str">
        <f>"1551685671148603"</f>
        <v>1551685671148603</v>
      </c>
      <c r="C1714" t="s">
        <v>40</v>
      </c>
      <c r="D1714">
        <v>4.3901789999999998</v>
      </c>
      <c r="E1714">
        <v>0.55996219999999997</v>
      </c>
      <c r="F1714" t="s">
        <v>43</v>
      </c>
      <c r="G1714">
        <v>-158.19499999999999</v>
      </c>
      <c r="H1714">
        <v>0.33216190000000001</v>
      </c>
      <c r="I1714">
        <v>357.52300000000002</v>
      </c>
      <c r="J1714">
        <v>-250.68860000000001</v>
      </c>
      <c r="K1714">
        <v>1.1110599999999999</v>
      </c>
      <c r="L1714">
        <v>366.6764</v>
      </c>
      <c r="M1714">
        <v>0.99980000000000002</v>
      </c>
      <c r="N1714">
        <v>-1.410865E-2</v>
      </c>
      <c r="O1714">
        <v>-1.417738E-2</v>
      </c>
      <c r="P1714">
        <v>0.98794850000000001</v>
      </c>
      <c r="Q1714">
        <v>0.14145859999999999</v>
      </c>
      <c r="R1714">
        <v>6.2827480000000005E-2</v>
      </c>
      <c r="S1714">
        <v>3.0594939999999999</v>
      </c>
      <c r="T1714">
        <v>-2.5726679999999998E-2</v>
      </c>
      <c r="U1714">
        <v>-0.30242920000000001</v>
      </c>
      <c r="V1714">
        <v>-7.6821470000000003E-2</v>
      </c>
      <c r="W1714">
        <v>0.1553727</v>
      </c>
      <c r="X1714">
        <v>0.98486439999999997</v>
      </c>
      <c r="Y1714">
        <v>8.4242360000000002E-2</v>
      </c>
      <c r="Z1714">
        <v>-1.029788E-3</v>
      </c>
      <c r="AA1714">
        <v>0.99644480000000002</v>
      </c>
      <c r="AB1714">
        <v>24</v>
      </c>
      <c r="AC1714">
        <v>92.493600000000001</v>
      </c>
      <c r="AD1714">
        <v>-0.77889809999999904</v>
      </c>
      <c r="AE1714">
        <v>-9.1533999999999693</v>
      </c>
      <c r="AF1714">
        <v>7.8404818623387804</v>
      </c>
      <c r="AG1714">
        <v>-0.77889809999999904</v>
      </c>
      <c r="AH1714">
        <v>92.607582734842893</v>
      </c>
      <c r="AI1714">
        <v>90.480170661959093</v>
      </c>
      <c r="AJ1714">
        <v>85.1606794888867</v>
      </c>
      <c r="AK1714">
        <v>92.942155226111595</v>
      </c>
      <c r="AL1714">
        <v>81.061588189555493</v>
      </c>
      <c r="AM1714">
        <v>94.460158823101096</v>
      </c>
      <c r="AN1714">
        <v>1.0000000502727999</v>
      </c>
    </row>
    <row r="1715" spans="1:40" x14ac:dyDescent="0.25">
      <c r="A1715" t="str">
        <f>"20190304154751170"</f>
        <v>20190304154751170</v>
      </c>
      <c r="B1715" t="str">
        <f>"1551685671168631"</f>
        <v>1551685671168631</v>
      </c>
      <c r="C1715" t="s">
        <v>40</v>
      </c>
      <c r="D1715">
        <v>4.0695519999999998</v>
      </c>
      <c r="E1715">
        <v>0.56034649999999997</v>
      </c>
      <c r="F1715" t="s">
        <v>43</v>
      </c>
      <c r="G1715">
        <v>-158.19499999999999</v>
      </c>
      <c r="H1715">
        <v>0.29770659999999999</v>
      </c>
      <c r="I1715">
        <v>357.53309999999999</v>
      </c>
      <c r="J1715">
        <v>-250.5607</v>
      </c>
      <c r="K1715">
        <v>1.1110610000000001</v>
      </c>
      <c r="L1715">
        <v>366.6746</v>
      </c>
      <c r="M1715">
        <v>0.99980000000000002</v>
      </c>
      <c r="N1715">
        <v>-1.410747E-2</v>
      </c>
      <c r="O1715">
        <v>-1.4180989999999999E-2</v>
      </c>
      <c r="P1715">
        <v>0.9879445</v>
      </c>
      <c r="Q1715">
        <v>0.1413952</v>
      </c>
      <c r="R1715">
        <v>6.3034080000000006E-2</v>
      </c>
      <c r="S1715">
        <v>3.0596770000000002</v>
      </c>
      <c r="T1715">
        <v>-2.6902680000000002E-2</v>
      </c>
      <c r="U1715">
        <v>-0.3024597</v>
      </c>
      <c r="V1715">
        <v>-7.7033580000000004E-2</v>
      </c>
      <c r="W1715">
        <v>0.15530769999999999</v>
      </c>
      <c r="X1715">
        <v>0.98485800000000001</v>
      </c>
      <c r="Y1715">
        <v>8.4242220000000007E-2</v>
      </c>
      <c r="Z1715">
        <v>-1.040441E-3</v>
      </c>
      <c r="AA1715">
        <v>0.99644480000000002</v>
      </c>
      <c r="AB1715">
        <v>24</v>
      </c>
      <c r="AC1715">
        <v>92.365700000000004</v>
      </c>
      <c r="AD1715">
        <v>-0.81335440000000003</v>
      </c>
      <c r="AE1715">
        <v>-9.1415000000000006</v>
      </c>
      <c r="AF1715">
        <v>7.8300119997536601</v>
      </c>
      <c r="AG1715">
        <v>-0.81335440000000003</v>
      </c>
      <c r="AH1715">
        <v>92.478957241355204</v>
      </c>
      <c r="AI1715">
        <v>90.502108190205007</v>
      </c>
      <c r="AJ1715">
        <v>85.160421114614095</v>
      </c>
      <c r="AK1715">
        <v>92.813405097241599</v>
      </c>
      <c r="AL1715">
        <v>81.065357430012</v>
      </c>
      <c r="AM1715">
        <v>94.472452716361801</v>
      </c>
      <c r="AN1715">
        <v>0.99999996714545203</v>
      </c>
    </row>
    <row r="1716" spans="1:40" x14ac:dyDescent="0.25">
      <c r="A1716" t="str">
        <f>"20190304154751183"</f>
        <v>20190304154751183</v>
      </c>
      <c r="B1716" t="str">
        <f>"1551685671178392"</f>
        <v>1551685671178392</v>
      </c>
      <c r="C1716" t="s">
        <v>40</v>
      </c>
      <c r="D1716">
        <v>4.3920149999999998</v>
      </c>
      <c r="E1716">
        <v>0.56037959999999998</v>
      </c>
      <c r="F1716" t="s">
        <v>43</v>
      </c>
      <c r="G1716">
        <v>-158.19499999999999</v>
      </c>
      <c r="H1716">
        <v>0.32983400000000002</v>
      </c>
      <c r="I1716">
        <v>357.47680000000003</v>
      </c>
      <c r="J1716">
        <v>-250.44319999999999</v>
      </c>
      <c r="K1716">
        <v>1.111065</v>
      </c>
      <c r="L1716">
        <v>366.67290000000003</v>
      </c>
      <c r="M1716">
        <v>0.99980000000000002</v>
      </c>
      <c r="N1716">
        <v>-1.4106169999999999E-2</v>
      </c>
      <c r="O1716">
        <v>-1.4181300000000001E-2</v>
      </c>
      <c r="P1716">
        <v>0.98794110000000002</v>
      </c>
      <c r="Q1716">
        <v>0.14122390000000001</v>
      </c>
      <c r="R1716">
        <v>6.3467999999999997E-2</v>
      </c>
      <c r="S1716">
        <v>3.0597379999999998</v>
      </c>
      <c r="T1716">
        <v>-2.5876280000000002E-2</v>
      </c>
      <c r="U1716">
        <v>-0.3046875</v>
      </c>
      <c r="V1716">
        <v>-7.7468220000000004E-2</v>
      </c>
      <c r="W1716">
        <v>0.155134299999999</v>
      </c>
      <c r="X1716">
        <v>0.98485120000000004</v>
      </c>
      <c r="Y1716">
        <v>8.4958779999999998E-2</v>
      </c>
      <c r="Z1716">
        <v>-1.0391090000000001E-3</v>
      </c>
      <c r="AA1716">
        <v>0.99638389999999999</v>
      </c>
      <c r="AB1716">
        <v>24</v>
      </c>
      <c r="AC1716">
        <v>92.248199999999997</v>
      </c>
      <c r="AD1716">
        <v>-0.78123100000000001</v>
      </c>
      <c r="AE1716">
        <v>-9.1960999999999995</v>
      </c>
      <c r="AF1716">
        <v>7.88628553031928</v>
      </c>
      <c r="AG1716">
        <v>-0.78123100000000001</v>
      </c>
      <c r="AH1716">
        <v>92.362788206326798</v>
      </c>
      <c r="AI1716">
        <v>90.482855784353205</v>
      </c>
      <c r="AJ1716">
        <v>85.119705595942307</v>
      </c>
      <c r="AK1716">
        <v>92.702149201557702</v>
      </c>
      <c r="AL1716">
        <v>81.075414087527406</v>
      </c>
      <c r="AM1716">
        <v>94.497614936301005</v>
      </c>
      <c r="AN1716">
        <v>0.99999993114394603</v>
      </c>
    </row>
    <row r="1717" spans="1:40" x14ac:dyDescent="0.25">
      <c r="A1717" t="str">
        <f>"20190304154751194"</f>
        <v>20190304154751194</v>
      </c>
      <c r="B1717" t="str">
        <f>"1551685671188152"</f>
        <v>1551685671188152</v>
      </c>
      <c r="C1717" t="s">
        <v>40</v>
      </c>
      <c r="D1717">
        <v>4.0801270000000001</v>
      </c>
      <c r="E1717">
        <v>0.56069669999999905</v>
      </c>
      <c r="F1717" t="s">
        <v>43</v>
      </c>
      <c r="G1717">
        <v>-158.19499999999999</v>
      </c>
      <c r="H1717">
        <v>0.30359079999999999</v>
      </c>
      <c r="I1717">
        <v>357.51060000000001</v>
      </c>
      <c r="J1717">
        <v>-250.31720000000001</v>
      </c>
      <c r="K1717">
        <v>1.1110679999999999</v>
      </c>
      <c r="L1717">
        <v>366.67110000000002</v>
      </c>
      <c r="M1717">
        <v>0.99980000000000002</v>
      </c>
      <c r="N1717">
        <v>-1.4104729999999999E-2</v>
      </c>
      <c r="O1717">
        <v>-1.418089E-2</v>
      </c>
      <c r="P1717">
        <v>0.98799539999999997</v>
      </c>
      <c r="Q1717">
        <v>0.14070820000000001</v>
      </c>
      <c r="R1717">
        <v>6.3770090000000001E-2</v>
      </c>
      <c r="S1717">
        <v>3.0599669999999999</v>
      </c>
      <c r="T1717">
        <v>-2.6781800000000001E-2</v>
      </c>
      <c r="U1717">
        <v>-0.30392459999999999</v>
      </c>
      <c r="V1717">
        <v>-7.7771870000000007E-2</v>
      </c>
      <c r="W1717">
        <v>0.15461759999999999</v>
      </c>
      <c r="X1717">
        <v>0.98490860000000002</v>
      </c>
      <c r="Y1717">
        <v>8.4705459999999996E-2</v>
      </c>
      <c r="Z1717">
        <v>-1.044463E-3</v>
      </c>
      <c r="AA1717">
        <v>0.99640550000000006</v>
      </c>
      <c r="AB1717">
        <v>24</v>
      </c>
      <c r="AC1717">
        <v>92.122200000000007</v>
      </c>
      <c r="AD1717">
        <v>-0.80747719999999901</v>
      </c>
      <c r="AE1717">
        <v>-9.1605000000000096</v>
      </c>
      <c r="AF1717">
        <v>7.8524765942786203</v>
      </c>
      <c r="AG1717">
        <v>-0.80747719999999901</v>
      </c>
      <c r="AH1717">
        <v>92.235834762672596</v>
      </c>
      <c r="AI1717">
        <v>90.499774406269793</v>
      </c>
      <c r="AJ1717">
        <v>85.133870795600103</v>
      </c>
      <c r="AK1717">
        <v>92.573012387300295</v>
      </c>
      <c r="AL1717">
        <v>81.105381085672605</v>
      </c>
      <c r="AM1717">
        <v>94.514909302096299</v>
      </c>
      <c r="AN1717">
        <v>1.0000000081735001</v>
      </c>
    </row>
    <row r="1718" spans="1:40" x14ac:dyDescent="0.25">
      <c r="A1718" t="str">
        <f>"20190304154751205"</f>
        <v>20190304154751205</v>
      </c>
      <c r="B1718" t="str">
        <f>"1551685671197912"</f>
        <v>1551685671197912</v>
      </c>
      <c r="C1718" t="s">
        <v>40</v>
      </c>
      <c r="D1718">
        <v>4.3341539999999998</v>
      </c>
      <c r="E1718">
        <v>0.56073219999999901</v>
      </c>
      <c r="F1718" t="s">
        <v>43</v>
      </c>
      <c r="G1718">
        <v>-158.19499999999999</v>
      </c>
      <c r="H1718">
        <v>0.30662539999999999</v>
      </c>
      <c r="I1718">
        <v>357.4708</v>
      </c>
      <c r="J1718">
        <v>-250.18770000000001</v>
      </c>
      <c r="K1718">
        <v>1.1110679999999999</v>
      </c>
      <c r="L1718">
        <v>366.66930000000002</v>
      </c>
      <c r="M1718">
        <v>0.99980020000000003</v>
      </c>
      <c r="N1718">
        <v>-1.410312E-2</v>
      </c>
      <c r="O1718">
        <v>-1.4178949999999999E-2</v>
      </c>
      <c r="P1718">
        <v>0.98802140000000005</v>
      </c>
      <c r="Q1718">
        <v>0.14034089999999999</v>
      </c>
      <c r="R1718">
        <v>6.4173540000000001E-2</v>
      </c>
      <c r="S1718">
        <v>3.0599669999999999</v>
      </c>
      <c r="T1718">
        <v>-2.671778E-2</v>
      </c>
      <c r="U1718">
        <v>-0.30560300000000001</v>
      </c>
      <c r="V1718">
        <v>-7.8173740000000005E-2</v>
      </c>
      <c r="W1718">
        <v>0.15424869999999999</v>
      </c>
      <c r="X1718">
        <v>0.98493459999999999</v>
      </c>
      <c r="Y1718">
        <v>8.5248550000000006E-2</v>
      </c>
      <c r="Z1718">
        <v>-1.0499820000000001E-3</v>
      </c>
      <c r="AA1718">
        <v>0.9963592</v>
      </c>
      <c r="AB1718">
        <v>23</v>
      </c>
      <c r="AC1718">
        <v>91.992699999999999</v>
      </c>
      <c r="AD1718">
        <v>-0.80444259999999901</v>
      </c>
      <c r="AE1718">
        <v>-9.1985000000000205</v>
      </c>
      <c r="AF1718">
        <v>7.8924881892367296</v>
      </c>
      <c r="AG1718">
        <v>-0.80444259999999901</v>
      </c>
      <c r="AH1718">
        <v>92.106914924450095</v>
      </c>
      <c r="AI1718">
        <v>90.498569743353002</v>
      </c>
      <c r="AJ1718">
        <v>85.102383567076998</v>
      </c>
      <c r="AK1718">
        <v>92.447943593212599</v>
      </c>
      <c r="AL1718">
        <v>81.126773900152003</v>
      </c>
      <c r="AM1718">
        <v>94.538022660661596</v>
      </c>
      <c r="AN1718">
        <v>0.99999998067721796</v>
      </c>
    </row>
    <row r="1719" spans="1:40" x14ac:dyDescent="0.25">
      <c r="A1719" t="str">
        <f>"20190304154751220"</f>
        <v>20190304154751220</v>
      </c>
      <c r="B1719" t="str">
        <f>"1551685671208647"</f>
        <v>1551685671208647</v>
      </c>
      <c r="C1719" t="s">
        <v>40</v>
      </c>
      <c r="D1719">
        <v>4.427251</v>
      </c>
      <c r="E1719">
        <v>0.56084129999999999</v>
      </c>
      <c r="F1719" t="s">
        <v>43</v>
      </c>
      <c r="G1719">
        <v>-158.19499999999999</v>
      </c>
      <c r="H1719">
        <v>0.26253510000000002</v>
      </c>
      <c r="I1719">
        <v>357.5018</v>
      </c>
      <c r="J1719">
        <v>-250.05</v>
      </c>
      <c r="K1719">
        <v>1.1110660000000001</v>
      </c>
      <c r="L1719">
        <v>366.66739999999999</v>
      </c>
      <c r="M1719">
        <v>0.99980020000000003</v>
      </c>
      <c r="N1719">
        <v>-1.4101310000000001E-2</v>
      </c>
      <c r="O1719">
        <v>-1.4175699999999999E-2</v>
      </c>
      <c r="P1719">
        <v>0.9881259</v>
      </c>
      <c r="Q1719">
        <v>0.13919599999999999</v>
      </c>
      <c r="R1719">
        <v>6.5057599999999993E-2</v>
      </c>
      <c r="S1719">
        <v>3.060165</v>
      </c>
      <c r="T1719">
        <v>-2.8223749999999999E-2</v>
      </c>
      <c r="U1719">
        <v>-0.30496220000000002</v>
      </c>
      <c r="V1719">
        <v>-7.9056810000000005E-2</v>
      </c>
      <c r="W1719">
        <v>0.15310379999999901</v>
      </c>
      <c r="X1719">
        <v>0.9850428</v>
      </c>
      <c r="Y1719">
        <v>8.5038100000000005E-2</v>
      </c>
      <c r="Z1719">
        <v>-1.061357E-3</v>
      </c>
      <c r="AA1719">
        <v>0.99637710000000002</v>
      </c>
      <c r="AB1719">
        <v>23</v>
      </c>
      <c r="AC1719">
        <v>91.855000000000004</v>
      </c>
      <c r="AD1719">
        <v>-0.84853089999999898</v>
      </c>
      <c r="AE1719">
        <v>-9.16559999999998</v>
      </c>
      <c r="AF1719">
        <v>7.8617763319259604</v>
      </c>
      <c r="AG1719">
        <v>-0.84853089999999898</v>
      </c>
      <c r="AH1719">
        <v>91.967939491859795</v>
      </c>
      <c r="AI1719">
        <v>90.526696669719001</v>
      </c>
      <c r="AJ1719">
        <v>85.114012778670798</v>
      </c>
      <c r="AK1719">
        <v>92.307255544512103</v>
      </c>
      <c r="AL1719">
        <v>81.193160917122796</v>
      </c>
      <c r="AM1719">
        <v>94.588565627750697</v>
      </c>
      <c r="AN1719">
        <v>1.0000000353068199</v>
      </c>
    </row>
    <row r="1720" spans="1:40" x14ac:dyDescent="0.25">
      <c r="A1720" t="str">
        <f>"20190304154751232"</f>
        <v>20190304154751232</v>
      </c>
      <c r="B1720" t="str">
        <f>"1551685671228169"</f>
        <v>1551685671228169</v>
      </c>
      <c r="C1720" t="s">
        <v>40</v>
      </c>
      <c r="D1720">
        <v>4.4446690000000002</v>
      </c>
      <c r="E1720">
        <v>0.56101889999999999</v>
      </c>
      <c r="F1720" t="s">
        <v>43</v>
      </c>
      <c r="G1720">
        <v>-158.19499999999999</v>
      </c>
      <c r="H1720">
        <v>0.1656704</v>
      </c>
      <c r="I1720">
        <v>357.5566</v>
      </c>
      <c r="J1720">
        <v>-249.9222</v>
      </c>
      <c r="K1720">
        <v>1.111065</v>
      </c>
      <c r="L1720">
        <v>366.66559999999998</v>
      </c>
      <c r="M1720">
        <v>0.99980009999999997</v>
      </c>
      <c r="N1720">
        <v>-1.4099570000000001E-2</v>
      </c>
      <c r="O1720">
        <v>-1.4171990000000001E-2</v>
      </c>
      <c r="P1720">
        <v>0.98817520000000003</v>
      </c>
      <c r="Q1720">
        <v>0.138642299999999</v>
      </c>
      <c r="R1720">
        <v>6.5483109999999997E-2</v>
      </c>
      <c r="S1720">
        <v>3.0604710000000002</v>
      </c>
      <c r="T1720">
        <v>-3.1496169999999997E-2</v>
      </c>
      <c r="U1720">
        <v>-0.3035583</v>
      </c>
      <c r="V1720">
        <v>-7.9479399999999895E-2</v>
      </c>
      <c r="W1720">
        <v>0.15254860000000001</v>
      </c>
      <c r="X1720">
        <v>0.9850949</v>
      </c>
      <c r="Y1720">
        <v>8.4577920000000001E-2</v>
      </c>
      <c r="Z1720">
        <v>-1.085838E-3</v>
      </c>
      <c r="AA1720">
        <v>0.99641630000000003</v>
      </c>
      <c r="AB1720">
        <v>23</v>
      </c>
      <c r="AC1720">
        <v>91.727199999999996</v>
      </c>
      <c r="AD1720">
        <v>-0.94539459999999997</v>
      </c>
      <c r="AE1720">
        <v>-9.1089999999999804</v>
      </c>
      <c r="AF1720">
        <v>7.8071775263783296</v>
      </c>
      <c r="AG1720">
        <v>-0.94539459999999997</v>
      </c>
      <c r="AH1720">
        <v>91.837431475492707</v>
      </c>
      <c r="AI1720">
        <v>90.587674903972399</v>
      </c>
      <c r="AJ1720">
        <v>85.140920244050704</v>
      </c>
      <c r="AK1720">
        <v>92.173529887348494</v>
      </c>
      <c r="AL1720">
        <v>81.2253493942044</v>
      </c>
      <c r="AM1720">
        <v>94.612744832342997</v>
      </c>
      <c r="AN1720">
        <v>1.00000000619616</v>
      </c>
    </row>
    <row r="1721" spans="1:40" x14ac:dyDescent="0.25">
      <c r="A1721" t="str">
        <f>"20190304154751242"</f>
        <v>20190304154751242</v>
      </c>
      <c r="B1721" t="str">
        <f>"1551685671237928"</f>
        <v>1551685671237928</v>
      </c>
      <c r="C1721" t="s">
        <v>40</v>
      </c>
      <c r="D1721">
        <v>4.4774669999999999</v>
      </c>
      <c r="E1721">
        <v>0.56108369999999996</v>
      </c>
      <c r="F1721" t="s">
        <v>43</v>
      </c>
      <c r="G1721">
        <v>-158.19499999999999</v>
      </c>
      <c r="H1721">
        <v>0.1051407</v>
      </c>
      <c r="I1721">
        <v>357.56369999999998</v>
      </c>
      <c r="J1721">
        <v>-249.80600000000001</v>
      </c>
      <c r="K1721">
        <v>1.111062</v>
      </c>
      <c r="L1721">
        <v>366.66390000000001</v>
      </c>
      <c r="M1721">
        <v>0.99980040000000003</v>
      </c>
      <c r="N1721">
        <v>-1.409789E-2</v>
      </c>
      <c r="O1721">
        <v>-1.416853E-2</v>
      </c>
      <c r="P1721">
        <v>0.9882377</v>
      </c>
      <c r="Q1721">
        <v>0.13813329999999999</v>
      </c>
      <c r="R1721">
        <v>6.5618599999999999E-2</v>
      </c>
      <c r="S1721">
        <v>3.0607600000000001</v>
      </c>
      <c r="T1721">
        <v>-3.356278E-2</v>
      </c>
      <c r="U1721">
        <v>-0.30371090000000001</v>
      </c>
      <c r="V1721">
        <v>-7.9612080000000002E-2</v>
      </c>
      <c r="W1721">
        <v>0.1520387</v>
      </c>
      <c r="X1721">
        <v>0.98516300000000001</v>
      </c>
      <c r="Y1721">
        <v>8.4620239999999999E-2</v>
      </c>
      <c r="Z1721">
        <v>-1.1051769999999999E-3</v>
      </c>
      <c r="AA1721">
        <v>0.99641259999999998</v>
      </c>
      <c r="AB1721">
        <v>23</v>
      </c>
      <c r="AC1721">
        <v>91.611000000000004</v>
      </c>
      <c r="AD1721">
        <v>-1.0059213</v>
      </c>
      <c r="AE1721">
        <v>-9.1002000000000294</v>
      </c>
      <c r="AF1721">
        <v>7.8002330918085097</v>
      </c>
      <c r="AG1721">
        <v>-1.0059213</v>
      </c>
      <c r="AH1721">
        <v>91.719801197978796</v>
      </c>
      <c r="AI1721">
        <v>90.626096647219001</v>
      </c>
      <c r="AJ1721">
        <v>85.139025279201505</v>
      </c>
      <c r="AK1721">
        <v>92.056381884935504</v>
      </c>
      <c r="AL1721">
        <v>81.254909204673694</v>
      </c>
      <c r="AM1721">
        <v>94.620093860788202</v>
      </c>
      <c r="AN1721">
        <v>0.99999999307430798</v>
      </c>
    </row>
    <row r="1722" spans="1:40" x14ac:dyDescent="0.25">
      <c r="A1722" t="str">
        <f>"20190304154751255"</f>
        <v>20190304154751255</v>
      </c>
      <c r="B1722" t="str">
        <f>"1551685671248664"</f>
        <v>1551685671248664</v>
      </c>
      <c r="C1722" t="s">
        <v>40</v>
      </c>
      <c r="D1722">
        <v>4.4559889999999998</v>
      </c>
      <c r="E1722">
        <v>0.56118089999999998</v>
      </c>
      <c r="F1722" t="s">
        <v>43</v>
      </c>
      <c r="G1722">
        <v>-158.19499999999999</v>
      </c>
      <c r="H1722">
        <v>4.8714639999999997E-2</v>
      </c>
      <c r="I1722">
        <v>357.56650000000002</v>
      </c>
      <c r="J1722">
        <v>-249.68469999999999</v>
      </c>
      <c r="K1722">
        <v>1.1110599999999999</v>
      </c>
      <c r="L1722">
        <v>366.66219999999998</v>
      </c>
      <c r="M1722">
        <v>0.99980040000000003</v>
      </c>
      <c r="N1722">
        <v>-1.409611E-2</v>
      </c>
      <c r="O1722">
        <v>-1.416482E-2</v>
      </c>
      <c r="P1722">
        <v>0.98825510000000005</v>
      </c>
      <c r="Q1722">
        <v>0.1377659</v>
      </c>
      <c r="R1722">
        <v>6.6124810000000006E-2</v>
      </c>
      <c r="S1722">
        <v>3.0608369999999998</v>
      </c>
      <c r="T1722">
        <v>-3.5491349999999998E-2</v>
      </c>
      <c r="U1722">
        <v>-0.30395509999999998</v>
      </c>
      <c r="V1722">
        <v>-8.0114610000000003E-2</v>
      </c>
      <c r="W1722">
        <v>0.15167020000000001</v>
      </c>
      <c r="X1722">
        <v>0.98517909999999997</v>
      </c>
      <c r="Y1722">
        <v>8.4699200000000002E-2</v>
      </c>
      <c r="Z1722">
        <v>-1.1237650000000001E-3</v>
      </c>
      <c r="AA1722">
        <v>0.99640600000000001</v>
      </c>
      <c r="AB1722">
        <v>23</v>
      </c>
      <c r="AC1722">
        <v>91.489699999999999</v>
      </c>
      <c r="AD1722">
        <v>-1.0623453599999999</v>
      </c>
      <c r="AE1722">
        <v>-9.0956999999999599</v>
      </c>
      <c r="AF1722">
        <v>7.79768242507149</v>
      </c>
      <c r="AG1722">
        <v>-1.0623453599999999</v>
      </c>
      <c r="AH1722">
        <v>91.597141931397204</v>
      </c>
      <c r="AI1722">
        <v>90.662093127211605</v>
      </c>
      <c r="AJ1722">
        <v>85.134131127650207</v>
      </c>
      <c r="AK1722">
        <v>91.934590002167894</v>
      </c>
      <c r="AL1722">
        <v>81.276270750594804</v>
      </c>
      <c r="AM1722">
        <v>94.649053883408698</v>
      </c>
      <c r="AN1722">
        <v>1.0000000296901499</v>
      </c>
    </row>
    <row r="1723" spans="1:40" x14ac:dyDescent="0.25">
      <c r="A1723" t="str">
        <f>"20190304154751268"</f>
        <v>20190304154751268</v>
      </c>
      <c r="B1723" t="str">
        <f>"1551685671258426"</f>
        <v>1551685671258426</v>
      </c>
      <c r="C1723" t="s">
        <v>40</v>
      </c>
      <c r="D1723">
        <v>4.3773479999999996</v>
      </c>
      <c r="E1723">
        <v>0.56125380000000002</v>
      </c>
      <c r="F1723" t="s">
        <v>45</v>
      </c>
      <c r="G1723">
        <v>-153.0907</v>
      </c>
      <c r="H1723">
        <v>-0.05</v>
      </c>
      <c r="I1723">
        <v>357.09769999999997</v>
      </c>
      <c r="J1723">
        <v>-249.542</v>
      </c>
      <c r="K1723">
        <v>1.1110599999999999</v>
      </c>
      <c r="L1723">
        <v>366.66019999999997</v>
      </c>
      <c r="M1723">
        <v>0.99980040000000003</v>
      </c>
      <c r="N1723">
        <v>-1.4093929999999999E-2</v>
      </c>
      <c r="O1723">
        <v>-1.4160890000000001E-2</v>
      </c>
      <c r="P1723">
        <v>0.9883189</v>
      </c>
      <c r="Q1723">
        <v>0.13733049999999999</v>
      </c>
      <c r="R1723">
        <v>6.6078360000000003E-2</v>
      </c>
      <c r="S1723">
        <v>3.0610810000000002</v>
      </c>
      <c r="T1723">
        <v>-3.6794189999999997E-2</v>
      </c>
      <c r="U1723">
        <v>-0.3031006</v>
      </c>
      <c r="V1723">
        <v>-8.0065529999999996E-2</v>
      </c>
      <c r="W1723">
        <v>0.1512337</v>
      </c>
      <c r="X1723">
        <v>0.98525019999999996</v>
      </c>
      <c r="Y1723">
        <v>8.4419240000000006E-2</v>
      </c>
      <c r="Z1723">
        <v>-1.1319189999999999E-3</v>
      </c>
      <c r="AA1723">
        <v>0.99642969999999997</v>
      </c>
      <c r="AB1723">
        <v>23</v>
      </c>
      <c r="AC1723">
        <v>96.451300000000003</v>
      </c>
      <c r="AD1723">
        <v>-1.16106</v>
      </c>
      <c r="AE1723">
        <v>-9.5625</v>
      </c>
      <c r="AF1723">
        <v>8.1943931789237805</v>
      </c>
      <c r="AG1723">
        <v>-1.16106</v>
      </c>
      <c r="AH1723">
        <v>96.563197223072194</v>
      </c>
      <c r="AI1723">
        <v>90.686414966106199</v>
      </c>
      <c r="AJ1723">
        <v>85.149477326181199</v>
      </c>
      <c r="AK1723">
        <v>96.917218273309501</v>
      </c>
      <c r="AL1723">
        <v>81.301572300186095</v>
      </c>
      <c r="AM1723">
        <v>94.645884418622899</v>
      </c>
      <c r="AN1723">
        <v>1.0000000388549499</v>
      </c>
    </row>
    <row r="1724" spans="1:40" x14ac:dyDescent="0.25">
      <c r="A1724" t="str">
        <f>"20190304154751280"</f>
        <v>20190304154751280</v>
      </c>
      <c r="B1724" t="str">
        <f>"1551685671277944"</f>
        <v>1551685671277944</v>
      </c>
      <c r="C1724" t="s">
        <v>40</v>
      </c>
      <c r="D1724">
        <v>4.4701769999999996</v>
      </c>
      <c r="E1724">
        <v>0.56162369999999995</v>
      </c>
      <c r="F1724" t="s">
        <v>45</v>
      </c>
      <c r="G1724">
        <v>-156.96420000000001</v>
      </c>
      <c r="H1724">
        <v>-0.05</v>
      </c>
      <c r="I1724">
        <v>357.4676</v>
      </c>
      <c r="J1724">
        <v>-249.4143</v>
      </c>
      <c r="K1724">
        <v>1.1110580000000001</v>
      </c>
      <c r="L1724">
        <v>366.65839999999997</v>
      </c>
      <c r="M1724">
        <v>0.99980040000000003</v>
      </c>
      <c r="N1724">
        <v>-1.4091909999999999E-2</v>
      </c>
      <c r="O1724">
        <v>-1.4157909999999999E-2</v>
      </c>
      <c r="P1724">
        <v>0.98834619999999995</v>
      </c>
      <c r="Q1724">
        <v>0.13692879999999999</v>
      </c>
      <c r="R1724">
        <v>6.6499069999999993E-2</v>
      </c>
      <c r="S1724">
        <v>3.0611109999999999</v>
      </c>
      <c r="T1724">
        <v>-3.8390760000000003E-2</v>
      </c>
      <c r="U1724">
        <v>-0.30395509999999998</v>
      </c>
      <c r="V1724">
        <v>-8.0483040000000006E-2</v>
      </c>
      <c r="W1724">
        <v>0.1508302</v>
      </c>
      <c r="X1724">
        <v>0.98527799999999999</v>
      </c>
      <c r="Y1724">
        <v>8.4695759999999995E-2</v>
      </c>
      <c r="Z1724">
        <v>-1.150077E-3</v>
      </c>
      <c r="AA1724">
        <v>0.99640620000000002</v>
      </c>
      <c r="AB1724">
        <v>23</v>
      </c>
      <c r="AC1724">
        <v>92.450100000000006</v>
      </c>
      <c r="AD1724">
        <v>-1.1610579999999999</v>
      </c>
      <c r="AE1724">
        <v>-9.1907999999999603</v>
      </c>
      <c r="AF1724">
        <v>7.87961774745279</v>
      </c>
      <c r="AG1724">
        <v>-1.1610579999999999</v>
      </c>
      <c r="AH1724">
        <v>92.556512136784804</v>
      </c>
      <c r="AI1724">
        <v>90.716108492522807</v>
      </c>
      <c r="AJ1724">
        <v>85.133968908199094</v>
      </c>
      <c r="AK1724">
        <v>92.898570335889005</v>
      </c>
      <c r="AL1724">
        <v>81.324959110545393</v>
      </c>
      <c r="AM1724">
        <v>94.669872802421906</v>
      </c>
      <c r="AN1724">
        <v>1.0000000031218399</v>
      </c>
    </row>
    <row r="1725" spans="1:40" x14ac:dyDescent="0.25">
      <c r="A1725" t="str">
        <f>"20190304154751293"</f>
        <v>20190304154751293</v>
      </c>
      <c r="B1725" t="str">
        <f>"1551685671288679"</f>
        <v>1551685671288679</v>
      </c>
      <c r="C1725" t="s">
        <v>40</v>
      </c>
      <c r="D1725">
        <v>4.3040079999999996</v>
      </c>
      <c r="E1725">
        <v>0.5616314</v>
      </c>
      <c r="F1725" t="s">
        <v>45</v>
      </c>
      <c r="G1725">
        <v>-157.21340000000001</v>
      </c>
      <c r="H1725">
        <v>-0.05</v>
      </c>
      <c r="I1725">
        <v>357.4477</v>
      </c>
      <c r="J1725">
        <v>-249.28219999999999</v>
      </c>
      <c r="K1725">
        <v>1.111059</v>
      </c>
      <c r="L1725">
        <v>366.65649999999999</v>
      </c>
      <c r="M1725">
        <v>0.99980049999999998</v>
      </c>
      <c r="N1725">
        <v>-1.4089809999999999E-2</v>
      </c>
      <c r="O1725">
        <v>-1.4155279999999999E-2</v>
      </c>
      <c r="P1725">
        <v>0.9883748</v>
      </c>
      <c r="Q1725">
        <v>0.13649639999999999</v>
      </c>
      <c r="R1725">
        <v>6.6962999999999995E-2</v>
      </c>
      <c r="S1725">
        <v>3.0612789999999999</v>
      </c>
      <c r="T1725">
        <v>-3.8549779999999999E-2</v>
      </c>
      <c r="U1725">
        <v>-0.3058167</v>
      </c>
      <c r="V1725">
        <v>-8.0944160000000001E-2</v>
      </c>
      <c r="W1725">
        <v>0.15039649999999999</v>
      </c>
      <c r="X1725">
        <v>0.98530649999999997</v>
      </c>
      <c r="Y1725">
        <v>8.5292759999999995E-2</v>
      </c>
      <c r="Z1725">
        <v>-1.1593630000000001E-3</v>
      </c>
      <c r="AA1725">
        <v>0.9963552</v>
      </c>
      <c r="AB1725">
        <v>23</v>
      </c>
      <c r="AC1725">
        <v>92.068799999999896</v>
      </c>
      <c r="AD1725">
        <v>-1.1610590000000001</v>
      </c>
      <c r="AE1725">
        <v>-9.2087999999999894</v>
      </c>
      <c r="AF1725">
        <v>7.9032436926613796</v>
      </c>
      <c r="AG1725">
        <v>-1.1610590000000001</v>
      </c>
      <c r="AH1725">
        <v>92.175426175630193</v>
      </c>
      <c r="AI1725">
        <v>90.719032353979799</v>
      </c>
      <c r="AJ1725">
        <v>85.099369291110406</v>
      </c>
      <c r="AK1725">
        <v>92.520908499247497</v>
      </c>
      <c r="AL1725">
        <v>81.350094834341306</v>
      </c>
      <c r="AM1725">
        <v>94.696373812138503</v>
      </c>
      <c r="AN1725">
        <v>0.99999998159630199</v>
      </c>
    </row>
    <row r="1726" spans="1:40" x14ac:dyDescent="0.25">
      <c r="A1726" t="str">
        <f>"20190304154751306"</f>
        <v>20190304154751306</v>
      </c>
      <c r="B1726" t="str">
        <f>"1551685671298440"</f>
        <v>1551685671298440</v>
      </c>
      <c r="C1726" t="s">
        <v>40</v>
      </c>
      <c r="D1726">
        <v>4.3787770000000004</v>
      </c>
      <c r="E1726">
        <v>0.56172739999999999</v>
      </c>
      <c r="F1726" t="s">
        <v>45</v>
      </c>
      <c r="G1726">
        <v>-161.2808</v>
      </c>
      <c r="H1726">
        <v>-0.05</v>
      </c>
      <c r="I1726">
        <v>357.91399999999999</v>
      </c>
      <c r="J1726">
        <v>-249.14519999999999</v>
      </c>
      <c r="K1726">
        <v>1.111057</v>
      </c>
      <c r="L1726">
        <v>366.65449999999998</v>
      </c>
      <c r="M1726">
        <v>0.99980069999999999</v>
      </c>
      <c r="N1726">
        <v>-1.4087560000000001E-2</v>
      </c>
      <c r="O1726">
        <v>-1.415361E-2</v>
      </c>
      <c r="P1726">
        <v>0.98841730000000005</v>
      </c>
      <c r="Q1726">
        <v>0.13593820000000001</v>
      </c>
      <c r="R1726">
        <v>6.7472019999999994E-2</v>
      </c>
      <c r="S1726">
        <v>3.0614620000000001</v>
      </c>
      <c r="T1726">
        <v>-4.0391799999999999E-2</v>
      </c>
      <c r="U1726">
        <v>-0.30413820000000003</v>
      </c>
      <c r="V1726">
        <v>-8.1451979999999993E-2</v>
      </c>
      <c r="W1726">
        <v>0.1498369</v>
      </c>
      <c r="X1726">
        <v>0.98534999999999995</v>
      </c>
      <c r="Y1726">
        <v>8.4746699999999994E-2</v>
      </c>
      <c r="Z1726">
        <v>-1.1688650000000001E-3</v>
      </c>
      <c r="AA1726">
        <v>0.9964018</v>
      </c>
      <c r="AB1726">
        <v>23</v>
      </c>
      <c r="AC1726">
        <v>87.864399999999904</v>
      </c>
      <c r="AD1726">
        <v>-1.161057</v>
      </c>
      <c r="AE1726">
        <v>-8.7404999999999902</v>
      </c>
      <c r="AF1726">
        <v>7.4946067357214199</v>
      </c>
      <c r="AG1726">
        <v>-1.161057</v>
      </c>
      <c r="AH1726">
        <v>87.964109669012402</v>
      </c>
      <c r="AI1726">
        <v>90.753485694280897</v>
      </c>
      <c r="AJ1726">
        <v>85.130118546742807</v>
      </c>
      <c r="AK1726">
        <v>88.290439875121294</v>
      </c>
      <c r="AL1726">
        <v>81.382525829148705</v>
      </c>
      <c r="AM1726">
        <v>94.725496779966605</v>
      </c>
      <c r="AN1726">
        <v>1.0000000720737601</v>
      </c>
    </row>
    <row r="1727" spans="1:40" x14ac:dyDescent="0.25">
      <c r="A1727" t="str">
        <f>"20190304154751316"</f>
        <v>20190304154751316</v>
      </c>
      <c r="B1727" t="str">
        <f>"1551685671308200"</f>
        <v>1551685671308200</v>
      </c>
      <c r="C1727" t="s">
        <v>40</v>
      </c>
      <c r="D1727">
        <v>4.4803199999999999</v>
      </c>
      <c r="E1727">
        <v>0.56182480000000001</v>
      </c>
      <c r="F1727" t="s">
        <v>45</v>
      </c>
      <c r="G1727">
        <v>-164.6902</v>
      </c>
      <c r="H1727">
        <v>-0.05</v>
      </c>
      <c r="I1727">
        <v>358.27519999999998</v>
      </c>
      <c r="J1727">
        <v>-249.03290000000001</v>
      </c>
      <c r="K1727">
        <v>1.1110519999999999</v>
      </c>
      <c r="L1727">
        <v>366.65300000000002</v>
      </c>
      <c r="M1727">
        <v>0.99980069999999999</v>
      </c>
      <c r="N1727">
        <v>-1.408569E-2</v>
      </c>
      <c r="O1727">
        <v>-1.4152410000000001E-2</v>
      </c>
      <c r="P1727">
        <v>0.98853919999999995</v>
      </c>
      <c r="Q1727">
        <v>0.13483100000000001</v>
      </c>
      <c r="R1727">
        <v>6.7905549999999995E-2</v>
      </c>
      <c r="S1727">
        <v>3.0616910000000002</v>
      </c>
      <c r="T1727">
        <v>-4.2091009999999998E-2</v>
      </c>
      <c r="U1727">
        <v>-0.30377199999999999</v>
      </c>
      <c r="V1727">
        <v>-8.1885869999999999E-2</v>
      </c>
      <c r="W1727">
        <v>0.1487299</v>
      </c>
      <c r="X1727">
        <v>0.98548170000000002</v>
      </c>
      <c r="Y1727">
        <v>8.4621619999999995E-2</v>
      </c>
      <c r="Z1727">
        <v>-1.1826149999999999E-3</v>
      </c>
      <c r="AA1727">
        <v>0.99641250000000003</v>
      </c>
      <c r="AB1727">
        <v>23</v>
      </c>
      <c r="AC1727">
        <v>84.342699999999994</v>
      </c>
      <c r="AD1727">
        <v>-1.161052</v>
      </c>
      <c r="AE1727">
        <v>-8.3778000000000308</v>
      </c>
      <c r="AF1727">
        <v>7.1818423132040898</v>
      </c>
      <c r="AG1727">
        <v>-1.161052</v>
      </c>
      <c r="AH1727">
        <v>84.436984741923197</v>
      </c>
      <c r="AI1727">
        <v>90.784962890628606</v>
      </c>
      <c r="AJ1727">
        <v>85.1383716649799</v>
      </c>
      <c r="AK1727">
        <v>84.749815888096194</v>
      </c>
      <c r="AL1727">
        <v>81.446670675188798</v>
      </c>
      <c r="AM1727">
        <v>94.749922364246203</v>
      </c>
      <c r="AN1727">
        <v>1.00000002994727</v>
      </c>
    </row>
    <row r="1728" spans="1:40" x14ac:dyDescent="0.25">
      <c r="A1728" t="str">
        <f>"20190304154751327"</f>
        <v>20190304154751327</v>
      </c>
      <c r="B1728" t="str">
        <f>"1551685671317960"</f>
        <v>1551685671317960</v>
      </c>
      <c r="C1728" t="s">
        <v>40</v>
      </c>
      <c r="D1728">
        <v>4.4431539999999998</v>
      </c>
      <c r="E1728">
        <v>0.56192119999999901</v>
      </c>
      <c r="F1728" t="s">
        <v>53</v>
      </c>
      <c r="G1728">
        <v>-179.9718</v>
      </c>
      <c r="H1728">
        <v>7.8185969999999994E-2</v>
      </c>
      <c r="I1728">
        <v>359.81920000000002</v>
      </c>
      <c r="J1728">
        <v>-248.9195</v>
      </c>
      <c r="K1728">
        <v>1.111046</v>
      </c>
      <c r="L1728">
        <v>366.65140000000002</v>
      </c>
      <c r="M1728">
        <v>0.99980069999999999</v>
      </c>
      <c r="N1728">
        <v>-1.4083780000000001E-2</v>
      </c>
      <c r="O1728">
        <v>-1.415134E-2</v>
      </c>
      <c r="P1728">
        <v>0.98876169999999997</v>
      </c>
      <c r="Q1728">
        <v>0.1327892</v>
      </c>
      <c r="R1728">
        <v>6.8683240000000007E-2</v>
      </c>
      <c r="S1728">
        <v>3.0618439999999998</v>
      </c>
      <c r="T1728">
        <v>-4.579246E-2</v>
      </c>
      <c r="U1728">
        <v>-0.30297849999999998</v>
      </c>
      <c r="V1728">
        <v>-8.2665530000000001E-2</v>
      </c>
      <c r="W1728">
        <v>0.14668870000000001</v>
      </c>
      <c r="X1728">
        <v>0.98572249999999995</v>
      </c>
      <c r="Y1728">
        <v>8.4360000000000004E-2</v>
      </c>
      <c r="Z1728">
        <v>-1.212653E-3</v>
      </c>
      <c r="AA1728">
        <v>0.99643459999999995</v>
      </c>
      <c r="AB1728">
        <v>23</v>
      </c>
      <c r="AC1728">
        <v>68.947699999999998</v>
      </c>
      <c r="AD1728">
        <v>-1.0328600299999999</v>
      </c>
      <c r="AE1728">
        <v>-6.8322000000000003</v>
      </c>
      <c r="AF1728">
        <v>5.8544156024580403</v>
      </c>
      <c r="AG1728">
        <v>-1.0328600299999999</v>
      </c>
      <c r="AH1728">
        <v>69.022150223024497</v>
      </c>
      <c r="AI1728">
        <v>90.854253568551698</v>
      </c>
      <c r="AJ1728">
        <v>85.151812085589597</v>
      </c>
      <c r="AK1728">
        <v>69.2776890730171</v>
      </c>
      <c r="AL1728">
        <v>81.564919731017795</v>
      </c>
      <c r="AM1728">
        <v>94.793772040717002</v>
      </c>
      <c r="AN1728">
        <v>1.0000000057820599</v>
      </c>
    </row>
    <row r="1729" spans="1:40" x14ac:dyDescent="0.25">
      <c r="A1729" t="str">
        <f>"20190304154751339"</f>
        <v>20190304154751339</v>
      </c>
      <c r="B1729" t="str">
        <f>"1551685671327720"</f>
        <v>1551685671327720</v>
      </c>
      <c r="C1729" t="s">
        <v>40</v>
      </c>
      <c r="D1729">
        <v>4.4724209999999998</v>
      </c>
      <c r="E1729">
        <v>0.56202169999999996</v>
      </c>
      <c r="F1729" t="s">
        <v>53</v>
      </c>
      <c r="G1729">
        <v>-183.9402</v>
      </c>
      <c r="H1729" s="1">
        <v>-5.8758050000000001E-6</v>
      </c>
      <c r="I1729">
        <v>360.25170000000003</v>
      </c>
      <c r="J1729">
        <v>-248.80690000000001</v>
      </c>
      <c r="K1729">
        <v>1.1110409999999999</v>
      </c>
      <c r="L1729">
        <v>366.64980000000003</v>
      </c>
      <c r="M1729">
        <v>0.99980069999999999</v>
      </c>
      <c r="N1729">
        <v>-1.408185E-2</v>
      </c>
      <c r="O1729">
        <v>-1.415085E-2</v>
      </c>
      <c r="P1729">
        <v>0.98893560000000003</v>
      </c>
      <c r="Q1729">
        <v>0.1311425</v>
      </c>
      <c r="R1729">
        <v>6.9339579999999998E-2</v>
      </c>
      <c r="S1729">
        <v>3.0620729999999998</v>
      </c>
      <c r="T1729">
        <v>-5.2356960000000001E-2</v>
      </c>
      <c r="U1729">
        <v>-0.30157469999999997</v>
      </c>
      <c r="V1729">
        <v>-8.3323309999999998E-2</v>
      </c>
      <c r="W1729">
        <v>0.14504329999999999</v>
      </c>
      <c r="X1729">
        <v>0.98591059999999997</v>
      </c>
      <c r="Y1729">
        <v>8.3896810000000002E-2</v>
      </c>
      <c r="Z1729">
        <v>-1.2652449999999999E-3</v>
      </c>
      <c r="AA1729">
        <v>0.99647370000000002</v>
      </c>
      <c r="AB1729">
        <v>23</v>
      </c>
      <c r="AC1729">
        <v>64.866699999999994</v>
      </c>
      <c r="AD1729">
        <v>-1.1110468758050001</v>
      </c>
      <c r="AE1729">
        <v>-6.3981000000000003</v>
      </c>
      <c r="AF1729">
        <v>5.4778576936978398</v>
      </c>
      <c r="AG1729">
        <v>-1.1110468758050001</v>
      </c>
      <c r="AH1729">
        <v>64.931885486454803</v>
      </c>
      <c r="AI1729">
        <v>90.976820864201997</v>
      </c>
      <c r="AJ1729">
        <v>85.177766714304695</v>
      </c>
      <c r="AK1729">
        <v>65.1720116529997</v>
      </c>
      <c r="AL1729">
        <v>81.660213581684303</v>
      </c>
      <c r="AM1729">
        <v>94.830819332499402</v>
      </c>
      <c r="AN1729">
        <v>1.0000000220283001</v>
      </c>
    </row>
    <row r="1730" spans="1:40" x14ac:dyDescent="0.25">
      <c r="A1730" t="str">
        <f>"20190304154751349"</f>
        <v>20190304154751349</v>
      </c>
      <c r="B1730" t="str">
        <f>"1551685671338455"</f>
        <v>1551685671338455</v>
      </c>
      <c r="C1730" t="s">
        <v>40</v>
      </c>
      <c r="D1730">
        <v>4.4915589999999996</v>
      </c>
      <c r="E1730">
        <v>0.56207499999999999</v>
      </c>
      <c r="F1730" t="s">
        <v>53</v>
      </c>
      <c r="G1730">
        <v>-189.85849999999999</v>
      </c>
      <c r="H1730" s="1">
        <v>-5.754473E-6</v>
      </c>
      <c r="I1730">
        <v>360.86279999999999</v>
      </c>
      <c r="J1730">
        <v>-248.69409999999999</v>
      </c>
      <c r="K1730">
        <v>1.1110340000000001</v>
      </c>
      <c r="L1730">
        <v>366.64819999999997</v>
      </c>
      <c r="M1730">
        <v>0.99980069999999999</v>
      </c>
      <c r="N1730">
        <v>-1.4079899999999999E-2</v>
      </c>
      <c r="O1730">
        <v>-1.415073E-2</v>
      </c>
      <c r="P1730">
        <v>0.98908629999999997</v>
      </c>
      <c r="Q1730">
        <v>0.1297044</v>
      </c>
      <c r="R1730">
        <v>6.989418E-2</v>
      </c>
      <c r="S1730">
        <v>3.0623170000000002</v>
      </c>
      <c r="T1730">
        <v>-5.7717919999999999E-2</v>
      </c>
      <c r="U1730">
        <v>-0.30062870000000003</v>
      </c>
      <c r="V1730">
        <v>-8.3880289999999996E-2</v>
      </c>
      <c r="W1730">
        <v>0.1436056</v>
      </c>
      <c r="X1730">
        <v>0.9860738</v>
      </c>
      <c r="Y1730">
        <v>8.3580829999999995E-2</v>
      </c>
      <c r="Z1730">
        <v>-1.3084489999999999E-3</v>
      </c>
      <c r="AA1730">
        <v>0.9965001</v>
      </c>
      <c r="AB1730">
        <v>23</v>
      </c>
      <c r="AC1730">
        <v>58.835599999999999</v>
      </c>
      <c r="AD1730">
        <v>-1.111039754473</v>
      </c>
      <c r="AE1730">
        <v>-5.7853999999999797</v>
      </c>
      <c r="AF1730">
        <v>4.95042294923556</v>
      </c>
      <c r="AG1730">
        <v>-1.111039754473</v>
      </c>
      <c r="AH1730">
        <v>58.890784353522299</v>
      </c>
      <c r="AI1730">
        <v>91.077022340220495</v>
      </c>
      <c r="AJ1730">
        <v>85.194951548027603</v>
      </c>
      <c r="AK1730">
        <v>59.108929769413102</v>
      </c>
      <c r="AL1730">
        <v>81.743459137457506</v>
      </c>
      <c r="AM1730">
        <v>94.862155921980403</v>
      </c>
      <c r="AN1730">
        <v>1.00000000522414</v>
      </c>
    </row>
    <row r="1731" spans="1:40" x14ac:dyDescent="0.25">
      <c r="A1731" t="str">
        <f>"20190304154751360"</f>
        <v>20190304154751360</v>
      </c>
      <c r="B1731" t="str">
        <f>"1551685671357976"</f>
        <v>1551685671357976</v>
      </c>
      <c r="C1731" t="s">
        <v>40</v>
      </c>
      <c r="D1731">
        <v>4.4790830000000001</v>
      </c>
      <c r="E1731">
        <v>0.56221739999999998</v>
      </c>
      <c r="F1731" t="s">
        <v>53</v>
      </c>
      <c r="G1731">
        <v>-194.22130000000001</v>
      </c>
      <c r="H1731" s="1">
        <v>-8.0622230000000001E-6</v>
      </c>
      <c r="I1731">
        <v>361.32409999999999</v>
      </c>
      <c r="J1731">
        <v>-248.58580000000001</v>
      </c>
      <c r="K1731">
        <v>1.11103</v>
      </c>
      <c r="L1731">
        <v>366.64670000000001</v>
      </c>
      <c r="M1731">
        <v>0.99980089999999999</v>
      </c>
      <c r="N1731">
        <v>-1.407805E-2</v>
      </c>
      <c r="O1731">
        <v>-1.415084E-2</v>
      </c>
      <c r="P1731">
        <v>0.98915189999999997</v>
      </c>
      <c r="Q1731">
        <v>0.12878529999999999</v>
      </c>
      <c r="R1731">
        <v>7.0661189999999999E-2</v>
      </c>
      <c r="S1731">
        <v>3.0624539999999998</v>
      </c>
      <c r="T1731">
        <v>-6.2462690000000001E-2</v>
      </c>
      <c r="U1731">
        <v>-0.29931639999999998</v>
      </c>
      <c r="V1731">
        <v>-8.4647719999999996E-2</v>
      </c>
      <c r="W1731">
        <v>0.1426858</v>
      </c>
      <c r="X1731">
        <v>0.98614170000000001</v>
      </c>
      <c r="Y1731">
        <v>8.3150279999999993E-2</v>
      </c>
      <c r="Z1731">
        <v>-1.343629E-3</v>
      </c>
      <c r="AA1731">
        <v>0.99653610000000004</v>
      </c>
      <c r="AB1731">
        <v>23</v>
      </c>
      <c r="AC1731">
        <v>54.3644999999999</v>
      </c>
      <c r="AD1731">
        <v>-1.1110380622229901</v>
      </c>
      <c r="AE1731">
        <v>-5.32260000000002</v>
      </c>
      <c r="AF1731">
        <v>4.5508048107857197</v>
      </c>
      <c r="AG1731">
        <v>-1.1110380622229901</v>
      </c>
      <c r="AH1731">
        <v>54.411872110811601</v>
      </c>
      <c r="AI1731">
        <v>91.165693330139305</v>
      </c>
      <c r="AJ1731">
        <v>85.219122724716598</v>
      </c>
      <c r="AK1731">
        <v>54.613149118183102</v>
      </c>
      <c r="AL1731">
        <v>81.796707829006095</v>
      </c>
      <c r="AM1731">
        <v>94.9060879668409</v>
      </c>
      <c r="AN1731">
        <v>0.99999996325086304</v>
      </c>
    </row>
    <row r="1732" spans="1:40" x14ac:dyDescent="0.25">
      <c r="A1732" t="str">
        <f>"20190304154751372"</f>
        <v>20190304154751372</v>
      </c>
      <c r="B1732" t="str">
        <f>"1551685671368711"</f>
        <v>1551685671368711</v>
      </c>
      <c r="C1732" t="s">
        <v>40</v>
      </c>
      <c r="D1732">
        <v>4.4922709999999997</v>
      </c>
      <c r="E1732">
        <v>0.56228420000000001</v>
      </c>
      <c r="F1732" t="s">
        <v>53</v>
      </c>
      <c r="G1732">
        <v>-196.88939999999999</v>
      </c>
      <c r="H1732" s="1">
        <v>-8.9533759999999906E-6</v>
      </c>
      <c r="I1732">
        <v>361.6146</v>
      </c>
      <c r="J1732">
        <v>-248.4667</v>
      </c>
      <c r="K1732">
        <v>1.1110249999999999</v>
      </c>
      <c r="L1732">
        <v>366.64499999999998</v>
      </c>
      <c r="M1732">
        <v>0.99980089999999999</v>
      </c>
      <c r="N1732">
        <v>-1.407602E-2</v>
      </c>
      <c r="O1732">
        <v>-1.415107E-2</v>
      </c>
      <c r="P1732">
        <v>0.9891839</v>
      </c>
      <c r="Q1732">
        <v>0.1283396</v>
      </c>
      <c r="R1732">
        <v>7.1024420000000005E-2</v>
      </c>
      <c r="S1732">
        <v>3.0627439999999999</v>
      </c>
      <c r="T1732">
        <v>-6.5823320000000005E-2</v>
      </c>
      <c r="U1732">
        <v>-0.29812620000000001</v>
      </c>
      <c r="V1732">
        <v>-8.5011569999999995E-2</v>
      </c>
      <c r="W1732">
        <v>0.1422379</v>
      </c>
      <c r="X1732">
        <v>0.98617509999999997</v>
      </c>
      <c r="Y1732">
        <v>8.2755029999999993E-2</v>
      </c>
      <c r="Z1732">
        <v>-1.3664599999999999E-3</v>
      </c>
      <c r="AA1732">
        <v>0.99656900000000004</v>
      </c>
      <c r="AB1732">
        <v>23</v>
      </c>
      <c r="AC1732">
        <v>51.577300000000001</v>
      </c>
      <c r="AD1732">
        <v>-1.1110339533760001</v>
      </c>
      <c r="AE1732">
        <v>-5.0303999999999798</v>
      </c>
      <c r="AF1732">
        <v>4.29797442467666</v>
      </c>
      <c r="AG1732">
        <v>-1.1110339533760001</v>
      </c>
      <c r="AH1732">
        <v>51.619600187587899</v>
      </c>
      <c r="AI1732">
        <v>91.2287641438094</v>
      </c>
      <c r="AJ1732">
        <v>85.240391590044695</v>
      </c>
      <c r="AK1732">
        <v>51.810135148705797</v>
      </c>
      <c r="AL1732">
        <v>81.822635013010697</v>
      </c>
      <c r="AM1732">
        <v>94.926906669344604</v>
      </c>
      <c r="AN1732">
        <v>0.99999995754514104</v>
      </c>
    </row>
    <row r="1733" spans="1:40" x14ac:dyDescent="0.25">
      <c r="A1733" t="str">
        <f>"20190304154751383"</f>
        <v>20190304154751383</v>
      </c>
      <c r="B1733" t="str">
        <f>"1551685671378471"</f>
        <v>1551685671378471</v>
      </c>
      <c r="C1733" t="s">
        <v>40</v>
      </c>
      <c r="D1733">
        <v>4.5026140000000003</v>
      </c>
      <c r="E1733">
        <v>0.56233250000000001</v>
      </c>
      <c r="F1733" t="s">
        <v>53</v>
      </c>
      <c r="G1733">
        <v>-197.98580000000001</v>
      </c>
      <c r="H1733" s="1">
        <v>-9.3200879999999996E-6</v>
      </c>
      <c r="I1733">
        <v>361.74099999999999</v>
      </c>
      <c r="J1733">
        <v>-248.34639999999999</v>
      </c>
      <c r="K1733">
        <v>1.1110230000000001</v>
      </c>
      <c r="L1733">
        <v>366.64319999999998</v>
      </c>
      <c r="M1733">
        <v>0.99980080000000005</v>
      </c>
      <c r="N1733">
        <v>-1.407392E-2</v>
      </c>
      <c r="O1733">
        <v>-1.415106E-2</v>
      </c>
      <c r="P1733">
        <v>0.98922639999999995</v>
      </c>
      <c r="Q1733">
        <v>0.127692</v>
      </c>
      <c r="R1733">
        <v>7.1596170000000001E-2</v>
      </c>
      <c r="S1733">
        <v>3.0629119999999999</v>
      </c>
      <c r="T1733">
        <v>-6.7411659999999998E-2</v>
      </c>
      <c r="U1733">
        <v>-0.29754639999999999</v>
      </c>
      <c r="V1733">
        <v>-8.5583870000000006E-2</v>
      </c>
      <c r="W1733">
        <v>0.14158889999999999</v>
      </c>
      <c r="X1733">
        <v>0.98621899999999996</v>
      </c>
      <c r="Y1733">
        <v>8.2561809999999999E-2</v>
      </c>
      <c r="Z1733">
        <v>-1.3769139999999999E-3</v>
      </c>
      <c r="AA1733">
        <v>0.99658500000000005</v>
      </c>
      <c r="AB1733">
        <v>23</v>
      </c>
      <c r="AC1733">
        <v>50.360599999999899</v>
      </c>
      <c r="AD1733">
        <v>-1.1110323200879999</v>
      </c>
      <c r="AE1733">
        <v>-4.9021999999999899</v>
      </c>
      <c r="AF1733">
        <v>4.1869638500395796</v>
      </c>
      <c r="AG1733">
        <v>-1.1110323200879999</v>
      </c>
      <c r="AH1733">
        <v>50.400634218233797</v>
      </c>
      <c r="AI1733">
        <v>91.258490780476507</v>
      </c>
      <c r="AJ1733">
        <v>85.251135672967706</v>
      </c>
      <c r="AK1733">
        <v>50.586450643408703</v>
      </c>
      <c r="AL1733">
        <v>81.860200237000399</v>
      </c>
      <c r="AM1733">
        <v>94.959690139723193</v>
      </c>
      <c r="AN1733">
        <v>0.99999996568419203</v>
      </c>
    </row>
    <row r="1734" spans="1:40" x14ac:dyDescent="0.25">
      <c r="A1734" t="str">
        <f>"20190304154751395"</f>
        <v>20190304154751395</v>
      </c>
      <c r="B1734" t="str">
        <f>"1551685671388231"</f>
        <v>1551685671388231</v>
      </c>
      <c r="C1734" t="s">
        <v>40</v>
      </c>
      <c r="D1734">
        <v>4.5100470000000001</v>
      </c>
      <c r="E1734">
        <v>0.56239209999999995</v>
      </c>
      <c r="F1734" t="s">
        <v>53</v>
      </c>
      <c r="G1734">
        <v>-199.4264</v>
      </c>
      <c r="H1734" s="1">
        <v>-9.8190769999999993E-6</v>
      </c>
      <c r="I1734">
        <v>361.91359999999997</v>
      </c>
      <c r="J1734">
        <v>-248.23419999999999</v>
      </c>
      <c r="K1734">
        <v>1.111024</v>
      </c>
      <c r="L1734">
        <v>366.64170000000001</v>
      </c>
      <c r="M1734">
        <v>0.99980080000000005</v>
      </c>
      <c r="N1734">
        <v>-1.407194E-2</v>
      </c>
      <c r="O1734">
        <v>-1.4151169999999999E-2</v>
      </c>
      <c r="P1734">
        <v>0.98917790000000005</v>
      </c>
      <c r="Q1734">
        <v>0.1279448</v>
      </c>
      <c r="R1734">
        <v>7.1814489999999995E-2</v>
      </c>
      <c r="S1734">
        <v>3.0630649999999999</v>
      </c>
      <c r="T1734">
        <v>-6.9565890000000005E-2</v>
      </c>
      <c r="U1734">
        <v>-0.29614259999999998</v>
      </c>
      <c r="V1734">
        <v>-8.5801329999999995E-2</v>
      </c>
      <c r="W1734">
        <v>0.14183959999999901</v>
      </c>
      <c r="X1734">
        <v>0.98616409999999999</v>
      </c>
      <c r="Y1734">
        <v>8.2102999999999995E-2</v>
      </c>
      <c r="Z1734">
        <v>-1.3873799999999999E-3</v>
      </c>
      <c r="AA1734">
        <v>0.99662289999999998</v>
      </c>
      <c r="AB1734">
        <v>23</v>
      </c>
      <c r="AC1734">
        <v>48.807799999999901</v>
      </c>
      <c r="AD1734">
        <v>-1.1110338190769999</v>
      </c>
      <c r="AE1734">
        <v>-4.7281000000000297</v>
      </c>
      <c r="AF1734">
        <v>4.0347992756447697</v>
      </c>
      <c r="AG1734">
        <v>-1.1110338190769999</v>
      </c>
      <c r="AH1734">
        <v>48.844751741807897</v>
      </c>
      <c r="AI1734">
        <v>91.298616611583896</v>
      </c>
      <c r="AJ1734">
        <v>85.277828411601007</v>
      </c>
      <c r="AK1734">
        <v>49.023706245659596</v>
      </c>
      <c r="AL1734">
        <v>81.845689907677098</v>
      </c>
      <c r="AM1734">
        <v>94.972504533846205</v>
      </c>
      <c r="AN1734">
        <v>0.99999998624336905</v>
      </c>
    </row>
    <row r="1735" spans="1:40" x14ac:dyDescent="0.25">
      <c r="A1735" t="str">
        <f>"20190304154751405"</f>
        <v>20190304154751405</v>
      </c>
      <c r="B1735" t="str">
        <f>"1551685671397991"</f>
        <v>1551685671397991</v>
      </c>
      <c r="C1735" t="s">
        <v>40</v>
      </c>
      <c r="D1735">
        <v>4.4516220000000004</v>
      </c>
      <c r="E1735">
        <v>0.56246719999999994</v>
      </c>
      <c r="F1735" t="s">
        <v>53</v>
      </c>
      <c r="G1735">
        <v>-199.15639999999999</v>
      </c>
      <c r="H1735" s="1">
        <v>-9.723273E-6</v>
      </c>
      <c r="I1735">
        <v>361.89710000000002</v>
      </c>
      <c r="J1735">
        <v>-248.11359999999999</v>
      </c>
      <c r="K1735">
        <v>1.111027</v>
      </c>
      <c r="L1735">
        <v>366.64</v>
      </c>
      <c r="M1735">
        <v>0.99980100000000005</v>
      </c>
      <c r="N1735">
        <v>-1.4069770000000001E-2</v>
      </c>
      <c r="O1735">
        <v>-1.4151520000000001E-2</v>
      </c>
      <c r="P1735">
        <v>0.98907999999999996</v>
      </c>
      <c r="Q1735">
        <v>0.12872120000000001</v>
      </c>
      <c r="R1735">
        <v>7.1776679999999995E-2</v>
      </c>
      <c r="S1735">
        <v>3.0632929999999998</v>
      </c>
      <c r="T1735">
        <v>-6.9347500000000006E-2</v>
      </c>
      <c r="U1735">
        <v>-0.29614259999999998</v>
      </c>
      <c r="V1735">
        <v>-8.5762560000000002E-2</v>
      </c>
      <c r="W1735">
        <v>0.14261219999999999</v>
      </c>
      <c r="X1735">
        <v>0.98605600000000004</v>
      </c>
      <c r="Y1735">
        <v>8.2095699999999994E-2</v>
      </c>
      <c r="Z1735">
        <v>-1.3851639999999999E-3</v>
      </c>
      <c r="AA1735">
        <v>0.9966235</v>
      </c>
      <c r="AB1735">
        <v>23</v>
      </c>
      <c r="AC1735">
        <v>48.9572</v>
      </c>
      <c r="AD1735">
        <v>-1.1110367232730001</v>
      </c>
      <c r="AE1735">
        <v>-4.7428999999999597</v>
      </c>
      <c r="AF1735">
        <v>4.0474725291391396</v>
      </c>
      <c r="AG1735">
        <v>-1.1110367232730001</v>
      </c>
      <c r="AH1735">
        <v>48.994423982540098</v>
      </c>
      <c r="AI1735">
        <v>91.294653553749399</v>
      </c>
      <c r="AJ1735">
        <v>85.277468757743307</v>
      </c>
      <c r="AK1735">
        <v>49.173875359335803</v>
      </c>
      <c r="AL1735">
        <v>81.800968224844596</v>
      </c>
      <c r="AM1735">
        <v>94.970811080496702</v>
      </c>
      <c r="AN1735">
        <v>0.99999994571129502</v>
      </c>
    </row>
    <row r="1736" spans="1:40" x14ac:dyDescent="0.25">
      <c r="A1736" t="str">
        <f>"20190304154751416"</f>
        <v>20190304154751416</v>
      </c>
      <c r="B1736" t="str">
        <f>"1551685671407752"</f>
        <v>1551685671407752</v>
      </c>
      <c r="C1736" t="s">
        <v>40</v>
      </c>
      <c r="D1736">
        <v>4.4994730000000001</v>
      </c>
      <c r="E1736">
        <v>0.56254959999999998</v>
      </c>
      <c r="F1736" t="s">
        <v>53</v>
      </c>
      <c r="G1736">
        <v>-197.29949999999999</v>
      </c>
      <c r="H1736" s="1">
        <v>-9.0818750000000002E-6</v>
      </c>
      <c r="I1736">
        <v>361.71350000000001</v>
      </c>
      <c r="J1736">
        <v>-248.00649999999999</v>
      </c>
      <c r="K1736">
        <v>1.111032</v>
      </c>
      <c r="L1736">
        <v>366.63839999999999</v>
      </c>
      <c r="M1736">
        <v>0.99980089999999999</v>
      </c>
      <c r="N1736">
        <v>-1.406782E-2</v>
      </c>
      <c r="O1736">
        <v>-1.415163E-2</v>
      </c>
      <c r="P1736">
        <v>0.98894720000000003</v>
      </c>
      <c r="Q1736">
        <v>0.1298079</v>
      </c>
      <c r="R1736">
        <v>7.1648729999999994E-2</v>
      </c>
      <c r="S1736">
        <v>3.0634000000000001</v>
      </c>
      <c r="T1736">
        <v>-6.6980360000000003E-2</v>
      </c>
      <c r="U1736">
        <v>-0.29699710000000001</v>
      </c>
      <c r="V1736">
        <v>-8.5632860000000005E-2</v>
      </c>
      <c r="W1736">
        <v>0.1436952</v>
      </c>
      <c r="X1736">
        <v>0.98591010000000001</v>
      </c>
      <c r="Y1736">
        <v>8.2369319999999996E-2</v>
      </c>
      <c r="Z1736">
        <v>-1.36921E-3</v>
      </c>
      <c r="AA1736">
        <v>0.99660090000000001</v>
      </c>
      <c r="AB1736">
        <v>23</v>
      </c>
      <c r="AC1736">
        <v>50.707000000000001</v>
      </c>
      <c r="AD1736">
        <v>-1.1110410818750001</v>
      </c>
      <c r="AE1736">
        <v>-4.9248999999999796</v>
      </c>
      <c r="AF1736">
        <v>4.2047492093929497</v>
      </c>
      <c r="AG1736">
        <v>-1.1110410818750001</v>
      </c>
      <c r="AH1736">
        <v>50.747487708144199</v>
      </c>
      <c r="AI1736">
        <v>91.249924102226998</v>
      </c>
      <c r="AJ1736">
        <v>85.263502718006393</v>
      </c>
      <c r="AK1736">
        <v>50.9335040703833</v>
      </c>
      <c r="AL1736">
        <v>81.738271683545094</v>
      </c>
      <c r="AM1736">
        <v>94.964062057644597</v>
      </c>
      <c r="AN1736">
        <v>1.00000001124841</v>
      </c>
    </row>
    <row r="1737" spans="1:40" x14ac:dyDescent="0.25">
      <c r="A1737" t="str">
        <f>"20190304154751427"</f>
        <v>20190304154751427</v>
      </c>
      <c r="B1737" t="str">
        <f>"1551685671418488"</f>
        <v>1551685671418488</v>
      </c>
      <c r="C1737" t="s">
        <v>40</v>
      </c>
      <c r="D1737">
        <v>4.400239</v>
      </c>
      <c r="E1737">
        <v>0.56259550000000003</v>
      </c>
      <c r="F1737" t="s">
        <v>53</v>
      </c>
      <c r="G1737">
        <v>-194.6061</v>
      </c>
      <c r="H1737" s="1">
        <v>-8.1787709999999994E-6</v>
      </c>
      <c r="I1737">
        <v>361.44279999999998</v>
      </c>
      <c r="J1737">
        <v>-247.88499999999999</v>
      </c>
      <c r="K1737">
        <v>1.111035</v>
      </c>
      <c r="L1737">
        <v>366.63670000000002</v>
      </c>
      <c r="M1737">
        <v>0.99980100000000005</v>
      </c>
      <c r="N1737">
        <v>-1.4065579999999999E-2</v>
      </c>
      <c r="O1737">
        <v>-1.415221E-2</v>
      </c>
      <c r="P1737">
        <v>0.98881759999999996</v>
      </c>
      <c r="Q1737">
        <v>0.13082449999999901</v>
      </c>
      <c r="R1737">
        <v>7.1586810000000001E-2</v>
      </c>
      <c r="S1737">
        <v>3.063507</v>
      </c>
      <c r="T1737">
        <v>-6.3738939999999994E-2</v>
      </c>
      <c r="U1737">
        <v>-0.29806519999999997</v>
      </c>
      <c r="V1737">
        <v>-8.5568859999999997E-2</v>
      </c>
      <c r="W1737">
        <v>0.14470740000000001</v>
      </c>
      <c r="X1737">
        <v>0.98576759999999997</v>
      </c>
      <c r="Y1737">
        <v>8.2711850000000003E-2</v>
      </c>
      <c r="Z1737">
        <v>-1.3464919999999999E-3</v>
      </c>
      <c r="AA1737">
        <v>0.99657260000000003</v>
      </c>
      <c r="AB1737">
        <v>23</v>
      </c>
      <c r="AC1737">
        <v>53.278899999999901</v>
      </c>
      <c r="AD1737">
        <v>-1.111043178771</v>
      </c>
      <c r="AE1737">
        <v>-5.1939000000000402</v>
      </c>
      <c r="AF1737">
        <v>4.4373795415314401</v>
      </c>
      <c r="AG1737">
        <v>-1.111043178771</v>
      </c>
      <c r="AH1737">
        <v>53.324105296395402</v>
      </c>
      <c r="AI1737">
        <v>91.189512679801993</v>
      </c>
      <c r="AJ1737">
        <v>85.243076550544501</v>
      </c>
      <c r="AK1737">
        <v>53.519949176001298</v>
      </c>
      <c r="AL1737">
        <v>81.679664352144002</v>
      </c>
      <c r="AM1737">
        <v>94.961084030775595</v>
      </c>
      <c r="AN1737">
        <v>1.0000000113131</v>
      </c>
    </row>
    <row r="1738" spans="1:40" x14ac:dyDescent="0.25">
      <c r="A1738" t="str">
        <f>"20190304154751438"</f>
        <v>20190304154751438</v>
      </c>
      <c r="B1738" t="str">
        <f>"1551685671428248"</f>
        <v>1551685671428248</v>
      </c>
      <c r="C1738" t="s">
        <v>40</v>
      </c>
      <c r="D1738">
        <v>4.3920789999999998</v>
      </c>
      <c r="E1738">
        <v>0.56264169999999902</v>
      </c>
      <c r="F1738" t="s">
        <v>53</v>
      </c>
      <c r="G1738">
        <v>-191.90690000000001</v>
      </c>
      <c r="H1738" s="1">
        <v>-7.2715309999999902E-6</v>
      </c>
      <c r="I1738">
        <v>361.18540000000002</v>
      </c>
      <c r="J1738">
        <v>-247.7792</v>
      </c>
      <c r="K1738">
        <v>1.1110420000000001</v>
      </c>
      <c r="L1738">
        <v>366.6352</v>
      </c>
      <c r="M1738">
        <v>0.99980089999999999</v>
      </c>
      <c r="N1738">
        <v>-1.4063630000000001E-2</v>
      </c>
      <c r="O1738">
        <v>-1.4152440000000001E-2</v>
      </c>
      <c r="P1738">
        <v>0.9887108</v>
      </c>
      <c r="Q1738">
        <v>0.1317825</v>
      </c>
      <c r="R1738">
        <v>7.1306030000000006E-2</v>
      </c>
      <c r="S1738">
        <v>3.0635829999999999</v>
      </c>
      <c r="T1738">
        <v>-6.0805440000000002E-2</v>
      </c>
      <c r="U1738">
        <v>-0.29833979999999999</v>
      </c>
      <c r="V1738">
        <v>-8.5287450000000001E-2</v>
      </c>
      <c r="W1738">
        <v>0.14566179999999901</v>
      </c>
      <c r="X1738">
        <v>0.98565139999999996</v>
      </c>
      <c r="Y1738">
        <v>8.2799769999999995E-2</v>
      </c>
      <c r="Z1738">
        <v>-1.3218699999999999E-3</v>
      </c>
      <c r="AA1738">
        <v>0.99656529999999999</v>
      </c>
      <c r="AB1738">
        <v>23</v>
      </c>
      <c r="AC1738">
        <v>55.872300000000003</v>
      </c>
      <c r="AD1738">
        <v>-1.1110492715310001</v>
      </c>
      <c r="AE1738">
        <v>-5.4497999999999802</v>
      </c>
      <c r="AF1738">
        <v>4.6566224439924602</v>
      </c>
      <c r="AG1738">
        <v>-1.1110492715310001</v>
      </c>
      <c r="AH1738">
        <v>55.921933833012901</v>
      </c>
      <c r="AI1738">
        <v>91.134270268068704</v>
      </c>
      <c r="AJ1738">
        <v>85.239958968623895</v>
      </c>
      <c r="AK1738">
        <v>56.126475452263499</v>
      </c>
      <c r="AL1738">
        <v>81.624395532249807</v>
      </c>
      <c r="AM1738">
        <v>94.945429624549703</v>
      </c>
      <c r="AN1738">
        <v>0.99999999571435105</v>
      </c>
    </row>
    <row r="1739" spans="1:40" x14ac:dyDescent="0.25">
      <c r="A1739" t="str">
        <f>"20190304154751449"</f>
        <v>20190304154751449</v>
      </c>
      <c r="B1739" t="str">
        <f>"1551685671438008"</f>
        <v>1551685671438008</v>
      </c>
      <c r="C1739" t="s">
        <v>40</v>
      </c>
      <c r="D1739">
        <v>4.5310990000000002</v>
      </c>
      <c r="E1739">
        <v>0.56270589999999998</v>
      </c>
      <c r="F1739" t="s">
        <v>53</v>
      </c>
      <c r="G1739">
        <v>-189.35499999999999</v>
      </c>
      <c r="H1739" s="1">
        <v>-5.8060339999999996E-6</v>
      </c>
      <c r="I1739">
        <v>360.92430000000002</v>
      </c>
      <c r="J1739">
        <v>-247.66849999999999</v>
      </c>
      <c r="K1739">
        <v>1.1110450000000001</v>
      </c>
      <c r="L1739">
        <v>366.63369999999998</v>
      </c>
      <c r="M1739">
        <v>0.9998011</v>
      </c>
      <c r="N1739">
        <v>-1.4061580000000001E-2</v>
      </c>
      <c r="O1739">
        <v>-1.415278E-2</v>
      </c>
      <c r="P1739">
        <v>0.98864099999999999</v>
      </c>
      <c r="Q1739">
        <v>0.1325122</v>
      </c>
      <c r="R1739">
        <v>7.0921910000000005E-2</v>
      </c>
      <c r="S1739">
        <v>3.0636139999999998</v>
      </c>
      <c r="T1739">
        <v>-5.8260439999999997E-2</v>
      </c>
      <c r="U1739">
        <v>-0.29946899999999999</v>
      </c>
      <c r="V1739">
        <v>-8.4902699999999998E-2</v>
      </c>
      <c r="W1739">
        <v>0.1463892</v>
      </c>
      <c r="X1739">
        <v>0.98557689999999998</v>
      </c>
      <c r="Y1739">
        <v>8.3163940000000006E-2</v>
      </c>
      <c r="Z1739">
        <v>-1.3051849999999999E-3</v>
      </c>
      <c r="AA1739">
        <v>0.99653499999999995</v>
      </c>
      <c r="AB1739">
        <v>23</v>
      </c>
      <c r="AC1739">
        <v>58.313499999999998</v>
      </c>
      <c r="AD1739">
        <v>-1.1110508060340001</v>
      </c>
      <c r="AE1739">
        <v>-5.7093999999999596</v>
      </c>
      <c r="AF1739">
        <v>4.88169310695449</v>
      </c>
      <c r="AG1739">
        <v>-1.1110508060340001</v>
      </c>
      <c r="AH1739">
        <v>58.367482952402398</v>
      </c>
      <c r="AI1739">
        <v>91.086725372588205</v>
      </c>
      <c r="AJ1739">
        <v>85.219068282763004</v>
      </c>
      <c r="AK1739">
        <v>58.581809699624799</v>
      </c>
      <c r="AL1739">
        <v>81.582267425005099</v>
      </c>
      <c r="AM1739">
        <v>94.923599947777404</v>
      </c>
      <c r="AN1739">
        <v>1.0000000460787599</v>
      </c>
    </row>
    <row r="1740" spans="1:40" x14ac:dyDescent="0.25">
      <c r="A1740" t="str">
        <f>"20190304154751463"</f>
        <v>20190304154751463</v>
      </c>
      <c r="B1740" t="str">
        <f>"1551685671458504"</f>
        <v>1551685671458504</v>
      </c>
      <c r="C1740" t="s">
        <v>40</v>
      </c>
      <c r="D1740">
        <v>4.5934699999999999</v>
      </c>
      <c r="E1740">
        <v>0.56284299999999998</v>
      </c>
      <c r="F1740" t="s">
        <v>53</v>
      </c>
      <c r="G1740">
        <v>-187.5823</v>
      </c>
      <c r="H1740" s="1">
        <v>-5.8397430000000003E-6</v>
      </c>
      <c r="I1740">
        <v>360.73399999999998</v>
      </c>
      <c r="J1740">
        <v>-247.53309999999999</v>
      </c>
      <c r="K1740">
        <v>1.1110530000000001</v>
      </c>
      <c r="L1740">
        <v>366.63170000000002</v>
      </c>
      <c r="M1740">
        <v>0.99980100000000005</v>
      </c>
      <c r="N1740">
        <v>-1.405908E-2</v>
      </c>
      <c r="O1740">
        <v>-1.4153010000000001E-2</v>
      </c>
      <c r="P1740">
        <v>0.98857729999999999</v>
      </c>
      <c r="Q1740">
        <v>0.1331136</v>
      </c>
      <c r="R1740">
        <v>7.0680359999999998E-2</v>
      </c>
      <c r="S1740">
        <v>3.06366</v>
      </c>
      <c r="T1740">
        <v>-5.6650039999999999E-2</v>
      </c>
      <c r="U1740">
        <v>-0.30081180000000002</v>
      </c>
      <c r="V1740">
        <v>-8.4660139999999995E-2</v>
      </c>
      <c r="W1740">
        <v>0.14698729999999999</v>
      </c>
      <c r="X1740">
        <v>0.98550870000000002</v>
      </c>
      <c r="Y1740">
        <v>8.3595840000000005E-2</v>
      </c>
      <c r="Z1740">
        <v>-1.2976769999999999E-3</v>
      </c>
      <c r="AA1740">
        <v>0.99649889999999997</v>
      </c>
      <c r="AB1740">
        <v>23</v>
      </c>
      <c r="AC1740">
        <v>59.950800000000001</v>
      </c>
      <c r="AD1740">
        <v>-1.1110588397429999</v>
      </c>
      <c r="AE1740">
        <v>-5.89769999999998</v>
      </c>
      <c r="AF1740">
        <v>5.0468242400107099</v>
      </c>
      <c r="AG1740">
        <v>-1.1110588397429999</v>
      </c>
      <c r="AH1740">
        <v>60.007859541433398</v>
      </c>
      <c r="AI1740">
        <v>91.056992121110198</v>
      </c>
      <c r="AJ1740">
        <v>85.192582484744307</v>
      </c>
      <c r="AK1740">
        <v>60.229960097939099</v>
      </c>
      <c r="AL1740">
        <v>81.547623697666097</v>
      </c>
      <c r="AM1740">
        <v>94.909940578891195</v>
      </c>
      <c r="AN1740">
        <v>1.0000000017208901</v>
      </c>
    </row>
    <row r="1741" spans="1:40" x14ac:dyDescent="0.25">
      <c r="A1741" t="str">
        <f>"20190304154751478"</f>
        <v>20190304154751478</v>
      </c>
      <c r="B1741" t="str">
        <f>"1551685671468264"</f>
        <v>1551685671468264</v>
      </c>
      <c r="C1741" t="s">
        <v>40</v>
      </c>
      <c r="D1741">
        <v>4.4741350000000004</v>
      </c>
      <c r="E1741">
        <v>0.56292299999999995</v>
      </c>
      <c r="F1741" t="s">
        <v>53</v>
      </c>
      <c r="G1741">
        <v>-186.6207</v>
      </c>
      <c r="H1741" s="1">
        <v>-5.8515970000000001E-6</v>
      </c>
      <c r="I1741">
        <v>360.61309999999997</v>
      </c>
      <c r="J1741">
        <v>-247.37889999999999</v>
      </c>
      <c r="K1741">
        <v>1.111057</v>
      </c>
      <c r="L1741">
        <v>366.62959999999998</v>
      </c>
      <c r="M1741">
        <v>0.99980100000000005</v>
      </c>
      <c r="N1741">
        <v>-1.4056229999999999E-2</v>
      </c>
      <c r="O1741">
        <v>-1.415335E-2</v>
      </c>
      <c r="P1741">
        <v>0.98856250000000001</v>
      </c>
      <c r="Q1741">
        <v>0.1334535</v>
      </c>
      <c r="R1741">
        <v>7.0247669999999998E-2</v>
      </c>
      <c r="S1741">
        <v>3.0638429999999999</v>
      </c>
      <c r="T1741">
        <v>-5.5885310000000001E-2</v>
      </c>
      <c r="U1741">
        <v>-0.30273440000000001</v>
      </c>
      <c r="V1741">
        <v>-8.4227759999999999E-2</v>
      </c>
      <c r="W1741">
        <v>0.1473236</v>
      </c>
      <c r="X1741">
        <v>0.98549549999999997</v>
      </c>
      <c r="Y1741">
        <v>8.4209350000000002E-2</v>
      </c>
      <c r="Z1741">
        <v>-1.3005029999999999E-3</v>
      </c>
      <c r="AA1741">
        <v>0.99644730000000004</v>
      </c>
      <c r="AB1741">
        <v>23</v>
      </c>
      <c r="AC1741">
        <v>60.758199999999903</v>
      </c>
      <c r="AD1741">
        <v>-1.111062851597</v>
      </c>
      <c r="AE1741">
        <v>-6.0164999999999997</v>
      </c>
      <c r="AF1741">
        <v>5.1541733600307502</v>
      </c>
      <c r="AG1741">
        <v>-1.111062851597</v>
      </c>
      <c r="AH1741">
        <v>60.817135258016002</v>
      </c>
      <c r="AI1741">
        <v>91.042877468145605</v>
      </c>
      <c r="AJ1741">
        <v>85.155832335119399</v>
      </c>
      <c r="AK1741">
        <v>61.045261115644799</v>
      </c>
      <c r="AL1741">
        <v>81.528142774317701</v>
      </c>
      <c r="AM1741">
        <v>94.885051082044399</v>
      </c>
      <c r="AN1741">
        <v>0.99999996959591297</v>
      </c>
    </row>
    <row r="1742" spans="1:40" x14ac:dyDescent="0.25">
      <c r="A1742" t="str">
        <f>"20190304154751490"</f>
        <v>20190304154751490</v>
      </c>
      <c r="B1742" t="str">
        <f>"1551685671478024"</f>
        <v>1551685671478024</v>
      </c>
      <c r="C1742" t="s">
        <v>40</v>
      </c>
      <c r="D1742">
        <v>4.8611329999999997</v>
      </c>
      <c r="E1742">
        <v>0.56297059999999999</v>
      </c>
      <c r="F1742" t="s">
        <v>53</v>
      </c>
      <c r="G1742">
        <v>-185.65989999999999</v>
      </c>
      <c r="H1742" s="1">
        <v>-5.8652589999999999E-6</v>
      </c>
      <c r="I1742">
        <v>360.4973</v>
      </c>
      <c r="J1742">
        <v>-247.2482</v>
      </c>
      <c r="K1742">
        <v>1.1110599999999999</v>
      </c>
      <c r="L1742">
        <v>366.6277</v>
      </c>
      <c r="M1742">
        <v>0.99980119999999895</v>
      </c>
      <c r="N1742">
        <v>-1.405381E-2</v>
      </c>
      <c r="O1742">
        <v>-1.4153570000000001E-2</v>
      </c>
      <c r="P1742">
        <v>0.98843340000000002</v>
      </c>
      <c r="Q1742">
        <v>0.13423119999999999</v>
      </c>
      <c r="R1742">
        <v>7.0582580000000006E-2</v>
      </c>
      <c r="S1742">
        <v>3.0637819999999998</v>
      </c>
      <c r="T1742">
        <v>-5.5154090000000003E-2</v>
      </c>
      <c r="U1742">
        <v>-0.30441279999999998</v>
      </c>
      <c r="V1742">
        <v>-8.4560919999999998E-2</v>
      </c>
      <c r="W1742">
        <v>0.14809700000000001</v>
      </c>
      <c r="X1742">
        <v>0.98535110000000004</v>
      </c>
      <c r="Y1742">
        <v>8.4751989999999999E-2</v>
      </c>
      <c r="Z1742">
        <v>-1.302412E-3</v>
      </c>
      <c r="AA1742">
        <v>0.99640130000000005</v>
      </c>
      <c r="AB1742">
        <v>23</v>
      </c>
      <c r="AC1742">
        <v>61.588299999999997</v>
      </c>
      <c r="AD1742">
        <v>-1.111065865259</v>
      </c>
      <c r="AE1742">
        <v>-6.1303999999999998</v>
      </c>
      <c r="AF1742">
        <v>5.2563116437422703</v>
      </c>
      <c r="AG1742">
        <v>-1.111065865259</v>
      </c>
      <c r="AH1742">
        <v>61.649038493491702</v>
      </c>
      <c r="AI1742">
        <v>91.028765981791807</v>
      </c>
      <c r="AJ1742">
        <v>85.126641602076305</v>
      </c>
      <c r="AK1742">
        <v>61.882689232329703</v>
      </c>
      <c r="AL1742">
        <v>81.483339267711798</v>
      </c>
      <c r="AM1742">
        <v>94.904994875543295</v>
      </c>
      <c r="AN1742">
        <v>1.0000000304357199</v>
      </c>
    </row>
    <row r="1743" spans="1:40" x14ac:dyDescent="0.25">
      <c r="A1743" t="str">
        <f>"20190304154751504"</f>
        <v>20190304154751504</v>
      </c>
      <c r="B1743" t="str">
        <f>"1551685671498520"</f>
        <v>1551685671498520</v>
      </c>
      <c r="C1743" t="s">
        <v>40</v>
      </c>
      <c r="D1743">
        <v>4.4737839999999904</v>
      </c>
      <c r="E1743">
        <v>0.56310349999999998</v>
      </c>
      <c r="F1743" t="s">
        <v>53</v>
      </c>
      <c r="G1743">
        <v>-182.392</v>
      </c>
      <c r="H1743" s="1">
        <v>-5.94315E-6</v>
      </c>
      <c r="I1743">
        <v>360.18979999999999</v>
      </c>
      <c r="J1743">
        <v>-247.11279999999999</v>
      </c>
      <c r="K1743">
        <v>1.1110599999999999</v>
      </c>
      <c r="L1743">
        <v>366.62580000000003</v>
      </c>
      <c r="M1743">
        <v>0.99980119999999895</v>
      </c>
      <c r="N1743">
        <v>-1.4051269999999999E-2</v>
      </c>
      <c r="O1743">
        <v>-1.4153789999999999E-2</v>
      </c>
      <c r="P1743">
        <v>0.98843490000000001</v>
      </c>
      <c r="Q1743">
        <v>0.13419690000000001</v>
      </c>
      <c r="R1743">
        <v>7.0626729999999999E-2</v>
      </c>
      <c r="S1743">
        <v>3.0639500000000002</v>
      </c>
      <c r="T1743">
        <v>-5.248916E-2</v>
      </c>
      <c r="U1743">
        <v>-0.30413820000000003</v>
      </c>
      <c r="V1743">
        <v>-8.4605559999999996E-2</v>
      </c>
      <c r="W1743">
        <v>0.1480602</v>
      </c>
      <c r="X1743">
        <v>0.98535280000000003</v>
      </c>
      <c r="Y1743">
        <v>8.4659719999999994E-2</v>
      </c>
      <c r="Z1743">
        <v>-1.276314E-3</v>
      </c>
      <c r="AA1743">
        <v>0.99640910000000005</v>
      </c>
      <c r="AB1743">
        <v>23</v>
      </c>
      <c r="AC1743">
        <v>64.720799999999997</v>
      </c>
      <c r="AD1743">
        <v>-1.1110659431499901</v>
      </c>
      <c r="AE1743">
        <v>-6.4360000000000301</v>
      </c>
      <c r="AF1743">
        <v>5.5176100568538304</v>
      </c>
      <c r="AG1743">
        <v>-1.1110659431499901</v>
      </c>
      <c r="AH1743">
        <v>64.786512278060201</v>
      </c>
      <c r="AI1743">
        <v>90.978962966697907</v>
      </c>
      <c r="AJ1743">
        <v>85.1320926246689</v>
      </c>
      <c r="AK1743">
        <v>65.030536376572897</v>
      </c>
      <c r="AL1743">
        <v>81.485471269975307</v>
      </c>
      <c r="AM1743">
        <v>94.907563170970107</v>
      </c>
      <c r="AN1743">
        <v>1.0000000320373901</v>
      </c>
    </row>
    <row r="1744" spans="1:40" x14ac:dyDescent="0.25">
      <c r="A1744" t="str">
        <f>"20190304154751515"</f>
        <v>20190304154751515</v>
      </c>
      <c r="B1744" t="str">
        <f>"1551685671508280"</f>
        <v>1551685671508280</v>
      </c>
      <c r="C1744" t="s">
        <v>40</v>
      </c>
      <c r="D1744">
        <v>4.0487260000000003</v>
      </c>
      <c r="E1744">
        <v>0.56326049999999905</v>
      </c>
      <c r="F1744" t="s">
        <v>53</v>
      </c>
      <c r="G1744">
        <v>-183.81639999999999</v>
      </c>
      <c r="H1744" s="1">
        <v>-5.9102809999999997E-6</v>
      </c>
      <c r="I1744">
        <v>360.32679999999999</v>
      </c>
      <c r="J1744">
        <v>-246.9949</v>
      </c>
      <c r="K1744">
        <v>1.111056</v>
      </c>
      <c r="L1744">
        <v>366.6241</v>
      </c>
      <c r="M1744">
        <v>0.99980119999999895</v>
      </c>
      <c r="N1744">
        <v>-1.404906E-2</v>
      </c>
      <c r="O1744">
        <v>-1.415377E-2</v>
      </c>
      <c r="P1744">
        <v>0.98846540000000005</v>
      </c>
      <c r="Q1744">
        <v>0.133796</v>
      </c>
      <c r="R1744">
        <v>7.0955950000000004E-2</v>
      </c>
      <c r="S1744">
        <v>3.0641780000000001</v>
      </c>
      <c r="T1744">
        <v>-5.3786639999999997E-2</v>
      </c>
      <c r="U1744">
        <v>-0.30493160000000002</v>
      </c>
      <c r="V1744">
        <v>-8.493444E-2</v>
      </c>
      <c r="W1744">
        <v>0.14765799999999901</v>
      </c>
      <c r="X1744">
        <v>0.98538479999999995</v>
      </c>
      <c r="Y1744">
        <v>8.4906999999999996E-2</v>
      </c>
      <c r="Z1744">
        <v>-1.2919610000000001E-3</v>
      </c>
      <c r="AA1744">
        <v>0.99638800000000005</v>
      </c>
      <c r="AB1744">
        <v>23</v>
      </c>
      <c r="AC1744">
        <v>63.1785</v>
      </c>
      <c r="AD1744">
        <v>-1.111061910281</v>
      </c>
      <c r="AE1744">
        <v>-6.2972999999999999</v>
      </c>
      <c r="AF1744">
        <v>5.4007130750759504</v>
      </c>
      <c r="AG1744">
        <v>-1.111061910281</v>
      </c>
      <c r="AH1744">
        <v>63.241943078126901</v>
      </c>
      <c r="AI1744">
        <v>91.002844226744799</v>
      </c>
      <c r="AJ1744">
        <v>85.118917826243006</v>
      </c>
      <c r="AK1744">
        <v>63.481851930963899</v>
      </c>
      <c r="AL1744">
        <v>81.508771244643398</v>
      </c>
      <c r="AM1744">
        <v>94.9263870158412</v>
      </c>
      <c r="AN1744">
        <v>0.99999997406657604</v>
      </c>
    </row>
    <row r="1745" spans="1:40" x14ac:dyDescent="0.25">
      <c r="A1745" t="str">
        <f>"20190304154751525"</f>
        <v>20190304154751525</v>
      </c>
      <c r="B1745" t="str">
        <f>"1551685671518040"</f>
        <v>1551685671518040</v>
      </c>
      <c r="C1745" t="s">
        <v>40</v>
      </c>
      <c r="D1745">
        <v>4.4728469999999998</v>
      </c>
      <c r="E1745">
        <v>0.56338529999999998</v>
      </c>
      <c r="F1745" t="s">
        <v>53</v>
      </c>
      <c r="G1745">
        <v>-184.36869999999999</v>
      </c>
      <c r="H1745" s="1">
        <v>-5.9023880000000001E-6</v>
      </c>
      <c r="I1745">
        <v>360.39330000000001</v>
      </c>
      <c r="J1745">
        <v>-246.88059999999999</v>
      </c>
      <c r="K1745">
        <v>1.1110530000000001</v>
      </c>
      <c r="L1745">
        <v>366.6225</v>
      </c>
      <c r="M1745">
        <v>0.9998013</v>
      </c>
      <c r="N1745">
        <v>-1.4046899999999999E-2</v>
      </c>
      <c r="O1745">
        <v>-1.4153880000000001E-2</v>
      </c>
      <c r="P1745">
        <v>0.98849229999999999</v>
      </c>
      <c r="Q1745">
        <v>0.13342570000000001</v>
      </c>
      <c r="R1745">
        <v>7.1282520000000002E-2</v>
      </c>
      <c r="S1745">
        <v>3.06427</v>
      </c>
      <c r="T1745">
        <v>-5.4363729999999999E-2</v>
      </c>
      <c r="U1745">
        <v>-0.30487059999999999</v>
      </c>
      <c r="V1745">
        <v>-8.5262009999999999E-2</v>
      </c>
      <c r="W1745">
        <v>0.14728579999999999</v>
      </c>
      <c r="X1745">
        <v>0.98541219999999996</v>
      </c>
      <c r="Y1745">
        <v>8.4883940000000005E-2</v>
      </c>
      <c r="Z1745">
        <v>-1.2967740000000001E-3</v>
      </c>
      <c r="AA1745">
        <v>0.99639</v>
      </c>
      <c r="AB1745">
        <v>23</v>
      </c>
      <c r="AC1745">
        <v>62.511899999999997</v>
      </c>
      <c r="AD1745">
        <v>-1.111058902388</v>
      </c>
      <c r="AE1745">
        <v>-6.2291999999999899</v>
      </c>
      <c r="AF1745">
        <v>5.3420318304357997</v>
      </c>
      <c r="AG1745">
        <v>-1.111058902388</v>
      </c>
      <c r="AH1745">
        <v>62.574240101704603</v>
      </c>
      <c r="AI1745">
        <v>91.013542465213305</v>
      </c>
      <c r="AJ1745">
        <v>85.120427688322096</v>
      </c>
      <c r="AK1745">
        <v>62.811681081369997</v>
      </c>
      <c r="AL1745">
        <v>81.530332364568295</v>
      </c>
      <c r="AM1745">
        <v>94.945155939850295</v>
      </c>
      <c r="AN1745">
        <v>0.99999996056985896</v>
      </c>
    </row>
    <row r="1746" spans="1:40" x14ac:dyDescent="0.25">
      <c r="A1746" t="str">
        <f>"20190304154751536"</f>
        <v>20190304154751536</v>
      </c>
      <c r="B1746" t="str">
        <f>"1551685671527800"</f>
        <v>1551685671527800</v>
      </c>
      <c r="C1746" t="s">
        <v>40</v>
      </c>
      <c r="D1746">
        <v>4.6368150000000004</v>
      </c>
      <c r="E1746">
        <v>0.56344490000000003</v>
      </c>
      <c r="F1746" t="s">
        <v>53</v>
      </c>
      <c r="G1746">
        <v>-185.3597</v>
      </c>
      <c r="H1746" s="1">
        <v>-5.8858880000000004E-6</v>
      </c>
      <c r="I1746">
        <v>360.5061</v>
      </c>
      <c r="J1746">
        <v>-246.7724</v>
      </c>
      <c r="K1746">
        <v>1.111051</v>
      </c>
      <c r="L1746">
        <v>366.62090000000001</v>
      </c>
      <c r="M1746">
        <v>0.99980139999999995</v>
      </c>
      <c r="N1746">
        <v>-1.4044849999999999E-2</v>
      </c>
      <c r="O1746">
        <v>-1.4153860000000001E-2</v>
      </c>
      <c r="P1746">
        <v>0.98852980000000001</v>
      </c>
      <c r="Q1746">
        <v>0.13299910000000001</v>
      </c>
      <c r="R1746">
        <v>7.1557079999999995E-2</v>
      </c>
      <c r="S1746">
        <v>3.064346</v>
      </c>
      <c r="T1746">
        <v>-5.5341599999999901E-2</v>
      </c>
      <c r="U1746">
        <v>-0.30465700000000001</v>
      </c>
      <c r="V1746">
        <v>-8.5536760000000003E-2</v>
      </c>
      <c r="W1746">
        <v>0.1468576</v>
      </c>
      <c r="X1746">
        <v>0.98545240000000001</v>
      </c>
      <c r="Y1746">
        <v>8.4812100000000001E-2</v>
      </c>
      <c r="Z1746">
        <v>-1.3044980000000001E-3</v>
      </c>
      <c r="AA1746">
        <v>0.99639610000000001</v>
      </c>
      <c r="AB1746">
        <v>23</v>
      </c>
      <c r="AC1746">
        <v>61.412700000000001</v>
      </c>
      <c r="AD1746">
        <v>-1.1110568858879999</v>
      </c>
      <c r="AE1746">
        <v>-6.1147999999999998</v>
      </c>
      <c r="AF1746">
        <v>5.2431757542863302</v>
      </c>
      <c r="AG1746">
        <v>-1.1110568858879999</v>
      </c>
      <c r="AH1746">
        <v>61.473180438685198</v>
      </c>
      <c r="AI1746">
        <v>91.031697390580305</v>
      </c>
      <c r="AJ1746">
        <v>85.124922276616502</v>
      </c>
      <c r="AK1746">
        <v>61.706379351256402</v>
      </c>
      <c r="AL1746">
        <v>81.555137004519594</v>
      </c>
      <c r="AM1746">
        <v>94.960810541684197</v>
      </c>
      <c r="AN1746">
        <v>1.0000000623273999</v>
      </c>
    </row>
    <row r="1747" spans="1:40" x14ac:dyDescent="0.25">
      <c r="A1747" t="str">
        <f>"20190304154751546"</f>
        <v>20190304154751546</v>
      </c>
      <c r="B1747" t="str">
        <f>"1551685671538536"</f>
        <v>1551685671538536</v>
      </c>
      <c r="C1747" t="s">
        <v>40</v>
      </c>
      <c r="D1747">
        <v>4.7064949999999897</v>
      </c>
      <c r="E1747">
        <v>0.56354559999999998</v>
      </c>
      <c r="F1747" t="s">
        <v>53</v>
      </c>
      <c r="G1747">
        <v>-185.9341</v>
      </c>
      <c r="H1747" s="1">
        <v>-5.8819460000000004E-6</v>
      </c>
      <c r="I1747">
        <v>360.58690000000001</v>
      </c>
      <c r="J1747">
        <v>-246.6711</v>
      </c>
      <c r="K1747">
        <v>1.111051</v>
      </c>
      <c r="L1747">
        <v>366.61950000000002</v>
      </c>
      <c r="M1747">
        <v>0.99980119999999895</v>
      </c>
      <c r="N1747">
        <v>-1.404293E-2</v>
      </c>
      <c r="O1747">
        <v>-1.415373E-2</v>
      </c>
      <c r="P1747">
        <v>0.98853740000000001</v>
      </c>
      <c r="Q1747">
        <v>0.13267999999999999</v>
      </c>
      <c r="R1747">
        <v>7.2040989999999999E-2</v>
      </c>
      <c r="S1747">
        <v>3.064346</v>
      </c>
      <c r="T1747">
        <v>-5.5962560000000001E-2</v>
      </c>
      <c r="U1747">
        <v>-0.30392459999999999</v>
      </c>
      <c r="V1747">
        <v>-8.6020659999999999E-2</v>
      </c>
      <c r="W1747">
        <v>0.14653679999999999</v>
      </c>
      <c r="X1747">
        <v>0.98545799999999995</v>
      </c>
      <c r="Y1747">
        <v>8.4576070000000003E-2</v>
      </c>
      <c r="Z1747">
        <v>-1.306291E-3</v>
      </c>
      <c r="AA1747">
        <v>0.99641619999999997</v>
      </c>
      <c r="AB1747">
        <v>23</v>
      </c>
      <c r="AC1747">
        <v>60.737000000000002</v>
      </c>
      <c r="AD1747">
        <v>-1.1110568819460001</v>
      </c>
      <c r="AE1747">
        <v>-6.0326000000000004</v>
      </c>
      <c r="AF1747">
        <v>5.1705423928500096</v>
      </c>
      <c r="AG1747">
        <v>-1.1110568819460001</v>
      </c>
      <c r="AH1747">
        <v>60.796161514838801</v>
      </c>
      <c r="AI1747">
        <v>91.043205320721</v>
      </c>
      <c r="AJ1747">
        <v>85.138852985597097</v>
      </c>
      <c r="AK1747">
        <v>61.025750392515</v>
      </c>
      <c r="AL1747">
        <v>81.573718229449099</v>
      </c>
      <c r="AM1747">
        <v>94.988705486351606</v>
      </c>
      <c r="AN1747">
        <v>1.0000000287325299</v>
      </c>
    </row>
    <row r="1748" spans="1:40" x14ac:dyDescent="0.25">
      <c r="A1748" t="str">
        <f>"20190304154751557"</f>
        <v>20190304154751557</v>
      </c>
      <c r="B1748" t="str">
        <f>"1551685671548296"</f>
        <v>1551685671548296</v>
      </c>
      <c r="C1748" t="s">
        <v>40</v>
      </c>
      <c r="D1748">
        <v>4.5213190000000001</v>
      </c>
      <c r="E1748">
        <v>0.56361110000000003</v>
      </c>
      <c r="F1748" t="s">
        <v>53</v>
      </c>
      <c r="G1748">
        <v>-185.73089999999999</v>
      </c>
      <c r="H1748" s="1">
        <v>-5.8931070000000004E-6</v>
      </c>
      <c r="I1748">
        <v>360.58519999999999</v>
      </c>
      <c r="J1748">
        <v>-246.56569999999999</v>
      </c>
      <c r="K1748">
        <v>1.1110450000000001</v>
      </c>
      <c r="L1748">
        <v>366.61799999999999</v>
      </c>
      <c r="M1748">
        <v>0.99980139999999995</v>
      </c>
      <c r="N1748">
        <v>-1.404093E-2</v>
      </c>
      <c r="O1748">
        <v>-1.4154069999999999E-2</v>
      </c>
      <c r="P1748">
        <v>0.98852390000000001</v>
      </c>
      <c r="Q1748">
        <v>0.1326464</v>
      </c>
      <c r="R1748">
        <v>7.2288930000000001E-2</v>
      </c>
      <c r="S1748">
        <v>3.0643919999999998</v>
      </c>
      <c r="T1748">
        <v>-5.5869700000000001E-2</v>
      </c>
      <c r="U1748">
        <v>-0.30343629999999999</v>
      </c>
      <c r="V1748">
        <v>-8.6268769999999995E-2</v>
      </c>
      <c r="W1748">
        <v>0.14650099999999999</v>
      </c>
      <c r="X1748">
        <v>0.98544160000000003</v>
      </c>
      <c r="Y1748">
        <v>8.4417130000000007E-2</v>
      </c>
      <c r="Z1748">
        <v>-1.3027550000000001E-3</v>
      </c>
      <c r="AA1748">
        <v>0.99642960000000003</v>
      </c>
      <c r="AB1748">
        <v>23</v>
      </c>
      <c r="AC1748">
        <v>60.834800000000001</v>
      </c>
      <c r="AD1748">
        <v>-1.111050893107</v>
      </c>
      <c r="AE1748">
        <v>-6.0328000000000603</v>
      </c>
      <c r="AF1748">
        <v>5.1693433295205704</v>
      </c>
      <c r="AG1748">
        <v>-1.111050893107</v>
      </c>
      <c r="AH1748">
        <v>60.893988298715598</v>
      </c>
      <c r="AI1748">
        <v>91.041537889683497</v>
      </c>
      <c r="AJ1748">
        <v>85.147745269108597</v>
      </c>
      <c r="AK1748">
        <v>61.123108195425097</v>
      </c>
      <c r="AL1748">
        <v>81.575791513185905</v>
      </c>
      <c r="AM1748">
        <v>95.003104359278495</v>
      </c>
      <c r="AN1748">
        <v>0.99999999534443595</v>
      </c>
    </row>
    <row r="1749" spans="1:40" x14ac:dyDescent="0.25">
      <c r="A1749" t="str">
        <f>"20190304154751567"</f>
        <v>20190304154751567</v>
      </c>
      <c r="B1749" t="str">
        <f>"1551685671558056"</f>
        <v>1551685671558056</v>
      </c>
      <c r="C1749" t="s">
        <v>40</v>
      </c>
      <c r="D1749">
        <v>4.4781879999999896</v>
      </c>
      <c r="E1749">
        <v>0.56363200000000002</v>
      </c>
      <c r="F1749" t="s">
        <v>53</v>
      </c>
      <c r="G1749">
        <v>-185.10599999999999</v>
      </c>
      <c r="H1749" s="1">
        <v>-5.915495E-6</v>
      </c>
      <c r="I1749">
        <v>360.54700000000003</v>
      </c>
      <c r="J1749">
        <v>-246.4477</v>
      </c>
      <c r="K1749">
        <v>1.111043</v>
      </c>
      <c r="L1749">
        <v>366.6164</v>
      </c>
      <c r="M1749">
        <v>0.99980139999999995</v>
      </c>
      <c r="N1749">
        <v>-1.403867E-2</v>
      </c>
      <c r="O1749">
        <v>-1.4153819999999999E-2</v>
      </c>
      <c r="P1749">
        <v>0.98853159999999896</v>
      </c>
      <c r="Q1749">
        <v>0.1325742</v>
      </c>
      <c r="R1749">
        <v>7.2315530000000003E-2</v>
      </c>
      <c r="S1749">
        <v>3.0644070000000001</v>
      </c>
      <c r="T1749">
        <v>-5.5397509999999997E-2</v>
      </c>
      <c r="U1749">
        <v>-0.30270390000000003</v>
      </c>
      <c r="V1749">
        <v>-8.6295570000000002E-2</v>
      </c>
      <c r="W1749">
        <v>0.14642649999999999</v>
      </c>
      <c r="X1749">
        <v>0.9854503</v>
      </c>
      <c r="Y1749">
        <v>8.4181450000000005E-2</v>
      </c>
      <c r="Z1749">
        <v>-1.294531E-3</v>
      </c>
      <c r="AA1749">
        <v>0.99644960000000005</v>
      </c>
      <c r="AB1749">
        <v>23</v>
      </c>
      <c r="AC1749">
        <v>61.341700000000003</v>
      </c>
      <c r="AD1749">
        <v>-1.1110489154950001</v>
      </c>
      <c r="AE1749">
        <v>-6.0694000000000301</v>
      </c>
      <c r="AF1749">
        <v>5.1987980794693396</v>
      </c>
      <c r="AG1749">
        <v>-1.1110489154950001</v>
      </c>
      <c r="AH1749">
        <v>61.401519663598499</v>
      </c>
      <c r="AI1749">
        <v>91.032948099555796</v>
      </c>
      <c r="AJ1749">
        <v>85.160373131203102</v>
      </c>
      <c r="AK1749">
        <v>61.631230298956297</v>
      </c>
      <c r="AL1749">
        <v>81.580106363448607</v>
      </c>
      <c r="AM1749">
        <v>95.004606757626505</v>
      </c>
      <c r="AN1749">
        <v>0.999999969536982</v>
      </c>
    </row>
    <row r="1750" spans="1:40" x14ac:dyDescent="0.25">
      <c r="A1750" t="str">
        <f>"20190304154751579"</f>
        <v>20190304154751579</v>
      </c>
      <c r="B1750" t="str">
        <f>"1551685671567816"</f>
        <v>1551685671567816</v>
      </c>
      <c r="C1750" t="s">
        <v>40</v>
      </c>
      <c r="D1750">
        <v>4.490164</v>
      </c>
      <c r="E1750">
        <v>0.56365790000000005</v>
      </c>
      <c r="F1750" t="s">
        <v>53</v>
      </c>
      <c r="G1750">
        <v>-185.67420000000001</v>
      </c>
      <c r="H1750" s="1">
        <v>-5.9050659999999999E-6</v>
      </c>
      <c r="I1750">
        <v>360.60899999999998</v>
      </c>
      <c r="J1750">
        <v>-246.33690000000001</v>
      </c>
      <c r="K1750">
        <v>1.111043</v>
      </c>
      <c r="L1750">
        <v>366.6148</v>
      </c>
      <c r="M1750">
        <v>0.9998013</v>
      </c>
      <c r="N1750">
        <v>-1.403657E-2</v>
      </c>
      <c r="O1750">
        <v>-1.415368E-2</v>
      </c>
      <c r="P1750">
        <v>0.98851929999999999</v>
      </c>
      <c r="Q1750">
        <v>0.13252920000000001</v>
      </c>
      <c r="R1750">
        <v>7.2566030000000004E-2</v>
      </c>
      <c r="S1750">
        <v>3.0644840000000002</v>
      </c>
      <c r="T1750">
        <v>-5.6024310000000001E-2</v>
      </c>
      <c r="U1750">
        <v>-0.30291750000000001</v>
      </c>
      <c r="V1750">
        <v>-8.6545689999999995E-2</v>
      </c>
      <c r="W1750">
        <v>0.14637929999999999</v>
      </c>
      <c r="X1750">
        <v>0.98543539999999996</v>
      </c>
      <c r="Y1750">
        <v>8.4247509999999998E-2</v>
      </c>
      <c r="Z1750">
        <v>-1.3011679999999999E-3</v>
      </c>
      <c r="AA1750">
        <v>0.996444</v>
      </c>
      <c r="AB1750">
        <v>23</v>
      </c>
      <c r="AC1750">
        <v>60.662700000000001</v>
      </c>
      <c r="AD1750">
        <v>-1.111048905066</v>
      </c>
      <c r="AE1750">
        <v>-6.0057999999999598</v>
      </c>
      <c r="AF1750">
        <v>5.1448041939501001</v>
      </c>
      <c r="AG1750">
        <v>-1.111048905066</v>
      </c>
      <c r="AH1750">
        <v>60.721463792045299</v>
      </c>
      <c r="AI1750">
        <v>91.044508956693306</v>
      </c>
      <c r="AJ1750">
        <v>85.157013836075905</v>
      </c>
      <c r="AK1750">
        <v>60.949155899915397</v>
      </c>
      <c r="AL1750">
        <v>81.582840369410405</v>
      </c>
      <c r="AM1750">
        <v>95.019113679315495</v>
      </c>
      <c r="AN1750">
        <v>0.99999999174961296</v>
      </c>
    </row>
    <row r="1751" spans="1:40" x14ac:dyDescent="0.25">
      <c r="A1751" t="str">
        <f>"20190304154751591"</f>
        <v>20190304154751591</v>
      </c>
      <c r="B1751" t="str">
        <f>"1551685671588312"</f>
        <v>1551685671588312</v>
      </c>
      <c r="C1751" t="s">
        <v>40</v>
      </c>
      <c r="D1751">
        <v>4.5222980000000002</v>
      </c>
      <c r="E1751">
        <v>0.56366949999999905</v>
      </c>
      <c r="F1751" t="s">
        <v>53</v>
      </c>
      <c r="G1751">
        <v>-186.02379999999999</v>
      </c>
      <c r="H1751" s="1">
        <v>-5.9036779999999997E-6</v>
      </c>
      <c r="I1751">
        <v>360.661</v>
      </c>
      <c r="J1751">
        <v>-246.2193</v>
      </c>
      <c r="K1751">
        <v>1.111046</v>
      </c>
      <c r="L1751">
        <v>366.61309999999997</v>
      </c>
      <c r="M1751">
        <v>0.9998013</v>
      </c>
      <c r="N1751">
        <v>-1.4034349999999999E-2</v>
      </c>
      <c r="O1751">
        <v>-1.415367E-2</v>
      </c>
      <c r="P1751">
        <v>0.98847620000000003</v>
      </c>
      <c r="Q1751">
        <v>0.13281099999999901</v>
      </c>
      <c r="R1751">
        <v>7.2637370000000007E-2</v>
      </c>
      <c r="S1751">
        <v>3.0646209999999998</v>
      </c>
      <c r="T1751">
        <v>-5.6454419999999998E-2</v>
      </c>
      <c r="U1751">
        <v>-0.30252079999999998</v>
      </c>
      <c r="V1751">
        <v>-8.6616330000000005E-2</v>
      </c>
      <c r="W1751">
        <v>0.1466586</v>
      </c>
      <c r="X1751">
        <v>0.98538769999999998</v>
      </c>
      <c r="Y1751">
        <v>8.4115159999999994E-2</v>
      </c>
      <c r="Z1751">
        <v>-1.3027900000000001E-3</v>
      </c>
      <c r="AA1751">
        <v>0.99645519999999999</v>
      </c>
      <c r="AB1751">
        <v>23</v>
      </c>
      <c r="AC1751">
        <v>60.195500000000003</v>
      </c>
      <c r="AD1751">
        <v>-1.111051903678</v>
      </c>
      <c r="AE1751">
        <v>-5.9520999999999704</v>
      </c>
      <c r="AF1751">
        <v>5.0977126316162797</v>
      </c>
      <c r="AG1751">
        <v>-1.111051903678</v>
      </c>
      <c r="AH1751">
        <v>60.253393404592103</v>
      </c>
      <c r="AI1751">
        <v>91.052635019283798</v>
      </c>
      <c r="AJ1751">
        <v>85.1640316008817</v>
      </c>
      <c r="AK1751">
        <v>60.478860167630103</v>
      </c>
      <c r="AL1751">
        <v>81.566663365102698</v>
      </c>
      <c r="AM1751">
        <v>95.023431325306802</v>
      </c>
      <c r="AN1751">
        <v>1.0000000264439499</v>
      </c>
    </row>
    <row r="1752" spans="1:40" x14ac:dyDescent="0.25">
      <c r="A1752" t="str">
        <f>"20190304154751602"</f>
        <v>20190304154751602</v>
      </c>
      <c r="B1752" t="str">
        <f>"1551685671598072"</f>
        <v>1551685671598072</v>
      </c>
      <c r="C1752" t="s">
        <v>40</v>
      </c>
      <c r="D1752">
        <v>4.4862479999999998</v>
      </c>
      <c r="E1752">
        <v>0.56365859999999901</v>
      </c>
      <c r="F1752" t="s">
        <v>53</v>
      </c>
      <c r="G1752">
        <v>-186.23259999999999</v>
      </c>
      <c r="H1752" s="1">
        <v>-5.9023950000000001E-6</v>
      </c>
      <c r="I1752">
        <v>360.69080000000002</v>
      </c>
      <c r="J1752">
        <v>-246.0968</v>
      </c>
      <c r="K1752">
        <v>1.1110469999999999</v>
      </c>
      <c r="L1752">
        <v>366.6114</v>
      </c>
      <c r="M1752">
        <v>0.99980150000000001</v>
      </c>
      <c r="N1752">
        <v>-1.4031989999999999E-2</v>
      </c>
      <c r="O1752">
        <v>-1.415377E-2</v>
      </c>
      <c r="P1752">
        <v>0.98847490000000005</v>
      </c>
      <c r="Q1752">
        <v>0.13288939999999999</v>
      </c>
      <c r="R1752">
        <v>7.2511580000000006E-2</v>
      </c>
      <c r="S1752">
        <v>3.064835</v>
      </c>
      <c r="T1752">
        <v>-5.6765789999999997E-2</v>
      </c>
      <c r="U1752">
        <v>-0.30258180000000001</v>
      </c>
      <c r="V1752">
        <v>-8.6490819999999996E-2</v>
      </c>
      <c r="W1752">
        <v>0.146734</v>
      </c>
      <c r="X1752">
        <v>0.98538740000000002</v>
      </c>
      <c r="Y1752">
        <v>8.4127709999999994E-2</v>
      </c>
      <c r="Z1752">
        <v>-1.3056529999999999E-3</v>
      </c>
      <c r="AA1752">
        <v>0.99645410000000001</v>
      </c>
      <c r="AB1752">
        <v>23</v>
      </c>
      <c r="AC1752">
        <v>59.864199999999997</v>
      </c>
      <c r="AD1752">
        <v>-1.111052902395</v>
      </c>
      <c r="AE1752">
        <v>-5.9205999999999701</v>
      </c>
      <c r="AF1752">
        <v>5.0708896012464297</v>
      </c>
      <c r="AG1752">
        <v>-1.111052902395</v>
      </c>
      <c r="AH1752">
        <v>59.921568823342497</v>
      </c>
      <c r="AI1752">
        <v>91.058461914816604</v>
      </c>
      <c r="AJ1752">
        <v>85.162844069203501</v>
      </c>
      <c r="AK1752">
        <v>60.146012088504499</v>
      </c>
      <c r="AL1752">
        <v>81.562295182228397</v>
      </c>
      <c r="AM1752">
        <v>95.016190887557798</v>
      </c>
      <c r="AN1752">
        <v>0.99999992838951302</v>
      </c>
    </row>
    <row r="1753" spans="1:40" x14ac:dyDescent="0.25">
      <c r="A1753" t="str">
        <f>"20190304154751613"</f>
        <v>20190304154751613</v>
      </c>
      <c r="B1753" t="str">
        <f>"1551685671607832"</f>
        <v>1551685671607832</v>
      </c>
      <c r="C1753" t="s">
        <v>40</v>
      </c>
      <c r="D1753">
        <v>4.4409269999999896</v>
      </c>
      <c r="E1753">
        <v>0.56364049999999999</v>
      </c>
      <c r="F1753" t="s">
        <v>53</v>
      </c>
      <c r="G1753">
        <v>-186.58840000000001</v>
      </c>
      <c r="H1753" s="1">
        <v>-5.8970100000000003E-6</v>
      </c>
      <c r="I1753">
        <v>360.7328</v>
      </c>
      <c r="J1753">
        <v>-245.9913</v>
      </c>
      <c r="K1753">
        <v>1.1110500000000001</v>
      </c>
      <c r="L1753">
        <v>366.60989999999998</v>
      </c>
      <c r="M1753">
        <v>0.99980150000000001</v>
      </c>
      <c r="N1753">
        <v>-1.4029949999999999E-2</v>
      </c>
      <c r="O1753">
        <v>-1.415376E-2</v>
      </c>
      <c r="P1753">
        <v>0.98846449999999997</v>
      </c>
      <c r="Q1753">
        <v>0.13291</v>
      </c>
      <c r="R1753">
        <v>7.2615100000000002E-2</v>
      </c>
      <c r="S1753">
        <v>3.0648499999999999</v>
      </c>
      <c r="T1753">
        <v>-5.7222370000000002E-2</v>
      </c>
      <c r="U1753">
        <v>-0.3027649</v>
      </c>
      <c r="V1753">
        <v>-8.6593959999999998E-2</v>
      </c>
      <c r="W1753">
        <v>0.14675289999999999</v>
      </c>
      <c r="X1753">
        <v>0.98537560000000002</v>
      </c>
      <c r="Y1753">
        <v>8.4185869999999996E-2</v>
      </c>
      <c r="Z1753">
        <v>-1.310634E-3</v>
      </c>
      <c r="AA1753">
        <v>0.99644920000000003</v>
      </c>
      <c r="AB1753">
        <v>23</v>
      </c>
      <c r="AC1753">
        <v>59.402899999999903</v>
      </c>
      <c r="AD1753">
        <v>-1.11105589701</v>
      </c>
      <c r="AE1753">
        <v>-5.87709999999998</v>
      </c>
      <c r="AF1753">
        <v>5.0339101743330401</v>
      </c>
      <c r="AG1753">
        <v>-1.11105589701</v>
      </c>
      <c r="AH1753">
        <v>59.459540640252598</v>
      </c>
      <c r="AI1753">
        <v>91.066684440328999</v>
      </c>
      <c r="AJ1753">
        <v>85.160815830183097</v>
      </c>
      <c r="AK1753">
        <v>59.682591012785203</v>
      </c>
      <c r="AL1753">
        <v>81.561201052331299</v>
      </c>
      <c r="AM1753">
        <v>95.022201937104597</v>
      </c>
      <c r="AN1753">
        <v>1.00000000032112</v>
      </c>
    </row>
    <row r="1754" spans="1:40" x14ac:dyDescent="0.25">
      <c r="A1754" t="str">
        <f>"20190304154751623"</f>
        <v>20190304154751623</v>
      </c>
      <c r="B1754" t="str">
        <f>"1551685671618568"</f>
        <v>1551685671618568</v>
      </c>
      <c r="C1754" t="s">
        <v>40</v>
      </c>
      <c r="D1754">
        <v>4.6045499999999997</v>
      </c>
      <c r="E1754">
        <v>0.56367590000000001</v>
      </c>
      <c r="F1754" t="s">
        <v>53</v>
      </c>
      <c r="G1754">
        <v>-186.82849999999999</v>
      </c>
      <c r="H1754" s="1">
        <v>-5.8977880000000002E-6</v>
      </c>
      <c r="I1754">
        <v>360.77330000000001</v>
      </c>
      <c r="J1754">
        <v>-245.8879</v>
      </c>
      <c r="K1754">
        <v>1.1110500000000001</v>
      </c>
      <c r="L1754">
        <v>366.60840000000002</v>
      </c>
      <c r="M1754">
        <v>0.99980159999999996</v>
      </c>
      <c r="N1754">
        <v>-1.4027939999999999E-2</v>
      </c>
      <c r="O1754">
        <v>-1.415374E-2</v>
      </c>
      <c r="P1754">
        <v>0.98846699999999998</v>
      </c>
      <c r="Q1754">
        <v>0.13274140000000001</v>
      </c>
      <c r="R1754">
        <v>7.2886709999999993E-2</v>
      </c>
      <c r="S1754">
        <v>3.0649570000000002</v>
      </c>
      <c r="T1754">
        <v>-5.7558770000000002E-2</v>
      </c>
      <c r="U1754">
        <v>-0.30236819999999998</v>
      </c>
      <c r="V1754">
        <v>-8.6865390000000001E-2</v>
      </c>
      <c r="W1754">
        <v>0.14658209999999999</v>
      </c>
      <c r="X1754">
        <v>0.98537710000000001</v>
      </c>
      <c r="Y1754">
        <v>8.4054569999999995E-2</v>
      </c>
      <c r="Z1754">
        <v>-1.31141E-3</v>
      </c>
      <c r="AA1754">
        <v>0.99646029999999997</v>
      </c>
      <c r="AB1754">
        <v>23</v>
      </c>
      <c r="AC1754">
        <v>59.059399999999997</v>
      </c>
      <c r="AD1754">
        <v>-1.1110558977880001</v>
      </c>
      <c r="AE1754">
        <v>-5.8351000000000104</v>
      </c>
      <c r="AF1754">
        <v>4.99677056835651</v>
      </c>
      <c r="AG1754">
        <v>-1.1110558977880001</v>
      </c>
      <c r="AH1754">
        <v>59.115360196947798</v>
      </c>
      <c r="AI1754">
        <v>91.072905619317794</v>
      </c>
      <c r="AJ1754">
        <v>85.168515373209999</v>
      </c>
      <c r="AK1754">
        <v>59.336565223609703</v>
      </c>
      <c r="AL1754">
        <v>81.571093887791406</v>
      </c>
      <c r="AM1754">
        <v>95.037855584661699</v>
      </c>
      <c r="AN1754">
        <v>0.99999996861233498</v>
      </c>
    </row>
    <row r="1755" spans="1:40" x14ac:dyDescent="0.25">
      <c r="A1755" t="str">
        <f>"20190304154751634"</f>
        <v>20190304154751634</v>
      </c>
      <c r="B1755" t="str">
        <f>"1551685671628328"</f>
        <v>1551685671628328</v>
      </c>
      <c r="C1755" t="s">
        <v>40</v>
      </c>
      <c r="D1755">
        <v>4.5259689999999999</v>
      </c>
      <c r="E1755">
        <v>0.56369019999999903</v>
      </c>
      <c r="F1755" t="s">
        <v>53</v>
      </c>
      <c r="G1755">
        <v>-187.90090000000001</v>
      </c>
      <c r="H1755" s="1">
        <v>-5.8806769999999999E-6</v>
      </c>
      <c r="I1755">
        <v>360.8974</v>
      </c>
      <c r="J1755">
        <v>-245.78649999999999</v>
      </c>
      <c r="K1755">
        <v>1.111051</v>
      </c>
      <c r="L1755">
        <v>366.60700000000003</v>
      </c>
      <c r="M1755">
        <v>0.99980150000000001</v>
      </c>
      <c r="N1755">
        <v>-1.402597E-2</v>
      </c>
      <c r="O1755">
        <v>-1.415361E-2</v>
      </c>
      <c r="P1755">
        <v>0.98843300000000001</v>
      </c>
      <c r="Q1755">
        <v>0.1330335</v>
      </c>
      <c r="R1755">
        <v>7.2817240000000005E-2</v>
      </c>
      <c r="S1755">
        <v>3.0651549999999999</v>
      </c>
      <c r="T1755">
        <v>-5.8729650000000001E-2</v>
      </c>
      <c r="U1755">
        <v>-0.30187989999999998</v>
      </c>
      <c r="V1755">
        <v>-8.6795369999999997E-2</v>
      </c>
      <c r="W1755">
        <v>0.1468718</v>
      </c>
      <c r="X1755">
        <v>0.9853402</v>
      </c>
      <c r="Y1755">
        <v>8.3890450000000005E-2</v>
      </c>
      <c r="Z1755">
        <v>-1.319167E-3</v>
      </c>
      <c r="AA1755">
        <v>0.99647410000000003</v>
      </c>
      <c r="AB1755">
        <v>23</v>
      </c>
      <c r="AC1755">
        <v>57.885599999999897</v>
      </c>
      <c r="AD1755">
        <v>-1.111056880677</v>
      </c>
      <c r="AE1755">
        <v>-5.70959999999996</v>
      </c>
      <c r="AF1755">
        <v>4.8878738108445896</v>
      </c>
      <c r="AG1755">
        <v>-1.111056880677</v>
      </c>
      <c r="AH1755">
        <v>57.939480191754399</v>
      </c>
      <c r="AI1755">
        <v>91.094690981929901</v>
      </c>
      <c r="AJ1755">
        <v>85.177847840656199</v>
      </c>
      <c r="AK1755">
        <v>58.155903592615097</v>
      </c>
      <c r="AL1755">
        <v>81.5543142600187</v>
      </c>
      <c r="AM1755">
        <v>95.034003111938503</v>
      </c>
      <c r="AN1755">
        <v>1.00000003581235</v>
      </c>
    </row>
    <row r="1756" spans="1:40" x14ac:dyDescent="0.25">
      <c r="A1756" t="str">
        <f>"20190304154751644"</f>
        <v>20190304154751644</v>
      </c>
      <c r="B1756" t="str">
        <f>"1551685671638088"</f>
        <v>1551685671638088</v>
      </c>
      <c r="C1756" t="s">
        <v>40</v>
      </c>
      <c r="D1756">
        <v>4.4817970000000003</v>
      </c>
      <c r="E1756">
        <v>0.56369919999999996</v>
      </c>
      <c r="F1756" t="s">
        <v>53</v>
      </c>
      <c r="G1756">
        <v>-187.5333</v>
      </c>
      <c r="H1756" s="1">
        <v>-5.8909800000000003E-6</v>
      </c>
      <c r="I1756">
        <v>360.86709999999999</v>
      </c>
      <c r="J1756">
        <v>-245.67330000000001</v>
      </c>
      <c r="K1756">
        <v>1.111051</v>
      </c>
      <c r="L1756">
        <v>366.60539999999997</v>
      </c>
      <c r="M1756">
        <v>0.99980150000000001</v>
      </c>
      <c r="N1756">
        <v>-1.402376E-2</v>
      </c>
      <c r="O1756">
        <v>-1.4153590000000001E-2</v>
      </c>
      <c r="P1756">
        <v>0.98837209999999998</v>
      </c>
      <c r="Q1756">
        <v>0.1334111</v>
      </c>
      <c r="R1756">
        <v>7.2952539999999996E-2</v>
      </c>
      <c r="S1756">
        <v>3.0652469999999998</v>
      </c>
      <c r="T1756">
        <v>-5.8463099999999997E-2</v>
      </c>
      <c r="U1756">
        <v>-0.30203249999999998</v>
      </c>
      <c r="V1756">
        <v>-8.6930030000000005E-2</v>
      </c>
      <c r="W1756">
        <v>0.1472463</v>
      </c>
      <c r="X1756">
        <v>0.98527240000000005</v>
      </c>
      <c r="Y1756">
        <v>8.3936869999999997E-2</v>
      </c>
      <c r="Z1756">
        <v>-1.317384E-3</v>
      </c>
      <c r="AA1756">
        <v>0.99647019999999997</v>
      </c>
      <c r="AB1756">
        <v>23</v>
      </c>
      <c r="AC1756">
        <v>58.14</v>
      </c>
      <c r="AD1756">
        <v>-1.1110568909799901</v>
      </c>
      <c r="AE1756">
        <v>-5.7382999999999802</v>
      </c>
      <c r="AF1756">
        <v>4.9129775822849702</v>
      </c>
      <c r="AG1756">
        <v>-1.1110568909799901</v>
      </c>
      <c r="AH1756">
        <v>58.194353524014502</v>
      </c>
      <c r="AI1756">
        <v>91.089892090087901</v>
      </c>
      <c r="AJ1756">
        <v>85.174326322433004</v>
      </c>
      <c r="AK1756">
        <v>58.411938661689703</v>
      </c>
      <c r="AL1756">
        <v>81.532620854052993</v>
      </c>
      <c r="AM1756">
        <v>95.042118122819701</v>
      </c>
      <c r="AN1756">
        <v>1.0000000025906199</v>
      </c>
    </row>
    <row r="1757" spans="1:40" x14ac:dyDescent="0.25">
      <c r="A1757" t="str">
        <f>"20190304154751657"</f>
        <v>20190304154751657</v>
      </c>
      <c r="B1757" t="str">
        <f>"1551685671647848"</f>
        <v>1551685671647848</v>
      </c>
      <c r="C1757" t="s">
        <v>40</v>
      </c>
      <c r="D1757">
        <v>4.979152</v>
      </c>
      <c r="E1757">
        <v>0.56374309999999905</v>
      </c>
      <c r="F1757" t="s">
        <v>53</v>
      </c>
      <c r="G1757">
        <v>-187.58709999999999</v>
      </c>
      <c r="H1757" s="1">
        <v>-5.8976059999999998E-6</v>
      </c>
      <c r="I1757">
        <v>360.89389999999997</v>
      </c>
      <c r="J1757">
        <v>-245.5489</v>
      </c>
      <c r="K1757">
        <v>1.111051</v>
      </c>
      <c r="L1757">
        <v>366.6037</v>
      </c>
      <c r="M1757">
        <v>0.99980150000000001</v>
      </c>
      <c r="N1757">
        <v>-1.402132E-2</v>
      </c>
      <c r="O1757">
        <v>-1.4153580000000001E-2</v>
      </c>
      <c r="P1757">
        <v>0.98837390000000003</v>
      </c>
      <c r="Q1757">
        <v>0.13342979999999999</v>
      </c>
      <c r="R1757">
        <v>7.2892709999999999E-2</v>
      </c>
      <c r="S1757">
        <v>3.0654599999999999</v>
      </c>
      <c r="T1757">
        <v>-5.8635230000000003E-2</v>
      </c>
      <c r="U1757">
        <v>-0.30142210000000003</v>
      </c>
      <c r="V1757">
        <v>-8.6870139999999998E-2</v>
      </c>
      <c r="W1757">
        <v>0.1472628</v>
      </c>
      <c r="X1757">
        <v>0.98527520000000002</v>
      </c>
      <c r="Y1757">
        <v>8.3733550000000004E-2</v>
      </c>
      <c r="Z1757">
        <v>-1.3154009999999999E-3</v>
      </c>
      <c r="AA1757">
        <v>0.99648729999999996</v>
      </c>
      <c r="AB1757">
        <v>23</v>
      </c>
      <c r="AC1757">
        <v>57.961799999999997</v>
      </c>
      <c r="AD1757">
        <v>-1.111056897606</v>
      </c>
      <c r="AE1757">
        <v>-5.7098000000000297</v>
      </c>
      <c r="AF1757">
        <v>4.8870018802092998</v>
      </c>
      <c r="AG1757">
        <v>-1.111056897606</v>
      </c>
      <c r="AH1757">
        <v>58.015702530223201</v>
      </c>
      <c r="AI1757">
        <v>91.093264633344305</v>
      </c>
      <c r="AJ1757">
        <v>85.185008519023896</v>
      </c>
      <c r="AK1757">
        <v>58.231769463774903</v>
      </c>
      <c r="AL1757">
        <v>81.531664917851401</v>
      </c>
      <c r="AM1757">
        <v>95.0386480241756</v>
      </c>
      <c r="AN1757">
        <v>0.999999986611249</v>
      </c>
    </row>
    <row r="1758" spans="1:40" x14ac:dyDescent="0.25">
      <c r="A1758" t="str">
        <f>"20190304154751679"</f>
        <v>20190304154751679</v>
      </c>
      <c r="B1758" t="str">
        <f>"1551685671668344"</f>
        <v>1551685671668344</v>
      </c>
      <c r="C1758" t="s">
        <v>40</v>
      </c>
      <c r="D1758">
        <v>4.5430679999999999</v>
      </c>
      <c r="E1758">
        <v>0.56387219999999905</v>
      </c>
      <c r="F1758" t="s">
        <v>53</v>
      </c>
      <c r="G1758">
        <v>-187.33199999999999</v>
      </c>
      <c r="H1758" s="1">
        <v>-5.9024590000000002E-6</v>
      </c>
      <c r="I1758">
        <v>360.86649999999997</v>
      </c>
      <c r="J1758">
        <v>-245.32769999999999</v>
      </c>
      <c r="K1758">
        <v>1.1110530000000001</v>
      </c>
      <c r="L1758">
        <v>366.60059999999999</v>
      </c>
      <c r="M1758">
        <v>0.99980159999999996</v>
      </c>
      <c r="N1758">
        <v>-1.401698E-2</v>
      </c>
      <c r="O1758">
        <v>-1.4153310000000001E-2</v>
      </c>
      <c r="P1758">
        <v>0.9882263</v>
      </c>
      <c r="Q1758">
        <v>0.13430010000000001</v>
      </c>
      <c r="R1758">
        <v>7.3294200000000004E-2</v>
      </c>
      <c r="S1758">
        <v>3.065445</v>
      </c>
      <c r="T1758">
        <v>-5.8503390000000002E-2</v>
      </c>
      <c r="U1758">
        <v>-0.30209350000000001</v>
      </c>
      <c r="V1758">
        <v>-8.7268899999999996E-2</v>
      </c>
      <c r="W1758">
        <v>0.148126799999999</v>
      </c>
      <c r="X1758">
        <v>0.9851105</v>
      </c>
      <c r="Y1758">
        <v>8.3950479999999994E-2</v>
      </c>
      <c r="Z1758">
        <v>-1.31756E-3</v>
      </c>
      <c r="AA1758">
        <v>0.9964691</v>
      </c>
      <c r="AB1758">
        <v>23</v>
      </c>
      <c r="AC1758">
        <v>57.995699999999999</v>
      </c>
      <c r="AD1758">
        <v>-1.1110589024590001</v>
      </c>
      <c r="AE1758">
        <v>-5.7341000000000104</v>
      </c>
      <c r="AF1758">
        <v>4.9108288908589302</v>
      </c>
      <c r="AG1758">
        <v>-1.1110589024590001</v>
      </c>
      <c r="AH1758">
        <v>58.049955404878297</v>
      </c>
      <c r="AI1758">
        <v>91.092588640597</v>
      </c>
      <c r="AJ1758">
        <v>85.164485151223005</v>
      </c>
      <c r="AK1758">
        <v>58.267898664602598</v>
      </c>
      <c r="AL1758">
        <v>81.481613009689994</v>
      </c>
      <c r="AM1758">
        <v>95.062498909574401</v>
      </c>
      <c r="AN1758">
        <v>1.0000000534978399</v>
      </c>
    </row>
    <row r="1759" spans="1:40" x14ac:dyDescent="0.25">
      <c r="A1759" t="str">
        <f>"20190304154751693"</f>
        <v>20190304154751693</v>
      </c>
      <c r="B1759" t="str">
        <f>"1551685671687865"</f>
        <v>1551685671687865</v>
      </c>
      <c r="C1759" t="s">
        <v>40</v>
      </c>
      <c r="D1759">
        <v>4.408798</v>
      </c>
      <c r="E1759">
        <v>0.56399409999999905</v>
      </c>
      <c r="F1759" t="s">
        <v>53</v>
      </c>
      <c r="G1759">
        <v>-185.423</v>
      </c>
      <c r="H1759" s="1">
        <v>-5.9534429999999997E-6</v>
      </c>
      <c r="I1759">
        <v>360.702</v>
      </c>
      <c r="J1759">
        <v>-245.18790000000001</v>
      </c>
      <c r="K1759">
        <v>1.111059</v>
      </c>
      <c r="L1759">
        <v>366.5985</v>
      </c>
      <c r="M1759">
        <v>0.99980159999999996</v>
      </c>
      <c r="N1759">
        <v>-1.4014240000000001E-2</v>
      </c>
      <c r="O1759">
        <v>-1.4153529999999999E-2</v>
      </c>
      <c r="P1759">
        <v>0.98816000000000004</v>
      </c>
      <c r="Q1759">
        <v>0.13462170000000001</v>
      </c>
      <c r="R1759">
        <v>7.3599999999999999E-2</v>
      </c>
      <c r="S1759">
        <v>3.065842</v>
      </c>
      <c r="T1759">
        <v>-5.6862469999999998E-2</v>
      </c>
      <c r="U1759">
        <v>-0.30187989999999998</v>
      </c>
      <c r="V1759">
        <v>-8.7574250000000006E-2</v>
      </c>
      <c r="W1759">
        <v>0.1484441</v>
      </c>
      <c r="X1759">
        <v>0.98503560000000001</v>
      </c>
      <c r="Y1759">
        <v>8.3870059999999996E-2</v>
      </c>
      <c r="Z1759">
        <v>-1.3011710000000001E-3</v>
      </c>
      <c r="AA1759">
        <v>0.99647589999999997</v>
      </c>
      <c r="AB1759">
        <v>23</v>
      </c>
      <c r="AC1759">
        <v>59.764899999999997</v>
      </c>
      <c r="AD1759">
        <v>-1.1110649534429999</v>
      </c>
      <c r="AE1759">
        <v>-5.8964999999999996</v>
      </c>
      <c r="AF1759">
        <v>5.0482139599443601</v>
      </c>
      <c r="AG1759">
        <v>-1.1110649534429999</v>
      </c>
      <c r="AH1759">
        <v>59.821901143538099</v>
      </c>
      <c r="AI1759">
        <v>91.060257658580397</v>
      </c>
      <c r="AJ1759">
        <v>85.176387203093398</v>
      </c>
      <c r="AK1759">
        <v>60.044806486018302</v>
      </c>
      <c r="AL1759">
        <v>81.463229509675998</v>
      </c>
      <c r="AM1759">
        <v>95.080504098482393</v>
      </c>
      <c r="AN1759">
        <v>1.00000001667761</v>
      </c>
    </row>
    <row r="1760" spans="1:40" x14ac:dyDescent="0.25">
      <c r="A1760" t="str">
        <f>"20190304154751705"</f>
        <v>20190304154751705</v>
      </c>
      <c r="B1760" t="str">
        <f>"1551685671698600"</f>
        <v>1551685671698600</v>
      </c>
      <c r="C1760" t="s">
        <v>40</v>
      </c>
      <c r="D1760">
        <v>4.4008019999999997</v>
      </c>
      <c r="E1760">
        <v>0.56404200000000004</v>
      </c>
      <c r="F1760" t="s">
        <v>53</v>
      </c>
      <c r="G1760">
        <v>-184.09119999999999</v>
      </c>
      <c r="H1760" s="1">
        <v>-5.9894459999999998E-6</v>
      </c>
      <c r="I1760">
        <v>360.58839999999998</v>
      </c>
      <c r="J1760">
        <v>-245.0556</v>
      </c>
      <c r="K1760">
        <v>1.1110599999999999</v>
      </c>
      <c r="L1760">
        <v>366.5967</v>
      </c>
      <c r="M1760">
        <v>0.99980179999999996</v>
      </c>
      <c r="N1760">
        <v>-1.4011640000000001E-2</v>
      </c>
      <c r="O1760">
        <v>-1.4153509999999999E-2</v>
      </c>
      <c r="P1760">
        <v>0.98809590000000003</v>
      </c>
      <c r="Q1760">
        <v>0.13501289999999999</v>
      </c>
      <c r="R1760">
        <v>7.3746399999999906E-2</v>
      </c>
      <c r="S1760">
        <v>3.0660099999999999</v>
      </c>
      <c r="T1760">
        <v>-5.5756449999999999E-2</v>
      </c>
      <c r="U1760">
        <v>-0.30160520000000002</v>
      </c>
      <c r="V1760">
        <v>-8.7719839999999993E-2</v>
      </c>
      <c r="W1760">
        <v>0.14883170000000001</v>
      </c>
      <c r="X1760">
        <v>0.98496410000000001</v>
      </c>
      <c r="Y1760">
        <v>8.3777099999999993E-2</v>
      </c>
      <c r="Z1760">
        <v>-1.289503E-3</v>
      </c>
      <c r="AA1760">
        <v>0.99648369999999997</v>
      </c>
      <c r="AB1760">
        <v>23</v>
      </c>
      <c r="AC1760">
        <v>60.964399999999998</v>
      </c>
      <c r="AD1760">
        <v>-1.111065989446</v>
      </c>
      <c r="AE1760">
        <v>-6.00830000000001</v>
      </c>
      <c r="AF1760">
        <v>5.14306141314351</v>
      </c>
      <c r="AG1760">
        <v>-1.111065989446</v>
      </c>
      <c r="AH1760">
        <v>61.023265546700401</v>
      </c>
      <c r="AI1760">
        <v>91.039399286260306</v>
      </c>
      <c r="AJ1760">
        <v>85.182477410696194</v>
      </c>
      <c r="AK1760">
        <v>61.249689683421103</v>
      </c>
      <c r="AL1760">
        <v>81.440771729561305</v>
      </c>
      <c r="AM1760">
        <v>95.089273467711607</v>
      </c>
      <c r="AN1760">
        <v>0.99999996177166195</v>
      </c>
    </row>
    <row r="1761" spans="1:40" x14ac:dyDescent="0.25">
      <c r="A1761" t="str">
        <f>"20190304154751716"</f>
        <v>20190304154751716</v>
      </c>
      <c r="B1761" t="str">
        <f>"1551685671708361"</f>
        <v>1551685671708361</v>
      </c>
      <c r="C1761" t="s">
        <v>40</v>
      </c>
      <c r="D1761">
        <v>3.9413809999999998</v>
      </c>
      <c r="E1761">
        <v>0.56404200000000004</v>
      </c>
      <c r="F1761" t="s">
        <v>53</v>
      </c>
      <c r="G1761">
        <v>-181.35480000000001</v>
      </c>
      <c r="H1761" s="1">
        <v>-6.0585370000000001E-6</v>
      </c>
      <c r="I1761">
        <v>360.34160000000003</v>
      </c>
      <c r="J1761">
        <v>-244.94460000000001</v>
      </c>
      <c r="K1761">
        <v>1.1110640000000001</v>
      </c>
      <c r="L1761">
        <v>366.5951</v>
      </c>
      <c r="M1761">
        <v>0.99980179999999996</v>
      </c>
      <c r="N1761">
        <v>-1.400946E-2</v>
      </c>
      <c r="O1761">
        <v>-1.4153499999999999E-2</v>
      </c>
      <c r="P1761">
        <v>0.98803390000000002</v>
      </c>
      <c r="Q1761">
        <v>0.13540569999999999</v>
      </c>
      <c r="R1761">
        <v>7.3855130000000005E-2</v>
      </c>
      <c r="S1761">
        <v>3.0659179999999999</v>
      </c>
      <c r="T1761">
        <v>-5.3475500000000002E-2</v>
      </c>
      <c r="U1761">
        <v>-0.30105589999999999</v>
      </c>
      <c r="V1761">
        <v>-8.7827340000000004E-2</v>
      </c>
      <c r="W1761">
        <v>0.14922160000000001</v>
      </c>
      <c r="X1761">
        <v>0.98489559999999998</v>
      </c>
      <c r="Y1761">
        <v>8.3604719999999993E-2</v>
      </c>
      <c r="Z1761">
        <v>-1.2661E-3</v>
      </c>
      <c r="AA1761">
        <v>0.9964982</v>
      </c>
      <c r="AB1761">
        <v>23</v>
      </c>
      <c r="AC1761">
        <v>63.589799999999997</v>
      </c>
      <c r="AD1761">
        <v>-1.1110700585369999</v>
      </c>
      <c r="AE1761">
        <v>-6.2534999999999696</v>
      </c>
      <c r="AF1761">
        <v>5.3511490362800602</v>
      </c>
      <c r="AG1761">
        <v>-1.1110700585369999</v>
      </c>
      <c r="AH1761">
        <v>63.652700620311997</v>
      </c>
      <c r="AI1761">
        <v>90.996492831058006</v>
      </c>
      <c r="AJ1761">
        <v>85.194563398597893</v>
      </c>
      <c r="AK1761">
        <v>63.886896692064497</v>
      </c>
      <c r="AL1761">
        <v>81.418180459511007</v>
      </c>
      <c r="AM1761">
        <v>95.095830047848693</v>
      </c>
      <c r="AN1761">
        <v>1.00000003522869</v>
      </c>
    </row>
    <row r="1762" spans="1:40" x14ac:dyDescent="0.25">
      <c r="A1762" t="str">
        <f>"20190304154751726"</f>
        <v>20190304154751726</v>
      </c>
      <c r="B1762" t="str">
        <f>"1551685671718120"</f>
        <v>1551685671718120</v>
      </c>
      <c r="C1762" t="s">
        <v>40</v>
      </c>
      <c r="D1762">
        <v>4.3376910000000004</v>
      </c>
      <c r="E1762">
        <v>0.52235399999999998</v>
      </c>
      <c r="F1762" t="s">
        <v>53</v>
      </c>
      <c r="G1762">
        <v>-180.01490000000001</v>
      </c>
      <c r="H1762" s="1">
        <v>-6.1129729999999899E-6</v>
      </c>
      <c r="I1762">
        <v>360.22730000000001</v>
      </c>
      <c r="J1762">
        <v>-244.8365</v>
      </c>
      <c r="K1762">
        <v>1.111067</v>
      </c>
      <c r="L1762">
        <v>366.59350000000001</v>
      </c>
      <c r="M1762">
        <v>0.99980179999999996</v>
      </c>
      <c r="N1762">
        <v>-1.400733E-2</v>
      </c>
      <c r="O1762">
        <v>-1.415348E-2</v>
      </c>
      <c r="P1762">
        <v>0.98796810000000002</v>
      </c>
      <c r="Q1762">
        <v>0.135746799999999</v>
      </c>
      <c r="R1762">
        <v>7.4107980000000004E-2</v>
      </c>
      <c r="S1762">
        <v>3.0659939999999999</v>
      </c>
      <c r="T1762">
        <v>-5.2464959999999998E-2</v>
      </c>
      <c r="U1762">
        <v>-0.3006897</v>
      </c>
      <c r="V1762">
        <v>-8.8079210000000005E-2</v>
      </c>
      <c r="W1762">
        <v>0.14955969999999999</v>
      </c>
      <c r="X1762">
        <v>0.98482179999999997</v>
      </c>
      <c r="Y1762">
        <v>8.3485130000000005E-2</v>
      </c>
      <c r="Z1762">
        <v>-1.255017E-3</v>
      </c>
      <c r="AA1762">
        <v>0.99650819999999996</v>
      </c>
      <c r="AB1762">
        <v>23</v>
      </c>
      <c r="AC1762">
        <v>64.821599999999904</v>
      </c>
      <c r="AD1762">
        <v>-1.111073112973</v>
      </c>
      <c r="AE1762">
        <v>-6.3661999999999903</v>
      </c>
      <c r="AF1762">
        <v>5.4464361861957897</v>
      </c>
      <c r="AG1762">
        <v>-1.111073112973</v>
      </c>
      <c r="AH1762">
        <v>64.886337330682593</v>
      </c>
      <c r="AI1762">
        <v>90.977564218933097</v>
      </c>
      <c r="AJ1762">
        <v>85.201948151583295</v>
      </c>
      <c r="AK1762">
        <v>65.123996520359597</v>
      </c>
      <c r="AL1762">
        <v>81.398588725312095</v>
      </c>
      <c r="AM1762">
        <v>95.110747454624004</v>
      </c>
      <c r="AN1762">
        <v>1.00000001442677</v>
      </c>
    </row>
    <row r="1763" spans="1:40" x14ac:dyDescent="0.25">
      <c r="A1763" t="str">
        <f>"20190304154751737"</f>
        <v>20190304154751737</v>
      </c>
      <c r="B1763" t="str">
        <f>"1551685671727880"</f>
        <v>1551685671727880</v>
      </c>
      <c r="C1763" t="s">
        <v>40</v>
      </c>
      <c r="D1763">
        <v>4.4301500000000003</v>
      </c>
      <c r="E1763">
        <v>0.50897060000000005</v>
      </c>
      <c r="F1763" t="s">
        <v>43</v>
      </c>
      <c r="G1763">
        <v>-158.78319999999999</v>
      </c>
      <c r="H1763">
        <v>3.1378629999999998</v>
      </c>
      <c r="I1763">
        <v>367.5992</v>
      </c>
      <c r="J1763">
        <v>-244.73330000000001</v>
      </c>
      <c r="K1763">
        <v>1.1110660000000001</v>
      </c>
      <c r="L1763">
        <v>366.59210000000002</v>
      </c>
      <c r="M1763">
        <v>0.99980190000000002</v>
      </c>
      <c r="N1763">
        <v>-1.4003130000000001E-2</v>
      </c>
      <c r="O1763">
        <v>-1.4153570000000001E-2</v>
      </c>
      <c r="P1763">
        <v>0.98789709999999997</v>
      </c>
      <c r="Q1763">
        <v>0.13611770000000001</v>
      </c>
      <c r="R1763">
        <v>7.4374120000000002E-2</v>
      </c>
      <c r="S1763">
        <v>3.0240939999999998</v>
      </c>
      <c r="T1763">
        <v>7.1228860000000005E-2</v>
      </c>
      <c r="U1763">
        <v>3.533936E-2</v>
      </c>
      <c r="V1763">
        <v>-8.8344270000000003E-2</v>
      </c>
      <c r="W1763">
        <v>0.14992510000000001</v>
      </c>
      <c r="X1763">
        <v>0.98474249999999997</v>
      </c>
      <c r="Y1763">
        <v>-2.582508E-2</v>
      </c>
      <c r="Z1763">
        <v>-6.5471099999999999E-4</v>
      </c>
      <c r="AA1763">
        <v>0.99966630000000001</v>
      </c>
      <c r="AB1763">
        <v>23</v>
      </c>
      <c r="AC1763">
        <v>85.950100000000006</v>
      </c>
      <c r="AD1763">
        <v>2.0267970000000002</v>
      </c>
      <c r="AE1763">
        <v>1.0070999999999799</v>
      </c>
      <c r="AF1763">
        <v>-2.2223833685357102</v>
      </c>
      <c r="AG1763">
        <v>2.0267970000000002</v>
      </c>
      <c r="AH1763">
        <v>85.879485252479498</v>
      </c>
      <c r="AI1763">
        <v>88.648495404766905</v>
      </c>
      <c r="AJ1763">
        <v>91.482365373921397</v>
      </c>
      <c r="AK1763">
        <v>85.932141141407598</v>
      </c>
      <c r="AL1763">
        <v>81.377414139962596</v>
      </c>
      <c r="AM1763">
        <v>95.126456192009798</v>
      </c>
      <c r="AN1763">
        <v>1.0000000184790401</v>
      </c>
    </row>
    <row r="1764" spans="1:40" x14ac:dyDescent="0.25">
      <c r="A1764" t="str">
        <f>"20190304154751748"</f>
        <v>20190304154751748</v>
      </c>
      <c r="B1764" t="str">
        <f>"1551685671738617"</f>
        <v>1551685671738617</v>
      </c>
      <c r="C1764" t="s">
        <v>40</v>
      </c>
      <c r="D1764">
        <v>4.4134010000000004</v>
      </c>
      <c r="E1764">
        <v>0.49695929999999999</v>
      </c>
      <c r="F1764" t="s">
        <v>43</v>
      </c>
      <c r="G1764">
        <v>-158.19499999999999</v>
      </c>
      <c r="H1764">
        <v>2.9733109999999998</v>
      </c>
      <c r="I1764">
        <v>370.67809999999997</v>
      </c>
      <c r="J1764">
        <v>-244.6233</v>
      </c>
      <c r="K1764">
        <v>1.1110660000000001</v>
      </c>
      <c r="L1764">
        <v>366.59050000000002</v>
      </c>
      <c r="M1764">
        <v>0.99980179999999996</v>
      </c>
      <c r="N1764">
        <v>-1.399713E-2</v>
      </c>
      <c r="O1764">
        <v>-1.415341E-2</v>
      </c>
      <c r="P1764">
        <v>0.98785860000000003</v>
      </c>
      <c r="Q1764">
        <v>0.13627059999999999</v>
      </c>
      <c r="R1764">
        <v>7.4604139999999999E-2</v>
      </c>
      <c r="S1764">
        <v>3.0171049999999999</v>
      </c>
      <c r="T1764">
        <v>6.4929009999999995E-2</v>
      </c>
      <c r="U1764">
        <v>0.1424561</v>
      </c>
      <c r="V1764">
        <v>-8.8573780000000005E-2</v>
      </c>
      <c r="W1764">
        <v>0.1500717</v>
      </c>
      <c r="X1764">
        <v>0.98469949999999995</v>
      </c>
      <c r="Y1764">
        <v>-6.1284070000000003E-2</v>
      </c>
      <c r="Z1764">
        <v>-7.3216090000000002E-4</v>
      </c>
      <c r="AA1764">
        <v>0.99812009999999995</v>
      </c>
      <c r="AB1764">
        <v>23</v>
      </c>
      <c r="AC1764">
        <v>86.428299999999993</v>
      </c>
      <c r="AD1764">
        <v>1.8622449999999999</v>
      </c>
      <c r="AE1764">
        <v>4.0875999999999504</v>
      </c>
      <c r="AF1764">
        <v>-5.3081067307243002</v>
      </c>
      <c r="AG1764">
        <v>1.8622449999999999</v>
      </c>
      <c r="AH1764">
        <v>86.321795747398795</v>
      </c>
      <c r="AI1764">
        <v>88.766462574369001</v>
      </c>
      <c r="AJ1764">
        <v>93.518805902938595</v>
      </c>
      <c r="AK1764">
        <v>86.504892200154899</v>
      </c>
      <c r="AL1764">
        <v>81.368918017151998</v>
      </c>
      <c r="AM1764">
        <v>95.139926236267797</v>
      </c>
      <c r="AN1764">
        <v>0.99999996747231301</v>
      </c>
    </row>
    <row r="1765" spans="1:40" x14ac:dyDescent="0.25">
      <c r="A1765" t="str">
        <f>"20190304154751759"</f>
        <v>20190304154751759</v>
      </c>
      <c r="B1765" t="str">
        <f>"1551685671748376"</f>
        <v>1551685671748376</v>
      </c>
      <c r="C1765" t="s">
        <v>40</v>
      </c>
      <c r="D1765">
        <v>4.4498930000000003</v>
      </c>
      <c r="E1765">
        <v>0.48947879999999999</v>
      </c>
      <c r="F1765" t="s">
        <v>43</v>
      </c>
      <c r="G1765">
        <v>-158.19499999999999</v>
      </c>
      <c r="H1765">
        <v>2.615405</v>
      </c>
      <c r="I1765">
        <v>373.4366</v>
      </c>
      <c r="J1765">
        <v>-244.5146</v>
      </c>
      <c r="K1765">
        <v>1.1110610000000001</v>
      </c>
      <c r="L1765">
        <v>366.589</v>
      </c>
      <c r="M1765">
        <v>0.99980199999999997</v>
      </c>
      <c r="N1765">
        <v>-1.3987640000000001E-2</v>
      </c>
      <c r="O1765">
        <v>-1.415346E-2</v>
      </c>
      <c r="P1765">
        <v>0.98787100000000005</v>
      </c>
      <c r="Q1765">
        <v>0.13612859999999999</v>
      </c>
      <c r="R1765">
        <v>7.4699769999999999E-2</v>
      </c>
      <c r="S1765">
        <v>3.0116420000000002</v>
      </c>
      <c r="T1765">
        <v>5.242252E-2</v>
      </c>
      <c r="U1765">
        <v>0.23855589999999999</v>
      </c>
      <c r="V1765">
        <v>-8.8669750000000006E-2</v>
      </c>
      <c r="W1765">
        <v>0.14992039999999901</v>
      </c>
      <c r="X1765">
        <v>0.98471399999999998</v>
      </c>
      <c r="Y1765">
        <v>-9.3057009999999996E-2</v>
      </c>
      <c r="Z1765">
        <v>-6.0030640000000002E-4</v>
      </c>
      <c r="AA1765">
        <v>0.99566060000000001</v>
      </c>
      <c r="AB1765">
        <v>23</v>
      </c>
      <c r="AC1765">
        <v>86.319599999999994</v>
      </c>
      <c r="AD1765">
        <v>1.5043439999999999</v>
      </c>
      <c r="AE1765">
        <v>6.8475999999999999</v>
      </c>
      <c r="AF1765">
        <v>-8.0663199131144001</v>
      </c>
      <c r="AG1765">
        <v>1.5043439999999999</v>
      </c>
      <c r="AH1765">
        <v>86.188011924690301</v>
      </c>
      <c r="AI1765">
        <v>89.004398617491404</v>
      </c>
      <c r="AJ1765">
        <v>95.346726828215196</v>
      </c>
      <c r="AK1765">
        <v>86.577722119154799</v>
      </c>
      <c r="AL1765">
        <v>81.377686837519093</v>
      </c>
      <c r="AM1765">
        <v>95.145390124553899</v>
      </c>
      <c r="AN1765">
        <v>1.0000000563486</v>
      </c>
    </row>
    <row r="1766" spans="1:40" x14ac:dyDescent="0.25">
      <c r="A1766" t="str">
        <f>"20190304154751769"</f>
        <v>20190304154751769</v>
      </c>
      <c r="B1766" t="str">
        <f>"1551685671758136"</f>
        <v>1551685671758136</v>
      </c>
      <c r="C1766" t="s">
        <v>40</v>
      </c>
      <c r="D1766">
        <v>4.4108349999999996</v>
      </c>
      <c r="E1766">
        <v>0.48516169999999997</v>
      </c>
      <c r="F1766" t="s">
        <v>43</v>
      </c>
      <c r="G1766">
        <v>-158.19499999999999</v>
      </c>
      <c r="H1766">
        <v>2.151961</v>
      </c>
      <c r="I1766">
        <v>375.13099999999997</v>
      </c>
      <c r="J1766">
        <v>-244.4068</v>
      </c>
      <c r="K1766">
        <v>1.111056</v>
      </c>
      <c r="L1766">
        <v>366.58749999999998</v>
      </c>
      <c r="M1766">
        <v>0.99980230000000003</v>
      </c>
      <c r="N1766">
        <v>-1.397696E-2</v>
      </c>
      <c r="O1766">
        <v>-1.415363E-2</v>
      </c>
      <c r="P1766">
        <v>0.98789950000000004</v>
      </c>
      <c r="Q1766">
        <v>0.1358905</v>
      </c>
      <c r="R1766">
        <v>7.4756760000000005E-2</v>
      </c>
      <c r="S1766">
        <v>3.009293</v>
      </c>
      <c r="T1766">
        <v>3.6291120000000003E-2</v>
      </c>
      <c r="U1766">
        <v>0.29779050000000001</v>
      </c>
      <c r="V1766">
        <v>-8.8727120000000007E-2</v>
      </c>
      <c r="W1766">
        <v>0.14967239999999901</v>
      </c>
      <c r="X1766">
        <v>0.98474649999999997</v>
      </c>
      <c r="Y1766">
        <v>-0.11254889999999999</v>
      </c>
      <c r="Z1766">
        <v>-2.5607800000000002E-4</v>
      </c>
      <c r="AA1766">
        <v>0.99364609999999998</v>
      </c>
      <c r="AB1766">
        <v>23</v>
      </c>
      <c r="AC1766">
        <v>86.211799999999997</v>
      </c>
      <c r="AD1766">
        <v>1.040905</v>
      </c>
      <c r="AE1766">
        <v>8.5434999999999892</v>
      </c>
      <c r="AF1766">
        <v>-9.7615638075434905</v>
      </c>
      <c r="AG1766">
        <v>1.040905</v>
      </c>
      <c r="AH1766">
        <v>86.069804381242093</v>
      </c>
      <c r="AI1766">
        <v>89.311527357725197</v>
      </c>
      <c r="AJ1766">
        <v>96.470523574891601</v>
      </c>
      <c r="AK1766">
        <v>86.627841006301495</v>
      </c>
      <c r="AL1766">
        <v>81.392057850096506</v>
      </c>
      <c r="AM1766">
        <v>95.148532332115096</v>
      </c>
      <c r="AN1766">
        <v>0.99999999920375204</v>
      </c>
    </row>
    <row r="1767" spans="1:40" x14ac:dyDescent="0.25">
      <c r="A1767" t="str">
        <f>"20190304154751780"</f>
        <v>20190304154751780</v>
      </c>
      <c r="B1767" t="str">
        <f>"1551685671778632"</f>
        <v>1551685671778632</v>
      </c>
      <c r="C1767" t="s">
        <v>40</v>
      </c>
      <c r="D1767">
        <v>4.37439</v>
      </c>
      <c r="E1767">
        <v>0.47972290000000001</v>
      </c>
      <c r="F1767" t="s">
        <v>43</v>
      </c>
      <c r="G1767">
        <v>-158.19499999999999</v>
      </c>
      <c r="H1767">
        <v>1.561817</v>
      </c>
      <c r="I1767">
        <v>376.0949</v>
      </c>
      <c r="J1767">
        <v>-244.3004</v>
      </c>
      <c r="K1767">
        <v>1.111054</v>
      </c>
      <c r="L1767">
        <v>366.58600000000001</v>
      </c>
      <c r="M1767">
        <v>0.99980239999999998</v>
      </c>
      <c r="N1767">
        <v>-1.396406E-2</v>
      </c>
      <c r="O1767">
        <v>-1.415366E-2</v>
      </c>
      <c r="P1767">
        <v>0.98793839999999999</v>
      </c>
      <c r="Q1767">
        <v>0.135577799999999</v>
      </c>
      <c r="R1767">
        <v>7.4812429999999999E-2</v>
      </c>
      <c r="S1767">
        <v>3.00943</v>
      </c>
      <c r="T1767">
        <v>1.5737890000000001E-2</v>
      </c>
      <c r="U1767">
        <v>0.33187870000000003</v>
      </c>
      <c r="V1767">
        <v>-8.8783650000000006E-2</v>
      </c>
      <c r="W1767">
        <v>0.14934749999999999</v>
      </c>
      <c r="X1767">
        <v>0.98479070000000002</v>
      </c>
      <c r="Y1767">
        <v>-0.12367400000000001</v>
      </c>
      <c r="Z1767">
        <v>2.7291739999999999E-4</v>
      </c>
      <c r="AA1767">
        <v>0.99232290000000001</v>
      </c>
      <c r="AB1767">
        <v>23</v>
      </c>
      <c r="AC1767">
        <v>86.105400000000003</v>
      </c>
      <c r="AD1767">
        <v>0.45076300000000002</v>
      </c>
      <c r="AE1767">
        <v>9.5088999999999793</v>
      </c>
      <c r="AF1767">
        <v>-10.7264822012368</v>
      </c>
      <c r="AG1767">
        <v>0.45076300000000002</v>
      </c>
      <c r="AH1767">
        <v>85.959847079293993</v>
      </c>
      <c r="AI1767">
        <v>89.701862818777599</v>
      </c>
      <c r="AJ1767">
        <v>97.1128755871094</v>
      </c>
      <c r="AK1767">
        <v>86.627685629891005</v>
      </c>
      <c r="AL1767">
        <v>81.410884586335499</v>
      </c>
      <c r="AM1767">
        <v>95.151564947346799</v>
      </c>
      <c r="AN1767">
        <v>0.99999996753502995</v>
      </c>
    </row>
    <row r="1768" spans="1:40" x14ac:dyDescent="0.25">
      <c r="A1768" t="str">
        <f>"20190304154751791"</f>
        <v>20190304154751791</v>
      </c>
      <c r="B1768" t="str">
        <f>"1551685671788392"</f>
        <v>1551685671788392</v>
      </c>
      <c r="C1768" t="s">
        <v>40</v>
      </c>
      <c r="D1768">
        <v>4.3547799999999999</v>
      </c>
      <c r="E1768">
        <v>0.47801369999999999</v>
      </c>
      <c r="F1768" t="s">
        <v>43</v>
      </c>
      <c r="G1768">
        <v>-158.19499999999999</v>
      </c>
      <c r="H1768">
        <v>0.7159624</v>
      </c>
      <c r="I1768">
        <v>377.30939999999998</v>
      </c>
      <c r="J1768">
        <v>-244.19380000000001</v>
      </c>
      <c r="K1768">
        <v>1.1110530000000001</v>
      </c>
      <c r="L1768">
        <v>366.58449999999999</v>
      </c>
      <c r="M1768">
        <v>0.99980250000000004</v>
      </c>
      <c r="N1768">
        <v>-1.3950769999999999E-2</v>
      </c>
      <c r="O1768">
        <v>-1.415345E-2</v>
      </c>
      <c r="P1768">
        <v>0.98792369999999996</v>
      </c>
      <c r="Q1768">
        <v>0.13572600000000001</v>
      </c>
      <c r="R1768">
        <v>7.4735209999999996E-2</v>
      </c>
      <c r="S1768">
        <v>3.0101469999999999</v>
      </c>
      <c r="T1768">
        <v>-1.3808849999999999E-2</v>
      </c>
      <c r="U1768">
        <v>0.37487789999999999</v>
      </c>
      <c r="V1768">
        <v>-8.8706209999999994E-2</v>
      </c>
      <c r="W1768">
        <v>0.14948239999999999</v>
      </c>
      <c r="X1768">
        <v>0.98477729999999997</v>
      </c>
      <c r="Y1768">
        <v>-0.13761089999999901</v>
      </c>
      <c r="Z1768">
        <v>1.146099E-3</v>
      </c>
      <c r="AA1768">
        <v>0.99048570000000002</v>
      </c>
      <c r="AB1768">
        <v>22</v>
      </c>
      <c r="AC1768">
        <v>85.998800000000003</v>
      </c>
      <c r="AD1768">
        <v>-0.39509060000000001</v>
      </c>
      <c r="AE1768">
        <v>10.7248999999999</v>
      </c>
      <c r="AF1768">
        <v>-11.940875553823499</v>
      </c>
      <c r="AG1768">
        <v>-0.39509060000000001</v>
      </c>
      <c r="AH1768">
        <v>85.836591201106202</v>
      </c>
      <c r="AI1768">
        <v>90.261205161146407</v>
      </c>
      <c r="AJ1768">
        <v>97.919687795123195</v>
      </c>
      <c r="AK1768">
        <v>86.664069801734598</v>
      </c>
      <c r="AL1768">
        <v>81.403068395366404</v>
      </c>
      <c r="AM1768">
        <v>95.147165391204197</v>
      </c>
      <c r="AN1768">
        <v>1.0000000550988</v>
      </c>
    </row>
    <row r="1769" spans="1:40" x14ac:dyDescent="0.25">
      <c r="A1769" t="str">
        <f>"20190304154751802"</f>
        <v>20190304154751802</v>
      </c>
      <c r="B1769" t="str">
        <f>"1551685671798152"</f>
        <v>1551685671798152</v>
      </c>
      <c r="C1769" t="s">
        <v>40</v>
      </c>
      <c r="D1769">
        <v>4.3813680000000002</v>
      </c>
      <c r="E1769">
        <v>0.47646579999999999</v>
      </c>
      <c r="F1769" t="s">
        <v>43</v>
      </c>
      <c r="G1769">
        <v>-158.19499999999999</v>
      </c>
      <c r="H1769">
        <v>0.4921179</v>
      </c>
      <c r="I1769">
        <v>377.66460000000001</v>
      </c>
      <c r="J1769">
        <v>-244.0915</v>
      </c>
      <c r="K1769">
        <v>1.111051</v>
      </c>
      <c r="L1769">
        <v>366.58300000000003</v>
      </c>
      <c r="M1769">
        <v>0.99980279999999999</v>
      </c>
      <c r="N1769">
        <v>-1.393762E-2</v>
      </c>
      <c r="O1769">
        <v>-1.415348E-2</v>
      </c>
      <c r="P1769">
        <v>0.98789700000000003</v>
      </c>
      <c r="Q1769">
        <v>0.13601440000000001</v>
      </c>
      <c r="R1769">
        <v>7.4565039999999999E-2</v>
      </c>
      <c r="S1769">
        <v>3.0103</v>
      </c>
      <c r="T1769">
        <v>-2.166212E-2</v>
      </c>
      <c r="U1769">
        <v>0.38784790000000002</v>
      </c>
      <c r="V1769">
        <v>-8.8534840000000004E-2</v>
      </c>
      <c r="W1769">
        <v>0.14975769999999999</v>
      </c>
      <c r="X1769">
        <v>0.98475080000000004</v>
      </c>
      <c r="Y1769">
        <v>-0.14179900000000001</v>
      </c>
      <c r="Z1769">
        <v>1.405433E-3</v>
      </c>
      <c r="AA1769">
        <v>0.98989439999999995</v>
      </c>
      <c r="AB1769">
        <v>22</v>
      </c>
      <c r="AC1769">
        <v>85.896500000000003</v>
      </c>
      <c r="AD1769">
        <v>-0.61893310000000001</v>
      </c>
      <c r="AE1769">
        <v>11.0815999999999</v>
      </c>
      <c r="AF1769">
        <v>-12.2957142083046</v>
      </c>
      <c r="AG1769">
        <v>-0.61893310000000001</v>
      </c>
      <c r="AH1769">
        <v>85.726657961457903</v>
      </c>
      <c r="AI1769">
        <v>90.409469197985501</v>
      </c>
      <c r="AJ1769">
        <v>98.162226104286205</v>
      </c>
      <c r="AK1769">
        <v>86.606163471864804</v>
      </c>
      <c r="AL1769">
        <v>81.387114488178099</v>
      </c>
      <c r="AM1769">
        <v>95.137412436533594</v>
      </c>
      <c r="AN1769">
        <v>0.99999996235187705</v>
      </c>
    </row>
    <row r="1770" spans="1:40" x14ac:dyDescent="0.25">
      <c r="A1770" t="str">
        <f>"20190304154751812"</f>
        <v>20190304154751812</v>
      </c>
      <c r="B1770" t="str">
        <f>"1551685671807913"</f>
        <v>1551685671807913</v>
      </c>
      <c r="C1770" t="s">
        <v>40</v>
      </c>
      <c r="D1770">
        <v>4.3700260000000002</v>
      </c>
      <c r="E1770">
        <v>0.47554849999999999</v>
      </c>
      <c r="F1770" t="s">
        <v>43</v>
      </c>
      <c r="G1770">
        <v>-158.19499999999999</v>
      </c>
      <c r="H1770">
        <v>0.30926609999999899</v>
      </c>
      <c r="I1770">
        <v>377.98649999999998</v>
      </c>
      <c r="J1770">
        <v>-243.9828</v>
      </c>
      <c r="K1770">
        <v>1.111051</v>
      </c>
      <c r="L1770">
        <v>366.58139999999997</v>
      </c>
      <c r="M1770">
        <v>0.99980290000000005</v>
      </c>
      <c r="N1770">
        <v>-1.3923690000000001E-2</v>
      </c>
      <c r="O1770">
        <v>-1.415362E-2</v>
      </c>
      <c r="P1770">
        <v>0.98791549999999995</v>
      </c>
      <c r="Q1770">
        <v>0.13596429999999901</v>
      </c>
      <c r="R1770">
        <v>7.4410569999999995E-2</v>
      </c>
      <c r="S1770">
        <v>3.010437</v>
      </c>
      <c r="T1770">
        <v>-2.8097270000000001E-2</v>
      </c>
      <c r="U1770">
        <v>0.39965820000000002</v>
      </c>
      <c r="V1770">
        <v>-8.8381219999999996E-2</v>
      </c>
      <c r="W1770">
        <v>0.1496941</v>
      </c>
      <c r="X1770">
        <v>0.98477429999999999</v>
      </c>
      <c r="Y1770">
        <v>-0.1456057</v>
      </c>
      <c r="Z1770">
        <v>1.630091E-3</v>
      </c>
      <c r="AA1770">
        <v>0.98934140000000004</v>
      </c>
      <c r="AB1770">
        <v>22</v>
      </c>
      <c r="AC1770">
        <v>85.787800000000004</v>
      </c>
      <c r="AD1770">
        <v>-0.80178490000000002</v>
      </c>
      <c r="AE1770">
        <v>11.405099999999999</v>
      </c>
      <c r="AF1770">
        <v>-12.617199999989801</v>
      </c>
      <c r="AG1770">
        <v>-0.80178490000000002</v>
      </c>
      <c r="AH1770">
        <v>85.610417861821603</v>
      </c>
      <c r="AI1770">
        <v>90.530854345167697</v>
      </c>
      <c r="AJ1770">
        <v>98.383856284026805</v>
      </c>
      <c r="AK1770">
        <v>86.5388943847869</v>
      </c>
      <c r="AL1770">
        <v>81.3908003091464</v>
      </c>
      <c r="AM1770">
        <v>95.1284241732005</v>
      </c>
      <c r="AN1770">
        <v>0.99999999278199403</v>
      </c>
    </row>
    <row r="1771" spans="1:40" x14ac:dyDescent="0.25">
      <c r="A1771" t="str">
        <f>"20190304154751827"</f>
        <v>20190304154751827</v>
      </c>
      <c r="B1771" t="str">
        <f>"1551685671818648"</f>
        <v>1551685671818648</v>
      </c>
      <c r="C1771" t="s">
        <v>40</v>
      </c>
      <c r="D1771">
        <v>4.413125</v>
      </c>
      <c r="E1771">
        <v>0.47474280000000002</v>
      </c>
      <c r="F1771" t="s">
        <v>43</v>
      </c>
      <c r="G1771">
        <v>-158.19499999999999</v>
      </c>
      <c r="H1771">
        <v>9.6300129999999998E-2</v>
      </c>
      <c r="I1771">
        <v>378.16309999999999</v>
      </c>
      <c r="J1771">
        <v>-243.834</v>
      </c>
      <c r="K1771">
        <v>1.1110469999999999</v>
      </c>
      <c r="L1771">
        <v>366.57929999999999</v>
      </c>
      <c r="M1771">
        <v>0.9998032</v>
      </c>
      <c r="N1771">
        <v>-1.3905560000000001E-2</v>
      </c>
      <c r="O1771">
        <v>-1.4153489999999999E-2</v>
      </c>
      <c r="P1771">
        <v>0.98791779999999996</v>
      </c>
      <c r="Q1771">
        <v>0.13603219999999999</v>
      </c>
      <c r="R1771">
        <v>7.4255360000000006E-2</v>
      </c>
      <c r="S1771">
        <v>3.0109859999999999</v>
      </c>
      <c r="T1771">
        <v>-3.5612699999999997E-2</v>
      </c>
      <c r="U1771">
        <v>0.40649410000000002</v>
      </c>
      <c r="V1771">
        <v>-8.8225600000000001E-2</v>
      </c>
      <c r="W1771">
        <v>0.14974399999999999</v>
      </c>
      <c r="X1771">
        <v>0.98478069999999895</v>
      </c>
      <c r="Y1771">
        <v>-0.14778179999999999</v>
      </c>
      <c r="Z1771">
        <v>1.8730190000000001E-3</v>
      </c>
      <c r="AA1771">
        <v>0.98901819999999896</v>
      </c>
      <c r="AB1771">
        <v>22</v>
      </c>
      <c r="AC1771">
        <v>85.638999999999996</v>
      </c>
      <c r="AD1771">
        <v>-1.01474687</v>
      </c>
      <c r="AE1771">
        <v>11.583799999999901</v>
      </c>
      <c r="AF1771">
        <v>-12.7930834383196</v>
      </c>
      <c r="AG1771">
        <v>-1.01474687</v>
      </c>
      <c r="AH1771">
        <v>85.454670808612093</v>
      </c>
      <c r="AI1771">
        <v>90.672839738224894</v>
      </c>
      <c r="AJ1771">
        <v>98.514294868339107</v>
      </c>
      <c r="AK1771">
        <v>86.412924137991297</v>
      </c>
      <c r="AL1771">
        <v>81.387908932471305</v>
      </c>
      <c r="AM1771">
        <v>95.119409072659806</v>
      </c>
      <c r="AN1771">
        <v>1.0000000245619201</v>
      </c>
    </row>
    <row r="1772" spans="1:40" x14ac:dyDescent="0.25">
      <c r="A1772" t="str">
        <f>"20190304154751838"</f>
        <v>20190304154751838</v>
      </c>
      <c r="B1772" t="str">
        <f>"1551685671828408"</f>
        <v>1551685671828408</v>
      </c>
      <c r="C1772" t="s">
        <v>40</v>
      </c>
      <c r="D1772">
        <v>4.3794550000000001</v>
      </c>
      <c r="E1772">
        <v>0.47406219999999999</v>
      </c>
      <c r="F1772" t="s">
        <v>45</v>
      </c>
      <c r="G1772">
        <v>-156.96549999999999</v>
      </c>
      <c r="H1772">
        <v>-0.05</v>
      </c>
      <c r="I1772">
        <v>378.47669999999999</v>
      </c>
      <c r="J1772">
        <v>-243.7251</v>
      </c>
      <c r="K1772">
        <v>1.1110469999999999</v>
      </c>
      <c r="L1772">
        <v>366.57780000000002</v>
      </c>
      <c r="M1772">
        <v>0.99980329999999995</v>
      </c>
      <c r="N1772">
        <v>-1.389277E-2</v>
      </c>
      <c r="O1772">
        <v>-1.415341E-2</v>
      </c>
      <c r="P1772">
        <v>0.98792749999999996</v>
      </c>
      <c r="Q1772">
        <v>0.13605220000000001</v>
      </c>
      <c r="R1772">
        <v>7.4090030000000001E-2</v>
      </c>
      <c r="S1772">
        <v>3.0112299999999999</v>
      </c>
      <c r="T1772">
        <v>-4.0246839999999999E-2</v>
      </c>
      <c r="U1772">
        <v>0.41241460000000002</v>
      </c>
      <c r="V1772">
        <v>-8.8061120000000007E-2</v>
      </c>
      <c r="W1772">
        <v>0.14975160000000001</v>
      </c>
      <c r="X1772">
        <v>0.98479430000000001</v>
      </c>
      <c r="Y1772">
        <v>-0.14967529999999901</v>
      </c>
      <c r="Z1772">
        <v>2.0328730000000001E-3</v>
      </c>
      <c r="AA1772">
        <v>0.98873310000000003</v>
      </c>
      <c r="AB1772">
        <v>22</v>
      </c>
      <c r="AC1772">
        <v>86.759600000000006</v>
      </c>
      <c r="AD1772">
        <v>-1.1610469999999999</v>
      </c>
      <c r="AE1772">
        <v>11.8988999999999</v>
      </c>
      <c r="AF1772">
        <v>-13.123463798844501</v>
      </c>
      <c r="AG1772">
        <v>-1.1610469999999999</v>
      </c>
      <c r="AH1772">
        <v>86.567264954629294</v>
      </c>
      <c r="AI1772">
        <v>90.759729984374204</v>
      </c>
      <c r="AJ1772">
        <v>98.620314067331606</v>
      </c>
      <c r="AK1772">
        <v>87.564060515378003</v>
      </c>
      <c r="AL1772">
        <v>81.387468808164698</v>
      </c>
      <c r="AM1772">
        <v>95.109845280711298</v>
      </c>
      <c r="AN1772">
        <v>1.0000000579353501</v>
      </c>
    </row>
    <row r="1773" spans="1:40" x14ac:dyDescent="0.25">
      <c r="A1773" t="str">
        <f>"20190304154751849"</f>
        <v>20190304154751849</v>
      </c>
      <c r="B1773" t="str">
        <f>"1551685671838169"</f>
        <v>1551685671838169</v>
      </c>
      <c r="C1773" t="s">
        <v>40</v>
      </c>
      <c r="D1773">
        <v>4.4231550000000004</v>
      </c>
      <c r="E1773">
        <v>0.4735858</v>
      </c>
      <c r="F1773" t="s">
        <v>45</v>
      </c>
      <c r="G1773">
        <v>-166.20320000000001</v>
      </c>
      <c r="H1773">
        <v>-0.05</v>
      </c>
      <c r="I1773">
        <v>377.31240000000003</v>
      </c>
      <c r="J1773">
        <v>-243.60310000000001</v>
      </c>
      <c r="K1773">
        <v>1.1110469999999999</v>
      </c>
      <c r="L1773">
        <v>366.5761</v>
      </c>
      <c r="M1773">
        <v>0.99980360000000001</v>
      </c>
      <c r="N1773">
        <v>-1.387878E-2</v>
      </c>
      <c r="O1773">
        <v>-1.415343E-2</v>
      </c>
      <c r="P1773">
        <v>0.98789369999999999</v>
      </c>
      <c r="Q1773">
        <v>0.136512299999999</v>
      </c>
      <c r="R1773">
        <v>7.3692079999999993E-2</v>
      </c>
      <c r="S1773">
        <v>3.011612</v>
      </c>
      <c r="T1773">
        <v>-4.5104980000000003E-2</v>
      </c>
      <c r="U1773">
        <v>0.41702270000000002</v>
      </c>
      <c r="V1773">
        <v>-8.7662080000000003E-2</v>
      </c>
      <c r="W1773">
        <v>0.15019759999999999</v>
      </c>
      <c r="X1773">
        <v>0.98476200000000003</v>
      </c>
      <c r="Y1773">
        <v>-0.15113779999999999</v>
      </c>
      <c r="Z1773">
        <v>2.1958469999999999E-3</v>
      </c>
      <c r="AA1773">
        <v>0.98851029999999995</v>
      </c>
      <c r="AB1773">
        <v>22</v>
      </c>
      <c r="AC1773">
        <v>77.399900000000002</v>
      </c>
      <c r="AD1773">
        <v>-1.1610469999999999</v>
      </c>
      <c r="AE1773">
        <v>10.7363</v>
      </c>
      <c r="AF1773">
        <v>-11.8281925618251</v>
      </c>
      <c r="AG1773">
        <v>-1.1610469999999999</v>
      </c>
      <c r="AH1773">
        <v>77.223127045612799</v>
      </c>
      <c r="AI1773">
        <v>90.851446728269906</v>
      </c>
      <c r="AJ1773">
        <v>98.708259893955201</v>
      </c>
      <c r="AK1773">
        <v>78.132358982170004</v>
      </c>
      <c r="AL1773">
        <v>81.361622741393404</v>
      </c>
      <c r="AM1773">
        <v>95.086978263765999</v>
      </c>
      <c r="AN1773">
        <v>1.0000000779798399</v>
      </c>
    </row>
    <row r="1774" spans="1:40" x14ac:dyDescent="0.25">
      <c r="A1774" t="str">
        <f>"20190304154751864"</f>
        <v>20190304154751864</v>
      </c>
      <c r="B1774" t="str">
        <f>"1551685671858665"</f>
        <v>1551685671858665</v>
      </c>
      <c r="C1774" t="s">
        <v>40</v>
      </c>
      <c r="D1774">
        <v>4.3992170000000002</v>
      </c>
      <c r="E1774">
        <v>0.4730066</v>
      </c>
      <c r="F1774" t="s">
        <v>53</v>
      </c>
      <c r="G1774">
        <v>-178.78309999999999</v>
      </c>
      <c r="H1774">
        <v>7.9989039999999997E-2</v>
      </c>
      <c r="I1774">
        <v>375.60230000000001</v>
      </c>
      <c r="J1774">
        <v>-243.46879999999999</v>
      </c>
      <c r="K1774">
        <v>1.111048</v>
      </c>
      <c r="L1774">
        <v>366.57420000000002</v>
      </c>
      <c r="M1774">
        <v>0.99980380000000002</v>
      </c>
      <c r="N1774">
        <v>-1.38642E-2</v>
      </c>
      <c r="O1774">
        <v>-1.415345E-2</v>
      </c>
      <c r="P1774">
        <v>0.98788169999999997</v>
      </c>
      <c r="Q1774">
        <v>0.13674229999999901</v>
      </c>
      <c r="R1774">
        <v>7.342775E-2</v>
      </c>
      <c r="S1774">
        <v>3.0120849999999999</v>
      </c>
      <c r="T1774">
        <v>-4.7911639999999998E-2</v>
      </c>
      <c r="U1774">
        <v>0.41943359999999902</v>
      </c>
      <c r="V1774">
        <v>-8.7398100000000006E-2</v>
      </c>
      <c r="W1774">
        <v>0.15041299999999999</v>
      </c>
      <c r="X1774">
        <v>0.98475250000000003</v>
      </c>
      <c r="Y1774">
        <v>-0.15188960000000001</v>
      </c>
      <c r="Z1774">
        <v>2.28912E-3</v>
      </c>
      <c r="AA1774">
        <v>0.98839480000000002</v>
      </c>
      <c r="AB1774">
        <v>22</v>
      </c>
      <c r="AC1774">
        <v>64.685699999999997</v>
      </c>
      <c r="AD1774">
        <v>-1.03105896</v>
      </c>
      <c r="AE1774">
        <v>9.0280999999999896</v>
      </c>
      <c r="AF1774">
        <v>-9.9403320013381897</v>
      </c>
      <c r="AG1774">
        <v>-1.03105896</v>
      </c>
      <c r="AH1774">
        <v>64.535345378989703</v>
      </c>
      <c r="AI1774">
        <v>90.904650328262406</v>
      </c>
      <c r="AJ1774">
        <v>98.756411060142298</v>
      </c>
      <c r="AK1774">
        <v>65.304548739435603</v>
      </c>
      <c r="AL1774">
        <v>81.349138669830594</v>
      </c>
      <c r="AM1774">
        <v>95.0717883480078</v>
      </c>
      <c r="AN1774">
        <v>0.99999999235443005</v>
      </c>
    </row>
    <row r="1775" spans="1:40" x14ac:dyDescent="0.25">
      <c r="A1775" t="str">
        <f>"20190304154751877"</f>
        <v>20190304154751877</v>
      </c>
      <c r="B1775" t="str">
        <f>"1551685671868424"</f>
        <v>1551685671868424</v>
      </c>
      <c r="C1775" t="s">
        <v>40</v>
      </c>
      <c r="D1775">
        <v>4.4230489999999998</v>
      </c>
      <c r="E1775">
        <v>0.47275220000000001</v>
      </c>
      <c r="F1775" t="s">
        <v>53</v>
      </c>
      <c r="G1775">
        <v>-180</v>
      </c>
      <c r="H1775">
        <v>6.7967230000000002E-3</v>
      </c>
      <c r="I1775">
        <v>375.4898</v>
      </c>
      <c r="J1775">
        <v>-243.33340000000001</v>
      </c>
      <c r="K1775">
        <v>1.111048</v>
      </c>
      <c r="L1775">
        <v>366.57229999999998</v>
      </c>
      <c r="M1775">
        <v>0.99980400000000003</v>
      </c>
      <c r="N1775">
        <v>-1.384994E-2</v>
      </c>
      <c r="O1775">
        <v>-1.4153590000000001E-2</v>
      </c>
      <c r="P1775">
        <v>0.98778940000000004</v>
      </c>
      <c r="Q1775">
        <v>0.1375574</v>
      </c>
      <c r="R1775">
        <v>7.3146559999999999E-2</v>
      </c>
      <c r="S1775">
        <v>3.0125890000000002</v>
      </c>
      <c r="T1775">
        <v>-5.2413939999999999E-2</v>
      </c>
      <c r="U1775">
        <v>0.42318729999999899</v>
      </c>
      <c r="V1775">
        <v>-8.711547E-2</v>
      </c>
      <c r="W1775">
        <v>0.1512125</v>
      </c>
      <c r="X1775">
        <v>0.98465510000000001</v>
      </c>
      <c r="Y1775">
        <v>-0.15306939999999999</v>
      </c>
      <c r="Z1775">
        <v>2.4403929999999999E-3</v>
      </c>
      <c r="AA1775">
        <v>0.98821239999999999</v>
      </c>
      <c r="AB1775">
        <v>22</v>
      </c>
      <c r="AC1775">
        <v>63.333399999999997</v>
      </c>
      <c r="AD1775">
        <v>-1.1042512769999999</v>
      </c>
      <c r="AE1775">
        <v>8.9175000000000093</v>
      </c>
      <c r="AF1775">
        <v>-9.8101631782113401</v>
      </c>
      <c r="AG1775">
        <v>-1.1042512769999999</v>
      </c>
      <c r="AH1775">
        <v>63.181994337527897</v>
      </c>
      <c r="AI1775">
        <v>90.989420958863093</v>
      </c>
      <c r="AJ1775">
        <v>98.825746235562207</v>
      </c>
      <c r="AK1775">
        <v>63.948597177211703</v>
      </c>
      <c r="AL1775">
        <v>81.302800723306902</v>
      </c>
      <c r="AM1775">
        <v>95.055969696830502</v>
      </c>
      <c r="AN1775">
        <v>0.99999999561278996</v>
      </c>
    </row>
    <row r="1776" spans="1:40" x14ac:dyDescent="0.25">
      <c r="A1776" t="str">
        <f>"20190304154751890"</f>
        <v>20190304154751890</v>
      </c>
      <c r="B1776" t="str">
        <f>"1551685671887944"</f>
        <v>1551685671887944</v>
      </c>
      <c r="C1776" t="s">
        <v>40</v>
      </c>
      <c r="D1776">
        <v>4.4050279999999997</v>
      </c>
      <c r="E1776">
        <v>0.4720665</v>
      </c>
      <c r="F1776" t="s">
        <v>53</v>
      </c>
      <c r="G1776">
        <v>-180</v>
      </c>
      <c r="H1776">
        <v>3.9067879999999999E-2</v>
      </c>
      <c r="I1776">
        <v>375.49590000000001</v>
      </c>
      <c r="J1776">
        <v>-243.19970000000001</v>
      </c>
      <c r="K1776">
        <v>1.1110439999999999</v>
      </c>
      <c r="L1776">
        <v>366.57029999999997</v>
      </c>
      <c r="M1776">
        <v>0.99980429999999998</v>
      </c>
      <c r="N1776">
        <v>-1.3836360000000001E-2</v>
      </c>
      <c r="O1776">
        <v>-1.415361E-2</v>
      </c>
      <c r="P1776">
        <v>0.98774899999999999</v>
      </c>
      <c r="Q1776">
        <v>0.138114299999999</v>
      </c>
      <c r="R1776">
        <v>7.2640720000000006E-2</v>
      </c>
      <c r="S1776">
        <v>3.012772</v>
      </c>
      <c r="T1776">
        <v>-5.0994159999999997E-2</v>
      </c>
      <c r="U1776">
        <v>0.42449949999999997</v>
      </c>
      <c r="V1776">
        <v>-8.6609530000000004E-2</v>
      </c>
      <c r="W1776">
        <v>0.1517559</v>
      </c>
      <c r="X1776">
        <v>0.98461620000000005</v>
      </c>
      <c r="Y1776">
        <v>-0.1534848</v>
      </c>
      <c r="Z1776">
        <v>2.403297E-3</v>
      </c>
      <c r="AA1776">
        <v>0.98814809999999997</v>
      </c>
      <c r="AB1776">
        <v>22</v>
      </c>
      <c r="AC1776">
        <v>63.1997</v>
      </c>
      <c r="AD1776">
        <v>-1.07197612</v>
      </c>
      <c r="AE1776">
        <v>8.9256000000000295</v>
      </c>
      <c r="AF1776">
        <v>-9.8165261474007508</v>
      </c>
      <c r="AG1776">
        <v>-1.07197612</v>
      </c>
      <c r="AH1776">
        <v>63.049242154842197</v>
      </c>
      <c r="AI1776">
        <v>90.962467067084802</v>
      </c>
      <c r="AJ1776">
        <v>98.849681214342397</v>
      </c>
      <c r="AK1776">
        <v>63.817867832640601</v>
      </c>
      <c r="AL1776">
        <v>81.271303288012007</v>
      </c>
      <c r="AM1776">
        <v>95.0269546311429</v>
      </c>
      <c r="AN1776">
        <v>1.00000006258703</v>
      </c>
    </row>
    <row r="1777" spans="1:40" x14ac:dyDescent="0.25">
      <c r="A1777" t="str">
        <f>"20190304154751904"</f>
        <v>20190304154751904</v>
      </c>
      <c r="B1777" t="str">
        <f>"1551685671898680"</f>
        <v>1551685671898680</v>
      </c>
      <c r="C1777" t="s">
        <v>40</v>
      </c>
      <c r="D1777">
        <v>4.4031250000000002</v>
      </c>
      <c r="E1777">
        <v>0.47180250000000001</v>
      </c>
      <c r="F1777" t="s">
        <v>53</v>
      </c>
      <c r="G1777">
        <v>-181.14879999999999</v>
      </c>
      <c r="H1777" s="1">
        <v>-6.3495400000000002E-6</v>
      </c>
      <c r="I1777">
        <v>375.38470000000001</v>
      </c>
      <c r="J1777">
        <v>-243.06479999999999</v>
      </c>
      <c r="K1777">
        <v>1.1110439999999999</v>
      </c>
      <c r="L1777">
        <v>366.56849999999997</v>
      </c>
      <c r="M1777">
        <v>0.99980440000000004</v>
      </c>
      <c r="N1777">
        <v>-1.382358E-2</v>
      </c>
      <c r="O1777">
        <v>-1.415377E-2</v>
      </c>
      <c r="P1777">
        <v>0.98770400000000003</v>
      </c>
      <c r="Q1777">
        <v>0.13845869999999999</v>
      </c>
      <c r="R1777">
        <v>7.2597659999999994E-2</v>
      </c>
      <c r="S1777">
        <v>3.0132750000000001</v>
      </c>
      <c r="T1777">
        <v>-5.3954120000000001E-2</v>
      </c>
      <c r="U1777">
        <v>0.42803960000000002</v>
      </c>
      <c r="V1777">
        <v>-8.6565630000000005E-2</v>
      </c>
      <c r="W1777">
        <v>0.15208720000000001</v>
      </c>
      <c r="X1777">
        <v>0.98456889999999997</v>
      </c>
      <c r="Y1777">
        <v>-0.15459629999999999</v>
      </c>
      <c r="Z1777">
        <v>2.5086739999999998E-3</v>
      </c>
      <c r="AA1777">
        <v>0.98797449999999998</v>
      </c>
      <c r="AB1777">
        <v>22</v>
      </c>
      <c r="AC1777">
        <v>61.915999999999997</v>
      </c>
      <c r="AD1777">
        <v>-1.1110503495399999</v>
      </c>
      <c r="AE1777">
        <v>8.8162000000000305</v>
      </c>
      <c r="AF1777">
        <v>-9.6886873661036592</v>
      </c>
      <c r="AG1777">
        <v>-1.1110503495399999</v>
      </c>
      <c r="AH1777">
        <v>61.765508806235502</v>
      </c>
      <c r="AI1777">
        <v>91.018090134490294</v>
      </c>
      <c r="AJ1777">
        <v>98.914908942702596</v>
      </c>
      <c r="AK1777">
        <v>62.530657871563001</v>
      </c>
      <c r="AL1777">
        <v>81.252097916434096</v>
      </c>
      <c r="AM1777">
        <v>95.024659795676001</v>
      </c>
      <c r="AN1777">
        <v>1.00000002177417</v>
      </c>
    </row>
    <row r="1778" spans="1:40" x14ac:dyDescent="0.25">
      <c r="A1778" t="str">
        <f>"20190304154751924"</f>
        <v>20190304154751924</v>
      </c>
      <c r="B1778" t="str">
        <f>"1551685671918200"</f>
        <v>1551685671918200</v>
      </c>
      <c r="C1778" t="s">
        <v>40</v>
      </c>
      <c r="D1778">
        <v>4.420356</v>
      </c>
      <c r="E1778">
        <v>0.47119739999999999</v>
      </c>
      <c r="F1778" t="s">
        <v>53</v>
      </c>
      <c r="G1778">
        <v>-181.8348</v>
      </c>
      <c r="H1778" s="1">
        <v>-6.6032819999999999E-6</v>
      </c>
      <c r="I1778">
        <v>375.30180000000001</v>
      </c>
      <c r="J1778">
        <v>-242.8689</v>
      </c>
      <c r="K1778">
        <v>1.1110420000000001</v>
      </c>
      <c r="L1778">
        <v>366.56569999999999</v>
      </c>
      <c r="M1778">
        <v>0.99980460000000004</v>
      </c>
      <c r="N1778">
        <v>-1.380616E-2</v>
      </c>
      <c r="O1778">
        <v>-1.415341E-2</v>
      </c>
      <c r="P1778">
        <v>0.98758979999999996</v>
      </c>
      <c r="Q1778">
        <v>0.13959759999999999</v>
      </c>
      <c r="R1778">
        <v>7.1963070000000004E-2</v>
      </c>
      <c r="S1778">
        <v>3.0134280000000002</v>
      </c>
      <c r="T1778">
        <v>-5.4680230000000003E-2</v>
      </c>
      <c r="U1778">
        <v>0.42980960000000001</v>
      </c>
      <c r="V1778">
        <v>-8.5928980000000002E-2</v>
      </c>
      <c r="W1778">
        <v>0.15320739999999999</v>
      </c>
      <c r="X1778">
        <v>0.98445090000000002</v>
      </c>
      <c r="Y1778">
        <v>-0.15515660000000001</v>
      </c>
      <c r="Z1778">
        <v>2.5383379999999998E-3</v>
      </c>
      <c r="AA1778">
        <v>0.98788659999999995</v>
      </c>
      <c r="AB1778">
        <v>22</v>
      </c>
      <c r="AC1778">
        <v>61.034100000000002</v>
      </c>
      <c r="AD1778">
        <v>-1.1110486032819999</v>
      </c>
      <c r="AE1778">
        <v>8.73610000000002</v>
      </c>
      <c r="AF1778">
        <v>-9.5960316410975697</v>
      </c>
      <c r="AG1778">
        <v>-1.1110486032819999</v>
      </c>
      <c r="AH1778">
        <v>60.884557375315502</v>
      </c>
      <c r="AI1778">
        <v>91.032697817838397</v>
      </c>
      <c r="AJ1778">
        <v>98.956723729983196</v>
      </c>
      <c r="AK1778">
        <v>61.6461481281993</v>
      </c>
      <c r="AL1778">
        <v>81.1871533237031</v>
      </c>
      <c r="AM1778">
        <v>94.988487716591607</v>
      </c>
      <c r="AN1778">
        <v>0.99999993576470303</v>
      </c>
    </row>
    <row r="1779" spans="1:40" x14ac:dyDescent="0.25">
      <c r="A1779" t="str">
        <f>"20190304154751936"</f>
        <v>20190304154751936</v>
      </c>
      <c r="B1779" t="str">
        <f>"1551685671927960"</f>
        <v>1551685671927960</v>
      </c>
      <c r="C1779" t="s">
        <v>40</v>
      </c>
      <c r="D1779">
        <v>4.3977250000000003</v>
      </c>
      <c r="E1779">
        <v>0.4708117</v>
      </c>
      <c r="F1779" t="s">
        <v>53</v>
      </c>
      <c r="G1779">
        <v>-180</v>
      </c>
      <c r="H1779">
        <v>5.8118669999999897E-3</v>
      </c>
      <c r="I1779">
        <v>375.5881</v>
      </c>
      <c r="J1779">
        <v>-242.7433</v>
      </c>
      <c r="K1779">
        <v>1.1110420000000001</v>
      </c>
      <c r="L1779">
        <v>366.56389999999999</v>
      </c>
      <c r="M1779">
        <v>0.99980469999999999</v>
      </c>
      <c r="N1779">
        <v>-1.379579E-2</v>
      </c>
      <c r="O1779">
        <v>-1.415334E-2</v>
      </c>
      <c r="P1779">
        <v>0.9875543</v>
      </c>
      <c r="Q1779">
        <v>0.13990079999999999</v>
      </c>
      <c r="R1779">
        <v>7.186505E-2</v>
      </c>
      <c r="S1779">
        <v>3.0136569999999998</v>
      </c>
      <c r="T1779">
        <v>-5.2979829999999999E-2</v>
      </c>
      <c r="U1779">
        <v>0.43249510000000002</v>
      </c>
      <c r="V1779">
        <v>-8.5830219999999999E-2</v>
      </c>
      <c r="W1779">
        <v>0.15349960000000001</v>
      </c>
      <c r="X1779">
        <v>0.98441400000000001</v>
      </c>
      <c r="Y1779">
        <v>-0.1560106</v>
      </c>
      <c r="Z1779">
        <v>2.4994230000000002E-3</v>
      </c>
      <c r="AA1779">
        <v>0.98775219999999997</v>
      </c>
      <c r="AB1779">
        <v>22</v>
      </c>
      <c r="AC1779">
        <v>62.743299999999998</v>
      </c>
      <c r="AD1779">
        <v>-1.1052301330000001</v>
      </c>
      <c r="AE1779">
        <v>9.0242000000000004</v>
      </c>
      <c r="AF1779">
        <v>-9.9083954873240305</v>
      </c>
      <c r="AG1779">
        <v>-1.1052301330000001</v>
      </c>
      <c r="AH1779">
        <v>62.590251842461299</v>
      </c>
      <c r="AI1779">
        <v>90.9991940239737</v>
      </c>
      <c r="AJ1779">
        <v>98.995600519834596</v>
      </c>
      <c r="AK1779">
        <v>63.379314137049803</v>
      </c>
      <c r="AL1779">
        <v>81.1702111182978</v>
      </c>
      <c r="AM1779">
        <v>94.982969057996897</v>
      </c>
      <c r="AN1779">
        <v>0.99999993863070202</v>
      </c>
    </row>
    <row r="1780" spans="1:40" x14ac:dyDescent="0.25">
      <c r="A1780" t="str">
        <f>"20190304154751947"</f>
        <v>20190304154751947</v>
      </c>
      <c r="B1780" t="str">
        <f>"1551685671938697"</f>
        <v>1551685671938697</v>
      </c>
      <c r="C1780" t="s">
        <v>40</v>
      </c>
      <c r="D1780">
        <v>4.3727939999999998</v>
      </c>
      <c r="E1780">
        <v>0.4705047</v>
      </c>
      <c r="F1780" t="s">
        <v>53</v>
      </c>
      <c r="G1780">
        <v>-181.2782</v>
      </c>
      <c r="H1780" s="1">
        <v>-6.3862510000000003E-6</v>
      </c>
      <c r="I1780">
        <v>375.44029999999998</v>
      </c>
      <c r="J1780">
        <v>-242.63460000000001</v>
      </c>
      <c r="K1780">
        <v>1.1110409999999999</v>
      </c>
      <c r="L1780">
        <v>366.56240000000003</v>
      </c>
      <c r="M1780">
        <v>0.9998049</v>
      </c>
      <c r="N1780">
        <v>-1.3787310000000001E-2</v>
      </c>
      <c r="O1780">
        <v>-1.4153280000000001E-2</v>
      </c>
      <c r="P1780">
        <v>0.98748230000000004</v>
      </c>
      <c r="Q1780">
        <v>0.1404774</v>
      </c>
      <c r="R1780">
        <v>7.1727009999999994E-2</v>
      </c>
      <c r="S1780">
        <v>3.013855</v>
      </c>
      <c r="T1780">
        <v>-5.4478650000000003E-2</v>
      </c>
      <c r="U1780">
        <v>0.43524170000000001</v>
      </c>
      <c r="V1780">
        <v>-8.5691119999999996E-2</v>
      </c>
      <c r="W1780">
        <v>0.154066799999999</v>
      </c>
      <c r="X1780">
        <v>0.98433760000000003</v>
      </c>
      <c r="Y1780">
        <v>-0.1568811</v>
      </c>
      <c r="Z1780">
        <v>2.5582019999999999E-3</v>
      </c>
      <c r="AA1780">
        <v>0.9876142</v>
      </c>
      <c r="AB1780">
        <v>22</v>
      </c>
      <c r="AC1780">
        <v>61.356400000000001</v>
      </c>
      <c r="AD1780">
        <v>-1.111047386251</v>
      </c>
      <c r="AE1780">
        <v>8.8778999999999506</v>
      </c>
      <c r="AF1780">
        <v>-9.7423583102769999</v>
      </c>
      <c r="AG1780">
        <v>-1.111047386251</v>
      </c>
      <c r="AH1780">
        <v>61.204932156162101</v>
      </c>
      <c r="AI1780">
        <v>91.027043783040597</v>
      </c>
      <c r="AJ1780">
        <v>99.044239594667005</v>
      </c>
      <c r="AK1780">
        <v>61.985415155346999</v>
      </c>
      <c r="AL1780">
        <v>81.137322523452298</v>
      </c>
      <c r="AM1780">
        <v>94.9753182080823</v>
      </c>
      <c r="AN1780">
        <v>1.0000000288414199</v>
      </c>
    </row>
    <row r="1781" spans="1:40" x14ac:dyDescent="0.25">
      <c r="A1781" t="str">
        <f>"20190304154751958"</f>
        <v>20190304154751958</v>
      </c>
      <c r="B1781" t="str">
        <f>"1551685671948456"</f>
        <v>1551685671948456</v>
      </c>
      <c r="C1781" t="s">
        <v>40</v>
      </c>
      <c r="D1781">
        <v>4.4215159999999996</v>
      </c>
      <c r="E1781">
        <v>0.47015220000000002</v>
      </c>
      <c r="F1781" t="s">
        <v>53</v>
      </c>
      <c r="G1781">
        <v>-181.7413</v>
      </c>
      <c r="H1781" s="1">
        <v>-6.5567710000000003E-6</v>
      </c>
      <c r="I1781">
        <v>375.38929999999999</v>
      </c>
      <c r="J1781">
        <v>-242.52850000000001</v>
      </c>
      <c r="K1781">
        <v>1.111048</v>
      </c>
      <c r="L1781">
        <v>366.5609</v>
      </c>
      <c r="M1781">
        <v>0.9998051</v>
      </c>
      <c r="N1781">
        <v>-1.377831E-2</v>
      </c>
      <c r="O1781">
        <v>-1.415346E-2</v>
      </c>
      <c r="P1781">
        <v>0.98746469999999997</v>
      </c>
      <c r="Q1781">
        <v>0.140653799999999</v>
      </c>
      <c r="R1781">
        <v>7.1626599999999999E-2</v>
      </c>
      <c r="S1781">
        <v>3.0141140000000002</v>
      </c>
      <c r="T1781">
        <v>-5.4994939999999999E-2</v>
      </c>
      <c r="U1781">
        <v>0.43692019999999998</v>
      </c>
      <c r="V1781">
        <v>-8.5590769999999997E-2</v>
      </c>
      <c r="W1781">
        <v>0.15423410000000001</v>
      </c>
      <c r="X1781">
        <v>0.98432010000000003</v>
      </c>
      <c r="Y1781">
        <v>-0.15740709999999999</v>
      </c>
      <c r="Z1781">
        <v>2.581655E-3</v>
      </c>
      <c r="AA1781">
        <v>0.98753040000000003</v>
      </c>
      <c r="AB1781">
        <v>22</v>
      </c>
      <c r="AC1781">
        <v>60.787199999999999</v>
      </c>
      <c r="AD1781">
        <v>-1.111054556771</v>
      </c>
      <c r="AE1781">
        <v>8.8283999999999807</v>
      </c>
      <c r="AF1781">
        <v>-9.6847776171583302</v>
      </c>
      <c r="AG1781">
        <v>-1.111054556771</v>
      </c>
      <c r="AH1781">
        <v>60.6363071068848</v>
      </c>
      <c r="AI1781">
        <v>91.036592098301995</v>
      </c>
      <c r="AJ1781">
        <v>99.074584703874905</v>
      </c>
      <c r="AK1781">
        <v>61.414909421754999</v>
      </c>
      <c r="AL1781">
        <v>81.127620708652699</v>
      </c>
      <c r="AM1781">
        <v>94.969608883140296</v>
      </c>
      <c r="AN1781">
        <v>0.99999999838800602</v>
      </c>
    </row>
    <row r="1782" spans="1:40" x14ac:dyDescent="0.25">
      <c r="A1782" t="str">
        <f>"20190304154751968"</f>
        <v>20190304154751968</v>
      </c>
      <c r="B1782" t="str">
        <f>"1551685671958216"</f>
        <v>1551685671958216</v>
      </c>
      <c r="C1782" t="s">
        <v>40</v>
      </c>
      <c r="D1782">
        <v>4.4066519999999896</v>
      </c>
      <c r="E1782">
        <v>0.46977730000000001</v>
      </c>
      <c r="F1782" t="s">
        <v>53</v>
      </c>
      <c r="G1782">
        <v>-181.87950000000001</v>
      </c>
      <c r="H1782" s="1">
        <v>-6.6029769999999997E-6</v>
      </c>
      <c r="I1782">
        <v>375.4042</v>
      </c>
      <c r="J1782">
        <v>-242.4212</v>
      </c>
      <c r="K1782">
        <v>1.1110469999999999</v>
      </c>
      <c r="L1782">
        <v>366.55939999999998</v>
      </c>
      <c r="M1782">
        <v>0.99980500000000005</v>
      </c>
      <c r="N1782">
        <v>-1.376877E-2</v>
      </c>
      <c r="O1782">
        <v>-1.415315E-2</v>
      </c>
      <c r="P1782">
        <v>0.98744799999999999</v>
      </c>
      <c r="Q1782">
        <v>0.1407381</v>
      </c>
      <c r="R1782">
        <v>7.1686890000000003E-2</v>
      </c>
      <c r="S1782">
        <v>3.0140690000000001</v>
      </c>
      <c r="T1782">
        <v>-5.521595E-2</v>
      </c>
      <c r="U1782">
        <v>0.43948359999999898</v>
      </c>
      <c r="V1782">
        <v>-8.5650779999999996E-2</v>
      </c>
      <c r="W1782">
        <v>0.154309</v>
      </c>
      <c r="X1782">
        <v>0.98430309999999999</v>
      </c>
      <c r="Y1782">
        <v>-0.15823090000000001</v>
      </c>
      <c r="Z1782">
        <v>2.601014E-3</v>
      </c>
      <c r="AA1782">
        <v>0.98739869999999996</v>
      </c>
      <c r="AB1782">
        <v>22</v>
      </c>
      <c r="AC1782">
        <v>60.541699999999899</v>
      </c>
      <c r="AD1782">
        <v>-1.111053602977</v>
      </c>
      <c r="AE1782">
        <v>8.84480000000001</v>
      </c>
      <c r="AF1782">
        <v>-9.6976531220968791</v>
      </c>
      <c r="AG1782">
        <v>-1.111053602977</v>
      </c>
      <c r="AH1782">
        <v>60.390527322428099</v>
      </c>
      <c r="AI1782">
        <v>91.040668791880506</v>
      </c>
      <c r="AJ1782">
        <v>99.1228076079083</v>
      </c>
      <c r="AK1782">
        <v>61.174297760302402</v>
      </c>
      <c r="AL1782">
        <v>81.123276896844104</v>
      </c>
      <c r="AM1782">
        <v>94.973161202524594</v>
      </c>
      <c r="AN1782">
        <v>0.999999958132608</v>
      </c>
    </row>
    <row r="1783" spans="1:40" x14ac:dyDescent="0.25">
      <c r="A1783" t="str">
        <f>"20190304154751980"</f>
        <v>20190304154751980</v>
      </c>
      <c r="B1783" t="str">
        <f>"1551685671967976"</f>
        <v>1551685671967976</v>
      </c>
      <c r="C1783" t="s">
        <v>40</v>
      </c>
      <c r="D1783">
        <v>4.3959070000000002</v>
      </c>
      <c r="E1783">
        <v>0.46943770000000001</v>
      </c>
      <c r="F1783" t="s">
        <v>53</v>
      </c>
      <c r="G1783">
        <v>-182.05260000000001</v>
      </c>
      <c r="H1783" s="1">
        <v>-6.6603420000000003E-6</v>
      </c>
      <c r="I1783">
        <v>375.42579999999998</v>
      </c>
      <c r="J1783">
        <v>-242.3107</v>
      </c>
      <c r="K1783">
        <v>1.111046</v>
      </c>
      <c r="L1783">
        <v>366.55779999999999</v>
      </c>
      <c r="M1783">
        <v>0.99980519999999995</v>
      </c>
      <c r="N1783">
        <v>-1.3757510000000001E-2</v>
      </c>
      <c r="O1783">
        <v>-1.415308E-2</v>
      </c>
      <c r="P1783">
        <v>0.98746369999999895</v>
      </c>
      <c r="Q1783">
        <v>0.14069400000000001</v>
      </c>
      <c r="R1783">
        <v>7.15591E-2</v>
      </c>
      <c r="S1783">
        <v>3.0139010000000002</v>
      </c>
      <c r="T1783">
        <v>-5.5469270000000001E-2</v>
      </c>
      <c r="U1783">
        <v>0.44265749999999998</v>
      </c>
      <c r="V1783">
        <v>-8.5522909999999994E-2</v>
      </c>
      <c r="W1783">
        <v>0.1542539</v>
      </c>
      <c r="X1783">
        <v>0.9843229</v>
      </c>
      <c r="Y1783">
        <v>-0.15925599999999901</v>
      </c>
      <c r="Z1783">
        <v>2.6246080000000001E-3</v>
      </c>
      <c r="AA1783">
        <v>0.98723380000000005</v>
      </c>
      <c r="AB1783">
        <v>22</v>
      </c>
      <c r="AC1783">
        <v>60.258099999999899</v>
      </c>
      <c r="AD1783">
        <v>-1.1110526603419999</v>
      </c>
      <c r="AE1783">
        <v>8.8679999999999897</v>
      </c>
      <c r="AF1783">
        <v>-9.7167966624254394</v>
      </c>
      <c r="AG1783">
        <v>-1.1110526603419999</v>
      </c>
      <c r="AH1783">
        <v>60.106540891787198</v>
      </c>
      <c r="AI1783">
        <v>91.045406857257007</v>
      </c>
      <c r="AJ1783">
        <v>99.182964919968896</v>
      </c>
      <c r="AK1783">
        <v>60.8970182633687</v>
      </c>
      <c r="AL1783">
        <v>81.126472549462093</v>
      </c>
      <c r="AM1783">
        <v>94.965674419604696</v>
      </c>
      <c r="AN1783">
        <v>1.00000000263224</v>
      </c>
    </row>
    <row r="1784" spans="1:40" x14ac:dyDescent="0.25">
      <c r="A1784" t="str">
        <f>"20190304154751993"</f>
        <v>20190304154751993</v>
      </c>
      <c r="B1784" t="str">
        <f>"1551685671988472"</f>
        <v>1551685671988472</v>
      </c>
      <c r="C1784" t="s">
        <v>40</v>
      </c>
      <c r="D1784">
        <v>4.469697</v>
      </c>
      <c r="E1784">
        <v>0.46902890000000003</v>
      </c>
      <c r="F1784" t="s">
        <v>53</v>
      </c>
      <c r="G1784">
        <v>-182.70140000000001</v>
      </c>
      <c r="H1784" s="1">
        <v>-6.8990390000000004E-6</v>
      </c>
      <c r="I1784">
        <v>375.35570000000001</v>
      </c>
      <c r="J1784">
        <v>-242.1909</v>
      </c>
      <c r="K1784">
        <v>1.1110500000000001</v>
      </c>
      <c r="L1784">
        <v>366.55610000000001</v>
      </c>
      <c r="M1784">
        <v>0.99980550000000001</v>
      </c>
      <c r="N1784">
        <v>-1.374479E-2</v>
      </c>
      <c r="O1784">
        <v>-1.4153229999999999E-2</v>
      </c>
      <c r="P1784">
        <v>0.98747379999999996</v>
      </c>
      <c r="Q1784">
        <v>0.1406124</v>
      </c>
      <c r="R1784">
        <v>7.1580699999999997E-2</v>
      </c>
      <c r="S1784">
        <v>3.013855</v>
      </c>
      <c r="T1784">
        <v>-5.6174990000000001E-2</v>
      </c>
      <c r="U1784">
        <v>0.4448242</v>
      </c>
      <c r="V1784">
        <v>-8.5544369999999995E-2</v>
      </c>
      <c r="W1784">
        <v>0.15415970000000001</v>
      </c>
      <c r="X1784">
        <v>0.98433579999999998</v>
      </c>
      <c r="Y1784">
        <v>-0.15995179999999901</v>
      </c>
      <c r="Z1784">
        <v>2.6568709999999999E-3</v>
      </c>
      <c r="AA1784">
        <v>0.98712129999999998</v>
      </c>
      <c r="AB1784">
        <v>22</v>
      </c>
      <c r="AC1784">
        <v>59.4894999999999</v>
      </c>
      <c r="AD1784">
        <v>-1.111056899039</v>
      </c>
      <c r="AE1784">
        <v>8.7995999999999892</v>
      </c>
      <c r="AF1784">
        <v>-9.6374767600171403</v>
      </c>
      <c r="AG1784">
        <v>-1.111056899039</v>
      </c>
      <c r="AH1784">
        <v>59.338730865956599</v>
      </c>
      <c r="AI1784">
        <v>91.0588086101382</v>
      </c>
      <c r="AJ1784">
        <v>99.225119493957294</v>
      </c>
      <c r="AK1784">
        <v>60.1265364586652</v>
      </c>
      <c r="AL1784">
        <v>81.131935215940601</v>
      </c>
      <c r="AM1784">
        <v>94.966849441365198</v>
      </c>
      <c r="AN1784">
        <v>1.0000000097522099</v>
      </c>
    </row>
    <row r="1785" spans="1:40" x14ac:dyDescent="0.25">
      <c r="A1785" t="str">
        <f>"20190304154752006"</f>
        <v>20190304154752006</v>
      </c>
      <c r="B1785" t="str">
        <f>"1551685671998232"</f>
        <v>1551685671998232</v>
      </c>
      <c r="C1785" t="s">
        <v>40</v>
      </c>
      <c r="D1785">
        <v>4.3538680000000003</v>
      </c>
      <c r="E1785">
        <v>0.46902890000000003</v>
      </c>
      <c r="F1785" t="s">
        <v>53</v>
      </c>
      <c r="G1785">
        <v>-181.1592</v>
      </c>
      <c r="H1785" s="1">
        <v>-6.314757E-6</v>
      </c>
      <c r="I1785">
        <v>375.63080000000002</v>
      </c>
      <c r="J1785">
        <v>-242.06139999999999</v>
      </c>
      <c r="K1785">
        <v>1.111049</v>
      </c>
      <c r="L1785">
        <v>366.55430000000001</v>
      </c>
      <c r="M1785">
        <v>0.99980559999999996</v>
      </c>
      <c r="N1785">
        <v>-1.3730040000000001E-2</v>
      </c>
      <c r="O1785">
        <v>-1.415313E-2</v>
      </c>
      <c r="P1785">
        <v>0.98751290000000003</v>
      </c>
      <c r="Q1785">
        <v>0.14038220000000001</v>
      </c>
      <c r="R1785">
        <v>7.1492520000000004E-2</v>
      </c>
      <c r="S1785">
        <v>3.0133969999999999</v>
      </c>
      <c r="T1785">
        <v>-5.4857610000000001E-2</v>
      </c>
      <c r="U1785">
        <v>0.44805909999999899</v>
      </c>
      <c r="V1785">
        <v>-8.5457069999999996E-2</v>
      </c>
      <c r="W1785">
        <v>0.15391560000000001</v>
      </c>
      <c r="X1785">
        <v>0.98438159999999997</v>
      </c>
      <c r="Y1785">
        <v>-0.1610116</v>
      </c>
      <c r="Z1785">
        <v>2.6321090000000001E-3</v>
      </c>
      <c r="AA1785">
        <v>0.98694899999999997</v>
      </c>
      <c r="AB1785">
        <v>22</v>
      </c>
      <c r="AC1785">
        <v>60.902199999999901</v>
      </c>
      <c r="AD1785">
        <v>-1.1110553147569999</v>
      </c>
      <c r="AE1785">
        <v>9.07650000000001</v>
      </c>
      <c r="AF1785">
        <v>-9.9343942123018696</v>
      </c>
      <c r="AG1785">
        <v>-1.1110553147569999</v>
      </c>
      <c r="AH1785">
        <v>60.747847255082497</v>
      </c>
      <c r="AI1785">
        <v>91.034068353088102</v>
      </c>
      <c r="AJ1785">
        <v>99.287647673620498</v>
      </c>
      <c r="AK1785">
        <v>61.564824196977199</v>
      </c>
      <c r="AL1785">
        <v>81.146090221925604</v>
      </c>
      <c r="AM1785">
        <v>94.961576270369903</v>
      </c>
      <c r="AN1785">
        <v>1.00000002857745</v>
      </c>
    </row>
    <row r="1786" spans="1:40" x14ac:dyDescent="0.25">
      <c r="A1786" t="str">
        <f>"20190304154752016"</f>
        <v>20190304154752016</v>
      </c>
      <c r="B1786" t="str">
        <f>"1551685672007992"</f>
        <v>1551685672007992</v>
      </c>
      <c r="C1786" t="s">
        <v>40</v>
      </c>
      <c r="D1786">
        <v>4.3529640000000001</v>
      </c>
      <c r="E1786">
        <v>0.43449910000000003</v>
      </c>
      <c r="F1786" t="s">
        <v>53</v>
      </c>
      <c r="G1786">
        <v>-181.7636</v>
      </c>
      <c r="H1786" s="1">
        <v>-6.5447920000000002E-6</v>
      </c>
      <c r="I1786">
        <v>375.51620000000003</v>
      </c>
      <c r="J1786">
        <v>-241.95570000000001</v>
      </c>
      <c r="K1786">
        <v>1.111046</v>
      </c>
      <c r="L1786">
        <v>366.55270000000002</v>
      </c>
      <c r="M1786">
        <v>0.99980570000000002</v>
      </c>
      <c r="N1786">
        <v>-1.371815E-2</v>
      </c>
      <c r="O1786">
        <v>-1.415305E-2</v>
      </c>
      <c r="P1786">
        <v>0.98749929999999997</v>
      </c>
      <c r="Q1786">
        <v>0.14040239999999901</v>
      </c>
      <c r="R1786">
        <v>7.163928E-2</v>
      </c>
      <c r="S1786">
        <v>3.0133969999999999</v>
      </c>
      <c r="T1786">
        <v>-5.55253E-2</v>
      </c>
      <c r="U1786">
        <v>0.447876</v>
      </c>
      <c r="V1786">
        <v>-8.5603399999999996E-2</v>
      </c>
      <c r="W1786">
        <v>0.15392410000000001</v>
      </c>
      <c r="X1786">
        <v>0.98436749999999995</v>
      </c>
      <c r="Y1786">
        <v>-0.16095200000000001</v>
      </c>
      <c r="Z1786">
        <v>2.6512150000000002E-3</v>
      </c>
      <c r="AA1786">
        <v>0.98695869999999997</v>
      </c>
      <c r="AB1786">
        <v>22</v>
      </c>
      <c r="AC1786">
        <v>60.192100000000003</v>
      </c>
      <c r="AD1786">
        <v>-1.1110525447920001</v>
      </c>
      <c r="AE1786">
        <v>8.9634999999999998</v>
      </c>
      <c r="AF1786">
        <v>-9.8113137188901494</v>
      </c>
      <c r="AG1786">
        <v>-1.1110525447920001</v>
      </c>
      <c r="AH1786">
        <v>60.039184838772897</v>
      </c>
      <c r="AI1786">
        <v>91.046288443531495</v>
      </c>
      <c r="AJ1786">
        <v>99.280965321463697</v>
      </c>
      <c r="AK1786">
        <v>60.845706756944701</v>
      </c>
      <c r="AL1786">
        <v>81.145596836876393</v>
      </c>
      <c r="AM1786">
        <v>94.970100401885801</v>
      </c>
      <c r="AN1786">
        <v>0.99999997285430897</v>
      </c>
    </row>
    <row r="1787" spans="1:40" x14ac:dyDescent="0.25">
      <c r="A1787" t="str">
        <f>"20190304154752027"</f>
        <v>20190304154752027</v>
      </c>
      <c r="B1787" t="str">
        <f>"1551685672018729"</f>
        <v>1551685672018729</v>
      </c>
      <c r="C1787" t="s">
        <v>40</v>
      </c>
      <c r="D1787">
        <v>4.3037330000000003</v>
      </c>
      <c r="E1787">
        <v>0.42782110000000001</v>
      </c>
      <c r="F1787" t="s">
        <v>53</v>
      </c>
      <c r="G1787">
        <v>-187.9385</v>
      </c>
      <c r="H1787">
        <v>4.7472069999999998E-2</v>
      </c>
      <c r="I1787">
        <v>379.6</v>
      </c>
      <c r="J1787">
        <v>-241.83459999999999</v>
      </c>
      <c r="K1787">
        <v>1.111038</v>
      </c>
      <c r="L1787">
        <v>366.55099999999999</v>
      </c>
      <c r="M1787">
        <v>0.99980590000000003</v>
      </c>
      <c r="N1787">
        <v>-1.370471E-2</v>
      </c>
      <c r="O1787">
        <v>-1.415308E-2</v>
      </c>
      <c r="P1787">
        <v>0.98755939999999998</v>
      </c>
      <c r="Q1787">
        <v>0.13994770000000001</v>
      </c>
      <c r="R1787">
        <v>7.1699849999999996E-2</v>
      </c>
      <c r="S1787">
        <v>2.9938959999999999</v>
      </c>
      <c r="T1787">
        <v>-5.8948399999999998E-2</v>
      </c>
      <c r="U1787">
        <v>0.72314449999999997</v>
      </c>
      <c r="V1787">
        <v>-8.5664619999999997E-2</v>
      </c>
      <c r="W1787">
        <v>0.15345710000000001</v>
      </c>
      <c r="X1787">
        <v>0.98443510000000001</v>
      </c>
      <c r="Y1787">
        <v>-0.2484439</v>
      </c>
      <c r="Z1787">
        <v>4.2215459999999996E-3</v>
      </c>
      <c r="AA1787">
        <v>0.96863710000000003</v>
      </c>
      <c r="AB1787">
        <v>22</v>
      </c>
      <c r="AC1787">
        <v>53.896099999999898</v>
      </c>
      <c r="AD1787">
        <v>-1.06356593</v>
      </c>
      <c r="AE1787">
        <v>13.048999999999999</v>
      </c>
      <c r="AF1787">
        <v>-13.805481851221501</v>
      </c>
      <c r="AG1787">
        <v>-1.06356593</v>
      </c>
      <c r="AH1787">
        <v>53.686251217555998</v>
      </c>
      <c r="AI1787">
        <v>91.099173559830405</v>
      </c>
      <c r="AJ1787">
        <v>104.42121941518501</v>
      </c>
      <c r="AK1787">
        <v>55.443088581232502</v>
      </c>
      <c r="AL1787">
        <v>81.172675819511795</v>
      </c>
      <c r="AM1787">
        <v>94.973297168058906</v>
      </c>
      <c r="AN1787">
        <v>0.99999998738608198</v>
      </c>
    </row>
    <row r="1788" spans="1:40" x14ac:dyDescent="0.25">
      <c r="A1788" t="str">
        <f>"20190304154752039"</f>
        <v>20190304154752039</v>
      </c>
      <c r="B1788" t="str">
        <f>"1551685672028489"</f>
        <v>1551685672028489</v>
      </c>
      <c r="C1788" t="s">
        <v>40</v>
      </c>
      <c r="D1788">
        <v>4.3061049999999996</v>
      </c>
      <c r="E1788">
        <v>0.42435010000000001</v>
      </c>
      <c r="F1788" t="s">
        <v>53</v>
      </c>
      <c r="G1788">
        <v>-191.46950000000001</v>
      </c>
      <c r="H1788">
        <v>7.8573599999999993E-2</v>
      </c>
      <c r="I1788">
        <v>379.62860000000001</v>
      </c>
      <c r="J1788">
        <v>-241.72649999999999</v>
      </c>
      <c r="K1788">
        <v>1.1110359999999999</v>
      </c>
      <c r="L1788">
        <v>366.54950000000002</v>
      </c>
      <c r="M1788">
        <v>0.99980619999999998</v>
      </c>
      <c r="N1788">
        <v>-1.3692019999999999E-2</v>
      </c>
      <c r="O1788">
        <v>-1.4152990000000001E-2</v>
      </c>
      <c r="P1788">
        <v>0.98761790000000005</v>
      </c>
      <c r="Q1788">
        <v>0.139519</v>
      </c>
      <c r="R1788">
        <v>7.173069E-2</v>
      </c>
      <c r="S1788">
        <v>2.990097</v>
      </c>
      <c r="T1788">
        <v>-6.1295870000000002E-2</v>
      </c>
      <c r="U1788">
        <v>0.77639769999999997</v>
      </c>
      <c r="V1788">
        <v>-8.5696820000000007E-2</v>
      </c>
      <c r="W1788">
        <v>0.1530166</v>
      </c>
      <c r="X1788">
        <v>0.98450090000000001</v>
      </c>
      <c r="Y1788">
        <v>-0.26490770000000002</v>
      </c>
      <c r="Z1788">
        <v>4.609185E-3</v>
      </c>
      <c r="AA1788">
        <v>0.96426270000000003</v>
      </c>
      <c r="AB1788">
        <v>22</v>
      </c>
      <c r="AC1788">
        <v>50.256999999999898</v>
      </c>
      <c r="AD1788">
        <v>-1.0324624</v>
      </c>
      <c r="AE1788">
        <v>13.079099999999899</v>
      </c>
      <c r="AF1788">
        <v>-13.7836948978252</v>
      </c>
      <c r="AG1788">
        <v>-1.0324624</v>
      </c>
      <c r="AH1788">
        <v>50.047057525339802</v>
      </c>
      <c r="AI1788">
        <v>91.139421875432305</v>
      </c>
      <c r="AJ1788">
        <v>105.39833844478601</v>
      </c>
      <c r="AK1788">
        <v>51.920749133544099</v>
      </c>
      <c r="AL1788">
        <v>81.198216576629093</v>
      </c>
      <c r="AM1788">
        <v>94.974826322087395</v>
      </c>
      <c r="AN1788">
        <v>1.0000000234672399</v>
      </c>
    </row>
    <row r="1789" spans="1:40" x14ac:dyDescent="0.25">
      <c r="A1789" t="str">
        <f>"20190304154752050"</f>
        <v>20190304154752050</v>
      </c>
      <c r="B1789" t="str">
        <f>"1551685672048009"</f>
        <v>1551685672048009</v>
      </c>
      <c r="C1789" t="s">
        <v>40</v>
      </c>
      <c r="D1789">
        <v>4.21272</v>
      </c>
      <c r="E1789">
        <v>0.42016520000000002</v>
      </c>
      <c r="F1789" t="s">
        <v>53</v>
      </c>
      <c r="G1789">
        <v>-191.0224</v>
      </c>
      <c r="H1789">
        <v>7.9987899999999904E-2</v>
      </c>
      <c r="I1789">
        <v>380.20080000000002</v>
      </c>
      <c r="J1789">
        <v>-241.6062</v>
      </c>
      <c r="K1789">
        <v>1.1110329999999999</v>
      </c>
      <c r="L1789">
        <v>366.5478</v>
      </c>
      <c r="M1789">
        <v>0.99980630000000004</v>
      </c>
      <c r="N1789">
        <v>-1.367756E-2</v>
      </c>
      <c r="O1789">
        <v>-1.415289E-2</v>
      </c>
      <c r="P1789">
        <v>0.98762640000000002</v>
      </c>
      <c r="Q1789">
        <v>0.13946349999999999</v>
      </c>
      <c r="R1789">
        <v>7.1721579999999993E-2</v>
      </c>
      <c r="S1789">
        <v>2.987762</v>
      </c>
      <c r="T1789">
        <v>-6.0755009999999998E-2</v>
      </c>
      <c r="U1789">
        <v>0.80441280000000004</v>
      </c>
      <c r="V1789">
        <v>-8.5687440000000004E-2</v>
      </c>
      <c r="W1789">
        <v>0.15294679999999999</v>
      </c>
      <c r="X1789">
        <v>0.98451250000000001</v>
      </c>
      <c r="Y1789">
        <v>-0.27352870000000001</v>
      </c>
      <c r="Z1789">
        <v>4.7286100000000003E-3</v>
      </c>
      <c r="AA1789">
        <v>0.96185220000000005</v>
      </c>
      <c r="AB1789">
        <v>22</v>
      </c>
      <c r="AC1789">
        <v>50.583799999999997</v>
      </c>
      <c r="AD1789">
        <v>-1.0310450999999901</v>
      </c>
      <c r="AE1789">
        <v>13.653</v>
      </c>
      <c r="AF1789">
        <v>-14.362044499120801</v>
      </c>
      <c r="AG1789">
        <v>-1.0310450999999901</v>
      </c>
      <c r="AH1789">
        <v>50.365980935740303</v>
      </c>
      <c r="AI1789">
        <v>91.127797866000193</v>
      </c>
      <c r="AJ1789">
        <v>105.915695012971</v>
      </c>
      <c r="AK1789">
        <v>52.383808679899502</v>
      </c>
      <c r="AL1789">
        <v>81.202262911123299</v>
      </c>
      <c r="AM1789">
        <v>94.974226216128699</v>
      </c>
      <c r="AN1789">
        <v>0.99999996183012096</v>
      </c>
    </row>
    <row r="1790" spans="1:40" x14ac:dyDescent="0.25">
      <c r="A1790" t="str">
        <f>"20190304154752063"</f>
        <v>20190304154752063</v>
      </c>
      <c r="B1790" t="str">
        <f>"1551685672058745"</f>
        <v>1551685672058745</v>
      </c>
      <c r="C1790" t="s">
        <v>40</v>
      </c>
      <c r="D1790">
        <v>4.2390749999999997</v>
      </c>
      <c r="E1790">
        <v>0.41896129999999998</v>
      </c>
      <c r="F1790" t="s">
        <v>53</v>
      </c>
      <c r="G1790">
        <v>-185.47399999999999</v>
      </c>
      <c r="H1790">
        <v>7.9987749999999996E-2</v>
      </c>
      <c r="I1790">
        <v>382.30040000000002</v>
      </c>
      <c r="J1790">
        <v>-241.4896</v>
      </c>
      <c r="K1790">
        <v>1.11103</v>
      </c>
      <c r="L1790">
        <v>366.54610000000002</v>
      </c>
      <c r="M1790">
        <v>0.99980650000000004</v>
      </c>
      <c r="N1790">
        <v>-1.36618E-2</v>
      </c>
      <c r="O1790">
        <v>-1.415278E-2</v>
      </c>
      <c r="P1790">
        <v>0.98765239999999999</v>
      </c>
      <c r="Q1790">
        <v>0.13930109999999901</v>
      </c>
      <c r="R1790">
        <v>7.1679530000000005E-2</v>
      </c>
      <c r="S1790">
        <v>2.9844970000000002</v>
      </c>
      <c r="T1790">
        <v>-5.4819699999999999E-2</v>
      </c>
      <c r="U1790">
        <v>0.83755489999999999</v>
      </c>
      <c r="V1790">
        <v>-8.5645700000000005E-2</v>
      </c>
      <c r="W1790">
        <v>0.15276919999999999</v>
      </c>
      <c r="X1790">
        <v>0.98454370000000002</v>
      </c>
      <c r="Y1790">
        <v>-0.28371760000000001</v>
      </c>
      <c r="Z1790">
        <v>4.5967719999999998E-3</v>
      </c>
      <c r="AA1790">
        <v>0.95889690000000005</v>
      </c>
      <c r="AB1790">
        <v>22</v>
      </c>
      <c r="AC1790">
        <v>56.0155999999999</v>
      </c>
      <c r="AD1790">
        <v>-1.03104225</v>
      </c>
      <c r="AE1790">
        <v>15.754300000000001</v>
      </c>
      <c r="AF1790">
        <v>-16.540379286671701</v>
      </c>
      <c r="AG1790">
        <v>-1.03104225</v>
      </c>
      <c r="AH1790">
        <v>55.769491386439498</v>
      </c>
      <c r="AI1790">
        <v>91.0154299650859</v>
      </c>
      <c r="AJ1790">
        <v>106.519552224739</v>
      </c>
      <c r="AK1790">
        <v>58.1797504684438</v>
      </c>
      <c r="AL1790">
        <v>81.212559594165896</v>
      </c>
      <c r="AM1790">
        <v>94.971658556698799</v>
      </c>
      <c r="AN1790">
        <v>0.99999995580340895</v>
      </c>
    </row>
    <row r="1791" spans="1:40" x14ac:dyDescent="0.25">
      <c r="A1791" t="str">
        <f>"20190304154752077"</f>
        <v>20190304154752077</v>
      </c>
      <c r="B1791" t="str">
        <f>"1551685672068505"</f>
        <v>1551685672068505</v>
      </c>
      <c r="C1791" t="s">
        <v>40</v>
      </c>
      <c r="D1791">
        <v>4.2301929999999999</v>
      </c>
      <c r="E1791">
        <v>0.41803630000000003</v>
      </c>
      <c r="F1791" t="s">
        <v>53</v>
      </c>
      <c r="G1791">
        <v>-183.55279999999999</v>
      </c>
      <c r="H1791">
        <v>7.9989480000000002E-2</v>
      </c>
      <c r="I1791">
        <v>383.00020000000001</v>
      </c>
      <c r="J1791">
        <v>-241.35409999999999</v>
      </c>
      <c r="K1791">
        <v>1.1110279999999999</v>
      </c>
      <c r="L1791">
        <v>366.54419999999999</v>
      </c>
      <c r="M1791">
        <v>0.99980690000000005</v>
      </c>
      <c r="N1791">
        <v>-1.364215E-2</v>
      </c>
      <c r="O1791">
        <v>-1.415277E-2</v>
      </c>
      <c r="P1791">
        <v>0.98765420000000004</v>
      </c>
      <c r="Q1791">
        <v>0.13926259999999999</v>
      </c>
      <c r="R1791">
        <v>7.1729940000000006E-2</v>
      </c>
      <c r="S1791">
        <v>2.9835050000000001</v>
      </c>
      <c r="T1791">
        <v>-5.3094389999999998E-2</v>
      </c>
      <c r="U1791">
        <v>0.84732059999999998</v>
      </c>
      <c r="V1791">
        <v>-8.5696220000000004E-2</v>
      </c>
      <c r="W1791">
        <v>0.15271119999999999</v>
      </c>
      <c r="X1791">
        <v>0.98454830000000004</v>
      </c>
      <c r="Y1791">
        <v>-0.2867092</v>
      </c>
      <c r="Z1791">
        <v>4.553255E-3</v>
      </c>
      <c r="AA1791">
        <v>0.95800689999999999</v>
      </c>
      <c r="AB1791">
        <v>22</v>
      </c>
      <c r="AC1791">
        <v>57.801299999999998</v>
      </c>
      <c r="AD1791">
        <v>-1.0310385200000001</v>
      </c>
      <c r="AE1791">
        <v>16.456</v>
      </c>
      <c r="AF1791">
        <v>-17.2673938454538</v>
      </c>
      <c r="AG1791">
        <v>-1.0310385200000001</v>
      </c>
      <c r="AH1791">
        <v>57.545653049441299</v>
      </c>
      <c r="AI1791">
        <v>90.983153754582702</v>
      </c>
      <c r="AJ1791">
        <v>106.702622039885</v>
      </c>
      <c r="AK1791">
        <v>60.089334457376196</v>
      </c>
      <c r="AL1791">
        <v>81.2159221881127</v>
      </c>
      <c r="AM1791">
        <v>94.974553361931896</v>
      </c>
      <c r="AN1791">
        <v>0.99999995388030805</v>
      </c>
    </row>
    <row r="1792" spans="1:40" x14ac:dyDescent="0.25">
      <c r="A1792" t="str">
        <f>"20190304154752089"</f>
        <v>20190304154752089</v>
      </c>
      <c r="B1792" t="str">
        <f>"1551685672078265"</f>
        <v>1551685672078265</v>
      </c>
      <c r="C1792" t="s">
        <v>40</v>
      </c>
      <c r="D1792">
        <v>4.1727800000000004</v>
      </c>
      <c r="E1792">
        <v>0.4175103</v>
      </c>
      <c r="F1792" t="s">
        <v>53</v>
      </c>
      <c r="G1792">
        <v>-181.95590000000001</v>
      </c>
      <c r="H1792">
        <v>7.998922E-2</v>
      </c>
      <c r="I1792">
        <v>383.5668</v>
      </c>
      <c r="J1792">
        <v>-241.2236</v>
      </c>
      <c r="K1792">
        <v>1.1110249999999999</v>
      </c>
      <c r="L1792">
        <v>366.54239999999999</v>
      </c>
      <c r="M1792">
        <v>0.99980709999999995</v>
      </c>
      <c r="N1792">
        <v>-1.3621309999999999E-2</v>
      </c>
      <c r="O1792">
        <v>-1.4152629999999999E-2</v>
      </c>
      <c r="P1792">
        <v>0.98765449999999999</v>
      </c>
      <c r="Q1792">
        <v>0.13929169999999999</v>
      </c>
      <c r="R1792">
        <v>7.1669140000000006E-2</v>
      </c>
      <c r="S1792">
        <v>2.9827119999999998</v>
      </c>
      <c r="T1792">
        <v>-5.1774140000000003E-2</v>
      </c>
      <c r="U1792">
        <v>0.85479740000000004</v>
      </c>
      <c r="V1792">
        <v>-8.5635080000000002E-2</v>
      </c>
      <c r="W1792">
        <v>0.1527202</v>
      </c>
      <c r="X1792">
        <v>0.98455230000000005</v>
      </c>
      <c r="Y1792">
        <v>-0.28899829999999999</v>
      </c>
      <c r="Z1792">
        <v>4.5180400000000001E-3</v>
      </c>
      <c r="AA1792">
        <v>0.95731900000000003</v>
      </c>
      <c r="AB1792">
        <v>22</v>
      </c>
      <c r="AC1792">
        <v>59.267699999999898</v>
      </c>
      <c r="AD1792">
        <v>-1.0310357799999901</v>
      </c>
      <c r="AE1792">
        <v>17.0244</v>
      </c>
      <c r="AF1792">
        <v>-17.8565742209958</v>
      </c>
      <c r="AG1792">
        <v>-1.0310357799999901</v>
      </c>
      <c r="AH1792">
        <v>59.004305244646503</v>
      </c>
      <c r="AI1792">
        <v>90.958171413514904</v>
      </c>
      <c r="AJ1792">
        <v>106.837479884685</v>
      </c>
      <c r="AK1792">
        <v>61.655724106468803</v>
      </c>
      <c r="AL1792">
        <v>81.215401070101393</v>
      </c>
      <c r="AM1792">
        <v>94.971001959977201</v>
      </c>
      <c r="AN1792">
        <v>1.00000002892496</v>
      </c>
    </row>
    <row r="1793" spans="1:40" x14ac:dyDescent="0.25">
      <c r="A1793" t="str">
        <f>"20190304154752103"</f>
        <v>20190304154752103</v>
      </c>
      <c r="B1793" t="str">
        <f>"1551685672098761"</f>
        <v>1551685672098761</v>
      </c>
      <c r="C1793" t="s">
        <v>40</v>
      </c>
      <c r="D1793">
        <v>4.2229789999999996</v>
      </c>
      <c r="E1793">
        <v>0.41648099999999999</v>
      </c>
      <c r="F1793" t="s">
        <v>53</v>
      </c>
      <c r="G1793">
        <v>-182.42410000000001</v>
      </c>
      <c r="H1793">
        <v>7.9989299999999999E-2</v>
      </c>
      <c r="I1793">
        <v>383.47550000000001</v>
      </c>
      <c r="J1793">
        <v>-241.09460000000001</v>
      </c>
      <c r="K1793">
        <v>1.1110260000000001</v>
      </c>
      <c r="L1793">
        <v>366.54050000000001</v>
      </c>
      <c r="M1793">
        <v>0.99980749999999996</v>
      </c>
      <c r="N1793">
        <v>-1.359871E-2</v>
      </c>
      <c r="O1793">
        <v>-1.415284E-2</v>
      </c>
      <c r="P1793">
        <v>0.98763060000000003</v>
      </c>
      <c r="Q1793">
        <v>0.13957649999999999</v>
      </c>
      <c r="R1793">
        <v>7.1445579999999995E-2</v>
      </c>
      <c r="S1793">
        <v>2.9825590000000002</v>
      </c>
      <c r="T1793">
        <v>-5.229843E-2</v>
      </c>
      <c r="U1793">
        <v>0.85891719999999905</v>
      </c>
      <c r="V1793">
        <v>-8.5411379999999995E-2</v>
      </c>
      <c r="W1793">
        <v>0.1529827</v>
      </c>
      <c r="X1793">
        <v>0.98453100000000004</v>
      </c>
      <c r="Y1793">
        <v>-0.29023130000000003</v>
      </c>
      <c r="Z1793">
        <v>4.5615289999999999E-3</v>
      </c>
      <c r="AA1793">
        <v>0.95694570000000001</v>
      </c>
      <c r="AB1793">
        <v>22</v>
      </c>
      <c r="AC1793">
        <v>58.670499999999997</v>
      </c>
      <c r="AD1793">
        <v>-1.0310367</v>
      </c>
      <c r="AE1793">
        <v>16.934999999999999</v>
      </c>
      <c r="AF1793">
        <v>-17.758671927887001</v>
      </c>
      <c r="AG1793">
        <v>-1.0310367</v>
      </c>
      <c r="AH1793">
        <v>58.408271691877097</v>
      </c>
      <c r="AI1793">
        <v>90.967568667796399</v>
      </c>
      <c r="AJ1793">
        <v>106.911568182896</v>
      </c>
      <c r="AK1793">
        <v>61.057019804042199</v>
      </c>
      <c r="AL1793">
        <v>81.200182281088502</v>
      </c>
      <c r="AM1793">
        <v>94.958188018666206</v>
      </c>
      <c r="AN1793">
        <v>1.00000005014689</v>
      </c>
    </row>
    <row r="1794" spans="1:40" x14ac:dyDescent="0.25">
      <c r="A1794" t="str">
        <f>"20190304154752118"</f>
        <v>20190304154752118</v>
      </c>
      <c r="B1794" t="str">
        <f>"1551685672108521"</f>
        <v>1551685672108521</v>
      </c>
      <c r="C1794" t="s">
        <v>40</v>
      </c>
      <c r="D1794">
        <v>4.1919909999999998</v>
      </c>
      <c r="E1794">
        <v>0.41612569999999999</v>
      </c>
      <c r="F1794" t="s">
        <v>45</v>
      </c>
      <c r="G1794">
        <v>-171.0898</v>
      </c>
      <c r="H1794">
        <v>-0.05</v>
      </c>
      <c r="I1794">
        <v>386.88290000000001</v>
      </c>
      <c r="J1794">
        <v>-240.95590000000001</v>
      </c>
      <c r="K1794">
        <v>1.1110230000000001</v>
      </c>
      <c r="L1794">
        <v>366.53859999999997</v>
      </c>
      <c r="M1794">
        <v>0.99980780000000002</v>
      </c>
      <c r="N1794">
        <v>-1.3574009999999999E-2</v>
      </c>
      <c r="O1794">
        <v>-1.4152669999999999E-2</v>
      </c>
      <c r="P1794">
        <v>0.98765930000000002</v>
      </c>
      <c r="Q1794">
        <v>0.13944509999999999</v>
      </c>
      <c r="R1794">
        <v>7.1305889999999997E-2</v>
      </c>
      <c r="S1794">
        <v>2.9818570000000002</v>
      </c>
      <c r="T1794">
        <v>-4.945397E-2</v>
      </c>
      <c r="U1794">
        <v>0.86648559999999997</v>
      </c>
      <c r="V1794">
        <v>-8.527216E-2</v>
      </c>
      <c r="W1794">
        <v>0.15282709999999999</v>
      </c>
      <c r="X1794">
        <v>0.98456719999999998</v>
      </c>
      <c r="Y1794">
        <v>-0.2925372</v>
      </c>
      <c r="Z1794">
        <v>4.4444970000000004E-3</v>
      </c>
      <c r="AA1794">
        <v>0.95624379999999998</v>
      </c>
      <c r="AB1794">
        <v>22</v>
      </c>
      <c r="AC1794">
        <v>69.866100000000003</v>
      </c>
      <c r="AD1794">
        <v>-1.1610229999999999</v>
      </c>
      <c r="AE1794">
        <v>20.3443</v>
      </c>
      <c r="AF1794">
        <v>-21.325716105153202</v>
      </c>
      <c r="AG1794">
        <v>-1.1610229999999999</v>
      </c>
      <c r="AH1794">
        <v>69.5534426508856</v>
      </c>
      <c r="AI1794">
        <v>90.914318456521002</v>
      </c>
      <c r="AJ1794">
        <v>107.046014353826</v>
      </c>
      <c r="AK1794">
        <v>72.758611355592507</v>
      </c>
      <c r="AL1794">
        <v>81.209203297388498</v>
      </c>
      <c r="AM1794">
        <v>94.949965293658906</v>
      </c>
      <c r="AN1794">
        <v>1.00000001754065</v>
      </c>
    </row>
    <row r="1795" spans="1:40" x14ac:dyDescent="0.25">
      <c r="A1795" t="str">
        <f>"20190304154752130"</f>
        <v>20190304154752130</v>
      </c>
      <c r="B1795" t="str">
        <f>"1551685672128041"</f>
        <v>1551685672128041</v>
      </c>
      <c r="C1795" t="s">
        <v>40</v>
      </c>
      <c r="D1795">
        <v>4.1654309999999999</v>
      </c>
      <c r="E1795">
        <v>0.41555300000000001</v>
      </c>
      <c r="F1795" t="s">
        <v>53</v>
      </c>
      <c r="G1795">
        <v>-179.41650000000001</v>
      </c>
      <c r="H1795">
        <v>7.9988859999999995E-2</v>
      </c>
      <c r="I1795">
        <v>384.4717</v>
      </c>
      <c r="J1795">
        <v>-240.82210000000001</v>
      </c>
      <c r="K1795">
        <v>1.1110180000000001</v>
      </c>
      <c r="L1795">
        <v>366.5367</v>
      </c>
      <c r="M1795">
        <v>0.99980809999999998</v>
      </c>
      <c r="N1795">
        <v>-1.35499E-2</v>
      </c>
      <c r="O1795">
        <v>-1.415275E-2</v>
      </c>
      <c r="P1795">
        <v>0.98764099999999999</v>
      </c>
      <c r="Q1795">
        <v>0.1395682</v>
      </c>
      <c r="R1795">
        <v>7.1318580000000006E-2</v>
      </c>
      <c r="S1795">
        <v>2.9818120000000001</v>
      </c>
      <c r="T1795">
        <v>-4.9957389999999997E-2</v>
      </c>
      <c r="U1795">
        <v>0.868927</v>
      </c>
      <c r="V1795">
        <v>-8.5284910000000005E-2</v>
      </c>
      <c r="W1795">
        <v>0.15292610000000001</v>
      </c>
      <c r="X1795">
        <v>0.9845507</v>
      </c>
      <c r="Y1795">
        <v>-0.29326170000000001</v>
      </c>
      <c r="Z1795">
        <v>4.4787059999999998E-3</v>
      </c>
      <c r="AA1795">
        <v>0.95602169999999997</v>
      </c>
      <c r="AB1795">
        <v>22</v>
      </c>
      <c r="AC1795">
        <v>61.4055999999999</v>
      </c>
      <c r="AD1795">
        <v>-1.03102914</v>
      </c>
      <c r="AE1795">
        <v>17.934999999999999</v>
      </c>
      <c r="AF1795">
        <v>-18.797458385876499</v>
      </c>
      <c r="AG1795">
        <v>-1.03102914</v>
      </c>
      <c r="AH1795">
        <v>61.129716836593502</v>
      </c>
      <c r="AI1795">
        <v>90.923600981086196</v>
      </c>
      <c r="AJ1795">
        <v>107.092723284831</v>
      </c>
      <c r="AK1795">
        <v>63.962877854098998</v>
      </c>
      <c r="AL1795">
        <v>81.203463341033597</v>
      </c>
      <c r="AM1795">
        <v>94.950784296604695</v>
      </c>
      <c r="AN1795">
        <v>0.99999999440270304</v>
      </c>
    </row>
    <row r="1796" spans="1:40" x14ac:dyDescent="0.25">
      <c r="A1796" t="str">
        <f>"20190304154752145"</f>
        <v>20190304154752145</v>
      </c>
      <c r="B1796" t="str">
        <f>"1551685672138777"</f>
        <v>1551685672138777</v>
      </c>
      <c r="C1796" t="s">
        <v>40</v>
      </c>
      <c r="D1796">
        <v>4.1883379999999999</v>
      </c>
      <c r="E1796">
        <v>0.41531770000000001</v>
      </c>
      <c r="F1796" t="s">
        <v>45</v>
      </c>
      <c r="G1796">
        <v>-170.50989999999999</v>
      </c>
      <c r="H1796">
        <v>-0.05</v>
      </c>
      <c r="I1796">
        <v>387.137</v>
      </c>
      <c r="J1796">
        <v>-240.6874</v>
      </c>
      <c r="K1796">
        <v>1.1110139999999999</v>
      </c>
      <c r="L1796">
        <v>366.53480000000002</v>
      </c>
      <c r="M1796">
        <v>0.99980840000000004</v>
      </c>
      <c r="N1796">
        <v>-1.352662E-2</v>
      </c>
      <c r="O1796">
        <v>-1.415259E-2</v>
      </c>
      <c r="P1796">
        <v>0.98768</v>
      </c>
      <c r="Q1796">
        <v>0.13939470000000001</v>
      </c>
      <c r="R1796">
        <v>7.1117020000000003E-2</v>
      </c>
      <c r="S1796">
        <v>2.9814150000000001</v>
      </c>
      <c r="T1796">
        <v>-4.9230099999999999E-2</v>
      </c>
      <c r="U1796">
        <v>0.87350459999999996</v>
      </c>
      <c r="V1796">
        <v>-8.5083290000000006E-2</v>
      </c>
      <c r="W1796">
        <v>0.15273049999999999</v>
      </c>
      <c r="X1796">
        <v>0.98459850000000004</v>
      </c>
      <c r="Y1796">
        <v>-0.2946492</v>
      </c>
      <c r="Z1796">
        <v>4.4581680000000002E-3</v>
      </c>
      <c r="AA1796">
        <v>0.95559510000000003</v>
      </c>
      <c r="AB1796">
        <v>22</v>
      </c>
      <c r="AC1796">
        <v>70.177499999999995</v>
      </c>
      <c r="AD1796">
        <v>-1.161014</v>
      </c>
      <c r="AE1796">
        <v>20.6021999999999</v>
      </c>
      <c r="AF1796">
        <v>-21.587980605178899</v>
      </c>
      <c r="AG1796">
        <v>-1.161014</v>
      </c>
      <c r="AH1796">
        <v>69.861265062375594</v>
      </c>
      <c r="AI1796">
        <v>90.909668666378295</v>
      </c>
      <c r="AJ1796">
        <v>107.171785146101</v>
      </c>
      <c r="AK1796">
        <v>73.129920116415306</v>
      </c>
      <c r="AL1796">
        <v>81.214803564990106</v>
      </c>
      <c r="AM1796">
        <v>94.938899634028303</v>
      </c>
      <c r="AN1796">
        <v>0.99999998903486198</v>
      </c>
    </row>
    <row r="1797" spans="1:40" x14ac:dyDescent="0.25">
      <c r="A1797" t="str">
        <f>"20190304154752158"</f>
        <v>20190304154752158</v>
      </c>
      <c r="B1797" t="str">
        <f>"1551685672148536"</f>
        <v>1551685672148536</v>
      </c>
      <c r="C1797" t="s">
        <v>40</v>
      </c>
      <c r="D1797">
        <v>4.1880410000000001</v>
      </c>
      <c r="E1797">
        <v>0.41506219999999999</v>
      </c>
      <c r="F1797" t="s">
        <v>45</v>
      </c>
      <c r="G1797">
        <v>-171.30289999999999</v>
      </c>
      <c r="H1797">
        <v>-0.05</v>
      </c>
      <c r="I1797">
        <v>386.89780000000002</v>
      </c>
      <c r="J1797">
        <v>-240.55330000000001</v>
      </c>
      <c r="K1797">
        <v>1.111016</v>
      </c>
      <c r="L1797">
        <v>366.53289999999998</v>
      </c>
      <c r="M1797">
        <v>0.99980880000000005</v>
      </c>
      <c r="N1797">
        <v>-1.350429E-2</v>
      </c>
      <c r="O1797">
        <v>-1.415256E-2</v>
      </c>
      <c r="P1797">
        <v>0.98770650000000004</v>
      </c>
      <c r="Q1797">
        <v>0.1393066</v>
      </c>
      <c r="R1797">
        <v>7.092089E-2</v>
      </c>
      <c r="S1797">
        <v>2.9814609999999999</v>
      </c>
      <c r="T1797">
        <v>-4.9888969999999998E-2</v>
      </c>
      <c r="U1797">
        <v>0.875</v>
      </c>
      <c r="V1797">
        <v>-8.4887580000000004E-2</v>
      </c>
      <c r="W1797">
        <v>0.15262029999999999</v>
      </c>
      <c r="X1797">
        <v>0.98463250000000002</v>
      </c>
      <c r="Y1797">
        <v>-0.29508499999999999</v>
      </c>
      <c r="Z1797">
        <v>4.4965680000000003E-3</v>
      </c>
      <c r="AA1797">
        <v>0.95546039999999999</v>
      </c>
      <c r="AB1797">
        <v>22</v>
      </c>
      <c r="AC1797">
        <v>69.250399999999999</v>
      </c>
      <c r="AD1797">
        <v>-1.161016</v>
      </c>
      <c r="AE1797">
        <v>20.364899999999999</v>
      </c>
      <c r="AF1797">
        <v>-21.337499525707202</v>
      </c>
      <c r="AG1797">
        <v>-1.161016</v>
      </c>
      <c r="AH1797">
        <v>68.9373867772604</v>
      </c>
      <c r="AI1797">
        <v>90.921727160874894</v>
      </c>
      <c r="AJ1797">
        <v>107.198341707453</v>
      </c>
      <c r="AK1797">
        <v>72.173403271838396</v>
      </c>
      <c r="AL1797">
        <v>81.221192634303307</v>
      </c>
      <c r="AM1797">
        <v>94.927425779340297</v>
      </c>
      <c r="AN1797">
        <v>1.0000000086332901</v>
      </c>
    </row>
    <row r="1798" spans="1:40" x14ac:dyDescent="0.25">
      <c r="A1798" t="str">
        <f>"20190304154752172"</f>
        <v>20190304154752172</v>
      </c>
      <c r="B1798" t="str">
        <f>"1551685672168056"</f>
        <v>1551685672168056</v>
      </c>
      <c r="C1798" t="s">
        <v>40</v>
      </c>
      <c r="D1798">
        <v>4.2235449999999997</v>
      </c>
      <c r="E1798">
        <v>0.41479120000000003</v>
      </c>
      <c r="F1798" t="s">
        <v>45</v>
      </c>
      <c r="G1798">
        <v>-170.62219999999999</v>
      </c>
      <c r="H1798">
        <v>-0.05</v>
      </c>
      <c r="I1798">
        <v>387.08690000000001</v>
      </c>
      <c r="J1798">
        <v>-240.41650000000001</v>
      </c>
      <c r="K1798">
        <v>1.111013</v>
      </c>
      <c r="L1798">
        <v>366.53100000000001</v>
      </c>
      <c r="M1798">
        <v>0.99980899999999995</v>
      </c>
      <c r="N1798">
        <v>-1.3482279999999999E-2</v>
      </c>
      <c r="O1798">
        <v>-1.4152410000000001E-2</v>
      </c>
      <c r="P1798">
        <v>0.98771920000000002</v>
      </c>
      <c r="Q1798">
        <v>0.13926150000000001</v>
      </c>
      <c r="R1798">
        <v>7.0832220000000001E-2</v>
      </c>
      <c r="S1798">
        <v>2.9813839999999998</v>
      </c>
      <c r="T1798">
        <v>-4.9497720000000002E-2</v>
      </c>
      <c r="U1798">
        <v>0.87628169999999905</v>
      </c>
      <c r="V1798">
        <v>-8.4799250000000007E-2</v>
      </c>
      <c r="W1798">
        <v>0.15255389999999999</v>
      </c>
      <c r="X1798">
        <v>0.98465040000000004</v>
      </c>
      <c r="Y1798">
        <v>-0.29547040000000002</v>
      </c>
      <c r="Z1798">
        <v>4.4786000000000001E-3</v>
      </c>
      <c r="AA1798">
        <v>0.95534140000000001</v>
      </c>
      <c r="AB1798">
        <v>22</v>
      </c>
      <c r="AC1798">
        <v>69.794300000000007</v>
      </c>
      <c r="AD1798">
        <v>-1.1610129999999901</v>
      </c>
      <c r="AE1798">
        <v>20.555900000000001</v>
      </c>
      <c r="AF1798">
        <v>-21.536204493019699</v>
      </c>
      <c r="AG1798">
        <v>-1.1610129999999901</v>
      </c>
      <c r="AH1798">
        <v>69.478675579594693</v>
      </c>
      <c r="AI1798">
        <v>90.914429190916593</v>
      </c>
      <c r="AJ1798">
        <v>107.221792335641</v>
      </c>
      <c r="AK1798">
        <v>72.749174671922603</v>
      </c>
      <c r="AL1798">
        <v>81.225042143637296</v>
      </c>
      <c r="AM1798">
        <v>94.922234693787203</v>
      </c>
      <c r="AN1798">
        <v>1.00000000771296</v>
      </c>
    </row>
    <row r="1799" spans="1:40" x14ac:dyDescent="0.25">
      <c r="A1799" t="str">
        <f>"20190304154752183"</f>
        <v>20190304154752183</v>
      </c>
      <c r="B1799" t="str">
        <f>"1551685672178794"</f>
        <v>1551685672178794</v>
      </c>
      <c r="C1799" t="s">
        <v>40</v>
      </c>
      <c r="D1799">
        <v>4.1650879999999999</v>
      </c>
      <c r="E1799">
        <v>0.41459400000000002</v>
      </c>
      <c r="F1799" t="s">
        <v>45</v>
      </c>
      <c r="G1799">
        <v>-170.57490000000001</v>
      </c>
      <c r="H1799">
        <v>-0.05</v>
      </c>
      <c r="I1799">
        <v>387.10559999999998</v>
      </c>
      <c r="J1799">
        <v>-240.30699999999999</v>
      </c>
      <c r="K1799">
        <v>1.111011</v>
      </c>
      <c r="L1799">
        <v>366.52940000000001</v>
      </c>
      <c r="M1799">
        <v>0.99980930000000001</v>
      </c>
      <c r="N1799">
        <v>-1.346411E-2</v>
      </c>
      <c r="O1799">
        <v>-1.415217E-2</v>
      </c>
      <c r="P1799">
        <v>0.98773549999999999</v>
      </c>
      <c r="Q1799">
        <v>0.13926079999999999</v>
      </c>
      <c r="R1799">
        <v>7.0607329999999996E-2</v>
      </c>
      <c r="S1799">
        <v>2.9813230000000002</v>
      </c>
      <c r="T1799">
        <v>-4.9560069999999998E-2</v>
      </c>
      <c r="U1799">
        <v>0.87826539999999997</v>
      </c>
      <c r="V1799">
        <v>-8.4574590000000005E-2</v>
      </c>
      <c r="W1799">
        <v>0.15253539999999999</v>
      </c>
      <c r="X1799">
        <v>0.98467249999999995</v>
      </c>
      <c r="Y1799">
        <v>-0.29606009999999999</v>
      </c>
      <c r="Z1799">
        <v>4.4882860000000002E-3</v>
      </c>
      <c r="AA1799">
        <v>0.95515879999999997</v>
      </c>
      <c r="AB1799">
        <v>22</v>
      </c>
      <c r="AC1799">
        <v>69.732100000000003</v>
      </c>
      <c r="AD1799">
        <v>-1.161011</v>
      </c>
      <c r="AE1799">
        <v>20.576199999999901</v>
      </c>
      <c r="AF1799">
        <v>-21.555592078820801</v>
      </c>
      <c r="AG1799">
        <v>-1.161011</v>
      </c>
      <c r="AH1799">
        <v>69.416189500353994</v>
      </c>
      <c r="AI1799">
        <v>90.915106031546898</v>
      </c>
      <c r="AJ1799">
        <v>107.2509728656</v>
      </c>
      <c r="AK1799">
        <v>72.695246482556897</v>
      </c>
      <c r="AL1799">
        <v>81.226113899978102</v>
      </c>
      <c r="AM1799">
        <v>94.909148309652593</v>
      </c>
      <c r="AN1799">
        <v>0.999999920891535</v>
      </c>
    </row>
    <row r="1800" spans="1:40" x14ac:dyDescent="0.25">
      <c r="A1800" t="str">
        <f>"20190304154752194"</f>
        <v>20190304154752194</v>
      </c>
      <c r="B1800" t="str">
        <f>"1551685672188553"</f>
        <v>1551685672188553</v>
      </c>
      <c r="C1800" t="s">
        <v>40</v>
      </c>
      <c r="D1800">
        <v>4.1759760000000004</v>
      </c>
      <c r="E1800">
        <v>0.41442190000000001</v>
      </c>
      <c r="F1800" t="s">
        <v>45</v>
      </c>
      <c r="G1800">
        <v>-169.67850000000001</v>
      </c>
      <c r="H1800">
        <v>-0.05</v>
      </c>
      <c r="I1800">
        <v>387.3612</v>
      </c>
      <c r="J1800">
        <v>-240.20500000000001</v>
      </c>
      <c r="K1800">
        <v>1.1110089999999999</v>
      </c>
      <c r="L1800">
        <v>366.52800000000002</v>
      </c>
      <c r="M1800">
        <v>0.99980959999999997</v>
      </c>
      <c r="N1800">
        <v>-1.3446939999999999E-2</v>
      </c>
      <c r="O1800">
        <v>-1.4152049999999999E-2</v>
      </c>
      <c r="P1800">
        <v>0.98771730000000002</v>
      </c>
      <c r="Q1800">
        <v>0.13939699999999999</v>
      </c>
      <c r="R1800">
        <v>7.0592459999999996E-2</v>
      </c>
      <c r="S1800">
        <v>2.9813079999999998</v>
      </c>
      <c r="T1800">
        <v>-4.9007530000000001E-2</v>
      </c>
      <c r="U1800">
        <v>0.87933349999999899</v>
      </c>
      <c r="V1800">
        <v>-8.4558919999999996E-2</v>
      </c>
      <c r="W1800">
        <v>0.1526546</v>
      </c>
      <c r="X1800">
        <v>0.98465539999999996</v>
      </c>
      <c r="Y1800">
        <v>-0.29637740000000001</v>
      </c>
      <c r="Z1800">
        <v>4.461217E-3</v>
      </c>
      <c r="AA1800">
        <v>0.95506049999999998</v>
      </c>
      <c r="AB1800">
        <v>22</v>
      </c>
      <c r="AC1800">
        <v>70.526499999999999</v>
      </c>
      <c r="AD1800">
        <v>-1.161009</v>
      </c>
      <c r="AE1800">
        <v>20.833199999999898</v>
      </c>
      <c r="AF1800">
        <v>-21.823858334292002</v>
      </c>
      <c r="AG1800">
        <v>-1.161009</v>
      </c>
      <c r="AH1800">
        <v>70.207077675145797</v>
      </c>
      <c r="AI1800">
        <v>90.904714677996296</v>
      </c>
      <c r="AJ1800">
        <v>107.267848292594</v>
      </c>
      <c r="AK1800">
        <v>73.530010813118196</v>
      </c>
      <c r="AL1800">
        <v>81.219203544992496</v>
      </c>
      <c r="AM1800">
        <v>94.908328007782799</v>
      </c>
      <c r="AN1800">
        <v>0.99999994730094099</v>
      </c>
    </row>
    <row r="1801" spans="1:40" x14ac:dyDescent="0.25">
      <c r="A1801" t="str">
        <f>"20190304154752205"</f>
        <v>20190304154752205</v>
      </c>
      <c r="B1801" t="str">
        <f>"1551685672198312"</f>
        <v>1551685672198312</v>
      </c>
      <c r="C1801" t="s">
        <v>40</v>
      </c>
      <c r="D1801">
        <v>4.1610449999999997</v>
      </c>
      <c r="E1801">
        <v>0.41423110000000002</v>
      </c>
      <c r="F1801" t="s">
        <v>45</v>
      </c>
      <c r="G1801">
        <v>-169.10599999999999</v>
      </c>
      <c r="H1801">
        <v>-0.05</v>
      </c>
      <c r="I1801">
        <v>387.53030000000001</v>
      </c>
      <c r="J1801">
        <v>-240.0891</v>
      </c>
      <c r="K1801">
        <v>1.1110059999999999</v>
      </c>
      <c r="L1801">
        <v>366.52629999999999</v>
      </c>
      <c r="M1801">
        <v>0.99980990000000003</v>
      </c>
      <c r="N1801">
        <v>-1.3426449999999999E-2</v>
      </c>
      <c r="O1801">
        <v>-1.415131E-2</v>
      </c>
      <c r="P1801">
        <v>0.98774609999999996</v>
      </c>
      <c r="Q1801">
        <v>0.1392796</v>
      </c>
      <c r="R1801">
        <v>7.0421120000000004E-2</v>
      </c>
      <c r="S1801">
        <v>2.9812470000000002</v>
      </c>
      <c r="T1801">
        <v>-4.8682209999999997E-2</v>
      </c>
      <c r="U1801">
        <v>0.88064580000000003</v>
      </c>
      <c r="V1801">
        <v>-8.4387500000000004E-2</v>
      </c>
      <c r="W1801">
        <v>0.15251709999999999</v>
      </c>
      <c r="X1801">
        <v>0.98469150000000005</v>
      </c>
      <c r="Y1801">
        <v>-0.29676930000000001</v>
      </c>
      <c r="Z1801">
        <v>4.4468980000000003E-3</v>
      </c>
      <c r="AA1801">
        <v>0.95493879999999998</v>
      </c>
      <c r="AB1801">
        <v>22</v>
      </c>
      <c r="AC1801">
        <v>70.983099999999993</v>
      </c>
      <c r="AD1801">
        <v>-1.161006</v>
      </c>
      <c r="AE1801">
        <v>21.004000000000001</v>
      </c>
      <c r="AF1801">
        <v>-22.001078700940699</v>
      </c>
      <c r="AG1801">
        <v>-1.161006</v>
      </c>
      <c r="AH1801">
        <v>70.661348431272799</v>
      </c>
      <c r="AI1801">
        <v>90.898767135437595</v>
      </c>
      <c r="AJ1801">
        <v>107.294470646443</v>
      </c>
      <c r="AK1801">
        <v>74.016360090609496</v>
      </c>
      <c r="AL1801">
        <v>81.2271758180826</v>
      </c>
      <c r="AM1801">
        <v>94.898247474938998</v>
      </c>
      <c r="AN1801">
        <v>1.0000000330604499</v>
      </c>
    </row>
    <row r="1802" spans="1:40" x14ac:dyDescent="0.25">
      <c r="A1802" t="str">
        <f>"20190304154752215"</f>
        <v>20190304154752215</v>
      </c>
      <c r="B1802" t="str">
        <f>"1551685672208073"</f>
        <v>1551685672208073</v>
      </c>
      <c r="C1802" t="s">
        <v>40</v>
      </c>
      <c r="D1802">
        <v>4.1576680000000001</v>
      </c>
      <c r="E1802">
        <v>0.41406130000000002</v>
      </c>
      <c r="F1802" t="s">
        <v>45</v>
      </c>
      <c r="G1802">
        <v>-169.24690000000001</v>
      </c>
      <c r="H1802">
        <v>-0.05</v>
      </c>
      <c r="I1802">
        <v>387.4753</v>
      </c>
      <c r="J1802">
        <v>-239.98849999999999</v>
      </c>
      <c r="K1802">
        <v>1.111003</v>
      </c>
      <c r="L1802">
        <v>366.5249</v>
      </c>
      <c r="M1802">
        <v>0.99980999999999998</v>
      </c>
      <c r="N1802">
        <v>-1.3407840000000001E-2</v>
      </c>
      <c r="O1802">
        <v>-1.415071E-2</v>
      </c>
      <c r="P1802">
        <v>0.98772899999999997</v>
      </c>
      <c r="Q1802">
        <v>0.13946169999999999</v>
      </c>
      <c r="R1802">
        <v>7.0300130000000002E-2</v>
      </c>
      <c r="S1802">
        <v>2.9812319999999999</v>
      </c>
      <c r="T1802">
        <v>-4.8858279999999997E-2</v>
      </c>
      <c r="U1802">
        <v>0.88159179999999904</v>
      </c>
      <c r="V1802">
        <v>-8.4266069999999998E-2</v>
      </c>
      <c r="W1802">
        <v>0.15268109999999999</v>
      </c>
      <c r="X1802">
        <v>0.98467649999999995</v>
      </c>
      <c r="Y1802">
        <v>-0.29704839999999999</v>
      </c>
      <c r="Z1802">
        <v>4.4578730000000002E-3</v>
      </c>
      <c r="AA1802">
        <v>0.95485200000000003</v>
      </c>
      <c r="AB1802">
        <v>22</v>
      </c>
      <c r="AC1802">
        <v>70.741599999999906</v>
      </c>
      <c r="AD1802">
        <v>-1.161003</v>
      </c>
      <c r="AE1802">
        <v>20.950399999999998</v>
      </c>
      <c r="AF1802">
        <v>-21.944001755427799</v>
      </c>
      <c r="AG1802">
        <v>-1.161003</v>
      </c>
      <c r="AH1802">
        <v>70.420587634450698</v>
      </c>
      <c r="AI1802">
        <v>90.901772066611997</v>
      </c>
      <c r="AJ1802">
        <v>107.30773619206801</v>
      </c>
      <c r="AK1802">
        <v>73.769548621294803</v>
      </c>
      <c r="AL1802">
        <v>81.217668099441099</v>
      </c>
      <c r="AM1802">
        <v>94.891307474190498</v>
      </c>
      <c r="AN1802">
        <v>1.0000000492513501</v>
      </c>
    </row>
    <row r="1803" spans="1:40" x14ac:dyDescent="0.25">
      <c r="A1803" t="str">
        <f>"20190304154752226"</f>
        <v>20190304154752226</v>
      </c>
      <c r="B1803" t="str">
        <f>"1551685672218809"</f>
        <v>1551685672218809</v>
      </c>
      <c r="C1803" t="s">
        <v>40</v>
      </c>
      <c r="D1803">
        <v>4.2554759999999998</v>
      </c>
      <c r="E1803">
        <v>0.41401339999999998</v>
      </c>
      <c r="F1803" t="s">
        <v>45</v>
      </c>
      <c r="G1803">
        <v>-168.274</v>
      </c>
      <c r="H1803">
        <v>-0.05</v>
      </c>
      <c r="I1803">
        <v>387.755</v>
      </c>
      <c r="J1803">
        <v>-239.88239999999999</v>
      </c>
      <c r="K1803">
        <v>1.110997</v>
      </c>
      <c r="L1803">
        <v>366.52339999999998</v>
      </c>
      <c r="M1803">
        <v>0.99981030000000004</v>
      </c>
      <c r="N1803">
        <v>-1.3387E-2</v>
      </c>
      <c r="O1803">
        <v>-1.414997E-2</v>
      </c>
      <c r="P1803">
        <v>0.98773120000000003</v>
      </c>
      <c r="Q1803">
        <v>0.1395894</v>
      </c>
      <c r="R1803">
        <v>7.0013690000000003E-2</v>
      </c>
      <c r="S1803">
        <v>2.981277</v>
      </c>
      <c r="T1803">
        <v>-4.8264620000000001E-2</v>
      </c>
      <c r="U1803">
        <v>0.88256840000000003</v>
      </c>
      <c r="V1803">
        <v>-8.3978709999999998E-2</v>
      </c>
      <c r="W1803">
        <v>0.15278849999999999</v>
      </c>
      <c r="X1803">
        <v>0.98468429999999996</v>
      </c>
      <c r="Y1803">
        <v>-0.2973324</v>
      </c>
      <c r="Z1803">
        <v>4.4274179999999998E-3</v>
      </c>
      <c r="AA1803">
        <v>0.95476380000000005</v>
      </c>
      <c r="AB1803">
        <v>22</v>
      </c>
      <c r="AC1803">
        <v>71.608399999999904</v>
      </c>
      <c r="AD1803">
        <v>-1.1609969999999901</v>
      </c>
      <c r="AE1803">
        <v>21.2316</v>
      </c>
      <c r="AF1803">
        <v>-22.237448365214799</v>
      </c>
      <c r="AG1803">
        <v>-1.1609969999999901</v>
      </c>
      <c r="AH1803">
        <v>71.283552296513093</v>
      </c>
      <c r="AI1803">
        <v>90.890765192695198</v>
      </c>
      <c r="AJ1803">
        <v>107.325709723492</v>
      </c>
      <c r="AK1803">
        <v>74.680632374393596</v>
      </c>
      <c r="AL1803">
        <v>81.211440687371095</v>
      </c>
      <c r="AM1803">
        <v>94.874669463595694</v>
      </c>
      <c r="AN1803">
        <v>0.999999960066001</v>
      </c>
    </row>
    <row r="1804" spans="1:40" x14ac:dyDescent="0.25">
      <c r="A1804" t="str">
        <f>"20190304154752237"</f>
        <v>20190304154752237</v>
      </c>
      <c r="B1804" t="str">
        <f>"1551685672228568"</f>
        <v>1551685672228568</v>
      </c>
      <c r="C1804" t="s">
        <v>40</v>
      </c>
      <c r="D1804">
        <v>4.8588290000000001</v>
      </c>
      <c r="E1804">
        <v>0.41401339999999998</v>
      </c>
      <c r="F1804" t="s">
        <v>45</v>
      </c>
      <c r="G1804">
        <v>-166.08109999999999</v>
      </c>
      <c r="H1804">
        <v>-0.05</v>
      </c>
      <c r="I1804">
        <v>388.36470000000003</v>
      </c>
      <c r="J1804">
        <v>-239.7757</v>
      </c>
      <c r="K1804">
        <v>1.110994</v>
      </c>
      <c r="L1804">
        <v>366.52190000000002</v>
      </c>
      <c r="M1804">
        <v>0.99981070000000005</v>
      </c>
      <c r="N1804">
        <v>-1.3365299999999899E-2</v>
      </c>
      <c r="O1804">
        <v>-1.4149109999999999E-2</v>
      </c>
      <c r="P1804">
        <v>0.98781059999999998</v>
      </c>
      <c r="Q1804">
        <v>0.13915999999999901</v>
      </c>
      <c r="R1804">
        <v>6.9750149999999997E-2</v>
      </c>
      <c r="S1804">
        <v>2.9813540000000001</v>
      </c>
      <c r="T1804">
        <v>-4.6900869999999997E-2</v>
      </c>
      <c r="U1804">
        <v>0.8823242</v>
      </c>
      <c r="V1804">
        <v>-8.3716020000000002E-2</v>
      </c>
      <c r="W1804">
        <v>0.15233840000000001</v>
      </c>
      <c r="X1804">
        <v>0.9847764</v>
      </c>
      <c r="Y1804">
        <v>-0.29725610000000002</v>
      </c>
      <c r="Z1804">
        <v>4.3503389999999999E-3</v>
      </c>
      <c r="AA1804">
        <v>0.95478790000000002</v>
      </c>
      <c r="AB1804">
        <v>22</v>
      </c>
      <c r="AC1804">
        <v>73.694599999999994</v>
      </c>
      <c r="AD1804">
        <v>-1.1609940000000001</v>
      </c>
      <c r="AE1804">
        <v>21.8428</v>
      </c>
      <c r="AF1804">
        <v>-22.8781994251657</v>
      </c>
      <c r="AG1804">
        <v>-1.1609940000000001</v>
      </c>
      <c r="AH1804">
        <v>73.3614004788502</v>
      </c>
      <c r="AI1804">
        <v>90.865562284541298</v>
      </c>
      <c r="AJ1804">
        <v>107.320407415803</v>
      </c>
      <c r="AK1804">
        <v>76.854765605159002</v>
      </c>
      <c r="AL1804">
        <v>81.237534978402394</v>
      </c>
      <c r="AM1804">
        <v>94.8590420620597</v>
      </c>
      <c r="AN1804">
        <v>0.99999995905807904</v>
      </c>
    </row>
    <row r="1805" spans="1:40" x14ac:dyDescent="0.25">
      <c r="A1805" t="str">
        <f>"20190304154752271"</f>
        <v>20190304154752271</v>
      </c>
      <c r="B1805" t="str">
        <f>"1551685672268586"</f>
        <v>1551685672268586</v>
      </c>
      <c r="C1805" t="s">
        <v>40</v>
      </c>
      <c r="D1805">
        <v>3.3054299999999999</v>
      </c>
      <c r="E1805">
        <v>0.41401339999999998</v>
      </c>
      <c r="F1805" t="s">
        <v>45</v>
      </c>
      <c r="G1805">
        <v>-167.4066</v>
      </c>
      <c r="H1805">
        <v>-0.05</v>
      </c>
      <c r="I1805">
        <v>387.92559999999997</v>
      </c>
      <c r="J1805">
        <v>-239.4451</v>
      </c>
      <c r="K1805">
        <v>1.110978</v>
      </c>
      <c r="L1805">
        <v>366.5172</v>
      </c>
      <c r="M1805">
        <v>0.99981149999999996</v>
      </c>
      <c r="N1805">
        <v>-1.329636E-2</v>
      </c>
      <c r="O1805">
        <v>-1.414555E-2</v>
      </c>
      <c r="P1805">
        <v>0.98814100000000005</v>
      </c>
      <c r="Q1805">
        <v>0.1375421</v>
      </c>
      <c r="R1805">
        <v>6.8261210000000003E-2</v>
      </c>
      <c r="S1805">
        <v>2.981506</v>
      </c>
      <c r="T1805">
        <v>-4.78313E-2</v>
      </c>
      <c r="U1805">
        <v>0.88180539999999996</v>
      </c>
      <c r="V1805">
        <v>-8.2228120000000002E-2</v>
      </c>
      <c r="W1805">
        <v>0.15065719999999999</v>
      </c>
      <c r="X1805">
        <v>0.98516040000000005</v>
      </c>
      <c r="Y1805">
        <v>-0.29708479999999998</v>
      </c>
      <c r="Z1805">
        <v>4.387925E-3</v>
      </c>
      <c r="AA1805">
        <v>0.95484100000000005</v>
      </c>
      <c r="AB1805">
        <v>22</v>
      </c>
      <c r="AC1805">
        <v>72.038499999999999</v>
      </c>
      <c r="AD1805">
        <v>-1.1609780000000001</v>
      </c>
      <c r="AE1805">
        <v>21.408399999999901</v>
      </c>
      <c r="AF1805">
        <v>-22.4200214064386</v>
      </c>
      <c r="AG1805">
        <v>-1.1609780000000001</v>
      </c>
      <c r="AH1805">
        <v>71.711316664926002</v>
      </c>
      <c r="AI1805">
        <v>90.885265495756997</v>
      </c>
      <c r="AJ1805">
        <v>107.361474298806</v>
      </c>
      <c r="AK1805">
        <v>75.143317517919996</v>
      </c>
      <c r="AL1805">
        <v>81.334986132781907</v>
      </c>
      <c r="AM1805">
        <v>94.771232128802794</v>
      </c>
      <c r="AN1805">
        <v>1.0000000346793601</v>
      </c>
    </row>
    <row r="1806" spans="1:40" x14ac:dyDescent="0.25">
      <c r="A1806" t="str">
        <f>"20190304154752297"</f>
        <v>20190304154752297</v>
      </c>
      <c r="B1806" t="str">
        <f>"1551685672288106"</f>
        <v>1551685672288106</v>
      </c>
      <c r="C1806" t="s">
        <v>40</v>
      </c>
      <c r="D1806">
        <v>3.6105480000000001</v>
      </c>
      <c r="E1806">
        <v>0.41401339999999998</v>
      </c>
      <c r="F1806" t="s">
        <v>53</v>
      </c>
      <c r="G1806">
        <v>-181.11750000000001</v>
      </c>
      <c r="H1806">
        <v>7.9989089999999999E-2</v>
      </c>
      <c r="I1806">
        <v>383.67309999999998</v>
      </c>
      <c r="J1806">
        <v>-239.18729999999999</v>
      </c>
      <c r="K1806">
        <v>1.1109709999999999</v>
      </c>
      <c r="L1806">
        <v>366.51350000000002</v>
      </c>
      <c r="M1806">
        <v>0.99981240000000005</v>
      </c>
      <c r="N1806">
        <v>-1.32456E-2</v>
      </c>
      <c r="O1806">
        <v>-1.4141509999999999E-2</v>
      </c>
      <c r="P1806">
        <v>0.98828990000000005</v>
      </c>
      <c r="Q1806">
        <v>0.13672319999999999</v>
      </c>
      <c r="R1806">
        <v>6.7751999999999896E-2</v>
      </c>
      <c r="S1806">
        <v>2.982758</v>
      </c>
      <c r="T1806">
        <v>-5.2722810000000002E-2</v>
      </c>
      <c r="U1806">
        <v>0.87731930000000002</v>
      </c>
      <c r="V1806">
        <v>-8.1717570000000003E-2</v>
      </c>
      <c r="W1806">
        <v>0.14979020000000001</v>
      </c>
      <c r="X1806">
        <v>0.98533510000000002</v>
      </c>
      <c r="Y1806">
        <v>-0.29564020000000002</v>
      </c>
      <c r="Z1806">
        <v>4.6189279999999996E-3</v>
      </c>
      <c r="AA1806">
        <v>0.95528820000000003</v>
      </c>
      <c r="AB1806">
        <v>22</v>
      </c>
      <c r="AC1806">
        <v>58.069800000000001</v>
      </c>
      <c r="AD1806">
        <v>-1.0309819099999999</v>
      </c>
      <c r="AE1806">
        <v>17.159599999999902</v>
      </c>
      <c r="AF1806">
        <v>-17.973939806405099</v>
      </c>
      <c r="AG1806">
        <v>-1.0309819099999999</v>
      </c>
      <c r="AH1806">
        <v>57.804550934134298</v>
      </c>
      <c r="AI1806">
        <v>90.975727528896996</v>
      </c>
      <c r="AJ1806">
        <v>107.272733377325</v>
      </c>
      <c r="AK1806">
        <v>60.543303052938498</v>
      </c>
      <c r="AL1806">
        <v>81.385231998890603</v>
      </c>
      <c r="AM1806">
        <v>94.740906424116901</v>
      </c>
      <c r="AN1806">
        <v>1.0000000622773699</v>
      </c>
    </row>
    <row r="1807" spans="1:40" x14ac:dyDescent="0.25">
      <c r="A1807" t="str">
        <f>"20190304154752312"</f>
        <v>20190304154752312</v>
      </c>
      <c r="B1807" t="str">
        <f>"1551685672308600"</f>
        <v>1551685672308600</v>
      </c>
      <c r="C1807" t="s">
        <v>40</v>
      </c>
      <c r="D1807">
        <v>4.0074249999999996</v>
      </c>
      <c r="E1807">
        <v>0.64971400000000001</v>
      </c>
      <c r="F1807" t="s">
        <v>53</v>
      </c>
      <c r="G1807">
        <v>-183.65629999999999</v>
      </c>
      <c r="H1807">
        <v>7.9989489999999996E-2</v>
      </c>
      <c r="I1807">
        <v>382.82040000000001</v>
      </c>
      <c r="J1807">
        <v>-239.0514</v>
      </c>
      <c r="K1807">
        <v>1.110968</v>
      </c>
      <c r="L1807">
        <v>366.51159999999999</v>
      </c>
      <c r="M1807">
        <v>0.9998127</v>
      </c>
      <c r="N1807">
        <v>-1.321862E-2</v>
      </c>
      <c r="O1807">
        <v>-1.4138589999999999E-2</v>
      </c>
      <c r="P1807">
        <v>0.98836849999999998</v>
      </c>
      <c r="Q1807">
        <v>0.13629910000000001</v>
      </c>
      <c r="R1807">
        <v>6.7456600000000005E-2</v>
      </c>
      <c r="S1807">
        <v>2.983139</v>
      </c>
      <c r="T1807">
        <v>-5.538452E-2</v>
      </c>
      <c r="U1807">
        <v>0.87600710000000004</v>
      </c>
      <c r="V1807">
        <v>-8.1420590000000001E-2</v>
      </c>
      <c r="W1807">
        <v>0.14934049999999999</v>
      </c>
      <c r="X1807">
        <v>0.98542790000000002</v>
      </c>
      <c r="Y1807">
        <v>-0.29521160000000002</v>
      </c>
      <c r="Z1807">
        <v>4.749629E-3</v>
      </c>
      <c r="AA1807">
        <v>0.95542009999999999</v>
      </c>
      <c r="AB1807">
        <v>22</v>
      </c>
      <c r="AC1807">
        <v>55.395099999999999</v>
      </c>
      <c r="AD1807">
        <v>-1.03097851</v>
      </c>
      <c r="AE1807">
        <v>16.308800000000002</v>
      </c>
      <c r="AF1807">
        <v>-17.085000666961999</v>
      </c>
      <c r="AG1807">
        <v>-1.03097851</v>
      </c>
      <c r="AH1807">
        <v>55.141381885841298</v>
      </c>
      <c r="AI1807">
        <v>91.023158703187406</v>
      </c>
      <c r="AJ1807">
        <v>107.215067396623</v>
      </c>
      <c r="AK1807">
        <v>57.736748789296797</v>
      </c>
      <c r="AL1807">
        <v>81.411290674924103</v>
      </c>
      <c r="AM1807">
        <v>94.723312181491295</v>
      </c>
      <c r="AN1807">
        <v>1.0000000217573</v>
      </c>
    </row>
    <row r="1808" spans="1:40" x14ac:dyDescent="0.25">
      <c r="A1808" t="str">
        <f>"20190304154752337"</f>
        <v>20190304154752337</v>
      </c>
      <c r="B1808" t="str">
        <f>"1551685672328121"</f>
        <v>1551685672328121</v>
      </c>
      <c r="C1808" t="s">
        <v>40</v>
      </c>
      <c r="D1808">
        <v>4.6613740000000004</v>
      </c>
      <c r="E1808">
        <v>0.64971400000000001</v>
      </c>
      <c r="F1808" t="s">
        <v>53</v>
      </c>
      <c r="G1808">
        <v>-207.4417</v>
      </c>
      <c r="H1808">
        <v>7.9987320000000001E-2</v>
      </c>
      <c r="I1808">
        <v>356.34210000000002</v>
      </c>
      <c r="J1808">
        <v>-238.80289999999999</v>
      </c>
      <c r="K1808">
        <v>1.110957</v>
      </c>
      <c r="L1808">
        <v>366.50810000000001</v>
      </c>
      <c r="M1808">
        <v>0.99981350000000002</v>
      </c>
      <c r="N1808">
        <v>-1.3167379999999999E-2</v>
      </c>
      <c r="O1808">
        <v>-1.4131319999999999E-2</v>
      </c>
      <c r="P1808">
        <v>0.98851679999999997</v>
      </c>
      <c r="Q1808">
        <v>0.13540089999999999</v>
      </c>
      <c r="R1808">
        <v>6.7092209999999999E-2</v>
      </c>
      <c r="S1808">
        <v>3.1177830000000002</v>
      </c>
      <c r="T1808">
        <v>-0.10168919999999999</v>
      </c>
      <c r="U1808">
        <v>-1.0030520000000001</v>
      </c>
      <c r="V1808">
        <v>-8.1051659999999998E-2</v>
      </c>
      <c r="W1808">
        <v>0.1483941</v>
      </c>
      <c r="X1808">
        <v>0.98560119999999896</v>
      </c>
      <c r="Y1808">
        <v>0.2925759</v>
      </c>
      <c r="Z1808">
        <v>-6.3595070000000004E-3</v>
      </c>
      <c r="AA1808">
        <v>0.95622119999999999</v>
      </c>
      <c r="AB1808">
        <v>22</v>
      </c>
      <c r="AC1808">
        <v>31.3612</v>
      </c>
      <c r="AD1808">
        <v>-1.0309696800000001</v>
      </c>
      <c r="AE1808">
        <v>-10.165999999999899</v>
      </c>
      <c r="AF1808">
        <v>9.7122731328554295</v>
      </c>
      <c r="AG1808">
        <v>-1.0309696800000001</v>
      </c>
      <c r="AH1808">
        <v>31.470962638113999</v>
      </c>
      <c r="AI1808">
        <v>91.792924327491406</v>
      </c>
      <c r="AJ1808">
        <v>72.849218812914899</v>
      </c>
      <c r="AK1808">
        <v>32.951671236188197</v>
      </c>
      <c r="AL1808">
        <v>81.466125835061007</v>
      </c>
      <c r="AM1808">
        <v>94.701183205308197</v>
      </c>
      <c r="AN1808">
        <v>0.99999995297250099</v>
      </c>
    </row>
    <row r="1809" spans="1:40" x14ac:dyDescent="0.25">
      <c r="A1809" t="str">
        <f>"20190304154752349"</f>
        <v>20190304154752349</v>
      </c>
      <c r="B1809" t="str">
        <f>"1551685672338857"</f>
        <v>1551685672338857</v>
      </c>
      <c r="C1809" t="s">
        <v>40</v>
      </c>
      <c r="D1809">
        <v>5.3365929999999997</v>
      </c>
      <c r="E1809">
        <v>0.64971400000000001</v>
      </c>
      <c r="F1809" t="s">
        <v>53</v>
      </c>
      <c r="G1809">
        <v>-208.26490000000001</v>
      </c>
      <c r="H1809">
        <v>7.9987160000000002E-2</v>
      </c>
      <c r="I1809">
        <v>356.67619999999999</v>
      </c>
      <c r="J1809">
        <v>-238.67689999999999</v>
      </c>
      <c r="K1809">
        <v>1.1109530000000001</v>
      </c>
      <c r="L1809">
        <v>366.50630000000001</v>
      </c>
      <c r="M1809">
        <v>0.99981390000000003</v>
      </c>
      <c r="N1809">
        <v>-1.31416E-2</v>
      </c>
      <c r="O1809">
        <v>-1.4127209999999999E-2</v>
      </c>
      <c r="P1809">
        <v>0.98858380000000001</v>
      </c>
      <c r="Q1809">
        <v>0.13494929999999999</v>
      </c>
      <c r="R1809">
        <v>6.7015580000000005E-2</v>
      </c>
      <c r="S1809">
        <v>3.1173860000000002</v>
      </c>
      <c r="T1809">
        <v>-0.1052438</v>
      </c>
      <c r="U1809">
        <v>-1.0036620000000001</v>
      </c>
      <c r="V1809">
        <v>-8.0972420000000003E-2</v>
      </c>
      <c r="W1809">
        <v>0.14791779999999999</v>
      </c>
      <c r="X1809">
        <v>0.98567930000000004</v>
      </c>
      <c r="Y1809">
        <v>0.29277300000000001</v>
      </c>
      <c r="Z1809">
        <v>-6.5072960000000001E-3</v>
      </c>
      <c r="AA1809">
        <v>0.9561598</v>
      </c>
      <c r="AB1809">
        <v>22</v>
      </c>
      <c r="AC1809">
        <v>30.4119999999999</v>
      </c>
      <c r="AD1809">
        <v>-1.0309658399999999</v>
      </c>
      <c r="AE1809">
        <v>-9.8301000000000105</v>
      </c>
      <c r="AF1809">
        <v>9.3896751133532508</v>
      </c>
      <c r="AG1809">
        <v>-1.0309658399999999</v>
      </c>
      <c r="AH1809">
        <v>30.516096463343001</v>
      </c>
      <c r="AI1809">
        <v>91.849456479327699</v>
      </c>
      <c r="AJ1809">
        <v>72.897087557429202</v>
      </c>
      <c r="AK1809">
        <v>31.944655776164399</v>
      </c>
      <c r="AL1809">
        <v>81.493720284333605</v>
      </c>
      <c r="AM1809">
        <v>94.696237203527005</v>
      </c>
      <c r="AN1809">
        <v>0.99999994540299098</v>
      </c>
    </row>
    <row r="1810" spans="1:40" x14ac:dyDescent="0.25">
      <c r="A1810" t="str">
        <f>"20190304154752361"</f>
        <v>20190304154752361</v>
      </c>
      <c r="B1810" t="str">
        <f>"1551685672358376"</f>
        <v>1551685672358376</v>
      </c>
      <c r="C1810" t="s">
        <v>40</v>
      </c>
      <c r="D1810">
        <v>4.7389289999999997</v>
      </c>
      <c r="E1810">
        <v>0.58331820000000001</v>
      </c>
      <c r="F1810" t="s">
        <v>53</v>
      </c>
      <c r="G1810">
        <v>-208.57939999999999</v>
      </c>
      <c r="H1810">
        <v>7.9987100000000005E-2</v>
      </c>
      <c r="I1810">
        <v>356.8159</v>
      </c>
      <c r="J1810">
        <v>-238.57069999999999</v>
      </c>
      <c r="K1810">
        <v>1.110951</v>
      </c>
      <c r="L1810">
        <v>366.50479999999999</v>
      </c>
      <c r="M1810">
        <v>0.99981419999999999</v>
      </c>
      <c r="N1810">
        <v>-1.311932E-2</v>
      </c>
      <c r="O1810">
        <v>-1.41223999999999E-2</v>
      </c>
      <c r="P1810">
        <v>0.98862110000000003</v>
      </c>
      <c r="Q1810">
        <v>0.13469130000000001</v>
      </c>
      <c r="R1810">
        <v>6.6982929999999996E-2</v>
      </c>
      <c r="S1810">
        <v>3.117264</v>
      </c>
      <c r="T1810">
        <v>-0.1067796</v>
      </c>
      <c r="U1810">
        <v>-1.0036620000000001</v>
      </c>
      <c r="V1810">
        <v>-8.0935409999999999E-2</v>
      </c>
      <c r="W1810">
        <v>0.14763809999999999</v>
      </c>
      <c r="X1810">
        <v>0.9857243</v>
      </c>
      <c r="Y1810">
        <v>0.29278340000000003</v>
      </c>
      <c r="Z1810">
        <v>-6.5676739999999999E-3</v>
      </c>
      <c r="AA1810">
        <v>0.95615629999999996</v>
      </c>
      <c r="AB1810">
        <v>22</v>
      </c>
      <c r="AC1810">
        <v>29.991299999999899</v>
      </c>
      <c r="AD1810">
        <v>-1.0309638999999999</v>
      </c>
      <c r="AE1810">
        <v>-9.6888999999999896</v>
      </c>
      <c r="AF1810">
        <v>9.2544457589477904</v>
      </c>
      <c r="AG1810">
        <v>-1.0309638999999999</v>
      </c>
      <c r="AH1810">
        <v>30.092951441659402</v>
      </c>
      <c r="AI1810">
        <v>91.875528233377693</v>
      </c>
      <c r="AJ1810">
        <v>72.905835557865004</v>
      </c>
      <c r="AK1810">
        <v>31.500688553402799</v>
      </c>
      <c r="AL1810">
        <v>81.509924051278801</v>
      </c>
      <c r="AM1810">
        <v>94.693886956306997</v>
      </c>
      <c r="AN1810">
        <v>0.99999997238698302</v>
      </c>
    </row>
    <row r="1811" spans="1:40" x14ac:dyDescent="0.25">
      <c r="A1811" t="str">
        <f>"20190304154752372"</f>
        <v>20190304154752372</v>
      </c>
      <c r="B1811" t="str">
        <f>"1551685672368137"</f>
        <v>1551685672368137</v>
      </c>
      <c r="C1811" t="s">
        <v>40</v>
      </c>
      <c r="D1811">
        <v>4.1419009999999998</v>
      </c>
      <c r="E1811">
        <v>0.58331820000000001</v>
      </c>
      <c r="F1811" t="s">
        <v>43</v>
      </c>
      <c r="G1811">
        <v>-158.19499999999999</v>
      </c>
      <c r="H1811">
        <v>72.128469999999993</v>
      </c>
      <c r="I1811">
        <v>354.38060000000002</v>
      </c>
      <c r="J1811">
        <v>-238.4631</v>
      </c>
      <c r="K1811">
        <v>1.1109469999999999</v>
      </c>
      <c r="L1811">
        <v>366.50330000000002</v>
      </c>
      <c r="M1811">
        <v>0.9998146</v>
      </c>
      <c r="N1811">
        <v>-1.309655E-2</v>
      </c>
      <c r="O1811">
        <v>-1.4117350000000001E-2</v>
      </c>
      <c r="P1811">
        <v>0.98868540000000005</v>
      </c>
      <c r="Q1811">
        <v>0.1343232</v>
      </c>
      <c r="R1811">
        <v>6.6773410000000005E-2</v>
      </c>
      <c r="S1811">
        <v>2.7334290000000001</v>
      </c>
      <c r="T1811">
        <v>2.4151769999999999</v>
      </c>
      <c r="U1811">
        <v>-0.412323</v>
      </c>
      <c r="V1811">
        <v>-8.0722070000000007E-2</v>
      </c>
      <c r="W1811">
        <v>0.14724860000000001</v>
      </c>
      <c r="X1811">
        <v>0.98580009999999996</v>
      </c>
      <c r="Y1811">
        <v>0.1059261</v>
      </c>
      <c r="Z1811">
        <v>2.8351189999999998E-2</v>
      </c>
      <c r="AA1811">
        <v>0.99396969999999996</v>
      </c>
      <c r="AB1811">
        <v>22</v>
      </c>
      <c r="AC1811">
        <v>80.268100000000004</v>
      </c>
      <c r="AD1811">
        <v>71.017522999999997</v>
      </c>
      <c r="AE1811">
        <v>-12.1227</v>
      </c>
      <c r="AF1811">
        <v>6.2244473080683296</v>
      </c>
      <c r="AG1811">
        <v>71.017522999999997</v>
      </c>
      <c r="AH1811">
        <v>45.561522201662498</v>
      </c>
      <c r="AI1811">
        <v>32.923563415876899</v>
      </c>
      <c r="AJ1811">
        <v>82.220621288611397</v>
      </c>
      <c r="AK1811">
        <v>84.605464496562107</v>
      </c>
      <c r="AL1811">
        <v>81.532487769754596</v>
      </c>
      <c r="AM1811">
        <v>94.6812108969321</v>
      </c>
      <c r="AN1811">
        <v>1.0000000199735199</v>
      </c>
    </row>
    <row r="1812" spans="1:40" x14ac:dyDescent="0.25">
      <c r="A1812" t="str">
        <f>"20190304154752384"</f>
        <v>20190304154752384</v>
      </c>
      <c r="B1812" t="str">
        <f>"1551685672377897"</f>
        <v>1551685672377897</v>
      </c>
      <c r="C1812" t="s">
        <v>40</v>
      </c>
      <c r="D1812">
        <v>4.0635589999999997</v>
      </c>
      <c r="E1812">
        <v>0.58331820000000001</v>
      </c>
      <c r="F1812" t="s">
        <v>43</v>
      </c>
      <c r="G1812">
        <v>-158.19499999999999</v>
      </c>
      <c r="H1812">
        <v>71.969390000000004</v>
      </c>
      <c r="I1812">
        <v>354.35989999999998</v>
      </c>
      <c r="J1812">
        <v>-238.33519999999999</v>
      </c>
      <c r="K1812">
        <v>1.1109439999999999</v>
      </c>
      <c r="L1812">
        <v>366.50150000000002</v>
      </c>
      <c r="M1812">
        <v>0.99981509999999996</v>
      </c>
      <c r="N1812">
        <v>-1.3066639999999999E-2</v>
      </c>
      <c r="O1812">
        <v>-1.410902E-2</v>
      </c>
      <c r="P1812">
        <v>0.98872969999999905</v>
      </c>
      <c r="Q1812">
        <v>0.13402600000000001</v>
      </c>
      <c r="R1812">
        <v>6.6714880000000004E-2</v>
      </c>
      <c r="S1812">
        <v>2.7343289999999998</v>
      </c>
      <c r="T1812">
        <v>2.4137919999999999</v>
      </c>
      <c r="U1812">
        <v>-0.41366579999999997</v>
      </c>
      <c r="V1812">
        <v>-8.0656919999999993E-2</v>
      </c>
      <c r="W1812">
        <v>0.14692179999999999</v>
      </c>
      <c r="X1812">
        <v>0.98585409999999996</v>
      </c>
      <c r="Y1812">
        <v>0.1062906</v>
      </c>
      <c r="Z1812">
        <v>2.847396E-2</v>
      </c>
      <c r="AA1812">
        <v>0.99392729999999996</v>
      </c>
      <c r="AB1812">
        <v>22</v>
      </c>
      <c r="AC1812">
        <v>80.140199999999993</v>
      </c>
      <c r="AD1812">
        <v>70.858446000000001</v>
      </c>
      <c r="AE1812">
        <v>-12.1416</v>
      </c>
      <c r="AF1812">
        <v>6.2404385442846602</v>
      </c>
      <c r="AG1812">
        <v>70.858446000000001</v>
      </c>
      <c r="AH1812">
        <v>45.517507139024801</v>
      </c>
      <c r="AI1812">
        <v>32.958624121089102</v>
      </c>
      <c r="AJ1812">
        <v>82.193432192179401</v>
      </c>
      <c r="AK1812">
        <v>84.449428055559196</v>
      </c>
      <c r="AL1812">
        <v>81.551417154400895</v>
      </c>
      <c r="AM1812">
        <v>94.677194438126193</v>
      </c>
      <c r="AN1812">
        <v>0.99999993027296497</v>
      </c>
    </row>
    <row r="1813" spans="1:40" x14ac:dyDescent="0.25">
      <c r="A1813" t="str">
        <f>"20190304154752396"</f>
        <v>20190304154752396</v>
      </c>
      <c r="B1813" t="str">
        <f>"1551685672388633"</f>
        <v>1551685672388633</v>
      </c>
      <c r="C1813" t="s">
        <v>40</v>
      </c>
      <c r="D1813">
        <v>4.0665329999999997</v>
      </c>
      <c r="E1813">
        <v>0.58331820000000001</v>
      </c>
      <c r="F1813" t="s">
        <v>43</v>
      </c>
      <c r="G1813">
        <v>-158.19499999999999</v>
      </c>
      <c r="H1813">
        <v>71.816379999999995</v>
      </c>
      <c r="I1813">
        <v>354.3655</v>
      </c>
      <c r="J1813">
        <v>-238.23150000000001</v>
      </c>
      <c r="K1813">
        <v>1.1109389999999999</v>
      </c>
      <c r="L1813">
        <v>366.50009999999997</v>
      </c>
      <c r="M1813">
        <v>0.99981560000000003</v>
      </c>
      <c r="N1813">
        <v>-1.3041560000000001E-2</v>
      </c>
      <c r="O1813">
        <v>-1.4101199999999999E-2</v>
      </c>
      <c r="P1813">
        <v>0.98878109999999997</v>
      </c>
      <c r="Q1813">
        <v>0.13377500000000001</v>
      </c>
      <c r="R1813">
        <v>6.6456000000000001E-2</v>
      </c>
      <c r="S1813">
        <v>2.7350620000000001</v>
      </c>
      <c r="T1813">
        <v>2.4130669999999999</v>
      </c>
      <c r="U1813">
        <v>-0.41418460000000001</v>
      </c>
      <c r="V1813">
        <v>-8.0391340000000006E-2</v>
      </c>
      <c r="W1813">
        <v>0.14664679999999999</v>
      </c>
      <c r="X1813">
        <v>0.98591680000000004</v>
      </c>
      <c r="Y1813">
        <v>0.1064259</v>
      </c>
      <c r="Z1813">
        <v>2.8518979999999999E-2</v>
      </c>
      <c r="AA1813">
        <v>0.99391160000000001</v>
      </c>
      <c r="AB1813">
        <v>22</v>
      </c>
      <c r="AC1813">
        <v>80.036500000000004</v>
      </c>
      <c r="AD1813">
        <v>70.705440999999993</v>
      </c>
      <c r="AE1813">
        <v>-12.134599999999899</v>
      </c>
      <c r="AF1813">
        <v>6.2424273371477002</v>
      </c>
      <c r="AG1813">
        <v>70.705440999999993</v>
      </c>
      <c r="AH1813">
        <v>45.493398652644302</v>
      </c>
      <c r="AI1813">
        <v>33.0017281215531</v>
      </c>
      <c r="AJ1813">
        <v>82.186887805637298</v>
      </c>
      <c r="AK1813">
        <v>84.308223839863203</v>
      </c>
      <c r="AL1813">
        <v>81.567346569539296</v>
      </c>
      <c r="AM1813">
        <v>94.661566608994406</v>
      </c>
      <c r="AN1813">
        <v>0.99999999400973705</v>
      </c>
    </row>
    <row r="1814" spans="1:40" x14ac:dyDescent="0.25">
      <c r="A1814" t="str">
        <f>"20190304154752406"</f>
        <v>20190304154752406</v>
      </c>
      <c r="B1814" t="str">
        <f>"1551685672398393"</f>
        <v>1551685672398393</v>
      </c>
      <c r="C1814" t="s">
        <v>40</v>
      </c>
      <c r="D1814">
        <v>4.3621189999999999</v>
      </c>
      <c r="E1814">
        <v>0.58331820000000001</v>
      </c>
      <c r="F1814" t="s">
        <v>43</v>
      </c>
      <c r="G1814">
        <v>-158.19499999999999</v>
      </c>
      <c r="H1814">
        <v>71.697540000000004</v>
      </c>
      <c r="I1814">
        <v>354.37450000000001</v>
      </c>
      <c r="J1814">
        <v>-238.12440000000001</v>
      </c>
      <c r="K1814">
        <v>1.1109370000000001</v>
      </c>
      <c r="L1814">
        <v>366.49849999999998</v>
      </c>
      <c r="M1814">
        <v>0.99981620000000004</v>
      </c>
      <c r="N1814">
        <v>-1.3014410000000001E-2</v>
      </c>
      <c r="O1814">
        <v>-1.4091579999999999E-2</v>
      </c>
      <c r="P1814">
        <v>0.98879859999999997</v>
      </c>
      <c r="Q1814">
        <v>0.13380510000000001</v>
      </c>
      <c r="R1814">
        <v>6.6135760000000002E-2</v>
      </c>
      <c r="S1814">
        <v>2.7354889999999998</v>
      </c>
      <c r="T1814">
        <v>2.4125109999999999</v>
      </c>
      <c r="U1814">
        <v>-0.41442869999999998</v>
      </c>
      <c r="V1814">
        <v>-8.0063159999999994E-2</v>
      </c>
      <c r="W1814">
        <v>0.14665010000000001</v>
      </c>
      <c r="X1814">
        <v>0.98594300000000001</v>
      </c>
      <c r="Y1814">
        <v>0.10649309999999999</v>
      </c>
      <c r="Z1814">
        <v>2.8544489999999999E-2</v>
      </c>
      <c r="AA1814">
        <v>0.9939036</v>
      </c>
      <c r="AB1814">
        <v>22</v>
      </c>
      <c r="AC1814">
        <v>79.929400000000001</v>
      </c>
      <c r="AD1814">
        <v>70.586602999999997</v>
      </c>
      <c r="AE1814">
        <v>-12.123999999999899</v>
      </c>
      <c r="AF1814">
        <v>6.2396180623974997</v>
      </c>
      <c r="AG1814">
        <v>70.586602999999997</v>
      </c>
      <c r="AH1814">
        <v>45.446409962629602</v>
      </c>
      <c r="AI1814">
        <v>33.018991943764597</v>
      </c>
      <c r="AJ1814">
        <v>82.182385659900504</v>
      </c>
      <c r="AK1814">
        <v>84.183000274019705</v>
      </c>
      <c r="AL1814">
        <v>81.567155310796394</v>
      </c>
      <c r="AM1814">
        <v>94.642497310971194</v>
      </c>
      <c r="AN1814">
        <v>0.99999998033409698</v>
      </c>
    </row>
    <row r="1815" spans="1:40" x14ac:dyDescent="0.25">
      <c r="A1815" t="str">
        <f>"20190304154752417"</f>
        <v>20190304154752417</v>
      </c>
      <c r="B1815" t="str">
        <f>"1551685672408153"</f>
        <v>1551685672408153</v>
      </c>
      <c r="C1815" t="s">
        <v>40</v>
      </c>
      <c r="D1815">
        <v>4.3660629999999996</v>
      </c>
      <c r="E1815">
        <v>0.58331820000000001</v>
      </c>
      <c r="F1815" t="s">
        <v>43</v>
      </c>
      <c r="G1815">
        <v>-158.19499999999999</v>
      </c>
      <c r="H1815">
        <v>71.614249999999998</v>
      </c>
      <c r="I1815">
        <v>354.38099999999997</v>
      </c>
      <c r="J1815">
        <v>-238.01779999999999</v>
      </c>
      <c r="K1815">
        <v>1.110935</v>
      </c>
      <c r="L1815">
        <v>366.49709999999999</v>
      </c>
      <c r="M1815">
        <v>0.9998167</v>
      </c>
      <c r="N1815">
        <v>-1.298732E-2</v>
      </c>
      <c r="O1815">
        <v>-1.4079919999999999E-2</v>
      </c>
      <c r="P1815">
        <v>0.98878370000000004</v>
      </c>
      <c r="Q1815">
        <v>0.1339437</v>
      </c>
      <c r="R1815">
        <v>6.6077579999999997E-2</v>
      </c>
      <c r="S1815">
        <v>2.7352449999999999</v>
      </c>
      <c r="T1815">
        <v>2.4126780000000001</v>
      </c>
      <c r="U1815">
        <v>-0.41467290000000001</v>
      </c>
      <c r="V1815">
        <v>-7.9994129999999997E-2</v>
      </c>
      <c r="W1815">
        <v>0.1467609</v>
      </c>
      <c r="X1815">
        <v>0.98593209999999998</v>
      </c>
      <c r="Y1815">
        <v>0.10656740000000001</v>
      </c>
      <c r="Z1815">
        <v>2.8586130000000001E-2</v>
      </c>
      <c r="AA1815">
        <v>0.99389450000000001</v>
      </c>
      <c r="AB1815">
        <v>22</v>
      </c>
      <c r="AC1815">
        <v>79.822800000000001</v>
      </c>
      <c r="AD1815">
        <v>70.503315000000001</v>
      </c>
      <c r="AE1815">
        <v>-12.116099999999999</v>
      </c>
      <c r="AF1815">
        <v>6.2357701563093997</v>
      </c>
      <c r="AG1815">
        <v>70.503315000000001</v>
      </c>
      <c r="AH1815">
        <v>45.380351615559903</v>
      </c>
      <c r="AI1815">
        <v>33.012226316052001</v>
      </c>
      <c r="AJ1815">
        <v>82.175915044096001</v>
      </c>
      <c r="AK1815">
        <v>84.077217890361894</v>
      </c>
      <c r="AL1815">
        <v>81.560737361850997</v>
      </c>
      <c r="AM1815">
        <v>94.638563107768604</v>
      </c>
      <c r="AN1815">
        <v>0.99999996420683701</v>
      </c>
    </row>
    <row r="1816" spans="1:40" x14ac:dyDescent="0.25">
      <c r="A1816" t="str">
        <f>"20190304154752428"</f>
        <v>20190304154752428</v>
      </c>
      <c r="B1816" t="str">
        <f>"1551685672418889"</f>
        <v>1551685672418889</v>
      </c>
      <c r="C1816" t="s">
        <v>40</v>
      </c>
      <c r="D1816">
        <v>4.3269890000000002</v>
      </c>
      <c r="E1816">
        <v>0.56061839999999996</v>
      </c>
      <c r="F1816" t="s">
        <v>43</v>
      </c>
      <c r="G1816">
        <v>-158.19499999999999</v>
      </c>
      <c r="H1816">
        <v>71.538960000000003</v>
      </c>
      <c r="I1816">
        <v>354.40030000000002</v>
      </c>
      <c r="J1816">
        <v>-237.91040000000001</v>
      </c>
      <c r="K1816">
        <v>1.1109309999999999</v>
      </c>
      <c r="L1816">
        <v>366.49560000000002</v>
      </c>
      <c r="M1816">
        <v>0.99981710000000001</v>
      </c>
      <c r="N1816">
        <v>-1.2959999999999999E-2</v>
      </c>
      <c r="O1816">
        <v>-1.406671E-2</v>
      </c>
      <c r="P1816">
        <v>0.98879159999999999</v>
      </c>
      <c r="Q1816">
        <v>0.13406219999999999</v>
      </c>
      <c r="R1816">
        <v>6.5717049999999999E-2</v>
      </c>
      <c r="S1816">
        <v>2.7348789999999998</v>
      </c>
      <c r="T1816">
        <v>2.4129969999999998</v>
      </c>
      <c r="U1816">
        <v>-0.41445920000000003</v>
      </c>
      <c r="V1816">
        <v>-7.9621170000000005E-2</v>
      </c>
      <c r="W1816">
        <v>0.14685239999999999</v>
      </c>
      <c r="X1816">
        <v>0.98594870000000001</v>
      </c>
      <c r="Y1816">
        <v>0.1065193</v>
      </c>
      <c r="Z1816">
        <v>2.8586429999999999E-2</v>
      </c>
      <c r="AA1816">
        <v>0.99389959999999999</v>
      </c>
      <c r="AB1816">
        <v>22</v>
      </c>
      <c r="AC1816">
        <v>79.715400000000002</v>
      </c>
      <c r="AD1816">
        <v>70.428028999999995</v>
      </c>
      <c r="AE1816">
        <v>-12.0953</v>
      </c>
      <c r="AF1816">
        <v>6.2238846683823601</v>
      </c>
      <c r="AG1816">
        <v>70.428028999999995</v>
      </c>
      <c r="AH1816">
        <v>45.307945687921602</v>
      </c>
      <c r="AI1816">
        <v>32.998245485479202</v>
      </c>
      <c r="AJ1816">
        <v>82.178318049363497</v>
      </c>
      <c r="AK1816">
        <v>83.974126679887604</v>
      </c>
      <c r="AL1816">
        <v>81.555437665815106</v>
      </c>
      <c r="AM1816">
        <v>94.616952858455804</v>
      </c>
      <c r="AN1816">
        <v>0.99999999856480903</v>
      </c>
    </row>
    <row r="1817" spans="1:40" x14ac:dyDescent="0.25">
      <c r="A1817" t="str">
        <f>"20190304154752439"</f>
        <v>20190304154752439</v>
      </c>
      <c r="B1817" t="str">
        <f>"1551685672428649"</f>
        <v>1551685672428649</v>
      </c>
      <c r="C1817" t="s">
        <v>40</v>
      </c>
      <c r="D1817">
        <v>4.2694409999999996</v>
      </c>
      <c r="E1817">
        <v>0.56785229999999998</v>
      </c>
      <c r="F1817" t="s">
        <v>44</v>
      </c>
      <c r="G1817">
        <v>-216.9478</v>
      </c>
      <c r="H1817" s="1">
        <v>-2.3985660000000001E-6</v>
      </c>
      <c r="I1817">
        <v>364.45319999999998</v>
      </c>
      <c r="J1817">
        <v>-237.80719999999999</v>
      </c>
      <c r="K1817">
        <v>1.11093</v>
      </c>
      <c r="L1817">
        <v>366.4941</v>
      </c>
      <c r="M1817">
        <v>0.99981770000000003</v>
      </c>
      <c r="N1817">
        <v>-1.293353E-2</v>
      </c>
      <c r="O1817">
        <v>-1.405088E-2</v>
      </c>
      <c r="P1817">
        <v>0.9888131</v>
      </c>
      <c r="Q1817">
        <v>0.13405210000000001</v>
      </c>
      <c r="R1817">
        <v>6.5414139999999996E-2</v>
      </c>
      <c r="S1817">
        <v>3.0760040000000002</v>
      </c>
      <c r="T1817">
        <v>-0.16301450000000001</v>
      </c>
      <c r="U1817">
        <v>-0.29968260000000002</v>
      </c>
      <c r="V1817">
        <v>-7.9304250000000007E-2</v>
      </c>
      <c r="W1817">
        <v>0.1468161</v>
      </c>
      <c r="X1817">
        <v>0.98597970000000001</v>
      </c>
      <c r="Y1817">
        <v>8.2839099999999999E-2</v>
      </c>
      <c r="Z1817">
        <v>-2.1648280000000002E-3</v>
      </c>
      <c r="AA1817">
        <v>0.99656060000000002</v>
      </c>
      <c r="AB1817">
        <v>22</v>
      </c>
      <c r="AC1817">
        <v>20.859399999999901</v>
      </c>
      <c r="AD1817">
        <v>-1.110932398566</v>
      </c>
      <c r="AE1817">
        <v>-2.0409000000000201</v>
      </c>
      <c r="AF1817">
        <v>1.7426849395106101</v>
      </c>
      <c r="AG1817">
        <v>-1.110932398566</v>
      </c>
      <c r="AH1817">
        <v>20.827503745751201</v>
      </c>
      <c r="AI1817">
        <v>93.042633000435202</v>
      </c>
      <c r="AJ1817">
        <v>85.217071984315197</v>
      </c>
      <c r="AK1817">
        <v>20.929788194624901</v>
      </c>
      <c r="AL1817">
        <v>81.557540730587306</v>
      </c>
      <c r="AM1817">
        <v>94.598510789452305</v>
      </c>
      <c r="AN1817">
        <v>1.00000005004968</v>
      </c>
    </row>
    <row r="1818" spans="1:40" x14ac:dyDescent="0.25">
      <c r="A1818" t="str">
        <f>"20190304154752451"</f>
        <v>20190304154752451</v>
      </c>
      <c r="B1818" t="str">
        <f>"1551685672448169"</f>
        <v>1551685672448169</v>
      </c>
      <c r="C1818" t="s">
        <v>40</v>
      </c>
      <c r="D1818">
        <v>4.3665390000000004</v>
      </c>
      <c r="E1818">
        <v>0.56321650000000001</v>
      </c>
      <c r="F1818" t="s">
        <v>44</v>
      </c>
      <c r="G1818">
        <v>-211.8219</v>
      </c>
      <c r="H1818" s="1">
        <v>-4.5804579999999997E-6</v>
      </c>
      <c r="I1818">
        <v>363.47280000000001</v>
      </c>
      <c r="J1818">
        <v>-237.69149999999999</v>
      </c>
      <c r="K1818">
        <v>1.11093</v>
      </c>
      <c r="L1818">
        <v>366.49250000000001</v>
      </c>
      <c r="M1818">
        <v>0.9998184</v>
      </c>
      <c r="N1818">
        <v>-1.290382E-2</v>
      </c>
      <c r="O1818">
        <v>-1.4031800000000001E-2</v>
      </c>
      <c r="P1818">
        <v>0.98885619999999996</v>
      </c>
      <c r="Q1818">
        <v>0.1338715</v>
      </c>
      <c r="R1818">
        <v>6.5131809999999998E-2</v>
      </c>
      <c r="S1818">
        <v>3.0754239999999999</v>
      </c>
      <c r="T1818">
        <v>-0.13148189999999901</v>
      </c>
      <c r="U1818">
        <v>-0.35757450000000002</v>
      </c>
      <c r="V1818">
        <v>-7.900488E-2</v>
      </c>
      <c r="W1818">
        <v>0.14660570000000001</v>
      </c>
      <c r="X1818">
        <v>0.98603499999999999</v>
      </c>
      <c r="Y1818">
        <v>0.1014268</v>
      </c>
      <c r="Z1818">
        <v>-2.3998460000000002E-3</v>
      </c>
      <c r="AA1818">
        <v>0.9948401</v>
      </c>
      <c r="AB1818">
        <v>22</v>
      </c>
      <c r="AC1818">
        <v>25.869599999999899</v>
      </c>
      <c r="AD1818">
        <v>-1.110934580458</v>
      </c>
      <c r="AE1818">
        <v>-3.0196999999999998</v>
      </c>
      <c r="AF1818">
        <v>2.65155128136605</v>
      </c>
      <c r="AG1818">
        <v>-1.110934580458</v>
      </c>
      <c r="AH1818">
        <v>25.8623749241228</v>
      </c>
      <c r="AI1818">
        <v>92.446853463962498</v>
      </c>
      <c r="AJ1818">
        <v>84.146178756033805</v>
      </c>
      <c r="AK1818">
        <v>26.021670518159802</v>
      </c>
      <c r="AL1818">
        <v>81.569727306453998</v>
      </c>
      <c r="AM1818">
        <v>94.580969812058001</v>
      </c>
      <c r="AN1818">
        <v>1.00000001178065</v>
      </c>
    </row>
    <row r="1819" spans="1:40" x14ac:dyDescent="0.25">
      <c r="A1819" t="str">
        <f>"20190304154752461"</f>
        <v>20190304154752461</v>
      </c>
      <c r="B1819" t="str">
        <f>"1551685672457930"</f>
        <v>1551685672457930</v>
      </c>
      <c r="C1819" t="s">
        <v>40</v>
      </c>
      <c r="D1819">
        <v>4.4124540000000003</v>
      </c>
      <c r="E1819">
        <v>0.56076899999999996</v>
      </c>
      <c r="F1819" t="s">
        <v>44</v>
      </c>
      <c r="G1819">
        <v>-214.9342</v>
      </c>
      <c r="H1819" s="1">
        <v>-3.1745549999999999E-6</v>
      </c>
      <c r="I1819">
        <v>364.11200000000002</v>
      </c>
      <c r="J1819">
        <v>-237.59180000000001</v>
      </c>
      <c r="K1819">
        <v>1.110932</v>
      </c>
      <c r="L1819">
        <v>366.49119999999999</v>
      </c>
      <c r="M1819">
        <v>0.99981909999999896</v>
      </c>
      <c r="N1819">
        <v>-1.287612E-2</v>
      </c>
      <c r="O1819">
        <v>-1.4009509999999999E-2</v>
      </c>
      <c r="P1819">
        <v>0.98885020000000001</v>
      </c>
      <c r="Q1819">
        <v>0.13396810000000001</v>
      </c>
      <c r="R1819">
        <v>6.5024799999999994E-2</v>
      </c>
      <c r="S1819">
        <v>3.0753170000000001</v>
      </c>
      <c r="T1819">
        <v>-0.15012609999999901</v>
      </c>
      <c r="U1819">
        <v>-0.32168580000000002</v>
      </c>
      <c r="V1819">
        <v>-7.8877610000000001E-2</v>
      </c>
      <c r="W1819">
        <v>0.1466741</v>
      </c>
      <c r="X1819">
        <v>0.98603499999999999</v>
      </c>
      <c r="Y1819">
        <v>8.9964779999999994E-2</v>
      </c>
      <c r="Z1819">
        <v>-2.2682190000000001E-3</v>
      </c>
      <c r="AA1819">
        <v>0.99594240000000001</v>
      </c>
      <c r="AB1819">
        <v>22</v>
      </c>
      <c r="AC1819">
        <v>22.657599999999999</v>
      </c>
      <c r="AD1819">
        <v>-1.110935174555</v>
      </c>
      <c r="AE1819">
        <v>-2.37920000000002</v>
      </c>
      <c r="AF1819">
        <v>2.0566279447566398</v>
      </c>
      <c r="AG1819">
        <v>-1.110935174555</v>
      </c>
      <c r="AH1819">
        <v>22.6348875468668</v>
      </c>
      <c r="AI1819">
        <v>92.798350756037706</v>
      </c>
      <c r="AJ1819">
        <v>84.808305362595604</v>
      </c>
      <c r="AK1819">
        <v>22.755263780596401</v>
      </c>
      <c r="AL1819">
        <v>81.565765305516294</v>
      </c>
      <c r="AM1819">
        <v>94.573621600978697</v>
      </c>
      <c r="AN1819">
        <v>0.99999999509756099</v>
      </c>
    </row>
    <row r="1820" spans="1:40" x14ac:dyDescent="0.25">
      <c r="A1820" t="str">
        <f>"20190304154752474"</f>
        <v>20190304154752474</v>
      </c>
      <c r="B1820" t="str">
        <f>"1551685672468722"</f>
        <v>1551685672468722</v>
      </c>
      <c r="C1820" t="s">
        <v>40</v>
      </c>
      <c r="D1820">
        <v>4.5317949999999998</v>
      </c>
      <c r="E1820">
        <v>0.5605</v>
      </c>
      <c r="F1820" t="s">
        <v>44</v>
      </c>
      <c r="G1820">
        <v>-216.1414</v>
      </c>
      <c r="H1820" s="1">
        <v>-2.6932380000000001E-6</v>
      </c>
      <c r="I1820">
        <v>364.37700000000001</v>
      </c>
      <c r="J1820">
        <v>-237.46809999999999</v>
      </c>
      <c r="K1820">
        <v>1.11093</v>
      </c>
      <c r="L1820">
        <v>366.48939999999999</v>
      </c>
      <c r="M1820">
        <v>0.99981980000000004</v>
      </c>
      <c r="N1820">
        <v>-1.284131E-2</v>
      </c>
      <c r="O1820">
        <v>-1.3979999999999999E-2</v>
      </c>
      <c r="P1820">
        <v>0.9888226</v>
      </c>
      <c r="Q1820">
        <v>0.13421050000000001</v>
      </c>
      <c r="R1820">
        <v>6.4942639999999996E-2</v>
      </c>
      <c r="S1820">
        <v>3.0753170000000001</v>
      </c>
      <c r="T1820">
        <v>-0.159273</v>
      </c>
      <c r="U1820">
        <v>-0.3031006</v>
      </c>
      <c r="V1820">
        <v>-7.8767489999999996E-2</v>
      </c>
      <c r="W1820">
        <v>0.14688119999999999</v>
      </c>
      <c r="X1820">
        <v>0.98601300000000003</v>
      </c>
      <c r="Y1820">
        <v>8.4031629999999996E-2</v>
      </c>
      <c r="Z1820">
        <v>-2.1680179999999999E-3</v>
      </c>
      <c r="AA1820">
        <v>0.99646069999999998</v>
      </c>
      <c r="AB1820">
        <v>22</v>
      </c>
      <c r="AC1820">
        <v>21.326699999999899</v>
      </c>
      <c r="AD1820">
        <v>-1.1109326932379999</v>
      </c>
      <c r="AE1820">
        <v>-2.1124000000000298</v>
      </c>
      <c r="AF1820">
        <v>1.8091602334491499</v>
      </c>
      <c r="AG1820">
        <v>-1.1109326932379999</v>
      </c>
      <c r="AH1820">
        <v>21.296921763500301</v>
      </c>
      <c r="AI1820">
        <v>92.975373654927594</v>
      </c>
      <c r="AJ1820">
        <v>85.1444167781858</v>
      </c>
      <c r="AK1820">
        <v>21.402479033977599</v>
      </c>
      <c r="AL1820">
        <v>81.553769642545006</v>
      </c>
      <c r="AM1820">
        <v>94.567364934868607</v>
      </c>
      <c r="AN1820">
        <v>1.0000000202816699</v>
      </c>
    </row>
    <row r="1821" spans="1:40" x14ac:dyDescent="0.25">
      <c r="A1821" t="str">
        <f>"20190304154752488"</f>
        <v>20190304154752488</v>
      </c>
      <c r="B1821" t="str">
        <f>"1551685672478482"</f>
        <v>1551685672478482</v>
      </c>
      <c r="C1821" t="s">
        <v>40</v>
      </c>
      <c r="D1821">
        <v>4.3257680000000001</v>
      </c>
      <c r="E1821">
        <v>0.56097889999999995</v>
      </c>
      <c r="F1821" t="s">
        <v>44</v>
      </c>
      <c r="G1821">
        <v>-216.4247</v>
      </c>
      <c r="H1821" s="1">
        <v>-2.5835919999999999E-6</v>
      </c>
      <c r="I1821">
        <v>364.42680000000001</v>
      </c>
      <c r="J1821">
        <v>-237.33500000000001</v>
      </c>
      <c r="K1821">
        <v>1.1109309999999999</v>
      </c>
      <c r="L1821">
        <v>366.48759999999999</v>
      </c>
      <c r="M1821">
        <v>0.99982079999999995</v>
      </c>
      <c r="N1821">
        <v>-1.280221E-2</v>
      </c>
      <c r="O1821">
        <v>-1.394103E-2</v>
      </c>
      <c r="P1821">
        <v>0.98882400000000004</v>
      </c>
      <c r="Q1821">
        <v>0.13417760000000001</v>
      </c>
      <c r="R1821">
        <v>6.4987470000000006E-2</v>
      </c>
      <c r="S1821">
        <v>3.0757599999999998</v>
      </c>
      <c r="T1821">
        <v>-0.162376399999999</v>
      </c>
      <c r="U1821">
        <v>-0.30148320000000001</v>
      </c>
      <c r="V1821">
        <v>-7.8775869999999998E-2</v>
      </c>
      <c r="W1821">
        <v>0.14680860000000001</v>
      </c>
      <c r="X1821">
        <v>0.98602310000000004</v>
      </c>
      <c r="Y1821">
        <v>8.3534070000000002E-2</v>
      </c>
      <c r="Z1821">
        <v>-2.1790849999999999E-3</v>
      </c>
      <c r="AA1821">
        <v>0.99650249999999996</v>
      </c>
      <c r="AB1821">
        <v>22</v>
      </c>
      <c r="AC1821">
        <v>20.910299999999999</v>
      </c>
      <c r="AD1821">
        <v>-1.11093358359199</v>
      </c>
      <c r="AE1821">
        <v>-2.0607999999999702</v>
      </c>
      <c r="AF1821">
        <v>1.7641330540759901</v>
      </c>
      <c r="AG1821">
        <v>-1.11093358359199</v>
      </c>
      <c r="AH1821">
        <v>20.878633632305402</v>
      </c>
      <c r="AI1821">
        <v>93.034991041065396</v>
      </c>
      <c r="AJ1821">
        <v>85.170284451699303</v>
      </c>
      <c r="AK1821">
        <v>20.982461276305699</v>
      </c>
      <c r="AL1821">
        <v>81.557974545468795</v>
      </c>
      <c r="AM1821">
        <v>94.567802205094793</v>
      </c>
      <c r="AN1821">
        <v>0.99999997823091302</v>
      </c>
    </row>
    <row r="1822" spans="1:40" x14ac:dyDescent="0.25">
      <c r="A1822" t="str">
        <f>"20190304154752501"</f>
        <v>20190304154752501</v>
      </c>
      <c r="B1822" t="str">
        <f>"1551685672498534"</f>
        <v>1551685672498534</v>
      </c>
      <c r="C1822" t="s">
        <v>40</v>
      </c>
      <c r="D1822">
        <v>4.3516380000000003</v>
      </c>
      <c r="E1822">
        <v>0.56444469999999902</v>
      </c>
      <c r="F1822" t="s">
        <v>44</v>
      </c>
      <c r="G1822">
        <v>-215.9751</v>
      </c>
      <c r="H1822" s="1">
        <v>-2.7526379999999999E-6</v>
      </c>
      <c r="I1822">
        <v>364.36649999999997</v>
      </c>
      <c r="J1822">
        <v>-237.20740000000001</v>
      </c>
      <c r="K1822">
        <v>1.1109359999999999</v>
      </c>
      <c r="L1822">
        <v>366.48590000000002</v>
      </c>
      <c r="M1822">
        <v>0.99982210000000005</v>
      </c>
      <c r="N1822">
        <v>-1.27633E-2</v>
      </c>
      <c r="O1822">
        <v>-1.3898489999999999E-2</v>
      </c>
      <c r="P1822">
        <v>0.98877789999999999</v>
      </c>
      <c r="Q1822">
        <v>0.13458100000000001</v>
      </c>
      <c r="R1822">
        <v>6.485834E-2</v>
      </c>
      <c r="S1822">
        <v>3.0756679999999998</v>
      </c>
      <c r="T1822">
        <v>-0.15996589999999999</v>
      </c>
      <c r="U1822">
        <v>-0.30541990000000002</v>
      </c>
      <c r="V1822">
        <v>-7.860702E-2</v>
      </c>
      <c r="W1822">
        <v>0.14717169999999999</v>
      </c>
      <c r="X1822">
        <v>0.98598249999999998</v>
      </c>
      <c r="Y1822">
        <v>8.4843749999999996E-2</v>
      </c>
      <c r="Z1822">
        <v>-2.199168E-3</v>
      </c>
      <c r="AA1822">
        <v>0.99639180000000005</v>
      </c>
      <c r="AB1822">
        <v>22</v>
      </c>
      <c r="AC1822">
        <v>21.232299999999999</v>
      </c>
      <c r="AD1822">
        <v>-1.1109387526379999</v>
      </c>
      <c r="AE1822">
        <v>-2.1194000000000401</v>
      </c>
      <c r="AF1822">
        <v>1.8191432149844899</v>
      </c>
      <c r="AG1822">
        <v>-1.1109387526379999</v>
      </c>
      <c r="AH1822">
        <v>21.202234979479002</v>
      </c>
      <c r="AI1822">
        <v>92.988438603156695</v>
      </c>
      <c r="AJ1822">
        <v>85.096055259284597</v>
      </c>
      <c r="AK1822">
        <v>21.3091115505499</v>
      </c>
      <c r="AL1822">
        <v>81.536942445699793</v>
      </c>
      <c r="AM1822">
        <v>94.558239670450305</v>
      </c>
      <c r="AN1822">
        <v>1.0000000315902</v>
      </c>
    </row>
    <row r="1823" spans="1:40" x14ac:dyDescent="0.25">
      <c r="A1823" t="str">
        <f>"20190304154752516"</f>
        <v>20190304154752516</v>
      </c>
      <c r="B1823" t="str">
        <f>"1551685672508293"</f>
        <v>1551685672508293</v>
      </c>
      <c r="C1823" t="s">
        <v>40</v>
      </c>
      <c r="D1823">
        <v>4.3595379999999997</v>
      </c>
      <c r="E1823">
        <v>0.56436569999999997</v>
      </c>
      <c r="F1823" t="s">
        <v>44</v>
      </c>
      <c r="G1823">
        <v>-212.05670000000001</v>
      </c>
      <c r="H1823" s="1">
        <v>-4.4278579999999997E-6</v>
      </c>
      <c r="I1823">
        <v>363.7654</v>
      </c>
      <c r="J1823">
        <v>-237.0744</v>
      </c>
      <c r="K1823">
        <v>1.110938</v>
      </c>
      <c r="L1823">
        <v>366.48410000000001</v>
      </c>
      <c r="M1823">
        <v>0.99982320000000002</v>
      </c>
      <c r="N1823">
        <v>-1.272203E-2</v>
      </c>
      <c r="O1823">
        <v>-1.385046E-2</v>
      </c>
      <c r="P1823">
        <v>0.98883520000000003</v>
      </c>
      <c r="Q1823">
        <v>0.1342092</v>
      </c>
      <c r="R1823">
        <v>6.4753959999999999E-2</v>
      </c>
      <c r="S1823">
        <v>3.0743710000000002</v>
      </c>
      <c r="T1823">
        <v>-0.13579869999999999</v>
      </c>
      <c r="U1823">
        <v>-0.33255000000000001</v>
      </c>
      <c r="V1823">
        <v>-7.8457669999999993E-2</v>
      </c>
      <c r="W1823">
        <v>0.146759</v>
      </c>
      <c r="X1823">
        <v>0.98605589999999999</v>
      </c>
      <c r="Y1823">
        <v>9.3649860000000001E-2</v>
      </c>
      <c r="Z1823">
        <v>-2.2252259999999999E-3</v>
      </c>
      <c r="AA1823">
        <v>0.99560269999999995</v>
      </c>
      <c r="AB1823">
        <v>22</v>
      </c>
      <c r="AC1823">
        <v>25.017699999999898</v>
      </c>
      <c r="AD1823">
        <v>-1.110942427858</v>
      </c>
      <c r="AE1823">
        <v>-2.7187000000000099</v>
      </c>
      <c r="AF1823">
        <v>2.36729088260619</v>
      </c>
      <c r="AG1823">
        <v>-1.110942427858</v>
      </c>
      <c r="AH1823">
        <v>25.004227401656799</v>
      </c>
      <c r="AI1823">
        <v>92.532678305218795</v>
      </c>
      <c r="AJ1823">
        <v>84.591607091160398</v>
      </c>
      <c r="AK1823">
        <v>25.140597589449801</v>
      </c>
      <c r="AL1823">
        <v>81.560847923713695</v>
      </c>
      <c r="AM1823">
        <v>94.549278359013499</v>
      </c>
      <c r="AN1823">
        <v>1.00000002399381</v>
      </c>
    </row>
    <row r="1824" spans="1:40" x14ac:dyDescent="0.25">
      <c r="A1824" t="str">
        <f>"20190304154752526"</f>
        <v>20190304154752526</v>
      </c>
      <c r="B1824" t="str">
        <f>"1551685672518055"</f>
        <v>1551685672518055</v>
      </c>
      <c r="C1824" t="s">
        <v>40</v>
      </c>
      <c r="D1824">
        <v>4.3499879999999997</v>
      </c>
      <c r="E1824">
        <v>0.5641391</v>
      </c>
      <c r="F1824" t="s">
        <v>44</v>
      </c>
      <c r="G1824">
        <v>-212.3057</v>
      </c>
      <c r="H1824" s="1">
        <v>-4.3132270000000002E-6</v>
      </c>
      <c r="I1824">
        <v>363.80930000000001</v>
      </c>
      <c r="J1824">
        <v>-236.95330000000001</v>
      </c>
      <c r="K1824">
        <v>1.1109329999999999</v>
      </c>
      <c r="L1824">
        <v>366.48250000000002</v>
      </c>
      <c r="M1824">
        <v>0.9998243</v>
      </c>
      <c r="N1824">
        <v>-1.268412E-2</v>
      </c>
      <c r="O1824">
        <v>-1.3802699999999999E-2</v>
      </c>
      <c r="P1824">
        <v>0.98892210000000003</v>
      </c>
      <c r="Q1824">
        <v>0.13347909999999999</v>
      </c>
      <c r="R1824">
        <v>6.4936339999999995E-2</v>
      </c>
      <c r="S1824">
        <v>3.0743260000000001</v>
      </c>
      <c r="T1824">
        <v>-0.13789170000000001</v>
      </c>
      <c r="U1824">
        <v>-0.33200069999999998</v>
      </c>
      <c r="V1824">
        <v>-7.8595520000000002E-2</v>
      </c>
      <c r="W1824">
        <v>0.14599200000000001</v>
      </c>
      <c r="X1824">
        <v>0.98615870000000005</v>
      </c>
      <c r="Y1824">
        <v>9.3520489999999998E-2</v>
      </c>
      <c r="Z1824">
        <v>-2.243128E-3</v>
      </c>
      <c r="AA1824">
        <v>0.99561480000000002</v>
      </c>
      <c r="AB1824">
        <v>22</v>
      </c>
      <c r="AC1824">
        <v>24.647600000000001</v>
      </c>
      <c r="AD1824">
        <v>-1.110937313227</v>
      </c>
      <c r="AE1824">
        <v>-2.6732</v>
      </c>
      <c r="AF1824">
        <v>2.3280399433174699</v>
      </c>
      <c r="AG1824">
        <v>-1.110937313227</v>
      </c>
      <c r="AH1824">
        <v>24.632690986470202</v>
      </c>
      <c r="AI1824">
        <v>92.570855983460802</v>
      </c>
      <c r="AJ1824">
        <v>84.601002649677099</v>
      </c>
      <c r="AK1824">
        <v>24.767386154508301</v>
      </c>
      <c r="AL1824">
        <v>81.605271657281705</v>
      </c>
      <c r="AM1824">
        <v>94.556764735311106</v>
      </c>
      <c r="AN1824">
        <v>0.99999995070687897</v>
      </c>
    </row>
    <row r="1825" spans="1:40" x14ac:dyDescent="0.25">
      <c r="A1825" t="str">
        <f>"20190304154752539"</f>
        <v>20190304154752539</v>
      </c>
      <c r="B1825" t="str">
        <f>"1551685672528790"</f>
        <v>1551685672528790</v>
      </c>
      <c r="C1825" t="s">
        <v>40</v>
      </c>
      <c r="D1825">
        <v>4.1266379999999998</v>
      </c>
      <c r="E1825">
        <v>0.56615649999999995</v>
      </c>
      <c r="F1825" t="s">
        <v>44</v>
      </c>
      <c r="G1825">
        <v>-212.57390000000001</v>
      </c>
      <c r="H1825" s="1">
        <v>-4.1878199999999997E-6</v>
      </c>
      <c r="I1825">
        <v>363.86779999999999</v>
      </c>
      <c r="J1825">
        <v>-236.83170000000001</v>
      </c>
      <c r="K1825">
        <v>1.1109309999999999</v>
      </c>
      <c r="L1825">
        <v>366.48090000000002</v>
      </c>
      <c r="M1825">
        <v>0.99982559999999998</v>
      </c>
      <c r="N1825">
        <v>-1.2645480000000001E-2</v>
      </c>
      <c r="O1825">
        <v>-1.3752469999999999E-2</v>
      </c>
      <c r="P1825">
        <v>0.98894689999999996</v>
      </c>
      <c r="Q1825">
        <v>0.13316310000000001</v>
      </c>
      <c r="R1825">
        <v>6.5207059999999997E-2</v>
      </c>
      <c r="S1825">
        <v>3.0741879999999999</v>
      </c>
      <c r="T1825">
        <v>-0.1400864</v>
      </c>
      <c r="U1825">
        <v>-0.3297119</v>
      </c>
      <c r="V1825">
        <v>-7.8818340000000001E-2</v>
      </c>
      <c r="W1825">
        <v>0.145637299999999</v>
      </c>
      <c r="X1825">
        <v>0.9861934</v>
      </c>
      <c r="Y1825">
        <v>9.2840329999999999E-2</v>
      </c>
      <c r="Z1825">
        <v>-2.246212E-3</v>
      </c>
      <c r="AA1825">
        <v>0.99567850000000002</v>
      </c>
      <c r="AB1825">
        <v>22</v>
      </c>
      <c r="AC1825">
        <v>24.2578</v>
      </c>
      <c r="AD1825">
        <v>-1.11093518781999</v>
      </c>
      <c r="AE1825">
        <v>-2.61310000000003</v>
      </c>
      <c r="AF1825">
        <v>2.2745057886485802</v>
      </c>
      <c r="AG1825">
        <v>-1.11093518781999</v>
      </c>
      <c r="AH1825">
        <v>24.241185557014699</v>
      </c>
      <c r="AI1825">
        <v>92.612480422230604</v>
      </c>
      <c r="AJ1825">
        <v>84.639735881229797</v>
      </c>
      <c r="AK1825">
        <v>24.372989779338798</v>
      </c>
      <c r="AL1825">
        <v>81.625814344662203</v>
      </c>
      <c r="AM1825">
        <v>94.569468521260504</v>
      </c>
      <c r="AN1825">
        <v>0.99999998803760204</v>
      </c>
    </row>
    <row r="1826" spans="1:40" x14ac:dyDescent="0.25">
      <c r="A1826" t="str">
        <f>"20190304154752551"</f>
        <v>20190304154752551</v>
      </c>
      <c r="B1826" t="str">
        <f>"1551685672548310"</f>
        <v>1551685672548310</v>
      </c>
      <c r="C1826" t="s">
        <v>40</v>
      </c>
      <c r="D1826">
        <v>4.1010280000000003</v>
      </c>
      <c r="E1826">
        <v>0.56927159999999999</v>
      </c>
      <c r="F1826" t="s">
        <v>44</v>
      </c>
      <c r="G1826">
        <v>-210.2619</v>
      </c>
      <c r="H1826" s="1">
        <v>-5.2448990000000001E-6</v>
      </c>
      <c r="I1826">
        <v>363.49979999999999</v>
      </c>
      <c r="J1826">
        <v>-236.71960000000001</v>
      </c>
      <c r="K1826">
        <v>1.1109260000000001</v>
      </c>
      <c r="L1826">
        <v>366.4794</v>
      </c>
      <c r="M1826">
        <v>0.99982660000000001</v>
      </c>
      <c r="N1826">
        <v>-1.260959E-2</v>
      </c>
      <c r="O1826">
        <v>-1.370501E-2</v>
      </c>
      <c r="P1826">
        <v>0.98899630000000005</v>
      </c>
      <c r="Q1826">
        <v>0.13279440000000001</v>
      </c>
      <c r="R1826">
        <v>6.5208450000000001E-2</v>
      </c>
      <c r="S1826">
        <v>3.0735779999999999</v>
      </c>
      <c r="T1826">
        <v>-0.1285123</v>
      </c>
      <c r="U1826">
        <v>-0.34484860000000001</v>
      </c>
      <c r="V1826">
        <v>-7.8774159999999996E-2</v>
      </c>
      <c r="W1826">
        <v>0.14523349999999999</v>
      </c>
      <c r="X1826">
        <v>0.98625649999999998</v>
      </c>
      <c r="Y1826">
        <v>9.7762790000000002E-2</v>
      </c>
      <c r="Z1826">
        <v>-2.2566219999999998E-3</v>
      </c>
      <c r="AA1826">
        <v>0.99520719999999996</v>
      </c>
      <c r="AB1826">
        <v>22</v>
      </c>
      <c r="AC1826">
        <v>26.457699999999999</v>
      </c>
      <c r="AD1826">
        <v>-1.1109312448989901</v>
      </c>
      <c r="AE1826">
        <v>-2.9796</v>
      </c>
      <c r="AF1826">
        <v>2.6121405382117699</v>
      </c>
      <c r="AG1826">
        <v>-1.1109312448989901</v>
      </c>
      <c r="AH1826">
        <v>26.450004194657101</v>
      </c>
      <c r="AI1826">
        <v>92.393446668297003</v>
      </c>
      <c r="AJ1826">
        <v>84.359891538409997</v>
      </c>
      <c r="AK1826">
        <v>26.601882796517199</v>
      </c>
      <c r="AL1826">
        <v>81.649199203956002</v>
      </c>
      <c r="AM1826">
        <v>94.566627085149094</v>
      </c>
      <c r="AN1826">
        <v>1.0000000107991001</v>
      </c>
    </row>
    <row r="1827" spans="1:40" x14ac:dyDescent="0.25">
      <c r="A1827" t="str">
        <f>"20190304154752563"</f>
        <v>20190304154752563</v>
      </c>
      <c r="B1827" t="str">
        <f>"1551685672558070"</f>
        <v>1551685672558070</v>
      </c>
      <c r="C1827" t="s">
        <v>40</v>
      </c>
      <c r="D1827">
        <v>4.1177190000000001</v>
      </c>
      <c r="E1827">
        <v>0.57050880000000004</v>
      </c>
      <c r="F1827" t="s">
        <v>53</v>
      </c>
      <c r="G1827">
        <v>-205.49440000000001</v>
      </c>
      <c r="H1827" s="1">
        <v>-4.7126579999999999E-6</v>
      </c>
      <c r="I1827">
        <v>362.72739999999999</v>
      </c>
      <c r="J1827">
        <v>-236.6122</v>
      </c>
      <c r="K1827">
        <v>1.1109199999999999</v>
      </c>
      <c r="L1827">
        <v>366.47800000000001</v>
      </c>
      <c r="M1827">
        <v>0.99982760000000004</v>
      </c>
      <c r="N1827">
        <v>-1.2573229999999999E-2</v>
      </c>
      <c r="O1827">
        <v>-1.365864E-2</v>
      </c>
      <c r="P1827">
        <v>0.98906090000000002</v>
      </c>
      <c r="Q1827">
        <v>0.13227900000000001</v>
      </c>
      <c r="R1827">
        <v>6.5276249999999994E-2</v>
      </c>
      <c r="S1827">
        <v>3.0723880000000001</v>
      </c>
      <c r="T1827">
        <v>-0.109309199999999</v>
      </c>
      <c r="U1827">
        <v>-0.36917109999999997</v>
      </c>
      <c r="V1827">
        <v>-7.8797519999999996E-2</v>
      </c>
      <c r="W1827">
        <v>0.1446828</v>
      </c>
      <c r="X1827">
        <v>0.98633559999999998</v>
      </c>
      <c r="Y1827">
        <v>0.1056404</v>
      </c>
      <c r="Z1827">
        <v>-2.225908E-3</v>
      </c>
      <c r="AA1827">
        <v>0.99440189999999995</v>
      </c>
      <c r="AB1827">
        <v>22</v>
      </c>
      <c r="AC1827">
        <v>31.1177999999999</v>
      </c>
      <c r="AD1827">
        <v>-1.110924712658</v>
      </c>
      <c r="AE1827">
        <v>-3.7506000000000199</v>
      </c>
      <c r="AF1827">
        <v>3.3210174808380901</v>
      </c>
      <c r="AG1827">
        <v>-1.110924712658</v>
      </c>
      <c r="AH1827">
        <v>31.127024532078199</v>
      </c>
      <c r="AI1827">
        <v>92.032495279693407</v>
      </c>
      <c r="AJ1827">
        <v>83.910013063031499</v>
      </c>
      <c r="AK1827">
        <v>31.3233932875387</v>
      </c>
      <c r="AL1827">
        <v>81.681089049267101</v>
      </c>
      <c r="AM1827">
        <v>94.567610778020693</v>
      </c>
      <c r="AN1827">
        <v>1.00000003880067</v>
      </c>
    </row>
    <row r="1828" spans="1:40" x14ac:dyDescent="0.25">
      <c r="A1828" t="str">
        <f>"20190304154752573"</f>
        <v>20190304154752573</v>
      </c>
      <c r="B1828" t="str">
        <f>"1551685672568005"</f>
        <v>1551685672568005</v>
      </c>
      <c r="C1828" t="s">
        <v>40</v>
      </c>
      <c r="D1828">
        <v>4.368093</v>
      </c>
      <c r="E1828">
        <v>0.56983300000000003</v>
      </c>
      <c r="F1828" t="s">
        <v>53</v>
      </c>
      <c r="G1828">
        <v>-203.43790000000001</v>
      </c>
      <c r="H1828" s="1">
        <v>-3.7724559999999999E-6</v>
      </c>
      <c r="I1828">
        <v>362.38389999999998</v>
      </c>
      <c r="J1828">
        <v>-236.50020000000001</v>
      </c>
      <c r="K1828">
        <v>1.1109100000000001</v>
      </c>
      <c r="L1828">
        <v>366.47649999999999</v>
      </c>
      <c r="M1828">
        <v>0.99982890000000002</v>
      </c>
      <c r="N1828">
        <v>-1.253455E-2</v>
      </c>
      <c r="O1828">
        <v>-1.3609889999999999E-2</v>
      </c>
      <c r="P1828">
        <v>0.98906309999999997</v>
      </c>
      <c r="Q1828">
        <v>0.13221749999999999</v>
      </c>
      <c r="R1828">
        <v>6.5366190000000005E-2</v>
      </c>
      <c r="S1828">
        <v>3.0719759999999998</v>
      </c>
      <c r="T1828">
        <v>-0.10287259999999999</v>
      </c>
      <c r="U1828">
        <v>-0.37911990000000001</v>
      </c>
      <c r="V1828">
        <v>-7.8839119999999999E-2</v>
      </c>
      <c r="W1828">
        <v>0.1445833</v>
      </c>
      <c r="X1828">
        <v>0.98634679999999997</v>
      </c>
      <c r="Y1828">
        <v>0.10888339999999901</v>
      </c>
      <c r="Z1828">
        <v>-2.2171479999999999E-3</v>
      </c>
      <c r="AA1828">
        <v>0.99405209999999999</v>
      </c>
      <c r="AB1828">
        <v>22</v>
      </c>
      <c r="AC1828">
        <v>33.062299999999901</v>
      </c>
      <c r="AD1828">
        <v>-1.1109137724560001</v>
      </c>
      <c r="AE1828">
        <v>-4.0926</v>
      </c>
      <c r="AF1828">
        <v>3.6381658009732201</v>
      </c>
      <c r="AG1828">
        <v>-1.1109137724560001</v>
      </c>
      <c r="AH1828">
        <v>33.078159828807202</v>
      </c>
      <c r="AI1828">
        <v>91.912006182138796</v>
      </c>
      <c r="AJ1828">
        <v>83.723440470862599</v>
      </c>
      <c r="AK1828">
        <v>33.296171513633801</v>
      </c>
      <c r="AL1828">
        <v>81.686850014075205</v>
      </c>
      <c r="AM1828">
        <v>94.569960296820099</v>
      </c>
      <c r="AN1828">
        <v>0.999999973675751</v>
      </c>
    </row>
    <row r="1829" spans="1:40" x14ac:dyDescent="0.25">
      <c r="A1829" t="str">
        <f>"20190304154752584"</f>
        <v>20190304154752584</v>
      </c>
      <c r="B1829" t="str">
        <f>"1551685672578741"</f>
        <v>1551685672578741</v>
      </c>
      <c r="C1829" t="s">
        <v>40</v>
      </c>
      <c r="D1829">
        <v>4.2331250000000002</v>
      </c>
      <c r="E1829">
        <v>0.57088419999999995</v>
      </c>
      <c r="F1829" t="s">
        <v>53</v>
      </c>
      <c r="G1829">
        <v>-204.6875</v>
      </c>
      <c r="H1829" s="1">
        <v>-4.3512589999999997E-6</v>
      </c>
      <c r="I1829">
        <v>362.60950000000003</v>
      </c>
      <c r="J1829">
        <v>-236.39769999999999</v>
      </c>
      <c r="K1829">
        <v>1.1109020000000001</v>
      </c>
      <c r="L1829">
        <v>366.47519999999997</v>
      </c>
      <c r="M1829">
        <v>0.99982990000000005</v>
      </c>
      <c r="N1829">
        <v>-1.2496709999999999E-2</v>
      </c>
      <c r="O1829">
        <v>-1.3563779999999999E-2</v>
      </c>
      <c r="P1829">
        <v>0.98912149999999999</v>
      </c>
      <c r="Q1829">
        <v>0.13183320000000001</v>
      </c>
      <c r="R1829">
        <v>6.5260970000000001E-2</v>
      </c>
      <c r="S1829">
        <v>3.072235</v>
      </c>
      <c r="T1829">
        <v>-0.1072838</v>
      </c>
      <c r="U1829">
        <v>-0.37344359999999999</v>
      </c>
      <c r="V1829">
        <v>-7.8688789999999995E-2</v>
      </c>
      <c r="W1829">
        <v>0.1441624</v>
      </c>
      <c r="X1829">
        <v>0.98642050000000003</v>
      </c>
      <c r="Y1829">
        <v>0.10710509999999999</v>
      </c>
      <c r="Z1829">
        <v>-2.2318720000000002E-3</v>
      </c>
      <c r="AA1829">
        <v>0.99424520000000005</v>
      </c>
      <c r="AB1829">
        <v>22</v>
      </c>
      <c r="AC1829">
        <v>31.710199999999901</v>
      </c>
      <c r="AD1829">
        <v>-1.1109063512590001</v>
      </c>
      <c r="AE1829">
        <v>-3.86569999999994</v>
      </c>
      <c r="AF1829">
        <v>3.4310512340743098</v>
      </c>
      <c r="AG1829">
        <v>-1.1109063512590001</v>
      </c>
      <c r="AH1829">
        <v>31.721357983428899</v>
      </c>
      <c r="AI1829">
        <v>91.994101389942898</v>
      </c>
      <c r="AJ1829">
        <v>83.826762618077396</v>
      </c>
      <c r="AK1829">
        <v>31.925707162175101</v>
      </c>
      <c r="AL1829">
        <v>81.711221881853902</v>
      </c>
      <c r="AM1829">
        <v>94.560943770918399</v>
      </c>
      <c r="AN1829">
        <v>1.0000000630328301</v>
      </c>
    </row>
    <row r="1830" spans="1:40" x14ac:dyDescent="0.25">
      <c r="A1830" t="str">
        <f>"20190304154752595"</f>
        <v>20190304154752595</v>
      </c>
      <c r="B1830" t="str">
        <f>"1551685672588501"</f>
        <v>1551685672588501</v>
      </c>
      <c r="C1830" t="s">
        <v>40</v>
      </c>
      <c r="D1830">
        <v>4.3928739999999999</v>
      </c>
      <c r="E1830">
        <v>0.57026259999999995</v>
      </c>
      <c r="F1830" t="s">
        <v>53</v>
      </c>
      <c r="G1830">
        <v>-202.6189</v>
      </c>
      <c r="H1830" s="1">
        <v>-3.3844090000000002E-6</v>
      </c>
      <c r="I1830">
        <v>362.27510000000001</v>
      </c>
      <c r="J1830">
        <v>-236.29849999999999</v>
      </c>
      <c r="K1830">
        <v>1.1108990000000001</v>
      </c>
      <c r="L1830">
        <v>366.47390000000001</v>
      </c>
      <c r="M1830">
        <v>0.99983109999999997</v>
      </c>
      <c r="N1830">
        <v>-1.2459659999999999E-2</v>
      </c>
      <c r="O1830">
        <v>-1.3519099999999999E-2</v>
      </c>
      <c r="P1830">
        <v>0.98916470000000001</v>
      </c>
      <c r="Q1830">
        <v>0.13146759999999999</v>
      </c>
      <c r="R1830">
        <v>6.5342919999999999E-2</v>
      </c>
      <c r="S1830">
        <v>3.0716549999999998</v>
      </c>
      <c r="T1830">
        <v>-0.1010194</v>
      </c>
      <c r="U1830">
        <v>-0.38192749999999998</v>
      </c>
      <c r="V1830">
        <v>-7.8726370000000004E-2</v>
      </c>
      <c r="W1830">
        <v>0.14376140000000001</v>
      </c>
      <c r="X1830">
        <v>0.98647589999999996</v>
      </c>
      <c r="Y1830">
        <v>0.10988290000000001</v>
      </c>
      <c r="Z1830">
        <v>-2.2120690000000001E-3</v>
      </c>
      <c r="AA1830">
        <v>0.99394210000000005</v>
      </c>
      <c r="AB1830">
        <v>22</v>
      </c>
      <c r="AC1830">
        <v>33.679599999999901</v>
      </c>
      <c r="AD1830">
        <v>-1.110902384409</v>
      </c>
      <c r="AE1830">
        <v>-4.1988000000000003</v>
      </c>
      <c r="AF1830">
        <v>3.7390573177390798</v>
      </c>
      <c r="AG1830">
        <v>-1.110902384409</v>
      </c>
      <c r="AH1830">
        <v>33.697189504004797</v>
      </c>
      <c r="AI1830">
        <v>91.876688783235707</v>
      </c>
      <c r="AJ1830">
        <v>83.668331999126096</v>
      </c>
      <c r="AK1830">
        <v>33.922193829436097</v>
      </c>
      <c r="AL1830">
        <v>81.734438326382701</v>
      </c>
      <c r="AM1830">
        <v>94.562857598602804</v>
      </c>
      <c r="AN1830">
        <v>0.99999994137207104</v>
      </c>
    </row>
    <row r="1831" spans="1:40" x14ac:dyDescent="0.25">
      <c r="A1831" t="str">
        <f>"20190304154752606"</f>
        <v>20190304154752606</v>
      </c>
      <c r="B1831" t="str">
        <f>"1551685672598261"</f>
        <v>1551685672598261</v>
      </c>
      <c r="C1831" t="s">
        <v>40</v>
      </c>
      <c r="D1831">
        <v>4.3628850000000003</v>
      </c>
      <c r="E1831">
        <v>0.56974219999999998</v>
      </c>
      <c r="F1831" t="s">
        <v>53</v>
      </c>
      <c r="G1831">
        <v>-204.3006</v>
      </c>
      <c r="H1831" s="1">
        <v>-4.1706679999999997E-6</v>
      </c>
      <c r="I1831">
        <v>362.54590000000002</v>
      </c>
      <c r="J1831">
        <v>-236.18119999999999</v>
      </c>
      <c r="K1831">
        <v>1.1108880000000001</v>
      </c>
      <c r="L1831">
        <v>366.47230000000002</v>
      </c>
      <c r="M1831">
        <v>0.99983239999999995</v>
      </c>
      <c r="N1831">
        <v>-1.241477E-2</v>
      </c>
      <c r="O1831">
        <v>-1.346579E-2</v>
      </c>
      <c r="P1831">
        <v>0.98918910000000004</v>
      </c>
      <c r="Q1831">
        <v>0.13128779999999901</v>
      </c>
      <c r="R1831">
        <v>6.5335169999999998E-2</v>
      </c>
      <c r="S1831">
        <v>3.0719449999999999</v>
      </c>
      <c r="T1831">
        <v>-0.1066518</v>
      </c>
      <c r="U1831">
        <v>-0.37710569999999999</v>
      </c>
      <c r="V1831">
        <v>-7.8665929999999995E-2</v>
      </c>
      <c r="W1831">
        <v>0.14353769999999999</v>
      </c>
      <c r="X1831">
        <v>0.98651339999999998</v>
      </c>
      <c r="Y1831">
        <v>0.10838150000000001</v>
      </c>
      <c r="Z1831">
        <v>-2.2504309999999998E-3</v>
      </c>
      <c r="AA1831">
        <v>0.99410679999999996</v>
      </c>
      <c r="AB1831">
        <v>22</v>
      </c>
      <c r="AC1831">
        <v>31.880599999999902</v>
      </c>
      <c r="AD1831">
        <v>-1.1108921706679999</v>
      </c>
      <c r="AE1831">
        <v>-3.9264000000000001</v>
      </c>
      <c r="AF1831">
        <v>3.4925361746924599</v>
      </c>
      <c r="AG1831">
        <v>-1.1108921706679999</v>
      </c>
      <c r="AH1831">
        <v>31.892439897445701</v>
      </c>
      <c r="AI1831">
        <v>91.983100363226001</v>
      </c>
      <c r="AJ1831">
        <v>83.750451003667493</v>
      </c>
      <c r="AK1831">
        <v>32.102330335328801</v>
      </c>
      <c r="AL1831">
        <v>81.747390570706301</v>
      </c>
      <c r="AM1831">
        <v>94.559196782485799</v>
      </c>
      <c r="AN1831">
        <v>1.0000000441218</v>
      </c>
    </row>
    <row r="1832" spans="1:40" x14ac:dyDescent="0.25">
      <c r="A1832" t="str">
        <f>"20190304154752617"</f>
        <v>20190304154752617</v>
      </c>
      <c r="B1832" t="str">
        <f>"1551685672608021"</f>
        <v>1551685672608021</v>
      </c>
      <c r="C1832" t="s">
        <v>40</v>
      </c>
      <c r="D1832">
        <v>4.1267100000000001</v>
      </c>
      <c r="E1832">
        <v>0.57071470000000002</v>
      </c>
      <c r="F1832" t="s">
        <v>53</v>
      </c>
      <c r="G1832">
        <v>-205.20650000000001</v>
      </c>
      <c r="H1832" s="1">
        <v>-4.5822059999999997E-6</v>
      </c>
      <c r="I1832">
        <v>362.71100000000001</v>
      </c>
      <c r="J1832">
        <v>-236.07480000000001</v>
      </c>
      <c r="K1832">
        <v>1.110881</v>
      </c>
      <c r="L1832">
        <v>366.471</v>
      </c>
      <c r="M1832">
        <v>0.99983359999999999</v>
      </c>
      <c r="N1832">
        <v>-1.237473E-2</v>
      </c>
      <c r="O1832">
        <v>-1.3416910000000001E-2</v>
      </c>
      <c r="P1832">
        <v>0.98922379999999999</v>
      </c>
      <c r="Q1832">
        <v>0.13098399999999999</v>
      </c>
      <c r="R1832">
        <v>6.5420710000000007E-2</v>
      </c>
      <c r="S1832">
        <v>3.0720519999999998</v>
      </c>
      <c r="T1832">
        <v>-0.11017780000000001</v>
      </c>
      <c r="U1832">
        <v>-0.37304690000000001</v>
      </c>
      <c r="V1832">
        <v>-7.870373E-2</v>
      </c>
      <c r="W1832">
        <v>0.14319509999999999</v>
      </c>
      <c r="X1832">
        <v>0.98656010000000005</v>
      </c>
      <c r="Y1832">
        <v>0.1071281</v>
      </c>
      <c r="Z1832">
        <v>-2.2652499999999999E-3</v>
      </c>
      <c r="AA1832">
        <v>0.99424270000000003</v>
      </c>
      <c r="AB1832">
        <v>22</v>
      </c>
      <c r="AC1832">
        <v>30.868300000000001</v>
      </c>
      <c r="AD1832">
        <v>-1.110885582206</v>
      </c>
      <c r="AE1832">
        <v>-3.75999999999999</v>
      </c>
      <c r="AF1832">
        <v>3.3412086358475701</v>
      </c>
      <c r="AG1832">
        <v>-1.110885582206</v>
      </c>
      <c r="AH1832">
        <v>30.876568023167899</v>
      </c>
      <c r="AI1832">
        <v>92.048565464637605</v>
      </c>
      <c r="AJ1832">
        <v>83.823953170555399</v>
      </c>
      <c r="AK1832">
        <v>31.076682493701501</v>
      </c>
      <c r="AL1832">
        <v>81.767224404975494</v>
      </c>
      <c r="AM1832">
        <v>94.561163285883396</v>
      </c>
      <c r="AN1832">
        <v>0.99999997234596605</v>
      </c>
    </row>
    <row r="1833" spans="1:40" x14ac:dyDescent="0.25">
      <c r="A1833" t="str">
        <f>"20190304154752628"</f>
        <v>20190304154752628</v>
      </c>
      <c r="B1833" t="str">
        <f>"1551685672618758"</f>
        <v>1551685672618758</v>
      </c>
      <c r="C1833" t="s">
        <v>40</v>
      </c>
      <c r="D1833">
        <v>4.3195739999999896</v>
      </c>
      <c r="E1833">
        <v>0.57052700000000001</v>
      </c>
      <c r="F1833" t="s">
        <v>53</v>
      </c>
      <c r="G1833">
        <v>-203.5814</v>
      </c>
      <c r="H1833" s="1">
        <v>-3.831112E-6</v>
      </c>
      <c r="I1833">
        <v>362.44510000000002</v>
      </c>
      <c r="J1833">
        <v>-235.96850000000001</v>
      </c>
      <c r="K1833">
        <v>1.1108739999999999</v>
      </c>
      <c r="L1833">
        <v>366.46960000000001</v>
      </c>
      <c r="M1833">
        <v>0.99983469999999997</v>
      </c>
      <c r="N1833">
        <v>-1.2335219999999999E-2</v>
      </c>
      <c r="O1833">
        <v>-1.336769E-2</v>
      </c>
      <c r="P1833">
        <v>0.98925790000000002</v>
      </c>
      <c r="Q1833">
        <v>0.1307364</v>
      </c>
      <c r="R1833">
        <v>6.54005E-2</v>
      </c>
      <c r="S1833">
        <v>3.0717620000000001</v>
      </c>
      <c r="T1833">
        <v>-0.1050175</v>
      </c>
      <c r="U1833">
        <v>-0.3805847</v>
      </c>
      <c r="V1833">
        <v>-7.8635510000000006E-2</v>
      </c>
      <c r="W1833">
        <v>0.1429086</v>
      </c>
      <c r="X1833">
        <v>0.98660709999999996</v>
      </c>
      <c r="Y1833">
        <v>0.1095965</v>
      </c>
      <c r="Z1833">
        <v>-2.2538250000000001E-3</v>
      </c>
      <c r="AA1833">
        <v>0.99397360000000001</v>
      </c>
      <c r="AB1833">
        <v>22</v>
      </c>
      <c r="AC1833">
        <v>32.387099999999997</v>
      </c>
      <c r="AD1833">
        <v>-1.110877831112</v>
      </c>
      <c r="AE1833">
        <v>-4.0244999999999802</v>
      </c>
      <c r="AF1833">
        <v>3.5870108439012101</v>
      </c>
      <c r="AG1833">
        <v>-1.110877831112</v>
      </c>
      <c r="AH1833">
        <v>32.4004688769963</v>
      </c>
      <c r="AI1833">
        <v>91.951750699076996</v>
      </c>
      <c r="AJ1833">
        <v>83.682589685357101</v>
      </c>
      <c r="AK1833">
        <v>32.617343236369301</v>
      </c>
      <c r="AL1833">
        <v>81.783810379119103</v>
      </c>
      <c r="AM1833">
        <v>94.5570101702762</v>
      </c>
      <c r="AN1833">
        <v>0.99999999057866495</v>
      </c>
    </row>
    <row r="1834" spans="1:40" x14ac:dyDescent="0.25">
      <c r="A1834" t="str">
        <f>"20190304154752640"</f>
        <v>20190304154752640</v>
      </c>
      <c r="B1834" t="str">
        <f>"1551685672628517"</f>
        <v>1551685672628517</v>
      </c>
      <c r="C1834" t="s">
        <v>40</v>
      </c>
      <c r="D1834">
        <v>4.3940630000000001</v>
      </c>
      <c r="E1834">
        <v>0.57032469999999902</v>
      </c>
      <c r="F1834" t="s">
        <v>53</v>
      </c>
      <c r="G1834">
        <v>-204.14580000000001</v>
      </c>
      <c r="H1834" s="1">
        <v>-4.09349E-6</v>
      </c>
      <c r="I1834">
        <v>362.54270000000002</v>
      </c>
      <c r="J1834">
        <v>-235.85830000000001</v>
      </c>
      <c r="K1834">
        <v>1.110868</v>
      </c>
      <c r="L1834">
        <v>366.46820000000002</v>
      </c>
      <c r="M1834">
        <v>0.9998359</v>
      </c>
      <c r="N1834">
        <v>-1.2295E-2</v>
      </c>
      <c r="O1834">
        <v>-1.3317849999999999E-2</v>
      </c>
      <c r="P1834">
        <v>0.98926610000000004</v>
      </c>
      <c r="Q1834">
        <v>0.13067239999999999</v>
      </c>
      <c r="R1834">
        <v>6.5405229999999995E-2</v>
      </c>
      <c r="S1834">
        <v>3.0718230000000002</v>
      </c>
      <c r="T1834">
        <v>-0.10723249999999999</v>
      </c>
      <c r="U1834">
        <v>-0.37905879999999997</v>
      </c>
      <c r="V1834">
        <v>-7.8591069999999999E-2</v>
      </c>
      <c r="W1834">
        <v>0.14280519999999999</v>
      </c>
      <c r="X1834">
        <v>0.98662559999999999</v>
      </c>
      <c r="Y1834">
        <v>0.1091548</v>
      </c>
      <c r="Z1834">
        <v>-2.2715360000000002E-3</v>
      </c>
      <c r="AA1834">
        <v>0.99402219999999997</v>
      </c>
      <c r="AB1834">
        <v>22</v>
      </c>
      <c r="AC1834">
        <v>31.712499999999999</v>
      </c>
      <c r="AD1834">
        <v>-1.1108720934899901</v>
      </c>
      <c r="AE1834">
        <v>-3.9255</v>
      </c>
      <c r="AF1834">
        <v>3.4985494829659598</v>
      </c>
      <c r="AG1834">
        <v>-1.1108720934899901</v>
      </c>
      <c r="AH1834">
        <v>31.7236308037191</v>
      </c>
      <c r="AI1834">
        <v>91.993441385814705</v>
      </c>
      <c r="AJ1834">
        <v>83.706730565316704</v>
      </c>
      <c r="AK1834">
        <v>31.9352882664855</v>
      </c>
      <c r="AL1834">
        <v>81.7897960528244</v>
      </c>
      <c r="AM1834">
        <v>94.554360623439294</v>
      </c>
      <c r="AN1834">
        <v>0.99999997800307205</v>
      </c>
    </row>
    <row r="1835" spans="1:40" x14ac:dyDescent="0.25">
      <c r="A1835" t="str">
        <f>"20190304154752651"</f>
        <v>20190304154752651</v>
      </c>
      <c r="B1835" t="str">
        <f>"1551685672648037"</f>
        <v>1551685672648037</v>
      </c>
      <c r="C1835" t="s">
        <v>40</v>
      </c>
      <c r="D1835">
        <v>4.3583080000000001</v>
      </c>
      <c r="E1835">
        <v>0.56988709999999998</v>
      </c>
      <c r="F1835" t="s">
        <v>53</v>
      </c>
      <c r="G1835">
        <v>-204.66290000000001</v>
      </c>
      <c r="H1835" s="1">
        <v>-4.3329359999999998E-6</v>
      </c>
      <c r="I1835">
        <v>362.63630000000001</v>
      </c>
      <c r="J1835">
        <v>-235.7448</v>
      </c>
      <c r="K1835">
        <v>1.110862</v>
      </c>
      <c r="L1835">
        <v>366.4667</v>
      </c>
      <c r="M1835">
        <v>0.99983690000000003</v>
      </c>
      <c r="N1835">
        <v>-1.225385E-2</v>
      </c>
      <c r="O1835">
        <v>-1.326694E-2</v>
      </c>
      <c r="P1835">
        <v>0.98929909999999999</v>
      </c>
      <c r="Q1835">
        <v>0.13041559999999999</v>
      </c>
      <c r="R1835">
        <v>6.5414269999999997E-2</v>
      </c>
      <c r="S1835">
        <v>3.0719599999999998</v>
      </c>
      <c r="T1835">
        <v>-0.1093929</v>
      </c>
      <c r="U1835">
        <v>-0.37734990000000002</v>
      </c>
      <c r="V1835">
        <v>-7.8550250000000002E-2</v>
      </c>
      <c r="W1835">
        <v>0.14250839999999901</v>
      </c>
      <c r="X1835">
        <v>0.98667179999999999</v>
      </c>
      <c r="Y1835">
        <v>0.1086529</v>
      </c>
      <c r="Z1835">
        <v>-2.2867859999999999E-3</v>
      </c>
      <c r="AA1835">
        <v>0.99407710000000005</v>
      </c>
      <c r="AB1835">
        <v>22</v>
      </c>
      <c r="AC1835">
        <v>31.081899999999901</v>
      </c>
      <c r="AD1835">
        <v>-1.110866332936</v>
      </c>
      <c r="AE1835">
        <v>-3.8303999999999898</v>
      </c>
      <c r="AF1835">
        <v>3.4133753356967702</v>
      </c>
      <c r="AG1835">
        <v>-1.110866332936</v>
      </c>
      <c r="AH1835">
        <v>31.090865907043</v>
      </c>
      <c r="AI1835">
        <v>92.034077240103201</v>
      </c>
      <c r="AJ1835">
        <v>83.734755443768506</v>
      </c>
      <c r="AK1835">
        <v>31.297397624111198</v>
      </c>
      <c r="AL1835">
        <v>81.806977457199395</v>
      </c>
      <c r="AM1835">
        <v>94.551792796445</v>
      </c>
      <c r="AN1835">
        <v>1.0000000133804301</v>
      </c>
    </row>
    <row r="1836" spans="1:40" x14ac:dyDescent="0.25">
      <c r="A1836" t="str">
        <f>"20190304154752662"</f>
        <v>20190304154752662</v>
      </c>
      <c r="B1836" t="str">
        <f>"1551685672658773"</f>
        <v>1551685672658773</v>
      </c>
      <c r="C1836" t="s">
        <v>40</v>
      </c>
      <c r="D1836">
        <v>4.3535180000000002</v>
      </c>
      <c r="E1836">
        <v>0.56980120000000001</v>
      </c>
      <c r="F1836" t="s">
        <v>53</v>
      </c>
      <c r="G1836">
        <v>-205.26929999999999</v>
      </c>
      <c r="H1836" s="1">
        <v>-4.6014450000000003E-6</v>
      </c>
      <c r="I1836">
        <v>362.75619999999998</v>
      </c>
      <c r="J1836">
        <v>-235.63290000000001</v>
      </c>
      <c r="K1836">
        <v>1.1108610000000001</v>
      </c>
      <c r="L1836">
        <v>366.46530000000001</v>
      </c>
      <c r="M1836">
        <v>0.99983809999999995</v>
      </c>
      <c r="N1836">
        <v>-1.2214269999999999E-2</v>
      </c>
      <c r="O1836">
        <v>-1.321722E-2</v>
      </c>
      <c r="P1836">
        <v>0.98933090000000001</v>
      </c>
      <c r="Q1836">
        <v>0.13017300000000001</v>
      </c>
      <c r="R1836">
        <v>6.5419900000000003E-2</v>
      </c>
      <c r="S1836">
        <v>3.0719599999999998</v>
      </c>
      <c r="T1836">
        <v>-0.1119766</v>
      </c>
      <c r="U1836">
        <v>-0.37402340000000001</v>
      </c>
      <c r="V1836">
        <v>-7.8507339999999995E-2</v>
      </c>
      <c r="W1836">
        <v>0.1422271</v>
      </c>
      <c r="X1836">
        <v>0.98671580000000003</v>
      </c>
      <c r="Y1836">
        <v>0.1076391</v>
      </c>
      <c r="Z1836">
        <v>-2.2951310000000002E-3</v>
      </c>
      <c r="AA1836">
        <v>0.99418740000000005</v>
      </c>
      <c r="AB1836">
        <v>22</v>
      </c>
      <c r="AC1836">
        <v>30.363600000000002</v>
      </c>
      <c r="AD1836">
        <v>-1.110865601445</v>
      </c>
      <c r="AE1836">
        <v>-3.70910000000003</v>
      </c>
      <c r="AF1836">
        <v>3.30306752404648</v>
      </c>
      <c r="AG1836">
        <v>-1.110865601445</v>
      </c>
      <c r="AH1836">
        <v>30.369922648935699</v>
      </c>
      <c r="AI1836">
        <v>92.082550755674902</v>
      </c>
      <c r="AJ1836">
        <v>83.792843547226397</v>
      </c>
      <c r="AK1836">
        <v>30.569208023028999</v>
      </c>
      <c r="AL1836">
        <v>81.823260596586195</v>
      </c>
      <c r="AM1836">
        <v>94.549114695154202</v>
      </c>
      <c r="AN1836">
        <v>1.0000000101889599</v>
      </c>
    </row>
    <row r="1837" spans="1:40" x14ac:dyDescent="0.25">
      <c r="A1837" t="str">
        <f>"20190304154752674"</f>
        <v>20190304154752674</v>
      </c>
      <c r="B1837" t="str">
        <f>"1551685672668533"</f>
        <v>1551685672668533</v>
      </c>
      <c r="C1837" t="s">
        <v>40</v>
      </c>
      <c r="D1837">
        <v>4.3570690000000001</v>
      </c>
      <c r="E1837">
        <v>0.56961669999999998</v>
      </c>
      <c r="F1837" t="s">
        <v>53</v>
      </c>
      <c r="G1837">
        <v>-205.54849999999999</v>
      </c>
      <c r="H1837" s="1">
        <v>-4.7199929999999997E-6</v>
      </c>
      <c r="I1837">
        <v>362.80810000000002</v>
      </c>
      <c r="J1837">
        <v>-235.52670000000001</v>
      </c>
      <c r="K1837">
        <v>1.110857</v>
      </c>
      <c r="L1837">
        <v>366.464</v>
      </c>
      <c r="M1837">
        <v>0.99983909999999998</v>
      </c>
      <c r="N1837">
        <v>-1.217712E-2</v>
      </c>
      <c r="O1837">
        <v>-1.3170380000000001E-2</v>
      </c>
      <c r="P1837">
        <v>0.98934319999999998</v>
      </c>
      <c r="Q1837">
        <v>0.1300916</v>
      </c>
      <c r="R1837">
        <v>6.5393499999999993E-2</v>
      </c>
      <c r="S1837">
        <v>3.0719759999999998</v>
      </c>
      <c r="T1837">
        <v>-0.1134328</v>
      </c>
      <c r="U1837">
        <v>-0.37344359999999999</v>
      </c>
      <c r="V1837">
        <v>-7.8434820000000002E-2</v>
      </c>
      <c r="W1837">
        <v>0.14210909999999999</v>
      </c>
      <c r="X1837">
        <v>0.98673860000000002</v>
      </c>
      <c r="Y1837">
        <v>0.1074983</v>
      </c>
      <c r="Z1837">
        <v>-2.309504E-3</v>
      </c>
      <c r="AA1837">
        <v>0.99420260000000005</v>
      </c>
      <c r="AB1837">
        <v>22</v>
      </c>
      <c r="AC1837">
        <v>29.978200000000001</v>
      </c>
      <c r="AD1837">
        <v>-1.110861719993</v>
      </c>
      <c r="AE1837">
        <v>-3.6558999999999702</v>
      </c>
      <c r="AF1837">
        <v>3.2563234940475501</v>
      </c>
      <c r="AG1837">
        <v>-1.110861719993</v>
      </c>
      <c r="AH1837">
        <v>29.983185448981601</v>
      </c>
      <c r="AI1837">
        <v>92.1094163475084</v>
      </c>
      <c r="AJ1837">
        <v>83.801686169188301</v>
      </c>
      <c r="AK1837">
        <v>30.179944766796002</v>
      </c>
      <c r="AL1837">
        <v>81.830091130410295</v>
      </c>
      <c r="AM1837">
        <v>94.544825553761399</v>
      </c>
      <c r="AN1837">
        <v>1.0000000410106</v>
      </c>
    </row>
    <row r="1838" spans="1:40" x14ac:dyDescent="0.25">
      <c r="A1838" t="str">
        <f>"20190304154752687"</f>
        <v>20190304154752687</v>
      </c>
      <c r="B1838" t="str">
        <f>"1551685672678293"</f>
        <v>1551685672678293</v>
      </c>
      <c r="C1838" t="s">
        <v>40</v>
      </c>
      <c r="D1838">
        <v>4.1386699999999896</v>
      </c>
      <c r="E1838">
        <v>0.57017309999999999</v>
      </c>
      <c r="F1838" t="s">
        <v>53</v>
      </c>
      <c r="G1838">
        <v>-205.76499999999999</v>
      </c>
      <c r="H1838" s="1">
        <v>-4.8094199999999998E-6</v>
      </c>
      <c r="I1838">
        <v>362.8596</v>
      </c>
      <c r="J1838">
        <v>-235.39510000000001</v>
      </c>
      <c r="K1838">
        <v>1.110852</v>
      </c>
      <c r="L1838">
        <v>366.46230000000003</v>
      </c>
      <c r="M1838">
        <v>0.99984059999999997</v>
      </c>
      <c r="N1838">
        <v>-1.21327E-2</v>
      </c>
      <c r="O1838">
        <v>-1.3112779999999999E-2</v>
      </c>
      <c r="P1838">
        <v>0.98937799999999998</v>
      </c>
      <c r="Q1838">
        <v>0.1298349</v>
      </c>
      <c r="R1838">
        <v>6.5376599999999896E-2</v>
      </c>
      <c r="S1838">
        <v>3.0719910000000001</v>
      </c>
      <c r="T1838">
        <v>-0.1146626</v>
      </c>
      <c r="U1838">
        <v>-0.37203979999999998</v>
      </c>
      <c r="V1838">
        <v>-7.8361539999999993E-2</v>
      </c>
      <c r="W1838">
        <v>0.14180889999999999</v>
      </c>
      <c r="X1838">
        <v>0.98678759999999999</v>
      </c>
      <c r="Y1838">
        <v>0.1071061</v>
      </c>
      <c r="Z1838">
        <v>-2.3144820000000001E-3</v>
      </c>
      <c r="AA1838">
        <v>0.99424489999999999</v>
      </c>
      <c r="AB1838">
        <v>22</v>
      </c>
      <c r="AC1838">
        <v>29.630099999999999</v>
      </c>
      <c r="AD1838">
        <v>-1.11085680942</v>
      </c>
      <c r="AE1838">
        <v>-3.60270000000002</v>
      </c>
      <c r="AF1838">
        <v>3.2093834301475899</v>
      </c>
      <c r="AG1838">
        <v>-1.11085680942</v>
      </c>
      <c r="AH1838">
        <v>29.633751766164099</v>
      </c>
      <c r="AI1838">
        <v>92.134327094678198</v>
      </c>
      <c r="AJ1838">
        <v>83.8188655978349</v>
      </c>
      <c r="AK1838">
        <v>29.827728518802299</v>
      </c>
      <c r="AL1838">
        <v>81.847467219482795</v>
      </c>
      <c r="AM1838">
        <v>94.540372657443498</v>
      </c>
      <c r="AN1838">
        <v>1.00000003129207</v>
      </c>
    </row>
    <row r="1839" spans="1:40" x14ac:dyDescent="0.25">
      <c r="A1839" t="str">
        <f>"20190304154752699"</f>
        <v>20190304154752699</v>
      </c>
      <c r="B1839" t="str">
        <f>"1551685672688053"</f>
        <v>1551685672688053</v>
      </c>
      <c r="C1839" t="s">
        <v>40</v>
      </c>
      <c r="D1839">
        <v>4.4245530000000004</v>
      </c>
      <c r="E1839">
        <v>0.56952799999999904</v>
      </c>
      <c r="F1839" t="s">
        <v>53</v>
      </c>
      <c r="G1839">
        <v>-204.8672</v>
      </c>
      <c r="H1839" s="1">
        <v>-4.4169250000000001E-6</v>
      </c>
      <c r="I1839">
        <v>362.72120000000001</v>
      </c>
      <c r="J1839">
        <v>-235.27760000000001</v>
      </c>
      <c r="K1839">
        <v>1.1108469999999999</v>
      </c>
      <c r="L1839">
        <v>366.46080000000001</v>
      </c>
      <c r="M1839">
        <v>0.99984170000000006</v>
      </c>
      <c r="N1839">
        <v>-1.2095069999999999E-2</v>
      </c>
      <c r="O1839">
        <v>-1.3061059999999999E-2</v>
      </c>
      <c r="P1839">
        <v>0.98936840000000004</v>
      </c>
      <c r="Q1839">
        <v>0.129834</v>
      </c>
      <c r="R1839">
        <v>6.5524910000000006E-2</v>
      </c>
      <c r="S1839">
        <v>3.0717620000000001</v>
      </c>
      <c r="T1839">
        <v>-0.1117759</v>
      </c>
      <c r="U1839">
        <v>-0.3764343</v>
      </c>
      <c r="V1839">
        <v>-7.8458879999999995E-2</v>
      </c>
      <c r="W1839">
        <v>0.14177110000000001</v>
      </c>
      <c r="X1839">
        <v>0.98678520000000003</v>
      </c>
      <c r="Y1839">
        <v>0.1085705</v>
      </c>
      <c r="Z1839">
        <v>-2.310833E-3</v>
      </c>
      <c r="AA1839">
        <v>0.99408609999999997</v>
      </c>
      <c r="AB1839">
        <v>22</v>
      </c>
      <c r="AC1839">
        <v>30.410399999999999</v>
      </c>
      <c r="AD1839">
        <v>-1.1108514169249999</v>
      </c>
      <c r="AE1839">
        <v>-3.73959999999999</v>
      </c>
      <c r="AF1839">
        <v>3.3376726556995302</v>
      </c>
      <c r="AG1839">
        <v>-1.1108514169249999</v>
      </c>
      <c r="AH1839">
        <v>30.416670649934002</v>
      </c>
      <c r="AI1839">
        <v>92.079108659823206</v>
      </c>
      <c r="AJ1839">
        <v>83.737891228946097</v>
      </c>
      <c r="AK1839">
        <v>30.619404028387699</v>
      </c>
      <c r="AL1839">
        <v>81.849654320960497</v>
      </c>
      <c r="AM1839">
        <v>94.546000051898403</v>
      </c>
      <c r="AN1839">
        <v>0.99999993579254998</v>
      </c>
    </row>
    <row r="1840" spans="1:40" x14ac:dyDescent="0.25">
      <c r="A1840" t="str">
        <f>"20190304154752713"</f>
        <v>20190304154752713</v>
      </c>
      <c r="B1840" t="str">
        <f>"1551685672708549"</f>
        <v>1551685672708549</v>
      </c>
      <c r="C1840" t="s">
        <v>40</v>
      </c>
      <c r="D1840">
        <v>4.2813800000000004</v>
      </c>
      <c r="E1840">
        <v>0.52030069999999995</v>
      </c>
      <c r="F1840" t="s">
        <v>53</v>
      </c>
      <c r="G1840">
        <v>-203.73480000000001</v>
      </c>
      <c r="H1840" s="1">
        <v>-3.8625139999999998E-6</v>
      </c>
      <c r="I1840">
        <v>362.6515</v>
      </c>
      <c r="J1840">
        <v>-235.1465</v>
      </c>
      <c r="K1840">
        <v>1.1108450000000001</v>
      </c>
      <c r="L1840">
        <v>366.45920000000001</v>
      </c>
      <c r="M1840">
        <v>0.99984300000000004</v>
      </c>
      <c r="N1840">
        <v>-1.205439E-2</v>
      </c>
      <c r="O1840">
        <v>-1.300348E-2</v>
      </c>
      <c r="P1840">
        <v>0.98940130000000004</v>
      </c>
      <c r="Q1840">
        <v>0.12961159999999999</v>
      </c>
      <c r="R1840">
        <v>6.546979E-2</v>
      </c>
      <c r="S1840">
        <v>3.0710139999999999</v>
      </c>
      <c r="T1840">
        <v>-0.108152399999999</v>
      </c>
      <c r="U1840">
        <v>-0.37088009999999999</v>
      </c>
      <c r="V1840">
        <v>-7.8346579999999999E-2</v>
      </c>
      <c r="W1840">
        <v>0.14150860000000001</v>
      </c>
      <c r="X1840">
        <v>0.98683180000000004</v>
      </c>
      <c r="Y1840">
        <v>0.1068915</v>
      </c>
      <c r="Z1840">
        <v>-2.221836E-3</v>
      </c>
      <c r="AA1840">
        <v>0.99426820000000005</v>
      </c>
      <c r="AB1840">
        <v>22</v>
      </c>
      <c r="AC1840">
        <v>31.4117</v>
      </c>
      <c r="AD1840">
        <v>-1.1108488625139901</v>
      </c>
      <c r="AE1840">
        <v>-3.8077000000000099</v>
      </c>
      <c r="AF1840">
        <v>3.39470299122973</v>
      </c>
      <c r="AG1840">
        <v>-1.1108488625139901</v>
      </c>
      <c r="AH1840">
        <v>31.419835337202599</v>
      </c>
      <c r="AI1840">
        <v>92.013143702915102</v>
      </c>
      <c r="AJ1840">
        <v>83.833494731485601</v>
      </c>
      <c r="AK1840">
        <v>31.6222081172542</v>
      </c>
      <c r="AL1840">
        <v>81.864847640812798</v>
      </c>
      <c r="AM1840">
        <v>94.539307004265893</v>
      </c>
      <c r="AN1840">
        <v>0.99999993598144599</v>
      </c>
    </row>
    <row r="1841" spans="1:40" x14ac:dyDescent="0.25">
      <c r="A1841" t="str">
        <f>"20190304154752727"</f>
        <v>20190304154752727</v>
      </c>
      <c r="B1841" t="str">
        <f>"1551685672718309"</f>
        <v>1551685672718309</v>
      </c>
      <c r="C1841" t="s">
        <v>40</v>
      </c>
      <c r="D1841">
        <v>4.2681370000000003</v>
      </c>
      <c r="E1841">
        <v>0.5200458</v>
      </c>
      <c r="F1841" t="s">
        <v>44</v>
      </c>
      <c r="G1841">
        <v>-214.45429999999999</v>
      </c>
      <c r="H1841" s="1">
        <v>-2.8980980000000002E-6</v>
      </c>
      <c r="I1841">
        <v>366.5908</v>
      </c>
      <c r="J1841">
        <v>-235.00899999999999</v>
      </c>
      <c r="K1841">
        <v>1.110841</v>
      </c>
      <c r="L1841">
        <v>366.45749999999998</v>
      </c>
      <c r="M1841">
        <v>0.99984419999999996</v>
      </c>
      <c r="N1841">
        <v>-1.2013299999999999E-2</v>
      </c>
      <c r="O1841">
        <v>-1.294257E-2</v>
      </c>
      <c r="P1841">
        <v>0.98939569999999999</v>
      </c>
      <c r="Q1841">
        <v>0.1296649</v>
      </c>
      <c r="R1841">
        <v>6.5448950000000006E-2</v>
      </c>
      <c r="S1841">
        <v>3.0523069999999999</v>
      </c>
      <c r="T1841">
        <v>-0.16386120000000001</v>
      </c>
      <c r="U1841">
        <v>1.9409180000000002E-2</v>
      </c>
      <c r="V1841">
        <v>-7.8265479999999998E-2</v>
      </c>
      <c r="W1841">
        <v>0.14152139999999999</v>
      </c>
      <c r="X1841">
        <v>0.98683650000000001</v>
      </c>
      <c r="Y1841">
        <v>-1.9256269999999999E-2</v>
      </c>
      <c r="Z1841">
        <v>1.1711740000000001E-3</v>
      </c>
      <c r="AA1841">
        <v>0.99981390000000003</v>
      </c>
      <c r="AB1841">
        <v>22</v>
      </c>
      <c r="AC1841">
        <v>20.5547</v>
      </c>
      <c r="AD1841">
        <v>-1.110843898098</v>
      </c>
      <c r="AE1841">
        <v>0.13330000000001899</v>
      </c>
      <c r="AF1841">
        <v>-0.39817574744331602</v>
      </c>
      <c r="AG1841">
        <v>-1.110843898098</v>
      </c>
      <c r="AH1841">
        <v>20.491406453570502</v>
      </c>
      <c r="AI1841">
        <v>93.102395754386194</v>
      </c>
      <c r="AJ1841">
        <v>91.113194412038794</v>
      </c>
      <c r="AK1841">
        <v>20.525356428993501</v>
      </c>
      <c r="AL1841">
        <v>81.864107609076498</v>
      </c>
      <c r="AM1841">
        <v>94.534606267675997</v>
      </c>
      <c r="AN1841">
        <v>1.0000000348749101</v>
      </c>
    </row>
    <row r="1842" spans="1:40" x14ac:dyDescent="0.25">
      <c r="A1842" t="str">
        <f>"20190304154752738"</f>
        <v>20190304154752738</v>
      </c>
      <c r="B1842" t="str">
        <f>"1551685672728069"</f>
        <v>1551685672728069</v>
      </c>
      <c r="C1842" t="s">
        <v>40</v>
      </c>
      <c r="D1842">
        <v>4.3766920000000002</v>
      </c>
      <c r="E1842">
        <v>0.52170839999999996</v>
      </c>
      <c r="F1842" t="s">
        <v>44</v>
      </c>
      <c r="G1842">
        <v>-214.39529999999999</v>
      </c>
      <c r="H1842" s="1">
        <v>-2.921389E-6</v>
      </c>
      <c r="I1842">
        <v>366.60230000000001</v>
      </c>
      <c r="J1842">
        <v>-234.8981</v>
      </c>
      <c r="K1842">
        <v>1.1108340000000001</v>
      </c>
      <c r="L1842">
        <v>366.45609999999999</v>
      </c>
      <c r="M1842">
        <v>0.99984510000000004</v>
      </c>
      <c r="N1842">
        <v>-1.1980589999999999E-2</v>
      </c>
      <c r="O1842">
        <v>-1.2893160000000001E-2</v>
      </c>
      <c r="P1842">
        <v>0.98941270000000003</v>
      </c>
      <c r="Q1842">
        <v>0.12958529999999999</v>
      </c>
      <c r="R1842">
        <v>6.5349420000000005E-2</v>
      </c>
      <c r="S1842">
        <v>3.052292</v>
      </c>
      <c r="T1842">
        <v>-0.1644832</v>
      </c>
      <c r="U1842">
        <v>2.1453860000000002E-2</v>
      </c>
      <c r="V1842">
        <v>-7.8117580000000006E-2</v>
      </c>
      <c r="W1842">
        <v>0.14140999999999901</v>
      </c>
      <c r="X1842">
        <v>0.98686410000000002</v>
      </c>
      <c r="Y1842">
        <v>-1.9875199999999999E-2</v>
      </c>
      <c r="Z1842">
        <v>1.194184E-3</v>
      </c>
      <c r="AA1842">
        <v>0.99980179999999996</v>
      </c>
      <c r="AB1842">
        <v>22</v>
      </c>
      <c r="AC1842">
        <v>20.502800000000001</v>
      </c>
      <c r="AD1842">
        <v>-1.1108369213889999</v>
      </c>
      <c r="AE1842">
        <v>0.14620000000002101</v>
      </c>
      <c r="AF1842">
        <v>-0.40935113388010103</v>
      </c>
      <c r="AG1842">
        <v>-1.1108369213889999</v>
      </c>
      <c r="AH1842">
        <v>20.439215257307499</v>
      </c>
      <c r="AI1842">
        <v>93.110246129791307</v>
      </c>
      <c r="AJ1842">
        <v>91.147351152118802</v>
      </c>
      <c r="AK1842">
        <v>20.4734717952594</v>
      </c>
      <c r="AL1842">
        <v>81.870554491204203</v>
      </c>
      <c r="AM1842">
        <v>94.525946703698395</v>
      </c>
      <c r="AN1842">
        <v>0.99999994813693105</v>
      </c>
    </row>
    <row r="1843" spans="1:40" x14ac:dyDescent="0.25">
      <c r="A1843" t="str">
        <f>"20190304154752751"</f>
        <v>20190304154752751</v>
      </c>
      <c r="B1843" t="str">
        <f>"1551685672748566"</f>
        <v>1551685672748566</v>
      </c>
      <c r="C1843" t="s">
        <v>40</v>
      </c>
      <c r="D1843">
        <v>4.3410589999999996</v>
      </c>
      <c r="E1843">
        <v>0.52180969999999904</v>
      </c>
      <c r="F1843" t="s">
        <v>44</v>
      </c>
      <c r="G1843">
        <v>-215.679</v>
      </c>
      <c r="H1843" s="1">
        <v>-2.3882350000000002E-6</v>
      </c>
      <c r="I1843">
        <v>366.50330000000002</v>
      </c>
      <c r="J1843">
        <v>-234.77369999999999</v>
      </c>
      <c r="K1843">
        <v>1.1108279999999999</v>
      </c>
      <c r="L1843">
        <v>366.45460000000003</v>
      </c>
      <c r="M1843">
        <v>0.99984620000000002</v>
      </c>
      <c r="N1843">
        <v>-1.194424E-2</v>
      </c>
      <c r="O1843">
        <v>-1.283752E-2</v>
      </c>
      <c r="P1843">
        <v>0.98938689999999996</v>
      </c>
      <c r="Q1843">
        <v>0.1296466</v>
      </c>
      <c r="R1843">
        <v>6.5615069999999998E-2</v>
      </c>
      <c r="S1843">
        <v>3.0547029999999999</v>
      </c>
      <c r="T1843">
        <v>-0.1765572</v>
      </c>
      <c r="U1843">
        <v>7.5073240000000001E-3</v>
      </c>
      <c r="V1843">
        <v>-7.8327649999999999E-2</v>
      </c>
      <c r="W1843">
        <v>0.14143549999999999</v>
      </c>
      <c r="X1843">
        <v>0.98684380000000005</v>
      </c>
      <c r="Y1843">
        <v>-1.5251610000000001E-2</v>
      </c>
      <c r="Z1843">
        <v>1.119688E-3</v>
      </c>
      <c r="AA1843">
        <v>0.99988310000000002</v>
      </c>
      <c r="AB1843">
        <v>22</v>
      </c>
      <c r="AC1843">
        <v>19.0946999999999</v>
      </c>
      <c r="AD1843">
        <v>-1.1108303882349999</v>
      </c>
      <c r="AE1843">
        <v>4.86999999999966E-2</v>
      </c>
      <c r="AF1843">
        <v>-0.29285098902878298</v>
      </c>
      <c r="AG1843">
        <v>-1.1108303882349999</v>
      </c>
      <c r="AH1843">
        <v>19.028104517798798</v>
      </c>
      <c r="AI1843">
        <v>93.340649461443903</v>
      </c>
      <c r="AJ1843">
        <v>90.881737908779598</v>
      </c>
      <c r="AK1843">
        <v>19.062750782441601</v>
      </c>
      <c r="AL1843">
        <v>81.869078659109604</v>
      </c>
      <c r="AM1843">
        <v>94.538159850718202</v>
      </c>
      <c r="AN1843">
        <v>0.99999995350660498</v>
      </c>
    </row>
    <row r="1844" spans="1:40" x14ac:dyDescent="0.25">
      <c r="A1844" t="str">
        <f>"20190304154752762"</f>
        <v>20190304154752762</v>
      </c>
      <c r="B1844" t="str">
        <f>"1551685672758325"</f>
        <v>1551685672758325</v>
      </c>
      <c r="C1844" t="s">
        <v>40</v>
      </c>
      <c r="D1844">
        <v>4.2576769999999904</v>
      </c>
      <c r="E1844">
        <v>0.52165779999999995</v>
      </c>
      <c r="F1844" t="s">
        <v>44</v>
      </c>
      <c r="G1844">
        <v>-215.01050000000001</v>
      </c>
      <c r="H1844" s="1">
        <v>-2.6752400000000001E-6</v>
      </c>
      <c r="I1844">
        <v>366.50209999999998</v>
      </c>
      <c r="J1844">
        <v>-234.66589999999999</v>
      </c>
      <c r="K1844">
        <v>1.110827</v>
      </c>
      <c r="L1844">
        <v>366.45319999999998</v>
      </c>
      <c r="M1844">
        <v>0.99984729999999999</v>
      </c>
      <c r="N1844">
        <v>-1.191422E-2</v>
      </c>
      <c r="O1844">
        <v>-1.278908E-2</v>
      </c>
      <c r="P1844">
        <v>0.98939089999999996</v>
      </c>
      <c r="Q1844">
        <v>0.1295405</v>
      </c>
      <c r="R1844">
        <v>6.5764169999999997E-2</v>
      </c>
      <c r="S1844">
        <v>3.0541689999999999</v>
      </c>
      <c r="T1844">
        <v>-0.17166479999999901</v>
      </c>
      <c r="U1844">
        <v>7.3547359999999997E-3</v>
      </c>
      <c r="V1844">
        <v>-7.8428460000000005E-2</v>
      </c>
      <c r="W1844">
        <v>0.14130000000000001</v>
      </c>
      <c r="X1844">
        <v>0.98685529999999999</v>
      </c>
      <c r="Y1844">
        <v>-1.5156309999999999E-2</v>
      </c>
      <c r="Z1844">
        <v>1.081952E-3</v>
      </c>
      <c r="AA1844">
        <v>0.99988449999999995</v>
      </c>
      <c r="AB1844">
        <v>22</v>
      </c>
      <c r="AC1844">
        <v>19.655399999999901</v>
      </c>
      <c r="AD1844">
        <v>-1.11082967524</v>
      </c>
      <c r="AE1844">
        <v>4.8900000000003198E-2</v>
      </c>
      <c r="AF1844">
        <v>-0.29933225653733803</v>
      </c>
      <c r="AG1844">
        <v>-1.11082967524</v>
      </c>
      <c r="AH1844">
        <v>19.590595415835299</v>
      </c>
      <c r="AI1844">
        <v>93.244943185332502</v>
      </c>
      <c r="AJ1844">
        <v>90.875376176520106</v>
      </c>
      <c r="AK1844">
        <v>19.624346386928298</v>
      </c>
      <c r="AL1844">
        <v>81.876921771738495</v>
      </c>
      <c r="AM1844">
        <v>94.543923422083296</v>
      </c>
      <c r="AN1844">
        <v>1.00000004823802</v>
      </c>
    </row>
    <row r="1845" spans="1:40" x14ac:dyDescent="0.25">
      <c r="A1845" t="str">
        <f>"20190304154752774"</f>
        <v>20190304154752774</v>
      </c>
      <c r="B1845" t="str">
        <f>"1551685672768594"</f>
        <v>1551685672768594</v>
      </c>
      <c r="C1845" t="s">
        <v>40</v>
      </c>
      <c r="D1845">
        <v>4.3712010000000001</v>
      </c>
      <c r="E1845">
        <v>0.52225770000000005</v>
      </c>
      <c r="F1845" t="s">
        <v>44</v>
      </c>
      <c r="G1845">
        <v>-214.62540000000001</v>
      </c>
      <c r="H1845" s="1">
        <v>-2.838286E-6</v>
      </c>
      <c r="I1845">
        <v>366.51429999999999</v>
      </c>
      <c r="J1845">
        <v>-234.54939999999999</v>
      </c>
      <c r="K1845">
        <v>1.110819</v>
      </c>
      <c r="L1845">
        <v>366.45179999999999</v>
      </c>
      <c r="M1845">
        <v>0.99984839999999997</v>
      </c>
      <c r="N1845">
        <v>-1.188241E-2</v>
      </c>
      <c r="O1845">
        <v>-1.2737160000000001E-2</v>
      </c>
      <c r="P1845">
        <v>0.98940439999999996</v>
      </c>
      <c r="Q1845">
        <v>0.1294824</v>
      </c>
      <c r="R1845">
        <v>6.5678630000000002E-2</v>
      </c>
      <c r="S1845">
        <v>3.0537109999999998</v>
      </c>
      <c r="T1845">
        <v>-0.16926440000000001</v>
      </c>
      <c r="U1845">
        <v>9.3078610000000006E-3</v>
      </c>
      <c r="V1845">
        <v>-7.8291600000000003E-2</v>
      </c>
      <c r="W1845">
        <v>0.14121029999999901</v>
      </c>
      <c r="X1845">
        <v>0.9868789</v>
      </c>
      <c r="Y1845">
        <v>-1.5744370000000001E-2</v>
      </c>
      <c r="Z1845">
        <v>1.083835E-3</v>
      </c>
      <c r="AA1845">
        <v>0.99987550000000003</v>
      </c>
      <c r="AB1845">
        <v>22</v>
      </c>
      <c r="AC1845">
        <v>19.9239999999999</v>
      </c>
      <c r="AD1845">
        <v>-1.110821838286</v>
      </c>
      <c r="AE1845">
        <v>6.25E-2</v>
      </c>
      <c r="AF1845">
        <v>-0.31530789987957603</v>
      </c>
      <c r="AG1845">
        <v>-1.110821838286</v>
      </c>
      <c r="AH1845">
        <v>19.859855785402399</v>
      </c>
      <c r="AI1845">
        <v>93.200988040565704</v>
      </c>
      <c r="AJ1845">
        <v>90.909588387647005</v>
      </c>
      <c r="AK1845">
        <v>19.893396292365999</v>
      </c>
      <c r="AL1845">
        <v>81.882112399647994</v>
      </c>
      <c r="AM1845">
        <v>94.535919238723807</v>
      </c>
      <c r="AN1845">
        <v>0.99999994336092801</v>
      </c>
    </row>
    <row r="1846" spans="1:40" x14ac:dyDescent="0.25">
      <c r="A1846" t="str">
        <f>"20190304154752785"</f>
        <v>20190304154752785</v>
      </c>
      <c r="B1846" t="str">
        <f>"1551685672778354"</f>
        <v>1551685672778354</v>
      </c>
      <c r="C1846" t="s">
        <v>40</v>
      </c>
      <c r="D1846">
        <v>4.2620800000000001</v>
      </c>
      <c r="E1846">
        <v>0.52209419999999995</v>
      </c>
      <c r="F1846" t="s">
        <v>44</v>
      </c>
      <c r="G1846">
        <v>-214.74430000000001</v>
      </c>
      <c r="H1846" s="1">
        <v>-2.7938350000000002E-6</v>
      </c>
      <c r="I1846">
        <v>366.47730000000001</v>
      </c>
      <c r="J1846">
        <v>-234.4426</v>
      </c>
      <c r="K1846">
        <v>1.1108150000000001</v>
      </c>
      <c r="L1846">
        <v>366.45049999999998</v>
      </c>
      <c r="M1846">
        <v>0.99984930000000005</v>
      </c>
      <c r="N1846">
        <v>-1.1855040000000001E-2</v>
      </c>
      <c r="O1846">
        <v>-1.268992E-2</v>
      </c>
      <c r="P1846">
        <v>0.98938119999999996</v>
      </c>
      <c r="Q1846">
        <v>0.12950819999999999</v>
      </c>
      <c r="R1846">
        <v>6.5974340000000006E-2</v>
      </c>
      <c r="S1846">
        <v>3.054306</v>
      </c>
      <c r="T1846">
        <v>-0.1713085</v>
      </c>
      <c r="U1846">
        <v>3.9367680000000002E-3</v>
      </c>
      <c r="V1846">
        <v>-7.8540059999999995E-2</v>
      </c>
      <c r="W1846">
        <v>0.14120940000000001</v>
      </c>
      <c r="X1846">
        <v>0.98685929999999999</v>
      </c>
      <c r="Y1846">
        <v>-1.394067E-2</v>
      </c>
      <c r="Z1846">
        <v>1.0341770000000001E-3</v>
      </c>
      <c r="AA1846">
        <v>0.99990230000000002</v>
      </c>
      <c r="AB1846">
        <v>22</v>
      </c>
      <c r="AC1846">
        <v>19.6982999999999</v>
      </c>
      <c r="AD1846">
        <v>-1.1108177938349999</v>
      </c>
      <c r="AE1846">
        <v>2.6800000000036999E-2</v>
      </c>
      <c r="AF1846">
        <v>-0.27590784808673602</v>
      </c>
      <c r="AG1846">
        <v>-1.1108177938349999</v>
      </c>
      <c r="AH1846">
        <v>19.633937595399399</v>
      </c>
      <c r="AI1846">
        <v>93.237818747351099</v>
      </c>
      <c r="AJ1846">
        <v>90.805101609831695</v>
      </c>
      <c r="AK1846">
        <v>19.667270954857401</v>
      </c>
      <c r="AL1846">
        <v>81.882164597908798</v>
      </c>
      <c r="AM1846">
        <v>94.550343709932307</v>
      </c>
      <c r="AN1846">
        <v>0.99999995683482501</v>
      </c>
    </row>
    <row r="1847" spans="1:40" x14ac:dyDescent="0.25">
      <c r="A1847" t="str">
        <f>"20190304154752795"</f>
        <v>20190304154752795</v>
      </c>
      <c r="B1847" t="str">
        <f>"1551685672788114"</f>
        <v>1551685672788114</v>
      </c>
      <c r="C1847" t="s">
        <v>40</v>
      </c>
      <c r="D1847">
        <v>4.3434369999999998</v>
      </c>
      <c r="E1847">
        <v>0.52221010000000001</v>
      </c>
      <c r="F1847" t="s">
        <v>44</v>
      </c>
      <c r="G1847">
        <v>-214.36349999999999</v>
      </c>
      <c r="H1847" s="1">
        <v>-2.9545280000000002E-6</v>
      </c>
      <c r="I1847">
        <v>366.49239999999998</v>
      </c>
      <c r="J1847">
        <v>-234.34180000000001</v>
      </c>
      <c r="K1847">
        <v>1.1108119999999999</v>
      </c>
      <c r="L1847">
        <v>366.44929999999999</v>
      </c>
      <c r="M1847">
        <v>0.99985020000000002</v>
      </c>
      <c r="N1847">
        <v>-1.183027E-2</v>
      </c>
      <c r="O1847">
        <v>-1.264508E-2</v>
      </c>
      <c r="P1847">
        <v>0.98938139999999997</v>
      </c>
      <c r="Q1847">
        <v>0.12955719999999901</v>
      </c>
      <c r="R1847">
        <v>6.5875310000000006E-2</v>
      </c>
      <c r="S1847">
        <v>3.0538940000000001</v>
      </c>
      <c r="T1847">
        <v>-0.16894670000000001</v>
      </c>
      <c r="U1847">
        <v>6.3781740000000003E-3</v>
      </c>
      <c r="V1847">
        <v>-7.8396750000000001E-2</v>
      </c>
      <c r="W1847">
        <v>0.14123350000000001</v>
      </c>
      <c r="X1847">
        <v>0.9868673</v>
      </c>
      <c r="Y1847">
        <v>-1.4695069999999999E-2</v>
      </c>
      <c r="Z1847">
        <v>1.0426630000000001E-3</v>
      </c>
      <c r="AA1847">
        <v>0.99989150000000004</v>
      </c>
      <c r="AB1847">
        <v>22</v>
      </c>
      <c r="AC1847">
        <v>19.978300000000001</v>
      </c>
      <c r="AD1847">
        <v>-1.1108149545279999</v>
      </c>
      <c r="AE1847">
        <v>4.3099999999981202E-2</v>
      </c>
      <c r="AF1847">
        <v>-0.29482994411769198</v>
      </c>
      <c r="AG1847">
        <v>-1.1108149545279999</v>
      </c>
      <c r="AH1847">
        <v>19.9145921589312</v>
      </c>
      <c r="AI1847">
        <v>93.192240796899</v>
      </c>
      <c r="AJ1847">
        <v>90.848185960035906</v>
      </c>
      <c r="AK1847">
        <v>19.947727073922799</v>
      </c>
      <c r="AL1847">
        <v>81.880770224367694</v>
      </c>
      <c r="AM1847">
        <v>94.542038923921595</v>
      </c>
      <c r="AN1847">
        <v>1.00000000987105</v>
      </c>
    </row>
    <row r="1848" spans="1:40" x14ac:dyDescent="0.25">
      <c r="A1848" t="str">
        <f>"20190304154752807"</f>
        <v>20190304154752807</v>
      </c>
      <c r="B1848" t="str">
        <f>"1551685672798849"</f>
        <v>1551685672798849</v>
      </c>
      <c r="C1848" t="s">
        <v>40</v>
      </c>
      <c r="D1848">
        <v>4.3434400000000002</v>
      </c>
      <c r="E1848">
        <v>0.52232069999999997</v>
      </c>
      <c r="F1848" t="s">
        <v>44</v>
      </c>
      <c r="G1848">
        <v>-214.3175</v>
      </c>
      <c r="H1848" s="1">
        <v>-2.9761160000000002E-6</v>
      </c>
      <c r="I1848">
        <v>366.4819</v>
      </c>
      <c r="J1848">
        <v>-234.22210000000001</v>
      </c>
      <c r="K1848">
        <v>1.1108089999999999</v>
      </c>
      <c r="L1848">
        <v>366.44779999999997</v>
      </c>
      <c r="M1848">
        <v>0.99985119999999905</v>
      </c>
      <c r="N1848">
        <v>-1.1802750000000001E-2</v>
      </c>
      <c r="O1848">
        <v>-1.259188E-2</v>
      </c>
      <c r="P1848">
        <v>0.98938289999999995</v>
      </c>
      <c r="Q1848">
        <v>0.12947690000000001</v>
      </c>
      <c r="R1848">
        <v>6.6009479999999995E-2</v>
      </c>
      <c r="S1848">
        <v>3.0540159999999998</v>
      </c>
      <c r="T1848">
        <v>-0.1694157</v>
      </c>
      <c r="U1848">
        <v>4.9743649999999997E-3</v>
      </c>
      <c r="V1848">
        <v>-7.8477950000000005E-2</v>
      </c>
      <c r="W1848">
        <v>0.141126799999999</v>
      </c>
      <c r="X1848">
        <v>0.98687610000000003</v>
      </c>
      <c r="Y1848">
        <v>-1.418295E-2</v>
      </c>
      <c r="Z1848">
        <v>1.026288E-3</v>
      </c>
      <c r="AA1848">
        <v>0.99989890000000003</v>
      </c>
      <c r="AB1848">
        <v>22</v>
      </c>
      <c r="AC1848">
        <v>19.904599999999999</v>
      </c>
      <c r="AD1848">
        <v>-1.110811976116</v>
      </c>
      <c r="AE1848">
        <v>3.41000000000235E-2</v>
      </c>
      <c r="AF1848">
        <v>-0.28386698230352098</v>
      </c>
      <c r="AG1848">
        <v>-1.110811976116</v>
      </c>
      <c r="AH1848">
        <v>19.840800333976599</v>
      </c>
      <c r="AI1848">
        <v>93.204103250421994</v>
      </c>
      <c r="AJ1848">
        <v>90.819688225034</v>
      </c>
      <c r="AK1848">
        <v>19.873898500361001</v>
      </c>
      <c r="AL1848">
        <v>81.8869454519523</v>
      </c>
      <c r="AM1848">
        <v>94.546683285167902</v>
      </c>
      <c r="AN1848">
        <v>0.99999999953282603</v>
      </c>
    </row>
    <row r="1849" spans="1:40" x14ac:dyDescent="0.25">
      <c r="A1849" t="str">
        <f>"20190304154752820"</f>
        <v>20190304154752820</v>
      </c>
      <c r="B1849" t="str">
        <f>"1551685672808610"</f>
        <v>1551685672808610</v>
      </c>
      <c r="C1849" t="s">
        <v>40</v>
      </c>
      <c r="D1849">
        <v>4.2731629999999896</v>
      </c>
      <c r="E1849">
        <v>0.52216079999999998</v>
      </c>
      <c r="F1849" t="s">
        <v>44</v>
      </c>
      <c r="G1849">
        <v>-214.40280000000001</v>
      </c>
      <c r="H1849" s="1">
        <v>-2.9400030000000001E-6</v>
      </c>
      <c r="I1849">
        <v>366.47910000000002</v>
      </c>
      <c r="J1849">
        <v>-234.1019</v>
      </c>
      <c r="K1849">
        <v>1.110806</v>
      </c>
      <c r="L1849">
        <v>366.44639999999998</v>
      </c>
      <c r="M1849">
        <v>0.99985210000000002</v>
      </c>
      <c r="N1849">
        <v>-1.177719E-2</v>
      </c>
      <c r="O1849">
        <v>-1.253892E-2</v>
      </c>
      <c r="P1849">
        <v>0.98937229999999998</v>
      </c>
      <c r="Q1849">
        <v>0.12962799999999999</v>
      </c>
      <c r="R1849">
        <v>6.5873360000000006E-2</v>
      </c>
      <c r="S1849">
        <v>3.0542910000000001</v>
      </c>
      <c r="T1849">
        <v>-0.17118369999999999</v>
      </c>
      <c r="U1849">
        <v>4.8217770000000002E-3</v>
      </c>
      <c r="V1849">
        <v>-7.8289719999999993E-2</v>
      </c>
      <c r="W1849">
        <v>0.14125190000000001</v>
      </c>
      <c r="X1849">
        <v>0.98687309999999995</v>
      </c>
      <c r="Y1849">
        <v>-1.4079319999999999E-2</v>
      </c>
      <c r="Z1849">
        <v>1.0318459999999999E-3</v>
      </c>
      <c r="AA1849">
        <v>0.99990029999999996</v>
      </c>
      <c r="AB1849">
        <v>22</v>
      </c>
      <c r="AC1849">
        <v>19.699099999999898</v>
      </c>
      <c r="AD1849">
        <v>-1.1108089400029999</v>
      </c>
      <c r="AE1849">
        <v>3.2700000000033903E-2</v>
      </c>
      <c r="AF1849">
        <v>-0.27883337774709499</v>
      </c>
      <c r="AG1849">
        <v>-1.1108089400029999</v>
      </c>
      <c r="AH1849">
        <v>19.634708797597899</v>
      </c>
      <c r="AI1849">
        <v>93.237659319397295</v>
      </c>
      <c r="AJ1849">
        <v>90.813605237047398</v>
      </c>
      <c r="AK1849">
        <v>19.668081607523501</v>
      </c>
      <c r="AL1849">
        <v>81.879704796401498</v>
      </c>
      <c r="AM1849">
        <v>94.535837319538004</v>
      </c>
      <c r="AN1849">
        <v>0.99999994750744703</v>
      </c>
    </row>
    <row r="1850" spans="1:40" x14ac:dyDescent="0.25">
      <c r="A1850" t="str">
        <f>"20190304154752833"</f>
        <v>20190304154752833</v>
      </c>
      <c r="B1850" t="str">
        <f>"1551685672828129"</f>
        <v>1551685672828129</v>
      </c>
      <c r="C1850" t="s">
        <v>40</v>
      </c>
      <c r="D1850">
        <v>4.3754080000000002</v>
      </c>
      <c r="E1850">
        <v>0.52225929999999998</v>
      </c>
      <c r="F1850" t="s">
        <v>44</v>
      </c>
      <c r="G1850">
        <v>-214.08529999999999</v>
      </c>
      <c r="H1850" s="1">
        <v>-3.0757130000000002E-6</v>
      </c>
      <c r="I1850">
        <v>366.4819</v>
      </c>
      <c r="J1850">
        <v>-233.97450000000001</v>
      </c>
      <c r="K1850">
        <v>1.1108049999999901</v>
      </c>
      <c r="L1850">
        <v>366.44479999999999</v>
      </c>
      <c r="M1850">
        <v>0.99985310000000005</v>
      </c>
      <c r="N1850">
        <v>-1.175139E-2</v>
      </c>
      <c r="O1850">
        <v>-1.2482979999999999E-2</v>
      </c>
      <c r="P1850">
        <v>0.98940349999999999</v>
      </c>
      <c r="Q1850">
        <v>0.12938720000000001</v>
      </c>
      <c r="R1850">
        <v>6.5877359999999996E-2</v>
      </c>
      <c r="S1850">
        <v>3.0540470000000002</v>
      </c>
      <c r="T1850">
        <v>-0.16948199999999999</v>
      </c>
      <c r="U1850">
        <v>5.432129E-3</v>
      </c>
      <c r="V1850">
        <v>-7.8239059999999999E-2</v>
      </c>
      <c r="W1850">
        <v>0.1409861</v>
      </c>
      <c r="X1850">
        <v>0.98691519999999999</v>
      </c>
      <c r="Y1850">
        <v>-1.4223889999999999E-2</v>
      </c>
      <c r="Z1850">
        <v>1.023602E-3</v>
      </c>
      <c r="AA1850">
        <v>0.99989830000000002</v>
      </c>
      <c r="AB1850">
        <v>22</v>
      </c>
      <c r="AC1850">
        <v>19.889199999999999</v>
      </c>
      <c r="AD1850">
        <v>-1.1108080757130001</v>
      </c>
      <c r="AE1850">
        <v>3.7100000000009403E-2</v>
      </c>
      <c r="AF1850">
        <v>-0.28450330181811601</v>
      </c>
      <c r="AG1850">
        <v>-1.1108080757130001</v>
      </c>
      <c r="AH1850">
        <v>19.8253479208533</v>
      </c>
      <c r="AI1850">
        <v>93.2065821874276</v>
      </c>
      <c r="AJ1850">
        <v>90.822165627392707</v>
      </c>
      <c r="AK1850">
        <v>19.858480729720899</v>
      </c>
      <c r="AL1850">
        <v>81.895088563617705</v>
      </c>
      <c r="AM1850">
        <v>94.532721928987897</v>
      </c>
      <c r="AN1850">
        <v>1.00000002144696</v>
      </c>
    </row>
    <row r="1851" spans="1:40" x14ac:dyDescent="0.25">
      <c r="A1851" t="str">
        <f>"20190304154752845"</f>
        <v>20190304154752845</v>
      </c>
      <c r="B1851" t="str">
        <f>"1551685672837889"</f>
        <v>1551685672837889</v>
      </c>
      <c r="C1851" t="s">
        <v>40</v>
      </c>
      <c r="D1851">
        <v>4.257212</v>
      </c>
      <c r="E1851">
        <v>0.52246400000000004</v>
      </c>
      <c r="F1851" t="s">
        <v>44</v>
      </c>
      <c r="G1851">
        <v>-214.27719999999999</v>
      </c>
      <c r="H1851" s="1">
        <v>-2.9944999999999999E-6</v>
      </c>
      <c r="I1851">
        <v>366.47570000000002</v>
      </c>
      <c r="J1851">
        <v>-233.85820000000001</v>
      </c>
      <c r="K1851">
        <v>1.1108020000000001</v>
      </c>
      <c r="L1851">
        <v>366.4434</v>
      </c>
      <c r="M1851">
        <v>0.99985400000000002</v>
      </c>
      <c r="N1851">
        <v>-1.173008E-2</v>
      </c>
      <c r="O1851">
        <v>-1.243172E-2</v>
      </c>
      <c r="P1851">
        <v>0.98941219999999996</v>
      </c>
      <c r="Q1851">
        <v>0.12931999999999999</v>
      </c>
      <c r="R1851">
        <v>6.5879930000000003E-2</v>
      </c>
      <c r="S1851">
        <v>3.0543369999999999</v>
      </c>
      <c r="T1851">
        <v>-0.17224500000000001</v>
      </c>
      <c r="U1851">
        <v>4.7912600000000003E-3</v>
      </c>
      <c r="V1851">
        <v>-7.8190620000000002E-2</v>
      </c>
      <c r="W1851">
        <v>0.1408983</v>
      </c>
      <c r="X1851">
        <v>0.98693160000000002</v>
      </c>
      <c r="Y1851">
        <v>-1.3961919999999999E-2</v>
      </c>
      <c r="Z1851">
        <v>1.030097E-3</v>
      </c>
      <c r="AA1851">
        <v>0.99990199999999996</v>
      </c>
      <c r="AB1851">
        <v>22</v>
      </c>
      <c r="AC1851">
        <v>19.581</v>
      </c>
      <c r="AD1851">
        <v>-1.1108049945</v>
      </c>
      <c r="AE1851">
        <v>3.2300000000020597E-2</v>
      </c>
      <c r="AF1851">
        <v>-0.27485521960416398</v>
      </c>
      <c r="AG1851">
        <v>-1.1108049945</v>
      </c>
      <c r="AH1851">
        <v>19.516278973762802</v>
      </c>
      <c r="AI1851">
        <v>93.257257958379896</v>
      </c>
      <c r="AJ1851">
        <v>90.806865030015103</v>
      </c>
      <c r="AK1851">
        <v>19.549797393049499</v>
      </c>
      <c r="AL1851">
        <v>81.900170035428005</v>
      </c>
      <c r="AM1851">
        <v>94.529852315851798</v>
      </c>
      <c r="AN1851">
        <v>1.00000004353871</v>
      </c>
    </row>
    <row r="1852" spans="1:40" x14ac:dyDescent="0.25">
      <c r="A1852" t="str">
        <f>"20190304154752856"</f>
        <v>20190304154752856</v>
      </c>
      <c r="B1852" t="str">
        <f>"1551685672848626"</f>
        <v>1551685672848626</v>
      </c>
      <c r="C1852" t="s">
        <v>40</v>
      </c>
      <c r="D1852">
        <v>4.2850580000000003</v>
      </c>
      <c r="E1852">
        <v>0.52260859999999998</v>
      </c>
      <c r="F1852" t="s">
        <v>44</v>
      </c>
      <c r="G1852">
        <v>-213.6876</v>
      </c>
      <c r="H1852" s="1">
        <v>-3.2493599999999999E-6</v>
      </c>
      <c r="I1852">
        <v>366.46480000000003</v>
      </c>
      <c r="J1852">
        <v>-233.74359999999999</v>
      </c>
      <c r="K1852">
        <v>1.1108</v>
      </c>
      <c r="L1852">
        <v>366.44209999999998</v>
      </c>
      <c r="M1852">
        <v>0.99985489999999999</v>
      </c>
      <c r="N1852">
        <v>-1.1710170000000001E-2</v>
      </c>
      <c r="O1852">
        <v>-1.238118E-2</v>
      </c>
      <c r="P1852">
        <v>0.98943829999999999</v>
      </c>
      <c r="Q1852">
        <v>0.1291803</v>
      </c>
      <c r="R1852">
        <v>6.5761429999999996E-2</v>
      </c>
      <c r="S1852">
        <v>3.0538940000000001</v>
      </c>
      <c r="T1852">
        <v>-0.16817939999999901</v>
      </c>
      <c r="U1852">
        <v>3.2348630000000001E-3</v>
      </c>
      <c r="V1852">
        <v>-7.8022530000000007E-2</v>
      </c>
      <c r="W1852">
        <v>0.1407397</v>
      </c>
      <c r="X1852">
        <v>0.9869675</v>
      </c>
      <c r="Y1852">
        <v>-1.3404930000000001E-2</v>
      </c>
      <c r="Z1852">
        <v>9.837928000000001E-4</v>
      </c>
      <c r="AA1852">
        <v>0.99990959999999995</v>
      </c>
      <c r="AB1852">
        <v>22</v>
      </c>
      <c r="AC1852">
        <v>20.055999999999901</v>
      </c>
      <c r="AD1852">
        <v>-1.11080324936</v>
      </c>
      <c r="AE1852">
        <v>2.2700000000042998E-2</v>
      </c>
      <c r="AF1852">
        <v>-0.27020335334479101</v>
      </c>
      <c r="AG1852">
        <v>-1.11080324936</v>
      </c>
      <c r="AH1852">
        <v>19.9928532802601</v>
      </c>
      <c r="AI1852">
        <v>93.179795107858993</v>
      </c>
      <c r="AJ1852">
        <v>90.774305150476707</v>
      </c>
      <c r="AK1852">
        <v>20.025510630117601</v>
      </c>
      <c r="AL1852">
        <v>81.909348351597998</v>
      </c>
      <c r="AM1852">
        <v>94.519990945872195</v>
      </c>
      <c r="AN1852">
        <v>1.0000000121999699</v>
      </c>
    </row>
    <row r="1853" spans="1:40" x14ac:dyDescent="0.25">
      <c r="A1853" t="str">
        <f>"20190304154752866"</f>
        <v>20190304154752866</v>
      </c>
      <c r="B1853" t="str">
        <f>"1551685672858385"</f>
        <v>1551685672858385</v>
      </c>
      <c r="C1853" t="s">
        <v>40</v>
      </c>
      <c r="D1853">
        <v>4.2463340000000001</v>
      </c>
      <c r="E1853">
        <v>0.52239919999999995</v>
      </c>
      <c r="F1853" t="s">
        <v>44</v>
      </c>
      <c r="G1853">
        <v>-213.11060000000001</v>
      </c>
      <c r="H1853" s="1">
        <v>-3.498691E-6</v>
      </c>
      <c r="I1853">
        <v>366.4547</v>
      </c>
      <c r="J1853">
        <v>-233.63929999999999</v>
      </c>
      <c r="K1853">
        <v>1.110795</v>
      </c>
      <c r="L1853">
        <v>366.44080000000002</v>
      </c>
      <c r="M1853">
        <v>0.99985550000000001</v>
      </c>
      <c r="N1853">
        <v>-1.1693179999999999E-2</v>
      </c>
      <c r="O1853">
        <v>-1.233543E-2</v>
      </c>
      <c r="P1853">
        <v>0.98944840000000001</v>
      </c>
      <c r="Q1853">
        <v>0.1291361</v>
      </c>
      <c r="R1853">
        <v>6.5692500000000001E-2</v>
      </c>
      <c r="S1853">
        <v>3.0533600000000001</v>
      </c>
      <c r="T1853">
        <v>-0.164381</v>
      </c>
      <c r="U1853">
        <v>1.8615719999999999E-3</v>
      </c>
      <c r="V1853">
        <v>-7.7908859999999996E-2</v>
      </c>
      <c r="W1853">
        <v>0.14067829999999901</v>
      </c>
      <c r="X1853">
        <v>0.98698520000000001</v>
      </c>
      <c r="Y1853">
        <v>-1.291219E-2</v>
      </c>
      <c r="Z1853">
        <v>9.4231350000000002E-4</v>
      </c>
      <c r="AA1853">
        <v>0.99991620000000003</v>
      </c>
      <c r="AB1853">
        <v>22</v>
      </c>
      <c r="AC1853">
        <v>20.528699999999901</v>
      </c>
      <c r="AD1853">
        <v>-1.110798498691</v>
      </c>
      <c r="AE1853">
        <v>1.3899999999978201E-2</v>
      </c>
      <c r="AF1853">
        <v>-0.266366729515296</v>
      </c>
      <c r="AG1853">
        <v>-1.110798498691</v>
      </c>
      <c r="AH1853">
        <v>20.467042156994498</v>
      </c>
      <c r="AI1853">
        <v>93.106277603051495</v>
      </c>
      <c r="AJ1853">
        <v>90.745629374480302</v>
      </c>
      <c r="AK1853">
        <v>20.498893609058001</v>
      </c>
      <c r="AL1853">
        <v>81.912901400463099</v>
      </c>
      <c r="AM1853">
        <v>94.5133524516541</v>
      </c>
      <c r="AN1853">
        <v>0.99999997978821398</v>
      </c>
    </row>
    <row r="1854" spans="1:40" x14ac:dyDescent="0.25">
      <c r="A1854" t="str">
        <f>"20190304154752877"</f>
        <v>20190304154752877</v>
      </c>
      <c r="B1854" t="str">
        <f>"1551685672868653"</f>
        <v>1551685672868653</v>
      </c>
      <c r="C1854" t="s">
        <v>40</v>
      </c>
      <c r="D1854">
        <v>4.258121</v>
      </c>
      <c r="E1854">
        <v>0.52224219999999999</v>
      </c>
      <c r="F1854" t="s">
        <v>44</v>
      </c>
      <c r="G1854">
        <v>-213.01849999999999</v>
      </c>
      <c r="H1854" s="1">
        <v>-3.5365590000000001E-6</v>
      </c>
      <c r="I1854">
        <v>366.46390000000002</v>
      </c>
      <c r="J1854">
        <v>-233.5386</v>
      </c>
      <c r="K1854">
        <v>1.1107959999999999</v>
      </c>
      <c r="L1854">
        <v>366.43959999999998</v>
      </c>
      <c r="M1854">
        <v>0.99985619999999997</v>
      </c>
      <c r="N1854">
        <v>-1.1676860000000001E-2</v>
      </c>
      <c r="O1854">
        <v>-1.2291109999999999E-2</v>
      </c>
      <c r="P1854">
        <v>0.98948130000000001</v>
      </c>
      <c r="Q1854">
        <v>0.1290192</v>
      </c>
      <c r="R1854">
        <v>6.5429329999999994E-2</v>
      </c>
      <c r="S1854">
        <v>3.053223</v>
      </c>
      <c r="T1854">
        <v>-0.16447039999999999</v>
      </c>
      <c r="U1854">
        <v>3.4179689999999999E-3</v>
      </c>
      <c r="V1854">
        <v>-7.760206E-2</v>
      </c>
      <c r="W1854">
        <v>0.14054610000000001</v>
      </c>
      <c r="X1854">
        <v>0.98702820000000002</v>
      </c>
      <c r="Y1854">
        <v>-1.337678E-2</v>
      </c>
      <c r="Z1854">
        <v>9.5635559999999997E-4</v>
      </c>
      <c r="AA1854">
        <v>0.99991010000000002</v>
      </c>
      <c r="AB1854">
        <v>22</v>
      </c>
      <c r="AC1854">
        <v>20.520099999999999</v>
      </c>
      <c r="AD1854">
        <v>-1.110799536559</v>
      </c>
      <c r="AE1854">
        <v>2.43000000000392E-2</v>
      </c>
      <c r="AF1854">
        <v>-0.27572223850620797</v>
      </c>
      <c r="AG1854">
        <v>-1.110799536559</v>
      </c>
      <c r="AH1854">
        <v>20.4583021087339</v>
      </c>
      <c r="AI1854">
        <v>93.107585930218704</v>
      </c>
      <c r="AJ1854">
        <v>90.772144439007505</v>
      </c>
      <c r="AK1854">
        <v>20.490290957803701</v>
      </c>
      <c r="AL1854">
        <v>81.920551887863894</v>
      </c>
      <c r="AM1854">
        <v>94.495457115661495</v>
      </c>
      <c r="AN1854">
        <v>0.99999997676834596</v>
      </c>
    </row>
    <row r="1855" spans="1:40" x14ac:dyDescent="0.25">
      <c r="A1855" t="str">
        <f>"20190304154752890"</f>
        <v>20190304154752890</v>
      </c>
      <c r="B1855" t="str">
        <f>"1551685672878412"</f>
        <v>1551685672878412</v>
      </c>
      <c r="C1855" t="s">
        <v>40</v>
      </c>
      <c r="D1855">
        <v>4.2540469999999999</v>
      </c>
      <c r="E1855">
        <v>0.52206699999999995</v>
      </c>
      <c r="F1855" t="s">
        <v>44</v>
      </c>
      <c r="G1855">
        <v>-212.96019999999999</v>
      </c>
      <c r="H1855" s="1">
        <v>-3.5614840000000001E-6</v>
      </c>
      <c r="I1855">
        <v>366.46449999999999</v>
      </c>
      <c r="J1855">
        <v>-233.4195</v>
      </c>
      <c r="K1855">
        <v>1.110792</v>
      </c>
      <c r="L1855">
        <v>366.43819999999999</v>
      </c>
      <c r="M1855">
        <v>0.9998572</v>
      </c>
      <c r="N1855">
        <v>-1.1657580000000001E-2</v>
      </c>
      <c r="O1855">
        <v>-1.223843E-2</v>
      </c>
      <c r="P1855">
        <v>0.98947200000000002</v>
      </c>
      <c r="Q1855">
        <v>0.12900449999999999</v>
      </c>
      <c r="R1855">
        <v>6.5599749999999998E-2</v>
      </c>
      <c r="S1855">
        <v>3.053131</v>
      </c>
      <c r="T1855">
        <v>-0.16480359999999999</v>
      </c>
      <c r="U1855">
        <v>3.692627E-3</v>
      </c>
      <c r="V1855">
        <v>-7.7720109999999995E-2</v>
      </c>
      <c r="W1855">
        <v>0.1405121</v>
      </c>
      <c r="X1855">
        <v>0.98702380000000001</v>
      </c>
      <c r="Y1855">
        <v>-1.3413909999999999E-2</v>
      </c>
      <c r="Z1855">
        <v>9.5755180000000001E-4</v>
      </c>
      <c r="AA1855">
        <v>0.99990959999999995</v>
      </c>
      <c r="AB1855">
        <v>22</v>
      </c>
      <c r="AC1855">
        <v>20.459299999999999</v>
      </c>
      <c r="AD1855">
        <v>-1.1107955614839999</v>
      </c>
      <c r="AE1855">
        <v>2.6299999999992E-2</v>
      </c>
      <c r="AF1855">
        <v>-0.27589149373925898</v>
      </c>
      <c r="AG1855">
        <v>-1.1107955614839999</v>
      </c>
      <c r="AH1855">
        <v>20.3973200948986</v>
      </c>
      <c r="AI1855">
        <v>93.116845238394603</v>
      </c>
      <c r="AJ1855">
        <v>90.774927992623603</v>
      </c>
      <c r="AK1855">
        <v>20.429406500177301</v>
      </c>
      <c r="AL1855">
        <v>81.922519851689003</v>
      </c>
      <c r="AM1855">
        <v>94.502287599118304</v>
      </c>
      <c r="AN1855">
        <v>1.0000000237556299</v>
      </c>
    </row>
    <row r="1856" spans="1:40" x14ac:dyDescent="0.25">
      <c r="A1856" t="str">
        <f>"20190304154752903"</f>
        <v>20190304154752903</v>
      </c>
      <c r="B1856" t="str">
        <f>"1551685672897932"</f>
        <v>1551685672897932</v>
      </c>
      <c r="C1856" t="s">
        <v>40</v>
      </c>
      <c r="D1856">
        <v>4.3394149999999998</v>
      </c>
      <c r="E1856">
        <v>0.52214769999999999</v>
      </c>
      <c r="F1856" t="s">
        <v>44</v>
      </c>
      <c r="G1856">
        <v>-212.83580000000001</v>
      </c>
      <c r="H1856" s="1">
        <v>-3.6128489999999998E-6</v>
      </c>
      <c r="I1856">
        <v>366.47590000000002</v>
      </c>
      <c r="J1856">
        <v>-233.28899999999999</v>
      </c>
      <c r="K1856">
        <v>1.1107860000000001</v>
      </c>
      <c r="L1856">
        <v>366.43669999999997</v>
      </c>
      <c r="M1856">
        <v>0.99985809999999997</v>
      </c>
      <c r="N1856">
        <v>-1.1635899999999999E-2</v>
      </c>
      <c r="O1856">
        <v>-1.218061E-2</v>
      </c>
      <c r="P1856">
        <v>0.98948910000000001</v>
      </c>
      <c r="Q1856">
        <v>0.128932399999999</v>
      </c>
      <c r="R1856">
        <v>6.5480549999999998E-2</v>
      </c>
      <c r="S1856">
        <v>3.0530240000000002</v>
      </c>
      <c r="T1856">
        <v>-0.16475509999999999</v>
      </c>
      <c r="U1856">
        <v>5.5847170000000003E-3</v>
      </c>
      <c r="V1856">
        <v>-7.7544169999999996E-2</v>
      </c>
      <c r="W1856">
        <v>0.14041909999999999</v>
      </c>
      <c r="X1856">
        <v>0.98705080000000001</v>
      </c>
      <c r="Y1856">
        <v>-1.397489E-2</v>
      </c>
      <c r="Z1856">
        <v>9.7335390000000003E-4</v>
      </c>
      <c r="AA1856">
        <v>0.99990190000000001</v>
      </c>
      <c r="AB1856">
        <v>22</v>
      </c>
      <c r="AC1856">
        <v>20.453199999999999</v>
      </c>
      <c r="AD1856">
        <v>-1.110789612849</v>
      </c>
      <c r="AE1856">
        <v>3.9200000000050701E-2</v>
      </c>
      <c r="AF1856">
        <v>-0.28749845420098202</v>
      </c>
      <c r="AG1856">
        <v>-1.110789612849</v>
      </c>
      <c r="AH1856">
        <v>20.3910627271799</v>
      </c>
      <c r="AI1856">
        <v>93.117758510089203</v>
      </c>
      <c r="AJ1856">
        <v>90.807773330973106</v>
      </c>
      <c r="AK1856">
        <v>20.423318732981802</v>
      </c>
      <c r="AL1856">
        <v>81.927901133049403</v>
      </c>
      <c r="AM1856">
        <v>94.492014868570493</v>
      </c>
      <c r="AN1856">
        <v>0.999999951863218</v>
      </c>
    </row>
    <row r="1857" spans="1:40" x14ac:dyDescent="0.25">
      <c r="A1857" t="str">
        <f>"20190304154752916"</f>
        <v>20190304154752916</v>
      </c>
      <c r="B1857" t="str">
        <f>"1551685672908668"</f>
        <v>1551685672908668</v>
      </c>
      <c r="C1857" t="s">
        <v>40</v>
      </c>
      <c r="D1857">
        <v>4.3109080000000004</v>
      </c>
      <c r="E1857">
        <v>0.52213620000000005</v>
      </c>
      <c r="F1857" t="s">
        <v>44</v>
      </c>
      <c r="G1857">
        <v>-213.017</v>
      </c>
      <c r="H1857" s="1">
        <v>-3.5368059999999999E-6</v>
      </c>
      <c r="I1857">
        <v>366.46629999999999</v>
      </c>
      <c r="J1857">
        <v>-233.16159999999999</v>
      </c>
      <c r="K1857">
        <v>1.1107849999999999</v>
      </c>
      <c r="L1857">
        <v>366.43520000000001</v>
      </c>
      <c r="M1857">
        <v>0.9998591</v>
      </c>
      <c r="N1857">
        <v>-1.161479E-2</v>
      </c>
      <c r="O1857">
        <v>-1.2124350000000001E-2</v>
      </c>
      <c r="P1857">
        <v>0.9895022</v>
      </c>
      <c r="Q1857">
        <v>0.12874389999999999</v>
      </c>
      <c r="R1857">
        <v>6.5654519999999994E-2</v>
      </c>
      <c r="S1857">
        <v>3.053375</v>
      </c>
      <c r="T1857">
        <v>-0.16730639999999999</v>
      </c>
      <c r="U1857">
        <v>4.4555659999999898E-3</v>
      </c>
      <c r="V1857">
        <v>-7.7661809999999998E-2</v>
      </c>
      <c r="W1857">
        <v>0.14021</v>
      </c>
      <c r="X1857">
        <v>0.98707129999999998</v>
      </c>
      <c r="Y1857">
        <v>-1.3548340000000001E-2</v>
      </c>
      <c r="Z1857">
        <v>9.7274600000000003E-4</v>
      </c>
      <c r="AA1857">
        <v>0.99990769999999995</v>
      </c>
      <c r="AB1857">
        <v>22</v>
      </c>
      <c r="AC1857">
        <v>20.144600000000001</v>
      </c>
      <c r="AD1857">
        <v>-1.110788536806</v>
      </c>
      <c r="AE1857">
        <v>3.1099999999980799E-2</v>
      </c>
      <c r="AF1857">
        <v>-0.27451967980603997</v>
      </c>
      <c r="AG1857">
        <v>-1.110788536806</v>
      </c>
      <c r="AH1857">
        <v>20.0816837459959</v>
      </c>
      <c r="AI1857">
        <v>93.165709587244294</v>
      </c>
      <c r="AJ1857">
        <v>90.783193261616304</v>
      </c>
      <c r="AK1857">
        <v>20.114254505258099</v>
      </c>
      <c r="AL1857">
        <v>81.940001585570599</v>
      </c>
      <c r="AM1857">
        <v>94.498708569664998</v>
      </c>
      <c r="AN1857">
        <v>0.999999976058082</v>
      </c>
    </row>
    <row r="1858" spans="1:40" x14ac:dyDescent="0.25">
      <c r="A1858" t="str">
        <f>"20190304154752929"</f>
        <v>20190304154752929</v>
      </c>
      <c r="B1858" t="str">
        <f>"1551685672918428"</f>
        <v>1551685672918428</v>
      </c>
      <c r="C1858" t="s">
        <v>40</v>
      </c>
      <c r="D1858">
        <v>4.2685259999999996</v>
      </c>
      <c r="E1858">
        <v>0.5219781</v>
      </c>
      <c r="F1858" t="s">
        <v>44</v>
      </c>
      <c r="G1858">
        <v>-212.99270000000001</v>
      </c>
      <c r="H1858" s="1">
        <v>-3.5465330000000001E-6</v>
      </c>
      <c r="I1858">
        <v>366.47019999999998</v>
      </c>
      <c r="J1858">
        <v>-233.03919999999999</v>
      </c>
      <c r="K1858">
        <v>1.1107880000000001</v>
      </c>
      <c r="L1858">
        <v>366.43380000000002</v>
      </c>
      <c r="M1858">
        <v>0.99985990000000002</v>
      </c>
      <c r="N1858">
        <v>-1.1594709999999999E-2</v>
      </c>
      <c r="O1858">
        <v>-1.207036E-2</v>
      </c>
      <c r="P1858">
        <v>0.9895486</v>
      </c>
      <c r="Q1858">
        <v>0.12842880000000001</v>
      </c>
      <c r="R1858">
        <v>6.5573300000000001E-2</v>
      </c>
      <c r="S1858">
        <v>3.053375</v>
      </c>
      <c r="T1858">
        <v>-0.16816139999999999</v>
      </c>
      <c r="U1858">
        <v>5.3100589999999998E-3</v>
      </c>
      <c r="V1858">
        <v>-7.7528550000000002E-2</v>
      </c>
      <c r="W1858">
        <v>0.13987569999999999</v>
      </c>
      <c r="X1858">
        <v>0.98712920000000004</v>
      </c>
      <c r="Y1858">
        <v>-1.377343E-2</v>
      </c>
      <c r="Z1858">
        <v>9.832885999999999E-4</v>
      </c>
      <c r="AA1858">
        <v>0.99990460000000003</v>
      </c>
      <c r="AB1858">
        <v>22</v>
      </c>
      <c r="AC1858">
        <v>20.046499999999899</v>
      </c>
      <c r="AD1858">
        <v>-1.1107915465329901</v>
      </c>
      <c r="AE1858">
        <v>3.6399999999957799E-2</v>
      </c>
      <c r="AF1858">
        <v>-0.27752998046359001</v>
      </c>
      <c r="AG1858">
        <v>-1.1107915465329901</v>
      </c>
      <c r="AH1858">
        <v>19.983244665075102</v>
      </c>
      <c r="AI1858">
        <v>93.181271244476605</v>
      </c>
      <c r="AJ1858">
        <v>90.795680311427205</v>
      </c>
      <c r="AK1858">
        <v>20.016017288515702</v>
      </c>
      <c r="AL1858">
        <v>81.959346169026205</v>
      </c>
      <c r="AM1858">
        <v>94.490758492909094</v>
      </c>
      <c r="AN1858">
        <v>0.99999997250411599</v>
      </c>
    </row>
    <row r="1859" spans="1:40" x14ac:dyDescent="0.25">
      <c r="A1859" t="str">
        <f>"20190304154752943"</f>
        <v>20190304154752943</v>
      </c>
      <c r="B1859" t="str">
        <f>"1551685672937949"</f>
        <v>1551685672937949</v>
      </c>
      <c r="C1859" t="s">
        <v>40</v>
      </c>
      <c r="D1859">
        <v>4.3662510000000001</v>
      </c>
      <c r="E1859">
        <v>0.52215979999999995</v>
      </c>
      <c r="F1859" t="s">
        <v>44</v>
      </c>
      <c r="G1859">
        <v>-212.958</v>
      </c>
      <c r="H1859" s="1">
        <v>-3.5605980000000002E-6</v>
      </c>
      <c r="I1859">
        <v>366.47469999999998</v>
      </c>
      <c r="J1859">
        <v>-232.90199999999999</v>
      </c>
      <c r="K1859">
        <v>1.110781</v>
      </c>
      <c r="L1859">
        <v>366.43220000000002</v>
      </c>
      <c r="M1859">
        <v>0.99986090000000005</v>
      </c>
      <c r="N1859">
        <v>-1.157356E-2</v>
      </c>
      <c r="O1859">
        <v>-1.200968E-2</v>
      </c>
      <c r="P1859">
        <v>0.9895294</v>
      </c>
      <c r="Q1859">
        <v>0.12865389999999999</v>
      </c>
      <c r="R1859">
        <v>6.5419969999999994E-2</v>
      </c>
      <c r="S1859">
        <v>3.0531920000000001</v>
      </c>
      <c r="T1859">
        <v>-0.1688868</v>
      </c>
      <c r="U1859">
        <v>6.225586E-3</v>
      </c>
      <c r="V1859">
        <v>-7.7314469999999996E-2</v>
      </c>
      <c r="W1859">
        <v>0.1400797</v>
      </c>
      <c r="X1859">
        <v>0.98711709999999997</v>
      </c>
      <c r="Y1859">
        <v>-1.401196E-2</v>
      </c>
      <c r="Z1859">
        <v>9.93278E-4</v>
      </c>
      <c r="AA1859">
        <v>0.99990140000000005</v>
      </c>
      <c r="AB1859">
        <v>22</v>
      </c>
      <c r="AC1859">
        <v>19.943999999999999</v>
      </c>
      <c r="AD1859">
        <v>-1.110784560598</v>
      </c>
      <c r="AE1859">
        <v>4.2499999999961298E-2</v>
      </c>
      <c r="AF1859">
        <v>-0.281161888929646</v>
      </c>
      <c r="AG1859">
        <v>-1.110784560598</v>
      </c>
      <c r="AH1859">
        <v>19.880383300279401</v>
      </c>
      <c r="AI1859">
        <v>93.197665662082997</v>
      </c>
      <c r="AJ1859">
        <v>90.810261826407299</v>
      </c>
      <c r="AK1859">
        <v>19.9133757689116</v>
      </c>
      <c r="AL1859">
        <v>81.947541908527299</v>
      </c>
      <c r="AM1859">
        <v>94.478463324042494</v>
      </c>
      <c r="AN1859">
        <v>1.00000000936794</v>
      </c>
    </row>
    <row r="1860" spans="1:40" x14ac:dyDescent="0.25">
      <c r="A1860" t="str">
        <f>"20190304154752954"</f>
        <v>20190304154752954</v>
      </c>
      <c r="B1860" t="str">
        <f>"1551685672948684"</f>
        <v>1551685672948684</v>
      </c>
      <c r="C1860" t="s">
        <v>40</v>
      </c>
      <c r="D1860">
        <v>4.2899770000000004</v>
      </c>
      <c r="E1860">
        <v>0.57134569999999996</v>
      </c>
      <c r="F1860" t="s">
        <v>44</v>
      </c>
      <c r="G1860">
        <v>-212.60740000000001</v>
      </c>
      <c r="H1860" s="1">
        <v>-3.7132610000000001E-6</v>
      </c>
      <c r="I1860">
        <v>366.46199999999999</v>
      </c>
      <c r="J1860">
        <v>-232.79640000000001</v>
      </c>
      <c r="K1860">
        <v>1.110779</v>
      </c>
      <c r="L1860">
        <v>366.43090000000001</v>
      </c>
      <c r="M1860">
        <v>0.99986169999999996</v>
      </c>
      <c r="N1860">
        <v>-1.155785E-2</v>
      </c>
      <c r="O1860">
        <v>-1.1962739999999999E-2</v>
      </c>
      <c r="P1860">
        <v>0.98954960000000003</v>
      </c>
      <c r="Q1860">
        <v>0.1285751</v>
      </c>
      <c r="R1860">
        <v>6.5271399999999993E-2</v>
      </c>
      <c r="S1860">
        <v>3.0531920000000001</v>
      </c>
      <c r="T1860">
        <v>-0.1671098</v>
      </c>
      <c r="U1860">
        <v>4.4860840000000004E-3</v>
      </c>
      <c r="V1860">
        <v>-7.7119699999999999E-2</v>
      </c>
      <c r="W1860">
        <v>0.13998569999999999</v>
      </c>
      <c r="X1860">
        <v>0.98714570000000001</v>
      </c>
      <c r="Y1860">
        <v>-1.3397299999999999E-2</v>
      </c>
      <c r="Z1860">
        <v>9.5992259999999998E-4</v>
      </c>
      <c r="AA1860">
        <v>0.99990979999999996</v>
      </c>
      <c r="AB1860">
        <v>22</v>
      </c>
      <c r="AC1860">
        <v>20.189</v>
      </c>
      <c r="AD1860">
        <v>-1.110782713261</v>
      </c>
      <c r="AE1860">
        <v>3.1099999999980799E-2</v>
      </c>
      <c r="AF1860">
        <v>-0.27180686369305301</v>
      </c>
      <c r="AG1860">
        <v>-1.110782713261</v>
      </c>
      <c r="AH1860">
        <v>20.1262587827148</v>
      </c>
      <c r="AI1860">
        <v>93.158703023840701</v>
      </c>
      <c r="AJ1860">
        <v>90.773737414775596</v>
      </c>
      <c r="AK1860">
        <v>20.158720440445499</v>
      </c>
      <c r="AL1860">
        <v>81.952981544241197</v>
      </c>
      <c r="AM1860">
        <v>94.467098036438301</v>
      </c>
      <c r="AN1860">
        <v>1.0000000386805299</v>
      </c>
    </row>
    <row r="1861" spans="1:40" x14ac:dyDescent="0.25">
      <c r="A1861" t="str">
        <f>"20190304154752963"</f>
        <v>20190304154752963</v>
      </c>
      <c r="B1861" t="str">
        <f>"1551685672958444"</f>
        <v>1551685672958444</v>
      </c>
      <c r="C1861" t="s">
        <v>40</v>
      </c>
      <c r="D1861">
        <v>4.4142659999999996</v>
      </c>
      <c r="E1861">
        <v>0.57806040000000003</v>
      </c>
      <c r="F1861" t="s">
        <v>43</v>
      </c>
      <c r="G1861">
        <v>-158.19499999999999</v>
      </c>
      <c r="H1861">
        <v>1.5657989999999999</v>
      </c>
      <c r="I1861">
        <v>357.09550000000002</v>
      </c>
      <c r="J1861">
        <v>-232.69499999999999</v>
      </c>
      <c r="K1861">
        <v>1.1107800000000001</v>
      </c>
      <c r="L1861">
        <v>366.4298</v>
      </c>
      <c r="M1861">
        <v>0.99986240000000004</v>
      </c>
      <c r="N1861">
        <v>-1.1543950000000001E-2</v>
      </c>
      <c r="O1861">
        <v>-1.191796E-2</v>
      </c>
      <c r="P1861">
        <v>0.98952039999999997</v>
      </c>
      <c r="Q1861">
        <v>0.12889510000000001</v>
      </c>
      <c r="R1861">
        <v>6.5081780000000006E-2</v>
      </c>
      <c r="S1861">
        <v>3.0544739999999999</v>
      </c>
      <c r="T1861">
        <v>1.8633839999999999E-2</v>
      </c>
      <c r="U1861">
        <v>-0.38223269999999998</v>
      </c>
      <c r="V1861">
        <v>-7.6885690000000007E-2</v>
      </c>
      <c r="W1861">
        <v>0.14029159999999999</v>
      </c>
      <c r="X1861">
        <v>0.98712049999999996</v>
      </c>
      <c r="Y1861">
        <v>0.11233849999999999</v>
      </c>
      <c r="Z1861">
        <v>-5.1910620000000004E-4</v>
      </c>
      <c r="AA1861">
        <v>0.99366989999999999</v>
      </c>
      <c r="AB1861">
        <v>22</v>
      </c>
      <c r="AC1861">
        <v>74.5</v>
      </c>
      <c r="AD1861">
        <v>0.45501900000000001</v>
      </c>
      <c r="AE1861">
        <v>-9.3342999999999794</v>
      </c>
      <c r="AF1861">
        <v>8.4453796716643108</v>
      </c>
      <c r="AG1861">
        <v>0.45501900000000001</v>
      </c>
      <c r="AH1861">
        <v>74.603221491578594</v>
      </c>
      <c r="AI1861">
        <v>89.652764456116799</v>
      </c>
      <c r="AJ1861">
        <v>83.541386876344504</v>
      </c>
      <c r="AK1861">
        <v>75.081103727971694</v>
      </c>
      <c r="AL1861">
        <v>81.935279868860704</v>
      </c>
      <c r="AM1861">
        <v>94.453711043534099</v>
      </c>
      <c r="AN1861">
        <v>1.00000001193879</v>
      </c>
    </row>
    <row r="1862" spans="1:40" x14ac:dyDescent="0.25">
      <c r="A1862" t="str">
        <f>"20190304154752975"</f>
        <v>20190304154752975</v>
      </c>
      <c r="B1862" t="str">
        <f>"1551685672968712"</f>
        <v>1551685672968712</v>
      </c>
      <c r="C1862" t="s">
        <v>40</v>
      </c>
      <c r="D1862">
        <v>4.4245590000000004</v>
      </c>
      <c r="E1862">
        <v>0.58058419999999999</v>
      </c>
      <c r="F1862" t="s">
        <v>43</v>
      </c>
      <c r="G1862">
        <v>-158.19499999999999</v>
      </c>
      <c r="H1862">
        <v>0.68663219999999903</v>
      </c>
      <c r="I1862">
        <v>355.79390000000001</v>
      </c>
      <c r="J1862">
        <v>-232.58949999999999</v>
      </c>
      <c r="K1862">
        <v>1.110779</v>
      </c>
      <c r="L1862">
        <v>366.42860000000002</v>
      </c>
      <c r="M1862">
        <v>0.99986330000000001</v>
      </c>
      <c r="N1862">
        <v>-1.153E-2</v>
      </c>
      <c r="O1862">
        <v>-1.187151E-2</v>
      </c>
      <c r="P1862">
        <v>0.98953610000000003</v>
      </c>
      <c r="Q1862">
        <v>0.12890570000000001</v>
      </c>
      <c r="R1862">
        <v>6.4820740000000002E-2</v>
      </c>
      <c r="S1862">
        <v>3.0627900000000001</v>
      </c>
      <c r="T1862">
        <v>-1.743364E-2</v>
      </c>
      <c r="U1862">
        <v>-0.43725589999999998</v>
      </c>
      <c r="V1862">
        <v>-7.6578830000000001E-2</v>
      </c>
      <c r="W1862">
        <v>0.14028879999999999</v>
      </c>
      <c r="X1862">
        <v>0.98714480000000004</v>
      </c>
      <c r="Y1862">
        <v>0.1295617</v>
      </c>
      <c r="Z1862">
        <v>-1.1866170000000001E-3</v>
      </c>
      <c r="AA1862">
        <v>0.99157070000000003</v>
      </c>
      <c r="AB1862">
        <v>22</v>
      </c>
      <c r="AC1862">
        <v>74.394499999999994</v>
      </c>
      <c r="AD1862">
        <v>-0.42414679999999999</v>
      </c>
      <c r="AE1862">
        <v>-10.6347</v>
      </c>
      <c r="AF1862">
        <v>9.75040635088871</v>
      </c>
      <c r="AG1862">
        <v>-0.42414679999999999</v>
      </c>
      <c r="AH1862">
        <v>74.513141569173001</v>
      </c>
      <c r="AI1862">
        <v>90.3233810786937</v>
      </c>
      <c r="AJ1862">
        <v>82.544927549269403</v>
      </c>
      <c r="AK1862">
        <v>75.149574789369396</v>
      </c>
      <c r="AL1862">
        <v>81.935442292779499</v>
      </c>
      <c r="AM1862">
        <v>94.435898076160797</v>
      </c>
      <c r="AN1862">
        <v>1.0000000603883199</v>
      </c>
    </row>
    <row r="1863" spans="1:40" x14ac:dyDescent="0.25">
      <c r="A1863" t="str">
        <f>"20190304154752986"</f>
        <v>20190304154752986</v>
      </c>
      <c r="B1863" t="str">
        <f>"1551685672978474"</f>
        <v>1551685672978474</v>
      </c>
      <c r="C1863" t="s">
        <v>40</v>
      </c>
      <c r="D1863">
        <v>4.3827540000000003</v>
      </c>
      <c r="E1863">
        <v>0.58304460000000002</v>
      </c>
      <c r="F1863" t="s">
        <v>43</v>
      </c>
      <c r="G1863">
        <v>-166.93989999999999</v>
      </c>
      <c r="H1863">
        <v>0.41494940000000002</v>
      </c>
      <c r="I1863">
        <v>356.61509999999998</v>
      </c>
      <c r="J1863">
        <v>-232.4794</v>
      </c>
      <c r="K1863">
        <v>1.110776</v>
      </c>
      <c r="L1863">
        <v>366.4273</v>
      </c>
      <c r="M1863">
        <v>0.99986390000000003</v>
      </c>
      <c r="N1863">
        <v>-1.1516520000000001E-2</v>
      </c>
      <c r="O1863">
        <v>-1.18228E-2</v>
      </c>
      <c r="P1863">
        <v>0.98952309999999999</v>
      </c>
      <c r="Q1863">
        <v>0.12906199999999901</v>
      </c>
      <c r="R1863">
        <v>6.4709719999999998E-2</v>
      </c>
      <c r="S1863">
        <v>3.065979</v>
      </c>
      <c r="T1863">
        <v>-3.2492640000000003E-2</v>
      </c>
      <c r="U1863">
        <v>-0.45831300000000003</v>
      </c>
      <c r="V1863">
        <v>-7.6420020000000005E-2</v>
      </c>
      <c r="W1863">
        <v>0.14043139999999901</v>
      </c>
      <c r="X1863">
        <v>0.98713680000000004</v>
      </c>
      <c r="Y1863">
        <v>0.13612099999999999</v>
      </c>
      <c r="Z1863">
        <v>-1.516381E-3</v>
      </c>
      <c r="AA1863">
        <v>0.99069110000000005</v>
      </c>
      <c r="AB1863">
        <v>22</v>
      </c>
      <c r="AC1863">
        <v>65.539500000000004</v>
      </c>
      <c r="AD1863">
        <v>-0.69582659999999996</v>
      </c>
      <c r="AE1863">
        <v>-9.8122000000000096</v>
      </c>
      <c r="AF1863">
        <v>9.0356062616057198</v>
      </c>
      <c r="AG1863">
        <v>-0.69582659999999996</v>
      </c>
      <c r="AH1863">
        <v>65.643697027013403</v>
      </c>
      <c r="AI1863">
        <v>90.601643151639294</v>
      </c>
      <c r="AJ1863">
        <v>82.162701746031999</v>
      </c>
      <c r="AK1863">
        <v>66.266290936994295</v>
      </c>
      <c r="AL1863">
        <v>81.927189974856603</v>
      </c>
      <c r="AM1863">
        <v>94.426771198369707</v>
      </c>
      <c r="AN1863">
        <v>1.0000000297384899</v>
      </c>
    </row>
    <row r="1864" spans="1:40" x14ac:dyDescent="0.25">
      <c r="A1864" t="str">
        <f>"20190304154752998"</f>
        <v>20190304154752998</v>
      </c>
      <c r="B1864" t="str">
        <f>"1551685672988232"</f>
        <v>1551685672988232</v>
      </c>
      <c r="C1864" t="s">
        <v>40</v>
      </c>
      <c r="D1864">
        <v>4.4371539999999996</v>
      </c>
      <c r="E1864">
        <v>0.58422830000000003</v>
      </c>
      <c r="F1864" t="s">
        <v>43</v>
      </c>
      <c r="G1864">
        <v>-169.2955</v>
      </c>
      <c r="H1864">
        <v>0.28184409999999999</v>
      </c>
      <c r="I1864">
        <v>356.5711</v>
      </c>
      <c r="J1864">
        <v>-232.36</v>
      </c>
      <c r="K1864">
        <v>1.1107689999999999</v>
      </c>
      <c r="L1864">
        <v>366.42599999999999</v>
      </c>
      <c r="M1864">
        <v>0.99986459999999999</v>
      </c>
      <c r="N1864">
        <v>-1.1502790000000001E-2</v>
      </c>
      <c r="O1864">
        <v>-1.1770030000000001E-2</v>
      </c>
      <c r="P1864">
        <v>0.98953000000000002</v>
      </c>
      <c r="Q1864">
        <v>0.12903999999999999</v>
      </c>
      <c r="R1864">
        <v>6.4645919999999996E-2</v>
      </c>
      <c r="S1864">
        <v>3.068314</v>
      </c>
      <c r="T1864">
        <v>-4.0250059999999997E-2</v>
      </c>
      <c r="U1864">
        <v>-0.4786377</v>
      </c>
      <c r="V1864">
        <v>-7.6303689999999993E-2</v>
      </c>
      <c r="W1864">
        <v>0.14039599999999999</v>
      </c>
      <c r="X1864">
        <v>0.98715079999999999</v>
      </c>
      <c r="Y1864">
        <v>0.14246619999999999</v>
      </c>
      <c r="Z1864">
        <v>-1.7343599999999999E-3</v>
      </c>
      <c r="AA1864">
        <v>0.98979810000000001</v>
      </c>
      <c r="AB1864">
        <v>22</v>
      </c>
      <c r="AC1864">
        <v>63.064500000000002</v>
      </c>
      <c r="AD1864">
        <v>-0.82892489999999996</v>
      </c>
      <c r="AE1864">
        <v>-9.8548999999999793</v>
      </c>
      <c r="AF1864">
        <v>9.1103606755494404</v>
      </c>
      <c r="AG1864">
        <v>-0.82892489999999996</v>
      </c>
      <c r="AH1864">
        <v>63.1654783660126</v>
      </c>
      <c r="AI1864">
        <v>90.744153940114998</v>
      </c>
      <c r="AJ1864">
        <v>81.792823448436593</v>
      </c>
      <c r="AK1864">
        <v>63.824473717655103</v>
      </c>
      <c r="AL1864">
        <v>81.929238266030694</v>
      </c>
      <c r="AM1864">
        <v>94.4199968538787</v>
      </c>
      <c r="AN1864">
        <v>0.99999999593212796</v>
      </c>
    </row>
    <row r="1865" spans="1:40" x14ac:dyDescent="0.25">
      <c r="A1865" t="str">
        <f>"20190304154753009"</f>
        <v>20190304154753009</v>
      </c>
      <c r="B1865" t="str">
        <f>"1551685672997993"</f>
        <v>1551685672997993</v>
      </c>
      <c r="C1865" t="s">
        <v>40</v>
      </c>
      <c r="D1865">
        <v>4.4678690000000003</v>
      </c>
      <c r="E1865">
        <v>0.58562429999999999</v>
      </c>
      <c r="F1865" t="s">
        <v>43</v>
      </c>
      <c r="G1865">
        <v>-169.2955</v>
      </c>
      <c r="H1865">
        <v>0.1215277</v>
      </c>
      <c r="I1865">
        <v>356.39089999999999</v>
      </c>
      <c r="J1865">
        <v>-232.2509</v>
      </c>
      <c r="K1865">
        <v>1.1107670000000001</v>
      </c>
      <c r="L1865">
        <v>366.4248</v>
      </c>
      <c r="M1865">
        <v>0.99986529999999996</v>
      </c>
      <c r="N1865">
        <v>-1.149086E-2</v>
      </c>
      <c r="O1865">
        <v>-1.1721570000000001E-2</v>
      </c>
      <c r="P1865">
        <v>0.98954589999999998</v>
      </c>
      <c r="Q1865">
        <v>0.1289506</v>
      </c>
      <c r="R1865">
        <v>6.4581700000000006E-2</v>
      </c>
      <c r="S1865">
        <v>3.0699010000000002</v>
      </c>
      <c r="T1865">
        <v>-4.8150659999999998E-2</v>
      </c>
      <c r="U1865">
        <v>-0.48849490000000001</v>
      </c>
      <c r="V1865">
        <v>-7.6191339999999996E-2</v>
      </c>
      <c r="W1865">
        <v>0.14029539999999999</v>
      </c>
      <c r="X1865">
        <v>0.98717379999999999</v>
      </c>
      <c r="Y1865">
        <v>0.14552899999999999</v>
      </c>
      <c r="Z1865">
        <v>-1.926802E-3</v>
      </c>
      <c r="AA1865">
        <v>0.98935209999999996</v>
      </c>
      <c r="AB1865">
        <v>22</v>
      </c>
      <c r="AC1865">
        <v>62.955399999999997</v>
      </c>
      <c r="AD1865">
        <v>-0.98923930000000004</v>
      </c>
      <c r="AE1865">
        <v>-10.033899999999999</v>
      </c>
      <c r="AF1865">
        <v>9.2929880695894997</v>
      </c>
      <c r="AG1865">
        <v>-0.98923930000000004</v>
      </c>
      <c r="AH1865">
        <v>63.053512424051199</v>
      </c>
      <c r="AI1865">
        <v>90.8892288550404</v>
      </c>
      <c r="AJ1865">
        <v>81.6159586455897</v>
      </c>
      <c r="AK1865">
        <v>63.742322287975803</v>
      </c>
      <c r="AL1865">
        <v>81.935059998837701</v>
      </c>
      <c r="AM1865">
        <v>94.413412133817005</v>
      </c>
      <c r="AN1865">
        <v>1.0000000154792901</v>
      </c>
    </row>
    <row r="1866" spans="1:40" x14ac:dyDescent="0.25">
      <c r="A1866" t="str">
        <f>"20190304154753022"</f>
        <v>20190304154753022</v>
      </c>
      <c r="B1866" t="str">
        <f>"1551685673018488"</f>
        <v>1551685673018488</v>
      </c>
      <c r="C1866" t="s">
        <v>40</v>
      </c>
      <c r="D1866">
        <v>4.3996570000000004</v>
      </c>
      <c r="E1866">
        <v>0.58763100000000001</v>
      </c>
      <c r="F1866" t="s">
        <v>43</v>
      </c>
      <c r="G1866">
        <v>-169.2955</v>
      </c>
      <c r="H1866">
        <v>6.7556379999999999E-2</v>
      </c>
      <c r="I1866">
        <v>356.1771</v>
      </c>
      <c r="J1866">
        <v>-232.13159999999999</v>
      </c>
      <c r="K1866">
        <v>1.1107659999999999</v>
      </c>
      <c r="L1866">
        <v>366.42340000000002</v>
      </c>
      <c r="M1866">
        <v>0.99986609999999998</v>
      </c>
      <c r="N1866">
        <v>-1.1479039999999999E-2</v>
      </c>
      <c r="O1866">
        <v>-1.166917E-2</v>
      </c>
      <c r="P1866">
        <v>0.98957660000000003</v>
      </c>
      <c r="Q1866">
        <v>0.12886549999999999</v>
      </c>
      <c r="R1866">
        <v>6.4282279999999997E-2</v>
      </c>
      <c r="S1866">
        <v>3.0709529999999998</v>
      </c>
      <c r="T1866">
        <v>-5.0883169999999998E-2</v>
      </c>
      <c r="U1866">
        <v>-0.49987789999999999</v>
      </c>
      <c r="V1866">
        <v>-7.5840759999999993E-2</v>
      </c>
      <c r="W1866">
        <v>0.14019909999999999</v>
      </c>
      <c r="X1866">
        <v>0.98721440000000005</v>
      </c>
      <c r="Y1866">
        <v>0.14909839999999999</v>
      </c>
      <c r="Z1866">
        <v>-2.0296229999999999E-3</v>
      </c>
      <c r="AA1866">
        <v>0.98882029999999999</v>
      </c>
      <c r="AB1866">
        <v>22</v>
      </c>
      <c r="AC1866">
        <v>62.836099999999902</v>
      </c>
      <c r="AD1866">
        <v>-1.0432096199999901</v>
      </c>
      <c r="AE1866">
        <v>-10.2463</v>
      </c>
      <c r="AF1866">
        <v>9.5097556053646404</v>
      </c>
      <c r="AG1866">
        <v>-1.0432096199999901</v>
      </c>
      <c r="AH1866">
        <v>62.934497526168201</v>
      </c>
      <c r="AI1866">
        <v>90.938997026046295</v>
      </c>
      <c r="AJ1866">
        <v>81.407291642810705</v>
      </c>
      <c r="AK1866">
        <v>63.657479661515801</v>
      </c>
      <c r="AL1866">
        <v>81.940632047629407</v>
      </c>
      <c r="AM1866">
        <v>94.393004371614296</v>
      </c>
      <c r="AN1866">
        <v>0.99999994004277204</v>
      </c>
    </row>
    <row r="1867" spans="1:40" x14ac:dyDescent="0.25">
      <c r="A1867" t="str">
        <f>"20190304154753036"</f>
        <v>20190304154753036</v>
      </c>
      <c r="B1867" t="str">
        <f>"1551685673028249"</f>
        <v>1551685673028249</v>
      </c>
      <c r="C1867" t="s">
        <v>40</v>
      </c>
      <c r="D1867">
        <v>4.3811989999999996</v>
      </c>
      <c r="E1867">
        <v>0.58849439999999997</v>
      </c>
      <c r="F1867" t="s">
        <v>43</v>
      </c>
      <c r="G1867">
        <v>-169.2955</v>
      </c>
      <c r="H1867">
        <v>6.8438529999999997E-2</v>
      </c>
      <c r="I1867">
        <v>355.86020000000002</v>
      </c>
      <c r="J1867">
        <v>-232.00290000000001</v>
      </c>
      <c r="K1867">
        <v>1.1107659999999999</v>
      </c>
      <c r="L1867">
        <v>366.42200000000003</v>
      </c>
      <c r="M1867">
        <v>0.99986699999999995</v>
      </c>
      <c r="N1867">
        <v>-1.146693E-2</v>
      </c>
      <c r="O1867">
        <v>-1.1612590000000001E-2</v>
      </c>
      <c r="P1867">
        <v>0.98956889999999997</v>
      </c>
      <c r="Q1867">
        <v>0.12900019999999901</v>
      </c>
      <c r="R1867">
        <v>6.4130090000000001E-2</v>
      </c>
      <c r="S1867">
        <v>3.071777</v>
      </c>
      <c r="T1867">
        <v>-5.0950410000000002E-2</v>
      </c>
      <c r="U1867">
        <v>-0.51638790000000001</v>
      </c>
      <c r="V1867">
        <v>-7.5632779999999997E-2</v>
      </c>
      <c r="W1867">
        <v>0.1403219</v>
      </c>
      <c r="X1867">
        <v>0.98721300000000001</v>
      </c>
      <c r="Y1867">
        <v>0.15428210000000001</v>
      </c>
      <c r="Z1867">
        <v>-2.1024339999999998E-3</v>
      </c>
      <c r="AA1867">
        <v>0.98802460000000003</v>
      </c>
      <c r="AB1867">
        <v>22</v>
      </c>
      <c r="AC1867">
        <v>62.7074</v>
      </c>
      <c r="AD1867">
        <v>-1.04232747</v>
      </c>
      <c r="AE1867">
        <v>-10.5617999999999</v>
      </c>
      <c r="AF1867">
        <v>9.8302035686179607</v>
      </c>
      <c r="AG1867">
        <v>-1.04232747</v>
      </c>
      <c r="AH1867">
        <v>62.808954091506003</v>
      </c>
      <c r="AI1867">
        <v>90.939315240737102</v>
      </c>
      <c r="AJ1867">
        <v>81.104822554965494</v>
      </c>
      <c r="AK1867">
        <v>63.582104894569902</v>
      </c>
      <c r="AL1867">
        <v>81.933526610490404</v>
      </c>
      <c r="AM1867">
        <v>94.381010480504798</v>
      </c>
      <c r="AN1867">
        <v>1.00000003019956</v>
      </c>
    </row>
    <row r="1868" spans="1:40" x14ac:dyDescent="0.25">
      <c r="A1868" t="str">
        <f>"20190304154753049"</f>
        <v>20190304154753049</v>
      </c>
      <c r="B1868" t="str">
        <f>"1551685673038008"</f>
        <v>1551685673038008</v>
      </c>
      <c r="C1868" t="s">
        <v>40</v>
      </c>
      <c r="D1868">
        <v>4.7152200000000004</v>
      </c>
      <c r="E1868">
        <v>0.58812430000000004</v>
      </c>
      <c r="F1868" t="s">
        <v>43</v>
      </c>
      <c r="G1868">
        <v>-169.2955</v>
      </c>
      <c r="H1868">
        <v>7.645035E-2</v>
      </c>
      <c r="I1868">
        <v>355.73219999999998</v>
      </c>
      <c r="J1868">
        <v>-231.8586</v>
      </c>
      <c r="K1868">
        <v>1.110765</v>
      </c>
      <c r="L1868">
        <v>366.4203</v>
      </c>
      <c r="M1868">
        <v>0.99986790000000003</v>
      </c>
      <c r="N1868">
        <v>-1.145466E-2</v>
      </c>
      <c r="O1868">
        <v>-1.154899E-2</v>
      </c>
      <c r="P1868">
        <v>0.98961779999999999</v>
      </c>
      <c r="Q1868">
        <v>0.12881020000000001</v>
      </c>
      <c r="R1868">
        <v>6.3755829999999999E-2</v>
      </c>
      <c r="S1868">
        <v>3.0721590000000001</v>
      </c>
      <c r="T1868">
        <v>-5.066884E-2</v>
      </c>
      <c r="U1868">
        <v>-0.52371219999999996</v>
      </c>
      <c r="V1868">
        <v>-7.5196680000000002E-2</v>
      </c>
      <c r="W1868">
        <v>0.1401203</v>
      </c>
      <c r="X1868">
        <v>0.98727489999999996</v>
      </c>
      <c r="Y1868">
        <v>0.15661420000000001</v>
      </c>
      <c r="Z1868">
        <v>-2.1280409999999998E-3</v>
      </c>
      <c r="AA1868">
        <v>0.98765749999999997</v>
      </c>
      <c r="AB1868">
        <v>22</v>
      </c>
      <c r="AC1868">
        <v>62.563099999999899</v>
      </c>
      <c r="AD1868">
        <v>-1.03431465</v>
      </c>
      <c r="AE1868">
        <v>-10.6881</v>
      </c>
      <c r="AF1868">
        <v>9.9621535955479494</v>
      </c>
      <c r="AG1868">
        <v>-1.03431465</v>
      </c>
      <c r="AH1868">
        <v>62.665729848019602</v>
      </c>
      <c r="AI1868">
        <v>90.933871485519703</v>
      </c>
      <c r="AJ1868">
        <v>80.967111128178402</v>
      </c>
      <c r="AK1868">
        <v>63.4610747501291</v>
      </c>
      <c r="AL1868">
        <v>81.945192320385999</v>
      </c>
      <c r="AM1868">
        <v>94.355574942796594</v>
      </c>
      <c r="AN1868">
        <v>0.99999998366256004</v>
      </c>
    </row>
    <row r="1869" spans="1:40" x14ac:dyDescent="0.25">
      <c r="A1869" t="str">
        <f>"20190304154753063"</f>
        <v>20190304154753063</v>
      </c>
      <c r="B1869" t="str">
        <f>"1551685673058505"</f>
        <v>1551685673058505</v>
      </c>
      <c r="C1869" t="s">
        <v>40</v>
      </c>
      <c r="D1869">
        <v>4.4303150000000002</v>
      </c>
      <c r="E1869">
        <v>0.5887561</v>
      </c>
      <c r="F1869" t="s">
        <v>43</v>
      </c>
      <c r="G1869">
        <v>-169.2955</v>
      </c>
      <c r="H1869">
        <v>9.1682429999999995E-2</v>
      </c>
      <c r="I1869">
        <v>355.79169999999999</v>
      </c>
      <c r="J1869">
        <v>-231.7226</v>
      </c>
      <c r="K1869">
        <v>1.1107670000000001</v>
      </c>
      <c r="L1869">
        <v>366.41879999999998</v>
      </c>
      <c r="M1869">
        <v>0.9998686</v>
      </c>
      <c r="N1869">
        <v>-1.1444309999999999E-2</v>
      </c>
      <c r="O1869">
        <v>-1.1488969999999999E-2</v>
      </c>
      <c r="P1869">
        <v>0.98973500000000003</v>
      </c>
      <c r="Q1869">
        <v>0.12809970000000001</v>
      </c>
      <c r="R1869">
        <v>6.3364889999999993E-2</v>
      </c>
      <c r="S1869">
        <v>3.0715940000000002</v>
      </c>
      <c r="T1869">
        <v>-5.002844E-2</v>
      </c>
      <c r="U1869">
        <v>-0.52182010000000001</v>
      </c>
      <c r="V1869">
        <v>-7.4747679999999997E-2</v>
      </c>
      <c r="W1869">
        <v>0.1394012</v>
      </c>
      <c r="X1869">
        <v>0.98741080000000003</v>
      </c>
      <c r="Y1869">
        <v>0.156113</v>
      </c>
      <c r="Z1869">
        <v>-2.1068520000000002E-3</v>
      </c>
      <c r="AA1869">
        <v>0.98773690000000003</v>
      </c>
      <c r="AB1869">
        <v>22</v>
      </c>
      <c r="AC1869">
        <v>62.427100000000003</v>
      </c>
      <c r="AD1869">
        <v>-1.01908457</v>
      </c>
      <c r="AE1869">
        <v>-10.627099999999899</v>
      </c>
      <c r="AF1869">
        <v>9.9065629203789207</v>
      </c>
      <c r="AG1869">
        <v>-1.01908457</v>
      </c>
      <c r="AH1869">
        <v>62.528887882363001</v>
      </c>
      <c r="AI1869">
        <v>90.922213334362596</v>
      </c>
      <c r="AJ1869">
        <v>80.997354110889006</v>
      </c>
      <c r="AK1869">
        <v>63.316983046109797</v>
      </c>
      <c r="AL1869">
        <v>81.986802228984899</v>
      </c>
      <c r="AM1869">
        <v>94.329073319622097</v>
      </c>
      <c r="AN1869">
        <v>0.99999999909173098</v>
      </c>
    </row>
    <row r="1870" spans="1:40" x14ac:dyDescent="0.25">
      <c r="A1870" t="str">
        <f>"20190304154753079"</f>
        <v>20190304154753079</v>
      </c>
      <c r="B1870" t="str">
        <f>"1551685673068772"</f>
        <v>1551685673068772</v>
      </c>
      <c r="C1870" t="s">
        <v>40</v>
      </c>
      <c r="D1870">
        <v>4.4462440000000001</v>
      </c>
      <c r="E1870">
        <v>0.58914639999999996</v>
      </c>
      <c r="F1870" t="s">
        <v>43</v>
      </c>
      <c r="G1870">
        <v>-169.2955</v>
      </c>
      <c r="H1870">
        <v>0.28134350000000002</v>
      </c>
      <c r="I1870">
        <v>355.68009999999998</v>
      </c>
      <c r="J1870">
        <v>-231.57079999999999</v>
      </c>
      <c r="K1870">
        <v>1.1107670000000001</v>
      </c>
      <c r="L1870">
        <v>366.41719999999998</v>
      </c>
      <c r="M1870">
        <v>0.99986949999999997</v>
      </c>
      <c r="N1870">
        <v>-1.143369E-2</v>
      </c>
      <c r="O1870">
        <v>-1.142227E-2</v>
      </c>
      <c r="P1870">
        <v>0.98974079999999998</v>
      </c>
      <c r="Q1870">
        <v>0.1280538</v>
      </c>
      <c r="R1870">
        <v>6.3370239999999994E-2</v>
      </c>
      <c r="S1870">
        <v>3.0701900000000002</v>
      </c>
      <c r="T1870">
        <v>-4.078698E-2</v>
      </c>
      <c r="U1870">
        <v>-0.52813719999999997</v>
      </c>
      <c r="V1870">
        <v>-7.4686589999999997E-2</v>
      </c>
      <c r="W1870">
        <v>0.13934449999999901</v>
      </c>
      <c r="X1870">
        <v>0.98742339999999995</v>
      </c>
      <c r="Y1870">
        <v>0.15823670000000001</v>
      </c>
      <c r="Z1870">
        <v>-1.933773E-3</v>
      </c>
      <c r="AA1870">
        <v>0.98739929999999998</v>
      </c>
      <c r="AB1870">
        <v>22</v>
      </c>
      <c r="AC1870">
        <v>62.275299999999902</v>
      </c>
      <c r="AD1870">
        <v>-0.82942349999999998</v>
      </c>
      <c r="AE1870">
        <v>-10.7370999999999</v>
      </c>
      <c r="AF1870">
        <v>10.0233010733157</v>
      </c>
      <c r="AG1870">
        <v>-0.82942349999999998</v>
      </c>
      <c r="AH1870">
        <v>62.3831404375792</v>
      </c>
      <c r="AI1870">
        <v>90.752093922130797</v>
      </c>
      <c r="AJ1870">
        <v>80.872116263569197</v>
      </c>
      <c r="AK1870">
        <v>63.188691382267201</v>
      </c>
      <c r="AL1870">
        <v>81.990082714074802</v>
      </c>
      <c r="AM1870">
        <v>94.325493689125693</v>
      </c>
      <c r="AN1870">
        <v>0.99999997363681803</v>
      </c>
    </row>
    <row r="1871" spans="1:40" x14ac:dyDescent="0.25">
      <c r="A1871" t="str">
        <f>"20190304154753094"</f>
        <v>20190304154753094</v>
      </c>
      <c r="B1871" t="str">
        <f>"1551685673088292"</f>
        <v>1551685673088292</v>
      </c>
      <c r="C1871" t="s">
        <v>40</v>
      </c>
      <c r="D1871">
        <v>4.4444589999999904</v>
      </c>
      <c r="E1871">
        <v>0.58947490000000002</v>
      </c>
      <c r="F1871" t="s">
        <v>43</v>
      </c>
      <c r="G1871">
        <v>-169.2955</v>
      </c>
      <c r="H1871">
        <v>0.35001559999999998</v>
      </c>
      <c r="I1871">
        <v>355.64909999999998</v>
      </c>
      <c r="J1871">
        <v>-231.43</v>
      </c>
      <c r="K1871">
        <v>1.1107670000000001</v>
      </c>
      <c r="L1871">
        <v>366.41559999999998</v>
      </c>
      <c r="M1871">
        <v>0.99987020000000004</v>
      </c>
      <c r="N1871">
        <v>-1.1424699999999999E-2</v>
      </c>
      <c r="O1871">
        <v>-1.136011E-2</v>
      </c>
      <c r="P1871">
        <v>0.98979629999999996</v>
      </c>
      <c r="Q1871">
        <v>0.12761149999999999</v>
      </c>
      <c r="R1871">
        <v>6.3390840000000004E-2</v>
      </c>
      <c r="S1871">
        <v>3.0699160000000001</v>
      </c>
      <c r="T1871">
        <v>-3.7497519999999999E-2</v>
      </c>
      <c r="U1871">
        <v>-0.53082280000000004</v>
      </c>
      <c r="V1871">
        <v>-7.4646169999999998E-2</v>
      </c>
      <c r="W1871">
        <v>0.1388945</v>
      </c>
      <c r="X1871">
        <v>0.98748990000000003</v>
      </c>
      <c r="Y1871">
        <v>0.1591545</v>
      </c>
      <c r="Z1871">
        <v>-1.871913E-3</v>
      </c>
      <c r="AA1871">
        <v>0.98725189999999996</v>
      </c>
      <c r="AB1871">
        <v>22</v>
      </c>
      <c r="AC1871">
        <v>62.134500000000003</v>
      </c>
      <c r="AD1871">
        <v>-0.76075139999999997</v>
      </c>
      <c r="AE1871">
        <v>-10.766500000000001</v>
      </c>
      <c r="AF1871">
        <v>10.058440468990799</v>
      </c>
      <c r="AG1871">
        <v>-0.76075139999999997</v>
      </c>
      <c r="AH1871">
        <v>62.243747919628099</v>
      </c>
      <c r="AI1871">
        <v>90.691274955620798</v>
      </c>
      <c r="AJ1871">
        <v>80.8204943057181</v>
      </c>
      <c r="AK1871">
        <v>63.055809585184498</v>
      </c>
      <c r="AL1871">
        <v>82.0161193572646</v>
      </c>
      <c r="AM1871">
        <v>94.322871602611897</v>
      </c>
      <c r="AN1871">
        <v>1.0000000177139601</v>
      </c>
    </row>
    <row r="1872" spans="1:40" x14ac:dyDescent="0.25">
      <c r="A1872" t="str">
        <f>"20190304154753108"</f>
        <v>20190304154753108</v>
      </c>
      <c r="B1872" t="str">
        <f>"1551685673098052"</f>
        <v>1551685673098052</v>
      </c>
      <c r="C1872" t="s">
        <v>40</v>
      </c>
      <c r="D1872">
        <v>4.4277280000000001</v>
      </c>
      <c r="E1872">
        <v>0.58957660000000001</v>
      </c>
      <c r="F1872" t="s">
        <v>43</v>
      </c>
      <c r="G1872">
        <v>-169.2955</v>
      </c>
      <c r="H1872">
        <v>0.43960860000000002</v>
      </c>
      <c r="I1872">
        <v>355.61799999999999</v>
      </c>
      <c r="J1872">
        <v>-231.28190000000001</v>
      </c>
      <c r="K1872">
        <v>1.1107640000000001</v>
      </c>
      <c r="L1872">
        <v>366.41399999999999</v>
      </c>
      <c r="M1872">
        <v>0.99987110000000001</v>
      </c>
      <c r="N1872">
        <v>-1.1416320000000001E-2</v>
      </c>
      <c r="O1872">
        <v>-1.1295100000000001E-2</v>
      </c>
      <c r="P1872">
        <v>0.989788</v>
      </c>
      <c r="Q1872">
        <v>0.1276967</v>
      </c>
      <c r="R1872">
        <v>6.3350950000000003E-2</v>
      </c>
      <c r="S1872">
        <v>3.069366</v>
      </c>
      <c r="T1872">
        <v>-3.3149959999999999E-2</v>
      </c>
      <c r="U1872">
        <v>-0.53338619999999903</v>
      </c>
      <c r="V1872">
        <v>-7.4542239999999996E-2</v>
      </c>
      <c r="W1872">
        <v>0.13897100000000001</v>
      </c>
      <c r="X1872">
        <v>0.987487</v>
      </c>
      <c r="Y1872">
        <v>0.16005249999999999</v>
      </c>
      <c r="Z1872">
        <v>-1.7853159999999999E-3</v>
      </c>
      <c r="AA1872">
        <v>0.98710690000000001</v>
      </c>
      <c r="AB1872">
        <v>22</v>
      </c>
      <c r="AC1872">
        <v>61.986400000000003</v>
      </c>
      <c r="AD1872">
        <v>-0.67115539999999996</v>
      </c>
      <c r="AE1872">
        <v>-10.7959999999999</v>
      </c>
      <c r="AF1872">
        <v>10.093974526567401</v>
      </c>
      <c r="AG1872">
        <v>-0.67115539999999996</v>
      </c>
      <c r="AH1872">
        <v>62.097329522383902</v>
      </c>
      <c r="AI1872">
        <v>90.6112138419807</v>
      </c>
      <c r="AJ1872">
        <v>80.767274497726902</v>
      </c>
      <c r="AK1872">
        <v>62.915952707762997</v>
      </c>
      <c r="AL1872">
        <v>82.011693402548801</v>
      </c>
      <c r="AM1872">
        <v>94.316888257702104</v>
      </c>
      <c r="AN1872">
        <v>1.0000000297770999</v>
      </c>
    </row>
    <row r="1873" spans="1:40" x14ac:dyDescent="0.25">
      <c r="A1873" t="str">
        <f>"20190304154753122"</f>
        <v>20190304154753122</v>
      </c>
      <c r="B1873" t="str">
        <f>"1551685673118548"</f>
        <v>1551685673118548</v>
      </c>
      <c r="C1873" t="s">
        <v>40</v>
      </c>
      <c r="D1873">
        <v>4.4430639999999997</v>
      </c>
      <c r="E1873">
        <v>0.58974209999999905</v>
      </c>
      <c r="F1873" t="s">
        <v>43</v>
      </c>
      <c r="G1873">
        <v>-169.2955</v>
      </c>
      <c r="H1873">
        <v>0.51070020000000005</v>
      </c>
      <c r="I1873">
        <v>355.62299999999999</v>
      </c>
      <c r="J1873">
        <v>-231.14689999999999</v>
      </c>
      <c r="K1873">
        <v>1.1107610000000001</v>
      </c>
      <c r="L1873">
        <v>366.4126</v>
      </c>
      <c r="M1873">
        <v>0.99987179999999998</v>
      </c>
      <c r="N1873">
        <v>-1.1409529999999999E-2</v>
      </c>
      <c r="O1873">
        <v>-1.123533E-2</v>
      </c>
      <c r="P1873">
        <v>0.98980429999999997</v>
      </c>
      <c r="Q1873">
        <v>0.12757279999999999</v>
      </c>
      <c r="R1873">
        <v>6.3343910000000003E-2</v>
      </c>
      <c r="S1873">
        <v>3.0689850000000001</v>
      </c>
      <c r="T1873">
        <v>-2.9705169999999999E-2</v>
      </c>
      <c r="U1873">
        <v>-0.53427119999999995</v>
      </c>
      <c r="V1873">
        <v>-7.4476280000000006E-2</v>
      </c>
      <c r="W1873">
        <v>0.13884060000000001</v>
      </c>
      <c r="X1873">
        <v>0.98751029999999995</v>
      </c>
      <c r="Y1873">
        <v>0.16041129999999901</v>
      </c>
      <c r="Z1873">
        <v>-1.71189E-3</v>
      </c>
      <c r="AA1873">
        <v>0.98704879999999995</v>
      </c>
      <c r="AB1873">
        <v>22</v>
      </c>
      <c r="AC1873">
        <v>61.851399999999899</v>
      </c>
      <c r="AD1873">
        <v>-0.60006079999999995</v>
      </c>
      <c r="AE1873">
        <v>-10.789599999999901</v>
      </c>
      <c r="AF1873">
        <v>10.0930308511506</v>
      </c>
      <c r="AG1873">
        <v>-0.60006079999999995</v>
      </c>
      <c r="AH1873">
        <v>61.963068283358503</v>
      </c>
      <c r="AI1873">
        <v>90.547627700145895</v>
      </c>
      <c r="AJ1873">
        <v>80.748464734970597</v>
      </c>
      <c r="AK1873">
        <v>62.782570637192897</v>
      </c>
      <c r="AL1873">
        <v>82.019237757014807</v>
      </c>
      <c r="AM1873">
        <v>94.312981422772197</v>
      </c>
      <c r="AN1873">
        <v>1.00000001054854</v>
      </c>
    </row>
    <row r="1874" spans="1:40" x14ac:dyDescent="0.25">
      <c r="A1874" t="str">
        <f>"20190304154753138"</f>
        <v>20190304154753138</v>
      </c>
      <c r="B1874" t="str">
        <f>"1551685673128308"</f>
        <v>1551685673128308</v>
      </c>
      <c r="C1874" t="s">
        <v>40</v>
      </c>
      <c r="D1874">
        <v>4.4317260000000003</v>
      </c>
      <c r="E1874">
        <v>0.58991949999999904</v>
      </c>
      <c r="F1874" t="s">
        <v>43</v>
      </c>
      <c r="G1874">
        <v>-169.2955</v>
      </c>
      <c r="H1874">
        <v>0.4704914</v>
      </c>
      <c r="I1874">
        <v>355.61349999999999</v>
      </c>
      <c r="J1874">
        <v>-231.00200000000001</v>
      </c>
      <c r="K1874">
        <v>1.1107590000000001</v>
      </c>
      <c r="L1874">
        <v>366.411</v>
      </c>
      <c r="M1874">
        <v>0.9998726</v>
      </c>
      <c r="N1874">
        <v>-1.1402839999999999E-2</v>
      </c>
      <c r="O1874">
        <v>-1.117129E-2</v>
      </c>
      <c r="P1874">
        <v>0.9898285</v>
      </c>
      <c r="Q1874">
        <v>0.12737019999999999</v>
      </c>
      <c r="R1874">
        <v>6.3376139999999997E-2</v>
      </c>
      <c r="S1874">
        <v>3.0692900000000001</v>
      </c>
      <c r="T1874">
        <v>-3.1768079999999997E-2</v>
      </c>
      <c r="U1874">
        <v>-0.5358887</v>
      </c>
      <c r="V1874">
        <v>-7.4445499999999998E-2</v>
      </c>
      <c r="W1874">
        <v>0.1386319</v>
      </c>
      <c r="X1874">
        <v>0.98754189999999997</v>
      </c>
      <c r="Y1874">
        <v>0.16096099999999999</v>
      </c>
      <c r="Z1874">
        <v>-1.7631389999999999E-3</v>
      </c>
      <c r="AA1874">
        <v>0.98695920000000004</v>
      </c>
      <c r="AB1874">
        <v>22</v>
      </c>
      <c r="AC1874">
        <v>61.706499999999998</v>
      </c>
      <c r="AD1874">
        <v>-0.64026759999999905</v>
      </c>
      <c r="AE1874">
        <v>-10.797499999999999</v>
      </c>
      <c r="AF1874">
        <v>10.1063843814522</v>
      </c>
      <c r="AG1874">
        <v>-0.64026759999999905</v>
      </c>
      <c r="AH1874">
        <v>61.816821226013801</v>
      </c>
      <c r="AI1874">
        <v>90.585645090758007</v>
      </c>
      <c r="AJ1874">
        <v>80.714901993646905</v>
      </c>
      <c r="AK1874">
        <v>62.640788104510797</v>
      </c>
      <c r="AL1874">
        <v>82.031311829641197</v>
      </c>
      <c r="AM1874">
        <v>94.311068217334196</v>
      </c>
      <c r="AN1874">
        <v>0.99999997021173403</v>
      </c>
    </row>
    <row r="1875" spans="1:40" x14ac:dyDescent="0.25">
      <c r="A1875" t="str">
        <f>"20190304154753154"</f>
        <v>20190304154753154</v>
      </c>
      <c r="B1875" t="str">
        <f>"1551685673148805"</f>
        <v>1551685673148805</v>
      </c>
      <c r="C1875" t="s">
        <v>40</v>
      </c>
      <c r="D1875">
        <v>4.4494189999999998</v>
      </c>
      <c r="E1875">
        <v>0.59007690000000002</v>
      </c>
      <c r="F1875" t="s">
        <v>43</v>
      </c>
      <c r="G1875">
        <v>-169.2955</v>
      </c>
      <c r="H1875">
        <v>0.42319390000000001</v>
      </c>
      <c r="I1875">
        <v>355.60469999999998</v>
      </c>
      <c r="J1875">
        <v>-230.8535</v>
      </c>
      <c r="K1875">
        <v>1.110754</v>
      </c>
      <c r="L1875">
        <v>366.40940000000001</v>
      </c>
      <c r="M1875">
        <v>0.99987340000000002</v>
      </c>
      <c r="N1875">
        <v>-1.13966E-2</v>
      </c>
      <c r="O1875">
        <v>-1.110509E-2</v>
      </c>
      <c r="P1875">
        <v>0.98981649999999999</v>
      </c>
      <c r="Q1875">
        <v>0.1273775</v>
      </c>
      <c r="R1875">
        <v>6.3547980000000004E-2</v>
      </c>
      <c r="S1875">
        <v>3.069626</v>
      </c>
      <c r="T1875">
        <v>-3.4198880000000001E-2</v>
      </c>
      <c r="U1875">
        <v>-0.53756709999999996</v>
      </c>
      <c r="V1875">
        <v>-7.4551930000000002E-2</v>
      </c>
      <c r="W1875">
        <v>0.1386329</v>
      </c>
      <c r="X1875">
        <v>0.98753369999999996</v>
      </c>
      <c r="Y1875">
        <v>0.16152949999999999</v>
      </c>
      <c r="Z1875">
        <v>-1.823353E-3</v>
      </c>
      <c r="AA1875">
        <v>0.98686620000000003</v>
      </c>
      <c r="AB1875">
        <v>22</v>
      </c>
      <c r="AC1875">
        <v>61.5579999999999</v>
      </c>
      <c r="AD1875">
        <v>-0.68756010000000001</v>
      </c>
      <c r="AE1875">
        <v>-10.8047</v>
      </c>
      <c r="AF1875">
        <v>10.119157467206399</v>
      </c>
      <c r="AG1875">
        <v>-0.68756010000000001</v>
      </c>
      <c r="AH1875">
        <v>61.666735377134202</v>
      </c>
      <c r="AI1875">
        <v>90.630369289057995</v>
      </c>
      <c r="AJ1875">
        <v>80.681141778674998</v>
      </c>
      <c r="AK1875">
        <v>62.495250530026098</v>
      </c>
      <c r="AL1875">
        <v>82.031253732356106</v>
      </c>
      <c r="AM1875">
        <v>94.317243904917206</v>
      </c>
      <c r="AN1875">
        <v>0.99999993993240999</v>
      </c>
    </row>
    <row r="1876" spans="1:40" x14ac:dyDescent="0.25">
      <c r="A1876" t="str">
        <f>"20190304154753168"</f>
        <v>20190304154753168</v>
      </c>
      <c r="B1876" t="str">
        <f>"1551685673158564"</f>
        <v>1551685673158564</v>
      </c>
      <c r="C1876" t="s">
        <v>40</v>
      </c>
      <c r="D1876">
        <v>4.4198659999999999</v>
      </c>
      <c r="E1876">
        <v>0.59013879999999996</v>
      </c>
      <c r="F1876" t="s">
        <v>43</v>
      </c>
      <c r="G1876">
        <v>-169.2955</v>
      </c>
      <c r="H1876">
        <v>0.34630870000000002</v>
      </c>
      <c r="I1876">
        <v>355.61320000000001</v>
      </c>
      <c r="J1876">
        <v>-230.6934</v>
      </c>
      <c r="K1876">
        <v>1.110751</v>
      </c>
      <c r="L1876">
        <v>366.40769999999998</v>
      </c>
      <c r="M1876">
        <v>0.99987429999999999</v>
      </c>
      <c r="N1876">
        <v>-1.139065E-2</v>
      </c>
      <c r="O1876">
        <v>-1.103473E-2</v>
      </c>
      <c r="P1876">
        <v>0.98993359999999997</v>
      </c>
      <c r="Q1876">
        <v>0.12654799999999999</v>
      </c>
      <c r="R1876">
        <v>6.338046E-2</v>
      </c>
      <c r="S1876">
        <v>3.0703429999999998</v>
      </c>
      <c r="T1876">
        <v>-3.812397E-2</v>
      </c>
      <c r="U1876">
        <v>-0.53848269999999998</v>
      </c>
      <c r="V1876">
        <v>-7.4315790000000007E-2</v>
      </c>
      <c r="W1876">
        <v>0.1377989</v>
      </c>
      <c r="X1876">
        <v>0.98766830000000005</v>
      </c>
      <c r="Y1876">
        <v>0.16184179999999901</v>
      </c>
      <c r="Z1876">
        <v>-1.9147910000000001E-3</v>
      </c>
      <c r="AA1876">
        <v>0.98681490000000005</v>
      </c>
      <c r="AB1876">
        <v>22</v>
      </c>
      <c r="AC1876">
        <v>61.3978999999999</v>
      </c>
      <c r="AD1876">
        <v>-0.76444230000000002</v>
      </c>
      <c r="AE1876">
        <v>-10.7944999999999</v>
      </c>
      <c r="AF1876">
        <v>10.114768575484</v>
      </c>
      <c r="AG1876">
        <v>-0.76444230000000002</v>
      </c>
      <c r="AH1876">
        <v>61.5040350776097</v>
      </c>
      <c r="AI1876">
        <v>90.702662846661298</v>
      </c>
      <c r="AJ1876">
        <v>80.660905058905399</v>
      </c>
      <c r="AK1876">
        <v>62.334895894622797</v>
      </c>
      <c r="AL1876">
        <v>82.079502148390603</v>
      </c>
      <c r="AM1876">
        <v>94.303036382460206</v>
      </c>
      <c r="AN1876">
        <v>1.0000000221547101</v>
      </c>
    </row>
    <row r="1877" spans="1:40" x14ac:dyDescent="0.25">
      <c r="A1877" t="str">
        <f>"20190304154753182"</f>
        <v>20190304154753182</v>
      </c>
      <c r="B1877" t="str">
        <f>"1551685673178592"</f>
        <v>1551685673178592</v>
      </c>
      <c r="C1877" t="s">
        <v>40</v>
      </c>
      <c r="D1877">
        <v>4.4568459999999996</v>
      </c>
      <c r="E1877">
        <v>0.59040170000000003</v>
      </c>
      <c r="F1877" t="s">
        <v>43</v>
      </c>
      <c r="G1877">
        <v>-169.2955</v>
      </c>
      <c r="H1877">
        <v>0.24875639999999999</v>
      </c>
      <c r="I1877">
        <v>355.61840000000001</v>
      </c>
      <c r="J1877">
        <v>-230.5633</v>
      </c>
      <c r="K1877">
        <v>1.1107530000000001</v>
      </c>
      <c r="L1877">
        <v>366.40629999999999</v>
      </c>
      <c r="M1877">
        <v>0.99987490000000001</v>
      </c>
      <c r="N1877">
        <v>-1.138628E-2</v>
      </c>
      <c r="O1877">
        <v>-1.097689E-2</v>
      </c>
      <c r="P1877">
        <v>0.98998759999999997</v>
      </c>
      <c r="Q1877">
        <v>0.12616089999999999</v>
      </c>
      <c r="R1877">
        <v>6.3307810000000006E-2</v>
      </c>
      <c r="S1877">
        <v>3.070557</v>
      </c>
      <c r="T1877">
        <v>-4.3104530000000002E-2</v>
      </c>
      <c r="U1877">
        <v>-0.53958130000000004</v>
      </c>
      <c r="V1877">
        <v>-7.4186100000000005E-2</v>
      </c>
      <c r="W1877">
        <v>0.13740869999999999</v>
      </c>
      <c r="X1877">
        <v>0.98773239999999995</v>
      </c>
      <c r="Y1877">
        <v>0.162224799999999</v>
      </c>
      <c r="Z1877">
        <v>-2.0318419999999998E-3</v>
      </c>
      <c r="AA1877">
        <v>0.98675170000000001</v>
      </c>
      <c r="AB1877">
        <v>22</v>
      </c>
      <c r="AC1877">
        <v>61.267800000000001</v>
      </c>
      <c r="AD1877">
        <v>-0.8619966</v>
      </c>
      <c r="AE1877">
        <v>-10.787899999999899</v>
      </c>
      <c r="AF1877">
        <v>10.112734872366</v>
      </c>
      <c r="AG1877">
        <v>-0.8619966</v>
      </c>
      <c r="AH1877">
        <v>61.370750755064599</v>
      </c>
      <c r="AI1877">
        <v>90.794001683060202</v>
      </c>
      <c r="AJ1877">
        <v>80.642829465874698</v>
      </c>
      <c r="AK1877">
        <v>62.204336609093801</v>
      </c>
      <c r="AL1877">
        <v>82.102073588652502</v>
      </c>
      <c r="AM1877">
        <v>94.295277475798699</v>
      </c>
      <c r="AN1877">
        <v>1.0000000111393299</v>
      </c>
    </row>
    <row r="1878" spans="1:40" x14ac:dyDescent="0.25">
      <c r="A1878" t="str">
        <f>"20190304154753195"</f>
        <v>20190304154753195</v>
      </c>
      <c r="B1878" t="str">
        <f>"1551685673188353"</f>
        <v>1551685673188353</v>
      </c>
      <c r="C1878" t="s">
        <v>40</v>
      </c>
      <c r="D1878">
        <v>4.456423</v>
      </c>
      <c r="E1878">
        <v>0.59046699999999996</v>
      </c>
      <c r="F1878" t="s">
        <v>43</v>
      </c>
      <c r="G1878">
        <v>-169.2955</v>
      </c>
      <c r="H1878">
        <v>0.1604681</v>
      </c>
      <c r="I1878">
        <v>355.5924</v>
      </c>
      <c r="J1878">
        <v>-230.43389999999999</v>
      </c>
      <c r="K1878">
        <v>1.110752</v>
      </c>
      <c r="L1878">
        <v>366.40499999999997</v>
      </c>
      <c r="M1878">
        <v>0.99987570000000003</v>
      </c>
      <c r="N1878">
        <v>-1.138223E-2</v>
      </c>
      <c r="O1878">
        <v>-1.0919770000000001E-2</v>
      </c>
      <c r="P1878">
        <v>0.9899945</v>
      </c>
      <c r="Q1878">
        <v>0.1261929</v>
      </c>
      <c r="R1878">
        <v>6.3138020000000003E-2</v>
      </c>
      <c r="S1878">
        <v>3.071075</v>
      </c>
      <c r="T1878">
        <v>-4.7628999999999998E-2</v>
      </c>
      <c r="U1878">
        <v>-0.54205319999999901</v>
      </c>
      <c r="V1878">
        <v>-7.3960219999999993E-2</v>
      </c>
      <c r="W1878">
        <v>0.13743659999999999</v>
      </c>
      <c r="X1878">
        <v>0.98774550000000005</v>
      </c>
      <c r="Y1878">
        <v>0.1630182</v>
      </c>
      <c r="Z1878">
        <v>-2.1447129999999999E-3</v>
      </c>
      <c r="AA1878">
        <v>0.98662070000000002</v>
      </c>
      <c r="AB1878">
        <v>22</v>
      </c>
      <c r="AC1878">
        <v>61.138399999999898</v>
      </c>
      <c r="AD1878">
        <v>-0.95028389999999996</v>
      </c>
      <c r="AE1878">
        <v>-10.8125999999999</v>
      </c>
      <c r="AF1878">
        <v>10.1419189236608</v>
      </c>
      <c r="AG1878">
        <v>-0.95028389999999996</v>
      </c>
      <c r="AH1878">
        <v>61.238487157438797</v>
      </c>
      <c r="AI1878">
        <v>90.877085565138998</v>
      </c>
      <c r="AJ1878">
        <v>80.596400095931898</v>
      </c>
      <c r="AK1878">
        <v>62.079899067866599</v>
      </c>
      <c r="AL1878">
        <v>82.100460057413997</v>
      </c>
      <c r="AM1878">
        <v>94.282191461373102</v>
      </c>
      <c r="AN1878">
        <v>1.0000000529661199</v>
      </c>
    </row>
    <row r="1879" spans="1:40" x14ac:dyDescent="0.25">
      <c r="A1879" t="str">
        <f>"20190304154753208"</f>
        <v>20190304154753208</v>
      </c>
      <c r="B1879" t="str">
        <f>"1551685673198113"</f>
        <v>1551685673198113</v>
      </c>
      <c r="C1879" t="s">
        <v>40</v>
      </c>
      <c r="D1879">
        <v>4.4276470000000003</v>
      </c>
      <c r="E1879">
        <v>0.59059549999999905</v>
      </c>
      <c r="F1879" t="s">
        <v>43</v>
      </c>
      <c r="G1879">
        <v>-169.2955</v>
      </c>
      <c r="H1879">
        <v>0.1340017</v>
      </c>
      <c r="I1879">
        <v>355.589</v>
      </c>
      <c r="J1879">
        <v>-230.29730000000001</v>
      </c>
      <c r="K1879">
        <v>1.110749</v>
      </c>
      <c r="L1879">
        <v>366.40359999999998</v>
      </c>
      <c r="M1879">
        <v>0.99987630000000005</v>
      </c>
      <c r="N1879">
        <v>-1.137844E-2</v>
      </c>
      <c r="O1879">
        <v>-1.0859779999999999E-2</v>
      </c>
      <c r="P1879">
        <v>0.98996379999999995</v>
      </c>
      <c r="Q1879">
        <v>0.12642400000000001</v>
      </c>
      <c r="R1879">
        <v>6.3154119999999994E-2</v>
      </c>
      <c r="S1879">
        <v>3.0712429999999999</v>
      </c>
      <c r="T1879">
        <v>-4.9061889999999997E-2</v>
      </c>
      <c r="U1879">
        <v>-0.54333500000000001</v>
      </c>
      <c r="V1879">
        <v>-7.3916410000000002E-2</v>
      </c>
      <c r="W1879">
        <v>0.1376638</v>
      </c>
      <c r="X1879">
        <v>0.98771710000000001</v>
      </c>
      <c r="Y1879">
        <v>0.16346569999999999</v>
      </c>
      <c r="Z1879">
        <v>-2.1833569999999999E-3</v>
      </c>
      <c r="AA1879">
        <v>0.98654660000000005</v>
      </c>
      <c r="AB1879">
        <v>22</v>
      </c>
      <c r="AC1879">
        <v>61.001800000000003</v>
      </c>
      <c r="AD1879">
        <v>-0.97674729999999998</v>
      </c>
      <c r="AE1879">
        <v>-10.814599999999899</v>
      </c>
      <c r="AF1879">
        <v>10.1489305128254</v>
      </c>
      <c r="AG1879">
        <v>-0.97674729999999998</v>
      </c>
      <c r="AH1879">
        <v>61.100466663134597</v>
      </c>
      <c r="AI1879">
        <v>90.903471370633397</v>
      </c>
      <c r="AJ1879">
        <v>80.569140302131501</v>
      </c>
      <c r="AK1879">
        <v>61.9453134005716</v>
      </c>
      <c r="AL1879">
        <v>82.087317220866197</v>
      </c>
      <c r="AM1879">
        <v>94.279786948319398</v>
      </c>
      <c r="AN1879">
        <v>1.00000001356506</v>
      </c>
    </row>
    <row r="1880" spans="1:40" x14ac:dyDescent="0.25">
      <c r="A1880" t="str">
        <f>"20190304154753225"</f>
        <v>20190304154753225</v>
      </c>
      <c r="B1880" t="str">
        <f>"1551685673218609"</f>
        <v>1551685673218609</v>
      </c>
      <c r="C1880" t="s">
        <v>40</v>
      </c>
      <c r="D1880">
        <v>4.4618289999999998</v>
      </c>
      <c r="E1880">
        <v>0.59086079999999996</v>
      </c>
      <c r="F1880" t="s">
        <v>43</v>
      </c>
      <c r="G1880">
        <v>-169.2955</v>
      </c>
      <c r="H1880">
        <v>0.13300319999999999</v>
      </c>
      <c r="I1880">
        <v>355.59539999999998</v>
      </c>
      <c r="J1880">
        <v>-230.1352</v>
      </c>
      <c r="K1880">
        <v>1.1107469999999999</v>
      </c>
      <c r="L1880">
        <v>366.40190000000001</v>
      </c>
      <c r="M1880">
        <v>0.99987729999999997</v>
      </c>
      <c r="N1880">
        <v>-1.1374489999999999E-2</v>
      </c>
      <c r="O1880">
        <v>-1.0788000000000001E-2</v>
      </c>
      <c r="P1880">
        <v>0.98992029999999998</v>
      </c>
      <c r="Q1880">
        <v>0.12678680000000001</v>
      </c>
      <c r="R1880">
        <v>6.3114030000000002E-2</v>
      </c>
      <c r="S1880">
        <v>3.0714260000000002</v>
      </c>
      <c r="T1880">
        <v>-4.9224850000000001E-2</v>
      </c>
      <c r="U1880">
        <v>-0.54418949999999999</v>
      </c>
      <c r="V1880">
        <v>-7.3805309999999999E-2</v>
      </c>
      <c r="W1880">
        <v>0.13802229999999999</v>
      </c>
      <c r="X1880">
        <v>0.98767539999999998</v>
      </c>
      <c r="Y1880">
        <v>0.163792299999999</v>
      </c>
      <c r="Z1880">
        <v>-2.1914450000000002E-3</v>
      </c>
      <c r="AA1880">
        <v>0.98649240000000005</v>
      </c>
      <c r="AB1880">
        <v>22</v>
      </c>
      <c r="AC1880">
        <v>60.839699999999901</v>
      </c>
      <c r="AD1880">
        <v>-0.97774380000000005</v>
      </c>
      <c r="AE1880">
        <v>-10.8065</v>
      </c>
      <c r="AF1880">
        <v>10.1469495298889</v>
      </c>
      <c r="AG1880">
        <v>-0.97774380000000005</v>
      </c>
      <c r="AH1880">
        <v>60.937490147819297</v>
      </c>
      <c r="AI1880">
        <v>90.906750933732795</v>
      </c>
      <c r="AJ1880">
        <v>80.546184818920096</v>
      </c>
      <c r="AK1880">
        <v>61.784255868434002</v>
      </c>
      <c r="AL1880">
        <v>82.066578906558902</v>
      </c>
      <c r="AM1880">
        <v>94.273557820637606</v>
      </c>
      <c r="AN1880">
        <v>1.00000003742332</v>
      </c>
    </row>
    <row r="1881" spans="1:40" x14ac:dyDescent="0.25">
      <c r="A1881" t="str">
        <f>"20190304154753243"</f>
        <v>20190304154753243</v>
      </c>
      <c r="B1881" t="str">
        <f>"1551685673238128"</f>
        <v>1551685673238128</v>
      </c>
      <c r="C1881" t="s">
        <v>40</v>
      </c>
      <c r="D1881">
        <v>4.4398900000000001</v>
      </c>
      <c r="E1881">
        <v>0.59111919999999996</v>
      </c>
      <c r="F1881" t="s">
        <v>43</v>
      </c>
      <c r="G1881">
        <v>-169.2955</v>
      </c>
      <c r="H1881">
        <v>0.1199827</v>
      </c>
      <c r="I1881">
        <v>355.58019999999999</v>
      </c>
      <c r="J1881">
        <v>-229.96639999999999</v>
      </c>
      <c r="K1881">
        <v>1.1107479999999901</v>
      </c>
      <c r="L1881">
        <v>366.40010000000001</v>
      </c>
      <c r="M1881">
        <v>0.99987800000000004</v>
      </c>
      <c r="N1881">
        <v>-1.137089E-2</v>
      </c>
      <c r="O1881">
        <v>-1.07136E-2</v>
      </c>
      <c r="P1881">
        <v>0.98995699999999998</v>
      </c>
      <c r="Q1881">
        <v>0.1266563</v>
      </c>
      <c r="R1881">
        <v>6.2796249999999998E-2</v>
      </c>
      <c r="S1881">
        <v>3.071793</v>
      </c>
      <c r="T1881">
        <v>-5.0019149999999998E-2</v>
      </c>
      <c r="U1881">
        <v>-0.546386699999999</v>
      </c>
      <c r="V1881">
        <v>-7.3414370000000007E-2</v>
      </c>
      <c r="W1881">
        <v>0.1378886</v>
      </c>
      <c r="X1881">
        <v>0.98772320000000002</v>
      </c>
      <c r="Y1881">
        <v>0.16452849999999999</v>
      </c>
      <c r="Z1881">
        <v>-2.219726E-3</v>
      </c>
      <c r="AA1881">
        <v>0.98636979999999996</v>
      </c>
      <c r="AB1881">
        <v>22</v>
      </c>
      <c r="AC1881">
        <v>60.670899999999897</v>
      </c>
      <c r="AD1881">
        <v>-0.99076529999999896</v>
      </c>
      <c r="AE1881">
        <v>-10.819900000000001</v>
      </c>
      <c r="AF1881">
        <v>10.166605590846499</v>
      </c>
      <c r="AG1881">
        <v>-0.99076529999999896</v>
      </c>
      <c r="AH1881">
        <v>60.767639436351701</v>
      </c>
      <c r="AI1881">
        <v>90.921274647285102</v>
      </c>
      <c r="AJ1881">
        <v>80.502210185216001</v>
      </c>
      <c r="AK1881">
        <v>61.620187339750601</v>
      </c>
      <c r="AL1881">
        <v>82.074313227987204</v>
      </c>
      <c r="AM1881">
        <v>94.250799405824296</v>
      </c>
      <c r="AN1881">
        <v>1.00000002777534</v>
      </c>
    </row>
    <row r="1882" spans="1:40" x14ac:dyDescent="0.25">
      <c r="A1882" t="str">
        <f>"20190304154753258"</f>
        <v>20190304154753258</v>
      </c>
      <c r="B1882" t="str">
        <f>"1551685673247888"</f>
        <v>1551685673247888</v>
      </c>
      <c r="C1882" t="s">
        <v>40</v>
      </c>
      <c r="D1882">
        <v>4.4479259999999998</v>
      </c>
      <c r="E1882">
        <v>0.59125260000000002</v>
      </c>
      <c r="F1882" t="s">
        <v>43</v>
      </c>
      <c r="G1882">
        <v>-169.2955</v>
      </c>
      <c r="H1882">
        <v>8.5078239999999999E-2</v>
      </c>
      <c r="I1882">
        <v>355.54860000000002</v>
      </c>
      <c r="J1882">
        <v>-229.80959999999999</v>
      </c>
      <c r="K1882">
        <v>1.110751</v>
      </c>
      <c r="L1882">
        <v>366.39859999999999</v>
      </c>
      <c r="M1882">
        <v>0.99987890000000001</v>
      </c>
      <c r="N1882">
        <v>-1.136798E-2</v>
      </c>
      <c r="O1882">
        <v>-1.0644560000000001E-2</v>
      </c>
      <c r="P1882">
        <v>0.98993010000000004</v>
      </c>
      <c r="Q1882">
        <v>0.12683639999999999</v>
      </c>
      <c r="R1882">
        <v>6.2858150000000002E-2</v>
      </c>
      <c r="S1882">
        <v>3.0719150000000002</v>
      </c>
      <c r="T1882">
        <v>-5.1927689999999999E-2</v>
      </c>
      <c r="U1882">
        <v>-0.54943850000000005</v>
      </c>
      <c r="V1882">
        <v>-7.3407829999999993E-2</v>
      </c>
      <c r="W1882">
        <v>0.1380652</v>
      </c>
      <c r="X1882">
        <v>0.98769899999999999</v>
      </c>
      <c r="Y1882">
        <v>0.16553709999999999</v>
      </c>
      <c r="Z1882">
        <v>-2.2780930000000001E-3</v>
      </c>
      <c r="AA1882">
        <v>0.98620090000000005</v>
      </c>
      <c r="AB1882">
        <v>22</v>
      </c>
      <c r="AC1882">
        <v>60.5140999999999</v>
      </c>
      <c r="AD1882">
        <v>-1.02567276</v>
      </c>
      <c r="AE1882">
        <v>-10.8499999999999</v>
      </c>
      <c r="AF1882">
        <v>10.2023580939138</v>
      </c>
      <c r="AG1882">
        <v>-1.02567276</v>
      </c>
      <c r="AH1882">
        <v>60.6093025616143</v>
      </c>
      <c r="AI1882">
        <v>90.956058699461394</v>
      </c>
      <c r="AJ1882">
        <v>80.444981964020101</v>
      </c>
      <c r="AK1882">
        <v>61.470543126707099</v>
      </c>
      <c r="AL1882">
        <v>82.064096952951402</v>
      </c>
      <c r="AM1882">
        <v>94.250525877674406</v>
      </c>
      <c r="AN1882">
        <v>1.00000001177867</v>
      </c>
    </row>
    <row r="1883" spans="1:40" x14ac:dyDescent="0.25">
      <c r="A1883" t="str">
        <f>"20190304154753272"</f>
        <v>20190304154753272</v>
      </c>
      <c r="B1883" t="str">
        <f>"1551685673267918"</f>
        <v>1551685673267918</v>
      </c>
      <c r="C1883" t="s">
        <v>40</v>
      </c>
      <c r="D1883">
        <v>4.478345</v>
      </c>
      <c r="E1883">
        <v>0.59136519999999904</v>
      </c>
      <c r="F1883" t="s">
        <v>43</v>
      </c>
      <c r="G1883">
        <v>-169.2955</v>
      </c>
      <c r="H1883">
        <v>8.2722660000000003E-2</v>
      </c>
      <c r="I1883">
        <v>355.55489999999998</v>
      </c>
      <c r="J1883">
        <v>-229.6755</v>
      </c>
      <c r="K1883">
        <v>1.1107499999999999</v>
      </c>
      <c r="L1883">
        <v>366.3972</v>
      </c>
      <c r="M1883">
        <v>0.99987939999999997</v>
      </c>
      <c r="N1883">
        <v>-1.1365770000000001E-2</v>
      </c>
      <c r="O1883">
        <v>-1.0584710000000001E-2</v>
      </c>
      <c r="P1883">
        <v>0.98989959999999999</v>
      </c>
      <c r="Q1883">
        <v>0.12705959999999999</v>
      </c>
      <c r="R1883">
        <v>6.2885979999999994E-2</v>
      </c>
      <c r="S1883">
        <v>3.0721590000000001</v>
      </c>
      <c r="T1883">
        <v>-5.2186009999999998E-2</v>
      </c>
      <c r="U1883">
        <v>-0.55050659999999996</v>
      </c>
      <c r="V1883">
        <v>-7.3375869999999996E-2</v>
      </c>
      <c r="W1883">
        <v>0.1382862</v>
      </c>
      <c r="X1883">
        <v>0.98767039999999995</v>
      </c>
      <c r="Y1883">
        <v>0.16591439999999999</v>
      </c>
      <c r="Z1883">
        <v>-2.2894669999999999E-3</v>
      </c>
      <c r="AA1883">
        <v>0.9861375</v>
      </c>
      <c r="AB1883">
        <v>22</v>
      </c>
      <c r="AC1883">
        <v>60.38</v>
      </c>
      <c r="AD1883">
        <v>-1.02802734</v>
      </c>
      <c r="AE1883">
        <v>-10.8423</v>
      </c>
      <c r="AF1883">
        <v>10.1996821193472</v>
      </c>
      <c r="AG1883">
        <v>-1.02802734</v>
      </c>
      <c r="AH1883">
        <v>60.474404201848799</v>
      </c>
      <c r="AI1883">
        <v>90.960338096180806</v>
      </c>
      <c r="AJ1883">
        <v>80.426527334382797</v>
      </c>
      <c r="AK1883">
        <v>61.337133280877303</v>
      </c>
      <c r="AL1883">
        <v>82.051311496162995</v>
      </c>
      <c r="AM1883">
        <v>94.248804657732407</v>
      </c>
      <c r="AN1883">
        <v>0.99999995522242702</v>
      </c>
    </row>
    <row r="1884" spans="1:40" x14ac:dyDescent="0.25">
      <c r="A1884" t="str">
        <f>"20190304154753285"</f>
        <v>20190304154753285</v>
      </c>
      <c r="B1884" t="str">
        <f>"1551685673278653"</f>
        <v>1551685673278653</v>
      </c>
      <c r="C1884" t="s">
        <v>40</v>
      </c>
      <c r="D1884">
        <v>4.4800839999999997</v>
      </c>
      <c r="E1884">
        <v>0.59136409999999995</v>
      </c>
      <c r="F1884" t="s">
        <v>43</v>
      </c>
      <c r="G1884">
        <v>-169.2955</v>
      </c>
      <c r="H1884">
        <v>5.6103710000000001E-2</v>
      </c>
      <c r="I1884">
        <v>355.56799999999998</v>
      </c>
      <c r="J1884">
        <v>-229.5361</v>
      </c>
      <c r="K1884">
        <v>1.1107499999999999</v>
      </c>
      <c r="L1884">
        <v>366.39580000000001</v>
      </c>
      <c r="M1884">
        <v>0.99988010000000005</v>
      </c>
      <c r="N1884">
        <v>-1.136387E-2</v>
      </c>
      <c r="O1884">
        <v>-1.052319E-2</v>
      </c>
      <c r="P1884">
        <v>0.98989749999999999</v>
      </c>
      <c r="Q1884">
        <v>0.12707760000000001</v>
      </c>
      <c r="R1884">
        <v>6.2883889999999998E-2</v>
      </c>
      <c r="S1884">
        <v>3.072495</v>
      </c>
      <c r="T1884">
        <v>-5.3662179999999997E-2</v>
      </c>
      <c r="U1884">
        <v>-0.55105590000000004</v>
      </c>
      <c r="V1884">
        <v>-7.3312600000000006E-2</v>
      </c>
      <c r="W1884">
        <v>0.13830229999999999</v>
      </c>
      <c r="X1884">
        <v>0.98767289999999996</v>
      </c>
      <c r="Y1884">
        <v>0.16612539999999901</v>
      </c>
      <c r="Z1884">
        <v>-2.3270510000000001E-3</v>
      </c>
      <c r="AA1884">
        <v>0.98610189999999998</v>
      </c>
      <c r="AB1884">
        <v>22</v>
      </c>
      <c r="AC1884">
        <v>60.240600000000001</v>
      </c>
      <c r="AD1884">
        <v>-1.05464629</v>
      </c>
      <c r="AE1884">
        <v>-10.8277999999999</v>
      </c>
      <c r="AF1884">
        <v>10.190210613419501</v>
      </c>
      <c r="AG1884">
        <v>-1.05464629</v>
      </c>
      <c r="AH1884">
        <v>60.333300768405898</v>
      </c>
      <c r="AI1884">
        <v>90.987464701553193</v>
      </c>
      <c r="AJ1884">
        <v>80.413298334560096</v>
      </c>
      <c r="AK1884">
        <v>61.196894143034598</v>
      </c>
      <c r="AL1884">
        <v>82.050380526178202</v>
      </c>
      <c r="AM1884">
        <v>94.245143722921995</v>
      </c>
      <c r="AN1884">
        <v>1.0000000104492299</v>
      </c>
    </row>
    <row r="1885" spans="1:40" x14ac:dyDescent="0.25">
      <c r="A1885" t="str">
        <f>"20190304154753299"</f>
        <v>20190304154753299</v>
      </c>
      <c r="B1885" t="str">
        <f>"1551685673288414"</f>
        <v>1551685673288414</v>
      </c>
      <c r="C1885" t="s">
        <v>40</v>
      </c>
      <c r="D1885">
        <v>4.5208180000000002</v>
      </c>
      <c r="E1885">
        <v>0.59138659999999998</v>
      </c>
      <c r="F1885" t="s">
        <v>45</v>
      </c>
      <c r="G1885">
        <v>-165.11879999999999</v>
      </c>
      <c r="H1885">
        <v>-0.05</v>
      </c>
      <c r="I1885">
        <v>354.84519999999998</v>
      </c>
      <c r="J1885">
        <v>-229.41239999999999</v>
      </c>
      <c r="K1885">
        <v>1.1107479999999901</v>
      </c>
      <c r="L1885">
        <v>366.39460000000003</v>
      </c>
      <c r="M1885">
        <v>0.99988060000000001</v>
      </c>
      <c r="N1885">
        <v>-1.136236E-2</v>
      </c>
      <c r="O1885">
        <v>-1.0468460000000001E-2</v>
      </c>
      <c r="P1885">
        <v>0.98989959999999999</v>
      </c>
      <c r="Q1885">
        <v>0.12715109999999999</v>
      </c>
      <c r="R1885">
        <v>6.270336E-2</v>
      </c>
      <c r="S1885">
        <v>3.072708</v>
      </c>
      <c r="T1885">
        <v>-5.536783E-2</v>
      </c>
      <c r="U1885">
        <v>-0.55096440000000002</v>
      </c>
      <c r="V1885">
        <v>-7.3078260000000006E-2</v>
      </c>
      <c r="W1885">
        <v>0.13837459999999999</v>
      </c>
      <c r="X1885">
        <v>0.98768009999999995</v>
      </c>
      <c r="Y1885">
        <v>0.1661369</v>
      </c>
      <c r="Z1885">
        <v>-2.3672989999999998E-3</v>
      </c>
      <c r="AA1885">
        <v>0.98609979999999997</v>
      </c>
      <c r="AB1885">
        <v>22</v>
      </c>
      <c r="AC1885">
        <v>64.293599999999998</v>
      </c>
      <c r="AD1885">
        <v>-1.1607479999999999</v>
      </c>
      <c r="AE1885">
        <v>-11.5494</v>
      </c>
      <c r="AF1885">
        <v>10.8722356550504</v>
      </c>
      <c r="AG1885">
        <v>-1.1607479999999999</v>
      </c>
      <c r="AH1885">
        <v>64.390657218895498</v>
      </c>
      <c r="AI1885">
        <v>91.018328266745698</v>
      </c>
      <c r="AJ1885">
        <v>80.416115950276705</v>
      </c>
      <c r="AK1885">
        <v>65.312399903385497</v>
      </c>
      <c r="AL1885">
        <v>82.046197508721505</v>
      </c>
      <c r="AM1885">
        <v>94.231592970233294</v>
      </c>
      <c r="AN1885">
        <v>0.99999997097289794</v>
      </c>
    </row>
    <row r="1886" spans="1:40" x14ac:dyDescent="0.25">
      <c r="A1886" t="str">
        <f>"20190304154753314"</f>
        <v>20190304154753314</v>
      </c>
      <c r="B1886" t="str">
        <f>"1551685673307933"</f>
        <v>1551685673307933</v>
      </c>
      <c r="C1886" t="s">
        <v>40</v>
      </c>
      <c r="D1886">
        <v>4.4120589999999904</v>
      </c>
      <c r="E1886">
        <v>0.59155919999999995</v>
      </c>
      <c r="F1886" t="s">
        <v>45</v>
      </c>
      <c r="G1886">
        <v>-166.09520000000001</v>
      </c>
      <c r="H1886">
        <v>-0.05</v>
      </c>
      <c r="I1886">
        <v>355.01769999999999</v>
      </c>
      <c r="J1886">
        <v>-229.2603</v>
      </c>
      <c r="K1886">
        <v>1.1107469999999999</v>
      </c>
      <c r="L1886">
        <v>366.39299999999997</v>
      </c>
      <c r="M1886">
        <v>0.99988129999999997</v>
      </c>
      <c r="N1886">
        <v>-1.1360719999999999E-2</v>
      </c>
      <c r="O1886">
        <v>-1.0401219999999999E-2</v>
      </c>
      <c r="P1886">
        <v>0.98989530000000003</v>
      </c>
      <c r="Q1886">
        <v>0.12711169999999999</v>
      </c>
      <c r="R1886">
        <v>6.2849849999999999E-2</v>
      </c>
      <c r="S1886">
        <v>3.0728149999999999</v>
      </c>
      <c r="T1886">
        <v>-5.6331630000000001E-2</v>
      </c>
      <c r="U1886">
        <v>-0.55212399999999995</v>
      </c>
      <c r="V1886">
        <v>-7.3158269999999997E-2</v>
      </c>
      <c r="W1886">
        <v>0.1383335</v>
      </c>
      <c r="X1886">
        <v>0.98768</v>
      </c>
      <c r="Y1886">
        <v>0.1665565</v>
      </c>
      <c r="Z1886">
        <v>-2.3963550000000002E-3</v>
      </c>
      <c r="AA1886">
        <v>0.98602900000000004</v>
      </c>
      <c r="AB1886">
        <v>22</v>
      </c>
      <c r="AC1886">
        <v>63.165100000000002</v>
      </c>
      <c r="AD1886">
        <v>-1.160747</v>
      </c>
      <c r="AE1886">
        <v>-11.375299999999999</v>
      </c>
      <c r="AF1886">
        <v>10.7141436101442</v>
      </c>
      <c r="AG1886">
        <v>-1.160747</v>
      </c>
      <c r="AH1886">
        <v>63.2593162238012</v>
      </c>
      <c r="AI1886">
        <v>91.0364467077885</v>
      </c>
      <c r="AJ1886">
        <v>80.387117195905404</v>
      </c>
      <c r="AK1886">
        <v>64.170719927391204</v>
      </c>
      <c r="AL1886">
        <v>82.048575753062906</v>
      </c>
      <c r="AM1886">
        <v>94.236209516110605</v>
      </c>
      <c r="AN1886">
        <v>1.0000000360458201</v>
      </c>
    </row>
    <row r="1887" spans="1:40" x14ac:dyDescent="0.25">
      <c r="A1887" t="str">
        <f>"20190304154753327"</f>
        <v>20190304154753327</v>
      </c>
      <c r="B1887" t="str">
        <f>"1551685673318669"</f>
        <v>1551685673318669</v>
      </c>
      <c r="C1887" t="s">
        <v>40</v>
      </c>
      <c r="D1887">
        <v>4.2800330000000004</v>
      </c>
      <c r="E1887">
        <v>0.56332709999999997</v>
      </c>
      <c r="F1887" t="s">
        <v>45</v>
      </c>
      <c r="G1887">
        <v>-165.63220000000001</v>
      </c>
      <c r="H1887">
        <v>-0.05</v>
      </c>
      <c r="I1887">
        <v>354.93799999999999</v>
      </c>
      <c r="J1887">
        <v>-229.12010000000001</v>
      </c>
      <c r="K1887">
        <v>1.1107469999999999</v>
      </c>
      <c r="L1887">
        <v>366.39170000000001</v>
      </c>
      <c r="M1887">
        <v>0.99988200000000005</v>
      </c>
      <c r="N1887">
        <v>-1.135949E-2</v>
      </c>
      <c r="O1887">
        <v>-1.0339350000000001E-2</v>
      </c>
      <c r="P1887">
        <v>0.98989340000000003</v>
      </c>
      <c r="Q1887">
        <v>0.12710350000000001</v>
      </c>
      <c r="R1887">
        <v>6.2896869999999994E-2</v>
      </c>
      <c r="S1887">
        <v>3.072937</v>
      </c>
      <c r="T1887">
        <v>-5.6058650000000002E-2</v>
      </c>
      <c r="U1887">
        <v>-0.55322269999999996</v>
      </c>
      <c r="V1887">
        <v>-7.3144239999999999E-2</v>
      </c>
      <c r="W1887">
        <v>0.13832449999999999</v>
      </c>
      <c r="X1887">
        <v>0.98768230000000001</v>
      </c>
      <c r="Y1887">
        <v>0.1669524</v>
      </c>
      <c r="Z1887">
        <v>-2.3960180000000002E-3</v>
      </c>
      <c r="AA1887">
        <v>0.98596200000000001</v>
      </c>
      <c r="AB1887">
        <v>22</v>
      </c>
      <c r="AC1887">
        <v>63.487900000000003</v>
      </c>
      <c r="AD1887">
        <v>-1.160747</v>
      </c>
      <c r="AE1887">
        <v>-11.4536999999999</v>
      </c>
      <c r="AF1887">
        <v>10.7931276390685</v>
      </c>
      <c r="AG1887">
        <v>-1.160747</v>
      </c>
      <c r="AH1887">
        <v>63.582353893391897</v>
      </c>
      <c r="AI1887">
        <v>91.031117193960696</v>
      </c>
      <c r="AJ1887">
        <v>80.365856666095794</v>
      </c>
      <c r="AK1887">
        <v>64.502361696729906</v>
      </c>
      <c r="AL1887">
        <v>82.049096423733104</v>
      </c>
      <c r="AM1887">
        <v>94.235390242386899</v>
      </c>
      <c r="AN1887">
        <v>1.00000003643935</v>
      </c>
    </row>
    <row r="1888" spans="1:40" x14ac:dyDescent="0.25">
      <c r="A1888" t="str">
        <f>"20190304154753341"</f>
        <v>20190304154753341</v>
      </c>
      <c r="B1888" t="str">
        <f>"1551685673338189"</f>
        <v>1551685673338189</v>
      </c>
      <c r="C1888" t="s">
        <v>40</v>
      </c>
      <c r="D1888">
        <v>4.2988189999999999</v>
      </c>
      <c r="E1888">
        <v>0.55977180000000004</v>
      </c>
      <c r="F1888" t="s">
        <v>45</v>
      </c>
      <c r="G1888">
        <v>-161.66849999999999</v>
      </c>
      <c r="H1888">
        <v>-0.05</v>
      </c>
      <c r="I1888">
        <v>359.15469999999999</v>
      </c>
      <c r="J1888">
        <v>-228.9923</v>
      </c>
      <c r="K1888">
        <v>1.110749</v>
      </c>
      <c r="L1888">
        <v>366.3904</v>
      </c>
      <c r="M1888">
        <v>0.99988259999999995</v>
      </c>
      <c r="N1888">
        <v>-1.135854E-2</v>
      </c>
      <c r="O1888">
        <v>-1.0282960000000001E-2</v>
      </c>
      <c r="P1888">
        <v>0.98988469999999995</v>
      </c>
      <c r="Q1888">
        <v>0.127093699999999</v>
      </c>
      <c r="R1888">
        <v>6.3053410000000004E-2</v>
      </c>
      <c r="S1888">
        <v>3.058243</v>
      </c>
      <c r="T1888">
        <v>-5.2628040000000001E-2</v>
      </c>
      <c r="U1888">
        <v>-0.328125</v>
      </c>
      <c r="V1888">
        <v>-7.3244669999999998E-2</v>
      </c>
      <c r="W1888">
        <v>0.1383132</v>
      </c>
      <c r="X1888">
        <v>0.98767640000000001</v>
      </c>
      <c r="Y1888">
        <v>9.6425800000000006E-2</v>
      </c>
      <c r="Z1888">
        <v>-1.316595E-3</v>
      </c>
      <c r="AA1888">
        <v>0.99533930000000004</v>
      </c>
      <c r="AB1888">
        <v>22</v>
      </c>
      <c r="AC1888">
        <v>67.323800000000006</v>
      </c>
      <c r="AD1888">
        <v>-1.160749</v>
      </c>
      <c r="AE1888">
        <v>-7.2356999999999996</v>
      </c>
      <c r="AF1888">
        <v>6.5410625703918104</v>
      </c>
      <c r="AG1888">
        <v>-1.160749</v>
      </c>
      <c r="AH1888">
        <v>67.374849997975801</v>
      </c>
      <c r="AI1888">
        <v>90.982388925841306</v>
      </c>
      <c r="AJ1888">
        <v>84.4548385485366</v>
      </c>
      <c r="AK1888">
        <v>67.701574945052201</v>
      </c>
      <c r="AL1888">
        <v>82.049749834593598</v>
      </c>
      <c r="AM1888">
        <v>94.241209642055793</v>
      </c>
      <c r="AN1888">
        <v>0.99999999704730402</v>
      </c>
    </row>
    <row r="1889" spans="1:40" x14ac:dyDescent="0.25">
      <c r="A1889" t="str">
        <f>"20190304154753355"</f>
        <v>20190304154753355</v>
      </c>
      <c r="B1889" t="str">
        <f>"1551685673347949"</f>
        <v>1551685673347949</v>
      </c>
      <c r="C1889" t="s">
        <v>40</v>
      </c>
      <c r="D1889">
        <v>4.3370899999999999</v>
      </c>
      <c r="E1889">
        <v>0.559465199999999</v>
      </c>
      <c r="F1889" t="s">
        <v>45</v>
      </c>
      <c r="G1889">
        <v>-165.01820000000001</v>
      </c>
      <c r="H1889">
        <v>-0.05</v>
      </c>
      <c r="I1889">
        <v>360.12049999999999</v>
      </c>
      <c r="J1889">
        <v>-228.85419999999999</v>
      </c>
      <c r="K1889">
        <v>1.110744</v>
      </c>
      <c r="L1889">
        <v>366.38900000000001</v>
      </c>
      <c r="M1889">
        <v>0.99988319999999997</v>
      </c>
      <c r="N1889">
        <v>-1.135766E-2</v>
      </c>
      <c r="O1889">
        <v>-1.0221920000000001E-2</v>
      </c>
      <c r="P1889">
        <v>0.98986909999999895</v>
      </c>
      <c r="Q1889">
        <v>0.1272007</v>
      </c>
      <c r="R1889">
        <v>6.3084749999999995E-2</v>
      </c>
      <c r="S1889">
        <v>3.0568240000000002</v>
      </c>
      <c r="T1889">
        <v>-5.5463190000000002E-2</v>
      </c>
      <c r="U1889">
        <v>-0.299591099999999</v>
      </c>
      <c r="V1889">
        <v>-7.3215779999999994E-2</v>
      </c>
      <c r="W1889">
        <v>0.1384194</v>
      </c>
      <c r="X1889">
        <v>0.98766370000000003</v>
      </c>
      <c r="Y1889">
        <v>8.733805E-2</v>
      </c>
      <c r="Z1889">
        <v>-1.2184730000000001E-3</v>
      </c>
      <c r="AA1889">
        <v>0.99617800000000001</v>
      </c>
      <c r="AB1889">
        <v>22</v>
      </c>
      <c r="AC1889">
        <v>63.835999999999899</v>
      </c>
      <c r="AD1889">
        <v>-1.160744</v>
      </c>
      <c r="AE1889">
        <v>-6.2685000000000102</v>
      </c>
      <c r="AF1889">
        <v>5.6137654996086397</v>
      </c>
      <c r="AG1889">
        <v>-1.160744</v>
      </c>
      <c r="AH1889">
        <v>63.875827156718501</v>
      </c>
      <c r="AI1889">
        <v>91.037061083221204</v>
      </c>
      <c r="AJ1889">
        <v>84.977430658320799</v>
      </c>
      <c r="AK1889">
        <v>64.132542321921903</v>
      </c>
      <c r="AL1889">
        <v>82.043606209317602</v>
      </c>
      <c r="AM1889">
        <v>94.239597192201003</v>
      </c>
      <c r="AN1889">
        <v>1.00000003251752</v>
      </c>
    </row>
    <row r="1890" spans="1:40" x14ac:dyDescent="0.25">
      <c r="A1890" t="str">
        <f>"20190304154753367"</f>
        <v>20190304154753367</v>
      </c>
      <c r="B1890" t="str">
        <f>"1551685673358685"</f>
        <v>1551685673358685</v>
      </c>
      <c r="C1890" t="s">
        <v>40</v>
      </c>
      <c r="D1890">
        <v>4.278251</v>
      </c>
      <c r="E1890">
        <v>0.55912729999999999</v>
      </c>
      <c r="F1890" t="s">
        <v>45</v>
      </c>
      <c r="G1890">
        <v>-161.27170000000001</v>
      </c>
      <c r="H1890">
        <v>-0.05</v>
      </c>
      <c r="I1890">
        <v>359.8252</v>
      </c>
      <c r="J1890">
        <v>-228.7287</v>
      </c>
      <c r="K1890">
        <v>1.110744</v>
      </c>
      <c r="L1890">
        <v>366.38780000000003</v>
      </c>
      <c r="M1890">
        <v>0.99988390000000005</v>
      </c>
      <c r="N1890">
        <v>-1.1357030000000001E-2</v>
      </c>
      <c r="O1890">
        <v>-1.0166959999999999E-2</v>
      </c>
      <c r="P1890">
        <v>0.98985330000000005</v>
      </c>
      <c r="Q1890">
        <v>0.12731709999999999</v>
      </c>
      <c r="R1890">
        <v>6.3094720000000007E-2</v>
      </c>
      <c r="S1890">
        <v>3.056381</v>
      </c>
      <c r="T1890">
        <v>-5.2493930000000001E-2</v>
      </c>
      <c r="U1890">
        <v>-0.29684450000000001</v>
      </c>
      <c r="V1890">
        <v>-7.3170799999999994E-2</v>
      </c>
      <c r="W1890">
        <v>0.13853509999999999</v>
      </c>
      <c r="X1890">
        <v>0.98765080000000005</v>
      </c>
      <c r="Y1890">
        <v>8.6522119999999994E-2</v>
      </c>
      <c r="Z1890">
        <v>-1.174804E-3</v>
      </c>
      <c r="AA1890">
        <v>0.9962493</v>
      </c>
      <c r="AB1890">
        <v>22</v>
      </c>
      <c r="AC1890">
        <v>67.456999999999994</v>
      </c>
      <c r="AD1890">
        <v>-1.160744</v>
      </c>
      <c r="AE1890">
        <v>-6.56260000000003</v>
      </c>
      <c r="AF1890">
        <v>5.8746608694141598</v>
      </c>
      <c r="AG1890">
        <v>-1.160744</v>
      </c>
      <c r="AH1890">
        <v>67.500440437485096</v>
      </c>
      <c r="AI1890">
        <v>90.981457311645798</v>
      </c>
      <c r="AJ1890">
        <v>85.025998728843604</v>
      </c>
      <c r="AK1890">
        <v>67.765540108661696</v>
      </c>
      <c r="AL1890">
        <v>82.036912509300294</v>
      </c>
      <c r="AM1890">
        <v>94.2370572295644</v>
      </c>
      <c r="AN1890">
        <v>1.0000000213226401</v>
      </c>
    </row>
    <row r="1891" spans="1:40" x14ac:dyDescent="0.25">
      <c r="A1891" t="str">
        <f>"20190304154753380"</f>
        <v>20190304154753380</v>
      </c>
      <c r="B1891" t="str">
        <f>"1551685673368445"</f>
        <v>1551685673368445</v>
      </c>
      <c r="C1891" t="s">
        <v>40</v>
      </c>
      <c r="D1891">
        <v>4.3254590000000004</v>
      </c>
      <c r="E1891">
        <v>0.55902680000000005</v>
      </c>
      <c r="F1891" t="s">
        <v>45</v>
      </c>
      <c r="G1891">
        <v>-160.8355</v>
      </c>
      <c r="H1891">
        <v>-0.05</v>
      </c>
      <c r="I1891">
        <v>359.85449999999997</v>
      </c>
      <c r="J1891">
        <v>-228.61109999999999</v>
      </c>
      <c r="K1891">
        <v>1.110743</v>
      </c>
      <c r="L1891">
        <v>366.38670000000002</v>
      </c>
      <c r="M1891">
        <v>0.99988449999999995</v>
      </c>
      <c r="N1891">
        <v>-1.13566E-2</v>
      </c>
      <c r="O1891">
        <v>-1.011606E-2</v>
      </c>
      <c r="P1891">
        <v>0.98985730000000005</v>
      </c>
      <c r="Q1891">
        <v>0.12733159999999999</v>
      </c>
      <c r="R1891">
        <v>6.3005630000000007E-2</v>
      </c>
      <c r="S1891">
        <v>3.0561980000000002</v>
      </c>
      <c r="T1891">
        <v>-5.2250619999999998E-2</v>
      </c>
      <c r="U1891">
        <v>-0.29409790000000002</v>
      </c>
      <c r="V1891">
        <v>-7.3031250000000006E-2</v>
      </c>
      <c r="W1891">
        <v>0.13854929999999999</v>
      </c>
      <c r="X1891">
        <v>0.98765910000000001</v>
      </c>
      <c r="Y1891">
        <v>8.5691859999999995E-2</v>
      </c>
      <c r="Z1891">
        <v>-1.160679E-3</v>
      </c>
      <c r="AA1891">
        <v>0.99632100000000001</v>
      </c>
      <c r="AB1891">
        <v>22</v>
      </c>
      <c r="AC1891">
        <v>67.775599999999997</v>
      </c>
      <c r="AD1891">
        <v>-1.1607430000000001</v>
      </c>
      <c r="AE1891">
        <v>-6.5322000000000404</v>
      </c>
      <c r="AF1891">
        <v>5.84450110181323</v>
      </c>
      <c r="AG1891">
        <v>-1.1607430000000001</v>
      </c>
      <c r="AH1891">
        <v>67.8185072426961</v>
      </c>
      <c r="AI1891">
        <v>90.976925964630297</v>
      </c>
      <c r="AJ1891">
        <v>85.074501806802303</v>
      </c>
      <c r="AK1891">
        <v>68.079772635260596</v>
      </c>
      <c r="AL1891">
        <v>82.0360906950539</v>
      </c>
      <c r="AM1891">
        <v>94.2289703268697</v>
      </c>
      <c r="AN1891">
        <v>0.99999998490993103</v>
      </c>
    </row>
    <row r="1892" spans="1:40" x14ac:dyDescent="0.25">
      <c r="A1892" t="str">
        <f>"20190304154753393"</f>
        <v>20190304154753393</v>
      </c>
      <c r="B1892" t="str">
        <f>"1551685673387966"</f>
        <v>1551685673387966</v>
      </c>
      <c r="C1892" t="s">
        <v>40</v>
      </c>
      <c r="D1892">
        <v>4.3878659999999998</v>
      </c>
      <c r="E1892">
        <v>0.55931280000000005</v>
      </c>
      <c r="F1892" t="s">
        <v>45</v>
      </c>
      <c r="G1892">
        <v>-161.06790000000001</v>
      </c>
      <c r="H1892">
        <v>-0.05</v>
      </c>
      <c r="I1892">
        <v>359.89839999999998</v>
      </c>
      <c r="J1892">
        <v>-228.47380000000001</v>
      </c>
      <c r="K1892">
        <v>1.1107389999999999</v>
      </c>
      <c r="L1892">
        <v>366.38529999999997</v>
      </c>
      <c r="M1892">
        <v>0.99988500000000002</v>
      </c>
      <c r="N1892">
        <v>-1.135621E-2</v>
      </c>
      <c r="O1892">
        <v>-1.005694E-2</v>
      </c>
      <c r="P1892">
        <v>0.9898382</v>
      </c>
      <c r="Q1892">
        <v>0.1273948</v>
      </c>
      <c r="R1892">
        <v>6.3177319999999995E-2</v>
      </c>
      <c r="S1892">
        <v>3.0561829999999999</v>
      </c>
      <c r="T1892">
        <v>-5.2521110000000003E-2</v>
      </c>
      <c r="U1892">
        <v>-0.29357909999999998</v>
      </c>
      <c r="V1892">
        <v>-7.3144559999999997E-2</v>
      </c>
      <c r="W1892">
        <v>0.13861209999999999</v>
      </c>
      <c r="X1892">
        <v>0.98764189999999996</v>
      </c>
      <c r="Y1892">
        <v>8.5583530000000005E-2</v>
      </c>
      <c r="Z1892">
        <v>-1.1623499999999999E-3</v>
      </c>
      <c r="AA1892">
        <v>0.9963303</v>
      </c>
      <c r="AB1892">
        <v>22</v>
      </c>
      <c r="AC1892">
        <v>67.405900000000003</v>
      </c>
      <c r="AD1892">
        <v>-1.160739</v>
      </c>
      <c r="AE1892">
        <v>-6.4868999999999897</v>
      </c>
      <c r="AF1892">
        <v>5.8069249876598503</v>
      </c>
      <c r="AG1892">
        <v>-1.160739</v>
      </c>
      <c r="AH1892">
        <v>67.447916244037302</v>
      </c>
      <c r="AI1892">
        <v>90.982296248886001</v>
      </c>
      <c r="AJ1892">
        <v>85.079256853641596</v>
      </c>
      <c r="AK1892">
        <v>67.707378464249402</v>
      </c>
      <c r="AL1892">
        <v>82.032457438417296</v>
      </c>
      <c r="AM1892">
        <v>94.235581325515298</v>
      </c>
      <c r="AN1892">
        <v>0.99999998177980598</v>
      </c>
    </row>
    <row r="1893" spans="1:40" x14ac:dyDescent="0.25">
      <c r="A1893" t="str">
        <f>"20190304154753406"</f>
        <v>20190304154753406</v>
      </c>
      <c r="B1893" t="str">
        <f>"1551685673398702"</f>
        <v>1551685673398702</v>
      </c>
      <c r="C1893" t="s">
        <v>40</v>
      </c>
      <c r="D1893">
        <v>4.2952159999999999</v>
      </c>
      <c r="E1893">
        <v>0.55919560000000001</v>
      </c>
      <c r="F1893" t="s">
        <v>45</v>
      </c>
      <c r="G1893">
        <v>-158.1816</v>
      </c>
      <c r="H1893">
        <v>-0.05</v>
      </c>
      <c r="I1893">
        <v>359.59300000000002</v>
      </c>
      <c r="J1893">
        <v>-228.3399</v>
      </c>
      <c r="K1893">
        <v>1.1107370000000001</v>
      </c>
      <c r="L1893">
        <v>366.38409999999999</v>
      </c>
      <c r="M1893">
        <v>0.99988560000000004</v>
      </c>
      <c r="N1893">
        <v>-1.135599E-2</v>
      </c>
      <c r="O1893">
        <v>-1.000009E-2</v>
      </c>
      <c r="P1893">
        <v>0.98982979999999998</v>
      </c>
      <c r="Q1893">
        <v>0.1274922</v>
      </c>
      <c r="R1893">
        <v>6.3112749999999995E-2</v>
      </c>
      <c r="S1893">
        <v>3.056152</v>
      </c>
      <c r="T1893">
        <v>-5.0466419999999998E-2</v>
      </c>
      <c r="U1893">
        <v>-0.29531859999999999</v>
      </c>
      <c r="V1893">
        <v>-7.3022989999999996E-2</v>
      </c>
      <c r="W1893">
        <v>0.13870940000000001</v>
      </c>
      <c r="X1893">
        <v>0.98763730000000005</v>
      </c>
      <c r="Y1893">
        <v>8.6204069999999994E-2</v>
      </c>
      <c r="Z1893">
        <v>-1.1493180000000001E-3</v>
      </c>
      <c r="AA1893">
        <v>0.99627690000000002</v>
      </c>
      <c r="AB1893">
        <v>22</v>
      </c>
      <c r="AC1893">
        <v>70.158299999999997</v>
      </c>
      <c r="AD1893">
        <v>-1.1607369999999999</v>
      </c>
      <c r="AE1893">
        <v>-6.7910999999999699</v>
      </c>
      <c r="AF1893">
        <v>6.0874750831342501</v>
      </c>
      <c r="AG1893">
        <v>-1.1607369999999999</v>
      </c>
      <c r="AH1893">
        <v>70.203669563241206</v>
      </c>
      <c r="AI1893">
        <v>90.943693080397296</v>
      </c>
      <c r="AJ1893">
        <v>85.044185153438605</v>
      </c>
      <c r="AK1893">
        <v>70.476661976967307</v>
      </c>
      <c r="AL1893">
        <v>82.026828691620295</v>
      </c>
      <c r="AM1893">
        <v>94.228586752194204</v>
      </c>
      <c r="AN1893">
        <v>1.0000000455340901</v>
      </c>
    </row>
    <row r="1894" spans="1:40" x14ac:dyDescent="0.25">
      <c r="A1894" t="str">
        <f>"20190304154753421"</f>
        <v>20190304154753421</v>
      </c>
      <c r="B1894" t="str">
        <f>"1551685673418221"</f>
        <v>1551685673418221</v>
      </c>
      <c r="C1894" t="s">
        <v>40</v>
      </c>
      <c r="D1894">
        <v>4.3115230000000002</v>
      </c>
      <c r="E1894">
        <v>0.55917249999999996</v>
      </c>
      <c r="F1894" t="s">
        <v>45</v>
      </c>
      <c r="G1894">
        <v>-159.47200000000001</v>
      </c>
      <c r="H1894">
        <v>-0.05</v>
      </c>
      <c r="I1894">
        <v>359.75209999999998</v>
      </c>
      <c r="J1894">
        <v>-228.209</v>
      </c>
      <c r="K1894">
        <v>1.110738</v>
      </c>
      <c r="L1894">
        <v>366.38279999999997</v>
      </c>
      <c r="M1894">
        <v>0.99988619999999995</v>
      </c>
      <c r="N1894">
        <v>-1.1355840000000001E-2</v>
      </c>
      <c r="O1894">
        <v>-9.9451539999999995E-3</v>
      </c>
      <c r="P1894">
        <v>0.98979810000000001</v>
      </c>
      <c r="Q1894">
        <v>0.1276292</v>
      </c>
      <c r="R1894">
        <v>6.3330230000000001E-2</v>
      </c>
      <c r="S1894">
        <v>3.0561980000000002</v>
      </c>
      <c r="T1894">
        <v>-5.1510809999999997E-2</v>
      </c>
      <c r="U1894">
        <v>-0.2943115</v>
      </c>
      <c r="V1894">
        <v>-7.3185470000000002E-2</v>
      </c>
      <c r="W1894">
        <v>0.13884639999999901</v>
      </c>
      <c r="X1894">
        <v>0.98760599999999998</v>
      </c>
      <c r="Y1894">
        <v>8.5931540000000001E-2</v>
      </c>
      <c r="Z1894">
        <v>-1.1570479999999999E-3</v>
      </c>
      <c r="AA1894">
        <v>0.99630039999999997</v>
      </c>
      <c r="AB1894">
        <v>22</v>
      </c>
      <c r="AC1894">
        <v>68.736999999999995</v>
      </c>
      <c r="AD1894">
        <v>-1.1607379999999901</v>
      </c>
      <c r="AE1894">
        <v>-6.6306999999999903</v>
      </c>
      <c r="AF1894">
        <v>5.9450483487176502</v>
      </c>
      <c r="AG1894">
        <v>-1.1607379999999901</v>
      </c>
      <c r="AH1894">
        <v>68.780115351393704</v>
      </c>
      <c r="AI1894">
        <v>90.963244896030005</v>
      </c>
      <c r="AJ1894">
        <v>85.059885039154807</v>
      </c>
      <c r="AK1894">
        <v>69.046326334746198</v>
      </c>
      <c r="AL1894">
        <v>82.018902295554099</v>
      </c>
      <c r="AM1894">
        <v>94.238095162063701</v>
      </c>
      <c r="AN1894">
        <v>1.00000002352404</v>
      </c>
    </row>
    <row r="1895" spans="1:40" x14ac:dyDescent="0.25">
      <c r="A1895" t="str">
        <f>"20190304154753436"</f>
        <v>20190304154753436</v>
      </c>
      <c r="B1895" t="str">
        <f>"1551685673427981"</f>
        <v>1551685673427981</v>
      </c>
      <c r="C1895" t="s">
        <v>40</v>
      </c>
      <c r="D1895">
        <v>4.319674</v>
      </c>
      <c r="E1895">
        <v>0.55906630000000002</v>
      </c>
      <c r="F1895" t="s">
        <v>45</v>
      </c>
      <c r="G1895">
        <v>-163.47130000000001</v>
      </c>
      <c r="H1895">
        <v>-0.05</v>
      </c>
      <c r="I1895">
        <v>360.16140000000001</v>
      </c>
      <c r="J1895">
        <v>-228.0498</v>
      </c>
      <c r="K1895">
        <v>1.1107359999999999</v>
      </c>
      <c r="L1895">
        <v>366.38130000000001</v>
      </c>
      <c r="M1895">
        <v>0.99988679999999996</v>
      </c>
      <c r="N1895">
        <v>-1.135573E-2</v>
      </c>
      <c r="O1895">
        <v>-9.8790140000000002E-3</v>
      </c>
      <c r="P1895">
        <v>0.98978569999999999</v>
      </c>
      <c r="Q1895">
        <v>0.1277992</v>
      </c>
      <c r="R1895">
        <v>6.3182589999999997E-2</v>
      </c>
      <c r="S1895">
        <v>3.0567630000000001</v>
      </c>
      <c r="T1895">
        <v>-5.4807309999999998E-2</v>
      </c>
      <c r="U1895">
        <v>-0.29376219999999997</v>
      </c>
      <c r="V1895">
        <v>-7.2971789999999995E-2</v>
      </c>
      <c r="W1895">
        <v>0.1390159</v>
      </c>
      <c r="X1895">
        <v>0.98759790000000003</v>
      </c>
      <c r="Y1895">
        <v>8.5800470000000004E-2</v>
      </c>
      <c r="Z1895">
        <v>-1.190984E-3</v>
      </c>
      <c r="AA1895">
        <v>0.99631159999999996</v>
      </c>
      <c r="AB1895">
        <v>22</v>
      </c>
      <c r="AC1895">
        <v>64.578499999999906</v>
      </c>
      <c r="AD1895">
        <v>-1.160736</v>
      </c>
      <c r="AE1895">
        <v>-6.2198999999999902</v>
      </c>
      <c r="AF1895">
        <v>5.5797973726846601</v>
      </c>
      <c r="AG1895">
        <v>-1.160736</v>
      </c>
      <c r="AH1895">
        <v>64.6161153016008</v>
      </c>
      <c r="AI1895">
        <v>91.025311087300594</v>
      </c>
      <c r="AJ1895">
        <v>85.064579065237496</v>
      </c>
      <c r="AK1895">
        <v>64.866970049877295</v>
      </c>
      <c r="AL1895">
        <v>82.009095023448197</v>
      </c>
      <c r="AM1895">
        <v>94.225800595769002</v>
      </c>
      <c r="AN1895">
        <v>0.99999995733651104</v>
      </c>
    </row>
    <row r="1896" spans="1:40" x14ac:dyDescent="0.25">
      <c r="A1896" t="str">
        <f>"20190304154753448"</f>
        <v>20190304154753448</v>
      </c>
      <c r="B1896" t="str">
        <f>"1551685673438718"</f>
        <v>1551685673438718</v>
      </c>
      <c r="C1896" t="s">
        <v>40</v>
      </c>
      <c r="D1896">
        <v>4.3182029999999996</v>
      </c>
      <c r="E1896">
        <v>0.55909900000000001</v>
      </c>
      <c r="F1896" t="s">
        <v>45</v>
      </c>
      <c r="G1896">
        <v>-164.04069999999999</v>
      </c>
      <c r="H1896">
        <v>-0.05</v>
      </c>
      <c r="I1896">
        <v>360.23829999999998</v>
      </c>
      <c r="J1896">
        <v>-227.92910000000001</v>
      </c>
      <c r="K1896">
        <v>1.1107370000000001</v>
      </c>
      <c r="L1896">
        <v>366.3802</v>
      </c>
      <c r="M1896">
        <v>0.99988719999999998</v>
      </c>
      <c r="N1896">
        <v>-1.135571E-2</v>
      </c>
      <c r="O1896">
        <v>-9.8306320000000006E-3</v>
      </c>
      <c r="P1896">
        <v>0.98977879999999996</v>
      </c>
      <c r="Q1896">
        <v>0.12789159999999999</v>
      </c>
      <c r="R1896">
        <v>6.310106E-2</v>
      </c>
      <c r="S1896">
        <v>3.0568240000000002</v>
      </c>
      <c r="T1896">
        <v>-5.5432200000000001E-2</v>
      </c>
      <c r="U1896">
        <v>-0.2933655</v>
      </c>
      <c r="V1896">
        <v>-7.2841799999999998E-2</v>
      </c>
      <c r="W1896">
        <v>0.13910890000000001</v>
      </c>
      <c r="X1896">
        <v>0.98759439999999998</v>
      </c>
      <c r="Y1896">
        <v>8.5718279999999994E-2</v>
      </c>
      <c r="Z1896">
        <v>-1.1968230000000001E-3</v>
      </c>
      <c r="AA1896">
        <v>0.9963187</v>
      </c>
      <c r="AB1896">
        <v>22</v>
      </c>
      <c r="AC1896">
        <v>63.888399999999997</v>
      </c>
      <c r="AD1896">
        <v>-1.1607369999999999</v>
      </c>
      <c r="AE1896">
        <v>-6.1419000000000201</v>
      </c>
      <c r="AF1896">
        <v>5.5116966680207504</v>
      </c>
      <c r="AG1896">
        <v>-1.1607369999999999</v>
      </c>
      <c r="AH1896">
        <v>63.924787763620799</v>
      </c>
      <c r="AI1896">
        <v>91.036409673694493</v>
      </c>
      <c r="AJ1896">
        <v>85.072054545406601</v>
      </c>
      <c r="AK1896">
        <v>64.172459834164101</v>
      </c>
      <c r="AL1896">
        <v>82.003714226379799</v>
      </c>
      <c r="AM1896">
        <v>94.218314959593201</v>
      </c>
      <c r="AN1896">
        <v>0.99999995639890404</v>
      </c>
    </row>
    <row r="1897" spans="1:40" x14ac:dyDescent="0.25">
      <c r="A1897" t="str">
        <f>"20190304154753460"</f>
        <v>20190304154753460</v>
      </c>
      <c r="B1897" t="str">
        <f>"1551685673448478"</f>
        <v>1551685673448478</v>
      </c>
      <c r="C1897" t="s">
        <v>40</v>
      </c>
      <c r="D1897">
        <v>4.3159289999999997</v>
      </c>
      <c r="E1897">
        <v>0.55913950000000001</v>
      </c>
      <c r="F1897" t="s">
        <v>45</v>
      </c>
      <c r="G1897">
        <v>-164.65960000000001</v>
      </c>
      <c r="H1897">
        <v>-0.05</v>
      </c>
      <c r="I1897">
        <v>360.29829999999998</v>
      </c>
      <c r="J1897">
        <v>-227.81370000000001</v>
      </c>
      <c r="K1897">
        <v>1.1107419999999999</v>
      </c>
      <c r="L1897">
        <v>366.37909999999999</v>
      </c>
      <c r="M1897">
        <v>0.99988759999999999</v>
      </c>
      <c r="N1897">
        <v>-1.1355779999999999E-2</v>
      </c>
      <c r="O1897">
        <v>-9.7855939999999999E-3</v>
      </c>
      <c r="P1897">
        <v>0.98975190000000002</v>
      </c>
      <c r="Q1897">
        <v>0.12800249999999999</v>
      </c>
      <c r="R1897">
        <v>6.3297859999999997E-2</v>
      </c>
      <c r="S1897">
        <v>3.0569459999999999</v>
      </c>
      <c r="T1897">
        <v>-5.6082489999999999E-2</v>
      </c>
      <c r="U1897">
        <v>-0.2938538</v>
      </c>
      <c r="V1897">
        <v>-7.2993240000000001E-2</v>
      </c>
      <c r="W1897">
        <v>0.13921939999999999</v>
      </c>
      <c r="X1897">
        <v>0.98756770000000005</v>
      </c>
      <c r="Y1897">
        <v>8.5916590000000001E-2</v>
      </c>
      <c r="Z1897">
        <v>-1.207067E-3</v>
      </c>
      <c r="AA1897">
        <v>0.99630160000000001</v>
      </c>
      <c r="AB1897">
        <v>22</v>
      </c>
      <c r="AC1897">
        <v>63.1541</v>
      </c>
      <c r="AD1897">
        <v>-1.1607419999999999</v>
      </c>
      <c r="AE1897">
        <v>-6.0808000000000098</v>
      </c>
      <c r="AF1897">
        <v>5.4606408602764702</v>
      </c>
      <c r="AG1897">
        <v>-1.1607419999999999</v>
      </c>
      <c r="AH1897">
        <v>63.189434125663901</v>
      </c>
      <c r="AI1897">
        <v>91.048454960012407</v>
      </c>
      <c r="AJ1897">
        <v>85.060941450522506</v>
      </c>
      <c r="AK1897">
        <v>63.435561838113401</v>
      </c>
      <c r="AL1897">
        <v>81.997321248099894</v>
      </c>
      <c r="AM1897">
        <v>94.227167059815301</v>
      </c>
      <c r="AN1897">
        <v>1.0000000082526701</v>
      </c>
    </row>
    <row r="1898" spans="1:40" x14ac:dyDescent="0.25">
      <c r="A1898" t="str">
        <f>"20190304154753472"</f>
        <v>20190304154753472</v>
      </c>
      <c r="B1898" t="str">
        <f>"1551685673467998"</f>
        <v>1551685673467998</v>
      </c>
      <c r="C1898" t="s">
        <v>40</v>
      </c>
      <c r="D1898">
        <v>4.3403890000000001</v>
      </c>
      <c r="E1898">
        <v>0.55927499999999997</v>
      </c>
      <c r="F1898" t="s">
        <v>45</v>
      </c>
      <c r="G1898">
        <v>-164.73750000000001</v>
      </c>
      <c r="H1898">
        <v>-0.05</v>
      </c>
      <c r="I1898">
        <v>360.32119999999998</v>
      </c>
      <c r="J1898">
        <v>-227.69560000000001</v>
      </c>
      <c r="K1898">
        <v>1.110741</v>
      </c>
      <c r="L1898">
        <v>366.37799999999999</v>
      </c>
      <c r="M1898">
        <v>0.9998882</v>
      </c>
      <c r="N1898">
        <v>-1.135589E-2</v>
      </c>
      <c r="O1898">
        <v>-9.7402019999999999E-3</v>
      </c>
      <c r="P1898">
        <v>0.98972269999999896</v>
      </c>
      <c r="Q1898">
        <v>0.12833530000000001</v>
      </c>
      <c r="R1898">
        <v>6.3082680000000002E-2</v>
      </c>
      <c r="S1898">
        <v>3.0571290000000002</v>
      </c>
      <c r="T1898">
        <v>-5.6257960000000003E-2</v>
      </c>
      <c r="U1898">
        <v>-0.29360960000000003</v>
      </c>
      <c r="V1898">
        <v>-7.2732679999999994E-2</v>
      </c>
      <c r="W1898">
        <v>0.13955229999999999</v>
      </c>
      <c r="X1898">
        <v>0.98753990000000003</v>
      </c>
      <c r="Y1898">
        <v>8.5877209999999995E-2</v>
      </c>
      <c r="Z1898">
        <v>-1.20867E-3</v>
      </c>
      <c r="AA1898">
        <v>0.996305</v>
      </c>
      <c r="AB1898">
        <v>22</v>
      </c>
      <c r="AC1898">
        <v>62.958100000000002</v>
      </c>
      <c r="AD1898">
        <v>-1.160741</v>
      </c>
      <c r="AE1898">
        <v>-6.0568000000000604</v>
      </c>
      <c r="AF1898">
        <v>5.4414159208759401</v>
      </c>
      <c r="AG1898">
        <v>-1.160741</v>
      </c>
      <c r="AH1898">
        <v>62.992895599352799</v>
      </c>
      <c r="AI1898">
        <v>91.051727719048301</v>
      </c>
      <c r="AJ1898">
        <v>85.062964373131393</v>
      </c>
      <c r="AK1898">
        <v>63.238131083105202</v>
      </c>
      <c r="AL1898">
        <v>81.978059148552504</v>
      </c>
      <c r="AM1898">
        <v>94.212250125144294</v>
      </c>
      <c r="AN1898">
        <v>0.99999997063363999</v>
      </c>
    </row>
    <row r="1899" spans="1:40" x14ac:dyDescent="0.25">
      <c r="A1899" t="str">
        <f>"20190304154753485"</f>
        <v>20190304154753485</v>
      </c>
      <c r="B1899" t="str">
        <f>"1551685673478733"</f>
        <v>1551685673478733</v>
      </c>
      <c r="C1899" t="s">
        <v>40</v>
      </c>
      <c r="D1899">
        <v>4.3686400000000001</v>
      </c>
      <c r="E1899">
        <v>0.55913040000000003</v>
      </c>
      <c r="F1899" t="s">
        <v>45</v>
      </c>
      <c r="G1899">
        <v>-165.46789999999999</v>
      </c>
      <c r="H1899">
        <v>-0.05</v>
      </c>
      <c r="I1899">
        <v>360.36849999999998</v>
      </c>
      <c r="J1899">
        <v>-227.559</v>
      </c>
      <c r="K1899">
        <v>1.1107389999999999</v>
      </c>
      <c r="L1899">
        <v>366.37670000000003</v>
      </c>
      <c r="M1899">
        <v>0.99988869999999996</v>
      </c>
      <c r="N1899">
        <v>-1.1356160000000001E-2</v>
      </c>
      <c r="O1899">
        <v>-9.6911229999999994E-3</v>
      </c>
      <c r="P1899">
        <v>0.98968429999999996</v>
      </c>
      <c r="Q1899">
        <v>0.12857579999999999</v>
      </c>
      <c r="R1899">
        <v>6.3195150000000005E-2</v>
      </c>
      <c r="S1899">
        <v>3.0573730000000001</v>
      </c>
      <c r="T1899">
        <v>-5.7029599999999903E-2</v>
      </c>
      <c r="U1899">
        <v>-0.29525759999999901</v>
      </c>
      <c r="V1899">
        <v>-7.279563E-2</v>
      </c>
      <c r="W1899">
        <v>0.13979349999999999</v>
      </c>
      <c r="X1899">
        <v>0.98750110000000002</v>
      </c>
      <c r="Y1899">
        <v>8.644992E-2</v>
      </c>
      <c r="Z1899">
        <v>-1.2259339999999999E-3</v>
      </c>
      <c r="AA1899">
        <v>0.99625549999999996</v>
      </c>
      <c r="AB1899">
        <v>22</v>
      </c>
      <c r="AC1899">
        <v>62.091099999999997</v>
      </c>
      <c r="AD1899">
        <v>-1.160739</v>
      </c>
      <c r="AE1899">
        <v>-6.0082000000000404</v>
      </c>
      <c r="AF1899">
        <v>5.4042755003037897</v>
      </c>
      <c r="AG1899">
        <v>-1.160739</v>
      </c>
      <c r="AH1899">
        <v>62.124904358121597</v>
      </c>
      <c r="AI1899">
        <v>91.066361078784993</v>
      </c>
      <c r="AJ1899">
        <v>85.028327985084204</v>
      </c>
      <c r="AK1899">
        <v>62.370323473708702</v>
      </c>
      <c r="AL1899">
        <v>81.964102226159</v>
      </c>
      <c r="AM1899">
        <v>94.216047730159602</v>
      </c>
      <c r="AN1899">
        <v>0.99999992444527497</v>
      </c>
    </row>
    <row r="1900" spans="1:40" x14ac:dyDescent="0.25">
      <c r="A1900" t="str">
        <f>"20190304154753499"</f>
        <v>20190304154753499</v>
      </c>
      <c r="B1900" t="str">
        <f>"1551685673488494"</f>
        <v>1551685673488494</v>
      </c>
      <c r="C1900" t="s">
        <v>40</v>
      </c>
      <c r="D1900">
        <v>4.3281869999999998</v>
      </c>
      <c r="E1900">
        <v>0.55922430000000001</v>
      </c>
      <c r="F1900" t="s">
        <v>45</v>
      </c>
      <c r="G1900">
        <v>-167.46780000000001</v>
      </c>
      <c r="H1900">
        <v>-0.05</v>
      </c>
      <c r="I1900">
        <v>360.60239999999999</v>
      </c>
      <c r="J1900">
        <v>-227.435</v>
      </c>
      <c r="K1900">
        <v>1.1107359999999999</v>
      </c>
      <c r="L1900">
        <v>366.37560000000002</v>
      </c>
      <c r="M1900">
        <v>0.99988909999999998</v>
      </c>
      <c r="N1900">
        <v>-1.1356440000000001E-2</v>
      </c>
      <c r="O1900">
        <v>-9.6486009999999997E-3</v>
      </c>
      <c r="P1900">
        <v>0.98965309999999995</v>
      </c>
      <c r="Q1900">
        <v>0.12884709999999999</v>
      </c>
      <c r="R1900">
        <v>6.3128470000000006E-2</v>
      </c>
      <c r="S1900">
        <v>3.0577239999999999</v>
      </c>
      <c r="T1900">
        <v>-5.9063909999999997E-2</v>
      </c>
      <c r="U1900">
        <v>-0.29382320000000001</v>
      </c>
      <c r="V1900">
        <v>-7.2685440000000004E-2</v>
      </c>
      <c r="W1900">
        <v>0.140065</v>
      </c>
      <c r="X1900">
        <v>0.98747079999999998</v>
      </c>
      <c r="Y1900">
        <v>8.6017090000000004E-2</v>
      </c>
      <c r="Z1900">
        <v>-1.2418430000000001E-3</v>
      </c>
      <c r="AA1900">
        <v>0.99629290000000004</v>
      </c>
      <c r="AB1900">
        <v>22</v>
      </c>
      <c r="AC1900">
        <v>59.967199999999899</v>
      </c>
      <c r="AD1900">
        <v>-1.160736</v>
      </c>
      <c r="AE1900">
        <v>-5.7732000000000303</v>
      </c>
      <c r="AF1900">
        <v>5.1923668932965601</v>
      </c>
      <c r="AG1900">
        <v>-1.160736</v>
      </c>
      <c r="AH1900">
        <v>59.997842658776698</v>
      </c>
      <c r="AI1900">
        <v>91.104196565108495</v>
      </c>
      <c r="AJ1900">
        <v>85.053800378553305</v>
      </c>
      <c r="AK1900">
        <v>60.233289016320697</v>
      </c>
      <c r="AL1900">
        <v>81.948392297592605</v>
      </c>
      <c r="AM1900">
        <v>94.2098176090621</v>
      </c>
      <c r="AN1900">
        <v>0.99999997913281602</v>
      </c>
    </row>
    <row r="1901" spans="1:40" x14ac:dyDescent="0.25">
      <c r="A1901" t="str">
        <f>"20190304154753515"</f>
        <v>20190304154753515</v>
      </c>
      <c r="B1901" t="str">
        <f>"1551685673508013"</f>
        <v>1551685673508013</v>
      </c>
      <c r="C1901" t="s">
        <v>40</v>
      </c>
      <c r="D1901">
        <v>4.3274169999999996</v>
      </c>
      <c r="E1901">
        <v>0.55930849999999999</v>
      </c>
      <c r="F1901" t="s">
        <v>45</v>
      </c>
      <c r="G1901">
        <v>-167.37569999999999</v>
      </c>
      <c r="H1901">
        <v>-0.05</v>
      </c>
      <c r="I1901">
        <v>360.5813</v>
      </c>
      <c r="J1901">
        <v>-227.27680000000001</v>
      </c>
      <c r="K1901">
        <v>1.110733</v>
      </c>
      <c r="L1901">
        <v>366.3741</v>
      </c>
      <c r="M1901">
        <v>0.99988960000000005</v>
      </c>
      <c r="N1901">
        <v>-1.135687E-2</v>
      </c>
      <c r="O1901">
        <v>-9.5977489999999992E-3</v>
      </c>
      <c r="P1901">
        <v>0.98962919999999999</v>
      </c>
      <c r="Q1901">
        <v>0.12896550000000001</v>
      </c>
      <c r="R1901">
        <v>6.3264039999999994E-2</v>
      </c>
      <c r="S1901">
        <v>3.0579070000000002</v>
      </c>
      <c r="T1901">
        <v>-5.909872E-2</v>
      </c>
      <c r="U1901">
        <v>-0.29501339999999998</v>
      </c>
      <c r="V1901">
        <v>-7.2769459999999994E-2</v>
      </c>
      <c r="W1901">
        <v>0.140184</v>
      </c>
      <c r="X1901">
        <v>0.98744770000000004</v>
      </c>
      <c r="Y1901">
        <v>8.6446129999999996E-2</v>
      </c>
      <c r="Z1901">
        <v>-1.249184E-3</v>
      </c>
      <c r="AA1901">
        <v>0.99625580000000002</v>
      </c>
      <c r="AB1901">
        <v>22</v>
      </c>
      <c r="AC1901">
        <v>59.9011</v>
      </c>
      <c r="AD1901">
        <v>-1.160733</v>
      </c>
      <c r="AE1901">
        <v>-5.7927999999999997</v>
      </c>
      <c r="AF1901">
        <v>5.2156401783914799</v>
      </c>
      <c r="AG1901">
        <v>-1.160733</v>
      </c>
      <c r="AH1901">
        <v>59.931646992722101</v>
      </c>
      <c r="AI1901">
        <v>91.105366948659395</v>
      </c>
      <c r="AJ1901">
        <v>85.026281158845805</v>
      </c>
      <c r="AK1901">
        <v>60.169365251995103</v>
      </c>
      <c r="AL1901">
        <v>81.941505958051906</v>
      </c>
      <c r="AM1901">
        <v>94.214764620853103</v>
      </c>
      <c r="AN1901">
        <v>0.99999995419998899</v>
      </c>
    </row>
    <row r="1902" spans="1:40" x14ac:dyDescent="0.25">
      <c r="A1902" t="str">
        <f>"20190304154753528"</f>
        <v>20190304154753528</v>
      </c>
      <c r="B1902" t="str">
        <f>"1551685673518750"</f>
        <v>1551685673518750</v>
      </c>
      <c r="C1902" t="s">
        <v>40</v>
      </c>
      <c r="D1902">
        <v>4.3922089999999896</v>
      </c>
      <c r="E1902">
        <v>0.55940380000000001</v>
      </c>
      <c r="F1902" t="s">
        <v>45</v>
      </c>
      <c r="G1902">
        <v>-168.35749999999999</v>
      </c>
      <c r="H1902">
        <v>-0.05</v>
      </c>
      <c r="I1902">
        <v>360.68680000000001</v>
      </c>
      <c r="J1902">
        <v>-227.14150000000001</v>
      </c>
      <c r="K1902">
        <v>1.110725</v>
      </c>
      <c r="L1902">
        <v>366.37279999999998</v>
      </c>
      <c r="M1902">
        <v>0.99988999999999995</v>
      </c>
      <c r="N1902">
        <v>-1.1357290000000001E-2</v>
      </c>
      <c r="O1902">
        <v>-9.557388E-3</v>
      </c>
      <c r="P1902">
        <v>0.98962430000000001</v>
      </c>
      <c r="Q1902">
        <v>0.12897629999999999</v>
      </c>
      <c r="R1902">
        <v>6.3317319999999996E-2</v>
      </c>
      <c r="S1902">
        <v>3.0581670000000001</v>
      </c>
      <c r="T1902">
        <v>-6.0247059999999998E-2</v>
      </c>
      <c r="U1902">
        <v>-0.29519649999999997</v>
      </c>
      <c r="V1902">
        <v>-7.2781090000000007E-2</v>
      </c>
      <c r="W1902">
        <v>0.14019579999999901</v>
      </c>
      <c r="X1902">
        <v>0.98744520000000002</v>
      </c>
      <c r="Y1902">
        <v>8.6536589999999997E-2</v>
      </c>
      <c r="Z1902">
        <v>-1.2634860000000001E-3</v>
      </c>
      <c r="AA1902">
        <v>0.99624789999999996</v>
      </c>
      <c r="AB1902">
        <v>22</v>
      </c>
      <c r="AC1902">
        <v>58.783999999999999</v>
      </c>
      <c r="AD1902">
        <v>-1.160725</v>
      </c>
      <c r="AE1902">
        <v>-5.6859999999999697</v>
      </c>
      <c r="AF1902">
        <v>5.1219041726368504</v>
      </c>
      <c r="AG1902">
        <v>-1.160725</v>
      </c>
      <c r="AH1902">
        <v>58.812943686350501</v>
      </c>
      <c r="AI1902">
        <v>91.126373434874594</v>
      </c>
      <c r="AJ1902">
        <v>85.022780292311097</v>
      </c>
      <c r="AK1902">
        <v>59.046960378440602</v>
      </c>
      <c r="AL1902">
        <v>81.940823384209494</v>
      </c>
      <c r="AM1902">
        <v>94.215446429775398</v>
      </c>
      <c r="AN1902">
        <v>0.99999998620113395</v>
      </c>
    </row>
    <row r="1903" spans="1:40" x14ac:dyDescent="0.25">
      <c r="A1903" t="str">
        <f>"20190304154753542"</f>
        <v>20190304154753542</v>
      </c>
      <c r="B1903" t="str">
        <f>"1551685673538269"</f>
        <v>1551685673538269</v>
      </c>
      <c r="C1903" t="s">
        <v>40</v>
      </c>
      <c r="D1903">
        <v>4.3413370000000002</v>
      </c>
      <c r="E1903">
        <v>0.55947080000000005</v>
      </c>
      <c r="F1903" t="s">
        <v>53</v>
      </c>
      <c r="G1903">
        <v>-175.30109999999999</v>
      </c>
      <c r="H1903">
        <v>7.9988080000000003E-2</v>
      </c>
      <c r="I1903">
        <v>361.35919999999999</v>
      </c>
      <c r="J1903">
        <v>-227.0094</v>
      </c>
      <c r="K1903">
        <v>1.1107209999999901</v>
      </c>
      <c r="L1903">
        <v>366.3716</v>
      </c>
      <c r="M1903">
        <v>0.9998901</v>
      </c>
      <c r="N1903">
        <v>-1.135775E-2</v>
      </c>
      <c r="O1903">
        <v>-9.5214410000000003E-3</v>
      </c>
      <c r="P1903">
        <v>0.98964669999999999</v>
      </c>
      <c r="Q1903">
        <v>0.1289409</v>
      </c>
      <c r="R1903">
        <v>6.3034939999999998E-2</v>
      </c>
      <c r="S1903">
        <v>3.0583040000000001</v>
      </c>
      <c r="T1903">
        <v>-6.0807939999999998E-2</v>
      </c>
      <c r="U1903">
        <v>-0.29577639999999999</v>
      </c>
      <c r="V1903">
        <v>-7.2462189999999996E-2</v>
      </c>
      <c r="W1903">
        <v>0.14016229999999999</v>
      </c>
      <c r="X1903">
        <v>0.98747339999999995</v>
      </c>
      <c r="Y1903">
        <v>8.6754810000000002E-2</v>
      </c>
      <c r="Z1903">
        <v>-1.2733569999999999E-3</v>
      </c>
      <c r="AA1903">
        <v>0.99622889999999997</v>
      </c>
      <c r="AB1903">
        <v>22</v>
      </c>
      <c r="AC1903">
        <v>51.708300000000001</v>
      </c>
      <c r="AD1903">
        <v>-1.0307329199999999</v>
      </c>
      <c r="AE1903">
        <v>-5.0124000000000102</v>
      </c>
      <c r="AF1903">
        <v>4.51802492110175</v>
      </c>
      <c r="AG1903">
        <v>-1.0307329199999999</v>
      </c>
      <c r="AH1903">
        <v>51.733319309241402</v>
      </c>
      <c r="AI1903">
        <v>91.137081266090703</v>
      </c>
      <c r="AJ1903">
        <v>85.008852392468796</v>
      </c>
      <c r="AK1903">
        <v>51.940459049685003</v>
      </c>
      <c r="AL1903">
        <v>81.942761863300007</v>
      </c>
      <c r="AM1903">
        <v>94.196922609751496</v>
      </c>
      <c r="AN1903">
        <v>0.99999997751422198</v>
      </c>
    </row>
    <row r="1904" spans="1:40" x14ac:dyDescent="0.25">
      <c r="A1904" t="str">
        <f>"20190304154753555"</f>
        <v>20190304154753555</v>
      </c>
      <c r="B1904" t="str">
        <f>"1551685673548029"</f>
        <v>1551685673548029</v>
      </c>
      <c r="C1904" t="s">
        <v>40</v>
      </c>
      <c r="D1904">
        <v>4.3344079999999998</v>
      </c>
      <c r="E1904">
        <v>0.55954349999999997</v>
      </c>
      <c r="F1904" t="s">
        <v>53</v>
      </c>
      <c r="G1904">
        <v>-176.63679999999999</v>
      </c>
      <c r="H1904">
        <v>7.9988030000000002E-2</v>
      </c>
      <c r="I1904">
        <v>361.47609999999997</v>
      </c>
      <c r="J1904">
        <v>-226.8707</v>
      </c>
      <c r="K1904">
        <v>1.1107180000000001</v>
      </c>
      <c r="L1904">
        <v>366.37029999999999</v>
      </c>
      <c r="M1904">
        <v>0.99989050000000002</v>
      </c>
      <c r="N1904">
        <v>-1.135825E-2</v>
      </c>
      <c r="O1904">
        <v>-9.487288E-3</v>
      </c>
      <c r="P1904">
        <v>0.98964839999999998</v>
      </c>
      <c r="Q1904">
        <v>0.1289275</v>
      </c>
      <c r="R1904">
        <v>6.3040479999999996E-2</v>
      </c>
      <c r="S1904">
        <v>3.058487</v>
      </c>
      <c r="T1904">
        <v>-6.2583330000000006E-2</v>
      </c>
      <c r="U1904">
        <v>-0.29724119999999998</v>
      </c>
      <c r="V1904">
        <v>-7.2433120000000004E-2</v>
      </c>
      <c r="W1904">
        <v>0.14015</v>
      </c>
      <c r="X1904">
        <v>0.9874773</v>
      </c>
      <c r="Y1904">
        <v>8.7254390000000001E-2</v>
      </c>
      <c r="Z1904">
        <v>-1.301195E-3</v>
      </c>
      <c r="AA1904">
        <v>0.99618519999999999</v>
      </c>
      <c r="AB1904">
        <v>22</v>
      </c>
      <c r="AC1904">
        <v>50.233899999999998</v>
      </c>
      <c r="AD1904">
        <v>-1.0307299700000001</v>
      </c>
      <c r="AE1904">
        <v>-4.8942000000000103</v>
      </c>
      <c r="AF1904">
        <v>4.4155239771132004</v>
      </c>
      <c r="AG1904">
        <v>-1.0307299700000001</v>
      </c>
      <c r="AH1904">
        <v>50.257114628863597</v>
      </c>
      <c r="AI1904">
        <v>91.170414828514197</v>
      </c>
      <c r="AJ1904">
        <v>84.978961080460707</v>
      </c>
      <c r="AK1904">
        <v>50.461240839700501</v>
      </c>
      <c r="AL1904">
        <v>81.943473798699202</v>
      </c>
      <c r="AM1904">
        <v>94.195228413259898</v>
      </c>
      <c r="AN1904">
        <v>0.99999999869411205</v>
      </c>
    </row>
    <row r="1905" spans="1:40" x14ac:dyDescent="0.25">
      <c r="A1905" t="str">
        <f>"20190304154753571"</f>
        <v>20190304154753571</v>
      </c>
      <c r="B1905" t="str">
        <f>"1551685673568526"</f>
        <v>1551685673568526</v>
      </c>
      <c r="C1905" t="s">
        <v>40</v>
      </c>
      <c r="D1905">
        <v>4.3719070000000002</v>
      </c>
      <c r="E1905">
        <v>0.559702699999999</v>
      </c>
      <c r="F1905" t="s">
        <v>53</v>
      </c>
      <c r="G1905">
        <v>-177.1651</v>
      </c>
      <c r="H1905">
        <v>7.9988009999999998E-2</v>
      </c>
      <c r="I1905">
        <v>361.5265</v>
      </c>
      <c r="J1905">
        <v>-226.7157</v>
      </c>
      <c r="K1905">
        <v>1.1107119999999999</v>
      </c>
      <c r="L1905">
        <v>366.3689</v>
      </c>
      <c r="M1905">
        <v>0.99989090000000003</v>
      </c>
      <c r="N1905">
        <v>-1.135886E-2</v>
      </c>
      <c r="O1905">
        <v>-9.4533870000000006E-3</v>
      </c>
      <c r="P1905">
        <v>0.989618</v>
      </c>
      <c r="Q1905">
        <v>0.12912609999999999</v>
      </c>
      <c r="R1905">
        <v>6.3109360000000003E-2</v>
      </c>
      <c r="S1905">
        <v>3.058624</v>
      </c>
      <c r="T1905">
        <v>-6.3425780000000001E-2</v>
      </c>
      <c r="U1905">
        <v>-0.29806519999999997</v>
      </c>
      <c r="V1905">
        <v>-7.2466379999999997E-2</v>
      </c>
      <c r="W1905">
        <v>0.14034969999999999</v>
      </c>
      <c r="X1905">
        <v>0.9874465</v>
      </c>
      <c r="Y1905">
        <v>8.7549000000000002E-2</v>
      </c>
      <c r="Z1905">
        <v>-1.3156140000000001E-3</v>
      </c>
      <c r="AA1905">
        <v>0.99615940000000003</v>
      </c>
      <c r="AB1905">
        <v>22</v>
      </c>
      <c r="AC1905">
        <v>49.550600000000003</v>
      </c>
      <c r="AD1905">
        <v>-1.03072399</v>
      </c>
      <c r="AE1905">
        <v>-4.8423999999999898</v>
      </c>
      <c r="AF1905">
        <v>4.3718586131970998</v>
      </c>
      <c r="AG1905">
        <v>-1.03072399</v>
      </c>
      <c r="AH1905">
        <v>49.5729183301086</v>
      </c>
      <c r="AI1905">
        <v>91.186522833390896</v>
      </c>
      <c r="AJ1905">
        <v>84.960097738705798</v>
      </c>
      <c r="AK1905">
        <v>49.775995936203699</v>
      </c>
      <c r="AL1905">
        <v>81.931917642247399</v>
      </c>
      <c r="AM1905">
        <v>94.197278352730194</v>
      </c>
      <c r="AN1905">
        <v>1.00000000244132</v>
      </c>
    </row>
    <row r="1906" spans="1:40" x14ac:dyDescent="0.25">
      <c r="A1906" t="str">
        <f>"20190304154753583"</f>
        <v>20190304154753583</v>
      </c>
      <c r="B1906" t="str">
        <f>"1551685673578286"</f>
        <v>1551685673578286</v>
      </c>
      <c r="C1906" t="s">
        <v>40</v>
      </c>
      <c r="D1906">
        <v>4.3712119999999999</v>
      </c>
      <c r="E1906">
        <v>0.55978229999999995</v>
      </c>
      <c r="F1906" t="s">
        <v>53</v>
      </c>
      <c r="G1906">
        <v>-178.2406</v>
      </c>
      <c r="H1906">
        <v>7.9987959999999997E-2</v>
      </c>
      <c r="I1906">
        <v>361.63400000000001</v>
      </c>
      <c r="J1906">
        <v>-226.60400000000001</v>
      </c>
      <c r="K1906">
        <v>1.1107100000000001</v>
      </c>
      <c r="L1906">
        <v>366.36790000000002</v>
      </c>
      <c r="M1906">
        <v>0.99989110000000003</v>
      </c>
      <c r="N1906">
        <v>-1.1359350000000001E-2</v>
      </c>
      <c r="O1906">
        <v>-9.4338930000000005E-3</v>
      </c>
      <c r="P1906">
        <v>0.9896412</v>
      </c>
      <c r="Q1906">
        <v>0.128983399999999</v>
      </c>
      <c r="R1906">
        <v>6.3037780000000002E-2</v>
      </c>
      <c r="S1906">
        <v>3.059021</v>
      </c>
      <c r="T1906">
        <v>-6.504393E-2</v>
      </c>
      <c r="U1906">
        <v>-0.298797599999999</v>
      </c>
      <c r="V1906">
        <v>-7.2374140000000003E-2</v>
      </c>
      <c r="W1906">
        <v>0.14020850000000001</v>
      </c>
      <c r="X1906">
        <v>0.9874733</v>
      </c>
      <c r="Y1906">
        <v>8.7790939999999998E-2</v>
      </c>
      <c r="Z1906">
        <v>-1.3377899999999999E-3</v>
      </c>
      <c r="AA1906">
        <v>0.99613799999999997</v>
      </c>
      <c r="AB1906">
        <v>22</v>
      </c>
      <c r="AC1906">
        <v>48.363399999999999</v>
      </c>
      <c r="AD1906">
        <v>-1.0307220399999999</v>
      </c>
      <c r="AE1906">
        <v>-4.7339000000000002</v>
      </c>
      <c r="AF1906">
        <v>4.2754812842493104</v>
      </c>
      <c r="AG1906">
        <v>-1.0307220399999999</v>
      </c>
      <c r="AH1906">
        <v>48.384141882756502</v>
      </c>
      <c r="AI1906">
        <v>91.215645602573105</v>
      </c>
      <c r="AJ1906">
        <v>84.950155336840098</v>
      </c>
      <c r="AK1906">
        <v>48.583611577016597</v>
      </c>
      <c r="AL1906">
        <v>81.940088409835298</v>
      </c>
      <c r="AM1906">
        <v>94.191841472435897</v>
      </c>
      <c r="AN1906">
        <v>0.99999997891293901</v>
      </c>
    </row>
    <row r="1907" spans="1:40" x14ac:dyDescent="0.25">
      <c r="A1907" t="str">
        <f>"20190304154753595"</f>
        <v>20190304154753595</v>
      </c>
      <c r="B1907" t="str">
        <f>"1551685673588045"</f>
        <v>1551685673588045</v>
      </c>
      <c r="C1907" t="s">
        <v>40</v>
      </c>
      <c r="D1907">
        <v>4.3444180000000001</v>
      </c>
      <c r="E1907">
        <v>0.55980659999999904</v>
      </c>
      <c r="F1907" t="s">
        <v>53</v>
      </c>
      <c r="G1907">
        <v>-179.0915</v>
      </c>
      <c r="H1907">
        <v>7.9987909999999995E-2</v>
      </c>
      <c r="I1907">
        <v>361.7124</v>
      </c>
      <c r="J1907">
        <v>-226.47929999999999</v>
      </c>
      <c r="K1907">
        <v>1.110711</v>
      </c>
      <c r="L1907">
        <v>366.36669999999998</v>
      </c>
      <c r="M1907">
        <v>0.99989119999999998</v>
      </c>
      <c r="N1907">
        <v>-1.1359910000000001E-2</v>
      </c>
      <c r="O1907">
        <v>-9.4139289999999997E-3</v>
      </c>
      <c r="P1907">
        <v>0.98961869999999996</v>
      </c>
      <c r="Q1907">
        <v>0.1291234</v>
      </c>
      <c r="R1907">
        <v>6.3103010000000001E-2</v>
      </c>
      <c r="S1907">
        <v>3.0591279999999998</v>
      </c>
      <c r="T1907">
        <v>-6.6363809999999995E-2</v>
      </c>
      <c r="U1907">
        <v>-0.2997437</v>
      </c>
      <c r="V1907">
        <v>-7.2417880000000004E-2</v>
      </c>
      <c r="W1907">
        <v>0.14034920000000001</v>
      </c>
      <c r="X1907">
        <v>0.9874501</v>
      </c>
      <c r="Y1907">
        <v>8.8111510000000004E-2</v>
      </c>
      <c r="Z1907">
        <v>-1.35812E-3</v>
      </c>
      <c r="AA1907">
        <v>0.99610969999999999</v>
      </c>
      <c r="AB1907">
        <v>22</v>
      </c>
      <c r="AC1907">
        <v>47.387799999999999</v>
      </c>
      <c r="AD1907">
        <v>-1.03072309</v>
      </c>
      <c r="AE1907">
        <v>-4.6542999999999699</v>
      </c>
      <c r="AF1907">
        <v>4.2059887462391403</v>
      </c>
      <c r="AG1907">
        <v>-1.03072309</v>
      </c>
      <c r="AH1907">
        <v>47.407303955445997</v>
      </c>
      <c r="AI1907">
        <v>91.240649086665698</v>
      </c>
      <c r="AJ1907">
        <v>84.929977769256197</v>
      </c>
      <c r="AK1907">
        <v>47.604676238220499</v>
      </c>
      <c r="AL1907">
        <v>81.931946342586002</v>
      </c>
      <c r="AM1907">
        <v>94.194464007442306</v>
      </c>
      <c r="AN1907">
        <v>0.99999997363717197</v>
      </c>
    </row>
    <row r="1908" spans="1:40" x14ac:dyDescent="0.25">
      <c r="A1908" t="str">
        <f>"20190304154753607"</f>
        <v>20190304154753607</v>
      </c>
      <c r="B1908" t="str">
        <f>"1551685673598782"</f>
        <v>1551685673598782</v>
      </c>
      <c r="C1908" t="s">
        <v>40</v>
      </c>
      <c r="D1908">
        <v>4.4048569999999998</v>
      </c>
      <c r="E1908">
        <v>0.55979869999999898</v>
      </c>
      <c r="F1908" t="s">
        <v>53</v>
      </c>
      <c r="G1908">
        <v>-179.2885</v>
      </c>
      <c r="H1908">
        <v>7.9987909999999995E-2</v>
      </c>
      <c r="I1908">
        <v>361.73790000000002</v>
      </c>
      <c r="J1908">
        <v>-226.35409999999999</v>
      </c>
      <c r="K1908">
        <v>1.110708</v>
      </c>
      <c r="L1908">
        <v>366.36559999999997</v>
      </c>
      <c r="M1908">
        <v>0.99989130000000004</v>
      </c>
      <c r="N1908">
        <v>-1.1360500000000001E-2</v>
      </c>
      <c r="O1908">
        <v>-9.3986179999999992E-3</v>
      </c>
      <c r="P1908">
        <v>0.98964050000000003</v>
      </c>
      <c r="Q1908">
        <v>0.12893850000000001</v>
      </c>
      <c r="R1908">
        <v>6.3140089999999996E-2</v>
      </c>
      <c r="S1908">
        <v>3.059326</v>
      </c>
      <c r="T1908">
        <v>-6.6820619999999997E-2</v>
      </c>
      <c r="U1908">
        <v>-0.30007929999999999</v>
      </c>
      <c r="V1908">
        <v>-7.243861E-2</v>
      </c>
      <c r="W1908">
        <v>0.14016609999999999</v>
      </c>
      <c r="X1908">
        <v>0.98747459999999998</v>
      </c>
      <c r="Y1908">
        <v>8.822837E-2</v>
      </c>
      <c r="Z1908">
        <v>-1.365359E-3</v>
      </c>
      <c r="AA1908">
        <v>0.99609939999999997</v>
      </c>
      <c r="AB1908">
        <v>22</v>
      </c>
      <c r="AC1908">
        <v>47.065599999999897</v>
      </c>
      <c r="AD1908">
        <v>-1.03072009</v>
      </c>
      <c r="AE1908">
        <v>-4.6276999999999404</v>
      </c>
      <c r="AF1908">
        <v>4.1831284395490602</v>
      </c>
      <c r="AG1908">
        <v>-1.03072009</v>
      </c>
      <c r="AH1908">
        <v>47.0846524065634</v>
      </c>
      <c r="AI1908">
        <v>91.249130950876307</v>
      </c>
      <c r="AJ1908">
        <v>84.923016877709799</v>
      </c>
      <c r="AK1908">
        <v>47.281343463279299</v>
      </c>
      <c r="AL1908">
        <v>81.942542043313495</v>
      </c>
      <c r="AM1908">
        <v>94.195556681935003</v>
      </c>
      <c r="AN1908">
        <v>0.99999998672654999</v>
      </c>
    </row>
    <row r="1909" spans="1:40" x14ac:dyDescent="0.25">
      <c r="A1909" t="str">
        <f>"20190304154753619"</f>
        <v>20190304154753619</v>
      </c>
      <c r="B1909" t="str">
        <f>"1551685673608541"</f>
        <v>1551685673608541</v>
      </c>
      <c r="C1909" t="s">
        <v>40</v>
      </c>
      <c r="D1909">
        <v>4.3700609999999998</v>
      </c>
      <c r="E1909">
        <v>0.55994029999999995</v>
      </c>
      <c r="F1909" t="s">
        <v>53</v>
      </c>
      <c r="G1909">
        <v>-179.97130000000001</v>
      </c>
      <c r="H1909">
        <v>7.8672710000000007E-2</v>
      </c>
      <c r="I1909">
        <v>361.81760000000003</v>
      </c>
      <c r="J1909">
        <v>-226.23830000000001</v>
      </c>
      <c r="K1909">
        <v>1.1107</v>
      </c>
      <c r="L1909">
        <v>366.36450000000002</v>
      </c>
      <c r="M1909">
        <v>0.99989150000000004</v>
      </c>
      <c r="N1909">
        <v>-1.1361059999999999E-2</v>
      </c>
      <c r="O1909">
        <v>-9.3875920000000002E-3</v>
      </c>
      <c r="P1909">
        <v>0.98960919999999997</v>
      </c>
      <c r="Q1909">
        <v>0.12910239999999901</v>
      </c>
      <c r="R1909">
        <v>6.3294310000000006E-2</v>
      </c>
      <c r="S1909">
        <v>3.059418</v>
      </c>
      <c r="T1909">
        <v>-6.8073270000000005E-2</v>
      </c>
      <c r="U1909">
        <v>-0.29998780000000003</v>
      </c>
      <c r="V1909">
        <v>-7.2580049999999993E-2</v>
      </c>
      <c r="W1909">
        <v>0.14033080000000001</v>
      </c>
      <c r="X1909">
        <v>0.98744080000000001</v>
      </c>
      <c r="Y1909">
        <v>8.8206010000000001E-2</v>
      </c>
      <c r="Z1909">
        <v>-1.3792889999999999E-3</v>
      </c>
      <c r="AA1909">
        <v>0.99610129999999997</v>
      </c>
      <c r="AB1909">
        <v>22</v>
      </c>
      <c r="AC1909">
        <v>46.267000000000003</v>
      </c>
      <c r="AD1909">
        <v>-1.03202729</v>
      </c>
      <c r="AE1909">
        <v>-4.5468999999999902</v>
      </c>
      <c r="AF1909">
        <v>4.1103103752312604</v>
      </c>
      <c r="AG1909">
        <v>-1.03202729</v>
      </c>
      <c r="AH1909">
        <v>46.284839311983902</v>
      </c>
      <c r="AI1909">
        <v>91.272324513029105</v>
      </c>
      <c r="AJ1909">
        <v>84.925179127901799</v>
      </c>
      <c r="AK1909">
        <v>46.478447498213697</v>
      </c>
      <c r="AL1909">
        <v>81.933011054952303</v>
      </c>
      <c r="AM1909">
        <v>94.203862754471999</v>
      </c>
      <c r="AN1909">
        <v>0.99999996529563995</v>
      </c>
    </row>
    <row r="1910" spans="1:40" x14ac:dyDescent="0.25">
      <c r="A1910" t="str">
        <f>"20190304154753633"</f>
        <v>20190304154753633</v>
      </c>
      <c r="B1910" t="str">
        <f>"1551685673628061"</f>
        <v>1551685673628061</v>
      </c>
      <c r="C1910" t="s">
        <v>40</v>
      </c>
      <c r="D1910">
        <v>4.4175659999999999</v>
      </c>
      <c r="E1910">
        <v>0.55998389999999998</v>
      </c>
      <c r="F1910" t="s">
        <v>53</v>
      </c>
      <c r="G1910">
        <v>-179.9709</v>
      </c>
      <c r="H1910">
        <v>7.9061259999999994E-2</v>
      </c>
      <c r="I1910">
        <v>361.81569999999999</v>
      </c>
      <c r="J1910">
        <v>-226.09690000000001</v>
      </c>
      <c r="K1910">
        <v>1.110698</v>
      </c>
      <c r="L1910">
        <v>366.36320000000001</v>
      </c>
      <c r="M1910">
        <v>0.99989150000000004</v>
      </c>
      <c r="N1910">
        <v>-1.136176E-2</v>
      </c>
      <c r="O1910">
        <v>-9.3770529999999998E-3</v>
      </c>
      <c r="P1910">
        <v>0.98956299999999997</v>
      </c>
      <c r="Q1910">
        <v>0.1293397</v>
      </c>
      <c r="R1910">
        <v>6.3535019999999998E-2</v>
      </c>
      <c r="S1910">
        <v>3.059631</v>
      </c>
      <c r="T1910">
        <v>-6.8221569999999995E-2</v>
      </c>
      <c r="U1910">
        <v>-0.30081180000000002</v>
      </c>
      <c r="V1910">
        <v>-7.2808269999999994E-2</v>
      </c>
      <c r="W1910">
        <v>0.14056930000000001</v>
      </c>
      <c r="X1910">
        <v>0.98739010000000005</v>
      </c>
      <c r="Y1910">
        <v>8.8475219999999993E-2</v>
      </c>
      <c r="Z1910">
        <v>-1.3855880000000001E-3</v>
      </c>
      <c r="AA1910">
        <v>0.9960774</v>
      </c>
      <c r="AB1910">
        <v>22</v>
      </c>
      <c r="AC1910">
        <v>46.125999999999998</v>
      </c>
      <c r="AD1910">
        <v>-1.0316367399999999</v>
      </c>
      <c r="AE1910">
        <v>-4.5475000000000101</v>
      </c>
      <c r="AF1910">
        <v>4.1127087207124298</v>
      </c>
      <c r="AG1910">
        <v>-1.0316367399999999</v>
      </c>
      <c r="AH1910">
        <v>46.143756795488201</v>
      </c>
      <c r="AI1910">
        <v>91.275694092745397</v>
      </c>
      <c r="AJ1910">
        <v>84.906789956065296</v>
      </c>
      <c r="AK1910">
        <v>46.338158558426898</v>
      </c>
      <c r="AL1910">
        <v>81.919209412369298</v>
      </c>
      <c r="AM1910">
        <v>94.217249480494004</v>
      </c>
      <c r="AN1910">
        <v>0.999999990930446</v>
      </c>
    </row>
    <row r="1911" spans="1:40" x14ac:dyDescent="0.25">
      <c r="A1911" t="str">
        <f>"20190304154753645"</f>
        <v>20190304154753645</v>
      </c>
      <c r="B1911" t="str">
        <f>"1551685673638798"</f>
        <v>1551685673638798</v>
      </c>
      <c r="C1911" t="s">
        <v>40</v>
      </c>
      <c r="D1911">
        <v>4.3871079999999996</v>
      </c>
      <c r="E1911">
        <v>0.56011529999999998</v>
      </c>
      <c r="F1911" t="s">
        <v>53</v>
      </c>
      <c r="G1911">
        <v>-179.98339999999999</v>
      </c>
      <c r="H1911">
        <v>6.6558549999999994E-2</v>
      </c>
      <c r="I1911">
        <v>361.83280000000002</v>
      </c>
      <c r="J1911">
        <v>-225.98089999999999</v>
      </c>
      <c r="K1911">
        <v>1.1106959999999999</v>
      </c>
      <c r="L1911">
        <v>366.3621</v>
      </c>
      <c r="M1911">
        <v>0.99989139999999999</v>
      </c>
      <c r="N1911">
        <v>-1.136234E-2</v>
      </c>
      <c r="O1911">
        <v>-9.3722200000000006E-3</v>
      </c>
      <c r="P1911">
        <v>0.98954520000000001</v>
      </c>
      <c r="Q1911">
        <v>0.12943170000000001</v>
      </c>
      <c r="R1911">
        <v>6.3621540000000004E-2</v>
      </c>
      <c r="S1911">
        <v>3.0599820000000002</v>
      </c>
      <c r="T1911">
        <v>-6.928658E-2</v>
      </c>
      <c r="U1911">
        <v>-0.30062870000000003</v>
      </c>
      <c r="V1911">
        <v>-7.2888750000000002E-2</v>
      </c>
      <c r="W1911">
        <v>0.1406618</v>
      </c>
      <c r="X1911">
        <v>0.987371</v>
      </c>
      <c r="Y1911">
        <v>8.8409070000000006E-2</v>
      </c>
      <c r="Z1911">
        <v>-1.3965640000000001E-3</v>
      </c>
      <c r="AA1911">
        <v>0.9960833</v>
      </c>
      <c r="AB1911">
        <v>22</v>
      </c>
      <c r="AC1911">
        <v>45.997500000000002</v>
      </c>
      <c r="AD1911">
        <v>-1.04413745</v>
      </c>
      <c r="AE1911">
        <v>-4.5292999999999699</v>
      </c>
      <c r="AF1911">
        <v>4.0958841956832304</v>
      </c>
      <c r="AG1911">
        <v>-1.04413745</v>
      </c>
      <c r="AH1911">
        <v>46.014449028232697</v>
      </c>
      <c r="AI1911">
        <v>91.294787195161703</v>
      </c>
      <c r="AJ1911">
        <v>84.913336865177996</v>
      </c>
      <c r="AK1911">
        <v>46.208181199120602</v>
      </c>
      <c r="AL1911">
        <v>81.9138564543765</v>
      </c>
      <c r="AM1911">
        <v>94.221975625037899</v>
      </c>
      <c r="AN1911">
        <v>1.0000000017484001</v>
      </c>
    </row>
    <row r="1912" spans="1:40" x14ac:dyDescent="0.25">
      <c r="A1912" t="str">
        <f>"20190304154753657"</f>
        <v>20190304154753657</v>
      </c>
      <c r="B1912" t="str">
        <f>"1551685673648558"</f>
        <v>1551685673648558</v>
      </c>
      <c r="C1912" t="s">
        <v>40</v>
      </c>
      <c r="D1912">
        <v>4.3593279999999996</v>
      </c>
      <c r="E1912">
        <v>0.56024739999999995</v>
      </c>
      <c r="F1912" t="s">
        <v>53</v>
      </c>
      <c r="G1912">
        <v>-179.98609999999999</v>
      </c>
      <c r="H1912">
        <v>6.3889650000000006E-2</v>
      </c>
      <c r="I1912">
        <v>361.8313</v>
      </c>
      <c r="J1912">
        <v>-225.86539999999999</v>
      </c>
      <c r="K1912">
        <v>1.11069</v>
      </c>
      <c r="L1912">
        <v>366.36099999999999</v>
      </c>
      <c r="M1912">
        <v>0.99989170000000005</v>
      </c>
      <c r="N1912">
        <v>-1.136293E-2</v>
      </c>
      <c r="O1912">
        <v>-9.3692889999999994E-3</v>
      </c>
      <c r="P1912">
        <v>0.98951909999999998</v>
      </c>
      <c r="Q1912">
        <v>0.12953980000000001</v>
      </c>
      <c r="R1912">
        <v>6.3807160000000002E-2</v>
      </c>
      <c r="S1912">
        <v>3.0601959999999999</v>
      </c>
      <c r="T1912">
        <v>-6.9647790000000001E-2</v>
      </c>
      <c r="U1912">
        <v>-0.30145260000000001</v>
      </c>
      <c r="V1912">
        <v>-7.3069819999999994E-2</v>
      </c>
      <c r="W1912">
        <v>0.14077129999999999</v>
      </c>
      <c r="X1912">
        <v>0.98734200000000005</v>
      </c>
      <c r="Y1912">
        <v>8.8670479999999996E-2</v>
      </c>
      <c r="Z1912">
        <v>-1.405126E-3</v>
      </c>
      <c r="AA1912">
        <v>0.99605999999999995</v>
      </c>
      <c r="AB1912">
        <v>22</v>
      </c>
      <c r="AC1912">
        <v>45.879300000000001</v>
      </c>
      <c r="AD1912">
        <v>-1.04680035</v>
      </c>
      <c r="AE1912">
        <v>-4.5296999999999903</v>
      </c>
      <c r="AF1912">
        <v>4.09750452680764</v>
      </c>
      <c r="AG1912">
        <v>-1.04680035</v>
      </c>
      <c r="AH1912">
        <v>45.896066486888301</v>
      </c>
      <c r="AI1912">
        <v>91.301404816133996</v>
      </c>
      <c r="AJ1912">
        <v>84.898278817844997</v>
      </c>
      <c r="AK1912">
        <v>46.090500683859403</v>
      </c>
      <c r="AL1912">
        <v>81.907519427805695</v>
      </c>
      <c r="AM1912">
        <v>94.232549639788701</v>
      </c>
      <c r="AN1912">
        <v>0.99999999123126104</v>
      </c>
    </row>
    <row r="1913" spans="1:40" x14ac:dyDescent="0.25">
      <c r="A1913" t="str">
        <f>"20190304154753668"</f>
        <v>20190304154753668</v>
      </c>
      <c r="B1913" t="str">
        <f>"1551685673658318"</f>
        <v>1551685673658318</v>
      </c>
      <c r="C1913" t="s">
        <v>40</v>
      </c>
      <c r="D1913">
        <v>4.3769559999999998</v>
      </c>
      <c r="E1913">
        <v>0.56036189999999997</v>
      </c>
      <c r="F1913" t="s">
        <v>53</v>
      </c>
      <c r="G1913">
        <v>-179.98519999999999</v>
      </c>
      <c r="H1913">
        <v>6.4792069999999993E-2</v>
      </c>
      <c r="I1913">
        <v>361.834</v>
      </c>
      <c r="J1913">
        <v>-225.74940000000001</v>
      </c>
      <c r="K1913">
        <v>1.110687</v>
      </c>
      <c r="L1913">
        <v>366.35989999999998</v>
      </c>
      <c r="M1913">
        <v>0.99989159999999999</v>
      </c>
      <c r="N1913">
        <v>-1.136353E-2</v>
      </c>
      <c r="O1913">
        <v>-9.3682569999999996E-3</v>
      </c>
      <c r="P1913">
        <v>0.98947200000000002</v>
      </c>
      <c r="Q1913">
        <v>0.12989800000000001</v>
      </c>
      <c r="R1913">
        <v>6.3810339999999993E-2</v>
      </c>
      <c r="S1913">
        <v>3.0603790000000002</v>
      </c>
      <c r="T1913">
        <v>-6.9765209999999994E-2</v>
      </c>
      <c r="U1913">
        <v>-0.3019714</v>
      </c>
      <c r="V1913">
        <v>-7.3070759999999998E-2</v>
      </c>
      <c r="W1913">
        <v>0.14112959999999999</v>
      </c>
      <c r="X1913">
        <v>0.98729080000000002</v>
      </c>
      <c r="Y1913">
        <v>8.8832750000000002E-2</v>
      </c>
      <c r="Z1913">
        <v>-1.4092270000000001E-3</v>
      </c>
      <c r="AA1913">
        <v>0.99604550000000003</v>
      </c>
      <c r="AB1913">
        <v>22</v>
      </c>
      <c r="AC1913">
        <v>45.764200000000002</v>
      </c>
      <c r="AD1913">
        <v>-1.04589493</v>
      </c>
      <c r="AE1913">
        <v>-4.5258999999999698</v>
      </c>
      <c r="AF1913">
        <v>4.0948248828449501</v>
      </c>
      <c r="AG1913">
        <v>-1.04589493</v>
      </c>
      <c r="AH1913">
        <v>45.780913987065702</v>
      </c>
      <c r="AI1913">
        <v>91.303529844470802</v>
      </c>
      <c r="AJ1913">
        <v>84.888841454968798</v>
      </c>
      <c r="AK1913">
        <v>45.9755758258325</v>
      </c>
      <c r="AL1913">
        <v>81.886783502582205</v>
      </c>
      <c r="AM1913">
        <v>94.232822592377403</v>
      </c>
      <c r="AN1913">
        <v>1.0000000118638801</v>
      </c>
    </row>
    <row r="1914" spans="1:40" x14ac:dyDescent="0.25">
      <c r="A1914" t="str">
        <f>"20190304154753678"</f>
        <v>20190304154753678</v>
      </c>
      <c r="B1914" t="str">
        <f>"1551685673668078"</f>
        <v>1551685673668078</v>
      </c>
      <c r="C1914" t="s">
        <v>40</v>
      </c>
      <c r="D1914">
        <v>4.4135489999999997</v>
      </c>
      <c r="E1914">
        <v>0.56046030000000002</v>
      </c>
      <c r="F1914" t="s">
        <v>53</v>
      </c>
      <c r="G1914">
        <v>-179.97630000000001</v>
      </c>
      <c r="H1914">
        <v>7.3707540000000002E-2</v>
      </c>
      <c r="I1914">
        <v>361.82960000000003</v>
      </c>
      <c r="J1914">
        <v>-225.64400000000001</v>
      </c>
      <c r="K1914">
        <v>1.1106879999999999</v>
      </c>
      <c r="L1914">
        <v>366.35890000000001</v>
      </c>
      <c r="M1914">
        <v>0.99989159999999999</v>
      </c>
      <c r="N1914">
        <v>-1.136409E-2</v>
      </c>
      <c r="O1914">
        <v>-9.3688799999999996E-3</v>
      </c>
      <c r="P1914">
        <v>0.98948440000000004</v>
      </c>
      <c r="Q1914">
        <v>0.1298424</v>
      </c>
      <c r="R1914">
        <v>6.3731250000000003E-2</v>
      </c>
      <c r="S1914">
        <v>3.060562</v>
      </c>
      <c r="T1914">
        <v>-6.9336410000000001E-2</v>
      </c>
      <c r="U1914">
        <v>-0.30291750000000001</v>
      </c>
      <c r="V1914">
        <v>-7.2991769999999997E-2</v>
      </c>
      <c r="W1914">
        <v>0.14107529999999999</v>
      </c>
      <c r="X1914">
        <v>0.98730439999999997</v>
      </c>
      <c r="Y1914">
        <v>8.9131470000000004E-2</v>
      </c>
      <c r="Z1914">
        <v>-1.4093759999999999E-3</v>
      </c>
      <c r="AA1914">
        <v>0.99601890000000004</v>
      </c>
      <c r="AB1914">
        <v>22</v>
      </c>
      <c r="AC1914">
        <v>45.667700000000004</v>
      </c>
      <c r="AD1914">
        <v>-1.0369804600000001</v>
      </c>
      <c r="AE1914">
        <v>-4.5292999999999699</v>
      </c>
      <c r="AF1914">
        <v>4.0991254152482597</v>
      </c>
      <c r="AG1914">
        <v>-1.0369804600000001</v>
      </c>
      <c r="AH1914">
        <v>45.684806464452102</v>
      </c>
      <c r="AI1914">
        <v>91.295108736268105</v>
      </c>
      <c r="AJ1914">
        <v>84.872795699113098</v>
      </c>
      <c r="AK1914">
        <v>45.880057752130199</v>
      </c>
      <c r="AL1914">
        <v>81.889926077718201</v>
      </c>
      <c r="AM1914">
        <v>94.228205452875699</v>
      </c>
      <c r="AN1914">
        <v>1.0000000085085901</v>
      </c>
    </row>
    <row r="1915" spans="1:40" x14ac:dyDescent="0.25">
      <c r="A1915" t="str">
        <f>"20190304154753690"</f>
        <v>20190304154753690</v>
      </c>
      <c r="B1915" t="str">
        <f>"1551685673688574"</f>
        <v>1551685673688574</v>
      </c>
      <c r="C1915" t="s">
        <v>40</v>
      </c>
      <c r="D1915">
        <v>4.4298029999999997</v>
      </c>
      <c r="E1915">
        <v>0.56055880000000002</v>
      </c>
      <c r="F1915" t="s">
        <v>53</v>
      </c>
      <c r="G1915">
        <v>-179.98410000000001</v>
      </c>
      <c r="H1915">
        <v>6.584421E-2</v>
      </c>
      <c r="I1915">
        <v>361.8227</v>
      </c>
      <c r="J1915">
        <v>-225.52770000000001</v>
      </c>
      <c r="K1915">
        <v>1.110689</v>
      </c>
      <c r="L1915">
        <v>366.35789999999997</v>
      </c>
      <c r="M1915">
        <v>0.99989159999999999</v>
      </c>
      <c r="N1915">
        <v>-1.136471E-2</v>
      </c>
      <c r="O1915">
        <v>-9.3703359999999999E-3</v>
      </c>
      <c r="P1915">
        <v>0.9894503</v>
      </c>
      <c r="Q1915">
        <v>0.13002839999999999</v>
      </c>
      <c r="R1915">
        <v>6.3881220000000002E-2</v>
      </c>
      <c r="S1915">
        <v>3.0606840000000002</v>
      </c>
      <c r="T1915">
        <v>-7.0038320000000001E-2</v>
      </c>
      <c r="U1915">
        <v>-0.30407709999999999</v>
      </c>
      <c r="V1915">
        <v>-7.3142330000000005E-2</v>
      </c>
      <c r="W1915">
        <v>0.14126129999999901</v>
      </c>
      <c r="X1915">
        <v>0.98726670000000005</v>
      </c>
      <c r="Y1915">
        <v>8.9499129999999996E-2</v>
      </c>
      <c r="Z1915">
        <v>-1.423695E-3</v>
      </c>
      <c r="AA1915">
        <v>0.99598589999999998</v>
      </c>
      <c r="AB1915">
        <v>22</v>
      </c>
      <c r="AC1915">
        <v>45.543599999999998</v>
      </c>
      <c r="AD1915">
        <v>-1.04484479</v>
      </c>
      <c r="AE1915">
        <v>-4.5351999999999704</v>
      </c>
      <c r="AF1915">
        <v>4.1060746224240203</v>
      </c>
      <c r="AG1915">
        <v>-1.04484479</v>
      </c>
      <c r="AH1915">
        <v>45.560355524974902</v>
      </c>
      <c r="AI1915">
        <v>91.308444153625999</v>
      </c>
      <c r="AJ1915">
        <v>84.850196485127498</v>
      </c>
      <c r="AK1915">
        <v>45.756939856181603</v>
      </c>
      <c r="AL1915">
        <v>81.879161567251799</v>
      </c>
      <c r="AM1915">
        <v>94.237056439811397</v>
      </c>
      <c r="AN1915">
        <v>1.0000000461222001</v>
      </c>
    </row>
    <row r="1916" spans="1:40" x14ac:dyDescent="0.25">
      <c r="A1916" t="str">
        <f>"20190304154753702"</f>
        <v>20190304154753702</v>
      </c>
      <c r="B1916" t="str">
        <f>"1551685673698335"</f>
        <v>1551685673698335</v>
      </c>
      <c r="C1916" t="s">
        <v>40</v>
      </c>
      <c r="D1916">
        <v>4.6368580000000001</v>
      </c>
      <c r="E1916">
        <v>0.56055880000000002</v>
      </c>
      <c r="F1916" t="s">
        <v>53</v>
      </c>
      <c r="G1916">
        <v>-179.98820000000001</v>
      </c>
      <c r="H1916">
        <v>6.1758189999999998E-2</v>
      </c>
      <c r="I1916">
        <v>361.82889999999998</v>
      </c>
      <c r="J1916">
        <v>-225.41909999999999</v>
      </c>
      <c r="K1916">
        <v>1.110689</v>
      </c>
      <c r="L1916">
        <v>366.3569</v>
      </c>
      <c r="M1916">
        <v>0.99989159999999999</v>
      </c>
      <c r="N1916">
        <v>-1.136529E-2</v>
      </c>
      <c r="O1916">
        <v>-9.3728500000000003E-3</v>
      </c>
      <c r="P1916">
        <v>0.98945039999999995</v>
      </c>
      <c r="Q1916">
        <v>0.13012280000000001</v>
      </c>
      <c r="R1916">
        <v>6.3686809999999996E-2</v>
      </c>
      <c r="S1916">
        <v>3.0608979999999999</v>
      </c>
      <c r="T1916">
        <v>-7.0502999999999996E-2</v>
      </c>
      <c r="U1916">
        <v>-0.30441279999999998</v>
      </c>
      <c r="V1916">
        <v>-7.2950199999999896E-2</v>
      </c>
      <c r="W1916">
        <v>0.14135710000000001</v>
      </c>
      <c r="X1916">
        <v>0.98726709999999995</v>
      </c>
      <c r="Y1916">
        <v>8.9597529999999995E-2</v>
      </c>
      <c r="Z1916">
        <v>-1.4306869999999999E-3</v>
      </c>
      <c r="AA1916">
        <v>0.995977</v>
      </c>
      <c r="AB1916">
        <v>22</v>
      </c>
      <c r="AC1916">
        <v>45.430899999999902</v>
      </c>
      <c r="AD1916">
        <v>-1.0489308100000001</v>
      </c>
      <c r="AE1916">
        <v>-4.52800000000002</v>
      </c>
      <c r="AF1916">
        <v>4.0997925973184604</v>
      </c>
      <c r="AG1916">
        <v>-1.0489308100000001</v>
      </c>
      <c r="AH1916">
        <v>45.447358436060497</v>
      </c>
      <c r="AI1916">
        <v>91.316813912989005</v>
      </c>
      <c r="AJ1916">
        <v>84.845317245599304</v>
      </c>
      <c r="AK1916">
        <v>45.6439584611255</v>
      </c>
      <c r="AL1916">
        <v>81.873616159961898</v>
      </c>
      <c r="AM1916">
        <v>94.225965223771695</v>
      </c>
      <c r="AN1916">
        <v>0.999999944071428</v>
      </c>
    </row>
    <row r="1917" spans="1:40" x14ac:dyDescent="0.25">
      <c r="A1917" t="str">
        <f>"20190304154753712"</f>
        <v>20190304154753712</v>
      </c>
      <c r="B1917" t="str">
        <f>"1551685673708094"</f>
        <v>1551685673708094</v>
      </c>
      <c r="C1917" t="s">
        <v>40</v>
      </c>
      <c r="D1917">
        <v>4.4305250000000003</v>
      </c>
      <c r="E1917">
        <v>0.53652419999999901</v>
      </c>
      <c r="F1917" t="s">
        <v>53</v>
      </c>
      <c r="G1917">
        <v>-179.98050000000001</v>
      </c>
      <c r="H1917">
        <v>6.954639E-2</v>
      </c>
      <c r="I1917">
        <v>361.8306</v>
      </c>
      <c r="J1917">
        <v>-225.31</v>
      </c>
      <c r="K1917">
        <v>1.110689</v>
      </c>
      <c r="L1917">
        <v>366.35579999999999</v>
      </c>
      <c r="M1917">
        <v>0.99989159999999999</v>
      </c>
      <c r="N1917">
        <v>-1.136588E-2</v>
      </c>
      <c r="O1917">
        <v>-9.3756010000000008E-3</v>
      </c>
      <c r="P1917">
        <v>0.98945439999999996</v>
      </c>
      <c r="Q1917">
        <v>0.13004189999999999</v>
      </c>
      <c r="R1917">
        <v>6.3791210000000001E-2</v>
      </c>
      <c r="S1917">
        <v>3.0608369999999998</v>
      </c>
      <c r="T1917">
        <v>-7.0133329999999994E-2</v>
      </c>
      <c r="U1917">
        <v>-0.30490109999999998</v>
      </c>
      <c r="V1917">
        <v>-7.3056969999999999E-2</v>
      </c>
      <c r="W1917">
        <v>0.1412764</v>
      </c>
      <c r="X1917">
        <v>0.9872708</v>
      </c>
      <c r="Y1917">
        <v>8.9754299999999995E-2</v>
      </c>
      <c r="Z1917">
        <v>-1.4291169999999999E-3</v>
      </c>
      <c r="AA1917">
        <v>0.99596289999999998</v>
      </c>
      <c r="AB1917">
        <v>22</v>
      </c>
      <c r="AC1917">
        <v>45.329500000000003</v>
      </c>
      <c r="AD1917">
        <v>-1.0411426100000001</v>
      </c>
      <c r="AE1917">
        <v>-4.5251999999999803</v>
      </c>
      <c r="AF1917">
        <v>4.0978419272627198</v>
      </c>
      <c r="AG1917">
        <v>-1.0411426100000001</v>
      </c>
      <c r="AH1917">
        <v>45.3462505438753</v>
      </c>
      <c r="AI1917">
        <v>91.309934844259402</v>
      </c>
      <c r="AJ1917">
        <v>84.836330777069406</v>
      </c>
      <c r="AK1917">
        <v>45.542932764404902</v>
      </c>
      <c r="AL1917">
        <v>81.878287155623497</v>
      </c>
      <c r="AM1917">
        <v>94.232112091986295</v>
      </c>
      <c r="AN1917">
        <v>0.99999998729758999</v>
      </c>
    </row>
    <row r="1918" spans="1:40" x14ac:dyDescent="0.25">
      <c r="A1918" t="str">
        <f>"20190304154753724"</f>
        <v>20190304154753724</v>
      </c>
      <c r="B1918" t="str">
        <f>"1551685673718831"</f>
        <v>1551685673718831</v>
      </c>
      <c r="C1918" t="s">
        <v>40</v>
      </c>
      <c r="D1918">
        <v>4.4337309999999999</v>
      </c>
      <c r="E1918">
        <v>0.53106030000000004</v>
      </c>
      <c r="F1918" t="s">
        <v>53</v>
      </c>
      <c r="G1918">
        <v>-175.1866</v>
      </c>
      <c r="H1918">
        <v>7.9988100000000006E-2</v>
      </c>
      <c r="I1918">
        <v>364.49619999999999</v>
      </c>
      <c r="J1918">
        <v>-225.1917</v>
      </c>
      <c r="K1918">
        <v>1.1106879999999999</v>
      </c>
      <c r="L1918">
        <v>366.35469999999998</v>
      </c>
      <c r="M1918">
        <v>0.99989139999999999</v>
      </c>
      <c r="N1918">
        <v>-1.136653E-2</v>
      </c>
      <c r="O1918">
        <v>-9.3789370000000004E-3</v>
      </c>
      <c r="P1918">
        <v>0.98943680000000001</v>
      </c>
      <c r="Q1918">
        <v>0.1301505</v>
      </c>
      <c r="R1918">
        <v>6.3840610000000006E-2</v>
      </c>
      <c r="S1918">
        <v>3.047501</v>
      </c>
      <c r="T1918">
        <v>-6.2666540000000007E-2</v>
      </c>
      <c r="U1918">
        <v>-0.1130676</v>
      </c>
      <c r="V1918">
        <v>-7.3109950000000007E-2</v>
      </c>
      <c r="W1918">
        <v>0.1413855</v>
      </c>
      <c r="X1918">
        <v>0.98725130000000005</v>
      </c>
      <c r="Y1918">
        <v>2.769284E-2</v>
      </c>
      <c r="Z1918">
        <v>-3.5587949999999998E-4</v>
      </c>
      <c r="AA1918">
        <v>0.99961639999999996</v>
      </c>
      <c r="AB1918">
        <v>22</v>
      </c>
      <c r="AC1918">
        <v>50.005099999999999</v>
      </c>
      <c r="AD1918">
        <v>-1.0306998999999999</v>
      </c>
      <c r="AE1918">
        <v>-1.85849999999999</v>
      </c>
      <c r="AF1918">
        <v>1.3888040386995399</v>
      </c>
      <c r="AG1918">
        <v>-1.0306998999999999</v>
      </c>
      <c r="AH1918">
        <v>49.999119376357598</v>
      </c>
      <c r="AI1918">
        <v>91.180493442543593</v>
      </c>
      <c r="AJ1918">
        <v>88.408928876705303</v>
      </c>
      <c r="AK1918">
        <v>50.029022150677903</v>
      </c>
      <c r="AL1918">
        <v>81.8719731289642</v>
      </c>
      <c r="AM1918">
        <v>94.235253351563898</v>
      </c>
      <c r="AN1918">
        <v>1.0000000268754701</v>
      </c>
    </row>
    <row r="1919" spans="1:40" x14ac:dyDescent="0.25">
      <c r="A1919" t="str">
        <f>"20190304154753737"</f>
        <v>20190304154753737</v>
      </c>
      <c r="B1919" t="str">
        <f>"1551685673728590"</f>
        <v>1551685673728590</v>
      </c>
      <c r="C1919" t="s">
        <v>40</v>
      </c>
      <c r="D1919">
        <v>4.4337589999999896</v>
      </c>
      <c r="E1919">
        <v>0.52895000000000003</v>
      </c>
      <c r="F1919" t="s">
        <v>53</v>
      </c>
      <c r="G1919">
        <v>-179.97030000000001</v>
      </c>
      <c r="H1919">
        <v>7.9685809999999996E-2</v>
      </c>
      <c r="I1919">
        <v>365.32029999999997</v>
      </c>
      <c r="J1919">
        <v>-225.0746</v>
      </c>
      <c r="K1919">
        <v>1.11069</v>
      </c>
      <c r="L1919">
        <v>366.35359999999997</v>
      </c>
      <c r="M1919">
        <v>0.99989150000000004</v>
      </c>
      <c r="N1919">
        <v>-1.1367179999999999E-2</v>
      </c>
      <c r="O1919">
        <v>-9.3825109999999996E-3</v>
      </c>
      <c r="P1919">
        <v>0.98945269999999996</v>
      </c>
      <c r="Q1919">
        <v>0.13013089999999999</v>
      </c>
      <c r="R1919">
        <v>6.3636029999999996E-2</v>
      </c>
      <c r="S1919">
        <v>3.0456240000000001</v>
      </c>
      <c r="T1919">
        <v>-6.9437150000000003E-2</v>
      </c>
      <c r="U1919">
        <v>-6.9671629999999998E-2</v>
      </c>
      <c r="V1919">
        <v>-7.2909619999999994E-2</v>
      </c>
      <c r="W1919">
        <v>0.14136699999999999</v>
      </c>
      <c r="X1919">
        <v>0.9872687</v>
      </c>
      <c r="Y1919">
        <v>1.348369E-2</v>
      </c>
      <c r="Z1919">
        <v>-1.2312179999999999E-4</v>
      </c>
      <c r="AA1919">
        <v>0.9999091</v>
      </c>
      <c r="AB1919">
        <v>22</v>
      </c>
      <c r="AC1919">
        <v>45.104300000000002</v>
      </c>
      <c r="AD1919">
        <v>-1.03100419</v>
      </c>
      <c r="AE1919">
        <v>-1.0332999999999899</v>
      </c>
      <c r="AF1919">
        <v>0.609717222252391</v>
      </c>
      <c r="AG1919">
        <v>-1.03100419</v>
      </c>
      <c r="AH1919">
        <v>45.088463681703402</v>
      </c>
      <c r="AI1919">
        <v>91.309791774918594</v>
      </c>
      <c r="AJ1919">
        <v>89.225254277493804</v>
      </c>
      <c r="AK1919">
        <v>45.104370984497699</v>
      </c>
      <c r="AL1919">
        <v>81.873043338310893</v>
      </c>
      <c r="AM1919">
        <v>94.223616135665196</v>
      </c>
      <c r="AN1919">
        <v>0.99999996368861599</v>
      </c>
    </row>
    <row r="1920" spans="1:40" x14ac:dyDescent="0.25">
      <c r="A1920" t="str">
        <f>"20190304154753749"</f>
        <v>20190304154753749</v>
      </c>
      <c r="B1920" t="str">
        <f>"1551685673738350"</f>
        <v>1551685673738350</v>
      </c>
      <c r="C1920" t="s">
        <v>40</v>
      </c>
      <c r="D1920">
        <v>4.4103260000000004</v>
      </c>
      <c r="E1920">
        <v>0.52829519999999996</v>
      </c>
      <c r="F1920" t="s">
        <v>53</v>
      </c>
      <c r="G1920">
        <v>-179.97880000000001</v>
      </c>
      <c r="H1920">
        <v>7.1159199999999895E-2</v>
      </c>
      <c r="I1920">
        <v>365.56580000000002</v>
      </c>
      <c r="J1920">
        <v>-224.94890000000001</v>
      </c>
      <c r="K1920">
        <v>1.110692</v>
      </c>
      <c r="L1920">
        <v>366.35250000000002</v>
      </c>
      <c r="M1920">
        <v>0.99989150000000004</v>
      </c>
      <c r="N1920">
        <v>-1.136789E-2</v>
      </c>
      <c r="O1920">
        <v>-9.3861989999999996E-3</v>
      </c>
      <c r="P1920">
        <v>0.98943669999999995</v>
      </c>
      <c r="Q1920">
        <v>0.1302876</v>
      </c>
      <c r="R1920">
        <v>6.3564019999999999E-2</v>
      </c>
      <c r="S1920">
        <v>3.044632</v>
      </c>
      <c r="T1920">
        <v>-7.0183750000000003E-2</v>
      </c>
      <c r="U1920">
        <v>-5.3192139999999999E-2</v>
      </c>
      <c r="V1920">
        <v>-7.2841119999999995E-2</v>
      </c>
      <c r="W1920">
        <v>0.14152379999999901</v>
      </c>
      <c r="X1920">
        <v>0.98725130000000005</v>
      </c>
      <c r="Y1920">
        <v>8.0794219999999993E-3</v>
      </c>
      <c r="Z1920" s="1">
        <v>-2.9417129999999999E-5</v>
      </c>
      <c r="AA1920">
        <v>0.9999673</v>
      </c>
      <c r="AB1920">
        <v>22</v>
      </c>
      <c r="AC1920">
        <v>44.970100000000002</v>
      </c>
      <c r="AD1920">
        <v>-1.0395327999999999</v>
      </c>
      <c r="AE1920">
        <v>-0.78669999999999596</v>
      </c>
      <c r="AF1920">
        <v>0.36434519888809802</v>
      </c>
      <c r="AG1920">
        <v>-1.0395327999999999</v>
      </c>
      <c r="AH1920">
        <v>44.951490711006997</v>
      </c>
      <c r="AI1920">
        <v>91.324722976408495</v>
      </c>
      <c r="AJ1920">
        <v>89.535610839002103</v>
      </c>
      <c r="AK1920">
        <v>44.964985188566203</v>
      </c>
      <c r="AL1920">
        <v>81.863968186418305</v>
      </c>
      <c r="AM1920">
        <v>94.219736407851997</v>
      </c>
      <c r="AN1920">
        <v>0.99999997204049096</v>
      </c>
    </row>
    <row r="1921" spans="1:40" x14ac:dyDescent="0.25">
      <c r="A1921" t="str">
        <f>"20190304154753762"</f>
        <v>20190304154753762</v>
      </c>
      <c r="B1921" t="str">
        <f>"1551685673758846"</f>
        <v>1551685673758846</v>
      </c>
      <c r="C1921" t="s">
        <v>40</v>
      </c>
      <c r="D1921">
        <v>4.4318960000000001</v>
      </c>
      <c r="E1921">
        <v>0.52609810000000001</v>
      </c>
      <c r="F1921" t="s">
        <v>53</v>
      </c>
      <c r="G1921">
        <v>-177.53200000000001</v>
      </c>
      <c r="H1921">
        <v>7.9987989999999995E-2</v>
      </c>
      <c r="I1921">
        <v>365.59989999999999</v>
      </c>
      <c r="J1921">
        <v>-224.81819999999999</v>
      </c>
      <c r="K1921">
        <v>1.110692</v>
      </c>
      <c r="L1921">
        <v>366.35129999999998</v>
      </c>
      <c r="M1921">
        <v>0.99989130000000004</v>
      </c>
      <c r="N1921">
        <v>-1.1368609999999999E-2</v>
      </c>
      <c r="O1921">
        <v>-9.3894089999999996E-3</v>
      </c>
      <c r="P1921">
        <v>0.98946650000000003</v>
      </c>
      <c r="Q1921">
        <v>0.13011619999999999</v>
      </c>
      <c r="R1921">
        <v>6.3452069999999999E-2</v>
      </c>
      <c r="S1921">
        <v>3.0438079999999998</v>
      </c>
      <c r="T1921">
        <v>-6.6163420000000001E-2</v>
      </c>
      <c r="U1921">
        <v>-4.8309329999999998E-2</v>
      </c>
      <c r="V1921">
        <v>-7.2732749999999999E-2</v>
      </c>
      <c r="W1921">
        <v>0.14135339999999999</v>
      </c>
      <c r="X1921">
        <v>0.98728369999999999</v>
      </c>
      <c r="Y1921">
        <v>6.4779869999999897E-3</v>
      </c>
      <c r="Z1921" s="1">
        <v>-9.909738E-6</v>
      </c>
      <c r="AA1921">
        <v>0.99997899999999995</v>
      </c>
      <c r="AB1921">
        <v>22</v>
      </c>
      <c r="AC1921">
        <v>47.286199999999901</v>
      </c>
      <c r="AD1921">
        <v>-1.03070401</v>
      </c>
      <c r="AE1921">
        <v>-0.75139999999998897</v>
      </c>
      <c r="AF1921">
        <v>0.30720279058082001</v>
      </c>
      <c r="AG1921">
        <v>-1.03070401</v>
      </c>
      <c r="AH1921">
        <v>47.268718516690797</v>
      </c>
      <c r="AI1921">
        <v>91.249121789421906</v>
      </c>
      <c r="AJ1921">
        <v>89.627635863682698</v>
      </c>
      <c r="AK1921">
        <v>47.280952555134903</v>
      </c>
      <c r="AL1921">
        <v>81.873830520403303</v>
      </c>
      <c r="AM1921">
        <v>94.213343308093002</v>
      </c>
      <c r="AN1921">
        <v>0.99999997044990496</v>
      </c>
    </row>
    <row r="1922" spans="1:40" x14ac:dyDescent="0.25">
      <c r="A1922" t="str">
        <f>"20190304154753775"</f>
        <v>20190304154753775</v>
      </c>
      <c r="B1922" t="str">
        <f>"1551685673768605"</f>
        <v>1551685673768605</v>
      </c>
      <c r="C1922" t="s">
        <v>40</v>
      </c>
      <c r="D1922">
        <v>4.4114829999999996</v>
      </c>
      <c r="E1922">
        <v>0.52580939999999998</v>
      </c>
      <c r="F1922" t="s">
        <v>53</v>
      </c>
      <c r="G1922">
        <v>-179.98519999999999</v>
      </c>
      <c r="H1922">
        <v>6.4797170000000001E-2</v>
      </c>
      <c r="I1922">
        <v>365.8895</v>
      </c>
      <c r="J1922">
        <v>-224.69220000000001</v>
      </c>
      <c r="K1922">
        <v>1.1106929999999999</v>
      </c>
      <c r="L1922">
        <v>366.3501</v>
      </c>
      <c r="M1922">
        <v>0.99989130000000004</v>
      </c>
      <c r="N1922">
        <v>-1.1369290000000001E-2</v>
      </c>
      <c r="O1922">
        <v>-9.3921409999999997E-3</v>
      </c>
      <c r="P1922">
        <v>0.9894965</v>
      </c>
      <c r="Q1922">
        <v>0.129882</v>
      </c>
      <c r="R1922">
        <v>6.3465160000000007E-2</v>
      </c>
      <c r="S1922">
        <v>3.0432890000000001</v>
      </c>
      <c r="T1922">
        <v>-7.0995929999999999E-2</v>
      </c>
      <c r="U1922">
        <v>-3.1341550000000003E-2</v>
      </c>
      <c r="V1922">
        <v>-7.2749320000000006E-2</v>
      </c>
      <c r="W1922">
        <v>0.14111969999999999</v>
      </c>
      <c r="X1922">
        <v>0.98731599999999997</v>
      </c>
      <c r="Y1922">
        <v>9.0563350000000004E-4</v>
      </c>
      <c r="Z1922" s="1">
        <v>9.657651E-5</v>
      </c>
      <c r="AA1922">
        <v>0.99999959999999999</v>
      </c>
      <c r="AB1922">
        <v>22</v>
      </c>
      <c r="AC1922">
        <v>44.707000000000001</v>
      </c>
      <c r="AD1922">
        <v>-1.0458958300000001</v>
      </c>
      <c r="AE1922">
        <v>-0.46059999999999901</v>
      </c>
      <c r="AF1922">
        <v>4.0635873529748297E-2</v>
      </c>
      <c r="AG1922">
        <v>-1.0458958300000001</v>
      </c>
      <c r="AH1922">
        <v>44.684900676671603</v>
      </c>
      <c r="AI1922">
        <v>91.340820983685902</v>
      </c>
      <c r="AJ1922">
        <v>89.9478959699359</v>
      </c>
      <c r="AK1922">
        <v>44.697157603649003</v>
      </c>
      <c r="AL1922">
        <v>81.887356846577205</v>
      </c>
      <c r="AM1922">
        <v>94.214162361559005</v>
      </c>
      <c r="AN1922">
        <v>1.0000000585722699</v>
      </c>
    </row>
    <row r="1923" spans="1:40" x14ac:dyDescent="0.25">
      <c r="A1923" t="str">
        <f>"20190304154753786"</f>
        <v>20190304154753786</v>
      </c>
      <c r="B1923" t="str">
        <f>"1551685673778366"</f>
        <v>1551685673778366</v>
      </c>
      <c r="C1923" t="s">
        <v>40</v>
      </c>
      <c r="D1923">
        <v>4.4165809999999999</v>
      </c>
      <c r="E1923">
        <v>0.52579419999999899</v>
      </c>
      <c r="F1923" t="s">
        <v>53</v>
      </c>
      <c r="G1923">
        <v>-179.99029999999999</v>
      </c>
      <c r="H1923">
        <v>5.9698950000000001E-2</v>
      </c>
      <c r="I1923">
        <v>365.92329999999998</v>
      </c>
      <c r="J1923">
        <v>-224.57640000000001</v>
      </c>
      <c r="K1923">
        <v>1.1106940000000001</v>
      </c>
      <c r="L1923">
        <v>366.34899999999999</v>
      </c>
      <c r="M1923">
        <v>0.99989139999999999</v>
      </c>
      <c r="N1923">
        <v>-1.136992E-2</v>
      </c>
      <c r="O1923">
        <v>-9.3939230000000002E-3</v>
      </c>
      <c r="P1923">
        <v>0.98953800000000003</v>
      </c>
      <c r="Q1923">
        <v>0.12954649999999901</v>
      </c>
      <c r="R1923">
        <v>6.350335E-2</v>
      </c>
      <c r="S1923">
        <v>3.0431210000000002</v>
      </c>
      <c r="T1923">
        <v>-7.1547390000000002E-2</v>
      </c>
      <c r="U1923">
        <v>-2.9052729999999999E-2</v>
      </c>
      <c r="V1923">
        <v>-7.2790010000000002E-2</v>
      </c>
      <c r="W1923">
        <v>0.14078550000000001</v>
      </c>
      <c r="X1923">
        <v>0.98736069999999998</v>
      </c>
      <c r="Y1923">
        <v>1.5269080000000001E-4</v>
      </c>
      <c r="Z1923">
        <v>1.113549E-4</v>
      </c>
      <c r="AA1923">
        <v>1</v>
      </c>
      <c r="AB1923">
        <v>22</v>
      </c>
      <c r="AC1923">
        <v>44.586100000000002</v>
      </c>
      <c r="AD1923">
        <v>-1.05099505</v>
      </c>
      <c r="AE1923">
        <v>-0.42570000000000602</v>
      </c>
      <c r="AF1923">
        <v>6.8120333774207001E-3</v>
      </c>
      <c r="AG1923">
        <v>-1.05099505</v>
      </c>
      <c r="AH1923">
        <v>44.563372245341696</v>
      </c>
      <c r="AI1923">
        <v>91.351029240740203</v>
      </c>
      <c r="AJ1923">
        <v>89.991241669116903</v>
      </c>
      <c r="AK1923">
        <v>44.575764523738798</v>
      </c>
      <c r="AL1923">
        <v>81.906698099985505</v>
      </c>
      <c r="AM1923">
        <v>94.216320717212199</v>
      </c>
      <c r="AN1923">
        <v>1.0000000472352599</v>
      </c>
    </row>
    <row r="1924" spans="1:40" x14ac:dyDescent="0.25">
      <c r="A1924" t="str">
        <f>"20190304154753796"</f>
        <v>20190304154753796</v>
      </c>
      <c r="B1924" t="str">
        <f>"1551685673788126"</f>
        <v>1551685673788126</v>
      </c>
      <c r="C1924" t="s">
        <v>40</v>
      </c>
      <c r="D1924">
        <v>4.4042379999999897</v>
      </c>
      <c r="E1924">
        <v>0.52598909999999999</v>
      </c>
      <c r="F1924" t="s">
        <v>53</v>
      </c>
      <c r="G1924">
        <v>-179.9956</v>
      </c>
      <c r="H1924">
        <v>5.4390330000000001E-2</v>
      </c>
      <c r="I1924">
        <v>365.92110000000002</v>
      </c>
      <c r="J1924">
        <v>-224.4667</v>
      </c>
      <c r="K1924">
        <v>1.110692</v>
      </c>
      <c r="L1924">
        <v>366.34800000000001</v>
      </c>
      <c r="M1924">
        <v>0.99989130000000004</v>
      </c>
      <c r="N1924">
        <v>-1.137052E-2</v>
      </c>
      <c r="O1924">
        <v>-9.3951090000000004E-3</v>
      </c>
      <c r="P1924">
        <v>0.989541</v>
      </c>
      <c r="Q1924">
        <v>0.12937399999999999</v>
      </c>
      <c r="R1924">
        <v>6.3805440000000005E-2</v>
      </c>
      <c r="S1924">
        <v>3.0430299999999999</v>
      </c>
      <c r="T1924">
        <v>-7.2101949999999998E-2</v>
      </c>
      <c r="U1924">
        <v>-2.920532E-2</v>
      </c>
      <c r="V1924">
        <v>-7.309359E-2</v>
      </c>
      <c r="W1924">
        <v>0.14061360000000001</v>
      </c>
      <c r="X1924">
        <v>0.98736270000000004</v>
      </c>
      <c r="Y1924">
        <v>2.019286E-4</v>
      </c>
      <c r="Z1924">
        <v>1.122046E-4</v>
      </c>
      <c r="AA1924">
        <v>1</v>
      </c>
      <c r="AB1924">
        <v>22</v>
      </c>
      <c r="AC1924">
        <v>44.4711</v>
      </c>
      <c r="AD1924">
        <v>-1.0563016700000001</v>
      </c>
      <c r="AE1924">
        <v>-0.42689999999998901</v>
      </c>
      <c r="AF1924">
        <v>9.0382492190101398E-3</v>
      </c>
      <c r="AG1924">
        <v>-1.0563016700000001</v>
      </c>
      <c r="AH1924">
        <v>44.448073497085097</v>
      </c>
      <c r="AI1924">
        <v>91.361369163449993</v>
      </c>
      <c r="AJ1924">
        <v>89.988349246962599</v>
      </c>
      <c r="AK1924">
        <v>44.460624067935399</v>
      </c>
      <c r="AL1924">
        <v>81.916645652193594</v>
      </c>
      <c r="AM1924">
        <v>94.233833063417805</v>
      </c>
      <c r="AN1924">
        <v>0.99999997937766805</v>
      </c>
    </row>
    <row r="1925" spans="1:40" x14ac:dyDescent="0.25">
      <c r="A1925" t="str">
        <f>"20190304154753811"</f>
        <v>20190304154753811</v>
      </c>
      <c r="B1925" t="str">
        <f>"1551685673808621"</f>
        <v>1551685673808621</v>
      </c>
      <c r="C1925" t="s">
        <v>40</v>
      </c>
      <c r="D1925">
        <v>4.4350250000000004</v>
      </c>
      <c r="E1925">
        <v>0.52541519999999897</v>
      </c>
      <c r="F1925" t="s">
        <v>53</v>
      </c>
      <c r="G1925">
        <v>-179.8254</v>
      </c>
      <c r="H1925">
        <v>7.9987879999999997E-2</v>
      </c>
      <c r="I1925">
        <v>365.9083</v>
      </c>
      <c r="J1925">
        <v>-224.32640000000001</v>
      </c>
      <c r="K1925">
        <v>1.1106910000000001</v>
      </c>
      <c r="L1925">
        <v>366.34660000000002</v>
      </c>
      <c r="M1925">
        <v>0.99989119999999998</v>
      </c>
      <c r="N1925">
        <v>-1.1371279999999999E-2</v>
      </c>
      <c r="O1925">
        <v>-9.3960569999999993E-3</v>
      </c>
      <c r="P1925">
        <v>0.98948570000000002</v>
      </c>
      <c r="Q1925">
        <v>0.1295811</v>
      </c>
      <c r="R1925">
        <v>6.4238470000000006E-2</v>
      </c>
      <c r="S1925">
        <v>3.0428310000000001</v>
      </c>
      <c r="T1925">
        <v>-7.025468E-2</v>
      </c>
      <c r="U1925">
        <v>-2.996826E-2</v>
      </c>
      <c r="V1925">
        <v>-7.3526899999999895E-2</v>
      </c>
      <c r="W1925">
        <v>0.140820899999999</v>
      </c>
      <c r="X1925">
        <v>0.98730099999999998</v>
      </c>
      <c r="Y1925">
        <v>4.5215119999999999E-4</v>
      </c>
      <c r="Z1925">
        <v>1.02271E-4</v>
      </c>
      <c r="AA1925">
        <v>0.99999990000000005</v>
      </c>
      <c r="AB1925">
        <v>22</v>
      </c>
      <c r="AC1925">
        <v>44.500999999999998</v>
      </c>
      <c r="AD1925">
        <v>-1.0307031200000001</v>
      </c>
      <c r="AE1925">
        <v>-0.438300000000026</v>
      </c>
      <c r="AF1925">
        <v>2.0108894875014102E-2</v>
      </c>
      <c r="AG1925">
        <v>-1.0307031200000001</v>
      </c>
      <c r="AH1925">
        <v>44.479295340376503</v>
      </c>
      <c r="AI1925">
        <v>91.327457311337</v>
      </c>
      <c r="AJ1925">
        <v>89.974096830453405</v>
      </c>
      <c r="AK1925">
        <v>44.491240343079497</v>
      </c>
      <c r="AL1925">
        <v>81.904649016443997</v>
      </c>
      <c r="AM1925">
        <v>94.259104969645406</v>
      </c>
      <c r="AN1925">
        <v>0.99999999775070902</v>
      </c>
    </row>
    <row r="1926" spans="1:40" x14ac:dyDescent="0.25">
      <c r="A1926" t="str">
        <f>"20190304154753825"</f>
        <v>20190304154753825</v>
      </c>
      <c r="B1926" t="str">
        <f>"1551685673818382"</f>
        <v>1551685673818382</v>
      </c>
      <c r="C1926" t="s">
        <v>40</v>
      </c>
      <c r="D1926">
        <v>4.417611</v>
      </c>
      <c r="E1926">
        <v>0.52532909999999999</v>
      </c>
      <c r="F1926" t="s">
        <v>53</v>
      </c>
      <c r="G1926">
        <v>-179.71469999999999</v>
      </c>
      <c r="H1926">
        <v>7.9987890000000006E-2</v>
      </c>
      <c r="I1926">
        <v>365.995</v>
      </c>
      <c r="J1926">
        <v>-224.19120000000001</v>
      </c>
      <c r="K1926">
        <v>1.1106929999999999</v>
      </c>
      <c r="L1926">
        <v>366.34539999999998</v>
      </c>
      <c r="M1926">
        <v>0.99989119999999998</v>
      </c>
      <c r="N1926">
        <v>-1.1372E-2</v>
      </c>
      <c r="O1926">
        <v>-9.3962909999999993E-3</v>
      </c>
      <c r="P1926">
        <v>0.98945510000000003</v>
      </c>
      <c r="Q1926">
        <v>0.1295847</v>
      </c>
      <c r="R1926">
        <v>6.4704570000000003E-2</v>
      </c>
      <c r="S1926">
        <v>3.0426479999999998</v>
      </c>
      <c r="T1926">
        <v>-7.0296999999999998E-2</v>
      </c>
      <c r="U1926">
        <v>-2.3986819999999999E-2</v>
      </c>
      <c r="V1926">
        <v>-7.3993870000000003E-2</v>
      </c>
      <c r="W1926">
        <v>0.14082420000000001</v>
      </c>
      <c r="X1926">
        <v>0.98726559999999997</v>
      </c>
      <c r="Y1926">
        <v>-1.51242E-3</v>
      </c>
      <c r="Z1926">
        <v>1.3627330000000001E-4</v>
      </c>
      <c r="AA1926">
        <v>0.99999890000000002</v>
      </c>
      <c r="AB1926">
        <v>22</v>
      </c>
      <c r="AC1926">
        <v>44.476500000000001</v>
      </c>
      <c r="AD1926">
        <v>-1.03070511</v>
      </c>
      <c r="AE1926">
        <v>-0.35039999999997901</v>
      </c>
      <c r="AF1926">
        <v>-6.7520368813798401E-2</v>
      </c>
      <c r="AG1926">
        <v>-1.03070511</v>
      </c>
      <c r="AH1926">
        <v>44.453956827414203</v>
      </c>
      <c r="AI1926">
        <v>91.3282148514255</v>
      </c>
      <c r="AJ1926">
        <v>90.087025530803302</v>
      </c>
      <c r="AK1926">
        <v>44.465955400031497</v>
      </c>
      <c r="AL1926">
        <v>81.904457701237902</v>
      </c>
      <c r="AM1926">
        <v>94.286207211840093</v>
      </c>
      <c r="AN1926">
        <v>0.99999995652328699</v>
      </c>
    </row>
    <row r="1927" spans="1:40" x14ac:dyDescent="0.25">
      <c r="A1927" t="str">
        <f>"20190304154753835"</f>
        <v>20190304154753835</v>
      </c>
      <c r="B1927" t="str">
        <f>"1551685673828142"</f>
        <v>1551685673828142</v>
      </c>
      <c r="C1927" t="s">
        <v>40</v>
      </c>
      <c r="D1927">
        <v>4.4954010000000002</v>
      </c>
      <c r="E1927">
        <v>0.5249045</v>
      </c>
      <c r="F1927" t="s">
        <v>53</v>
      </c>
      <c r="G1927">
        <v>-179.5684</v>
      </c>
      <c r="H1927">
        <v>7.9987899999999904E-2</v>
      </c>
      <c r="I1927">
        <v>366.01909999999998</v>
      </c>
      <c r="J1927">
        <v>-224.0814</v>
      </c>
      <c r="K1927">
        <v>1.110692</v>
      </c>
      <c r="L1927">
        <v>366.34440000000001</v>
      </c>
      <c r="M1927">
        <v>0.99989119999999998</v>
      </c>
      <c r="N1927">
        <v>-1.13726E-2</v>
      </c>
      <c r="O1927">
        <v>-9.3962890000000004E-3</v>
      </c>
      <c r="P1927">
        <v>0.98944650000000001</v>
      </c>
      <c r="Q1927">
        <v>0.1294961</v>
      </c>
      <c r="R1927">
        <v>6.5011479999999996E-2</v>
      </c>
      <c r="S1927">
        <v>3.0426329999999999</v>
      </c>
      <c r="T1927">
        <v>-7.0279240000000007E-2</v>
      </c>
      <c r="U1927">
        <v>-2.2247309999999999E-2</v>
      </c>
      <c r="V1927">
        <v>-7.4300329999999998E-2</v>
      </c>
      <c r="W1927">
        <v>0.14073640000000001</v>
      </c>
      <c r="X1927">
        <v>0.9872552</v>
      </c>
      <c r="Y1927">
        <v>-2.0838250000000001E-3</v>
      </c>
      <c r="Z1927">
        <v>1.4605870000000001E-4</v>
      </c>
      <c r="AA1927">
        <v>0.99999780000000005</v>
      </c>
      <c r="AB1927">
        <v>22</v>
      </c>
      <c r="AC1927">
        <v>44.512999999999998</v>
      </c>
      <c r="AD1927">
        <v>-1.0307040999999999</v>
      </c>
      <c r="AE1927">
        <v>-0.32530000000002601</v>
      </c>
      <c r="AF1927">
        <v>-9.2948584705590601E-2</v>
      </c>
      <c r="AG1927">
        <v>-1.0307040999999999</v>
      </c>
      <c r="AH1927">
        <v>44.490238875790901</v>
      </c>
      <c r="AI1927">
        <v>91.327129407096507</v>
      </c>
      <c r="AJ1927">
        <v>90.119701624485401</v>
      </c>
      <c r="AK1927">
        <v>44.502273488059998</v>
      </c>
      <c r="AL1927">
        <v>81.9095396495903</v>
      </c>
      <c r="AM1927">
        <v>94.3039379737898</v>
      </c>
      <c r="AN1927">
        <v>1.00000005162505</v>
      </c>
    </row>
    <row r="1928" spans="1:40" x14ac:dyDescent="0.25">
      <c r="A1928" t="str">
        <f>"20190304154753846"</f>
        <v>20190304154753846</v>
      </c>
      <c r="B1928" t="str">
        <f>"1551685673837902"</f>
        <v>1551685673837902</v>
      </c>
      <c r="C1928" t="s">
        <v>40</v>
      </c>
      <c r="D1928">
        <v>4.4028119999999999</v>
      </c>
      <c r="E1928">
        <v>0.52433030000000003</v>
      </c>
      <c r="F1928" t="s">
        <v>53</v>
      </c>
      <c r="G1928">
        <v>-179.989</v>
      </c>
      <c r="H1928">
        <v>6.0962910000000002E-2</v>
      </c>
      <c r="I1928">
        <v>366.08479999999997</v>
      </c>
      <c r="J1928">
        <v>-223.9786</v>
      </c>
      <c r="K1928">
        <v>1.11069</v>
      </c>
      <c r="L1928">
        <v>366.34339999999997</v>
      </c>
      <c r="M1928">
        <v>0.99989119999999998</v>
      </c>
      <c r="N1928">
        <v>-1.137317E-2</v>
      </c>
      <c r="O1928">
        <v>-9.3961670000000004E-3</v>
      </c>
      <c r="P1928">
        <v>0.98943380000000003</v>
      </c>
      <c r="Q1928">
        <v>0.12935099999999999</v>
      </c>
      <c r="R1928">
        <v>6.5490199999999998E-2</v>
      </c>
      <c r="S1928">
        <v>3.0426639999999998</v>
      </c>
      <c r="T1928">
        <v>-7.2438240000000001E-2</v>
      </c>
      <c r="U1928">
        <v>-1.791382E-2</v>
      </c>
      <c r="V1928">
        <v>-7.4779230000000002E-2</v>
      </c>
      <c r="W1928">
        <v>0.14059140000000001</v>
      </c>
      <c r="X1928">
        <v>0.98723970000000005</v>
      </c>
      <c r="Y1928">
        <v>-3.5072359999999999E-3</v>
      </c>
      <c r="Z1928">
        <v>1.7849319999999999E-4</v>
      </c>
      <c r="AA1928">
        <v>0.99999389999999999</v>
      </c>
      <c r="AB1928">
        <v>22</v>
      </c>
      <c r="AC1928">
        <v>43.989600000000003</v>
      </c>
      <c r="AD1928">
        <v>-1.04972709</v>
      </c>
      <c r="AE1928">
        <v>-0.258600000000001</v>
      </c>
      <c r="AF1928">
        <v>-0.15468368886558501</v>
      </c>
      <c r="AG1928">
        <v>-1.04972709</v>
      </c>
      <c r="AH1928">
        <v>43.965052963927498</v>
      </c>
      <c r="AI1928">
        <v>91.367748484797502</v>
      </c>
      <c r="AJ1928">
        <v>90.201584789844205</v>
      </c>
      <c r="AK1928">
        <v>43.977855065112401</v>
      </c>
      <c r="AL1928">
        <v>81.917930956461603</v>
      </c>
      <c r="AM1928">
        <v>94.331641350278105</v>
      </c>
      <c r="AN1928">
        <v>1.0000000501247199</v>
      </c>
    </row>
    <row r="1929" spans="1:40" x14ac:dyDescent="0.25">
      <c r="A1929" t="str">
        <f>"20190304154753859"</f>
        <v>20190304154753859</v>
      </c>
      <c r="B1929" t="str">
        <f>"1551685673848639"</f>
        <v>1551685673848639</v>
      </c>
      <c r="C1929" t="s">
        <v>40</v>
      </c>
      <c r="D1929">
        <v>4.4284210000000002</v>
      </c>
      <c r="E1929">
        <v>0.52378119999999995</v>
      </c>
      <c r="F1929" t="s">
        <v>53</v>
      </c>
      <c r="G1929">
        <v>-181.0334</v>
      </c>
      <c r="H1929" s="1">
        <v>-8.3624820000000008E-6</v>
      </c>
      <c r="I1929">
        <v>366.17290000000003</v>
      </c>
      <c r="J1929">
        <v>-223.8475</v>
      </c>
      <c r="K1929">
        <v>1.1106910000000001</v>
      </c>
      <c r="L1929">
        <v>366.34219999999999</v>
      </c>
      <c r="M1929">
        <v>0.99989119999999998</v>
      </c>
      <c r="N1929">
        <v>-1.1373899999999999E-2</v>
      </c>
      <c r="O1929">
        <v>-9.3958080000000003E-3</v>
      </c>
      <c r="P1929">
        <v>0.98942180000000002</v>
      </c>
      <c r="Q1929">
        <v>0.12918969999999999</v>
      </c>
      <c r="R1929">
        <v>6.5991800000000003E-2</v>
      </c>
      <c r="S1929">
        <v>3.0431370000000002</v>
      </c>
      <c r="T1929">
        <v>-7.8705189999999994E-2</v>
      </c>
      <c r="U1929">
        <v>-1.208496E-2</v>
      </c>
      <c r="V1929">
        <v>-7.5280410000000006E-2</v>
      </c>
      <c r="W1929">
        <v>0.14043039999999901</v>
      </c>
      <c r="X1929">
        <v>0.98722449999999995</v>
      </c>
      <c r="Y1929">
        <v>-5.4217329999999998E-3</v>
      </c>
      <c r="Z1929">
        <v>2.3703980000000001E-4</v>
      </c>
      <c r="AA1929">
        <v>0.99998529999999997</v>
      </c>
      <c r="AB1929">
        <v>22</v>
      </c>
      <c r="AC1929">
        <v>42.814100000000003</v>
      </c>
      <c r="AD1929">
        <v>-1.1106993624820001</v>
      </c>
      <c r="AE1929">
        <v>-0.16929999999996401</v>
      </c>
      <c r="AF1929">
        <v>-0.23284984124361599</v>
      </c>
      <c r="AG1929">
        <v>-1.1106993624820001</v>
      </c>
      <c r="AH1929">
        <v>42.785006539700099</v>
      </c>
      <c r="AI1929">
        <v>91.487043222192398</v>
      </c>
      <c r="AJ1929">
        <v>90.311819081650498</v>
      </c>
      <c r="AK1929">
        <v>42.8000544009534</v>
      </c>
      <c r="AL1929">
        <v>81.927247808728396</v>
      </c>
      <c r="AM1929">
        <v>94.360627844238607</v>
      </c>
      <c r="AN1929">
        <v>1.00000002538708</v>
      </c>
    </row>
    <row r="1930" spans="1:40" x14ac:dyDescent="0.25">
      <c r="A1930" t="str">
        <f>"20190304154753870"</f>
        <v>20190304154753870</v>
      </c>
      <c r="B1930" t="str">
        <f>"1551685673858399"</f>
        <v>1551685673858399</v>
      </c>
      <c r="C1930" t="s">
        <v>40</v>
      </c>
      <c r="D1930">
        <v>4.418336</v>
      </c>
      <c r="E1930">
        <v>0.52334060000000004</v>
      </c>
      <c r="F1930" t="s">
        <v>53</v>
      </c>
      <c r="G1930">
        <v>-183.83199999999999</v>
      </c>
      <c r="H1930" s="1">
        <v>-8.1491359999999998E-6</v>
      </c>
      <c r="I1930">
        <v>366.25549999999998</v>
      </c>
      <c r="J1930">
        <v>-223.73679999999999</v>
      </c>
      <c r="K1930">
        <v>1.11069</v>
      </c>
      <c r="L1930">
        <v>366.34120000000001</v>
      </c>
      <c r="M1930">
        <v>0.99989119999999998</v>
      </c>
      <c r="N1930">
        <v>-1.1374509999999999E-2</v>
      </c>
      <c r="O1930">
        <v>-9.3953300000000003E-3</v>
      </c>
      <c r="P1930">
        <v>0.98940220000000001</v>
      </c>
      <c r="Q1930">
        <v>0.12907449999999901</v>
      </c>
      <c r="R1930">
        <v>6.650607E-2</v>
      </c>
      <c r="S1930">
        <v>3.0435490000000001</v>
      </c>
      <c r="T1930">
        <v>-8.447897E-2</v>
      </c>
      <c r="U1930">
        <v>-6.5917969999999999E-3</v>
      </c>
      <c r="V1930">
        <v>-7.5793830000000006E-2</v>
      </c>
      <c r="W1930">
        <v>0.14031569999999999</v>
      </c>
      <c r="X1930">
        <v>0.98720149999999995</v>
      </c>
      <c r="Y1930">
        <v>-7.2250069999999899E-3</v>
      </c>
      <c r="Z1930">
        <v>2.9522460000000001E-4</v>
      </c>
      <c r="AA1930">
        <v>0.99997380000000002</v>
      </c>
      <c r="AB1930">
        <v>22</v>
      </c>
      <c r="AC1930">
        <v>39.904800000000002</v>
      </c>
      <c r="AD1930">
        <v>-1.110698149136</v>
      </c>
      <c r="AE1930">
        <v>-8.5700000000031196E-2</v>
      </c>
      <c r="AF1930">
        <v>-0.28902288220408001</v>
      </c>
      <c r="AG1930">
        <v>-1.110698149136</v>
      </c>
      <c r="AH1930">
        <v>39.872953699920103</v>
      </c>
      <c r="AI1930">
        <v>91.595572623069501</v>
      </c>
      <c r="AJ1930">
        <v>90.415306612043096</v>
      </c>
      <c r="AK1930">
        <v>39.889467549227902</v>
      </c>
      <c r="AL1930">
        <v>81.9338851566215</v>
      </c>
      <c r="AM1930">
        <v>94.390353771716903</v>
      </c>
      <c r="AN1930">
        <v>1.0000000009673999</v>
      </c>
    </row>
    <row r="1931" spans="1:40" x14ac:dyDescent="0.25">
      <c r="A1931" t="str">
        <f>"20190304154753880"</f>
        <v>20190304154753880</v>
      </c>
      <c r="B1931" t="str">
        <f>"1551685673877918"</f>
        <v>1551685673877918</v>
      </c>
      <c r="C1931" t="s">
        <v>40</v>
      </c>
      <c r="D1931">
        <v>4.4035380000000002</v>
      </c>
      <c r="E1931">
        <v>0.52268649999999905</v>
      </c>
      <c r="F1931" t="s">
        <v>53</v>
      </c>
      <c r="G1931">
        <v>-185.83349999999999</v>
      </c>
      <c r="H1931" s="1">
        <v>-8.0001470000000001E-6</v>
      </c>
      <c r="I1931">
        <v>366.32369999999997</v>
      </c>
      <c r="J1931">
        <v>-223.63460000000001</v>
      </c>
      <c r="K1931">
        <v>1.110689</v>
      </c>
      <c r="L1931">
        <v>366.34019999999998</v>
      </c>
      <c r="M1931">
        <v>0.99989119999999998</v>
      </c>
      <c r="N1931">
        <v>-1.1375089999999999E-2</v>
      </c>
      <c r="O1931">
        <v>-9.3949719999999997E-3</v>
      </c>
      <c r="P1931">
        <v>0.9894115</v>
      </c>
      <c r="Q1931">
        <v>0.1289372</v>
      </c>
      <c r="R1931">
        <v>6.6632769999999994E-2</v>
      </c>
      <c r="S1931">
        <v>3.0438540000000001</v>
      </c>
      <c r="T1931">
        <v>-8.9195369999999996E-2</v>
      </c>
      <c r="U1931">
        <v>-1.403809E-3</v>
      </c>
      <c r="V1931">
        <v>-7.5920539999999995E-2</v>
      </c>
      <c r="W1931">
        <v>0.14017879999999899</v>
      </c>
      <c r="X1931">
        <v>0.98721119999999996</v>
      </c>
      <c r="Y1931">
        <v>-8.9275759999999996E-3</v>
      </c>
      <c r="Z1931">
        <v>3.4995239999999997E-4</v>
      </c>
      <c r="AA1931">
        <v>0.99996010000000002</v>
      </c>
      <c r="AB1931">
        <v>22</v>
      </c>
      <c r="AC1931">
        <v>37.801099999999998</v>
      </c>
      <c r="AD1931">
        <v>-1.110697000147</v>
      </c>
      <c r="AE1931">
        <v>-1.6500000000007699E-2</v>
      </c>
      <c r="AF1931">
        <v>-0.33837184024288602</v>
      </c>
      <c r="AG1931">
        <v>-1.110697000147</v>
      </c>
      <c r="AH1931">
        <v>37.766980734587499</v>
      </c>
      <c r="AI1931">
        <v>91.684470400890206</v>
      </c>
      <c r="AJ1931">
        <v>90.513325641823897</v>
      </c>
      <c r="AK1931">
        <v>37.784824693719401</v>
      </c>
      <c r="AL1931">
        <v>81.941807148697507</v>
      </c>
      <c r="AM1931">
        <v>94.397621633442299</v>
      </c>
      <c r="AN1931">
        <v>0.99999998888438502</v>
      </c>
    </row>
    <row r="1932" spans="1:40" x14ac:dyDescent="0.25">
      <c r="A1932" t="str">
        <f>"20190304154753892"</f>
        <v>20190304154753892</v>
      </c>
      <c r="B1932" t="str">
        <f>"1551685673888654"</f>
        <v>1551685673888654</v>
      </c>
      <c r="C1932" t="s">
        <v>40</v>
      </c>
      <c r="D1932">
        <v>4.433897</v>
      </c>
      <c r="E1932">
        <v>0.52241470000000001</v>
      </c>
      <c r="F1932" t="s">
        <v>53</v>
      </c>
      <c r="G1932">
        <v>-188.89789999999999</v>
      </c>
      <c r="H1932" s="1">
        <v>-7.8165799999999993E-6</v>
      </c>
      <c r="I1932">
        <v>366.38099999999997</v>
      </c>
      <c r="J1932">
        <v>-223.52789999999999</v>
      </c>
      <c r="K1932">
        <v>1.110684</v>
      </c>
      <c r="L1932">
        <v>366.33920000000001</v>
      </c>
      <c r="M1932">
        <v>0.99989119999999998</v>
      </c>
      <c r="N1932">
        <v>-1.1375700000000001E-2</v>
      </c>
      <c r="O1932">
        <v>-9.3944949999999992E-3</v>
      </c>
      <c r="P1932">
        <v>0.98943159999999997</v>
      </c>
      <c r="Q1932">
        <v>0.128641899999999</v>
      </c>
      <c r="R1932">
        <v>6.6906499999999994E-2</v>
      </c>
      <c r="S1932">
        <v>3.044556</v>
      </c>
      <c r="T1932">
        <v>-9.734893E-2</v>
      </c>
      <c r="U1932">
        <v>3.5705569999999998E-3</v>
      </c>
      <c r="V1932">
        <v>-7.6193940000000002E-2</v>
      </c>
      <c r="W1932">
        <v>0.1398847</v>
      </c>
      <c r="X1932">
        <v>0.98723190000000005</v>
      </c>
      <c r="Y1932">
        <v>-1.055851E-2</v>
      </c>
      <c r="Z1932">
        <v>4.2228870000000001E-4</v>
      </c>
      <c r="AA1932">
        <v>0.99994419999999995</v>
      </c>
      <c r="AB1932">
        <v>22</v>
      </c>
      <c r="AC1932">
        <v>34.629999999999903</v>
      </c>
      <c r="AD1932">
        <v>-1.1106918165799999</v>
      </c>
      <c r="AE1932">
        <v>4.1799999999966503E-2</v>
      </c>
      <c r="AF1932">
        <v>-0.36677326347592798</v>
      </c>
      <c r="AG1932">
        <v>-1.1106918165799999</v>
      </c>
      <c r="AH1932">
        <v>34.5924941835247</v>
      </c>
      <c r="AI1932">
        <v>91.838911213983295</v>
      </c>
      <c r="AJ1932">
        <v>90.607466247249207</v>
      </c>
      <c r="AK1932">
        <v>34.6122639071097</v>
      </c>
      <c r="AL1932">
        <v>81.958825893424205</v>
      </c>
      <c r="AM1932">
        <v>94.413303426540693</v>
      </c>
      <c r="AN1932">
        <v>1.00000003508221</v>
      </c>
    </row>
    <row r="1933" spans="1:40" x14ac:dyDescent="0.25">
      <c r="A1933" t="str">
        <f>"20190304154753904"</f>
        <v>20190304154753904</v>
      </c>
      <c r="B1933" t="str">
        <f>"1551685673898414"</f>
        <v>1551685673898414</v>
      </c>
      <c r="C1933" t="s">
        <v>40</v>
      </c>
      <c r="D1933">
        <v>4.4159160000000002</v>
      </c>
      <c r="E1933">
        <v>0.52210249999999903</v>
      </c>
      <c r="F1933" t="s">
        <v>53</v>
      </c>
      <c r="G1933">
        <v>-190.1508</v>
      </c>
      <c r="H1933" s="1">
        <v>-5.8385289999999901E-6</v>
      </c>
      <c r="I1933">
        <v>366.4135</v>
      </c>
      <c r="J1933">
        <v>-223.4085</v>
      </c>
      <c r="K1933">
        <v>1.1106860000000001</v>
      </c>
      <c r="L1933">
        <v>366.3381</v>
      </c>
      <c r="M1933">
        <v>0.99989119999999998</v>
      </c>
      <c r="N1933">
        <v>-1.137637E-2</v>
      </c>
      <c r="O1933">
        <v>-9.3938999999999898E-3</v>
      </c>
      <c r="P1933">
        <v>0.98941840000000003</v>
      </c>
      <c r="Q1933">
        <v>0.12863339999999901</v>
      </c>
      <c r="R1933">
        <v>6.7118259999999999E-2</v>
      </c>
      <c r="S1933">
        <v>3.0447540000000002</v>
      </c>
      <c r="T1933">
        <v>-0.1013203</v>
      </c>
      <c r="U1933">
        <v>6.7749019999999898E-3</v>
      </c>
      <c r="V1933">
        <v>-7.6405399999999998E-2</v>
      </c>
      <c r="W1933">
        <v>0.13987620000000001</v>
      </c>
      <c r="X1933">
        <v>0.98721669999999995</v>
      </c>
      <c r="Y1933">
        <v>-1.160861E-2</v>
      </c>
      <c r="Z1933">
        <v>4.6481289999999998E-4</v>
      </c>
      <c r="AA1933">
        <v>0.9999325</v>
      </c>
      <c r="AB1933">
        <v>22</v>
      </c>
      <c r="AC1933">
        <v>33.2577</v>
      </c>
      <c r="AD1933">
        <v>-1.1106918385289899</v>
      </c>
      <c r="AE1933">
        <v>7.5400000000001896E-2</v>
      </c>
      <c r="AF1933">
        <v>-0.387404306462304</v>
      </c>
      <c r="AG1933">
        <v>-1.1106918385289899</v>
      </c>
      <c r="AH1933">
        <v>33.218474697234399</v>
      </c>
      <c r="AI1933">
        <v>91.914896266921204</v>
      </c>
      <c r="AJ1933">
        <v>90.668171121391794</v>
      </c>
      <c r="AK1933">
        <v>33.239295715578002</v>
      </c>
      <c r="AL1933">
        <v>81.959317253806503</v>
      </c>
      <c r="AM1933">
        <v>94.425570885458896</v>
      </c>
      <c r="AN1933">
        <v>0.99999997461724399</v>
      </c>
    </row>
    <row r="1934" spans="1:40" x14ac:dyDescent="0.25">
      <c r="A1934" t="str">
        <f>"20190304154753916"</f>
        <v>20190304154753916</v>
      </c>
      <c r="B1934" t="str">
        <f>"1551685673908173"</f>
        <v>1551685673908173</v>
      </c>
      <c r="C1934" t="s">
        <v>40</v>
      </c>
      <c r="D1934">
        <v>4.4033089999999904</v>
      </c>
      <c r="E1934">
        <v>0.52189390000000002</v>
      </c>
      <c r="F1934" t="s">
        <v>53</v>
      </c>
      <c r="G1934">
        <v>-191.00040000000001</v>
      </c>
      <c r="H1934" s="1">
        <v>-6.1324599999999999E-6</v>
      </c>
      <c r="I1934">
        <v>366.44110000000001</v>
      </c>
      <c r="J1934">
        <v>-223.28649999999999</v>
      </c>
      <c r="K1934">
        <v>1.11069</v>
      </c>
      <c r="L1934">
        <v>366.33699999999999</v>
      </c>
      <c r="M1934">
        <v>0.99989119999999998</v>
      </c>
      <c r="N1934">
        <v>-1.137707E-2</v>
      </c>
      <c r="O1934">
        <v>-9.3934239999999992E-3</v>
      </c>
      <c r="P1934">
        <v>0.98935620000000002</v>
      </c>
      <c r="Q1934">
        <v>0.12900039999999999</v>
      </c>
      <c r="R1934">
        <v>6.7327899999999996E-2</v>
      </c>
      <c r="S1934">
        <v>3.045013</v>
      </c>
      <c r="T1934">
        <v>-0.1043588</v>
      </c>
      <c r="U1934">
        <v>9.6740720000000006E-3</v>
      </c>
      <c r="V1934">
        <v>-7.6613680000000003E-2</v>
      </c>
      <c r="W1934">
        <v>0.14024349999999999</v>
      </c>
      <c r="X1934">
        <v>0.98714849999999998</v>
      </c>
      <c r="Y1934">
        <v>-1.255857E-2</v>
      </c>
      <c r="Z1934">
        <v>5.0159179999999996E-4</v>
      </c>
      <c r="AA1934">
        <v>0.99992099999999995</v>
      </c>
      <c r="AB1934">
        <v>22</v>
      </c>
      <c r="AC1934">
        <v>32.286099999999898</v>
      </c>
      <c r="AD1934">
        <v>-1.11069613246</v>
      </c>
      <c r="AE1934">
        <v>0.104100000000016</v>
      </c>
      <c r="AF1934">
        <v>-0.40691048615050401</v>
      </c>
      <c r="AG1934">
        <v>-1.11069613246</v>
      </c>
      <c r="AH1934">
        <v>32.245536049228903</v>
      </c>
      <c r="AI1934">
        <v>91.972613828451202</v>
      </c>
      <c r="AJ1934">
        <v>90.722984292768004</v>
      </c>
      <c r="AK1934">
        <v>32.2672251230955</v>
      </c>
      <c r="AL1934">
        <v>81.938063445564495</v>
      </c>
      <c r="AM1934">
        <v>94.437892163759102</v>
      </c>
      <c r="AN1934">
        <v>1.0000000281538199</v>
      </c>
    </row>
    <row r="1935" spans="1:40" x14ac:dyDescent="0.25">
      <c r="A1935" t="str">
        <f>"20190304154753928"</f>
        <v>20190304154753928</v>
      </c>
      <c r="B1935" t="str">
        <f>"1551685673918909"</f>
        <v>1551685673918909</v>
      </c>
      <c r="C1935" t="s">
        <v>40</v>
      </c>
      <c r="D1935">
        <v>4.4086189999999998</v>
      </c>
      <c r="E1935">
        <v>0.521706</v>
      </c>
      <c r="F1935" t="s">
        <v>53</v>
      </c>
      <c r="G1935">
        <v>-191.46510000000001</v>
      </c>
      <c r="H1935" s="1">
        <v>-6.2925899999999998E-6</v>
      </c>
      <c r="I1935">
        <v>366.46010000000001</v>
      </c>
      <c r="J1935">
        <v>-223.15790000000001</v>
      </c>
      <c r="K1935">
        <v>1.1106910000000001</v>
      </c>
      <c r="L1935">
        <v>366.33580000000001</v>
      </c>
      <c r="M1935">
        <v>0.99989119999999998</v>
      </c>
      <c r="N1935">
        <v>-1.137782E-2</v>
      </c>
      <c r="O1935">
        <v>-9.3930679999999992E-3</v>
      </c>
      <c r="P1935">
        <v>0.98931469999999999</v>
      </c>
      <c r="Q1935">
        <v>0.1292934</v>
      </c>
      <c r="R1935">
        <v>6.7377320000000004E-2</v>
      </c>
      <c r="S1935">
        <v>3.045334</v>
      </c>
      <c r="T1935">
        <v>-0.1062945</v>
      </c>
      <c r="U1935">
        <v>1.177979E-2</v>
      </c>
      <c r="V1935">
        <v>-7.66627E-2</v>
      </c>
      <c r="W1935">
        <v>0.14053669999999999</v>
      </c>
      <c r="X1935">
        <v>0.98710299999999995</v>
      </c>
      <c r="Y1935">
        <v>-1.324825E-2</v>
      </c>
      <c r="Z1935">
        <v>5.2743750000000002E-4</v>
      </c>
      <c r="AA1935">
        <v>0.99991209999999997</v>
      </c>
      <c r="AB1935">
        <v>22</v>
      </c>
      <c r="AC1935">
        <v>31.692799999999998</v>
      </c>
      <c r="AD1935">
        <v>-1.1106972925900001</v>
      </c>
      <c r="AE1935">
        <v>0.124300000000005</v>
      </c>
      <c r="AF1935">
        <v>-0.42148873177229301</v>
      </c>
      <c r="AG1935">
        <v>-1.1106972925900001</v>
      </c>
      <c r="AH1935">
        <v>31.6513603284006</v>
      </c>
      <c r="AI1935">
        <v>92.009598611337395</v>
      </c>
      <c r="AJ1935">
        <v>90.762940292278998</v>
      </c>
      <c r="AK1935">
        <v>31.6736469618676</v>
      </c>
      <c r="AL1935">
        <v>81.921096325556206</v>
      </c>
      <c r="AM1935">
        <v>94.440924195641301</v>
      </c>
      <c r="AN1935">
        <v>1.0000000331135801</v>
      </c>
    </row>
    <row r="1936" spans="1:40" x14ac:dyDescent="0.25">
      <c r="A1936" t="str">
        <f>"20190304154753941"</f>
        <v>20190304154753941</v>
      </c>
      <c r="B1936" t="str">
        <f>"1551685673938430"</f>
        <v>1551685673938430</v>
      </c>
      <c r="C1936" t="s">
        <v>40</v>
      </c>
      <c r="D1936">
        <v>4.4116099999999996</v>
      </c>
      <c r="E1936">
        <v>0.52140640000000005</v>
      </c>
      <c r="F1936" t="s">
        <v>53</v>
      </c>
      <c r="G1936">
        <v>-191.8451</v>
      </c>
      <c r="H1936" s="1">
        <v>-6.4243109999999997E-6</v>
      </c>
      <c r="I1936">
        <v>366.47070000000002</v>
      </c>
      <c r="J1936">
        <v>-223.03710000000001</v>
      </c>
      <c r="K1936">
        <v>1.1106940000000001</v>
      </c>
      <c r="L1936">
        <v>366.3347</v>
      </c>
      <c r="M1936">
        <v>0.99989119999999998</v>
      </c>
      <c r="N1936">
        <v>-1.137852E-2</v>
      </c>
      <c r="O1936">
        <v>-9.3928320000000003E-3</v>
      </c>
      <c r="P1936">
        <v>0.98931429999999998</v>
      </c>
      <c r="Q1936">
        <v>0.1293011</v>
      </c>
      <c r="R1936">
        <v>6.7369289999999998E-2</v>
      </c>
      <c r="S1936">
        <v>3.0456240000000001</v>
      </c>
      <c r="T1936">
        <v>-0.1080314</v>
      </c>
      <c r="U1936">
        <v>1.312256E-2</v>
      </c>
      <c r="V1936">
        <v>-7.6654159999999999E-2</v>
      </c>
      <c r="W1936">
        <v>0.14054469999999999</v>
      </c>
      <c r="X1936">
        <v>0.98710249999999999</v>
      </c>
      <c r="Y1936">
        <v>-1.3687690000000001E-2</v>
      </c>
      <c r="Z1936">
        <v>5.4679649999999995E-4</v>
      </c>
      <c r="AA1936">
        <v>0.99990619999999997</v>
      </c>
      <c r="AB1936">
        <v>22</v>
      </c>
      <c r="AC1936">
        <v>31.192</v>
      </c>
      <c r="AD1936">
        <v>-1.1107004243109999</v>
      </c>
      <c r="AE1936">
        <v>0.13600000000002399</v>
      </c>
      <c r="AF1936">
        <v>-0.42845091715306</v>
      </c>
      <c r="AG1936">
        <v>-1.1107004243109999</v>
      </c>
      <c r="AH1936">
        <v>31.149850138227901</v>
      </c>
      <c r="AI1936">
        <v>92.041919484642705</v>
      </c>
      <c r="AJ1936">
        <v>90.788025665314606</v>
      </c>
      <c r="AK1936">
        <v>31.172590352022901</v>
      </c>
      <c r="AL1936">
        <v>81.920633170105205</v>
      </c>
      <c r="AM1936">
        <v>94.440433708560505</v>
      </c>
      <c r="AN1936">
        <v>1.00000000922482</v>
      </c>
    </row>
    <row r="1937" spans="1:40" x14ac:dyDescent="0.25">
      <c r="A1937" t="str">
        <f>"20190304154753954"</f>
        <v>20190304154753954</v>
      </c>
      <c r="B1937" t="str">
        <f>"1551685673948189"</f>
        <v>1551685673948189</v>
      </c>
      <c r="C1937" t="s">
        <v>40</v>
      </c>
      <c r="D1937">
        <v>4.3846109999999996</v>
      </c>
      <c r="E1937">
        <v>0.52123699999999995</v>
      </c>
      <c r="F1937" t="s">
        <v>53</v>
      </c>
      <c r="G1937">
        <v>-193.1054</v>
      </c>
      <c r="H1937" s="1">
        <v>-6.8643940000000001E-6</v>
      </c>
      <c r="I1937">
        <v>366.4855</v>
      </c>
      <c r="J1937">
        <v>-222.90799999999999</v>
      </c>
      <c r="K1937">
        <v>1.110695</v>
      </c>
      <c r="L1937">
        <v>366.33339999999998</v>
      </c>
      <c r="M1937">
        <v>0.99989130000000004</v>
      </c>
      <c r="N1937">
        <v>-1.137928E-2</v>
      </c>
      <c r="O1937">
        <v>-9.3925970000000008E-3</v>
      </c>
      <c r="P1937">
        <v>0.98926550000000002</v>
      </c>
      <c r="Q1937">
        <v>0.12978899999999999</v>
      </c>
      <c r="R1937">
        <v>6.7149860000000006E-2</v>
      </c>
      <c r="S1937">
        <v>3.0461269999999998</v>
      </c>
      <c r="T1937">
        <v>-0.11303530000000001</v>
      </c>
      <c r="U1937">
        <v>1.5350340000000001E-2</v>
      </c>
      <c r="V1937">
        <v>-7.6434150000000006E-2</v>
      </c>
      <c r="W1937">
        <v>0.14103280000000001</v>
      </c>
      <c r="X1937">
        <v>0.98704990000000004</v>
      </c>
      <c r="Y1937">
        <v>-1.441602E-2</v>
      </c>
      <c r="Z1937">
        <v>5.9099900000000004E-4</v>
      </c>
      <c r="AA1937">
        <v>0.99989589999999995</v>
      </c>
      <c r="AB1937">
        <v>22</v>
      </c>
      <c r="AC1937">
        <v>29.802599999999899</v>
      </c>
      <c r="AD1937">
        <v>-1.1107018643940001</v>
      </c>
      <c r="AE1937">
        <v>0.152100000000018</v>
      </c>
      <c r="AF1937">
        <v>-0.43143595392019302</v>
      </c>
      <c r="AG1937">
        <v>-1.1107018643940001</v>
      </c>
      <c r="AH1937">
        <v>29.758524455343199</v>
      </c>
      <c r="AI1937">
        <v>92.137280874585002</v>
      </c>
      <c r="AJ1937">
        <v>90.830609986265799</v>
      </c>
      <c r="AK1937">
        <v>29.782370177223299</v>
      </c>
      <c r="AL1937">
        <v>81.892385405781198</v>
      </c>
      <c r="AM1937">
        <v>94.427974705558498</v>
      </c>
      <c r="AN1937">
        <v>0.99999996752603504</v>
      </c>
    </row>
    <row r="1938" spans="1:40" x14ac:dyDescent="0.25">
      <c r="A1938" t="str">
        <f>"20190304154753967"</f>
        <v>20190304154753967</v>
      </c>
      <c r="B1938" t="str">
        <f>"1551685673958926"</f>
        <v>1551685673958926</v>
      </c>
      <c r="C1938" t="s">
        <v>40</v>
      </c>
      <c r="D1938">
        <v>4.418425</v>
      </c>
      <c r="E1938">
        <v>0.52107479999999995</v>
      </c>
      <c r="F1938" t="s">
        <v>53</v>
      </c>
      <c r="G1938">
        <v>-193.184</v>
      </c>
      <c r="H1938" s="1">
        <v>-6.8920479999999999E-6</v>
      </c>
      <c r="I1938">
        <v>366.49099999999999</v>
      </c>
      <c r="J1938">
        <v>-222.76730000000001</v>
      </c>
      <c r="K1938">
        <v>1.1107</v>
      </c>
      <c r="L1938">
        <v>366.33210000000003</v>
      </c>
      <c r="M1938">
        <v>0.99989130000000004</v>
      </c>
      <c r="N1938">
        <v>-1.138017E-2</v>
      </c>
      <c r="O1938">
        <v>-9.3922429999999998E-3</v>
      </c>
      <c r="P1938">
        <v>0.98923550000000005</v>
      </c>
      <c r="Q1938">
        <v>0.13015570000000001</v>
      </c>
      <c r="R1938">
        <v>6.6879830000000001E-2</v>
      </c>
      <c r="S1938">
        <v>3.0463710000000002</v>
      </c>
      <c r="T1938">
        <v>-0.113834</v>
      </c>
      <c r="U1938">
        <v>1.61438E-2</v>
      </c>
      <c r="V1938">
        <v>-7.6163720000000004E-2</v>
      </c>
      <c r="W1938">
        <v>0.1414001</v>
      </c>
      <c r="X1938">
        <v>0.98701830000000002</v>
      </c>
      <c r="Y1938">
        <v>-1.4675229999999999E-2</v>
      </c>
      <c r="Z1938">
        <v>6.0160390000000002E-4</v>
      </c>
      <c r="AA1938">
        <v>0.99989209999999995</v>
      </c>
      <c r="AB1938">
        <v>22</v>
      </c>
      <c r="AC1938">
        <v>29.583299999999898</v>
      </c>
      <c r="AD1938">
        <v>-1.1107068920479899</v>
      </c>
      <c r="AE1938">
        <v>0.15889999999995999</v>
      </c>
      <c r="AF1938">
        <v>-0.43614968737529197</v>
      </c>
      <c r="AG1938">
        <v>-1.1107068920479899</v>
      </c>
      <c r="AH1938">
        <v>29.538864722134502</v>
      </c>
      <c r="AI1938">
        <v>92.153160746122595</v>
      </c>
      <c r="AJ1938">
        <v>90.845926909370405</v>
      </c>
      <c r="AK1938">
        <v>29.5629569803564</v>
      </c>
      <c r="AL1938">
        <v>81.871128003893304</v>
      </c>
      <c r="AM1938">
        <v>94.412510868593799</v>
      </c>
      <c r="AN1938">
        <v>1.0000000125295601</v>
      </c>
    </row>
    <row r="1939" spans="1:40" x14ac:dyDescent="0.25">
      <c r="A1939" t="str">
        <f>"20190304154753982"</f>
        <v>20190304154753982</v>
      </c>
      <c r="B1939" t="str">
        <f>"1551685673978446"</f>
        <v>1551685673978446</v>
      </c>
      <c r="C1939" t="s">
        <v>40</v>
      </c>
      <c r="D1939">
        <v>4.3929489999999998</v>
      </c>
      <c r="E1939">
        <v>0.52080360000000003</v>
      </c>
      <c r="F1939" t="s">
        <v>53</v>
      </c>
      <c r="G1939">
        <v>-193.27350000000001</v>
      </c>
      <c r="H1939" s="1">
        <v>-6.9250050000000001E-6</v>
      </c>
      <c r="I1939">
        <v>366.48809999999997</v>
      </c>
      <c r="J1939">
        <v>-222.63249999999999</v>
      </c>
      <c r="K1939">
        <v>1.1106990000000001</v>
      </c>
      <c r="L1939">
        <v>366.33080000000001</v>
      </c>
      <c r="M1939">
        <v>0.99989130000000004</v>
      </c>
      <c r="N1939">
        <v>-1.1380960000000001E-2</v>
      </c>
      <c r="O1939">
        <v>-9.39189E-3</v>
      </c>
      <c r="P1939">
        <v>0.98919749999999995</v>
      </c>
      <c r="Q1939">
        <v>0.13046650000000001</v>
      </c>
      <c r="R1939">
        <v>6.6837270000000004E-2</v>
      </c>
      <c r="S1939">
        <v>3.046646</v>
      </c>
      <c r="T1939">
        <v>-0.1147333</v>
      </c>
      <c r="U1939">
        <v>1.6113280000000001E-2</v>
      </c>
      <c r="V1939">
        <v>-7.6120309999999997E-2</v>
      </c>
      <c r="W1939">
        <v>0.14171120000000001</v>
      </c>
      <c r="X1939">
        <v>0.98697699999999999</v>
      </c>
      <c r="Y1939">
        <v>-1.4664140000000001E-2</v>
      </c>
      <c r="Z1939">
        <v>6.0619899999999997E-4</v>
      </c>
      <c r="AA1939">
        <v>0.99989229999999996</v>
      </c>
      <c r="AB1939">
        <v>22</v>
      </c>
      <c r="AC1939">
        <v>29.358999999999899</v>
      </c>
      <c r="AD1939">
        <v>-1.110705925005</v>
      </c>
      <c r="AE1939">
        <v>0.157299999999963</v>
      </c>
      <c r="AF1939">
        <v>-0.43242847584265998</v>
      </c>
      <c r="AG1939">
        <v>-1.110705925005</v>
      </c>
      <c r="AH1939">
        <v>29.314272657189299</v>
      </c>
      <c r="AI1939">
        <v>92.169640092464803</v>
      </c>
      <c r="AJ1939">
        <v>90.845135404671893</v>
      </c>
      <c r="AK1939">
        <v>29.338494226162901</v>
      </c>
      <c r="AL1939">
        <v>81.853121722624493</v>
      </c>
      <c r="AM1939">
        <v>94.410189662008705</v>
      </c>
      <c r="AN1939">
        <v>0.99999998216446795</v>
      </c>
    </row>
    <row r="1940" spans="1:40" x14ac:dyDescent="0.25">
      <c r="A1940" t="str">
        <f>"20190304154753993"</f>
        <v>20190304154753993</v>
      </c>
      <c r="B1940" t="str">
        <f>"1551685673988207"</f>
        <v>1551685673988207</v>
      </c>
      <c r="C1940" t="s">
        <v>40</v>
      </c>
      <c r="D1940">
        <v>4.4036569999999999</v>
      </c>
      <c r="E1940">
        <v>0.52070740000000004</v>
      </c>
      <c r="F1940" t="s">
        <v>53</v>
      </c>
      <c r="G1940">
        <v>-193.82400000000001</v>
      </c>
      <c r="H1940" s="1">
        <v>-7.1234040000000004E-6</v>
      </c>
      <c r="I1940">
        <v>366.50049999999999</v>
      </c>
      <c r="J1940">
        <v>-222.5197</v>
      </c>
      <c r="K1940">
        <v>1.110695</v>
      </c>
      <c r="L1940">
        <v>366.32979999999998</v>
      </c>
      <c r="M1940">
        <v>0.99989130000000004</v>
      </c>
      <c r="N1940">
        <v>-1.138161E-2</v>
      </c>
      <c r="O1940">
        <v>-9.3917730000000008E-3</v>
      </c>
      <c r="P1940">
        <v>0.98920010000000003</v>
      </c>
      <c r="Q1940">
        <v>0.13056780000000001</v>
      </c>
      <c r="R1940">
        <v>6.6601140000000003E-2</v>
      </c>
      <c r="S1940">
        <v>3.0470280000000001</v>
      </c>
      <c r="T1940">
        <v>-0.11747779999999999</v>
      </c>
      <c r="U1940">
        <v>1.794434E-2</v>
      </c>
      <c r="V1940">
        <v>-7.588433E-2</v>
      </c>
      <c r="W1940">
        <v>0.1418131</v>
      </c>
      <c r="X1940">
        <v>0.98698059999999999</v>
      </c>
      <c r="Y1940">
        <v>-1.526283E-2</v>
      </c>
      <c r="Z1940">
        <v>6.3611069999999997E-4</v>
      </c>
      <c r="AA1940">
        <v>0.99988330000000003</v>
      </c>
      <c r="AB1940">
        <v>22</v>
      </c>
      <c r="AC1940">
        <v>28.695699999999899</v>
      </c>
      <c r="AD1940">
        <v>-1.110702123404</v>
      </c>
      <c r="AE1940">
        <v>0.17070000000001001</v>
      </c>
      <c r="AF1940">
        <v>-0.43955487497504298</v>
      </c>
      <c r="AG1940">
        <v>-1.110702123404</v>
      </c>
      <c r="AH1940">
        <v>28.649910009054999</v>
      </c>
      <c r="AI1940">
        <v>92.219874801581298</v>
      </c>
      <c r="AJ1940">
        <v>90.878978797445001</v>
      </c>
      <c r="AK1940">
        <v>28.674800979640601</v>
      </c>
      <c r="AL1940">
        <v>81.847224239676606</v>
      </c>
      <c r="AM1940">
        <v>94.396555381347596</v>
      </c>
      <c r="AN1940">
        <v>1.0000000458237499</v>
      </c>
    </row>
    <row r="1941" spans="1:40" x14ac:dyDescent="0.25">
      <c r="A1941" t="str">
        <f>"20190304154754002"</f>
        <v>20190304154754002</v>
      </c>
      <c r="B1941" t="str">
        <f>"1551685673998942"</f>
        <v>1551685673998942</v>
      </c>
      <c r="C1941" t="s">
        <v>40</v>
      </c>
      <c r="D1941">
        <v>4.4182069999999998</v>
      </c>
      <c r="E1941">
        <v>0.52060949999999995</v>
      </c>
      <c r="F1941" t="s">
        <v>53</v>
      </c>
      <c r="G1941">
        <v>-194.0796</v>
      </c>
      <c r="H1941" s="1">
        <v>-7.2166769999999901E-6</v>
      </c>
      <c r="I1941">
        <v>366.49810000000002</v>
      </c>
      <c r="J1941">
        <v>-222.41120000000001</v>
      </c>
      <c r="K1941">
        <v>1.1106959999999999</v>
      </c>
      <c r="L1941">
        <v>366.3288</v>
      </c>
      <c r="M1941">
        <v>0.99989119999999998</v>
      </c>
      <c r="N1941">
        <v>-1.138225E-2</v>
      </c>
      <c r="O1941">
        <v>-9.3916580000000006E-3</v>
      </c>
      <c r="P1941">
        <v>0.98918919999999999</v>
      </c>
      <c r="Q1941">
        <v>0.13064509999999999</v>
      </c>
      <c r="R1941">
        <v>6.6608120000000007E-2</v>
      </c>
      <c r="S1941">
        <v>3.047256</v>
      </c>
      <c r="T1941">
        <v>-0.1190078</v>
      </c>
      <c r="U1941">
        <v>1.8035889999999999E-2</v>
      </c>
      <c r="V1941">
        <v>-7.5890540000000006E-2</v>
      </c>
      <c r="W1941">
        <v>0.14189099999999999</v>
      </c>
      <c r="X1941">
        <v>0.98696890000000004</v>
      </c>
      <c r="Y1941">
        <v>-1.5291819999999999E-2</v>
      </c>
      <c r="Z1941">
        <v>6.453276E-4</v>
      </c>
      <c r="AA1941">
        <v>0.99988290000000002</v>
      </c>
      <c r="AB1941">
        <v>22</v>
      </c>
      <c r="AC1941">
        <v>28.331600000000002</v>
      </c>
      <c r="AD1941">
        <v>-1.1107032166769999</v>
      </c>
      <c r="AE1941">
        <v>0.16930000000002099</v>
      </c>
      <c r="AF1941">
        <v>-0.434722331764053</v>
      </c>
      <c r="AG1941">
        <v>-1.1107032166769999</v>
      </c>
      <c r="AH1941">
        <v>28.2852892965333</v>
      </c>
      <c r="AI1941">
        <v>92.248462917675994</v>
      </c>
      <c r="AJ1941">
        <v>90.880521097508804</v>
      </c>
      <c r="AK1941">
        <v>28.310426272485699</v>
      </c>
      <c r="AL1941">
        <v>81.842715089615098</v>
      </c>
      <c r="AM1941">
        <v>94.396965681652105</v>
      </c>
      <c r="AN1941">
        <v>1.00000001975485</v>
      </c>
    </row>
    <row r="1942" spans="1:40" x14ac:dyDescent="0.25">
      <c r="A1942" t="str">
        <f>"20190304154754013"</f>
        <v>20190304154754013</v>
      </c>
      <c r="B1942" t="str">
        <f>"1551685674008702"</f>
        <v>1551685674008702</v>
      </c>
      <c r="C1942" t="s">
        <v>40</v>
      </c>
      <c r="D1942">
        <v>4.4431710000000004</v>
      </c>
      <c r="E1942">
        <v>0.5204898</v>
      </c>
      <c r="F1942" t="s">
        <v>53</v>
      </c>
      <c r="G1942">
        <v>-194.31469999999999</v>
      </c>
      <c r="H1942" s="1">
        <v>-7.3013839999999997E-6</v>
      </c>
      <c r="I1942">
        <v>366.50349999999997</v>
      </c>
      <c r="J1942">
        <v>-222.31200000000001</v>
      </c>
      <c r="K1942">
        <v>1.110695</v>
      </c>
      <c r="L1942">
        <v>366.32780000000002</v>
      </c>
      <c r="M1942">
        <v>0.99989110000000003</v>
      </c>
      <c r="N1942">
        <v>-1.138283E-2</v>
      </c>
      <c r="O1942">
        <v>-9.3913030000000002E-3</v>
      </c>
      <c r="P1942">
        <v>0.98919299999999999</v>
      </c>
      <c r="Q1942">
        <v>0.1307043</v>
      </c>
      <c r="R1942">
        <v>6.6435969999999997E-2</v>
      </c>
      <c r="S1942">
        <v>3.0473940000000002</v>
      </c>
      <c r="T1942">
        <v>-0.1204689</v>
      </c>
      <c r="U1942">
        <v>1.895142E-2</v>
      </c>
      <c r="V1942">
        <v>-7.5718099999999997E-2</v>
      </c>
      <c r="W1942">
        <v>0.14195050000000001</v>
      </c>
      <c r="X1942">
        <v>0.98697360000000001</v>
      </c>
      <c r="Y1942">
        <v>-1.559082E-2</v>
      </c>
      <c r="Z1942">
        <v>6.610575E-4</v>
      </c>
      <c r="AA1942">
        <v>0.99987820000000005</v>
      </c>
      <c r="AB1942">
        <v>22</v>
      </c>
      <c r="AC1942">
        <v>27.997299999999999</v>
      </c>
      <c r="AD1942">
        <v>-1.1107023013840001</v>
      </c>
      <c r="AE1942">
        <v>0.17569999999994901</v>
      </c>
      <c r="AF1942">
        <v>-0.43795117488159002</v>
      </c>
      <c r="AG1942">
        <v>-1.1107023013840001</v>
      </c>
      <c r="AH1942">
        <v>27.9504270038546</v>
      </c>
      <c r="AI1942">
        <v>92.275360217937106</v>
      </c>
      <c r="AJ1942">
        <v>90.897685774891499</v>
      </c>
      <c r="AK1942">
        <v>27.9759151866688</v>
      </c>
      <c r="AL1942">
        <v>81.839271224410993</v>
      </c>
      <c r="AM1942">
        <v>94.386993045833904</v>
      </c>
      <c r="AN1942">
        <v>1.0000000311074</v>
      </c>
    </row>
    <row r="1943" spans="1:40" x14ac:dyDescent="0.25">
      <c r="A1943" t="str">
        <f>"20190304154754026"</f>
        <v>20190304154754026</v>
      </c>
      <c r="B1943" t="str">
        <f>"1551685674018463"</f>
        <v>1551685674018463</v>
      </c>
      <c r="C1943" t="s">
        <v>40</v>
      </c>
      <c r="D1943">
        <v>4.4081630000000001</v>
      </c>
      <c r="E1943">
        <v>0.52037100000000003</v>
      </c>
      <c r="F1943" t="s">
        <v>53</v>
      </c>
      <c r="G1943">
        <v>-194.547</v>
      </c>
      <c r="H1943" s="1">
        <v>-7.3858429999999998E-6</v>
      </c>
      <c r="I1943">
        <v>366.50349999999997</v>
      </c>
      <c r="J1943">
        <v>-222.18510000000001</v>
      </c>
      <c r="K1943">
        <v>1.110697</v>
      </c>
      <c r="L1943">
        <v>366.32659999999998</v>
      </c>
      <c r="M1943">
        <v>0.99989099999999997</v>
      </c>
      <c r="N1943">
        <v>-1.1383590000000001E-2</v>
      </c>
      <c r="O1943">
        <v>-9.3910680000000007E-3</v>
      </c>
      <c r="P1943">
        <v>0.98915960000000003</v>
      </c>
      <c r="Q1943">
        <v>0.1309632</v>
      </c>
      <c r="R1943">
        <v>6.6420820000000005E-2</v>
      </c>
      <c r="S1943">
        <v>3.0475919999999999</v>
      </c>
      <c r="T1943">
        <v>-0.1219152</v>
      </c>
      <c r="U1943">
        <v>1.928711E-2</v>
      </c>
      <c r="V1943">
        <v>-7.5702560000000002E-2</v>
      </c>
      <c r="W1943">
        <v>0.14221010000000001</v>
      </c>
      <c r="X1943">
        <v>0.98693739999999996</v>
      </c>
      <c r="Y1943">
        <v>-1.5699749999999998E-2</v>
      </c>
      <c r="Z1943">
        <v>6.7195220000000003E-4</v>
      </c>
      <c r="AA1943">
        <v>0.99987649999999995</v>
      </c>
      <c r="AB1943">
        <v>22</v>
      </c>
      <c r="AC1943">
        <v>27.638100000000001</v>
      </c>
      <c r="AD1943">
        <v>-1.1107043858429999</v>
      </c>
      <c r="AE1943">
        <v>0.17689999999998901</v>
      </c>
      <c r="AF1943">
        <v>-0.43575658954940399</v>
      </c>
      <c r="AG1943">
        <v>-1.1107043858429999</v>
      </c>
      <c r="AH1943">
        <v>27.590661773044701</v>
      </c>
      <c r="AI1943">
        <v>92.304997520224404</v>
      </c>
      <c r="AJ1943">
        <v>90.904832877142894</v>
      </c>
      <c r="AK1943">
        <v>27.616447365883602</v>
      </c>
      <c r="AL1943">
        <v>81.824244632470695</v>
      </c>
      <c r="AM1943">
        <v>94.386256445686897</v>
      </c>
      <c r="AN1943">
        <v>1.0000000108256599</v>
      </c>
    </row>
    <row r="1944" spans="1:40" x14ac:dyDescent="0.25">
      <c r="A1944" t="str">
        <f>"20190304154754036"</f>
        <v>20190304154754036</v>
      </c>
      <c r="B1944" t="str">
        <f>"1551685674028222"</f>
        <v>1551685674028222</v>
      </c>
      <c r="C1944" t="s">
        <v>40</v>
      </c>
      <c r="D1944">
        <v>4.420255</v>
      </c>
      <c r="E1944">
        <v>0.5202234</v>
      </c>
      <c r="F1944" t="s">
        <v>53</v>
      </c>
      <c r="G1944">
        <v>-194.59020000000001</v>
      </c>
      <c r="H1944" s="1">
        <v>-7.400724E-6</v>
      </c>
      <c r="I1944">
        <v>366.50920000000002</v>
      </c>
      <c r="J1944">
        <v>-222.08369999999999</v>
      </c>
      <c r="K1944">
        <v>1.110697</v>
      </c>
      <c r="L1944">
        <v>366.32569999999998</v>
      </c>
      <c r="M1944">
        <v>0.99989110000000003</v>
      </c>
      <c r="N1944">
        <v>-1.1384200000000001E-2</v>
      </c>
      <c r="O1944">
        <v>-9.3910720000000003E-3</v>
      </c>
      <c r="P1944">
        <v>0.98913249999999997</v>
      </c>
      <c r="Q1944">
        <v>0.13114110000000001</v>
      </c>
      <c r="R1944">
        <v>6.6477190000000005E-2</v>
      </c>
      <c r="S1944">
        <v>3.0477750000000001</v>
      </c>
      <c r="T1944">
        <v>-0.12267400000000001</v>
      </c>
      <c r="U1944">
        <v>2.0172120000000002E-2</v>
      </c>
      <c r="V1944">
        <v>-7.5758930000000002E-2</v>
      </c>
      <c r="W1944">
        <v>0.1423885</v>
      </c>
      <c r="X1944">
        <v>0.98690739999999999</v>
      </c>
      <c r="Y1944">
        <v>-1.5989150000000001E-2</v>
      </c>
      <c r="Z1944">
        <v>6.8366779999999995E-4</v>
      </c>
      <c r="AA1944">
        <v>0.99987190000000004</v>
      </c>
      <c r="AB1944">
        <v>22</v>
      </c>
      <c r="AC1944">
        <v>27.493499999999901</v>
      </c>
      <c r="AD1944">
        <v>-1.1107044007239999</v>
      </c>
      <c r="AE1944">
        <v>0.18350000000003699</v>
      </c>
      <c r="AF1944">
        <v>-0.440982398194387</v>
      </c>
      <c r="AG1944">
        <v>-1.1107044007239999</v>
      </c>
      <c r="AH1944">
        <v>27.4457728504985</v>
      </c>
      <c r="AI1944">
        <v>92.317142537450195</v>
      </c>
      <c r="AJ1944">
        <v>90.920515390720993</v>
      </c>
      <c r="AK1944">
        <v>27.471777829300802</v>
      </c>
      <c r="AL1944">
        <v>81.813918369341195</v>
      </c>
      <c r="AM1944">
        <v>94.389642711387793</v>
      </c>
      <c r="AN1944">
        <v>1.0000000582908699</v>
      </c>
    </row>
    <row r="1945" spans="1:40" x14ac:dyDescent="0.25">
      <c r="A1945" t="str">
        <f>"20190304154754047"</f>
        <v>20190304154754047</v>
      </c>
      <c r="B1945" t="str">
        <f>"1551685674038958"</f>
        <v>1551685674038958</v>
      </c>
      <c r="C1945" t="s">
        <v>40</v>
      </c>
      <c r="D1945">
        <v>4.415851</v>
      </c>
      <c r="E1945">
        <v>0.5201346</v>
      </c>
      <c r="F1945" t="s">
        <v>53</v>
      </c>
      <c r="G1945">
        <v>-194.73589999999999</v>
      </c>
      <c r="H1945" s="1">
        <v>-7.4528839999999998E-6</v>
      </c>
      <c r="I1945">
        <v>366.51490000000001</v>
      </c>
      <c r="J1945">
        <v>-221.96770000000001</v>
      </c>
      <c r="K1945">
        <v>1.1107</v>
      </c>
      <c r="L1945">
        <v>366.32459999999998</v>
      </c>
      <c r="M1945">
        <v>0.99989110000000003</v>
      </c>
      <c r="N1945">
        <v>-1.1384899999999899E-2</v>
      </c>
      <c r="O1945">
        <v>-9.3910759999999999E-3</v>
      </c>
      <c r="P1945">
        <v>0.98911910000000003</v>
      </c>
      <c r="Q1945">
        <v>0.1311523</v>
      </c>
      <c r="R1945">
        <v>6.6653270000000001E-2</v>
      </c>
      <c r="S1945">
        <v>3.0479430000000001</v>
      </c>
      <c r="T1945">
        <v>-0.1237891</v>
      </c>
      <c r="U1945">
        <v>2.1087649999999999E-2</v>
      </c>
      <c r="V1945">
        <v>-7.5934340000000003E-2</v>
      </c>
      <c r="W1945">
        <v>0.14239979999999999</v>
      </c>
      <c r="X1945">
        <v>0.9868922</v>
      </c>
      <c r="Y1945">
        <v>-1.628843E-2</v>
      </c>
      <c r="Z1945">
        <v>6.977617E-4</v>
      </c>
      <c r="AA1945">
        <v>0.99986710000000001</v>
      </c>
      <c r="AB1945">
        <v>22</v>
      </c>
      <c r="AC1945">
        <v>27.2318</v>
      </c>
      <c r="AD1945">
        <v>-1.110707452884</v>
      </c>
      <c r="AE1945">
        <v>0.190300000000036</v>
      </c>
      <c r="AF1945">
        <v>-0.445303316803702</v>
      </c>
      <c r="AG1945">
        <v>-1.110707452884</v>
      </c>
      <c r="AH1945">
        <v>27.1835915809536</v>
      </c>
      <c r="AI1945">
        <v>92.339460805841199</v>
      </c>
      <c r="AJ1945">
        <v>90.938496987714601</v>
      </c>
      <c r="AK1945">
        <v>27.209917628135901</v>
      </c>
      <c r="AL1945">
        <v>81.813263539949006</v>
      </c>
      <c r="AM1945">
        <v>94.399833997503606</v>
      </c>
      <c r="AN1945">
        <v>0.99999997072605695</v>
      </c>
    </row>
    <row r="1946" spans="1:40" x14ac:dyDescent="0.25">
      <c r="A1946" t="str">
        <f>"20190304154754068"</f>
        <v>20190304154754068</v>
      </c>
      <c r="B1946" t="str">
        <f>"1551685674058478"</f>
        <v>1551685674058478</v>
      </c>
      <c r="C1946" t="s">
        <v>40</v>
      </c>
      <c r="D1946">
        <v>4.5352690000000004</v>
      </c>
      <c r="E1946">
        <v>0.51991769999999904</v>
      </c>
      <c r="F1946" t="s">
        <v>53</v>
      </c>
      <c r="G1946">
        <v>-194.9187</v>
      </c>
      <c r="H1946" s="1">
        <v>-7.5180109999999999E-6</v>
      </c>
      <c r="I1946">
        <v>366.52409999999998</v>
      </c>
      <c r="J1946">
        <v>-221.76</v>
      </c>
      <c r="K1946">
        <v>1.1107009999999999</v>
      </c>
      <c r="L1946">
        <v>366.32260000000002</v>
      </c>
      <c r="M1946">
        <v>0.99989110000000003</v>
      </c>
      <c r="N1946">
        <v>-1.1386139999999999E-2</v>
      </c>
      <c r="O1946">
        <v>-9.3909639999999999E-3</v>
      </c>
      <c r="P1946">
        <v>0.98915359999999997</v>
      </c>
      <c r="Q1946">
        <v>0.13087869999999999</v>
      </c>
      <c r="R1946">
        <v>6.6678929999999997E-2</v>
      </c>
      <c r="S1946">
        <v>3.0480800000000001</v>
      </c>
      <c r="T1946">
        <v>-0.12516279999999999</v>
      </c>
      <c r="U1946">
        <v>2.2491460000000001E-2</v>
      </c>
      <c r="V1946">
        <v>-7.5960879999999995E-2</v>
      </c>
      <c r="W1946">
        <v>0.142128</v>
      </c>
      <c r="X1946">
        <v>0.98692939999999996</v>
      </c>
      <c r="Y1946">
        <v>-1.6747519999999998E-2</v>
      </c>
      <c r="Z1946">
        <v>7.17656E-4</v>
      </c>
      <c r="AA1946">
        <v>0.99985950000000001</v>
      </c>
      <c r="AB1946">
        <v>22</v>
      </c>
      <c r="AC1946">
        <v>26.841299999999901</v>
      </c>
      <c r="AD1946">
        <v>-1.1107085180109999</v>
      </c>
      <c r="AE1946">
        <v>0.20149999999995299</v>
      </c>
      <c r="AF1946">
        <v>-0.45279782499813698</v>
      </c>
      <c r="AG1946">
        <v>-1.1107085180109999</v>
      </c>
      <c r="AH1946">
        <v>26.792348495460999</v>
      </c>
      <c r="AI1946">
        <v>92.373566478108302</v>
      </c>
      <c r="AJ1946">
        <v>90.968221759144001</v>
      </c>
      <c r="AK1946">
        <v>26.8191841260046</v>
      </c>
      <c r="AL1946">
        <v>81.828997062723303</v>
      </c>
      <c r="AM1946">
        <v>94.401200505499602</v>
      </c>
      <c r="AN1946">
        <v>1.0000000321293601</v>
      </c>
    </row>
    <row r="1947" spans="1:40" x14ac:dyDescent="0.25">
      <c r="A1947" t="str">
        <f>"20190304154754079"</f>
        <v>20190304154754079</v>
      </c>
      <c r="B1947" t="str">
        <f>"1551685674068239"</f>
        <v>1551685674068239</v>
      </c>
      <c r="C1947" t="s">
        <v>40</v>
      </c>
      <c r="D1947">
        <v>4.4597790000000002</v>
      </c>
      <c r="E1947">
        <v>0.51991769999999904</v>
      </c>
      <c r="F1947" t="s">
        <v>53</v>
      </c>
      <c r="G1947">
        <v>-195.3466</v>
      </c>
      <c r="H1947" s="1">
        <v>-7.6726360000000002E-6</v>
      </c>
      <c r="I1947">
        <v>366.53100000000001</v>
      </c>
      <c r="J1947">
        <v>-221.64449999999999</v>
      </c>
      <c r="K1947">
        <v>1.1107009999999999</v>
      </c>
      <c r="L1947">
        <v>366.32150000000001</v>
      </c>
      <c r="M1947">
        <v>0.99989110000000003</v>
      </c>
      <c r="N1947">
        <v>-1.1386820000000001E-2</v>
      </c>
      <c r="O1947">
        <v>-9.3909679999999995E-3</v>
      </c>
      <c r="P1947">
        <v>0.9891432</v>
      </c>
      <c r="Q1947">
        <v>0.13084680000000001</v>
      </c>
      <c r="R1947">
        <v>6.6896129999999998E-2</v>
      </c>
      <c r="S1947">
        <v>3.0482179999999999</v>
      </c>
      <c r="T1947">
        <v>-0.12818070000000001</v>
      </c>
      <c r="U1947">
        <v>2.4047849999999999E-2</v>
      </c>
      <c r="V1947">
        <v>-7.6177699999999904E-2</v>
      </c>
      <c r="W1947">
        <v>0.1420968</v>
      </c>
      <c r="X1947">
        <v>0.98691709999999999</v>
      </c>
      <c r="Y1947">
        <v>-1.7256049999999998E-2</v>
      </c>
      <c r="Z1947">
        <v>7.4877509999999995E-4</v>
      </c>
      <c r="AA1947">
        <v>0.99985080000000004</v>
      </c>
      <c r="AB1947">
        <v>22</v>
      </c>
      <c r="AC1947">
        <v>26.297899999999998</v>
      </c>
      <c r="AD1947">
        <v>-1.110708672636</v>
      </c>
      <c r="AE1947">
        <v>0.209499999999991</v>
      </c>
      <c r="AF1947">
        <v>-0.45565673110618798</v>
      </c>
      <c r="AG1947">
        <v>-1.110708672636</v>
      </c>
      <c r="AH1947">
        <v>26.247953254914901</v>
      </c>
      <c r="AI1947">
        <v>92.422718627250504</v>
      </c>
      <c r="AJ1947">
        <v>90.994537946223105</v>
      </c>
      <c r="AK1947">
        <v>26.275394324049099</v>
      </c>
      <c r="AL1947">
        <v>81.830802364812698</v>
      </c>
      <c r="AM1947">
        <v>94.413768354306598</v>
      </c>
      <c r="AN1947">
        <v>0.99999995240996797</v>
      </c>
    </row>
    <row r="1948" spans="1:40" x14ac:dyDescent="0.25">
      <c r="A1948" t="str">
        <f>"20190304154754092"</f>
        <v>20190304154754092</v>
      </c>
      <c r="B1948" t="str">
        <f>"1551685674088734"</f>
        <v>1551685674088734</v>
      </c>
      <c r="C1948" t="s">
        <v>40</v>
      </c>
      <c r="D1948">
        <v>4.6341199999999896</v>
      </c>
      <c r="E1948">
        <v>0.56640970000000002</v>
      </c>
      <c r="F1948" t="s">
        <v>53</v>
      </c>
      <c r="G1948">
        <v>-195.2543</v>
      </c>
      <c r="H1948" s="1">
        <v>-7.6383730000000007E-6</v>
      </c>
      <c r="I1948">
        <v>366.53579999999999</v>
      </c>
      <c r="J1948">
        <v>-221.5258</v>
      </c>
      <c r="K1948">
        <v>1.1106959999999999</v>
      </c>
      <c r="L1948">
        <v>366.32040000000001</v>
      </c>
      <c r="M1948">
        <v>0.99989099999999997</v>
      </c>
      <c r="N1948">
        <v>-1.138752E-2</v>
      </c>
      <c r="O1948">
        <v>-9.3908519999999999E-3</v>
      </c>
      <c r="P1948">
        <v>0.98917189999999999</v>
      </c>
      <c r="Q1948">
        <v>0.13073280000000001</v>
      </c>
      <c r="R1948">
        <v>6.6693379999999997E-2</v>
      </c>
      <c r="S1948">
        <v>3.0482640000000001</v>
      </c>
      <c r="T1948">
        <v>-0.1282951</v>
      </c>
      <c r="U1948">
        <v>2.4749759999999999E-2</v>
      </c>
      <c r="V1948">
        <v>-7.5974699999999895E-2</v>
      </c>
      <c r="W1948">
        <v>0.141984</v>
      </c>
      <c r="X1948">
        <v>0.98694899999999997</v>
      </c>
      <c r="Y1948">
        <v>-1.7485730000000001E-2</v>
      </c>
      <c r="Z1948">
        <v>7.5557399999999996E-4</v>
      </c>
      <c r="AA1948">
        <v>0.99984680000000004</v>
      </c>
      <c r="AB1948">
        <v>22</v>
      </c>
      <c r="AC1948">
        <v>26.2715</v>
      </c>
      <c r="AD1948">
        <v>-1.110703638373</v>
      </c>
      <c r="AE1948">
        <v>0.21539999999998799</v>
      </c>
      <c r="AF1948">
        <v>-0.46129381174258999</v>
      </c>
      <c r="AG1948">
        <v>-1.110703638373</v>
      </c>
      <c r="AH1948">
        <v>26.221452883692201</v>
      </c>
      <c r="AI1948">
        <v>92.425143375576098</v>
      </c>
      <c r="AJ1948">
        <v>91.007856527095299</v>
      </c>
      <c r="AK1948">
        <v>26.249019903317102</v>
      </c>
      <c r="AL1948">
        <v>81.837331673300298</v>
      </c>
      <c r="AM1948">
        <v>94.401911017721204</v>
      </c>
      <c r="AN1948">
        <v>0.99999996994854401</v>
      </c>
    </row>
    <row r="1949" spans="1:40" x14ac:dyDescent="0.25">
      <c r="A1949" t="str">
        <f>"20190304154754105"</f>
        <v>20190304154754105</v>
      </c>
      <c r="B1949" t="str">
        <f>"1551685674098494"</f>
        <v>1551685674098494</v>
      </c>
      <c r="C1949" t="s">
        <v>40</v>
      </c>
      <c r="D1949">
        <v>4.2203879999999998</v>
      </c>
      <c r="E1949">
        <v>0.56640970000000002</v>
      </c>
      <c r="F1949" t="s">
        <v>53</v>
      </c>
      <c r="G1949">
        <v>-193.55090000000001</v>
      </c>
      <c r="H1949" s="1">
        <v>-7.5381839999999997E-6</v>
      </c>
      <c r="I1949">
        <v>363.1728</v>
      </c>
      <c r="J1949">
        <v>-221.38669999999999</v>
      </c>
      <c r="K1949">
        <v>1.110695</v>
      </c>
      <c r="L1949">
        <v>366.31909999999999</v>
      </c>
      <c r="M1949">
        <v>0.99989119999999998</v>
      </c>
      <c r="N1949">
        <v>-1.138834E-2</v>
      </c>
      <c r="O1949">
        <v>-9.3909760000000005E-3</v>
      </c>
      <c r="P1949">
        <v>0.9891548</v>
      </c>
      <c r="Q1949">
        <v>0.13092390000000001</v>
      </c>
      <c r="R1949">
        <v>6.6572519999999996E-2</v>
      </c>
      <c r="S1949">
        <v>3.0722809999999998</v>
      </c>
      <c r="T1949">
        <v>-0.1219807</v>
      </c>
      <c r="U1949">
        <v>-0.345672599999999</v>
      </c>
      <c r="V1949">
        <v>-7.5853999999999894E-2</v>
      </c>
      <c r="W1949">
        <v>0.1421752</v>
      </c>
      <c r="X1949">
        <v>0.9869308</v>
      </c>
      <c r="Y1949">
        <v>0.1023712</v>
      </c>
      <c r="Z1949">
        <v>-2.3452519999999999E-3</v>
      </c>
      <c r="AA1949">
        <v>0.9947435</v>
      </c>
      <c r="AB1949">
        <v>22</v>
      </c>
      <c r="AC1949">
        <v>27.8357999999999</v>
      </c>
      <c r="AD1949">
        <v>-1.1107025381840001</v>
      </c>
      <c r="AE1949">
        <v>-3.1462999999999899</v>
      </c>
      <c r="AF1949">
        <v>2.8802110749732601</v>
      </c>
      <c r="AG1949">
        <v>-1.1107025381840001</v>
      </c>
      <c r="AH1949">
        <v>27.820385247219999</v>
      </c>
      <c r="AI1949">
        <v>92.274123621099505</v>
      </c>
      <c r="AJ1949">
        <v>84.089294132846405</v>
      </c>
      <c r="AK1949">
        <v>27.991125580591898</v>
      </c>
      <c r="AL1949">
        <v>81.826264778383106</v>
      </c>
      <c r="AM1949">
        <v>94.395025910568293</v>
      </c>
      <c r="AN1949">
        <v>1.0000000103998301</v>
      </c>
    </row>
    <row r="1950" spans="1:40" x14ac:dyDescent="0.25">
      <c r="A1950" t="str">
        <f>"20190304154754118"</f>
        <v>20190304154754118</v>
      </c>
      <c r="B1950" t="str">
        <f>"1551685674108255"</f>
        <v>1551685674108255</v>
      </c>
      <c r="C1950" t="s">
        <v>40</v>
      </c>
      <c r="D1950">
        <v>4.6650280000000004</v>
      </c>
      <c r="E1950">
        <v>0.5713954</v>
      </c>
      <c r="F1950" t="s">
        <v>53</v>
      </c>
      <c r="G1950">
        <v>-193.28819999999999</v>
      </c>
      <c r="H1950" s="1">
        <v>-7.4486000000000001E-6</v>
      </c>
      <c r="I1950">
        <v>363.15589999999997</v>
      </c>
      <c r="J1950">
        <v>-221.26179999999999</v>
      </c>
      <c r="K1950">
        <v>1.110695</v>
      </c>
      <c r="L1950">
        <v>366.31790000000001</v>
      </c>
      <c r="M1950">
        <v>0.99989099999999997</v>
      </c>
      <c r="N1950">
        <v>-1.1389140000000001E-2</v>
      </c>
      <c r="O1950">
        <v>-9.3906230000000007E-3</v>
      </c>
      <c r="P1950">
        <v>0.98916409999999999</v>
      </c>
      <c r="Q1950">
        <v>0.1308261</v>
      </c>
      <c r="R1950">
        <v>6.6625950000000003E-2</v>
      </c>
      <c r="S1950">
        <v>3.0722659999999999</v>
      </c>
      <c r="T1950">
        <v>-0.12144340000000001</v>
      </c>
      <c r="U1950">
        <v>-0.34585569999999999</v>
      </c>
      <c r="V1950">
        <v>-7.590682E-2</v>
      </c>
      <c r="W1950">
        <v>0.14207890000000001</v>
      </c>
      <c r="X1950">
        <v>0.98694059999999995</v>
      </c>
      <c r="Y1950">
        <v>0.10243140000000001</v>
      </c>
      <c r="Z1950">
        <v>-2.3395629999999998E-3</v>
      </c>
      <c r="AA1950">
        <v>0.99473730000000005</v>
      </c>
      <c r="AB1950">
        <v>22</v>
      </c>
      <c r="AC1950">
        <v>27.973600000000001</v>
      </c>
      <c r="AD1950">
        <v>-1.1107024485999999</v>
      </c>
      <c r="AE1950">
        <v>-3.1620000000000301</v>
      </c>
      <c r="AF1950">
        <v>2.8946480866784299</v>
      </c>
      <c r="AG1950">
        <v>-1.1107024485999999</v>
      </c>
      <c r="AH1950">
        <v>27.958540424560301</v>
      </c>
      <c r="AI1950">
        <v>92.262896617116496</v>
      </c>
      <c r="AJ1950">
        <v>84.089022493786601</v>
      </c>
      <c r="AK1950">
        <v>28.1299241048889</v>
      </c>
      <c r="AL1950">
        <v>81.831838892076902</v>
      </c>
      <c r="AM1950">
        <v>94.398030829198603</v>
      </c>
      <c r="AN1950">
        <v>1.0000000035380401</v>
      </c>
    </row>
    <row r="1951" spans="1:40" x14ac:dyDescent="0.25">
      <c r="A1951" t="str">
        <f>"20190304154754132"</f>
        <v>20190304154754132</v>
      </c>
      <c r="B1951" t="str">
        <f>"1551685674128750"</f>
        <v>1551685674128750</v>
      </c>
      <c r="C1951" t="s">
        <v>40</v>
      </c>
      <c r="D1951">
        <v>4.6370180000000003</v>
      </c>
      <c r="E1951">
        <v>0.57822779999999996</v>
      </c>
      <c r="F1951" t="s">
        <v>53</v>
      </c>
      <c r="G1951">
        <v>-197.49979999999999</v>
      </c>
      <c r="H1951" s="1">
        <v>-8.9143959999999996E-6</v>
      </c>
      <c r="I1951">
        <v>363.33539999999999</v>
      </c>
      <c r="J1951">
        <v>-221.125</v>
      </c>
      <c r="K1951">
        <v>1.110695</v>
      </c>
      <c r="L1951">
        <v>366.31659999999999</v>
      </c>
      <c r="M1951">
        <v>0.99989110000000003</v>
      </c>
      <c r="N1951">
        <v>-1.139007E-2</v>
      </c>
      <c r="O1951">
        <v>-9.3906279999999998E-3</v>
      </c>
      <c r="P1951">
        <v>0.98915929999999996</v>
      </c>
      <c r="Q1951">
        <v>0.13091349999999999</v>
      </c>
      <c r="R1951">
        <v>6.6524479999999997E-2</v>
      </c>
      <c r="S1951">
        <v>3.0779109999999998</v>
      </c>
      <c r="T1951">
        <v>-0.14387049999999901</v>
      </c>
      <c r="U1951">
        <v>-0.386322</v>
      </c>
      <c r="V1951">
        <v>-7.5805600000000001E-2</v>
      </c>
      <c r="W1951">
        <v>0.1421666</v>
      </c>
      <c r="X1951">
        <v>0.98693569999999997</v>
      </c>
      <c r="Y1951">
        <v>0.11506520000000001</v>
      </c>
      <c r="Z1951">
        <v>-3.0052009999999999E-3</v>
      </c>
      <c r="AA1951">
        <v>0.99335340000000005</v>
      </c>
      <c r="AB1951">
        <v>22</v>
      </c>
      <c r="AC1951">
        <v>23.6252</v>
      </c>
      <c r="AD1951">
        <v>-1.110703914396</v>
      </c>
      <c r="AE1951">
        <v>-2.9811999999999999</v>
      </c>
      <c r="AF1951">
        <v>2.75320873123218</v>
      </c>
      <c r="AG1951">
        <v>-1.110703914396</v>
      </c>
      <c r="AH1951">
        <v>23.600808725027399</v>
      </c>
      <c r="AI1951">
        <v>92.676349366110301</v>
      </c>
      <c r="AJ1951">
        <v>83.346099370618504</v>
      </c>
      <c r="AK1951">
        <v>23.786802937312</v>
      </c>
      <c r="AL1951">
        <v>81.826762110772805</v>
      </c>
      <c r="AM1951">
        <v>94.392210841414595</v>
      </c>
      <c r="AN1951">
        <v>0.99999995354070303</v>
      </c>
    </row>
    <row r="1952" spans="1:40" x14ac:dyDescent="0.25">
      <c r="A1952" t="str">
        <f>"20190304154754146"</f>
        <v>20190304154754146</v>
      </c>
      <c r="B1952" t="str">
        <f>"1551685674138510"</f>
        <v>1551685674138510</v>
      </c>
      <c r="C1952" t="s">
        <v>40</v>
      </c>
      <c r="D1952">
        <v>4.2283819999999999</v>
      </c>
      <c r="E1952">
        <v>0.58550029999999997</v>
      </c>
      <c r="F1952" t="s">
        <v>53</v>
      </c>
      <c r="G1952">
        <v>-199.44309999999999</v>
      </c>
      <c r="H1952" s="1">
        <v>-9.638627E-6</v>
      </c>
      <c r="I1952">
        <v>363.21249999999998</v>
      </c>
      <c r="J1952">
        <v>-220.9743</v>
      </c>
      <c r="K1952">
        <v>1.110695</v>
      </c>
      <c r="L1952">
        <v>366.3152</v>
      </c>
      <c r="M1952">
        <v>0.99989099999999997</v>
      </c>
      <c r="N1952">
        <v>-1.139108E-2</v>
      </c>
      <c r="O1952">
        <v>-9.3905140000000008E-3</v>
      </c>
      <c r="P1952">
        <v>0.98919389999999996</v>
      </c>
      <c r="Q1952">
        <v>0.13066220000000001</v>
      </c>
      <c r="R1952">
        <v>6.6507079999999996E-2</v>
      </c>
      <c r="S1952">
        <v>3.083466</v>
      </c>
      <c r="T1952">
        <v>-0.15795799999999999</v>
      </c>
      <c r="U1952">
        <v>-0.44143680000000002</v>
      </c>
      <c r="V1952">
        <v>-7.5788599999999998E-2</v>
      </c>
      <c r="W1952">
        <v>0.14191699999999999</v>
      </c>
      <c r="X1952">
        <v>0.98697299999999999</v>
      </c>
      <c r="Y1952">
        <v>0.132214</v>
      </c>
      <c r="Z1952">
        <v>-3.752788E-3</v>
      </c>
      <c r="AA1952">
        <v>0.99121409999999999</v>
      </c>
      <c r="AB1952">
        <v>22</v>
      </c>
      <c r="AC1952">
        <v>21.531199999999998</v>
      </c>
      <c r="AD1952">
        <v>-1.1107046386270001</v>
      </c>
      <c r="AE1952">
        <v>-3.10270000000002</v>
      </c>
      <c r="AF1952">
        <v>2.8928195487520898</v>
      </c>
      <c r="AG1952">
        <v>-1.1107046386270001</v>
      </c>
      <c r="AH1952">
        <v>21.503330000801299</v>
      </c>
      <c r="AI1952">
        <v>92.930500255140302</v>
      </c>
      <c r="AJ1952">
        <v>82.338062231795504</v>
      </c>
      <c r="AK1952">
        <v>21.725452143954801</v>
      </c>
      <c r="AL1952">
        <v>81.841210211297195</v>
      </c>
      <c r="AM1952">
        <v>94.391064401064597</v>
      </c>
      <c r="AN1952">
        <v>1.00000002475397</v>
      </c>
    </row>
    <row r="1953" spans="1:40" x14ac:dyDescent="0.25">
      <c r="A1953" t="str">
        <f>"20190304154754159"</f>
        <v>20190304154754159</v>
      </c>
      <c r="B1953" t="str">
        <f>"1551685674148270"</f>
        <v>1551685674148270</v>
      </c>
      <c r="C1953" t="s">
        <v>40</v>
      </c>
      <c r="D1953">
        <v>4.1891339999999904</v>
      </c>
      <c r="E1953">
        <v>0.59095249999999999</v>
      </c>
      <c r="F1953" t="s">
        <v>53</v>
      </c>
      <c r="G1953">
        <v>-186.32929999999999</v>
      </c>
      <c r="H1953" s="1">
        <v>-5.9063340000000002E-6</v>
      </c>
      <c r="I1953">
        <v>360.71710000000002</v>
      </c>
      <c r="J1953">
        <v>-220.84360000000001</v>
      </c>
      <c r="K1953">
        <v>1.110689</v>
      </c>
      <c r="L1953">
        <v>366.31389999999999</v>
      </c>
      <c r="M1953">
        <v>0.99989110000000003</v>
      </c>
      <c r="N1953">
        <v>-1.139189E-2</v>
      </c>
      <c r="O1953">
        <v>-9.3905189999999999E-3</v>
      </c>
      <c r="P1953">
        <v>0.98921159999999997</v>
      </c>
      <c r="Q1953">
        <v>0.13067239999999999</v>
      </c>
      <c r="R1953">
        <v>6.6223790000000005E-2</v>
      </c>
      <c r="S1953">
        <v>3.0792540000000002</v>
      </c>
      <c r="T1953">
        <v>-9.8719479999999998E-2</v>
      </c>
      <c r="U1953">
        <v>-0.49755859999999902</v>
      </c>
      <c r="V1953">
        <v>-7.5505630000000004E-2</v>
      </c>
      <c r="W1953">
        <v>0.14192779999999999</v>
      </c>
      <c r="X1953">
        <v>0.98699309999999996</v>
      </c>
      <c r="Y1953">
        <v>0.15013670000000001</v>
      </c>
      <c r="Z1953">
        <v>-3.0588619999999999E-3</v>
      </c>
      <c r="AA1953">
        <v>0.98866050000000005</v>
      </c>
      <c r="AB1953">
        <v>22</v>
      </c>
      <c r="AC1953">
        <v>34.514299999999999</v>
      </c>
      <c r="AD1953">
        <v>-1.1106949063339999</v>
      </c>
      <c r="AE1953">
        <v>-5.5967999999999698</v>
      </c>
      <c r="AF1953">
        <v>5.26711014465487</v>
      </c>
      <c r="AG1953">
        <v>-1.1106949063339999</v>
      </c>
      <c r="AH1953">
        <v>34.5304947627925</v>
      </c>
      <c r="AI1953">
        <v>91.8212678986866</v>
      </c>
      <c r="AJ1953">
        <v>81.327236955485105</v>
      </c>
      <c r="AK1953">
        <v>34.947548712522398</v>
      </c>
      <c r="AL1953">
        <v>81.840584803861702</v>
      </c>
      <c r="AM1953">
        <v>94.374644612511204</v>
      </c>
      <c r="AN1953">
        <v>0.99999999001107298</v>
      </c>
    </row>
    <row r="1954" spans="1:40" x14ac:dyDescent="0.25">
      <c r="A1954" t="str">
        <f>"20190304154754176"</f>
        <v>20190304154754176</v>
      </c>
      <c r="B1954" t="str">
        <f>"1551685674168766"</f>
        <v>1551685674168766</v>
      </c>
      <c r="C1954" t="s">
        <v>40</v>
      </c>
      <c r="D1954">
        <v>4.1842540000000001</v>
      </c>
      <c r="E1954">
        <v>0.59442150000000005</v>
      </c>
      <c r="F1954" t="s">
        <v>45</v>
      </c>
      <c r="G1954">
        <v>-156.3835</v>
      </c>
      <c r="H1954">
        <v>-0.05</v>
      </c>
      <c r="I1954">
        <v>354.98939999999999</v>
      </c>
      <c r="J1954">
        <v>-220.6927</v>
      </c>
      <c r="K1954">
        <v>1.110689</v>
      </c>
      <c r="L1954">
        <v>366.3125</v>
      </c>
      <c r="M1954">
        <v>0.99989110000000003</v>
      </c>
      <c r="N1954">
        <v>-1.139277E-2</v>
      </c>
      <c r="O1954">
        <v>-9.390285E-3</v>
      </c>
      <c r="P1954">
        <v>0.98921720000000002</v>
      </c>
      <c r="Q1954">
        <v>0.13070370000000001</v>
      </c>
      <c r="R1954">
        <v>6.6075809999999999E-2</v>
      </c>
      <c r="S1954">
        <v>3.0762179999999999</v>
      </c>
      <c r="T1954">
        <v>-5.5391309999999999E-2</v>
      </c>
      <c r="U1954">
        <v>-0.54043580000000002</v>
      </c>
      <c r="V1954">
        <v>-7.5357489999999999E-2</v>
      </c>
      <c r="W1954">
        <v>0.1419609</v>
      </c>
      <c r="X1954">
        <v>0.98699970000000004</v>
      </c>
      <c r="Y1954">
        <v>0.16373279999999901</v>
      </c>
      <c r="Z1954">
        <v>-2.341161E-3</v>
      </c>
      <c r="AA1954">
        <v>0.98650190000000004</v>
      </c>
      <c r="AB1954">
        <v>22</v>
      </c>
      <c r="AC1954">
        <v>64.309200000000004</v>
      </c>
      <c r="AD1954">
        <v>-1.1606889999999901</v>
      </c>
      <c r="AE1954">
        <v>-11.3231</v>
      </c>
      <c r="AF1954">
        <v>10.715294290395301</v>
      </c>
      <c r="AG1954">
        <v>-1.1606889999999901</v>
      </c>
      <c r="AH1954">
        <v>64.392353156555302</v>
      </c>
      <c r="AI1954">
        <v>91.018655074762293</v>
      </c>
      <c r="AJ1954">
        <v>80.552192216882204</v>
      </c>
      <c r="AK1954">
        <v>65.288129669358995</v>
      </c>
      <c r="AL1954">
        <v>81.838669227560203</v>
      </c>
      <c r="AM1954">
        <v>94.366065815866094</v>
      </c>
      <c r="AN1954">
        <v>1.00000002811399</v>
      </c>
    </row>
    <row r="1955" spans="1:40" x14ac:dyDescent="0.25">
      <c r="A1955" t="str">
        <f>"20190304154754187"</f>
        <v>20190304154754187</v>
      </c>
      <c r="B1955" t="str">
        <f>"1551685674178059"</f>
        <v>1551685674178059</v>
      </c>
      <c r="C1955" t="s">
        <v>40</v>
      </c>
      <c r="D1955">
        <v>4.1781259999999998</v>
      </c>
      <c r="E1955">
        <v>0.59752399999999894</v>
      </c>
      <c r="F1955" t="s">
        <v>43</v>
      </c>
      <c r="G1955">
        <v>-168.17169999999999</v>
      </c>
      <c r="H1955">
        <v>0.51827719999999999</v>
      </c>
      <c r="I1955">
        <v>356.61509999999998</v>
      </c>
      <c r="J1955">
        <v>-220.55359999999999</v>
      </c>
      <c r="K1955">
        <v>1.110687</v>
      </c>
      <c r="L1955">
        <v>366.31119999999999</v>
      </c>
      <c r="M1955">
        <v>0.99989099999999997</v>
      </c>
      <c r="N1955">
        <v>-1.1393520000000001E-2</v>
      </c>
      <c r="O1955">
        <v>-9.3901699999999998E-3</v>
      </c>
      <c r="P1955">
        <v>0.98921769999999998</v>
      </c>
      <c r="Q1955">
        <v>0.1308655</v>
      </c>
      <c r="R1955">
        <v>6.5747810000000004E-2</v>
      </c>
      <c r="S1955">
        <v>3.0752259999999998</v>
      </c>
      <c r="T1955">
        <v>-3.4681919999999998E-2</v>
      </c>
      <c r="U1955">
        <v>-0.56781009999999998</v>
      </c>
      <c r="V1955">
        <v>-7.5029079999999998E-2</v>
      </c>
      <c r="W1955">
        <v>0.14212320000000001</v>
      </c>
      <c r="X1955">
        <v>0.98700140000000003</v>
      </c>
      <c r="Y1955">
        <v>0.17230670000000001</v>
      </c>
      <c r="Z1955">
        <v>-1.9544929999999999E-3</v>
      </c>
      <c r="AA1955">
        <v>0.98504139999999996</v>
      </c>
      <c r="AB1955">
        <v>22</v>
      </c>
      <c r="AC1955">
        <v>52.381900000000002</v>
      </c>
      <c r="AD1955">
        <v>-0.59240979999999999</v>
      </c>
      <c r="AE1955">
        <v>-9.6960999999999995</v>
      </c>
      <c r="AF1955">
        <v>9.2026275286257295</v>
      </c>
      <c r="AG1955">
        <v>-0.59240979999999999</v>
      </c>
      <c r="AH1955">
        <v>52.464156152818198</v>
      </c>
      <c r="AI1955">
        <v>90.637211814400601</v>
      </c>
      <c r="AJ1955">
        <v>80.051079506895107</v>
      </c>
      <c r="AK1955">
        <v>53.268442661946203</v>
      </c>
      <c r="AL1955">
        <v>81.829275175078095</v>
      </c>
      <c r="AM1955">
        <v>94.347104018253404</v>
      </c>
      <c r="AN1955">
        <v>1.00000006521292</v>
      </c>
    </row>
    <row r="1956" spans="1:40" x14ac:dyDescent="0.25">
      <c r="A1956" t="str">
        <f>"20190304154754202"</f>
        <v>20190304154754202</v>
      </c>
      <c r="B1956" t="str">
        <f>"1551685674198554"</f>
        <v>1551685674198554</v>
      </c>
      <c r="C1956" t="s">
        <v>40</v>
      </c>
      <c r="D1956">
        <v>4.1828760000000003</v>
      </c>
      <c r="E1956">
        <v>0.6024294</v>
      </c>
      <c r="F1956" t="s">
        <v>43</v>
      </c>
      <c r="G1956">
        <v>-169.2955</v>
      </c>
      <c r="H1956">
        <v>0.9316044</v>
      </c>
      <c r="I1956">
        <v>356.42430000000002</v>
      </c>
      <c r="J1956">
        <v>-220.4188</v>
      </c>
      <c r="K1956">
        <v>1.1106929999999999</v>
      </c>
      <c r="L1956">
        <v>366.30990000000003</v>
      </c>
      <c r="M1956">
        <v>0.99989099999999997</v>
      </c>
      <c r="N1956">
        <v>-1.139422E-2</v>
      </c>
      <c r="O1956">
        <v>-9.3899359999999998E-3</v>
      </c>
      <c r="P1956">
        <v>0.98922379999999999</v>
      </c>
      <c r="Q1956">
        <v>0.13086339999999999</v>
      </c>
      <c r="R1956">
        <v>6.5659110000000007E-2</v>
      </c>
      <c r="S1956">
        <v>3.0735320000000002</v>
      </c>
      <c r="T1956">
        <v>-1.0732770000000001E-2</v>
      </c>
      <c r="U1956">
        <v>-0.59283450000000004</v>
      </c>
      <c r="V1956">
        <v>-7.494017E-2</v>
      </c>
      <c r="W1956">
        <v>0.14212130000000001</v>
      </c>
      <c r="X1956">
        <v>0.98700829999999995</v>
      </c>
      <c r="Y1956">
        <v>0.1801595</v>
      </c>
      <c r="Z1956">
        <v>-1.4210539999999999E-3</v>
      </c>
      <c r="AA1956">
        <v>0.98363639999999997</v>
      </c>
      <c r="AB1956">
        <v>22</v>
      </c>
      <c r="AC1956">
        <v>51.1233</v>
      </c>
      <c r="AD1956">
        <v>-0.17908859999999899</v>
      </c>
      <c r="AE1956">
        <v>-9.8856000000000002</v>
      </c>
      <c r="AF1956">
        <v>9.4049771921123497</v>
      </c>
      <c r="AG1956">
        <v>-0.17908859999999899</v>
      </c>
      <c r="AH1956">
        <v>51.213271228761698</v>
      </c>
      <c r="AI1956">
        <v>90.197062441388994</v>
      </c>
      <c r="AJ1956">
        <v>79.593957551349206</v>
      </c>
      <c r="AK1956">
        <v>52.069999218950599</v>
      </c>
      <c r="AL1956">
        <v>81.829384112110105</v>
      </c>
      <c r="AM1956">
        <v>94.341942142134101</v>
      </c>
      <c r="AN1956">
        <v>0.99999993863110204</v>
      </c>
    </row>
    <row r="1957" spans="1:40" x14ac:dyDescent="0.25">
      <c r="A1957" t="str">
        <f>"20190304154754215"</f>
        <v>20190304154754215</v>
      </c>
      <c r="B1957" t="str">
        <f>"1551685674208315"</f>
        <v>1551685674208315</v>
      </c>
      <c r="C1957" t="s">
        <v>40</v>
      </c>
      <c r="D1957">
        <v>4.1724290000000002</v>
      </c>
      <c r="E1957">
        <v>0.60439670000000001</v>
      </c>
      <c r="F1957" t="s">
        <v>43</v>
      </c>
      <c r="G1957">
        <v>-169.2955</v>
      </c>
      <c r="H1957">
        <v>1.535752</v>
      </c>
      <c r="I1957">
        <v>355.80650000000003</v>
      </c>
      <c r="J1957">
        <v>-220.2919</v>
      </c>
      <c r="K1957">
        <v>1.1106910000000001</v>
      </c>
      <c r="L1957">
        <v>366.30869999999999</v>
      </c>
      <c r="M1957">
        <v>0.99989099999999997</v>
      </c>
      <c r="N1957">
        <v>-1.139488E-2</v>
      </c>
      <c r="O1957">
        <v>-9.3906609999999998E-3</v>
      </c>
      <c r="P1957">
        <v>0.98923340000000004</v>
      </c>
      <c r="Q1957">
        <v>0.13084209999999999</v>
      </c>
      <c r="R1957">
        <v>6.5558060000000001E-2</v>
      </c>
      <c r="S1957">
        <v>3.0711819999999999</v>
      </c>
      <c r="T1957">
        <v>2.5540230000000001E-2</v>
      </c>
      <c r="U1957">
        <v>-0.63098140000000003</v>
      </c>
      <c r="V1957">
        <v>-7.4840139999999999E-2</v>
      </c>
      <c r="W1957">
        <v>0.14210149999999999</v>
      </c>
      <c r="X1957">
        <v>0.98701879999999997</v>
      </c>
      <c r="Y1957">
        <v>0.1920451</v>
      </c>
      <c r="Z1957">
        <v>-4.9842820000000005E-4</v>
      </c>
      <c r="AA1957">
        <v>0.98138599999999998</v>
      </c>
      <c r="AB1957">
        <v>22</v>
      </c>
      <c r="AC1957">
        <v>50.996400000000001</v>
      </c>
      <c r="AD1957">
        <v>0.42506099999999902</v>
      </c>
      <c r="AE1957">
        <v>-10.502199999999901</v>
      </c>
      <c r="AF1957">
        <v>10.022147923619</v>
      </c>
      <c r="AG1957">
        <v>0.42506099999999902</v>
      </c>
      <c r="AH1957">
        <v>51.089375130367998</v>
      </c>
      <c r="AI1957">
        <v>89.532228117189007</v>
      </c>
      <c r="AJ1957">
        <v>78.901283997792802</v>
      </c>
      <c r="AK1957">
        <v>52.064847806058999</v>
      </c>
      <c r="AL1957">
        <v>81.830530682436503</v>
      </c>
      <c r="AM1957">
        <v>94.336122692208306</v>
      </c>
      <c r="AN1957">
        <v>0.99999999720545396</v>
      </c>
    </row>
    <row r="1958" spans="1:40" x14ac:dyDescent="0.25">
      <c r="A1958" t="str">
        <f>"20190304154754227"</f>
        <v>20190304154754227</v>
      </c>
      <c r="B1958" t="str">
        <f>"1551685674218074"</f>
        <v>1551685674218074</v>
      </c>
      <c r="C1958" t="s">
        <v>40</v>
      </c>
      <c r="D1958">
        <v>4.1200060000000001</v>
      </c>
      <c r="E1958">
        <v>0.6063558</v>
      </c>
      <c r="F1958" t="s">
        <v>43</v>
      </c>
      <c r="G1958">
        <v>-169.2955</v>
      </c>
      <c r="H1958">
        <v>1.7691349999999999</v>
      </c>
      <c r="I1958">
        <v>355.57369999999997</v>
      </c>
      <c r="J1958">
        <v>-220.16409999999999</v>
      </c>
      <c r="K1958">
        <v>1.11069</v>
      </c>
      <c r="L1958">
        <v>366.3075</v>
      </c>
      <c r="M1958">
        <v>0.99989099999999997</v>
      </c>
      <c r="N1958">
        <v>-1.1395550000000001E-2</v>
      </c>
      <c r="O1958">
        <v>-9.3939039999999998E-3</v>
      </c>
      <c r="P1958">
        <v>0.98924330000000005</v>
      </c>
      <c r="Q1958">
        <v>0.1307857</v>
      </c>
      <c r="R1958">
        <v>6.5522189999999994E-2</v>
      </c>
      <c r="S1958">
        <v>3.070236</v>
      </c>
      <c r="T1958">
        <v>3.9646859999999999E-2</v>
      </c>
      <c r="U1958">
        <v>-0.64630129999999997</v>
      </c>
      <c r="V1958">
        <v>-7.4807310000000002E-2</v>
      </c>
      <c r="W1958">
        <v>0.14204629999999999</v>
      </c>
      <c r="X1958">
        <v>0.9870293</v>
      </c>
      <c r="Y1958">
        <v>0.19678989999999999</v>
      </c>
      <c r="Z1958">
        <v>-1.025461E-4</v>
      </c>
      <c r="AA1958">
        <v>0.98044569999999998</v>
      </c>
      <c r="AB1958">
        <v>22</v>
      </c>
      <c r="AC1958">
        <v>50.868600000000001</v>
      </c>
      <c r="AD1958">
        <v>0.65844499999999995</v>
      </c>
      <c r="AE1958">
        <v>-10.7338</v>
      </c>
      <c r="AF1958">
        <v>10.2537958068057</v>
      </c>
      <c r="AG1958">
        <v>0.65844499999999995</v>
      </c>
      <c r="AH1958">
        <v>50.9590198973996</v>
      </c>
      <c r="AI1958">
        <v>89.2742629615651</v>
      </c>
      <c r="AJ1958">
        <v>78.623063503062198</v>
      </c>
      <c r="AK1958">
        <v>51.9845706644698</v>
      </c>
      <c r="AL1958">
        <v>81.833726353659401</v>
      </c>
      <c r="AM1958">
        <v>94.334181890459007</v>
      </c>
      <c r="AN1958">
        <v>1.0000000620158001</v>
      </c>
    </row>
    <row r="1959" spans="1:40" x14ac:dyDescent="0.25">
      <c r="A1959" t="str">
        <f>"20190304154754238"</f>
        <v>20190304154754238</v>
      </c>
      <c r="B1959" t="str">
        <f>"1551685674228812"</f>
        <v>1551685674228812</v>
      </c>
      <c r="C1959" t="s">
        <v>40</v>
      </c>
      <c r="D1959">
        <v>4.2583289999999998</v>
      </c>
      <c r="E1959">
        <v>0.60835030000000001</v>
      </c>
      <c r="F1959" t="s">
        <v>43</v>
      </c>
      <c r="G1959">
        <v>-169.2955</v>
      </c>
      <c r="H1959">
        <v>1.9249369999999999</v>
      </c>
      <c r="I1959">
        <v>355.3381</v>
      </c>
      <c r="J1959">
        <v>-220.05350000000001</v>
      </c>
      <c r="K1959">
        <v>1.1106860000000001</v>
      </c>
      <c r="L1959">
        <v>366.30650000000003</v>
      </c>
      <c r="M1959">
        <v>0.99989090000000003</v>
      </c>
      <c r="N1959">
        <v>-1.1396130000000001E-2</v>
      </c>
      <c r="O1959">
        <v>-9.4005040000000005E-3</v>
      </c>
      <c r="P1959">
        <v>0.98925090000000004</v>
      </c>
      <c r="Q1959">
        <v>0.1308067</v>
      </c>
      <c r="R1959">
        <v>6.5362920000000005E-2</v>
      </c>
      <c r="S1959">
        <v>3.0699770000000002</v>
      </c>
      <c r="T1959">
        <v>4.9145939999999999E-2</v>
      </c>
      <c r="U1959">
        <v>-0.66201779999999999</v>
      </c>
      <c r="V1959">
        <v>-7.465318E-2</v>
      </c>
      <c r="W1959">
        <v>0.14206849999999999</v>
      </c>
      <c r="X1959">
        <v>0.98703770000000002</v>
      </c>
      <c r="Y1959">
        <v>0.20159460000000001</v>
      </c>
      <c r="Z1959">
        <v>1.7871639999999999E-4</v>
      </c>
      <c r="AA1959">
        <v>0.97946900000000003</v>
      </c>
      <c r="AB1959">
        <v>22</v>
      </c>
      <c r="AC1959">
        <v>50.758000000000003</v>
      </c>
      <c r="AD1959">
        <v>0.81425099999999895</v>
      </c>
      <c r="AE1959">
        <v>-10.968400000000001</v>
      </c>
      <c r="AF1959">
        <v>10.488154920589899</v>
      </c>
      <c r="AG1959">
        <v>0.81425099999999895</v>
      </c>
      <c r="AH1959">
        <v>50.846371044525903</v>
      </c>
      <c r="AI1959">
        <v>89.101460127638106</v>
      </c>
      <c r="AJ1959">
        <v>78.344980314520797</v>
      </c>
      <c r="AK1959">
        <v>51.923191800262998</v>
      </c>
      <c r="AL1959">
        <v>81.832440751793001</v>
      </c>
      <c r="AM1959">
        <v>94.325249167944094</v>
      </c>
      <c r="AN1959">
        <v>0.999999988598826</v>
      </c>
    </row>
    <row r="1960" spans="1:40" x14ac:dyDescent="0.25">
      <c r="A1960" t="str">
        <f>"20190304154754250"</f>
        <v>20190304154754250</v>
      </c>
      <c r="B1960" t="str">
        <f>"1551685674238571"</f>
        <v>1551685674238571</v>
      </c>
      <c r="C1960" t="s">
        <v>40</v>
      </c>
      <c r="D1960">
        <v>4.6119430000000001</v>
      </c>
      <c r="E1960">
        <v>0.60784259999999901</v>
      </c>
      <c r="F1960" t="s">
        <v>43</v>
      </c>
      <c r="G1960">
        <v>-169.2955</v>
      </c>
      <c r="H1960">
        <v>2.0467430000000002</v>
      </c>
      <c r="I1960">
        <v>355.09469999999999</v>
      </c>
      <c r="J1960">
        <v>-219.934</v>
      </c>
      <c r="K1960">
        <v>1.1106819999999999</v>
      </c>
      <c r="L1960">
        <v>366.30540000000002</v>
      </c>
      <c r="M1960">
        <v>0.99989079999999997</v>
      </c>
      <c r="N1960">
        <v>-1.1396750000000001E-2</v>
      </c>
      <c r="O1960">
        <v>-9.4100999999999994E-3</v>
      </c>
      <c r="P1960">
        <v>0.98923850000000002</v>
      </c>
      <c r="Q1960">
        <v>0.13081960000000001</v>
      </c>
      <c r="R1960">
        <v>6.5522339999999998E-2</v>
      </c>
      <c r="S1960">
        <v>3.0699010000000002</v>
      </c>
      <c r="T1960">
        <v>5.6618929999999998E-2</v>
      </c>
      <c r="U1960">
        <v>-0.67810059999999905</v>
      </c>
      <c r="V1960">
        <v>-7.4820570000000003E-2</v>
      </c>
      <c r="W1960">
        <v>0.14208219999999999</v>
      </c>
      <c r="X1960">
        <v>0.98702310000000004</v>
      </c>
      <c r="Y1960">
        <v>0.20648079999999999</v>
      </c>
      <c r="Z1960">
        <v>4.131556E-4</v>
      </c>
      <c r="AA1960">
        <v>0.97845059999999995</v>
      </c>
      <c r="AB1960">
        <v>22</v>
      </c>
      <c r="AC1960">
        <v>50.638500000000001</v>
      </c>
      <c r="AD1960">
        <v>0.93606100000000003</v>
      </c>
      <c r="AE1960">
        <v>-11.210699999999999</v>
      </c>
      <c r="AF1960">
        <v>10.730164080651701</v>
      </c>
      <c r="AG1960">
        <v>0.93606100000000003</v>
      </c>
      <c r="AH1960">
        <v>50.725235248537203</v>
      </c>
      <c r="AI1960">
        <v>88.965691832846005</v>
      </c>
      <c r="AJ1960">
        <v>78.056011088917998</v>
      </c>
      <c r="AK1960">
        <v>51.856167641013201</v>
      </c>
      <c r="AL1960">
        <v>81.831648133586896</v>
      </c>
      <c r="AM1960">
        <v>94.334974345650195</v>
      </c>
      <c r="AN1960">
        <v>1.00000003459278</v>
      </c>
    </row>
    <row r="1961" spans="1:40" x14ac:dyDescent="0.25">
      <c r="A1961" t="str">
        <f>"20190304154754262"</f>
        <v>20190304154754262</v>
      </c>
      <c r="B1961" t="str">
        <f>"1551685674258091"</f>
        <v>1551685674258091</v>
      </c>
      <c r="C1961" t="s">
        <v>40</v>
      </c>
      <c r="D1961">
        <v>4.1838879999999996</v>
      </c>
      <c r="E1961">
        <v>0.61029889999999998</v>
      </c>
      <c r="F1961" t="s">
        <v>43</v>
      </c>
      <c r="G1961">
        <v>-169.2955</v>
      </c>
      <c r="H1961">
        <v>1.8162780000000001</v>
      </c>
      <c r="I1961">
        <v>355.19170000000003</v>
      </c>
      <c r="J1961">
        <v>-219.81710000000001</v>
      </c>
      <c r="K1961">
        <v>1.110673</v>
      </c>
      <c r="L1961">
        <v>366.30419999999998</v>
      </c>
      <c r="M1961">
        <v>0.99989059999999996</v>
      </c>
      <c r="N1961">
        <v>-1.139738E-2</v>
      </c>
      <c r="O1961">
        <v>-9.4293929999999995E-3</v>
      </c>
      <c r="P1961">
        <v>0.98925059999999998</v>
      </c>
      <c r="Q1961">
        <v>0.130671699999999</v>
      </c>
      <c r="R1961">
        <v>6.5637420000000002E-2</v>
      </c>
      <c r="S1961">
        <v>3.071625</v>
      </c>
      <c r="T1961">
        <v>4.280519E-2</v>
      </c>
      <c r="U1961">
        <v>-0.67413330000000005</v>
      </c>
      <c r="V1961">
        <v>-7.4952530000000003E-2</v>
      </c>
      <c r="W1961">
        <v>0.14193629999999999</v>
      </c>
      <c r="X1961">
        <v>0.98703399999999997</v>
      </c>
      <c r="Y1961">
        <v>0.20514869999999999</v>
      </c>
      <c r="Z1961" s="1">
        <v>-6.3558110000000003E-6</v>
      </c>
      <c r="AA1961">
        <v>0.97873080000000001</v>
      </c>
      <c r="AB1961">
        <v>22</v>
      </c>
      <c r="AC1961">
        <v>50.521599999999999</v>
      </c>
      <c r="AD1961">
        <v>0.70560499999999904</v>
      </c>
      <c r="AE1961">
        <v>-11.112499999999899</v>
      </c>
      <c r="AF1961">
        <v>10.6336084632823</v>
      </c>
      <c r="AG1961">
        <v>0.70560499999999904</v>
      </c>
      <c r="AH1961">
        <v>50.6147272526743</v>
      </c>
      <c r="AI1961">
        <v>89.218369323129707</v>
      </c>
      <c r="AJ1961">
        <v>78.135325066384596</v>
      </c>
      <c r="AK1961">
        <v>51.7244828125814</v>
      </c>
      <c r="AL1961">
        <v>81.840092530240398</v>
      </c>
      <c r="AM1961">
        <v>94.342542886436505</v>
      </c>
      <c r="AN1961">
        <v>0.99999995608354397</v>
      </c>
    </row>
    <row r="1962" spans="1:40" x14ac:dyDescent="0.25">
      <c r="A1962" t="str">
        <f>"20190304154754274"</f>
        <v>20190304154754274</v>
      </c>
      <c r="B1962" t="str">
        <f>"1551685674268828"</f>
        <v>1551685674268828</v>
      </c>
      <c r="C1962" t="s">
        <v>40</v>
      </c>
      <c r="D1962">
        <v>4.1803030000000003</v>
      </c>
      <c r="E1962">
        <v>0.61135309999999998</v>
      </c>
      <c r="F1962" t="s">
        <v>43</v>
      </c>
      <c r="G1962">
        <v>-169.2955</v>
      </c>
      <c r="H1962">
        <v>2.1232929999999999</v>
      </c>
      <c r="I1962">
        <v>354.90960000000001</v>
      </c>
      <c r="J1962">
        <v>-219.69309999999999</v>
      </c>
      <c r="K1962">
        <v>1.1106640000000001</v>
      </c>
      <c r="L1962">
        <v>366.303</v>
      </c>
      <c r="M1962">
        <v>0.99989039999999996</v>
      </c>
      <c r="N1962">
        <v>-1.139805E-2</v>
      </c>
      <c r="O1962">
        <v>-9.4546720000000008E-3</v>
      </c>
      <c r="P1962">
        <v>0.98923989999999995</v>
      </c>
      <c r="Q1962">
        <v>0.13067709999999999</v>
      </c>
      <c r="R1962">
        <v>6.5790639999999997E-2</v>
      </c>
      <c r="S1962">
        <v>3.0704349999999998</v>
      </c>
      <c r="T1962">
        <v>6.1546799999999999E-2</v>
      </c>
      <c r="U1962">
        <v>-0.69250489999999998</v>
      </c>
      <c r="V1962">
        <v>-7.5128E-2</v>
      </c>
      <c r="W1962">
        <v>0.14194389999999901</v>
      </c>
      <c r="X1962">
        <v>0.9870196</v>
      </c>
      <c r="Y1962">
        <v>0.2107676</v>
      </c>
      <c r="Z1962">
        <v>5.7631410000000001E-4</v>
      </c>
      <c r="AA1962">
        <v>0.97753599999999996</v>
      </c>
      <c r="AB1962">
        <v>22</v>
      </c>
      <c r="AC1962">
        <v>50.397599999999898</v>
      </c>
      <c r="AD1962">
        <v>1.012629</v>
      </c>
      <c r="AE1962">
        <v>-11.3934</v>
      </c>
      <c r="AF1962">
        <v>10.9121757205828</v>
      </c>
      <c r="AG1962">
        <v>1.012629</v>
      </c>
      <c r="AH1962">
        <v>50.483684654895299</v>
      </c>
      <c r="AI1962">
        <v>88.876816658483705</v>
      </c>
      <c r="AJ1962">
        <v>77.803017780539307</v>
      </c>
      <c r="AK1962">
        <v>51.659494894776401</v>
      </c>
      <c r="AL1962">
        <v>81.839652898493</v>
      </c>
      <c r="AM1962">
        <v>94.352733369180896</v>
      </c>
      <c r="AN1962">
        <v>0.99999998895768405</v>
      </c>
    </row>
    <row r="1963" spans="1:40" x14ac:dyDescent="0.25">
      <c r="A1963" t="str">
        <f>"20190304154754285"</f>
        <v>20190304154754285</v>
      </c>
      <c r="B1963" t="str">
        <f>"1551685674278588"</f>
        <v>1551685674278588</v>
      </c>
      <c r="C1963" t="s">
        <v>40</v>
      </c>
      <c r="D1963">
        <v>4.785933</v>
      </c>
      <c r="E1963">
        <v>0.61069419999999996</v>
      </c>
      <c r="F1963" t="s">
        <v>43</v>
      </c>
      <c r="G1963">
        <v>-169.2955</v>
      </c>
      <c r="H1963">
        <v>2.2554419999999999</v>
      </c>
      <c r="I1963">
        <v>354.80340000000001</v>
      </c>
      <c r="J1963">
        <v>-219.58009999999999</v>
      </c>
      <c r="K1963">
        <v>1.1106560000000001</v>
      </c>
      <c r="L1963">
        <v>366.30189999999999</v>
      </c>
      <c r="M1963">
        <v>0.9998901</v>
      </c>
      <c r="N1963">
        <v>-1.139868E-2</v>
      </c>
      <c r="O1963">
        <v>-9.4889250000000005E-3</v>
      </c>
      <c r="P1963">
        <v>0.98925510000000005</v>
      </c>
      <c r="Q1963">
        <v>0.13057739999999901</v>
      </c>
      <c r="R1963">
        <v>6.5759590000000007E-2</v>
      </c>
      <c r="S1963">
        <v>3.0699920000000001</v>
      </c>
      <c r="T1963">
        <v>6.9739699999999905E-2</v>
      </c>
      <c r="U1963">
        <v>-0.70050049999999997</v>
      </c>
      <c r="V1963">
        <v>-7.5126689999999996E-2</v>
      </c>
      <c r="W1963">
        <v>0.14184659999999999</v>
      </c>
      <c r="X1963">
        <v>0.98703370000000001</v>
      </c>
      <c r="Y1963">
        <v>0.21317729999999999</v>
      </c>
      <c r="Z1963">
        <v>8.4027649999999902E-4</v>
      </c>
      <c r="AA1963">
        <v>0.97701320000000003</v>
      </c>
      <c r="AB1963">
        <v>22</v>
      </c>
      <c r="AC1963">
        <v>50.284599999999898</v>
      </c>
      <c r="AD1963">
        <v>1.1447860000000001</v>
      </c>
      <c r="AE1963">
        <v>-11.4984999999999</v>
      </c>
      <c r="AF1963">
        <v>11.0153789653847</v>
      </c>
      <c r="AG1963">
        <v>1.1447860000000001</v>
      </c>
      <c r="AH1963">
        <v>50.366643633440098</v>
      </c>
      <c r="AI1963">
        <v>88.728000694693307</v>
      </c>
      <c r="AJ1963">
        <v>77.663436096237703</v>
      </c>
      <c r="AK1963">
        <v>51.569835171685298</v>
      </c>
      <c r="AL1963">
        <v>81.845284863502499</v>
      </c>
      <c r="AM1963">
        <v>94.352595822896902</v>
      </c>
      <c r="AN1963">
        <v>1.0000000012087999</v>
      </c>
    </row>
    <row r="1964" spans="1:40" x14ac:dyDescent="0.25">
      <c r="A1964" t="str">
        <f>"20190304154754297"</f>
        <v>20190304154754297</v>
      </c>
      <c r="B1964" t="str">
        <f>"1551685674288347"</f>
        <v>1551685674288347</v>
      </c>
      <c r="C1964" t="s">
        <v>40</v>
      </c>
      <c r="D1964">
        <v>4.6281559999999997</v>
      </c>
      <c r="E1964">
        <v>0.61012549999999999</v>
      </c>
      <c r="F1964" t="s">
        <v>43</v>
      </c>
      <c r="G1964">
        <v>-169.2955</v>
      </c>
      <c r="H1964">
        <v>2.101321</v>
      </c>
      <c r="I1964">
        <v>354.91469999999998</v>
      </c>
      <c r="J1964">
        <v>-219.46969999999999</v>
      </c>
      <c r="K1964">
        <v>1.110646</v>
      </c>
      <c r="L1964">
        <v>366.30090000000001</v>
      </c>
      <c r="M1964">
        <v>0.99988969999999999</v>
      </c>
      <c r="N1964">
        <v>-1.1399289999999999E-2</v>
      </c>
      <c r="O1964">
        <v>-9.5293909999999999E-3</v>
      </c>
      <c r="P1964">
        <v>0.98924429999999997</v>
      </c>
      <c r="Q1964">
        <v>0.13059709999999999</v>
      </c>
      <c r="R1964">
        <v>6.588157E-2</v>
      </c>
      <c r="S1964">
        <v>3.0708160000000002</v>
      </c>
      <c r="T1964">
        <v>6.0503719999999997E-2</v>
      </c>
      <c r="U1964">
        <v>-0.69540409999999997</v>
      </c>
      <c r="V1964">
        <v>-7.5284119999999996E-2</v>
      </c>
      <c r="W1964">
        <v>0.1418693</v>
      </c>
      <c r="X1964">
        <v>0.98701850000000002</v>
      </c>
      <c r="Y1964">
        <v>0.21154729999999999</v>
      </c>
      <c r="Z1964">
        <v>5.4426050000000003E-4</v>
      </c>
      <c r="AA1964">
        <v>0.9773676</v>
      </c>
      <c r="AB1964">
        <v>22</v>
      </c>
      <c r="AC1964">
        <v>50.1741999999999</v>
      </c>
      <c r="AD1964">
        <v>0.99067499999999997</v>
      </c>
      <c r="AE1964">
        <v>-11.386200000000001</v>
      </c>
      <c r="AF1964">
        <v>10.903479763516801</v>
      </c>
      <c r="AG1964">
        <v>0.99067499999999997</v>
      </c>
      <c r="AH1964">
        <v>50.261797046148999</v>
      </c>
      <c r="AI1964">
        <v>88.896489973343293</v>
      </c>
      <c r="AJ1964">
        <v>77.760261934537496</v>
      </c>
      <c r="AK1964">
        <v>51.440407757105802</v>
      </c>
      <c r="AL1964">
        <v>81.843971429631793</v>
      </c>
      <c r="AM1964">
        <v>94.361748554106498</v>
      </c>
      <c r="AN1964">
        <v>1.0000000581744499</v>
      </c>
    </row>
    <row r="1965" spans="1:40" x14ac:dyDescent="0.25">
      <c r="A1965" t="str">
        <f>"20190304154754307"</f>
        <v>20190304154754307</v>
      </c>
      <c r="B1965" t="str">
        <f>"1551685674298108"</f>
        <v>1551685674298108</v>
      </c>
      <c r="C1965" t="s">
        <v>40</v>
      </c>
      <c r="D1965">
        <v>4.6242279999999996</v>
      </c>
      <c r="E1965">
        <v>0.60948440000000004</v>
      </c>
      <c r="F1965" t="s">
        <v>43</v>
      </c>
      <c r="G1965">
        <v>-169.2955</v>
      </c>
      <c r="H1965">
        <v>1.9634149999999999</v>
      </c>
      <c r="I1965">
        <v>355.01729999999998</v>
      </c>
      <c r="J1965">
        <v>-219.3552</v>
      </c>
      <c r="K1965">
        <v>1.110633</v>
      </c>
      <c r="L1965">
        <v>366.29969999999997</v>
      </c>
      <c r="M1965">
        <v>0.99988929999999998</v>
      </c>
      <c r="N1965">
        <v>-1.1399940000000001E-2</v>
      </c>
      <c r="O1965">
        <v>-9.5798989999999994E-3</v>
      </c>
      <c r="P1965">
        <v>0.98924339999999999</v>
      </c>
      <c r="Q1965">
        <v>0.13059689999999999</v>
      </c>
      <c r="R1965">
        <v>6.5896689999999994E-2</v>
      </c>
      <c r="S1965">
        <v>3.0717319999999999</v>
      </c>
      <c r="T1965">
        <v>5.2212950000000001E-2</v>
      </c>
      <c r="U1965">
        <v>-0.69079590000000002</v>
      </c>
      <c r="V1965">
        <v>-7.5344800000000003E-2</v>
      </c>
      <c r="W1965">
        <v>0.1418721</v>
      </c>
      <c r="X1965">
        <v>0.98701340000000004</v>
      </c>
      <c r="Y1965">
        <v>0.21004590000000001</v>
      </c>
      <c r="Z1965">
        <v>2.8228360000000002E-4</v>
      </c>
      <c r="AA1965">
        <v>0.97769150000000005</v>
      </c>
      <c r="AB1965">
        <v>22</v>
      </c>
      <c r="AC1965">
        <v>50.0596999999999</v>
      </c>
      <c r="AD1965">
        <v>0.85278200000000004</v>
      </c>
      <c r="AE1965">
        <v>-11.2823999999999</v>
      </c>
      <c r="AF1965">
        <v>10.799301774654401</v>
      </c>
      <c r="AG1965">
        <v>0.85278200000000004</v>
      </c>
      <c r="AH1965">
        <v>50.151643273765202</v>
      </c>
      <c r="AI1965">
        <v>89.047657406513807</v>
      </c>
      <c r="AJ1965">
        <v>77.847886778524298</v>
      </c>
      <c r="AK1965">
        <v>51.308278854572599</v>
      </c>
      <c r="AL1965">
        <v>81.843808816410601</v>
      </c>
      <c r="AM1965">
        <v>94.365273066510795</v>
      </c>
      <c r="AN1965">
        <v>0.99999999171250498</v>
      </c>
    </row>
    <row r="1966" spans="1:40" x14ac:dyDescent="0.25">
      <c r="A1966" t="str">
        <f>"20190304154754319"</f>
        <v>20190304154754319</v>
      </c>
      <c r="B1966" t="str">
        <f>"1551685674308842"</f>
        <v>1551685674308842</v>
      </c>
      <c r="C1966" t="s">
        <v>40</v>
      </c>
      <c r="D1966">
        <v>4.6238159999999997</v>
      </c>
      <c r="E1966">
        <v>0.60900339999999997</v>
      </c>
      <c r="F1966" t="s">
        <v>43</v>
      </c>
      <c r="G1966">
        <v>-169.2955</v>
      </c>
      <c r="H1966">
        <v>1.8247260000000001</v>
      </c>
      <c r="I1966">
        <v>355.12139999999999</v>
      </c>
      <c r="J1966">
        <v>-219.2397</v>
      </c>
      <c r="K1966">
        <v>1.110619</v>
      </c>
      <c r="L1966">
        <v>366.29860000000002</v>
      </c>
      <c r="M1966">
        <v>0.99988860000000002</v>
      </c>
      <c r="N1966">
        <v>-1.140062E-2</v>
      </c>
      <c r="O1966">
        <v>-9.6435319999999998E-3</v>
      </c>
      <c r="P1966">
        <v>0.98924060000000003</v>
      </c>
      <c r="Q1966">
        <v>0.13053580000000001</v>
      </c>
      <c r="R1966">
        <v>6.6058019999999995E-2</v>
      </c>
      <c r="S1966">
        <v>3.07254</v>
      </c>
      <c r="T1966">
        <v>4.3834570000000003E-2</v>
      </c>
      <c r="U1966">
        <v>-0.68609619999999905</v>
      </c>
      <c r="V1966">
        <v>-7.5563329999999998E-2</v>
      </c>
      <c r="W1966">
        <v>0.14181450000000001</v>
      </c>
      <c r="X1966">
        <v>0.98700500000000002</v>
      </c>
      <c r="Y1966">
        <v>0.208509</v>
      </c>
      <c r="Z1966" s="1">
        <v>2.1624149999999999E-5</v>
      </c>
      <c r="AA1966">
        <v>0.97802040000000001</v>
      </c>
      <c r="AB1966">
        <v>22</v>
      </c>
      <c r="AC1966">
        <v>49.944200000000002</v>
      </c>
      <c r="AD1966">
        <v>0.71410699999999905</v>
      </c>
      <c r="AE1966">
        <v>-11.177199999999999</v>
      </c>
      <c r="AF1966">
        <v>10.6929286904205</v>
      </c>
      <c r="AG1966">
        <v>0.71410699999999905</v>
      </c>
      <c r="AH1966">
        <v>50.039929952464803</v>
      </c>
      <c r="AI1966">
        <v>89.200450667911397</v>
      </c>
      <c r="AJ1966">
        <v>77.937994158445306</v>
      </c>
      <c r="AK1966">
        <v>51.174634951638403</v>
      </c>
      <c r="AL1966">
        <v>81.847142991674701</v>
      </c>
      <c r="AM1966">
        <v>94.377922064016602</v>
      </c>
      <c r="AN1966">
        <v>1.0000000196379599</v>
      </c>
    </row>
    <row r="1967" spans="1:40" x14ac:dyDescent="0.25">
      <c r="A1967" t="str">
        <f>"20190304154754333"</f>
        <v>20190304154754333</v>
      </c>
      <c r="B1967" t="str">
        <f>"1551685674328363"</f>
        <v>1551685674328363</v>
      </c>
      <c r="C1967" t="s">
        <v>40</v>
      </c>
      <c r="D1967">
        <v>4.1353730000000004</v>
      </c>
      <c r="E1967">
        <v>0.6094619</v>
      </c>
      <c r="F1967" t="s">
        <v>43</v>
      </c>
      <c r="G1967">
        <v>-169.2955</v>
      </c>
      <c r="H1967">
        <v>1.7059599999999999</v>
      </c>
      <c r="I1967">
        <v>355.21839999999997</v>
      </c>
      <c r="J1967">
        <v>-219.114</v>
      </c>
      <c r="K1967">
        <v>1.1106</v>
      </c>
      <c r="L1967">
        <v>366.29730000000001</v>
      </c>
      <c r="M1967">
        <v>0.99988779999999999</v>
      </c>
      <c r="N1967">
        <v>-1.1401369999999999E-2</v>
      </c>
      <c r="O1967">
        <v>-9.7194710000000004E-3</v>
      </c>
      <c r="P1967">
        <v>0.98924809999999996</v>
      </c>
      <c r="Q1967">
        <v>0.13050129999999999</v>
      </c>
      <c r="R1967">
        <v>6.6012879999999996E-2</v>
      </c>
      <c r="S1967">
        <v>3.073334</v>
      </c>
      <c r="T1967">
        <v>3.6639930000000001E-2</v>
      </c>
      <c r="U1967">
        <v>-0.68182369999999903</v>
      </c>
      <c r="V1967">
        <v>-7.5587689999999999E-2</v>
      </c>
      <c r="W1967">
        <v>0.14178389999999999</v>
      </c>
      <c r="X1967">
        <v>0.98700750000000004</v>
      </c>
      <c r="Y1967">
        <v>0.2070882</v>
      </c>
      <c r="Z1967">
        <v>-1.9914800000000001E-4</v>
      </c>
      <c r="AA1967">
        <v>0.97832229999999998</v>
      </c>
      <c r="AB1967">
        <v>23</v>
      </c>
      <c r="AC1967">
        <v>49.8185</v>
      </c>
      <c r="AD1967">
        <v>0.595359999999999</v>
      </c>
      <c r="AE1967">
        <v>-11.078900000000001</v>
      </c>
      <c r="AF1967">
        <v>10.592694175518099</v>
      </c>
      <c r="AG1967">
        <v>0.595359999999999</v>
      </c>
      <c r="AH1967">
        <v>49.9170415307958</v>
      </c>
      <c r="AI1967">
        <v>89.331549768235703</v>
      </c>
      <c r="AJ1967">
        <v>78.019220514417199</v>
      </c>
      <c r="AK1967">
        <v>51.032055206633103</v>
      </c>
      <c r="AL1967">
        <v>81.848913888687505</v>
      </c>
      <c r="AM1967">
        <v>94.379316873548802</v>
      </c>
      <c r="AN1967">
        <v>0.99999998911749799</v>
      </c>
    </row>
    <row r="1968" spans="1:40" x14ac:dyDescent="0.25">
      <c r="A1968" t="str">
        <f>"20190304154754346"</f>
        <v>20190304154754346</v>
      </c>
      <c r="B1968" t="str">
        <f>"1551685674338123"</f>
        <v>1551685674338123</v>
      </c>
      <c r="C1968" t="s">
        <v>40</v>
      </c>
      <c r="D1968">
        <v>4.1308579999999999</v>
      </c>
      <c r="E1968">
        <v>0.61034739999999998</v>
      </c>
      <c r="F1968" t="s">
        <v>43</v>
      </c>
      <c r="G1968">
        <v>-169.2955</v>
      </c>
      <c r="H1968">
        <v>1.7312909999999999</v>
      </c>
      <c r="I1968">
        <v>355.18349999999998</v>
      </c>
      <c r="J1968">
        <v>-218.96619999999999</v>
      </c>
      <c r="K1968">
        <v>1.110579</v>
      </c>
      <c r="L1968">
        <v>366.29570000000001</v>
      </c>
      <c r="M1968">
        <v>0.99988659999999996</v>
      </c>
      <c r="N1968">
        <v>-1.1402249999999999E-2</v>
      </c>
      <c r="O1968">
        <v>-9.8351519999999998E-3</v>
      </c>
      <c r="P1968">
        <v>0.98922779999999999</v>
      </c>
      <c r="Q1968">
        <v>0.1306427</v>
      </c>
      <c r="R1968">
        <v>6.6037490000000004E-2</v>
      </c>
      <c r="S1968">
        <v>3.073318</v>
      </c>
      <c r="T1968">
        <v>3.8295870000000003E-2</v>
      </c>
      <c r="U1968">
        <v>-0.68560790000000005</v>
      </c>
      <c r="V1968">
        <v>-7.571928E-2</v>
      </c>
      <c r="W1968">
        <v>0.14192969999999999</v>
      </c>
      <c r="X1968">
        <v>0.98697639999999998</v>
      </c>
      <c r="Y1968">
        <v>0.20812320000000001</v>
      </c>
      <c r="Z1968">
        <v>-1.519255E-4</v>
      </c>
      <c r="AA1968">
        <v>0.97810260000000004</v>
      </c>
      <c r="AB1968">
        <v>23</v>
      </c>
      <c r="AC1968">
        <v>49.670699999999897</v>
      </c>
      <c r="AD1968">
        <v>0.62071199999999904</v>
      </c>
      <c r="AE1968">
        <v>-11.1122</v>
      </c>
      <c r="AF1968">
        <v>10.621532182782101</v>
      </c>
      <c r="AG1968">
        <v>0.62071199999999904</v>
      </c>
      <c r="AH1968">
        <v>49.770192751388997</v>
      </c>
      <c r="AI1968">
        <v>89.301203596364999</v>
      </c>
      <c r="AJ1968">
        <v>77.953140497337898</v>
      </c>
      <c r="AK1968">
        <v>50.894737604267497</v>
      </c>
      <c r="AL1968">
        <v>81.840474348989005</v>
      </c>
      <c r="AM1968">
        <v>94.387048749089601</v>
      </c>
      <c r="AN1968">
        <v>0.99999993163138101</v>
      </c>
    </row>
    <row r="1969" spans="1:40" x14ac:dyDescent="0.25">
      <c r="A1969" t="str">
        <f>"20190304154754359"</f>
        <v>20190304154754359</v>
      </c>
      <c r="B1969" t="str">
        <f>"1551685674348859"</f>
        <v>1551685674348859</v>
      </c>
      <c r="C1969" t="s">
        <v>40</v>
      </c>
      <c r="D1969">
        <v>4.1229339999999999</v>
      </c>
      <c r="E1969">
        <v>0.6112204</v>
      </c>
      <c r="F1969" t="s">
        <v>43</v>
      </c>
      <c r="G1969">
        <v>-169.2955</v>
      </c>
      <c r="H1969">
        <v>1.8532329999999999</v>
      </c>
      <c r="I1969">
        <v>355.10559999999998</v>
      </c>
      <c r="J1969">
        <v>-218.84270000000001</v>
      </c>
      <c r="K1969">
        <v>1.1105689999999999</v>
      </c>
      <c r="L1969">
        <v>366.2944</v>
      </c>
      <c r="M1969">
        <v>0.99988560000000004</v>
      </c>
      <c r="N1969">
        <v>-1.140298E-2</v>
      </c>
      <c r="O1969">
        <v>-9.9442220000000008E-3</v>
      </c>
      <c r="P1969">
        <v>0.98925969999999996</v>
      </c>
      <c r="Q1969">
        <v>0.13042709999999999</v>
      </c>
      <c r="R1969">
        <v>6.5985249999999995E-2</v>
      </c>
      <c r="S1969">
        <v>3.0728</v>
      </c>
      <c r="T1969">
        <v>4.5948389999999999E-2</v>
      </c>
      <c r="U1969">
        <v>-0.69226069999999995</v>
      </c>
      <c r="V1969">
        <v>-7.5770069999999995E-2</v>
      </c>
      <c r="W1969">
        <v>0.14171829999999999</v>
      </c>
      <c r="X1969">
        <v>0.98700299999999996</v>
      </c>
      <c r="Y1969">
        <v>0.21006420000000001</v>
      </c>
      <c r="Z1969" s="1">
        <v>7.9672780000000006E-5</v>
      </c>
      <c r="AA1969">
        <v>0.97768759999999999</v>
      </c>
      <c r="AB1969">
        <v>23</v>
      </c>
      <c r="AC1969">
        <v>49.547199999999997</v>
      </c>
      <c r="AD1969">
        <v>0.74266399999999999</v>
      </c>
      <c r="AE1969">
        <v>-11.188800000000001</v>
      </c>
      <c r="AF1969">
        <v>10.6932204525682</v>
      </c>
      <c r="AG1969">
        <v>0.74266399999999999</v>
      </c>
      <c r="AH1969">
        <v>49.645408283262498</v>
      </c>
      <c r="AI1969">
        <v>89.162167107245395</v>
      </c>
      <c r="AJ1969">
        <v>77.844657625051994</v>
      </c>
      <c r="AK1969">
        <v>50.789399258860598</v>
      </c>
      <c r="AL1969">
        <v>81.852711340037303</v>
      </c>
      <c r="AM1969">
        <v>94.389862088787297</v>
      </c>
      <c r="AN1969">
        <v>1.00000005103584</v>
      </c>
    </row>
    <row r="1970" spans="1:40" x14ac:dyDescent="0.25">
      <c r="A1970" t="str">
        <f>"20190304154754381"</f>
        <v>20190304154754381</v>
      </c>
      <c r="B1970" t="str">
        <f>"1551685674378139"</f>
        <v>1551685674378139</v>
      </c>
      <c r="C1970" t="s">
        <v>40</v>
      </c>
      <c r="D1970">
        <v>4.5432059999999996</v>
      </c>
      <c r="E1970">
        <v>0.60983419999999999</v>
      </c>
      <c r="F1970" t="s">
        <v>43</v>
      </c>
      <c r="G1970">
        <v>-169.2955</v>
      </c>
      <c r="H1970">
        <v>1.960995</v>
      </c>
      <c r="I1970">
        <v>355.0179</v>
      </c>
      <c r="J1970">
        <v>-218.62010000000001</v>
      </c>
      <c r="K1970">
        <v>1.110541</v>
      </c>
      <c r="L1970">
        <v>366.2919</v>
      </c>
      <c r="M1970">
        <v>0.99988339999999998</v>
      </c>
      <c r="N1970">
        <v>-1.1404350000000001E-2</v>
      </c>
      <c r="O1970">
        <v>-1.017302E-2</v>
      </c>
      <c r="P1970">
        <v>0.98925580000000002</v>
      </c>
      <c r="Q1970">
        <v>0.13067880000000001</v>
      </c>
      <c r="R1970">
        <v>6.5545800000000001E-2</v>
      </c>
      <c r="S1970">
        <v>3.0722499999999999</v>
      </c>
      <c r="T1970">
        <v>5.2737239999999998E-2</v>
      </c>
      <c r="U1970">
        <v>-0.69921880000000003</v>
      </c>
      <c r="V1970">
        <v>-7.5547000000000003E-2</v>
      </c>
      <c r="W1970">
        <v>0.14197599999999999</v>
      </c>
      <c r="X1970">
        <v>0.98698300000000005</v>
      </c>
      <c r="Y1970">
        <v>0.21198</v>
      </c>
      <c r="Z1970">
        <v>2.8528439999999999E-4</v>
      </c>
      <c r="AA1970">
        <v>0.97727399999999998</v>
      </c>
      <c r="AB1970">
        <v>23</v>
      </c>
      <c r="AC1970">
        <v>49.324599999999997</v>
      </c>
      <c r="AD1970">
        <v>0.85045400000000004</v>
      </c>
      <c r="AE1970">
        <v>-11.273999999999999</v>
      </c>
      <c r="AF1970">
        <v>10.768561450659201</v>
      </c>
      <c r="AG1970">
        <v>0.85045400000000004</v>
      </c>
      <c r="AH1970">
        <v>49.422782137691698</v>
      </c>
      <c r="AI1970">
        <v>89.036761993929204</v>
      </c>
      <c r="AJ1970">
        <v>77.708131887380802</v>
      </c>
      <c r="AK1970">
        <v>50.5894908251949</v>
      </c>
      <c r="AL1970">
        <v>81.837794879188095</v>
      </c>
      <c r="AM1970">
        <v>94.377076812176398</v>
      </c>
      <c r="AN1970">
        <v>0.99999998803699996</v>
      </c>
    </row>
    <row r="1971" spans="1:40" x14ac:dyDescent="0.25">
      <c r="A1971" t="str">
        <f>"20190304154754393"</f>
        <v>20190304154754393</v>
      </c>
      <c r="B1971" t="str">
        <f>"1551685674388875"</f>
        <v>1551685674388875</v>
      </c>
      <c r="C1971" t="s">
        <v>40</v>
      </c>
      <c r="D1971">
        <v>4.5666440000000001</v>
      </c>
      <c r="E1971">
        <v>0.60945459999999996</v>
      </c>
      <c r="F1971" t="s">
        <v>43</v>
      </c>
      <c r="G1971">
        <v>-169.2955</v>
      </c>
      <c r="H1971">
        <v>1.5591969999999999</v>
      </c>
      <c r="I1971">
        <v>355.21679999999998</v>
      </c>
      <c r="J1971">
        <v>-218.49520000000001</v>
      </c>
      <c r="K1971">
        <v>1.1105210000000001</v>
      </c>
      <c r="L1971">
        <v>366.29050000000001</v>
      </c>
      <c r="M1971">
        <v>0.99988180000000004</v>
      </c>
      <c r="N1971">
        <v>-1.1405200000000001E-2</v>
      </c>
      <c r="O1971">
        <v>-1.0317E-2</v>
      </c>
      <c r="P1971">
        <v>0.98922019999999999</v>
      </c>
      <c r="Q1971">
        <v>0.13105319999999901</v>
      </c>
      <c r="R1971">
        <v>6.5336149999999996E-2</v>
      </c>
      <c r="S1971">
        <v>3.074646</v>
      </c>
      <c r="T1971">
        <v>2.7972460000000001E-2</v>
      </c>
      <c r="U1971">
        <v>-0.69036869999999995</v>
      </c>
      <c r="V1971">
        <v>-7.5474150000000004E-2</v>
      </c>
      <c r="W1971">
        <v>0.14235309999999901</v>
      </c>
      <c r="X1971">
        <v>0.98693419999999998</v>
      </c>
      <c r="Y1971">
        <v>0.2090069</v>
      </c>
      <c r="Z1971">
        <v>-4.7646320000000001E-4</v>
      </c>
      <c r="AA1971">
        <v>0.97791399999999995</v>
      </c>
      <c r="AB1971">
        <v>23</v>
      </c>
      <c r="AC1971">
        <v>49.1997</v>
      </c>
      <c r="AD1971">
        <v>0.44867600000000002</v>
      </c>
      <c r="AE1971">
        <v>-11.073700000000001</v>
      </c>
      <c r="AF1971">
        <v>10.5646480292804</v>
      </c>
      <c r="AG1971">
        <v>0.44867600000000002</v>
      </c>
      <c r="AH1971">
        <v>49.307433022725803</v>
      </c>
      <c r="AI1971">
        <v>89.490217475591507</v>
      </c>
      <c r="AJ1971">
        <v>77.906609983289897</v>
      </c>
      <c r="AK1971">
        <v>50.428524164664402</v>
      </c>
      <c r="AL1971">
        <v>81.815966487518295</v>
      </c>
      <c r="AM1971">
        <v>94.373087757256897</v>
      </c>
      <c r="AN1971">
        <v>0.99999993376373397</v>
      </c>
    </row>
    <row r="1972" spans="1:40" x14ac:dyDescent="0.25">
      <c r="A1972" t="str">
        <f>"20190304154754403"</f>
        <v>20190304154754403</v>
      </c>
      <c r="B1972" t="str">
        <f>"1551685674398635"</f>
        <v>1551685674398635</v>
      </c>
      <c r="C1972" t="s">
        <v>40</v>
      </c>
      <c r="D1972">
        <v>4.5679959999999999</v>
      </c>
      <c r="E1972">
        <v>0.6092476</v>
      </c>
      <c r="F1972" t="s">
        <v>43</v>
      </c>
      <c r="G1972">
        <v>-169.2955</v>
      </c>
      <c r="H1972">
        <v>1.4569890000000001</v>
      </c>
      <c r="I1972">
        <v>355.28309999999999</v>
      </c>
      <c r="J1972">
        <v>-218.3878</v>
      </c>
      <c r="K1972">
        <v>1.110511</v>
      </c>
      <c r="L1972">
        <v>366.28919999999999</v>
      </c>
      <c r="M1972">
        <v>0.9998804</v>
      </c>
      <c r="N1972">
        <v>-1.140595E-2</v>
      </c>
      <c r="O1972">
        <v>-1.045544E-2</v>
      </c>
      <c r="P1972">
        <v>0.98925969999999996</v>
      </c>
      <c r="Q1972">
        <v>0.13090599999999999</v>
      </c>
      <c r="R1972">
        <v>6.5032049999999994E-2</v>
      </c>
      <c r="S1972">
        <v>3.075256</v>
      </c>
      <c r="T1972">
        <v>2.1661639999999999E-2</v>
      </c>
      <c r="U1972">
        <v>-0.68801880000000004</v>
      </c>
      <c r="V1972">
        <v>-7.5303480000000006E-2</v>
      </c>
      <c r="W1972">
        <v>0.1422091</v>
      </c>
      <c r="X1972">
        <v>0.98696799999999996</v>
      </c>
      <c r="Y1972">
        <v>0.2081189</v>
      </c>
      <c r="Z1972">
        <v>-6.6795699999999995E-4</v>
      </c>
      <c r="AA1972">
        <v>0.97810330000000001</v>
      </c>
      <c r="AB1972">
        <v>23</v>
      </c>
      <c r="AC1972">
        <v>49.092300000000002</v>
      </c>
      <c r="AD1972">
        <v>0.34647799999999901</v>
      </c>
      <c r="AE1972">
        <v>-11.0061</v>
      </c>
      <c r="AF1972">
        <v>10.4916858119918</v>
      </c>
      <c r="AG1972">
        <v>0.34647799999999901</v>
      </c>
      <c r="AH1972">
        <v>49.202363849645003</v>
      </c>
      <c r="AI1972">
        <v>89.605406604555796</v>
      </c>
      <c r="AJ1972">
        <v>77.962791792699704</v>
      </c>
      <c r="AK1972">
        <v>50.309721988646402</v>
      </c>
      <c r="AL1972">
        <v>81.8243019139761</v>
      </c>
      <c r="AM1972">
        <v>94.363088259344494</v>
      </c>
      <c r="AN1972">
        <v>0.99999993762345796</v>
      </c>
    </row>
    <row r="1973" spans="1:40" x14ac:dyDescent="0.25">
      <c r="A1973" t="str">
        <f>"20190304154754417"</f>
        <v>20190304154754417</v>
      </c>
      <c r="B1973" t="str">
        <f>"1551685674408395"</f>
        <v>1551685674408395</v>
      </c>
      <c r="C1973" t="s">
        <v>40</v>
      </c>
      <c r="D1973">
        <v>4.5560939999999999</v>
      </c>
      <c r="E1973">
        <v>0.6090991</v>
      </c>
      <c r="F1973" t="s">
        <v>43</v>
      </c>
      <c r="G1973">
        <v>-169.2955</v>
      </c>
      <c r="H1973">
        <v>1.3494459999999999</v>
      </c>
      <c r="I1973">
        <v>355.3109</v>
      </c>
      <c r="J1973">
        <v>-218.2629</v>
      </c>
      <c r="K1973">
        <v>1.1105</v>
      </c>
      <c r="L1973">
        <v>366.28769999999997</v>
      </c>
      <c r="M1973">
        <v>0.99987859999999995</v>
      </c>
      <c r="N1973">
        <v>-1.14068E-2</v>
      </c>
      <c r="O1973">
        <v>-1.0623E-2</v>
      </c>
      <c r="P1973">
        <v>0.98928000000000005</v>
      </c>
      <c r="Q1973">
        <v>0.13084999999999999</v>
      </c>
      <c r="R1973">
        <v>6.4835749999999998E-2</v>
      </c>
      <c r="S1973">
        <v>3.0758209999999999</v>
      </c>
      <c r="T1973">
        <v>1.497567E-2</v>
      </c>
      <c r="U1973">
        <v>-0.68783570000000005</v>
      </c>
      <c r="V1973">
        <v>-7.5269230000000006E-2</v>
      </c>
      <c r="W1973">
        <v>0.14215630000000001</v>
      </c>
      <c r="X1973">
        <v>0.98697829999999998</v>
      </c>
      <c r="Y1973">
        <v>0.20786099999999999</v>
      </c>
      <c r="Z1973">
        <v>-8.7097189999999999E-4</v>
      </c>
      <c r="AA1973">
        <v>0.97815799999999997</v>
      </c>
      <c r="AB1973">
        <v>23</v>
      </c>
      <c r="AC1973">
        <v>48.967399999999998</v>
      </c>
      <c r="AD1973">
        <v>0.23894599999999899</v>
      </c>
      <c r="AE1973">
        <v>-10.9767999999999</v>
      </c>
      <c r="AF1973">
        <v>10.455729003629999</v>
      </c>
      <c r="AG1973">
        <v>0.23894599999999899</v>
      </c>
      <c r="AH1973">
        <v>49.080137993939097</v>
      </c>
      <c r="AI1973">
        <v>89.727180418253297</v>
      </c>
      <c r="AJ1973">
        <v>77.973840009711395</v>
      </c>
      <c r="AK1973">
        <v>50.182061632543302</v>
      </c>
      <c r="AL1973">
        <v>81.827358840128696</v>
      </c>
      <c r="AM1973">
        <v>94.361066133320193</v>
      </c>
      <c r="AN1973">
        <v>1.00000001764268</v>
      </c>
    </row>
    <row r="1974" spans="1:40" x14ac:dyDescent="0.25">
      <c r="A1974" t="str">
        <f>"20190304154754426"</f>
        <v>20190304154754426</v>
      </c>
      <c r="B1974" t="str">
        <f>"1551685674418155"</f>
        <v>1551685674418155</v>
      </c>
      <c r="C1974" t="s">
        <v>40</v>
      </c>
      <c r="D1974">
        <v>4.5807260000000003</v>
      </c>
      <c r="E1974">
        <v>0.60880869999999998</v>
      </c>
      <c r="F1974" t="s">
        <v>43</v>
      </c>
      <c r="G1974">
        <v>-169.2955</v>
      </c>
      <c r="H1974">
        <v>1.2450349999999999</v>
      </c>
      <c r="I1974">
        <v>355.34739999999999</v>
      </c>
      <c r="J1974">
        <v>-218.15020000000001</v>
      </c>
      <c r="K1974">
        <v>1.110493</v>
      </c>
      <c r="L1974">
        <v>366.28640000000001</v>
      </c>
      <c r="M1974">
        <v>0.99987680000000001</v>
      </c>
      <c r="N1974">
        <v>-1.1407540000000001E-2</v>
      </c>
      <c r="O1974">
        <v>-1.078397E-2</v>
      </c>
      <c r="P1974">
        <v>0.98930189999999996</v>
      </c>
      <c r="Q1974">
        <v>0.1308897</v>
      </c>
      <c r="R1974">
        <v>6.4417639999999998E-2</v>
      </c>
      <c r="S1974">
        <v>3.0764619999999998</v>
      </c>
      <c r="T1974">
        <v>8.4578989999999996E-3</v>
      </c>
      <c r="U1974">
        <v>-0.68734740000000005</v>
      </c>
      <c r="V1974">
        <v>-7.5006149999999994E-2</v>
      </c>
      <c r="W1974">
        <v>0.1421992</v>
      </c>
      <c r="X1974">
        <v>0.98699210000000004</v>
      </c>
      <c r="Y1974">
        <v>0.207511</v>
      </c>
      <c r="Z1974">
        <v>-1.0671070000000001E-3</v>
      </c>
      <c r="AA1974">
        <v>0.97823210000000005</v>
      </c>
      <c r="AB1974">
        <v>23</v>
      </c>
      <c r="AC1974">
        <v>48.854700000000001</v>
      </c>
      <c r="AD1974">
        <v>0.13454199999999999</v>
      </c>
      <c r="AE1974">
        <v>-10.939</v>
      </c>
      <c r="AF1974">
        <v>10.4114067458982</v>
      </c>
      <c r="AG1974">
        <v>0.13454199999999999</v>
      </c>
      <c r="AH1974">
        <v>48.9694786571607</v>
      </c>
      <c r="AI1974">
        <v>89.846023781766704</v>
      </c>
      <c r="AJ1974">
        <v>77.997064002058494</v>
      </c>
      <c r="AK1974">
        <v>50.064212087402503</v>
      </c>
      <c r="AL1974">
        <v>81.824875234428305</v>
      </c>
      <c r="AM1974">
        <v>94.345821360569801</v>
      </c>
      <c r="AN1974">
        <v>0.99999997024043497</v>
      </c>
    </row>
    <row r="1975" spans="1:40" x14ac:dyDescent="0.25">
      <c r="A1975" t="str">
        <f>"20190304154754439"</f>
        <v>20190304154754439</v>
      </c>
      <c r="B1975" t="str">
        <f>"1551685674428891"</f>
        <v>1551685674428891</v>
      </c>
      <c r="C1975" t="s">
        <v>40</v>
      </c>
      <c r="D1975">
        <v>4.6052299999999997</v>
      </c>
      <c r="E1975">
        <v>0.60864309999999999</v>
      </c>
      <c r="F1975" t="s">
        <v>43</v>
      </c>
      <c r="G1975">
        <v>-169.2955</v>
      </c>
      <c r="H1975">
        <v>1.149691</v>
      </c>
      <c r="I1975">
        <v>355.38279999999997</v>
      </c>
      <c r="J1975">
        <v>-218.03540000000001</v>
      </c>
      <c r="K1975">
        <v>1.110484</v>
      </c>
      <c r="L1975">
        <v>366.28500000000003</v>
      </c>
      <c r="M1975">
        <v>0.99987490000000001</v>
      </c>
      <c r="N1975">
        <v>-1.140829E-2</v>
      </c>
      <c r="O1975">
        <v>-1.095877E-2</v>
      </c>
      <c r="P1975">
        <v>0.98932830000000005</v>
      </c>
      <c r="Q1975">
        <v>0.1308684</v>
      </c>
      <c r="R1975">
        <v>6.4054219999999995E-2</v>
      </c>
      <c r="S1975">
        <v>3.0768430000000002</v>
      </c>
      <c r="T1975">
        <v>2.4740700000000001E-3</v>
      </c>
      <c r="U1975">
        <v>-0.6867065</v>
      </c>
      <c r="V1975">
        <v>-7.4811970000000005E-2</v>
      </c>
      <c r="W1975">
        <v>0.14218029999999901</v>
      </c>
      <c r="X1975">
        <v>0.98700960000000004</v>
      </c>
      <c r="Y1975">
        <v>0.20711830000000001</v>
      </c>
      <c r="Z1975">
        <v>-1.2458149999999999E-3</v>
      </c>
      <c r="AA1975">
        <v>0.97831509999999999</v>
      </c>
      <c r="AB1975">
        <v>23</v>
      </c>
      <c r="AC1975">
        <v>48.739899999999999</v>
      </c>
      <c r="AD1975">
        <v>3.9206999999999902E-2</v>
      </c>
      <c r="AE1975">
        <v>-10.902200000000001</v>
      </c>
      <c r="AF1975">
        <v>10.367374758728999</v>
      </c>
      <c r="AG1975">
        <v>3.9206999999999902E-2</v>
      </c>
      <c r="AH1975">
        <v>48.856425197584898</v>
      </c>
      <c r="AI1975">
        <v>89.955021987933904</v>
      </c>
      <c r="AJ1975">
        <v>78.019501402127403</v>
      </c>
      <c r="AK1975">
        <v>49.944311784866898</v>
      </c>
      <c r="AL1975">
        <v>81.825969563763195</v>
      </c>
      <c r="AM1975">
        <v>94.334537035203098</v>
      </c>
      <c r="AN1975">
        <v>1.0000000095277599</v>
      </c>
    </row>
    <row r="1976" spans="1:40" x14ac:dyDescent="0.25">
      <c r="A1976" t="str">
        <f>"20190304154754451"</f>
        <v>20190304154754451</v>
      </c>
      <c r="B1976" t="str">
        <f>"1551685674448412"</f>
        <v>1551685674448412</v>
      </c>
      <c r="C1976" t="s">
        <v>40</v>
      </c>
      <c r="D1976">
        <v>4.5484679999999997</v>
      </c>
      <c r="E1976">
        <v>0.60834809999999995</v>
      </c>
      <c r="F1976" t="s">
        <v>43</v>
      </c>
      <c r="G1976">
        <v>-169.2955</v>
      </c>
      <c r="H1976">
        <v>1.0527280000000001</v>
      </c>
      <c r="I1976">
        <v>355.41059999999999</v>
      </c>
      <c r="J1976">
        <v>-217.90979999999999</v>
      </c>
      <c r="K1976">
        <v>1.1104719999999999</v>
      </c>
      <c r="L1976">
        <v>366.28339999999997</v>
      </c>
      <c r="M1976">
        <v>0.99987269999999995</v>
      </c>
      <c r="N1976">
        <v>-1.140911E-2</v>
      </c>
      <c r="O1976">
        <v>-1.1155760000000001E-2</v>
      </c>
      <c r="P1976">
        <v>0.98934880000000003</v>
      </c>
      <c r="Q1976">
        <v>0.13098940000000001</v>
      </c>
      <c r="R1976">
        <v>6.3486899999999999E-2</v>
      </c>
      <c r="S1976">
        <v>3.0773160000000002</v>
      </c>
      <c r="T1976">
        <v>-3.6410090000000002E-3</v>
      </c>
      <c r="U1976">
        <v>-0.68658450000000004</v>
      </c>
      <c r="V1976">
        <v>-7.4435059999999997E-2</v>
      </c>
      <c r="W1976">
        <v>0.1423045</v>
      </c>
      <c r="X1976">
        <v>0.98702020000000001</v>
      </c>
      <c r="Y1976">
        <v>0.20685400000000001</v>
      </c>
      <c r="Z1976">
        <v>-1.4280129999999999E-3</v>
      </c>
      <c r="AA1976">
        <v>0.97837079999999998</v>
      </c>
      <c r="AB1976">
        <v>23</v>
      </c>
      <c r="AC1976">
        <v>48.614299999999901</v>
      </c>
      <c r="AD1976">
        <v>-5.7743999999999802E-2</v>
      </c>
      <c r="AE1976">
        <v>-10.8727999999999</v>
      </c>
      <c r="AF1976">
        <v>10.329744691726299</v>
      </c>
      <c r="AG1976">
        <v>-5.7743999999999802E-2</v>
      </c>
      <c r="AH1976">
        <v>48.7325112241111</v>
      </c>
      <c r="AI1976">
        <v>90.066415095413504</v>
      </c>
      <c r="AJ1976">
        <v>78.032255020666</v>
      </c>
      <c r="AK1976">
        <v>49.815304977224599</v>
      </c>
      <c r="AL1976">
        <v>81.818780347519095</v>
      </c>
      <c r="AM1976">
        <v>94.312735674369193</v>
      </c>
      <c r="AN1976">
        <v>1.0000000120427399</v>
      </c>
    </row>
    <row r="1977" spans="1:40" x14ac:dyDescent="0.25">
      <c r="A1977" t="str">
        <f>"20190304154754464"</f>
        <v>20190304154754464</v>
      </c>
      <c r="B1977" t="str">
        <f>"1551685674458172"</f>
        <v>1551685674458172</v>
      </c>
      <c r="C1977" t="s">
        <v>40</v>
      </c>
      <c r="D1977">
        <v>4.5772209999999998</v>
      </c>
      <c r="E1977">
        <v>0.60826089999999999</v>
      </c>
      <c r="F1977" t="s">
        <v>43</v>
      </c>
      <c r="G1977">
        <v>-169.2955</v>
      </c>
      <c r="H1977">
        <v>0.88743689999999997</v>
      </c>
      <c r="I1977">
        <v>355.44880000000001</v>
      </c>
      <c r="J1977">
        <v>-217.7859</v>
      </c>
      <c r="K1977">
        <v>1.1104579999999999</v>
      </c>
      <c r="L1977">
        <v>366.28179999999998</v>
      </c>
      <c r="M1977">
        <v>0.99987040000000005</v>
      </c>
      <c r="N1977">
        <v>-1.140995E-2</v>
      </c>
      <c r="O1977">
        <v>-1.136874E-2</v>
      </c>
      <c r="P1977">
        <v>0.98941000000000001</v>
      </c>
      <c r="Q1977">
        <v>0.130682399999999</v>
      </c>
      <c r="R1977">
        <v>6.3168870000000002E-2</v>
      </c>
      <c r="S1977">
        <v>3.078201</v>
      </c>
      <c r="T1977">
        <v>-1.4116760000000001E-2</v>
      </c>
      <c r="U1977">
        <v>-0.68603519999999996</v>
      </c>
      <c r="V1977">
        <v>-7.4324440000000006E-2</v>
      </c>
      <c r="W1977">
        <v>0.14200099999999999</v>
      </c>
      <c r="X1977">
        <v>0.98707219999999996</v>
      </c>
      <c r="Y1977">
        <v>0.20641319999999999</v>
      </c>
      <c r="Z1977">
        <v>-1.7361900000000001E-3</v>
      </c>
      <c r="AA1977">
        <v>0.97846339999999998</v>
      </c>
      <c r="AB1977">
        <v>23</v>
      </c>
      <c r="AC1977">
        <v>48.490400000000001</v>
      </c>
      <c r="AD1977">
        <v>-0.223021099999999</v>
      </c>
      <c r="AE1977">
        <v>-10.832999999999901</v>
      </c>
      <c r="AF1977">
        <v>10.280782109239601</v>
      </c>
      <c r="AG1977">
        <v>-0.223021099999999</v>
      </c>
      <c r="AH1977">
        <v>48.609452029070702</v>
      </c>
      <c r="AI1977">
        <v>90.257183235002699</v>
      </c>
      <c r="AJ1977">
        <v>78.058064120938994</v>
      </c>
      <c r="AK1977">
        <v>49.685239717195998</v>
      </c>
      <c r="AL1977">
        <v>81.836347652273304</v>
      </c>
      <c r="AM1977">
        <v>94.306124516969604</v>
      </c>
      <c r="AN1977">
        <v>0.999999967197576</v>
      </c>
    </row>
    <row r="1978" spans="1:40" x14ac:dyDescent="0.25">
      <c r="A1978" t="str">
        <f>"20190304154754475"</f>
        <v>20190304154754475</v>
      </c>
      <c r="B1978" t="str">
        <f>"1551685674468907"</f>
        <v>1551685674468907</v>
      </c>
      <c r="C1978" t="s">
        <v>40</v>
      </c>
      <c r="D1978">
        <v>4.5702619999999996</v>
      </c>
      <c r="E1978">
        <v>0.60815659999999905</v>
      </c>
      <c r="F1978" t="s">
        <v>43</v>
      </c>
      <c r="G1978">
        <v>-169.2955</v>
      </c>
      <c r="H1978">
        <v>0.79739569999999904</v>
      </c>
      <c r="I1978">
        <v>355.46800000000002</v>
      </c>
      <c r="J1978">
        <v>-217.66970000000001</v>
      </c>
      <c r="K1978">
        <v>1.1104459999999901</v>
      </c>
      <c r="L1978">
        <v>366.28030000000001</v>
      </c>
      <c r="M1978">
        <v>0.99986799999999998</v>
      </c>
      <c r="N1978">
        <v>-1.1410750000000001E-2</v>
      </c>
      <c r="O1978">
        <v>-1.1574559999999999E-2</v>
      </c>
      <c r="P1978">
        <v>0.98945430000000001</v>
      </c>
      <c r="Q1978">
        <v>0.13051579999999999</v>
      </c>
      <c r="R1978">
        <v>6.2817830000000005E-2</v>
      </c>
      <c r="S1978">
        <v>3.0785830000000001</v>
      </c>
      <c r="T1978">
        <v>-1.9870280000000001E-2</v>
      </c>
      <c r="U1978">
        <v>-0.686554</v>
      </c>
      <c r="V1978">
        <v>-7.4173219999999998E-2</v>
      </c>
      <c r="W1978">
        <v>0.14183770000000001</v>
      </c>
      <c r="X1978">
        <v>0.98710710000000002</v>
      </c>
      <c r="Y1978">
        <v>0.20633889999999999</v>
      </c>
      <c r="Z1978">
        <v>-1.906151E-3</v>
      </c>
      <c r="AA1978">
        <v>0.97847870000000003</v>
      </c>
      <c r="AB1978">
        <v>23</v>
      </c>
      <c r="AC1978">
        <v>48.374200000000002</v>
      </c>
      <c r="AD1978">
        <v>-0.313050299999999</v>
      </c>
      <c r="AE1978">
        <v>-10.812299999999899</v>
      </c>
      <c r="AF1978">
        <v>10.2512202480399</v>
      </c>
      <c r="AG1978">
        <v>-0.313050299999999</v>
      </c>
      <c r="AH1978">
        <v>48.494180590063102</v>
      </c>
      <c r="AI1978">
        <v>90.361866567488903</v>
      </c>
      <c r="AJ1978">
        <v>78.063924887824001</v>
      </c>
      <c r="AK1978">
        <v>49.566834356914498</v>
      </c>
      <c r="AL1978">
        <v>81.845800103550204</v>
      </c>
      <c r="AM1978">
        <v>94.297244790530101</v>
      </c>
      <c r="AN1978">
        <v>1.0000000132884299</v>
      </c>
    </row>
    <row r="1979" spans="1:40" x14ac:dyDescent="0.25">
      <c r="A1979" t="str">
        <f>"20190304154754486"</f>
        <v>20190304154754486</v>
      </c>
      <c r="B1979" t="str">
        <f>"1551685674478667"</f>
        <v>1551685674478667</v>
      </c>
      <c r="C1979" t="s">
        <v>40</v>
      </c>
      <c r="D1979">
        <v>4.5565790000000002</v>
      </c>
      <c r="E1979">
        <v>0.60806309999999997</v>
      </c>
      <c r="F1979" t="s">
        <v>43</v>
      </c>
      <c r="G1979">
        <v>-169.2955</v>
      </c>
      <c r="H1979">
        <v>0.72091669999999997</v>
      </c>
      <c r="I1979">
        <v>355.48329999999999</v>
      </c>
      <c r="J1979">
        <v>-217.55590000000001</v>
      </c>
      <c r="K1979">
        <v>1.1104339999999999</v>
      </c>
      <c r="L1979">
        <v>366.27870000000001</v>
      </c>
      <c r="M1979">
        <v>0.99986549999999996</v>
      </c>
      <c r="N1979">
        <v>-1.1411569999999999E-2</v>
      </c>
      <c r="O1979">
        <v>-1.1788730000000001E-2</v>
      </c>
      <c r="P1979">
        <v>0.9894771</v>
      </c>
      <c r="Q1979">
        <v>0.1304032</v>
      </c>
      <c r="R1979">
        <v>6.2692650000000003E-2</v>
      </c>
      <c r="S1979">
        <v>3.0788730000000002</v>
      </c>
      <c r="T1979">
        <v>-2.478671E-2</v>
      </c>
      <c r="U1979">
        <v>-0.68719479999999999</v>
      </c>
      <c r="V1979">
        <v>-7.425582E-2</v>
      </c>
      <c r="W1979">
        <v>0.14172860000000001</v>
      </c>
      <c r="X1979">
        <v>0.98711649999999995</v>
      </c>
      <c r="Y1979">
        <v>0.2062995</v>
      </c>
      <c r="Z1979">
        <v>-2.051027E-3</v>
      </c>
      <c r="AA1979">
        <v>0.97848670000000004</v>
      </c>
      <c r="AB1979">
        <v>23</v>
      </c>
      <c r="AC1979">
        <v>48.260399999999997</v>
      </c>
      <c r="AD1979">
        <v>-0.38951730000000001</v>
      </c>
      <c r="AE1979">
        <v>-10.795400000000001</v>
      </c>
      <c r="AF1979">
        <v>10.225049569246799</v>
      </c>
      <c r="AG1979">
        <v>-0.38951730000000001</v>
      </c>
      <c r="AH1979">
        <v>48.381316759763799</v>
      </c>
      <c r="AI1979">
        <v>90.451309028046893</v>
      </c>
      <c r="AJ1979">
        <v>78.066546145139199</v>
      </c>
      <c r="AK1979">
        <v>49.451543695107802</v>
      </c>
      <c r="AL1979">
        <v>81.852114377701497</v>
      </c>
      <c r="AM1979">
        <v>94.301971474496398</v>
      </c>
      <c r="AN1979">
        <v>0.99999995371703998</v>
      </c>
    </row>
    <row r="1980" spans="1:40" x14ac:dyDescent="0.25">
      <c r="A1980" t="str">
        <f>"20190304154754497"</f>
        <v>20190304154754497</v>
      </c>
      <c r="B1980" t="str">
        <f>"1551685674488427"</f>
        <v>1551685674488427</v>
      </c>
      <c r="C1980" t="s">
        <v>40</v>
      </c>
      <c r="D1980">
        <v>4.5718370000000004</v>
      </c>
      <c r="E1980">
        <v>0.60801139999999998</v>
      </c>
      <c r="F1980" t="s">
        <v>43</v>
      </c>
      <c r="G1980">
        <v>-169.2955</v>
      </c>
      <c r="H1980">
        <v>0.65359309999999904</v>
      </c>
      <c r="I1980">
        <v>355.50810000000001</v>
      </c>
      <c r="J1980">
        <v>-217.4444</v>
      </c>
      <c r="K1980">
        <v>1.110419</v>
      </c>
      <c r="L1980">
        <v>366.27719999999999</v>
      </c>
      <c r="M1980">
        <v>0.99986269999999999</v>
      </c>
      <c r="N1980">
        <v>-1.14124E-2</v>
      </c>
      <c r="O1980">
        <v>-1.200888E-2</v>
      </c>
      <c r="P1980">
        <v>0.98951480000000003</v>
      </c>
      <c r="Q1980">
        <v>0.1302799</v>
      </c>
      <c r="R1980">
        <v>6.2352119999999997E-2</v>
      </c>
      <c r="S1980">
        <v>3.0792999999999999</v>
      </c>
      <c r="T1980">
        <v>-2.9143450000000001E-2</v>
      </c>
      <c r="U1980">
        <v>-0.68722530000000004</v>
      </c>
      <c r="V1980">
        <v>-7.4129070000000005E-2</v>
      </c>
      <c r="W1980">
        <v>0.14160919999999999</v>
      </c>
      <c r="X1980">
        <v>0.9871432</v>
      </c>
      <c r="Y1980">
        <v>0.2060603</v>
      </c>
      <c r="Z1980">
        <v>-2.1766509999999999E-3</v>
      </c>
      <c r="AA1980">
        <v>0.97853679999999998</v>
      </c>
      <c r="AB1980">
        <v>23</v>
      </c>
      <c r="AC1980">
        <v>48.148899999999998</v>
      </c>
      <c r="AD1980">
        <v>-0.45682590000000001</v>
      </c>
      <c r="AE1980">
        <v>-10.7690999999999</v>
      </c>
      <c r="AF1980">
        <v>10.1891977788902</v>
      </c>
      <c r="AG1980">
        <v>-0.45682590000000001</v>
      </c>
      <c r="AH1980">
        <v>48.270622623943801</v>
      </c>
      <c r="AI1980">
        <v>90.530532512271506</v>
      </c>
      <c r="AJ1980">
        <v>78.080701190031704</v>
      </c>
      <c r="AK1980">
        <v>49.336410994147599</v>
      </c>
      <c r="AL1980">
        <v>81.859025500897403</v>
      </c>
      <c r="AM1980">
        <v>94.294540051465404</v>
      </c>
      <c r="AN1980">
        <v>0.99999999092497205</v>
      </c>
    </row>
    <row r="1981" spans="1:40" x14ac:dyDescent="0.25">
      <c r="A1981" t="str">
        <f>"20190304154754508"</f>
        <v>20190304154754508</v>
      </c>
      <c r="B1981" t="str">
        <f>"1551685674498187"</f>
        <v>1551685674498187</v>
      </c>
      <c r="C1981" t="s">
        <v>40</v>
      </c>
      <c r="D1981">
        <v>4.5833810000000001</v>
      </c>
      <c r="E1981">
        <v>0.60791340000000005</v>
      </c>
      <c r="F1981" t="s">
        <v>43</v>
      </c>
      <c r="G1981">
        <v>-169.2955</v>
      </c>
      <c r="H1981">
        <v>0.58813289999999996</v>
      </c>
      <c r="I1981">
        <v>355.5179</v>
      </c>
      <c r="J1981">
        <v>-217.32640000000001</v>
      </c>
      <c r="K1981">
        <v>1.1104019999999999</v>
      </c>
      <c r="L1981">
        <v>366.27550000000002</v>
      </c>
      <c r="M1981">
        <v>0.99985990000000002</v>
      </c>
      <c r="N1981">
        <v>-1.1413299999999999E-2</v>
      </c>
      <c r="O1981">
        <v>-1.225098E-2</v>
      </c>
      <c r="P1981">
        <v>0.98951210000000001</v>
      </c>
      <c r="Q1981">
        <v>0.13037449999999901</v>
      </c>
      <c r="R1981">
        <v>6.2197080000000002E-2</v>
      </c>
      <c r="S1981">
        <v>3.0795140000000001</v>
      </c>
      <c r="T1981">
        <v>-3.3398749999999998E-2</v>
      </c>
      <c r="U1981">
        <v>-0.68814090000000006</v>
      </c>
      <c r="V1981">
        <v>-7.4207590000000004E-2</v>
      </c>
      <c r="W1981">
        <v>0.14170650000000001</v>
      </c>
      <c r="X1981">
        <v>0.98712339999999998</v>
      </c>
      <c r="Y1981">
        <v>0.20608170000000001</v>
      </c>
      <c r="Z1981">
        <v>-2.3013299999999999E-3</v>
      </c>
      <c r="AA1981">
        <v>0.97853210000000002</v>
      </c>
      <c r="AB1981">
        <v>23</v>
      </c>
      <c r="AC1981">
        <v>48.030900000000003</v>
      </c>
      <c r="AD1981">
        <v>-0.52226909999999904</v>
      </c>
      <c r="AE1981">
        <v>-10.7576</v>
      </c>
      <c r="AF1981">
        <v>10.167184007088601</v>
      </c>
      <c r="AG1981">
        <v>-0.52226909999999904</v>
      </c>
      <c r="AH1981">
        <v>48.153673214266199</v>
      </c>
      <c r="AI1981">
        <v>90.607995458903801</v>
      </c>
      <c r="AJ1981">
        <v>78.077657009053794</v>
      </c>
      <c r="AK1981">
        <v>49.218092604987802</v>
      </c>
      <c r="AL1981">
        <v>81.853394336532403</v>
      </c>
      <c r="AM1981">
        <v>94.299157835919004</v>
      </c>
      <c r="AN1981">
        <v>1.0000000526916999</v>
      </c>
    </row>
    <row r="1982" spans="1:40" x14ac:dyDescent="0.25">
      <c r="A1982" t="str">
        <f>"20190304154754519"</f>
        <v>20190304154754519</v>
      </c>
      <c r="B1982" t="str">
        <f>"1551685674508924"</f>
        <v>1551685674508924</v>
      </c>
      <c r="C1982" t="s">
        <v>40</v>
      </c>
      <c r="D1982">
        <v>4.5530460000000001</v>
      </c>
      <c r="E1982">
        <v>0.60787309999999894</v>
      </c>
      <c r="F1982" t="s">
        <v>43</v>
      </c>
      <c r="G1982">
        <v>-169.2955</v>
      </c>
      <c r="H1982">
        <v>0.52907090000000001</v>
      </c>
      <c r="I1982">
        <v>355.54239999999999</v>
      </c>
      <c r="J1982">
        <v>-217.21530000000001</v>
      </c>
      <c r="K1982">
        <v>1.1103860000000001</v>
      </c>
      <c r="L1982">
        <v>366.27390000000003</v>
      </c>
      <c r="M1982">
        <v>0.99985679999999999</v>
      </c>
      <c r="N1982">
        <v>-1.1414179999999999E-2</v>
      </c>
      <c r="O1982">
        <v>-1.249606E-2</v>
      </c>
      <c r="P1982">
        <v>0.98952390000000001</v>
      </c>
      <c r="Q1982">
        <v>0.1303047</v>
      </c>
      <c r="R1982">
        <v>6.2155969999999998E-2</v>
      </c>
      <c r="S1982">
        <v>3.079987</v>
      </c>
      <c r="T1982">
        <v>-3.727221E-2</v>
      </c>
      <c r="U1982">
        <v>-0.68826290000000001</v>
      </c>
      <c r="V1982">
        <v>-7.4403609999999995E-2</v>
      </c>
      <c r="W1982">
        <v>0.14164079999999901</v>
      </c>
      <c r="X1982">
        <v>0.98711800000000005</v>
      </c>
      <c r="Y1982">
        <v>0.20584250000000001</v>
      </c>
      <c r="Z1982">
        <v>-2.4111050000000002E-3</v>
      </c>
      <c r="AA1982">
        <v>0.97858210000000001</v>
      </c>
      <c r="AB1982">
        <v>23</v>
      </c>
      <c r="AC1982">
        <v>47.919800000000002</v>
      </c>
      <c r="AD1982">
        <v>-0.58131509999999997</v>
      </c>
      <c r="AE1982">
        <v>-10.7315</v>
      </c>
      <c r="AF1982">
        <v>10.130394693282099</v>
      </c>
      <c r="AG1982">
        <v>-0.58131509999999997</v>
      </c>
      <c r="AH1982">
        <v>48.043435713895903</v>
      </c>
      <c r="AI1982">
        <v>90.678318496347401</v>
      </c>
      <c r="AJ1982">
        <v>78.093086323162098</v>
      </c>
      <c r="AK1982">
        <v>49.103304767422799</v>
      </c>
      <c r="AL1982">
        <v>81.857196426492607</v>
      </c>
      <c r="AM1982">
        <v>94.310494845246694</v>
      </c>
      <c r="AN1982">
        <v>0.999999979664835</v>
      </c>
    </row>
    <row r="1983" spans="1:40" x14ac:dyDescent="0.25">
      <c r="A1983" t="str">
        <f>"20190304154754532"</f>
        <v>20190304154754532</v>
      </c>
      <c r="B1983" t="str">
        <f>"1551685674528443"</f>
        <v>1551685674528443</v>
      </c>
      <c r="C1983" t="s">
        <v>40</v>
      </c>
      <c r="D1983">
        <v>4.5833620000000002</v>
      </c>
      <c r="E1983">
        <v>0.60787340000000001</v>
      </c>
      <c r="F1983" t="s">
        <v>43</v>
      </c>
      <c r="G1983">
        <v>-169.2955</v>
      </c>
      <c r="H1983">
        <v>0.46937849999999998</v>
      </c>
      <c r="I1983">
        <v>355.56990000000002</v>
      </c>
      <c r="J1983">
        <v>-217.09870000000001</v>
      </c>
      <c r="K1983">
        <v>1.110365</v>
      </c>
      <c r="L1983">
        <v>366.27210000000002</v>
      </c>
      <c r="M1983">
        <v>0.99985349999999995</v>
      </c>
      <c r="N1983">
        <v>-1.1415099999999999E-2</v>
      </c>
      <c r="O1983">
        <v>-1.2758800000000001E-2</v>
      </c>
      <c r="P1983">
        <v>0.98956699999999997</v>
      </c>
      <c r="Q1983">
        <v>0.13012770000000001</v>
      </c>
      <c r="R1983">
        <v>6.1839659999999998E-2</v>
      </c>
      <c r="S1983">
        <v>3.0804290000000001</v>
      </c>
      <c r="T1983">
        <v>-4.120016E-2</v>
      </c>
      <c r="U1983">
        <v>-0.68807980000000002</v>
      </c>
      <c r="V1983">
        <v>-7.4342409999999998E-2</v>
      </c>
      <c r="W1983">
        <v>0.1414676</v>
      </c>
      <c r="X1983">
        <v>0.98714749999999996</v>
      </c>
      <c r="Y1983">
        <v>0.2054955</v>
      </c>
      <c r="Z1983">
        <v>-2.5201619999999998E-3</v>
      </c>
      <c r="AA1983">
        <v>0.97865480000000005</v>
      </c>
      <c r="AB1983">
        <v>23</v>
      </c>
      <c r="AC1983">
        <v>47.803199999999997</v>
      </c>
      <c r="AD1983">
        <v>-0.64098650000000001</v>
      </c>
      <c r="AE1983">
        <v>-10.702199999999999</v>
      </c>
      <c r="AF1983">
        <v>10.0896500793156</v>
      </c>
      <c r="AG1983">
        <v>-0.64098650000000001</v>
      </c>
      <c r="AH1983">
        <v>47.9276586113021</v>
      </c>
      <c r="AI1983">
        <v>90.749797754524394</v>
      </c>
      <c r="AJ1983">
        <v>78.111780749638598</v>
      </c>
      <c r="AK1983">
        <v>48.982367872304202</v>
      </c>
      <c r="AL1983">
        <v>81.867221420574793</v>
      </c>
      <c r="AM1983">
        <v>94.306834409101597</v>
      </c>
      <c r="AN1983">
        <v>1.0000000312652999</v>
      </c>
    </row>
    <row r="1984" spans="1:40" x14ac:dyDescent="0.25">
      <c r="A1984" t="str">
        <f>"20190304154754545"</f>
        <v>20190304154754545</v>
      </c>
      <c r="B1984" t="str">
        <f>"1551685674538203"</f>
        <v>1551685674538203</v>
      </c>
      <c r="C1984" t="s">
        <v>40</v>
      </c>
      <c r="D1984">
        <v>4.5408489999999997</v>
      </c>
      <c r="E1984">
        <v>0.60782809999999998</v>
      </c>
      <c r="F1984" t="s">
        <v>43</v>
      </c>
      <c r="G1984">
        <v>-169.2955</v>
      </c>
      <c r="H1984">
        <v>0.35659980000000002</v>
      </c>
      <c r="I1984">
        <v>355.57679999999999</v>
      </c>
      <c r="J1984">
        <v>-216.96260000000001</v>
      </c>
      <c r="K1984">
        <v>1.1103419999999999</v>
      </c>
      <c r="L1984">
        <v>366.27010000000001</v>
      </c>
      <c r="M1984">
        <v>0.99984919999999999</v>
      </c>
      <c r="N1984">
        <v>-1.1416219999999999E-2</v>
      </c>
      <c r="O1984">
        <v>-1.309459E-2</v>
      </c>
      <c r="P1984">
        <v>0.98958780000000002</v>
      </c>
      <c r="Q1984">
        <v>0.12992899999999999</v>
      </c>
      <c r="R1984">
        <v>6.1925359999999999E-2</v>
      </c>
      <c r="S1984">
        <v>3.0811160000000002</v>
      </c>
      <c r="T1984">
        <v>-4.8577549999999997E-2</v>
      </c>
      <c r="U1984">
        <v>-0.68936160000000002</v>
      </c>
      <c r="V1984">
        <v>-7.4753059999999996E-2</v>
      </c>
      <c r="W1984">
        <v>0.1412745</v>
      </c>
      <c r="X1984">
        <v>0.98714409999999997</v>
      </c>
      <c r="Y1984">
        <v>0.20549870000000001</v>
      </c>
      <c r="Z1984">
        <v>-2.7314700000000002E-3</v>
      </c>
      <c r="AA1984">
        <v>0.97865360000000001</v>
      </c>
      <c r="AB1984">
        <v>23</v>
      </c>
      <c r="AC1984">
        <v>47.667099999999998</v>
      </c>
      <c r="AD1984">
        <v>-0.75374219999999903</v>
      </c>
      <c r="AE1984">
        <v>-10.693300000000001</v>
      </c>
      <c r="AF1984">
        <v>10.0657650749592</v>
      </c>
      <c r="AG1984">
        <v>-0.75374219999999903</v>
      </c>
      <c r="AH1984">
        <v>47.791668853076402</v>
      </c>
      <c r="AI1984">
        <v>90.884165830196594</v>
      </c>
      <c r="AJ1984">
        <v>78.106335567475099</v>
      </c>
      <c r="AK1984">
        <v>48.845996413323803</v>
      </c>
      <c r="AL1984">
        <v>81.878397136458901</v>
      </c>
      <c r="AM1984">
        <v>94.330548957079799</v>
      </c>
      <c r="AN1984">
        <v>0.99999998924721101</v>
      </c>
    </row>
    <row r="1985" spans="1:40" x14ac:dyDescent="0.25">
      <c r="A1985" t="str">
        <f>"20190304154754558"</f>
        <v>20190304154754558</v>
      </c>
      <c r="B1985" t="str">
        <f>"1551685674548940"</f>
        <v>1551685674548940</v>
      </c>
      <c r="C1985" t="s">
        <v>40</v>
      </c>
      <c r="D1985">
        <v>4.5309119999999998</v>
      </c>
      <c r="E1985">
        <v>0.60785469999999997</v>
      </c>
      <c r="F1985" t="s">
        <v>43</v>
      </c>
      <c r="G1985">
        <v>-169.2955</v>
      </c>
      <c r="H1985">
        <v>0.29780099999999998</v>
      </c>
      <c r="I1985">
        <v>355.61329999999998</v>
      </c>
      <c r="J1985">
        <v>-216.8322</v>
      </c>
      <c r="K1985">
        <v>1.11032</v>
      </c>
      <c r="L1985">
        <v>366.26799999999997</v>
      </c>
      <c r="M1985">
        <v>0.99984459999999997</v>
      </c>
      <c r="N1985">
        <v>-1.141733E-2</v>
      </c>
      <c r="O1985">
        <v>-1.3431190000000001E-2</v>
      </c>
      <c r="P1985">
        <v>0.9895796</v>
      </c>
      <c r="Q1985">
        <v>0.13007650000000001</v>
      </c>
      <c r="R1985">
        <v>6.1744689999999998E-2</v>
      </c>
      <c r="S1985">
        <v>3.0815730000000001</v>
      </c>
      <c r="T1985">
        <v>-5.2523260000000002E-2</v>
      </c>
      <c r="U1985">
        <v>-0.6889343</v>
      </c>
      <c r="V1985">
        <v>-7.4897329999999998E-2</v>
      </c>
      <c r="W1985">
        <v>0.141427</v>
      </c>
      <c r="X1985">
        <v>0.98711130000000002</v>
      </c>
      <c r="Y1985">
        <v>0.20500360000000001</v>
      </c>
      <c r="Z1985">
        <v>-2.8359040000000002E-3</v>
      </c>
      <c r="AA1985">
        <v>0.97875710000000005</v>
      </c>
      <c r="AB1985">
        <v>23</v>
      </c>
      <c r="AC1985">
        <v>47.536700000000003</v>
      </c>
      <c r="AD1985">
        <v>-0.81251899999999999</v>
      </c>
      <c r="AE1985">
        <v>-10.6547</v>
      </c>
      <c r="AF1985">
        <v>10.012437485976401</v>
      </c>
      <c r="AG1985">
        <v>-0.81251899999999999</v>
      </c>
      <c r="AH1985">
        <v>47.662267582035703</v>
      </c>
      <c r="AI1985">
        <v>90.955793252803701</v>
      </c>
      <c r="AJ1985">
        <v>78.136350922019304</v>
      </c>
      <c r="AK1985">
        <v>48.709350669019599</v>
      </c>
      <c r="AL1985">
        <v>81.869570691836202</v>
      </c>
      <c r="AM1985">
        <v>94.339018456445203</v>
      </c>
      <c r="AN1985">
        <v>0.99999996247890799</v>
      </c>
    </row>
    <row r="1986" spans="1:40" x14ac:dyDescent="0.25">
      <c r="A1986" t="str">
        <f>"20190304154754570"</f>
        <v>20190304154754570</v>
      </c>
      <c r="B1986" t="str">
        <f>"1551685674558699"</f>
        <v>1551685674558699</v>
      </c>
      <c r="C1986" t="s">
        <v>40</v>
      </c>
      <c r="D1986">
        <v>4.5137809999999998</v>
      </c>
      <c r="E1986">
        <v>0.60775409999999996</v>
      </c>
      <c r="F1986" t="s">
        <v>43</v>
      </c>
      <c r="G1986">
        <v>-169.2955</v>
      </c>
      <c r="H1986">
        <v>0.25702950000000002</v>
      </c>
      <c r="I1986">
        <v>355.62560000000002</v>
      </c>
      <c r="J1986">
        <v>-216.70259999999999</v>
      </c>
      <c r="K1986">
        <v>1.1102909999999999</v>
      </c>
      <c r="L1986">
        <v>366.26589999999999</v>
      </c>
      <c r="M1986">
        <v>0.99983999999999995</v>
      </c>
      <c r="N1986">
        <v>-1.141846E-2</v>
      </c>
      <c r="O1986">
        <v>-1.3781160000000001E-2</v>
      </c>
      <c r="P1986">
        <v>0.9896045</v>
      </c>
      <c r="Q1986">
        <v>0.12991359999999999</v>
      </c>
      <c r="R1986">
        <v>6.1690639999999998E-2</v>
      </c>
      <c r="S1986">
        <v>3.0819399999999999</v>
      </c>
      <c r="T1986">
        <v>-5.5315379999999997E-2</v>
      </c>
      <c r="U1986">
        <v>-0.68997189999999997</v>
      </c>
      <c r="V1986">
        <v>-7.5182379999999993E-2</v>
      </c>
      <c r="W1986">
        <v>0.14126929999999999</v>
      </c>
      <c r="X1986">
        <v>0.9871122</v>
      </c>
      <c r="Y1986">
        <v>0.20494599999999999</v>
      </c>
      <c r="Z1986">
        <v>-2.9124569999999998E-3</v>
      </c>
      <c r="AA1986">
        <v>0.97876890000000005</v>
      </c>
      <c r="AB1986">
        <v>23</v>
      </c>
      <c r="AC1986">
        <v>47.4070999999999</v>
      </c>
      <c r="AD1986">
        <v>-0.85326149999999901</v>
      </c>
      <c r="AE1986">
        <v>-10.6402999999999</v>
      </c>
      <c r="AF1986">
        <v>9.9828432576222905</v>
      </c>
      <c r="AG1986">
        <v>-0.85326149999999901</v>
      </c>
      <c r="AH1986">
        <v>47.534582337151299</v>
      </c>
      <c r="AI1986">
        <v>91.0064178152967</v>
      </c>
      <c r="AJ1986">
        <v>78.139550190154907</v>
      </c>
      <c r="AK1986">
        <v>48.579025645447601</v>
      </c>
      <c r="AL1986">
        <v>81.878697775130604</v>
      </c>
      <c r="AM1986">
        <v>94.355464844971905</v>
      </c>
      <c r="AN1986">
        <v>0.99999995038689604</v>
      </c>
    </row>
    <row r="1987" spans="1:40" x14ac:dyDescent="0.25">
      <c r="A1987" t="str">
        <f>"20190304154754586"</f>
        <v>20190304154754586</v>
      </c>
      <c r="B1987" t="str">
        <f>"1551685674578219"</f>
        <v>1551685674578219</v>
      </c>
      <c r="C1987" t="s">
        <v>40</v>
      </c>
      <c r="D1987">
        <v>4.5693830000000002</v>
      </c>
      <c r="E1987">
        <v>0.60774629999999996</v>
      </c>
      <c r="F1987" t="s">
        <v>43</v>
      </c>
      <c r="G1987">
        <v>-169.2955</v>
      </c>
      <c r="H1987">
        <v>0.2118235</v>
      </c>
      <c r="I1987">
        <v>355.66219999999998</v>
      </c>
      <c r="J1987">
        <v>-216.55439999999999</v>
      </c>
      <c r="K1987">
        <v>1.110263</v>
      </c>
      <c r="L1987">
        <v>366.26339999999999</v>
      </c>
      <c r="M1987">
        <v>0.99983379999999999</v>
      </c>
      <c r="N1987">
        <v>-1.14197E-2</v>
      </c>
      <c r="O1987">
        <v>-1.4216670000000001E-2</v>
      </c>
      <c r="P1987">
        <v>0.98965669999999994</v>
      </c>
      <c r="Q1987">
        <v>0.12974430000000001</v>
      </c>
      <c r="R1987">
        <v>6.1206040000000003E-2</v>
      </c>
      <c r="S1987">
        <v>3.0821529999999999</v>
      </c>
      <c r="T1987">
        <v>-5.840766E-2</v>
      </c>
      <c r="U1987">
        <v>-0.68939209999999995</v>
      </c>
      <c r="V1987">
        <v>-7.5120140000000002E-2</v>
      </c>
      <c r="W1987">
        <v>0.1411065</v>
      </c>
      <c r="X1987">
        <v>0.98714029999999997</v>
      </c>
      <c r="Y1987">
        <v>0.20432529999999999</v>
      </c>
      <c r="Z1987">
        <v>-2.9877760000000001E-3</v>
      </c>
      <c r="AA1987">
        <v>0.9788985</v>
      </c>
      <c r="AB1987">
        <v>23</v>
      </c>
      <c r="AC1987">
        <v>47.258899999999898</v>
      </c>
      <c r="AD1987">
        <v>-0.89843949999999995</v>
      </c>
      <c r="AE1987">
        <v>-10.6012</v>
      </c>
      <c r="AF1987">
        <v>9.9248053768352804</v>
      </c>
      <c r="AG1987">
        <v>-0.89843949999999995</v>
      </c>
      <c r="AH1987">
        <v>47.388540331003199</v>
      </c>
      <c r="AI1987">
        <v>91.063081513800995</v>
      </c>
      <c r="AJ1987">
        <v>78.171244917906805</v>
      </c>
      <c r="AK1987">
        <v>48.425021528196901</v>
      </c>
      <c r="AL1987">
        <v>81.888120527898195</v>
      </c>
      <c r="AM1987">
        <v>94.3517496105258</v>
      </c>
      <c r="AN1987">
        <v>1.0000000258299699</v>
      </c>
    </row>
    <row r="1988" spans="1:40" x14ac:dyDescent="0.25">
      <c r="A1988" t="str">
        <f>"20190304154754596"</f>
        <v>20190304154754596</v>
      </c>
      <c r="B1988" t="str">
        <f>"1551685674588955"</f>
        <v>1551685674588955</v>
      </c>
      <c r="C1988" t="s">
        <v>40</v>
      </c>
      <c r="D1988">
        <v>4.5633879999999998</v>
      </c>
      <c r="E1988">
        <v>0.60771699999999995</v>
      </c>
      <c r="F1988" t="s">
        <v>43</v>
      </c>
      <c r="G1988">
        <v>-169.2955</v>
      </c>
      <c r="H1988">
        <v>0.1221762</v>
      </c>
      <c r="I1988">
        <v>355.66629999999998</v>
      </c>
      <c r="J1988">
        <v>-216.4391</v>
      </c>
      <c r="K1988">
        <v>1.1102399999999999</v>
      </c>
      <c r="L1988">
        <v>366.26139999999998</v>
      </c>
      <c r="M1988">
        <v>0.99982859999999996</v>
      </c>
      <c r="N1988">
        <v>-1.1420700000000001E-2</v>
      </c>
      <c r="O1988">
        <v>-1.4573559999999999E-2</v>
      </c>
      <c r="P1988">
        <v>0.9897435</v>
      </c>
      <c r="Q1988">
        <v>0.12958030000000001</v>
      </c>
      <c r="R1988">
        <v>6.0141409999999999E-2</v>
      </c>
      <c r="S1988">
        <v>3.0825809999999998</v>
      </c>
      <c r="T1988">
        <v>-6.4444539999999995E-2</v>
      </c>
      <c r="U1988">
        <v>-0.69122309999999998</v>
      </c>
      <c r="V1988">
        <v>-7.4402570000000001E-2</v>
      </c>
      <c r="W1988">
        <v>0.14094779999999901</v>
      </c>
      <c r="X1988">
        <v>0.98721729999999996</v>
      </c>
      <c r="Y1988">
        <v>0.20449110000000001</v>
      </c>
      <c r="Z1988">
        <v>-3.1570700000000001E-3</v>
      </c>
      <c r="AA1988">
        <v>0.97886340000000005</v>
      </c>
      <c r="AB1988">
        <v>23</v>
      </c>
      <c r="AC1988">
        <v>47.1435999999999</v>
      </c>
      <c r="AD1988">
        <v>-0.98806380000000005</v>
      </c>
      <c r="AE1988">
        <v>-10.5951</v>
      </c>
      <c r="AF1988">
        <v>9.9027390151845491</v>
      </c>
      <c r="AG1988">
        <v>-0.98806380000000005</v>
      </c>
      <c r="AH1988">
        <v>47.273244111237901</v>
      </c>
      <c r="AI1988">
        <v>91.171941882707102</v>
      </c>
      <c r="AJ1988">
        <v>78.168829106924903</v>
      </c>
      <c r="AK1988">
        <v>48.309420601746197</v>
      </c>
      <c r="AL1988">
        <v>81.897305041307803</v>
      </c>
      <c r="AM1988">
        <v>94.310002886499802</v>
      </c>
      <c r="AN1988">
        <v>1.00000001108336</v>
      </c>
    </row>
    <row r="1989" spans="1:40" x14ac:dyDescent="0.25">
      <c r="A1989" t="str">
        <f>"20190304154754619"</f>
        <v>20190304154754619</v>
      </c>
      <c r="B1989" t="str">
        <f>"1551685674608475"</f>
        <v>1551685674608475</v>
      </c>
      <c r="C1989" t="s">
        <v>40</v>
      </c>
      <c r="D1989">
        <v>4.5226230000000003</v>
      </c>
      <c r="E1989">
        <v>0.60777119999999996</v>
      </c>
      <c r="F1989" t="s">
        <v>43</v>
      </c>
      <c r="G1989">
        <v>-169.2955</v>
      </c>
      <c r="H1989">
        <v>7.9767229999999995E-2</v>
      </c>
      <c r="I1989">
        <v>355.63299999999998</v>
      </c>
      <c r="J1989">
        <v>-216.2131</v>
      </c>
      <c r="K1989">
        <v>1.1101920000000001</v>
      </c>
      <c r="L1989">
        <v>366.25720000000001</v>
      </c>
      <c r="M1989">
        <v>0.99981730000000002</v>
      </c>
      <c r="N1989">
        <v>-1.142282E-2</v>
      </c>
      <c r="O1989">
        <v>-1.533317E-2</v>
      </c>
      <c r="P1989">
        <v>0.98994459999999995</v>
      </c>
      <c r="Q1989">
        <v>0.12917819999999999</v>
      </c>
      <c r="R1989">
        <v>5.7643449999999999E-2</v>
      </c>
      <c r="S1989">
        <v>3.082138</v>
      </c>
      <c r="T1989">
        <v>-6.7364099999999996E-2</v>
      </c>
      <c r="U1989">
        <v>-0.69485469999999905</v>
      </c>
      <c r="V1989">
        <v>-7.2642680000000001E-2</v>
      </c>
      <c r="W1989">
        <v>0.1405565</v>
      </c>
      <c r="X1989">
        <v>0.98740410000000001</v>
      </c>
      <c r="Y1989">
        <v>0.20487030000000001</v>
      </c>
      <c r="Z1989">
        <v>-3.2379660000000001E-3</v>
      </c>
      <c r="AA1989">
        <v>0.97878379999999998</v>
      </c>
      <c r="AB1989">
        <v>23</v>
      </c>
      <c r="AC1989">
        <v>46.917599999999901</v>
      </c>
      <c r="AD1989">
        <v>-1.03042477</v>
      </c>
      <c r="AE1989">
        <v>-10.624199999999901</v>
      </c>
      <c r="AF1989">
        <v>9.8989666005350898</v>
      </c>
      <c r="AG1989">
        <v>-1.03042477</v>
      </c>
      <c r="AH1989">
        <v>47.053407802528803</v>
      </c>
      <c r="AI1989">
        <v>91.227657844797804</v>
      </c>
      <c r="AJ1989">
        <v>78.119520496175696</v>
      </c>
      <c r="AK1989">
        <v>48.094433158071602</v>
      </c>
      <c r="AL1989">
        <v>81.919950004103399</v>
      </c>
      <c r="AM1989">
        <v>94.207633107656903</v>
      </c>
      <c r="AN1989">
        <v>0.99999997267331997</v>
      </c>
    </row>
    <row r="1990" spans="1:40" x14ac:dyDescent="0.25">
      <c r="A1990" t="str">
        <f>"20190304154754629"</f>
        <v>20190304154754629</v>
      </c>
      <c r="B1990" t="str">
        <f>"1551685674618236"</f>
        <v>1551685674618236</v>
      </c>
      <c r="C1990" t="s">
        <v>40</v>
      </c>
      <c r="D1990">
        <v>4.538672</v>
      </c>
      <c r="E1990">
        <v>0.60776280000000005</v>
      </c>
      <c r="F1990" t="s">
        <v>45</v>
      </c>
      <c r="G1990">
        <v>-165.43860000000001</v>
      </c>
      <c r="H1990">
        <v>-0.05</v>
      </c>
      <c r="I1990">
        <v>354.66480000000001</v>
      </c>
      <c r="J1990">
        <v>-216.10390000000001</v>
      </c>
      <c r="K1990">
        <v>1.1101669999999999</v>
      </c>
      <c r="L1990">
        <v>366.25510000000003</v>
      </c>
      <c r="M1990">
        <v>0.99981120000000001</v>
      </c>
      <c r="N1990">
        <v>-1.1423869999999999E-2</v>
      </c>
      <c r="O1990">
        <v>-1.5722050000000001E-2</v>
      </c>
      <c r="P1990">
        <v>0.99002310000000004</v>
      </c>
      <c r="Q1990">
        <v>0.12910479999999999</v>
      </c>
      <c r="R1990">
        <v>5.645037E-2</v>
      </c>
      <c r="S1990">
        <v>3.0806119999999999</v>
      </c>
      <c r="T1990">
        <v>-7.0391770000000006E-2</v>
      </c>
      <c r="U1990">
        <v>-0.70333859999999904</v>
      </c>
      <c r="V1990">
        <v>-7.1827879999999997E-2</v>
      </c>
      <c r="W1990">
        <v>0.140488</v>
      </c>
      <c r="X1990">
        <v>0.9874735</v>
      </c>
      <c r="Y1990">
        <v>0.20715040000000001</v>
      </c>
      <c r="Z1990">
        <v>-3.357788E-3</v>
      </c>
      <c r="AA1990">
        <v>0.97830340000000005</v>
      </c>
      <c r="AB1990">
        <v>23</v>
      </c>
      <c r="AC1990">
        <v>50.665300000000002</v>
      </c>
      <c r="AD1990">
        <v>-1.1601669999999999</v>
      </c>
      <c r="AE1990">
        <v>-11.590299999999999</v>
      </c>
      <c r="AF1990">
        <v>10.7868781441938</v>
      </c>
      <c r="AG1990">
        <v>-1.1601669999999999</v>
      </c>
      <c r="AH1990">
        <v>50.815951962120003</v>
      </c>
      <c r="AI1990">
        <v>91.279382095242696</v>
      </c>
      <c r="AJ1990">
        <v>78.015520041138004</v>
      </c>
      <c r="AK1990">
        <v>51.961174942278397</v>
      </c>
      <c r="AL1990">
        <v>81.923914466008995</v>
      </c>
      <c r="AM1990">
        <v>94.160313283197098</v>
      </c>
      <c r="AN1990">
        <v>1.00000001784577</v>
      </c>
    </row>
    <row r="1991" spans="1:40" x14ac:dyDescent="0.25">
      <c r="A1991" t="str">
        <f>"20190304154754675"</f>
        <v>20190304154754675</v>
      </c>
      <c r="B1991" t="str">
        <f>"1551685674668988"</f>
        <v>1551685674668988</v>
      </c>
      <c r="C1991" t="s">
        <v>40</v>
      </c>
      <c r="D1991">
        <v>4.5672779999999999</v>
      </c>
      <c r="E1991">
        <v>0.60781499999999999</v>
      </c>
      <c r="F1991" t="s">
        <v>45</v>
      </c>
      <c r="G1991">
        <v>-166.99180000000001</v>
      </c>
      <c r="H1991">
        <v>-0.05</v>
      </c>
      <c r="I1991">
        <v>354.976</v>
      </c>
      <c r="J1991">
        <v>-215.64660000000001</v>
      </c>
      <c r="K1991">
        <v>1.1100559999999999</v>
      </c>
      <c r="L1991">
        <v>366.24549999999999</v>
      </c>
      <c r="M1991">
        <v>0.9997798</v>
      </c>
      <c r="N1991">
        <v>-1.142891E-2</v>
      </c>
      <c r="O1991">
        <v>-1.760198E-2</v>
      </c>
      <c r="P1991">
        <v>0.99026700000000001</v>
      </c>
      <c r="Q1991">
        <v>0.12958519999999901</v>
      </c>
      <c r="R1991">
        <v>5.0784950000000002E-2</v>
      </c>
      <c r="S1991">
        <v>3.080063</v>
      </c>
      <c r="T1991">
        <v>-7.2759749999999998E-2</v>
      </c>
      <c r="U1991">
        <v>-0.70736690000000002</v>
      </c>
      <c r="V1991">
        <v>-6.7986770000000002E-2</v>
      </c>
      <c r="W1991">
        <v>0.1409899</v>
      </c>
      <c r="X1991">
        <v>0.98767389999999999</v>
      </c>
      <c r="Y1991">
        <v>0.20656060000000001</v>
      </c>
      <c r="Z1991">
        <v>-3.3924210000000001E-3</v>
      </c>
      <c r="AA1991">
        <v>0.97842790000000002</v>
      </c>
      <c r="AB1991">
        <v>23</v>
      </c>
      <c r="AC1991">
        <v>48.654800000000002</v>
      </c>
      <c r="AD1991">
        <v>-1.160056</v>
      </c>
      <c r="AE1991">
        <v>-11.269499999999899</v>
      </c>
      <c r="AF1991">
        <v>10.4056630063785</v>
      </c>
      <c r="AG1991">
        <v>-1.160056</v>
      </c>
      <c r="AH1991">
        <v>48.819300357914599</v>
      </c>
      <c r="AI1991">
        <v>91.331325006175106</v>
      </c>
      <c r="AJ1991">
        <v>77.967664027465503</v>
      </c>
      <c r="AK1991">
        <v>49.9294265935604</v>
      </c>
      <c r="AL1991">
        <v>81.894868816920606</v>
      </c>
      <c r="AM1991">
        <v>93.937757163674107</v>
      </c>
      <c r="AN1991">
        <v>1.00000004276912</v>
      </c>
    </row>
    <row r="1992" spans="1:40" x14ac:dyDescent="0.25">
      <c r="A1992" t="str">
        <f>"20190304154754729"</f>
        <v>20190304154754729</v>
      </c>
      <c r="B1992" t="str">
        <f>"1551685674718763"</f>
        <v>1551685674718763</v>
      </c>
      <c r="C1992" t="s">
        <v>40</v>
      </c>
      <c r="D1992">
        <v>4.5366229999999996</v>
      </c>
      <c r="E1992">
        <v>0.60784629999999995</v>
      </c>
      <c r="F1992" t="s">
        <v>45</v>
      </c>
      <c r="G1992">
        <v>-166.2081</v>
      </c>
      <c r="H1992">
        <v>-0.05</v>
      </c>
      <c r="I1992">
        <v>354.56970000000001</v>
      </c>
      <c r="J1992">
        <v>-215.08699999999999</v>
      </c>
      <c r="K1992">
        <v>1.109909</v>
      </c>
      <c r="L1992">
        <v>366.2321</v>
      </c>
      <c r="M1992">
        <v>0.99972649999999996</v>
      </c>
      <c r="N1992">
        <v>-1.143598E-2</v>
      </c>
      <c r="O1992">
        <v>-2.0403609999999999E-2</v>
      </c>
      <c r="P1992">
        <v>0.99059960000000002</v>
      </c>
      <c r="Q1992">
        <v>0.1295424</v>
      </c>
      <c r="R1992">
        <v>4.394969E-2</v>
      </c>
      <c r="S1992">
        <v>3.0762019999999999</v>
      </c>
      <c r="T1992">
        <v>-7.218194E-2</v>
      </c>
      <c r="U1992">
        <v>-0.72650150000000002</v>
      </c>
      <c r="V1992">
        <v>-6.3880049999999994E-2</v>
      </c>
      <c r="W1992">
        <v>0.1409743</v>
      </c>
      <c r="X1992">
        <v>0.9879502</v>
      </c>
      <c r="Y1992">
        <v>0.20985770000000001</v>
      </c>
      <c r="Z1992">
        <v>-3.4033259999999999E-3</v>
      </c>
      <c r="AA1992">
        <v>0.97772599999999998</v>
      </c>
      <c r="AB1992">
        <v>23</v>
      </c>
      <c r="AC1992">
        <v>48.878900000000002</v>
      </c>
      <c r="AD1992">
        <v>-1.1599090000000001</v>
      </c>
      <c r="AE1992">
        <v>-11.6623999999999</v>
      </c>
      <c r="AF1992">
        <v>10.656922763835</v>
      </c>
      <c r="AG1992">
        <v>-1.1599090000000001</v>
      </c>
      <c r="AH1992">
        <v>49.080544081308098</v>
      </c>
      <c r="AI1992">
        <v>91.322989410150001</v>
      </c>
      <c r="AJ1992">
        <v>77.749451465951495</v>
      </c>
      <c r="AK1992">
        <v>50.237587511741197</v>
      </c>
      <c r="AL1992">
        <v>81.895771347295707</v>
      </c>
      <c r="AM1992">
        <v>93.699548164939799</v>
      </c>
      <c r="AN1992">
        <v>1.00000000586426</v>
      </c>
    </row>
    <row r="1993" spans="1:40" x14ac:dyDescent="0.25">
      <c r="A1993" t="str">
        <f>"20190304154754744"</f>
        <v>20190304154754744</v>
      </c>
      <c r="B1993" t="str">
        <f>"1551685674738283"</f>
        <v>1551685674738283</v>
      </c>
      <c r="C1993" t="s">
        <v>40</v>
      </c>
      <c r="D1993">
        <v>4.5826339999999997</v>
      </c>
      <c r="E1993">
        <v>0.60789759999999904</v>
      </c>
      <c r="F1993" t="s">
        <v>45</v>
      </c>
      <c r="G1993">
        <v>-166.86</v>
      </c>
      <c r="H1993">
        <v>-0.05</v>
      </c>
      <c r="I1993">
        <v>354.47370000000001</v>
      </c>
      <c r="J1993">
        <v>-214.95339999999999</v>
      </c>
      <c r="K1993">
        <v>1.1098699999999999</v>
      </c>
      <c r="L1993">
        <v>366.22859999999997</v>
      </c>
      <c r="M1993">
        <v>0.9997106</v>
      </c>
      <c r="N1993">
        <v>-1.143778E-2</v>
      </c>
      <c r="O1993">
        <v>-2.1170959999999999E-2</v>
      </c>
      <c r="P1993">
        <v>0.99065550000000002</v>
      </c>
      <c r="Q1993">
        <v>0.1296204</v>
      </c>
      <c r="R1993">
        <v>4.2432829999999998E-2</v>
      </c>
      <c r="S1993">
        <v>3.0713499999999998</v>
      </c>
      <c r="T1993">
        <v>-7.3869110000000002E-2</v>
      </c>
      <c r="U1993">
        <v>-0.74884030000000001</v>
      </c>
      <c r="V1993">
        <v>-6.3110920000000001E-2</v>
      </c>
      <c r="W1993">
        <v>0.1410583</v>
      </c>
      <c r="X1993">
        <v>0.98798759999999997</v>
      </c>
      <c r="Y1993">
        <v>0.216166</v>
      </c>
      <c r="Z1993">
        <v>-3.553395E-3</v>
      </c>
      <c r="AA1993">
        <v>0.97635019999999995</v>
      </c>
      <c r="AB1993">
        <v>23</v>
      </c>
      <c r="AC1993">
        <v>48.093399999999903</v>
      </c>
      <c r="AD1993">
        <v>-1.15987</v>
      </c>
      <c r="AE1993">
        <v>-11.7548999999999</v>
      </c>
      <c r="AF1993">
        <v>10.7281270785438</v>
      </c>
      <c r="AG1993">
        <v>-1.15987</v>
      </c>
      <c r="AH1993">
        <v>48.304986322080701</v>
      </c>
      <c r="AI1993">
        <v>91.342782053775295</v>
      </c>
      <c r="AJ1993">
        <v>77.478329621339498</v>
      </c>
      <c r="AK1993">
        <v>49.495552452787997</v>
      </c>
      <c r="AL1993">
        <v>81.890909589263103</v>
      </c>
      <c r="AM1993">
        <v>93.654988279618493</v>
      </c>
      <c r="AN1993">
        <v>0.99999996498794697</v>
      </c>
    </row>
    <row r="1994" spans="1:40" x14ac:dyDescent="0.25">
      <c r="A1994" t="str">
        <f>"20190304154754757"</f>
        <v>20190304154754757</v>
      </c>
      <c r="B1994" t="str">
        <f>"1551685674749021"</f>
        <v>1551685674749021</v>
      </c>
      <c r="C1994" t="s">
        <v>40</v>
      </c>
      <c r="D1994">
        <v>4.5574309999999896</v>
      </c>
      <c r="E1994">
        <v>0.60790929999999999</v>
      </c>
      <c r="F1994" t="s">
        <v>45</v>
      </c>
      <c r="G1994">
        <v>-169.77119999999999</v>
      </c>
      <c r="H1994">
        <v>-0.05</v>
      </c>
      <c r="I1994">
        <v>355.13290000000001</v>
      </c>
      <c r="J1994">
        <v>-214.81229999999999</v>
      </c>
      <c r="K1994">
        <v>1.1098300000000001</v>
      </c>
      <c r="L1994">
        <v>366.22469999999998</v>
      </c>
      <c r="M1994">
        <v>0.99969229999999998</v>
      </c>
      <c r="N1994">
        <v>-1.143974E-2</v>
      </c>
      <c r="O1994">
        <v>-2.201084E-2</v>
      </c>
      <c r="P1994">
        <v>0.99072780000000005</v>
      </c>
      <c r="Q1994">
        <v>0.12953819999999999</v>
      </c>
      <c r="R1994">
        <v>4.0967320000000002E-2</v>
      </c>
      <c r="S1994">
        <v>3.0709379999999999</v>
      </c>
      <c r="T1994">
        <v>-7.8833819999999999E-2</v>
      </c>
      <c r="U1994">
        <v>-0.7541504</v>
      </c>
      <c r="V1994">
        <v>-6.2465680000000003E-2</v>
      </c>
      <c r="W1994">
        <v>0.14098369999999999</v>
      </c>
      <c r="X1994">
        <v>0.98803929999999995</v>
      </c>
      <c r="Y1994">
        <v>0.2169586</v>
      </c>
      <c r="Z1994">
        <v>-3.6950419999999999E-3</v>
      </c>
      <c r="AA1994">
        <v>0.97617379999999998</v>
      </c>
      <c r="AB1994">
        <v>23</v>
      </c>
      <c r="AC1994">
        <v>45.0411</v>
      </c>
      <c r="AD1994">
        <v>-1.1598299999999999</v>
      </c>
      <c r="AE1994">
        <v>-11.0917999999999</v>
      </c>
      <c r="AF1994">
        <v>10.091346307467701</v>
      </c>
      <c r="AG1994">
        <v>-1.1598299999999999</v>
      </c>
      <c r="AH1994">
        <v>45.246055692819802</v>
      </c>
      <c r="AI1994">
        <v>91.433190911596</v>
      </c>
      <c r="AJ1994">
        <v>77.426952618489594</v>
      </c>
      <c r="AK1994">
        <v>46.372254977345001</v>
      </c>
      <c r="AL1994">
        <v>81.895227380433198</v>
      </c>
      <c r="AM1994">
        <v>93.617530983065294</v>
      </c>
      <c r="AN1994">
        <v>1.00000001159402</v>
      </c>
    </row>
    <row r="1995" spans="1:40" x14ac:dyDescent="0.25">
      <c r="A1995" t="str">
        <f>"20190304154754769"</f>
        <v>20190304154754769</v>
      </c>
      <c r="B1995" t="str">
        <f>"1551685674758779"</f>
        <v>1551685674758779</v>
      </c>
      <c r="C1995" t="s">
        <v>40</v>
      </c>
      <c r="D1995">
        <v>4.5730870000000001</v>
      </c>
      <c r="E1995">
        <v>0.60790509999999998</v>
      </c>
      <c r="F1995" t="s">
        <v>53</v>
      </c>
      <c r="G1995">
        <v>-175.89859999999999</v>
      </c>
      <c r="H1995">
        <v>7.998806E-2</v>
      </c>
      <c r="I1995">
        <v>356.60309999999998</v>
      </c>
      <c r="J1995">
        <v>-214.68270000000001</v>
      </c>
      <c r="K1995">
        <v>1.109793</v>
      </c>
      <c r="L1995">
        <v>366.221</v>
      </c>
      <c r="M1995">
        <v>0.99967439999999996</v>
      </c>
      <c r="N1995">
        <v>-1.144162E-2</v>
      </c>
      <c r="O1995">
        <v>-2.2813489999999999E-2</v>
      </c>
      <c r="P1995">
        <v>0.99080109999999999</v>
      </c>
      <c r="Q1995">
        <v>0.12943460000000001</v>
      </c>
      <c r="R1995">
        <v>3.9501830000000002E-2</v>
      </c>
      <c r="S1995">
        <v>3.0700989999999999</v>
      </c>
      <c r="T1995">
        <v>-8.1249479999999999E-2</v>
      </c>
      <c r="U1995">
        <v>-0.75909419999999905</v>
      </c>
      <c r="V1995">
        <v>-6.1784329999999998E-2</v>
      </c>
      <c r="W1995">
        <v>0.14088689999999901</v>
      </c>
      <c r="X1995">
        <v>0.98809590000000003</v>
      </c>
      <c r="Y1995">
        <v>0.2177134</v>
      </c>
      <c r="Z1995">
        <v>-3.7650629999999999E-3</v>
      </c>
      <c r="AA1995">
        <v>0.97600549999999997</v>
      </c>
      <c r="AB1995">
        <v>23</v>
      </c>
      <c r="AC1995">
        <v>38.784100000000002</v>
      </c>
      <c r="AD1995">
        <v>-1.02980494</v>
      </c>
      <c r="AE1995">
        <v>-9.6179000000000094</v>
      </c>
      <c r="AF1995">
        <v>8.7247432526093807</v>
      </c>
      <c r="AG1995">
        <v>-1.02980494</v>
      </c>
      <c r="AH1995">
        <v>38.9675555195955</v>
      </c>
      <c r="AI1995">
        <v>91.477258942222505</v>
      </c>
      <c r="AJ1995">
        <v>77.3797484777036</v>
      </c>
      <c r="AK1995">
        <v>39.9456133537984</v>
      </c>
      <c r="AL1995">
        <v>81.900829146485904</v>
      </c>
      <c r="AM1995">
        <v>93.577971085906498</v>
      </c>
      <c r="AN1995">
        <v>0.99999996481098297</v>
      </c>
    </row>
    <row r="1996" spans="1:40" x14ac:dyDescent="0.25">
      <c r="A1996" t="str">
        <f>"20190304154754784"</f>
        <v>20190304154754784</v>
      </c>
      <c r="B1996" t="str">
        <f>"1551685674778299"</f>
        <v>1551685674778299</v>
      </c>
      <c r="C1996" t="s">
        <v>40</v>
      </c>
      <c r="D1996">
        <v>4.5958750000000004</v>
      </c>
      <c r="E1996">
        <v>0.60803839999999998</v>
      </c>
      <c r="F1996" t="s">
        <v>53</v>
      </c>
      <c r="G1996">
        <v>-176.90979999999999</v>
      </c>
      <c r="H1996">
        <v>7.9988020000000007E-2</v>
      </c>
      <c r="I1996">
        <v>356.81729999999999</v>
      </c>
      <c r="J1996">
        <v>-214.5496</v>
      </c>
      <c r="K1996">
        <v>1.109758</v>
      </c>
      <c r="L1996">
        <v>366.21699999999998</v>
      </c>
      <c r="M1996">
        <v>0.99965409999999999</v>
      </c>
      <c r="N1996">
        <v>-1.144366E-2</v>
      </c>
      <c r="O1996">
        <v>-2.3681109999999998E-2</v>
      </c>
      <c r="P1996">
        <v>0.99090259999999997</v>
      </c>
      <c r="Q1996">
        <v>0.12929789999999999</v>
      </c>
      <c r="R1996">
        <v>3.7337910000000002E-2</v>
      </c>
      <c r="S1996">
        <v>3.0692439999999999</v>
      </c>
      <c r="T1996">
        <v>-8.3677169999999995E-2</v>
      </c>
      <c r="U1996">
        <v>-0.76409910000000003</v>
      </c>
      <c r="V1996">
        <v>-6.046994E-2</v>
      </c>
      <c r="W1996">
        <v>0.14075570000000001</v>
      </c>
      <c r="X1996">
        <v>0.98819599999999996</v>
      </c>
      <c r="Y1996">
        <v>0.21842349999999999</v>
      </c>
      <c r="Z1996">
        <v>-3.8329280000000002E-3</v>
      </c>
      <c r="AA1996">
        <v>0.97584649999999995</v>
      </c>
      <c r="AB1996">
        <v>23</v>
      </c>
      <c r="AC1996">
        <v>37.639800000000001</v>
      </c>
      <c r="AD1996">
        <v>-1.02976998</v>
      </c>
      <c r="AE1996">
        <v>-9.3996999999999904</v>
      </c>
      <c r="AF1996">
        <v>8.4996646021490498</v>
      </c>
      <c r="AG1996">
        <v>-1.02976998</v>
      </c>
      <c r="AH1996">
        <v>37.8252031405964</v>
      </c>
      <c r="AI1996">
        <v>91.521537516176906</v>
      </c>
      <c r="AJ1996">
        <v>77.335485681974205</v>
      </c>
      <c r="AK1996">
        <v>38.782092738635399</v>
      </c>
      <c r="AL1996">
        <v>81.908422771350104</v>
      </c>
      <c r="AM1996">
        <v>93.501691526919004</v>
      </c>
      <c r="AN1996">
        <v>1.0000000575710399</v>
      </c>
    </row>
    <row r="1997" spans="1:40" x14ac:dyDescent="0.25">
      <c r="A1997" t="str">
        <f>"20190304154754798"</f>
        <v>20190304154754798</v>
      </c>
      <c r="B1997" t="str">
        <f>"1551685674788061"</f>
        <v>1551685674788061</v>
      </c>
      <c r="C1997" t="s">
        <v>40</v>
      </c>
      <c r="D1997">
        <v>4.5267299999999997</v>
      </c>
      <c r="E1997">
        <v>0.60802990000000001</v>
      </c>
      <c r="F1997" t="s">
        <v>53</v>
      </c>
      <c r="G1997">
        <v>-178.9076</v>
      </c>
      <c r="H1997">
        <v>7.9987929999999999E-2</v>
      </c>
      <c r="I1997">
        <v>357.24970000000002</v>
      </c>
      <c r="J1997">
        <v>-214.3922</v>
      </c>
      <c r="K1997">
        <v>1.1097159999999999</v>
      </c>
      <c r="L1997">
        <v>366.21210000000002</v>
      </c>
      <c r="M1997">
        <v>0.99962839999999997</v>
      </c>
      <c r="N1997">
        <v>-1.1446069999999999E-2</v>
      </c>
      <c r="O1997">
        <v>-2.4740999999999999E-2</v>
      </c>
      <c r="P1997">
        <v>0.99101450000000002</v>
      </c>
      <c r="Q1997">
        <v>0.12893199999999999</v>
      </c>
      <c r="R1997">
        <v>3.5595559999999998E-2</v>
      </c>
      <c r="S1997">
        <v>3.0681919999999998</v>
      </c>
      <c r="T1997">
        <v>-8.8646290000000003E-2</v>
      </c>
      <c r="U1997">
        <v>-0.77194209999999996</v>
      </c>
      <c r="V1997">
        <v>-5.9765699999999901E-2</v>
      </c>
      <c r="W1997">
        <v>0.14039839999999901</v>
      </c>
      <c r="X1997">
        <v>0.98828959999999999</v>
      </c>
      <c r="Y1997">
        <v>0.2198031</v>
      </c>
      <c r="Z1997">
        <v>-3.9795159999999998E-3</v>
      </c>
      <c r="AA1997">
        <v>0.97553610000000002</v>
      </c>
      <c r="AB1997">
        <v>23</v>
      </c>
      <c r="AC1997">
        <v>35.4846</v>
      </c>
      <c r="AD1997">
        <v>-1.02972807</v>
      </c>
      <c r="AE1997">
        <v>-8.9624000000000006</v>
      </c>
      <c r="AF1997">
        <v>8.0752817960792402</v>
      </c>
      <c r="AG1997">
        <v>-1.02972807</v>
      </c>
      <c r="AH1997">
        <v>35.667255438185798</v>
      </c>
      <c r="AI1997">
        <v>91.612893705512604</v>
      </c>
      <c r="AJ1997">
        <v>77.242961723453902</v>
      </c>
      <c r="AK1997">
        <v>36.584472477774298</v>
      </c>
      <c r="AL1997">
        <v>81.929099344879205</v>
      </c>
      <c r="AM1997">
        <v>93.460683138241905</v>
      </c>
      <c r="AN1997">
        <v>0.99999999154360397</v>
      </c>
    </row>
    <row r="1998" spans="1:40" x14ac:dyDescent="0.25">
      <c r="A1998" t="str">
        <f>"20190304154754809"</f>
        <v>20190304154754809</v>
      </c>
      <c r="B1998" t="str">
        <f>"1551685674798796"</f>
        <v>1551685674798796</v>
      </c>
      <c r="C1998" t="s">
        <v>40</v>
      </c>
      <c r="D1998">
        <v>4.5257459999999998</v>
      </c>
      <c r="E1998">
        <v>0.60800949999999998</v>
      </c>
      <c r="F1998" t="s">
        <v>53</v>
      </c>
      <c r="G1998">
        <v>-179.9716</v>
      </c>
      <c r="H1998">
        <v>7.8438099999999997E-2</v>
      </c>
      <c r="I1998">
        <v>357.48759999999999</v>
      </c>
      <c r="J1998">
        <v>-214.27529999999999</v>
      </c>
      <c r="K1998">
        <v>1.109685</v>
      </c>
      <c r="L1998">
        <v>366.20830000000001</v>
      </c>
      <c r="M1998">
        <v>0.99960800000000005</v>
      </c>
      <c r="N1998">
        <v>-1.1447870000000001E-2</v>
      </c>
      <c r="O1998">
        <v>-2.5551790000000001E-2</v>
      </c>
      <c r="P1998">
        <v>0.99110120000000002</v>
      </c>
      <c r="Q1998">
        <v>0.12861819999999999</v>
      </c>
      <c r="R1998">
        <v>3.4290370000000001E-2</v>
      </c>
      <c r="S1998">
        <v>3.067078</v>
      </c>
      <c r="T1998">
        <v>-9.1892959999999996E-2</v>
      </c>
      <c r="U1998">
        <v>-0.77740480000000001</v>
      </c>
      <c r="V1998">
        <v>-5.925652E-2</v>
      </c>
      <c r="W1998">
        <v>0.14009050000000001</v>
      </c>
      <c r="X1998">
        <v>0.98836400000000002</v>
      </c>
      <c r="Y1998">
        <v>0.22072120000000001</v>
      </c>
      <c r="Z1998">
        <v>-4.0732069999999997E-3</v>
      </c>
      <c r="AA1998">
        <v>0.97532839999999998</v>
      </c>
      <c r="AB1998">
        <v>23</v>
      </c>
      <c r="AC1998">
        <v>34.3036999999999</v>
      </c>
      <c r="AD1998">
        <v>-1.0312469</v>
      </c>
      <c r="AE1998">
        <v>-8.7207000000000203</v>
      </c>
      <c r="AF1998">
        <v>7.8346233377744801</v>
      </c>
      <c r="AG1998">
        <v>-1.0312469</v>
      </c>
      <c r="AH1998">
        <v>34.486067972534002</v>
      </c>
      <c r="AI1998">
        <v>91.670285977579695</v>
      </c>
      <c r="AJ1998">
        <v>77.200662082885202</v>
      </c>
      <c r="AK1998">
        <v>35.379848462363398</v>
      </c>
      <c r="AL1998">
        <v>81.946917199414102</v>
      </c>
      <c r="AM1998">
        <v>93.431012564322202</v>
      </c>
      <c r="AN1998">
        <v>1.00000003992437</v>
      </c>
    </row>
    <row r="1999" spans="1:40" x14ac:dyDescent="0.25">
      <c r="A1999" t="str">
        <f>"20190304154754824"</f>
        <v>20190304154754824</v>
      </c>
      <c r="B1999" t="str">
        <f>"1551685674818316"</f>
        <v>1551685674818316</v>
      </c>
      <c r="C1999" t="s">
        <v>40</v>
      </c>
      <c r="D1999">
        <v>4.4923830000000002</v>
      </c>
      <c r="E1999">
        <v>0.60417030000000005</v>
      </c>
      <c r="F1999" t="s">
        <v>53</v>
      </c>
      <c r="G1999">
        <v>-180</v>
      </c>
      <c r="H1999">
        <v>4.6395989999999998E-2</v>
      </c>
      <c r="I1999">
        <v>357.47550000000001</v>
      </c>
      <c r="J1999">
        <v>-214.1422</v>
      </c>
      <c r="K1999">
        <v>1.1096520000000001</v>
      </c>
      <c r="L1999">
        <v>366.20389999999998</v>
      </c>
      <c r="M1999">
        <v>0.99958290000000005</v>
      </c>
      <c r="N1999">
        <v>-1.144994E-2</v>
      </c>
      <c r="O1999">
        <v>-2.6517220000000001E-2</v>
      </c>
      <c r="P1999">
        <v>0.9912031</v>
      </c>
      <c r="Q1999">
        <v>0.12815779999999999</v>
      </c>
      <c r="R1999">
        <v>3.3051589999999999E-2</v>
      </c>
      <c r="S1999">
        <v>3.0663149999999999</v>
      </c>
      <c r="T1999">
        <v>-9.5123289999999999E-2</v>
      </c>
      <c r="U1999">
        <v>-0.78125</v>
      </c>
      <c r="V1999">
        <v>-5.8966249999999998E-2</v>
      </c>
      <c r="W1999">
        <v>0.13963680000000001</v>
      </c>
      <c r="X1999">
        <v>0.98844549999999998</v>
      </c>
      <c r="Y1999">
        <v>0.22097839999999999</v>
      </c>
      <c r="Z1999">
        <v>-4.1487009999999899E-3</v>
      </c>
      <c r="AA1999">
        <v>0.97526990000000002</v>
      </c>
      <c r="AB1999">
        <v>23</v>
      </c>
      <c r="AC1999">
        <v>34.142200000000003</v>
      </c>
      <c r="AD1999">
        <v>-1.0632560099999999</v>
      </c>
      <c r="AE1999">
        <v>-8.7283999999999597</v>
      </c>
      <c r="AF1999">
        <v>7.8128026287671997</v>
      </c>
      <c r="AG1999">
        <v>-1.0632560099999999</v>
      </c>
      <c r="AH1999">
        <v>34.330408670286602</v>
      </c>
      <c r="AI1999">
        <v>91.729755709512006</v>
      </c>
      <c r="AJ1999">
        <v>77.179171686548997</v>
      </c>
      <c r="AK1999">
        <v>35.224243891498404</v>
      </c>
      <c r="AL1999">
        <v>81.973169861822697</v>
      </c>
      <c r="AM1999">
        <v>93.413964645496307</v>
      </c>
      <c r="AN1999">
        <v>0.99999998051177597</v>
      </c>
    </row>
    <row r="2000" spans="1:40" x14ac:dyDescent="0.25">
      <c r="A2000" t="str">
        <f>"20190304154754835"</f>
        <v>20190304154754835</v>
      </c>
      <c r="B2000" t="str">
        <f>"1551685674828075"</f>
        <v>1551685674828075</v>
      </c>
      <c r="C2000" t="s">
        <v>40</v>
      </c>
      <c r="D2000">
        <v>4.5631589999999997</v>
      </c>
      <c r="E2000">
        <v>0.60569619999999902</v>
      </c>
      <c r="F2000" t="s">
        <v>53</v>
      </c>
      <c r="G2000">
        <v>-200.3511</v>
      </c>
      <c r="H2000" s="1">
        <v>-2.015967E-6</v>
      </c>
      <c r="I2000">
        <v>362.80029999999999</v>
      </c>
      <c r="J2000">
        <v>-214.01499999999999</v>
      </c>
      <c r="K2000">
        <v>1.1096220000000001</v>
      </c>
      <c r="L2000">
        <v>366.1995</v>
      </c>
      <c r="M2000">
        <v>0.99955729999999998</v>
      </c>
      <c r="N2000">
        <v>-1.1451899999999999E-2</v>
      </c>
      <c r="O2000">
        <v>-2.745949E-2</v>
      </c>
      <c r="P2000">
        <v>0.9912744</v>
      </c>
      <c r="Q2000">
        <v>0.127967</v>
      </c>
      <c r="R2000">
        <v>3.161274E-2</v>
      </c>
      <c r="S2000">
        <v>3.0840909999999999</v>
      </c>
      <c r="T2000">
        <v>-0.24815090000000001</v>
      </c>
      <c r="U2000">
        <v>-0.76113889999999995</v>
      </c>
      <c r="V2000">
        <v>-5.8453089999999999E-2</v>
      </c>
      <c r="W2000">
        <v>0.13945170000000001</v>
      </c>
      <c r="X2000">
        <v>0.98850210000000005</v>
      </c>
      <c r="Y2000">
        <v>0.2121738</v>
      </c>
      <c r="Z2000">
        <v>-7.7701089999999999E-3</v>
      </c>
      <c r="AA2000">
        <v>0.97720099999999999</v>
      </c>
      <c r="AB2000">
        <v>23</v>
      </c>
      <c r="AC2000">
        <v>13.6638999999999</v>
      </c>
      <c r="AD2000">
        <v>-1.1096240159670001</v>
      </c>
      <c r="AE2000">
        <v>-3.3992</v>
      </c>
      <c r="AF2000">
        <v>3.00403328550005</v>
      </c>
      <c r="AG2000">
        <v>-1.1096240159670001</v>
      </c>
      <c r="AH2000">
        <v>13.6672136383278</v>
      </c>
      <c r="AI2000">
        <v>94.533833404571396</v>
      </c>
      <c r="AJ2000">
        <v>77.603593137164907</v>
      </c>
      <c r="AK2000">
        <v>14.037386155296099</v>
      </c>
      <c r="AL2000">
        <v>81.983880025102394</v>
      </c>
      <c r="AM2000">
        <v>93.384130288009203</v>
      </c>
      <c r="AN2000">
        <v>0.99999997103392302</v>
      </c>
    </row>
    <row r="2001" spans="1:40" x14ac:dyDescent="0.25">
      <c r="A2001" t="str">
        <f>"20190304154754847"</f>
        <v>20190304154754847</v>
      </c>
      <c r="B2001" t="str">
        <f>"1551685674838811"</f>
        <v>1551685674838811</v>
      </c>
      <c r="C2001" t="s">
        <v>40</v>
      </c>
      <c r="D2001">
        <v>4.5188509999999997</v>
      </c>
      <c r="E2001">
        <v>0.60627219999999904</v>
      </c>
      <c r="F2001" t="s">
        <v>53</v>
      </c>
      <c r="G2001">
        <v>-199.81720000000001</v>
      </c>
      <c r="H2001" s="1">
        <v>-9.8599560000000001E-6</v>
      </c>
      <c r="I2001">
        <v>362.61829999999998</v>
      </c>
      <c r="J2001">
        <v>-213.8922</v>
      </c>
      <c r="K2001">
        <v>1.1095919999999999</v>
      </c>
      <c r="L2001">
        <v>366.19510000000002</v>
      </c>
      <c r="M2001">
        <v>0.99953110000000001</v>
      </c>
      <c r="N2001">
        <v>-1.145381E-2</v>
      </c>
      <c r="O2001">
        <v>-2.8397800000000001E-2</v>
      </c>
      <c r="P2001">
        <v>0.99132180000000003</v>
      </c>
      <c r="Q2001">
        <v>0.12787979999999999</v>
      </c>
      <c r="R2001">
        <v>3.0465099999999998E-2</v>
      </c>
      <c r="S2001">
        <v>3.0822910000000001</v>
      </c>
      <c r="T2001">
        <v>-0.2408969</v>
      </c>
      <c r="U2001">
        <v>-0.77746579999999998</v>
      </c>
      <c r="V2001">
        <v>-5.8227519999999998E-2</v>
      </c>
      <c r="W2001">
        <v>0.13937049999999901</v>
      </c>
      <c r="X2001">
        <v>0.98852689999999999</v>
      </c>
      <c r="Y2001">
        <v>0.21628459999999999</v>
      </c>
      <c r="Z2001">
        <v>-7.7095840000000002E-3</v>
      </c>
      <c r="AA2001">
        <v>0.9762999</v>
      </c>
      <c r="AB2001">
        <v>23</v>
      </c>
      <c r="AC2001">
        <v>14.0749999999999</v>
      </c>
      <c r="AD2001">
        <v>-1.10960185995599</v>
      </c>
      <c r="AE2001">
        <v>-3.5768000000000399</v>
      </c>
      <c r="AF2001">
        <v>3.1572004995895102</v>
      </c>
      <c r="AG2001">
        <v>-1.10960185995599</v>
      </c>
      <c r="AH2001">
        <v>14.088654028597199</v>
      </c>
      <c r="AI2001">
        <v>94.394683365749202</v>
      </c>
      <c r="AJ2001">
        <v>77.368966347233794</v>
      </c>
      <c r="AK2001">
        <v>14.4806527345881</v>
      </c>
      <c r="AL2001">
        <v>81.988578606838601</v>
      </c>
      <c r="AM2001">
        <v>93.371016754300996</v>
      </c>
      <c r="AN2001">
        <v>1.0000000061895999</v>
      </c>
    </row>
    <row r="2002" spans="1:40" x14ac:dyDescent="0.25">
      <c r="A2002" t="str">
        <f>"20190304154757417"</f>
        <v>20190304154757417</v>
      </c>
      <c r="B2002" t="str">
        <f>"1551685677408239"</f>
        <v>1551685677408239</v>
      </c>
      <c r="C2002" t="s">
        <v>40</v>
      </c>
      <c r="D2002">
        <v>4.9196160000000004</v>
      </c>
      <c r="E2002">
        <v>0.61126990000000003</v>
      </c>
      <c r="F2002" t="s">
        <v>53</v>
      </c>
      <c r="G2002">
        <v>-199.4812</v>
      </c>
      <c r="H2002" s="1">
        <v>-9.7513310000000008E-6</v>
      </c>
      <c r="I2002">
        <v>362.52409999999998</v>
      </c>
      <c r="J2002">
        <v>-192.95330000000001</v>
      </c>
      <c r="K2002">
        <v>1.1020829999999999</v>
      </c>
      <c r="L2002">
        <v>355.15989999999999</v>
      </c>
      <c r="M2002">
        <v>0.36286629999999997</v>
      </c>
      <c r="N2002">
        <v>-1.5655390000000002E-2</v>
      </c>
      <c r="O2002">
        <v>-0.93170989999999998</v>
      </c>
      <c r="P2002">
        <v>0.29192439999999997</v>
      </c>
      <c r="Q2002">
        <v>0.10943</v>
      </c>
      <c r="R2002">
        <v>-0.95016100000000003</v>
      </c>
      <c r="S2002">
        <v>3.0810240000000002</v>
      </c>
      <c r="T2002">
        <v>-0.23722879999999999</v>
      </c>
      <c r="U2002">
        <v>-0.78485109999999902</v>
      </c>
      <c r="V2002">
        <v>7.5497930000000005E-2</v>
      </c>
      <c r="W2002">
        <v>0.12332509999999999</v>
      </c>
      <c r="X2002">
        <v>0.98949030000000004</v>
      </c>
      <c r="Y2002">
        <v>-0.81055500000000003</v>
      </c>
      <c r="Z2002">
        <v>7.1560949999999998E-2</v>
      </c>
      <c r="AA2002">
        <v>0.58127419999999996</v>
      </c>
      <c r="AB2002">
        <v>20</v>
      </c>
      <c r="AC2002">
        <v>-6.5278999999999803</v>
      </c>
      <c r="AD2002">
        <v>-1.1020927513309999</v>
      </c>
      <c r="AE2002">
        <v>7.3641999999999799</v>
      </c>
      <c r="AF2002">
        <v>3.3680647905269998</v>
      </c>
      <c r="AG2002">
        <v>-1.1020927513309999</v>
      </c>
      <c r="AH2002">
        <v>-9.1168410331632099</v>
      </c>
      <c r="AI2002">
        <v>96.469402396438298</v>
      </c>
      <c r="AJ2002">
        <v>-69.724090576772497</v>
      </c>
      <c r="AK2002">
        <v>9.7813730779319794</v>
      </c>
      <c r="AL2002">
        <v>82.9159575625808</v>
      </c>
      <c r="AM2002">
        <v>85.636796367543994</v>
      </c>
      <c r="AN2002">
        <v>1.0000000357591901</v>
      </c>
    </row>
    <row r="2003" spans="1:40" x14ac:dyDescent="0.25">
      <c r="A2003" t="str">
        <f>"20190304154757435"</f>
        <v>20190304154757435</v>
      </c>
      <c r="B2003" t="str">
        <f>"1551685677428736"</f>
        <v>1551685677428736</v>
      </c>
      <c r="C2003" t="s">
        <v>40</v>
      </c>
      <c r="D2003">
        <v>4.7612519999999998</v>
      </c>
      <c r="E2003">
        <v>0.61367490000000002</v>
      </c>
      <c r="F2003" t="s">
        <v>44</v>
      </c>
      <c r="G2003">
        <v>-192.917</v>
      </c>
      <c r="H2003" s="1">
        <v>-1.1644400000000001E-6</v>
      </c>
      <c r="I2003">
        <v>340.49430000000001</v>
      </c>
      <c r="J2003">
        <v>-192.90559999999999</v>
      </c>
      <c r="K2003">
        <v>1.1021620000000001</v>
      </c>
      <c r="L2003">
        <v>354.99270000000001</v>
      </c>
      <c r="M2003">
        <v>0.34989160000000002</v>
      </c>
      <c r="N2003">
        <v>-1.5630000000000002E-2</v>
      </c>
      <c r="O2003">
        <v>-0.93665980000000004</v>
      </c>
      <c r="P2003">
        <v>0.28346359999999998</v>
      </c>
      <c r="Q2003">
        <v>0.10794869999999999</v>
      </c>
      <c r="R2003">
        <v>-0.95288810000000002</v>
      </c>
      <c r="S2003">
        <v>7.8887939999999993E-3</v>
      </c>
      <c r="T2003">
        <v>-0.2391595</v>
      </c>
      <c r="U2003">
        <v>-3.1825260000000002</v>
      </c>
      <c r="V2003">
        <v>7.0546910000000004E-2</v>
      </c>
      <c r="W2003">
        <v>0.121948</v>
      </c>
      <c r="X2003">
        <v>0.99002619999999997</v>
      </c>
      <c r="Y2003">
        <v>0.34732990000000002</v>
      </c>
      <c r="Z2003">
        <v>4.9916809999999999E-2</v>
      </c>
      <c r="AA2003">
        <v>0.93641350000000001</v>
      </c>
      <c r="AB2003">
        <v>20</v>
      </c>
      <c r="AC2003">
        <v>-1.14000000000089E-2</v>
      </c>
      <c r="AD2003">
        <v>-1.1021631644399901</v>
      </c>
      <c r="AE2003">
        <v>-14.4984</v>
      </c>
      <c r="AF2003">
        <v>5.0549548375521498</v>
      </c>
      <c r="AG2003">
        <v>-1.1021631644399901</v>
      </c>
      <c r="AH2003">
        <v>13.4997235530543</v>
      </c>
      <c r="AI2003">
        <v>94.372267397976998</v>
      </c>
      <c r="AJ2003">
        <v>69.471649293609502</v>
      </c>
      <c r="AK2003">
        <v>14.457173584751301</v>
      </c>
      <c r="AL2003">
        <v>82.995459646327603</v>
      </c>
      <c r="AM2003">
        <v>85.924128457074303</v>
      </c>
      <c r="AN2003">
        <v>1.00000002895049</v>
      </c>
    </row>
    <row r="2004" spans="1:40" x14ac:dyDescent="0.25">
      <c r="A2004" t="str">
        <f>"20190304154757458"</f>
        <v>20190304154757458</v>
      </c>
      <c r="B2004" t="str">
        <f>"1551685677448256"</f>
        <v>1551685677448256</v>
      </c>
      <c r="C2004" t="s">
        <v>40</v>
      </c>
      <c r="D2004">
        <v>4.8667809999999996</v>
      </c>
      <c r="E2004">
        <v>0.61001369999999999</v>
      </c>
      <c r="F2004" t="s">
        <v>44</v>
      </c>
      <c r="G2004">
        <v>-193.1311</v>
      </c>
      <c r="H2004" s="1">
        <v>-3.468778E-6</v>
      </c>
      <c r="I2004">
        <v>335.733</v>
      </c>
      <c r="J2004">
        <v>-192.85</v>
      </c>
      <c r="K2004">
        <v>1.1022780000000001</v>
      </c>
      <c r="L2004">
        <v>354.78629999999998</v>
      </c>
      <c r="M2004">
        <v>0.3339664</v>
      </c>
      <c r="N2004">
        <v>-1.559167E-2</v>
      </c>
      <c r="O2004">
        <v>-0.94245630000000002</v>
      </c>
      <c r="P2004">
        <v>0.27222069999999998</v>
      </c>
      <c r="Q2004">
        <v>0.10672089999999899</v>
      </c>
      <c r="R2004">
        <v>-0.95629869999999995</v>
      </c>
      <c r="S2004">
        <v>-3.7231449999999999E-2</v>
      </c>
      <c r="T2004">
        <v>-0.1819808</v>
      </c>
      <c r="U2004">
        <v>-3.1800229999999998</v>
      </c>
      <c r="V2004">
        <v>6.5401780000000007E-2</v>
      </c>
      <c r="W2004">
        <v>0.1208187</v>
      </c>
      <c r="X2004">
        <v>0.9905178</v>
      </c>
      <c r="Y2004">
        <v>0.34479389999999999</v>
      </c>
      <c r="Z2004">
        <v>3.4852999999999898E-2</v>
      </c>
      <c r="AA2004">
        <v>0.93803110000000001</v>
      </c>
      <c r="AB2004">
        <v>20</v>
      </c>
      <c r="AC2004">
        <v>-0.28110000000000901</v>
      </c>
      <c r="AD2004">
        <v>-1.102281468778</v>
      </c>
      <c r="AE2004">
        <v>-19.053299999999901</v>
      </c>
      <c r="AF2004">
        <v>6.6067829714841899</v>
      </c>
      <c r="AG2004">
        <v>-1.102281468778</v>
      </c>
      <c r="AH2004">
        <v>17.8056106577862</v>
      </c>
      <c r="AI2004">
        <v>93.3217085996273</v>
      </c>
      <c r="AJ2004">
        <v>69.6425965575866</v>
      </c>
      <c r="AK2004">
        <v>19.0237844963975</v>
      </c>
      <c r="AL2004">
        <v>83.060645795991306</v>
      </c>
      <c r="AM2004">
        <v>86.222365140867197</v>
      </c>
      <c r="AN2004">
        <v>1.00000003160684</v>
      </c>
    </row>
    <row r="2005" spans="1:40" x14ac:dyDescent="0.25">
      <c r="A2005" t="str">
        <f>"20190304154757472"</f>
        <v>20190304154757472</v>
      </c>
      <c r="B2005" t="str">
        <f>"1551685677468752"</f>
        <v>1551685677468752</v>
      </c>
      <c r="C2005" t="s">
        <v>40</v>
      </c>
      <c r="D2005">
        <v>4.768713</v>
      </c>
      <c r="E2005">
        <v>0.60673199999999905</v>
      </c>
      <c r="F2005" t="s">
        <v>44</v>
      </c>
      <c r="G2005">
        <v>-193.0977</v>
      </c>
      <c r="H2005" s="1">
        <v>-4.3950850000000003E-6</v>
      </c>
      <c r="I2005">
        <v>338.28730000000002</v>
      </c>
      <c r="J2005">
        <v>-192.8194</v>
      </c>
      <c r="K2005">
        <v>1.1023510000000001</v>
      </c>
      <c r="L2005">
        <v>354.66750000000002</v>
      </c>
      <c r="M2005">
        <v>0.32484249999999998</v>
      </c>
      <c r="N2005">
        <v>-1.5567910000000001E-2</v>
      </c>
      <c r="O2005">
        <v>-0.94564000000000004</v>
      </c>
      <c r="P2005">
        <v>0.26530690000000001</v>
      </c>
      <c r="Q2005">
        <v>0.1061708</v>
      </c>
      <c r="R2005">
        <v>-0.95830059999999995</v>
      </c>
      <c r="S2005">
        <v>-4.7668460000000003E-2</v>
      </c>
      <c r="T2005">
        <v>-0.2120746</v>
      </c>
      <c r="U2005">
        <v>-3.174347</v>
      </c>
      <c r="V2005">
        <v>6.2964359999999997E-2</v>
      </c>
      <c r="W2005">
        <v>0.12031119999999999</v>
      </c>
      <c r="X2005">
        <v>0.99073739999999999</v>
      </c>
      <c r="Y2005">
        <v>0.3387869</v>
      </c>
      <c r="Z2005">
        <v>4.3681490000000003E-2</v>
      </c>
      <c r="AA2005">
        <v>0.93984860000000003</v>
      </c>
      <c r="AB2005">
        <v>20</v>
      </c>
      <c r="AC2005">
        <v>-0.27830000000000099</v>
      </c>
      <c r="AD2005">
        <v>-1.102355395085</v>
      </c>
      <c r="AE2005">
        <v>-16.380199999999999</v>
      </c>
      <c r="AF2005">
        <v>5.5596609021163497</v>
      </c>
      <c r="AG2005">
        <v>-1.102355395085</v>
      </c>
      <c r="AH2005">
        <v>15.331816779075499</v>
      </c>
      <c r="AI2005">
        <v>93.866911379400705</v>
      </c>
      <c r="AJ2005">
        <v>70.068218771500796</v>
      </c>
      <c r="AK2005">
        <v>16.345935963129701</v>
      </c>
      <c r="AL2005">
        <v>83.089936473326503</v>
      </c>
      <c r="AM2005">
        <v>86.363570388785703</v>
      </c>
      <c r="AN2005">
        <v>0.99999994561720296</v>
      </c>
    </row>
    <row r="2006" spans="1:40" x14ac:dyDescent="0.25">
      <c r="A2006" t="str">
        <f>"20190304154757490"</f>
        <v>20190304154757490</v>
      </c>
      <c r="B2006" t="str">
        <f>"1551685677478513"</f>
        <v>1551685677478513</v>
      </c>
      <c r="C2006" t="s">
        <v>40</v>
      </c>
      <c r="D2006">
        <v>4.8386189999999996</v>
      </c>
      <c r="E2006">
        <v>0.60509480000000004</v>
      </c>
      <c r="F2006" t="s">
        <v>44</v>
      </c>
      <c r="G2006">
        <v>-193.0497</v>
      </c>
      <c r="H2006" s="1">
        <v>-4.501737E-6</v>
      </c>
      <c r="I2006">
        <v>338.62569999999999</v>
      </c>
      <c r="J2006">
        <v>-192.77860000000001</v>
      </c>
      <c r="K2006">
        <v>1.1024700000000001</v>
      </c>
      <c r="L2006">
        <v>354.50049999999999</v>
      </c>
      <c r="M2006">
        <v>0.31210850000000001</v>
      </c>
      <c r="N2006">
        <v>-1.5529630000000001E-2</v>
      </c>
      <c r="O2006">
        <v>-0.94991959999999998</v>
      </c>
      <c r="P2006">
        <v>0.25740229999999997</v>
      </c>
      <c r="Q2006">
        <v>0.1054007</v>
      </c>
      <c r="R2006">
        <v>-0.96053869999999997</v>
      </c>
      <c r="S2006">
        <v>-4.5486449999999998E-2</v>
      </c>
      <c r="T2006">
        <v>-0.21764449999999999</v>
      </c>
      <c r="U2006">
        <v>-3.1672359999999999</v>
      </c>
      <c r="V2006">
        <v>5.7783260000000003E-2</v>
      </c>
      <c r="W2006">
        <v>0.1196333</v>
      </c>
      <c r="X2006">
        <v>0.99113519999999999</v>
      </c>
      <c r="Y2006">
        <v>0.32550289999999998</v>
      </c>
      <c r="Z2006">
        <v>4.6011209999999997E-2</v>
      </c>
      <c r="AA2006">
        <v>0.94442090000000001</v>
      </c>
      <c r="AB2006">
        <v>20</v>
      </c>
      <c r="AC2006">
        <v>-0.27109999999998902</v>
      </c>
      <c r="AD2006">
        <v>-1.1024745017369999</v>
      </c>
      <c r="AE2006">
        <v>-15.874799999999899</v>
      </c>
      <c r="AF2006">
        <v>5.1877978539750904</v>
      </c>
      <c r="AG2006">
        <v>-1.1024745017369999</v>
      </c>
      <c r="AH2006">
        <v>14.925015665835801</v>
      </c>
      <c r="AI2006">
        <v>93.991216743283999</v>
      </c>
      <c r="AJ2006">
        <v>70.833019822918303</v>
      </c>
      <c r="AK2006">
        <v>15.839343080637301</v>
      </c>
      <c r="AL2006">
        <v>83.129060295509106</v>
      </c>
      <c r="AM2006">
        <v>86.663428357902006</v>
      </c>
      <c r="AN2006">
        <v>1.0000000081420699</v>
      </c>
    </row>
    <row r="2007" spans="1:40" x14ac:dyDescent="0.25">
      <c r="A2007" t="str">
        <f>"20190304154757505"</f>
        <v>20190304154757505</v>
      </c>
      <c r="B2007" t="str">
        <f>"1551685677499008"</f>
        <v>1551685677499008</v>
      </c>
      <c r="C2007" t="s">
        <v>40</v>
      </c>
      <c r="D2007">
        <v>4.7362159999999998</v>
      </c>
      <c r="E2007">
        <v>0.60369329999999999</v>
      </c>
      <c r="F2007" t="s">
        <v>44</v>
      </c>
      <c r="G2007">
        <v>-193.07079999999999</v>
      </c>
      <c r="H2007" s="1">
        <v>-4.59466E-6</v>
      </c>
      <c r="I2007">
        <v>338.88780000000003</v>
      </c>
      <c r="J2007">
        <v>-192.74850000000001</v>
      </c>
      <c r="K2007">
        <v>1.1025700000000001</v>
      </c>
      <c r="L2007">
        <v>354.37009999999998</v>
      </c>
      <c r="M2007">
        <v>0.30226769999999997</v>
      </c>
      <c r="N2007">
        <v>-1.549528E-2</v>
      </c>
      <c r="O2007">
        <v>-0.95309710000000003</v>
      </c>
      <c r="P2007">
        <v>0.24985379999999999</v>
      </c>
      <c r="Q2007">
        <v>0.105388</v>
      </c>
      <c r="R2007">
        <v>-0.96253140000000004</v>
      </c>
      <c r="S2007">
        <v>-5.9219359999999999E-2</v>
      </c>
      <c r="T2007">
        <v>-0.22339619999999999</v>
      </c>
      <c r="U2007">
        <v>-3.1636350000000002</v>
      </c>
      <c r="V2007">
        <v>5.5279420000000003E-2</v>
      </c>
      <c r="W2007">
        <v>0.1196542</v>
      </c>
      <c r="X2007">
        <v>0.99127549999999998</v>
      </c>
      <c r="Y2007">
        <v>0.31983060000000002</v>
      </c>
      <c r="Z2007">
        <v>4.812897E-2</v>
      </c>
      <c r="AA2007">
        <v>0.94625150000000002</v>
      </c>
      <c r="AB2007">
        <v>20</v>
      </c>
      <c r="AC2007">
        <v>-0.32229999999998399</v>
      </c>
      <c r="AD2007">
        <v>-1.1025745946600001</v>
      </c>
      <c r="AE2007">
        <v>-15.482299999999899</v>
      </c>
      <c r="AF2007">
        <v>4.9624248080457303</v>
      </c>
      <c r="AG2007">
        <v>-1.1025745946600001</v>
      </c>
      <c r="AH2007">
        <v>14.5865298521699</v>
      </c>
      <c r="AI2007">
        <v>94.093147677277599</v>
      </c>
      <c r="AJ2007">
        <v>71.211388134486995</v>
      </c>
      <c r="AK2007">
        <v>15.4469473955387</v>
      </c>
      <c r="AL2007">
        <v>83.1278542964791</v>
      </c>
      <c r="AM2007">
        <v>86.808152396300898</v>
      </c>
      <c r="AN2007">
        <v>1.00000002937671</v>
      </c>
    </row>
    <row r="2008" spans="1:40" x14ac:dyDescent="0.25">
      <c r="A2008" t="str">
        <f>"20190304154757525"</f>
        <v>20190304154757525</v>
      </c>
      <c r="B2008" t="str">
        <f>"1551685677518529"</f>
        <v>1551685677518529</v>
      </c>
      <c r="C2008" t="s">
        <v>40</v>
      </c>
      <c r="D2008">
        <v>4.8546579999999997</v>
      </c>
      <c r="E2008">
        <v>0.6018848</v>
      </c>
      <c r="F2008" t="s">
        <v>44</v>
      </c>
      <c r="G2008">
        <v>-193.1139</v>
      </c>
      <c r="H2008" s="1">
        <v>-4.5006340000000003E-6</v>
      </c>
      <c r="I2008">
        <v>338.589</v>
      </c>
      <c r="J2008">
        <v>-192.7105</v>
      </c>
      <c r="K2008">
        <v>1.102725</v>
      </c>
      <c r="L2008">
        <v>354.19810000000001</v>
      </c>
      <c r="M2008">
        <v>0.28943839999999998</v>
      </c>
      <c r="N2008">
        <v>-1.5444029999999999E-2</v>
      </c>
      <c r="O2008">
        <v>-0.95707220000000004</v>
      </c>
      <c r="P2008">
        <v>0.24173800000000001</v>
      </c>
      <c r="Q2008">
        <v>0.1053279</v>
      </c>
      <c r="R2008">
        <v>-0.96460820000000003</v>
      </c>
      <c r="S2008">
        <v>-7.3165889999999997E-2</v>
      </c>
      <c r="T2008">
        <v>-0.220778</v>
      </c>
      <c r="U2008">
        <v>-3.1599729999999999</v>
      </c>
      <c r="V2008">
        <v>5.0258280000000002E-2</v>
      </c>
      <c r="W2008">
        <v>0.11966880000000001</v>
      </c>
      <c r="X2008">
        <v>0.99154100000000001</v>
      </c>
      <c r="Y2008">
        <v>0.31129780000000001</v>
      </c>
      <c r="Z2008">
        <v>4.8012350000000002E-2</v>
      </c>
      <c r="AA2008">
        <v>0.94909880000000002</v>
      </c>
      <c r="AB2008">
        <v>20</v>
      </c>
      <c r="AC2008">
        <v>-0.40340000000000398</v>
      </c>
      <c r="AD2008">
        <v>-1.1027295006340001</v>
      </c>
      <c r="AE2008">
        <v>-15.6091</v>
      </c>
      <c r="AF2008">
        <v>4.8801995402021898</v>
      </c>
      <c r="AG2008">
        <v>-1.1027295006340001</v>
      </c>
      <c r="AH2008">
        <v>14.750472427794699</v>
      </c>
      <c r="AI2008">
        <v>94.059773644763297</v>
      </c>
      <c r="AJ2008">
        <v>71.693182416052807</v>
      </c>
      <c r="AK2008">
        <v>15.575904363692301</v>
      </c>
      <c r="AL2008">
        <v>83.127011766603303</v>
      </c>
      <c r="AM2008">
        <v>87.098329702630295</v>
      </c>
      <c r="AN2008">
        <v>1.00000003554149</v>
      </c>
    </row>
    <row r="2009" spans="1:40" x14ac:dyDescent="0.25">
      <c r="A2009" t="str">
        <f>"20190304154757546"</f>
        <v>20190304154757546</v>
      </c>
      <c r="B2009" t="str">
        <f>"1551685677539024"</f>
        <v>1551685677539024</v>
      </c>
      <c r="C2009" t="s">
        <v>40</v>
      </c>
      <c r="D2009">
        <v>4.7576619999999998</v>
      </c>
      <c r="E2009">
        <v>0.60134069999999995</v>
      </c>
      <c r="F2009" t="s">
        <v>44</v>
      </c>
      <c r="G2009">
        <v>-193.143</v>
      </c>
      <c r="H2009" s="1">
        <v>-4.4260449999999901E-6</v>
      </c>
      <c r="I2009">
        <v>338.35469999999998</v>
      </c>
      <c r="J2009">
        <v>-192.66980000000001</v>
      </c>
      <c r="K2009">
        <v>1.1029310000000001</v>
      </c>
      <c r="L2009">
        <v>354.00209999999998</v>
      </c>
      <c r="M2009">
        <v>0.275059</v>
      </c>
      <c r="N2009">
        <v>-1.537411E-2</v>
      </c>
      <c r="O2009">
        <v>-0.96130450000000001</v>
      </c>
      <c r="P2009">
        <v>0.23141310000000001</v>
      </c>
      <c r="Q2009">
        <v>0.1048683</v>
      </c>
      <c r="R2009">
        <v>-0.96718709999999997</v>
      </c>
      <c r="S2009">
        <v>-8.6135859999999995E-2</v>
      </c>
      <c r="T2009">
        <v>-0.21963540000000001</v>
      </c>
      <c r="U2009">
        <v>-3.1556090000000001</v>
      </c>
      <c r="V2009">
        <v>4.592657E-2</v>
      </c>
      <c r="W2009">
        <v>0.1192532</v>
      </c>
      <c r="X2009">
        <v>0.99180109999999999</v>
      </c>
      <c r="Y2009">
        <v>0.30097400000000002</v>
      </c>
      <c r="Z2009">
        <v>4.838808E-2</v>
      </c>
      <c r="AA2009">
        <v>0.95240389999999997</v>
      </c>
      <c r="AB2009">
        <v>20</v>
      </c>
      <c r="AC2009">
        <v>-0.47319999999999102</v>
      </c>
      <c r="AD2009">
        <v>-1.1029354260449999</v>
      </c>
      <c r="AE2009">
        <v>-15.647399999999999</v>
      </c>
      <c r="AF2009">
        <v>4.73590130488203</v>
      </c>
      <c r="AG2009">
        <v>-1.1029354260449999</v>
      </c>
      <c r="AH2009">
        <v>14.8398566922566</v>
      </c>
      <c r="AI2009">
        <v>94.050030589983393</v>
      </c>
      <c r="AJ2009">
        <v>72.300354214368099</v>
      </c>
      <c r="AK2009">
        <v>15.6162279174685</v>
      </c>
      <c r="AL2009">
        <v>83.150995389791703</v>
      </c>
      <c r="AM2009">
        <v>87.348742366240799</v>
      </c>
      <c r="AN2009">
        <v>0.99999999875170698</v>
      </c>
    </row>
    <row r="2010" spans="1:40" x14ac:dyDescent="0.25">
      <c r="A2010" t="str">
        <f>"20190304154757560"</f>
        <v>20190304154757560</v>
      </c>
      <c r="B2010" t="str">
        <f>"1551685677548784"</f>
        <v>1551685677548784</v>
      </c>
      <c r="C2010" t="s">
        <v>40</v>
      </c>
      <c r="D2010">
        <v>4.8230380000000004</v>
      </c>
      <c r="E2010">
        <v>0.6005163</v>
      </c>
      <c r="F2010" t="s">
        <v>44</v>
      </c>
      <c r="G2010">
        <v>-193.24340000000001</v>
      </c>
      <c r="H2010" s="1">
        <v>-4.4420799999999997E-6</v>
      </c>
      <c r="I2010">
        <v>338.3494</v>
      </c>
      <c r="J2010">
        <v>-192.64570000000001</v>
      </c>
      <c r="K2010">
        <v>1.1030799999999901</v>
      </c>
      <c r="L2010">
        <v>353.87920000000003</v>
      </c>
      <c r="M2010">
        <v>0.26621479999999997</v>
      </c>
      <c r="N2010">
        <v>-1.532351E-2</v>
      </c>
      <c r="O2010">
        <v>-0.96379199999999998</v>
      </c>
      <c r="P2010">
        <v>0.2246438</v>
      </c>
      <c r="Q2010">
        <v>0.104722</v>
      </c>
      <c r="R2010">
        <v>-0.96879749999999998</v>
      </c>
      <c r="S2010">
        <v>-0.1155701</v>
      </c>
      <c r="T2010">
        <v>-0.2222017</v>
      </c>
      <c r="U2010">
        <v>-3.1534420000000001</v>
      </c>
      <c r="V2010">
        <v>4.3701879999999999E-2</v>
      </c>
      <c r="W2010">
        <v>0.1191173</v>
      </c>
      <c r="X2010">
        <v>0.99191799999999997</v>
      </c>
      <c r="Y2010">
        <v>0.30110730000000002</v>
      </c>
      <c r="Z2010">
        <v>4.9457710000000002E-2</v>
      </c>
      <c r="AA2010">
        <v>0.95230689999999996</v>
      </c>
      <c r="AB2010">
        <v>20</v>
      </c>
      <c r="AC2010">
        <v>-0.59770000000000301</v>
      </c>
      <c r="AD2010">
        <v>-1.1030844420799999</v>
      </c>
      <c r="AE2010">
        <v>-15.5298</v>
      </c>
      <c r="AF2010">
        <v>4.68726025049446</v>
      </c>
      <c r="AG2010">
        <v>-1.1030844420799999</v>
      </c>
      <c r="AH2010">
        <v>14.7358814241771</v>
      </c>
      <c r="AI2010">
        <v>94.080294146213703</v>
      </c>
      <c r="AJ2010">
        <v>72.354922372991993</v>
      </c>
      <c r="AK2010">
        <v>15.5026902597463</v>
      </c>
      <c r="AL2010">
        <v>83.158838153284904</v>
      </c>
      <c r="AM2010">
        <v>87.477296476277999</v>
      </c>
      <c r="AN2010">
        <v>1.0000000520994099</v>
      </c>
    </row>
    <row r="2011" spans="1:40" x14ac:dyDescent="0.25">
      <c r="A2011" t="str">
        <f>"20190304154757574"</f>
        <v>20190304154757574</v>
      </c>
      <c r="B2011" t="str">
        <f>"1551685677568304"</f>
        <v>1551685677568304</v>
      </c>
      <c r="C2011" t="s">
        <v>40</v>
      </c>
      <c r="D2011">
        <v>4.8583720000000001</v>
      </c>
      <c r="E2011">
        <v>0.59888960000000002</v>
      </c>
      <c r="F2011" t="s">
        <v>44</v>
      </c>
      <c r="G2011">
        <v>-193.29429999999999</v>
      </c>
      <c r="H2011" s="1">
        <v>-4.4215080000000002E-6</v>
      </c>
      <c r="I2011">
        <v>338.26249999999999</v>
      </c>
      <c r="J2011">
        <v>-192.62270000000001</v>
      </c>
      <c r="K2011">
        <v>1.103243</v>
      </c>
      <c r="L2011">
        <v>353.75779999999997</v>
      </c>
      <c r="M2011">
        <v>0.25755899999999998</v>
      </c>
      <c r="N2011">
        <v>-1.5271079999999999E-2</v>
      </c>
      <c r="O2011">
        <v>-0.9661421</v>
      </c>
      <c r="P2011">
        <v>0.2176739</v>
      </c>
      <c r="Q2011">
        <v>0.1048558</v>
      </c>
      <c r="R2011">
        <v>-0.97037309999999999</v>
      </c>
      <c r="S2011">
        <v>-0.13087460000000001</v>
      </c>
      <c r="T2011">
        <v>-0.22257150000000001</v>
      </c>
      <c r="U2011">
        <v>-3.1510310000000001</v>
      </c>
      <c r="V2011">
        <v>4.188323E-2</v>
      </c>
      <c r="W2011">
        <v>0.1192503</v>
      </c>
      <c r="X2011">
        <v>0.99198039999999998</v>
      </c>
      <c r="Y2011">
        <v>0.2971994</v>
      </c>
      <c r="Z2011">
        <v>4.9944839999999997E-2</v>
      </c>
      <c r="AA2011">
        <v>0.95350829999999998</v>
      </c>
      <c r="AB2011">
        <v>20</v>
      </c>
      <c r="AC2011">
        <v>-0.67159999999998299</v>
      </c>
      <c r="AD2011">
        <v>-1.1032474215079999</v>
      </c>
      <c r="AE2011">
        <v>-15.495299999999901</v>
      </c>
      <c r="AF2011">
        <v>4.61699425571351</v>
      </c>
      <c r="AG2011">
        <v>-1.1032474215079999</v>
      </c>
      <c r="AH2011">
        <v>14.724903213908201</v>
      </c>
      <c r="AI2011">
        <v>94.089230977615799</v>
      </c>
      <c r="AJ2011">
        <v>72.591180532785501</v>
      </c>
      <c r="AK2011">
        <v>15.4711526878031</v>
      </c>
      <c r="AL2011">
        <v>83.151162588603498</v>
      </c>
      <c r="AM2011">
        <v>87.582303191411199</v>
      </c>
      <c r="AN2011">
        <v>0.99999997649474104</v>
      </c>
    </row>
    <row r="2012" spans="1:40" x14ac:dyDescent="0.25">
      <c r="A2012" t="str">
        <f>"20190304154757590"</f>
        <v>20190304154757590</v>
      </c>
      <c r="B2012" t="str">
        <f>"1551685677578063"</f>
        <v>1551685677578063</v>
      </c>
      <c r="C2012" t="s">
        <v>40</v>
      </c>
      <c r="D2012">
        <v>4.8186549999999997</v>
      </c>
      <c r="E2012">
        <v>0.5981088</v>
      </c>
      <c r="F2012" t="s">
        <v>44</v>
      </c>
      <c r="G2012">
        <v>-193.31469999999999</v>
      </c>
      <c r="H2012" s="1">
        <v>-4.4261050000000002E-6</v>
      </c>
      <c r="I2012">
        <v>338.2654</v>
      </c>
      <c r="J2012">
        <v>-192.59530000000001</v>
      </c>
      <c r="K2012">
        <v>1.103459</v>
      </c>
      <c r="L2012">
        <v>353.60550000000001</v>
      </c>
      <c r="M2012">
        <v>0.2469123</v>
      </c>
      <c r="N2012">
        <v>-1.519945E-2</v>
      </c>
      <c r="O2012">
        <v>-0.96891870000000002</v>
      </c>
      <c r="P2012">
        <v>0.2112646</v>
      </c>
      <c r="Q2012">
        <v>0.1052101</v>
      </c>
      <c r="R2012">
        <v>-0.97175020000000001</v>
      </c>
      <c r="S2012">
        <v>-0.14057919999999999</v>
      </c>
      <c r="T2012">
        <v>-0.22412789999999999</v>
      </c>
      <c r="U2012">
        <v>-3.1473390000000001</v>
      </c>
      <c r="V2012">
        <v>3.7440609999999999E-2</v>
      </c>
      <c r="W2012">
        <v>0.1196376</v>
      </c>
      <c r="X2012">
        <v>0.99211139999999998</v>
      </c>
      <c r="Y2012">
        <v>0.28966900000000001</v>
      </c>
      <c r="Z2012">
        <v>5.0919119999999998E-2</v>
      </c>
      <c r="AA2012">
        <v>0.95577140000000005</v>
      </c>
      <c r="AB2012">
        <v>20</v>
      </c>
      <c r="AC2012">
        <v>-0.71939999999997895</v>
      </c>
      <c r="AD2012">
        <v>-1.103463426105</v>
      </c>
      <c r="AE2012">
        <v>-15.3401</v>
      </c>
      <c r="AF2012">
        <v>4.4621788607725401</v>
      </c>
      <c r="AG2012">
        <v>-1.103463426105</v>
      </c>
      <c r="AH2012">
        <v>14.6119345795041</v>
      </c>
      <c r="AI2012">
        <v>94.131030346378907</v>
      </c>
      <c r="AJ2012">
        <v>73.018426044951397</v>
      </c>
      <c r="AK2012">
        <v>15.317875305471899</v>
      </c>
      <c r="AL2012">
        <v>83.128812032081896</v>
      </c>
      <c r="AM2012">
        <v>87.838779570349601</v>
      </c>
      <c r="AN2012">
        <v>0.99999999231044601</v>
      </c>
    </row>
    <row r="2013" spans="1:40" x14ac:dyDescent="0.25">
      <c r="A2013" t="str">
        <f>"20190304154757614"</f>
        <v>20190304154757614</v>
      </c>
      <c r="B2013" t="str">
        <f>"1551685677608320"</f>
        <v>1551685677608320</v>
      </c>
      <c r="C2013" t="s">
        <v>40</v>
      </c>
      <c r="D2013">
        <v>4.7196559999999996</v>
      </c>
      <c r="E2013">
        <v>0.59838040000000003</v>
      </c>
      <c r="F2013" t="s">
        <v>44</v>
      </c>
      <c r="G2013">
        <v>-193.36519999999999</v>
      </c>
      <c r="H2013" s="1">
        <v>-4.3441139999999996E-6</v>
      </c>
      <c r="I2013">
        <v>337.99799999999999</v>
      </c>
      <c r="J2013">
        <v>-192.56059999999999</v>
      </c>
      <c r="K2013">
        <v>1.103758</v>
      </c>
      <c r="L2013">
        <v>353.39940000000001</v>
      </c>
      <c r="M2013">
        <v>0.2328817</v>
      </c>
      <c r="N2013">
        <v>-1.5096770000000001E-2</v>
      </c>
      <c r="O2013">
        <v>-0.97238800000000003</v>
      </c>
      <c r="P2013">
        <v>0.20118649999999999</v>
      </c>
      <c r="Q2013">
        <v>0.1067869</v>
      </c>
      <c r="R2013">
        <v>-0.97371479999999999</v>
      </c>
      <c r="S2013">
        <v>-0.15515139999999999</v>
      </c>
      <c r="T2013">
        <v>-0.22235859999999999</v>
      </c>
      <c r="U2013">
        <v>-3.1450499999999999</v>
      </c>
      <c r="V2013">
        <v>3.3269149999999997E-2</v>
      </c>
      <c r="W2013">
        <v>0.1212115</v>
      </c>
      <c r="X2013">
        <v>0.99206899999999998</v>
      </c>
      <c r="Y2013">
        <v>0.28028150000000002</v>
      </c>
      <c r="Z2013">
        <v>5.1004069999999999E-2</v>
      </c>
      <c r="AA2013">
        <v>0.95856189999999997</v>
      </c>
      <c r="AB2013">
        <v>20</v>
      </c>
      <c r="AC2013">
        <v>-0.80459999999999299</v>
      </c>
      <c r="AD2013">
        <v>-1.1037623441140001</v>
      </c>
      <c r="AE2013">
        <v>-15.401399999999899</v>
      </c>
      <c r="AF2013">
        <v>4.34731773973314</v>
      </c>
      <c r="AG2013">
        <v>-1.1037623441140001</v>
      </c>
      <c r="AH2013">
        <v>14.7150719507249</v>
      </c>
      <c r="AI2013">
        <v>94.114504547479399</v>
      </c>
      <c r="AJ2013">
        <v>73.541120949939597</v>
      </c>
      <c r="AK2013">
        <v>15.3834588229531</v>
      </c>
      <c r="AL2013">
        <v>83.037973043119607</v>
      </c>
      <c r="AM2013">
        <v>88.0792991232193</v>
      </c>
      <c r="AN2013">
        <v>0.999999982417486</v>
      </c>
    </row>
    <row r="2014" spans="1:40" x14ac:dyDescent="0.25">
      <c r="A2014" t="str">
        <f>"20190304154757637"</f>
        <v>20190304154757637</v>
      </c>
      <c r="B2014" t="str">
        <f>"1551685677628816"</f>
        <v>1551685677628816</v>
      </c>
      <c r="C2014" t="s">
        <v>40</v>
      </c>
      <c r="D2014">
        <v>4.8006359999999999</v>
      </c>
      <c r="E2014">
        <v>0.59801159999999998</v>
      </c>
      <c r="F2014" t="s">
        <v>44</v>
      </c>
      <c r="G2014">
        <v>-193.61840000000001</v>
      </c>
      <c r="H2014" s="1">
        <v>-3.6221859999999998E-6</v>
      </c>
      <c r="I2014">
        <v>335.78829999999999</v>
      </c>
      <c r="J2014">
        <v>-192.52789999999999</v>
      </c>
      <c r="K2014">
        <v>1.1040669999999999</v>
      </c>
      <c r="L2014">
        <v>353.18920000000003</v>
      </c>
      <c r="M2014">
        <v>0.2190406</v>
      </c>
      <c r="N2014">
        <v>-1.4986370000000001E-2</v>
      </c>
      <c r="O2014">
        <v>-0.97560080000000005</v>
      </c>
      <c r="P2014">
        <v>0.19113050000000001</v>
      </c>
      <c r="Q2014">
        <v>0.10748770000000001</v>
      </c>
      <c r="R2014">
        <v>-0.97566200000000003</v>
      </c>
      <c r="S2014">
        <v>-0.1886902</v>
      </c>
      <c r="T2014">
        <v>-0.19689509999999999</v>
      </c>
      <c r="U2014">
        <v>-3.1415709999999999</v>
      </c>
      <c r="V2014">
        <v>2.9300550000000002E-2</v>
      </c>
      <c r="W2014">
        <v>0.1218936</v>
      </c>
      <c r="X2014">
        <v>0.99211059999999995</v>
      </c>
      <c r="Y2014">
        <v>0.2769392</v>
      </c>
      <c r="Z2014">
        <v>4.3928729999999999E-2</v>
      </c>
      <c r="AA2014">
        <v>0.95988280000000004</v>
      </c>
      <c r="AB2014">
        <v>20</v>
      </c>
      <c r="AC2014">
        <v>-1.09050000000002</v>
      </c>
      <c r="AD2014">
        <v>-1.1040706221859999</v>
      </c>
      <c r="AE2014">
        <v>-17.4009</v>
      </c>
      <c r="AF2014">
        <v>4.8564685035475597</v>
      </c>
      <c r="AG2014">
        <v>-1.1040706221859999</v>
      </c>
      <c r="AH2014">
        <v>16.6724883324407</v>
      </c>
      <c r="AI2014">
        <v>93.637897969959496</v>
      </c>
      <c r="AJ2014">
        <v>73.7598787714049</v>
      </c>
      <c r="AK2014">
        <v>17.400463369120299</v>
      </c>
      <c r="AL2014">
        <v>82.998599811537801</v>
      </c>
      <c r="AM2014">
        <v>88.308343839867902</v>
      </c>
      <c r="AN2014">
        <v>1.00000000729181</v>
      </c>
    </row>
    <row r="2015" spans="1:40" x14ac:dyDescent="0.25">
      <c r="A2015" t="str">
        <f>"20190304154757659"</f>
        <v>20190304154757659</v>
      </c>
      <c r="B2015" t="str">
        <f>"1551685677648336"</f>
        <v>1551685677648336</v>
      </c>
      <c r="C2015" t="s">
        <v>40</v>
      </c>
      <c r="D2015">
        <v>4.782432</v>
      </c>
      <c r="E2015">
        <v>0.5974488</v>
      </c>
      <c r="F2015" t="s">
        <v>44</v>
      </c>
      <c r="G2015">
        <v>-193.82310000000001</v>
      </c>
      <c r="H2015" s="1">
        <v>-3.138703E-6</v>
      </c>
      <c r="I2015">
        <v>334.53429999999997</v>
      </c>
      <c r="J2015">
        <v>-192.49930000000001</v>
      </c>
      <c r="K2015">
        <v>1.1043160000000001</v>
      </c>
      <c r="L2015">
        <v>352.99180000000001</v>
      </c>
      <c r="M2015">
        <v>0.2064057</v>
      </c>
      <c r="N2015">
        <v>-1.488343E-2</v>
      </c>
      <c r="O2015">
        <v>-0.97835340000000004</v>
      </c>
      <c r="P2015">
        <v>0.18235460000000001</v>
      </c>
      <c r="Q2015">
        <v>0.107257199999999</v>
      </c>
      <c r="R2015">
        <v>-0.97736529999999999</v>
      </c>
      <c r="S2015">
        <v>-0.2178802</v>
      </c>
      <c r="T2015">
        <v>-0.18571889999999999</v>
      </c>
      <c r="U2015">
        <v>-3.1379999999999999</v>
      </c>
      <c r="V2015">
        <v>2.5301870000000001E-2</v>
      </c>
      <c r="W2015">
        <v>0.12164510000000001</v>
      </c>
      <c r="X2015">
        <v>0.99225110000000005</v>
      </c>
      <c r="Y2015">
        <v>0.27348909999999998</v>
      </c>
      <c r="Z2015">
        <v>4.1003049999999999E-2</v>
      </c>
      <c r="AA2015">
        <v>0.96100070000000004</v>
      </c>
      <c r="AB2015">
        <v>20</v>
      </c>
      <c r="AC2015">
        <v>-1.3238000000000001</v>
      </c>
      <c r="AD2015">
        <v>-1.104319138703</v>
      </c>
      <c r="AE2015">
        <v>-18.4575</v>
      </c>
      <c r="AF2015">
        <v>5.0873246520337103</v>
      </c>
      <c r="AG2015">
        <v>-1.104319138703</v>
      </c>
      <c r="AH2015">
        <v>17.723566427078701</v>
      </c>
      <c r="AI2015">
        <v>93.427328351419405</v>
      </c>
      <c r="AJ2015">
        <v>73.984546478600194</v>
      </c>
      <c r="AK2015">
        <v>18.4722819318667</v>
      </c>
      <c r="AL2015">
        <v>83.012944370087197</v>
      </c>
      <c r="AM2015">
        <v>88.539304939881305</v>
      </c>
      <c r="AN2015">
        <v>0.99999998021535796</v>
      </c>
    </row>
    <row r="2016" spans="1:40" x14ac:dyDescent="0.25">
      <c r="A2016" t="str">
        <f>"20190304154757673"</f>
        <v>20190304154757673</v>
      </c>
      <c r="B2016" t="str">
        <f>"1551685677668831"</f>
        <v>1551685677668831</v>
      </c>
      <c r="C2016" t="s">
        <v>40</v>
      </c>
      <c r="D2016">
        <v>4.8293269999999904</v>
      </c>
      <c r="E2016">
        <v>0.59650939999999997</v>
      </c>
      <c r="F2016" t="s">
        <v>44</v>
      </c>
      <c r="G2016">
        <v>-193.98169999999999</v>
      </c>
      <c r="H2016" s="1">
        <v>-2.8399199999999998E-6</v>
      </c>
      <c r="I2016">
        <v>333.73950000000002</v>
      </c>
      <c r="J2016">
        <v>-192.48179999999999</v>
      </c>
      <c r="K2016">
        <v>1.104468</v>
      </c>
      <c r="L2016">
        <v>352.86349999999999</v>
      </c>
      <c r="M2016">
        <v>0.19836670000000001</v>
      </c>
      <c r="N2016">
        <v>-1.4818049999999999E-2</v>
      </c>
      <c r="O2016">
        <v>-0.98001590000000005</v>
      </c>
      <c r="P2016">
        <v>0.17643020000000001</v>
      </c>
      <c r="Q2016">
        <v>0.1070797</v>
      </c>
      <c r="R2016">
        <v>-0.9784716</v>
      </c>
      <c r="S2016">
        <v>-0.24133299999999999</v>
      </c>
      <c r="T2016">
        <v>-0.1797832</v>
      </c>
      <c r="U2016">
        <v>-3.134277</v>
      </c>
      <c r="V2016">
        <v>2.311713E-2</v>
      </c>
      <c r="W2016">
        <v>0.12144679999999999</v>
      </c>
      <c r="X2016">
        <v>0.99232869999999995</v>
      </c>
      <c r="Y2016">
        <v>0.27283429999999997</v>
      </c>
      <c r="Z2016">
        <v>3.9474479999999999E-2</v>
      </c>
      <c r="AA2016">
        <v>0.96125079999999996</v>
      </c>
      <c r="AB2016">
        <v>20</v>
      </c>
      <c r="AC2016">
        <v>-1.49989999999999</v>
      </c>
      <c r="AD2016">
        <v>-1.1044708399200001</v>
      </c>
      <c r="AE2016">
        <v>-19.123999999999899</v>
      </c>
      <c r="AF2016">
        <v>5.2466754532452597</v>
      </c>
      <c r="AG2016">
        <v>-1.1044708399200001</v>
      </c>
      <c r="AH2016">
        <v>18.3853702494395</v>
      </c>
      <c r="AI2016">
        <v>93.306141474199507</v>
      </c>
      <c r="AJ2016">
        <v>74.072721085739801</v>
      </c>
      <c r="AK2016">
        <v>19.1512218502344</v>
      </c>
      <c r="AL2016">
        <v>83.024391044659197</v>
      </c>
      <c r="AM2016">
        <v>88.665488100291697</v>
      </c>
      <c r="AN2016">
        <v>0.99999998788668298</v>
      </c>
    </row>
    <row r="2017" spans="1:40" x14ac:dyDescent="0.25">
      <c r="A2017" t="str">
        <f>"20190304154757692"</f>
        <v>20190304154757692</v>
      </c>
      <c r="B2017" t="str">
        <f>"1551685677688353"</f>
        <v>1551685677688353</v>
      </c>
      <c r="C2017" t="s">
        <v>40</v>
      </c>
      <c r="D2017">
        <v>4.8349609999999998</v>
      </c>
      <c r="E2017">
        <v>0.59574469999999902</v>
      </c>
      <c r="F2017" t="s">
        <v>44</v>
      </c>
      <c r="G2017">
        <v>-194.06649999999999</v>
      </c>
      <c r="H2017" s="1">
        <v>-2.6423469999999999E-6</v>
      </c>
      <c r="I2017">
        <v>333.22640000000001</v>
      </c>
      <c r="J2017">
        <v>-192.46090000000001</v>
      </c>
      <c r="K2017">
        <v>1.1046579999999999</v>
      </c>
      <c r="L2017">
        <v>352.70100000000002</v>
      </c>
      <c r="M2017">
        <v>0.1884535</v>
      </c>
      <c r="N2017">
        <v>-1.473588E-2</v>
      </c>
      <c r="O2017">
        <v>-0.9819717</v>
      </c>
      <c r="P2017">
        <v>0.17033980000000001</v>
      </c>
      <c r="Q2017">
        <v>0.1070277</v>
      </c>
      <c r="R2017">
        <v>-0.97955590000000003</v>
      </c>
      <c r="S2017">
        <v>-0.25265500000000002</v>
      </c>
      <c r="T2017">
        <v>-0.17609050000000001</v>
      </c>
      <c r="U2017">
        <v>-3.1308289999999999</v>
      </c>
      <c r="V2017">
        <v>1.919879E-2</v>
      </c>
      <c r="W2017">
        <v>0.1213848</v>
      </c>
      <c r="X2017">
        <v>0.99241979999999996</v>
      </c>
      <c r="Y2017">
        <v>0.26665290000000003</v>
      </c>
      <c r="Z2017">
        <v>3.8707430000000001E-2</v>
      </c>
      <c r="AA2017">
        <v>0.96301499999999995</v>
      </c>
      <c r="AB2017">
        <v>20</v>
      </c>
      <c r="AC2017">
        <v>-1.6055999999999799</v>
      </c>
      <c r="AD2017">
        <v>-1.104660642347</v>
      </c>
      <c r="AE2017">
        <v>-19.474599999999899</v>
      </c>
      <c r="AF2017">
        <v>5.2305634853200802</v>
      </c>
      <c r="AG2017">
        <v>-1.104660642347</v>
      </c>
      <c r="AH2017">
        <v>18.763003529909501</v>
      </c>
      <c r="AI2017">
        <v>93.245881732060298</v>
      </c>
      <c r="AJ2017">
        <v>74.423121924725393</v>
      </c>
      <c r="AK2017">
        <v>19.509725035789401</v>
      </c>
      <c r="AL2017">
        <v>83.027969673917994</v>
      </c>
      <c r="AM2017">
        <v>88.891726621214502</v>
      </c>
      <c r="AN2017">
        <v>0.99999996132027102</v>
      </c>
    </row>
    <row r="2018" spans="1:40" x14ac:dyDescent="0.25">
      <c r="A2018" t="str">
        <f>"20190304154757705"</f>
        <v>20190304154757705</v>
      </c>
      <c r="B2018" t="str">
        <f>"1551685677699088"</f>
        <v>1551685677699088</v>
      </c>
      <c r="C2018" t="s">
        <v>40</v>
      </c>
      <c r="D2018">
        <v>4.8056679999999998</v>
      </c>
      <c r="E2018">
        <v>0.59527390000000002</v>
      </c>
      <c r="F2018" t="s">
        <v>44</v>
      </c>
      <c r="G2018">
        <v>-194.15110000000001</v>
      </c>
      <c r="H2018" s="1">
        <v>-2.457694E-6</v>
      </c>
      <c r="I2018">
        <v>332.74349999999998</v>
      </c>
      <c r="J2018">
        <v>-192.44499999999999</v>
      </c>
      <c r="K2018">
        <v>1.104819</v>
      </c>
      <c r="L2018">
        <v>352.56849999999997</v>
      </c>
      <c r="M2018">
        <v>0.18062880000000001</v>
      </c>
      <c r="N2018">
        <v>-1.466751E-2</v>
      </c>
      <c r="O2018">
        <v>-0.98344209999999999</v>
      </c>
      <c r="P2018">
        <v>0.1641331</v>
      </c>
      <c r="Q2018">
        <v>0.10731599999999999</v>
      </c>
      <c r="R2018">
        <v>-0.98058339999999999</v>
      </c>
      <c r="S2018">
        <v>-0.26487729999999998</v>
      </c>
      <c r="T2018">
        <v>-0.17311360000000001</v>
      </c>
      <c r="U2018">
        <v>-3.1275940000000002</v>
      </c>
      <c r="V2018">
        <v>1.7528439999999999E-2</v>
      </c>
      <c r="W2018">
        <v>0.1216366</v>
      </c>
      <c r="X2018">
        <v>0.99241990000000002</v>
      </c>
      <c r="Y2018">
        <v>0.26280179999999997</v>
      </c>
      <c r="Z2018">
        <v>3.8069350000000002E-2</v>
      </c>
      <c r="AA2018">
        <v>0.96409849999999997</v>
      </c>
      <c r="AB2018">
        <v>20</v>
      </c>
      <c r="AC2018">
        <v>-1.7061000000000199</v>
      </c>
      <c r="AD2018">
        <v>-1.1048214576940001</v>
      </c>
      <c r="AE2018">
        <v>-19.8249999999999</v>
      </c>
      <c r="AF2018">
        <v>5.2432175193002699</v>
      </c>
      <c r="AG2018">
        <v>-1.1048214576940001</v>
      </c>
      <c r="AH2018">
        <v>19.1316505876548</v>
      </c>
      <c r="AI2018">
        <v>93.187774848839595</v>
      </c>
      <c r="AJ2018">
        <v>74.673839515102799</v>
      </c>
      <c r="AK2018">
        <v>19.867863866460102</v>
      </c>
      <c r="AL2018">
        <v>83.013435049361902</v>
      </c>
      <c r="AM2018">
        <v>88.988128694929003</v>
      </c>
      <c r="AN2018">
        <v>0.99999998329220097</v>
      </c>
    </row>
    <row r="2019" spans="1:40" x14ac:dyDescent="0.25">
      <c r="A2019" t="str">
        <f>"20190304154757725"</f>
        <v>20190304154757725</v>
      </c>
      <c r="B2019" t="str">
        <f>"1551685677718608"</f>
        <v>1551685677718608</v>
      </c>
      <c r="C2019" t="s">
        <v>40</v>
      </c>
      <c r="D2019">
        <v>4.7557210000000003</v>
      </c>
      <c r="E2019">
        <v>0.59436140000000004</v>
      </c>
      <c r="F2019" t="s">
        <v>44</v>
      </c>
      <c r="G2019">
        <v>-194.24870000000001</v>
      </c>
      <c r="H2019" s="1">
        <v>-2.3602080000000001E-6</v>
      </c>
      <c r="I2019">
        <v>332.45569999999998</v>
      </c>
      <c r="J2019">
        <v>-192.4255</v>
      </c>
      <c r="K2019">
        <v>1.105032</v>
      </c>
      <c r="L2019">
        <v>352.39589999999998</v>
      </c>
      <c r="M2019">
        <v>0.17068889999999901</v>
      </c>
      <c r="N2019">
        <v>-1.457843E-2</v>
      </c>
      <c r="O2019">
        <v>-0.98521729999999996</v>
      </c>
      <c r="P2019">
        <v>0.15745219999999999</v>
      </c>
      <c r="Q2019">
        <v>0.1077346</v>
      </c>
      <c r="R2019">
        <v>-0.98163230000000001</v>
      </c>
      <c r="S2019">
        <v>-0.28025820000000001</v>
      </c>
      <c r="T2019">
        <v>-0.17166689999999901</v>
      </c>
      <c r="U2019">
        <v>-3.1251220000000002</v>
      </c>
      <c r="V2019">
        <v>1.419191E-2</v>
      </c>
      <c r="W2019">
        <v>0.1220237</v>
      </c>
      <c r="X2019">
        <v>0.99242569999999997</v>
      </c>
      <c r="Y2019">
        <v>0.25783410000000001</v>
      </c>
      <c r="Z2019">
        <v>3.7931220000000002E-2</v>
      </c>
      <c r="AA2019">
        <v>0.96544430000000003</v>
      </c>
      <c r="AB2019">
        <v>20</v>
      </c>
      <c r="AC2019">
        <v>-1.8232000000000099</v>
      </c>
      <c r="AD2019">
        <v>-1.1050343602079999</v>
      </c>
      <c r="AE2019">
        <v>-19.940200000000001</v>
      </c>
      <c r="AF2019">
        <v>5.1845803937769999</v>
      </c>
      <c r="AG2019">
        <v>-1.1050343602079999</v>
      </c>
      <c r="AH2019">
        <v>19.277569101672398</v>
      </c>
      <c r="AI2019">
        <v>93.168391021350502</v>
      </c>
      <c r="AJ2019">
        <v>74.946850171011903</v>
      </c>
      <c r="AK2019">
        <v>19.993139955158</v>
      </c>
      <c r="AL2019">
        <v>82.991089388829195</v>
      </c>
      <c r="AM2019">
        <v>89.180713351947603</v>
      </c>
      <c r="AN2019">
        <v>0.99999998184581296</v>
      </c>
    </row>
    <row r="2020" spans="1:40" x14ac:dyDescent="0.25">
      <c r="A2020" t="str">
        <f>"20190304154757739"</f>
        <v>20190304154757739</v>
      </c>
      <c r="B2020" t="str">
        <f>"1551685677728368"</f>
        <v>1551685677728368</v>
      </c>
      <c r="C2020" t="s">
        <v>40</v>
      </c>
      <c r="D2020">
        <v>4.7547350000000002</v>
      </c>
      <c r="E2020">
        <v>0.59379349999999997</v>
      </c>
      <c r="F2020" t="s">
        <v>44</v>
      </c>
      <c r="G2020">
        <v>-194.34719999999999</v>
      </c>
      <c r="H2020" s="1">
        <v>-2.159053E-6</v>
      </c>
      <c r="I2020">
        <v>331.92570000000001</v>
      </c>
      <c r="J2020">
        <v>-192.41239999999999</v>
      </c>
      <c r="K2020">
        <v>1.105199</v>
      </c>
      <c r="L2020">
        <v>352.27190000000002</v>
      </c>
      <c r="M2020">
        <v>0.16376180000000001</v>
      </c>
      <c r="N2020">
        <v>-1.4513369999999999E-2</v>
      </c>
      <c r="O2020">
        <v>-0.98639319999999997</v>
      </c>
      <c r="P2020">
        <v>0.15240999999999999</v>
      </c>
      <c r="Q2020">
        <v>0.10808719999999999</v>
      </c>
      <c r="R2020">
        <v>-0.98238919999999996</v>
      </c>
      <c r="S2020">
        <v>-0.293045</v>
      </c>
      <c r="T2020">
        <v>-0.16851429999999901</v>
      </c>
      <c r="U2020">
        <v>-3.1216430000000002</v>
      </c>
      <c r="V2020">
        <v>1.225833E-2</v>
      </c>
      <c r="W2020">
        <v>0.1223436</v>
      </c>
      <c r="X2020">
        <v>0.99241210000000002</v>
      </c>
      <c r="Y2020">
        <v>0.25506839999999997</v>
      </c>
      <c r="Z2020">
        <v>3.7194640000000001E-2</v>
      </c>
      <c r="AA2020">
        <v>0.96620740000000005</v>
      </c>
      <c r="AB2020">
        <v>20</v>
      </c>
      <c r="AC2020">
        <v>-1.9347999999999901</v>
      </c>
      <c r="AD2020">
        <v>-1.105201159053</v>
      </c>
      <c r="AE2020">
        <v>-20.3462</v>
      </c>
      <c r="AF2020">
        <v>5.22567471561341</v>
      </c>
      <c r="AG2020">
        <v>-1.105201159053</v>
      </c>
      <c r="AH2020">
        <v>19.696988700421599</v>
      </c>
      <c r="AI2020">
        <v>93.104335846234207</v>
      </c>
      <c r="AJ2020">
        <v>75.141540400847603</v>
      </c>
      <c r="AK2020">
        <v>20.4083441194995</v>
      </c>
      <c r="AL2020">
        <v>82.972622228463806</v>
      </c>
      <c r="AM2020">
        <v>89.292315303119906</v>
      </c>
      <c r="AN2020">
        <v>0.99999999967087905</v>
      </c>
    </row>
    <row r="2021" spans="1:40" x14ac:dyDescent="0.25">
      <c r="A2021" t="str">
        <f>"20190304154757759"</f>
        <v>20190304154757759</v>
      </c>
      <c r="B2021" t="str">
        <f>"1551685677748863"</f>
        <v>1551685677748863</v>
      </c>
      <c r="C2021" t="s">
        <v>40</v>
      </c>
      <c r="D2021">
        <v>4.7694830000000001</v>
      </c>
      <c r="E2021">
        <v>0.592962199999999</v>
      </c>
      <c r="F2021" t="s">
        <v>44</v>
      </c>
      <c r="G2021">
        <v>-194.4281</v>
      </c>
      <c r="H2021" s="1">
        <v>-2.040034E-6</v>
      </c>
      <c r="I2021">
        <v>331.59809999999999</v>
      </c>
      <c r="J2021">
        <v>-192.39449999999999</v>
      </c>
      <c r="K2021">
        <v>1.1054619999999999</v>
      </c>
      <c r="L2021">
        <v>352.09289999999999</v>
      </c>
      <c r="M2021">
        <v>0.15407219999999999</v>
      </c>
      <c r="N2021">
        <v>-1.441869E-2</v>
      </c>
      <c r="O2021">
        <v>-0.98795449999999996</v>
      </c>
      <c r="P2021">
        <v>0.1464442</v>
      </c>
      <c r="Q2021">
        <v>0.10860739999999899</v>
      </c>
      <c r="R2021">
        <v>-0.98323919999999998</v>
      </c>
      <c r="S2021">
        <v>-0.30413820000000003</v>
      </c>
      <c r="T2021">
        <v>-0.1667556</v>
      </c>
      <c r="U2021">
        <v>-3.1193240000000002</v>
      </c>
      <c r="V2021">
        <v>8.4524030000000007E-3</v>
      </c>
      <c r="W2021">
        <v>0.1228273</v>
      </c>
      <c r="X2021">
        <v>0.9923921</v>
      </c>
      <c r="Y2021">
        <v>0.2490511</v>
      </c>
      <c r="Z2021">
        <v>3.6949030000000001E-2</v>
      </c>
      <c r="AA2021">
        <v>0.96778520000000001</v>
      </c>
      <c r="AB2021">
        <v>20</v>
      </c>
      <c r="AC2021">
        <v>-2.0335999999999999</v>
      </c>
      <c r="AD2021">
        <v>-1.1054640400339999</v>
      </c>
      <c r="AE2021">
        <v>-20.494800000000001</v>
      </c>
      <c r="AF2021">
        <v>5.1524753492665001</v>
      </c>
      <c r="AG2021">
        <v>-1.1054640400339999</v>
      </c>
      <c r="AH2021">
        <v>19.879405779154101</v>
      </c>
      <c r="AI2021">
        <v>93.081247140909198</v>
      </c>
      <c r="AJ2021">
        <v>75.469446519524496</v>
      </c>
      <c r="AK2021">
        <v>20.566011453387699</v>
      </c>
      <c r="AL2021">
        <v>82.944697897980504</v>
      </c>
      <c r="AM2021">
        <v>89.512012128416401</v>
      </c>
      <c r="AN2021">
        <v>1.0000000344420801</v>
      </c>
    </row>
    <row r="2022" spans="1:40" x14ac:dyDescent="0.25">
      <c r="A2022" t="str">
        <f>"20190304154757774"</f>
        <v>20190304154757774</v>
      </c>
      <c r="B2022" t="str">
        <f>"1551685677768385"</f>
        <v>1551685677768385</v>
      </c>
      <c r="C2022" t="s">
        <v>40</v>
      </c>
      <c r="D2022">
        <v>4.7490839999999999</v>
      </c>
      <c r="E2022">
        <v>0.59173140000000002</v>
      </c>
      <c r="F2022" t="s">
        <v>44</v>
      </c>
      <c r="G2022">
        <v>-194.54</v>
      </c>
      <c r="H2022" s="1">
        <v>-1.793473E-6</v>
      </c>
      <c r="I2022">
        <v>330.95389999999998</v>
      </c>
      <c r="J2022">
        <v>-192.38290000000001</v>
      </c>
      <c r="K2022">
        <v>1.105656</v>
      </c>
      <c r="L2022">
        <v>351.96910000000003</v>
      </c>
      <c r="M2022">
        <v>0.14756820000000001</v>
      </c>
      <c r="N2022">
        <v>-1.4353889999999999E-2</v>
      </c>
      <c r="O2022">
        <v>-0.98894769999999999</v>
      </c>
      <c r="P2022">
        <v>0.14158689999999999</v>
      </c>
      <c r="Q2022">
        <v>0.10902870000000001</v>
      </c>
      <c r="R2022">
        <v>-0.98390350000000004</v>
      </c>
      <c r="S2022">
        <v>-0.31626890000000002</v>
      </c>
      <c r="T2022">
        <v>-0.16296260000000001</v>
      </c>
      <c r="U2022">
        <v>-3.1162109999999998</v>
      </c>
      <c r="V2022">
        <v>6.7597559999999996E-3</v>
      </c>
      <c r="W2022">
        <v>0.1232087</v>
      </c>
      <c r="X2022">
        <v>0.99235770000000001</v>
      </c>
      <c r="Y2022">
        <v>0.24650949999999999</v>
      </c>
      <c r="Z2022">
        <v>3.598142E-2</v>
      </c>
      <c r="AA2022">
        <v>0.96847220000000001</v>
      </c>
      <c r="AB2022">
        <v>20</v>
      </c>
      <c r="AC2022">
        <v>-2.1570999999999798</v>
      </c>
      <c r="AD2022">
        <v>-1.1056577934730001</v>
      </c>
      <c r="AE2022">
        <v>-21.0152</v>
      </c>
      <c r="AF2022">
        <v>5.2206733094397997</v>
      </c>
      <c r="AG2022">
        <v>-1.1056577934730001</v>
      </c>
      <c r="AH2022">
        <v>20.410814108900901</v>
      </c>
      <c r="AI2022">
        <v>93.004164462012398</v>
      </c>
      <c r="AJ2022">
        <v>75.652506319828504</v>
      </c>
      <c r="AK2022">
        <v>21.096901230945502</v>
      </c>
      <c r="AL2022">
        <v>82.922677373262005</v>
      </c>
      <c r="AM2022">
        <v>89.609717847631202</v>
      </c>
      <c r="AN2022">
        <v>0.99999994140307802</v>
      </c>
    </row>
    <row r="2023" spans="1:40" x14ac:dyDescent="0.25">
      <c r="A2023" t="str">
        <f>"20190304154757791"</f>
        <v>20190304154757791</v>
      </c>
      <c r="B2023" t="str">
        <f>"1551685677788880"</f>
        <v>1551685677788880</v>
      </c>
      <c r="C2023" t="s">
        <v>40</v>
      </c>
      <c r="D2023">
        <v>4.7705270000000004</v>
      </c>
      <c r="E2023">
        <v>0.56850109999999998</v>
      </c>
      <c r="F2023" t="s">
        <v>44</v>
      </c>
      <c r="G2023">
        <v>-194.59450000000001</v>
      </c>
      <c r="H2023" s="1">
        <v>-1.629483E-6</v>
      </c>
      <c r="I2023">
        <v>330.5378</v>
      </c>
      <c r="J2023">
        <v>-192.36850000000001</v>
      </c>
      <c r="K2023">
        <v>1.1059190000000001</v>
      </c>
      <c r="L2023">
        <v>351.80650000000003</v>
      </c>
      <c r="M2023">
        <v>0.1393141</v>
      </c>
      <c r="N2023">
        <v>-1.4270339999999999E-2</v>
      </c>
      <c r="O2023">
        <v>-0.99014539999999995</v>
      </c>
      <c r="P2023">
        <v>0.13664389999999901</v>
      </c>
      <c r="Q2023">
        <v>0.1095001</v>
      </c>
      <c r="R2023">
        <v>-0.98454980000000003</v>
      </c>
      <c r="S2023">
        <v>-0.3212585</v>
      </c>
      <c r="T2023">
        <v>-0.16060749999999999</v>
      </c>
      <c r="U2023">
        <v>-3.1130979999999999</v>
      </c>
      <c r="V2023">
        <v>3.380713E-3</v>
      </c>
      <c r="W2023">
        <v>0.12364120000000001</v>
      </c>
      <c r="X2023">
        <v>0.99232129999999996</v>
      </c>
      <c r="Y2023">
        <v>0.24006130000000001</v>
      </c>
      <c r="Z2023">
        <v>3.5521949999999997E-2</v>
      </c>
      <c r="AA2023">
        <v>0.97010759999999996</v>
      </c>
      <c r="AB2023">
        <v>20</v>
      </c>
      <c r="AC2023">
        <v>-2.2259999999999902</v>
      </c>
      <c r="AD2023">
        <v>-1.105920629483</v>
      </c>
      <c r="AE2023">
        <v>-21.268699999999999</v>
      </c>
      <c r="AF2023">
        <v>5.15383604324765</v>
      </c>
      <c r="AG2023">
        <v>-1.105920629483</v>
      </c>
      <c r="AH2023">
        <v>20.6957557731584</v>
      </c>
      <c r="AI2023">
        <v>92.968322839416501</v>
      </c>
      <c r="AJ2023">
        <v>76.016149170093996</v>
      </c>
      <c r="AK2023">
        <v>21.356483638970499</v>
      </c>
      <c r="AL2023">
        <v>82.897706924538497</v>
      </c>
      <c r="AM2023">
        <v>89.804801290432295</v>
      </c>
      <c r="AN2023">
        <v>1.00000006899575</v>
      </c>
    </row>
    <row r="2024" spans="1:40" x14ac:dyDescent="0.25">
      <c r="A2024" t="str">
        <f>"20190304154757817"</f>
        <v>20190304154757817</v>
      </c>
      <c r="B2024" t="str">
        <f>"1551685677808400"</f>
        <v>1551685677808400</v>
      </c>
      <c r="C2024" t="s">
        <v>40</v>
      </c>
      <c r="D2024">
        <v>4.744758</v>
      </c>
      <c r="E2024">
        <v>0.56896979999999997</v>
      </c>
      <c r="F2024" t="s">
        <v>44</v>
      </c>
      <c r="G2024">
        <v>-193.63630000000001</v>
      </c>
      <c r="H2024" s="1">
        <v>-3.6828999999999999E-6</v>
      </c>
      <c r="I2024">
        <v>325.9187</v>
      </c>
      <c r="J2024">
        <v>-192.35120000000001</v>
      </c>
      <c r="K2024">
        <v>1.106233</v>
      </c>
      <c r="L2024">
        <v>351.59190000000001</v>
      </c>
      <c r="M2024">
        <v>0.12891949999999999</v>
      </c>
      <c r="N2024">
        <v>-1.4165499999999999E-2</v>
      </c>
      <c r="O2024">
        <v>-0.99155400000000005</v>
      </c>
      <c r="P2024">
        <v>0.129966</v>
      </c>
      <c r="Q2024">
        <v>0.10982889999999999</v>
      </c>
      <c r="R2024">
        <v>-0.98541679999999998</v>
      </c>
      <c r="S2024">
        <v>-0.15097049999999901</v>
      </c>
      <c r="T2024">
        <v>-0.13169229999999901</v>
      </c>
      <c r="U2024">
        <v>-3.082703</v>
      </c>
      <c r="V2024">
        <v>-4.0485340000000002E-4</v>
      </c>
      <c r="W2024">
        <v>0.1239109</v>
      </c>
      <c r="X2024">
        <v>0.99229319999999999</v>
      </c>
      <c r="Y2024">
        <v>0.1771934</v>
      </c>
      <c r="Z2024">
        <v>2.7581640000000001E-2</v>
      </c>
      <c r="AA2024">
        <v>0.98378949999999998</v>
      </c>
      <c r="AB2024">
        <v>20</v>
      </c>
      <c r="AC2024">
        <v>-1.2850999999999999</v>
      </c>
      <c r="AD2024">
        <v>-1.1062366829000001</v>
      </c>
      <c r="AE2024">
        <v>-25.673200000000001</v>
      </c>
      <c r="AF2024">
        <v>4.57600667765991</v>
      </c>
      <c r="AG2024">
        <v>-1.1062366829000001</v>
      </c>
      <c r="AH2024">
        <v>25.2464672088167</v>
      </c>
      <c r="AI2024">
        <v>92.468777641084102</v>
      </c>
      <c r="AJ2024">
        <v>79.726483697526902</v>
      </c>
      <c r="AK2024">
        <v>25.681660834892199</v>
      </c>
      <c r="AL2024">
        <v>82.882133545325004</v>
      </c>
      <c r="AM2024">
        <v>90.0233765482363</v>
      </c>
      <c r="AN2024">
        <v>0.99999993490565997</v>
      </c>
    </row>
    <row r="2025" spans="1:40" x14ac:dyDescent="0.25">
      <c r="A2025" t="str">
        <f>"20190304154757838"</f>
        <v>20190304154757838</v>
      </c>
      <c r="B2025" t="str">
        <f>"1551685677828896"</f>
        <v>1551685677828896</v>
      </c>
      <c r="C2025" t="s">
        <v>40</v>
      </c>
      <c r="D2025">
        <v>4.6997849999999897</v>
      </c>
      <c r="E2025">
        <v>0.56954199999999999</v>
      </c>
      <c r="F2025" t="s">
        <v>44</v>
      </c>
      <c r="G2025">
        <v>-193.8433</v>
      </c>
      <c r="H2025" s="1">
        <v>-3.4419800000000001E-6</v>
      </c>
      <c r="I2025">
        <v>325.2287</v>
      </c>
      <c r="J2025">
        <v>-192.3365</v>
      </c>
      <c r="K2025">
        <v>1.106492</v>
      </c>
      <c r="L2025">
        <v>351.39120000000003</v>
      </c>
      <c r="M2025">
        <v>0.1196256</v>
      </c>
      <c r="N2025">
        <v>-1.4074440000000001E-2</v>
      </c>
      <c r="O2025">
        <v>-0.99271929999999997</v>
      </c>
      <c r="P2025">
        <v>0.1244873</v>
      </c>
      <c r="Q2025">
        <v>0.1100333</v>
      </c>
      <c r="R2025">
        <v>-0.98610109999999995</v>
      </c>
      <c r="S2025">
        <v>-0.1744232</v>
      </c>
      <c r="T2025">
        <v>-0.1293173</v>
      </c>
      <c r="U2025">
        <v>-3.0818180000000002</v>
      </c>
      <c r="V2025">
        <v>-4.2695470000000003E-3</v>
      </c>
      <c r="W2025">
        <v>0.1240652</v>
      </c>
      <c r="X2025">
        <v>0.99226490000000001</v>
      </c>
      <c r="Y2025">
        <v>0.1754568</v>
      </c>
      <c r="Z2025">
        <v>2.7000380000000001E-2</v>
      </c>
      <c r="AA2025">
        <v>0.98411680000000001</v>
      </c>
      <c r="AB2025">
        <v>20</v>
      </c>
      <c r="AC2025">
        <v>-1.5067999999999899</v>
      </c>
      <c r="AD2025">
        <v>-1.1064954419799999</v>
      </c>
      <c r="AE2025">
        <v>-26.162500000000001</v>
      </c>
      <c r="AF2025">
        <v>4.6177599037036501</v>
      </c>
      <c r="AG2025">
        <v>-1.1064954419799999</v>
      </c>
      <c r="AH2025">
        <v>25.748417705211299</v>
      </c>
      <c r="AI2025">
        <v>92.422081131558798</v>
      </c>
      <c r="AJ2025">
        <v>79.832575568268396</v>
      </c>
      <c r="AK2025">
        <v>26.182609744130001</v>
      </c>
      <c r="AL2025">
        <v>82.873224648222006</v>
      </c>
      <c r="AM2025">
        <v>90.246532467132994</v>
      </c>
      <c r="AN2025">
        <v>1.00000001732731</v>
      </c>
    </row>
    <row r="2026" spans="1:40" x14ac:dyDescent="0.25">
      <c r="A2026" t="str">
        <f>"20190304154757861"</f>
        <v>20190304154757861</v>
      </c>
      <c r="B2026" t="str">
        <f>"1551685677858177"</f>
        <v>1551685677858177</v>
      </c>
      <c r="C2026" t="s">
        <v>40</v>
      </c>
      <c r="D2026">
        <v>4.7240789999999997</v>
      </c>
      <c r="E2026">
        <v>0.56837419999999905</v>
      </c>
      <c r="F2026" t="s">
        <v>44</v>
      </c>
      <c r="G2026">
        <v>-193.9864</v>
      </c>
      <c r="H2026" s="1">
        <v>-3.5262260000000001E-6</v>
      </c>
      <c r="I2026">
        <v>325.33640000000003</v>
      </c>
      <c r="J2026">
        <v>-192.32300000000001</v>
      </c>
      <c r="K2026">
        <v>1.1067119999999999</v>
      </c>
      <c r="L2026">
        <v>351.18950000000001</v>
      </c>
      <c r="M2026">
        <v>0.11072559999999999</v>
      </c>
      <c r="N2026">
        <v>-1.3988840000000001E-2</v>
      </c>
      <c r="O2026">
        <v>-0.99375279999999999</v>
      </c>
      <c r="P2026">
        <v>0.1196811</v>
      </c>
      <c r="Q2026">
        <v>0.10989110000000001</v>
      </c>
      <c r="R2026">
        <v>-0.98671240000000004</v>
      </c>
      <c r="S2026">
        <v>-0.1951447</v>
      </c>
      <c r="T2026">
        <v>-0.13086689999999901</v>
      </c>
      <c r="U2026">
        <v>-3.0815429999999999</v>
      </c>
      <c r="V2026">
        <v>-8.4002869999999993E-3</v>
      </c>
      <c r="W2026">
        <v>0.1238768</v>
      </c>
      <c r="X2026">
        <v>0.99226210000000004</v>
      </c>
      <c r="Y2026">
        <v>0.17323329999999901</v>
      </c>
      <c r="Z2026">
        <v>2.7645989999999999E-2</v>
      </c>
      <c r="AA2026">
        <v>0.9844927</v>
      </c>
      <c r="AB2026">
        <v>20</v>
      </c>
      <c r="AC2026">
        <v>-1.66340000000002</v>
      </c>
      <c r="AD2026">
        <v>-1.106715526226</v>
      </c>
      <c r="AE2026">
        <v>-25.853099999999898</v>
      </c>
      <c r="AF2026">
        <v>4.5078226542271196</v>
      </c>
      <c r="AG2026">
        <v>-1.106715526226</v>
      </c>
      <c r="AH2026">
        <v>25.463429954023599</v>
      </c>
      <c r="AI2026">
        <v>92.4506192666787</v>
      </c>
      <c r="AJ2026">
        <v>79.960870204462296</v>
      </c>
      <c r="AK2026">
        <v>25.883035937876802</v>
      </c>
      <c r="AL2026">
        <v>82.884103329990694</v>
      </c>
      <c r="AM2026">
        <v>90.4850427060192</v>
      </c>
      <c r="AN2026">
        <v>1.0000000507481599</v>
      </c>
    </row>
    <row r="2027" spans="1:40" x14ac:dyDescent="0.25">
      <c r="A2027" t="str">
        <f>"20190304154757882"</f>
        <v>20190304154757882</v>
      </c>
      <c r="B2027" t="str">
        <f>"1551685677878672"</f>
        <v>1551685677878672</v>
      </c>
      <c r="C2027" t="s">
        <v>40</v>
      </c>
      <c r="D2027">
        <v>4.7453890000000003</v>
      </c>
      <c r="E2027">
        <v>0.56679650000000004</v>
      </c>
      <c r="F2027" t="s">
        <v>44</v>
      </c>
      <c r="G2027">
        <v>-193.94980000000001</v>
      </c>
      <c r="H2027" s="1">
        <v>-3.8338889999999997E-6</v>
      </c>
      <c r="I2027">
        <v>326.19400000000002</v>
      </c>
      <c r="J2027">
        <v>-192.3117</v>
      </c>
      <c r="K2027">
        <v>1.106911</v>
      </c>
      <c r="L2027">
        <v>351.00389999999999</v>
      </c>
      <c r="M2027">
        <v>0.1029394</v>
      </c>
      <c r="N2027">
        <v>-1.391332E-2</v>
      </c>
      <c r="O2027">
        <v>-0.99459039999999999</v>
      </c>
      <c r="P2027">
        <v>0.1165934</v>
      </c>
      <c r="Q2027">
        <v>0.10982649999999999</v>
      </c>
      <c r="R2027">
        <v>-0.98708879999999999</v>
      </c>
      <c r="S2027">
        <v>-0.20045470000000001</v>
      </c>
      <c r="T2027">
        <v>-0.13636779999999901</v>
      </c>
      <c r="U2027">
        <v>-3.079895</v>
      </c>
      <c r="V2027">
        <v>-1.3134170000000001E-2</v>
      </c>
      <c r="W2027">
        <v>0.123779399999999</v>
      </c>
      <c r="X2027">
        <v>0.99222279999999996</v>
      </c>
      <c r="Y2027">
        <v>0.16723759999999999</v>
      </c>
      <c r="Z2027">
        <v>2.957249E-2</v>
      </c>
      <c r="AA2027">
        <v>0.98547300000000004</v>
      </c>
      <c r="AB2027">
        <v>20</v>
      </c>
      <c r="AC2027">
        <v>-1.6380999999999999</v>
      </c>
      <c r="AD2027">
        <v>-1.106914833889</v>
      </c>
      <c r="AE2027">
        <v>-24.809899999999899</v>
      </c>
      <c r="AF2027">
        <v>4.1752842194625703</v>
      </c>
      <c r="AG2027">
        <v>-1.106914833889</v>
      </c>
      <c r="AH2027">
        <v>24.460953709132099</v>
      </c>
      <c r="AI2027">
        <v>92.554108424313497</v>
      </c>
      <c r="AJ2027">
        <v>80.313435209870903</v>
      </c>
      <c r="AK2027">
        <v>24.839414548718299</v>
      </c>
      <c r="AL2027">
        <v>82.889726613058997</v>
      </c>
      <c r="AM2027">
        <v>90.758386684714196</v>
      </c>
      <c r="AN2027">
        <v>0.99999996556289295</v>
      </c>
    </row>
    <row r="2028" spans="1:40" x14ac:dyDescent="0.25">
      <c r="A2028" t="str">
        <f>"20190304154757905"</f>
        <v>20190304154757905</v>
      </c>
      <c r="B2028" t="str">
        <f>"1551685677898192"</f>
        <v>1551685677898192</v>
      </c>
      <c r="C2028" t="s">
        <v>40</v>
      </c>
      <c r="D2028">
        <v>4.703119</v>
      </c>
      <c r="E2028">
        <v>0.55803190000000003</v>
      </c>
      <c r="F2028" t="s">
        <v>44</v>
      </c>
      <c r="G2028">
        <v>-193.87209999999999</v>
      </c>
      <c r="H2028" s="1">
        <v>-3.9966129999999997E-6</v>
      </c>
      <c r="I2028">
        <v>326.71269999999998</v>
      </c>
      <c r="J2028">
        <v>-192.30070000000001</v>
      </c>
      <c r="K2028">
        <v>1.1071390000000001</v>
      </c>
      <c r="L2028">
        <v>350.80180000000001</v>
      </c>
      <c r="M2028">
        <v>9.4886410000000004E-2</v>
      </c>
      <c r="N2028">
        <v>-1.383409E-2</v>
      </c>
      <c r="O2028">
        <v>-0.99539219999999895</v>
      </c>
      <c r="P2028">
        <v>0.113383399999999</v>
      </c>
      <c r="Q2028">
        <v>0.1102721</v>
      </c>
      <c r="R2028">
        <v>-0.98741319999999999</v>
      </c>
      <c r="S2028">
        <v>-0.19773859999999999</v>
      </c>
      <c r="T2028">
        <v>-0.140269899999999</v>
      </c>
      <c r="U2028">
        <v>-3.078217</v>
      </c>
      <c r="V2028">
        <v>-1.8015300000000001E-2</v>
      </c>
      <c r="W2028">
        <v>0.124182</v>
      </c>
      <c r="X2028">
        <v>0.99209590000000003</v>
      </c>
      <c r="Y2028">
        <v>0.15842029999999999</v>
      </c>
      <c r="Z2028">
        <v>3.1013059999999999E-2</v>
      </c>
      <c r="AA2028">
        <v>0.9868846</v>
      </c>
      <c r="AB2028">
        <v>20</v>
      </c>
      <c r="AC2028">
        <v>-1.5713999999999799</v>
      </c>
      <c r="AD2028">
        <v>-1.107142996613</v>
      </c>
      <c r="AE2028">
        <v>-24.089099999999998</v>
      </c>
      <c r="AF2028">
        <v>3.8421734857512702</v>
      </c>
      <c r="AG2028">
        <v>-1.107142996613</v>
      </c>
      <c r="AH2028">
        <v>23.781251473394899</v>
      </c>
      <c r="AI2028">
        <v>92.631423441587103</v>
      </c>
      <c r="AJ2028">
        <v>80.822419063970102</v>
      </c>
      <c r="AK2028">
        <v>24.115057212256499</v>
      </c>
      <c r="AL2028">
        <v>82.866480203675593</v>
      </c>
      <c r="AM2028">
        <v>91.040309939219796</v>
      </c>
      <c r="AN2028">
        <v>0.99999999747745005</v>
      </c>
    </row>
    <row r="2029" spans="1:40" x14ac:dyDescent="0.25">
      <c r="A2029" t="str">
        <f>"20190304154757927"</f>
        <v>20190304154757927</v>
      </c>
      <c r="B2029" t="str">
        <f>"1551685677918688"</f>
        <v>1551685677918688</v>
      </c>
      <c r="C2029" t="s">
        <v>40</v>
      </c>
      <c r="D2029">
        <v>4.7215600000000002</v>
      </c>
      <c r="E2029">
        <v>0.55737219999999998</v>
      </c>
      <c r="F2029" t="s">
        <v>44</v>
      </c>
      <c r="G2029">
        <v>-193.30459999999999</v>
      </c>
      <c r="H2029" s="1">
        <v>-4.509699E-6</v>
      </c>
      <c r="I2029">
        <v>328.51620000000003</v>
      </c>
      <c r="J2029">
        <v>-192.29089999999999</v>
      </c>
      <c r="K2029">
        <v>1.1073710000000001</v>
      </c>
      <c r="L2029">
        <v>350.60410000000002</v>
      </c>
      <c r="M2029">
        <v>8.7413359999999996E-2</v>
      </c>
      <c r="N2029">
        <v>-1.3760379999999999E-2</v>
      </c>
      <c r="O2029">
        <v>-0.9960772</v>
      </c>
      <c r="P2029">
        <v>0.1140702</v>
      </c>
      <c r="Q2029">
        <v>0.1116806</v>
      </c>
      <c r="R2029">
        <v>-0.98717529999999998</v>
      </c>
      <c r="S2029">
        <v>-0.13835140000000001</v>
      </c>
      <c r="T2029">
        <v>-0.1525764</v>
      </c>
      <c r="U2029">
        <v>-3.0711979999999999</v>
      </c>
      <c r="V2029">
        <v>-2.6236140000000002E-2</v>
      </c>
      <c r="W2029">
        <v>0.1255734</v>
      </c>
      <c r="X2029">
        <v>0.99173739999999999</v>
      </c>
      <c r="Y2029">
        <v>0.1320769</v>
      </c>
      <c r="Z2029">
        <v>3.5316149999999998E-2</v>
      </c>
      <c r="AA2029">
        <v>0.99061010000000005</v>
      </c>
      <c r="AB2029">
        <v>20</v>
      </c>
      <c r="AC2029">
        <v>-1.0137</v>
      </c>
      <c r="AD2029">
        <v>-1.1073755096989999</v>
      </c>
      <c r="AE2029">
        <v>-22.087899999999902</v>
      </c>
      <c r="AF2029">
        <v>2.9334214065648898</v>
      </c>
      <c r="AG2029">
        <v>-1.1073755096989999</v>
      </c>
      <c r="AH2029">
        <v>21.859885373151201</v>
      </c>
      <c r="AI2029">
        <v>92.874283826719505</v>
      </c>
      <c r="AJ2029">
        <v>82.357024310438007</v>
      </c>
      <c r="AK2029">
        <v>22.083609990109998</v>
      </c>
      <c r="AL2029">
        <v>82.786130202398695</v>
      </c>
      <c r="AM2029">
        <v>91.515390629077103</v>
      </c>
      <c r="AN2029">
        <v>1.0000000421941999</v>
      </c>
    </row>
    <row r="2030" spans="1:40" x14ac:dyDescent="0.25">
      <c r="A2030" t="str">
        <f>"20190304154757950"</f>
        <v>20190304154757950</v>
      </c>
      <c r="B2030" t="str">
        <f>"1551685677948945"</f>
        <v>1551685677948945</v>
      </c>
      <c r="C2030" t="s">
        <v>40</v>
      </c>
      <c r="D2030">
        <v>4.8425589999999996</v>
      </c>
      <c r="E2030">
        <v>0.54133189999999998</v>
      </c>
      <c r="F2030" t="s">
        <v>44</v>
      </c>
      <c r="G2030">
        <v>-193.2243</v>
      </c>
      <c r="H2030" s="1">
        <v>-4.4619420000000003E-6</v>
      </c>
      <c r="I2030">
        <v>328.41770000000002</v>
      </c>
      <c r="J2030">
        <v>-192.2817</v>
      </c>
      <c r="K2030">
        <v>1.1076319999999999</v>
      </c>
      <c r="L2030">
        <v>350.39460000000003</v>
      </c>
      <c r="M2030">
        <v>7.990775E-2</v>
      </c>
      <c r="N2030">
        <v>-1.368809E-2</v>
      </c>
      <c r="O2030">
        <v>-0.99670829999999999</v>
      </c>
      <c r="P2030">
        <v>0.110238</v>
      </c>
      <c r="Q2030">
        <v>0.1126407</v>
      </c>
      <c r="R2030">
        <v>-0.98750159999999998</v>
      </c>
      <c r="S2030">
        <v>-0.1292114</v>
      </c>
      <c r="T2030">
        <v>-0.15329379999999901</v>
      </c>
      <c r="U2030">
        <v>-3.071259</v>
      </c>
      <c r="V2030">
        <v>-2.994285E-2</v>
      </c>
      <c r="W2030">
        <v>0.12647220000000001</v>
      </c>
      <c r="X2030">
        <v>0.99151809999999996</v>
      </c>
      <c r="Y2030">
        <v>0.12166390000000001</v>
      </c>
      <c r="Z2030">
        <v>3.570541E-2</v>
      </c>
      <c r="AA2030">
        <v>0.9919289</v>
      </c>
      <c r="AB2030">
        <v>20</v>
      </c>
      <c r="AC2030">
        <v>-0.942599999999998</v>
      </c>
      <c r="AD2030">
        <v>-1.1076364619420001</v>
      </c>
      <c r="AE2030">
        <v>-21.976900000000001</v>
      </c>
      <c r="AF2030">
        <v>2.6890562775371101</v>
      </c>
      <c r="AG2030">
        <v>-1.1076364619420001</v>
      </c>
      <c r="AH2030">
        <v>21.7760691652344</v>
      </c>
      <c r="AI2030">
        <v>92.889918531093997</v>
      </c>
      <c r="AJ2030">
        <v>82.960367743046405</v>
      </c>
      <c r="AK2030">
        <v>21.969412156101399</v>
      </c>
      <c r="AL2030">
        <v>82.734218336808894</v>
      </c>
      <c r="AM2030">
        <v>91.729749246685799</v>
      </c>
      <c r="AN2030">
        <v>0.99999996713328498</v>
      </c>
    </row>
    <row r="2031" spans="1:40" x14ac:dyDescent="0.25">
      <c r="A2031" t="str">
        <f>"20190304154757971"</f>
        <v>20190304154757971</v>
      </c>
      <c r="B2031" t="str">
        <f>"1551685677968464"</f>
        <v>1551685677968464</v>
      </c>
      <c r="C2031" t="s">
        <v>40</v>
      </c>
      <c r="D2031">
        <v>4.777056</v>
      </c>
      <c r="E2031">
        <v>0.53965220000000003</v>
      </c>
      <c r="F2031" t="s">
        <v>44</v>
      </c>
      <c r="G2031">
        <v>-192.38829999999999</v>
      </c>
      <c r="H2031" s="1">
        <v>-2.6588549999999999E-6</v>
      </c>
      <c r="I2031">
        <v>324.3057</v>
      </c>
      <c r="J2031">
        <v>-192.27459999999999</v>
      </c>
      <c r="K2031">
        <v>1.107858</v>
      </c>
      <c r="L2031">
        <v>350.21559999999999</v>
      </c>
      <c r="M2031">
        <v>7.3858110000000005E-2</v>
      </c>
      <c r="N2031">
        <v>-1.3631219999999999E-2</v>
      </c>
      <c r="O2031">
        <v>-0.9971757</v>
      </c>
      <c r="P2031">
        <v>0.1095463</v>
      </c>
      <c r="Q2031">
        <v>0.11352810000000001</v>
      </c>
      <c r="R2031">
        <v>-0.98747700000000005</v>
      </c>
      <c r="S2031">
        <v>-1.248169E-2</v>
      </c>
      <c r="T2031">
        <v>-0.12966569999999999</v>
      </c>
      <c r="U2031">
        <v>-3.0541079999999998</v>
      </c>
      <c r="V2031">
        <v>-3.5340629999999998E-2</v>
      </c>
      <c r="W2031">
        <v>0.1273241</v>
      </c>
      <c r="X2031">
        <v>0.99123139999999998</v>
      </c>
      <c r="Y2031">
        <v>7.7908420000000006E-2</v>
      </c>
      <c r="Z2031">
        <v>2.8554619999999999E-2</v>
      </c>
      <c r="AA2031">
        <v>0.99655150000000003</v>
      </c>
      <c r="AB2031">
        <v>19</v>
      </c>
      <c r="AC2031">
        <v>-0.113699999999994</v>
      </c>
      <c r="AD2031">
        <v>-1.107860658855</v>
      </c>
      <c r="AE2031">
        <v>-25.9099</v>
      </c>
      <c r="AF2031">
        <v>2.0235237957716401</v>
      </c>
      <c r="AG2031">
        <v>-1.107860658855</v>
      </c>
      <c r="AH2031">
        <v>25.7835839625555</v>
      </c>
      <c r="AI2031">
        <v>92.452820110338706</v>
      </c>
      <c r="AJ2031">
        <v>85.512562768078496</v>
      </c>
      <c r="AK2031">
        <v>25.886583508559902</v>
      </c>
      <c r="AL2031">
        <v>82.685010765897005</v>
      </c>
      <c r="AM2031">
        <v>92.041916371990396</v>
      </c>
      <c r="AN2031">
        <v>1.00000003745778</v>
      </c>
    </row>
    <row r="2032" spans="1:40" x14ac:dyDescent="0.25">
      <c r="A2032" t="str">
        <f>"20190304154757994"</f>
        <v>20190304154757994</v>
      </c>
      <c r="B2032" t="str">
        <f>"1551685677988960"</f>
        <v>1551685677988960</v>
      </c>
      <c r="C2032" t="s">
        <v>40</v>
      </c>
      <c r="D2032">
        <v>4.7531619999999997</v>
      </c>
      <c r="E2032">
        <v>0.53905740000000002</v>
      </c>
      <c r="F2032" t="s">
        <v>44</v>
      </c>
      <c r="G2032">
        <v>-192.28729999999999</v>
      </c>
      <c r="H2032" s="1">
        <v>-2.6555190000000001E-6</v>
      </c>
      <c r="I2032">
        <v>313.92180000000002</v>
      </c>
      <c r="J2032">
        <v>-192.26750000000001</v>
      </c>
      <c r="K2032">
        <v>1.1081000000000001</v>
      </c>
      <c r="L2032">
        <v>350.01690000000002</v>
      </c>
      <c r="M2032">
        <v>6.7548129999999998E-2</v>
      </c>
      <c r="N2032">
        <v>-1.3571990000000001E-2</v>
      </c>
      <c r="O2032">
        <v>-0.9976237</v>
      </c>
      <c r="P2032">
        <v>0.1085851</v>
      </c>
      <c r="Q2032">
        <v>0.1150365</v>
      </c>
      <c r="R2032">
        <v>-0.98740850000000002</v>
      </c>
      <c r="S2032">
        <v>-1.0681149999999999E-3</v>
      </c>
      <c r="T2032">
        <v>-9.3065980000000006E-2</v>
      </c>
      <c r="U2032">
        <v>-3.0488590000000002</v>
      </c>
      <c r="V2032">
        <v>-4.0726749999999999E-2</v>
      </c>
      <c r="W2032">
        <v>0.12878580000000001</v>
      </c>
      <c r="X2032">
        <v>0.99083580000000004</v>
      </c>
      <c r="Y2032">
        <v>6.7883479999999996E-2</v>
      </c>
      <c r="Z2032">
        <v>1.6802299999999999E-2</v>
      </c>
      <c r="AA2032">
        <v>0.99755170000000004</v>
      </c>
      <c r="AB2032">
        <v>19</v>
      </c>
      <c r="AC2032">
        <v>-1.9799999999975101E-2</v>
      </c>
      <c r="AD2032">
        <v>-1.1081026555189999</v>
      </c>
      <c r="AE2032">
        <v>-36.095100000000002</v>
      </c>
      <c r="AF2032">
        <v>2.4558213495504799</v>
      </c>
      <c r="AG2032">
        <v>-1.1081026555189999</v>
      </c>
      <c r="AH2032">
        <v>35.977399321249003</v>
      </c>
      <c r="AI2032">
        <v>91.760057230209696</v>
      </c>
      <c r="AJ2032">
        <v>86.095041066179405</v>
      </c>
      <c r="AK2032">
        <v>36.078140361120099</v>
      </c>
      <c r="AL2032">
        <v>82.6005661392539</v>
      </c>
      <c r="AM2032">
        <v>92.353728127337504</v>
      </c>
      <c r="AN2032">
        <v>1.0000000165044201</v>
      </c>
    </row>
    <row r="2033" spans="1:40" x14ac:dyDescent="0.25">
      <c r="A2033" t="str">
        <f>"20190304154758016"</f>
        <v>20190304154758016</v>
      </c>
      <c r="B2033" t="str">
        <f>"1551685678008350"</f>
        <v>1551685678008350</v>
      </c>
      <c r="C2033" t="s">
        <v>40</v>
      </c>
      <c r="D2033">
        <v>4.7407050000000002</v>
      </c>
      <c r="E2033">
        <v>0.53830180000000005</v>
      </c>
      <c r="F2033" t="s">
        <v>44</v>
      </c>
      <c r="G2033">
        <v>-192.26570000000001</v>
      </c>
      <c r="H2033" s="1">
        <v>-4.0961139999999996E-6</v>
      </c>
      <c r="I2033">
        <v>307.8424</v>
      </c>
      <c r="J2033">
        <v>-192.26150000000001</v>
      </c>
      <c r="K2033">
        <v>1.108303</v>
      </c>
      <c r="L2033">
        <v>349.82380000000001</v>
      </c>
      <c r="M2033">
        <v>6.17983E-2</v>
      </c>
      <c r="N2033">
        <v>-1.351831E-2</v>
      </c>
      <c r="O2033">
        <v>-0.99799720000000003</v>
      </c>
      <c r="P2033">
        <v>0.10689700000000001</v>
      </c>
      <c r="Q2033">
        <v>0.11651880000000001</v>
      </c>
      <c r="R2033">
        <v>-0.98741920000000005</v>
      </c>
      <c r="S2033">
        <v>1.3732910000000001E-4</v>
      </c>
      <c r="T2033">
        <v>-8.0072160000000003E-2</v>
      </c>
      <c r="U2033">
        <v>-3.0475460000000001</v>
      </c>
      <c r="V2033">
        <v>-4.4813760000000001E-2</v>
      </c>
      <c r="W2033">
        <v>0.13021659999999999</v>
      </c>
      <c r="X2033">
        <v>0.99047229999999997</v>
      </c>
      <c r="Y2033">
        <v>6.1742329999999998E-2</v>
      </c>
      <c r="Z2033">
        <v>1.264886E-2</v>
      </c>
      <c r="AA2033">
        <v>0.99801189999999995</v>
      </c>
      <c r="AB2033">
        <v>19</v>
      </c>
      <c r="AC2033">
        <v>-4.1999999999973101E-3</v>
      </c>
      <c r="AD2033">
        <v>-1.108307096114</v>
      </c>
      <c r="AE2033">
        <v>-41.981400000000001</v>
      </c>
      <c r="AF2033">
        <v>2.5969979708618398</v>
      </c>
      <c r="AG2033">
        <v>-1.108307096114</v>
      </c>
      <c r="AH2033">
        <v>41.871702160632097</v>
      </c>
      <c r="AI2033">
        <v>91.513308254785599</v>
      </c>
      <c r="AJ2033">
        <v>86.450904641286897</v>
      </c>
      <c r="AK2033">
        <v>41.966798602093</v>
      </c>
      <c r="AL2033">
        <v>82.517891072622703</v>
      </c>
      <c r="AM2033">
        <v>92.590571582214807</v>
      </c>
      <c r="AN2033">
        <v>1.0000000065340899</v>
      </c>
    </row>
    <row r="2034" spans="1:40" x14ac:dyDescent="0.25">
      <c r="A2034" t="str">
        <f>"20190304154758041"</f>
        <v>20190304154758041</v>
      </c>
      <c r="B2034" t="str">
        <f>"1551685678038606"</f>
        <v>1551685678038606</v>
      </c>
      <c r="C2034" t="s">
        <v>40</v>
      </c>
      <c r="D2034">
        <v>4.8002969999999996</v>
      </c>
      <c r="E2034">
        <v>0.53725789999999995</v>
      </c>
      <c r="F2034" t="s">
        <v>44</v>
      </c>
      <c r="G2034">
        <v>-192.24469999999999</v>
      </c>
      <c r="H2034" s="1">
        <v>-2.425313E-6</v>
      </c>
      <c r="I2034">
        <v>303.85039999999998</v>
      </c>
      <c r="J2034">
        <v>-192.25530000000001</v>
      </c>
      <c r="K2034">
        <v>1.108481</v>
      </c>
      <c r="L2034">
        <v>349.60019999999997</v>
      </c>
      <c r="M2034">
        <v>5.5511079999999997E-2</v>
      </c>
      <c r="N2034">
        <v>-1.346292E-2</v>
      </c>
      <c r="O2034">
        <v>-0.99836749999999996</v>
      </c>
      <c r="P2034">
        <v>0.10444970000000001</v>
      </c>
      <c r="Q2034">
        <v>0.11681560000000001</v>
      </c>
      <c r="R2034">
        <v>-0.98764589999999997</v>
      </c>
      <c r="S2034">
        <v>1.113892E-3</v>
      </c>
      <c r="T2034">
        <v>-7.3452589999999998E-2</v>
      </c>
      <c r="U2034">
        <v>-3.046875</v>
      </c>
      <c r="V2034">
        <v>-4.8661990000000002E-2</v>
      </c>
      <c r="W2034">
        <v>0.13045909999999999</v>
      </c>
      <c r="X2034">
        <v>0.99025879999999999</v>
      </c>
      <c r="Y2034">
        <v>5.5137140000000001E-2</v>
      </c>
      <c r="Z2034">
        <v>1.0565389999999999E-2</v>
      </c>
      <c r="AA2034">
        <v>0.9984229</v>
      </c>
      <c r="AB2034">
        <v>19</v>
      </c>
      <c r="AC2034">
        <v>1.06000000000108E-2</v>
      </c>
      <c r="AD2034">
        <v>-1.108483425313</v>
      </c>
      <c r="AE2034">
        <v>-45.749799999999901</v>
      </c>
      <c r="AF2034">
        <v>2.5277828861696299</v>
      </c>
      <c r="AG2034">
        <v>-1.108483425313</v>
      </c>
      <c r="AH2034">
        <v>45.653031853221798</v>
      </c>
      <c r="AI2034">
        <v>91.388776765062701</v>
      </c>
      <c r="AJ2034">
        <v>86.830800716458299</v>
      </c>
      <c r="AK2034">
        <v>45.736394033800799</v>
      </c>
      <c r="AL2034">
        <v>82.503877469321196</v>
      </c>
      <c r="AM2034">
        <v>92.813290458821896</v>
      </c>
      <c r="AN2034">
        <v>1.0000000285105</v>
      </c>
    </row>
    <row r="2035" spans="1:40" x14ac:dyDescent="0.25">
      <c r="A2035" t="str">
        <f>"20190304154758062"</f>
        <v>20190304154758062</v>
      </c>
      <c r="B2035" t="str">
        <f>"1551685678058126"</f>
        <v>1551685678058126</v>
      </c>
      <c r="C2035" t="s">
        <v>40</v>
      </c>
      <c r="D2035">
        <v>4.7051119999999997</v>
      </c>
      <c r="E2035">
        <v>0.53648459999999998</v>
      </c>
      <c r="F2035" t="s">
        <v>44</v>
      </c>
      <c r="G2035">
        <v>-192.22559999999999</v>
      </c>
      <c r="H2035" s="1">
        <v>-3.5872760000000001E-6</v>
      </c>
      <c r="I2035">
        <v>306.57080000000002</v>
      </c>
      <c r="J2035">
        <v>-192.251</v>
      </c>
      <c r="K2035">
        <v>1.108608</v>
      </c>
      <c r="L2035">
        <v>349.41640000000001</v>
      </c>
      <c r="M2035">
        <v>5.0617700000000002E-2</v>
      </c>
      <c r="N2035">
        <v>-1.3422709999999999E-2</v>
      </c>
      <c r="O2035">
        <v>-0.99862799999999996</v>
      </c>
      <c r="P2035">
        <v>0.1031763</v>
      </c>
      <c r="Q2035">
        <v>0.1162237</v>
      </c>
      <c r="R2035">
        <v>-0.98785000000000001</v>
      </c>
      <c r="S2035">
        <v>2.1057129999999999E-3</v>
      </c>
      <c r="T2035">
        <v>-7.8483819999999996E-2</v>
      </c>
      <c r="U2035">
        <v>-3.0466000000000002</v>
      </c>
      <c r="V2035">
        <v>-5.2282049999999997E-2</v>
      </c>
      <c r="W2035">
        <v>0.12983219999999901</v>
      </c>
      <c r="X2035">
        <v>0.9901567</v>
      </c>
      <c r="Y2035">
        <v>4.9918860000000002E-2</v>
      </c>
      <c r="Z2035">
        <v>1.226665E-2</v>
      </c>
      <c r="AA2035">
        <v>0.99867799999999995</v>
      </c>
      <c r="AB2035">
        <v>19</v>
      </c>
      <c r="AC2035">
        <v>2.53999999999905E-2</v>
      </c>
      <c r="AD2035">
        <v>-1.1086115872759901</v>
      </c>
      <c r="AE2035">
        <v>-42.845599999999898</v>
      </c>
      <c r="AF2035">
        <v>2.1421393219754399</v>
      </c>
      <c r="AG2035">
        <v>-1.1086115872759901</v>
      </c>
      <c r="AH2035">
        <v>42.763322492550401</v>
      </c>
      <c r="AI2035">
        <v>91.483164697932907</v>
      </c>
      <c r="AJ2035">
        <v>87.132284646571307</v>
      </c>
      <c r="AK2035">
        <v>42.8312914949814</v>
      </c>
      <c r="AL2035">
        <v>82.540104480665306</v>
      </c>
      <c r="AM2035">
        <v>93.0225130745971</v>
      </c>
      <c r="AN2035">
        <v>1.00000005173196</v>
      </c>
    </row>
    <row r="2036" spans="1:40" x14ac:dyDescent="0.25">
      <c r="A2036" t="str">
        <f>"20190304154758084"</f>
        <v>20190304154758084</v>
      </c>
      <c r="B2036" t="str">
        <f>"1551685678078622"</f>
        <v>1551685678078622</v>
      </c>
      <c r="C2036" t="s">
        <v>40</v>
      </c>
      <c r="D2036">
        <v>4.6989000000000001</v>
      </c>
      <c r="E2036">
        <v>0.53570739999999994</v>
      </c>
      <c r="F2036" t="s">
        <v>44</v>
      </c>
      <c r="G2036">
        <v>-192.20140000000001</v>
      </c>
      <c r="H2036" s="1">
        <v>-4.5293269999999997E-6</v>
      </c>
      <c r="I2036">
        <v>309.149</v>
      </c>
      <c r="J2036">
        <v>-192.24709999999999</v>
      </c>
      <c r="K2036">
        <v>1.1087320000000001</v>
      </c>
      <c r="L2036">
        <v>349.22649999999999</v>
      </c>
      <c r="M2036">
        <v>4.5848489999999999E-2</v>
      </c>
      <c r="N2036">
        <v>-1.3384999999999999E-2</v>
      </c>
      <c r="O2036">
        <v>-0.99885889999999999</v>
      </c>
      <c r="P2036">
        <v>0.1022059</v>
      </c>
      <c r="Q2036">
        <v>0.1163146</v>
      </c>
      <c r="R2036">
        <v>-0.98793989999999998</v>
      </c>
      <c r="S2036">
        <v>3.7536620000000001E-3</v>
      </c>
      <c r="T2036">
        <v>-8.3870890000000003E-2</v>
      </c>
      <c r="U2036">
        <v>-3.0463870000000002</v>
      </c>
      <c r="V2036">
        <v>-5.6082460000000001E-2</v>
      </c>
      <c r="W2036">
        <v>0.12988849999999999</v>
      </c>
      <c r="X2036">
        <v>0.98994130000000002</v>
      </c>
      <c r="Y2036">
        <v>4.4609589999999998E-2</v>
      </c>
      <c r="Z2036">
        <v>1.4081700000000001E-2</v>
      </c>
      <c r="AA2036">
        <v>0.99890520000000005</v>
      </c>
      <c r="AB2036">
        <v>19</v>
      </c>
      <c r="AC2036">
        <v>4.5699999999982303E-2</v>
      </c>
      <c r="AD2036">
        <v>-1.108736529327</v>
      </c>
      <c r="AE2036">
        <v>-40.077499999999901</v>
      </c>
      <c r="AF2036">
        <v>1.7906347851161</v>
      </c>
      <c r="AG2036">
        <v>-1.108736529327</v>
      </c>
      <c r="AH2036">
        <v>40.006823768438601</v>
      </c>
      <c r="AI2036">
        <v>91.5858839819347</v>
      </c>
      <c r="AJ2036">
        <v>87.437252489467497</v>
      </c>
      <c r="AK2036">
        <v>40.062221826354502</v>
      </c>
      <c r="AL2036">
        <v>82.536850950535694</v>
      </c>
      <c r="AM2036">
        <v>93.2424722573206</v>
      </c>
      <c r="AN2036">
        <v>1.00000002109879</v>
      </c>
    </row>
    <row r="2037" spans="1:40" x14ac:dyDescent="0.25">
      <c r="A2037" t="str">
        <f>"20190304154758106"</f>
        <v>20190304154758106</v>
      </c>
      <c r="B2037" t="str">
        <f>"1551685678098883"</f>
        <v>1551685678098883</v>
      </c>
      <c r="C2037" t="s">
        <v>40</v>
      </c>
      <c r="D2037">
        <v>4.6845850000000002</v>
      </c>
      <c r="E2037">
        <v>0.535165</v>
      </c>
      <c r="F2037" t="s">
        <v>44</v>
      </c>
      <c r="G2037">
        <v>-192.16849999999999</v>
      </c>
      <c r="H2037" s="1">
        <v>-9.4191529999999995E-7</v>
      </c>
      <c r="I2037">
        <v>310.36360000000002</v>
      </c>
      <c r="J2037">
        <v>-192.24369999999999</v>
      </c>
      <c r="K2037">
        <v>1.108886</v>
      </c>
      <c r="L2037">
        <v>349.02879999999999</v>
      </c>
      <c r="M2037">
        <v>4.1214929999999997E-2</v>
      </c>
      <c r="N2037">
        <v>-1.334515E-2</v>
      </c>
      <c r="O2037">
        <v>-0.99906119999999998</v>
      </c>
      <c r="P2037">
        <v>9.9696129999999994E-2</v>
      </c>
      <c r="Q2037">
        <v>0.1179296</v>
      </c>
      <c r="R2037">
        <v>-0.98800489999999996</v>
      </c>
      <c r="S2037">
        <v>6.1645509999999999E-3</v>
      </c>
      <c r="T2037">
        <v>-8.6908100000000002E-2</v>
      </c>
      <c r="U2037">
        <v>-3.046265</v>
      </c>
      <c r="V2037">
        <v>-5.821142E-2</v>
      </c>
      <c r="W2037">
        <v>0.1314495</v>
      </c>
      <c r="X2037">
        <v>0.9896123</v>
      </c>
      <c r="Y2037">
        <v>3.9185869999999998E-2</v>
      </c>
      <c r="Z2037">
        <v>1.512876E-2</v>
      </c>
      <c r="AA2037">
        <v>0.99911740000000004</v>
      </c>
      <c r="AB2037">
        <v>19</v>
      </c>
      <c r="AC2037">
        <v>7.5199999999995201E-2</v>
      </c>
      <c r="AD2037">
        <v>-1.1088869419153</v>
      </c>
      <c r="AE2037">
        <v>-38.665199999999899</v>
      </c>
      <c r="AF2037">
        <v>1.5173413031899401</v>
      </c>
      <c r="AG2037">
        <v>-1.1088869419153</v>
      </c>
      <c r="AH2037">
        <v>38.603688835573102</v>
      </c>
      <c r="AI2037">
        <v>91.644094041495293</v>
      </c>
      <c r="AJ2037">
        <v>87.749113461475901</v>
      </c>
      <c r="AK2037">
        <v>38.649408101471202</v>
      </c>
      <c r="AL2037">
        <v>82.446638765872393</v>
      </c>
      <c r="AM2037">
        <v>93.366399028863697</v>
      </c>
      <c r="AN2037">
        <v>1.0000000223899701</v>
      </c>
    </row>
    <row r="2038" spans="1:40" x14ac:dyDescent="0.25">
      <c r="A2038" t="str">
        <f>"20190304154758129"</f>
        <v>20190304154758129</v>
      </c>
      <c r="B2038" t="str">
        <f>"1551685678118404"</f>
        <v>1551685678118404</v>
      </c>
      <c r="C2038" t="s">
        <v>40</v>
      </c>
      <c r="D2038">
        <v>4.6769869999999996</v>
      </c>
      <c r="E2038">
        <v>0.53452939999999904</v>
      </c>
      <c r="F2038" t="s">
        <v>44</v>
      </c>
      <c r="G2038">
        <v>-192.20689999999999</v>
      </c>
      <c r="H2038" s="1">
        <v>-4.6295630000000001E-6</v>
      </c>
      <c r="I2038">
        <v>309.44060000000002</v>
      </c>
      <c r="J2038">
        <v>-192.24080000000001</v>
      </c>
      <c r="K2038">
        <v>1.109078</v>
      </c>
      <c r="L2038">
        <v>348.83</v>
      </c>
      <c r="M2038">
        <v>3.6894469999999999E-2</v>
      </c>
      <c r="N2038">
        <v>-1.330083E-2</v>
      </c>
      <c r="O2038">
        <v>-0.99923070000000003</v>
      </c>
      <c r="P2038">
        <v>9.6914200000000006E-2</v>
      </c>
      <c r="Q2038">
        <v>0.1193549</v>
      </c>
      <c r="R2038">
        <v>-0.98811040000000006</v>
      </c>
      <c r="S2038">
        <v>2.8381349999999999E-3</v>
      </c>
      <c r="T2038">
        <v>-8.5329650000000007E-2</v>
      </c>
      <c r="U2038">
        <v>-3.0463260000000001</v>
      </c>
      <c r="V2038">
        <v>-5.976803E-2</v>
      </c>
      <c r="W2038">
        <v>0.13280739999999999</v>
      </c>
      <c r="X2038">
        <v>0.98933819999999995</v>
      </c>
      <c r="Y2038">
        <v>3.59569E-2</v>
      </c>
      <c r="Z2038">
        <v>1.4664190000000001E-2</v>
      </c>
      <c r="AA2038">
        <v>0.99924579999999996</v>
      </c>
      <c r="AB2038">
        <v>19</v>
      </c>
      <c r="AC2038">
        <v>3.3900000000016903E-2</v>
      </c>
      <c r="AD2038">
        <v>-1.1090826295630001</v>
      </c>
      <c r="AE2038">
        <v>-39.389399999999902</v>
      </c>
      <c r="AF2038">
        <v>1.4183781065085499</v>
      </c>
      <c r="AG2038">
        <v>-1.1090826295630001</v>
      </c>
      <c r="AH2038">
        <v>39.332645208380598</v>
      </c>
      <c r="AI2038">
        <v>91.614121686177796</v>
      </c>
      <c r="AJ2038">
        <v>87.934746578729502</v>
      </c>
      <c r="AK2038">
        <v>39.373834456661299</v>
      </c>
      <c r="AL2038">
        <v>82.368148868379194</v>
      </c>
      <c r="AM2038">
        <v>93.457158506199406</v>
      </c>
      <c r="AN2038">
        <v>1.0000000484420299</v>
      </c>
    </row>
    <row r="2039" spans="1:40" x14ac:dyDescent="0.25">
      <c r="A2039" t="str">
        <f>"20190304154758151"</f>
        <v>20190304154758151</v>
      </c>
      <c r="B2039" t="str">
        <f>"1551685678148661"</f>
        <v>1551685678148661</v>
      </c>
      <c r="C2039" t="s">
        <v>40</v>
      </c>
      <c r="D2039">
        <v>4.6764859999999997</v>
      </c>
      <c r="E2039">
        <v>0.53358989999999995</v>
      </c>
      <c r="F2039" t="s">
        <v>44</v>
      </c>
      <c r="G2039">
        <v>-192.2373</v>
      </c>
      <c r="H2039" s="1">
        <v>-4.5605249999999998E-6</v>
      </c>
      <c r="I2039">
        <v>309.22190000000001</v>
      </c>
      <c r="J2039">
        <v>-192.23849999999999</v>
      </c>
      <c r="K2039">
        <v>1.1092900000000001</v>
      </c>
      <c r="L2039">
        <v>348.6388</v>
      </c>
      <c r="M2039">
        <v>3.3079119999999997E-2</v>
      </c>
      <c r="N2039">
        <v>-1.3255970000000001E-2</v>
      </c>
      <c r="O2039">
        <v>-0.9993649</v>
      </c>
      <c r="P2039">
        <v>9.4717499999999996E-2</v>
      </c>
      <c r="Q2039">
        <v>0.1197474</v>
      </c>
      <c r="R2039">
        <v>-0.98827609999999999</v>
      </c>
      <c r="S2039">
        <v>2.7465820000000001E-4</v>
      </c>
      <c r="T2039">
        <v>-8.5304019999999994E-2</v>
      </c>
      <c r="U2039">
        <v>-3.0464169999999999</v>
      </c>
      <c r="V2039">
        <v>-6.141829E-2</v>
      </c>
      <c r="W2039">
        <v>0.13312879999999999</v>
      </c>
      <c r="X2039">
        <v>0.98919389999999996</v>
      </c>
      <c r="Y2039">
        <v>3.2982900000000002E-2</v>
      </c>
      <c r="Z2039">
        <v>1.470665E-2</v>
      </c>
      <c r="AA2039">
        <v>0.99934769999999995</v>
      </c>
      <c r="AB2039">
        <v>19</v>
      </c>
      <c r="AC2039">
        <v>1.1999999999829901E-3</v>
      </c>
      <c r="AD2039">
        <v>-1.109294560525</v>
      </c>
      <c r="AE2039">
        <v>-39.416899999999998</v>
      </c>
      <c r="AF2039">
        <v>1.3017604938368801</v>
      </c>
      <c r="AG2039">
        <v>-1.109294560525</v>
      </c>
      <c r="AH2039">
        <v>39.364187766453</v>
      </c>
      <c r="AI2039">
        <v>91.613303518999402</v>
      </c>
      <c r="AJ2039">
        <v>88.105938027309605</v>
      </c>
      <c r="AK2039">
        <v>39.401324766026498</v>
      </c>
      <c r="AL2039">
        <v>82.349568863417701</v>
      </c>
      <c r="AM2039">
        <v>93.552890106899895</v>
      </c>
      <c r="AN2039">
        <v>1.0000000277665799</v>
      </c>
    </row>
    <row r="2040" spans="1:40" x14ac:dyDescent="0.25">
      <c r="A2040" t="str">
        <f>"20190304154758171"</f>
        <v>20190304154758171</v>
      </c>
      <c r="B2040" t="str">
        <f>"1551685678168180"</f>
        <v>1551685678168180</v>
      </c>
      <c r="C2040" t="s">
        <v>40</v>
      </c>
      <c r="D2040">
        <v>4.8808850000000001</v>
      </c>
      <c r="E2040">
        <v>0.53332349999999995</v>
      </c>
      <c r="F2040" t="s">
        <v>44</v>
      </c>
      <c r="G2040">
        <v>-192.23140000000001</v>
      </c>
      <c r="H2040" s="1">
        <v>-1.084647E-6</v>
      </c>
      <c r="I2040">
        <v>310.6302</v>
      </c>
      <c r="J2040">
        <v>-192.23650000000001</v>
      </c>
      <c r="K2040">
        <v>1.1094980000000001</v>
      </c>
      <c r="L2040">
        <v>348.46129999999999</v>
      </c>
      <c r="M2040">
        <v>2.9866179999999999E-2</v>
      </c>
      <c r="N2040">
        <v>-1.3212389999999999E-2</v>
      </c>
      <c r="O2040">
        <v>-0.99946679999999999</v>
      </c>
      <c r="P2040">
        <v>9.3686220000000001E-2</v>
      </c>
      <c r="Q2040">
        <v>0.1192901</v>
      </c>
      <c r="R2040">
        <v>-0.98842980000000003</v>
      </c>
      <c r="S2040">
        <v>5.6457519999999995E-4</v>
      </c>
      <c r="T2040">
        <v>-8.890605E-2</v>
      </c>
      <c r="U2040">
        <v>-3.046265</v>
      </c>
      <c r="V2040">
        <v>-6.3640059999999998E-2</v>
      </c>
      <c r="W2040">
        <v>0.13260229999999901</v>
      </c>
      <c r="X2040">
        <v>0.98912409999999995</v>
      </c>
      <c r="Y2040">
        <v>2.9675239999999999E-2</v>
      </c>
      <c r="Z2040">
        <v>1.5937630000000001E-2</v>
      </c>
      <c r="AA2040">
        <v>0.99943249999999995</v>
      </c>
      <c r="AB2040">
        <v>19</v>
      </c>
      <c r="AC2040">
        <v>5.0999999999987696E-3</v>
      </c>
      <c r="AD2040">
        <v>-1.1094990846470001</v>
      </c>
      <c r="AE2040">
        <v>-37.8310999999999</v>
      </c>
      <c r="AF2040">
        <v>1.12390441521722</v>
      </c>
      <c r="AG2040">
        <v>-1.1094990846470001</v>
      </c>
      <c r="AH2040">
        <v>37.781876453917597</v>
      </c>
      <c r="AI2040">
        <v>91.681315851832494</v>
      </c>
      <c r="AJ2040">
        <v>88.296114395977796</v>
      </c>
      <c r="AK2040">
        <v>37.814869267689801</v>
      </c>
      <c r="AL2040">
        <v>82.380004386353903</v>
      </c>
      <c r="AM2040">
        <v>93.681325603809199</v>
      </c>
      <c r="AN2040">
        <v>0.99999995620144999</v>
      </c>
    </row>
    <row r="2041" spans="1:40" x14ac:dyDescent="0.25">
      <c r="A2041" t="str">
        <f>"20190304154758195"</f>
        <v>20190304154758195</v>
      </c>
      <c r="B2041" t="str">
        <f>"1551685678188675"</f>
        <v>1551685678188675</v>
      </c>
      <c r="C2041" t="s">
        <v>40</v>
      </c>
      <c r="D2041">
        <v>4.7000339999999996</v>
      </c>
      <c r="E2041">
        <v>0.52544559999999996</v>
      </c>
      <c r="F2041" t="s">
        <v>44</v>
      </c>
      <c r="G2041">
        <v>-192.25190000000001</v>
      </c>
      <c r="H2041" s="1">
        <v>-1.6514059999999999E-6</v>
      </c>
      <c r="I2041">
        <v>311.81760000000003</v>
      </c>
      <c r="J2041">
        <v>-192.2345</v>
      </c>
      <c r="K2041">
        <v>1.1097159999999999</v>
      </c>
      <c r="L2041">
        <v>348.26089999999999</v>
      </c>
      <c r="M2041">
        <v>2.6642160000000002E-2</v>
      </c>
      <c r="N2041">
        <v>-1.3156360000000001E-2</v>
      </c>
      <c r="O2041">
        <v>-0.99955870000000002</v>
      </c>
      <c r="P2041">
        <v>9.2259369999999993E-2</v>
      </c>
      <c r="Q2041">
        <v>0.1183013</v>
      </c>
      <c r="R2041">
        <v>-0.98868290000000003</v>
      </c>
      <c r="S2041">
        <v>-1.2817379999999999E-3</v>
      </c>
      <c r="T2041">
        <v>-9.2238550000000002E-2</v>
      </c>
      <c r="U2041">
        <v>-3.0463870000000002</v>
      </c>
      <c r="V2041">
        <v>-6.5482739999999998E-2</v>
      </c>
      <c r="W2041">
        <v>0.13152700000000001</v>
      </c>
      <c r="X2041">
        <v>0.98914740000000001</v>
      </c>
      <c r="Y2041">
        <v>2.7057250000000001E-2</v>
      </c>
      <c r="Z2041">
        <v>1.7089469999999999E-2</v>
      </c>
      <c r="AA2041">
        <v>0.99948780000000004</v>
      </c>
      <c r="AB2041">
        <v>19</v>
      </c>
      <c r="AC2041">
        <v>-1.7400000000009099E-2</v>
      </c>
      <c r="AD2041">
        <v>-1.1097176514060001</v>
      </c>
      <c r="AE2041">
        <v>-36.443299999999901</v>
      </c>
      <c r="AF2041">
        <v>0.98749021947353</v>
      </c>
      <c r="AG2041">
        <v>-1.1097176514060001</v>
      </c>
      <c r="AH2041">
        <v>36.396150284712498</v>
      </c>
      <c r="AI2041">
        <v>91.745763709073898</v>
      </c>
      <c r="AJ2041">
        <v>88.445848135183994</v>
      </c>
      <c r="AK2041">
        <v>36.426451456967001</v>
      </c>
      <c r="AL2041">
        <v>82.442158977755895</v>
      </c>
      <c r="AM2041">
        <v>93.787522465931403</v>
      </c>
      <c r="AN2041">
        <v>0.99999995994683299</v>
      </c>
    </row>
    <row r="2042" spans="1:40" x14ac:dyDescent="0.25">
      <c r="A2042" t="str">
        <f>"20190304154758216"</f>
        <v>20190304154758216</v>
      </c>
      <c r="B2042" t="str">
        <f>"1551685678209172"</f>
        <v>1551685678209172</v>
      </c>
      <c r="C2042" t="s">
        <v>40</v>
      </c>
      <c r="D2042">
        <v>4.6494650000000002</v>
      </c>
      <c r="E2042">
        <v>0.52457849999999995</v>
      </c>
      <c r="F2042" t="s">
        <v>44</v>
      </c>
      <c r="G2042">
        <v>-191.75479999999999</v>
      </c>
      <c r="H2042" s="1">
        <v>-1.4811159999999999E-6</v>
      </c>
      <c r="I2042">
        <v>321.95330000000001</v>
      </c>
      <c r="J2042">
        <v>-192.23259999999999</v>
      </c>
      <c r="K2042">
        <v>1.10991</v>
      </c>
      <c r="L2042">
        <v>348.06470000000002</v>
      </c>
      <c r="M2042">
        <v>2.385698E-2</v>
      </c>
      <c r="N2042">
        <v>-1.309664E-2</v>
      </c>
      <c r="O2042">
        <v>-0.99962960000000001</v>
      </c>
      <c r="P2042">
        <v>9.0781319999999999E-2</v>
      </c>
      <c r="Q2042">
        <v>0.1180582</v>
      </c>
      <c r="R2042">
        <v>-0.98884870000000002</v>
      </c>
      <c r="S2042">
        <v>5.551147E-2</v>
      </c>
      <c r="T2042">
        <v>-0.1284238</v>
      </c>
      <c r="U2042">
        <v>-3.044495</v>
      </c>
      <c r="V2042">
        <v>-6.6825629999999997E-2</v>
      </c>
      <c r="W2042">
        <v>0.13119520000000001</v>
      </c>
      <c r="X2042">
        <v>0.98910169999999997</v>
      </c>
      <c r="Y2042">
        <v>5.6355399999999996E-3</v>
      </c>
      <c r="Z2042">
        <v>2.9037239999999999E-2</v>
      </c>
      <c r="AA2042">
        <v>0.99956239999999996</v>
      </c>
      <c r="AB2042">
        <v>19</v>
      </c>
      <c r="AC2042">
        <v>0.477800000000002</v>
      </c>
      <c r="AD2042">
        <v>-1.109911481116</v>
      </c>
      <c r="AE2042">
        <v>-26.1114</v>
      </c>
      <c r="AF2042">
        <v>0.14506656535176601</v>
      </c>
      <c r="AG2042">
        <v>-1.109911481116</v>
      </c>
      <c r="AH2042">
        <v>26.068281698863199</v>
      </c>
      <c r="AI2042">
        <v>92.437977142475603</v>
      </c>
      <c r="AJ2042">
        <v>89.681159800156706</v>
      </c>
      <c r="AK2042">
        <v>26.092302668327001</v>
      </c>
      <c r="AL2042">
        <v>82.461336267157606</v>
      </c>
      <c r="AM2042">
        <v>93.865140215973796</v>
      </c>
      <c r="AN2042">
        <v>1.00000000913541</v>
      </c>
    </row>
    <row r="2043" spans="1:40" x14ac:dyDescent="0.25">
      <c r="A2043" t="str">
        <f>"20190304154758241"</f>
        <v>20190304154758241</v>
      </c>
      <c r="B2043" t="str">
        <f>"1551685678238452"</f>
        <v>1551685678238452</v>
      </c>
      <c r="C2043" t="s">
        <v>40</v>
      </c>
      <c r="D2043">
        <v>4.669486</v>
      </c>
      <c r="E2043">
        <v>0.52322659999999999</v>
      </c>
      <c r="F2043" t="s">
        <v>44</v>
      </c>
      <c r="G2043">
        <v>-191.7431</v>
      </c>
      <c r="H2043" s="1">
        <v>-1.667502E-6</v>
      </c>
      <c r="I2043">
        <v>322.39499999999998</v>
      </c>
      <c r="J2043">
        <v>-192.23089999999999</v>
      </c>
      <c r="K2043">
        <v>1.1100620000000001</v>
      </c>
      <c r="L2043">
        <v>347.8569</v>
      </c>
      <c r="M2043">
        <v>2.123833E-2</v>
      </c>
      <c r="N2043">
        <v>-1.3034570000000001E-2</v>
      </c>
      <c r="O2043">
        <v>-0.99968970000000001</v>
      </c>
      <c r="P2043">
        <v>9.0721220000000005E-2</v>
      </c>
      <c r="Q2043">
        <v>0.11813129999999999</v>
      </c>
      <c r="R2043">
        <v>-0.98884559999999999</v>
      </c>
      <c r="S2043">
        <v>5.8059689999999997E-2</v>
      </c>
      <c r="T2043">
        <v>-0.13162650000000001</v>
      </c>
      <c r="U2043">
        <v>-3.0442200000000001</v>
      </c>
      <c r="V2043">
        <v>-6.9409129999999999E-2</v>
      </c>
      <c r="W2043">
        <v>0.13118569999999999</v>
      </c>
      <c r="X2043">
        <v>0.98892500000000005</v>
      </c>
      <c r="Y2043">
        <v>2.1798099999999999E-3</v>
      </c>
      <c r="Z2043">
        <v>3.0155789999999998E-2</v>
      </c>
      <c r="AA2043">
        <v>0.99954279999999995</v>
      </c>
      <c r="AB2043">
        <v>19</v>
      </c>
      <c r="AC2043">
        <v>0.48779999999999202</v>
      </c>
      <c r="AD2043">
        <v>-1.1100636675019999</v>
      </c>
      <c r="AE2043">
        <v>-25.4619</v>
      </c>
      <c r="AF2043">
        <v>5.30233551024809E-2</v>
      </c>
      <c r="AG2043">
        <v>-1.1100636675019999</v>
      </c>
      <c r="AH2043">
        <v>25.418222052799202</v>
      </c>
      <c r="AI2043">
        <v>92.500624801792796</v>
      </c>
      <c r="AJ2043">
        <v>89.880479049635895</v>
      </c>
      <c r="AK2043">
        <v>25.442505087893799</v>
      </c>
      <c r="AL2043">
        <v>82.461885142621696</v>
      </c>
      <c r="AM2043">
        <v>94.014803218055206</v>
      </c>
      <c r="AN2043">
        <v>0.99999998541842305</v>
      </c>
    </row>
    <row r="2044" spans="1:40" x14ac:dyDescent="0.25">
      <c r="A2044" t="str">
        <f>"20190304154758262"</f>
        <v>20190304154758262</v>
      </c>
      <c r="B2044" t="str">
        <f>"1551685678258947"</f>
        <v>1551685678258947</v>
      </c>
      <c r="C2044" t="s">
        <v>40</v>
      </c>
      <c r="D2044">
        <v>4.6503329999999998</v>
      </c>
      <c r="E2044">
        <v>0.53941139999999999</v>
      </c>
      <c r="F2044" t="s">
        <v>44</v>
      </c>
      <c r="G2044">
        <v>-191.68020000000001</v>
      </c>
      <c r="H2044" s="1">
        <v>-1.9970760000000001E-6</v>
      </c>
      <c r="I2044">
        <v>323.20229999999998</v>
      </c>
      <c r="J2044">
        <v>-192.2295</v>
      </c>
      <c r="K2044">
        <v>1.110155</v>
      </c>
      <c r="L2044">
        <v>347.6712</v>
      </c>
      <c r="M2044">
        <v>1.9160920000000001E-2</v>
      </c>
      <c r="N2044">
        <v>-1.2981990000000001E-2</v>
      </c>
      <c r="O2044">
        <v>-0.99973230000000002</v>
      </c>
      <c r="P2044">
        <v>9.1328129999999993E-2</v>
      </c>
      <c r="Q2044">
        <v>0.1176276</v>
      </c>
      <c r="R2044">
        <v>-0.98884950000000005</v>
      </c>
      <c r="S2044">
        <v>6.7993159999999997E-2</v>
      </c>
      <c r="T2044">
        <v>-0.13705349999999999</v>
      </c>
      <c r="U2044">
        <v>-3.0439759999999998</v>
      </c>
      <c r="V2044">
        <v>-7.2105959999999997E-2</v>
      </c>
      <c r="W2044">
        <v>0.13061700000000001</v>
      </c>
      <c r="X2044">
        <v>0.98880729999999994</v>
      </c>
      <c r="Y2044">
        <v>-3.1569110000000001E-3</v>
      </c>
      <c r="Z2044">
        <v>3.1990980000000002E-2</v>
      </c>
      <c r="AA2044">
        <v>0.99948320000000002</v>
      </c>
      <c r="AB2044">
        <v>19</v>
      </c>
      <c r="AC2044">
        <v>0.54929999999998802</v>
      </c>
      <c r="AD2044">
        <v>-1.1101569970759999</v>
      </c>
      <c r="AE2044">
        <v>-24.468900000000001</v>
      </c>
      <c r="AF2044">
        <v>-8.0148173362945399E-2</v>
      </c>
      <c r="AG2044">
        <v>-1.1101569970759999</v>
      </c>
      <c r="AH2044">
        <v>24.4246814308888</v>
      </c>
      <c r="AI2044">
        <v>92.602417595123995</v>
      </c>
      <c r="AJ2044">
        <v>90.188012097514004</v>
      </c>
      <c r="AK2044">
        <v>24.450029351480399</v>
      </c>
      <c r="AL2044">
        <v>82.494751968968501</v>
      </c>
      <c r="AM2044">
        <v>94.170749366327996</v>
      </c>
      <c r="AN2044">
        <v>0.99999997334490498</v>
      </c>
    </row>
    <row r="2045" spans="1:40" x14ac:dyDescent="0.25">
      <c r="A2045" t="str">
        <f>"20190304154758284"</f>
        <v>20190304154758284</v>
      </c>
      <c r="B2045" t="str">
        <f>"1551685678278468"</f>
        <v>1551685678278468</v>
      </c>
      <c r="C2045" t="s">
        <v>40</v>
      </c>
      <c r="D2045">
        <v>4.5460949999999896</v>
      </c>
      <c r="E2045">
        <v>0.54878970000000005</v>
      </c>
      <c r="F2045" t="s">
        <v>44</v>
      </c>
      <c r="G2045">
        <v>-192.74889999999999</v>
      </c>
      <c r="H2045" s="1">
        <v>-1.2943010000000001E-6</v>
      </c>
      <c r="I2045">
        <v>320.90120000000002</v>
      </c>
      <c r="J2045">
        <v>-192.22819999999999</v>
      </c>
      <c r="K2045">
        <v>1.110225</v>
      </c>
      <c r="L2045">
        <v>347.48669999999998</v>
      </c>
      <c r="M2045">
        <v>1.7331550000000001E-2</v>
      </c>
      <c r="N2045">
        <v>-1.2928139999999999E-2</v>
      </c>
      <c r="O2045">
        <v>-0.99976620000000005</v>
      </c>
      <c r="P2045">
        <v>9.277871E-2</v>
      </c>
      <c r="Q2045">
        <v>0.1168389</v>
      </c>
      <c r="R2045">
        <v>-0.98880800000000002</v>
      </c>
      <c r="S2045">
        <v>-5.9265140000000001E-2</v>
      </c>
      <c r="T2045">
        <v>-0.1266658</v>
      </c>
      <c r="U2045">
        <v>-3.0543819999999999</v>
      </c>
      <c r="V2045">
        <v>-7.5396199999999997E-2</v>
      </c>
      <c r="W2045">
        <v>0.12976509999999999</v>
      </c>
      <c r="X2045">
        <v>0.9886741</v>
      </c>
      <c r="Y2045">
        <v>3.6705710000000003E-2</v>
      </c>
      <c r="Z2045">
        <v>2.8484720000000002E-2</v>
      </c>
      <c r="AA2045">
        <v>0.99892009999999998</v>
      </c>
      <c r="AB2045">
        <v>19</v>
      </c>
      <c r="AC2045">
        <v>-0.52070000000000405</v>
      </c>
      <c r="AD2045">
        <v>-1.1102262943009999</v>
      </c>
      <c r="AE2045">
        <v>-26.5854999999999</v>
      </c>
      <c r="AF2045">
        <v>0.97972029002816796</v>
      </c>
      <c r="AG2045">
        <v>-1.1102262943009999</v>
      </c>
      <c r="AH2045">
        <v>26.5262382067503</v>
      </c>
      <c r="AI2045">
        <v>92.395021455847996</v>
      </c>
      <c r="AJ2045">
        <v>87.884798677158301</v>
      </c>
      <c r="AK2045">
        <v>26.567532208929499</v>
      </c>
      <c r="AL2045">
        <v>82.543981605854597</v>
      </c>
      <c r="AM2045">
        <v>94.360930410625301</v>
      </c>
      <c r="AN2045">
        <v>1.0000000220816201</v>
      </c>
    </row>
    <row r="2046" spans="1:40" x14ac:dyDescent="0.25">
      <c r="A2046" t="str">
        <f>"20190304154758307"</f>
        <v>20190304154758307</v>
      </c>
      <c r="B2046" t="str">
        <f>"1551685678298495"</f>
        <v>1551685678298495</v>
      </c>
      <c r="C2046" t="s">
        <v>40</v>
      </c>
      <c r="D2046">
        <v>4.569045</v>
      </c>
      <c r="E2046">
        <v>0.55247950000000001</v>
      </c>
      <c r="F2046" t="s">
        <v>44</v>
      </c>
      <c r="G2046">
        <v>-193.85900000000001</v>
      </c>
      <c r="H2046" s="1">
        <v>-4.6992940000000003E-6</v>
      </c>
      <c r="I2046">
        <v>308.78440000000001</v>
      </c>
      <c r="J2046">
        <v>-192.22710000000001</v>
      </c>
      <c r="K2046">
        <v>1.1103069999999999</v>
      </c>
      <c r="L2046">
        <v>347.28879999999998</v>
      </c>
      <c r="M2046">
        <v>1.560433E-2</v>
      </c>
      <c r="N2046">
        <v>-1.286557E-2</v>
      </c>
      <c r="O2046">
        <v>-0.99979560000000001</v>
      </c>
      <c r="P2046">
        <v>9.3854259999999995E-2</v>
      </c>
      <c r="Q2046">
        <v>0.1165486</v>
      </c>
      <c r="R2046">
        <v>-0.98874070000000003</v>
      </c>
      <c r="S2046">
        <v>-0.12878419999999999</v>
      </c>
      <c r="T2046">
        <v>-8.7677959999999999E-2</v>
      </c>
      <c r="U2046">
        <v>-3.0564269999999998</v>
      </c>
      <c r="V2046">
        <v>-7.8211760000000005E-2</v>
      </c>
      <c r="W2046">
        <v>0.1293986</v>
      </c>
      <c r="X2046">
        <v>0.98850340000000003</v>
      </c>
      <c r="Y2046">
        <v>5.7664199999999902E-2</v>
      </c>
      <c r="Z2046">
        <v>1.5765959999999999E-2</v>
      </c>
      <c r="AA2046">
        <v>0.99821159999999998</v>
      </c>
      <c r="AB2046">
        <v>19</v>
      </c>
      <c r="AC2046">
        <v>-1.6318999999999999</v>
      </c>
      <c r="AD2046">
        <v>-1.1103116992940001</v>
      </c>
      <c r="AE2046">
        <v>-38.504399999999897</v>
      </c>
      <c r="AF2046">
        <v>2.2307347340267198</v>
      </c>
      <c r="AG2046">
        <v>-1.1103116992940001</v>
      </c>
      <c r="AH2046">
        <v>38.442336319712098</v>
      </c>
      <c r="AI2046">
        <v>91.651609977851393</v>
      </c>
      <c r="AJ2046">
        <v>86.678960527456894</v>
      </c>
      <c r="AK2046">
        <v>38.523008595397002</v>
      </c>
      <c r="AL2046">
        <v>82.565159079262699</v>
      </c>
      <c r="AM2046">
        <v>94.523897090891197</v>
      </c>
      <c r="AN2046">
        <v>1.0000000244478999</v>
      </c>
    </row>
    <row r="2047" spans="1:40" x14ac:dyDescent="0.25">
      <c r="A2047" t="str">
        <f>"20190304154758328"</f>
        <v>20190304154758328</v>
      </c>
      <c r="B2047" t="str">
        <f>"1551685678318990"</f>
        <v>1551685678318990</v>
      </c>
      <c r="C2047" t="s">
        <v>40</v>
      </c>
      <c r="D2047">
        <v>4.5002490000000002</v>
      </c>
      <c r="E2047">
        <v>0.55375399999999997</v>
      </c>
      <c r="F2047" t="s">
        <v>54</v>
      </c>
      <c r="G2047">
        <v>-194.66820000000001</v>
      </c>
      <c r="H2047" s="1">
        <v>9.4788920000000004E-8</v>
      </c>
      <c r="I2047">
        <v>299.07810000000001</v>
      </c>
      <c r="J2047">
        <v>-192.226</v>
      </c>
      <c r="K2047">
        <v>1.1103989999999999</v>
      </c>
      <c r="L2047">
        <v>347.09800000000001</v>
      </c>
      <c r="M2047">
        <v>1.414028E-2</v>
      </c>
      <c r="N2047">
        <v>-1.2801089999999999E-2</v>
      </c>
      <c r="O2047">
        <v>-0.9998184</v>
      </c>
      <c r="P2047">
        <v>9.4790559999999996E-2</v>
      </c>
      <c r="Q2047">
        <v>0.11663800000000001</v>
      </c>
      <c r="R2047">
        <v>-0.98864090000000004</v>
      </c>
      <c r="S2047">
        <v>-0.15480039999999901</v>
      </c>
      <c r="T2047">
        <v>-7.0408700000000005E-2</v>
      </c>
      <c r="U2047">
        <v>-3.05722</v>
      </c>
      <c r="V2047">
        <v>-8.063091E-2</v>
      </c>
      <c r="W2047">
        <v>0.1294062</v>
      </c>
      <c r="X2047">
        <v>0.98830799999999996</v>
      </c>
      <c r="Y2047">
        <v>6.4670430000000001E-2</v>
      </c>
      <c r="Z2047">
        <v>1.0177769999999999E-2</v>
      </c>
      <c r="AA2047">
        <v>0.99785480000000004</v>
      </c>
      <c r="AB2047">
        <v>19</v>
      </c>
      <c r="AC2047">
        <v>-2.4422000000000099</v>
      </c>
      <c r="AD2047">
        <v>-1.1103989052110801</v>
      </c>
      <c r="AE2047">
        <v>-48.0199</v>
      </c>
      <c r="AF2047">
        <v>3.1193624040116101</v>
      </c>
      <c r="AG2047">
        <v>-1.1103989052110801</v>
      </c>
      <c r="AH2047">
        <v>47.954986340706697</v>
      </c>
      <c r="AI2047">
        <v>91.323651810223595</v>
      </c>
      <c r="AJ2047">
        <v>86.278283526725303</v>
      </c>
      <c r="AK2047">
        <v>48.069159785392799</v>
      </c>
      <c r="AL2047">
        <v>82.564719797862395</v>
      </c>
      <c r="AM2047">
        <v>94.664134702532905</v>
      </c>
      <c r="AN2047">
        <v>1.0000000055549301</v>
      </c>
    </row>
    <row r="2048" spans="1:40" x14ac:dyDescent="0.25">
      <c r="A2048" t="str">
        <f>"20190304154758350"</f>
        <v>20190304154758350</v>
      </c>
      <c r="B2048" t="str">
        <f>"1551685678338514"</f>
        <v>1551685678338514</v>
      </c>
      <c r="C2048" t="s">
        <v>40</v>
      </c>
      <c r="D2048">
        <v>4.5302100000000003</v>
      </c>
      <c r="E2048">
        <v>0.55473790000000001</v>
      </c>
      <c r="F2048" t="s">
        <v>54</v>
      </c>
      <c r="G2048">
        <v>-195.2225</v>
      </c>
      <c r="H2048" s="1">
        <v>2.3111970000000001E-6</v>
      </c>
      <c r="I2048">
        <v>290.43650000000002</v>
      </c>
      <c r="J2048">
        <v>-192.22499999999999</v>
      </c>
      <c r="K2048">
        <v>1.110495</v>
      </c>
      <c r="L2048">
        <v>346.91149999999999</v>
      </c>
      <c r="M2048">
        <v>1.2880870000000001E-2</v>
      </c>
      <c r="N2048">
        <v>-1.273347E-2</v>
      </c>
      <c r="O2048">
        <v>-0.99983610000000001</v>
      </c>
      <c r="P2048">
        <v>9.5781210000000006E-2</v>
      </c>
      <c r="Q2048">
        <v>0.115773</v>
      </c>
      <c r="R2048">
        <v>-0.98864700000000005</v>
      </c>
      <c r="S2048">
        <v>-0.161666899999999</v>
      </c>
      <c r="T2048">
        <v>-5.990815E-2</v>
      </c>
      <c r="U2048">
        <v>-3.057007</v>
      </c>
      <c r="V2048">
        <v>-8.2902160000000003E-2</v>
      </c>
      <c r="W2048">
        <v>0.12845480000000001</v>
      </c>
      <c r="X2048">
        <v>0.98824420000000002</v>
      </c>
      <c r="Y2048">
        <v>6.5655080000000005E-2</v>
      </c>
      <c r="Z2048">
        <v>6.8190530000000003E-3</v>
      </c>
      <c r="AA2048">
        <v>0.99781909999999896</v>
      </c>
      <c r="AB2048">
        <v>19</v>
      </c>
      <c r="AC2048">
        <v>-2.9975000000000001</v>
      </c>
      <c r="AD2048">
        <v>-1.110492688803</v>
      </c>
      <c r="AE2048">
        <v>-56.474999999999902</v>
      </c>
      <c r="AF2048">
        <v>3.7233217118030701</v>
      </c>
      <c r="AG2048">
        <v>-1.110492688803</v>
      </c>
      <c r="AH2048">
        <v>56.409950756508103</v>
      </c>
      <c r="AI2048">
        <v>91.125337502616105</v>
      </c>
      <c r="AJ2048">
        <v>86.223687059722394</v>
      </c>
      <c r="AK2048">
        <v>56.5436014322853</v>
      </c>
      <c r="AL2048">
        <v>82.619689772730794</v>
      </c>
      <c r="AM2048">
        <v>94.795220155577198</v>
      </c>
      <c r="AN2048">
        <v>1.0000000013046699</v>
      </c>
    </row>
    <row r="2049" spans="1:40" x14ac:dyDescent="0.25">
      <c r="A2049" t="str">
        <f>"20190304154758372"</f>
        <v>20190304154758372</v>
      </c>
      <c r="B2049" t="str">
        <f>"1551685678368767"</f>
        <v>1551685678368767</v>
      </c>
      <c r="C2049" t="s">
        <v>40</v>
      </c>
      <c r="D2049">
        <v>4.5715570000000003</v>
      </c>
      <c r="E2049">
        <v>0.55535730000000005</v>
      </c>
      <c r="F2049" t="s">
        <v>54</v>
      </c>
      <c r="G2049">
        <v>-195.62219999999999</v>
      </c>
      <c r="H2049" s="1">
        <v>2.9670819999999999E-6</v>
      </c>
      <c r="I2049">
        <v>284.6191</v>
      </c>
      <c r="J2049">
        <v>-192.22389999999999</v>
      </c>
      <c r="K2049">
        <v>1.11059</v>
      </c>
      <c r="L2049">
        <v>346.72199999999998</v>
      </c>
      <c r="M2049">
        <v>1.1772319999999999E-2</v>
      </c>
      <c r="N2049">
        <v>-1.2657979999999999E-2</v>
      </c>
      <c r="O2049">
        <v>-0.99985060000000003</v>
      </c>
      <c r="P2049">
        <v>9.7345119999999993E-2</v>
      </c>
      <c r="Q2049">
        <v>0.114673499999999</v>
      </c>
      <c r="R2049">
        <v>-0.98862240000000001</v>
      </c>
      <c r="S2049">
        <v>-0.16671749999999999</v>
      </c>
      <c r="T2049">
        <v>-5.4497480000000001E-2</v>
      </c>
      <c r="U2049">
        <v>-3.057007</v>
      </c>
      <c r="V2049">
        <v>-8.5597389999999995E-2</v>
      </c>
      <c r="W2049">
        <v>0.1272607</v>
      </c>
      <c r="X2049">
        <v>0.98816890000000002</v>
      </c>
      <c r="Y2049">
        <v>6.6193840000000004E-2</v>
      </c>
      <c r="Z2049">
        <v>5.128166E-3</v>
      </c>
      <c r="AA2049">
        <v>0.99779359999999995</v>
      </c>
      <c r="AB2049">
        <v>19</v>
      </c>
      <c r="AC2049">
        <v>-3.3982999999999999</v>
      </c>
      <c r="AD2049">
        <v>-1.1105870329180001</v>
      </c>
      <c r="AE2049">
        <v>-62.102899999999899</v>
      </c>
      <c r="AF2049">
        <v>4.1279020779435198</v>
      </c>
      <c r="AG2049">
        <v>-1.1105870329180001</v>
      </c>
      <c r="AH2049">
        <v>62.038805822814801</v>
      </c>
      <c r="AI2049">
        <v>91.023308029146406</v>
      </c>
      <c r="AJ2049">
        <v>86.193297751941898</v>
      </c>
      <c r="AK2049">
        <v>62.185901995900203</v>
      </c>
      <c r="AL2049">
        <v>82.688672739072601</v>
      </c>
      <c r="AM2049">
        <v>94.950730200771702</v>
      </c>
      <c r="AN2049">
        <v>0.99999998693325598</v>
      </c>
    </row>
    <row r="2050" spans="1:40" x14ac:dyDescent="0.25">
      <c r="A2050" t="str">
        <f>"20190304154758395"</f>
        <v>20190304154758395</v>
      </c>
      <c r="B2050" t="str">
        <f>"1551685678388287"</f>
        <v>1551685678388287</v>
      </c>
      <c r="C2050" t="s">
        <v>40</v>
      </c>
      <c r="D2050">
        <v>4.5343070000000001</v>
      </c>
      <c r="E2050">
        <v>0.5554943</v>
      </c>
      <c r="F2050" t="s">
        <v>54</v>
      </c>
      <c r="G2050">
        <v>-195.79519999999999</v>
      </c>
      <c r="H2050" s="1">
        <v>3.215242E-6</v>
      </c>
      <c r="I2050">
        <v>281.42930000000001</v>
      </c>
      <c r="J2050">
        <v>-192.22280000000001</v>
      </c>
      <c r="K2050">
        <v>1.1106609999999999</v>
      </c>
      <c r="L2050">
        <v>346.52550000000002</v>
      </c>
      <c r="M2050">
        <v>1.080389E-2</v>
      </c>
      <c r="N2050">
        <v>-1.2576230000000001E-2</v>
      </c>
      <c r="O2050">
        <v>-0.9998629</v>
      </c>
      <c r="P2050">
        <v>9.8686369999999995E-2</v>
      </c>
      <c r="Q2050">
        <v>0.114423499999999</v>
      </c>
      <c r="R2050">
        <v>-0.98851860000000003</v>
      </c>
      <c r="S2050">
        <v>-0.16720579999999999</v>
      </c>
      <c r="T2050">
        <v>-5.1997179999999997E-2</v>
      </c>
      <c r="U2050">
        <v>-3.0569760000000001</v>
      </c>
      <c r="V2050">
        <v>-8.7926019999999994E-2</v>
      </c>
      <c r="W2050">
        <v>0.126910199999999</v>
      </c>
      <c r="X2050">
        <v>0.98800949999999998</v>
      </c>
      <c r="Y2050">
        <v>6.5387580000000001E-2</v>
      </c>
      <c r="Z2050">
        <v>4.3950539999999998E-3</v>
      </c>
      <c r="AA2050">
        <v>0.99785020000000002</v>
      </c>
      <c r="AB2050">
        <v>19</v>
      </c>
      <c r="AC2050">
        <v>-3.57239999999998</v>
      </c>
      <c r="AD2050">
        <v>-1.1106577847579999</v>
      </c>
      <c r="AE2050">
        <v>-65.096199999999996</v>
      </c>
      <c r="AF2050">
        <v>4.2742984961521504</v>
      </c>
      <c r="AG2050">
        <v>-1.1106577847579999</v>
      </c>
      <c r="AH2050">
        <v>65.034926161040403</v>
      </c>
      <c r="AI2050">
        <v>90.976288689145605</v>
      </c>
      <c r="AJ2050">
        <v>86.239750342994199</v>
      </c>
      <c r="AK2050">
        <v>65.184697660731899</v>
      </c>
      <c r="AL2050">
        <v>82.708919006361597</v>
      </c>
      <c r="AM2050">
        <v>95.085531381315604</v>
      </c>
      <c r="AN2050">
        <v>0.99999997797366402</v>
      </c>
    </row>
    <row r="2051" spans="1:40" x14ac:dyDescent="0.25">
      <c r="A2051" t="str">
        <f>"20190304154758418"</f>
        <v>20190304154758418</v>
      </c>
      <c r="B2051" t="str">
        <f>"1551685678408314"</f>
        <v>1551685678408314</v>
      </c>
      <c r="C2051" t="s">
        <v>40</v>
      </c>
      <c r="D2051">
        <v>4.5562199999999997</v>
      </c>
      <c r="E2051">
        <v>0.55564829999999998</v>
      </c>
      <c r="F2051" t="s">
        <v>54</v>
      </c>
      <c r="G2051">
        <v>-195.89150000000001</v>
      </c>
      <c r="H2051" s="1">
        <v>3.7300509999999998E-6</v>
      </c>
      <c r="I2051">
        <v>278.2063</v>
      </c>
      <c r="J2051">
        <v>-192.2217</v>
      </c>
      <c r="K2051">
        <v>1.1107119999999999</v>
      </c>
      <c r="L2051">
        <v>346.32490000000001</v>
      </c>
      <c r="M2051">
        <v>9.9637830000000004E-3</v>
      </c>
      <c r="N2051">
        <v>-1.249624E-2</v>
      </c>
      <c r="O2051">
        <v>-0.9998726</v>
      </c>
      <c r="P2051">
        <v>9.9797629999999998E-2</v>
      </c>
      <c r="Q2051">
        <v>0.1147816</v>
      </c>
      <c r="R2051">
        <v>-0.98836539999999995</v>
      </c>
      <c r="S2051">
        <v>-0.1641541</v>
      </c>
      <c r="T2051">
        <v>-4.9696450000000003E-2</v>
      </c>
      <c r="U2051">
        <v>-3.0569459999999999</v>
      </c>
      <c r="V2051">
        <v>-8.9887809999999999E-2</v>
      </c>
      <c r="W2051">
        <v>0.1271755</v>
      </c>
      <c r="X2051">
        <v>0.98779890000000004</v>
      </c>
      <c r="Y2051">
        <v>6.3557269999999999E-2</v>
      </c>
      <c r="Z2051">
        <v>3.7262200000000001E-3</v>
      </c>
      <c r="AA2051">
        <v>0.99797119999999995</v>
      </c>
      <c r="AB2051">
        <v>19</v>
      </c>
      <c r="AC2051">
        <v>-3.6698</v>
      </c>
      <c r="AD2051">
        <v>-1.1107082699490001</v>
      </c>
      <c r="AE2051">
        <v>-68.118600000000001</v>
      </c>
      <c r="AF2051">
        <v>4.3472370782829097</v>
      </c>
      <c r="AG2051">
        <v>-1.1107082699490001</v>
      </c>
      <c r="AH2051">
        <v>68.060607276581905</v>
      </c>
      <c r="AI2051">
        <v>90.933048712197206</v>
      </c>
      <c r="AJ2051">
        <v>86.345309762754496</v>
      </c>
      <c r="AK2051">
        <v>68.208345573931396</v>
      </c>
      <c r="AL2051">
        <v>82.693594766307697</v>
      </c>
      <c r="AM2051">
        <v>95.199486157791199</v>
      </c>
      <c r="AN2051">
        <v>1.00000004651402</v>
      </c>
    </row>
    <row r="2052" spans="1:40" x14ac:dyDescent="0.25">
      <c r="A2052" t="str">
        <f>"20190304154758441"</f>
        <v>20190304154758441</v>
      </c>
      <c r="B2052" t="str">
        <f>"1551685678438570"</f>
        <v>1551685678438570</v>
      </c>
      <c r="C2052" t="s">
        <v>40</v>
      </c>
      <c r="D2052">
        <v>4.5645360000000004</v>
      </c>
      <c r="E2052">
        <v>0.55553839999999999</v>
      </c>
      <c r="F2052" t="s">
        <v>54</v>
      </c>
      <c r="G2052">
        <v>-196.19470000000001</v>
      </c>
      <c r="H2052" s="1">
        <v>5.6478249999999996E-6</v>
      </c>
      <c r="I2052">
        <v>271.41789999999997</v>
      </c>
      <c r="J2052">
        <v>-192.22059999999999</v>
      </c>
      <c r="K2052">
        <v>1.1107320000000001</v>
      </c>
      <c r="L2052">
        <v>346.12799999999999</v>
      </c>
      <c r="M2052">
        <v>9.2682149999999998E-3</v>
      </c>
      <c r="N2052">
        <v>-1.242327E-2</v>
      </c>
      <c r="O2052">
        <v>-0.99987999999999999</v>
      </c>
      <c r="P2052">
        <v>9.9351190000000006E-2</v>
      </c>
      <c r="Q2052">
        <v>0.11564770000000001</v>
      </c>
      <c r="R2052">
        <v>-0.9883094</v>
      </c>
      <c r="S2052">
        <v>-0.162139899999999</v>
      </c>
      <c r="T2052">
        <v>-4.5328260000000002E-2</v>
      </c>
      <c r="U2052">
        <v>-3.0569760000000001</v>
      </c>
      <c r="V2052">
        <v>-9.0139549999999999E-2</v>
      </c>
      <c r="W2052">
        <v>0.12796109999999999</v>
      </c>
      <c r="X2052">
        <v>0.98767450000000001</v>
      </c>
      <c r="Y2052">
        <v>6.220784E-2</v>
      </c>
      <c r="Z2052">
        <v>2.374368E-3</v>
      </c>
      <c r="AA2052">
        <v>0.99806039999999996</v>
      </c>
      <c r="AB2052">
        <v>19</v>
      </c>
      <c r="AC2052">
        <v>-3.9741000000000199</v>
      </c>
      <c r="AD2052">
        <v>-1.1107263521749999</v>
      </c>
      <c r="AE2052">
        <v>-74.710099999999997</v>
      </c>
      <c r="AF2052">
        <v>4.6653836148830496</v>
      </c>
      <c r="AG2052">
        <v>-1.1107263521749999</v>
      </c>
      <c r="AH2052">
        <v>74.653600703583507</v>
      </c>
      <c r="AI2052">
        <v>90.850747379576404</v>
      </c>
      <c r="AJ2052">
        <v>86.424022211187193</v>
      </c>
      <c r="AK2052">
        <v>74.807483685213796</v>
      </c>
      <c r="AL2052">
        <v>82.648212443492</v>
      </c>
      <c r="AM2052">
        <v>95.214620794184299</v>
      </c>
      <c r="AN2052">
        <v>1.0000000497688299</v>
      </c>
    </row>
    <row r="2053" spans="1:40" x14ac:dyDescent="0.25">
      <c r="A2053" t="str">
        <f>"20190304154758463"</f>
        <v>20190304154758463</v>
      </c>
      <c r="B2053" t="str">
        <f>"1551685678459066"</f>
        <v>1551685678459066</v>
      </c>
      <c r="C2053" t="s">
        <v>40</v>
      </c>
      <c r="D2053">
        <v>4.5493980000000001</v>
      </c>
      <c r="E2053">
        <v>0.55548830000000005</v>
      </c>
      <c r="F2053" t="s">
        <v>44</v>
      </c>
      <c r="G2053">
        <v>-196.35319999999999</v>
      </c>
      <c r="H2053" s="1">
        <v>-5.0095169999999999E-6</v>
      </c>
      <c r="I2053">
        <v>268.39589999999998</v>
      </c>
      <c r="J2053">
        <v>-192.21960000000001</v>
      </c>
      <c r="K2053">
        <v>1.1107419999999999</v>
      </c>
      <c r="L2053">
        <v>345.93849999999998</v>
      </c>
      <c r="M2053">
        <v>8.7085800000000005E-3</v>
      </c>
      <c r="N2053">
        <v>-1.2355329999999999E-2</v>
      </c>
      <c r="O2053">
        <v>-0.99988589999999999</v>
      </c>
      <c r="P2053">
        <v>9.9637320000000001E-2</v>
      </c>
      <c r="Q2053">
        <v>0.115644</v>
      </c>
      <c r="R2053">
        <v>-0.98828130000000003</v>
      </c>
      <c r="S2053">
        <v>-0.16252139999999901</v>
      </c>
      <c r="T2053">
        <v>-4.368114E-2</v>
      </c>
      <c r="U2053">
        <v>-3.056915</v>
      </c>
      <c r="V2053">
        <v>-9.098531E-2</v>
      </c>
      <c r="W2053">
        <v>0.12788540000000001</v>
      </c>
      <c r="X2053">
        <v>0.98760669999999995</v>
      </c>
      <c r="Y2053">
        <v>6.1774860000000001E-2</v>
      </c>
      <c r="Z2053">
        <v>1.905286E-3</v>
      </c>
      <c r="AA2053">
        <v>0.99808830000000004</v>
      </c>
      <c r="AB2053">
        <v>19</v>
      </c>
      <c r="AC2053">
        <v>-4.1335999999999702</v>
      </c>
      <c r="AD2053">
        <v>-1.110747009517</v>
      </c>
      <c r="AE2053">
        <v>-77.542599999999993</v>
      </c>
      <c r="AF2053">
        <v>4.8077969073545201</v>
      </c>
      <c r="AG2053">
        <v>-1.110747009517</v>
      </c>
      <c r="AH2053">
        <v>77.487804149260796</v>
      </c>
      <c r="AI2053">
        <v>90.819672675468595</v>
      </c>
      <c r="AJ2053">
        <v>86.449585813250806</v>
      </c>
      <c r="AK2053">
        <v>77.644758109583407</v>
      </c>
      <c r="AL2053">
        <v>82.652585281586894</v>
      </c>
      <c r="AM2053">
        <v>95.263634235748</v>
      </c>
      <c r="AN2053">
        <v>0.99999999802692296</v>
      </c>
    </row>
    <row r="2054" spans="1:40" x14ac:dyDescent="0.25">
      <c r="A2054" t="str">
        <f>"20190304154758486"</f>
        <v>20190304154758486</v>
      </c>
      <c r="B2054" t="str">
        <f>"1551685678478587"</f>
        <v>1551685678478587</v>
      </c>
      <c r="C2054" t="s">
        <v>40</v>
      </c>
      <c r="D2054">
        <v>4.5213769999999904</v>
      </c>
      <c r="E2054">
        <v>0.55554720000000002</v>
      </c>
      <c r="F2054" t="s">
        <v>44</v>
      </c>
      <c r="G2054">
        <v>-196.26310000000001</v>
      </c>
      <c r="H2054" s="1">
        <v>-5.1921139999999998E-6</v>
      </c>
      <c r="I2054">
        <v>268.97949999999997</v>
      </c>
      <c r="J2054">
        <v>-192.21860000000001</v>
      </c>
      <c r="K2054">
        <v>1.1107549999999999</v>
      </c>
      <c r="L2054">
        <v>345.74829999999997</v>
      </c>
      <c r="M2054">
        <v>8.240018E-3</v>
      </c>
      <c r="N2054">
        <v>-1.2289380000000001E-2</v>
      </c>
      <c r="O2054">
        <v>-0.99989090000000003</v>
      </c>
      <c r="P2054">
        <v>9.9971569999999996E-2</v>
      </c>
      <c r="Q2054">
        <v>0.11543009999999999</v>
      </c>
      <c r="R2054">
        <v>-0.98827240000000005</v>
      </c>
      <c r="S2054">
        <v>-0.16061400000000001</v>
      </c>
      <c r="T2054">
        <v>-4.412079E-2</v>
      </c>
      <c r="U2054">
        <v>-3.0569459999999999</v>
      </c>
      <c r="V2054">
        <v>-9.1790179999999999E-2</v>
      </c>
      <c r="W2054">
        <v>0.1276012</v>
      </c>
      <c r="X2054">
        <v>0.98756900000000003</v>
      </c>
      <c r="Y2054">
        <v>6.0685759999999998E-2</v>
      </c>
      <c r="Z2054">
        <v>2.1156510000000001E-3</v>
      </c>
      <c r="AA2054">
        <v>0.99815469999999895</v>
      </c>
      <c r="AB2054">
        <v>19</v>
      </c>
      <c r="AC2054">
        <v>-4.0444999999999904</v>
      </c>
      <c r="AD2054">
        <v>-1.110760192114</v>
      </c>
      <c r="AE2054">
        <v>-76.768799999999999</v>
      </c>
      <c r="AF2054">
        <v>4.6760102957273704</v>
      </c>
      <c r="AG2054">
        <v>-1.110760192114</v>
      </c>
      <c r="AH2054">
        <v>76.716847937809504</v>
      </c>
      <c r="AI2054">
        <v>90.827974057378697</v>
      </c>
      <c r="AJ2054">
        <v>86.512048882251406</v>
      </c>
      <c r="AK2054">
        <v>76.867246717982098</v>
      </c>
      <c r="AL2054">
        <v>82.669003387007095</v>
      </c>
      <c r="AM2054">
        <v>95.3101336974036</v>
      </c>
      <c r="AN2054">
        <v>1.00000001657343</v>
      </c>
    </row>
    <row r="2055" spans="1:40" x14ac:dyDescent="0.25">
      <c r="A2055" t="str">
        <f>"20190304154758499"</f>
        <v>20190304154758499</v>
      </c>
      <c r="B2055" t="str">
        <f>"1551685678488346"</f>
        <v>1551685678488346</v>
      </c>
      <c r="C2055" t="s">
        <v>40</v>
      </c>
      <c r="D2055">
        <v>4.5435319999999999</v>
      </c>
      <c r="E2055">
        <v>0.55564690000000005</v>
      </c>
      <c r="F2055" t="s">
        <v>44</v>
      </c>
      <c r="G2055">
        <v>-196.2286</v>
      </c>
      <c r="H2055" s="1">
        <v>-5.2342169999999996E-6</v>
      </c>
      <c r="I2055">
        <v>269.12119999999999</v>
      </c>
      <c r="J2055">
        <v>-192.21789999999999</v>
      </c>
      <c r="K2055">
        <v>1.1107659999999999</v>
      </c>
      <c r="L2055">
        <v>345.63199999999898</v>
      </c>
      <c r="M2055">
        <v>7.993745E-3</v>
      </c>
      <c r="N2055">
        <v>-1.225148E-2</v>
      </c>
      <c r="O2055">
        <v>-0.99989320000000004</v>
      </c>
      <c r="P2055">
        <v>0.1000487</v>
      </c>
      <c r="Q2055">
        <v>0.1154646</v>
      </c>
      <c r="R2055">
        <v>-0.98826069999999999</v>
      </c>
      <c r="S2055">
        <v>-0.15997310000000001</v>
      </c>
      <c r="T2055">
        <v>-4.4311999999999997E-2</v>
      </c>
      <c r="U2055">
        <v>-3.056915</v>
      </c>
      <c r="V2055">
        <v>-9.2115669999999997E-2</v>
      </c>
      <c r="W2055">
        <v>0.12759409999999999</v>
      </c>
      <c r="X2055">
        <v>0.98753959999999996</v>
      </c>
      <c r="Y2055">
        <v>6.0231809999999997E-2</v>
      </c>
      <c r="Z2055">
        <v>2.216544E-3</v>
      </c>
      <c r="AA2055">
        <v>0.99818189999999996</v>
      </c>
      <c r="AB2055">
        <v>19</v>
      </c>
      <c r="AC2055">
        <v>-4.0107000000000097</v>
      </c>
      <c r="AD2055">
        <v>-1.110771234217</v>
      </c>
      <c r="AE2055">
        <v>-76.510799999999904</v>
      </c>
      <c r="AF2055">
        <v>4.6212541011133501</v>
      </c>
      <c r="AG2055">
        <v>-1.110771234217</v>
      </c>
      <c r="AH2055">
        <v>76.460220990922195</v>
      </c>
      <c r="AI2055">
        <v>90.830786590355402</v>
      </c>
      <c r="AJ2055">
        <v>86.541251823999204</v>
      </c>
      <c r="AK2055">
        <v>76.607801144416598</v>
      </c>
      <c r="AL2055">
        <v>82.669413463828505</v>
      </c>
      <c r="AM2055">
        <v>95.329013070621002</v>
      </c>
      <c r="AN2055">
        <v>1.00000000629125</v>
      </c>
    </row>
    <row r="2056" spans="1:40" x14ac:dyDescent="0.25">
      <c r="A2056" t="str">
        <f>"20190304154758519"</f>
        <v>20190304154758519</v>
      </c>
      <c r="B2056" t="str">
        <f>"1551685678508378"</f>
        <v>1551685678508378</v>
      </c>
      <c r="C2056" t="s">
        <v>40</v>
      </c>
      <c r="D2056">
        <v>4.5204879999999896</v>
      </c>
      <c r="E2056">
        <v>0.55579559999999995</v>
      </c>
      <c r="F2056" t="s">
        <v>44</v>
      </c>
      <c r="G2056">
        <v>-196.2663</v>
      </c>
      <c r="H2056" s="1">
        <v>-5.0083909999999997E-6</v>
      </c>
      <c r="I2056">
        <v>268.43790000000001</v>
      </c>
      <c r="J2056">
        <v>-192.21700000000001</v>
      </c>
      <c r="K2056">
        <v>1.110792</v>
      </c>
      <c r="L2056">
        <v>345.4581</v>
      </c>
      <c r="M2056">
        <v>7.6726930000000004E-3</v>
      </c>
      <c r="N2056">
        <v>-1.219775E-2</v>
      </c>
      <c r="O2056">
        <v>-0.99989629999999996</v>
      </c>
      <c r="P2056">
        <v>0.1000209</v>
      </c>
      <c r="Q2056">
        <v>0.11542479999999999</v>
      </c>
      <c r="R2056">
        <v>-0.98826800000000004</v>
      </c>
      <c r="S2056">
        <v>-0.1603241</v>
      </c>
      <c r="T2056">
        <v>-4.3988230000000003E-2</v>
      </c>
      <c r="U2056">
        <v>-3.057007</v>
      </c>
      <c r="V2056">
        <v>-9.2414479999999993E-2</v>
      </c>
      <c r="W2056">
        <v>0.1274943</v>
      </c>
      <c r="X2056">
        <v>0.98752459999999997</v>
      </c>
      <c r="Y2056">
        <v>6.0024180000000003E-2</v>
      </c>
      <c r="Z2056">
        <v>2.164338E-3</v>
      </c>
      <c r="AA2056">
        <v>0.99819460000000004</v>
      </c>
      <c r="AB2056">
        <v>19</v>
      </c>
      <c r="AC2056">
        <v>-4.0492999999999801</v>
      </c>
      <c r="AD2056">
        <v>-1.1107970083909999</v>
      </c>
      <c r="AE2056">
        <v>-77.020199999999903</v>
      </c>
      <c r="AF2056">
        <v>4.6392147374018098</v>
      </c>
      <c r="AG2056">
        <v>-1.1107970083909999</v>
      </c>
      <c r="AH2056">
        <v>76.970895491459402</v>
      </c>
      <c r="AI2056">
        <v>90.825302848503497</v>
      </c>
      <c r="AJ2056">
        <v>86.550822855106802</v>
      </c>
      <c r="AK2056">
        <v>77.118577114277301</v>
      </c>
      <c r="AL2056">
        <v>82.675178872657298</v>
      </c>
      <c r="AM2056">
        <v>95.346280356736401</v>
      </c>
      <c r="AN2056">
        <v>1.0000000341256501</v>
      </c>
    </row>
    <row r="2057" spans="1:40" x14ac:dyDescent="0.25">
      <c r="A2057" t="str">
        <f>"20190304154758541"</f>
        <v>20190304154758541</v>
      </c>
      <c r="B2057" t="str">
        <f>"1551685678538630"</f>
        <v>1551685678538630</v>
      </c>
      <c r="C2057" t="s">
        <v>40</v>
      </c>
      <c r="D2057">
        <v>4.4825100000000004</v>
      </c>
      <c r="E2057">
        <v>0.555896099999999</v>
      </c>
      <c r="F2057" t="s">
        <v>44</v>
      </c>
      <c r="G2057">
        <v>-196.43600000000001</v>
      </c>
      <c r="H2057" s="1">
        <v>-4.0669830000000004E-6</v>
      </c>
      <c r="I2057">
        <v>265.5831</v>
      </c>
      <c r="J2057">
        <v>-192.2159</v>
      </c>
      <c r="K2057">
        <v>1.110822</v>
      </c>
      <c r="L2057">
        <v>345.27330000000001</v>
      </c>
      <c r="M2057">
        <v>7.3910360000000001E-3</v>
      </c>
      <c r="N2057">
        <v>-1.2142389999999999E-2</v>
      </c>
      <c r="O2057">
        <v>-0.99989910000000004</v>
      </c>
      <c r="P2057">
        <v>9.9600220000000003E-2</v>
      </c>
      <c r="Q2057">
        <v>0.1161089</v>
      </c>
      <c r="R2057">
        <v>-0.98823030000000001</v>
      </c>
      <c r="S2057">
        <v>-0.16146849999999999</v>
      </c>
      <c r="T2057">
        <v>-4.2511939999999998E-2</v>
      </c>
      <c r="U2057">
        <v>-3.0569459999999999</v>
      </c>
      <c r="V2057">
        <v>-9.2283649999999995E-2</v>
      </c>
      <c r="W2057">
        <v>0.12811529999999999</v>
      </c>
      <c r="X2057">
        <v>0.98745640000000001</v>
      </c>
      <c r="Y2057">
        <v>6.0116950000000002E-2</v>
      </c>
      <c r="Z2057">
        <v>1.737897E-3</v>
      </c>
      <c r="AA2057">
        <v>0.99818980000000002</v>
      </c>
      <c r="AB2057">
        <v>19</v>
      </c>
      <c r="AC2057">
        <v>-4.2200999999999702</v>
      </c>
      <c r="AD2057">
        <v>-1.1108260669829999</v>
      </c>
      <c r="AE2057">
        <v>-79.690200000000004</v>
      </c>
      <c r="AF2057">
        <v>4.8080895759291398</v>
      </c>
      <c r="AG2057">
        <v>-1.1108260669829999</v>
      </c>
      <c r="AH2057">
        <v>79.641398422284695</v>
      </c>
      <c r="AI2057">
        <v>90.797648865007801</v>
      </c>
      <c r="AJ2057">
        <v>86.545147538674399</v>
      </c>
      <c r="AK2057">
        <v>79.794135138983293</v>
      </c>
      <c r="AL2057">
        <v>82.639303536957001</v>
      </c>
      <c r="AM2057">
        <v>95.339122057001703</v>
      </c>
      <c r="AN2057">
        <v>0.99999997202618496</v>
      </c>
    </row>
    <row r="2058" spans="1:40" x14ac:dyDescent="0.25">
      <c r="A2058" t="str">
        <f>"20190304154758556"</f>
        <v>20190304154758556</v>
      </c>
      <c r="B2058" t="str">
        <f>"1551685678548391"</f>
        <v>1551685678548391</v>
      </c>
      <c r="C2058" t="s">
        <v>40</v>
      </c>
      <c r="D2058">
        <v>4.5026659999999996</v>
      </c>
      <c r="E2058">
        <v>0.5559731</v>
      </c>
      <c r="F2058" t="s">
        <v>44</v>
      </c>
      <c r="G2058">
        <v>-196.8784</v>
      </c>
      <c r="H2058" s="1">
        <v>-5.0164589999999997E-6</v>
      </c>
      <c r="I2058">
        <v>258.14249999999998</v>
      </c>
      <c r="J2058">
        <v>-192.21520000000001</v>
      </c>
      <c r="K2058">
        <v>1.1108420000000001</v>
      </c>
      <c r="L2058">
        <v>345.14550000000003</v>
      </c>
      <c r="M2058">
        <v>7.2285780000000003E-3</v>
      </c>
      <c r="N2058">
        <v>-1.2104719999999999E-2</v>
      </c>
      <c r="O2058">
        <v>-0.99990060000000003</v>
      </c>
      <c r="P2058">
        <v>9.9068519999999993E-2</v>
      </c>
      <c r="Q2058">
        <v>0.1166146</v>
      </c>
      <c r="R2058">
        <v>-0.98822379999999999</v>
      </c>
      <c r="S2058">
        <v>-0.1635742</v>
      </c>
      <c r="T2058">
        <v>-3.89713E-2</v>
      </c>
      <c r="U2058">
        <v>-3.0568240000000002</v>
      </c>
      <c r="V2058">
        <v>-9.1919299999999995E-2</v>
      </c>
      <c r="W2058">
        <v>0.1285782</v>
      </c>
      <c r="X2058">
        <v>0.98743020000000004</v>
      </c>
      <c r="Y2058">
        <v>6.0642979999999999E-2</v>
      </c>
      <c r="Z2058">
        <v>6.1956999999999995E-4</v>
      </c>
      <c r="AA2058">
        <v>0.99815929999999997</v>
      </c>
      <c r="AB2058">
        <v>19</v>
      </c>
      <c r="AC2058">
        <v>-4.6631999999999802</v>
      </c>
      <c r="AD2058">
        <v>-1.1108470164589901</v>
      </c>
      <c r="AE2058">
        <v>-87.003</v>
      </c>
      <c r="AF2058">
        <v>5.2911721108197298</v>
      </c>
      <c r="AG2058">
        <v>-1.1108470164589901</v>
      </c>
      <c r="AH2058">
        <v>86.952881380528396</v>
      </c>
      <c r="AI2058">
        <v>90.730578338642601</v>
      </c>
      <c r="AJ2058">
        <v>86.517786787224296</v>
      </c>
      <c r="AK2058">
        <v>87.120801556095302</v>
      </c>
      <c r="AL2058">
        <v>82.612560012003499</v>
      </c>
      <c r="AM2058">
        <v>95.318303787798399</v>
      </c>
      <c r="AN2058">
        <v>0.99999995554988397</v>
      </c>
    </row>
    <row r="2059" spans="1:40" x14ac:dyDescent="0.25">
      <c r="A2059" t="str">
        <f>"20190304154758574"</f>
        <v>20190304154758574</v>
      </c>
      <c r="B2059" t="str">
        <f>"1551685678568886"</f>
        <v>1551685678568886</v>
      </c>
      <c r="C2059" t="s">
        <v>40</v>
      </c>
      <c r="D2059">
        <v>4.4996019999999897</v>
      </c>
      <c r="E2059">
        <v>0.55618230000000002</v>
      </c>
      <c r="F2059" t="s">
        <v>44</v>
      </c>
      <c r="G2059">
        <v>-197.25880000000001</v>
      </c>
      <c r="H2059" s="1">
        <v>-2.9952909999999999E-6</v>
      </c>
      <c r="I2059">
        <v>252.06909999999999</v>
      </c>
      <c r="J2059">
        <v>-192.21420000000001</v>
      </c>
      <c r="K2059">
        <v>1.1108610000000001</v>
      </c>
      <c r="L2059">
        <v>344.9837</v>
      </c>
      <c r="M2059">
        <v>7.0675779999999997E-3</v>
      </c>
      <c r="N2059">
        <v>-1.205874E-2</v>
      </c>
      <c r="O2059">
        <v>-0.99990250000000003</v>
      </c>
      <c r="P2059">
        <v>9.8162879999999994E-2</v>
      </c>
      <c r="Q2059">
        <v>0.11748649999999999</v>
      </c>
      <c r="R2059">
        <v>-0.98821119999999996</v>
      </c>
      <c r="S2059">
        <v>-0.16563420000000001</v>
      </c>
      <c r="T2059">
        <v>-3.6480310000000002E-2</v>
      </c>
      <c r="U2059">
        <v>-3.0566409999999999</v>
      </c>
      <c r="V2059">
        <v>-9.1181059999999994E-2</v>
      </c>
      <c r="W2059">
        <v>0.12939909999999999</v>
      </c>
      <c r="X2059">
        <v>0.98739149999999998</v>
      </c>
      <c r="Y2059">
        <v>6.1156469999999997E-2</v>
      </c>
      <c r="Z2059">
        <v>-1.474894E-4</v>
      </c>
      <c r="AA2059">
        <v>0.99812820000000002</v>
      </c>
      <c r="AB2059">
        <v>19</v>
      </c>
      <c r="AC2059">
        <v>-5.0446</v>
      </c>
      <c r="AD2059">
        <v>-1.110863995291</v>
      </c>
      <c r="AE2059">
        <v>-92.914599999999993</v>
      </c>
      <c r="AF2059">
        <v>5.7003903809159899</v>
      </c>
      <c r="AG2059">
        <v>-1.110863995291</v>
      </c>
      <c r="AH2059">
        <v>92.863388489272893</v>
      </c>
      <c r="AI2059">
        <v>90.684071771918497</v>
      </c>
      <c r="AJ2059">
        <v>86.487323886075004</v>
      </c>
      <c r="AK2059">
        <v>93.044813885678195</v>
      </c>
      <c r="AL2059">
        <v>82.565130331136899</v>
      </c>
      <c r="AM2059">
        <v>95.276038014193901</v>
      </c>
      <c r="AN2059">
        <v>1.00000004352789</v>
      </c>
    </row>
    <row r="2060" spans="1:40" x14ac:dyDescent="0.25">
      <c r="A2060" t="str">
        <f>"20190304154758588"</f>
        <v>20190304154758588</v>
      </c>
      <c r="B2060" t="str">
        <f>"1551685678578646"</f>
        <v>1551685678578646</v>
      </c>
      <c r="C2060" t="s">
        <v>40</v>
      </c>
      <c r="D2060">
        <v>4.527838</v>
      </c>
      <c r="E2060">
        <v>0.55629150000000005</v>
      </c>
      <c r="F2060" t="s">
        <v>44</v>
      </c>
      <c r="G2060">
        <v>-198.08770000000001</v>
      </c>
      <c r="H2060" s="1">
        <v>-6.1369989999999996E-6</v>
      </c>
      <c r="I2060">
        <v>239.53139999999999</v>
      </c>
      <c r="J2060">
        <v>-192.21340000000001</v>
      </c>
      <c r="K2060">
        <v>1.1108739999999999</v>
      </c>
      <c r="L2060">
        <v>344.8603</v>
      </c>
      <c r="M2060">
        <v>6.9788519999999998E-3</v>
      </c>
      <c r="N2060">
        <v>-1.202576E-2</v>
      </c>
      <c r="O2060">
        <v>-0.9999034</v>
      </c>
      <c r="P2060">
        <v>9.7699149999999998E-2</v>
      </c>
      <c r="Q2060">
        <v>0.11785809999999999</v>
      </c>
      <c r="R2060">
        <v>-0.98821300000000001</v>
      </c>
      <c r="S2060">
        <v>-0.17024230000000001</v>
      </c>
      <c r="T2060">
        <v>-3.2198310000000001E-2</v>
      </c>
      <c r="U2060">
        <v>-3.0565190000000002</v>
      </c>
      <c r="V2060">
        <v>-9.0809810000000005E-2</v>
      </c>
      <c r="W2060">
        <v>0.12973479999999901</v>
      </c>
      <c r="X2060">
        <v>0.98738159999999997</v>
      </c>
      <c r="Y2060">
        <v>6.2570580000000001E-2</v>
      </c>
      <c r="Z2060">
        <v>-1.5133220000000001E-3</v>
      </c>
      <c r="AA2060">
        <v>0.99803940000000002</v>
      </c>
      <c r="AB2060">
        <v>19</v>
      </c>
      <c r="AC2060">
        <v>-5.8742999999999999</v>
      </c>
      <c r="AD2060">
        <v>-1.110880136999</v>
      </c>
      <c r="AE2060">
        <v>-105.3289</v>
      </c>
      <c r="AF2060">
        <v>6.6085520205517598</v>
      </c>
      <c r="AG2060">
        <v>-1.110880136999</v>
      </c>
      <c r="AH2060">
        <v>105.27366202904</v>
      </c>
      <c r="AI2060">
        <v>90.603392652700094</v>
      </c>
      <c r="AJ2060">
        <v>86.407972009118794</v>
      </c>
      <c r="AK2060">
        <v>105.48673343834101</v>
      </c>
      <c r="AL2060">
        <v>82.545732167725603</v>
      </c>
      <c r="AM2060">
        <v>95.254729147481498</v>
      </c>
      <c r="AN2060">
        <v>0.999999981970917</v>
      </c>
    </row>
    <row r="2061" spans="1:40" x14ac:dyDescent="0.25">
      <c r="A2061" t="str">
        <f>"20190304154758609"</f>
        <v>20190304154758609</v>
      </c>
      <c r="B2061" t="str">
        <f>"1551685678598559"</f>
        <v>1551685678598559</v>
      </c>
      <c r="C2061" t="s">
        <v>40</v>
      </c>
      <c r="D2061">
        <v>4.6863570000000001</v>
      </c>
      <c r="E2061">
        <v>0.55634869999999903</v>
      </c>
      <c r="F2061" t="s">
        <v>44</v>
      </c>
      <c r="G2061">
        <v>-198.44739999999999</v>
      </c>
      <c r="H2061" s="1">
        <v>-4.2560649999999999E-6</v>
      </c>
      <c r="I2061">
        <v>234.46709999999999</v>
      </c>
      <c r="J2061">
        <v>-192.2123</v>
      </c>
      <c r="K2061">
        <v>1.1108899999999999</v>
      </c>
      <c r="L2061">
        <v>344.68810000000002</v>
      </c>
      <c r="M2061">
        <v>6.8982009999999996E-3</v>
      </c>
      <c r="N2061">
        <v>-1.1980960000000001E-2</v>
      </c>
      <c r="O2061">
        <v>-0.99990440000000003</v>
      </c>
      <c r="P2061">
        <v>9.693889E-2</v>
      </c>
      <c r="Q2061">
        <v>0.118079</v>
      </c>
      <c r="R2061">
        <v>-0.98826099999999995</v>
      </c>
      <c r="S2061">
        <v>-0.17260739999999999</v>
      </c>
      <c r="T2061">
        <v>-3.075814E-2</v>
      </c>
      <c r="U2061">
        <v>-3.0565799999999999</v>
      </c>
      <c r="V2061">
        <v>-9.0133959999999999E-2</v>
      </c>
      <c r="W2061">
        <v>0.12990779999999999</v>
      </c>
      <c r="X2061">
        <v>0.98742079999999999</v>
      </c>
      <c r="Y2061">
        <v>6.3258889999999998E-2</v>
      </c>
      <c r="Z2061">
        <v>-1.9394289999999999E-3</v>
      </c>
      <c r="AA2061">
        <v>0.99799530000000003</v>
      </c>
      <c r="AB2061">
        <v>19</v>
      </c>
      <c r="AC2061">
        <v>-6.2350999999999797</v>
      </c>
      <c r="AD2061">
        <v>-1.1108942560649999</v>
      </c>
      <c r="AE2061">
        <v>-110.221</v>
      </c>
      <c r="AF2061">
        <v>6.9946245782149701</v>
      </c>
      <c r="AG2061">
        <v>-1.1108942560649999</v>
      </c>
      <c r="AH2061">
        <v>110.164208083914</v>
      </c>
      <c r="AI2061">
        <v>90.576589254624096</v>
      </c>
      <c r="AJ2061">
        <v>86.367012127763701</v>
      </c>
      <c r="AK2061">
        <v>110.3916283139</v>
      </c>
      <c r="AL2061">
        <v>82.535735547641195</v>
      </c>
      <c r="AM2061">
        <v>95.215631524872194</v>
      </c>
      <c r="AN2061">
        <v>1.00000000175938</v>
      </c>
    </row>
    <row r="2062" spans="1:40" x14ac:dyDescent="0.25">
      <c r="A2062" t="str">
        <f>"20190304154758630"</f>
        <v>20190304154758630</v>
      </c>
      <c r="B2062" t="str">
        <f>"1551685678619055"</f>
        <v>1551685678619055</v>
      </c>
      <c r="C2062" t="s">
        <v>40</v>
      </c>
      <c r="D2062">
        <v>4.5303449999999996</v>
      </c>
      <c r="E2062">
        <v>0.55647209999999903</v>
      </c>
      <c r="F2062" t="s">
        <v>44</v>
      </c>
      <c r="G2062">
        <v>-198.74610000000001</v>
      </c>
      <c r="H2062" s="1">
        <v>-2.9368150000000002E-6</v>
      </c>
      <c r="I2062">
        <v>230.8938</v>
      </c>
      <c r="J2062">
        <v>-192.21109999999999</v>
      </c>
      <c r="K2062">
        <v>1.110897</v>
      </c>
      <c r="L2062">
        <v>344.50110000000001</v>
      </c>
      <c r="M2062">
        <v>6.8591379999999999E-3</v>
      </c>
      <c r="N2062">
        <v>-1.193262E-2</v>
      </c>
      <c r="O2062">
        <v>-0.99990559999999995</v>
      </c>
      <c r="P2062">
        <v>9.6010760000000001E-2</v>
      </c>
      <c r="Q2062">
        <v>0.11907959999999999</v>
      </c>
      <c r="R2062">
        <v>-0.98823220000000001</v>
      </c>
      <c r="S2062">
        <v>-0.17549129999999999</v>
      </c>
      <c r="T2062">
        <v>-2.983773E-2</v>
      </c>
      <c r="U2062">
        <v>-3.0564269999999998</v>
      </c>
      <c r="V2062">
        <v>-8.9248800000000003E-2</v>
      </c>
      <c r="W2062">
        <v>0.1308581</v>
      </c>
      <c r="X2062">
        <v>0.98737569999999997</v>
      </c>
      <c r="Y2062">
        <v>6.4161319999999994E-2</v>
      </c>
      <c r="Z2062">
        <v>-2.1916919999999999E-3</v>
      </c>
      <c r="AA2062">
        <v>0.99793710000000002</v>
      </c>
      <c r="AB2062">
        <v>19</v>
      </c>
      <c r="AC2062">
        <v>-6.5350000000000197</v>
      </c>
      <c r="AD2062">
        <v>-1.1108999368150001</v>
      </c>
      <c r="AE2062">
        <v>-113.6073</v>
      </c>
      <c r="AF2062">
        <v>7.3134526409256999</v>
      </c>
      <c r="AG2062">
        <v>-1.1108999368150001</v>
      </c>
      <c r="AH2062">
        <v>113.548977997213</v>
      </c>
      <c r="AI2062">
        <v>90.559373129648307</v>
      </c>
      <c r="AJ2062">
        <v>86.314788705280506</v>
      </c>
      <c r="AK2062">
        <v>113.789679199883</v>
      </c>
      <c r="AL2062">
        <v>82.480818428059806</v>
      </c>
      <c r="AM2062">
        <v>95.164924443206402</v>
      </c>
      <c r="AN2062">
        <v>0.99999998179376903</v>
      </c>
    </row>
    <row r="2063" spans="1:40" x14ac:dyDescent="0.25">
      <c r="A2063" t="str">
        <f>"20190304154758654"</f>
        <v>20190304154758654</v>
      </c>
      <c r="B2063" t="str">
        <f>"1551685678648335"</f>
        <v>1551685678648335</v>
      </c>
      <c r="C2063" t="s">
        <v>40</v>
      </c>
      <c r="D2063">
        <v>4.6649719999999997</v>
      </c>
      <c r="E2063">
        <v>0.55668549999999895</v>
      </c>
      <c r="F2063" t="s">
        <v>54</v>
      </c>
      <c r="G2063">
        <v>-199.59610000000001</v>
      </c>
      <c r="H2063" s="1">
        <v>1.9079080000000002E-6</v>
      </c>
      <c r="I2063">
        <v>218.67140000000001</v>
      </c>
      <c r="J2063">
        <v>-192.2098</v>
      </c>
      <c r="K2063">
        <v>1.1109009999999999</v>
      </c>
      <c r="L2063">
        <v>344.30520000000001</v>
      </c>
      <c r="M2063">
        <v>6.8588249999999998E-3</v>
      </c>
      <c r="N2063">
        <v>-1.188327E-2</v>
      </c>
      <c r="O2063">
        <v>-0.99990610000000002</v>
      </c>
      <c r="P2063">
        <v>9.5371090000000006E-2</v>
      </c>
      <c r="Q2063">
        <v>0.1194293</v>
      </c>
      <c r="R2063">
        <v>-0.98825160000000001</v>
      </c>
      <c r="S2063">
        <v>-0.17938229999999999</v>
      </c>
      <c r="T2063">
        <v>-2.6983859999999998E-2</v>
      </c>
      <c r="U2063">
        <v>-3.0564269999999998</v>
      </c>
      <c r="V2063">
        <v>-8.8612010000000005E-2</v>
      </c>
      <c r="W2063">
        <v>0.13115729999999901</v>
      </c>
      <c r="X2063">
        <v>0.98739339999999998</v>
      </c>
      <c r="Y2063">
        <v>6.542721E-2</v>
      </c>
      <c r="Z2063">
        <v>-3.0749459999999998E-3</v>
      </c>
      <c r="AA2063">
        <v>0.99785259999999998</v>
      </c>
      <c r="AB2063">
        <v>19</v>
      </c>
      <c r="AC2063">
        <v>-7.3863000000000003</v>
      </c>
      <c r="AD2063">
        <v>-1.1108990920920001</v>
      </c>
      <c r="AE2063">
        <v>-125.63379999999999</v>
      </c>
      <c r="AF2063">
        <v>8.24724452211575</v>
      </c>
      <c r="AG2063">
        <v>-1.1108990920920001</v>
      </c>
      <c r="AH2063">
        <v>125.57039532780701</v>
      </c>
      <c r="AI2063">
        <v>90.505782760566802</v>
      </c>
      <c r="AJ2063">
        <v>86.242310045032596</v>
      </c>
      <c r="AK2063">
        <v>125.84583950922701</v>
      </c>
      <c r="AL2063">
        <v>82.463526832538705</v>
      </c>
      <c r="AM2063">
        <v>95.128178481159395</v>
      </c>
      <c r="AN2063">
        <v>1.00000002601154</v>
      </c>
    </row>
    <row r="2064" spans="1:40" x14ac:dyDescent="0.25">
      <c r="A2064" t="str">
        <f>"20190304154758676"</f>
        <v>20190304154758676</v>
      </c>
      <c r="B2064" t="str">
        <f>"1551685678668831"</f>
        <v>1551685678668831</v>
      </c>
      <c r="C2064" t="s">
        <v>40</v>
      </c>
      <c r="D2064">
        <v>4.7468329999999996</v>
      </c>
      <c r="E2064">
        <v>0.58840419999999904</v>
      </c>
      <c r="F2064" t="s">
        <v>54</v>
      </c>
      <c r="G2064">
        <v>-200.0874</v>
      </c>
      <c r="H2064" s="1">
        <v>2.445105E-6</v>
      </c>
      <c r="I2064">
        <v>212.4504</v>
      </c>
      <c r="J2064">
        <v>-192.20840000000001</v>
      </c>
      <c r="K2064">
        <v>1.110897</v>
      </c>
      <c r="L2064">
        <v>344.10809999999998</v>
      </c>
      <c r="M2064">
        <v>6.879881E-3</v>
      </c>
      <c r="N2064">
        <v>-1.1837840000000001E-2</v>
      </c>
      <c r="O2064">
        <v>-0.99990630000000003</v>
      </c>
      <c r="P2064">
        <v>9.4997709999999999E-2</v>
      </c>
      <c r="Q2064">
        <v>0.12021270000000001</v>
      </c>
      <c r="R2064">
        <v>-0.98819230000000002</v>
      </c>
      <c r="S2064">
        <v>-0.18260190000000001</v>
      </c>
      <c r="T2064">
        <v>-2.57504E-2</v>
      </c>
      <c r="U2064">
        <v>-3.0563660000000001</v>
      </c>
      <c r="V2064">
        <v>-8.8218149999999995E-2</v>
      </c>
      <c r="W2064">
        <v>0.1318947</v>
      </c>
      <c r="X2064">
        <v>0.98733040000000005</v>
      </c>
      <c r="Y2064">
        <v>6.6496830000000007E-2</v>
      </c>
      <c r="Z2064">
        <v>-3.4326909999999999E-3</v>
      </c>
      <c r="AA2064">
        <v>0.99778069999999996</v>
      </c>
      <c r="AB2064">
        <v>19</v>
      </c>
      <c r="AC2064">
        <v>-7.8789999999999898</v>
      </c>
      <c r="AD2064">
        <v>-1.110894554895</v>
      </c>
      <c r="AE2064">
        <v>-131.65769999999901</v>
      </c>
      <c r="AF2064">
        <v>8.7840430979145907</v>
      </c>
      <c r="AG2064">
        <v>-1.110894554895</v>
      </c>
      <c r="AH2064">
        <v>131.59103801680001</v>
      </c>
      <c r="AI2064">
        <v>90.482606812139593</v>
      </c>
      <c r="AJ2064">
        <v>86.181023720504399</v>
      </c>
      <c r="AK2064">
        <v>131.88856958128301</v>
      </c>
      <c r="AL2064">
        <v>82.420906369013807</v>
      </c>
      <c r="AM2064">
        <v>95.105829692304596</v>
      </c>
      <c r="AN2064">
        <v>0.99999998632083598</v>
      </c>
    </row>
    <row r="2065" spans="1:40" x14ac:dyDescent="0.25">
      <c r="A2065" t="str">
        <f>"20190304154758698"</f>
        <v>20190304154758698</v>
      </c>
      <c r="B2065" t="str">
        <f>"1551685678688354"</f>
        <v>1551685678688354</v>
      </c>
      <c r="C2065" t="s">
        <v>40</v>
      </c>
      <c r="D2065">
        <v>4.7299259999999999</v>
      </c>
      <c r="E2065">
        <v>0.58745590000000003</v>
      </c>
      <c r="F2065" t="s">
        <v>54</v>
      </c>
      <c r="G2065">
        <v>-201.74340000000001</v>
      </c>
      <c r="H2065">
        <v>8.0001349999999999E-2</v>
      </c>
      <c r="I2065">
        <v>276.85590000000002</v>
      </c>
      <c r="J2065">
        <v>-192.2071</v>
      </c>
      <c r="K2065">
        <v>1.1108849999999999</v>
      </c>
      <c r="L2065">
        <v>343.92009999999999</v>
      </c>
      <c r="M2065">
        <v>6.9065280000000003E-3</v>
      </c>
      <c r="N2065">
        <v>-1.179846E-2</v>
      </c>
      <c r="O2065">
        <v>-0.99990650000000003</v>
      </c>
      <c r="P2065">
        <v>9.5503080000000004E-2</v>
      </c>
      <c r="Q2065">
        <v>0.1206779</v>
      </c>
      <c r="R2065">
        <v>-0.98808720000000005</v>
      </c>
      <c r="S2065">
        <v>-0.43719479999999999</v>
      </c>
      <c r="T2065">
        <v>-4.7268150000000002E-2</v>
      </c>
      <c r="U2065">
        <v>-3.083618</v>
      </c>
      <c r="V2065">
        <v>-8.8696079999999997E-2</v>
      </c>
      <c r="W2065">
        <v>0.13232149999999901</v>
      </c>
      <c r="X2065">
        <v>0.98723050000000001</v>
      </c>
      <c r="Y2065">
        <v>0.14718709999999999</v>
      </c>
      <c r="Z2065">
        <v>3.3632649999999998E-3</v>
      </c>
      <c r="AA2065">
        <v>0.98910299999999995</v>
      </c>
      <c r="AB2065">
        <v>19</v>
      </c>
      <c r="AC2065">
        <v>-9.5363000000000095</v>
      </c>
      <c r="AD2065">
        <v>-1.03088365</v>
      </c>
      <c r="AE2065">
        <v>-67.0641999999999</v>
      </c>
      <c r="AF2065">
        <v>9.9969702336922008</v>
      </c>
      <c r="AG2065">
        <v>-1.03088365</v>
      </c>
      <c r="AH2065">
        <v>66.981219916010502</v>
      </c>
      <c r="AI2065">
        <v>90.8720907488281</v>
      </c>
      <c r="AJ2065">
        <v>81.511245870658598</v>
      </c>
      <c r="AK2065">
        <v>67.730982248821206</v>
      </c>
      <c r="AL2065">
        <v>82.396236539474103</v>
      </c>
      <c r="AM2065">
        <v>95.133860282762896</v>
      </c>
      <c r="AN2065">
        <v>1.0000000170499299</v>
      </c>
    </row>
    <row r="2066" spans="1:40" x14ac:dyDescent="0.25">
      <c r="A2066" t="str">
        <f>"20190304154758711"</f>
        <v>20190304154758711</v>
      </c>
      <c r="B2066" t="str">
        <f>"1551685678708847"</f>
        <v>1551685678708847</v>
      </c>
      <c r="C2066" t="s">
        <v>40</v>
      </c>
      <c r="D2066">
        <v>4.7072589999999996</v>
      </c>
      <c r="E2066">
        <v>0.5888312</v>
      </c>
      <c r="F2066" t="s">
        <v>44</v>
      </c>
      <c r="G2066">
        <v>-197.6028</v>
      </c>
      <c r="H2066" s="1">
        <v>-4.1450979999999999E-6</v>
      </c>
      <c r="I2066">
        <v>305.20440000000002</v>
      </c>
      <c r="J2066">
        <v>-192.2062</v>
      </c>
      <c r="K2066">
        <v>1.110873</v>
      </c>
      <c r="L2066">
        <v>343.80099999999999</v>
      </c>
      <c r="M2066">
        <v>6.9237939999999996E-3</v>
      </c>
      <c r="N2066">
        <v>-1.177373E-2</v>
      </c>
      <c r="O2066">
        <v>-0.99990679999999998</v>
      </c>
      <c r="P2066">
        <v>9.5672380000000001E-2</v>
      </c>
      <c r="Q2066">
        <v>0.1210618</v>
      </c>
      <c r="R2066">
        <v>-0.98802369999999995</v>
      </c>
      <c r="S2066">
        <v>-0.43045040000000001</v>
      </c>
      <c r="T2066">
        <v>-8.8622450000000005E-2</v>
      </c>
      <c r="U2066">
        <v>-3.0885929999999999</v>
      </c>
      <c r="V2066">
        <v>-8.8846179999999997E-2</v>
      </c>
      <c r="W2066">
        <v>0.1326822</v>
      </c>
      <c r="X2066">
        <v>0.98716859999999995</v>
      </c>
      <c r="Y2066">
        <v>0.1448352</v>
      </c>
      <c r="Z2066">
        <v>1.6615789999999998E-2</v>
      </c>
      <c r="AA2066">
        <v>0.98931630000000004</v>
      </c>
      <c r="AB2066">
        <v>19</v>
      </c>
      <c r="AC2066">
        <v>-5.3966000000000003</v>
      </c>
      <c r="AD2066">
        <v>-1.110877145098</v>
      </c>
      <c r="AE2066">
        <v>-38.596599999999903</v>
      </c>
      <c r="AF2066">
        <v>5.6591259733887096</v>
      </c>
      <c r="AG2066">
        <v>-1.110877145098</v>
      </c>
      <c r="AH2066">
        <v>38.5270038417978</v>
      </c>
      <c r="AI2066">
        <v>91.634068822589796</v>
      </c>
      <c r="AJ2066">
        <v>81.643735979014394</v>
      </c>
      <c r="AK2066">
        <v>38.956254694722503</v>
      </c>
      <c r="AL2066">
        <v>82.375386187839297</v>
      </c>
      <c r="AM2066">
        <v>95.142822477493795</v>
      </c>
      <c r="AN2066">
        <v>1.00000002736169</v>
      </c>
    </row>
    <row r="2067" spans="1:40" x14ac:dyDescent="0.25">
      <c r="A2067" t="str">
        <f>"20190304154758730"</f>
        <v>20190304154758730</v>
      </c>
      <c r="B2067" t="str">
        <f>"1551685678718610"</f>
        <v>1551685678718610</v>
      </c>
      <c r="C2067" t="s">
        <v>40</v>
      </c>
      <c r="D2067">
        <v>4.7234660000000002</v>
      </c>
      <c r="E2067">
        <v>0.58901769999999998</v>
      </c>
      <c r="F2067" t="s">
        <v>44</v>
      </c>
      <c r="G2067">
        <v>-197.5778</v>
      </c>
      <c r="H2067" s="1">
        <v>-4.4713879999999998E-6</v>
      </c>
      <c r="I2067">
        <v>306.17630000000003</v>
      </c>
      <c r="J2067">
        <v>-192.20500000000001</v>
      </c>
      <c r="K2067">
        <v>1.110857</v>
      </c>
      <c r="L2067">
        <v>343.63679999999999</v>
      </c>
      <c r="M2067">
        <v>6.9450880000000003E-3</v>
      </c>
      <c r="N2067">
        <v>-1.173866E-2</v>
      </c>
      <c r="O2067">
        <v>-0.99990699999999999</v>
      </c>
      <c r="P2067">
        <v>9.5965389999999998E-2</v>
      </c>
      <c r="Q2067">
        <v>0.121562</v>
      </c>
      <c r="R2067">
        <v>-0.98793379999999997</v>
      </c>
      <c r="S2067">
        <v>-0.44119259999999899</v>
      </c>
      <c r="T2067">
        <v>-9.1241719999999998E-2</v>
      </c>
      <c r="U2067">
        <v>-3.0903019999999999</v>
      </c>
      <c r="V2067">
        <v>-8.9114979999999996E-2</v>
      </c>
      <c r="W2067">
        <v>0.13314909999999999</v>
      </c>
      <c r="X2067">
        <v>0.98708149999999995</v>
      </c>
      <c r="Y2067">
        <v>0.14814920000000001</v>
      </c>
      <c r="Z2067">
        <v>1.7459120000000002E-2</v>
      </c>
      <c r="AA2067">
        <v>0.98881090000000005</v>
      </c>
      <c r="AB2067">
        <v>19</v>
      </c>
      <c r="AC2067">
        <v>-5.3727999999999803</v>
      </c>
      <c r="AD2067">
        <v>-1.1108614713879901</v>
      </c>
      <c r="AE2067">
        <v>-37.460499999999897</v>
      </c>
      <c r="AF2067">
        <v>5.6280054398696997</v>
      </c>
      <c r="AG2067">
        <v>-1.1108614713879901</v>
      </c>
      <c r="AH2067">
        <v>37.3900622443022</v>
      </c>
      <c r="AI2067">
        <v>91.682815525140597</v>
      </c>
      <c r="AJ2067">
        <v>81.440018596533506</v>
      </c>
      <c r="AK2067">
        <v>37.827572127650598</v>
      </c>
      <c r="AL2067">
        <v>82.348395290659198</v>
      </c>
      <c r="AM2067">
        <v>95.158750746955107</v>
      </c>
      <c r="AN2067">
        <v>1.00000002506672</v>
      </c>
    </row>
    <row r="2068" spans="1:40" x14ac:dyDescent="0.25">
      <c r="A2068" t="str">
        <f>"20190304154758753"</f>
        <v>20190304154758753</v>
      </c>
      <c r="B2068" t="str">
        <f>"1551685678748863"</f>
        <v>1551685678748863</v>
      </c>
      <c r="C2068" t="s">
        <v>40</v>
      </c>
      <c r="D2068">
        <v>4.749066</v>
      </c>
      <c r="E2068">
        <v>0.58832530000000005</v>
      </c>
      <c r="F2068" t="s">
        <v>44</v>
      </c>
      <c r="G2068">
        <v>-197.4606</v>
      </c>
      <c r="H2068" s="1">
        <v>-4.678853E-6</v>
      </c>
      <c r="I2068">
        <v>306.84699999999998</v>
      </c>
      <c r="J2068">
        <v>-192.2037</v>
      </c>
      <c r="K2068">
        <v>1.110835</v>
      </c>
      <c r="L2068">
        <v>343.44630000000001</v>
      </c>
      <c r="M2068">
        <v>6.9634160000000001E-3</v>
      </c>
      <c r="N2068">
        <v>-1.169828E-2</v>
      </c>
      <c r="O2068">
        <v>-0.99990749999999995</v>
      </c>
      <c r="P2068">
        <v>9.5967520000000001E-2</v>
      </c>
      <c r="Q2068">
        <v>0.1206233</v>
      </c>
      <c r="R2068">
        <v>-0.98804890000000001</v>
      </c>
      <c r="S2068">
        <v>-0.44155879999999997</v>
      </c>
      <c r="T2068">
        <v>-9.3332410000000005E-2</v>
      </c>
      <c r="U2068">
        <v>-3.0910030000000002</v>
      </c>
      <c r="V2068">
        <v>-8.9092790000000005E-2</v>
      </c>
      <c r="W2068">
        <v>0.13217599999999999</v>
      </c>
      <c r="X2068">
        <v>0.98721429999999999</v>
      </c>
      <c r="Y2068">
        <v>0.14824849999999901</v>
      </c>
      <c r="Z2068">
        <v>1.8160989999999998E-2</v>
      </c>
      <c r="AA2068">
        <v>0.98878339999999998</v>
      </c>
      <c r="AB2068">
        <v>19</v>
      </c>
      <c r="AC2068">
        <v>-5.2568999999999999</v>
      </c>
      <c r="AD2068">
        <v>-1.1108396788529999</v>
      </c>
      <c r="AE2068">
        <v>-36.599299999999999</v>
      </c>
      <c r="AF2068">
        <v>5.5066758285157196</v>
      </c>
      <c r="AG2068">
        <v>-1.1108396788529999</v>
      </c>
      <c r="AH2068">
        <v>36.528833639973499</v>
      </c>
      <c r="AI2068">
        <v>91.722375695623796</v>
      </c>
      <c r="AJ2068">
        <v>81.427283083771897</v>
      </c>
      <c r="AK2068">
        <v>36.958262006882002</v>
      </c>
      <c r="AL2068">
        <v>82.404647177660095</v>
      </c>
      <c r="AM2068">
        <v>95.156783083004896</v>
      </c>
      <c r="AN2068">
        <v>1.0000000471652299</v>
      </c>
    </row>
    <row r="2069" spans="1:40" x14ac:dyDescent="0.25">
      <c r="A2069" t="str">
        <f>"20190304154758766"</f>
        <v>20190304154758766</v>
      </c>
      <c r="B2069" t="str">
        <f>"1551685678758624"</f>
        <v>1551685678758624</v>
      </c>
      <c r="C2069" t="s">
        <v>40</v>
      </c>
      <c r="D2069">
        <v>4.7122549999999999</v>
      </c>
      <c r="E2069">
        <v>0.58824549999999998</v>
      </c>
      <c r="F2069" t="s">
        <v>44</v>
      </c>
      <c r="G2069">
        <v>-196.66560000000001</v>
      </c>
      <c r="H2069" s="1">
        <v>-2.838935E-6</v>
      </c>
      <c r="I2069">
        <v>311.84550000000002</v>
      </c>
      <c r="J2069">
        <v>-192.2028</v>
      </c>
      <c r="K2069">
        <v>1.1108260000000001</v>
      </c>
      <c r="L2069">
        <v>343.32429999999999</v>
      </c>
      <c r="M2069">
        <v>6.9695819999999898E-3</v>
      </c>
      <c r="N2069">
        <v>-1.1674149999999999E-2</v>
      </c>
      <c r="O2069">
        <v>-0.99990769999999995</v>
      </c>
      <c r="P2069">
        <v>9.5826919999999996E-2</v>
      </c>
      <c r="Q2069">
        <v>0.1200002</v>
      </c>
      <c r="R2069">
        <v>-0.98813839999999997</v>
      </c>
      <c r="S2069">
        <v>-0.43656919999999999</v>
      </c>
      <c r="T2069">
        <v>-0.10868990000000001</v>
      </c>
      <c r="U2069">
        <v>-3.09198</v>
      </c>
      <c r="V2069">
        <v>-8.8942300000000002E-2</v>
      </c>
      <c r="W2069">
        <v>0.1315317</v>
      </c>
      <c r="X2069">
        <v>0.98731389999999997</v>
      </c>
      <c r="Y2069">
        <v>0.1466287</v>
      </c>
      <c r="Z2069">
        <v>2.3092080000000001E-2</v>
      </c>
      <c r="AA2069">
        <v>0.98892210000000003</v>
      </c>
      <c r="AB2069">
        <v>19</v>
      </c>
      <c r="AC2069">
        <v>-4.4628000000000103</v>
      </c>
      <c r="AD2069">
        <v>-1.1108288389350001</v>
      </c>
      <c r="AE2069">
        <v>-31.4787999999999</v>
      </c>
      <c r="AF2069">
        <v>4.6763920348679902</v>
      </c>
      <c r="AG2069">
        <v>-1.1108288389350001</v>
      </c>
      <c r="AH2069">
        <v>31.408588330846801</v>
      </c>
      <c r="AI2069">
        <v>92.003471562821304</v>
      </c>
      <c r="AJ2069">
        <v>81.5315016620698</v>
      </c>
      <c r="AK2069">
        <v>31.774234909904401</v>
      </c>
      <c r="AL2069">
        <v>82.441887852395695</v>
      </c>
      <c r="AM2069">
        <v>95.1476028603565</v>
      </c>
      <c r="AN2069">
        <v>1.0000000289836899</v>
      </c>
    </row>
    <row r="2070" spans="1:40" x14ac:dyDescent="0.25">
      <c r="A2070" t="str">
        <f>"20190304154758786"</f>
        <v>20190304154758786</v>
      </c>
      <c r="B2070" t="str">
        <f>"1551685678779119"</f>
        <v>1551685678779119</v>
      </c>
      <c r="C2070" t="s">
        <v>40</v>
      </c>
      <c r="D2070">
        <v>4.7411699999999897</v>
      </c>
      <c r="E2070">
        <v>0.58832259999999903</v>
      </c>
      <c r="F2070" t="s">
        <v>44</v>
      </c>
      <c r="G2070">
        <v>-196.54740000000001</v>
      </c>
      <c r="H2070" s="1">
        <v>-3.1414340000000002E-6</v>
      </c>
      <c r="I2070">
        <v>312.55189999999999</v>
      </c>
      <c r="J2070">
        <v>-192.20160000000001</v>
      </c>
      <c r="K2070">
        <v>1.110806</v>
      </c>
      <c r="L2070">
        <v>343.14980000000003</v>
      </c>
      <c r="M2070">
        <v>6.9712059999999998E-3</v>
      </c>
      <c r="N2070">
        <v>-1.164247E-2</v>
      </c>
      <c r="O2070">
        <v>-0.99990820000000002</v>
      </c>
      <c r="P2070">
        <v>9.5658679999999996E-2</v>
      </c>
      <c r="Q2070">
        <v>0.11990530000000001</v>
      </c>
      <c r="R2070">
        <v>-0.9881664</v>
      </c>
      <c r="S2070">
        <v>-0.43652340000000001</v>
      </c>
      <c r="T2070">
        <v>-0.1116115</v>
      </c>
      <c r="U2070">
        <v>-3.091888</v>
      </c>
      <c r="V2070">
        <v>-8.8768150000000004E-2</v>
      </c>
      <c r="W2070">
        <v>0.13140879999999999</v>
      </c>
      <c r="X2070">
        <v>0.9873459</v>
      </c>
      <c r="Y2070">
        <v>0.1466161</v>
      </c>
      <c r="Z2070">
        <v>2.405856E-2</v>
      </c>
      <c r="AA2070">
        <v>0.98890080000000002</v>
      </c>
      <c r="AB2070">
        <v>19</v>
      </c>
      <c r="AC2070">
        <v>-4.3457999999999899</v>
      </c>
      <c r="AD2070">
        <v>-1.110809141434</v>
      </c>
      <c r="AE2070">
        <v>-30.597899999999999</v>
      </c>
      <c r="AF2070">
        <v>4.5531309515281304</v>
      </c>
      <c r="AG2070">
        <v>-1.110809141434</v>
      </c>
      <c r="AH2070">
        <v>30.5274211260379</v>
      </c>
      <c r="AI2070">
        <v>92.061137581368499</v>
      </c>
      <c r="AJ2070">
        <v>81.516932320694707</v>
      </c>
      <c r="AK2070">
        <v>30.885082791161899</v>
      </c>
      <c r="AL2070">
        <v>82.448990876272006</v>
      </c>
      <c r="AM2070">
        <v>95.137412170316097</v>
      </c>
      <c r="AN2070">
        <v>0.99999999170933596</v>
      </c>
    </row>
    <row r="2071" spans="1:40" x14ac:dyDescent="0.25">
      <c r="A2071" t="str">
        <f>"20190304154758800"</f>
        <v>20190304154758800</v>
      </c>
      <c r="B2071" t="str">
        <f>"1551685678788879"</f>
        <v>1551685678788879</v>
      </c>
      <c r="C2071" t="s">
        <v>40</v>
      </c>
      <c r="D2071">
        <v>4.7479389999999997</v>
      </c>
      <c r="E2071">
        <v>0.58806849999999999</v>
      </c>
      <c r="F2071" t="s">
        <v>44</v>
      </c>
      <c r="G2071">
        <v>-196.4761</v>
      </c>
      <c r="H2071" s="1">
        <v>-3.3275089999999999E-6</v>
      </c>
      <c r="I2071">
        <v>312.98570000000001</v>
      </c>
      <c r="J2071">
        <v>-192.20079999999999</v>
      </c>
      <c r="K2071">
        <v>1.1107910000000001</v>
      </c>
      <c r="L2071">
        <v>343.036</v>
      </c>
      <c r="M2071">
        <v>6.9671250000000002E-3</v>
      </c>
      <c r="N2071">
        <v>-1.162384E-2</v>
      </c>
      <c r="O2071">
        <v>-0.99990820000000002</v>
      </c>
      <c r="P2071">
        <v>9.5345669999999993E-2</v>
      </c>
      <c r="Q2071">
        <v>0.1196289</v>
      </c>
      <c r="R2071">
        <v>-0.98822980000000005</v>
      </c>
      <c r="S2071">
        <v>-0.43818659999999998</v>
      </c>
      <c r="T2071">
        <v>-0.1138704</v>
      </c>
      <c r="U2071">
        <v>-3.0921630000000002</v>
      </c>
      <c r="V2071">
        <v>-8.845712E-2</v>
      </c>
      <c r="W2071">
        <v>0.1311157</v>
      </c>
      <c r="X2071">
        <v>0.98741279999999998</v>
      </c>
      <c r="Y2071">
        <v>0.1471182</v>
      </c>
      <c r="Z2071">
        <v>2.479311E-2</v>
      </c>
      <c r="AA2071">
        <v>0.98880820000000003</v>
      </c>
      <c r="AB2071">
        <v>19</v>
      </c>
      <c r="AC2071">
        <v>-4.2753000000000103</v>
      </c>
      <c r="AD2071">
        <v>-1.110794327509</v>
      </c>
      <c r="AE2071">
        <v>-30.0503</v>
      </c>
      <c r="AF2071">
        <v>4.4785765513961904</v>
      </c>
      <c r="AG2071">
        <v>-1.110794327509</v>
      </c>
      <c r="AH2071">
        <v>29.979631297866799</v>
      </c>
      <c r="AI2071">
        <v>92.098664485207294</v>
      </c>
      <c r="AJ2071">
        <v>81.503569407414204</v>
      </c>
      <c r="AK2071">
        <v>30.3326524511256</v>
      </c>
      <c r="AL2071">
        <v>82.465931002556701</v>
      </c>
      <c r="AM2071">
        <v>95.119162270569404</v>
      </c>
      <c r="AN2071">
        <v>1.0000000132345099</v>
      </c>
    </row>
    <row r="2072" spans="1:40" x14ac:dyDescent="0.25">
      <c r="A2072" t="str">
        <f>"20190304154758821"</f>
        <v>20190304154758821</v>
      </c>
      <c r="B2072" t="str">
        <f>"1551685678819135"</f>
        <v>1551685678819135</v>
      </c>
      <c r="C2072" t="s">
        <v>40</v>
      </c>
      <c r="D2072">
        <v>4.7587950000000001</v>
      </c>
      <c r="E2072">
        <v>0.58812810000000004</v>
      </c>
      <c r="F2072" t="s">
        <v>44</v>
      </c>
      <c r="G2072">
        <v>-196.3528</v>
      </c>
      <c r="H2072" s="1">
        <v>-3.5864329999999999E-6</v>
      </c>
      <c r="I2072">
        <v>313.6909</v>
      </c>
      <c r="J2072">
        <v>-192.1996</v>
      </c>
      <c r="K2072">
        <v>1.110778</v>
      </c>
      <c r="L2072">
        <v>342.85730000000001</v>
      </c>
      <c r="M2072">
        <v>6.9547970000000004E-3</v>
      </c>
      <c r="N2072">
        <v>-1.1597120000000001E-2</v>
      </c>
      <c r="O2072">
        <v>-0.99990869999999998</v>
      </c>
      <c r="P2072">
        <v>9.5377970000000006E-2</v>
      </c>
      <c r="Q2072">
        <v>0.1199477</v>
      </c>
      <c r="R2072">
        <v>-0.98818839999999997</v>
      </c>
      <c r="S2072">
        <v>-0.4375</v>
      </c>
      <c r="T2072">
        <v>-0.1170447</v>
      </c>
      <c r="U2072">
        <v>-3.0921020000000001</v>
      </c>
      <c r="V2072">
        <v>-8.8499789999999995E-2</v>
      </c>
      <c r="W2072">
        <v>0.13140929999999901</v>
      </c>
      <c r="X2072">
        <v>0.98736999999999997</v>
      </c>
      <c r="Y2072">
        <v>0.14688909999999999</v>
      </c>
      <c r="Z2072">
        <v>2.583595E-2</v>
      </c>
      <c r="AA2072">
        <v>0.98881549999999996</v>
      </c>
      <c r="AB2072">
        <v>19</v>
      </c>
      <c r="AC2072">
        <v>-4.1531999999999902</v>
      </c>
      <c r="AD2072">
        <v>-1.110781586433</v>
      </c>
      <c r="AE2072">
        <v>-29.166399999999999</v>
      </c>
      <c r="AF2072">
        <v>4.3497759595709997</v>
      </c>
      <c r="AG2072">
        <v>-1.110781586433</v>
      </c>
      <c r="AH2072">
        <v>29.095446188313002</v>
      </c>
      <c r="AI2072">
        <v>92.162320969629207</v>
      </c>
      <c r="AJ2072">
        <v>81.497240928880601</v>
      </c>
      <c r="AK2072">
        <v>29.439758414909502</v>
      </c>
      <c r="AL2072">
        <v>82.4489625490733</v>
      </c>
      <c r="AM2072">
        <v>95.121839353525601</v>
      </c>
      <c r="AN2072">
        <v>1.00000006692826</v>
      </c>
    </row>
    <row r="2073" spans="1:40" x14ac:dyDescent="0.25">
      <c r="A2073" t="str">
        <f>"20190304154758842"</f>
        <v>20190304154758842</v>
      </c>
      <c r="B2073" t="str">
        <f>"1551685678838655"</f>
        <v>1551685678838655</v>
      </c>
      <c r="C2073" t="s">
        <v>40</v>
      </c>
      <c r="D2073">
        <v>4.7521529999999998</v>
      </c>
      <c r="E2073">
        <v>0.588078199999999</v>
      </c>
      <c r="F2073" t="s">
        <v>44</v>
      </c>
      <c r="G2073">
        <v>-196.28149999999999</v>
      </c>
      <c r="H2073" s="1">
        <v>-3.7101569999999999E-6</v>
      </c>
      <c r="I2073">
        <v>314.04610000000002</v>
      </c>
      <c r="J2073">
        <v>-192.19829999999999</v>
      </c>
      <c r="K2073">
        <v>1.1107769999999999</v>
      </c>
      <c r="L2073">
        <v>342.67619999999999</v>
      </c>
      <c r="M2073">
        <v>6.9371950000000002E-3</v>
      </c>
      <c r="N2073">
        <v>-1.1573089999999999E-2</v>
      </c>
      <c r="O2073">
        <v>-0.99990889999999999</v>
      </c>
      <c r="P2073">
        <v>9.5673149999999998E-2</v>
      </c>
      <c r="Q2073">
        <v>0.11972969999999999</v>
      </c>
      <c r="R2073">
        <v>-0.98818589999999995</v>
      </c>
      <c r="S2073">
        <v>-0.43815609999999999</v>
      </c>
      <c r="T2073">
        <v>-0.1192319</v>
      </c>
      <c r="U2073">
        <v>-3.0926209999999998</v>
      </c>
      <c r="V2073">
        <v>-8.8810559999999997E-2</v>
      </c>
      <c r="W2073">
        <v>0.13116820000000001</v>
      </c>
      <c r="X2073">
        <v>0.98737410000000003</v>
      </c>
      <c r="Y2073">
        <v>0.14705119999999999</v>
      </c>
      <c r="Z2073">
        <v>2.6551410000000001E-2</v>
      </c>
      <c r="AA2073">
        <v>0.98877250000000005</v>
      </c>
      <c r="AB2073">
        <v>19</v>
      </c>
      <c r="AC2073">
        <v>-4.0831999999999997</v>
      </c>
      <c r="AD2073">
        <v>-1.110780710157</v>
      </c>
      <c r="AE2073">
        <v>-28.630099999999899</v>
      </c>
      <c r="AF2073">
        <v>4.2754203177286199</v>
      </c>
      <c r="AG2073">
        <v>-1.110780710157</v>
      </c>
      <c r="AH2073">
        <v>28.558951516240398</v>
      </c>
      <c r="AI2073">
        <v>92.202833932320402</v>
      </c>
      <c r="AJ2073">
        <v>81.485760559365403</v>
      </c>
      <c r="AK2073">
        <v>28.8985599015984</v>
      </c>
      <c r="AL2073">
        <v>82.462896766065199</v>
      </c>
      <c r="AM2073">
        <v>95.139707473012805</v>
      </c>
      <c r="AN2073">
        <v>1.0000000128047799</v>
      </c>
    </row>
    <row r="2074" spans="1:40" x14ac:dyDescent="0.25">
      <c r="A2074" t="str">
        <f>"20190304154758866"</f>
        <v>20190304154758866</v>
      </c>
      <c r="B2074" t="str">
        <f>"1551685678859151"</f>
        <v>1551685678859151</v>
      </c>
      <c r="C2074" t="s">
        <v>40</v>
      </c>
      <c r="D2074">
        <v>4.7480949999999904</v>
      </c>
      <c r="E2074">
        <v>0.58816579999999996</v>
      </c>
      <c r="F2074" t="s">
        <v>44</v>
      </c>
      <c r="G2074">
        <v>-196.1918</v>
      </c>
      <c r="H2074" s="1">
        <v>-3.8401020000000004E-6</v>
      </c>
      <c r="I2074">
        <v>314.42579999999998</v>
      </c>
      <c r="J2074">
        <v>-192.1969</v>
      </c>
      <c r="K2074">
        <v>1.110768</v>
      </c>
      <c r="L2074">
        <v>342.46749999999997</v>
      </c>
      <c r="M2074">
        <v>6.9150110000000004E-3</v>
      </c>
      <c r="N2074">
        <v>-1.154615E-2</v>
      </c>
      <c r="O2074">
        <v>-0.99990939999999995</v>
      </c>
      <c r="P2074">
        <v>9.5625219999999997E-2</v>
      </c>
      <c r="Q2074">
        <v>0.1195452</v>
      </c>
      <c r="R2074">
        <v>-0.98821300000000001</v>
      </c>
      <c r="S2074">
        <v>-0.43722529999999998</v>
      </c>
      <c r="T2074">
        <v>-0.1216127</v>
      </c>
      <c r="U2074">
        <v>-3.0929570000000002</v>
      </c>
      <c r="V2074">
        <v>-8.8783379999999995E-2</v>
      </c>
      <c r="W2074">
        <v>0.13095879999999999</v>
      </c>
      <c r="X2074">
        <v>0.98740430000000001</v>
      </c>
      <c r="Y2074">
        <v>0.14671919999999999</v>
      </c>
      <c r="Z2074">
        <v>2.733638E-2</v>
      </c>
      <c r="AA2074">
        <v>0.98880040000000002</v>
      </c>
      <c r="AB2074">
        <v>19</v>
      </c>
      <c r="AC2074">
        <v>-3.9948999999999999</v>
      </c>
      <c r="AD2074">
        <v>-1.1107718401019999</v>
      </c>
      <c r="AE2074">
        <v>-28.041699999999899</v>
      </c>
      <c r="AF2074">
        <v>4.1822943132269801</v>
      </c>
      <c r="AG2074">
        <v>-1.1107718401019999</v>
      </c>
      <c r="AH2074">
        <v>27.9703884785858</v>
      </c>
      <c r="AI2074">
        <v>92.249180660141704</v>
      </c>
      <c r="AJ2074">
        <v>81.495808832180899</v>
      </c>
      <c r="AK2074">
        <v>28.3031452571303</v>
      </c>
      <c r="AL2074">
        <v>82.474998599916304</v>
      </c>
      <c r="AM2074">
        <v>95.137986603710701</v>
      </c>
      <c r="AN2074">
        <v>0.99999997376007599</v>
      </c>
    </row>
    <row r="2075" spans="1:40" x14ac:dyDescent="0.25">
      <c r="A2075" t="str">
        <f>"20190304154758888"</f>
        <v>20190304154758888</v>
      </c>
      <c r="B2075" t="str">
        <f>"1551685678878671"</f>
        <v>1551685678878671</v>
      </c>
      <c r="C2075" t="s">
        <v>40</v>
      </c>
      <c r="D2075">
        <v>4.7247379999999897</v>
      </c>
      <c r="E2075">
        <v>0.58820499999999998</v>
      </c>
      <c r="F2075" t="s">
        <v>44</v>
      </c>
      <c r="G2075">
        <v>-196.13130000000001</v>
      </c>
      <c r="H2075" s="1">
        <v>-3.9276199999999898E-6</v>
      </c>
      <c r="I2075">
        <v>314.68169999999998</v>
      </c>
      <c r="J2075">
        <v>-192.19560000000001</v>
      </c>
      <c r="K2075">
        <v>1.110762</v>
      </c>
      <c r="L2075">
        <v>342.27600000000001</v>
      </c>
      <c r="M2075">
        <v>6.8952759999999997E-3</v>
      </c>
      <c r="N2075">
        <v>-1.151892E-2</v>
      </c>
      <c r="O2075">
        <v>-0.99991010000000002</v>
      </c>
      <c r="P2075">
        <v>9.5706780000000005E-2</v>
      </c>
      <c r="Q2075">
        <v>0.1195098</v>
      </c>
      <c r="R2075">
        <v>-0.98820949999999996</v>
      </c>
      <c r="S2075">
        <v>-0.437973</v>
      </c>
      <c r="T2075">
        <v>-0.1236496</v>
      </c>
      <c r="U2075">
        <v>-3.0930789999999999</v>
      </c>
      <c r="V2075">
        <v>-8.888393E-2</v>
      </c>
      <c r="W2075">
        <v>0.13089690000000001</v>
      </c>
      <c r="X2075">
        <v>0.98740349999999999</v>
      </c>
      <c r="Y2075">
        <v>0.14692549999999999</v>
      </c>
      <c r="Z2075">
        <v>2.8011290000000001E-2</v>
      </c>
      <c r="AA2075">
        <v>0.98875089999999999</v>
      </c>
      <c r="AB2075">
        <v>19</v>
      </c>
      <c r="AC2075">
        <v>-3.93569999999999</v>
      </c>
      <c r="AD2075">
        <v>-1.1107659276199999</v>
      </c>
      <c r="AE2075">
        <v>-27.5943</v>
      </c>
      <c r="AF2075">
        <v>4.1193476502023998</v>
      </c>
      <c r="AG2075">
        <v>-1.1107659276199999</v>
      </c>
      <c r="AH2075">
        <v>27.522797197315398</v>
      </c>
      <c r="AI2075">
        <v>92.285659157733505</v>
      </c>
      <c r="AJ2075">
        <v>81.487705261795</v>
      </c>
      <c r="AK2075">
        <v>27.8515204535362</v>
      </c>
      <c r="AL2075">
        <v>82.4785762898737</v>
      </c>
      <c r="AM2075">
        <v>95.143778484004201</v>
      </c>
      <c r="AN2075">
        <v>1.00000001162705</v>
      </c>
    </row>
    <row r="2076" spans="1:40" x14ac:dyDescent="0.25">
      <c r="A2076" t="str">
        <f>"20190304154758909"</f>
        <v>20190304154758909</v>
      </c>
      <c r="B2076" t="str">
        <f>"1551685678899183"</f>
        <v>1551685678899183</v>
      </c>
      <c r="C2076" t="s">
        <v>40</v>
      </c>
      <c r="D2076">
        <v>4.7180809999999997</v>
      </c>
      <c r="E2076">
        <v>0.58815499999999998</v>
      </c>
      <c r="F2076" t="s">
        <v>44</v>
      </c>
      <c r="G2076">
        <v>-196.0686</v>
      </c>
      <c r="H2076" s="1">
        <v>-4.0155090000000004E-6</v>
      </c>
      <c r="I2076">
        <v>314.93950000000001</v>
      </c>
      <c r="J2076">
        <v>-192.1943</v>
      </c>
      <c r="K2076">
        <v>1.1107579999999999</v>
      </c>
      <c r="L2076">
        <v>342.08519999999999</v>
      </c>
      <c r="M2076">
        <v>6.8776030000000004E-3</v>
      </c>
      <c r="N2076">
        <v>-1.1490530000000001E-2</v>
      </c>
      <c r="O2076">
        <v>-0.99991039999999998</v>
      </c>
      <c r="P2076">
        <v>9.4819139999999996E-2</v>
      </c>
      <c r="Q2076">
        <v>0.1199959</v>
      </c>
      <c r="R2076">
        <v>-0.988236</v>
      </c>
      <c r="S2076">
        <v>-0.43827820000000001</v>
      </c>
      <c r="T2076">
        <v>-0.12569629999999901</v>
      </c>
      <c r="U2076">
        <v>-3.093445</v>
      </c>
      <c r="V2076">
        <v>-8.8012660000000006E-2</v>
      </c>
      <c r="W2076">
        <v>0.13135539999999901</v>
      </c>
      <c r="X2076">
        <v>0.98742059999999998</v>
      </c>
      <c r="Y2076">
        <v>0.14698429999999901</v>
      </c>
      <c r="Z2076">
        <v>2.8688060000000001E-2</v>
      </c>
      <c r="AA2076">
        <v>0.98872269999999896</v>
      </c>
      <c r="AB2076">
        <v>19</v>
      </c>
      <c r="AC2076">
        <v>-3.8742999999999999</v>
      </c>
      <c r="AD2076">
        <v>-1.1107620155089999</v>
      </c>
      <c r="AE2076">
        <v>-27.145699999999898</v>
      </c>
      <c r="AF2076">
        <v>4.05426536924735</v>
      </c>
      <c r="AG2076">
        <v>-1.1107620155089999</v>
      </c>
      <c r="AH2076">
        <v>27.073984507597402</v>
      </c>
      <c r="AI2076">
        <v>92.3234735217615</v>
      </c>
      <c r="AJ2076">
        <v>81.4833757303944</v>
      </c>
      <c r="AK2076">
        <v>27.398384935192801</v>
      </c>
      <c r="AL2076">
        <v>82.452076948086201</v>
      </c>
      <c r="AM2076">
        <v>95.093536244765204</v>
      </c>
      <c r="AN2076">
        <v>0.99999995536689601</v>
      </c>
    </row>
    <row r="2077" spans="1:40" x14ac:dyDescent="0.25">
      <c r="A2077" t="str">
        <f>"20190304154758932"</f>
        <v>20190304154758932</v>
      </c>
      <c r="B2077" t="str">
        <f>"1551685678928448"</f>
        <v>1551685678928448</v>
      </c>
      <c r="C2077" t="s">
        <v>40</v>
      </c>
      <c r="D2077">
        <v>4.7161309999999999</v>
      </c>
      <c r="E2077">
        <v>0.58845780000000003</v>
      </c>
      <c r="F2077" t="s">
        <v>44</v>
      </c>
      <c r="G2077">
        <v>-196.06319999999999</v>
      </c>
      <c r="H2077" s="1">
        <v>-4.0088450000000002E-6</v>
      </c>
      <c r="I2077">
        <v>314.92469999999997</v>
      </c>
      <c r="J2077">
        <v>-192.19300000000001</v>
      </c>
      <c r="K2077">
        <v>1.1107579999999999</v>
      </c>
      <c r="L2077">
        <v>341.89830000000001</v>
      </c>
      <c r="M2077">
        <v>6.861883E-3</v>
      </c>
      <c r="N2077">
        <v>-1.1464149999999999E-2</v>
      </c>
      <c r="O2077">
        <v>-0.99991079999999999</v>
      </c>
      <c r="P2077">
        <v>9.4084280000000006E-2</v>
      </c>
      <c r="Q2077">
        <v>0.120641</v>
      </c>
      <c r="R2077">
        <v>-0.98822759999999998</v>
      </c>
      <c r="S2077">
        <v>-0.44064330000000002</v>
      </c>
      <c r="T2077">
        <v>-0.1265088</v>
      </c>
      <c r="U2077">
        <v>-3.0934140000000001</v>
      </c>
      <c r="V2077">
        <v>-8.7293480000000007E-2</v>
      </c>
      <c r="W2077">
        <v>0.13197420000000001</v>
      </c>
      <c r="X2077">
        <v>0.987402</v>
      </c>
      <c r="Y2077">
        <v>0.14770949999999999</v>
      </c>
      <c r="Z2077">
        <v>2.896986E-2</v>
      </c>
      <c r="AA2077">
        <v>0.9886064</v>
      </c>
      <c r="AB2077">
        <v>19</v>
      </c>
      <c r="AC2077">
        <v>-3.8702000000000099</v>
      </c>
      <c r="AD2077">
        <v>-1.1107620088450001</v>
      </c>
      <c r="AE2077">
        <v>-26.973600000000001</v>
      </c>
      <c r="AF2077">
        <v>4.0484839406013</v>
      </c>
      <c r="AG2077">
        <v>-1.1107620088450001</v>
      </c>
      <c r="AH2077">
        <v>26.9017076547192</v>
      </c>
      <c r="AI2077">
        <v>92.338081287247604</v>
      </c>
      <c r="AJ2077">
        <v>81.441683509894403</v>
      </c>
      <c r="AK2077">
        <v>27.227300439036899</v>
      </c>
      <c r="AL2077">
        <v>82.416311483221193</v>
      </c>
      <c r="AM2077">
        <v>95.052226265271798</v>
      </c>
      <c r="AN2077">
        <v>1.00000002536007</v>
      </c>
    </row>
    <row r="2078" spans="1:40" x14ac:dyDescent="0.25">
      <c r="A2078" t="str">
        <f>"20190304154758946"</f>
        <v>20190304154758946</v>
      </c>
      <c r="B2078" t="str">
        <f>"1551685678939184"</f>
        <v>1551685678939184</v>
      </c>
      <c r="C2078" t="s">
        <v>40</v>
      </c>
      <c r="D2078">
        <v>4.7242150000000001</v>
      </c>
      <c r="E2078">
        <v>0.58851769999999903</v>
      </c>
      <c r="F2078" t="s">
        <v>44</v>
      </c>
      <c r="G2078">
        <v>-196.13030000000001</v>
      </c>
      <c r="H2078" s="1">
        <v>-3.8761540000000003E-6</v>
      </c>
      <c r="I2078">
        <v>314.54820000000001</v>
      </c>
      <c r="J2078">
        <v>-192.19220000000001</v>
      </c>
      <c r="K2078">
        <v>1.1107549999999999</v>
      </c>
      <c r="L2078">
        <v>341.774</v>
      </c>
      <c r="M2078">
        <v>6.8526840000000004E-3</v>
      </c>
      <c r="N2078">
        <v>-1.1448460000000001E-2</v>
      </c>
      <c r="O2078">
        <v>-0.99991110000000005</v>
      </c>
      <c r="P2078">
        <v>9.366389E-2</v>
      </c>
      <c r="Q2078">
        <v>0.1210656</v>
      </c>
      <c r="R2078">
        <v>-0.98821559999999997</v>
      </c>
      <c r="S2078">
        <v>-0.4453278</v>
      </c>
      <c r="T2078">
        <v>-0.125634199999999</v>
      </c>
      <c r="U2078">
        <v>-3.0934750000000002</v>
      </c>
      <c r="V2078">
        <v>-8.6881890000000003E-2</v>
      </c>
      <c r="W2078">
        <v>0.13238349999999999</v>
      </c>
      <c r="X2078">
        <v>0.98738349999999997</v>
      </c>
      <c r="Y2078">
        <v>0.14916550000000001</v>
      </c>
      <c r="Z2078">
        <v>2.8696840000000001E-2</v>
      </c>
      <c r="AA2078">
        <v>0.98839580000000005</v>
      </c>
      <c r="AB2078">
        <v>19</v>
      </c>
      <c r="AC2078">
        <v>-3.9380999999999902</v>
      </c>
      <c r="AD2078">
        <v>-1.1107588761539999</v>
      </c>
      <c r="AE2078">
        <v>-27.2257999999999</v>
      </c>
      <c r="AF2078">
        <v>4.1178758801691098</v>
      </c>
      <c r="AG2078">
        <v>-1.1107588761539999</v>
      </c>
      <c r="AH2078">
        <v>27.153901495049901</v>
      </c>
      <c r="AI2078">
        <v>92.315987772940204</v>
      </c>
      <c r="AJ2078">
        <v>81.376826502047905</v>
      </c>
      <c r="AK2078">
        <v>27.486815993277698</v>
      </c>
      <c r="AL2078">
        <v>82.392652657036905</v>
      </c>
      <c r="AM2078">
        <v>95.028621102322703</v>
      </c>
      <c r="AN2078">
        <v>1.0000000149772299</v>
      </c>
    </row>
    <row r="2079" spans="1:40" x14ac:dyDescent="0.25">
      <c r="A2079" t="str">
        <f>"20190304154758966"</f>
        <v>20190304154758966</v>
      </c>
      <c r="B2079" t="str">
        <f>"1551685678958704"</f>
        <v>1551685678958704</v>
      </c>
      <c r="C2079" t="s">
        <v>40</v>
      </c>
      <c r="D2079">
        <v>4.7444839999999999</v>
      </c>
      <c r="E2079">
        <v>0.58862119999999996</v>
      </c>
      <c r="F2079" t="s">
        <v>44</v>
      </c>
      <c r="G2079">
        <v>-196.1711</v>
      </c>
      <c r="H2079" s="1">
        <v>-3.7643959999999998E-6</v>
      </c>
      <c r="I2079">
        <v>314.23829999999998</v>
      </c>
      <c r="J2079">
        <v>-192.191</v>
      </c>
      <c r="K2079">
        <v>1.110757</v>
      </c>
      <c r="L2079">
        <v>341.60210000000001</v>
      </c>
      <c r="M2079">
        <v>6.8405330000000002E-3</v>
      </c>
      <c r="N2079">
        <v>-1.1428519999999999E-2</v>
      </c>
      <c r="O2079">
        <v>-0.99991149999999995</v>
      </c>
      <c r="P2079">
        <v>9.2916559999999995E-2</v>
      </c>
      <c r="Q2079">
        <v>0.1217951</v>
      </c>
      <c r="R2079">
        <v>-0.98819679999999999</v>
      </c>
      <c r="S2079">
        <v>-0.44699100000000003</v>
      </c>
      <c r="T2079">
        <v>-0.12478350000000001</v>
      </c>
      <c r="U2079">
        <v>-3.0933839999999999</v>
      </c>
      <c r="V2079">
        <v>-8.6147139999999997E-2</v>
      </c>
      <c r="W2079">
        <v>0.13309289999999999</v>
      </c>
      <c r="X2079">
        <v>0.98735249999999997</v>
      </c>
      <c r="Y2079">
        <v>0.14967939999999999</v>
      </c>
      <c r="Z2079">
        <v>2.8443380000000001E-2</v>
      </c>
      <c r="AA2079">
        <v>0.98832540000000002</v>
      </c>
      <c r="AB2079">
        <v>19</v>
      </c>
      <c r="AC2079">
        <v>-3.9801000000000202</v>
      </c>
      <c r="AD2079">
        <v>-1.110760764396</v>
      </c>
      <c r="AE2079">
        <v>-27.363800000000001</v>
      </c>
      <c r="AF2079">
        <v>4.1604886620984196</v>
      </c>
      <c r="AG2079">
        <v>-1.110760764396</v>
      </c>
      <c r="AH2079">
        <v>27.291893692057801</v>
      </c>
      <c r="AI2079">
        <v>92.304022535604503</v>
      </c>
      <c r="AJ2079">
        <v>81.332327606330296</v>
      </c>
      <c r="AK2079">
        <v>27.629529794800298</v>
      </c>
      <c r="AL2079">
        <v>82.351644071438002</v>
      </c>
      <c r="AM2079">
        <v>94.986465713285995</v>
      </c>
      <c r="AN2079">
        <v>1.0000000045084101</v>
      </c>
    </row>
    <row r="2080" spans="1:40" x14ac:dyDescent="0.25">
      <c r="A2080" t="str">
        <f>"20190304154758987"</f>
        <v>20190304154758987</v>
      </c>
      <c r="B2080" t="str">
        <f>"1551685678979199"</f>
        <v>1551685678979199</v>
      </c>
      <c r="C2080" t="s">
        <v>40</v>
      </c>
      <c r="D2080">
        <v>5.0733259999999998</v>
      </c>
      <c r="E2080">
        <v>0.55844459999999996</v>
      </c>
      <c r="F2080" t="s">
        <v>44</v>
      </c>
      <c r="G2080">
        <v>-196.2902</v>
      </c>
      <c r="H2080" s="1">
        <v>-3.4787670000000002E-6</v>
      </c>
      <c r="I2080">
        <v>313.43950000000001</v>
      </c>
      <c r="J2080">
        <v>-192.18969999999999</v>
      </c>
      <c r="K2080">
        <v>1.11076</v>
      </c>
      <c r="L2080">
        <v>341.40809999999999</v>
      </c>
      <c r="M2080">
        <v>6.8279869999999998E-3</v>
      </c>
      <c r="N2080">
        <v>-1.1405510000000001E-2</v>
      </c>
      <c r="O2080">
        <v>-0.99991180000000002</v>
      </c>
      <c r="P2080">
        <v>9.2469040000000002E-2</v>
      </c>
      <c r="Q2080">
        <v>0.1230894</v>
      </c>
      <c r="R2080">
        <v>-0.98807849999999997</v>
      </c>
      <c r="S2080">
        <v>-0.45022580000000001</v>
      </c>
      <c r="T2080">
        <v>-0.122</v>
      </c>
      <c r="U2080">
        <v>-3.0932309999999998</v>
      </c>
      <c r="V2080">
        <v>-8.5712360000000001E-2</v>
      </c>
      <c r="W2080">
        <v>0.1343626</v>
      </c>
      <c r="X2080">
        <v>0.98721840000000005</v>
      </c>
      <c r="Y2080">
        <v>0.1506902</v>
      </c>
      <c r="Z2080">
        <v>2.7573980000000001E-2</v>
      </c>
      <c r="AA2080">
        <v>0.98819639999999997</v>
      </c>
      <c r="AB2080">
        <v>19</v>
      </c>
      <c r="AC2080">
        <v>-4.10050000000001</v>
      </c>
      <c r="AD2080">
        <v>-1.110763478767</v>
      </c>
      <c r="AE2080">
        <v>-27.968599999999899</v>
      </c>
      <c r="AF2080">
        <v>4.2847700667454696</v>
      </c>
      <c r="AG2080">
        <v>-1.110763478767</v>
      </c>
      <c r="AH2080">
        <v>27.896873375195401</v>
      </c>
      <c r="AI2080">
        <v>92.253727606038396</v>
      </c>
      <c r="AJ2080">
        <v>81.267996330394794</v>
      </c>
      <c r="AK2080">
        <v>28.245859769926</v>
      </c>
      <c r="AL2080">
        <v>82.278236574260106</v>
      </c>
      <c r="AM2080">
        <v>94.962095797064904</v>
      </c>
      <c r="AN2080">
        <v>1.0000000431170399</v>
      </c>
    </row>
    <row r="2081" spans="1:40" x14ac:dyDescent="0.25">
      <c r="A2081" t="str">
        <f>"20190304154759009"</f>
        <v>20190304154759009</v>
      </c>
      <c r="B2081" t="str">
        <f>"1551685678998719"</f>
        <v>1551685678998719</v>
      </c>
      <c r="C2081" t="s">
        <v>40</v>
      </c>
      <c r="D2081">
        <v>4.6072920000000002</v>
      </c>
      <c r="E2081">
        <v>0.54547259999999997</v>
      </c>
      <c r="F2081" t="s">
        <v>55</v>
      </c>
      <c r="G2081">
        <v>-212.22579999999999</v>
      </c>
      <c r="H2081">
        <v>1.8092779999999999</v>
      </c>
      <c r="I2081">
        <v>42.675379999999997</v>
      </c>
      <c r="J2081">
        <v>-192.1885</v>
      </c>
      <c r="K2081">
        <v>1.1107579999999999</v>
      </c>
      <c r="L2081">
        <v>341.22160000000002</v>
      </c>
      <c r="M2081">
        <v>6.8166269999999996E-3</v>
      </c>
      <c r="N2081">
        <v>-1.1380410000000001E-2</v>
      </c>
      <c r="O2081">
        <v>-0.99991200000000002</v>
      </c>
      <c r="P2081">
        <v>9.1723079999999999E-2</v>
      </c>
      <c r="Q2081">
        <v>0.1238384</v>
      </c>
      <c r="R2081">
        <v>-0.98805390000000004</v>
      </c>
      <c r="S2081">
        <v>-0.2048645</v>
      </c>
      <c r="T2081">
        <v>7.1423049999999998E-3</v>
      </c>
      <c r="U2081">
        <v>-3.0544739999999999</v>
      </c>
      <c r="V2081">
        <v>-8.4977990000000003E-2</v>
      </c>
      <c r="W2081">
        <v>0.1350865</v>
      </c>
      <c r="X2081">
        <v>0.98718300000000003</v>
      </c>
      <c r="Y2081">
        <v>7.3710120000000004E-2</v>
      </c>
      <c r="Z2081">
        <v>-1.371525E-2</v>
      </c>
      <c r="AA2081">
        <v>0.9971854</v>
      </c>
      <c r="AB2081">
        <v>19</v>
      </c>
      <c r="AC2081">
        <v>-20.037299999999899</v>
      </c>
      <c r="AD2081">
        <v>0.69852000000000003</v>
      </c>
      <c r="AE2081">
        <v>-298.54622000000001</v>
      </c>
      <c r="AF2081">
        <v>22.0719241499358</v>
      </c>
      <c r="AG2081">
        <v>0.69852000000000003</v>
      </c>
      <c r="AH2081">
        <v>298.40106095571099</v>
      </c>
      <c r="AI2081">
        <v>89.866243309047107</v>
      </c>
      <c r="AJ2081">
        <v>85.769688927638597</v>
      </c>
      <c r="AK2081">
        <v>299.21706325904103</v>
      </c>
      <c r="AL2081">
        <v>82.236377804322004</v>
      </c>
      <c r="AM2081">
        <v>94.9199664588063</v>
      </c>
      <c r="AN2081">
        <v>0.99999994837784301</v>
      </c>
    </row>
    <row r="2082" spans="1:40" x14ac:dyDescent="0.25">
      <c r="A2082" t="str">
        <f>"20190304154759031"</f>
        <v>20190304154759031</v>
      </c>
      <c r="B2082" t="str">
        <f>"1551685679028975"</f>
        <v>1551685679028975</v>
      </c>
      <c r="C2082" t="s">
        <v>40</v>
      </c>
      <c r="D2082">
        <v>4.5472789999999996</v>
      </c>
      <c r="E2082">
        <v>0.54221109999999995</v>
      </c>
      <c r="F2082" t="s">
        <v>44</v>
      </c>
      <c r="G2082">
        <v>-194.77119999999999</v>
      </c>
      <c r="H2082" s="1">
        <v>-4.2044949999999998E-6</v>
      </c>
      <c r="I2082">
        <v>266.85489999999999</v>
      </c>
      <c r="J2082">
        <v>-192.18719999999999</v>
      </c>
      <c r="K2082">
        <v>1.110751</v>
      </c>
      <c r="L2082">
        <v>341.03449999999998</v>
      </c>
      <c r="M2082">
        <v>6.8056740000000003E-3</v>
      </c>
      <c r="N2082">
        <v>-1.13539E-2</v>
      </c>
      <c r="O2082">
        <v>-0.99991249999999998</v>
      </c>
      <c r="P2082">
        <v>9.2099849999999997E-2</v>
      </c>
      <c r="Q2082">
        <v>0.12389790000000001</v>
      </c>
      <c r="R2082">
        <v>-0.9880118</v>
      </c>
      <c r="S2082">
        <v>-0.1059875</v>
      </c>
      <c r="T2082">
        <v>-4.5582409999999997E-2</v>
      </c>
      <c r="U2082">
        <v>-3.0517880000000002</v>
      </c>
      <c r="V2082">
        <v>-8.5365960000000005E-2</v>
      </c>
      <c r="W2082">
        <v>0.13511909999999999</v>
      </c>
      <c r="X2082">
        <v>0.9871451</v>
      </c>
      <c r="Y2082">
        <v>4.1503529999999997E-2</v>
      </c>
      <c r="Z2082">
        <v>3.5682470000000001E-3</v>
      </c>
      <c r="AA2082">
        <v>0.99913200000000002</v>
      </c>
      <c r="AB2082">
        <v>19</v>
      </c>
      <c r="AC2082">
        <v>-2.5840000000000001</v>
      </c>
      <c r="AD2082">
        <v>-1.110755204495</v>
      </c>
      <c r="AE2082">
        <v>-74.179599999999994</v>
      </c>
      <c r="AF2082">
        <v>3.0881232390081301</v>
      </c>
      <c r="AG2082">
        <v>-1.110755204495</v>
      </c>
      <c r="AH2082">
        <v>74.143690772841296</v>
      </c>
      <c r="AI2082">
        <v>90.857547103672999</v>
      </c>
      <c r="AJ2082">
        <v>87.614979530809407</v>
      </c>
      <c r="AK2082">
        <v>74.2162863776027</v>
      </c>
      <c r="AL2082">
        <v>82.234492951704098</v>
      </c>
      <c r="AM2082">
        <v>94.942506544325695</v>
      </c>
      <c r="AN2082">
        <v>0.99999998338276996</v>
      </c>
    </row>
    <row r="2083" spans="1:40" x14ac:dyDescent="0.25">
      <c r="A2083" t="str">
        <f>"20190304154759057"</f>
        <v>20190304154759057</v>
      </c>
      <c r="B2083" t="str">
        <f>"1551685679048495"</f>
        <v>1551685679048495</v>
      </c>
      <c r="C2083" t="s">
        <v>40</v>
      </c>
      <c r="D2083">
        <v>4.5978050000000001</v>
      </c>
      <c r="E2083">
        <v>0.54112579999999999</v>
      </c>
      <c r="F2083" t="s">
        <v>54</v>
      </c>
      <c r="G2083">
        <v>-193.59</v>
      </c>
      <c r="H2083" s="1">
        <v>3.0765690000000001E-6</v>
      </c>
      <c r="I2083">
        <v>287.48989999999998</v>
      </c>
      <c r="J2083">
        <v>-192.1858</v>
      </c>
      <c r="K2083">
        <v>1.1107479999999901</v>
      </c>
      <c r="L2083">
        <v>340.82119999999998</v>
      </c>
      <c r="M2083">
        <v>6.7937500000000003E-3</v>
      </c>
      <c r="N2083">
        <v>-1.132472E-2</v>
      </c>
      <c r="O2083">
        <v>-0.99991269999999999</v>
      </c>
      <c r="P2083">
        <v>9.2309089999999996E-2</v>
      </c>
      <c r="Q2083">
        <v>0.1239847</v>
      </c>
      <c r="R2083">
        <v>-0.987981</v>
      </c>
      <c r="S2083">
        <v>-7.9956050000000001E-2</v>
      </c>
      <c r="T2083">
        <v>-6.33074E-2</v>
      </c>
      <c r="U2083">
        <v>-3.0517880000000002</v>
      </c>
      <c r="V2083">
        <v>-8.5586980000000007E-2</v>
      </c>
      <c r="W2083">
        <v>0.13517670000000001</v>
      </c>
      <c r="X2083">
        <v>0.9871181</v>
      </c>
      <c r="Y2083">
        <v>3.2974860000000002E-2</v>
      </c>
      <c r="Z2083">
        <v>9.4053660000000001E-3</v>
      </c>
      <c r="AA2083">
        <v>0.99941190000000002</v>
      </c>
      <c r="AB2083">
        <v>19</v>
      </c>
      <c r="AC2083">
        <v>-1.4041999999999999</v>
      </c>
      <c r="AD2083">
        <v>-1.1107449234309901</v>
      </c>
      <c r="AE2083">
        <v>-53.331299999999999</v>
      </c>
      <c r="AF2083">
        <v>1.76574497422581</v>
      </c>
      <c r="AG2083">
        <v>-1.1107449234309901</v>
      </c>
      <c r="AH2083">
        <v>53.2974256125162</v>
      </c>
      <c r="AI2083">
        <v>91.193245301810194</v>
      </c>
      <c r="AJ2083">
        <v>88.102483500235394</v>
      </c>
      <c r="AK2083">
        <v>53.338233815159597</v>
      </c>
      <c r="AL2083">
        <v>82.231162343561394</v>
      </c>
      <c r="AM2083">
        <v>94.955374359568196</v>
      </c>
      <c r="AN2083">
        <v>1.00000000735801</v>
      </c>
    </row>
    <row r="2084" spans="1:40" x14ac:dyDescent="0.25">
      <c r="A2084" t="str">
        <f>"20190304154759078"</f>
        <v>20190304154759078</v>
      </c>
      <c r="B2084" t="str">
        <f>"1551685679068991"</f>
        <v>1551685679068991</v>
      </c>
      <c r="C2084" t="s">
        <v>40</v>
      </c>
      <c r="D2084">
        <v>4.855499</v>
      </c>
      <c r="E2084">
        <v>0.54020380000000001</v>
      </c>
      <c r="F2084" t="s">
        <v>54</v>
      </c>
      <c r="G2084">
        <v>-193.32380000000001</v>
      </c>
      <c r="H2084" s="1">
        <v>2.1220440000000001E-6</v>
      </c>
      <c r="I2084">
        <v>291.92430000000002</v>
      </c>
      <c r="J2084">
        <v>-192.18440000000001</v>
      </c>
      <c r="K2084">
        <v>1.1107370000000001</v>
      </c>
      <c r="L2084">
        <v>340.62299999999999</v>
      </c>
      <c r="M2084">
        <v>6.7821849999999996E-3</v>
      </c>
      <c r="N2084">
        <v>-1.1296E-2</v>
      </c>
      <c r="O2084">
        <v>-0.99991319999999995</v>
      </c>
      <c r="P2084">
        <v>9.2418180000000003E-2</v>
      </c>
      <c r="Q2084">
        <v>0.1242568</v>
      </c>
      <c r="R2084">
        <v>-0.98793699999999995</v>
      </c>
      <c r="S2084">
        <v>-7.1029659999999994E-2</v>
      </c>
      <c r="T2084">
        <v>-6.9326040000000005E-2</v>
      </c>
      <c r="U2084">
        <v>-3.0518489999999998</v>
      </c>
      <c r="V2084">
        <v>-8.5707899999999906E-2</v>
      </c>
      <c r="W2084">
        <v>0.13542000000000001</v>
      </c>
      <c r="X2084">
        <v>0.98707429999999996</v>
      </c>
      <c r="Y2084">
        <v>3.0040959999999998E-2</v>
      </c>
      <c r="Z2084">
        <v>1.1405810000000001E-2</v>
      </c>
      <c r="AA2084">
        <v>0.99948360000000003</v>
      </c>
      <c r="AB2084">
        <v>19</v>
      </c>
      <c r="AC2084">
        <v>-1.13939999999999</v>
      </c>
      <c r="AD2084">
        <v>-1.110734877956</v>
      </c>
      <c r="AE2084">
        <v>-48.698700000000002</v>
      </c>
      <c r="AF2084">
        <v>1.46891471808631</v>
      </c>
      <c r="AG2084">
        <v>-1.110734877956</v>
      </c>
      <c r="AH2084">
        <v>48.6645493424937</v>
      </c>
      <c r="AI2084">
        <v>91.306914729520003</v>
      </c>
      <c r="AJ2084">
        <v>88.271080928000003</v>
      </c>
      <c r="AK2084">
        <v>48.699381978893001</v>
      </c>
      <c r="AL2084">
        <v>82.217093222070801</v>
      </c>
      <c r="AM2084">
        <v>94.962559632807995</v>
      </c>
      <c r="AN2084">
        <v>1.0000000471214401</v>
      </c>
    </row>
    <row r="2085" spans="1:40" x14ac:dyDescent="0.25">
      <c r="A2085" t="str">
        <f>"20190304154759101"</f>
        <v>20190304154759101</v>
      </c>
      <c r="B2085" t="str">
        <f>"1551685679088512"</f>
        <v>1551685679088512</v>
      </c>
      <c r="C2085" t="s">
        <v>40</v>
      </c>
      <c r="D2085">
        <v>4.5949410000000004</v>
      </c>
      <c r="E2085">
        <v>0.53928830000000005</v>
      </c>
      <c r="F2085" t="s">
        <v>54</v>
      </c>
      <c r="G2085">
        <v>-193.16499999999999</v>
      </c>
      <c r="H2085" s="1">
        <v>1.696578E-6</v>
      </c>
      <c r="I2085">
        <v>293.40379999999999</v>
      </c>
      <c r="J2085">
        <v>-192.1832</v>
      </c>
      <c r="K2085">
        <v>1.11073</v>
      </c>
      <c r="L2085">
        <v>340.43029999999999</v>
      </c>
      <c r="M2085">
        <v>6.7706729999999996E-3</v>
      </c>
      <c r="N2085">
        <v>-1.1265850000000001E-2</v>
      </c>
      <c r="O2085">
        <v>-0.99991370000000002</v>
      </c>
      <c r="P2085">
        <v>9.2542089999999994E-2</v>
      </c>
      <c r="Q2085">
        <v>0.1241242</v>
      </c>
      <c r="R2085">
        <v>-0.98794199999999999</v>
      </c>
      <c r="S2085">
        <v>-6.3369750000000002E-2</v>
      </c>
      <c r="T2085">
        <v>-7.1781990000000004E-2</v>
      </c>
      <c r="U2085">
        <v>-3.0515750000000001</v>
      </c>
      <c r="V2085">
        <v>-8.5843489999999995E-2</v>
      </c>
      <c r="W2085">
        <v>0.13525799999999999</v>
      </c>
      <c r="X2085">
        <v>0.98708470000000004</v>
      </c>
      <c r="Y2085">
        <v>2.7523990000000002E-2</v>
      </c>
      <c r="Z2085">
        <v>1.224361E-2</v>
      </c>
      <c r="AA2085">
        <v>0.99954620000000005</v>
      </c>
      <c r="AB2085">
        <v>19</v>
      </c>
      <c r="AC2085">
        <v>-0.98179999999999201</v>
      </c>
      <c r="AD2085">
        <v>-1.1107283034219999</v>
      </c>
      <c r="AE2085">
        <v>-47.026499999999999</v>
      </c>
      <c r="AF2085">
        <v>1.2994741101846401</v>
      </c>
      <c r="AG2085">
        <v>-1.1107283034219999</v>
      </c>
      <c r="AH2085">
        <v>46.9925699245644</v>
      </c>
      <c r="AI2085">
        <v>91.353488270073996</v>
      </c>
      <c r="AJ2085">
        <v>88.416017401871201</v>
      </c>
      <c r="AK2085">
        <v>47.023653393182201</v>
      </c>
      <c r="AL2085">
        <v>82.226461104040098</v>
      </c>
      <c r="AM2085">
        <v>94.970319005165607</v>
      </c>
      <c r="AN2085">
        <v>1.0000000181567299</v>
      </c>
    </row>
    <row r="2086" spans="1:40" x14ac:dyDescent="0.25">
      <c r="A2086" t="str">
        <f>"20190304154759123"</f>
        <v>20190304154759123</v>
      </c>
      <c r="B2086" t="str">
        <f>"1551685679118767"</f>
        <v>1551685679118767</v>
      </c>
      <c r="C2086" t="s">
        <v>40</v>
      </c>
      <c r="D2086">
        <v>4.5785239999999998</v>
      </c>
      <c r="E2086">
        <v>0.53812740000000003</v>
      </c>
      <c r="F2086" t="s">
        <v>54</v>
      </c>
      <c r="G2086">
        <v>-192.96379999999999</v>
      </c>
      <c r="H2086" s="1">
        <v>4.7171599999999999E-7</v>
      </c>
      <c r="I2086">
        <v>297.52769999999998</v>
      </c>
      <c r="J2086">
        <v>-192.18190000000001</v>
      </c>
      <c r="K2086">
        <v>1.1107260000000001</v>
      </c>
      <c r="L2086">
        <v>340.23739999999998</v>
      </c>
      <c r="M2086">
        <v>6.760187E-3</v>
      </c>
      <c r="N2086">
        <v>-1.123588E-2</v>
      </c>
      <c r="O2086">
        <v>-0.99991419999999998</v>
      </c>
      <c r="P2086">
        <v>9.2232129999999996E-2</v>
      </c>
      <c r="Q2086">
        <v>0.124025</v>
      </c>
      <c r="R2086">
        <v>-0.98798319999999995</v>
      </c>
      <c r="S2086">
        <v>-5.5526730000000003E-2</v>
      </c>
      <c r="T2086">
        <v>-7.9009529999999994E-2</v>
      </c>
      <c r="U2086">
        <v>-3.0517880000000002</v>
      </c>
      <c r="V2086">
        <v>-8.5543770000000005E-2</v>
      </c>
      <c r="W2086">
        <v>0.135129</v>
      </c>
      <c r="X2086">
        <v>0.98712840000000002</v>
      </c>
      <c r="Y2086">
        <v>2.4943730000000001E-2</v>
      </c>
      <c r="Z2086">
        <v>1.463943E-2</v>
      </c>
      <c r="AA2086">
        <v>0.99958159999999896</v>
      </c>
      <c r="AB2086">
        <v>19</v>
      </c>
      <c r="AC2086">
        <v>-0.78189999999997895</v>
      </c>
      <c r="AD2086">
        <v>-1.1107255282840001</v>
      </c>
      <c r="AE2086">
        <v>-42.709699999999998</v>
      </c>
      <c r="AF2086">
        <v>1.0699024979681799</v>
      </c>
      <c r="AG2086">
        <v>-1.1107255282840001</v>
      </c>
      <c r="AH2086">
        <v>42.674585271002002</v>
      </c>
      <c r="AI2086">
        <v>91.4904782695465</v>
      </c>
      <c r="AJ2086">
        <v>88.563827668798496</v>
      </c>
      <c r="AK2086">
        <v>42.702442911458299</v>
      </c>
      <c r="AL2086">
        <v>82.233920842496005</v>
      </c>
      <c r="AM2086">
        <v>94.952833581954593</v>
      </c>
      <c r="AN2086">
        <v>1.0000000306566801</v>
      </c>
    </row>
    <row r="2087" spans="1:40" x14ac:dyDescent="0.25">
      <c r="A2087" t="str">
        <f>"20190304154759145"</f>
        <v>20190304154759145</v>
      </c>
      <c r="B2087" t="str">
        <f>"1551685679139263"</f>
        <v>1551685679139263</v>
      </c>
      <c r="C2087" t="s">
        <v>40</v>
      </c>
      <c r="D2087">
        <v>4.5716330000000003</v>
      </c>
      <c r="E2087">
        <v>0.537624199999999</v>
      </c>
      <c r="F2087" t="s">
        <v>44</v>
      </c>
      <c r="G2087">
        <v>-192.797</v>
      </c>
      <c r="H2087" s="1">
        <v>-1.2332859999999999E-6</v>
      </c>
      <c r="I2087">
        <v>300.72919999999999</v>
      </c>
      <c r="J2087">
        <v>-192.1806</v>
      </c>
      <c r="K2087">
        <v>1.11073</v>
      </c>
      <c r="L2087">
        <v>340.04640000000001</v>
      </c>
      <c r="M2087">
        <v>6.7527430000000003E-3</v>
      </c>
      <c r="N2087">
        <v>-1.120648E-2</v>
      </c>
      <c r="O2087">
        <v>-0.99991439999999998</v>
      </c>
      <c r="P2087">
        <v>9.1791849999999994E-2</v>
      </c>
      <c r="Q2087">
        <v>0.12374789999999999</v>
      </c>
      <c r="R2087">
        <v>-0.98805909999999997</v>
      </c>
      <c r="S2087">
        <v>-4.7515870000000002E-2</v>
      </c>
      <c r="T2087">
        <v>-8.5795640000000006E-2</v>
      </c>
      <c r="U2087">
        <v>-3.0517270000000001</v>
      </c>
      <c r="V2087">
        <v>-8.5110539999999998E-2</v>
      </c>
      <c r="W2087">
        <v>0.13482330000000001</v>
      </c>
      <c r="X2087">
        <v>0.98720759999999996</v>
      </c>
      <c r="Y2087">
        <v>2.231313E-2</v>
      </c>
      <c r="Z2087">
        <v>1.6892130000000002E-2</v>
      </c>
      <c r="AA2087">
        <v>0.99960830000000001</v>
      </c>
      <c r="AB2087">
        <v>20</v>
      </c>
      <c r="AC2087">
        <v>-0.61639999999999795</v>
      </c>
      <c r="AD2087">
        <v>-1.110731233286</v>
      </c>
      <c r="AE2087">
        <v>-39.3172</v>
      </c>
      <c r="AF2087">
        <v>0.881198460988729</v>
      </c>
      <c r="AG2087">
        <v>-1.110731233286</v>
      </c>
      <c r="AH2087">
        <v>39.2807988250891</v>
      </c>
      <c r="AI2087">
        <v>91.619296589871198</v>
      </c>
      <c r="AJ2087">
        <v>88.714881387011303</v>
      </c>
      <c r="AK2087">
        <v>39.306378501934901</v>
      </c>
      <c r="AL2087">
        <v>82.251597578359906</v>
      </c>
      <c r="AM2087">
        <v>94.927480757772102</v>
      </c>
      <c r="AN2087">
        <v>0.99999998586987005</v>
      </c>
    </row>
    <row r="2088" spans="1:40" x14ac:dyDescent="0.25">
      <c r="A2088" t="str">
        <f>"20190304154759166"</f>
        <v>20190304154759166</v>
      </c>
      <c r="B2088" t="str">
        <f>"1551685679158784"</f>
        <v>1551685679158784</v>
      </c>
      <c r="C2088" t="s">
        <v>40</v>
      </c>
      <c r="D2088">
        <v>4.6227489999999998</v>
      </c>
      <c r="E2088">
        <v>0.53731519999999899</v>
      </c>
      <c r="F2088" t="s">
        <v>44</v>
      </c>
      <c r="G2088">
        <v>-192.74250000000001</v>
      </c>
      <c r="H2088" s="1">
        <v>-1.711591E-6</v>
      </c>
      <c r="I2088">
        <v>301.87790000000001</v>
      </c>
      <c r="J2088">
        <v>-192.17920000000001</v>
      </c>
      <c r="K2088">
        <v>1.11073</v>
      </c>
      <c r="L2088">
        <v>339.84989999999999</v>
      </c>
      <c r="M2088">
        <v>6.7483250000000003E-3</v>
      </c>
      <c r="N2088">
        <v>-1.117432E-2</v>
      </c>
      <c r="O2088">
        <v>-0.99991490000000005</v>
      </c>
      <c r="P2088">
        <v>9.1251219999999994E-2</v>
      </c>
      <c r="Q2088">
        <v>0.1235783</v>
      </c>
      <c r="R2088">
        <v>-0.98813059999999997</v>
      </c>
      <c r="S2088">
        <v>-4.4921879999999997E-2</v>
      </c>
      <c r="T2088">
        <v>-8.8800550000000006E-2</v>
      </c>
      <c r="U2088">
        <v>-3.0514830000000002</v>
      </c>
      <c r="V2088">
        <v>-8.4575269999999994E-2</v>
      </c>
      <c r="W2088">
        <v>0.13462249999999901</v>
      </c>
      <c r="X2088">
        <v>0.98728099999999996</v>
      </c>
      <c r="Y2088">
        <v>2.1460219999999999E-2</v>
      </c>
      <c r="Z2088">
        <v>1.7910590000000001E-2</v>
      </c>
      <c r="AA2088">
        <v>0.99960919999999998</v>
      </c>
      <c r="AB2088">
        <v>20</v>
      </c>
      <c r="AC2088">
        <v>-0.56329999999999802</v>
      </c>
      <c r="AD2088">
        <v>-1.110731711591</v>
      </c>
      <c r="AE2088">
        <v>-37.971999999999902</v>
      </c>
      <c r="AF2088">
        <v>0.81885005410283096</v>
      </c>
      <c r="AG2088">
        <v>-1.110731711591</v>
      </c>
      <c r="AH2088">
        <v>37.934882208593898</v>
      </c>
      <c r="AI2088">
        <v>91.676748413517799</v>
      </c>
      <c r="AJ2088">
        <v>88.7634239344832</v>
      </c>
      <c r="AK2088">
        <v>37.959972715034098</v>
      </c>
      <c r="AL2088">
        <v>82.263208404141693</v>
      </c>
      <c r="AM2088">
        <v>94.896280136882595</v>
      </c>
      <c r="AN2088">
        <v>0.99999998338141105</v>
      </c>
    </row>
    <row r="2089" spans="1:40" x14ac:dyDescent="0.25">
      <c r="A2089" t="str">
        <f>"20190304154759190"</f>
        <v>20190304154759190</v>
      </c>
      <c r="B2089" t="str">
        <f>"1551685679178307"</f>
        <v>1551685679178307</v>
      </c>
      <c r="C2089" t="s">
        <v>40</v>
      </c>
      <c r="D2089">
        <v>4.5930470000000003</v>
      </c>
      <c r="E2089">
        <v>0.53707830000000001</v>
      </c>
      <c r="F2089" t="s">
        <v>44</v>
      </c>
      <c r="G2089">
        <v>-192.7003</v>
      </c>
      <c r="H2089" s="1">
        <v>-2.4710000000000001E-6</v>
      </c>
      <c r="I2089">
        <v>303.67430000000002</v>
      </c>
      <c r="J2089">
        <v>-192.17789999999999</v>
      </c>
      <c r="K2089">
        <v>1.110724</v>
      </c>
      <c r="L2089">
        <v>339.65300000000002</v>
      </c>
      <c r="M2089">
        <v>6.7460159999999996E-3</v>
      </c>
      <c r="N2089">
        <v>-1.1137920000000001E-2</v>
      </c>
      <c r="O2089">
        <v>-0.99991560000000002</v>
      </c>
      <c r="P2089">
        <v>9.0725790000000001E-2</v>
      </c>
      <c r="Q2089">
        <v>0.12356689999999999</v>
      </c>
      <c r="R2089">
        <v>-0.98818039999999996</v>
      </c>
      <c r="S2089">
        <v>-4.3960569999999997E-2</v>
      </c>
      <c r="T2089">
        <v>-9.3703629999999996E-2</v>
      </c>
      <c r="U2089">
        <v>-3.0518489999999998</v>
      </c>
      <c r="V2089">
        <v>-8.4052299999999996E-2</v>
      </c>
      <c r="W2089">
        <v>0.13457479999999999</v>
      </c>
      <c r="X2089">
        <v>0.98733219999999999</v>
      </c>
      <c r="Y2089">
        <v>2.1140800000000001E-2</v>
      </c>
      <c r="Z2089">
        <v>1.9548240000000001E-2</v>
      </c>
      <c r="AA2089">
        <v>0.99958539999999996</v>
      </c>
      <c r="AB2089">
        <v>20</v>
      </c>
      <c r="AC2089">
        <v>-0.52240000000000397</v>
      </c>
      <c r="AD2089">
        <v>-1.110726471</v>
      </c>
      <c r="AE2089">
        <v>-35.978700000000003</v>
      </c>
      <c r="AF2089">
        <v>0.76438760124741301</v>
      </c>
      <c r="AG2089">
        <v>-1.110726471</v>
      </c>
      <c r="AH2089">
        <v>35.9401107771358</v>
      </c>
      <c r="AI2089">
        <v>91.769758443031805</v>
      </c>
      <c r="AJ2089">
        <v>88.781595808487793</v>
      </c>
      <c r="AK2089">
        <v>35.96539398326</v>
      </c>
      <c r="AL2089">
        <v>82.265966792487305</v>
      </c>
      <c r="AM2089">
        <v>94.865898754941796</v>
      </c>
      <c r="AN2089">
        <v>1.0000000195435801</v>
      </c>
    </row>
    <row r="2090" spans="1:40" x14ac:dyDescent="0.25">
      <c r="A2090" t="str">
        <f>"20190304154759211"</f>
        <v>20190304154759211</v>
      </c>
      <c r="B2090" t="str">
        <f>"1551685679208560"</f>
        <v>1551685679208560</v>
      </c>
      <c r="C2090" t="s">
        <v>40</v>
      </c>
      <c r="D2090">
        <v>4.5768389999999997</v>
      </c>
      <c r="E2090">
        <v>0.53653419999999996</v>
      </c>
      <c r="F2090" t="s">
        <v>44</v>
      </c>
      <c r="G2090">
        <v>-192.6841</v>
      </c>
      <c r="H2090" s="1">
        <v>-2.5555049999999999E-6</v>
      </c>
      <c r="I2090">
        <v>303.88130000000001</v>
      </c>
      <c r="J2090">
        <v>-192.17670000000001</v>
      </c>
      <c r="K2090">
        <v>1.1107119999999999</v>
      </c>
      <c r="L2090">
        <v>339.4649</v>
      </c>
      <c r="M2090">
        <v>6.7454569999999998E-3</v>
      </c>
      <c r="N2090">
        <v>-1.1099319999999999E-2</v>
      </c>
      <c r="O2090">
        <v>-0.99991560000000002</v>
      </c>
      <c r="P2090">
        <v>9.0390709999999999E-2</v>
      </c>
      <c r="Q2090">
        <v>0.1235817</v>
      </c>
      <c r="R2090">
        <v>-0.98820889999999995</v>
      </c>
      <c r="S2090">
        <v>-4.3182369999999998E-2</v>
      </c>
      <c r="T2090">
        <v>-9.4756480000000004E-2</v>
      </c>
      <c r="U2090">
        <v>-3.0516969999999999</v>
      </c>
      <c r="V2090">
        <v>-8.3718299999999995E-2</v>
      </c>
      <c r="W2090">
        <v>0.13455159999999999</v>
      </c>
      <c r="X2090">
        <v>0.98736369999999896</v>
      </c>
      <c r="Y2090">
        <v>2.088605E-2</v>
      </c>
      <c r="Z2090">
        <v>1.9933059999999999E-2</v>
      </c>
      <c r="AA2090">
        <v>0.99958309999999995</v>
      </c>
      <c r="AB2090">
        <v>20</v>
      </c>
      <c r="AC2090">
        <v>-0.50739999999998897</v>
      </c>
      <c r="AD2090">
        <v>-1.110714555505</v>
      </c>
      <c r="AE2090">
        <v>-35.583599999999898</v>
      </c>
      <c r="AF2090">
        <v>0.74670351037553495</v>
      </c>
      <c r="AG2090">
        <v>-1.110714555505</v>
      </c>
      <c r="AH2090">
        <v>35.544742291603598</v>
      </c>
      <c r="AI2090">
        <v>91.789421628641406</v>
      </c>
      <c r="AJ2090">
        <v>88.796540217849298</v>
      </c>
      <c r="AK2090">
        <v>35.5699305247105</v>
      </c>
      <c r="AL2090">
        <v>82.267307958744198</v>
      </c>
      <c r="AM2090">
        <v>94.846501454381894</v>
      </c>
      <c r="AN2090">
        <v>0.99999998144756896</v>
      </c>
    </row>
    <row r="2091" spans="1:40" x14ac:dyDescent="0.25">
      <c r="A2091" t="str">
        <f>"20190304154759232"</f>
        <v>20190304154759232</v>
      </c>
      <c r="B2091" t="str">
        <f>"1551685679229055"</f>
        <v>1551685679229055</v>
      </c>
      <c r="C2091" t="s">
        <v>40</v>
      </c>
      <c r="D2091">
        <v>4.5736939999999997</v>
      </c>
      <c r="E2091">
        <v>0.53625540000000005</v>
      </c>
      <c r="F2091" t="s">
        <v>44</v>
      </c>
      <c r="G2091">
        <v>-192.63</v>
      </c>
      <c r="H2091" s="1">
        <v>-2.8830440000000001E-6</v>
      </c>
      <c r="I2091">
        <v>304.67840000000001</v>
      </c>
      <c r="J2091">
        <v>-192.1754</v>
      </c>
      <c r="K2091">
        <v>1.1107100000000001</v>
      </c>
      <c r="L2091">
        <v>339.27609999999999</v>
      </c>
      <c r="M2091">
        <v>6.7517269999999999E-3</v>
      </c>
      <c r="N2091">
        <v>-1.10603E-2</v>
      </c>
      <c r="O2091">
        <v>-0.99991609999999997</v>
      </c>
      <c r="P2091">
        <v>8.9783070000000006E-2</v>
      </c>
      <c r="Q2091">
        <v>0.1242626</v>
      </c>
      <c r="R2091">
        <v>-0.98817889999999997</v>
      </c>
      <c r="S2091">
        <v>-3.9764399999999998E-2</v>
      </c>
      <c r="T2091">
        <v>-9.7437140000000005E-2</v>
      </c>
      <c r="U2091">
        <v>-3.0516359999999998</v>
      </c>
      <c r="V2091">
        <v>-8.3105490000000004E-2</v>
      </c>
      <c r="W2091">
        <v>0.1351928</v>
      </c>
      <c r="X2091">
        <v>0.98732790000000004</v>
      </c>
      <c r="Y2091">
        <v>1.977315E-2</v>
      </c>
      <c r="Z2091">
        <v>2.0850549999999999E-2</v>
      </c>
      <c r="AA2091">
        <v>0.99958709999999995</v>
      </c>
      <c r="AB2091">
        <v>20</v>
      </c>
      <c r="AC2091">
        <v>-0.454599999999999</v>
      </c>
      <c r="AD2091">
        <v>-1.1107128830440001</v>
      </c>
      <c r="AE2091">
        <v>-34.597699999999897</v>
      </c>
      <c r="AF2091">
        <v>0.68748970132546905</v>
      </c>
      <c r="AG2091">
        <v>-1.1107128830440001</v>
      </c>
      <c r="AH2091">
        <v>34.558230665360199</v>
      </c>
      <c r="AI2091">
        <v>91.840507560070094</v>
      </c>
      <c r="AJ2091">
        <v>88.860327554768602</v>
      </c>
      <c r="AK2091">
        <v>34.582909535176903</v>
      </c>
      <c r="AL2091">
        <v>82.230231268957496</v>
      </c>
      <c r="AM2091">
        <v>94.811366295233299</v>
      </c>
      <c r="AN2091">
        <v>0.999999998879195</v>
      </c>
    </row>
    <row r="2092" spans="1:40" x14ac:dyDescent="0.25">
      <c r="A2092" t="str">
        <f>"20190304154759257"</f>
        <v>20190304154759257</v>
      </c>
      <c r="B2092" t="str">
        <f>"1551685679248576"</f>
        <v>1551685679248576</v>
      </c>
      <c r="C2092" t="s">
        <v>40</v>
      </c>
      <c r="D2092">
        <v>4.7746709999999997</v>
      </c>
      <c r="E2092">
        <v>0.53615049999999997</v>
      </c>
      <c r="F2092" t="s">
        <v>44</v>
      </c>
      <c r="G2092">
        <v>-192.62190000000001</v>
      </c>
      <c r="H2092" s="1">
        <v>-2.719118E-6</v>
      </c>
      <c r="I2092">
        <v>304.30130000000003</v>
      </c>
      <c r="J2092">
        <v>-192.17400000000001</v>
      </c>
      <c r="K2092">
        <v>1.1107119999999999</v>
      </c>
      <c r="L2092">
        <v>339.0641</v>
      </c>
      <c r="M2092">
        <v>6.7741839999999999E-3</v>
      </c>
      <c r="N2092">
        <v>-1.1014940000000001E-2</v>
      </c>
      <c r="O2092">
        <v>-0.99991629999999998</v>
      </c>
      <c r="P2092">
        <v>8.91623E-2</v>
      </c>
      <c r="Q2092">
        <v>0.1244662</v>
      </c>
      <c r="R2092">
        <v>-0.98820940000000002</v>
      </c>
      <c r="S2092">
        <v>-3.8955690000000001E-2</v>
      </c>
      <c r="T2092">
        <v>-9.6911430000000007E-2</v>
      </c>
      <c r="U2092">
        <v>-3.0516049999999999</v>
      </c>
      <c r="V2092">
        <v>-8.2464819999999994E-2</v>
      </c>
      <c r="W2092">
        <v>0.13535059999999999</v>
      </c>
      <c r="X2092">
        <v>0.98736000000000002</v>
      </c>
      <c r="Y2092">
        <v>1.9531010000000001E-2</v>
      </c>
      <c r="Z2092">
        <v>2.0724320000000001E-2</v>
      </c>
      <c r="AA2092">
        <v>0.99959439999999999</v>
      </c>
      <c r="AB2092">
        <v>20</v>
      </c>
      <c r="AC2092">
        <v>-0.44790000000000402</v>
      </c>
      <c r="AD2092">
        <v>-1.110714719118</v>
      </c>
      <c r="AE2092">
        <v>-34.762799999999899</v>
      </c>
      <c r="AF2092">
        <v>0.68269679571823705</v>
      </c>
      <c r="AG2092">
        <v>-1.110714719118</v>
      </c>
      <c r="AH2092">
        <v>34.723525188925002</v>
      </c>
      <c r="AI2092">
        <v>91.831763616262407</v>
      </c>
      <c r="AJ2092">
        <v>88.873656808792006</v>
      </c>
      <c r="AK2092">
        <v>34.747992224703502</v>
      </c>
      <c r="AL2092">
        <v>82.221106134434905</v>
      </c>
      <c r="AM2092">
        <v>94.774292529886196</v>
      </c>
      <c r="AN2092">
        <v>1.00000000052899</v>
      </c>
    </row>
    <row r="2093" spans="1:40" x14ac:dyDescent="0.25">
      <c r="A2093" t="str">
        <f>"20190304154759279"</f>
        <v>20190304154759279</v>
      </c>
      <c r="B2093" t="str">
        <f>"1551685679269071"</f>
        <v>1551685679269071</v>
      </c>
      <c r="C2093" t="s">
        <v>40</v>
      </c>
      <c r="D2093">
        <v>4.5707309999999897</v>
      </c>
      <c r="E2093">
        <v>0.53575439999999996</v>
      </c>
      <c r="F2093" t="s">
        <v>44</v>
      </c>
      <c r="G2093">
        <v>-192.6285</v>
      </c>
      <c r="H2093" s="1">
        <v>-2.6587890000000002E-6</v>
      </c>
      <c r="I2093">
        <v>304.15660000000003</v>
      </c>
      <c r="J2093">
        <v>-192.17259999999999</v>
      </c>
      <c r="K2093">
        <v>1.110708</v>
      </c>
      <c r="L2093">
        <v>338.86599999999999</v>
      </c>
      <c r="M2093">
        <v>6.8085309999999996E-3</v>
      </c>
      <c r="N2093">
        <v>-1.0971440000000001E-2</v>
      </c>
      <c r="O2093">
        <v>-0.99991680000000005</v>
      </c>
      <c r="P2093">
        <v>8.7902659999999994E-2</v>
      </c>
      <c r="Q2093">
        <v>0.1247559</v>
      </c>
      <c r="R2093">
        <v>-0.9882862</v>
      </c>
      <c r="S2093">
        <v>-3.9733890000000001E-2</v>
      </c>
      <c r="T2093">
        <v>-9.709835E-2</v>
      </c>
      <c r="U2093">
        <v>-3.0516049999999999</v>
      </c>
      <c r="V2093">
        <v>-8.1173399999999896E-2</v>
      </c>
      <c r="W2093">
        <v>0.1355963</v>
      </c>
      <c r="X2093">
        <v>0.98743329999999996</v>
      </c>
      <c r="Y2093">
        <v>1.9820129999999998E-2</v>
      </c>
      <c r="Z2093">
        <v>2.0828820000000001E-2</v>
      </c>
      <c r="AA2093">
        <v>0.99958659999999999</v>
      </c>
      <c r="AB2093">
        <v>20</v>
      </c>
      <c r="AC2093">
        <v>-0.45590000000001402</v>
      </c>
      <c r="AD2093">
        <v>-1.1107106587890001</v>
      </c>
      <c r="AE2093">
        <v>-34.709399999999903</v>
      </c>
      <c r="AF2093">
        <v>0.69151564003720301</v>
      </c>
      <c r="AG2093">
        <v>-1.1107106587890001</v>
      </c>
      <c r="AH2093">
        <v>34.669994621591002</v>
      </c>
      <c r="AI2093">
        <v>91.834572898140095</v>
      </c>
      <c r="AJ2093">
        <v>88.857349843596495</v>
      </c>
      <c r="AK2093">
        <v>34.694673930001301</v>
      </c>
      <c r="AL2093">
        <v>82.206897565777496</v>
      </c>
      <c r="AM2093">
        <v>94.699516153618902</v>
      </c>
      <c r="AN2093">
        <v>0.99999999969506903</v>
      </c>
    </row>
    <row r="2094" spans="1:40" x14ac:dyDescent="0.25">
      <c r="A2094" t="str">
        <f>"20190304154759300"</f>
        <v>20190304154759300</v>
      </c>
      <c r="B2094" t="str">
        <f>"1551685679288591"</f>
        <v>1551685679288591</v>
      </c>
      <c r="C2094" t="s">
        <v>40</v>
      </c>
      <c r="D2094">
        <v>4.5643589999999996</v>
      </c>
      <c r="E2094">
        <v>0.53547049999999996</v>
      </c>
      <c r="F2094" t="s">
        <v>44</v>
      </c>
      <c r="G2094">
        <v>-192.62970000000001</v>
      </c>
      <c r="H2094" s="1">
        <v>-2.7154770000000001E-6</v>
      </c>
      <c r="I2094">
        <v>304.28789999999998</v>
      </c>
      <c r="J2094">
        <v>-192.1713</v>
      </c>
      <c r="K2094">
        <v>1.1107180000000001</v>
      </c>
      <c r="L2094">
        <v>338.68009999999998</v>
      </c>
      <c r="M2094">
        <v>6.8536680000000003E-3</v>
      </c>
      <c r="N2094">
        <v>-1.0931959999999999E-2</v>
      </c>
      <c r="O2094">
        <v>-0.99991699999999994</v>
      </c>
      <c r="P2094">
        <v>8.7112599999999998E-2</v>
      </c>
      <c r="Q2094">
        <v>0.1249677</v>
      </c>
      <c r="R2094">
        <v>-0.98832929999999997</v>
      </c>
      <c r="S2094">
        <v>-4.0344240000000003E-2</v>
      </c>
      <c r="T2094">
        <v>-9.8020319999999994E-2</v>
      </c>
      <c r="U2094">
        <v>-3.0515140000000001</v>
      </c>
      <c r="V2094">
        <v>-8.0342300000000005E-2</v>
      </c>
      <c r="W2094">
        <v>0.13576769999999999</v>
      </c>
      <c r="X2094">
        <v>0.98747770000000001</v>
      </c>
      <c r="Y2094">
        <v>2.0065389999999999E-2</v>
      </c>
      <c r="Z2094">
        <v>2.117082E-2</v>
      </c>
      <c r="AA2094">
        <v>0.99957450000000003</v>
      </c>
      <c r="AB2094">
        <v>20</v>
      </c>
      <c r="AC2094">
        <v>-0.45840000000001102</v>
      </c>
      <c r="AD2094">
        <v>-1.110720715477</v>
      </c>
      <c r="AE2094">
        <v>-34.392200000000003</v>
      </c>
      <c r="AF2094">
        <v>0.69339289206072796</v>
      </c>
      <c r="AG2094">
        <v>-1.110720715477</v>
      </c>
      <c r="AH2094">
        <v>34.352426565446301</v>
      </c>
      <c r="AI2094">
        <v>91.851528581174904</v>
      </c>
      <c r="AJ2094">
        <v>88.843659789525702</v>
      </c>
      <c r="AK2094">
        <v>34.377371992997503</v>
      </c>
      <c r="AL2094">
        <v>82.196985257214706</v>
      </c>
      <c r="AM2094">
        <v>94.651403803058798</v>
      </c>
      <c r="AN2094">
        <v>0.99999998076493402</v>
      </c>
    </row>
    <row r="2095" spans="1:40" x14ac:dyDescent="0.25">
      <c r="A2095" t="str">
        <f>"20190304154759322"</f>
        <v>20190304154759322</v>
      </c>
      <c r="B2095" t="str">
        <f>"1551685679318848"</f>
        <v>1551685679318848</v>
      </c>
      <c r="C2095" t="s">
        <v>40</v>
      </c>
      <c r="D2095">
        <v>4.5910359999999999</v>
      </c>
      <c r="E2095">
        <v>0.53507899999999997</v>
      </c>
      <c r="F2095" t="s">
        <v>44</v>
      </c>
      <c r="G2095">
        <v>-192.63329999999999</v>
      </c>
      <c r="H2095" s="1">
        <v>-2.6524030000000001E-6</v>
      </c>
      <c r="I2095">
        <v>304.13869999999997</v>
      </c>
      <c r="J2095">
        <v>-192.16990000000001</v>
      </c>
      <c r="K2095">
        <v>1.110725</v>
      </c>
      <c r="L2095">
        <v>338.49</v>
      </c>
      <c r="M2095">
        <v>6.9124240000000003E-3</v>
      </c>
      <c r="N2095">
        <v>-1.0893190000000001E-2</v>
      </c>
      <c r="O2095">
        <v>-0.99991680000000005</v>
      </c>
      <c r="P2095">
        <v>8.6721850000000003E-2</v>
      </c>
      <c r="Q2095">
        <v>0.12512200000000001</v>
      </c>
      <c r="R2095">
        <v>-0.988344</v>
      </c>
      <c r="S2095">
        <v>-4.0817260000000001E-2</v>
      </c>
      <c r="T2095">
        <v>-9.812295E-2</v>
      </c>
      <c r="U2095">
        <v>-3.051453</v>
      </c>
      <c r="V2095">
        <v>-7.9896540000000002E-2</v>
      </c>
      <c r="W2095">
        <v>0.13588159999999999</v>
      </c>
      <c r="X2095">
        <v>0.98749819999999999</v>
      </c>
      <c r="Y2095">
        <v>2.027926E-2</v>
      </c>
      <c r="Z2095">
        <v>2.1243669999999999E-2</v>
      </c>
      <c r="AA2095">
        <v>0.99956860000000003</v>
      </c>
      <c r="AB2095">
        <v>20</v>
      </c>
      <c r="AC2095">
        <v>-0.463399999999978</v>
      </c>
      <c r="AD2095">
        <v>-1.1107276524030001</v>
      </c>
      <c r="AE2095">
        <v>-34.351300000000002</v>
      </c>
      <c r="AF2095">
        <v>0.70012190922846096</v>
      </c>
      <c r="AG2095">
        <v>-1.1107276524030001</v>
      </c>
      <c r="AH2095">
        <v>34.311409359421397</v>
      </c>
      <c r="AI2095">
        <v>91.853743720330996</v>
      </c>
      <c r="AJ2095">
        <v>88.831045842348701</v>
      </c>
      <c r="AK2095">
        <v>34.336521356063201</v>
      </c>
      <c r="AL2095">
        <v>82.190398224259994</v>
      </c>
      <c r="AM2095">
        <v>94.625613297035201</v>
      </c>
      <c r="AN2095">
        <v>0.99999998066288498</v>
      </c>
    </row>
    <row r="2096" spans="1:40" x14ac:dyDescent="0.25">
      <c r="A2096" t="str">
        <f>"20190304154759345"</f>
        <v>20190304154759345</v>
      </c>
      <c r="B2096" t="str">
        <f>"1551685679338368"</f>
        <v>1551685679338368</v>
      </c>
      <c r="C2096" t="s">
        <v>40</v>
      </c>
      <c r="D2096">
        <v>4.5757289999999999</v>
      </c>
      <c r="E2096">
        <v>0.5347693</v>
      </c>
      <c r="F2096" t="s">
        <v>44</v>
      </c>
      <c r="G2096">
        <v>-192.61089999999999</v>
      </c>
      <c r="H2096" s="1">
        <v>-2.5698700000000002E-6</v>
      </c>
      <c r="I2096">
        <v>303.96019999999999</v>
      </c>
      <c r="J2096">
        <v>-192.16839999999999</v>
      </c>
      <c r="K2096">
        <v>1.1107260000000001</v>
      </c>
      <c r="L2096">
        <v>338.2842</v>
      </c>
      <c r="M2096">
        <v>6.9891220000000004E-3</v>
      </c>
      <c r="N2096">
        <v>-1.084803E-2</v>
      </c>
      <c r="O2096">
        <v>-0.99991699999999994</v>
      </c>
      <c r="P2096">
        <v>8.6170150000000001E-2</v>
      </c>
      <c r="Q2096">
        <v>0.12531249999999999</v>
      </c>
      <c r="R2096">
        <v>-0.98836849999999998</v>
      </c>
      <c r="S2096">
        <v>-3.8970949999999997E-2</v>
      </c>
      <c r="T2096">
        <v>-9.8149899999999901E-2</v>
      </c>
      <c r="U2096">
        <v>-3.0512389999999998</v>
      </c>
      <c r="V2096">
        <v>-7.927149E-2</v>
      </c>
      <c r="W2096">
        <v>0.13602609999999901</v>
      </c>
      <c r="X2096">
        <v>0.98752870000000004</v>
      </c>
      <c r="Y2096">
        <v>1.9752269999999999E-2</v>
      </c>
      <c r="Z2096">
        <v>2.1300179999999998E-2</v>
      </c>
      <c r="AA2096">
        <v>0.99957799999999997</v>
      </c>
      <c r="AB2096">
        <v>20</v>
      </c>
      <c r="AC2096">
        <v>-0.44249999999999501</v>
      </c>
      <c r="AD2096">
        <v>-1.11072856987</v>
      </c>
      <c r="AE2096">
        <v>-34.323999999999998</v>
      </c>
      <c r="AF2096">
        <v>0.68168414170462099</v>
      </c>
      <c r="AG2096">
        <v>-1.11072856987</v>
      </c>
      <c r="AH2096">
        <v>34.284173065507701</v>
      </c>
      <c r="AI2096">
        <v>91.855236359188893</v>
      </c>
      <c r="AJ2096">
        <v>88.860918176006393</v>
      </c>
      <c r="AK2096">
        <v>34.308933734679897</v>
      </c>
      <c r="AL2096">
        <v>82.1820415534891</v>
      </c>
      <c r="AM2096">
        <v>94.589440063353607</v>
      </c>
      <c r="AN2096">
        <v>1.0000000011658601</v>
      </c>
    </row>
    <row r="2097" spans="1:40" x14ac:dyDescent="0.25">
      <c r="A2097" t="str">
        <f>"20190304154759367"</f>
        <v>20190304154759367</v>
      </c>
      <c r="B2097" t="str">
        <f>"1551685679358863"</f>
        <v>1551685679358863</v>
      </c>
      <c r="C2097" t="s">
        <v>40</v>
      </c>
      <c r="D2097">
        <v>4.5462089999999904</v>
      </c>
      <c r="E2097">
        <v>0.53465469999999904</v>
      </c>
      <c r="F2097" t="s">
        <v>44</v>
      </c>
      <c r="G2097">
        <v>-192.60589999999999</v>
      </c>
      <c r="H2097" s="1">
        <v>-2.452754E-6</v>
      </c>
      <c r="I2097">
        <v>303.69029999999998</v>
      </c>
      <c r="J2097">
        <v>-192.1669</v>
      </c>
      <c r="K2097">
        <v>1.110722</v>
      </c>
      <c r="L2097">
        <v>338.08929999999998</v>
      </c>
      <c r="M2097">
        <v>7.071323E-3</v>
      </c>
      <c r="N2097">
        <v>-1.079432E-2</v>
      </c>
      <c r="O2097">
        <v>-0.99991680000000005</v>
      </c>
      <c r="P2097">
        <v>8.5999729999999996E-2</v>
      </c>
      <c r="Q2097">
        <v>0.12476080000000001</v>
      </c>
      <c r="R2097">
        <v>-0.98845269999999996</v>
      </c>
      <c r="S2097">
        <v>-3.8589480000000002E-2</v>
      </c>
      <c r="T2097">
        <v>-9.7964049999999997E-2</v>
      </c>
      <c r="U2097">
        <v>-3.0511170000000001</v>
      </c>
      <c r="V2097">
        <v>-7.9020989999999999E-2</v>
      </c>
      <c r="W2097">
        <v>0.13542190000000001</v>
      </c>
      <c r="X2097">
        <v>0.98763179999999995</v>
      </c>
      <c r="Y2097">
        <v>1.971007E-2</v>
      </c>
      <c r="Z2097">
        <v>2.129435E-2</v>
      </c>
      <c r="AA2097">
        <v>0.999579</v>
      </c>
      <c r="AB2097">
        <v>20</v>
      </c>
      <c r="AC2097">
        <v>-0.43899999999999201</v>
      </c>
      <c r="AD2097">
        <v>-1.1107244527539999</v>
      </c>
      <c r="AE2097">
        <v>-34.399000000000001</v>
      </c>
      <c r="AF2097">
        <v>0.68153915713823598</v>
      </c>
      <c r="AG2097">
        <v>-1.1107244527539999</v>
      </c>
      <c r="AH2097">
        <v>34.359218000374398</v>
      </c>
      <c r="AI2097">
        <v>91.851182000493196</v>
      </c>
      <c r="AJ2097">
        <v>88.863647097499197</v>
      </c>
      <c r="AK2097">
        <v>34.383921620866701</v>
      </c>
      <c r="AL2097">
        <v>82.216982901525697</v>
      </c>
      <c r="AM2097">
        <v>94.574523412542106</v>
      </c>
      <c r="AN2097">
        <v>0.99999999011571505</v>
      </c>
    </row>
    <row r="2098" spans="1:40" x14ac:dyDescent="0.25">
      <c r="A2098" t="str">
        <f>"20190304154759390"</f>
        <v>20190304154759390</v>
      </c>
      <c r="B2098" t="str">
        <f>"1551685679378387"</f>
        <v>1551685679378387</v>
      </c>
      <c r="C2098" t="s">
        <v>40</v>
      </c>
      <c r="D2098">
        <v>4.57193</v>
      </c>
      <c r="E2098">
        <v>0.53440790000000005</v>
      </c>
      <c r="F2098" t="s">
        <v>44</v>
      </c>
      <c r="G2098">
        <v>-192.58869999999999</v>
      </c>
      <c r="H2098" s="1">
        <v>-2.7689810000000002E-6</v>
      </c>
      <c r="I2098">
        <v>304.43810000000002</v>
      </c>
      <c r="J2098">
        <v>-192.16540000000001</v>
      </c>
      <c r="K2098">
        <v>1.1107089999999999</v>
      </c>
      <c r="L2098">
        <v>337.89049999999997</v>
      </c>
      <c r="M2098">
        <v>7.1616600000000002E-3</v>
      </c>
      <c r="N2098">
        <v>-1.072125E-2</v>
      </c>
      <c r="O2098">
        <v>-0.99991699999999994</v>
      </c>
      <c r="P2098">
        <v>8.5841630000000002E-2</v>
      </c>
      <c r="Q2098">
        <v>0.12450410000000001</v>
      </c>
      <c r="R2098">
        <v>-0.98849900000000002</v>
      </c>
      <c r="S2098">
        <v>-3.823853E-2</v>
      </c>
      <c r="T2098">
        <v>-0.1007062</v>
      </c>
      <c r="U2098">
        <v>-3.051056</v>
      </c>
      <c r="V2098">
        <v>-7.8773549999999998E-2</v>
      </c>
      <c r="W2098">
        <v>0.13509309999999999</v>
      </c>
      <c r="X2098">
        <v>0.98769660000000004</v>
      </c>
      <c r="Y2098">
        <v>1.9685370000000001E-2</v>
      </c>
      <c r="Z2098">
        <v>2.2265500000000001E-2</v>
      </c>
      <c r="AA2098">
        <v>0.99955830000000001</v>
      </c>
      <c r="AB2098">
        <v>20</v>
      </c>
      <c r="AC2098">
        <v>-0.42329999999998302</v>
      </c>
      <c r="AD2098">
        <v>-1.110711768981</v>
      </c>
      <c r="AE2098">
        <v>-33.452399999999898</v>
      </c>
      <c r="AF2098">
        <v>0.66214774953240896</v>
      </c>
      <c r="AG2098">
        <v>-1.110711768981</v>
      </c>
      <c r="AH2098">
        <v>33.411682406201301</v>
      </c>
      <c r="AI2098">
        <v>91.903621285581593</v>
      </c>
      <c r="AJ2098">
        <v>88.864669385568703</v>
      </c>
      <c r="AK2098">
        <v>33.436696031289202</v>
      </c>
      <c r="AL2098">
        <v>82.235996523763902</v>
      </c>
      <c r="AM2098">
        <v>94.559961704388698</v>
      </c>
      <c r="AN2098">
        <v>0.99999999574938603</v>
      </c>
    </row>
    <row r="2099" spans="1:40" x14ac:dyDescent="0.25">
      <c r="A2099" t="str">
        <f>"20190304154759412"</f>
        <v>20190304154759412</v>
      </c>
      <c r="B2099" t="str">
        <f>"1551685679408640"</f>
        <v>1551685679408640</v>
      </c>
      <c r="C2099" t="s">
        <v>40</v>
      </c>
      <c r="D2099">
        <v>4.6689480000000003</v>
      </c>
      <c r="E2099">
        <v>0.53398859999999904</v>
      </c>
      <c r="F2099" t="s">
        <v>44</v>
      </c>
      <c r="G2099">
        <v>-192.5651</v>
      </c>
      <c r="H2099" s="1">
        <v>-2.8458310000000001E-6</v>
      </c>
      <c r="I2099">
        <v>304.6318</v>
      </c>
      <c r="J2099">
        <v>-192.16399999999999</v>
      </c>
      <c r="K2099">
        <v>1.1106929999999999</v>
      </c>
      <c r="L2099">
        <v>337.69799999999998</v>
      </c>
      <c r="M2099">
        <v>7.2517469999999898E-3</v>
      </c>
      <c r="N2099">
        <v>-1.0632519999999999E-2</v>
      </c>
      <c r="O2099">
        <v>-0.99991730000000001</v>
      </c>
      <c r="P2099">
        <v>8.6116799999999993E-2</v>
      </c>
      <c r="Q2099">
        <v>0.124288</v>
      </c>
      <c r="R2099">
        <v>-0.9885022</v>
      </c>
      <c r="S2099">
        <v>-3.6666869999999997E-2</v>
      </c>
      <c r="T2099">
        <v>-0.1018906</v>
      </c>
      <c r="U2099">
        <v>-3.050964</v>
      </c>
      <c r="V2099">
        <v>-7.8959100000000004E-2</v>
      </c>
      <c r="W2099">
        <v>0.13478979999999999</v>
      </c>
      <c r="X2099">
        <v>0.98772320000000002</v>
      </c>
      <c r="Y2099">
        <v>1.9260960000000001E-2</v>
      </c>
      <c r="Z2099">
        <v>2.2743019999999999E-2</v>
      </c>
      <c r="AA2099">
        <v>0.99955579999999999</v>
      </c>
      <c r="AB2099">
        <v>20</v>
      </c>
      <c r="AC2099">
        <v>-0.40109999999998502</v>
      </c>
      <c r="AD2099">
        <v>-1.1106958458309999</v>
      </c>
      <c r="AE2099">
        <v>-33.066200000000002</v>
      </c>
      <c r="AF2099">
        <v>0.640168503557351</v>
      </c>
      <c r="AG2099">
        <v>-1.1106958458309999</v>
      </c>
      <c r="AH2099">
        <v>33.025165045247498</v>
      </c>
      <c r="AI2099">
        <v>91.925872820033803</v>
      </c>
      <c r="AJ2099">
        <v>88.889502584428897</v>
      </c>
      <c r="AK2099">
        <v>33.050037628431298</v>
      </c>
      <c r="AL2099">
        <v>82.253534582121702</v>
      </c>
      <c r="AM2099">
        <v>94.570534604372895</v>
      </c>
      <c r="AN2099">
        <v>0.99999997473754398</v>
      </c>
    </row>
    <row r="2100" spans="1:40" x14ac:dyDescent="0.25">
      <c r="A2100" t="str">
        <f>"20190304154759434"</f>
        <v>20190304154759434</v>
      </c>
      <c r="B2100" t="str">
        <f>"1551685679429136"</f>
        <v>1551685679429136</v>
      </c>
      <c r="C2100" t="s">
        <v>40</v>
      </c>
      <c r="D2100">
        <v>4.570214</v>
      </c>
      <c r="E2100">
        <v>0.53377249999999998</v>
      </c>
      <c r="F2100" t="s">
        <v>44</v>
      </c>
      <c r="G2100">
        <v>-192.5102</v>
      </c>
      <c r="H2100" s="1">
        <v>-2.9231180000000001E-6</v>
      </c>
      <c r="I2100">
        <v>304.84609999999998</v>
      </c>
      <c r="J2100">
        <v>-192.16239999999999</v>
      </c>
      <c r="K2100">
        <v>1.110673</v>
      </c>
      <c r="L2100">
        <v>337.49540000000002</v>
      </c>
      <c r="M2100">
        <v>7.3463319999999997E-3</v>
      </c>
      <c r="N2100">
        <v>-1.0526239999999999E-2</v>
      </c>
      <c r="O2100">
        <v>-0.99991770000000002</v>
      </c>
      <c r="P2100">
        <v>8.6480230000000005E-2</v>
      </c>
      <c r="Q2100">
        <v>0.1243162</v>
      </c>
      <c r="R2100">
        <v>-0.98846719999999999</v>
      </c>
      <c r="S2100">
        <v>-3.2150270000000002E-2</v>
      </c>
      <c r="T2100">
        <v>-0.1031392</v>
      </c>
      <c r="U2100">
        <v>-3.0506289999999998</v>
      </c>
      <c r="V2100">
        <v>-7.9228859999999998E-2</v>
      </c>
      <c r="W2100">
        <v>0.13471320000000001</v>
      </c>
      <c r="X2100">
        <v>0.98771209999999998</v>
      </c>
      <c r="Y2100">
        <v>1.787733E-2</v>
      </c>
      <c r="Z2100">
        <v>2.3262330000000001E-2</v>
      </c>
      <c r="AA2100">
        <v>0.9995695</v>
      </c>
      <c r="AB2100">
        <v>20</v>
      </c>
      <c r="AC2100">
        <v>-0.34780000000000599</v>
      </c>
      <c r="AD2100">
        <v>-1.1106759231179999</v>
      </c>
      <c r="AE2100">
        <v>-32.649299999999997</v>
      </c>
      <c r="AF2100">
        <v>0.58697727693787005</v>
      </c>
      <c r="AG2100">
        <v>-1.1106759231179999</v>
      </c>
      <c r="AH2100">
        <v>32.608132216716697</v>
      </c>
      <c r="AI2100">
        <v>91.950499760548993</v>
      </c>
      <c r="AJ2100">
        <v>88.968733058484503</v>
      </c>
      <c r="AK2100">
        <v>32.632321860277003</v>
      </c>
      <c r="AL2100">
        <v>82.257964231699702</v>
      </c>
      <c r="AM2100">
        <v>94.586134440461095</v>
      </c>
      <c r="AN2100">
        <v>1.00000002549877</v>
      </c>
    </row>
    <row r="2101" spans="1:40" x14ac:dyDescent="0.25">
      <c r="A2101" t="str">
        <f>"20190304154759457"</f>
        <v>20190304154759457</v>
      </c>
      <c r="B2101" t="str">
        <f>"1551685679448656"</f>
        <v>1551685679448656</v>
      </c>
      <c r="C2101" t="s">
        <v>40</v>
      </c>
      <c r="D2101">
        <v>4.5610650000000001</v>
      </c>
      <c r="E2101">
        <v>0.53353319999999904</v>
      </c>
      <c r="F2101" t="s">
        <v>44</v>
      </c>
      <c r="G2101">
        <v>-192.4751</v>
      </c>
      <c r="H2101" s="1">
        <v>-2.8489189999999998E-6</v>
      </c>
      <c r="I2101">
        <v>304.69490000000002</v>
      </c>
      <c r="J2101">
        <v>-192.16079999999999</v>
      </c>
      <c r="K2101">
        <v>1.110652</v>
      </c>
      <c r="L2101">
        <v>337.2912</v>
      </c>
      <c r="M2101">
        <v>7.4387689999999996E-3</v>
      </c>
      <c r="N2101">
        <v>-1.041689E-2</v>
      </c>
      <c r="O2101">
        <v>-0.99991819999999998</v>
      </c>
      <c r="P2101">
        <v>8.7327810000000006E-2</v>
      </c>
      <c r="Q2101">
        <v>0.1246936</v>
      </c>
      <c r="R2101">
        <v>-0.98834500000000003</v>
      </c>
      <c r="S2101">
        <v>-2.9083250000000001E-2</v>
      </c>
      <c r="T2101">
        <v>-0.10329579999999999</v>
      </c>
      <c r="U2101">
        <v>-3.0505369999999998</v>
      </c>
      <c r="V2101">
        <v>-7.9984620000000006E-2</v>
      </c>
      <c r="W2101">
        <v>0.13498209999999999</v>
      </c>
      <c r="X2101">
        <v>0.98761449999999995</v>
      </c>
      <c r="Y2101">
        <v>1.6965419999999998E-2</v>
      </c>
      <c r="Z2101">
        <v>2.342439E-2</v>
      </c>
      <c r="AA2101">
        <v>0.99958159999999896</v>
      </c>
      <c r="AB2101">
        <v>20</v>
      </c>
      <c r="AC2101">
        <v>-0.31430000000000202</v>
      </c>
      <c r="AD2101">
        <v>-1.110654848919</v>
      </c>
      <c r="AE2101">
        <v>-32.5962999999999</v>
      </c>
      <c r="AF2101">
        <v>0.55613517786095801</v>
      </c>
      <c r="AG2101">
        <v>-1.110654848919</v>
      </c>
      <c r="AH2101">
        <v>32.555267665653702</v>
      </c>
      <c r="AI2101">
        <v>91.953658998744402</v>
      </c>
      <c r="AJ2101">
        <v>89.021322759782095</v>
      </c>
      <c r="AK2101">
        <v>32.578954760885701</v>
      </c>
      <c r="AL2101">
        <v>82.242415599056798</v>
      </c>
      <c r="AM2101">
        <v>94.630147594953101</v>
      </c>
      <c r="AN2101">
        <v>1.0000000536836</v>
      </c>
    </row>
    <row r="2102" spans="1:40" x14ac:dyDescent="0.25">
      <c r="A2102" t="str">
        <f>"20190304154759473"</f>
        <v>20190304154759473</v>
      </c>
      <c r="B2102" t="str">
        <f>"1551685679469152"</f>
        <v>1551685679469152</v>
      </c>
      <c r="C2102" t="s">
        <v>40</v>
      </c>
      <c r="D2102">
        <v>4.5388169999999999</v>
      </c>
      <c r="E2102">
        <v>0.53348949999999995</v>
      </c>
      <c r="F2102" t="s">
        <v>44</v>
      </c>
      <c r="G2102">
        <v>-192.42310000000001</v>
      </c>
      <c r="H2102" s="1">
        <v>-2.6371250000000002E-6</v>
      </c>
      <c r="I2102">
        <v>304.23349999999999</v>
      </c>
      <c r="J2102">
        <v>-192.15969999999999</v>
      </c>
      <c r="K2102">
        <v>1.110641</v>
      </c>
      <c r="L2102">
        <v>337.15710000000001</v>
      </c>
      <c r="M2102">
        <v>7.4978110000000001E-3</v>
      </c>
      <c r="N2102">
        <v>-1.0345200000000001E-2</v>
      </c>
      <c r="O2102">
        <v>-0.99991850000000004</v>
      </c>
      <c r="P2102">
        <v>8.761012E-2</v>
      </c>
      <c r="Q2102">
        <v>0.1246551</v>
      </c>
      <c r="R2102">
        <v>-0.9883248</v>
      </c>
      <c r="S2102">
        <v>-2.420044E-2</v>
      </c>
      <c r="T2102">
        <v>-0.1024872</v>
      </c>
      <c r="U2102">
        <v>-3.050446</v>
      </c>
      <c r="V2102">
        <v>-8.0208580000000002E-2</v>
      </c>
      <c r="W2102">
        <v>0.1348724</v>
      </c>
      <c r="X2102">
        <v>0.98761120000000002</v>
      </c>
      <c r="Y2102">
        <v>1.542527E-2</v>
      </c>
      <c r="Z2102">
        <v>2.32331E-2</v>
      </c>
      <c r="AA2102">
        <v>0.99961109999999997</v>
      </c>
      <c r="AB2102">
        <v>20</v>
      </c>
      <c r="AC2102">
        <v>-0.26340000000001801</v>
      </c>
      <c r="AD2102">
        <v>-1.1106436371249999</v>
      </c>
      <c r="AE2102">
        <v>-32.9236</v>
      </c>
      <c r="AF2102">
        <v>0.50968073607937003</v>
      </c>
      <c r="AG2102">
        <v>-1.1106436371249999</v>
      </c>
      <c r="AH2102">
        <v>32.883281284530199</v>
      </c>
      <c r="AI2102">
        <v>91.934216278265694</v>
      </c>
      <c r="AJ2102">
        <v>89.112004163581204</v>
      </c>
      <c r="AK2102">
        <v>32.905979574827299</v>
      </c>
      <c r="AL2102">
        <v>82.248757999396403</v>
      </c>
      <c r="AM2102">
        <v>94.643071026739506</v>
      </c>
      <c r="AN2102">
        <v>0.99999993147640498</v>
      </c>
    </row>
    <row r="2103" spans="1:40" x14ac:dyDescent="0.25">
      <c r="A2103" t="str">
        <f>"20190304154759491"</f>
        <v>20190304154759491</v>
      </c>
      <c r="B2103" t="str">
        <f>"1551685679488671"</f>
        <v>1551685679488671</v>
      </c>
      <c r="C2103" t="s">
        <v>40</v>
      </c>
      <c r="D2103">
        <v>4.4714660000000004</v>
      </c>
      <c r="E2103">
        <v>0.55343640000000005</v>
      </c>
      <c r="F2103" t="s">
        <v>44</v>
      </c>
      <c r="G2103">
        <v>-192.4093</v>
      </c>
      <c r="H2103" s="1">
        <v>-2.5449699999999998E-6</v>
      </c>
      <c r="I2103">
        <v>304.02719999999999</v>
      </c>
      <c r="J2103">
        <v>-192.1583</v>
      </c>
      <c r="K2103">
        <v>1.1106290000000001</v>
      </c>
      <c r="L2103">
        <v>336.9837</v>
      </c>
      <c r="M2103">
        <v>7.5716119999999897E-3</v>
      </c>
      <c r="N2103">
        <v>-1.0254559999999999E-2</v>
      </c>
      <c r="O2103">
        <v>-0.99991890000000005</v>
      </c>
      <c r="P2103">
        <v>8.7987949999999995E-2</v>
      </c>
      <c r="Q2103">
        <v>0.12510479999999999</v>
      </c>
      <c r="R2103">
        <v>-0.98823450000000002</v>
      </c>
      <c r="S2103">
        <v>-2.2979739999999999E-2</v>
      </c>
      <c r="T2103">
        <v>-0.1022607</v>
      </c>
      <c r="U2103">
        <v>-3.0503849999999999</v>
      </c>
      <c r="V2103">
        <v>-8.051353E-2</v>
      </c>
      <c r="W2103">
        <v>0.13523199999999999</v>
      </c>
      <c r="X2103">
        <v>0.98753729999999995</v>
      </c>
      <c r="Y2103">
        <v>1.5099329999999999E-2</v>
      </c>
      <c r="Z2103">
        <v>2.3250369999999999E-2</v>
      </c>
      <c r="AA2103">
        <v>0.9996157</v>
      </c>
      <c r="AB2103">
        <v>20</v>
      </c>
      <c r="AC2103">
        <v>-0.251000000000004</v>
      </c>
      <c r="AD2103">
        <v>-1.1106315449699999</v>
      </c>
      <c r="AE2103">
        <v>-32.956499999999998</v>
      </c>
      <c r="AF2103">
        <v>0.49997194215365198</v>
      </c>
      <c r="AG2103">
        <v>-1.1106315449699999</v>
      </c>
      <c r="AH2103">
        <v>32.916274279785497</v>
      </c>
      <c r="AI2103">
        <v>91.932267199092294</v>
      </c>
      <c r="AJ2103">
        <v>89.129789744445304</v>
      </c>
      <c r="AK2103">
        <v>32.938800628342399</v>
      </c>
      <c r="AL2103">
        <v>82.227964627412305</v>
      </c>
      <c r="AM2103">
        <v>94.660993419080597</v>
      </c>
      <c r="AN2103">
        <v>1.0000000206141699</v>
      </c>
    </row>
    <row r="2104" spans="1:40" x14ac:dyDescent="0.25">
      <c r="A2104" t="str">
        <f>"20190304154759511"</f>
        <v>20190304154759511</v>
      </c>
      <c r="B2104" t="str">
        <f>"1551685679508192"</f>
        <v>1551685679508192</v>
      </c>
      <c r="C2104" t="s">
        <v>40</v>
      </c>
      <c r="D2104">
        <v>4.4783549999999996</v>
      </c>
      <c r="E2104">
        <v>0.55696349999999994</v>
      </c>
      <c r="F2104" t="s">
        <v>54</v>
      </c>
      <c r="G2104">
        <v>-195.898</v>
      </c>
      <c r="H2104" s="1">
        <v>5.33334899999999E-6</v>
      </c>
      <c r="I2104">
        <v>272.82709999999997</v>
      </c>
      <c r="J2104">
        <v>-192.15690000000001</v>
      </c>
      <c r="K2104">
        <v>1.110617</v>
      </c>
      <c r="L2104">
        <v>336.80900000000003</v>
      </c>
      <c r="M2104">
        <v>7.6439719999999997E-3</v>
      </c>
      <c r="N2104">
        <v>-1.0164970000000001E-2</v>
      </c>
      <c r="O2104">
        <v>-0.99991920000000001</v>
      </c>
      <c r="P2104">
        <v>8.8085269999999993E-2</v>
      </c>
      <c r="Q2104">
        <v>0.12501599999999999</v>
      </c>
      <c r="R2104">
        <v>-0.98823689999999997</v>
      </c>
      <c r="S2104">
        <v>-0.17826839999999999</v>
      </c>
      <c r="T2104">
        <v>-5.2942509999999998E-2</v>
      </c>
      <c r="U2104">
        <v>-3.0582889999999998</v>
      </c>
      <c r="V2104">
        <v>-8.0539029999999998E-2</v>
      </c>
      <c r="W2104">
        <v>0.13505529999999999</v>
      </c>
      <c r="X2104">
        <v>0.98755939999999998</v>
      </c>
      <c r="Y2104">
        <v>6.5810579999999994E-2</v>
      </c>
      <c r="Z2104">
        <v>7.1077850000000001E-3</v>
      </c>
      <c r="AA2104">
        <v>0.99780679999999999</v>
      </c>
      <c r="AB2104">
        <v>20</v>
      </c>
      <c r="AC2104">
        <v>-3.7410999999999799</v>
      </c>
      <c r="AD2104">
        <v>-1.110611666651</v>
      </c>
      <c r="AE2104">
        <v>-63.981900000000003</v>
      </c>
      <c r="AF2104">
        <v>4.2288219365835999</v>
      </c>
      <c r="AG2104">
        <v>-1.110611666651</v>
      </c>
      <c r="AH2104">
        <v>63.932234561355699</v>
      </c>
      <c r="AI2104">
        <v>90.993055443170903</v>
      </c>
      <c r="AJ2104">
        <v>86.215661571957398</v>
      </c>
      <c r="AK2104">
        <v>64.0815652840474</v>
      </c>
      <c r="AL2104">
        <v>82.238182517491097</v>
      </c>
      <c r="AM2104">
        <v>94.662359248945606</v>
      </c>
      <c r="AN2104">
        <v>1.0000000189698901</v>
      </c>
    </row>
    <row r="2105" spans="1:40" x14ac:dyDescent="0.25">
      <c r="A2105" t="str">
        <f>"20190304154759523"</f>
        <v>20190304154759523</v>
      </c>
      <c r="B2105" t="str">
        <f>"1551685679518928"</f>
        <v>1551685679518928</v>
      </c>
      <c r="C2105" t="s">
        <v>40</v>
      </c>
      <c r="D2105">
        <v>4.4712509999999996</v>
      </c>
      <c r="E2105">
        <v>0.55772429999999995</v>
      </c>
      <c r="F2105" t="s">
        <v>44</v>
      </c>
      <c r="G2105">
        <v>-197.28530000000001</v>
      </c>
      <c r="H2105" s="1">
        <v>-2.2839989999999998E-6</v>
      </c>
      <c r="I2105">
        <v>260.3947</v>
      </c>
      <c r="J2105">
        <v>-192.15600000000001</v>
      </c>
      <c r="K2105">
        <v>1.110609</v>
      </c>
      <c r="L2105">
        <v>336.6943</v>
      </c>
      <c r="M2105">
        <v>7.6903700000000002E-3</v>
      </c>
      <c r="N2105">
        <v>-1.010803E-2</v>
      </c>
      <c r="O2105">
        <v>-0.99991940000000001</v>
      </c>
      <c r="P2105">
        <v>8.792606E-2</v>
      </c>
      <c r="Q2105">
        <v>0.1248134</v>
      </c>
      <c r="R2105">
        <v>-0.98827679999999996</v>
      </c>
      <c r="S2105">
        <v>-0.20533750000000001</v>
      </c>
      <c r="T2105">
        <v>-4.4468760000000003E-2</v>
      </c>
      <c r="U2105">
        <v>-3.0596009999999998</v>
      </c>
      <c r="V2105">
        <v>-8.0333749999999995E-2</v>
      </c>
      <c r="W2105">
        <v>0.1347969</v>
      </c>
      <c r="X2105">
        <v>0.98761140000000003</v>
      </c>
      <c r="Y2105">
        <v>7.4623499999999995E-2</v>
      </c>
      <c r="Z2105">
        <v>4.3851209999999996E-3</v>
      </c>
      <c r="AA2105">
        <v>0.99720220000000004</v>
      </c>
      <c r="AB2105">
        <v>20</v>
      </c>
      <c r="AC2105">
        <v>-5.1293000000000202</v>
      </c>
      <c r="AD2105">
        <v>-1.1106112839990001</v>
      </c>
      <c r="AE2105">
        <v>-76.299599999999998</v>
      </c>
      <c r="AF2105">
        <v>5.7147450379890499</v>
      </c>
      <c r="AG2105">
        <v>-1.1106112839990001</v>
      </c>
      <c r="AH2105">
        <v>76.241814204687003</v>
      </c>
      <c r="AI2105">
        <v>90.832231897830894</v>
      </c>
      <c r="AJ2105">
        <v>85.713380784803206</v>
      </c>
      <c r="AK2105">
        <v>76.463756129916703</v>
      </c>
      <c r="AL2105">
        <v>82.253124205131996</v>
      </c>
      <c r="AM2105">
        <v>94.650284108561607</v>
      </c>
      <c r="AN2105">
        <v>0.99999999652431604</v>
      </c>
    </row>
    <row r="2106" spans="1:40" x14ac:dyDescent="0.25">
      <c r="A2106" t="str">
        <f>"20190304154759546"</f>
        <v>20190304154759546</v>
      </c>
      <c r="B2106" t="str">
        <f>"1551685679538448"</f>
        <v>1551685679538448</v>
      </c>
      <c r="C2106" t="s">
        <v>40</v>
      </c>
      <c r="D2106">
        <v>4.4694219999999998</v>
      </c>
      <c r="E2106">
        <v>0.55882159999999903</v>
      </c>
      <c r="F2106" t="s">
        <v>44</v>
      </c>
      <c r="G2106">
        <v>-197.60599999999999</v>
      </c>
      <c r="H2106" s="1">
        <v>-5.1216619999999998E-6</v>
      </c>
      <c r="I2106">
        <v>258.07240000000002</v>
      </c>
      <c r="J2106">
        <v>-192.15440000000001</v>
      </c>
      <c r="K2106">
        <v>1.110598</v>
      </c>
      <c r="L2106">
        <v>336.49590000000001</v>
      </c>
      <c r="M2106">
        <v>7.7700209999999898E-3</v>
      </c>
      <c r="N2106">
        <v>-1.0013859999999999E-2</v>
      </c>
      <c r="O2106">
        <v>-0.99991969999999997</v>
      </c>
      <c r="P2106">
        <v>8.7374850000000004E-2</v>
      </c>
      <c r="Q2106">
        <v>0.1249166</v>
      </c>
      <c r="R2106">
        <v>-0.98831239999999998</v>
      </c>
      <c r="S2106">
        <v>-0.21211240000000001</v>
      </c>
      <c r="T2106">
        <v>-4.3224690000000003E-2</v>
      </c>
      <c r="U2106">
        <v>-3.0599370000000001</v>
      </c>
      <c r="V2106">
        <v>-7.9703029999999994E-2</v>
      </c>
      <c r="W2106">
        <v>0.1348077</v>
      </c>
      <c r="X2106">
        <v>0.98766100000000001</v>
      </c>
      <c r="Y2106">
        <v>7.6893169999999997E-2</v>
      </c>
      <c r="Z2106">
        <v>4.0698870000000003E-3</v>
      </c>
      <c r="AA2106">
        <v>0.997031</v>
      </c>
      <c r="AB2106">
        <v>20</v>
      </c>
      <c r="AC2106">
        <v>-5.4515999999999796</v>
      </c>
      <c r="AD2106">
        <v>-1.110603121662</v>
      </c>
      <c r="AE2106">
        <v>-78.423499999999905</v>
      </c>
      <c r="AF2106">
        <v>6.0596087768841098</v>
      </c>
      <c r="AG2106">
        <v>-1.110603121662</v>
      </c>
      <c r="AH2106">
        <v>78.363130973892396</v>
      </c>
      <c r="AI2106">
        <v>90.809554838430998</v>
      </c>
      <c r="AJ2106">
        <v>85.578271726200796</v>
      </c>
      <c r="AK2106">
        <v>78.604914565529199</v>
      </c>
      <c r="AL2106">
        <v>82.252499503464804</v>
      </c>
      <c r="AM2106">
        <v>94.613701133521801</v>
      </c>
      <c r="AN2106">
        <v>0.99999996994573503</v>
      </c>
    </row>
    <row r="2107" spans="1:40" x14ac:dyDescent="0.25">
      <c r="A2107" t="str">
        <f>"20190304154759558"</f>
        <v>20190304154759558</v>
      </c>
      <c r="B2107" t="str">
        <f>"1551685679549184"</f>
        <v>1551685679549184</v>
      </c>
      <c r="C2107" t="s">
        <v>40</v>
      </c>
      <c r="D2107">
        <v>4.4636230000000001</v>
      </c>
      <c r="E2107">
        <v>0.55909469999999994</v>
      </c>
      <c r="F2107" t="s">
        <v>44</v>
      </c>
      <c r="G2107">
        <v>-198.5239</v>
      </c>
      <c r="H2107" s="1">
        <v>-5.9431510000000002E-6</v>
      </c>
      <c r="I2107">
        <v>248.82509999999999</v>
      </c>
      <c r="J2107">
        <v>-192.15350000000001</v>
      </c>
      <c r="K2107">
        <v>1.1105929999999999</v>
      </c>
      <c r="L2107">
        <v>336.37950000000001</v>
      </c>
      <c r="M2107">
        <v>7.8165030000000007E-3</v>
      </c>
      <c r="N2107">
        <v>-9.9627259999999999E-3</v>
      </c>
      <c r="O2107">
        <v>-0.99991989999999997</v>
      </c>
      <c r="P2107">
        <v>8.7195789999999995E-2</v>
      </c>
      <c r="Q2107">
        <v>0.12501780000000001</v>
      </c>
      <c r="R2107">
        <v>-0.98831550000000001</v>
      </c>
      <c r="S2107">
        <v>-0.22232060000000001</v>
      </c>
      <c r="T2107">
        <v>-3.8764479999999997E-2</v>
      </c>
      <c r="U2107">
        <v>-3.0600589999999999</v>
      </c>
      <c r="V2107">
        <v>-7.9477820000000005E-2</v>
      </c>
      <c r="W2107">
        <v>0.13485829999999999</v>
      </c>
      <c r="X2107">
        <v>0.98767229999999995</v>
      </c>
      <c r="Y2107">
        <v>8.0246250000000005E-2</v>
      </c>
      <c r="Z2107">
        <v>2.6638439999999998E-3</v>
      </c>
      <c r="AA2107">
        <v>0.99677150000000003</v>
      </c>
      <c r="AB2107">
        <v>20</v>
      </c>
      <c r="AC2107">
        <v>-6.3703999999999796</v>
      </c>
      <c r="AD2107">
        <v>-1.1105989431509999</v>
      </c>
      <c r="AE2107">
        <v>-87.554400000000001</v>
      </c>
      <c r="AF2107">
        <v>7.0534795762046603</v>
      </c>
      <c r="AG2107">
        <v>-1.1105989431509999</v>
      </c>
      <c r="AH2107">
        <v>87.487925529649303</v>
      </c>
      <c r="AI2107">
        <v>90.724939414603895</v>
      </c>
      <c r="AJ2107">
        <v>85.390650905628505</v>
      </c>
      <c r="AK2107">
        <v>87.7788249957012</v>
      </c>
      <c r="AL2107">
        <v>82.249574075887907</v>
      </c>
      <c r="AM2107">
        <v>94.6006682276509</v>
      </c>
      <c r="AN2107">
        <v>1.00000002856906</v>
      </c>
    </row>
    <row r="2108" spans="1:40" x14ac:dyDescent="0.25">
      <c r="A2108" t="str">
        <f>"20190304154759580"</f>
        <v>20190304154759580</v>
      </c>
      <c r="B2108" t="str">
        <f>"1551685679568703"</f>
        <v>1551685679568703</v>
      </c>
      <c r="C2108" t="s">
        <v>40</v>
      </c>
      <c r="D2108">
        <v>4.468388</v>
      </c>
      <c r="E2108">
        <v>0.55939719999999904</v>
      </c>
      <c r="F2108" t="s">
        <v>44</v>
      </c>
      <c r="G2108">
        <v>-198.99440000000001</v>
      </c>
      <c r="H2108" s="1">
        <v>-3.9013579999999997E-6</v>
      </c>
      <c r="I2108">
        <v>243.29079999999999</v>
      </c>
      <c r="J2108">
        <v>-192.15190000000001</v>
      </c>
      <c r="K2108">
        <v>1.110579</v>
      </c>
      <c r="L2108">
        <v>336.19170000000003</v>
      </c>
      <c r="M2108">
        <v>7.8912289999999996E-3</v>
      </c>
      <c r="N2108">
        <v>-9.8871240000000006E-3</v>
      </c>
      <c r="O2108">
        <v>-0.99992009999999998</v>
      </c>
      <c r="P2108">
        <v>8.6355029999999999E-2</v>
      </c>
      <c r="Q2108">
        <v>0.125252</v>
      </c>
      <c r="R2108">
        <v>-0.98835969999999995</v>
      </c>
      <c r="S2108">
        <v>-0.22486880000000001</v>
      </c>
      <c r="T2108">
        <v>-3.6506650000000002E-2</v>
      </c>
      <c r="U2108">
        <v>-3.0599370000000001</v>
      </c>
      <c r="V2108">
        <v>-7.8562880000000002E-2</v>
      </c>
      <c r="W2108">
        <v>0.13501850000000001</v>
      </c>
      <c r="X2108">
        <v>0.98772360000000003</v>
      </c>
      <c r="Y2108">
        <v>8.1149659999999998E-2</v>
      </c>
      <c r="Z2108">
        <v>2.0035470000000001E-3</v>
      </c>
      <c r="AA2108">
        <v>0.99669989999999997</v>
      </c>
      <c r="AB2108">
        <v>20</v>
      </c>
      <c r="AC2108">
        <v>-6.8425000000000002</v>
      </c>
      <c r="AD2108">
        <v>-1.110582901358</v>
      </c>
      <c r="AE2108">
        <v>-92.900899999999993</v>
      </c>
      <c r="AF2108">
        <v>7.5743483467979802</v>
      </c>
      <c r="AG2108">
        <v>-1.110582901358</v>
      </c>
      <c r="AH2108">
        <v>92.830813910358103</v>
      </c>
      <c r="AI2108">
        <v>90.683156217444207</v>
      </c>
      <c r="AJ2108">
        <v>85.335396251418899</v>
      </c>
      <c r="AK2108">
        <v>93.1459293717067</v>
      </c>
      <c r="AL2108">
        <v>82.240310467857995</v>
      </c>
      <c r="AM2108">
        <v>94.547694086990504</v>
      </c>
      <c r="AN2108">
        <v>1.0000000157265501</v>
      </c>
    </row>
    <row r="2109" spans="1:40" x14ac:dyDescent="0.25">
      <c r="A2109" t="str">
        <f>"20190304154759601"</f>
        <v>20190304154759601</v>
      </c>
      <c r="B2109" t="str">
        <f>"1551685679598960"</f>
        <v>1551685679598960</v>
      </c>
      <c r="C2109" t="s">
        <v>40</v>
      </c>
      <c r="D2109">
        <v>4.4886419999999996</v>
      </c>
      <c r="E2109">
        <v>0.55971539999999997</v>
      </c>
      <c r="F2109" t="s">
        <v>44</v>
      </c>
      <c r="G2109">
        <v>-199.5599</v>
      </c>
      <c r="H2109" s="1">
        <v>-5.55863399999999E-6</v>
      </c>
      <c r="I2109">
        <v>237.34520000000001</v>
      </c>
      <c r="J2109">
        <v>-192.15029999999999</v>
      </c>
      <c r="K2109">
        <v>1.1105689999999999</v>
      </c>
      <c r="L2109">
        <v>335.99520000000001</v>
      </c>
      <c r="M2109">
        <v>7.969528E-3</v>
      </c>
      <c r="N2109">
        <v>-9.8172710000000007E-3</v>
      </c>
      <c r="O2109">
        <v>-0.99992009999999998</v>
      </c>
      <c r="P2109">
        <v>8.6005109999999996E-2</v>
      </c>
      <c r="Q2109">
        <v>0.1248937</v>
      </c>
      <c r="R2109">
        <v>-0.98843550000000002</v>
      </c>
      <c r="S2109">
        <v>-0.22930909999999999</v>
      </c>
      <c r="T2109">
        <v>-3.4377339999999999E-2</v>
      </c>
      <c r="U2109">
        <v>-3.059723</v>
      </c>
      <c r="V2109">
        <v>-7.8134609999999993E-2</v>
      </c>
      <c r="W2109">
        <v>0.13459179999999901</v>
      </c>
      <c r="X2109">
        <v>0.98781580000000002</v>
      </c>
      <c r="Y2109">
        <v>8.267149E-2</v>
      </c>
      <c r="Z2109">
        <v>1.379145E-3</v>
      </c>
      <c r="AA2109">
        <v>0.99657589999999996</v>
      </c>
      <c r="AB2109">
        <v>20</v>
      </c>
      <c r="AC2109">
        <v>-7.40960000000001</v>
      </c>
      <c r="AD2109">
        <v>-1.1105745586339999</v>
      </c>
      <c r="AE2109">
        <v>-98.65</v>
      </c>
      <c r="AF2109">
        <v>8.1945637335137995</v>
      </c>
      <c r="AG2109">
        <v>-1.1105745586339999</v>
      </c>
      <c r="AH2109">
        <v>98.575389991156001</v>
      </c>
      <c r="AI2109">
        <v>90.643262372927197</v>
      </c>
      <c r="AJ2109">
        <v>85.247933169773404</v>
      </c>
      <c r="AK2109">
        <v>98.921644560436903</v>
      </c>
      <c r="AL2109">
        <v>82.264983765234007</v>
      </c>
      <c r="AM2109">
        <v>94.5225859639026</v>
      </c>
      <c r="AN2109">
        <v>1.0000000123183601</v>
      </c>
    </row>
    <row r="2110" spans="1:40" x14ac:dyDescent="0.25">
      <c r="A2110" t="str">
        <f>"20190304154759615"</f>
        <v>20190304154759615</v>
      </c>
      <c r="B2110" t="str">
        <f>"1551685679608720"</f>
        <v>1551685679608720</v>
      </c>
      <c r="C2110" t="s">
        <v>40</v>
      </c>
      <c r="D2110">
        <v>4.4618909999999996</v>
      </c>
      <c r="E2110">
        <v>0.55969460000000004</v>
      </c>
      <c r="F2110" t="s">
        <v>44</v>
      </c>
      <c r="G2110">
        <v>-199.62</v>
      </c>
      <c r="H2110" s="1">
        <v>-5.74986599999999E-6</v>
      </c>
      <c r="I2110">
        <v>237.81540000000001</v>
      </c>
      <c r="J2110">
        <v>-192.14930000000001</v>
      </c>
      <c r="K2110">
        <v>1.110565</v>
      </c>
      <c r="L2110">
        <v>335.87299999999999</v>
      </c>
      <c r="M2110">
        <v>8.0184430000000001E-3</v>
      </c>
      <c r="N2110">
        <v>-9.7777369999999999E-3</v>
      </c>
      <c r="O2110">
        <v>-0.99992009999999998</v>
      </c>
      <c r="P2110">
        <v>8.5788139999999999E-2</v>
      </c>
      <c r="Q2110">
        <v>0.1247098</v>
      </c>
      <c r="R2110">
        <v>-0.98847770000000001</v>
      </c>
      <c r="S2110">
        <v>-0.2327881</v>
      </c>
      <c r="T2110">
        <v>-3.4610149999999999E-2</v>
      </c>
      <c r="U2110">
        <v>-3.0596920000000001</v>
      </c>
      <c r="V2110">
        <v>-7.7868969999999996E-2</v>
      </c>
      <c r="W2110">
        <v>0.13436970000000001</v>
      </c>
      <c r="X2110">
        <v>0.98786700000000005</v>
      </c>
      <c r="Y2110">
        <v>8.3847530000000003E-2</v>
      </c>
      <c r="Z2110">
        <v>1.4935409999999999E-3</v>
      </c>
      <c r="AA2110">
        <v>0.99647750000000002</v>
      </c>
      <c r="AB2110">
        <v>20</v>
      </c>
      <c r="AC2110">
        <v>-7.4706999999999901</v>
      </c>
      <c r="AD2110">
        <v>-1.110570749866</v>
      </c>
      <c r="AE2110">
        <v>-98.057599999999994</v>
      </c>
      <c r="AF2110">
        <v>8.2557137689636093</v>
      </c>
      <c r="AG2110">
        <v>-1.110570749866</v>
      </c>
      <c r="AH2110">
        <v>97.982045311537703</v>
      </c>
      <c r="AI2110">
        <v>90.647094557495294</v>
      </c>
      <c r="AJ2110">
        <v>85.183781559727507</v>
      </c>
      <c r="AK2110">
        <v>98.335504171472707</v>
      </c>
      <c r="AL2110">
        <v>82.2778257260739</v>
      </c>
      <c r="AM2110">
        <v>94.507041014154396</v>
      </c>
      <c r="AN2110">
        <v>1.0000000012279699</v>
      </c>
    </row>
    <row r="2111" spans="1:40" x14ac:dyDescent="0.25">
      <c r="A2111" t="str">
        <f>"20190304154759635"</f>
        <v>20190304154759635</v>
      </c>
      <c r="B2111" t="str">
        <f>"1551685679628240"</f>
        <v>1551685679628240</v>
      </c>
      <c r="C2111" t="s">
        <v>40</v>
      </c>
      <c r="D2111">
        <v>4.4766120000000003</v>
      </c>
      <c r="E2111">
        <v>0.55997669999999999</v>
      </c>
      <c r="F2111" t="s">
        <v>44</v>
      </c>
      <c r="G2111">
        <v>-199.4659</v>
      </c>
      <c r="H2111" s="1">
        <v>-2.6088649999999998E-6</v>
      </c>
      <c r="I2111">
        <v>239.7825</v>
      </c>
      <c r="J2111">
        <v>-192.14779999999999</v>
      </c>
      <c r="K2111">
        <v>1.1105590000000001</v>
      </c>
      <c r="L2111">
        <v>335.69450000000001</v>
      </c>
      <c r="M2111">
        <v>8.0900250000000007E-3</v>
      </c>
      <c r="N2111">
        <v>-9.7259930000000005E-3</v>
      </c>
      <c r="O2111">
        <v>-0.99992009999999998</v>
      </c>
      <c r="P2111">
        <v>8.5465810000000003E-2</v>
      </c>
      <c r="Q2111">
        <v>0.123643</v>
      </c>
      <c r="R2111">
        <v>-0.98863970000000001</v>
      </c>
      <c r="S2111">
        <v>-0.23297119999999999</v>
      </c>
      <c r="T2111">
        <v>-3.5362119999999997E-2</v>
      </c>
      <c r="U2111">
        <v>-3.0596619999999999</v>
      </c>
      <c r="V2111">
        <v>-7.7474699999999994E-2</v>
      </c>
      <c r="W2111">
        <v>0.13325310000000001</v>
      </c>
      <c r="X2111">
        <v>0.98804919999999996</v>
      </c>
      <c r="Y2111">
        <v>8.3978810000000001E-2</v>
      </c>
      <c r="Z2111">
        <v>1.7902250000000001E-3</v>
      </c>
      <c r="AA2111">
        <v>0.99646590000000002</v>
      </c>
      <c r="AB2111">
        <v>20</v>
      </c>
      <c r="AC2111">
        <v>-7.31810000000001</v>
      </c>
      <c r="AD2111">
        <v>-1.1105616088650001</v>
      </c>
      <c r="AE2111">
        <v>-95.912000000000006</v>
      </c>
      <c r="AF2111">
        <v>8.0927488428836796</v>
      </c>
      <c r="AG2111">
        <v>-1.1105616088650001</v>
      </c>
      <c r="AH2111">
        <v>95.836879888257798</v>
      </c>
      <c r="AI2111">
        <v>90.661561805084602</v>
      </c>
      <c r="AJ2111">
        <v>85.173226246105898</v>
      </c>
      <c r="AK2111">
        <v>96.184372315035901</v>
      </c>
      <c r="AL2111">
        <v>82.342382527550697</v>
      </c>
      <c r="AM2111">
        <v>94.483490502467205</v>
      </c>
      <c r="AN2111">
        <v>0.99999996971016902</v>
      </c>
    </row>
    <row r="2112" spans="1:40" x14ac:dyDescent="0.25">
      <c r="A2112" t="str">
        <f>"20190304154759648"</f>
        <v>20190304154759648</v>
      </c>
      <c r="B2112" t="str">
        <f>"1551685679638976"</f>
        <v>1551685679638976</v>
      </c>
      <c r="C2112" t="s">
        <v>40</v>
      </c>
      <c r="D2112">
        <v>4.4696379999999998</v>
      </c>
      <c r="E2112">
        <v>0.55993899999999996</v>
      </c>
      <c r="F2112" t="s">
        <v>44</v>
      </c>
      <c r="G2112">
        <v>-199.0882</v>
      </c>
      <c r="H2112" s="1">
        <v>-4.8523250000000002E-6</v>
      </c>
      <c r="I2112">
        <v>245.72380000000001</v>
      </c>
      <c r="J2112">
        <v>-192.14670000000001</v>
      </c>
      <c r="K2112">
        <v>1.1105529999999999</v>
      </c>
      <c r="L2112">
        <v>335.56369999999998</v>
      </c>
      <c r="M2112">
        <v>8.1425349999999994E-3</v>
      </c>
      <c r="N2112">
        <v>-9.6920010000000004E-3</v>
      </c>
      <c r="O2112">
        <v>-0.99991989999999997</v>
      </c>
      <c r="P2112">
        <v>8.5242029999999996E-2</v>
      </c>
      <c r="Q2112">
        <v>0.12386709999999999</v>
      </c>
      <c r="R2112">
        <v>-0.98863100000000004</v>
      </c>
      <c r="S2112">
        <v>-0.23602290000000001</v>
      </c>
      <c r="T2112">
        <v>-3.7766929999999997E-2</v>
      </c>
      <c r="U2112">
        <v>-3.059631</v>
      </c>
      <c r="V2112">
        <v>-7.7198970000000006E-2</v>
      </c>
      <c r="W2112">
        <v>0.13344400000000001</v>
      </c>
      <c r="X2112">
        <v>0.98804499999999995</v>
      </c>
      <c r="Y2112">
        <v>8.5019399999999995E-2</v>
      </c>
      <c r="Z2112">
        <v>2.6065699999999999E-3</v>
      </c>
      <c r="AA2112">
        <v>0.99637589999999998</v>
      </c>
      <c r="AB2112">
        <v>20</v>
      </c>
      <c r="AC2112">
        <v>-6.9414999999999898</v>
      </c>
      <c r="AD2112">
        <v>-1.1105578523249999</v>
      </c>
      <c r="AE2112">
        <v>-89.839899999999901</v>
      </c>
      <c r="AF2112">
        <v>7.6716634071938303</v>
      </c>
      <c r="AG2112">
        <v>-1.1105578523249999</v>
      </c>
      <c r="AH2112">
        <v>89.766761773275803</v>
      </c>
      <c r="AI2112">
        <v>90.706229789917501</v>
      </c>
      <c r="AJ2112">
        <v>85.115246936121395</v>
      </c>
      <c r="AK2112">
        <v>90.100828394841599</v>
      </c>
      <c r="AL2112">
        <v>82.331346063549205</v>
      </c>
      <c r="AM2112">
        <v>94.467617529392101</v>
      </c>
      <c r="AN2112">
        <v>0.99999995206502901</v>
      </c>
    </row>
    <row r="2113" spans="1:40" x14ac:dyDescent="0.25">
      <c r="A2113" t="str">
        <f>"20190304154759670"</f>
        <v>20190304154759670</v>
      </c>
      <c r="B2113" t="str">
        <f>"1551685679658499"</f>
        <v>1551685679658499</v>
      </c>
      <c r="C2113" t="s">
        <v>40</v>
      </c>
      <c r="D2113">
        <v>4.4935549999999997</v>
      </c>
      <c r="E2113">
        <v>0.55982209999999999</v>
      </c>
      <c r="F2113" t="s">
        <v>44</v>
      </c>
      <c r="G2113">
        <v>-199.23259999999999</v>
      </c>
      <c r="H2113" s="1">
        <v>-4.1270880000000004E-6</v>
      </c>
      <c r="I2113">
        <v>243.76859999999999</v>
      </c>
      <c r="J2113">
        <v>-192.14500000000001</v>
      </c>
      <c r="K2113">
        <v>1.1105430000000001</v>
      </c>
      <c r="L2113">
        <v>335.37520000000001</v>
      </c>
      <c r="M2113">
        <v>8.2186459999999996E-3</v>
      </c>
      <c r="N2113">
        <v>-9.6486709999999993E-3</v>
      </c>
      <c r="O2113">
        <v>-0.99991969999999997</v>
      </c>
      <c r="P2113">
        <v>8.4537260000000003E-2</v>
      </c>
      <c r="Q2113">
        <v>0.1238876</v>
      </c>
      <c r="R2113">
        <v>-0.98868889999999998</v>
      </c>
      <c r="S2113">
        <v>-0.23617550000000001</v>
      </c>
      <c r="T2113">
        <v>-3.701496E-2</v>
      </c>
      <c r="U2113">
        <v>-3.0595400000000001</v>
      </c>
      <c r="V2113">
        <v>-7.6418490000000006E-2</v>
      </c>
      <c r="W2113">
        <v>0.13342229999999999</v>
      </c>
      <c r="X2113">
        <v>0.9881086</v>
      </c>
      <c r="Y2113">
        <v>8.5147109999999998E-2</v>
      </c>
      <c r="Z2113">
        <v>2.40523E-3</v>
      </c>
      <c r="AA2113">
        <v>0.99636550000000002</v>
      </c>
      <c r="AB2113">
        <v>20</v>
      </c>
      <c r="AC2113">
        <v>-7.0875999999999797</v>
      </c>
      <c r="AD2113">
        <v>-1.1105471270880001</v>
      </c>
      <c r="AE2113">
        <v>-91.6066</v>
      </c>
      <c r="AF2113">
        <v>7.8391326097094298</v>
      </c>
      <c r="AG2113">
        <v>-1.1105471270880001</v>
      </c>
      <c r="AH2113">
        <v>91.5318804998237</v>
      </c>
      <c r="AI2113">
        <v>90.6925946889031</v>
      </c>
      <c r="AJ2113">
        <v>85.104920041027697</v>
      </c>
      <c r="AK2113">
        <v>91.873665774410597</v>
      </c>
      <c r="AL2113">
        <v>82.332600588811999</v>
      </c>
      <c r="AM2113">
        <v>94.422346580281797</v>
      </c>
      <c r="AN2113">
        <v>0.99999995057256297</v>
      </c>
    </row>
    <row r="2114" spans="1:40" x14ac:dyDescent="0.25">
      <c r="A2114" t="str">
        <f>"20190304154759692"</f>
        <v>20190304154759692</v>
      </c>
      <c r="B2114" t="str">
        <f>"1551685679688752"</f>
        <v>1551685679688752</v>
      </c>
      <c r="C2114" t="s">
        <v>40</v>
      </c>
      <c r="D2114">
        <v>4.5019070000000001</v>
      </c>
      <c r="E2114">
        <v>0.56003950000000002</v>
      </c>
      <c r="F2114" t="s">
        <v>44</v>
      </c>
      <c r="G2114">
        <v>-199.16640000000001</v>
      </c>
      <c r="H2114" s="1">
        <v>-4.5259759999999997E-6</v>
      </c>
      <c r="I2114">
        <v>244.83789999999999</v>
      </c>
      <c r="J2114">
        <v>-192.14330000000001</v>
      </c>
      <c r="K2114">
        <v>1.1105480000000001</v>
      </c>
      <c r="L2114">
        <v>335.1703</v>
      </c>
      <c r="M2114">
        <v>8.3014000000000004E-3</v>
      </c>
      <c r="N2114">
        <v>-9.6081629999999994E-3</v>
      </c>
      <c r="O2114">
        <v>-0.99991940000000001</v>
      </c>
      <c r="P2114">
        <v>8.3748260000000005E-2</v>
      </c>
      <c r="Q2114">
        <v>0.1242221</v>
      </c>
      <c r="R2114">
        <v>-0.98871399999999998</v>
      </c>
      <c r="S2114">
        <v>-0.23725889999999999</v>
      </c>
      <c r="T2114">
        <v>-3.7526249999999997E-2</v>
      </c>
      <c r="U2114">
        <v>-3.059326</v>
      </c>
      <c r="V2114">
        <v>-7.5547550000000005E-2</v>
      </c>
      <c r="W2114">
        <v>0.13371669999999999</v>
      </c>
      <c r="X2114">
        <v>0.98813580000000001</v>
      </c>
      <c r="Y2114">
        <v>8.5585540000000002E-2</v>
      </c>
      <c r="Z2114">
        <v>2.6126790000000001E-3</v>
      </c>
      <c r="AA2114">
        <v>0.99632739999999997</v>
      </c>
      <c r="AB2114">
        <v>20</v>
      </c>
      <c r="AC2114">
        <v>-7.0231000000000003</v>
      </c>
      <c r="AD2114">
        <v>-1.1105525259759901</v>
      </c>
      <c r="AE2114">
        <v>-90.332400000000007</v>
      </c>
      <c r="AF2114">
        <v>7.7716103935216596</v>
      </c>
      <c r="AG2114">
        <v>-1.1105525259759901</v>
      </c>
      <c r="AH2114">
        <v>90.257422947889296</v>
      </c>
      <c r="AI2114">
        <v>90.702349130612205</v>
      </c>
      <c r="AJ2114">
        <v>85.078688434222201</v>
      </c>
      <c r="AK2114">
        <v>90.598198945761794</v>
      </c>
      <c r="AL2114">
        <v>82.315580377163997</v>
      </c>
      <c r="AM2114">
        <v>94.372021849689602</v>
      </c>
      <c r="AN2114">
        <v>0.99999997370576499</v>
      </c>
    </row>
    <row r="2115" spans="1:40" x14ac:dyDescent="0.25">
      <c r="A2115" t="str">
        <f>"20190304154759714"</f>
        <v>20190304154759714</v>
      </c>
      <c r="B2115" t="str">
        <f>"1551685679708272"</f>
        <v>1551685679708272</v>
      </c>
      <c r="C2115" t="s">
        <v>40</v>
      </c>
      <c r="D2115">
        <v>4.4798790000000004</v>
      </c>
      <c r="E2115">
        <v>0.55999739999999998</v>
      </c>
      <c r="F2115" t="s">
        <v>44</v>
      </c>
      <c r="G2115">
        <v>-199.3261</v>
      </c>
      <c r="H2115" s="1">
        <v>-4.2542720000000002E-6</v>
      </c>
      <c r="I2115">
        <v>244.0566</v>
      </c>
      <c r="J2115">
        <v>-192.14160000000001</v>
      </c>
      <c r="K2115">
        <v>1.110544</v>
      </c>
      <c r="L2115">
        <v>334.97669999999999</v>
      </c>
      <c r="M2115">
        <v>8.3800139999999999E-3</v>
      </c>
      <c r="N2115">
        <v>-9.5757859999999993E-3</v>
      </c>
      <c r="O2115">
        <v>-0.99991890000000005</v>
      </c>
      <c r="P2115">
        <v>8.2531480000000004E-2</v>
      </c>
      <c r="Q2115">
        <v>0.1243804</v>
      </c>
      <c r="R2115">
        <v>-0.98879620000000001</v>
      </c>
      <c r="S2115">
        <v>-0.24118039999999999</v>
      </c>
      <c r="T2115">
        <v>-3.7289379999999997E-2</v>
      </c>
      <c r="U2115">
        <v>-3.0593569999999999</v>
      </c>
      <c r="V2115">
        <v>-7.4252330000000005E-2</v>
      </c>
      <c r="W2115">
        <v>0.13384380000000001</v>
      </c>
      <c r="X2115">
        <v>0.98821680000000001</v>
      </c>
      <c r="Y2115">
        <v>8.6932319999999993E-2</v>
      </c>
      <c r="Z2115">
        <v>2.5663869999999998E-3</v>
      </c>
      <c r="AA2115">
        <v>0.99621090000000001</v>
      </c>
      <c r="AB2115">
        <v>20</v>
      </c>
      <c r="AC2115">
        <v>-7.1844999999999803</v>
      </c>
      <c r="AD2115">
        <v>-1.110548254272</v>
      </c>
      <c r="AE2115">
        <v>-90.920100000000005</v>
      </c>
      <c r="AF2115">
        <v>7.9450164540146897</v>
      </c>
      <c r="AG2115">
        <v>-1.110548254272</v>
      </c>
      <c r="AH2115">
        <v>90.843228979581994</v>
      </c>
      <c r="AI2115">
        <v>90.697736425391795</v>
      </c>
      <c r="AJ2115">
        <v>85.001712670476294</v>
      </c>
      <c r="AK2115">
        <v>91.196759017611996</v>
      </c>
      <c r="AL2115">
        <v>82.3082322911863</v>
      </c>
      <c r="AM2115">
        <v>94.296998316400803</v>
      </c>
      <c r="AN2115">
        <v>1.00000000755555</v>
      </c>
    </row>
    <row r="2116" spans="1:40" x14ac:dyDescent="0.25">
      <c r="A2116" t="str">
        <f>"20190304154759736"</f>
        <v>20190304154759736</v>
      </c>
      <c r="B2116" t="str">
        <f>"1551685679728768"</f>
        <v>1551685679728768</v>
      </c>
      <c r="C2116" t="s">
        <v>40</v>
      </c>
      <c r="D2116">
        <v>4.4569299999999998</v>
      </c>
      <c r="E2116">
        <v>0.56009880000000001</v>
      </c>
      <c r="F2116" t="s">
        <v>44</v>
      </c>
      <c r="G2116">
        <v>-199.38149999999999</v>
      </c>
      <c r="H2116" s="1">
        <v>-4.345266E-6</v>
      </c>
      <c r="I2116">
        <v>244.268</v>
      </c>
      <c r="J2116">
        <v>-192.1397</v>
      </c>
      <c r="K2116">
        <v>1.1105400000000001</v>
      </c>
      <c r="L2116">
        <v>334.76900000000001</v>
      </c>
      <c r="M2116">
        <v>8.4646200000000008E-3</v>
      </c>
      <c r="N2116">
        <v>-9.5466570000000001E-3</v>
      </c>
      <c r="O2116">
        <v>-0.99991870000000005</v>
      </c>
      <c r="P2116">
        <v>8.2157960000000002E-2</v>
      </c>
      <c r="Q2116">
        <v>0.1246695</v>
      </c>
      <c r="R2116">
        <v>-0.98879099999999998</v>
      </c>
      <c r="S2116">
        <v>-0.24415590000000001</v>
      </c>
      <c r="T2116">
        <v>-3.7451619999999998E-2</v>
      </c>
      <c r="U2116">
        <v>-3.059021</v>
      </c>
      <c r="V2116">
        <v>-7.3795449999999999E-2</v>
      </c>
      <c r="W2116">
        <v>0.13410420000000001</v>
      </c>
      <c r="X2116">
        <v>0.98821570000000003</v>
      </c>
      <c r="Y2116">
        <v>8.7987949999999995E-2</v>
      </c>
      <c r="Z2116">
        <v>2.648582E-3</v>
      </c>
      <c r="AA2116">
        <v>0.99611799999999995</v>
      </c>
      <c r="AB2116">
        <v>20</v>
      </c>
      <c r="AC2116">
        <v>-7.24179999999998</v>
      </c>
      <c r="AD2116">
        <v>-1.11054434526599</v>
      </c>
      <c r="AE2116">
        <v>-90.501000000000005</v>
      </c>
      <c r="AF2116">
        <v>8.0064340137815897</v>
      </c>
      <c r="AG2116">
        <v>-1.11054434526599</v>
      </c>
      <c r="AH2116">
        <v>90.422926399305993</v>
      </c>
      <c r="AI2116">
        <v>90.700910392019694</v>
      </c>
      <c r="AJ2116">
        <v>84.939981893770096</v>
      </c>
      <c r="AK2116">
        <v>90.783489209074503</v>
      </c>
      <c r="AL2116">
        <v>82.293176585237404</v>
      </c>
      <c r="AM2116">
        <v>94.270661429597098</v>
      </c>
      <c r="AN2116">
        <v>0.99999998731241602</v>
      </c>
    </row>
    <row r="2117" spans="1:40" x14ac:dyDescent="0.25">
      <c r="A2117" t="str">
        <f>"20190304154759759"</f>
        <v>20190304154759759</v>
      </c>
      <c r="B2117" t="str">
        <f>"1551685679748288"</f>
        <v>1551685679748288</v>
      </c>
      <c r="C2117" t="s">
        <v>40</v>
      </c>
      <c r="D2117">
        <v>4.4452179999999997</v>
      </c>
      <c r="E2117">
        <v>0.56018250000000003</v>
      </c>
      <c r="F2117" t="s">
        <v>44</v>
      </c>
      <c r="G2117">
        <v>-199.76679999999999</v>
      </c>
      <c r="H2117" s="1">
        <v>-2.807154E-6</v>
      </c>
      <c r="I2117">
        <v>240.08459999999999</v>
      </c>
      <c r="J2117">
        <v>-192.1379</v>
      </c>
      <c r="K2117">
        <v>1.1105419999999999</v>
      </c>
      <c r="L2117">
        <v>334.56119999999999</v>
      </c>
      <c r="M2117">
        <v>8.5492980000000003E-3</v>
      </c>
      <c r="N2117">
        <v>-9.5222050000000006E-3</v>
      </c>
      <c r="O2117">
        <v>-0.99991850000000004</v>
      </c>
      <c r="P2117">
        <v>8.191524E-2</v>
      </c>
      <c r="Q2117">
        <v>0.12465660000000001</v>
      </c>
      <c r="R2117">
        <v>-0.98881330000000001</v>
      </c>
      <c r="S2117">
        <v>-0.2464142</v>
      </c>
      <c r="T2117">
        <v>-3.5878899999999998E-2</v>
      </c>
      <c r="U2117">
        <v>-3.059021</v>
      </c>
      <c r="V2117">
        <v>-7.3468329999999998E-2</v>
      </c>
      <c r="W2117">
        <v>0.134067299999999</v>
      </c>
      <c r="X2117">
        <v>0.98824509999999999</v>
      </c>
      <c r="Y2117">
        <v>8.8803209999999994E-2</v>
      </c>
      <c r="Z2117">
        <v>2.1599890000000002E-3</v>
      </c>
      <c r="AA2117">
        <v>0.99604680000000001</v>
      </c>
      <c r="AB2117">
        <v>21</v>
      </c>
      <c r="AC2117">
        <v>-7.6288999999999803</v>
      </c>
      <c r="AD2117">
        <v>-1.1105448071539901</v>
      </c>
      <c r="AE2117">
        <v>-94.476600000000005</v>
      </c>
      <c r="AF2117">
        <v>8.4352081184841996</v>
      </c>
      <c r="AG2117">
        <v>-1.1105448071539901</v>
      </c>
      <c r="AH2117">
        <v>94.394963928466794</v>
      </c>
      <c r="AI2117">
        <v>90.671371507093994</v>
      </c>
      <c r="AJ2117">
        <v>84.893567533760603</v>
      </c>
      <c r="AK2117">
        <v>94.777609490994195</v>
      </c>
      <c r="AL2117">
        <v>82.295310218483195</v>
      </c>
      <c r="AM2117">
        <v>94.251674019556503</v>
      </c>
      <c r="AN2117">
        <v>1.0000000070581401</v>
      </c>
    </row>
    <row r="2118" spans="1:40" x14ac:dyDescent="0.25">
      <c r="A2118" t="str">
        <f>"20190304154759780"</f>
        <v>20190304154759780</v>
      </c>
      <c r="B2118" t="str">
        <f>"1551685679768784"</f>
        <v>1551685679768784</v>
      </c>
      <c r="C2118" t="s">
        <v>40</v>
      </c>
      <c r="D2118">
        <v>4.4849319999999997</v>
      </c>
      <c r="E2118">
        <v>0.56015170000000003</v>
      </c>
      <c r="F2118" t="s">
        <v>44</v>
      </c>
      <c r="G2118">
        <v>-199.78790000000001</v>
      </c>
      <c r="H2118" s="1">
        <v>-2.771183E-6</v>
      </c>
      <c r="I2118">
        <v>239.9812</v>
      </c>
      <c r="J2118">
        <v>-192.1361</v>
      </c>
      <c r="K2118">
        <v>1.110541</v>
      </c>
      <c r="L2118">
        <v>334.3648</v>
      </c>
      <c r="M2118">
        <v>8.6294130000000007E-3</v>
      </c>
      <c r="N2118">
        <v>-9.5029759999999998E-3</v>
      </c>
      <c r="O2118">
        <v>-0.99991770000000002</v>
      </c>
      <c r="P2118">
        <v>8.1780619999999998E-2</v>
      </c>
      <c r="Q2118">
        <v>0.1245208</v>
      </c>
      <c r="R2118">
        <v>-0.98884130000000003</v>
      </c>
      <c r="S2118">
        <v>-0.24742130000000001</v>
      </c>
      <c r="T2118">
        <v>-3.5917879999999999E-2</v>
      </c>
      <c r="U2118">
        <v>-3.0589599999999999</v>
      </c>
      <c r="V2118">
        <v>-7.3254509999999995E-2</v>
      </c>
      <c r="W2118">
        <v>0.1339128</v>
      </c>
      <c r="X2118">
        <v>0.98828190000000005</v>
      </c>
      <c r="Y2118">
        <v>8.9210369999999997E-2</v>
      </c>
      <c r="Z2118">
        <v>2.1917270000000001E-3</v>
      </c>
      <c r="AA2118">
        <v>0.99601039999999996</v>
      </c>
      <c r="AB2118">
        <v>21</v>
      </c>
      <c r="AC2118">
        <v>-7.6517999999999997</v>
      </c>
      <c r="AD2118">
        <v>-1.110543771183</v>
      </c>
      <c r="AE2118">
        <v>-94.383600000000001</v>
      </c>
      <c r="AF2118">
        <v>8.4648625683848095</v>
      </c>
      <c r="AG2118">
        <v>-1.110543771183</v>
      </c>
      <c r="AH2118">
        <v>94.301081583202603</v>
      </c>
      <c r="AI2118">
        <v>90.672015122942796</v>
      </c>
      <c r="AJ2118">
        <v>84.870636657877398</v>
      </c>
      <c r="AK2118">
        <v>94.686752999198404</v>
      </c>
      <c r="AL2118">
        <v>82.304242814817101</v>
      </c>
      <c r="AM2118">
        <v>94.239187971798103</v>
      </c>
      <c r="AN2118">
        <v>0.99999998755339503</v>
      </c>
    </row>
    <row r="2119" spans="1:40" x14ac:dyDescent="0.25">
      <c r="A2119" t="str">
        <f>"20190304154759793"</f>
        <v>20190304154759793</v>
      </c>
      <c r="B2119" t="str">
        <f>"1551685679788304"</f>
        <v>1551685679788304</v>
      </c>
      <c r="C2119" t="s">
        <v>40</v>
      </c>
      <c r="D2119">
        <v>4.5123170000000004</v>
      </c>
      <c r="E2119">
        <v>0.56020749999999997</v>
      </c>
      <c r="F2119" t="s">
        <v>44</v>
      </c>
      <c r="G2119">
        <v>-199.72110000000001</v>
      </c>
      <c r="H2119" s="1">
        <v>-3.0090100000000002E-6</v>
      </c>
      <c r="I2119">
        <v>240.63140000000001</v>
      </c>
      <c r="J2119">
        <v>-192.13499999999999</v>
      </c>
      <c r="K2119">
        <v>1.1105449999999999</v>
      </c>
      <c r="L2119">
        <v>334.24189999999999</v>
      </c>
      <c r="M2119">
        <v>8.6794390000000006E-3</v>
      </c>
      <c r="N2119">
        <v>-9.4924640000000008E-3</v>
      </c>
      <c r="O2119">
        <v>-0.99991730000000001</v>
      </c>
      <c r="P2119">
        <v>8.1894869999999995E-2</v>
      </c>
      <c r="Q2119">
        <v>0.1247196</v>
      </c>
      <c r="R2119">
        <v>-0.98880639999999997</v>
      </c>
      <c r="S2119">
        <v>-0.2475281</v>
      </c>
      <c r="T2119">
        <v>-3.6241530000000001E-2</v>
      </c>
      <c r="U2119">
        <v>-3.0588989999999998</v>
      </c>
      <c r="V2119">
        <v>-7.3319549999999997E-2</v>
      </c>
      <c r="W2119">
        <v>0.13410079999999999</v>
      </c>
      <c r="X2119">
        <v>0.98825160000000001</v>
      </c>
      <c r="Y2119">
        <v>8.9296269999999997E-2</v>
      </c>
      <c r="Z2119">
        <v>2.3077869999999999E-3</v>
      </c>
      <c r="AA2119">
        <v>0.99600239999999995</v>
      </c>
      <c r="AB2119">
        <v>21</v>
      </c>
      <c r="AC2119">
        <v>-7.5861000000000098</v>
      </c>
      <c r="AD2119">
        <v>-1.1105480090099999</v>
      </c>
      <c r="AE2119">
        <v>-93.610499999999902</v>
      </c>
      <c r="AF2119">
        <v>8.3971633141228601</v>
      </c>
      <c r="AG2119">
        <v>-1.1105480090099999</v>
      </c>
      <c r="AH2119">
        <v>93.528050098470203</v>
      </c>
      <c r="AI2119">
        <v>90.677570465653105</v>
      </c>
      <c r="AJ2119">
        <v>84.869608835749204</v>
      </c>
      <c r="AK2119">
        <v>93.910818459995994</v>
      </c>
      <c r="AL2119">
        <v>82.293373287667094</v>
      </c>
      <c r="AM2119">
        <v>94.243067666924404</v>
      </c>
      <c r="AN2119">
        <v>1.0000000029377001</v>
      </c>
    </row>
    <row r="2120" spans="1:40" x14ac:dyDescent="0.25">
      <c r="A2120" t="str">
        <f>"20190304154759814"</f>
        <v>20190304154759814</v>
      </c>
      <c r="B2120" t="str">
        <f>"1551685679808800"</f>
        <v>1551685679808800</v>
      </c>
      <c r="C2120" t="s">
        <v>40</v>
      </c>
      <c r="D2120">
        <v>4.5038720000000003</v>
      </c>
      <c r="E2120">
        <v>0.56022640000000001</v>
      </c>
      <c r="F2120" t="s">
        <v>44</v>
      </c>
      <c r="G2120">
        <v>-199.8877</v>
      </c>
      <c r="H2120" s="1">
        <v>-6.086291E-6</v>
      </c>
      <c r="I2120">
        <v>238.56790000000001</v>
      </c>
      <c r="J2120">
        <v>-192.13319999999999</v>
      </c>
      <c r="K2120">
        <v>1.1105449999999999</v>
      </c>
      <c r="L2120">
        <v>334.0455</v>
      </c>
      <c r="M2120">
        <v>8.7592750000000004E-3</v>
      </c>
      <c r="N2120">
        <v>-9.4783990000000002E-3</v>
      </c>
      <c r="O2120">
        <v>-0.99991680000000005</v>
      </c>
      <c r="P2120">
        <v>8.1766080000000005E-2</v>
      </c>
      <c r="Q2120">
        <v>0.124671</v>
      </c>
      <c r="R2120">
        <v>-0.98882340000000002</v>
      </c>
      <c r="S2120">
        <v>-0.24787899999999999</v>
      </c>
      <c r="T2120">
        <v>-3.550768E-2</v>
      </c>
      <c r="U2120">
        <v>-3.0589900000000001</v>
      </c>
      <c r="V2120">
        <v>-7.3111899999999994E-2</v>
      </c>
      <c r="W2120">
        <v>0.1340385</v>
      </c>
      <c r="X2120">
        <v>0.98827540000000003</v>
      </c>
      <c r="Y2120">
        <v>8.9487079999999997E-2</v>
      </c>
      <c r="Z2120">
        <v>2.0823230000000001E-3</v>
      </c>
      <c r="AA2120">
        <v>0.99598580000000003</v>
      </c>
      <c r="AB2120">
        <v>21</v>
      </c>
      <c r="AC2120">
        <v>-7.7545000000000002</v>
      </c>
      <c r="AD2120">
        <v>-1.110551086291</v>
      </c>
      <c r="AE2120">
        <v>-95.477599999999995</v>
      </c>
      <c r="AF2120">
        <v>8.5894000715440804</v>
      </c>
      <c r="AG2120">
        <v>-1.110551086291</v>
      </c>
      <c r="AH2120">
        <v>95.393188583880203</v>
      </c>
      <c r="AI2120">
        <v>90.664310180183605</v>
      </c>
      <c r="AJ2120">
        <v>84.854844440367302</v>
      </c>
      <c r="AK2120">
        <v>95.785549773982297</v>
      </c>
      <c r="AL2120">
        <v>82.296975062198101</v>
      </c>
      <c r="AM2120">
        <v>94.230992953638093</v>
      </c>
      <c r="AN2120">
        <v>0.99999996782450895</v>
      </c>
    </row>
    <row r="2121" spans="1:40" x14ac:dyDescent="0.25">
      <c r="A2121" t="str">
        <f>"20190304154759836"</f>
        <v>20190304154759836</v>
      </c>
      <c r="B2121" t="str">
        <f>"1551685679828320"</f>
        <v>1551685679828320</v>
      </c>
      <c r="C2121" t="s">
        <v>40</v>
      </c>
      <c r="D2121">
        <v>4.5244350000000004</v>
      </c>
      <c r="E2121">
        <v>0.56029149999999905</v>
      </c>
      <c r="F2121" t="s">
        <v>44</v>
      </c>
      <c r="G2121">
        <v>-199.87649999999999</v>
      </c>
      <c r="H2121" s="1">
        <v>-6.1224549999999996E-6</v>
      </c>
      <c r="I2121">
        <v>238.66720000000001</v>
      </c>
      <c r="J2121">
        <v>-192.13130000000001</v>
      </c>
      <c r="K2121">
        <v>1.110538</v>
      </c>
      <c r="L2121">
        <v>333.84429999999998</v>
      </c>
      <c r="M2121">
        <v>8.8405020000000001E-3</v>
      </c>
      <c r="N2121">
        <v>-9.4667399999999995E-3</v>
      </c>
      <c r="O2121">
        <v>-0.99991629999999998</v>
      </c>
      <c r="P2121">
        <v>8.1869880000000006E-2</v>
      </c>
      <c r="Q2121">
        <v>0.12440320000000001</v>
      </c>
      <c r="R2121">
        <v>-0.98884859999999997</v>
      </c>
      <c r="S2121">
        <v>-0.2483368</v>
      </c>
      <c r="T2121">
        <v>-3.5616759999999997E-2</v>
      </c>
      <c r="U2121">
        <v>-3.0588989999999998</v>
      </c>
      <c r="V2121">
        <v>-7.3135399999999906E-2</v>
      </c>
      <c r="W2121">
        <v>0.13375970000000001</v>
      </c>
      <c r="X2121">
        <v>0.98831150000000001</v>
      </c>
      <c r="Y2121">
        <v>8.9718430000000002E-2</v>
      </c>
      <c r="Z2121">
        <v>2.1296129999999998E-3</v>
      </c>
      <c r="AA2121">
        <v>0.99596490000000004</v>
      </c>
      <c r="AB2121">
        <v>21</v>
      </c>
      <c r="AC2121">
        <v>-7.7451999999999801</v>
      </c>
      <c r="AD2121">
        <v>-1.1105441224549999</v>
      </c>
      <c r="AE2121">
        <v>-95.177099999999896</v>
      </c>
      <c r="AF2121">
        <v>8.5851870403141497</v>
      </c>
      <c r="AG2121">
        <v>-1.1105441224549999</v>
      </c>
      <c r="AH2121">
        <v>95.092044539829701</v>
      </c>
      <c r="AI2121">
        <v>90.666395242427598</v>
      </c>
      <c r="AJ2121">
        <v>84.841156218471696</v>
      </c>
      <c r="AK2121">
        <v>95.485264200975294</v>
      </c>
      <c r="AL2121">
        <v>82.313094780724995</v>
      </c>
      <c r="AM2121">
        <v>94.232193927079607</v>
      </c>
      <c r="AN2121">
        <v>1.00000003255474</v>
      </c>
    </row>
    <row r="2122" spans="1:40" x14ac:dyDescent="0.25">
      <c r="A2122" t="str">
        <f>"20190304154759848"</f>
        <v>20190304154759848</v>
      </c>
      <c r="B2122" t="str">
        <f>"1551685679839055"</f>
        <v>1551685679839055</v>
      </c>
      <c r="C2122" t="s">
        <v>40</v>
      </c>
      <c r="D2122">
        <v>4.4944819999999996</v>
      </c>
      <c r="E2122">
        <v>0.56025329999999995</v>
      </c>
      <c r="F2122" t="s">
        <v>44</v>
      </c>
      <c r="G2122">
        <v>-199.76410000000001</v>
      </c>
      <c r="H2122" s="1">
        <v>-2.7538639999999999E-6</v>
      </c>
      <c r="I2122">
        <v>239.94710000000001</v>
      </c>
      <c r="J2122">
        <v>-192.1302</v>
      </c>
      <c r="K2122">
        <v>1.110536</v>
      </c>
      <c r="L2122">
        <v>333.72140000000002</v>
      </c>
      <c r="M2122">
        <v>8.889625E-3</v>
      </c>
      <c r="N2122">
        <v>-9.4607149999999997E-3</v>
      </c>
      <c r="O2122">
        <v>-0.99991580000000002</v>
      </c>
      <c r="P2122">
        <v>8.178705E-2</v>
      </c>
      <c r="Q2122">
        <v>0.12406639999999999</v>
      </c>
      <c r="R2122">
        <v>-0.9888979</v>
      </c>
      <c r="S2122">
        <v>-0.24865719999999999</v>
      </c>
      <c r="T2122">
        <v>-3.6178950000000001E-2</v>
      </c>
      <c r="U2122">
        <v>-3.0589599999999999</v>
      </c>
      <c r="V2122">
        <v>-7.3003059999999995E-2</v>
      </c>
      <c r="W2122">
        <v>0.13341749999999999</v>
      </c>
      <c r="X2122">
        <v>0.98836749999999995</v>
      </c>
      <c r="Y2122">
        <v>8.9869279999999996E-2</v>
      </c>
      <c r="Z2122">
        <v>2.318325E-3</v>
      </c>
      <c r="AA2122">
        <v>0.99595089999999997</v>
      </c>
      <c r="AB2122">
        <v>21</v>
      </c>
      <c r="AC2122">
        <v>-7.6339000000000103</v>
      </c>
      <c r="AD2122">
        <v>-1.1105387538639999</v>
      </c>
      <c r="AE2122">
        <v>-93.774299999999997</v>
      </c>
      <c r="AF2122">
        <v>8.4660744027722696</v>
      </c>
      <c r="AG2122">
        <v>-1.1105387538639999</v>
      </c>
      <c r="AH2122">
        <v>93.689675400509401</v>
      </c>
      <c r="AI2122">
        <v>90.676360965533704</v>
      </c>
      <c r="AJ2122">
        <v>84.836608335887306</v>
      </c>
      <c r="AK2122">
        <v>94.077962290697698</v>
      </c>
      <c r="AL2122">
        <v>82.332878436578596</v>
      </c>
      <c r="AM2122">
        <v>94.224324943104705</v>
      </c>
      <c r="AN2122">
        <v>0.999999995565931</v>
      </c>
    </row>
    <row r="2123" spans="1:40" x14ac:dyDescent="0.25">
      <c r="A2123" t="str">
        <f>"20190304154759870"</f>
        <v>20190304154759870</v>
      </c>
      <c r="B2123" t="str">
        <f>"1551685679858579"</f>
        <v>1551685679858579</v>
      </c>
      <c r="C2123" t="s">
        <v>40</v>
      </c>
      <c r="D2123">
        <v>4.4623520000000001</v>
      </c>
      <c r="E2123">
        <v>0.56026759999999998</v>
      </c>
      <c r="F2123" t="s">
        <v>44</v>
      </c>
      <c r="G2123">
        <v>-199.51159999999999</v>
      </c>
      <c r="H2123" s="1">
        <v>-3.8619670000000002E-6</v>
      </c>
      <c r="I2123">
        <v>242.94929999999999</v>
      </c>
      <c r="J2123">
        <v>-192.1284</v>
      </c>
      <c r="K2123">
        <v>1.1105290000000001</v>
      </c>
      <c r="L2123">
        <v>333.52749999999997</v>
      </c>
      <c r="M2123">
        <v>8.9655310000000005E-3</v>
      </c>
      <c r="N2123">
        <v>-9.4528000000000008E-3</v>
      </c>
      <c r="O2123">
        <v>-0.99991509999999995</v>
      </c>
      <c r="P2123">
        <v>8.1769969999999997E-2</v>
      </c>
      <c r="Q2123">
        <v>0.1237014</v>
      </c>
      <c r="R2123">
        <v>-0.98894459999999995</v>
      </c>
      <c r="S2123">
        <v>-0.24874879999999999</v>
      </c>
      <c r="T2123">
        <v>-3.7424449999999998E-2</v>
      </c>
      <c r="U2123">
        <v>-3.0589599999999999</v>
      </c>
      <c r="V2123">
        <v>-7.2910139999999998E-2</v>
      </c>
      <c r="W2123">
        <v>0.1330452</v>
      </c>
      <c r="X2123">
        <v>0.98842450000000004</v>
      </c>
      <c r="Y2123">
        <v>8.9974250000000006E-2</v>
      </c>
      <c r="Z2123">
        <v>2.731715E-3</v>
      </c>
      <c r="AA2123">
        <v>0.9959403</v>
      </c>
      <c r="AB2123">
        <v>21</v>
      </c>
      <c r="AC2123">
        <v>-7.38319999999998</v>
      </c>
      <c r="AD2123">
        <v>-1.1105328619670001</v>
      </c>
      <c r="AE2123">
        <v>-90.578199999999896</v>
      </c>
      <c r="AF2123">
        <v>8.1937976429459898</v>
      </c>
      <c r="AG2123">
        <v>-1.1105328619670001</v>
      </c>
      <c r="AH2123">
        <v>90.494848602394697</v>
      </c>
      <c r="AI2123">
        <v>90.700221740198998</v>
      </c>
      <c r="AJ2123">
        <v>84.826298341826501</v>
      </c>
      <c r="AK2123">
        <v>90.871828564310206</v>
      </c>
      <c r="AL2123">
        <v>82.354401207149294</v>
      </c>
      <c r="AM2123">
        <v>94.218725131613795</v>
      </c>
      <c r="AN2123">
        <v>0.99999995297905298</v>
      </c>
    </row>
    <row r="2124" spans="1:40" x14ac:dyDescent="0.25">
      <c r="A2124" t="str">
        <f>"20190304154759893"</f>
        <v>20190304154759893</v>
      </c>
      <c r="B2124" t="str">
        <f>"1551685679888832"</f>
        <v>1551685679888832</v>
      </c>
      <c r="C2124" t="s">
        <v>40</v>
      </c>
      <c r="D2124">
        <v>4.5249220000000001</v>
      </c>
      <c r="E2124">
        <v>0.56028929999999999</v>
      </c>
      <c r="F2124" t="s">
        <v>44</v>
      </c>
      <c r="G2124">
        <v>-199.3527</v>
      </c>
      <c r="H2124" s="1">
        <v>-4.53388699999999E-6</v>
      </c>
      <c r="I2124">
        <v>244.7724</v>
      </c>
      <c r="J2124">
        <v>-192.12639999999999</v>
      </c>
      <c r="K2124">
        <v>1.1105290000000001</v>
      </c>
      <c r="L2124">
        <v>333.31569999999999</v>
      </c>
      <c r="M2124">
        <v>9.0470489999999997E-3</v>
      </c>
      <c r="N2124">
        <v>-9.4464140000000002E-3</v>
      </c>
      <c r="O2124">
        <v>-0.99991459999999999</v>
      </c>
      <c r="P2124">
        <v>8.1172499999999995E-2</v>
      </c>
      <c r="Q2124">
        <v>0.1239276</v>
      </c>
      <c r="R2124">
        <v>-0.98896609999999996</v>
      </c>
      <c r="S2124">
        <v>-0.2489777</v>
      </c>
      <c r="T2124">
        <v>-3.8273219999999997E-2</v>
      </c>
      <c r="U2124">
        <v>-3.0588380000000002</v>
      </c>
      <c r="V2124">
        <v>-7.2231630000000005E-2</v>
      </c>
      <c r="W2124">
        <v>0.13326540000000001</v>
      </c>
      <c r="X2124">
        <v>0.98844469999999995</v>
      </c>
      <c r="Y2124">
        <v>9.0132480000000001E-2</v>
      </c>
      <c r="Z2124">
        <v>3.0148179999999998E-3</v>
      </c>
      <c r="AA2124">
        <v>0.99592519999999995</v>
      </c>
      <c r="AB2124">
        <v>21</v>
      </c>
      <c r="AC2124">
        <v>-7.2263000000000002</v>
      </c>
      <c r="AD2124">
        <v>-1.1105335338869999</v>
      </c>
      <c r="AE2124">
        <v>-88.543299999999903</v>
      </c>
      <c r="AF2124">
        <v>8.0258412564479098</v>
      </c>
      <c r="AG2124">
        <v>-1.1105335338869999</v>
      </c>
      <c r="AH2124">
        <v>88.460472909052797</v>
      </c>
      <c r="AI2124">
        <v>90.716312086850195</v>
      </c>
      <c r="AJ2124">
        <v>84.815862298142605</v>
      </c>
      <c r="AK2124">
        <v>88.830753007597806</v>
      </c>
      <c r="AL2124">
        <v>82.341671681476598</v>
      </c>
      <c r="AM2124">
        <v>94.179519866474095</v>
      </c>
      <c r="AN2124">
        <v>1.00000000008385</v>
      </c>
    </row>
    <row r="2125" spans="1:40" x14ac:dyDescent="0.25">
      <c r="A2125" t="str">
        <f>"20190304154759915"</f>
        <v>20190304154759915</v>
      </c>
      <c r="B2125" t="str">
        <f>"1551685679908352"</f>
        <v>1551685679908352</v>
      </c>
      <c r="C2125" t="s">
        <v>40</v>
      </c>
      <c r="D2125">
        <v>4.5396219999999996</v>
      </c>
      <c r="E2125">
        <v>0.56032190000000004</v>
      </c>
      <c r="F2125" t="s">
        <v>44</v>
      </c>
      <c r="G2125">
        <v>-199.65049999999999</v>
      </c>
      <c r="H2125" s="1">
        <v>-3.402714E-6</v>
      </c>
      <c r="I2125">
        <v>241.6892</v>
      </c>
      <c r="J2125">
        <v>-192.12450000000001</v>
      </c>
      <c r="K2125">
        <v>1.1105259999999999</v>
      </c>
      <c r="L2125">
        <v>333.11559999999997</v>
      </c>
      <c r="M2125">
        <v>9.1229429999999997E-3</v>
      </c>
      <c r="N2125">
        <v>-9.4421139999999997E-3</v>
      </c>
      <c r="O2125">
        <v>-0.99991390000000002</v>
      </c>
      <c r="P2125">
        <v>8.0320340000000004E-2</v>
      </c>
      <c r="Q2125">
        <v>0.1236222</v>
      </c>
      <c r="R2125">
        <v>-0.98907350000000005</v>
      </c>
      <c r="S2125">
        <v>-0.25117489999999998</v>
      </c>
      <c r="T2125">
        <v>-3.707266E-2</v>
      </c>
      <c r="U2125">
        <v>-3.0587460000000002</v>
      </c>
      <c r="V2125">
        <v>-7.1303229999999995E-2</v>
      </c>
      <c r="W2125">
        <v>0.1329572</v>
      </c>
      <c r="X2125">
        <v>0.98855360000000003</v>
      </c>
      <c r="Y2125">
        <v>9.092132E-2</v>
      </c>
      <c r="Z2125">
        <v>2.62766E-3</v>
      </c>
      <c r="AA2125">
        <v>0.99585460000000003</v>
      </c>
      <c r="AB2125">
        <v>21</v>
      </c>
      <c r="AC2125">
        <v>-7.5259999999999803</v>
      </c>
      <c r="AD2125">
        <v>-1.110529402714</v>
      </c>
      <c r="AE2125">
        <v>-91.426399999999902</v>
      </c>
      <c r="AF2125">
        <v>8.3585767742003405</v>
      </c>
      <c r="AG2125">
        <v>-1.110529402714</v>
      </c>
      <c r="AH2125">
        <v>91.3405467372652</v>
      </c>
      <c r="AI2125">
        <v>90.693676574721806</v>
      </c>
      <c r="AJ2125">
        <v>84.771423521888195</v>
      </c>
      <c r="AK2125">
        <v>91.728918883343596</v>
      </c>
      <c r="AL2125">
        <v>82.359488745708902</v>
      </c>
      <c r="AM2125">
        <v>94.125533873789095</v>
      </c>
      <c r="AN2125">
        <v>0.99999999385661598</v>
      </c>
    </row>
    <row r="2126" spans="1:40" x14ac:dyDescent="0.25">
      <c r="A2126" t="str">
        <f>"20190304154759938"</f>
        <v>20190304154759938</v>
      </c>
      <c r="B2126" t="str">
        <f>"1551685679928848"</f>
        <v>1551685679928848</v>
      </c>
      <c r="C2126" t="s">
        <v>40</v>
      </c>
      <c r="D2126">
        <v>4.4974530000000001</v>
      </c>
      <c r="E2126">
        <v>0.56033509999999997</v>
      </c>
      <c r="F2126" t="s">
        <v>44</v>
      </c>
      <c r="G2126">
        <v>-199.52170000000001</v>
      </c>
      <c r="H2126" s="1">
        <v>-4.2909300000000003E-6</v>
      </c>
      <c r="I2126">
        <v>244.0617</v>
      </c>
      <c r="J2126">
        <v>-192.1224</v>
      </c>
      <c r="K2126">
        <v>1.110528</v>
      </c>
      <c r="L2126">
        <v>332.89760000000001</v>
      </c>
      <c r="M2126">
        <v>9.2045240000000004E-3</v>
      </c>
      <c r="N2126">
        <v>-9.439055E-3</v>
      </c>
      <c r="O2126">
        <v>-0.99991319999999995</v>
      </c>
      <c r="P2126">
        <v>7.9336870000000004E-2</v>
      </c>
      <c r="Q2126">
        <v>0.12366190000000001</v>
      </c>
      <c r="R2126">
        <v>-0.98914809999999997</v>
      </c>
      <c r="S2126">
        <v>-0.25405879999999997</v>
      </c>
      <c r="T2126">
        <v>-3.8141250000000002E-2</v>
      </c>
      <c r="U2126">
        <v>-3.0585629999999999</v>
      </c>
      <c r="V2126">
        <v>-7.023799E-2</v>
      </c>
      <c r="W2126">
        <v>0.13299459999999999</v>
      </c>
      <c r="X2126">
        <v>0.98862479999999997</v>
      </c>
      <c r="Y2126">
        <v>9.1939670000000001E-2</v>
      </c>
      <c r="Z2126">
        <v>2.9782839999999999E-3</v>
      </c>
      <c r="AA2126">
        <v>0.99576010000000004</v>
      </c>
      <c r="AB2126">
        <v>21</v>
      </c>
      <c r="AC2126">
        <v>-7.39930000000001</v>
      </c>
      <c r="AD2126">
        <v>-1.1105322909299999</v>
      </c>
      <c r="AE2126">
        <v>-88.835899999999995</v>
      </c>
      <c r="AF2126">
        <v>8.2154400186993701</v>
      </c>
      <c r="AG2126">
        <v>-1.1105322909299999</v>
      </c>
      <c r="AH2126">
        <v>88.750252533422795</v>
      </c>
      <c r="AI2126">
        <v>90.713853311381698</v>
      </c>
      <c r="AJ2126">
        <v>84.711311620227207</v>
      </c>
      <c r="AK2126">
        <v>89.136603376033804</v>
      </c>
      <c r="AL2126">
        <v>82.357326476532506</v>
      </c>
      <c r="AM2126">
        <v>94.063816518926501</v>
      </c>
      <c r="AN2126">
        <v>0.99999996702171901</v>
      </c>
    </row>
    <row r="2127" spans="1:40" x14ac:dyDescent="0.25">
      <c r="A2127" t="str">
        <f>"20190304154759951"</f>
        <v>20190304154759951</v>
      </c>
      <c r="B2127" t="str">
        <f>"1551685679948368"</f>
        <v>1551685679948368</v>
      </c>
      <c r="C2127" t="s">
        <v>40</v>
      </c>
      <c r="D2127">
        <v>4.5423249999999999</v>
      </c>
      <c r="E2127">
        <v>0.56038699999999997</v>
      </c>
      <c r="F2127" t="s">
        <v>44</v>
      </c>
      <c r="G2127">
        <v>-199.61150000000001</v>
      </c>
      <c r="H2127" s="1">
        <v>-4.224854E-6</v>
      </c>
      <c r="I2127">
        <v>243.84819999999999</v>
      </c>
      <c r="J2127">
        <v>-192.12119999999999</v>
      </c>
      <c r="K2127">
        <v>1.1105240000000001</v>
      </c>
      <c r="L2127">
        <v>332.77330000000001</v>
      </c>
      <c r="M2127">
        <v>9.2508039999999996E-3</v>
      </c>
      <c r="N2127">
        <v>-9.4378380000000005E-3</v>
      </c>
      <c r="O2127">
        <v>-0.99991300000000005</v>
      </c>
      <c r="P2127">
        <v>7.9029329999999995E-2</v>
      </c>
      <c r="Q2127">
        <v>0.12394620000000001</v>
      </c>
      <c r="R2127">
        <v>-0.98913709999999999</v>
      </c>
      <c r="S2127">
        <v>-0.25720209999999999</v>
      </c>
      <c r="T2127">
        <v>-3.8139819999999998E-2</v>
      </c>
      <c r="U2127">
        <v>-3.0582889999999998</v>
      </c>
      <c r="V2127">
        <v>-6.9884559999999998E-2</v>
      </c>
      <c r="W2127">
        <v>0.1332777</v>
      </c>
      <c r="X2127">
        <v>0.98861180000000004</v>
      </c>
      <c r="Y2127">
        <v>9.3009309999999998E-2</v>
      </c>
      <c r="Z2127">
        <v>2.978929E-3</v>
      </c>
      <c r="AA2127">
        <v>0.99566080000000001</v>
      </c>
      <c r="AB2127">
        <v>21</v>
      </c>
      <c r="AC2127">
        <v>-7.4903000000000102</v>
      </c>
      <c r="AD2127">
        <v>-1.110528224854</v>
      </c>
      <c r="AE2127">
        <v>-88.9251</v>
      </c>
      <c r="AF2127">
        <v>8.3113574050860493</v>
      </c>
      <c r="AG2127">
        <v>-1.110528224854</v>
      </c>
      <c r="AH2127">
        <v>88.838242717566402</v>
      </c>
      <c r="AI2127">
        <v>90.713078737178193</v>
      </c>
      <c r="AJ2127">
        <v>84.655189366257702</v>
      </c>
      <c r="AK2127">
        <v>89.233095340229696</v>
      </c>
      <c r="AL2127">
        <v>82.340960939154897</v>
      </c>
      <c r="AM2127">
        <v>94.043488822537498</v>
      </c>
      <c r="AN2127">
        <v>1.00000004407146</v>
      </c>
    </row>
    <row r="2128" spans="1:40" x14ac:dyDescent="0.25">
      <c r="A2128" t="str">
        <f>"20190304154759970"</f>
        <v>20190304154759970</v>
      </c>
      <c r="B2128" t="str">
        <f>"1551685679959104"</f>
        <v>1551685679959104</v>
      </c>
      <c r="C2128" t="s">
        <v>40</v>
      </c>
      <c r="D2128">
        <v>4.5535249999999996</v>
      </c>
      <c r="E2128">
        <v>0.5603842</v>
      </c>
      <c r="F2128" t="s">
        <v>44</v>
      </c>
      <c r="G2128">
        <v>-199.78829999999999</v>
      </c>
      <c r="H2128" s="1">
        <v>-3.5839250000000002E-6</v>
      </c>
      <c r="I2128">
        <v>242.0975</v>
      </c>
      <c r="J2128">
        <v>-192.11949999999999</v>
      </c>
      <c r="K2128">
        <v>1.11053</v>
      </c>
      <c r="L2128">
        <v>332.59320000000002</v>
      </c>
      <c r="M2128">
        <v>9.3171799999999996E-3</v>
      </c>
      <c r="N2128">
        <v>-9.4369759999999997E-3</v>
      </c>
      <c r="O2128">
        <v>-0.99991229999999998</v>
      </c>
      <c r="P2128">
        <v>7.8295539999999997E-2</v>
      </c>
      <c r="Q2128">
        <v>0.1242384</v>
      </c>
      <c r="R2128">
        <v>-0.98915889999999995</v>
      </c>
      <c r="S2128">
        <v>-0.25859070000000001</v>
      </c>
      <c r="T2128">
        <v>-3.7455200000000001E-2</v>
      </c>
      <c r="U2128">
        <v>-3.0582579999999999</v>
      </c>
      <c r="V2128">
        <v>-6.9085140000000003E-2</v>
      </c>
      <c r="W2128">
        <v>0.13356870000000001</v>
      </c>
      <c r="X2128">
        <v>0.98862870000000003</v>
      </c>
      <c r="Y2128">
        <v>9.3525220000000006E-2</v>
      </c>
      <c r="Z2128">
        <v>2.7563980000000002E-3</v>
      </c>
      <c r="AA2128">
        <v>0.99561310000000003</v>
      </c>
      <c r="AB2128">
        <v>21</v>
      </c>
      <c r="AC2128">
        <v>-7.6688000000000001</v>
      </c>
      <c r="AD2128">
        <v>-1.1105335839249999</v>
      </c>
      <c r="AE2128">
        <v>-90.495699999999999</v>
      </c>
      <c r="AF2128">
        <v>8.5103966967834399</v>
      </c>
      <c r="AG2128">
        <v>-1.1105335839249999</v>
      </c>
      <c r="AH2128">
        <v>90.406799210037605</v>
      </c>
      <c r="AI2128">
        <v>90.700673760352203</v>
      </c>
      <c r="AJ2128">
        <v>84.622338795876601</v>
      </c>
      <c r="AK2128">
        <v>90.813267093424798</v>
      </c>
      <c r="AL2128">
        <v>82.324137345674004</v>
      </c>
      <c r="AM2128">
        <v>93.997317445735007</v>
      </c>
      <c r="AN2128">
        <v>1.0000000303260901</v>
      </c>
    </row>
    <row r="2129" spans="1:40" x14ac:dyDescent="0.25">
      <c r="A2129" t="str">
        <f>"20190304154759985"</f>
        <v>20190304154759985</v>
      </c>
      <c r="B2129" t="str">
        <f>"1551685679978624"</f>
        <v>1551685679978624</v>
      </c>
      <c r="C2129" t="s">
        <v>40</v>
      </c>
      <c r="D2129">
        <v>4.5109450000000004</v>
      </c>
      <c r="E2129">
        <v>0.56037789999999998</v>
      </c>
      <c r="F2129" t="s">
        <v>44</v>
      </c>
      <c r="G2129">
        <v>-199.95779999999999</v>
      </c>
      <c r="H2129">
        <v>1.2692459999999999E-2</v>
      </c>
      <c r="I2129">
        <v>240.83250000000001</v>
      </c>
      <c r="J2129">
        <v>-192.1182</v>
      </c>
      <c r="K2129">
        <v>1.1105309999999999</v>
      </c>
      <c r="L2129">
        <v>332.45589999999999</v>
      </c>
      <c r="M2129">
        <v>9.36735E-3</v>
      </c>
      <c r="N2129">
        <v>-9.4368809999999994E-3</v>
      </c>
      <c r="O2129">
        <v>-0.99991149999999995</v>
      </c>
      <c r="P2129">
        <v>7.8119289999999994E-2</v>
      </c>
      <c r="Q2129">
        <v>0.1243591</v>
      </c>
      <c r="R2129">
        <v>-0.98915719999999996</v>
      </c>
      <c r="S2129">
        <v>-0.26123049999999998</v>
      </c>
      <c r="T2129">
        <v>-3.6588309999999999E-2</v>
      </c>
      <c r="U2129">
        <v>-3.0581670000000001</v>
      </c>
      <c r="V2129">
        <v>-6.8859119999999996E-2</v>
      </c>
      <c r="W2129">
        <v>0.13368969999999999</v>
      </c>
      <c r="X2129">
        <v>0.98862810000000001</v>
      </c>
      <c r="Y2129">
        <v>9.443095E-2</v>
      </c>
      <c r="Z2129">
        <v>2.4735600000000001E-3</v>
      </c>
      <c r="AA2129">
        <v>0.99552830000000003</v>
      </c>
      <c r="AB2129">
        <v>21</v>
      </c>
      <c r="AC2129">
        <v>-7.8395999999999901</v>
      </c>
      <c r="AD2129">
        <v>-1.0978385399999999</v>
      </c>
      <c r="AE2129">
        <v>-91.623399999999904</v>
      </c>
      <c r="AF2129">
        <v>8.6963233084775897</v>
      </c>
      <c r="AG2129">
        <v>-1.0978385399999999</v>
      </c>
      <c r="AH2129">
        <v>91.532894267347203</v>
      </c>
      <c r="AI2129">
        <v>90.684088039704207</v>
      </c>
      <c r="AJ2129">
        <v>84.572754271697704</v>
      </c>
      <c r="AK2129">
        <v>91.9516287050036</v>
      </c>
      <c r="AL2129">
        <v>82.317141715019503</v>
      </c>
      <c r="AM2129">
        <v>93.984284358576502</v>
      </c>
      <c r="AN2129">
        <v>1.0000000172014301</v>
      </c>
    </row>
    <row r="2130" spans="1:40" x14ac:dyDescent="0.25">
      <c r="A2130" t="str">
        <f>"20190304154759999"</f>
        <v>20190304154759999</v>
      </c>
      <c r="B2130" t="str">
        <f>"1551685679988384"</f>
        <v>1551685679988384</v>
      </c>
      <c r="C2130" t="s">
        <v>40</v>
      </c>
      <c r="D2130">
        <v>4.5468310000000001</v>
      </c>
      <c r="E2130">
        <v>0.56038699999999997</v>
      </c>
      <c r="F2130" t="s">
        <v>44</v>
      </c>
      <c r="G2130">
        <v>-199.95779999999999</v>
      </c>
      <c r="H2130">
        <v>2.8134889999999999E-2</v>
      </c>
      <c r="I2130">
        <v>240.8792</v>
      </c>
      <c r="J2130">
        <v>-192.11689999999999</v>
      </c>
      <c r="K2130">
        <v>1.110527</v>
      </c>
      <c r="L2130">
        <v>332.32659999999998</v>
      </c>
      <c r="M2130">
        <v>9.4145989999999992E-3</v>
      </c>
      <c r="N2130">
        <v>-9.4371049999999995E-3</v>
      </c>
      <c r="O2130">
        <v>-0.99991110000000005</v>
      </c>
      <c r="P2130">
        <v>7.7860949999999998E-2</v>
      </c>
      <c r="Q2130">
        <v>0.1244355</v>
      </c>
      <c r="R2130">
        <v>-0.98916820000000005</v>
      </c>
      <c r="S2130">
        <v>-0.261795</v>
      </c>
      <c r="T2130">
        <v>-3.6145450000000003E-2</v>
      </c>
      <c r="U2130">
        <v>-3.0581049999999999</v>
      </c>
      <c r="V2130">
        <v>-6.8553890000000006E-2</v>
      </c>
      <c r="W2130">
        <v>0.13376629999999901</v>
      </c>
      <c r="X2130">
        <v>0.98863889999999999</v>
      </c>
      <c r="Y2130">
        <v>9.4662209999999997E-2</v>
      </c>
      <c r="Z2130">
        <v>2.3291169999999999E-3</v>
      </c>
      <c r="AA2130">
        <v>0.99550669999999997</v>
      </c>
      <c r="AB2130">
        <v>21</v>
      </c>
      <c r="AC2130">
        <v>-7.8409000000000004</v>
      </c>
      <c r="AD2130">
        <v>-1.08239211</v>
      </c>
      <c r="AE2130">
        <v>-91.447400000000002</v>
      </c>
      <c r="AF2130">
        <v>8.7003214693619295</v>
      </c>
      <c r="AG2130">
        <v>-1.08239211</v>
      </c>
      <c r="AH2130">
        <v>91.356819281621299</v>
      </c>
      <c r="AI2130">
        <v>90.675749259862101</v>
      </c>
      <c r="AJ2130">
        <v>84.5598718213501</v>
      </c>
      <c r="AK2130">
        <v>91.776552537153194</v>
      </c>
      <c r="AL2130">
        <v>82.312712690317795</v>
      </c>
      <c r="AM2130">
        <v>93.966636636447205</v>
      </c>
      <c r="AN2130">
        <v>0.99999996672151503</v>
      </c>
    </row>
    <row r="2131" spans="1:40" x14ac:dyDescent="0.25">
      <c r="A2131" t="str">
        <f>"20190304154800016"</f>
        <v>20190304154800016</v>
      </c>
      <c r="B2131" t="str">
        <f>"1551685680008369"</f>
        <v>1551685680008369</v>
      </c>
      <c r="C2131" t="s">
        <v>40</v>
      </c>
      <c r="D2131">
        <v>4.558897</v>
      </c>
      <c r="E2131">
        <v>0.56039879999999997</v>
      </c>
      <c r="F2131" t="s">
        <v>44</v>
      </c>
      <c r="G2131">
        <v>-199.95779999999999</v>
      </c>
      <c r="H2131">
        <v>4.4623379999999997E-2</v>
      </c>
      <c r="I2131">
        <v>241.07470000000001</v>
      </c>
      <c r="J2131">
        <v>-192.11529999999999</v>
      </c>
      <c r="K2131">
        <v>1.110525</v>
      </c>
      <c r="L2131">
        <v>332.16919999999999</v>
      </c>
      <c r="M2131">
        <v>9.4720489999999997E-3</v>
      </c>
      <c r="N2131">
        <v>-9.4377939999999994E-3</v>
      </c>
      <c r="O2131">
        <v>-0.99991059999999998</v>
      </c>
      <c r="P2131">
        <v>7.7435509999999999E-2</v>
      </c>
      <c r="Q2131">
        <v>0.1243741</v>
      </c>
      <c r="R2131">
        <v>-0.98920909999999995</v>
      </c>
      <c r="S2131">
        <v>-0.2627563</v>
      </c>
      <c r="T2131">
        <v>-3.5719630000000002E-2</v>
      </c>
      <c r="U2131">
        <v>-3.0579529999999999</v>
      </c>
      <c r="V2131">
        <v>-6.8071240000000005E-2</v>
      </c>
      <c r="W2131">
        <v>0.1337063</v>
      </c>
      <c r="X2131">
        <v>0.98868040000000001</v>
      </c>
      <c r="Y2131">
        <v>9.503433E-2</v>
      </c>
      <c r="Z2131">
        <v>2.1899519999999998E-3</v>
      </c>
      <c r="AA2131">
        <v>0.99547160000000001</v>
      </c>
      <c r="AB2131">
        <v>21</v>
      </c>
      <c r="AC2131">
        <v>-7.8425000000000002</v>
      </c>
      <c r="AD2131">
        <v>-1.06590162</v>
      </c>
      <c r="AE2131">
        <v>-91.094499999999897</v>
      </c>
      <c r="AF2131">
        <v>8.7038552278767405</v>
      </c>
      <c r="AG2131">
        <v>-1.06590162</v>
      </c>
      <c r="AH2131">
        <v>91.003757127346205</v>
      </c>
      <c r="AI2131">
        <v>90.668010699532701</v>
      </c>
      <c r="AJ2131">
        <v>84.536688726107997</v>
      </c>
      <c r="AK2131">
        <v>91.425253914793004</v>
      </c>
      <c r="AL2131">
        <v>82.316181862463793</v>
      </c>
      <c r="AM2131">
        <v>93.938633144807</v>
      </c>
      <c r="AN2131">
        <v>1.00000000085949</v>
      </c>
    </row>
    <row r="2132" spans="1:40" x14ac:dyDescent="0.25">
      <c r="A2132" t="str">
        <f>"20190304154800039"</f>
        <v>20190304154800039</v>
      </c>
      <c r="B2132" t="str">
        <f>"1551685680028865"</f>
        <v>1551685680028865</v>
      </c>
      <c r="C2132" t="s">
        <v>40</v>
      </c>
      <c r="D2132">
        <v>4.6217249999999996</v>
      </c>
      <c r="E2132">
        <v>0.56037969999999904</v>
      </c>
      <c r="F2132" t="s">
        <v>44</v>
      </c>
      <c r="G2132">
        <v>-199.95779999999999</v>
      </c>
      <c r="H2132">
        <v>3.2393680000000001E-2</v>
      </c>
      <c r="I2132">
        <v>241.42529999999999</v>
      </c>
      <c r="J2132">
        <v>-192.1131</v>
      </c>
      <c r="K2132">
        <v>1.1105240000000001</v>
      </c>
      <c r="L2132">
        <v>331.94699999999898</v>
      </c>
      <c r="M2132">
        <v>9.5524019999999998E-3</v>
      </c>
      <c r="N2132">
        <v>-9.4395580000000007E-3</v>
      </c>
      <c r="O2132">
        <v>-0.99991010000000002</v>
      </c>
      <c r="P2132">
        <v>7.7177410000000002E-2</v>
      </c>
      <c r="Q2132">
        <v>0.12452249999999999</v>
      </c>
      <c r="R2132">
        <v>-0.98921099999999995</v>
      </c>
      <c r="S2132">
        <v>-0.26428220000000002</v>
      </c>
      <c r="T2132">
        <v>-3.6332009999999998E-2</v>
      </c>
      <c r="U2132">
        <v>-3.0579830000000001</v>
      </c>
      <c r="V2132">
        <v>-6.7733710000000003E-2</v>
      </c>
      <c r="W2132">
        <v>0.13385649999999999</v>
      </c>
      <c r="X2132">
        <v>0.98868319999999998</v>
      </c>
      <c r="Y2132">
        <v>9.5606339999999998E-2</v>
      </c>
      <c r="Z2132">
        <v>2.38682E-3</v>
      </c>
      <c r="AA2132">
        <v>0.99541630000000003</v>
      </c>
      <c r="AB2132">
        <v>21</v>
      </c>
      <c r="AC2132">
        <v>-7.84469999999998</v>
      </c>
      <c r="AD2132">
        <v>-1.0781303200000001</v>
      </c>
      <c r="AE2132">
        <v>-90.521699999999896</v>
      </c>
      <c r="AF2132">
        <v>8.7078539808770898</v>
      </c>
      <c r="AG2132">
        <v>-1.0781303200000001</v>
      </c>
      <c r="AH2132">
        <v>90.429898423739303</v>
      </c>
      <c r="AI2132">
        <v>90.679919092029195</v>
      </c>
      <c r="AJ2132">
        <v>84.499720557674493</v>
      </c>
      <c r="AK2132">
        <v>90.854584996394095</v>
      </c>
      <c r="AL2132">
        <v>82.307497535817902</v>
      </c>
      <c r="AM2132">
        <v>93.919153451402295</v>
      </c>
      <c r="AN2132">
        <v>0.99999994401242498</v>
      </c>
    </row>
    <row r="2133" spans="1:40" x14ac:dyDescent="0.25">
      <c r="A2133" t="str">
        <f>"20190304154800060"</f>
        <v>20190304154800060</v>
      </c>
      <c r="B2133" t="str">
        <f>"1551685680048388"</f>
        <v>1551685680048388</v>
      </c>
      <c r="C2133" t="s">
        <v>40</v>
      </c>
      <c r="D2133">
        <v>4.571682</v>
      </c>
      <c r="E2133">
        <v>0.56037990000000004</v>
      </c>
      <c r="F2133" t="s">
        <v>44</v>
      </c>
      <c r="G2133">
        <v>-199.95779999999999</v>
      </c>
      <c r="H2133">
        <v>3.9770319999999998E-2</v>
      </c>
      <c r="I2133">
        <v>241.4186</v>
      </c>
      <c r="J2133">
        <v>-192.11109999999999</v>
      </c>
      <c r="K2133">
        <v>1.110527</v>
      </c>
      <c r="L2133">
        <v>331.74579999999997</v>
      </c>
      <c r="M2133">
        <v>9.6241529999999999E-3</v>
      </c>
      <c r="N2133">
        <v>-9.4417689999999992E-3</v>
      </c>
      <c r="O2133">
        <v>-0.99990939999999995</v>
      </c>
      <c r="P2133">
        <v>7.6846390000000001E-2</v>
      </c>
      <c r="Q2133">
        <v>0.1245569</v>
      </c>
      <c r="R2133">
        <v>-0.98923240000000001</v>
      </c>
      <c r="S2133">
        <v>-0.2649841</v>
      </c>
      <c r="T2133">
        <v>-3.6168930000000002E-2</v>
      </c>
      <c r="U2133">
        <v>-3.0579529999999999</v>
      </c>
      <c r="V2133">
        <v>-6.7331219999999997E-2</v>
      </c>
      <c r="W2133">
        <v>0.1338934</v>
      </c>
      <c r="X2133">
        <v>0.98870579999999997</v>
      </c>
      <c r="Y2133">
        <v>9.5905400000000002E-2</v>
      </c>
      <c r="Z2133">
        <v>2.3312900000000002E-3</v>
      </c>
      <c r="AA2133">
        <v>0.99538769999999999</v>
      </c>
      <c r="AB2133">
        <v>21</v>
      </c>
      <c r="AC2133">
        <v>-7.8466999999999896</v>
      </c>
      <c r="AD2133">
        <v>-1.0707566799999999</v>
      </c>
      <c r="AE2133">
        <v>-90.327199999999905</v>
      </c>
      <c r="AF2133">
        <v>8.7144824489460309</v>
      </c>
      <c r="AG2133">
        <v>-1.0707566799999999</v>
      </c>
      <c r="AH2133">
        <v>90.234910075126507</v>
      </c>
      <c r="AI2133">
        <v>90.6767102139369</v>
      </c>
      <c r="AJ2133">
        <v>84.483738176743501</v>
      </c>
      <c r="AK2133">
        <v>90.661059559696994</v>
      </c>
      <c r="AL2133">
        <v>82.305364916868101</v>
      </c>
      <c r="AM2133">
        <v>93.895848050302206</v>
      </c>
      <c r="AN2133">
        <v>1.0000000473519399</v>
      </c>
    </row>
    <row r="2134" spans="1:40" x14ac:dyDescent="0.25">
      <c r="A2134" t="str">
        <f>"20190304154800083"</f>
        <v>20190304154800083</v>
      </c>
      <c r="B2134" t="str">
        <f>"1551685680078640"</f>
        <v>1551685680078640</v>
      </c>
      <c r="C2134" t="s">
        <v>40</v>
      </c>
      <c r="D2134">
        <v>4.8272399999999998</v>
      </c>
      <c r="E2134">
        <v>0.57800929999999995</v>
      </c>
      <c r="F2134" t="s">
        <v>44</v>
      </c>
      <c r="G2134">
        <v>-199.95779999999999</v>
      </c>
      <c r="H2134">
        <v>2.6327179999999999E-2</v>
      </c>
      <c r="I2134">
        <v>241.57159999999999</v>
      </c>
      <c r="J2134">
        <v>-192.10900000000001</v>
      </c>
      <c r="K2134">
        <v>1.1105210000000001</v>
      </c>
      <c r="L2134">
        <v>331.53039999999999</v>
      </c>
      <c r="M2134">
        <v>9.6998510000000007E-3</v>
      </c>
      <c r="N2134">
        <v>-9.4447070000000001E-3</v>
      </c>
      <c r="O2134">
        <v>-0.99990869999999998</v>
      </c>
      <c r="P2134">
        <v>7.6864840000000004E-2</v>
      </c>
      <c r="Q2134">
        <v>0.1245248</v>
      </c>
      <c r="R2134">
        <v>-0.98923499999999998</v>
      </c>
      <c r="S2134">
        <v>-0.266098</v>
      </c>
      <c r="T2134">
        <v>-3.6767719999999997E-2</v>
      </c>
      <c r="U2134">
        <v>-3.058014</v>
      </c>
      <c r="V2134">
        <v>-6.7273970000000002E-2</v>
      </c>
      <c r="W2134">
        <v>0.1338646</v>
      </c>
      <c r="X2134">
        <v>0.98871359999999997</v>
      </c>
      <c r="Y2134">
        <v>9.6338699999999999E-2</v>
      </c>
      <c r="Z2134">
        <v>2.5225690000000001E-3</v>
      </c>
      <c r="AA2134">
        <v>0.99534540000000005</v>
      </c>
      <c r="AB2134">
        <v>21</v>
      </c>
      <c r="AC2134">
        <v>-7.8487999999999802</v>
      </c>
      <c r="AD2134">
        <v>-1.0841938200000001</v>
      </c>
      <c r="AE2134">
        <v>-89.958799999999997</v>
      </c>
      <c r="AF2134">
        <v>8.7197992834737299</v>
      </c>
      <c r="AG2134">
        <v>-1.0841938200000001</v>
      </c>
      <c r="AH2134">
        <v>89.865477326478597</v>
      </c>
      <c r="AI2134">
        <v>90.687988045230597</v>
      </c>
      <c r="AJ2134">
        <v>84.457843545249105</v>
      </c>
      <c r="AK2134">
        <v>90.294044049977202</v>
      </c>
      <c r="AL2134">
        <v>82.307030049421201</v>
      </c>
      <c r="AM2134">
        <v>93.892515084800806</v>
      </c>
      <c r="AN2134">
        <v>1.00000005049883</v>
      </c>
    </row>
    <row r="2135" spans="1:40" x14ac:dyDescent="0.25">
      <c r="A2135" t="str">
        <f>"20190304154800107"</f>
        <v>20190304154800107</v>
      </c>
      <c r="B2135" t="str">
        <f>"1551685680099138"</f>
        <v>1551685680099138</v>
      </c>
      <c r="C2135" t="s">
        <v>40</v>
      </c>
      <c r="D2135">
        <v>4.7526120000000001</v>
      </c>
      <c r="E2135">
        <v>0.59319960000000005</v>
      </c>
      <c r="F2135" t="s">
        <v>54</v>
      </c>
      <c r="G2135">
        <v>-196.80940000000001</v>
      </c>
      <c r="H2135" s="1">
        <v>6.2092180000000005E-7</v>
      </c>
      <c r="I2135">
        <v>296.14080000000001</v>
      </c>
      <c r="J2135">
        <v>-192.10669999999999</v>
      </c>
      <c r="K2135">
        <v>1.110519</v>
      </c>
      <c r="L2135">
        <v>331.3073</v>
      </c>
      <c r="M2135">
        <v>9.7763139999999995E-3</v>
      </c>
      <c r="N2135">
        <v>-9.4483180000000007E-3</v>
      </c>
      <c r="O2135">
        <v>-0.99990769999999995</v>
      </c>
      <c r="P2135">
        <v>7.6620560000000004E-2</v>
      </c>
      <c r="Q2135">
        <v>0.12446790000000001</v>
      </c>
      <c r="R2135">
        <v>-0.9892611</v>
      </c>
      <c r="S2135">
        <v>-0.40861510000000001</v>
      </c>
      <c r="T2135">
        <v>-9.6540329999999994E-2</v>
      </c>
      <c r="U2135">
        <v>-3.076508</v>
      </c>
      <c r="V2135">
        <v>-6.6953849999999995E-2</v>
      </c>
      <c r="W2135">
        <v>0.13381170000000001</v>
      </c>
      <c r="X2135">
        <v>0.98874249999999997</v>
      </c>
      <c r="Y2135">
        <v>0.1412892</v>
      </c>
      <c r="Z2135">
        <v>2.1617359999999999E-2</v>
      </c>
      <c r="AA2135">
        <v>0.98973230000000001</v>
      </c>
      <c r="AB2135">
        <v>21</v>
      </c>
      <c r="AC2135">
        <v>-4.7027000000000196</v>
      </c>
      <c r="AD2135">
        <v>-1.1105183790782001</v>
      </c>
      <c r="AE2135">
        <v>-35.1664999999999</v>
      </c>
      <c r="AF2135">
        <v>5.0413502530825598</v>
      </c>
      <c r="AG2135">
        <v>-1.1105183790782001</v>
      </c>
      <c r="AH2135">
        <v>35.0844697118781</v>
      </c>
      <c r="AI2135">
        <v>91.794541762707397</v>
      </c>
      <c r="AJ2135">
        <v>81.823037810027202</v>
      </c>
      <c r="AK2135">
        <v>35.462211978502097</v>
      </c>
      <c r="AL2135">
        <v>82.310088587395299</v>
      </c>
      <c r="AM2135">
        <v>93.873936382096602</v>
      </c>
      <c r="AN2135">
        <v>1.00000006019647</v>
      </c>
    </row>
    <row r="2136" spans="1:40" x14ac:dyDescent="0.25">
      <c r="A2136" t="str">
        <f>"20190304154800128"</f>
        <v>20190304154800128</v>
      </c>
      <c r="B2136" t="str">
        <f>"1551685680118189"</f>
        <v>1551685680118189</v>
      </c>
      <c r="C2136" t="s">
        <v>40</v>
      </c>
      <c r="D2136">
        <v>4.6588139999999996</v>
      </c>
      <c r="E2136">
        <v>0.59776640000000003</v>
      </c>
      <c r="F2136" t="s">
        <v>54</v>
      </c>
      <c r="G2136">
        <v>-198.65620000000001</v>
      </c>
      <c r="H2136" s="1">
        <v>1.2450069999999999E-6</v>
      </c>
      <c r="I2136">
        <v>293.20249999999999</v>
      </c>
      <c r="J2136">
        <v>-192.1046</v>
      </c>
      <c r="K2136">
        <v>1.1105160000000001</v>
      </c>
      <c r="L2136">
        <v>331.09980000000002</v>
      </c>
      <c r="M2136">
        <v>9.8449350000000008E-3</v>
      </c>
      <c r="N2136">
        <v>-9.4521180000000007E-3</v>
      </c>
      <c r="O2136">
        <v>-0.99990699999999999</v>
      </c>
      <c r="P2136">
        <v>7.6511899999999994E-2</v>
      </c>
      <c r="Q2136">
        <v>0.1244136</v>
      </c>
      <c r="R2136">
        <v>-0.98927619999999905</v>
      </c>
      <c r="S2136">
        <v>-0.53024289999999996</v>
      </c>
      <c r="T2136">
        <v>-8.9906330000000007E-2</v>
      </c>
      <c r="U2136">
        <v>-3.0849299999999999</v>
      </c>
      <c r="V2136">
        <v>-6.6776100000000005E-2</v>
      </c>
      <c r="W2136">
        <v>0.13376160000000001</v>
      </c>
      <c r="X2136">
        <v>0.98876120000000001</v>
      </c>
      <c r="Y2136">
        <v>0.17902899999999999</v>
      </c>
      <c r="Z2136">
        <v>1.9226400000000001E-2</v>
      </c>
      <c r="AA2136">
        <v>0.98365590000000003</v>
      </c>
      <c r="AB2136">
        <v>21</v>
      </c>
      <c r="AC2136">
        <v>-6.5515999999999996</v>
      </c>
      <c r="AD2136">
        <v>-1.1105147549929999</v>
      </c>
      <c r="AE2136">
        <v>-37.897300000000001</v>
      </c>
      <c r="AF2136">
        <v>6.9186270404452603</v>
      </c>
      <c r="AG2136">
        <v>-1.1105147549929999</v>
      </c>
      <c r="AH2136">
        <v>37.799444505905598</v>
      </c>
      <c r="AI2136">
        <v>91.655331800008497</v>
      </c>
      <c r="AJ2136">
        <v>79.627672077346801</v>
      </c>
      <c r="AK2136">
        <v>38.4434474013566</v>
      </c>
      <c r="AL2136">
        <v>82.312984385166303</v>
      </c>
      <c r="AM2136">
        <v>93.863610143069195</v>
      </c>
      <c r="AN2136">
        <v>0.99999996189560403</v>
      </c>
    </row>
    <row r="2137" spans="1:40" x14ac:dyDescent="0.25">
      <c r="A2137" t="str">
        <f>"20190304154800151"</f>
        <v>20190304154800151</v>
      </c>
      <c r="B2137" t="str">
        <f>"1551685680148445"</f>
        <v>1551685680148445</v>
      </c>
      <c r="C2137" t="s">
        <v>40</v>
      </c>
      <c r="D2137">
        <v>4.736434</v>
      </c>
      <c r="E2137">
        <v>0.60069079999999997</v>
      </c>
      <c r="F2137" t="s">
        <v>54</v>
      </c>
      <c r="G2137">
        <v>-198.52330000000001</v>
      </c>
      <c r="H2137" s="1">
        <v>6.0993340000000001E-7</v>
      </c>
      <c r="I2137">
        <v>296.15300000000002</v>
      </c>
      <c r="J2137">
        <v>-192.10239999999999</v>
      </c>
      <c r="K2137">
        <v>1.11052</v>
      </c>
      <c r="L2137">
        <v>330.88099999999997</v>
      </c>
      <c r="M2137">
        <v>9.9151210000000007E-3</v>
      </c>
      <c r="N2137">
        <v>-9.4565090000000001E-3</v>
      </c>
      <c r="O2137">
        <v>-0.99990630000000003</v>
      </c>
      <c r="P2137">
        <v>7.6474429999999996E-2</v>
      </c>
      <c r="Q2137">
        <v>0.124582</v>
      </c>
      <c r="R2137">
        <v>-0.98925790000000002</v>
      </c>
      <c r="S2137">
        <v>-0.56732179999999999</v>
      </c>
      <c r="T2137">
        <v>-9.8154190000000002E-2</v>
      </c>
      <c r="U2137">
        <v>-3.0888059999999999</v>
      </c>
      <c r="V2137">
        <v>-6.6669389999999995E-2</v>
      </c>
      <c r="W2137">
        <v>0.133934</v>
      </c>
      <c r="X2137">
        <v>0.98874510000000004</v>
      </c>
      <c r="Y2137">
        <v>0.19031290000000001</v>
      </c>
      <c r="Z2137">
        <v>2.1746290000000001E-2</v>
      </c>
      <c r="AA2137">
        <v>0.98148259999999998</v>
      </c>
      <c r="AB2137">
        <v>21</v>
      </c>
      <c r="AC2137">
        <v>-6.4209000000000103</v>
      </c>
      <c r="AD2137">
        <v>-1.1105193900665999</v>
      </c>
      <c r="AE2137">
        <v>-34.727999999999902</v>
      </c>
      <c r="AF2137">
        <v>6.7582496615718597</v>
      </c>
      <c r="AG2137">
        <v>-1.1105193900665999</v>
      </c>
      <c r="AH2137">
        <v>34.628386463704103</v>
      </c>
      <c r="AI2137">
        <v>91.802834195743898</v>
      </c>
      <c r="AJ2137">
        <v>78.956682803817898</v>
      </c>
      <c r="AK2137">
        <v>35.299183289185201</v>
      </c>
      <c r="AL2137">
        <v>82.303017186254493</v>
      </c>
      <c r="AM2137">
        <v>93.857517267659006</v>
      </c>
      <c r="AN2137">
        <v>0.999999998346491</v>
      </c>
    </row>
    <row r="2138" spans="1:40" x14ac:dyDescent="0.25">
      <c r="A2138" t="str">
        <f>"20190304154800171"</f>
        <v>20190304154800171</v>
      </c>
      <c r="B2138" t="str">
        <f>"1551685680168942"</f>
        <v>1551685680168942</v>
      </c>
      <c r="C2138" t="s">
        <v>40</v>
      </c>
      <c r="D2138">
        <v>4.8189299999999999</v>
      </c>
      <c r="E2138">
        <v>0.6010913</v>
      </c>
      <c r="F2138" t="s">
        <v>54</v>
      </c>
      <c r="G2138">
        <v>-198.95849999999999</v>
      </c>
      <c r="H2138" s="1">
        <v>8.3521869999999897E-7</v>
      </c>
      <c r="I2138">
        <v>294.99540000000002</v>
      </c>
      <c r="J2138">
        <v>-192.10040000000001</v>
      </c>
      <c r="K2138">
        <v>1.1105160000000001</v>
      </c>
      <c r="L2138">
        <v>330.68819999999999</v>
      </c>
      <c r="M2138">
        <v>9.975622E-3</v>
      </c>
      <c r="N2138">
        <v>-9.4605569999999996E-3</v>
      </c>
      <c r="O2138">
        <v>-0.99990579999999996</v>
      </c>
      <c r="P2138">
        <v>7.6516100000000004E-2</v>
      </c>
      <c r="Q2138">
        <v>0.1251236</v>
      </c>
      <c r="R2138">
        <v>-0.98918660000000003</v>
      </c>
      <c r="S2138">
        <v>-0.5904083</v>
      </c>
      <c r="T2138">
        <v>-9.5631720000000003E-2</v>
      </c>
      <c r="U2138">
        <v>-3.090271</v>
      </c>
      <c r="V2138">
        <v>-6.6651699999999994E-2</v>
      </c>
      <c r="W2138">
        <v>0.1344793</v>
      </c>
      <c r="X2138">
        <v>0.98867229999999995</v>
      </c>
      <c r="Y2138">
        <v>0.1973713</v>
      </c>
      <c r="Z2138">
        <v>2.0884119999999999E-2</v>
      </c>
      <c r="AA2138">
        <v>0.98010640000000004</v>
      </c>
      <c r="AB2138">
        <v>21</v>
      </c>
      <c r="AC2138">
        <v>-6.8580999999999701</v>
      </c>
      <c r="AD2138">
        <v>-1.1105151647813001</v>
      </c>
      <c r="AE2138">
        <v>-35.692799999999899</v>
      </c>
      <c r="AF2138">
        <v>7.2071041541789196</v>
      </c>
      <c r="AG2138">
        <v>-1.1105151647813001</v>
      </c>
      <c r="AH2138">
        <v>35.589382109446298</v>
      </c>
      <c r="AI2138">
        <v>91.7517174703069</v>
      </c>
      <c r="AJ2138">
        <v>78.552010498430604</v>
      </c>
      <c r="AK2138">
        <v>36.328772524716101</v>
      </c>
      <c r="AL2138">
        <v>82.2714887689704</v>
      </c>
      <c r="AM2138">
        <v>93.856779918997702</v>
      </c>
      <c r="AN2138">
        <v>1.0000000240143301</v>
      </c>
    </row>
    <row r="2139" spans="1:40" x14ac:dyDescent="0.25">
      <c r="A2139" t="str">
        <f>"20190304154800194"</f>
        <v>20190304154800194</v>
      </c>
      <c r="B2139" t="str">
        <f>"1551685680188462"</f>
        <v>1551685680188462</v>
      </c>
      <c r="C2139" t="s">
        <v>40</v>
      </c>
      <c r="D2139">
        <v>4.8674819999999999</v>
      </c>
      <c r="E2139">
        <v>0.6017344</v>
      </c>
      <c r="F2139" t="s">
        <v>54</v>
      </c>
      <c r="G2139">
        <v>-198.64160000000001</v>
      </c>
      <c r="H2139" s="1">
        <v>5.2501199999999996E-7</v>
      </c>
      <c r="I2139">
        <v>296.63529999999997</v>
      </c>
      <c r="J2139">
        <v>-192.09809999999999</v>
      </c>
      <c r="K2139">
        <v>1.11052</v>
      </c>
      <c r="L2139">
        <v>330.47379999999998</v>
      </c>
      <c r="M2139">
        <v>1.004202E-2</v>
      </c>
      <c r="N2139">
        <v>-9.4653849999999998E-3</v>
      </c>
      <c r="O2139">
        <v>-0.99990509999999999</v>
      </c>
      <c r="P2139">
        <v>7.637418E-2</v>
      </c>
      <c r="Q2139">
        <v>0.125637</v>
      </c>
      <c r="R2139">
        <v>-0.98913240000000002</v>
      </c>
      <c r="S2139">
        <v>-0.59384159999999997</v>
      </c>
      <c r="T2139">
        <v>-0.100818</v>
      </c>
      <c r="U2139">
        <v>-3.0914920000000001</v>
      </c>
      <c r="V2139">
        <v>-6.6444240000000002E-2</v>
      </c>
      <c r="W2139">
        <v>0.13499720000000001</v>
      </c>
      <c r="X2139">
        <v>0.98861560000000004</v>
      </c>
      <c r="Y2139">
        <v>0.19840650000000001</v>
      </c>
      <c r="Z2139">
        <v>2.250479E-2</v>
      </c>
      <c r="AA2139">
        <v>0.97986139999999999</v>
      </c>
      <c r="AB2139">
        <v>21</v>
      </c>
      <c r="AC2139">
        <v>-6.5435000000000203</v>
      </c>
      <c r="AD2139">
        <v>-1.1105194749879901</v>
      </c>
      <c r="AE2139">
        <v>-33.838500000000003</v>
      </c>
      <c r="AF2139">
        <v>6.8758534374245501</v>
      </c>
      <c r="AG2139">
        <v>-1.1105194749879901</v>
      </c>
      <c r="AH2139">
        <v>33.736055531558399</v>
      </c>
      <c r="AI2139">
        <v>91.847421646996594</v>
      </c>
      <c r="AJ2139">
        <v>78.480145217571007</v>
      </c>
      <c r="AK2139">
        <v>34.447526135060301</v>
      </c>
      <c r="AL2139">
        <v>82.241541575242394</v>
      </c>
      <c r="AM2139">
        <v>93.845031221856104</v>
      </c>
      <c r="AN2139">
        <v>0.999999942800187</v>
      </c>
    </row>
    <row r="2140" spans="1:40" x14ac:dyDescent="0.25">
      <c r="A2140" t="str">
        <f>"20190304154800216"</f>
        <v>20190304154800216</v>
      </c>
      <c r="B2140" t="str">
        <f>"1551685680208489"</f>
        <v>1551685680208489</v>
      </c>
      <c r="C2140" t="s">
        <v>40</v>
      </c>
      <c r="D2140">
        <v>4.8245879999999897</v>
      </c>
      <c r="E2140">
        <v>0.60213050000000001</v>
      </c>
      <c r="F2140" t="s">
        <v>54</v>
      </c>
      <c r="G2140">
        <v>-198.55619999999999</v>
      </c>
      <c r="H2140" s="1">
        <v>4.337145E-7</v>
      </c>
      <c r="I2140">
        <v>297.15370000000001</v>
      </c>
      <c r="J2140">
        <v>-192.0959</v>
      </c>
      <c r="K2140">
        <v>1.11052</v>
      </c>
      <c r="L2140">
        <v>330.25549999999998</v>
      </c>
      <c r="M2140">
        <v>1.0109079999999999E-2</v>
      </c>
      <c r="N2140">
        <v>-9.4707330000000003E-3</v>
      </c>
      <c r="O2140">
        <v>-0.99990440000000003</v>
      </c>
      <c r="P2140">
        <v>7.5748399999999994E-2</v>
      </c>
      <c r="Q2140">
        <v>0.12631300000000001</v>
      </c>
      <c r="R2140">
        <v>-0.98909440000000004</v>
      </c>
      <c r="S2140">
        <v>-0.59936519999999904</v>
      </c>
      <c r="T2140">
        <v>-0.1030653</v>
      </c>
      <c r="U2140">
        <v>-3.0923769999999999</v>
      </c>
      <c r="V2140">
        <v>-6.5752649999999996E-2</v>
      </c>
      <c r="W2140">
        <v>0.13567799999999999</v>
      </c>
      <c r="X2140">
        <v>0.98856869999999997</v>
      </c>
      <c r="Y2140">
        <v>0.20010339999999999</v>
      </c>
      <c r="Z2140">
        <v>2.3191079999999999E-2</v>
      </c>
      <c r="AA2140">
        <v>0.97950029999999999</v>
      </c>
      <c r="AB2140">
        <v>21</v>
      </c>
      <c r="AC2140">
        <v>-6.4602999999999797</v>
      </c>
      <c r="AD2140">
        <v>-1.1105195662854901</v>
      </c>
      <c r="AE2140">
        <v>-33.101799999999898</v>
      </c>
      <c r="AF2140">
        <v>6.7872546694271199</v>
      </c>
      <c r="AG2140">
        <v>-1.1105195662854901</v>
      </c>
      <c r="AH2140">
        <v>32.999019856738897</v>
      </c>
      <c r="AI2140">
        <v>91.887962157971003</v>
      </c>
      <c r="AJ2140">
        <v>78.377461863963305</v>
      </c>
      <c r="AK2140">
        <v>33.708090885723799</v>
      </c>
      <c r="AL2140">
        <v>82.202172860517607</v>
      </c>
      <c r="AM2140">
        <v>93.805308100477902</v>
      </c>
      <c r="AN2140">
        <v>1.0000000026428499</v>
      </c>
    </row>
    <row r="2141" spans="1:40" x14ac:dyDescent="0.25">
      <c r="A2141" t="str">
        <f>"20190304154800238"</f>
        <v>20190304154800238</v>
      </c>
      <c r="B2141" t="str">
        <f>"1551685680228985"</f>
        <v>1551685680228985</v>
      </c>
      <c r="C2141" t="s">
        <v>40</v>
      </c>
      <c r="D2141">
        <v>4.835572</v>
      </c>
      <c r="E2141">
        <v>0.60230600000000001</v>
      </c>
      <c r="F2141" t="s">
        <v>54</v>
      </c>
      <c r="G2141">
        <v>-198.41419999999999</v>
      </c>
      <c r="H2141" s="1">
        <v>2.990022E-7</v>
      </c>
      <c r="I2141">
        <v>297.91849999999999</v>
      </c>
      <c r="J2141">
        <v>-192.09370000000001</v>
      </c>
      <c r="K2141">
        <v>1.1105240000000001</v>
      </c>
      <c r="L2141">
        <v>330.03949999999998</v>
      </c>
      <c r="M2141">
        <v>1.017524E-2</v>
      </c>
      <c r="N2141">
        <v>-9.4763250000000007E-3</v>
      </c>
      <c r="O2141">
        <v>-0.9999034</v>
      </c>
      <c r="P2141">
        <v>7.5180629999999998E-2</v>
      </c>
      <c r="Q2141">
        <v>0.1261186</v>
      </c>
      <c r="R2141">
        <v>-0.98916269999999995</v>
      </c>
      <c r="S2141">
        <v>-0.60432430000000004</v>
      </c>
      <c r="T2141">
        <v>-0.1062179</v>
      </c>
      <c r="U2141">
        <v>-3.0929259999999998</v>
      </c>
      <c r="V2141">
        <v>-6.5119350000000006E-2</v>
      </c>
      <c r="W2141">
        <v>0.13548949999999901</v>
      </c>
      <c r="X2141">
        <v>0.98863650000000003</v>
      </c>
      <c r="Y2141">
        <v>0.20164299999999999</v>
      </c>
      <c r="Z2141">
        <v>2.4167359999999999E-2</v>
      </c>
      <c r="AA2141">
        <v>0.9791609</v>
      </c>
      <c r="AB2141">
        <v>21</v>
      </c>
      <c r="AC2141">
        <v>-6.3204999999999796</v>
      </c>
      <c r="AD2141">
        <v>-1.1105237009978</v>
      </c>
      <c r="AE2141">
        <v>-32.120999999999903</v>
      </c>
      <c r="AF2141">
        <v>6.6393860540013199</v>
      </c>
      <c r="AG2141">
        <v>-1.1105237009978</v>
      </c>
      <c r="AH2141">
        <v>32.018176701503599</v>
      </c>
      <c r="AI2141">
        <v>91.945113485431904</v>
      </c>
      <c r="AJ2141">
        <v>78.285003229364904</v>
      </c>
      <c r="AK2141">
        <v>32.718165433796102</v>
      </c>
      <c r="AL2141">
        <v>82.213074003210394</v>
      </c>
      <c r="AM2141">
        <v>93.768505504557893</v>
      </c>
      <c r="AN2141">
        <v>1.0000000317434601</v>
      </c>
    </row>
    <row r="2142" spans="1:40" x14ac:dyDescent="0.25">
      <c r="A2142" t="str">
        <f>"20190304154800253"</f>
        <v>20190304154800253</v>
      </c>
      <c r="B2142" t="str">
        <f>"1551685680248505"</f>
        <v>1551685680248505</v>
      </c>
      <c r="C2142" t="s">
        <v>40</v>
      </c>
      <c r="D2142">
        <v>4.8386079999999998</v>
      </c>
      <c r="E2142">
        <v>0.6023887</v>
      </c>
      <c r="F2142" t="s">
        <v>54</v>
      </c>
      <c r="G2142">
        <v>-198.25649999999999</v>
      </c>
      <c r="H2142" s="1">
        <v>1.6859759999999999E-7</v>
      </c>
      <c r="I2142">
        <v>298.65899999999999</v>
      </c>
      <c r="J2142">
        <v>-192.09229999999999</v>
      </c>
      <c r="K2142">
        <v>1.1105240000000001</v>
      </c>
      <c r="L2142">
        <v>329.90750000000003</v>
      </c>
      <c r="M2142">
        <v>1.021568E-2</v>
      </c>
      <c r="N2142">
        <v>-9.4798409999999993E-3</v>
      </c>
      <c r="O2142">
        <v>-0.99990319999999999</v>
      </c>
      <c r="P2142">
        <v>7.4908530000000001E-2</v>
      </c>
      <c r="Q2142">
        <v>0.1262134</v>
      </c>
      <c r="R2142">
        <v>-0.98917080000000002</v>
      </c>
      <c r="S2142">
        <v>-0.60743709999999995</v>
      </c>
      <c r="T2142">
        <v>-0.1094576</v>
      </c>
      <c r="U2142">
        <v>-3.0929869999999999</v>
      </c>
      <c r="V2142">
        <v>-6.4807329999999996E-2</v>
      </c>
      <c r="W2142">
        <v>0.13558819999999999</v>
      </c>
      <c r="X2142">
        <v>0.98864339999999995</v>
      </c>
      <c r="Y2142">
        <v>0.20262189999999999</v>
      </c>
      <c r="Z2142">
        <v>2.518159E-2</v>
      </c>
      <c r="AA2142">
        <v>0.97893319999999995</v>
      </c>
      <c r="AB2142">
        <v>22</v>
      </c>
      <c r="AC2142">
        <v>-6.1641999999999904</v>
      </c>
      <c r="AD2142">
        <v>-1.11052383140239</v>
      </c>
      <c r="AE2142">
        <v>-31.2485</v>
      </c>
      <c r="AF2142">
        <v>6.4752454270011199</v>
      </c>
      <c r="AG2142">
        <v>-1.11052383140239</v>
      </c>
      <c r="AH2142">
        <v>31.146031443183599</v>
      </c>
      <c r="AI2142">
        <v>91.999323457942694</v>
      </c>
      <c r="AJ2142">
        <v>78.255534097466196</v>
      </c>
      <c r="AK2142">
        <v>31.831389243634899</v>
      </c>
      <c r="AL2142">
        <v>82.207365685615201</v>
      </c>
      <c r="AM2142">
        <v>93.750474232259705</v>
      </c>
      <c r="AN2142">
        <v>0.99999996118226298</v>
      </c>
    </row>
    <row r="2143" spans="1:40" x14ac:dyDescent="0.25">
      <c r="A2143" t="str">
        <f>"20190304154800271"</f>
        <v>20190304154800271</v>
      </c>
      <c r="B2143" t="str">
        <f>"1551685680269001"</f>
        <v>1551685680269001</v>
      </c>
      <c r="C2143" t="s">
        <v>40</v>
      </c>
      <c r="D2143">
        <v>4.8243029999999996</v>
      </c>
      <c r="E2143">
        <v>0.60253159999999995</v>
      </c>
      <c r="F2143" t="s">
        <v>54</v>
      </c>
      <c r="G2143">
        <v>-198.15950000000001</v>
      </c>
      <c r="H2143" s="1">
        <v>8.9969399999999906E-8</v>
      </c>
      <c r="I2143">
        <v>299.10550000000001</v>
      </c>
      <c r="J2143">
        <v>-192.09030000000001</v>
      </c>
      <c r="K2143">
        <v>1.1105160000000001</v>
      </c>
      <c r="L2143">
        <v>329.72280000000001</v>
      </c>
      <c r="M2143">
        <v>1.0272450000000001E-2</v>
      </c>
      <c r="N2143">
        <v>-9.4848320000000003E-3</v>
      </c>
      <c r="O2143">
        <v>-0.99990250000000003</v>
      </c>
      <c r="P2143">
        <v>7.4508030000000003E-2</v>
      </c>
      <c r="Q2143">
        <v>0.1265927</v>
      </c>
      <c r="R2143">
        <v>-0.98915260000000005</v>
      </c>
      <c r="S2143">
        <v>-0.60928340000000003</v>
      </c>
      <c r="T2143">
        <v>-0.111521</v>
      </c>
      <c r="U2143">
        <v>-3.0932010000000001</v>
      </c>
      <c r="V2143">
        <v>-6.4350400000000002E-2</v>
      </c>
      <c r="W2143">
        <v>0.135971799999999</v>
      </c>
      <c r="X2143">
        <v>0.98862059999999996</v>
      </c>
      <c r="Y2143">
        <v>0.2032233</v>
      </c>
      <c r="Z2143">
        <v>2.582272E-2</v>
      </c>
      <c r="AA2143">
        <v>0.97879179999999999</v>
      </c>
      <c r="AB2143">
        <v>22</v>
      </c>
      <c r="AC2143">
        <v>-6.0691999999999897</v>
      </c>
      <c r="AD2143">
        <v>-1.1105159100305999</v>
      </c>
      <c r="AE2143">
        <v>-30.6173</v>
      </c>
      <c r="AF2143">
        <v>6.3753383663666998</v>
      </c>
      <c r="AG2143">
        <v>-1.1105159100305999</v>
      </c>
      <c r="AH2143">
        <v>30.5147094503237</v>
      </c>
      <c r="AI2143">
        <v>92.040220228856896</v>
      </c>
      <c r="AJ2143">
        <v>78.199130252935404</v>
      </c>
      <c r="AK2143">
        <v>31.1933595130401</v>
      </c>
      <c r="AL2143">
        <v>82.185181862894098</v>
      </c>
      <c r="AM2143">
        <v>93.724191492938203</v>
      </c>
      <c r="AN2143">
        <v>0.99999999755987901</v>
      </c>
    </row>
    <row r="2144" spans="1:40" x14ac:dyDescent="0.25">
      <c r="A2144" t="str">
        <f>"20190304154800295"</f>
        <v>20190304154800295</v>
      </c>
      <c r="B2144" t="str">
        <f>"1551685680288521"</f>
        <v>1551685680288521</v>
      </c>
      <c r="C2144" t="s">
        <v>40</v>
      </c>
      <c r="D2144">
        <v>4.853218</v>
      </c>
      <c r="E2144">
        <v>0.60261980000000004</v>
      </c>
      <c r="F2144" t="s">
        <v>54</v>
      </c>
      <c r="G2144">
        <v>-198.17859999999999</v>
      </c>
      <c r="H2144" s="1">
        <v>1.2199139999999999E-7</v>
      </c>
      <c r="I2144">
        <v>298.92360000000002</v>
      </c>
      <c r="J2144">
        <v>-192.08789999999999</v>
      </c>
      <c r="K2144">
        <v>1.1105130000000001</v>
      </c>
      <c r="L2144">
        <v>329.49979999999999</v>
      </c>
      <c r="M2144">
        <v>1.034142E-2</v>
      </c>
      <c r="N2144">
        <v>-9.4909880000000005E-3</v>
      </c>
      <c r="O2144">
        <v>-0.99990179999999995</v>
      </c>
      <c r="P2144">
        <v>7.4214660000000002E-2</v>
      </c>
      <c r="Q2144">
        <v>0.1263445</v>
      </c>
      <c r="R2144">
        <v>-0.98920660000000005</v>
      </c>
      <c r="S2144">
        <v>-0.6114655</v>
      </c>
      <c r="T2144">
        <v>-0.1115328</v>
      </c>
      <c r="U2144">
        <v>-3.0932620000000002</v>
      </c>
      <c r="V2144">
        <v>-6.3988619999999996E-2</v>
      </c>
      <c r="W2144">
        <v>0.135730399999999</v>
      </c>
      <c r="X2144">
        <v>0.98867729999999998</v>
      </c>
      <c r="Y2144">
        <v>0.20395150000000001</v>
      </c>
      <c r="Z2144">
        <v>2.581439E-2</v>
      </c>
      <c r="AA2144">
        <v>0.97864059999999997</v>
      </c>
      <c r="AB2144">
        <v>22</v>
      </c>
      <c r="AC2144">
        <v>-6.0906999999999902</v>
      </c>
      <c r="AD2144">
        <v>-1.11051287800859</v>
      </c>
      <c r="AE2144">
        <v>-30.576199999999901</v>
      </c>
      <c r="AF2144">
        <v>6.3984715990863199</v>
      </c>
      <c r="AG2144">
        <v>-1.11051287800859</v>
      </c>
      <c r="AH2144">
        <v>30.472912603786</v>
      </c>
      <c r="AI2144">
        <v>92.042582412653303</v>
      </c>
      <c r="AJ2144">
        <v>78.141733649144896</v>
      </c>
      <c r="AK2144">
        <v>31.157215540136399</v>
      </c>
      <c r="AL2144">
        <v>82.199142855918495</v>
      </c>
      <c r="AM2144">
        <v>93.703100606882899</v>
      </c>
      <c r="AN2144">
        <v>1.0000000442544701</v>
      </c>
    </row>
    <row r="2145" spans="1:40" x14ac:dyDescent="0.25">
      <c r="A2145" t="str">
        <f>"20190304154800318"</f>
        <v>20190304154800318</v>
      </c>
      <c r="B2145" t="str">
        <f>"1551685680308549"</f>
        <v>1551685680308549</v>
      </c>
      <c r="C2145" t="s">
        <v>40</v>
      </c>
      <c r="D2145">
        <v>4.8634519999999997</v>
      </c>
      <c r="E2145">
        <v>0.6028289</v>
      </c>
      <c r="F2145" t="s">
        <v>54</v>
      </c>
      <c r="G2145">
        <v>-198.05250000000001</v>
      </c>
      <c r="H2145" s="1">
        <v>3.7011719999999998E-8</v>
      </c>
      <c r="I2145">
        <v>299.40620000000001</v>
      </c>
      <c r="J2145">
        <v>-192.0855</v>
      </c>
      <c r="K2145">
        <v>1.110509</v>
      </c>
      <c r="L2145">
        <v>329.27179999999998</v>
      </c>
      <c r="M2145">
        <v>1.0412370000000001E-2</v>
      </c>
      <c r="N2145">
        <v>-9.4974029999999997E-3</v>
      </c>
      <c r="O2145">
        <v>-0.99990080000000003</v>
      </c>
      <c r="P2145">
        <v>7.3895089999999997E-2</v>
      </c>
      <c r="Q2145">
        <v>0.12626660000000001</v>
      </c>
      <c r="R2145">
        <v>-0.98924040000000002</v>
      </c>
      <c r="S2145">
        <v>-0.61309809999999998</v>
      </c>
      <c r="T2145">
        <v>-0.1141498</v>
      </c>
      <c r="U2145">
        <v>-3.0933229999999998</v>
      </c>
      <c r="V2145">
        <v>-6.3598399999999999E-2</v>
      </c>
      <c r="W2145">
        <v>0.1356591</v>
      </c>
      <c r="X2145">
        <v>0.98871229999999999</v>
      </c>
      <c r="Y2145">
        <v>0.2045092</v>
      </c>
      <c r="Z2145">
        <v>2.6630870000000001E-2</v>
      </c>
      <c r="AA2145">
        <v>0.97850230000000005</v>
      </c>
      <c r="AB2145">
        <v>22</v>
      </c>
      <c r="AC2145">
        <v>-5.9670000000000103</v>
      </c>
      <c r="AD2145">
        <v>-1.1105089629882801</v>
      </c>
      <c r="AE2145">
        <v>-29.865599999999901</v>
      </c>
      <c r="AF2145">
        <v>6.26932682441024</v>
      </c>
      <c r="AG2145">
        <v>-1.1105089629882801</v>
      </c>
      <c r="AH2145">
        <v>29.762277187887801</v>
      </c>
      <c r="AI2145">
        <v>92.091019346458296</v>
      </c>
      <c r="AJ2145">
        <v>78.104734856870806</v>
      </c>
      <c r="AK2145">
        <v>30.435683537532199</v>
      </c>
      <c r="AL2145">
        <v>82.203266463424697</v>
      </c>
      <c r="AM2145">
        <v>93.680450423441599</v>
      </c>
      <c r="AN2145">
        <v>1.00000008003332</v>
      </c>
    </row>
    <row r="2146" spans="1:40" x14ac:dyDescent="0.25">
      <c r="A2146" t="str">
        <f>"20190304154800339"</f>
        <v>20190304154800339</v>
      </c>
      <c r="B2146" t="str">
        <f>"1551685680329044"</f>
        <v>1551685680329044</v>
      </c>
      <c r="C2146" t="s">
        <v>40</v>
      </c>
      <c r="D2146">
        <v>4.8660259999999997</v>
      </c>
      <c r="E2146">
        <v>0.60293750000000002</v>
      </c>
      <c r="F2146" t="s">
        <v>44</v>
      </c>
      <c r="G2146">
        <v>-197.94579999999999</v>
      </c>
      <c r="H2146" s="1">
        <v>-2.219342E-6</v>
      </c>
      <c r="I2146">
        <v>299.83429999999998</v>
      </c>
      <c r="J2146">
        <v>-192.08320000000001</v>
      </c>
      <c r="K2146">
        <v>1.1105100000000001</v>
      </c>
      <c r="L2146">
        <v>329.06259999999997</v>
      </c>
      <c r="M2146">
        <v>1.0477729999999999E-2</v>
      </c>
      <c r="N2146">
        <v>-9.5033370000000006E-3</v>
      </c>
      <c r="O2146">
        <v>-0.99990009999999996</v>
      </c>
      <c r="P2146">
        <v>7.3418150000000001E-2</v>
      </c>
      <c r="Q2146">
        <v>0.12598139999999999</v>
      </c>
      <c r="R2146">
        <v>-0.98931239999999998</v>
      </c>
      <c r="S2146">
        <v>-0.61584469999999902</v>
      </c>
      <c r="T2146">
        <v>-0.11670179999999999</v>
      </c>
      <c r="U2146">
        <v>-3.0935359999999998</v>
      </c>
      <c r="V2146">
        <v>-6.3056299999999996E-2</v>
      </c>
      <c r="W2146">
        <v>0.13538039999999901</v>
      </c>
      <c r="X2146">
        <v>0.98878509999999997</v>
      </c>
      <c r="Y2146">
        <v>0.20539080000000001</v>
      </c>
      <c r="Z2146">
        <v>2.7422640000000002E-2</v>
      </c>
      <c r="AA2146">
        <v>0.97829580000000005</v>
      </c>
      <c r="AB2146">
        <v>22</v>
      </c>
      <c r="AC2146">
        <v>-5.86259999999998</v>
      </c>
      <c r="AD2146">
        <v>-1.1105122193420001</v>
      </c>
      <c r="AE2146">
        <v>-29.228299999999901</v>
      </c>
      <c r="AF2146">
        <v>6.1599896872545301</v>
      </c>
      <c r="AG2146">
        <v>-1.1105122193420001</v>
      </c>
      <c r="AH2146">
        <v>29.124848097342799</v>
      </c>
      <c r="AI2146">
        <v>92.136378589338406</v>
      </c>
      <c r="AJ2146">
        <v>78.0577733581774</v>
      </c>
      <c r="AK2146">
        <v>29.789855438213898</v>
      </c>
      <c r="AL2146">
        <v>82.219382555730803</v>
      </c>
      <c r="AM2146">
        <v>93.648896186986704</v>
      </c>
      <c r="AN2146">
        <v>0.99999996182792905</v>
      </c>
    </row>
    <row r="2147" spans="1:40" x14ac:dyDescent="0.25">
      <c r="A2147" t="str">
        <f>"20190304154800361"</f>
        <v>20190304154800361</v>
      </c>
      <c r="B2147" t="str">
        <f>"1551685680358325"</f>
        <v>1551685680358325</v>
      </c>
      <c r="C2147" t="s">
        <v>40</v>
      </c>
      <c r="D2147">
        <v>4.7844749999999996</v>
      </c>
      <c r="E2147">
        <v>0.60307980000000005</v>
      </c>
      <c r="F2147" t="s">
        <v>44</v>
      </c>
      <c r="G2147">
        <v>-197.87819999999999</v>
      </c>
      <c r="H2147" s="1">
        <v>-2.2974420000000001E-6</v>
      </c>
      <c r="I2147">
        <v>300.0582</v>
      </c>
      <c r="J2147">
        <v>-192.08099999999999</v>
      </c>
      <c r="K2147">
        <v>1.1105100000000001</v>
      </c>
      <c r="L2147">
        <v>328.85309999999998</v>
      </c>
      <c r="M2147">
        <v>1.0543159999999999E-2</v>
      </c>
      <c r="N2147">
        <v>-9.5093460000000001E-3</v>
      </c>
      <c r="O2147">
        <v>-0.99989939999999999</v>
      </c>
      <c r="P2147">
        <v>7.2356329999999996E-2</v>
      </c>
      <c r="Q2147">
        <v>0.1257577</v>
      </c>
      <c r="R2147">
        <v>-0.9894191</v>
      </c>
      <c r="S2147">
        <v>-0.61804199999999998</v>
      </c>
      <c r="T2147">
        <v>-0.1184378</v>
      </c>
      <c r="U2147">
        <v>-3.093353</v>
      </c>
      <c r="V2147">
        <v>-6.1928410000000003E-2</v>
      </c>
      <c r="W2147">
        <v>0.1351639</v>
      </c>
      <c r="X2147">
        <v>0.98888609999999999</v>
      </c>
      <c r="Y2147">
        <v>0.20613049999999999</v>
      </c>
      <c r="Z2147">
        <v>2.7961880000000001E-2</v>
      </c>
      <c r="AA2147">
        <v>0.97812489999999996</v>
      </c>
      <c r="AB2147">
        <v>22</v>
      </c>
      <c r="AC2147">
        <v>-5.7972000000000001</v>
      </c>
      <c r="AD2147">
        <v>-1.1105122974420001</v>
      </c>
      <c r="AE2147">
        <v>-28.794899999999899</v>
      </c>
      <c r="AF2147">
        <v>6.0917729615840299</v>
      </c>
      <c r="AG2147">
        <v>-1.1105122974420001</v>
      </c>
      <c r="AH2147">
        <v>28.691164132729099</v>
      </c>
      <c r="AI2147">
        <v>92.168280772745604</v>
      </c>
      <c r="AJ2147">
        <v>78.012844515963494</v>
      </c>
      <c r="AK2147">
        <v>29.3517603334017</v>
      </c>
      <c r="AL2147">
        <v>82.231902959866503</v>
      </c>
      <c r="AM2147">
        <v>93.583434834380498</v>
      </c>
      <c r="AN2147">
        <v>1.00000006330077</v>
      </c>
    </row>
    <row r="2148" spans="1:40" x14ac:dyDescent="0.25">
      <c r="A2148" t="str">
        <f>"20190304154800383"</f>
        <v>20190304154800383</v>
      </c>
      <c r="B2148" t="str">
        <f>"1551685680378821"</f>
        <v>1551685680378821</v>
      </c>
      <c r="C2148" t="s">
        <v>40</v>
      </c>
      <c r="D2148">
        <v>4.7866900000000001</v>
      </c>
      <c r="E2148">
        <v>0.60325620000000002</v>
      </c>
      <c r="F2148" t="s">
        <v>44</v>
      </c>
      <c r="G2148">
        <v>-197.66730000000001</v>
      </c>
      <c r="H2148" s="1">
        <v>-2.6835779999999998E-6</v>
      </c>
      <c r="I2148">
        <v>301.08909999999997</v>
      </c>
      <c r="J2148">
        <v>-192.07859999999999</v>
      </c>
      <c r="K2148">
        <v>1.110511</v>
      </c>
      <c r="L2148">
        <v>328.63249999999999</v>
      </c>
      <c r="M2148">
        <v>1.0610730000000001E-2</v>
      </c>
      <c r="N2148">
        <v>-9.5178150000000006E-3</v>
      </c>
      <c r="O2148">
        <v>-0.99989839999999997</v>
      </c>
      <c r="P2148">
        <v>7.1695099999999998E-2</v>
      </c>
      <c r="Q2148">
        <v>0.12589339999999999</v>
      </c>
      <c r="R2148">
        <v>-0.98944969999999999</v>
      </c>
      <c r="S2148">
        <v>-0.62239069999999996</v>
      </c>
      <c r="T2148">
        <v>-0.1237254</v>
      </c>
      <c r="U2148">
        <v>-3.0932620000000002</v>
      </c>
      <c r="V2148">
        <v>-6.1200070000000002E-2</v>
      </c>
      <c r="W2148">
        <v>0.13530809999999999</v>
      </c>
      <c r="X2148">
        <v>0.98891169999999995</v>
      </c>
      <c r="Y2148">
        <v>0.20751259999999999</v>
      </c>
      <c r="Z2148">
        <v>2.9614330000000001E-2</v>
      </c>
      <c r="AA2148">
        <v>0.97778399999999999</v>
      </c>
      <c r="AB2148">
        <v>22</v>
      </c>
      <c r="AC2148">
        <v>-5.58870000000001</v>
      </c>
      <c r="AD2148">
        <v>-1.1105136835780001</v>
      </c>
      <c r="AE2148">
        <v>-27.543399999999998</v>
      </c>
      <c r="AF2148">
        <v>5.8714869270017802</v>
      </c>
      <c r="AG2148">
        <v>-1.1105136835780001</v>
      </c>
      <c r="AH2148">
        <v>27.439704365521798</v>
      </c>
      <c r="AI2148">
        <v>92.266308507423304</v>
      </c>
      <c r="AJ2148">
        <v>77.922112929954196</v>
      </c>
      <c r="AK2148">
        <v>28.082823487722901</v>
      </c>
      <c r="AL2148">
        <v>82.223564126396198</v>
      </c>
      <c r="AM2148">
        <v>93.541306508415403</v>
      </c>
      <c r="AN2148">
        <v>1.00000004044525</v>
      </c>
    </row>
    <row r="2149" spans="1:40" x14ac:dyDescent="0.25">
      <c r="A2149" t="str">
        <f>"20190304154800406"</f>
        <v>20190304154800406</v>
      </c>
      <c r="B2149" t="str">
        <f>"1551685680399318"</f>
        <v>1551685680399318</v>
      </c>
      <c r="C2149" t="s">
        <v>40</v>
      </c>
      <c r="D2149">
        <v>4.7884379999999904</v>
      </c>
      <c r="E2149">
        <v>0.60335609999999995</v>
      </c>
      <c r="F2149" t="s">
        <v>44</v>
      </c>
      <c r="G2149">
        <v>-197.71170000000001</v>
      </c>
      <c r="H2149" s="1">
        <v>-2.5725630000000002E-6</v>
      </c>
      <c r="I2149">
        <v>300.80279999999999</v>
      </c>
      <c r="J2149">
        <v>-192.0762</v>
      </c>
      <c r="K2149">
        <v>1.11052</v>
      </c>
      <c r="L2149">
        <v>328.4119</v>
      </c>
      <c r="M2149">
        <v>1.067412E-2</v>
      </c>
      <c r="N2149">
        <v>-9.5312839999999992E-3</v>
      </c>
      <c r="O2149">
        <v>-0.99989799999999995</v>
      </c>
      <c r="P2149">
        <v>7.104771E-2</v>
      </c>
      <c r="Q2149">
        <v>0.12603239999999999</v>
      </c>
      <c r="R2149">
        <v>-0.98947890000000005</v>
      </c>
      <c r="S2149">
        <v>-0.62608339999999996</v>
      </c>
      <c r="T2149">
        <v>-0.12342599999999999</v>
      </c>
      <c r="U2149">
        <v>-3.0930789999999999</v>
      </c>
      <c r="V2149">
        <v>-6.0489090000000002E-2</v>
      </c>
      <c r="W2149">
        <v>0.1354611</v>
      </c>
      <c r="X2149">
        <v>0.98893450000000005</v>
      </c>
      <c r="Y2149">
        <v>0.2087077</v>
      </c>
      <c r="Z2149">
        <v>2.9498779999999999E-2</v>
      </c>
      <c r="AA2149">
        <v>0.97753310000000004</v>
      </c>
      <c r="AB2149">
        <v>22</v>
      </c>
      <c r="AC2149">
        <v>-5.6355000000000004</v>
      </c>
      <c r="AD2149">
        <v>-1.1105225725629999</v>
      </c>
      <c r="AE2149">
        <v>-27.609100000000002</v>
      </c>
      <c r="AF2149">
        <v>5.92069910358624</v>
      </c>
      <c r="AG2149">
        <v>-1.1105225725629999</v>
      </c>
      <c r="AH2149">
        <v>27.504650497263299</v>
      </c>
      <c r="AI2149">
        <v>92.260385845075106</v>
      </c>
      <c r="AJ2149">
        <v>77.85178623553</v>
      </c>
      <c r="AK2149">
        <v>28.1565931397245</v>
      </c>
      <c r="AL2149">
        <v>82.2147164284127</v>
      </c>
      <c r="AM2149">
        <v>93.500188448647194</v>
      </c>
      <c r="AN2149">
        <v>1.0000000424562401</v>
      </c>
    </row>
    <row r="2150" spans="1:40" x14ac:dyDescent="0.25">
      <c r="A2150" t="str">
        <f>"20190304154800429"</f>
        <v>20190304154800429</v>
      </c>
      <c r="B2150" t="str">
        <f>"1551685680419347"</f>
        <v>1551685680419347</v>
      </c>
      <c r="C2150" t="s">
        <v>40</v>
      </c>
      <c r="D2150">
        <v>4.7392300000000001</v>
      </c>
      <c r="E2150">
        <v>0.60350079999999995</v>
      </c>
      <c r="F2150" t="s">
        <v>44</v>
      </c>
      <c r="G2150">
        <v>-197.7689</v>
      </c>
      <c r="H2150" s="1">
        <v>-2.425456E-6</v>
      </c>
      <c r="I2150">
        <v>300.42450000000002</v>
      </c>
      <c r="J2150">
        <v>-192.07380000000001</v>
      </c>
      <c r="K2150">
        <v>1.1105229999999999</v>
      </c>
      <c r="L2150">
        <v>328.19220000000001</v>
      </c>
      <c r="M2150">
        <v>1.072846E-2</v>
      </c>
      <c r="N2150">
        <v>-9.5484309999999996E-3</v>
      </c>
      <c r="O2150">
        <v>-0.99989720000000004</v>
      </c>
      <c r="P2150">
        <v>7.113042E-2</v>
      </c>
      <c r="Q2150">
        <v>0.12651419999999999</v>
      </c>
      <c r="R2150">
        <v>-0.98941159999999995</v>
      </c>
      <c r="S2150">
        <v>-0.62905880000000003</v>
      </c>
      <c r="T2150">
        <v>-0.12271559999999999</v>
      </c>
      <c r="U2150">
        <v>-3.0926819999999999</v>
      </c>
      <c r="V2150">
        <v>-6.0516979999999998E-2</v>
      </c>
      <c r="W2150">
        <v>0.13595960000000001</v>
      </c>
      <c r="X2150">
        <v>0.98886439999999998</v>
      </c>
      <c r="Y2150">
        <v>0.20968980000000001</v>
      </c>
      <c r="Z2150">
        <v>2.9254180000000001E-2</v>
      </c>
      <c r="AA2150">
        <v>0.97733029999999999</v>
      </c>
      <c r="AB2150">
        <v>22</v>
      </c>
      <c r="AC2150">
        <v>-5.6950999999999903</v>
      </c>
      <c r="AD2150">
        <v>-1.110525425456</v>
      </c>
      <c r="AE2150">
        <v>-27.767699999999898</v>
      </c>
      <c r="AF2150">
        <v>5.9835062159916301</v>
      </c>
      <c r="AG2150">
        <v>-1.110525425456</v>
      </c>
      <c r="AH2150">
        <v>27.662539913654701</v>
      </c>
      <c r="AI2150">
        <v>92.247021051191794</v>
      </c>
      <c r="AJ2150">
        <v>77.794749733813106</v>
      </c>
      <c r="AK2150">
        <v>28.324048577700399</v>
      </c>
      <c r="AL2150">
        <v>82.185887911725303</v>
      </c>
      <c r="AM2150">
        <v>93.502045905207794</v>
      </c>
      <c r="AN2150">
        <v>1.00000005964391</v>
      </c>
    </row>
    <row r="2151" spans="1:40" x14ac:dyDescent="0.25">
      <c r="A2151" t="str">
        <f>"20190304154800450"</f>
        <v>20190304154800450</v>
      </c>
      <c r="B2151" t="str">
        <f>"1551685680438864"</f>
        <v>1551685680438864</v>
      </c>
      <c r="C2151" t="s">
        <v>40</v>
      </c>
      <c r="D2151">
        <v>4.6952339999999904</v>
      </c>
      <c r="E2151">
        <v>0.60359319999999905</v>
      </c>
      <c r="F2151" t="s">
        <v>54</v>
      </c>
      <c r="G2151">
        <v>-197.94049999999999</v>
      </c>
      <c r="H2151" s="1">
        <v>3.4980800000000003E-8</v>
      </c>
      <c r="I2151">
        <v>299.41770000000002</v>
      </c>
      <c r="J2151">
        <v>-192.07149999999999</v>
      </c>
      <c r="K2151">
        <v>1.1105229999999999</v>
      </c>
      <c r="L2151">
        <v>327.9846</v>
      </c>
      <c r="M2151">
        <v>1.076795E-2</v>
      </c>
      <c r="N2151">
        <v>-9.5656890000000005E-3</v>
      </c>
      <c r="O2151">
        <v>-0.99989649999999997</v>
      </c>
      <c r="P2151">
        <v>7.0827609999999999E-2</v>
      </c>
      <c r="Q2151">
        <v>0.12704380000000001</v>
      </c>
      <c r="R2151">
        <v>-0.98936550000000001</v>
      </c>
      <c r="S2151">
        <v>-0.63056950000000001</v>
      </c>
      <c r="T2151">
        <v>-0.1193613</v>
      </c>
      <c r="U2151">
        <v>-3.092743</v>
      </c>
      <c r="V2151">
        <v>-6.0172910000000003E-2</v>
      </c>
      <c r="W2151">
        <v>0.1365075</v>
      </c>
      <c r="X2151">
        <v>0.98880979999999996</v>
      </c>
      <c r="Y2151">
        <v>0.21018999999999999</v>
      </c>
      <c r="Z2151">
        <v>2.8172679999999999E-2</v>
      </c>
      <c r="AA2151">
        <v>0.97725459999999997</v>
      </c>
      <c r="AB2151">
        <v>22</v>
      </c>
      <c r="AC2151">
        <v>-5.8689999999999998</v>
      </c>
      <c r="AD2151">
        <v>-1.1105229650191999</v>
      </c>
      <c r="AE2151">
        <v>-28.566899999999901</v>
      </c>
      <c r="AF2151">
        <v>6.1673378948899096</v>
      </c>
      <c r="AG2151">
        <v>-1.1105229650191999</v>
      </c>
      <c r="AH2151">
        <v>28.460774968329801</v>
      </c>
      <c r="AI2151">
        <v>92.183879168349193</v>
      </c>
      <c r="AJ2151">
        <v>77.773268552790896</v>
      </c>
      <c r="AK2151">
        <v>29.1424952563003</v>
      </c>
      <c r="AL2151">
        <v>82.154199245786899</v>
      </c>
      <c r="AM2151">
        <v>93.482375920749803</v>
      </c>
      <c r="AN2151">
        <v>0.99999994861507702</v>
      </c>
    </row>
    <row r="2152" spans="1:40" x14ac:dyDescent="0.25">
      <c r="A2152" t="str">
        <f>"20190304154800473"</f>
        <v>20190304154800473</v>
      </c>
      <c r="B2152" t="str">
        <f>"1551685680469120"</f>
        <v>1551685680469120</v>
      </c>
      <c r="C2152" t="s">
        <v>40</v>
      </c>
      <c r="D2152">
        <v>4.6722000000000001</v>
      </c>
      <c r="E2152">
        <v>0.60386600000000001</v>
      </c>
      <c r="F2152" t="s">
        <v>54</v>
      </c>
      <c r="G2152">
        <v>-198.08080000000001</v>
      </c>
      <c r="H2152" s="1">
        <v>1.8024359999999999E-7</v>
      </c>
      <c r="I2152">
        <v>298.59289999999999</v>
      </c>
      <c r="J2152">
        <v>-192.06909999999999</v>
      </c>
      <c r="K2152">
        <v>1.1105080000000001</v>
      </c>
      <c r="L2152">
        <v>327.76900000000001</v>
      </c>
      <c r="M2152">
        <v>1.079479E-2</v>
      </c>
      <c r="N2152">
        <v>-9.5831709999999997E-3</v>
      </c>
      <c r="O2152">
        <v>-0.9998958</v>
      </c>
      <c r="P2152">
        <v>7.0426349999999999E-2</v>
      </c>
      <c r="Q2152">
        <v>0.1270376</v>
      </c>
      <c r="R2152">
        <v>-0.98939449999999995</v>
      </c>
      <c r="S2152">
        <v>-0.63229369999999996</v>
      </c>
      <c r="T2152">
        <v>-0.1168479</v>
      </c>
      <c r="U2152">
        <v>-3.0925600000000002</v>
      </c>
      <c r="V2152">
        <v>-5.97409E-2</v>
      </c>
      <c r="W2152">
        <v>0.13652069999999999</v>
      </c>
      <c r="X2152">
        <v>0.9888342</v>
      </c>
      <c r="Y2152">
        <v>0.21075569999999999</v>
      </c>
      <c r="Z2152">
        <v>2.7359029999999999E-2</v>
      </c>
      <c r="AA2152">
        <v>0.97715589999999997</v>
      </c>
      <c r="AB2152">
        <v>22</v>
      </c>
      <c r="AC2152">
        <v>-6.01170000000001</v>
      </c>
      <c r="AD2152">
        <v>-1.11050781975639</v>
      </c>
      <c r="AE2152">
        <v>-29.176100000000002</v>
      </c>
      <c r="AF2152">
        <v>6.3175343546266998</v>
      </c>
      <c r="AG2152">
        <v>-1.11050781975639</v>
      </c>
      <c r="AH2152">
        <v>29.069103608449701</v>
      </c>
      <c r="AI2152">
        <v>92.1379110812085</v>
      </c>
      <c r="AJ2152">
        <v>77.738681797558797</v>
      </c>
      <c r="AK2152">
        <v>29.768393516251599</v>
      </c>
      <c r="AL2152">
        <v>82.153436009368605</v>
      </c>
      <c r="AM2152">
        <v>93.457350044644798</v>
      </c>
      <c r="AN2152">
        <v>0.99999997587546896</v>
      </c>
    </row>
    <row r="2153" spans="1:40" x14ac:dyDescent="0.25">
      <c r="A2153" t="str">
        <f>"20190304154800496"</f>
        <v>20190304154800496</v>
      </c>
      <c r="B2153" t="str">
        <f>"1551685680488642"</f>
        <v>1551685680488642</v>
      </c>
      <c r="C2153" t="s">
        <v>40</v>
      </c>
      <c r="D2153">
        <v>4.6605819999999998</v>
      </c>
      <c r="E2153">
        <v>0.60413589999999995</v>
      </c>
      <c r="F2153" t="s">
        <v>54</v>
      </c>
      <c r="G2153">
        <v>-198.1499</v>
      </c>
      <c r="H2153" s="1">
        <v>2.5478159999999999E-7</v>
      </c>
      <c r="I2153">
        <v>298.1696</v>
      </c>
      <c r="J2153">
        <v>-192.06649999999999</v>
      </c>
      <c r="K2153">
        <v>1.1105</v>
      </c>
      <c r="L2153">
        <v>327.52760000000001</v>
      </c>
      <c r="M2153">
        <v>1.081031E-2</v>
      </c>
      <c r="N2153">
        <v>-9.6017410000000004E-3</v>
      </c>
      <c r="O2153">
        <v>-0.9998956</v>
      </c>
      <c r="P2153">
        <v>7.0545060000000007E-2</v>
      </c>
      <c r="Q2153">
        <v>0.1269441</v>
      </c>
      <c r="R2153">
        <v>-0.98939809999999995</v>
      </c>
      <c r="S2153">
        <v>-0.63526919999999898</v>
      </c>
      <c r="T2153">
        <v>-0.1160153</v>
      </c>
      <c r="U2153">
        <v>-3.0922550000000002</v>
      </c>
      <c r="V2153">
        <v>-5.9840530000000003E-2</v>
      </c>
      <c r="W2153">
        <v>0.1364475</v>
      </c>
      <c r="X2153">
        <v>0.98883829999999995</v>
      </c>
      <c r="Y2153">
        <v>0.21169350000000001</v>
      </c>
      <c r="Z2153">
        <v>2.7073679999999999E-2</v>
      </c>
      <c r="AA2153">
        <v>0.97696099999999997</v>
      </c>
      <c r="AB2153">
        <v>22</v>
      </c>
      <c r="AC2153">
        <v>-6.0834000000000099</v>
      </c>
      <c r="AD2153">
        <v>-1.1104997452184</v>
      </c>
      <c r="AE2153">
        <v>-29.358000000000001</v>
      </c>
      <c r="AF2153">
        <v>6.3916593839333604</v>
      </c>
      <c r="AG2153">
        <v>-1.1104997452184</v>
      </c>
      <c r="AH2153">
        <v>29.250389002555099</v>
      </c>
      <c r="AI2153">
        <v>92.124133451774696</v>
      </c>
      <c r="AJ2153">
        <v>77.6737431099274</v>
      </c>
      <c r="AK2153">
        <v>29.961171141414798</v>
      </c>
      <c r="AL2153">
        <v>82.157669840203894</v>
      </c>
      <c r="AM2153">
        <v>93.463087528149202</v>
      </c>
      <c r="AN2153">
        <v>0.99999999641690995</v>
      </c>
    </row>
    <row r="2154" spans="1:40" x14ac:dyDescent="0.25">
      <c r="A2154" t="str">
        <f>"20190304154800518"</f>
        <v>20190304154800518</v>
      </c>
      <c r="B2154" t="str">
        <f>"1551685680509136"</f>
        <v>1551685680509136</v>
      </c>
      <c r="C2154" t="s">
        <v>40</v>
      </c>
      <c r="D2154">
        <v>4.6268599999999998</v>
      </c>
      <c r="E2154">
        <v>0.6044001</v>
      </c>
      <c r="F2154" t="s">
        <v>54</v>
      </c>
      <c r="G2154">
        <v>-198.20050000000001</v>
      </c>
      <c r="H2154" s="1">
        <v>3.2911410000000001E-7</v>
      </c>
      <c r="I2154">
        <v>297.74759999999998</v>
      </c>
      <c r="J2154">
        <v>-192.0641</v>
      </c>
      <c r="K2154">
        <v>1.110493</v>
      </c>
      <c r="L2154">
        <v>327.3057</v>
      </c>
      <c r="M2154">
        <v>1.081507E-2</v>
      </c>
      <c r="N2154">
        <v>-9.6178779999999998E-3</v>
      </c>
      <c r="O2154">
        <v>-0.9998956</v>
      </c>
      <c r="P2154">
        <v>7.0949730000000003E-2</v>
      </c>
      <c r="Q2154">
        <v>0.1266552</v>
      </c>
      <c r="R2154">
        <v>-0.98940649999999997</v>
      </c>
      <c r="S2154">
        <v>-0.63694759999999995</v>
      </c>
      <c r="T2154">
        <v>-0.1153126</v>
      </c>
      <c r="U2154">
        <v>-3.0923159999999998</v>
      </c>
      <c r="V2154">
        <v>-6.023746E-2</v>
      </c>
      <c r="W2154">
        <v>0.13617499999999999</v>
      </c>
      <c r="X2154">
        <v>0.98885179999999995</v>
      </c>
      <c r="Y2154">
        <v>0.21220449999999999</v>
      </c>
      <c r="Z2154">
        <v>2.683083E-2</v>
      </c>
      <c r="AA2154">
        <v>0.97685690000000003</v>
      </c>
      <c r="AB2154">
        <v>22</v>
      </c>
      <c r="AC2154">
        <v>-6.1364000000000001</v>
      </c>
      <c r="AD2154">
        <v>-1.1104926708859</v>
      </c>
      <c r="AE2154">
        <v>-29.5581</v>
      </c>
      <c r="AF2154">
        <v>6.4470047834521402</v>
      </c>
      <c r="AG2154">
        <v>-1.1104926708859</v>
      </c>
      <c r="AH2154">
        <v>29.450151427391798</v>
      </c>
      <c r="AI2154">
        <v>92.109550247547304</v>
      </c>
      <c r="AJ2154">
        <v>77.652030406445405</v>
      </c>
      <c r="AK2154">
        <v>30.168004304996</v>
      </c>
      <c r="AL2154">
        <v>82.173430327535897</v>
      </c>
      <c r="AM2154">
        <v>93.485954701446602</v>
      </c>
      <c r="AN2154">
        <v>1.00000003228774</v>
      </c>
    </row>
    <row r="2155" spans="1:40" x14ac:dyDescent="0.25">
      <c r="A2155" t="str">
        <f>"20190304154800541"</f>
        <v>20190304154800541</v>
      </c>
      <c r="B2155" t="str">
        <f>"1551685680538416"</f>
        <v>1551685680538416</v>
      </c>
      <c r="C2155" t="s">
        <v>40</v>
      </c>
      <c r="D2155">
        <v>4.5945309999999999</v>
      </c>
      <c r="E2155">
        <v>0.60495059999999901</v>
      </c>
      <c r="F2155" t="s">
        <v>54</v>
      </c>
      <c r="G2155">
        <v>-198.239</v>
      </c>
      <c r="H2155" s="1">
        <v>3.942997E-7</v>
      </c>
      <c r="I2155">
        <v>297.37740000000002</v>
      </c>
      <c r="J2155">
        <v>-192.0617</v>
      </c>
      <c r="K2155">
        <v>1.1104889999999901</v>
      </c>
      <c r="L2155">
        <v>327.08679999999998</v>
      </c>
      <c r="M2155">
        <v>1.080936E-2</v>
      </c>
      <c r="N2155">
        <v>-9.6327579999999999E-3</v>
      </c>
      <c r="O2155">
        <v>-0.99989530000000004</v>
      </c>
      <c r="P2155">
        <v>7.1297749999999993E-2</v>
      </c>
      <c r="Q2155">
        <v>0.1265597</v>
      </c>
      <c r="R2155">
        <v>-0.98939379999999999</v>
      </c>
      <c r="S2155">
        <v>-0.6380768</v>
      </c>
      <c r="T2155">
        <v>-0.11475100000000001</v>
      </c>
      <c r="U2155">
        <v>-3.09259</v>
      </c>
      <c r="V2155">
        <v>-6.0589419999999998E-2</v>
      </c>
      <c r="W2155">
        <v>0.1360951</v>
      </c>
      <c r="X2155">
        <v>0.98884119999999998</v>
      </c>
      <c r="Y2155">
        <v>0.21252499999999999</v>
      </c>
      <c r="Z2155">
        <v>2.6632820000000001E-2</v>
      </c>
      <c r="AA2155">
        <v>0.97679260000000001</v>
      </c>
      <c r="AB2155">
        <v>22</v>
      </c>
      <c r="AC2155">
        <v>-6.1772999999999998</v>
      </c>
      <c r="AD2155">
        <v>-1.1104886057002901</v>
      </c>
      <c r="AE2155">
        <v>-29.709399999999899</v>
      </c>
      <c r="AF2155">
        <v>6.4894026455973703</v>
      </c>
      <c r="AG2155">
        <v>-1.1104886057002901</v>
      </c>
      <c r="AH2155">
        <v>29.601245123083402</v>
      </c>
      <c r="AI2155">
        <v>92.098646415501904</v>
      </c>
      <c r="AJ2155">
        <v>77.634813942483504</v>
      </c>
      <c r="AK2155">
        <v>30.3245650335985</v>
      </c>
      <c r="AL2155">
        <v>82.178050525483101</v>
      </c>
      <c r="AM2155">
        <v>93.506309527749707</v>
      </c>
      <c r="AN2155">
        <v>0.99999993643869101</v>
      </c>
    </row>
    <row r="2156" spans="1:40" x14ac:dyDescent="0.25">
      <c r="A2156" t="str">
        <f>"20190304154800563"</f>
        <v>20190304154800563</v>
      </c>
      <c r="B2156" t="str">
        <f>"1551685680558912"</f>
        <v>1551685680558912</v>
      </c>
      <c r="C2156" t="s">
        <v>40</v>
      </c>
      <c r="D2156">
        <v>4.6087030000000002</v>
      </c>
      <c r="E2156">
        <v>0.60525069999999903</v>
      </c>
      <c r="F2156" t="s">
        <v>54</v>
      </c>
      <c r="G2156">
        <v>-198.35489999999999</v>
      </c>
      <c r="H2156" s="1">
        <v>5.0621040000000005E-7</v>
      </c>
      <c r="I2156">
        <v>296.74200000000002</v>
      </c>
      <c r="J2156">
        <v>-192.05940000000001</v>
      </c>
      <c r="K2156">
        <v>1.1104780000000001</v>
      </c>
      <c r="L2156">
        <v>326.87200000000001</v>
      </c>
      <c r="M2156">
        <v>1.078672E-2</v>
      </c>
      <c r="N2156">
        <v>-9.6463769999999994E-3</v>
      </c>
      <c r="O2156">
        <v>-0.99989530000000004</v>
      </c>
      <c r="P2156">
        <v>7.1167519999999998E-2</v>
      </c>
      <c r="Q2156">
        <v>0.12644339999999901</v>
      </c>
      <c r="R2156">
        <v>-0.98941769999999996</v>
      </c>
      <c r="S2156">
        <v>-0.6414185</v>
      </c>
      <c r="T2156">
        <v>-0.1131843</v>
      </c>
      <c r="U2156">
        <v>-3.0928339999999999</v>
      </c>
      <c r="V2156">
        <v>-6.0479449999999997E-2</v>
      </c>
      <c r="W2156">
        <v>0.13599349999999999</v>
      </c>
      <c r="X2156">
        <v>0.98886200000000002</v>
      </c>
      <c r="Y2156">
        <v>0.21350250000000001</v>
      </c>
      <c r="Z2156">
        <v>2.6113979999999998E-2</v>
      </c>
      <c r="AA2156">
        <v>0.97659339999999994</v>
      </c>
      <c r="AB2156">
        <v>22</v>
      </c>
      <c r="AC2156">
        <v>-6.2954999999999703</v>
      </c>
      <c r="AD2156">
        <v>-1.1104774937896</v>
      </c>
      <c r="AE2156">
        <v>-30.1299999999999</v>
      </c>
      <c r="AF2156">
        <v>6.6115473928351403</v>
      </c>
      <c r="AG2156">
        <v>-1.1104774937896</v>
      </c>
      <c r="AH2156">
        <v>30.0212615913394</v>
      </c>
      <c r="AI2156">
        <v>92.068856082894001</v>
      </c>
      <c r="AJ2156">
        <v>77.5800762157522</v>
      </c>
      <c r="AK2156">
        <v>30.760719541771898</v>
      </c>
      <c r="AL2156">
        <v>82.183927106865497</v>
      </c>
      <c r="AM2156">
        <v>93.499887961909906</v>
      </c>
      <c r="AN2156">
        <v>1.00000002547927</v>
      </c>
    </row>
    <row r="2157" spans="1:40" x14ac:dyDescent="0.25">
      <c r="A2157" t="str">
        <f>"20190304154800585"</f>
        <v>20190304154800585</v>
      </c>
      <c r="B2157" t="str">
        <f>"1551685680578433"</f>
        <v>1551685680578433</v>
      </c>
      <c r="C2157" t="s">
        <v>40</v>
      </c>
      <c r="D2157">
        <v>4.6370659999999999</v>
      </c>
      <c r="E2157">
        <v>0.60542769999999901</v>
      </c>
      <c r="F2157" t="s">
        <v>54</v>
      </c>
      <c r="G2157">
        <v>-198.36750000000001</v>
      </c>
      <c r="H2157" s="1">
        <v>5.386368E-7</v>
      </c>
      <c r="I2157">
        <v>296.55790000000002</v>
      </c>
      <c r="J2157">
        <v>-192.05709999999999</v>
      </c>
      <c r="K2157">
        <v>1.1104620000000001</v>
      </c>
      <c r="L2157">
        <v>326.65300000000002</v>
      </c>
      <c r="M2157">
        <v>1.073959E-2</v>
      </c>
      <c r="N2157">
        <v>-9.6593029999999993E-3</v>
      </c>
      <c r="O2157">
        <v>-0.99989600000000001</v>
      </c>
      <c r="P2157">
        <v>7.128089E-2</v>
      </c>
      <c r="Q2157">
        <v>0.12624839999999901</v>
      </c>
      <c r="R2157">
        <v>-0.9894347</v>
      </c>
      <c r="S2157">
        <v>-0.64360050000000002</v>
      </c>
      <c r="T2157">
        <v>-0.11329889999999999</v>
      </c>
      <c r="U2157">
        <v>-3.0928650000000002</v>
      </c>
      <c r="V2157">
        <v>-6.0635149999999999E-2</v>
      </c>
      <c r="W2157">
        <v>0.13581360000000001</v>
      </c>
      <c r="X2157">
        <v>0.98887720000000001</v>
      </c>
      <c r="Y2157">
        <v>0.21411469999999999</v>
      </c>
      <c r="Z2157">
        <v>2.6131939999999999E-2</v>
      </c>
      <c r="AA2157">
        <v>0.97645890000000002</v>
      </c>
      <c r="AB2157">
        <v>22</v>
      </c>
      <c r="AC2157">
        <v>-6.3104000000000102</v>
      </c>
      <c r="AD2157">
        <v>-1.1104614613632</v>
      </c>
      <c r="AE2157">
        <v>-30.095099999999999</v>
      </c>
      <c r="AF2157">
        <v>6.6246205232911297</v>
      </c>
      <c r="AG2157">
        <v>-1.1104614613632</v>
      </c>
      <c r="AH2157">
        <v>29.986482987426101</v>
      </c>
      <c r="AI2157">
        <v>92.070922666226593</v>
      </c>
      <c r="AJ2157">
        <v>77.542300349615303</v>
      </c>
      <c r="AK2157">
        <v>30.729592963298</v>
      </c>
      <c r="AL2157">
        <v>82.194331228051794</v>
      </c>
      <c r="AM2157">
        <v>93.5088218890902</v>
      </c>
      <c r="AN2157">
        <v>1.00000003602016</v>
      </c>
    </row>
    <row r="2158" spans="1:40" x14ac:dyDescent="0.25">
      <c r="A2158" t="str">
        <f>"20190304154800607"</f>
        <v>20190304154800607</v>
      </c>
      <c r="B2158" t="str">
        <f>"1551685680598928"</f>
        <v>1551685680598928</v>
      </c>
      <c r="C2158" t="s">
        <v>40</v>
      </c>
      <c r="D2158">
        <v>4.6641760000000003</v>
      </c>
      <c r="E2158">
        <v>0.60546759999999999</v>
      </c>
      <c r="F2158" t="s">
        <v>54</v>
      </c>
      <c r="G2158">
        <v>-198.33539999999999</v>
      </c>
      <c r="H2158" s="1">
        <v>5.4429200000000001E-7</v>
      </c>
      <c r="I2158">
        <v>296.5258</v>
      </c>
      <c r="J2158">
        <v>-192.0548</v>
      </c>
      <c r="K2158">
        <v>1.11043799999999</v>
      </c>
      <c r="L2158">
        <v>326.42950000000002</v>
      </c>
      <c r="M2158">
        <v>1.066244E-2</v>
      </c>
      <c r="N2158">
        <v>-9.6716300000000005E-3</v>
      </c>
      <c r="O2158">
        <v>-0.99989629999999996</v>
      </c>
      <c r="P2158">
        <v>7.0866100000000001E-2</v>
      </c>
      <c r="Q2158">
        <v>0.12620689999999901</v>
      </c>
      <c r="R2158">
        <v>-0.9894695</v>
      </c>
      <c r="S2158">
        <v>-0.64456179999999996</v>
      </c>
      <c r="T2158">
        <v>-0.1140057</v>
      </c>
      <c r="U2158">
        <v>-3.0930179999999998</v>
      </c>
      <c r="V2158">
        <v>-6.0289740000000001E-2</v>
      </c>
      <c r="W2158">
        <v>0.13578709999999999</v>
      </c>
      <c r="X2158">
        <v>0.9889019</v>
      </c>
      <c r="Y2158">
        <v>0.21431910000000001</v>
      </c>
      <c r="Z2158">
        <v>2.6339109999999999E-2</v>
      </c>
      <c r="AA2158">
        <v>0.97640850000000001</v>
      </c>
      <c r="AB2158">
        <v>22</v>
      </c>
      <c r="AC2158">
        <v>-6.28059999999999</v>
      </c>
      <c r="AD2158">
        <v>-1.1104374557079999</v>
      </c>
      <c r="AE2158">
        <v>-29.903700000000001</v>
      </c>
      <c r="AF2158">
        <v>6.5904006025090203</v>
      </c>
      <c r="AG2158">
        <v>-1.1104374557079999</v>
      </c>
      <c r="AH2158">
        <v>29.7956802923288</v>
      </c>
      <c r="AI2158">
        <v>92.084010738184304</v>
      </c>
      <c r="AJ2158">
        <v>77.5277576016192</v>
      </c>
      <c r="AK2158">
        <v>30.5360281557255</v>
      </c>
      <c r="AL2158">
        <v>82.195863311914096</v>
      </c>
      <c r="AM2158">
        <v>93.488796363286994</v>
      </c>
      <c r="AN2158">
        <v>0.99999997854964295</v>
      </c>
    </row>
    <row r="2159" spans="1:40" x14ac:dyDescent="0.25">
      <c r="A2159" t="str">
        <f>"20190304154800630"</f>
        <v>20190304154800630</v>
      </c>
      <c r="B2159" t="str">
        <f>"1551685680618451"</f>
        <v>1551685680618451</v>
      </c>
      <c r="C2159" t="s">
        <v>40</v>
      </c>
      <c r="D2159">
        <v>4.6325960000000004</v>
      </c>
      <c r="E2159">
        <v>0.60552589999999995</v>
      </c>
      <c r="F2159" t="s">
        <v>54</v>
      </c>
      <c r="G2159">
        <v>-198.30670000000001</v>
      </c>
      <c r="H2159" s="1">
        <v>5.4555569999999898E-7</v>
      </c>
      <c r="I2159">
        <v>296.51859999999999</v>
      </c>
      <c r="J2159">
        <v>-192.05250000000001</v>
      </c>
      <c r="K2159">
        <v>1.1104160000000001</v>
      </c>
      <c r="L2159">
        <v>326.2099</v>
      </c>
      <c r="M2159">
        <v>1.055529E-2</v>
      </c>
      <c r="N2159">
        <v>-9.6830470000000002E-3</v>
      </c>
      <c r="O2159">
        <v>-0.99989779999999995</v>
      </c>
      <c r="P2159">
        <v>7.0643880000000006E-2</v>
      </c>
      <c r="Q2159">
        <v>0.12632660000000001</v>
      </c>
      <c r="R2159">
        <v>-0.98947059999999998</v>
      </c>
      <c r="S2159">
        <v>-0.64646910000000002</v>
      </c>
      <c r="T2159">
        <v>-0.1148221</v>
      </c>
      <c r="U2159">
        <v>-3.0928650000000002</v>
      </c>
      <c r="V2159">
        <v>-6.0165549999999998E-2</v>
      </c>
      <c r="W2159">
        <v>0.13592179999999901</v>
      </c>
      <c r="X2159">
        <v>0.98889099999999996</v>
      </c>
      <c r="Y2159">
        <v>0.2147993</v>
      </c>
      <c r="Z2159">
        <v>2.6583059999999999E-2</v>
      </c>
      <c r="AA2159">
        <v>0.97629639999999995</v>
      </c>
      <c r="AB2159">
        <v>22</v>
      </c>
      <c r="AC2159">
        <v>-6.2541999999999902</v>
      </c>
      <c r="AD2159">
        <v>-1.1104154544442999</v>
      </c>
      <c r="AE2159">
        <v>-29.691299999999998</v>
      </c>
      <c r="AF2159">
        <v>6.5584830251280497</v>
      </c>
      <c r="AG2159">
        <v>-1.1104154544442999</v>
      </c>
      <c r="AH2159">
        <v>29.584007738700301</v>
      </c>
      <c r="AI2159">
        <v>92.098643973936504</v>
      </c>
      <c r="AJ2159">
        <v>77.500246605884499</v>
      </c>
      <c r="AK2159">
        <v>30.3226027239721</v>
      </c>
      <c r="AL2159">
        <v>82.188073669887501</v>
      </c>
      <c r="AM2159">
        <v>93.4816658175518</v>
      </c>
      <c r="AN2159">
        <v>1.00000001950152</v>
      </c>
    </row>
    <row r="2160" spans="1:40" x14ac:dyDescent="0.25">
      <c r="A2160" t="str">
        <f>"20190304154800674"</f>
        <v>20190304154800674</v>
      </c>
      <c r="B2160" t="str">
        <f>"1551685680669201"</f>
        <v>1551685680669201</v>
      </c>
      <c r="C2160" t="s">
        <v>40</v>
      </c>
      <c r="D2160">
        <v>4.56928</v>
      </c>
      <c r="E2160">
        <v>0.60558069999999997</v>
      </c>
      <c r="F2160" t="s">
        <v>54</v>
      </c>
      <c r="G2160">
        <v>-198.32339999999999</v>
      </c>
      <c r="H2160" s="1">
        <v>5.9130200000000001E-7</v>
      </c>
      <c r="I2160">
        <v>296.25889999999998</v>
      </c>
      <c r="J2160">
        <v>-192.04830000000001</v>
      </c>
      <c r="K2160">
        <v>1.110376</v>
      </c>
      <c r="L2160">
        <v>325.77249999999998</v>
      </c>
      <c r="M2160">
        <v>1.024451E-2</v>
      </c>
      <c r="N2160">
        <v>-9.7038620000000006E-3</v>
      </c>
      <c r="O2160">
        <v>-0.99990060000000003</v>
      </c>
      <c r="P2160">
        <v>6.9455489999999995E-2</v>
      </c>
      <c r="Q2160">
        <v>0.1265211</v>
      </c>
      <c r="R2160">
        <v>-0.98952960000000001</v>
      </c>
      <c r="S2160">
        <v>-0.64755249999999998</v>
      </c>
      <c r="T2160">
        <v>-0.1146648</v>
      </c>
      <c r="U2160">
        <v>-3.0928339999999999</v>
      </c>
      <c r="V2160">
        <v>-5.926729E-2</v>
      </c>
      <c r="W2160">
        <v>0.1361443</v>
      </c>
      <c r="X2160">
        <v>0.98891459999999998</v>
      </c>
      <c r="Y2160">
        <v>0.21482570000000001</v>
      </c>
      <c r="Z2160">
        <v>2.6512009999999999E-2</v>
      </c>
      <c r="AA2160">
        <v>0.97629250000000001</v>
      </c>
      <c r="AB2160">
        <v>22</v>
      </c>
      <c r="AC2160">
        <v>-6.2750999999999797</v>
      </c>
      <c r="AD2160">
        <v>-1.110375408698</v>
      </c>
      <c r="AE2160">
        <v>-29.5136</v>
      </c>
      <c r="AF2160">
        <v>6.5682423024377199</v>
      </c>
      <c r="AG2160">
        <v>-1.110375408698</v>
      </c>
      <c r="AH2160">
        <v>29.407937549891301</v>
      </c>
      <c r="AI2160">
        <v>92.110379657619802</v>
      </c>
      <c r="AJ2160">
        <v>77.409669039716803</v>
      </c>
      <c r="AK2160">
        <v>30.152968865935598</v>
      </c>
      <c r="AL2160">
        <v>82.175205463950903</v>
      </c>
      <c r="AM2160">
        <v>93.429728592058197</v>
      </c>
      <c r="AN2160">
        <v>0.99999998408979596</v>
      </c>
    </row>
    <row r="2161" spans="1:40" x14ac:dyDescent="0.25">
      <c r="A2161" t="str">
        <f>"20190304154800698"</f>
        <v>20190304154800698</v>
      </c>
      <c r="B2161" t="str">
        <f>"1551685680688720"</f>
        <v>1551685680688720</v>
      </c>
      <c r="C2161" t="s">
        <v>40</v>
      </c>
      <c r="D2161">
        <v>4.6076199999999998</v>
      </c>
      <c r="E2161">
        <v>0.55907050000000003</v>
      </c>
      <c r="F2161" t="s">
        <v>54</v>
      </c>
      <c r="G2161">
        <v>-198.3793</v>
      </c>
      <c r="H2161" s="1">
        <v>6.8784719999999896E-7</v>
      </c>
      <c r="I2161">
        <v>295.71069999999997</v>
      </c>
      <c r="J2161">
        <v>-192.04599999999999</v>
      </c>
      <c r="K2161">
        <v>1.1103590000000001</v>
      </c>
      <c r="L2161">
        <v>325.52640000000002</v>
      </c>
      <c r="M2161">
        <v>1.0018279999999999E-2</v>
      </c>
      <c r="N2161">
        <v>-9.7145800000000004E-3</v>
      </c>
      <c r="O2161">
        <v>-0.99990279999999998</v>
      </c>
      <c r="P2161">
        <v>6.9220889999999993E-2</v>
      </c>
      <c r="Q2161">
        <v>0.1270085</v>
      </c>
      <c r="R2161">
        <v>-0.98948349999999996</v>
      </c>
      <c r="S2161">
        <v>-0.65118409999999904</v>
      </c>
      <c r="T2161">
        <v>-0.1142087</v>
      </c>
      <c r="U2161">
        <v>-3.092041</v>
      </c>
      <c r="V2161">
        <v>-5.9250919999999999E-2</v>
      </c>
      <c r="W2161">
        <v>0.13664399999999999</v>
      </c>
      <c r="X2161">
        <v>0.98884669999999997</v>
      </c>
      <c r="Y2161">
        <v>0.2157538</v>
      </c>
      <c r="Z2161">
        <v>2.6358650000000001E-2</v>
      </c>
      <c r="AA2161">
        <v>0.97609199999999996</v>
      </c>
      <c r="AB2161">
        <v>22</v>
      </c>
      <c r="AC2161">
        <v>-6.3333000000000004</v>
      </c>
      <c r="AD2161">
        <v>-1.1103583121528</v>
      </c>
      <c r="AE2161">
        <v>-29.8157</v>
      </c>
      <c r="AF2161">
        <v>6.62290962911442</v>
      </c>
      <c r="AG2161">
        <v>-1.1103583121528</v>
      </c>
      <c r="AH2161">
        <v>29.711324974490999</v>
      </c>
      <c r="AI2161">
        <v>92.089012762102797</v>
      </c>
      <c r="AJ2161">
        <v>77.433722267419</v>
      </c>
      <c r="AK2161">
        <v>30.460772466840002</v>
      </c>
      <c r="AL2161">
        <v>82.146304998888795</v>
      </c>
      <c r="AM2161">
        <v>93.429018418320794</v>
      </c>
      <c r="AN2161">
        <v>1.0000000251788601</v>
      </c>
    </row>
    <row r="2162" spans="1:40" x14ac:dyDescent="0.25">
      <c r="A2162" t="str">
        <f>"20190304154800720"</f>
        <v>20190304154800720</v>
      </c>
      <c r="B2162" t="str">
        <f>"1551685680709216"</f>
        <v>1551685680709216</v>
      </c>
      <c r="C2162" t="s">
        <v>40</v>
      </c>
      <c r="D2162">
        <v>4.5289929999999998</v>
      </c>
      <c r="E2162">
        <v>0.535771</v>
      </c>
      <c r="F2162" t="s">
        <v>55</v>
      </c>
      <c r="G2162">
        <v>-212.63740000000001</v>
      </c>
      <c r="H2162">
        <v>2.3737309999999998</v>
      </c>
      <c r="I2162">
        <v>98.375470000000007</v>
      </c>
      <c r="J2162">
        <v>-192.04400000000001</v>
      </c>
      <c r="K2162">
        <v>1.1103479999999999</v>
      </c>
      <c r="L2162">
        <v>325.30329999999998</v>
      </c>
      <c r="M2162">
        <v>9.7934119999999996E-3</v>
      </c>
      <c r="N2162">
        <v>-9.7238110000000006E-3</v>
      </c>
      <c r="O2162">
        <v>-0.99990500000000004</v>
      </c>
      <c r="P2162">
        <v>6.8961599999999998E-2</v>
      </c>
      <c r="Q2162">
        <v>0.12691939999999999</v>
      </c>
      <c r="R2162">
        <v>-0.98951330000000004</v>
      </c>
      <c r="S2162">
        <v>-0.27639770000000002</v>
      </c>
      <c r="T2162">
        <v>1.6958589999999999E-2</v>
      </c>
      <c r="U2162">
        <v>-3.049042</v>
      </c>
      <c r="V2162">
        <v>-5.9211020000000003E-2</v>
      </c>
      <c r="W2162">
        <v>0.13656559999999901</v>
      </c>
      <c r="X2162">
        <v>0.98885990000000001</v>
      </c>
      <c r="Y2162">
        <v>0.1000175</v>
      </c>
      <c r="Z2162">
        <v>-1.5263870000000001E-2</v>
      </c>
      <c r="AA2162">
        <v>0.99486859999999999</v>
      </c>
      <c r="AB2162">
        <v>22</v>
      </c>
      <c r="AC2162">
        <v>-20.593399999999999</v>
      </c>
      <c r="AD2162">
        <v>1.2633829999999999</v>
      </c>
      <c r="AE2162">
        <v>-226.92783</v>
      </c>
      <c r="AF2162">
        <v>22.814213244557099</v>
      </c>
      <c r="AG2162">
        <v>1.2633829999999999</v>
      </c>
      <c r="AH2162">
        <v>226.70828767403</v>
      </c>
      <c r="AI2162">
        <v>89.682314167750405</v>
      </c>
      <c r="AJ2162">
        <v>84.253530471587993</v>
      </c>
      <c r="AK2162">
        <v>227.85682382290699</v>
      </c>
      <c r="AL2162">
        <v>82.150839335872206</v>
      </c>
      <c r="AM2162">
        <v>93.426669163494395</v>
      </c>
      <c r="AN2162">
        <v>1.0000000049104001</v>
      </c>
    </row>
    <row r="2163" spans="1:40" x14ac:dyDescent="0.25">
      <c r="A2163" t="str">
        <f>"20190304154800740"</f>
        <v>20190304154800740</v>
      </c>
      <c r="B2163" t="str">
        <f>"1551685680728740"</f>
        <v>1551685680728740</v>
      </c>
      <c r="C2163" t="s">
        <v>40</v>
      </c>
      <c r="D2163">
        <v>4.5801930000000004</v>
      </c>
      <c r="E2163">
        <v>0.53563470000000002</v>
      </c>
      <c r="F2163" t="s">
        <v>54</v>
      </c>
      <c r="G2163">
        <v>-193.22739999999999</v>
      </c>
      <c r="H2163" s="1">
        <v>3.1354340000000002E-6</v>
      </c>
      <c r="I2163">
        <v>287.5523</v>
      </c>
      <c r="J2163">
        <v>-192.04230000000001</v>
      </c>
      <c r="K2163">
        <v>1.1103419999999999</v>
      </c>
      <c r="L2163">
        <v>325.1028</v>
      </c>
      <c r="M2163">
        <v>9.5811779999999992E-3</v>
      </c>
      <c r="N2163">
        <v>-9.7317519999999998E-3</v>
      </c>
      <c r="O2163">
        <v>-0.99990690000000004</v>
      </c>
      <c r="P2163">
        <v>6.8606940000000005E-2</v>
      </c>
      <c r="Q2163">
        <v>0.12655230000000001</v>
      </c>
      <c r="R2163">
        <v>-0.98958489999999999</v>
      </c>
      <c r="S2163">
        <v>-9.5611570000000007E-2</v>
      </c>
      <c r="T2163">
        <v>-8.9707259999999997E-2</v>
      </c>
      <c r="U2163">
        <v>-3.0499879999999999</v>
      </c>
      <c r="V2163">
        <v>-5.906496E-2</v>
      </c>
      <c r="W2163">
        <v>0.1362071</v>
      </c>
      <c r="X2163">
        <v>0.98891810000000002</v>
      </c>
      <c r="Y2163">
        <v>4.0894449999999999E-2</v>
      </c>
      <c r="Z2163">
        <v>1.9647689999999999E-2</v>
      </c>
      <c r="AA2163">
        <v>0.99897029999999998</v>
      </c>
      <c r="AB2163">
        <v>22</v>
      </c>
      <c r="AC2163">
        <v>-1.1850999999999701</v>
      </c>
      <c r="AD2163">
        <v>-1.110338864566</v>
      </c>
      <c r="AE2163">
        <v>-37.5505</v>
      </c>
      <c r="AF2163">
        <v>1.5434924118933899</v>
      </c>
      <c r="AG2163">
        <v>-1.110338864566</v>
      </c>
      <c r="AH2163">
        <v>37.5046619163695</v>
      </c>
      <c r="AI2163">
        <v>91.694333218621793</v>
      </c>
      <c r="AJ2163">
        <v>87.643340346235703</v>
      </c>
      <c r="AK2163">
        <v>37.552827945188298</v>
      </c>
      <c r="AL2163">
        <v>82.1715737862325</v>
      </c>
      <c r="AM2163">
        <v>93.418035730724498</v>
      </c>
      <c r="AN2163">
        <v>1.0000000260489099</v>
      </c>
    </row>
    <row r="2164" spans="1:40" x14ac:dyDescent="0.25">
      <c r="A2164" t="str">
        <f>"20190304154800762"</f>
        <v>20190304154800762</v>
      </c>
      <c r="B2164" t="str">
        <f>"1551685680758993"</f>
        <v>1551685680758993</v>
      </c>
      <c r="C2164" t="s">
        <v>40</v>
      </c>
      <c r="D2164">
        <v>4.6003049999999996</v>
      </c>
      <c r="E2164">
        <v>0.53601869999999996</v>
      </c>
      <c r="F2164" t="s">
        <v>54</v>
      </c>
      <c r="G2164">
        <v>-193.1943</v>
      </c>
      <c r="H2164" s="1">
        <v>3.071163E-6</v>
      </c>
      <c r="I2164">
        <v>288.35480000000001</v>
      </c>
      <c r="J2164">
        <v>-192.04040000000001</v>
      </c>
      <c r="K2164">
        <v>1.1103379999999901</v>
      </c>
      <c r="L2164">
        <v>324.88060000000002</v>
      </c>
      <c r="M2164">
        <v>9.3418500000000005E-3</v>
      </c>
      <c r="N2164">
        <v>-9.7401840000000007E-3</v>
      </c>
      <c r="O2164">
        <v>-0.99990900000000005</v>
      </c>
      <c r="P2164">
        <v>6.8472270000000002E-2</v>
      </c>
      <c r="Q2164">
        <v>0.1262829</v>
      </c>
      <c r="R2164">
        <v>-0.98962870000000003</v>
      </c>
      <c r="S2164">
        <v>-9.5611570000000007E-2</v>
      </c>
      <c r="T2164">
        <v>-9.2154260000000002E-2</v>
      </c>
      <c r="U2164">
        <v>-3.049957</v>
      </c>
      <c r="V2164">
        <v>-5.9167530000000003E-2</v>
      </c>
      <c r="W2164">
        <v>0.13594629999999999</v>
      </c>
      <c r="X2164">
        <v>0.98894780000000004</v>
      </c>
      <c r="Y2164">
        <v>4.0654990000000002E-2</v>
      </c>
      <c r="Z2164">
        <v>2.0440690000000001E-2</v>
      </c>
      <c r="AA2164">
        <v>0.99896410000000002</v>
      </c>
      <c r="AB2164">
        <v>22</v>
      </c>
      <c r="AC2164">
        <v>-1.1538999999999899</v>
      </c>
      <c r="AD2164">
        <v>-1.1103349288369999</v>
      </c>
      <c r="AE2164">
        <v>-36.525799999999997</v>
      </c>
      <c r="AF2164">
        <v>1.49370542604833</v>
      </c>
      <c r="AG2164">
        <v>-1.1103349288369999</v>
      </c>
      <c r="AH2164">
        <v>36.479749420285202</v>
      </c>
      <c r="AI2164">
        <v>91.741915937197007</v>
      </c>
      <c r="AJ2164">
        <v>87.6552680041613</v>
      </c>
      <c r="AK2164">
        <v>36.527196954061502</v>
      </c>
      <c r="AL2164">
        <v>82.186656398888999</v>
      </c>
      <c r="AM2164">
        <v>93.423854671148504</v>
      </c>
      <c r="AN2164">
        <v>0.99999997210741498</v>
      </c>
    </row>
    <row r="2165" spans="1:40" x14ac:dyDescent="0.25">
      <c r="A2165" t="str">
        <f>"20190304154800786"</f>
        <v>20190304154800786</v>
      </c>
      <c r="B2165" t="str">
        <f>"1551685680778512"</f>
        <v>1551685680778512</v>
      </c>
      <c r="C2165" t="s">
        <v>40</v>
      </c>
      <c r="D2165">
        <v>4.5962750000000003</v>
      </c>
      <c r="E2165">
        <v>0.53684929999999997</v>
      </c>
      <c r="F2165" t="s">
        <v>54</v>
      </c>
      <c r="G2165">
        <v>-193.19040000000001</v>
      </c>
      <c r="H2165" s="1">
        <v>2.970363E-6</v>
      </c>
      <c r="I2165">
        <v>289.51560000000001</v>
      </c>
      <c r="J2165">
        <v>-192.0385</v>
      </c>
      <c r="K2165">
        <v>1.1103400000000001</v>
      </c>
      <c r="L2165">
        <v>324.64600000000002</v>
      </c>
      <c r="M2165">
        <v>9.0900809999999999E-3</v>
      </c>
      <c r="N2165">
        <v>-9.7487370000000004E-3</v>
      </c>
      <c r="O2165">
        <v>-0.9999112</v>
      </c>
      <c r="P2165">
        <v>6.7906129999999995E-2</v>
      </c>
      <c r="Q2165">
        <v>0.1264277</v>
      </c>
      <c r="R2165">
        <v>-0.98964890000000005</v>
      </c>
      <c r="S2165">
        <v>-9.9197389999999996E-2</v>
      </c>
      <c r="T2165">
        <v>-9.577608E-2</v>
      </c>
      <c r="U2165">
        <v>-3.0505369999999998</v>
      </c>
      <c r="V2165">
        <v>-5.8851279999999999E-2</v>
      </c>
      <c r="W2165">
        <v>0.13609889999999999</v>
      </c>
      <c r="X2165">
        <v>0.98894570000000004</v>
      </c>
      <c r="Y2165">
        <v>4.1569269999999998E-2</v>
      </c>
      <c r="Z2165">
        <v>2.161035E-2</v>
      </c>
      <c r="AA2165">
        <v>0.99890190000000001</v>
      </c>
      <c r="AB2165">
        <v>22</v>
      </c>
      <c r="AC2165">
        <v>-1.1519000000000099</v>
      </c>
      <c r="AD2165">
        <v>-1.1103370296370001</v>
      </c>
      <c r="AE2165">
        <v>-35.130399999999902</v>
      </c>
      <c r="AF2165">
        <v>1.4697391311199399</v>
      </c>
      <c r="AG2165">
        <v>-1.1103370296370001</v>
      </c>
      <c r="AH2165">
        <v>35.083468098298397</v>
      </c>
      <c r="AI2165">
        <v>91.811129468651998</v>
      </c>
      <c r="AJ2165">
        <v>87.601131159682595</v>
      </c>
      <c r="AK2165">
        <v>35.131790663688797</v>
      </c>
      <c r="AL2165">
        <v>82.177831183326106</v>
      </c>
      <c r="AM2165">
        <v>93.405604596865004</v>
      </c>
      <c r="AN2165">
        <v>0.99999999064366896</v>
      </c>
    </row>
    <row r="2166" spans="1:40" x14ac:dyDescent="0.25">
      <c r="A2166" t="str">
        <f>"20190304154800808"</f>
        <v>20190304154800808</v>
      </c>
      <c r="B2166" t="str">
        <f>"1551685680799008"</f>
        <v>1551685680799008</v>
      </c>
      <c r="C2166" t="s">
        <v>40</v>
      </c>
      <c r="D2166">
        <v>4.5800190000000001</v>
      </c>
      <c r="E2166">
        <v>0.53694049999999904</v>
      </c>
      <c r="F2166" t="s">
        <v>54</v>
      </c>
      <c r="G2166">
        <v>-193.2747</v>
      </c>
      <c r="H2166" s="1">
        <v>2.9055750000000001E-6</v>
      </c>
      <c r="I2166">
        <v>289.73239999999998</v>
      </c>
      <c r="J2166">
        <v>-192.0367</v>
      </c>
      <c r="K2166">
        <v>1.1103419999999999</v>
      </c>
      <c r="L2166">
        <v>324.4178</v>
      </c>
      <c r="M2166">
        <v>8.849951E-3</v>
      </c>
      <c r="N2166">
        <v>-9.7567680000000007E-3</v>
      </c>
      <c r="O2166">
        <v>-0.9999133</v>
      </c>
      <c r="P2166">
        <v>6.7380410000000002E-2</v>
      </c>
      <c r="Q2166">
        <v>0.12606989999999901</v>
      </c>
      <c r="R2166">
        <v>-0.98973040000000001</v>
      </c>
      <c r="S2166">
        <v>-0.10803219999999999</v>
      </c>
      <c r="T2166">
        <v>-9.7035880000000005E-2</v>
      </c>
      <c r="U2166">
        <v>-3.0512079999999999</v>
      </c>
      <c r="V2166">
        <v>-5.8564089999999999E-2</v>
      </c>
      <c r="W2166">
        <v>0.13574929999999999</v>
      </c>
      <c r="X2166">
        <v>0.98901079999999997</v>
      </c>
      <c r="Y2166">
        <v>4.4210119999999999E-2</v>
      </c>
      <c r="Z2166">
        <v>2.200415E-2</v>
      </c>
      <c r="AA2166">
        <v>0.99877990000000005</v>
      </c>
      <c r="AB2166">
        <v>23</v>
      </c>
      <c r="AC2166">
        <v>-1.23799999999999</v>
      </c>
      <c r="AD2166">
        <v>-1.110339094425</v>
      </c>
      <c r="AE2166">
        <v>-34.685400000000001</v>
      </c>
      <c r="AF2166">
        <v>1.5433506604014899</v>
      </c>
      <c r="AG2166">
        <v>-1.110339094425</v>
      </c>
      <c r="AH2166">
        <v>34.637635026170699</v>
      </c>
      <c r="AI2166">
        <v>91.834218012026497</v>
      </c>
      <c r="AJ2166">
        <v>87.448756837976404</v>
      </c>
      <c r="AK2166">
        <v>34.689775790162997</v>
      </c>
      <c r="AL2166">
        <v>82.198049453352596</v>
      </c>
      <c r="AM2166">
        <v>93.388801765927198</v>
      </c>
      <c r="AN2166">
        <v>0.99999999380232896</v>
      </c>
    </row>
    <row r="2167" spans="1:40" x14ac:dyDescent="0.25">
      <c r="A2167" t="str">
        <f>"20190304154800830"</f>
        <v>20190304154800830</v>
      </c>
      <c r="B2167" t="str">
        <f>"1551685680818529"</f>
        <v>1551685680818529</v>
      </c>
      <c r="C2167" t="s">
        <v>40</v>
      </c>
      <c r="D2167">
        <v>4.5930099999999996</v>
      </c>
      <c r="E2167">
        <v>0.53668590000000005</v>
      </c>
      <c r="F2167" t="s">
        <v>54</v>
      </c>
      <c r="G2167">
        <v>-193.27979999999999</v>
      </c>
      <c r="H2167" s="1">
        <v>2.735014E-6</v>
      </c>
      <c r="I2167">
        <v>290.2124</v>
      </c>
      <c r="J2167">
        <v>-192.035</v>
      </c>
      <c r="K2167">
        <v>1.1103369999999999</v>
      </c>
      <c r="L2167">
        <v>324.20100000000002</v>
      </c>
      <c r="M2167">
        <v>8.6270259999999994E-3</v>
      </c>
      <c r="N2167">
        <v>-9.7640480000000009E-3</v>
      </c>
      <c r="O2167">
        <v>-0.9999152</v>
      </c>
      <c r="P2167">
        <v>6.7015169999999999E-2</v>
      </c>
      <c r="Q2167">
        <v>0.1258581</v>
      </c>
      <c r="R2167">
        <v>-0.9897823</v>
      </c>
      <c r="S2167">
        <v>-0.1108856</v>
      </c>
      <c r="T2167">
        <v>-9.9045869999999994E-2</v>
      </c>
      <c r="U2167">
        <v>-3.0512389999999998</v>
      </c>
      <c r="V2167">
        <v>-5.8420489999999999E-2</v>
      </c>
      <c r="W2167">
        <v>0.13554469999999999</v>
      </c>
      <c r="X2167">
        <v>0.98904729999999996</v>
      </c>
      <c r="Y2167">
        <v>4.4919029999999999E-2</v>
      </c>
      <c r="Z2167">
        <v>2.2652930000000002E-2</v>
      </c>
      <c r="AA2167">
        <v>0.9987338</v>
      </c>
      <c r="AB2167">
        <v>23</v>
      </c>
      <c r="AC2167">
        <v>-1.2447999999999899</v>
      </c>
      <c r="AD2167">
        <v>-1.110334264986</v>
      </c>
      <c r="AE2167">
        <v>-33.988599999999899</v>
      </c>
      <c r="AF2167">
        <v>1.53635078277672</v>
      </c>
      <c r="AG2167">
        <v>-1.110334264986</v>
      </c>
      <c r="AH2167">
        <v>33.940423318728001</v>
      </c>
      <c r="AI2167">
        <v>91.871802807452994</v>
      </c>
      <c r="AJ2167">
        <v>87.408212441890996</v>
      </c>
      <c r="AK2167">
        <v>33.9933162689696</v>
      </c>
      <c r="AL2167">
        <v>82.209881113235397</v>
      </c>
      <c r="AM2167">
        <v>93.380387203156403</v>
      </c>
      <c r="AN2167">
        <v>0.99999994049360796</v>
      </c>
    </row>
    <row r="2168" spans="1:40" x14ac:dyDescent="0.25">
      <c r="A2168" t="str">
        <f>"20190304154800852"</f>
        <v>20190304154800852</v>
      </c>
      <c r="B2168" t="str">
        <f>"1551685680848785"</f>
        <v>1551685680848785</v>
      </c>
      <c r="C2168" t="s">
        <v>40</v>
      </c>
      <c r="D2168">
        <v>4.5473689999999998</v>
      </c>
      <c r="E2168">
        <v>0.53670969999999996</v>
      </c>
      <c r="F2168" t="s">
        <v>54</v>
      </c>
      <c r="G2168">
        <v>-193.2252</v>
      </c>
      <c r="H2168" s="1">
        <v>2.380479E-6</v>
      </c>
      <c r="I2168">
        <v>291.24270000000001</v>
      </c>
      <c r="J2168">
        <v>-192.0333</v>
      </c>
      <c r="K2168">
        <v>1.1103379999999901</v>
      </c>
      <c r="L2168">
        <v>323.97840000000002</v>
      </c>
      <c r="M2168">
        <v>8.4030379999999998E-3</v>
      </c>
      <c r="N2168">
        <v>-9.7714659999999995E-3</v>
      </c>
      <c r="O2168">
        <v>-0.9999171</v>
      </c>
      <c r="P2168">
        <v>6.6867670000000004E-2</v>
      </c>
      <c r="Q2168">
        <v>0.12526019999999999</v>
      </c>
      <c r="R2168">
        <v>-0.98986799999999997</v>
      </c>
      <c r="S2168">
        <v>-0.11019900000000001</v>
      </c>
      <c r="T2168">
        <v>-0.10280259999999999</v>
      </c>
      <c r="U2168">
        <v>-3.0515140000000001</v>
      </c>
      <c r="V2168">
        <v>-5.8494579999999997E-2</v>
      </c>
      <c r="W2168">
        <v>0.13495460000000001</v>
      </c>
      <c r="X2168">
        <v>0.98912359999999999</v>
      </c>
      <c r="Y2168">
        <v>4.446634E-2</v>
      </c>
      <c r="Z2168">
        <v>2.387156E-2</v>
      </c>
      <c r="AA2168">
        <v>0.99872570000000005</v>
      </c>
      <c r="AB2168">
        <v>23</v>
      </c>
      <c r="AC2168">
        <v>-1.1919</v>
      </c>
      <c r="AD2168">
        <v>-1.1103356195209999</v>
      </c>
      <c r="AE2168">
        <v>-32.735700000000001</v>
      </c>
      <c r="AF2168">
        <v>1.4652668629548</v>
      </c>
      <c r="AG2168">
        <v>-1.1103356195209999</v>
      </c>
      <c r="AH2168">
        <v>32.686973331390597</v>
      </c>
      <c r="AI2168">
        <v>91.943567632255494</v>
      </c>
      <c r="AJ2168">
        <v>87.433306548424497</v>
      </c>
      <c r="AK2168">
        <v>32.738632801854898</v>
      </c>
      <c r="AL2168">
        <v>82.244004802543103</v>
      </c>
      <c r="AM2168">
        <v>93.384403832739906</v>
      </c>
      <c r="AN2168">
        <v>0.99999992801374504</v>
      </c>
    </row>
    <row r="2169" spans="1:40" x14ac:dyDescent="0.25">
      <c r="A2169" t="str">
        <f>"20190304154800899"</f>
        <v>20190304154800899</v>
      </c>
      <c r="B2169" t="str">
        <f>"1551685680888801"</f>
        <v>1551685680888801</v>
      </c>
      <c r="C2169" t="s">
        <v>40</v>
      </c>
      <c r="D2169">
        <v>3.7588750000000002</v>
      </c>
      <c r="E2169">
        <v>0.53681389999999995</v>
      </c>
      <c r="F2169" t="s">
        <v>54</v>
      </c>
      <c r="G2169">
        <v>-193.18430000000001</v>
      </c>
      <c r="H2169" s="1">
        <v>1.9732020000000001E-6</v>
      </c>
      <c r="I2169">
        <v>292.4153</v>
      </c>
      <c r="J2169">
        <v>-192.03</v>
      </c>
      <c r="K2169">
        <v>1.1103499999999999</v>
      </c>
      <c r="L2169">
        <v>323.50259999999997</v>
      </c>
      <c r="M2169">
        <v>7.9345449999999994E-3</v>
      </c>
      <c r="N2169">
        <v>-9.7867460000000007E-3</v>
      </c>
      <c r="O2169">
        <v>-0.9999207</v>
      </c>
      <c r="P2169">
        <v>6.669696E-2</v>
      </c>
      <c r="Q2169">
        <v>0.12578239999999999</v>
      </c>
      <c r="R2169">
        <v>-0.98981330000000001</v>
      </c>
      <c r="S2169">
        <v>-0.1112823</v>
      </c>
      <c r="T2169">
        <v>-0.1073568</v>
      </c>
      <c r="U2169">
        <v>-3.0517880000000002</v>
      </c>
      <c r="V2169">
        <v>-5.878879E-2</v>
      </c>
      <c r="W2169">
        <v>0.13549040000000001</v>
      </c>
      <c r="X2169">
        <v>0.98903300000000005</v>
      </c>
      <c r="Y2169">
        <v>4.434747E-2</v>
      </c>
      <c r="Z2169">
        <v>2.5342159999999999E-2</v>
      </c>
      <c r="AA2169">
        <v>0.99869470000000005</v>
      </c>
      <c r="AB2169">
        <v>23</v>
      </c>
      <c r="AC2169">
        <v>-1.1543000000000001</v>
      </c>
      <c r="AD2169">
        <v>-1.1103480267979999</v>
      </c>
      <c r="AE2169">
        <v>-31.0872999999999</v>
      </c>
      <c r="AF2169">
        <v>1.3991565752844899</v>
      </c>
      <c r="AG2169">
        <v>-1.1103480267979999</v>
      </c>
      <c r="AH2169">
        <v>31.037621510946199</v>
      </c>
      <c r="AI2169">
        <v>92.046763695058203</v>
      </c>
      <c r="AJ2169">
        <v>87.418889531423901</v>
      </c>
      <c r="AK2169">
        <v>31.088976517722902</v>
      </c>
      <c r="AL2169">
        <v>82.213021886262894</v>
      </c>
      <c r="AM2169">
        <v>93.401697342247999</v>
      </c>
      <c r="AN2169">
        <v>1.00000002270541</v>
      </c>
    </row>
    <row r="2170" spans="1:40" x14ac:dyDescent="0.25">
      <c r="A2170" t="str">
        <f>"20190304154800941"</f>
        <v>20190304154800941</v>
      </c>
      <c r="B2170" t="str">
        <f>"1551685680938577"</f>
        <v>1551685680938577</v>
      </c>
      <c r="C2170" t="s">
        <v>40</v>
      </c>
      <c r="D2170">
        <v>4.5438359999999998</v>
      </c>
      <c r="E2170">
        <v>0.54113009999999995</v>
      </c>
      <c r="F2170" t="s">
        <v>54</v>
      </c>
      <c r="G2170">
        <v>-193.2389</v>
      </c>
      <c r="H2170" s="1">
        <v>2.5617859999999998E-6</v>
      </c>
      <c r="I2170">
        <v>290.72289999999998</v>
      </c>
      <c r="J2170">
        <v>-192.02699999999999</v>
      </c>
      <c r="K2170">
        <v>1.110352</v>
      </c>
      <c r="L2170">
        <v>323.06810000000002</v>
      </c>
      <c r="M2170">
        <v>7.5102440000000001E-3</v>
      </c>
      <c r="N2170">
        <v>-9.8002750000000007E-3</v>
      </c>
      <c r="O2170">
        <v>-0.99992400000000004</v>
      </c>
      <c r="P2170">
        <v>6.7352549999999997E-2</v>
      </c>
      <c r="Q2170">
        <v>0.12696450000000001</v>
      </c>
      <c r="R2170">
        <v>-0.98961840000000001</v>
      </c>
      <c r="S2170">
        <v>-0.1125488</v>
      </c>
      <c r="T2170">
        <v>-0.1033661</v>
      </c>
      <c r="U2170">
        <v>-3.0515750000000001</v>
      </c>
      <c r="V2170">
        <v>-5.9866379999999997E-2</v>
      </c>
      <c r="W2170">
        <v>0.13668420000000001</v>
      </c>
      <c r="X2170">
        <v>0.98880400000000002</v>
      </c>
      <c r="Y2170">
        <v>4.4341489999999997E-2</v>
      </c>
      <c r="Z2170">
        <v>2.4026430000000001E-2</v>
      </c>
      <c r="AA2170">
        <v>0.99872749999999999</v>
      </c>
      <c r="AB2170">
        <v>23</v>
      </c>
      <c r="AC2170">
        <v>-1.21189999999998</v>
      </c>
      <c r="AD2170">
        <v>-1.110349438214</v>
      </c>
      <c r="AE2170">
        <v>-32.345199999999998</v>
      </c>
      <c r="AF2170">
        <v>1.4530878282984001</v>
      </c>
      <c r="AG2170">
        <v>-1.110349438214</v>
      </c>
      <c r="AH2170">
        <v>32.297179354654602</v>
      </c>
      <c r="AI2170">
        <v>91.967016213109801</v>
      </c>
      <c r="AJ2170">
        <v>87.423933172933005</v>
      </c>
      <c r="AK2170">
        <v>32.348912414151101</v>
      </c>
      <c r="AL2170">
        <v>82.143979316237093</v>
      </c>
      <c r="AM2170">
        <v>93.464699762467603</v>
      </c>
      <c r="AN2170">
        <v>0.99999995219997095</v>
      </c>
    </row>
    <row r="2171" spans="1:40" x14ac:dyDescent="0.25">
      <c r="A2171" t="str">
        <f>"20190304154800968"</f>
        <v>20190304154800968</v>
      </c>
      <c r="B2171" t="str">
        <f>"1551685680959072"</f>
        <v>1551685680959072</v>
      </c>
      <c r="C2171" t="s">
        <v>40</v>
      </c>
      <c r="D2171">
        <v>5.0918060000000001</v>
      </c>
      <c r="E2171">
        <v>0.54113009999999995</v>
      </c>
      <c r="F2171" t="s">
        <v>54</v>
      </c>
      <c r="G2171">
        <v>-193.42490000000001</v>
      </c>
      <c r="H2171" s="1">
        <v>1.6043100000000001E-6</v>
      </c>
      <c r="I2171">
        <v>293.79680000000002</v>
      </c>
      <c r="J2171">
        <v>-192.02520000000001</v>
      </c>
      <c r="K2171">
        <v>1.110352</v>
      </c>
      <c r="L2171">
        <v>322.78539999999998</v>
      </c>
      <c r="M2171">
        <v>7.2340019999999998E-3</v>
      </c>
      <c r="N2171">
        <v>-9.8090150000000008E-3</v>
      </c>
      <c r="O2171">
        <v>-0.99992590000000003</v>
      </c>
      <c r="P2171">
        <v>6.7563429999999994E-2</v>
      </c>
      <c r="Q2171">
        <v>0.12712039999999999</v>
      </c>
      <c r="R2171">
        <v>-0.98958400000000002</v>
      </c>
      <c r="S2171">
        <v>-0.14595030000000001</v>
      </c>
      <c r="T2171">
        <v>-0.11593390000000001</v>
      </c>
      <c r="U2171">
        <v>-3.0562740000000002</v>
      </c>
      <c r="V2171">
        <v>-6.0351099999999998E-2</v>
      </c>
      <c r="W2171">
        <v>0.136849</v>
      </c>
      <c r="X2171">
        <v>0.98875179999999996</v>
      </c>
      <c r="Y2171">
        <v>5.489322E-2</v>
      </c>
      <c r="Z2171">
        <v>2.8048730000000001E-2</v>
      </c>
      <c r="AA2171">
        <v>0.99809820000000005</v>
      </c>
      <c r="AB2171">
        <v>23</v>
      </c>
      <c r="AC2171">
        <v>-1.39969999999999</v>
      </c>
      <c r="AD2171">
        <v>-1.1103503956899901</v>
      </c>
      <c r="AE2171">
        <v>-28.988599999999899</v>
      </c>
      <c r="AF2171">
        <v>1.6070248006978101</v>
      </c>
      <c r="AG2171">
        <v>-1.1103503956899901</v>
      </c>
      <c r="AH2171">
        <v>28.9353625950937</v>
      </c>
      <c r="AI2171">
        <v>92.194181820065197</v>
      </c>
      <c r="AJ2171">
        <v>86.821147707552697</v>
      </c>
      <c r="AK2171">
        <v>29.0012174782511</v>
      </c>
      <c r="AL2171">
        <v>82.134447884317893</v>
      </c>
      <c r="AM2171">
        <v>93.492867159911498</v>
      </c>
      <c r="AN2171">
        <v>1.00000001303772</v>
      </c>
    </row>
    <row r="2172" spans="1:40" x14ac:dyDescent="0.25">
      <c r="A2172" t="str">
        <f>"20190304154800987"</f>
        <v>20190304154800987</v>
      </c>
      <c r="B2172" t="str">
        <f>"1551685680978592"</f>
        <v>1551685680978592</v>
      </c>
      <c r="C2172" t="s">
        <v>40</v>
      </c>
      <c r="D2172">
        <v>4.4603609999999998</v>
      </c>
      <c r="E2172">
        <v>0.54268400000000006</v>
      </c>
      <c r="F2172" t="s">
        <v>54</v>
      </c>
      <c r="G2172">
        <v>-193.4144</v>
      </c>
      <c r="H2172" s="1">
        <v>1.6605330000000001E-6</v>
      </c>
      <c r="I2172">
        <v>293.4828</v>
      </c>
      <c r="J2172">
        <v>-192.0241</v>
      </c>
      <c r="K2172">
        <v>1.110349</v>
      </c>
      <c r="L2172">
        <v>322.59899999999999</v>
      </c>
      <c r="M2172">
        <v>7.0514729999999999E-3</v>
      </c>
      <c r="N2172">
        <v>-9.8146789999999998E-3</v>
      </c>
      <c r="O2172">
        <v>-0.99992709999999996</v>
      </c>
      <c r="P2172">
        <v>6.7787169999999994E-2</v>
      </c>
      <c r="Q2172">
        <v>0.12680819999999901</v>
      </c>
      <c r="R2172">
        <v>-0.9896085</v>
      </c>
      <c r="S2172">
        <v>-0.14489749999999901</v>
      </c>
      <c r="T2172">
        <v>-0.1158127</v>
      </c>
      <c r="U2172">
        <v>-3.0563349999999998</v>
      </c>
      <c r="V2172">
        <v>-6.0755379999999998E-2</v>
      </c>
      <c r="W2172">
        <v>0.13654249999999901</v>
      </c>
      <c r="X2172">
        <v>0.98876940000000002</v>
      </c>
      <c r="Y2172">
        <v>5.436713E-2</v>
      </c>
      <c r="Z2172">
        <v>2.8003750000000001E-2</v>
      </c>
      <c r="AA2172">
        <v>0.99812820000000002</v>
      </c>
      <c r="AB2172">
        <v>23</v>
      </c>
      <c r="AC2172">
        <v>-1.3902999999999901</v>
      </c>
      <c r="AD2172">
        <v>-1.110347339467</v>
      </c>
      <c r="AE2172">
        <v>-29.1161999999999</v>
      </c>
      <c r="AF2172">
        <v>1.5932755929662199</v>
      </c>
      <c r="AG2172">
        <v>-1.110347339467</v>
      </c>
      <c r="AH2172">
        <v>29.063501564850501</v>
      </c>
      <c r="AI2172">
        <v>92.184597406217307</v>
      </c>
      <c r="AJ2172">
        <v>86.862157762484998</v>
      </c>
      <c r="AK2172">
        <v>29.128311340334701</v>
      </c>
      <c r="AL2172">
        <v>82.152175332544601</v>
      </c>
      <c r="AM2172">
        <v>93.516144241294995</v>
      </c>
      <c r="AN2172">
        <v>0.99999999844077703</v>
      </c>
    </row>
    <row r="2173" spans="1:40" x14ac:dyDescent="0.25">
      <c r="A2173" t="str">
        <f>"20190304154801009"</f>
        <v>20190304154801009</v>
      </c>
      <c r="B2173" t="str">
        <f>"1551685680999088"</f>
        <v>1551685680999088</v>
      </c>
      <c r="C2173" t="s">
        <v>40</v>
      </c>
      <c r="D2173">
        <v>4.4100020000000004</v>
      </c>
      <c r="E2173">
        <v>0.54546779999999995</v>
      </c>
      <c r="F2173" t="s">
        <v>54</v>
      </c>
      <c r="G2173">
        <v>-193.5849</v>
      </c>
      <c r="H2173" s="1">
        <v>1.9927480000000001E-6</v>
      </c>
      <c r="I2173">
        <v>292.15899999999999</v>
      </c>
      <c r="J2173">
        <v>-192.02269999999999</v>
      </c>
      <c r="K2173">
        <v>1.1103540000000001</v>
      </c>
      <c r="L2173">
        <v>322.36619999999999</v>
      </c>
      <c r="M2173">
        <v>6.8234749999999999E-3</v>
      </c>
      <c r="N2173">
        <v>-9.8217040000000005E-3</v>
      </c>
      <c r="O2173">
        <v>-0.9999285</v>
      </c>
      <c r="P2173">
        <v>6.8076579999999998E-2</v>
      </c>
      <c r="Q2173">
        <v>0.1266573</v>
      </c>
      <c r="R2173">
        <v>-0.98960800000000004</v>
      </c>
      <c r="S2173">
        <v>-0.156723</v>
      </c>
      <c r="T2173">
        <v>-0.1114913</v>
      </c>
      <c r="U2173">
        <v>-3.0565190000000002</v>
      </c>
      <c r="V2173">
        <v>-6.1270520000000002E-2</v>
      </c>
      <c r="W2173">
        <v>0.1363984</v>
      </c>
      <c r="X2173">
        <v>0.98875749999999996</v>
      </c>
      <c r="Y2173">
        <v>5.7990149999999997E-2</v>
      </c>
      <c r="Z2173">
        <v>2.6577859999999998E-2</v>
      </c>
      <c r="AA2173">
        <v>0.9979633</v>
      </c>
      <c r="AB2173">
        <v>23</v>
      </c>
      <c r="AC2173">
        <v>-1.56220000000001</v>
      </c>
      <c r="AD2173">
        <v>-1.1103520072519999</v>
      </c>
      <c r="AE2173">
        <v>-30.2072</v>
      </c>
      <c r="AF2173">
        <v>1.76591201116637</v>
      </c>
      <c r="AG2173">
        <v>-1.1103520072519999</v>
      </c>
      <c r="AH2173">
        <v>30.155201332546799</v>
      </c>
      <c r="AI2173">
        <v>92.105145855601705</v>
      </c>
      <c r="AJ2173">
        <v>86.648542277046701</v>
      </c>
      <c r="AK2173">
        <v>30.227264087535701</v>
      </c>
      <c r="AL2173">
        <v>82.160509617321793</v>
      </c>
      <c r="AM2173">
        <v>93.5459241667226</v>
      </c>
      <c r="AN2173">
        <v>0.99999999697494002</v>
      </c>
    </row>
    <row r="2174" spans="1:40" x14ac:dyDescent="0.25">
      <c r="A2174" t="str">
        <f>"20190304154801031"</f>
        <v>20190304154801031</v>
      </c>
      <c r="B2174" t="str">
        <f>"1551685681029345"</f>
        <v>1551685681029345</v>
      </c>
      <c r="C2174" t="s">
        <v>40</v>
      </c>
      <c r="D2174">
        <v>4.3601799999999997</v>
      </c>
      <c r="E2174">
        <v>0.55017479999999996</v>
      </c>
      <c r="F2174" t="s">
        <v>54</v>
      </c>
      <c r="G2174">
        <v>-194.0258</v>
      </c>
      <c r="H2174" s="1">
        <v>2.9562289999999999E-6</v>
      </c>
      <c r="I2174">
        <v>287.98230000000001</v>
      </c>
      <c r="J2174">
        <v>-192.0215</v>
      </c>
      <c r="K2174">
        <v>1.1103540000000001</v>
      </c>
      <c r="L2174">
        <v>322.14850000000001</v>
      </c>
      <c r="M2174">
        <v>6.6098320000000004E-3</v>
      </c>
      <c r="N2174">
        <v>-9.8280320000000004E-3</v>
      </c>
      <c r="O2174">
        <v>-0.99992999999999999</v>
      </c>
      <c r="P2174">
        <v>6.7821179999999995E-2</v>
      </c>
      <c r="Q2174">
        <v>0.12640390000000001</v>
      </c>
      <c r="R2174">
        <v>-0.98965780000000003</v>
      </c>
      <c r="S2174">
        <v>-0.17805480000000001</v>
      </c>
      <c r="T2174">
        <v>-9.8698259999999996E-2</v>
      </c>
      <c r="U2174">
        <v>-3.0563660000000001</v>
      </c>
      <c r="V2174">
        <v>-6.1226410000000002E-2</v>
      </c>
      <c r="W2174">
        <v>0.13615179999999999</v>
      </c>
      <c r="X2174">
        <v>0.98879419999999996</v>
      </c>
      <c r="Y2174">
        <v>6.4728160000000007E-2</v>
      </c>
      <c r="Z2174">
        <v>2.2387310000000001E-2</v>
      </c>
      <c r="AA2174">
        <v>0.99765179999999998</v>
      </c>
      <c r="AB2174">
        <v>23</v>
      </c>
      <c r="AC2174">
        <v>-2.0043000000000002</v>
      </c>
      <c r="AD2174">
        <v>-1.110351043771</v>
      </c>
      <c r="AE2174">
        <v>-34.166200000000003</v>
      </c>
      <c r="AF2174">
        <v>2.22775514554495</v>
      </c>
      <c r="AG2174">
        <v>-1.110351043771</v>
      </c>
      <c r="AH2174">
        <v>34.116296348508598</v>
      </c>
      <c r="AI2174">
        <v>91.860135169536903</v>
      </c>
      <c r="AJ2174">
        <v>86.263955172272503</v>
      </c>
      <c r="AK2174">
        <v>34.206979535880798</v>
      </c>
      <c r="AL2174">
        <v>82.174771658236196</v>
      </c>
      <c r="AM2174">
        <v>93.543246703325806</v>
      </c>
      <c r="AN2174">
        <v>0.99999997793918305</v>
      </c>
    </row>
    <row r="2175" spans="1:40" x14ac:dyDescent="0.25">
      <c r="A2175" t="str">
        <f>"20190304154801053"</f>
        <v>20190304154801053</v>
      </c>
      <c r="B2175" t="str">
        <f>"1551685681048864"</f>
        <v>1551685681048864</v>
      </c>
      <c r="C2175" t="s">
        <v>40</v>
      </c>
      <c r="D2175">
        <v>4.4918279999999999</v>
      </c>
      <c r="E2175">
        <v>0.55148019999999998</v>
      </c>
      <c r="F2175" t="s">
        <v>54</v>
      </c>
      <c r="G2175">
        <v>-194.92320000000001</v>
      </c>
      <c r="H2175" s="1">
        <v>3.4059650000000002E-6</v>
      </c>
      <c r="I2175">
        <v>281.01710000000003</v>
      </c>
      <c r="J2175">
        <v>-192.02019999999999</v>
      </c>
      <c r="K2175">
        <v>1.1103540000000001</v>
      </c>
      <c r="L2175">
        <v>321.9169</v>
      </c>
      <c r="M2175">
        <v>6.382474E-3</v>
      </c>
      <c r="N2175">
        <v>-9.8346760000000005E-3</v>
      </c>
      <c r="O2175">
        <v>-0.99993120000000002</v>
      </c>
      <c r="P2175">
        <v>6.7651849999999999E-2</v>
      </c>
      <c r="Q2175">
        <v>0.1259776</v>
      </c>
      <c r="R2175">
        <v>-0.98972380000000004</v>
      </c>
      <c r="S2175">
        <v>-0.2156372</v>
      </c>
      <c r="T2175">
        <v>-8.2514760000000006E-2</v>
      </c>
      <c r="U2175">
        <v>-3.0566409999999999</v>
      </c>
      <c r="V2175">
        <v>-6.128136E-2</v>
      </c>
      <c r="W2175">
        <v>0.13573279999999999</v>
      </c>
      <c r="X2175">
        <v>0.98884839999999996</v>
      </c>
      <c r="Y2175">
        <v>7.6713630000000005E-2</v>
      </c>
      <c r="Z2175">
        <v>1.70768E-2</v>
      </c>
      <c r="AA2175">
        <v>0.99690690000000004</v>
      </c>
      <c r="AB2175">
        <v>23</v>
      </c>
      <c r="AC2175">
        <v>-2.90300000000002</v>
      </c>
      <c r="AD2175">
        <v>-1.110350594035</v>
      </c>
      <c r="AE2175">
        <v>-40.8997999999999</v>
      </c>
      <c r="AF2175">
        <v>3.16167688750259</v>
      </c>
      <c r="AG2175">
        <v>-1.110350594035</v>
      </c>
      <c r="AH2175">
        <v>40.850481038309802</v>
      </c>
      <c r="AI2175">
        <v>91.552324215923306</v>
      </c>
      <c r="AJ2175">
        <v>85.574340311505296</v>
      </c>
      <c r="AK2175">
        <v>40.987691814054998</v>
      </c>
      <c r="AL2175">
        <v>82.199003542561101</v>
      </c>
      <c r="AM2175">
        <v>93.546224726687299</v>
      </c>
      <c r="AN2175">
        <v>0.99999997813092401</v>
      </c>
    </row>
    <row r="2176" spans="1:40" x14ac:dyDescent="0.25">
      <c r="A2176" t="str">
        <f>"20190304154801067"</f>
        <v>20190304154801067</v>
      </c>
      <c r="B2176" t="str">
        <f>"1551685681058624"</f>
        <v>1551685681058624</v>
      </c>
      <c r="C2176" t="s">
        <v>40</v>
      </c>
      <c r="D2176">
        <v>4.4909910000000002</v>
      </c>
      <c r="E2176">
        <v>0.55193879999999995</v>
      </c>
      <c r="F2176" t="s">
        <v>54</v>
      </c>
      <c r="G2176">
        <v>-195.24590000000001</v>
      </c>
      <c r="H2176" s="1">
        <v>3.8022109999999999E-6</v>
      </c>
      <c r="I2176">
        <v>278.36619999999999</v>
      </c>
      <c r="J2176">
        <v>-192.01939999999999</v>
      </c>
      <c r="K2176">
        <v>1.1103510000000001</v>
      </c>
      <c r="L2176">
        <v>321.76839999999999</v>
      </c>
      <c r="M2176">
        <v>6.2365579999999997E-3</v>
      </c>
      <c r="N2176">
        <v>-9.8388940000000008E-3</v>
      </c>
      <c r="O2176">
        <v>-0.99993209999999999</v>
      </c>
      <c r="P2176">
        <v>6.7630309999999999E-2</v>
      </c>
      <c r="Q2176">
        <v>0.12590760000000001</v>
      </c>
      <c r="R2176">
        <v>-0.98973409999999995</v>
      </c>
      <c r="S2176">
        <v>-0.2263947</v>
      </c>
      <c r="T2176">
        <v>-7.792926E-2</v>
      </c>
      <c r="U2176">
        <v>-3.0565799999999999</v>
      </c>
      <c r="V2176">
        <v>-6.1404510000000002E-2</v>
      </c>
      <c r="W2176">
        <v>0.1356667</v>
      </c>
      <c r="X2176">
        <v>0.98884989999999995</v>
      </c>
      <c r="Y2176">
        <v>8.0061199999999999E-2</v>
      </c>
      <c r="Z2176">
        <v>1.5571659999999999E-2</v>
      </c>
      <c r="AA2176">
        <v>0.99666829999999995</v>
      </c>
      <c r="AB2176">
        <v>23</v>
      </c>
      <c r="AC2176">
        <v>-3.2265000000000099</v>
      </c>
      <c r="AD2176">
        <v>-1.110347197789</v>
      </c>
      <c r="AE2176">
        <v>-43.402199999999901</v>
      </c>
      <c r="AF2176">
        <v>3.4948559692448802</v>
      </c>
      <c r="AG2176">
        <v>-1.110347197789</v>
      </c>
      <c r="AH2176">
        <v>43.353015031355703</v>
      </c>
      <c r="AI2176">
        <v>91.462383298213695</v>
      </c>
      <c r="AJ2176">
        <v>85.391129791492602</v>
      </c>
      <c r="AK2176">
        <v>43.507824600344698</v>
      </c>
      <c r="AL2176">
        <v>82.202826685528905</v>
      </c>
      <c r="AM2176">
        <v>93.5533275439048</v>
      </c>
      <c r="AN2176">
        <v>1.00000004603361</v>
      </c>
    </row>
    <row r="2177" spans="1:40" x14ac:dyDescent="0.25">
      <c r="A2177" t="str">
        <f>"20190304154801087"</f>
        <v>20190304154801087</v>
      </c>
      <c r="B2177" t="str">
        <f>"1551685681079120"</f>
        <v>1551685681079120</v>
      </c>
      <c r="C2177" t="s">
        <v>40</v>
      </c>
      <c r="D2177">
        <v>4.4836859999999996</v>
      </c>
      <c r="E2177">
        <v>0.55256000000000005</v>
      </c>
      <c r="F2177" t="s">
        <v>54</v>
      </c>
      <c r="G2177">
        <v>-195.37639999999999</v>
      </c>
      <c r="H2177" s="1">
        <v>4.0965730000000002E-6</v>
      </c>
      <c r="I2177">
        <v>277.16719999999998</v>
      </c>
      <c r="J2177">
        <v>-192.01840000000001</v>
      </c>
      <c r="K2177">
        <v>1.1103499999999999</v>
      </c>
      <c r="L2177">
        <v>321.56580000000002</v>
      </c>
      <c r="M2177">
        <v>6.0372560000000004E-3</v>
      </c>
      <c r="N2177">
        <v>-9.8445960000000006E-3</v>
      </c>
      <c r="O2177">
        <v>-0.99993330000000002</v>
      </c>
      <c r="P2177">
        <v>6.7987199999999998E-2</v>
      </c>
      <c r="Q2177">
        <v>0.1256081</v>
      </c>
      <c r="R2177">
        <v>-0.98974779999999996</v>
      </c>
      <c r="S2177">
        <v>-0.23005680000000001</v>
      </c>
      <c r="T2177">
        <v>-7.6091999999999896E-2</v>
      </c>
      <c r="U2177">
        <v>-3.0565190000000002</v>
      </c>
      <c r="V2177">
        <v>-6.1958689999999997E-2</v>
      </c>
      <c r="W2177">
        <v>0.1353733</v>
      </c>
      <c r="X2177">
        <v>0.9888555</v>
      </c>
      <c r="Y2177">
        <v>8.105221E-2</v>
      </c>
      <c r="Z2177">
        <v>1.4965600000000001E-2</v>
      </c>
      <c r="AA2177">
        <v>0.99659750000000003</v>
      </c>
      <c r="AB2177">
        <v>23</v>
      </c>
      <c r="AC2177">
        <v>-3.3579999999999699</v>
      </c>
      <c r="AD2177">
        <v>-1.110345903427</v>
      </c>
      <c r="AE2177">
        <v>-44.398600000000002</v>
      </c>
      <c r="AF2177">
        <v>3.6237440009903299</v>
      </c>
      <c r="AG2177">
        <v>-1.110345903427</v>
      </c>
      <c r="AH2177">
        <v>44.349936724603801</v>
      </c>
      <c r="AI2177">
        <v>91.429397144469405</v>
      </c>
      <c r="AJ2177">
        <v>85.328853978257499</v>
      </c>
      <c r="AK2177">
        <v>44.511585863529199</v>
      </c>
      <c r="AL2177">
        <v>82.219793471513398</v>
      </c>
      <c r="AM2177">
        <v>93.585293045626898</v>
      </c>
      <c r="AN2177">
        <v>1.0000000047498201</v>
      </c>
    </row>
    <row r="2178" spans="1:40" x14ac:dyDescent="0.25">
      <c r="A2178" t="str">
        <f>"20190304154801112"</f>
        <v>20190304154801112</v>
      </c>
      <c r="B2178" t="str">
        <f>"1551685681109377"</f>
        <v>1551685681109377</v>
      </c>
      <c r="C2178" t="s">
        <v>40</v>
      </c>
      <c r="D2178">
        <v>4.4954499999999999</v>
      </c>
      <c r="E2178">
        <v>0.55301639999999996</v>
      </c>
      <c r="F2178" t="s">
        <v>54</v>
      </c>
      <c r="G2178">
        <v>-195.5059</v>
      </c>
      <c r="H2178" s="1">
        <v>4.4668119999999996E-6</v>
      </c>
      <c r="I2178">
        <v>275.97329999999999</v>
      </c>
      <c r="J2178">
        <v>-192.0172</v>
      </c>
      <c r="K2178">
        <v>1.110347</v>
      </c>
      <c r="L2178">
        <v>321.32069999999999</v>
      </c>
      <c r="M2178">
        <v>5.7964519999999997E-3</v>
      </c>
      <c r="N2178">
        <v>-9.851416E-3</v>
      </c>
      <c r="O2178">
        <v>-0.99993469999999995</v>
      </c>
      <c r="P2178">
        <v>6.7659209999999997E-2</v>
      </c>
      <c r="Q2178">
        <v>0.12533139999999901</v>
      </c>
      <c r="R2178">
        <v>-0.9898053</v>
      </c>
      <c r="S2178">
        <v>-0.2338104</v>
      </c>
      <c r="T2178">
        <v>-7.4439050000000007E-2</v>
      </c>
      <c r="U2178">
        <v>-3.0565799999999999</v>
      </c>
      <c r="V2178">
        <v>-6.1868569999999998E-2</v>
      </c>
      <c r="W2178">
        <v>0.135104</v>
      </c>
      <c r="X2178">
        <v>0.98889800000000005</v>
      </c>
      <c r="Y2178">
        <v>8.2028199999999996E-2</v>
      </c>
      <c r="Z2178">
        <v>1.4417559999999999E-2</v>
      </c>
      <c r="AA2178">
        <v>0.99652569999999996</v>
      </c>
      <c r="AB2178">
        <v>23</v>
      </c>
      <c r="AC2178">
        <v>-3.4886999999999899</v>
      </c>
      <c r="AD2178">
        <v>-1.1103425331879999</v>
      </c>
      <c r="AE2178">
        <v>-45.347399999999901</v>
      </c>
      <c r="AF2178">
        <v>3.7492735946987099</v>
      </c>
      <c r="AG2178">
        <v>-1.1103425331879999</v>
      </c>
      <c r="AH2178">
        <v>45.299416590995499</v>
      </c>
      <c r="AI2178">
        <v>91.399323699387807</v>
      </c>
      <c r="AJ2178">
        <v>85.268613710495103</v>
      </c>
      <c r="AK2178">
        <v>45.4678683964123</v>
      </c>
      <c r="AL2178">
        <v>82.235366509049896</v>
      </c>
      <c r="AM2178">
        <v>93.579938285005795</v>
      </c>
      <c r="AN2178">
        <v>1.0000000325869201</v>
      </c>
    </row>
    <row r="2179" spans="1:40" x14ac:dyDescent="0.25">
      <c r="A2179" t="str">
        <f>"20190304154801134"</f>
        <v>20190304154801134</v>
      </c>
      <c r="B2179" t="str">
        <f>"1551685681128897"</f>
        <v>1551685681128897</v>
      </c>
      <c r="C2179" t="s">
        <v>40</v>
      </c>
      <c r="D2179">
        <v>4.486764</v>
      </c>
      <c r="E2179">
        <v>0.55339649999999996</v>
      </c>
      <c r="F2179" t="s">
        <v>54</v>
      </c>
      <c r="G2179">
        <v>-195.63849999999999</v>
      </c>
      <c r="H2179" s="1">
        <v>4.8246609999999997E-6</v>
      </c>
      <c r="I2179">
        <v>274.87779999999998</v>
      </c>
      <c r="J2179">
        <v>-192.01609999999999</v>
      </c>
      <c r="K2179">
        <v>1.110347</v>
      </c>
      <c r="L2179">
        <v>321.08589999999998</v>
      </c>
      <c r="M2179">
        <v>5.5656259999999997E-3</v>
      </c>
      <c r="N2179">
        <v>-9.8579449999999999E-3</v>
      </c>
      <c r="O2179">
        <v>-0.99993589999999999</v>
      </c>
      <c r="P2179">
        <v>6.755891E-2</v>
      </c>
      <c r="Q2179">
        <v>0.1253609</v>
      </c>
      <c r="R2179">
        <v>-0.98980840000000003</v>
      </c>
      <c r="S2179">
        <v>-0.23832700000000001</v>
      </c>
      <c r="T2179">
        <v>-7.3072910000000005E-2</v>
      </c>
      <c r="U2179">
        <v>-3.0564580000000001</v>
      </c>
      <c r="V2179">
        <v>-6.1996519999999999E-2</v>
      </c>
      <c r="W2179">
        <v>0.13513989999999901</v>
      </c>
      <c r="X2179">
        <v>0.98888500000000001</v>
      </c>
      <c r="Y2179">
        <v>8.3265430000000001E-2</v>
      </c>
      <c r="Z2179">
        <v>1.3964270000000001E-2</v>
      </c>
      <c r="AA2179">
        <v>0.99642960000000003</v>
      </c>
      <c r="AB2179">
        <v>23</v>
      </c>
      <c r="AC2179">
        <v>-3.6223999999999901</v>
      </c>
      <c r="AD2179">
        <v>-1.1103421753389999</v>
      </c>
      <c r="AE2179">
        <v>-46.208100000000002</v>
      </c>
      <c r="AF2179">
        <v>3.87730830802685</v>
      </c>
      <c r="AG2179">
        <v>-1.1103421753389999</v>
      </c>
      <c r="AH2179">
        <v>46.160731894738703</v>
      </c>
      <c r="AI2179">
        <v>91.373083575292796</v>
      </c>
      <c r="AJ2179">
        <v>85.198664738780096</v>
      </c>
      <c r="AK2179">
        <v>46.336589737698397</v>
      </c>
      <c r="AL2179">
        <v>82.2332899233527</v>
      </c>
      <c r="AM2179">
        <v>93.587369655453799</v>
      </c>
      <c r="AN2179">
        <v>0.99999995214455895</v>
      </c>
    </row>
    <row r="2180" spans="1:40" x14ac:dyDescent="0.25">
      <c r="A2180" t="str">
        <f>"20190304154801155"</f>
        <v>20190304154801155</v>
      </c>
      <c r="B2180" t="str">
        <f>"1551685681148417"</f>
        <v>1551685681148417</v>
      </c>
      <c r="C2180" t="s">
        <v>40</v>
      </c>
      <c r="D2180">
        <v>4.5015280000000004</v>
      </c>
      <c r="E2180">
        <v>0.55377169999999998</v>
      </c>
      <c r="F2180" t="s">
        <v>54</v>
      </c>
      <c r="G2180">
        <v>-195.72399999999999</v>
      </c>
      <c r="H2180" s="1">
        <v>5.0121120000000002E-6</v>
      </c>
      <c r="I2180">
        <v>274.18599999999998</v>
      </c>
      <c r="J2180">
        <v>-192.01509999999999</v>
      </c>
      <c r="K2180">
        <v>1.1103510000000001</v>
      </c>
      <c r="L2180">
        <v>320.87220000000002</v>
      </c>
      <c r="M2180">
        <v>5.3554199999999996E-3</v>
      </c>
      <c r="N2180">
        <v>-9.8638440000000001E-3</v>
      </c>
      <c r="O2180">
        <v>-0.99993710000000002</v>
      </c>
      <c r="P2180">
        <v>6.7308000000000007E-2</v>
      </c>
      <c r="Q2180">
        <v>0.12621689999999999</v>
      </c>
      <c r="R2180">
        <v>-0.98971679999999995</v>
      </c>
      <c r="S2180">
        <v>-0.24165339999999999</v>
      </c>
      <c r="T2180">
        <v>-7.2362899999999994E-2</v>
      </c>
      <c r="U2180">
        <v>-3.056549</v>
      </c>
      <c r="V2180">
        <v>-6.1953790000000002E-2</v>
      </c>
      <c r="W2180">
        <v>0.13600019999999999</v>
      </c>
      <c r="X2180">
        <v>0.98876980000000003</v>
      </c>
      <c r="Y2180">
        <v>8.4131529999999996E-2</v>
      </c>
      <c r="Z2180">
        <v>1.3724500000000001E-2</v>
      </c>
      <c r="AA2180">
        <v>0.99636009999999997</v>
      </c>
      <c r="AB2180">
        <v>23</v>
      </c>
      <c r="AC2180">
        <v>-3.7089000000000198</v>
      </c>
      <c r="AD2180">
        <v>-1.110345987888</v>
      </c>
      <c r="AE2180">
        <v>-46.686199999999999</v>
      </c>
      <c r="AF2180">
        <v>3.95665915269519</v>
      </c>
      <c r="AG2180">
        <v>-1.110345987888</v>
      </c>
      <c r="AH2180">
        <v>46.639451100675402</v>
      </c>
      <c r="AI2180">
        <v>91.358904318517304</v>
      </c>
      <c r="AJ2180">
        <v>85.150921593155203</v>
      </c>
      <c r="AK2180">
        <v>46.820149709667902</v>
      </c>
      <c r="AL2180">
        <v>82.1835395973564</v>
      </c>
      <c r="AM2180">
        <v>93.585320156813793</v>
      </c>
      <c r="AN2180">
        <v>1.00000002194372</v>
      </c>
    </row>
    <row r="2181" spans="1:40" x14ac:dyDescent="0.25">
      <c r="A2181" t="str">
        <f>"20190304154801177"</f>
        <v>20190304154801177</v>
      </c>
      <c r="B2181" t="str">
        <f>"1551685681168913"</f>
        <v>1551685681168913</v>
      </c>
      <c r="C2181" t="s">
        <v>40</v>
      </c>
      <c r="D2181">
        <v>4.4939390000000001</v>
      </c>
      <c r="E2181">
        <v>0.55430699999999999</v>
      </c>
      <c r="F2181" t="s">
        <v>54</v>
      </c>
      <c r="G2181">
        <v>-195.93469999999999</v>
      </c>
      <c r="H2181" s="1">
        <v>5.531987E-6</v>
      </c>
      <c r="I2181">
        <v>272.04640000000001</v>
      </c>
      <c r="J2181">
        <v>-192.01419999999999</v>
      </c>
      <c r="K2181">
        <v>1.110347</v>
      </c>
      <c r="L2181">
        <v>320.63929999999999</v>
      </c>
      <c r="M2181">
        <v>5.1265770000000002E-3</v>
      </c>
      <c r="N2181">
        <v>-9.8701640000000007E-3</v>
      </c>
      <c r="O2181">
        <v>-0.99993810000000005</v>
      </c>
      <c r="P2181">
        <v>6.6615060000000004E-2</v>
      </c>
      <c r="Q2181">
        <v>0.12683330000000001</v>
      </c>
      <c r="R2181">
        <v>-0.98968469999999997</v>
      </c>
      <c r="S2181">
        <v>-0.2453766</v>
      </c>
      <c r="T2181">
        <v>-6.9511530000000002E-2</v>
      </c>
      <c r="U2181">
        <v>-3.0566710000000001</v>
      </c>
      <c r="V2181">
        <v>-6.1487350000000003E-2</v>
      </c>
      <c r="W2181">
        <v>0.1366223</v>
      </c>
      <c r="X2181">
        <v>0.98871310000000001</v>
      </c>
      <c r="Y2181">
        <v>8.5107509999999997E-2</v>
      </c>
      <c r="Z2181">
        <v>1.2786179999999999E-2</v>
      </c>
      <c r="AA2181">
        <v>0.99628969999999994</v>
      </c>
      <c r="AB2181">
        <v>23</v>
      </c>
      <c r="AC2181">
        <v>-3.9205000000000001</v>
      </c>
      <c r="AD2181">
        <v>-1.1103414680129999</v>
      </c>
      <c r="AE2181">
        <v>-48.592899999999901</v>
      </c>
      <c r="AF2181">
        <v>4.1674140622644504</v>
      </c>
      <c r="AG2181">
        <v>-1.1103414680129999</v>
      </c>
      <c r="AH2181">
        <v>48.546978398398501</v>
      </c>
      <c r="AI2181">
        <v>91.305411815640397</v>
      </c>
      <c r="AJ2181">
        <v>85.0935915538019</v>
      </c>
      <c r="AK2181">
        <v>48.738170972621802</v>
      </c>
      <c r="AL2181">
        <v>82.147559656490202</v>
      </c>
      <c r="AM2181">
        <v>93.558600024343903</v>
      </c>
      <c r="AN2181">
        <v>0.99999997058946</v>
      </c>
    </row>
    <row r="2182" spans="1:40" x14ac:dyDescent="0.25">
      <c r="A2182" t="str">
        <f>"20190304154801199"</f>
        <v>20190304154801199</v>
      </c>
      <c r="B2182" t="str">
        <f>"1551685681188436"</f>
        <v>1551685681188436</v>
      </c>
      <c r="C2182" t="s">
        <v>40</v>
      </c>
      <c r="D2182">
        <v>4.5246209999999998</v>
      </c>
      <c r="E2182">
        <v>0.55470769999999903</v>
      </c>
      <c r="F2182" t="s">
        <v>54</v>
      </c>
      <c r="G2182">
        <v>-196.15729999999999</v>
      </c>
      <c r="H2182" s="1">
        <v>6.0755929999999999E-6</v>
      </c>
      <c r="I2182">
        <v>270.23599999999999</v>
      </c>
      <c r="J2182">
        <v>-192.01329999999999</v>
      </c>
      <c r="K2182">
        <v>1.1103510000000001</v>
      </c>
      <c r="L2182">
        <v>320.4128</v>
      </c>
      <c r="M2182">
        <v>4.9040300000000002E-3</v>
      </c>
      <c r="N2182">
        <v>-9.8762030000000001E-3</v>
      </c>
      <c r="O2182">
        <v>-0.99993949999999998</v>
      </c>
      <c r="P2182">
        <v>6.6506179999999998E-2</v>
      </c>
      <c r="Q2182">
        <v>0.127079</v>
      </c>
      <c r="R2182">
        <v>-0.98966089999999995</v>
      </c>
      <c r="S2182">
        <v>-0.2512665</v>
      </c>
      <c r="T2182">
        <v>-6.7338469999999997E-2</v>
      </c>
      <c r="U2182">
        <v>-3.0567929999999999</v>
      </c>
      <c r="V2182">
        <v>-6.1598350000000003E-2</v>
      </c>
      <c r="W2182">
        <v>0.1368741</v>
      </c>
      <c r="X2182">
        <v>0.98867139999999998</v>
      </c>
      <c r="Y2182">
        <v>8.6790279999999997E-2</v>
      </c>
      <c r="Z2182">
        <v>1.2067970000000001E-2</v>
      </c>
      <c r="AA2182">
        <v>0.99615350000000003</v>
      </c>
      <c r="AB2182">
        <v>23</v>
      </c>
      <c r="AC2182">
        <v>-4.1440000000000001</v>
      </c>
      <c r="AD2182">
        <v>-1.1103449244070001</v>
      </c>
      <c r="AE2182">
        <v>-50.1768</v>
      </c>
      <c r="AF2182">
        <v>4.3878965286496898</v>
      </c>
      <c r="AG2182">
        <v>-1.1103449244070001</v>
      </c>
      <c r="AH2182">
        <v>50.131491343018801</v>
      </c>
      <c r="AI2182">
        <v>91.263985844009497</v>
      </c>
      <c r="AJ2182">
        <v>84.997777656867896</v>
      </c>
      <c r="AK2182">
        <v>50.335404300278199</v>
      </c>
      <c r="AL2182">
        <v>82.132996048085005</v>
      </c>
      <c r="AM2182">
        <v>93.565157608307103</v>
      </c>
      <c r="AN2182">
        <v>1.00000000657574</v>
      </c>
    </row>
    <row r="2183" spans="1:40" x14ac:dyDescent="0.25">
      <c r="A2183" t="str">
        <f>"20190304154801220"</f>
        <v>20190304154801220</v>
      </c>
      <c r="B2183" t="str">
        <f>"1551685681218689"</f>
        <v>1551685681218689</v>
      </c>
      <c r="C2183" t="s">
        <v>40</v>
      </c>
      <c r="D2183">
        <v>4.5414940000000001</v>
      </c>
      <c r="E2183">
        <v>0.55523849999999997</v>
      </c>
      <c r="F2183" t="s">
        <v>44</v>
      </c>
      <c r="G2183">
        <v>-196.32679999999999</v>
      </c>
      <c r="H2183" s="1">
        <v>-5.0938929999999996E-6</v>
      </c>
      <c r="I2183">
        <v>268.6576</v>
      </c>
      <c r="J2183">
        <v>-192.01240000000001</v>
      </c>
      <c r="K2183">
        <v>1.1103540000000001</v>
      </c>
      <c r="L2183">
        <v>320.1848</v>
      </c>
      <c r="M2183">
        <v>4.6799759999999998E-3</v>
      </c>
      <c r="N2183">
        <v>-9.8824189999999999E-3</v>
      </c>
      <c r="O2183">
        <v>-0.99994019999999995</v>
      </c>
      <c r="P2183">
        <v>6.6574930000000004E-2</v>
      </c>
      <c r="Q2183">
        <v>0.1274429</v>
      </c>
      <c r="R2183">
        <v>-0.98960910000000002</v>
      </c>
      <c r="S2183">
        <v>-0.254776</v>
      </c>
      <c r="T2183">
        <v>-6.5581680000000003E-2</v>
      </c>
      <c r="U2183">
        <v>-3.056854</v>
      </c>
      <c r="V2183">
        <v>-6.1888859999999997E-2</v>
      </c>
      <c r="W2183">
        <v>0.13724339999999999</v>
      </c>
      <c r="X2183">
        <v>0.98860199999999998</v>
      </c>
      <c r="Y2183">
        <v>8.7701950000000001E-2</v>
      </c>
      <c r="Z2183">
        <v>1.1487219999999999E-2</v>
      </c>
      <c r="AA2183">
        <v>0.99608050000000004</v>
      </c>
      <c r="AB2183">
        <v>23</v>
      </c>
      <c r="AC2183">
        <v>-4.3143999999999698</v>
      </c>
      <c r="AD2183">
        <v>-1.1103590938929999</v>
      </c>
      <c r="AE2183">
        <v>-51.527199999999901</v>
      </c>
      <c r="AF2183">
        <v>4.5534108907104898</v>
      </c>
      <c r="AG2183">
        <v>-1.1103590938929999</v>
      </c>
      <c r="AH2183">
        <v>51.482703370558198</v>
      </c>
      <c r="AI2183">
        <v>91.230738803170993</v>
      </c>
      <c r="AJ2183">
        <v>84.945601100315798</v>
      </c>
      <c r="AK2183">
        <v>51.695601306087099</v>
      </c>
      <c r="AL2183">
        <v>82.111634667998302</v>
      </c>
      <c r="AM2183">
        <v>93.582178720826207</v>
      </c>
      <c r="AN2183">
        <v>0.99999994811982795</v>
      </c>
    </row>
    <row r="2184" spans="1:40" x14ac:dyDescent="0.25">
      <c r="A2184" t="str">
        <f>"20190304154801235"</f>
        <v>20190304154801235</v>
      </c>
      <c r="B2184" t="str">
        <f>"1551685681228449"</f>
        <v>1551685681228449</v>
      </c>
      <c r="C2184" t="s">
        <v>40</v>
      </c>
      <c r="D2184">
        <v>4.5490870000000001</v>
      </c>
      <c r="E2184">
        <v>0.55539490000000002</v>
      </c>
      <c r="F2184" t="s">
        <v>44</v>
      </c>
      <c r="G2184">
        <v>-196.46289999999999</v>
      </c>
      <c r="H2184" s="1">
        <v>-4.6990320000000003E-6</v>
      </c>
      <c r="I2184">
        <v>267.42630000000003</v>
      </c>
      <c r="J2184">
        <v>-192.0119</v>
      </c>
      <c r="K2184">
        <v>1.110358</v>
      </c>
      <c r="L2184">
        <v>320.041</v>
      </c>
      <c r="M2184">
        <v>4.538757E-3</v>
      </c>
      <c r="N2184">
        <v>-9.8864320000000006E-3</v>
      </c>
      <c r="O2184">
        <v>-0.99994090000000002</v>
      </c>
      <c r="P2184">
        <v>6.6966369999999997E-2</v>
      </c>
      <c r="Q2184">
        <v>0.1270008</v>
      </c>
      <c r="R2184">
        <v>-0.98963979999999996</v>
      </c>
      <c r="S2184">
        <v>-0.25788879999999997</v>
      </c>
      <c r="T2184">
        <v>-6.4340590000000003E-2</v>
      </c>
      <c r="U2184">
        <v>-3.0571290000000002</v>
      </c>
      <c r="V2184">
        <v>-6.2420639999999999E-2</v>
      </c>
      <c r="W2184">
        <v>0.13680610000000001</v>
      </c>
      <c r="X2184">
        <v>0.98862919999999999</v>
      </c>
      <c r="Y2184">
        <v>8.8561390000000004E-2</v>
      </c>
      <c r="Z2184">
        <v>1.1075389999999999E-2</v>
      </c>
      <c r="AA2184">
        <v>0.99600920000000004</v>
      </c>
      <c r="AB2184">
        <v>23</v>
      </c>
      <c r="AC2184">
        <v>-4.4509999999999899</v>
      </c>
      <c r="AD2184">
        <v>-1.1103626990319999</v>
      </c>
      <c r="AE2184">
        <v>-52.6146999999999</v>
      </c>
      <c r="AF2184">
        <v>4.6876982419613604</v>
      </c>
      <c r="AG2184">
        <v>-1.1103626990319999</v>
      </c>
      <c r="AH2184">
        <v>52.570708253201801</v>
      </c>
      <c r="AI2184">
        <v>91.205202044972907</v>
      </c>
      <c r="AJ2184">
        <v>84.904446718591799</v>
      </c>
      <c r="AK2184">
        <v>52.790972584092003</v>
      </c>
      <c r="AL2184">
        <v>82.136928871374593</v>
      </c>
      <c r="AM2184">
        <v>93.612778273224805</v>
      </c>
      <c r="AN2184">
        <v>0.99999997019392906</v>
      </c>
    </row>
    <row r="2185" spans="1:40" x14ac:dyDescent="0.25">
      <c r="A2185" t="str">
        <f>"20190304154801254"</f>
        <v>20190304154801254</v>
      </c>
      <c r="B2185" t="str">
        <f>"1551685681248946"</f>
        <v>1551685681248946</v>
      </c>
      <c r="C2185" t="s">
        <v>40</v>
      </c>
      <c r="D2185">
        <v>4.4966970000000002</v>
      </c>
      <c r="E2185">
        <v>0.55580010000000002</v>
      </c>
      <c r="F2185" t="s">
        <v>44</v>
      </c>
      <c r="G2185">
        <v>-196.36799999999999</v>
      </c>
      <c r="H2185" s="1">
        <v>-5.0170950000000003E-6</v>
      </c>
      <c r="I2185">
        <v>268.41050000000001</v>
      </c>
      <c r="J2185">
        <v>-192.0112</v>
      </c>
      <c r="K2185">
        <v>1.1103700000000001</v>
      </c>
      <c r="L2185">
        <v>319.834</v>
      </c>
      <c r="M2185">
        <v>4.335584E-3</v>
      </c>
      <c r="N2185">
        <v>-9.8922439999999997E-3</v>
      </c>
      <c r="O2185">
        <v>-0.99994190000000005</v>
      </c>
      <c r="P2185">
        <v>6.8839919999999999E-2</v>
      </c>
      <c r="Q2185">
        <v>0.1269421</v>
      </c>
      <c r="R2185">
        <v>-0.98951909999999998</v>
      </c>
      <c r="S2185">
        <v>-0.25794980000000001</v>
      </c>
      <c r="T2185">
        <v>-6.5750959999999997E-2</v>
      </c>
      <c r="U2185">
        <v>-3.0573429999999999</v>
      </c>
      <c r="V2185">
        <v>-6.449568E-2</v>
      </c>
      <c r="W2185">
        <v>0.1367527</v>
      </c>
      <c r="X2185">
        <v>0.98850340000000003</v>
      </c>
      <c r="Y2185">
        <v>8.8372300000000001E-2</v>
      </c>
      <c r="Z2185">
        <v>1.152773E-2</v>
      </c>
      <c r="AA2185">
        <v>0.99602080000000004</v>
      </c>
      <c r="AB2185">
        <v>23</v>
      </c>
      <c r="AC2185">
        <v>-4.35679999999999</v>
      </c>
      <c r="AD2185">
        <v>-1.110375017095</v>
      </c>
      <c r="AE2185">
        <v>-51.423499999999898</v>
      </c>
      <c r="AF2185">
        <v>4.5776017278177399</v>
      </c>
      <c r="AG2185">
        <v>-1.110375017095</v>
      </c>
      <c r="AH2185">
        <v>51.380341247999297</v>
      </c>
      <c r="AI2185">
        <v>91.233137404093497</v>
      </c>
      <c r="AJ2185">
        <v>84.908819210025499</v>
      </c>
      <c r="AK2185">
        <v>51.595802513556897</v>
      </c>
      <c r="AL2185">
        <v>82.140017593761897</v>
      </c>
      <c r="AM2185">
        <v>93.733016927170794</v>
      </c>
      <c r="AN2185">
        <v>0.99999998275375601</v>
      </c>
    </row>
    <row r="2186" spans="1:40" x14ac:dyDescent="0.25">
      <c r="A2186" t="str">
        <f>"20190304154801268"</f>
        <v>20190304154801268</v>
      </c>
      <c r="B2186" t="str">
        <f>"1551685681258705"</f>
        <v>1551685681258705</v>
      </c>
      <c r="C2186" t="s">
        <v>40</v>
      </c>
      <c r="D2186">
        <v>4.5789339999999896</v>
      </c>
      <c r="E2186">
        <v>0.55591829999999998</v>
      </c>
      <c r="F2186" t="s">
        <v>44</v>
      </c>
      <c r="G2186">
        <v>-196.25069999999999</v>
      </c>
      <c r="H2186" s="1">
        <v>-5.1883099999999998E-6</v>
      </c>
      <c r="I2186">
        <v>268.97469999999998</v>
      </c>
      <c r="J2186">
        <v>-192.01070000000001</v>
      </c>
      <c r="K2186">
        <v>1.1103769999999999</v>
      </c>
      <c r="L2186">
        <v>319.68700000000001</v>
      </c>
      <c r="M2186">
        <v>4.1913649999999998E-3</v>
      </c>
      <c r="N2186">
        <v>-9.8963409999999995E-3</v>
      </c>
      <c r="O2186">
        <v>-0.99994240000000001</v>
      </c>
      <c r="P2186">
        <v>6.9837969999999999E-2</v>
      </c>
      <c r="Q2186">
        <v>0.1286176</v>
      </c>
      <c r="R2186">
        <v>-0.98923249999999996</v>
      </c>
      <c r="S2186">
        <v>-0.25491329999999901</v>
      </c>
      <c r="T2186">
        <v>-6.6764829999999997E-2</v>
      </c>
      <c r="U2186">
        <v>-3.0580750000000001</v>
      </c>
      <c r="V2186">
        <v>-6.5636899999999998E-2</v>
      </c>
      <c r="W2186">
        <v>0.13842979999999899</v>
      </c>
      <c r="X2186">
        <v>0.98819480000000004</v>
      </c>
      <c r="Y2186">
        <v>8.7226219999999993E-2</v>
      </c>
      <c r="Z2186">
        <v>1.185075E-2</v>
      </c>
      <c r="AA2186">
        <v>0.99611799999999995</v>
      </c>
      <c r="AB2186">
        <v>23</v>
      </c>
      <c r="AC2186">
        <v>-4.2399999999999798</v>
      </c>
      <c r="AD2186">
        <v>-1.11038218831</v>
      </c>
      <c r="AE2186">
        <v>-50.712299999999999</v>
      </c>
      <c r="AF2186">
        <v>4.4504080747505004</v>
      </c>
      <c r="AG2186">
        <v>-1.11038218831</v>
      </c>
      <c r="AH2186">
        <v>50.669958574408398</v>
      </c>
      <c r="AI2186">
        <v>91.250566751790799</v>
      </c>
      <c r="AJ2186">
        <v>84.980518369951497</v>
      </c>
      <c r="AK2186">
        <v>50.877144009547003</v>
      </c>
      <c r="AL2186">
        <v>82.043004180095593</v>
      </c>
      <c r="AM2186">
        <v>93.800061985956106</v>
      </c>
      <c r="AN2186">
        <v>0.99999998745834395</v>
      </c>
    </row>
    <row r="2187" spans="1:40" x14ac:dyDescent="0.25">
      <c r="A2187" t="str">
        <f>"20190304154801288"</f>
        <v>20190304154801288</v>
      </c>
      <c r="B2187" t="str">
        <f>"1551685681279201"</f>
        <v>1551685681279201</v>
      </c>
      <c r="C2187" t="s">
        <v>40</v>
      </c>
      <c r="D2187">
        <v>4.5669170000000001</v>
      </c>
      <c r="E2187">
        <v>0.55634039999999996</v>
      </c>
      <c r="F2187" t="s">
        <v>44</v>
      </c>
      <c r="G2187">
        <v>-196.4726</v>
      </c>
      <c r="H2187" s="1">
        <v>-4.0813119999999997E-6</v>
      </c>
      <c r="I2187">
        <v>265.60610000000003</v>
      </c>
      <c r="J2187">
        <v>-192.01009999999999</v>
      </c>
      <c r="K2187">
        <v>1.1103889999999901</v>
      </c>
      <c r="L2187">
        <v>319.4742</v>
      </c>
      <c r="M2187">
        <v>3.9824149999999996E-3</v>
      </c>
      <c r="N2187">
        <v>-9.9022499999999996E-3</v>
      </c>
      <c r="O2187">
        <v>-0.99994329999999998</v>
      </c>
      <c r="P2187">
        <v>7.1258199999999994E-2</v>
      </c>
      <c r="Q2187">
        <v>0.13245499999999999</v>
      </c>
      <c r="R2187">
        <v>-0.98862459999999996</v>
      </c>
      <c r="S2187">
        <v>-0.25234990000000002</v>
      </c>
      <c r="T2187">
        <v>-6.2799809999999998E-2</v>
      </c>
      <c r="U2187">
        <v>-3.0586549999999999</v>
      </c>
      <c r="V2187">
        <v>-6.7264619999999997E-2</v>
      </c>
      <c r="W2187">
        <v>0.1422677</v>
      </c>
      <c r="X2187">
        <v>0.98754010000000003</v>
      </c>
      <c r="Y2187">
        <v>8.6175130000000003E-2</v>
      </c>
      <c r="Z2187">
        <v>1.055156E-2</v>
      </c>
      <c r="AA2187">
        <v>0.99622409999999995</v>
      </c>
      <c r="AB2187">
        <v>23</v>
      </c>
      <c r="AC2187">
        <v>-4.4625000000000004</v>
      </c>
      <c r="AD2187">
        <v>-1.11039308131199</v>
      </c>
      <c r="AE2187">
        <v>-53.868099999999899</v>
      </c>
      <c r="AF2187">
        <v>4.6750273063820602</v>
      </c>
      <c r="AG2187">
        <v>-1.11039308131199</v>
      </c>
      <c r="AH2187">
        <v>53.827184935189898</v>
      </c>
      <c r="AI2187">
        <v>91.177347610192498</v>
      </c>
      <c r="AJ2187">
        <v>85.036172779287497</v>
      </c>
      <c r="AK2187">
        <v>54.0412313993453</v>
      </c>
      <c r="AL2187">
        <v>81.820910721853807</v>
      </c>
      <c r="AM2187">
        <v>93.896586370610606</v>
      </c>
      <c r="AN2187">
        <v>1.00000003833752</v>
      </c>
    </row>
    <row r="2188" spans="1:40" x14ac:dyDescent="0.25">
      <c r="A2188" t="str">
        <f>"20190304154801312"</f>
        <v>20190304154801312</v>
      </c>
      <c r="B2188" t="str">
        <f>"1551685681308482"</f>
        <v>1551685681308482</v>
      </c>
      <c r="C2188" t="s">
        <v>40</v>
      </c>
      <c r="D2188">
        <v>5.1095670000000002</v>
      </c>
      <c r="E2188">
        <v>0.55721540000000003</v>
      </c>
      <c r="F2188" t="s">
        <v>44</v>
      </c>
      <c r="G2188">
        <v>-197.40170000000001</v>
      </c>
      <c r="H2188" s="1">
        <v>-3.525371E-6</v>
      </c>
      <c r="I2188">
        <v>253.4881</v>
      </c>
      <c r="J2188">
        <v>-192.0094</v>
      </c>
      <c r="K2188">
        <v>1.1103909999999999</v>
      </c>
      <c r="L2188">
        <v>319.23860000000002</v>
      </c>
      <c r="M2188">
        <v>3.7512800000000001E-3</v>
      </c>
      <c r="N2188">
        <v>-9.9087299999999993E-3</v>
      </c>
      <c r="O2188">
        <v>-0.99994400000000006</v>
      </c>
      <c r="P2188">
        <v>7.160772E-2</v>
      </c>
      <c r="Q2188">
        <v>0.13416420000000001</v>
      </c>
      <c r="R2188">
        <v>-0.98836869999999999</v>
      </c>
      <c r="S2188">
        <v>-0.2499847</v>
      </c>
      <c r="T2188">
        <v>-5.148399E-2</v>
      </c>
      <c r="U2188">
        <v>-3.0594790000000001</v>
      </c>
      <c r="V2188">
        <v>-6.7842360000000004E-2</v>
      </c>
      <c r="W2188">
        <v>0.14398029999999901</v>
      </c>
      <c r="X2188">
        <v>0.98725229999999997</v>
      </c>
      <c r="Y2188">
        <v>8.5162160000000001E-2</v>
      </c>
      <c r="Z2188">
        <v>6.8569769999999898E-3</v>
      </c>
      <c r="AA2188">
        <v>0.99634350000000005</v>
      </c>
      <c r="AB2188">
        <v>23</v>
      </c>
      <c r="AC2188">
        <v>-5.3922999999999996</v>
      </c>
      <c r="AD2188">
        <v>-1.1103945253709999</v>
      </c>
      <c r="AE2188">
        <v>-65.750500000000002</v>
      </c>
      <c r="AF2188">
        <v>5.6373256191471297</v>
      </c>
      <c r="AG2188">
        <v>-1.1103945253709999</v>
      </c>
      <c r="AH2188">
        <v>65.711192386892606</v>
      </c>
      <c r="AI2188">
        <v>90.964555569240503</v>
      </c>
      <c r="AJ2188">
        <v>85.096633628466193</v>
      </c>
      <c r="AK2188">
        <v>65.961907348449799</v>
      </c>
      <c r="AL2188">
        <v>81.721764983524395</v>
      </c>
      <c r="AM2188">
        <v>93.931092017990906</v>
      </c>
      <c r="AN2188">
        <v>1.0000000082268701</v>
      </c>
    </row>
    <row r="2189" spans="1:40" x14ac:dyDescent="0.25">
      <c r="A2189" t="str">
        <f>"20190304154801545"</f>
        <v>20190304154801545</v>
      </c>
      <c r="B2189" t="str">
        <f>"1551685681538818"</f>
        <v>1551685681538818</v>
      </c>
      <c r="C2189" t="s">
        <v>40</v>
      </c>
      <c r="D2189">
        <v>4.8304710000000002</v>
      </c>
      <c r="E2189">
        <v>0.63941819999999905</v>
      </c>
      <c r="F2189" t="s">
        <v>44</v>
      </c>
      <c r="G2189">
        <v>-197.83269999999999</v>
      </c>
      <c r="H2189" s="1">
        <v>-6.0453579999999999E-6</v>
      </c>
      <c r="I2189">
        <v>249.41050000000001</v>
      </c>
      <c r="J2189">
        <v>-192.006</v>
      </c>
      <c r="K2189">
        <v>1.11036</v>
      </c>
      <c r="L2189">
        <v>316.767</v>
      </c>
      <c r="M2189">
        <v>1.160569E-3</v>
      </c>
      <c r="N2189">
        <v>-9.9728850000000008E-3</v>
      </c>
      <c r="O2189">
        <v>-0.99994959999999999</v>
      </c>
      <c r="P2189">
        <v>4.188393E-2</v>
      </c>
      <c r="Q2189">
        <v>0.14437529999999901</v>
      </c>
      <c r="R2189">
        <v>-0.98863639999999997</v>
      </c>
      <c r="S2189">
        <v>-0.25521850000000001</v>
      </c>
      <c r="T2189">
        <v>-4.8665519999999997E-2</v>
      </c>
      <c r="U2189">
        <v>-3.0603639999999999</v>
      </c>
      <c r="V2189">
        <v>-4.0657260000000001E-2</v>
      </c>
      <c r="W2189">
        <v>0.1542492</v>
      </c>
      <c r="X2189">
        <v>0.98719509999999999</v>
      </c>
      <c r="Y2189">
        <v>8.4250630000000007E-2</v>
      </c>
      <c r="Z2189">
        <v>5.8711930000000002E-3</v>
      </c>
      <c r="AA2189">
        <v>0.99642730000000002</v>
      </c>
      <c r="AB2189">
        <v>24</v>
      </c>
      <c r="AC2189">
        <v>-5.8267000000000104</v>
      </c>
      <c r="AD2189">
        <v>-1.110366045358</v>
      </c>
      <c r="AE2189">
        <v>-67.356499999999897</v>
      </c>
      <c r="AF2189">
        <v>5.9032795142644696</v>
      </c>
      <c r="AG2189">
        <v>-1.110366045358</v>
      </c>
      <c r="AH2189">
        <v>67.331530414238003</v>
      </c>
      <c r="AI2189">
        <v>90.941170820597407</v>
      </c>
      <c r="AJ2189">
        <v>84.989415460234596</v>
      </c>
      <c r="AK2189">
        <v>67.598939412550493</v>
      </c>
      <c r="AL2189">
        <v>81.126745051056801</v>
      </c>
      <c r="AM2189">
        <v>92.358372393388905</v>
      </c>
      <c r="AN2189">
        <v>0.99999999697767805</v>
      </c>
    </row>
    <row r="2190" spans="1:40" x14ac:dyDescent="0.25">
      <c r="A2190" t="str">
        <f>"20190304154801559"</f>
        <v>20190304154801559</v>
      </c>
      <c r="B2190" t="str">
        <f>"1551685681548577"</f>
        <v>1551685681548577</v>
      </c>
      <c r="C2190" t="s">
        <v>40</v>
      </c>
      <c r="D2190">
        <v>4.9532420000000004</v>
      </c>
      <c r="E2190">
        <v>0.63696280000000005</v>
      </c>
      <c r="F2190" t="s">
        <v>54</v>
      </c>
      <c r="G2190">
        <v>-203.99719999999999</v>
      </c>
      <c r="H2190">
        <v>1.4113809999999999E-2</v>
      </c>
      <c r="I2190">
        <v>279.6157</v>
      </c>
      <c r="J2190">
        <v>-192.0061</v>
      </c>
      <c r="K2190">
        <v>1.110352</v>
      </c>
      <c r="L2190">
        <v>316.61989999999997</v>
      </c>
      <c r="M2190">
        <v>9.5720370000000003E-4</v>
      </c>
      <c r="N2190">
        <v>-9.9766290000000007E-3</v>
      </c>
      <c r="O2190">
        <v>-0.99995009999999995</v>
      </c>
      <c r="P2190">
        <v>4.0787400000000001E-2</v>
      </c>
      <c r="Q2190">
        <v>0.14436879999999999</v>
      </c>
      <c r="R2190">
        <v>-0.98868339999999999</v>
      </c>
      <c r="S2190">
        <v>-0.99736020000000003</v>
      </c>
      <c r="T2190">
        <v>-9.1179369999999996E-2</v>
      </c>
      <c r="U2190">
        <v>-3.0900270000000001</v>
      </c>
      <c r="V2190">
        <v>-3.975675E-2</v>
      </c>
      <c r="W2190">
        <v>0.1542473</v>
      </c>
      <c r="X2190">
        <v>0.98723209999999995</v>
      </c>
      <c r="Y2190">
        <v>0.3079673</v>
      </c>
      <c r="Z2190">
        <v>1.80904E-2</v>
      </c>
      <c r="AA2190">
        <v>0.95122490000000004</v>
      </c>
      <c r="AB2190">
        <v>24</v>
      </c>
      <c r="AC2190">
        <v>-11.9910999999999</v>
      </c>
      <c r="AD2190">
        <v>-1.09623819</v>
      </c>
      <c r="AE2190">
        <v>-37.004199999999898</v>
      </c>
      <c r="AF2190">
        <v>12.0169726466613</v>
      </c>
      <c r="AG2190">
        <v>-1.09623819</v>
      </c>
      <c r="AH2190">
        <v>36.963347376010503</v>
      </c>
      <c r="AI2190">
        <v>91.615562648576002</v>
      </c>
      <c r="AJ2190">
        <v>71.990392200364795</v>
      </c>
      <c r="AK2190">
        <v>38.883137977784699</v>
      </c>
      <c r="AL2190">
        <v>81.126855473366703</v>
      </c>
      <c r="AM2190">
        <v>92.306107945046904</v>
      </c>
      <c r="AN2190">
        <v>1.00000002399913</v>
      </c>
    </row>
    <row r="2191" spans="1:40" x14ac:dyDescent="0.25">
      <c r="A2191" t="str">
        <f>"20190304154801579"</f>
        <v>20190304154801579</v>
      </c>
      <c r="B2191" t="str">
        <f>"1551685681569073"</f>
        <v>1551685681569073</v>
      </c>
      <c r="C2191" t="s">
        <v>40</v>
      </c>
      <c r="D2191">
        <v>4.9168079999999996</v>
      </c>
      <c r="E2191">
        <v>0.64052699999999996</v>
      </c>
      <c r="F2191" t="s">
        <v>54</v>
      </c>
      <c r="G2191">
        <v>-205.3426</v>
      </c>
      <c r="H2191">
        <v>8.0001180000000005E-2</v>
      </c>
      <c r="I2191">
        <v>274.65640000000002</v>
      </c>
      <c r="J2191">
        <v>-192.00620000000001</v>
      </c>
      <c r="K2191">
        <v>1.1103449999999999</v>
      </c>
      <c r="L2191">
        <v>316.40469999999999</v>
      </c>
      <c r="M2191">
        <v>6.3561610000000001E-4</v>
      </c>
      <c r="N2191">
        <v>-9.9821360000000008E-3</v>
      </c>
      <c r="O2191">
        <v>-0.99995009999999995</v>
      </c>
      <c r="P2191">
        <v>3.9656990000000003E-2</v>
      </c>
      <c r="Q2191">
        <v>0.14487</v>
      </c>
      <c r="R2191">
        <v>-0.98865579999999997</v>
      </c>
      <c r="S2191">
        <v>-0.98074340000000004</v>
      </c>
      <c r="T2191">
        <v>-7.5769900000000001E-2</v>
      </c>
      <c r="U2191">
        <v>-3.0859070000000002</v>
      </c>
      <c r="V2191">
        <v>-3.8934969999999999E-2</v>
      </c>
      <c r="W2191">
        <v>0.15475559999999999</v>
      </c>
      <c r="X2191">
        <v>0.98718530000000004</v>
      </c>
      <c r="Y2191">
        <v>0.30341420000000002</v>
      </c>
      <c r="Z2191">
        <v>1.341004E-2</v>
      </c>
      <c r="AA2191">
        <v>0.95276439999999996</v>
      </c>
      <c r="AB2191">
        <v>24</v>
      </c>
      <c r="AC2191">
        <v>-13.3363999999999</v>
      </c>
      <c r="AD2191">
        <v>-1.0303438199999999</v>
      </c>
      <c r="AE2191">
        <v>-41.748299999999901</v>
      </c>
      <c r="AF2191">
        <v>13.3555529492539</v>
      </c>
      <c r="AG2191">
        <v>-1.0303438199999999</v>
      </c>
      <c r="AH2191">
        <v>41.716757609384999</v>
      </c>
      <c r="AI2191">
        <v>91.3474909701618</v>
      </c>
      <c r="AJ2191">
        <v>72.247616128480004</v>
      </c>
      <c r="AK2191">
        <v>43.8146124986622</v>
      </c>
      <c r="AL2191">
        <v>81.097378063801003</v>
      </c>
      <c r="AM2191">
        <v>92.258597071245205</v>
      </c>
      <c r="AN2191">
        <v>1.00000002207817</v>
      </c>
    </row>
    <row r="2192" spans="1:40" x14ac:dyDescent="0.25">
      <c r="A2192" t="str">
        <f>"20190304154801601"</f>
        <v>20190304154801601</v>
      </c>
      <c r="B2192" t="str">
        <f>"1551685681599330"</f>
        <v>1551685681599330</v>
      </c>
      <c r="C2192" t="s">
        <v>40</v>
      </c>
      <c r="D2192">
        <v>4.8897789999999999</v>
      </c>
      <c r="E2192">
        <v>0.64190639999999999</v>
      </c>
      <c r="F2192" t="s">
        <v>54</v>
      </c>
      <c r="G2192">
        <v>-203.35830000000001</v>
      </c>
      <c r="H2192" s="1">
        <v>3.9543990000000004E-6</v>
      </c>
      <c r="I2192">
        <v>281.77800000000002</v>
      </c>
      <c r="J2192">
        <v>-192.00649999999999</v>
      </c>
      <c r="K2192">
        <v>1.1103270000000001</v>
      </c>
      <c r="L2192">
        <v>316.17500000000001</v>
      </c>
      <c r="M2192">
        <v>2.5750110000000002E-4</v>
      </c>
      <c r="N2192">
        <v>-9.98806E-3</v>
      </c>
      <c r="O2192">
        <v>-0.99995040000000002</v>
      </c>
      <c r="P2192">
        <v>3.9293939999999999E-2</v>
      </c>
      <c r="Q2192">
        <v>0.14566750000000001</v>
      </c>
      <c r="R2192">
        <v>-0.98855349999999997</v>
      </c>
      <c r="S2192">
        <v>-1.012894</v>
      </c>
      <c r="T2192">
        <v>-9.9070309999999995E-2</v>
      </c>
      <c r="U2192">
        <v>-3.089569</v>
      </c>
      <c r="V2192">
        <v>-3.8935640000000001E-2</v>
      </c>
      <c r="W2192">
        <v>0.15556020000000001</v>
      </c>
      <c r="X2192">
        <v>0.98705880000000001</v>
      </c>
      <c r="Y2192">
        <v>0.3116466</v>
      </c>
      <c r="Z2192">
        <v>2.046982E-2</v>
      </c>
      <c r="AA2192">
        <v>0.94997759999999998</v>
      </c>
      <c r="AB2192">
        <v>24</v>
      </c>
      <c r="AC2192">
        <v>-11.351800000000001</v>
      </c>
      <c r="AD2192">
        <v>-1.110323045601</v>
      </c>
      <c r="AE2192">
        <v>-34.396999999999899</v>
      </c>
      <c r="AF2192">
        <v>11.3499924761048</v>
      </c>
      <c r="AG2192">
        <v>-1.110323045601</v>
      </c>
      <c r="AH2192">
        <v>34.361788069710599</v>
      </c>
      <c r="AI2192">
        <v>91.757413346682398</v>
      </c>
      <c r="AJ2192">
        <v>71.721168919562203</v>
      </c>
      <c r="AK2192">
        <v>36.204801143231499</v>
      </c>
      <c r="AL2192">
        <v>81.050712704146406</v>
      </c>
      <c r="AM2192">
        <v>92.258925060939006</v>
      </c>
      <c r="AN2192">
        <v>1.00000001727184</v>
      </c>
    </row>
    <row r="2193" spans="1:40" x14ac:dyDescent="0.25">
      <c r="A2193" t="str">
        <f>"20190304154801615"</f>
        <v>20190304154801615</v>
      </c>
      <c r="B2193" t="str">
        <f>"1551685681609089"</f>
        <v>1551685681609089</v>
      </c>
      <c r="C2193" t="s">
        <v>40</v>
      </c>
      <c r="D2193">
        <v>6.286429</v>
      </c>
      <c r="E2193">
        <v>0.64190639999999999</v>
      </c>
      <c r="F2193" t="s">
        <v>54</v>
      </c>
      <c r="G2193">
        <v>-202.83860000000001</v>
      </c>
      <c r="H2193" s="1">
        <v>3.5732599999999902E-6</v>
      </c>
      <c r="I2193">
        <v>283.50150000000002</v>
      </c>
      <c r="J2193">
        <v>-192.0067</v>
      </c>
      <c r="K2193">
        <v>1.1103080000000001</v>
      </c>
      <c r="L2193">
        <v>316.01710000000003</v>
      </c>
      <c r="M2193" s="1">
        <v>-2.2436909999999999E-5</v>
      </c>
      <c r="N2193">
        <v>-9.9921430000000002E-3</v>
      </c>
      <c r="O2193">
        <v>-0.99995040000000002</v>
      </c>
      <c r="P2193">
        <v>3.9007710000000001E-2</v>
      </c>
      <c r="Q2193">
        <v>0.14570229999999901</v>
      </c>
      <c r="R2193">
        <v>-0.98855959999999998</v>
      </c>
      <c r="S2193">
        <v>-1.024734</v>
      </c>
      <c r="T2193">
        <v>-0.1050377</v>
      </c>
      <c r="U2193">
        <v>-3.0909420000000001</v>
      </c>
      <c r="V2193">
        <v>-3.8918920000000003E-2</v>
      </c>
      <c r="W2193">
        <v>0.15560070000000001</v>
      </c>
      <c r="X2193">
        <v>0.98705299999999996</v>
      </c>
      <c r="Y2193">
        <v>0.31452140000000001</v>
      </c>
      <c r="Z2193">
        <v>2.225104E-2</v>
      </c>
      <c r="AA2193">
        <v>0.94898959999999999</v>
      </c>
      <c r="AB2193">
        <v>24</v>
      </c>
      <c r="AC2193">
        <v>-10.831899999999999</v>
      </c>
      <c r="AD2193">
        <v>-1.11030442674</v>
      </c>
      <c r="AE2193">
        <v>-32.515599999999999</v>
      </c>
      <c r="AF2193">
        <v>10.8198146549119</v>
      </c>
      <c r="AG2193">
        <v>-1.11030442674</v>
      </c>
      <c r="AH2193">
        <v>32.481752355085298</v>
      </c>
      <c r="AI2193">
        <v>91.857479978798494</v>
      </c>
      <c r="AJ2193">
        <v>71.5768571693186</v>
      </c>
      <c r="AK2193">
        <v>34.254421629094502</v>
      </c>
      <c r="AL2193">
        <v>81.048362945953301</v>
      </c>
      <c r="AM2193">
        <v>92.257969276847007</v>
      </c>
      <c r="AN2193">
        <v>0.99999994249172597</v>
      </c>
    </row>
    <row r="2194" spans="1:40" x14ac:dyDescent="0.25">
      <c r="A2194" t="str">
        <f>"20190304154801635"</f>
        <v>20190304154801635</v>
      </c>
      <c r="B2194" t="str">
        <f>"1551685681629257"</f>
        <v>1551685681629257</v>
      </c>
      <c r="C2194" t="s">
        <v>40</v>
      </c>
      <c r="D2194">
        <v>4.5317660000000002</v>
      </c>
      <c r="E2194">
        <v>0.56851459999999998</v>
      </c>
      <c r="F2194" t="s">
        <v>54</v>
      </c>
      <c r="G2194">
        <v>-202.85599999999999</v>
      </c>
      <c r="H2194" s="1">
        <v>3.596317E-6</v>
      </c>
      <c r="I2194">
        <v>283.32600000000002</v>
      </c>
      <c r="J2194">
        <v>-192.00720000000001</v>
      </c>
      <c r="K2194">
        <v>1.110276</v>
      </c>
      <c r="L2194">
        <v>315.81029999999998</v>
      </c>
      <c r="M2194">
        <v>-4.1715140000000002E-4</v>
      </c>
      <c r="N2194">
        <v>-9.9975180000000004E-3</v>
      </c>
      <c r="O2194">
        <v>-0.99995000000000001</v>
      </c>
      <c r="P2194">
        <v>3.900141E-2</v>
      </c>
      <c r="Q2194">
        <v>0.14548849999999999</v>
      </c>
      <c r="R2194">
        <v>-0.98859129999999995</v>
      </c>
      <c r="S2194">
        <v>-1.025711</v>
      </c>
      <c r="T2194">
        <v>-0.1049701</v>
      </c>
      <c r="U2194">
        <v>-3.090668</v>
      </c>
      <c r="V2194">
        <v>-3.9293429999999997E-2</v>
      </c>
      <c r="W2194">
        <v>0.155394899999999</v>
      </c>
      <c r="X2194">
        <v>0.98707060000000002</v>
      </c>
      <c r="Y2194">
        <v>0.31444220000000001</v>
      </c>
      <c r="Z2194">
        <v>2.2227159999999999E-2</v>
      </c>
      <c r="AA2194">
        <v>0.94901630000000003</v>
      </c>
      <c r="AB2194">
        <v>24</v>
      </c>
      <c r="AC2194">
        <v>-10.848799999999899</v>
      </c>
      <c r="AD2194">
        <v>-1.1102724036830001</v>
      </c>
      <c r="AE2194">
        <v>-32.484299999999998</v>
      </c>
      <c r="AF2194">
        <v>10.823871993866099</v>
      </c>
      <c r="AG2194">
        <v>-1.1102724036830001</v>
      </c>
      <c r="AH2194">
        <v>32.4547142110466</v>
      </c>
      <c r="AI2194">
        <v>91.858748487605098</v>
      </c>
      <c r="AJ2194">
        <v>71.556100092113795</v>
      </c>
      <c r="AK2194">
        <v>34.2300655019923</v>
      </c>
      <c r="AL2194">
        <v>81.060299761523794</v>
      </c>
      <c r="AM2194">
        <v>92.279633902608794</v>
      </c>
      <c r="AN2194">
        <v>0.99999995898576599</v>
      </c>
    </row>
    <row r="2195" spans="1:40" x14ac:dyDescent="0.25">
      <c r="A2195" t="str">
        <f>"20190304154801658"</f>
        <v>20190304154801658</v>
      </c>
      <c r="B2195" t="str">
        <f>"1551685681648777"</f>
        <v>1551685681648777</v>
      </c>
      <c r="C2195" t="s">
        <v>40</v>
      </c>
      <c r="D2195">
        <v>4.4914350000000001</v>
      </c>
      <c r="E2195">
        <v>0.56244890000000003</v>
      </c>
      <c r="F2195" t="s">
        <v>55</v>
      </c>
      <c r="G2195">
        <v>-223.40819999999999</v>
      </c>
      <c r="H2195">
        <v>8.4819209999999998</v>
      </c>
      <c r="I2195">
        <v>97.150019999999998</v>
      </c>
      <c r="J2195">
        <v>-192.0078</v>
      </c>
      <c r="K2195">
        <v>1.110228</v>
      </c>
      <c r="L2195">
        <v>315.56259999999997</v>
      </c>
      <c r="M2195">
        <v>-9.3245310000000001E-4</v>
      </c>
      <c r="N2195">
        <v>-1.0003990000000001E-2</v>
      </c>
      <c r="O2195">
        <v>-0.9999498</v>
      </c>
      <c r="P2195">
        <v>3.9363120000000001E-2</v>
      </c>
      <c r="Q2195">
        <v>0.14394860000000001</v>
      </c>
      <c r="R2195">
        <v>-0.98880250000000003</v>
      </c>
      <c r="S2195">
        <v>-0.43609619999999999</v>
      </c>
      <c r="T2195">
        <v>0.10237739999999999</v>
      </c>
      <c r="U2195">
        <v>-3.036743</v>
      </c>
      <c r="V2195">
        <v>-4.015552E-2</v>
      </c>
      <c r="W2195">
        <v>0.15386659999999999</v>
      </c>
      <c r="X2195">
        <v>0.98727540000000003</v>
      </c>
      <c r="Y2195">
        <v>0.14110799999999901</v>
      </c>
      <c r="Z2195">
        <v>-4.3350270000000003E-2</v>
      </c>
      <c r="AA2195">
        <v>0.9890447</v>
      </c>
      <c r="AB2195">
        <v>24</v>
      </c>
      <c r="AC2195">
        <v>-31.400399999999902</v>
      </c>
      <c r="AD2195">
        <v>7.3716929999999996</v>
      </c>
      <c r="AE2195">
        <v>-218.41257999999999</v>
      </c>
      <c r="AF2195">
        <v>31.161937587872998</v>
      </c>
      <c r="AG2195">
        <v>7.3716929999999996</v>
      </c>
      <c r="AH2195">
        <v>218.198239753677</v>
      </c>
      <c r="AI2195">
        <v>88.084454858492293</v>
      </c>
      <c r="AJ2195">
        <v>81.872275304138</v>
      </c>
      <c r="AK2195">
        <v>220.53543942758901</v>
      </c>
      <c r="AL2195">
        <v>81.148931805502201</v>
      </c>
      <c r="AM2195">
        <v>92.329111384091405</v>
      </c>
      <c r="AN2195">
        <v>1.00000005591359</v>
      </c>
    </row>
    <row r="2196" spans="1:40" x14ac:dyDescent="0.25">
      <c r="A2196" t="str">
        <f>"20190304154801680"</f>
        <v>20190304154801680</v>
      </c>
      <c r="B2196" t="str">
        <f>"1551685681669280"</f>
        <v>1551685681669280</v>
      </c>
      <c r="C2196" t="s">
        <v>40</v>
      </c>
      <c r="D2196">
        <v>4.4227449999999999</v>
      </c>
      <c r="E2196">
        <v>0.56034859999999997</v>
      </c>
      <c r="F2196" t="s">
        <v>56</v>
      </c>
      <c r="G2196">
        <v>-217.80250000000001</v>
      </c>
      <c r="H2196">
        <v>2.536219</v>
      </c>
      <c r="I2196">
        <v>113.2439</v>
      </c>
      <c r="J2196">
        <v>-192.0086</v>
      </c>
      <c r="K2196">
        <v>1.1101920000000001</v>
      </c>
      <c r="L2196">
        <v>315.33030000000002</v>
      </c>
      <c r="M2196">
        <v>-1.4547900000000001E-3</v>
      </c>
      <c r="N2196">
        <v>-1.0010069999999999E-2</v>
      </c>
      <c r="O2196">
        <v>-0.99994890000000003</v>
      </c>
      <c r="P2196">
        <v>3.9721579999999999E-2</v>
      </c>
      <c r="Q2196">
        <v>0.14306749999999999</v>
      </c>
      <c r="R2196">
        <v>-0.98891560000000001</v>
      </c>
      <c r="S2196">
        <v>-0.3883972</v>
      </c>
      <c r="T2196">
        <v>2.1471859999999999E-2</v>
      </c>
      <c r="U2196">
        <v>-3.0463559999999998</v>
      </c>
      <c r="V2196">
        <v>-4.1021210000000002E-2</v>
      </c>
      <c r="W2196">
        <v>0.1529963</v>
      </c>
      <c r="X2196">
        <v>0.987375</v>
      </c>
      <c r="Y2196">
        <v>0.12500839999999999</v>
      </c>
      <c r="Z2196">
        <v>-1.7000790000000002E-2</v>
      </c>
      <c r="AA2196">
        <v>0.99200999999999995</v>
      </c>
      <c r="AB2196">
        <v>24</v>
      </c>
      <c r="AC2196">
        <v>-25.793900000000001</v>
      </c>
      <c r="AD2196">
        <v>1.4260269999999999</v>
      </c>
      <c r="AE2196">
        <v>-202.0864</v>
      </c>
      <c r="AF2196">
        <v>25.4986153783139</v>
      </c>
      <c r="AG2196">
        <v>1.4260269999999999</v>
      </c>
      <c r="AH2196">
        <v>202.11380989145499</v>
      </c>
      <c r="AI2196">
        <v>89.598931696074601</v>
      </c>
      <c r="AJ2196">
        <v>82.809569971626701</v>
      </c>
      <c r="AK2196">
        <v>203.72089997851299</v>
      </c>
      <c r="AL2196">
        <v>81.199393322884106</v>
      </c>
      <c r="AM2196">
        <v>92.3790265451442</v>
      </c>
      <c r="AN2196">
        <v>0.99999999905427694</v>
      </c>
    </row>
    <row r="2197" spans="1:40" x14ac:dyDescent="0.25">
      <c r="A2197" t="str">
        <f>"20190304154801694"</f>
        <v>20190304154801694</v>
      </c>
      <c r="B2197" t="str">
        <f>"1551685681688792"</f>
        <v>1551685681688792</v>
      </c>
      <c r="C2197" t="s">
        <v>40</v>
      </c>
      <c r="D2197">
        <v>4.5430289999999998</v>
      </c>
      <c r="E2197">
        <v>0.56081939999999997</v>
      </c>
      <c r="F2197" t="s">
        <v>57</v>
      </c>
      <c r="G2197">
        <v>-210.40780000000001</v>
      </c>
      <c r="H2197">
        <v>0.53472039999999998</v>
      </c>
      <c r="I2197">
        <v>164.13399999999999</v>
      </c>
      <c r="J2197">
        <v>-192.0093</v>
      </c>
      <c r="K2197">
        <v>1.110171</v>
      </c>
      <c r="L2197">
        <v>315.1703</v>
      </c>
      <c r="M2197">
        <v>-1.835475E-3</v>
      </c>
      <c r="N2197">
        <v>-1.0014260000000001E-2</v>
      </c>
      <c r="O2197">
        <v>-0.99994819999999995</v>
      </c>
      <c r="P2197">
        <v>4.011634E-2</v>
      </c>
      <c r="Q2197">
        <v>0.14349110000000001</v>
      </c>
      <c r="R2197">
        <v>-0.98883840000000001</v>
      </c>
      <c r="S2197">
        <v>-0.3711853</v>
      </c>
      <c r="T2197">
        <v>-1.160955E-2</v>
      </c>
      <c r="U2197">
        <v>-3.0502319999999998</v>
      </c>
      <c r="V2197">
        <v>-4.1785349999999999E-2</v>
      </c>
      <c r="W2197">
        <v>0.1534256</v>
      </c>
      <c r="X2197">
        <v>0.9872763</v>
      </c>
      <c r="Y2197">
        <v>0.1189668</v>
      </c>
      <c r="Z2197">
        <v>-6.2346349999999997E-3</v>
      </c>
      <c r="AA2197">
        <v>0.9928787</v>
      </c>
      <c r="AB2197">
        <v>24</v>
      </c>
      <c r="AC2197">
        <v>-18.398499999999999</v>
      </c>
      <c r="AD2197">
        <v>-0.57545059999999904</v>
      </c>
      <c r="AE2197">
        <v>-151.03629999999899</v>
      </c>
      <c r="AF2197">
        <v>18.120972556599799</v>
      </c>
      <c r="AG2197">
        <v>-0.57545059999999904</v>
      </c>
      <c r="AH2197">
        <v>151.06765636947699</v>
      </c>
      <c r="AI2197">
        <v>90.216698011817698</v>
      </c>
      <c r="AJ2197">
        <v>83.159898485935599</v>
      </c>
      <c r="AK2197">
        <v>152.151692697638</v>
      </c>
      <c r="AL2197">
        <v>81.174502034425004</v>
      </c>
      <c r="AM2197">
        <v>92.423532496123499</v>
      </c>
      <c r="AN2197">
        <v>0.99999996137583502</v>
      </c>
    </row>
    <row r="2198" spans="1:40" x14ac:dyDescent="0.25">
      <c r="A2198" t="str">
        <f>"20190304154801713"</f>
        <v>20190304154801713</v>
      </c>
      <c r="B2198" t="str">
        <f>"1551685681709290"</f>
        <v>1551685681709290</v>
      </c>
      <c r="C2198" t="s">
        <v>40</v>
      </c>
      <c r="D2198">
        <v>4.5764100000000001</v>
      </c>
      <c r="E2198">
        <v>0.56095850000000003</v>
      </c>
      <c r="F2198" t="s">
        <v>45</v>
      </c>
      <c r="G2198">
        <v>-208.32830000000001</v>
      </c>
      <c r="H2198">
        <v>-0.05</v>
      </c>
      <c r="I2198">
        <v>181.94800000000001</v>
      </c>
      <c r="J2198">
        <v>-192.0102</v>
      </c>
      <c r="K2198">
        <v>1.11015</v>
      </c>
      <c r="L2198">
        <v>314.96899999999999</v>
      </c>
      <c r="M2198">
        <v>-2.3457690000000002E-3</v>
      </c>
      <c r="N2198">
        <v>-1.001959E-2</v>
      </c>
      <c r="O2198">
        <v>-0.99994729999999998</v>
      </c>
      <c r="P2198">
        <v>4.0745009999999998E-2</v>
      </c>
      <c r="Q2198">
        <v>0.144591</v>
      </c>
      <c r="R2198">
        <v>-0.9886528</v>
      </c>
      <c r="S2198">
        <v>-0.37396239999999997</v>
      </c>
      <c r="T2198">
        <v>-2.6586169999999999E-2</v>
      </c>
      <c r="U2198">
        <v>-3.0528870000000001</v>
      </c>
      <c r="V2198">
        <v>-4.2907689999999998E-2</v>
      </c>
      <c r="W2198">
        <v>0.1545319</v>
      </c>
      <c r="X2198">
        <v>0.98705569999999998</v>
      </c>
      <c r="Y2198">
        <v>0.1192458</v>
      </c>
      <c r="Z2198">
        <v>-1.3734109999999999E-3</v>
      </c>
      <c r="AA2198">
        <v>0.99286379999999996</v>
      </c>
      <c r="AB2198">
        <v>24</v>
      </c>
      <c r="AC2198">
        <v>-16.318100000000001</v>
      </c>
      <c r="AD2198">
        <v>-1.16015</v>
      </c>
      <c r="AE2198">
        <v>-133.02099999999999</v>
      </c>
      <c r="AF2198">
        <v>16.004803609574701</v>
      </c>
      <c r="AG2198">
        <v>-1.16015</v>
      </c>
      <c r="AH2198">
        <v>133.048943988822</v>
      </c>
      <c r="AI2198">
        <v>90.496015016456397</v>
      </c>
      <c r="AJ2198">
        <v>83.140700311008999</v>
      </c>
      <c r="AK2198">
        <v>134.01313809901001</v>
      </c>
      <c r="AL2198">
        <v>81.110351589843305</v>
      </c>
      <c r="AM2198">
        <v>92.4891024441269</v>
      </c>
      <c r="AN2198">
        <v>1.0000000664406099</v>
      </c>
    </row>
    <row r="2199" spans="1:40" x14ac:dyDescent="0.25">
      <c r="A2199" t="str">
        <f>"20190304154801737"</f>
        <v>20190304154801737</v>
      </c>
      <c r="B2199" t="str">
        <f>"1551685681728809"</f>
        <v>1551685681728809</v>
      </c>
      <c r="C2199" t="s">
        <v>40</v>
      </c>
      <c r="D2199">
        <v>4.5129279999999996</v>
      </c>
      <c r="E2199">
        <v>0.56082529999999997</v>
      </c>
      <c r="F2199" t="s">
        <v>54</v>
      </c>
      <c r="G2199">
        <v>-203.08629999999999</v>
      </c>
      <c r="H2199">
        <v>7.9999769999999998E-2</v>
      </c>
      <c r="I2199">
        <v>224.27099999999999</v>
      </c>
      <c r="J2199">
        <v>-192.01150000000001</v>
      </c>
      <c r="K2199">
        <v>1.1101190000000001</v>
      </c>
      <c r="L2199">
        <v>314.71730000000002</v>
      </c>
      <c r="M2199">
        <v>-3.038036E-3</v>
      </c>
      <c r="N2199">
        <v>-1.002634E-2</v>
      </c>
      <c r="O2199">
        <v>-0.99994530000000004</v>
      </c>
      <c r="P2199">
        <v>4.1303779999999998E-2</v>
      </c>
      <c r="Q2199">
        <v>0.14436170000000001</v>
      </c>
      <c r="R2199">
        <v>-0.98866270000000001</v>
      </c>
      <c r="S2199">
        <v>-0.37306210000000001</v>
      </c>
      <c r="T2199">
        <v>-3.4697289999999999E-2</v>
      </c>
      <c r="U2199">
        <v>-3.0548709999999999</v>
      </c>
      <c r="V2199">
        <v>-4.4138080000000003E-2</v>
      </c>
      <c r="W2199">
        <v>0.1543147</v>
      </c>
      <c r="X2199">
        <v>0.98703540000000001</v>
      </c>
      <c r="Y2199">
        <v>0.1181909</v>
      </c>
      <c r="Z2199">
        <v>1.251123E-3</v>
      </c>
      <c r="AA2199">
        <v>0.99299009999999999</v>
      </c>
      <c r="AB2199">
        <v>24</v>
      </c>
      <c r="AC2199">
        <v>-11.0747999999999</v>
      </c>
      <c r="AD2199">
        <v>-1.0301192299999999</v>
      </c>
      <c r="AE2199">
        <v>-90.446299999999994</v>
      </c>
      <c r="AF2199">
        <v>10.798575951709999</v>
      </c>
      <c r="AG2199">
        <v>-1.0301192299999999</v>
      </c>
      <c r="AH2199">
        <v>90.467968097346599</v>
      </c>
      <c r="AI2199">
        <v>90.647775891379993</v>
      </c>
      <c r="AJ2199">
        <v>83.193178708522098</v>
      </c>
      <c r="AK2199">
        <v>91.115990033996695</v>
      </c>
      <c r="AL2199">
        <v>81.122947073533794</v>
      </c>
      <c r="AM2199">
        <v>92.560437077703</v>
      </c>
      <c r="AN2199">
        <v>1.00000003879766</v>
      </c>
    </row>
    <row r="2200" spans="1:40" x14ac:dyDescent="0.25">
      <c r="A2200" t="str">
        <f>"20190304154801760"</f>
        <v>20190304154801760</v>
      </c>
      <c r="B2200" t="str">
        <f>"1551685681749305"</f>
        <v>1551685681749305</v>
      </c>
      <c r="C2200" t="s">
        <v>40</v>
      </c>
      <c r="D2200">
        <v>4.508426</v>
      </c>
      <c r="E2200">
        <v>0.56143799999999999</v>
      </c>
      <c r="F2200" t="s">
        <v>54</v>
      </c>
      <c r="G2200">
        <v>-202.41970000000001</v>
      </c>
      <c r="H2200">
        <v>7.9998650000000004E-2</v>
      </c>
      <c r="I2200">
        <v>229.02610000000001</v>
      </c>
      <c r="J2200">
        <v>-192.01310000000001</v>
      </c>
      <c r="K2200">
        <v>1.1100779999999999</v>
      </c>
      <c r="L2200">
        <v>314.47219999999999</v>
      </c>
      <c r="M2200">
        <v>-3.769611E-3</v>
      </c>
      <c r="N2200">
        <v>-1.0033E-2</v>
      </c>
      <c r="O2200">
        <v>-0.99994280000000002</v>
      </c>
      <c r="P2200">
        <v>4.1673870000000002E-2</v>
      </c>
      <c r="Q2200">
        <v>0.14375489999999999</v>
      </c>
      <c r="R2200">
        <v>-0.98873599999999995</v>
      </c>
      <c r="S2200">
        <v>-0.37109379999999997</v>
      </c>
      <c r="T2200">
        <v>-3.6727910000000002E-2</v>
      </c>
      <c r="U2200">
        <v>-3.055237</v>
      </c>
      <c r="V2200">
        <v>-4.5217260000000002E-2</v>
      </c>
      <c r="W2200">
        <v>0.15372049999999901</v>
      </c>
      <c r="X2200">
        <v>0.98707920000000005</v>
      </c>
      <c r="Y2200">
        <v>0.1168192</v>
      </c>
      <c r="Z2200">
        <v>1.9047070000000001E-3</v>
      </c>
      <c r="AA2200">
        <v>0.99315140000000002</v>
      </c>
      <c r="AB2200">
        <v>24</v>
      </c>
      <c r="AC2200">
        <v>-10.4065999999999</v>
      </c>
      <c r="AD2200">
        <v>-1.0300793500000001</v>
      </c>
      <c r="AE2200">
        <v>-85.446099999999902</v>
      </c>
      <c r="AF2200">
        <v>10.0829674141173</v>
      </c>
      <c r="AG2200">
        <v>-1.0300793500000001</v>
      </c>
      <c r="AH2200">
        <v>85.472483441908096</v>
      </c>
      <c r="AI2200">
        <v>90.685717448003302</v>
      </c>
      <c r="AJ2200">
        <v>83.272059727917906</v>
      </c>
      <c r="AK2200">
        <v>86.071323453684002</v>
      </c>
      <c r="AL2200">
        <v>81.157402739514794</v>
      </c>
      <c r="AM2200">
        <v>92.622837378067999</v>
      </c>
      <c r="AN2200">
        <v>0.99999996989739803</v>
      </c>
    </row>
    <row r="2201" spans="1:40" x14ac:dyDescent="0.25">
      <c r="A2201" t="str">
        <f>"20190304154801780"</f>
        <v>20190304154801780</v>
      </c>
      <c r="B2201" t="str">
        <f>"1551685681768824"</f>
        <v>1551685681768824</v>
      </c>
      <c r="C2201" t="s">
        <v>40</v>
      </c>
      <c r="D2201">
        <v>4.4941339999999999</v>
      </c>
      <c r="E2201">
        <v>0.56165299999999996</v>
      </c>
      <c r="F2201" t="s">
        <v>44</v>
      </c>
      <c r="G2201">
        <v>-200.94540000000001</v>
      </c>
      <c r="H2201">
        <v>7.9986119999999994E-2</v>
      </c>
      <c r="I2201">
        <v>241.8201</v>
      </c>
      <c r="J2201">
        <v>-192.0147</v>
      </c>
      <c r="K2201">
        <v>1.1100350000000001</v>
      </c>
      <c r="L2201">
        <v>314.24419999999998</v>
      </c>
      <c r="M2201">
        <v>-4.5110940000000002E-3</v>
      </c>
      <c r="N2201">
        <v>-1.0039309999999999E-2</v>
      </c>
      <c r="O2201">
        <v>-0.99993960000000004</v>
      </c>
      <c r="P2201">
        <v>4.2570450000000003E-2</v>
      </c>
      <c r="Q2201">
        <v>0.14358570000000001</v>
      </c>
      <c r="R2201">
        <v>-0.98872199999999999</v>
      </c>
      <c r="S2201">
        <v>-0.37576290000000001</v>
      </c>
      <c r="T2201">
        <v>-4.3333530000000002E-2</v>
      </c>
      <c r="U2201">
        <v>-3.056305</v>
      </c>
      <c r="V2201">
        <v>-4.6830419999999998E-2</v>
      </c>
      <c r="W2201">
        <v>0.15356359999999999</v>
      </c>
      <c r="X2201">
        <v>0.98702840000000003</v>
      </c>
      <c r="Y2201">
        <v>0.117534</v>
      </c>
      <c r="Z2201">
        <v>4.0384119999999999E-3</v>
      </c>
      <c r="AA2201">
        <v>0.99306059999999996</v>
      </c>
      <c r="AB2201">
        <v>24</v>
      </c>
      <c r="AC2201">
        <v>-8.9306999999999999</v>
      </c>
      <c r="AD2201">
        <v>-1.0300488800000001</v>
      </c>
      <c r="AE2201">
        <v>-72.424099999999896</v>
      </c>
      <c r="AF2201">
        <v>8.6021668176592598</v>
      </c>
      <c r="AG2201">
        <v>-1.0300488800000001</v>
      </c>
      <c r="AH2201">
        <v>72.449216848709</v>
      </c>
      <c r="AI2201">
        <v>90.808868678741803</v>
      </c>
      <c r="AJ2201">
        <v>83.228758444225093</v>
      </c>
      <c r="AK2201">
        <v>72.965384235576295</v>
      </c>
      <c r="AL2201">
        <v>81.166500424748406</v>
      </c>
      <c r="AM2201">
        <v>92.716410947856403</v>
      </c>
      <c r="AN2201">
        <v>0.99999996494444698</v>
      </c>
    </row>
    <row r="2202" spans="1:40" x14ac:dyDescent="0.25">
      <c r="A2202" t="str">
        <f>"20190304154801802"</f>
        <v>20190304154801802</v>
      </c>
      <c r="B2202" t="str">
        <f>"1551685681799081"</f>
        <v>1551685681799081</v>
      </c>
      <c r="C2202" t="s">
        <v>40</v>
      </c>
      <c r="D2202">
        <v>4.4309349999999998</v>
      </c>
      <c r="E2202">
        <v>0.56239530000000004</v>
      </c>
      <c r="F2202" t="s">
        <v>44</v>
      </c>
      <c r="G2202">
        <v>-200.6301</v>
      </c>
      <c r="H2202">
        <v>7.9985360000000005E-2</v>
      </c>
      <c r="I2202">
        <v>244.03729999999999</v>
      </c>
      <c r="J2202">
        <v>-192.01669999999999</v>
      </c>
      <c r="K2202">
        <v>1.109977</v>
      </c>
      <c r="L2202">
        <v>314.00779999999997</v>
      </c>
      <c r="M2202">
        <v>-5.3584390000000004E-3</v>
      </c>
      <c r="N2202">
        <v>-1.0046060000000001E-2</v>
      </c>
      <c r="O2202">
        <v>-0.99993520000000002</v>
      </c>
      <c r="P2202">
        <v>4.3002730000000003E-2</v>
      </c>
      <c r="Q2202">
        <v>0.14353589999999999</v>
      </c>
      <c r="R2202">
        <v>-0.98871039999999999</v>
      </c>
      <c r="S2202">
        <v>-0.37512210000000001</v>
      </c>
      <c r="T2202">
        <v>-4.4849510000000002E-2</v>
      </c>
      <c r="U2202">
        <v>-3.0568849999999999</v>
      </c>
      <c r="V2202">
        <v>-4.8079759999999999E-2</v>
      </c>
      <c r="W2202">
        <v>0.15352829999999901</v>
      </c>
      <c r="X2202">
        <v>0.98697389999999996</v>
      </c>
      <c r="Y2202">
        <v>0.116464</v>
      </c>
      <c r="Z2202">
        <v>4.5227820000000004E-3</v>
      </c>
      <c r="AA2202">
        <v>0.99318459999999997</v>
      </c>
      <c r="AB2202">
        <v>24</v>
      </c>
      <c r="AC2202">
        <v>-8.6134000000000093</v>
      </c>
      <c r="AD2202">
        <v>-1.02999164</v>
      </c>
      <c r="AE2202">
        <v>-69.970499999999902</v>
      </c>
      <c r="AF2202">
        <v>8.23656662578877</v>
      </c>
      <c r="AG2202">
        <v>-1.02999164</v>
      </c>
      <c r="AH2202">
        <v>70.000710093754094</v>
      </c>
      <c r="AI2202">
        <v>90.837215443183894</v>
      </c>
      <c r="AJ2202">
        <v>83.289203306348497</v>
      </c>
      <c r="AK2202">
        <v>70.491143601088893</v>
      </c>
      <c r="AL2202">
        <v>81.168547912797095</v>
      </c>
      <c r="AM2202">
        <v>92.788920078532598</v>
      </c>
      <c r="AN2202">
        <v>1.0000000407518701</v>
      </c>
    </row>
    <row r="2203" spans="1:40" x14ac:dyDescent="0.25">
      <c r="A2203" t="str">
        <f>"20190304154801825"</f>
        <v>20190304154801825</v>
      </c>
      <c r="B2203" t="str">
        <f>"1551685681818600"</f>
        <v>1551685681818600</v>
      </c>
      <c r="C2203" t="s">
        <v>40</v>
      </c>
      <c r="D2203">
        <v>4.4351529999999997</v>
      </c>
      <c r="E2203">
        <v>0.56302209999999997</v>
      </c>
      <c r="F2203" t="s">
        <v>44</v>
      </c>
      <c r="G2203">
        <v>-200.3158</v>
      </c>
      <c r="H2203">
        <v>7.9985730000000005E-2</v>
      </c>
      <c r="I2203">
        <v>247.22049999999999</v>
      </c>
      <c r="J2203">
        <v>-192.01900000000001</v>
      </c>
      <c r="K2203">
        <v>1.1099060000000001</v>
      </c>
      <c r="L2203">
        <v>313.7627</v>
      </c>
      <c r="M2203">
        <v>-6.3357889999999997E-3</v>
      </c>
      <c r="N2203">
        <v>-1.0053390000000001E-2</v>
      </c>
      <c r="O2203">
        <v>-0.99992970000000003</v>
      </c>
      <c r="P2203">
        <v>4.383546E-2</v>
      </c>
      <c r="Q2203">
        <v>0.14363480000000001</v>
      </c>
      <c r="R2203">
        <v>-0.98865990000000004</v>
      </c>
      <c r="S2203">
        <v>-0.3799438</v>
      </c>
      <c r="T2203">
        <v>-4.7154429999999997E-2</v>
      </c>
      <c r="U2203">
        <v>-3.057617</v>
      </c>
      <c r="V2203">
        <v>-4.9851619999999999E-2</v>
      </c>
      <c r="W2203">
        <v>0.15364420000000001</v>
      </c>
      <c r="X2203">
        <v>0.98686790000000002</v>
      </c>
      <c r="Y2203">
        <v>0.1170062</v>
      </c>
      <c r="Z2203">
        <v>5.2588110000000004E-3</v>
      </c>
      <c r="AA2203">
        <v>0.99311729999999998</v>
      </c>
      <c r="AB2203">
        <v>24</v>
      </c>
      <c r="AC2203">
        <v>-8.2967999999999904</v>
      </c>
      <c r="AD2203">
        <v>-1.0299202700000001</v>
      </c>
      <c r="AE2203">
        <v>-66.542199999999994</v>
      </c>
      <c r="AF2203">
        <v>7.8731577251305103</v>
      </c>
      <c r="AG2203">
        <v>-1.0299202700000001</v>
      </c>
      <c r="AH2203">
        <v>66.577728538988495</v>
      </c>
      <c r="AI2203">
        <v>90.880131353706204</v>
      </c>
      <c r="AJ2203">
        <v>83.2558015244377</v>
      </c>
      <c r="AK2203">
        <v>67.049543516258097</v>
      </c>
      <c r="AL2203">
        <v>81.161827128530405</v>
      </c>
      <c r="AM2203">
        <v>92.8918375165063</v>
      </c>
      <c r="AN2203">
        <v>0.99999998813033697</v>
      </c>
    </row>
    <row r="2204" spans="1:40" x14ac:dyDescent="0.25">
      <c r="A2204" t="str">
        <f>"20190304154801846"</f>
        <v>20190304154801846</v>
      </c>
      <c r="B2204" t="str">
        <f>"1551685681839097"</f>
        <v>1551685681839097</v>
      </c>
      <c r="C2204" t="s">
        <v>40</v>
      </c>
      <c r="D2204">
        <v>4.4086400000000001</v>
      </c>
      <c r="E2204">
        <v>0.56355759999999999</v>
      </c>
      <c r="F2204" t="s">
        <v>44</v>
      </c>
      <c r="G2204">
        <v>-200.672</v>
      </c>
      <c r="H2204">
        <v>7.9986619999999994E-2</v>
      </c>
      <c r="I2204">
        <v>244.66550000000001</v>
      </c>
      <c r="J2204">
        <v>-192.02170000000001</v>
      </c>
      <c r="K2204">
        <v>1.109826</v>
      </c>
      <c r="L2204">
        <v>313.52409999999998</v>
      </c>
      <c r="M2204">
        <v>-7.3952690000000003E-3</v>
      </c>
      <c r="N2204">
        <v>-1.0060889999999999E-2</v>
      </c>
      <c r="O2204">
        <v>-0.99992239999999999</v>
      </c>
      <c r="P2204">
        <v>4.4005910000000002E-2</v>
      </c>
      <c r="Q2204">
        <v>0.14295179999999999</v>
      </c>
      <c r="R2204">
        <v>-0.98875109999999999</v>
      </c>
      <c r="S2204">
        <v>-0.38294980000000001</v>
      </c>
      <c r="T2204">
        <v>-4.5580860000000001E-2</v>
      </c>
      <c r="U2204">
        <v>-3.058014</v>
      </c>
      <c r="V2204">
        <v>-5.1042280000000002E-2</v>
      </c>
      <c r="W2204">
        <v>0.15298030000000001</v>
      </c>
      <c r="X2204">
        <v>0.98691019999999896</v>
      </c>
      <c r="Y2204">
        <v>0.11690010000000001</v>
      </c>
      <c r="Z2204">
        <v>4.7383729999999997E-3</v>
      </c>
      <c r="AA2204">
        <v>0.99313240000000003</v>
      </c>
      <c r="AB2204">
        <v>24</v>
      </c>
      <c r="AC2204">
        <v>-8.6502999999999801</v>
      </c>
      <c r="AD2204">
        <v>-1.0298393800000001</v>
      </c>
      <c r="AE2204">
        <v>-68.858599999999896</v>
      </c>
      <c r="AF2204">
        <v>8.1390177364323701</v>
      </c>
      <c r="AG2204">
        <v>-1.0298393800000001</v>
      </c>
      <c r="AH2204">
        <v>68.905518185797604</v>
      </c>
      <c r="AI2204">
        <v>90.850349656829493</v>
      </c>
      <c r="AJ2204">
        <v>83.263520765716706</v>
      </c>
      <c r="AK2204">
        <v>69.392179785015003</v>
      </c>
      <c r="AL2204">
        <v>81.200321114454894</v>
      </c>
      <c r="AM2204">
        <v>92.960658250136603</v>
      </c>
      <c r="AN2204">
        <v>1.00000001469986</v>
      </c>
    </row>
    <row r="2205" spans="1:40" x14ac:dyDescent="0.25">
      <c r="A2205" t="str">
        <f>"20190304154801860"</f>
        <v>20190304154801860</v>
      </c>
      <c r="B2205" t="str">
        <f>"1551685681858616"</f>
        <v>1551685681858616</v>
      </c>
      <c r="C2205" t="s">
        <v>40</v>
      </c>
      <c r="D2205">
        <v>4.4245039999999998</v>
      </c>
      <c r="E2205">
        <v>0.56389080000000003</v>
      </c>
      <c r="F2205" t="s">
        <v>44</v>
      </c>
      <c r="G2205">
        <v>-200.69210000000001</v>
      </c>
      <c r="H2205">
        <v>7.9986500000000002E-2</v>
      </c>
      <c r="I2205">
        <v>245.03100000000001</v>
      </c>
      <c r="J2205">
        <v>-192.02359999999999</v>
      </c>
      <c r="K2205">
        <v>1.109775</v>
      </c>
      <c r="L2205">
        <v>313.3707</v>
      </c>
      <c r="M2205">
        <v>-8.1407230000000008E-3</v>
      </c>
      <c r="N2205">
        <v>-1.0065910000000001E-2</v>
      </c>
      <c r="O2205">
        <v>-0.99991620000000003</v>
      </c>
      <c r="P2205">
        <v>4.4676180000000003E-2</v>
      </c>
      <c r="Q2205">
        <v>0.14232059999999999</v>
      </c>
      <c r="R2205">
        <v>-0.98881189999999997</v>
      </c>
      <c r="S2205">
        <v>-0.3871155</v>
      </c>
      <c r="T2205">
        <v>-4.5979739999999998E-2</v>
      </c>
      <c r="U2205">
        <v>-3.0580440000000002</v>
      </c>
      <c r="V2205">
        <v>-5.2431310000000002E-2</v>
      </c>
      <c r="W2205">
        <v>0.1523639</v>
      </c>
      <c r="X2205">
        <v>0.9869327</v>
      </c>
      <c r="Y2205">
        <v>0.11748989999999999</v>
      </c>
      <c r="Z2205">
        <v>4.8612539999999997E-3</v>
      </c>
      <c r="AA2205">
        <v>0.99306220000000001</v>
      </c>
      <c r="AB2205">
        <v>24</v>
      </c>
      <c r="AC2205">
        <v>-8.6685000000000194</v>
      </c>
      <c r="AD2205">
        <v>-1.0297885</v>
      </c>
      <c r="AE2205">
        <v>-68.339699999999993</v>
      </c>
      <c r="AF2205">
        <v>8.1100376304123891</v>
      </c>
      <c r="AG2205">
        <v>-1.0297885</v>
      </c>
      <c r="AH2205">
        <v>68.392723004687596</v>
      </c>
      <c r="AI2205">
        <v>90.856635967773101</v>
      </c>
      <c r="AJ2205">
        <v>83.237421489397093</v>
      </c>
      <c r="AK2205">
        <v>68.879588665419305</v>
      </c>
      <c r="AL2205">
        <v>81.236056840149004</v>
      </c>
      <c r="AM2205">
        <v>93.0410091616085</v>
      </c>
      <c r="AN2205">
        <v>0.99999997731040702</v>
      </c>
    </row>
    <row r="2206" spans="1:40" x14ac:dyDescent="0.25">
      <c r="A2206" t="str">
        <f>"20190304154801892"</f>
        <v>20190304154801892</v>
      </c>
      <c r="B2206" t="str">
        <f>"1551685681888873"</f>
        <v>1551685681888873</v>
      </c>
      <c r="C2206" t="s">
        <v>40</v>
      </c>
      <c r="D2206">
        <v>4.4255599999999999</v>
      </c>
      <c r="E2206">
        <v>0.5644015</v>
      </c>
      <c r="F2206" t="s">
        <v>44</v>
      </c>
      <c r="G2206">
        <v>-200.76259999999999</v>
      </c>
      <c r="H2206">
        <v>7.9985189999999998E-2</v>
      </c>
      <c r="I2206">
        <v>244.5514</v>
      </c>
      <c r="J2206">
        <v>-192.0283</v>
      </c>
      <c r="K2206">
        <v>1.1096490000000001</v>
      </c>
      <c r="L2206">
        <v>313.03579999999999</v>
      </c>
      <c r="M2206">
        <v>-9.9203650000000004E-3</v>
      </c>
      <c r="N2206">
        <v>-1.007717E-2</v>
      </c>
      <c r="O2206">
        <v>-0.99990029999999996</v>
      </c>
      <c r="P2206">
        <v>4.497189E-2</v>
      </c>
      <c r="Q2206">
        <v>0.14031469999999999</v>
      </c>
      <c r="R2206">
        <v>-0.9890854</v>
      </c>
      <c r="S2206">
        <v>-0.38833620000000002</v>
      </c>
      <c r="T2206">
        <v>-4.5760509999999997E-2</v>
      </c>
      <c r="U2206">
        <v>-3.0581049999999999</v>
      </c>
      <c r="V2206">
        <v>-5.4448860000000002E-2</v>
      </c>
      <c r="W2206">
        <v>0.15039089999999999</v>
      </c>
      <c r="X2206">
        <v>0.98712610000000001</v>
      </c>
      <c r="Y2206">
        <v>0.1161103</v>
      </c>
      <c r="Z2206">
        <v>4.7802080000000002E-3</v>
      </c>
      <c r="AA2206">
        <v>0.99322480000000002</v>
      </c>
      <c r="AB2206">
        <v>24</v>
      </c>
      <c r="AC2206">
        <v>-8.7342999999999904</v>
      </c>
      <c r="AD2206">
        <v>-1.02966381</v>
      </c>
      <c r="AE2206">
        <v>-68.484399999999994</v>
      </c>
      <c r="AF2206">
        <v>8.0526544296751599</v>
      </c>
      <c r="AG2206">
        <v>-1.02966381</v>
      </c>
      <c r="AH2206">
        <v>68.552433134283802</v>
      </c>
      <c r="AI2206">
        <v>90.854647782130002</v>
      </c>
      <c r="AJ2206">
        <v>83.300334420135997</v>
      </c>
      <c r="AK2206">
        <v>69.031453262667398</v>
      </c>
      <c r="AL2206">
        <v>81.350419710066404</v>
      </c>
      <c r="AM2206">
        <v>93.157176922420106</v>
      </c>
      <c r="AN2206">
        <v>1.0000000192296501</v>
      </c>
    </row>
    <row r="2207" spans="1:40" x14ac:dyDescent="0.25">
      <c r="A2207" t="str">
        <f>"20190304154801914"</f>
        <v>20190304154801914</v>
      </c>
      <c r="B2207" t="str">
        <f>"1551685681908393"</f>
        <v>1551685681908393</v>
      </c>
      <c r="C2207" t="s">
        <v>40</v>
      </c>
      <c r="D2207">
        <v>4.3944640000000001</v>
      </c>
      <c r="E2207">
        <v>0.56476780000000004</v>
      </c>
      <c r="F2207" t="s">
        <v>44</v>
      </c>
      <c r="G2207">
        <v>-200.1276</v>
      </c>
      <c r="H2207">
        <v>7.9986710000000003E-2</v>
      </c>
      <c r="I2207">
        <v>249.98140000000001</v>
      </c>
      <c r="J2207">
        <v>-192.03219999999999</v>
      </c>
      <c r="K2207">
        <v>1.1095630000000001</v>
      </c>
      <c r="L2207">
        <v>312.79840000000002</v>
      </c>
      <c r="M2207">
        <v>-1.132855E-2</v>
      </c>
      <c r="N2207">
        <v>-1.0085190000000001E-2</v>
      </c>
      <c r="O2207">
        <v>-0.99988529999999998</v>
      </c>
      <c r="P2207">
        <v>4.4429240000000002E-2</v>
      </c>
      <c r="Q2207">
        <v>0.1400624</v>
      </c>
      <c r="R2207">
        <v>-0.98914570000000002</v>
      </c>
      <c r="S2207">
        <v>-0.39280700000000002</v>
      </c>
      <c r="T2207">
        <v>-4.9937130000000003E-2</v>
      </c>
      <c r="U2207">
        <v>-3.0580440000000002</v>
      </c>
      <c r="V2207">
        <v>-5.5270300000000001E-2</v>
      </c>
      <c r="W2207">
        <v>0.15015889999999901</v>
      </c>
      <c r="X2207">
        <v>0.98711570000000004</v>
      </c>
      <c r="Y2207">
        <v>0.11614099999999999</v>
      </c>
      <c r="Z2207">
        <v>6.1268449999999997E-3</v>
      </c>
      <c r="AA2207">
        <v>0.99321380000000004</v>
      </c>
      <c r="AB2207">
        <v>24</v>
      </c>
      <c r="AC2207">
        <v>-8.0954000000000104</v>
      </c>
      <c r="AD2207">
        <v>-1.0295762899999901</v>
      </c>
      <c r="AE2207">
        <v>-62.817</v>
      </c>
      <c r="AF2207">
        <v>7.3812685081531502</v>
      </c>
      <c r="AG2207">
        <v>-1.0295762899999901</v>
      </c>
      <c r="AH2207">
        <v>62.888064453646003</v>
      </c>
      <c r="AI2207">
        <v>90.931544590226906</v>
      </c>
      <c r="AJ2207">
        <v>83.305734663369094</v>
      </c>
      <c r="AK2207">
        <v>63.328128054224997</v>
      </c>
      <c r="AL2207">
        <v>81.363864437990799</v>
      </c>
      <c r="AM2207">
        <v>93.204742664490496</v>
      </c>
      <c r="AN2207">
        <v>0.99999995324889301</v>
      </c>
    </row>
    <row r="2208" spans="1:40" x14ac:dyDescent="0.25">
      <c r="A2208" t="str">
        <f>"20190304154801937"</f>
        <v>20190304154801937</v>
      </c>
      <c r="B2208" t="str">
        <f>"1551685681928890"</f>
        <v>1551685681928890</v>
      </c>
      <c r="C2208" t="s">
        <v>40</v>
      </c>
      <c r="D2208">
        <v>4.4006679999999996</v>
      </c>
      <c r="E2208">
        <v>0.56516549999999999</v>
      </c>
      <c r="F2208" t="s">
        <v>44</v>
      </c>
      <c r="G2208">
        <v>-200.11179999999999</v>
      </c>
      <c r="H2208">
        <v>7.9986509999999997E-2</v>
      </c>
      <c r="I2208">
        <v>250.68170000000001</v>
      </c>
      <c r="J2208">
        <v>-192.0369</v>
      </c>
      <c r="K2208">
        <v>1.1094949999999999</v>
      </c>
      <c r="L2208">
        <v>312.53800000000001</v>
      </c>
      <c r="M2208">
        <v>-1.2976649999999999E-2</v>
      </c>
      <c r="N2208">
        <v>-1.0093899999999999E-2</v>
      </c>
      <c r="O2208">
        <v>-0.99986489999999995</v>
      </c>
      <c r="P2208">
        <v>4.3456740000000001E-2</v>
      </c>
      <c r="Q2208">
        <v>0.13970949999999999</v>
      </c>
      <c r="R2208">
        <v>-0.98923870000000003</v>
      </c>
      <c r="S2208">
        <v>-0.39775090000000002</v>
      </c>
      <c r="T2208">
        <v>-5.0684689999999998E-2</v>
      </c>
      <c r="U2208">
        <v>-3.057922</v>
      </c>
      <c r="V2208">
        <v>-5.5903389999999997E-2</v>
      </c>
      <c r="W2208">
        <v>0.14982609999999999</v>
      </c>
      <c r="X2208">
        <v>0.98713059999999997</v>
      </c>
      <c r="Y2208">
        <v>0.1160878</v>
      </c>
      <c r="Z2208">
        <v>6.3603519999999997E-3</v>
      </c>
      <c r="AA2208">
        <v>0.99321859999999995</v>
      </c>
      <c r="AB2208">
        <v>24</v>
      </c>
      <c r="AC2208">
        <v>-8.07489999999998</v>
      </c>
      <c r="AD2208">
        <v>-1.02950849</v>
      </c>
      <c r="AE2208">
        <v>-61.856299999999997</v>
      </c>
      <c r="AF2208">
        <v>7.2695116415975098</v>
      </c>
      <c r="AG2208">
        <v>-1.02950849</v>
      </c>
      <c r="AH2208">
        <v>61.939011539169201</v>
      </c>
      <c r="AI2208">
        <v>90.945753867139999</v>
      </c>
      <c r="AJ2208">
        <v>83.306067778600493</v>
      </c>
      <c r="AK2208">
        <v>62.372644947025002</v>
      </c>
      <c r="AL2208">
        <v>81.383150501462893</v>
      </c>
      <c r="AM2208">
        <v>93.241324524833701</v>
      </c>
      <c r="AN2208">
        <v>0.999999935355528</v>
      </c>
    </row>
    <row r="2209" spans="1:40" x14ac:dyDescent="0.25">
      <c r="A2209" t="str">
        <f>"20190304154801959"</f>
        <v>20190304154801959</v>
      </c>
      <c r="B2209" t="str">
        <f>"1551685681948408"</f>
        <v>1551685681948408</v>
      </c>
      <c r="C2209" t="s">
        <v>40</v>
      </c>
      <c r="D2209">
        <v>4.3693920000000004</v>
      </c>
      <c r="E2209">
        <v>0.56536909999999996</v>
      </c>
      <c r="F2209" t="s">
        <v>44</v>
      </c>
      <c r="G2209">
        <v>-200.26410000000001</v>
      </c>
      <c r="H2209">
        <v>7.9986619999999994E-2</v>
      </c>
      <c r="I2209">
        <v>250.3297</v>
      </c>
      <c r="J2209">
        <v>-192.0419</v>
      </c>
      <c r="K2209">
        <v>1.109429</v>
      </c>
      <c r="L2209">
        <v>312.29520000000002</v>
      </c>
      <c r="M2209">
        <v>-1.46082E-2</v>
      </c>
      <c r="N2209">
        <v>-1.0101850000000001E-2</v>
      </c>
      <c r="O2209">
        <v>-0.99984229999999996</v>
      </c>
      <c r="P2209">
        <v>4.2453579999999998E-2</v>
      </c>
      <c r="Q2209">
        <v>0.13881540000000001</v>
      </c>
      <c r="R2209">
        <v>-0.98940810000000001</v>
      </c>
      <c r="S2209">
        <v>-0.40437319999999999</v>
      </c>
      <c r="T2209">
        <v>-5.0601119999999999E-2</v>
      </c>
      <c r="U2209">
        <v>-3.0575869999999998</v>
      </c>
      <c r="V2209">
        <v>-5.6497440000000003E-2</v>
      </c>
      <c r="W2209">
        <v>0.14895050000000001</v>
      </c>
      <c r="X2209">
        <v>0.98722929999999998</v>
      </c>
      <c r="Y2209">
        <v>0.1165958</v>
      </c>
      <c r="Z2209">
        <v>6.3249639999999998E-3</v>
      </c>
      <c r="AA2209">
        <v>0.99315929999999997</v>
      </c>
      <c r="AB2209">
        <v>24</v>
      </c>
      <c r="AC2209">
        <v>-8.2222000000000097</v>
      </c>
      <c r="AD2209">
        <v>-1.0294423800000001</v>
      </c>
      <c r="AE2209">
        <v>-61.965499999999999</v>
      </c>
      <c r="AF2209">
        <v>7.3140882433937504</v>
      </c>
      <c r="AG2209">
        <v>-1.0294423800000001</v>
      </c>
      <c r="AH2209">
        <v>62.0621723354989</v>
      </c>
      <c r="AI2209">
        <v>90.943763654531693</v>
      </c>
      <c r="AJ2209">
        <v>83.278638772632803</v>
      </c>
      <c r="AK2209">
        <v>62.5001509873941</v>
      </c>
      <c r="AL2209">
        <v>81.433888175984194</v>
      </c>
      <c r="AM2209">
        <v>93.2753666395664</v>
      </c>
      <c r="AN2209">
        <v>0.99999995147764498</v>
      </c>
    </row>
    <row r="2210" spans="1:40" x14ac:dyDescent="0.25">
      <c r="A2210" t="str">
        <f>"20190304154801980"</f>
        <v>20190304154801980</v>
      </c>
      <c r="B2210" t="str">
        <f>"1551685681968904"</f>
        <v>1551685681968904</v>
      </c>
      <c r="C2210" t="s">
        <v>40</v>
      </c>
      <c r="D2210">
        <v>3.671322</v>
      </c>
      <c r="E2210">
        <v>0.59950859999999995</v>
      </c>
      <c r="F2210" t="s">
        <v>44</v>
      </c>
      <c r="G2210">
        <v>-200.10830000000001</v>
      </c>
      <c r="H2210">
        <v>7.9986100000000004E-2</v>
      </c>
      <c r="I2210">
        <v>252.07769999999999</v>
      </c>
      <c r="J2210">
        <v>-192.0471</v>
      </c>
      <c r="K2210">
        <v>1.109369</v>
      </c>
      <c r="L2210">
        <v>312.06240000000003</v>
      </c>
      <c r="M2210">
        <v>-1.625936E-2</v>
      </c>
      <c r="N2210">
        <v>-1.010952E-2</v>
      </c>
      <c r="O2210">
        <v>-0.9998167</v>
      </c>
      <c r="P2210">
        <v>4.1178439999999997E-2</v>
      </c>
      <c r="Q2210">
        <v>0.13800989999999999</v>
      </c>
      <c r="R2210">
        <v>-0.98957470000000003</v>
      </c>
      <c r="S2210">
        <v>-0.40950009999999998</v>
      </c>
      <c r="T2210">
        <v>-5.2260760000000003E-2</v>
      </c>
      <c r="U2210">
        <v>-3.057007</v>
      </c>
      <c r="V2210">
        <v>-5.6840830000000002E-2</v>
      </c>
      <c r="W2210">
        <v>0.14816209999999999</v>
      </c>
      <c r="X2210">
        <v>0.98732830000000005</v>
      </c>
      <c r="Y2210">
        <v>0.11661589999999999</v>
      </c>
      <c r="Z2210">
        <v>6.8575379999999998E-3</v>
      </c>
      <c r="AA2210">
        <v>0.99315339999999996</v>
      </c>
      <c r="AB2210">
        <v>24</v>
      </c>
      <c r="AC2210">
        <v>-8.0612000000000101</v>
      </c>
      <c r="AD2210">
        <v>-1.0293828999999901</v>
      </c>
      <c r="AE2210">
        <v>-59.984699999999997</v>
      </c>
      <c r="AF2210">
        <v>7.0827227889688897</v>
      </c>
      <c r="AG2210">
        <v>-1.0293828999999901</v>
      </c>
      <c r="AH2210">
        <v>60.0904641212652</v>
      </c>
      <c r="AI2210">
        <v>90.974666663466806</v>
      </c>
      <c r="AJ2210">
        <v>83.277696177158603</v>
      </c>
      <c r="AK2210">
        <v>60.515192055956099</v>
      </c>
      <c r="AL2210">
        <v>81.479567700019999</v>
      </c>
      <c r="AM2210">
        <v>93.294900809942206</v>
      </c>
      <c r="AN2210">
        <v>1.00000002990619</v>
      </c>
    </row>
    <row r="2211" spans="1:40" x14ac:dyDescent="0.25">
      <c r="A2211" t="str">
        <f>"20190304154802471"</f>
        <v>20190304154802471</v>
      </c>
      <c r="B2211" t="str">
        <f>"1551685682468811"</f>
        <v>1551685682468811</v>
      </c>
      <c r="C2211" t="s">
        <v>40</v>
      </c>
      <c r="D2211">
        <v>4.6114639999999998</v>
      </c>
      <c r="E2211">
        <v>0.60785869999999997</v>
      </c>
      <c r="F2211" t="s">
        <v>55</v>
      </c>
      <c r="G2211">
        <v>-240.0719</v>
      </c>
      <c r="H2211">
        <v>17.876829999999899</v>
      </c>
      <c r="I2211">
        <v>97.150019999999998</v>
      </c>
      <c r="J2211">
        <v>-192.33359999999999</v>
      </c>
      <c r="K2211">
        <v>1.107883</v>
      </c>
      <c r="L2211">
        <v>306.59949999999998</v>
      </c>
      <c r="M2211">
        <v>-7.4436970000000005E-2</v>
      </c>
      <c r="N2211">
        <v>-1.0440140000000001E-2</v>
      </c>
      <c r="O2211">
        <v>-0.99717100000000003</v>
      </c>
      <c r="P2211">
        <v>-3.2177530000000003E-2</v>
      </c>
      <c r="Q2211">
        <v>0.1365972</v>
      </c>
      <c r="R2211">
        <v>-0.99010379999999998</v>
      </c>
      <c r="S2211">
        <v>-0.67637630000000004</v>
      </c>
      <c r="T2211">
        <v>0.23615069999999999</v>
      </c>
      <c r="U2211">
        <v>-3.0267940000000002</v>
      </c>
      <c r="V2211">
        <v>-4.0657239999999997E-2</v>
      </c>
      <c r="W2211">
        <v>0.14719099999999999</v>
      </c>
      <c r="X2211">
        <v>0.98827209999999999</v>
      </c>
      <c r="Y2211">
        <v>0.14406140000000001</v>
      </c>
      <c r="Z2211">
        <v>-8.6443099999999995E-2</v>
      </c>
      <c r="AA2211">
        <v>0.98578589999999999</v>
      </c>
      <c r="AB2211">
        <v>25</v>
      </c>
      <c r="AC2211">
        <v>-47.738300000000002</v>
      </c>
      <c r="AD2211">
        <v>16.768946999999901</v>
      </c>
      <c r="AE2211">
        <v>-209.44947999999999</v>
      </c>
      <c r="AF2211">
        <v>31.820317306720501</v>
      </c>
      <c r="AG2211">
        <v>16.768946999999901</v>
      </c>
      <c r="AH2211">
        <v>211.13550408403</v>
      </c>
      <c r="AI2211">
        <v>85.509449123547896</v>
      </c>
      <c r="AJ2211">
        <v>81.429431012253701</v>
      </c>
      <c r="AK2211">
        <v>214.17733601342201</v>
      </c>
      <c r="AL2211">
        <v>81.535823959203697</v>
      </c>
      <c r="AM2211">
        <v>92.355804024016606</v>
      </c>
      <c r="AN2211">
        <v>0.99999997264191298</v>
      </c>
    </row>
    <row r="2212" spans="1:40" x14ac:dyDescent="0.25">
      <c r="A2212" t="str">
        <f>"20190304154802494"</f>
        <v>20190304154802494</v>
      </c>
      <c r="B2212" t="str">
        <f>"1551685682489307"</f>
        <v>1551685682489307</v>
      </c>
      <c r="C2212" t="s">
        <v>40</v>
      </c>
      <c r="D2212">
        <v>4.4904929999999998</v>
      </c>
      <c r="E2212">
        <v>0.60328190000000004</v>
      </c>
      <c r="F2212" t="s">
        <v>58</v>
      </c>
      <c r="G2212">
        <v>-253.6781</v>
      </c>
      <c r="H2212">
        <v>11.14546</v>
      </c>
      <c r="I2212">
        <v>119.0955</v>
      </c>
      <c r="J2212">
        <v>-192.35730000000001</v>
      </c>
      <c r="K2212">
        <v>1.107745</v>
      </c>
      <c r="L2212">
        <v>306.34359999999998</v>
      </c>
      <c r="M2212">
        <v>-7.859671E-2</v>
      </c>
      <c r="N2212">
        <v>-1.045809E-2</v>
      </c>
      <c r="O2212">
        <v>-0.99685170000000001</v>
      </c>
      <c r="P2212">
        <v>-3.5994400000000003E-2</v>
      </c>
      <c r="Q2212">
        <v>0.13683219999999999</v>
      </c>
      <c r="R2212">
        <v>-0.98994009999999999</v>
      </c>
      <c r="S2212">
        <v>-0.97375489999999998</v>
      </c>
      <c r="T2212">
        <v>0.159332</v>
      </c>
      <c r="U2212">
        <v>-2.9763489999999999</v>
      </c>
      <c r="V2212">
        <v>-4.0917599999999998E-2</v>
      </c>
      <c r="W2212">
        <v>0.1474589</v>
      </c>
      <c r="X2212">
        <v>0.98822149999999997</v>
      </c>
      <c r="Y2212">
        <v>0.2347399</v>
      </c>
      <c r="Z2212">
        <v>-6.1443739999999997E-2</v>
      </c>
      <c r="AA2212">
        <v>0.97011440000000004</v>
      </c>
      <c r="AB2212">
        <v>25</v>
      </c>
      <c r="AC2212">
        <v>-61.320799999999899</v>
      </c>
      <c r="AD2212">
        <v>10.037714999999899</v>
      </c>
      <c r="AE2212">
        <v>-187.24809999999999</v>
      </c>
      <c r="AF2212">
        <v>46.293049151549504</v>
      </c>
      <c r="AG2212">
        <v>10.037714999999899</v>
      </c>
      <c r="AH2212">
        <v>190.99297211052399</v>
      </c>
      <c r="AI2212">
        <v>87.076073414034795</v>
      </c>
      <c r="AJ2212">
        <v>76.375350465772797</v>
      </c>
      <c r="AK2212">
        <v>196.779362530171</v>
      </c>
      <c r="AL2212">
        <v>81.520305784179101</v>
      </c>
      <c r="AM2212">
        <v>92.370994170702303</v>
      </c>
      <c r="AN2212">
        <v>1.0000000551206001</v>
      </c>
    </row>
    <row r="2213" spans="1:40" x14ac:dyDescent="0.25">
      <c r="A2213" t="str">
        <f>"20190304154802507"</f>
        <v>20190304154802507</v>
      </c>
      <c r="B2213" t="str">
        <f>"1551685682499067"</f>
        <v>1551685682499067</v>
      </c>
      <c r="C2213" t="s">
        <v>40</v>
      </c>
      <c r="D2213">
        <v>4.4922000000000004</v>
      </c>
      <c r="E2213">
        <v>0.54467809999999905</v>
      </c>
      <c r="F2213" t="s">
        <v>59</v>
      </c>
      <c r="G2213">
        <v>-232.7671</v>
      </c>
      <c r="H2213">
        <v>10.53177</v>
      </c>
      <c r="I2213">
        <v>179.51259999999999</v>
      </c>
      <c r="J2213">
        <v>-192.37270000000001</v>
      </c>
      <c r="K2213">
        <v>1.1076680000000001</v>
      </c>
      <c r="L2213">
        <v>306.18520000000001</v>
      </c>
      <c r="M2213">
        <v>-8.1252069999999996E-2</v>
      </c>
      <c r="N2213">
        <v>-1.0468689999999999E-2</v>
      </c>
      <c r="O2213">
        <v>-0.99663869999999999</v>
      </c>
      <c r="P2213">
        <v>-3.8085510000000003E-2</v>
      </c>
      <c r="Q2213">
        <v>0.13693729999999901</v>
      </c>
      <c r="R2213">
        <v>-0.98984709999999998</v>
      </c>
      <c r="S2213">
        <v>-0.94488530000000004</v>
      </c>
      <c r="T2213">
        <v>0.220359</v>
      </c>
      <c r="U2213">
        <v>-2.9656370000000001</v>
      </c>
      <c r="V2213">
        <v>-4.1435149999999997E-2</v>
      </c>
      <c r="W2213">
        <v>0.147585299999999</v>
      </c>
      <c r="X2213">
        <v>0.98818099999999998</v>
      </c>
      <c r="Y2213">
        <v>0.22421199999999999</v>
      </c>
      <c r="Z2213">
        <v>-8.1348019999999993E-2</v>
      </c>
      <c r="AA2213">
        <v>0.97113930000000004</v>
      </c>
      <c r="AB2213">
        <v>25</v>
      </c>
      <c r="AC2213">
        <v>-40.394399999999898</v>
      </c>
      <c r="AD2213">
        <v>9.4241019999999995</v>
      </c>
      <c r="AE2213">
        <v>-126.6726</v>
      </c>
      <c r="AF2213">
        <v>29.8180428665245</v>
      </c>
      <c r="AG2213">
        <v>9.4241019999999995</v>
      </c>
      <c r="AH2213">
        <v>128.888485797443</v>
      </c>
      <c r="AI2213">
        <v>85.925318017646205</v>
      </c>
      <c r="AJ2213">
        <v>76.973924178486996</v>
      </c>
      <c r="AK2213">
        <v>132.62794256887901</v>
      </c>
      <c r="AL2213">
        <v>81.512982931334705</v>
      </c>
      <c r="AM2213">
        <v>92.401047316693493</v>
      </c>
      <c r="AN2213">
        <v>0.99999999059630595</v>
      </c>
    </row>
    <row r="2214" spans="1:40" x14ac:dyDescent="0.25">
      <c r="A2214" t="str">
        <f>"20190304154802531"</f>
        <v>20190304154802531</v>
      </c>
      <c r="B2214" t="str">
        <f>"1551685682518587"</f>
        <v>1551685682518587</v>
      </c>
      <c r="C2214" t="s">
        <v>40</v>
      </c>
      <c r="D2214">
        <v>4.5490779999999997</v>
      </c>
      <c r="E2214">
        <v>0.54196580000000005</v>
      </c>
      <c r="F2214" t="s">
        <v>54</v>
      </c>
      <c r="G2214">
        <v>-196.3596</v>
      </c>
      <c r="H2214" s="1">
        <v>3.0346289999999999E-6</v>
      </c>
      <c r="I2214">
        <v>282.3501</v>
      </c>
      <c r="J2214">
        <v>-192.39760000000001</v>
      </c>
      <c r="K2214">
        <v>1.107553</v>
      </c>
      <c r="L2214">
        <v>305.93729999999999</v>
      </c>
      <c r="M2214">
        <v>-8.5522020000000004E-2</v>
      </c>
      <c r="N2214">
        <v>-1.048457E-2</v>
      </c>
      <c r="O2214">
        <v>-0.99628130000000004</v>
      </c>
      <c r="P2214">
        <v>-4.1800610000000002E-2</v>
      </c>
      <c r="Q2214">
        <v>0.13598009999999999</v>
      </c>
      <c r="R2214">
        <v>-0.98982950000000003</v>
      </c>
      <c r="S2214">
        <v>-0.50695800000000002</v>
      </c>
      <c r="T2214">
        <v>-0.1408441</v>
      </c>
      <c r="U2214">
        <v>-3.0307309999999998</v>
      </c>
      <c r="V2214">
        <v>-4.1941869999999999E-2</v>
      </c>
      <c r="W2214">
        <v>0.1466595</v>
      </c>
      <c r="X2214">
        <v>0.98829750000000005</v>
      </c>
      <c r="Y2214">
        <v>7.9894119999999999E-2</v>
      </c>
      <c r="Z2214">
        <v>3.5374389999999999E-2</v>
      </c>
      <c r="AA2214">
        <v>0.99617549999999999</v>
      </c>
      <c r="AB2214">
        <v>25</v>
      </c>
      <c r="AC2214">
        <v>-3.9619999999999802</v>
      </c>
      <c r="AD2214">
        <v>-1.1075499653709999</v>
      </c>
      <c r="AE2214">
        <v>-23.587199999999999</v>
      </c>
      <c r="AF2214">
        <v>1.9260172507367701</v>
      </c>
      <c r="AG2214">
        <v>-1.1075499653709999</v>
      </c>
      <c r="AH2214">
        <v>23.788619971419902</v>
      </c>
      <c r="AI2214">
        <v>92.656968846001206</v>
      </c>
      <c r="AJ2214">
        <v>85.371212025957703</v>
      </c>
      <c r="AK2214">
        <v>23.892146189084102</v>
      </c>
      <c r="AL2214">
        <v>81.566611341487899</v>
      </c>
      <c r="AM2214">
        <v>92.4300891331294</v>
      </c>
      <c r="AN2214">
        <v>1.0000000389527901</v>
      </c>
    </row>
    <row r="2215" spans="1:40" x14ac:dyDescent="0.25">
      <c r="A2215" t="str">
        <f>"20190304154802552"</f>
        <v>20190304154802552</v>
      </c>
      <c r="B2215" t="str">
        <f>"1551685682548843"</f>
        <v>1551685682548843</v>
      </c>
      <c r="C2215" t="s">
        <v>40</v>
      </c>
      <c r="D2215">
        <v>4.5036160000000001</v>
      </c>
      <c r="E2215">
        <v>0.54010059999999904</v>
      </c>
      <c r="F2215" t="s">
        <v>54</v>
      </c>
      <c r="G2215">
        <v>-196.82089999999999</v>
      </c>
      <c r="H2215" s="1">
        <v>3.367679E-6</v>
      </c>
      <c r="I2215">
        <v>278.95209999999997</v>
      </c>
      <c r="J2215">
        <v>-192.4239</v>
      </c>
      <c r="K2215">
        <v>1.1074489999999999</v>
      </c>
      <c r="L2215">
        <v>305.68759999999997</v>
      </c>
      <c r="M2215">
        <v>-8.9983779999999999E-2</v>
      </c>
      <c r="N2215">
        <v>-1.0500010000000001E-2</v>
      </c>
      <c r="O2215">
        <v>-0.99588779999999999</v>
      </c>
      <c r="P2215">
        <v>-4.5320539999999999E-2</v>
      </c>
      <c r="Q2215">
        <v>0.13487209999999999</v>
      </c>
      <c r="R2215">
        <v>-0.98982599999999998</v>
      </c>
      <c r="S2215">
        <v>-0.49617</v>
      </c>
      <c r="T2215">
        <v>-0.1242349</v>
      </c>
      <c r="U2215">
        <v>-3.0269469999999998</v>
      </c>
      <c r="V2215">
        <v>-4.2841289999999997E-2</v>
      </c>
      <c r="W2215">
        <v>0.1455854</v>
      </c>
      <c r="X2215">
        <v>0.98841769999999995</v>
      </c>
      <c r="Y2215">
        <v>7.2206640000000002E-2</v>
      </c>
      <c r="Z2215">
        <v>3.0019959999999998E-2</v>
      </c>
      <c r="AA2215">
        <v>0.99693779999999999</v>
      </c>
      <c r="AB2215">
        <v>25</v>
      </c>
      <c r="AC2215">
        <v>-4.3969999999999896</v>
      </c>
      <c r="AD2215">
        <v>-1.10744563232099</v>
      </c>
      <c r="AE2215">
        <v>-26.735499999999998</v>
      </c>
      <c r="AF2215">
        <v>1.9699751646460899</v>
      </c>
      <c r="AG2215">
        <v>-1.10744563232099</v>
      </c>
      <c r="AH2215">
        <v>26.9776394167767</v>
      </c>
      <c r="AI2215">
        <v>92.344465285036904</v>
      </c>
      <c r="AJ2215">
        <v>85.823530752051695</v>
      </c>
      <c r="AK2215">
        <v>27.0721308078897</v>
      </c>
      <c r="AL2215">
        <v>81.628820276926604</v>
      </c>
      <c r="AM2215">
        <v>92.481835073880504</v>
      </c>
      <c r="AN2215">
        <v>1.00000001724765</v>
      </c>
    </row>
    <row r="2216" spans="1:40" x14ac:dyDescent="0.25">
      <c r="A2216" t="str">
        <f>"20190304154802572"</f>
        <v>20190304154802572</v>
      </c>
      <c r="B2216" t="str">
        <f>"1551685682569339"</f>
        <v>1551685682569339</v>
      </c>
      <c r="C2216" t="s">
        <v>40</v>
      </c>
      <c r="D2216">
        <v>4.4708399999999999</v>
      </c>
      <c r="E2216">
        <v>0.53895769999999998</v>
      </c>
      <c r="F2216" t="s">
        <v>54</v>
      </c>
      <c r="G2216">
        <v>-196.59649999999999</v>
      </c>
      <c r="H2216" s="1">
        <v>3.191292E-6</v>
      </c>
      <c r="I2216">
        <v>280.07749999999999</v>
      </c>
      <c r="J2216">
        <v>-192.4486</v>
      </c>
      <c r="K2216">
        <v>1.1073569999999999</v>
      </c>
      <c r="L2216">
        <v>305.46390000000002</v>
      </c>
      <c r="M2216">
        <v>-9.4113420000000003E-2</v>
      </c>
      <c r="N2216">
        <v>-1.05142E-2</v>
      </c>
      <c r="O2216">
        <v>-0.99550620000000001</v>
      </c>
      <c r="P2216">
        <v>-4.871752E-2</v>
      </c>
      <c r="Q2216">
        <v>0.1349398</v>
      </c>
      <c r="R2216">
        <v>-0.98965590000000003</v>
      </c>
      <c r="S2216">
        <v>-0.49302669999999998</v>
      </c>
      <c r="T2216">
        <v>-0.1308542</v>
      </c>
      <c r="U2216">
        <v>-3.026062</v>
      </c>
      <c r="V2216">
        <v>-4.3515570000000003E-2</v>
      </c>
      <c r="W2216">
        <v>0.14568159999999999</v>
      </c>
      <c r="X2216">
        <v>0.98837410000000003</v>
      </c>
      <c r="Y2216">
        <v>6.7096820000000001E-2</v>
      </c>
      <c r="Z2216">
        <v>3.2159399999999998E-2</v>
      </c>
      <c r="AA2216">
        <v>0.997228</v>
      </c>
      <c r="AB2216">
        <v>25</v>
      </c>
      <c r="AC2216">
        <v>-4.1478999999999902</v>
      </c>
      <c r="AD2216">
        <v>-1.1073538087079999</v>
      </c>
      <c r="AE2216">
        <v>-25.386399999999998</v>
      </c>
      <c r="AF2216">
        <v>1.7369360776323199</v>
      </c>
      <c r="AG2216">
        <v>-1.1073538087079999</v>
      </c>
      <c r="AH2216">
        <v>25.616630695104298</v>
      </c>
      <c r="AI2216">
        <v>92.469573279328301</v>
      </c>
      <c r="AJ2216">
        <v>86.120996030099704</v>
      </c>
      <c r="AK2216">
        <v>25.699318036959699</v>
      </c>
      <c r="AL2216">
        <v>81.623249280822506</v>
      </c>
      <c r="AM2216">
        <v>92.520957788888197</v>
      </c>
      <c r="AN2216">
        <v>1.0000000474808901</v>
      </c>
    </row>
    <row r="2217" spans="1:40" x14ac:dyDescent="0.25">
      <c r="A2217" t="str">
        <f>"20190304154802595"</f>
        <v>20190304154802595</v>
      </c>
      <c r="B2217" t="str">
        <f>"1551685682588860"</f>
        <v>1551685682588860</v>
      </c>
      <c r="C2217" t="s">
        <v>40</v>
      </c>
      <c r="D2217">
        <v>4.5146639999999998</v>
      </c>
      <c r="E2217">
        <v>0.53830129999999998</v>
      </c>
      <c r="F2217" t="s">
        <v>54</v>
      </c>
      <c r="G2217">
        <v>-196.55680000000001</v>
      </c>
      <c r="H2217" s="1">
        <v>3.175895E-6</v>
      </c>
      <c r="I2217">
        <v>280.33409999999998</v>
      </c>
      <c r="J2217">
        <v>-192.4785</v>
      </c>
      <c r="K2217">
        <v>1.1072580000000001</v>
      </c>
      <c r="L2217">
        <v>305.20549999999997</v>
      </c>
      <c r="M2217">
        <v>-9.9006570000000002E-2</v>
      </c>
      <c r="N2217">
        <v>-1.0530899999999999E-2</v>
      </c>
      <c r="O2217">
        <v>-0.99503109999999995</v>
      </c>
      <c r="P2217">
        <v>-5.348783E-2</v>
      </c>
      <c r="Q2217">
        <v>0.13501389999999999</v>
      </c>
      <c r="R2217">
        <v>-0.98939920000000003</v>
      </c>
      <c r="S2217">
        <v>-0.49455260000000001</v>
      </c>
      <c r="T2217">
        <v>-0.13330549999999999</v>
      </c>
      <c r="U2217">
        <v>-3.0251769999999998</v>
      </c>
      <c r="V2217">
        <v>-4.3573359999999998E-2</v>
      </c>
      <c r="W2217">
        <v>0.1457831</v>
      </c>
      <c r="X2217">
        <v>0.98835649999999997</v>
      </c>
      <c r="Y2217">
        <v>6.2723879999999996E-2</v>
      </c>
      <c r="Z2217">
        <v>3.2929849999999997E-2</v>
      </c>
      <c r="AA2217">
        <v>0.99748749999999997</v>
      </c>
      <c r="AB2217">
        <v>25</v>
      </c>
      <c r="AC2217">
        <v>-4.0783000000000103</v>
      </c>
      <c r="AD2217">
        <v>-1.107254824105</v>
      </c>
      <c r="AE2217">
        <v>-24.871399999999898</v>
      </c>
      <c r="AF2217">
        <v>1.5926178871679899</v>
      </c>
      <c r="AG2217">
        <v>-1.107254824105</v>
      </c>
      <c r="AH2217">
        <v>25.104535272555498</v>
      </c>
      <c r="AI2217">
        <v>92.520377584794701</v>
      </c>
      <c r="AJ2217">
        <v>86.370051750373904</v>
      </c>
      <c r="AK2217">
        <v>25.179359329240601</v>
      </c>
      <c r="AL2217">
        <v>81.617370269094096</v>
      </c>
      <c r="AM2217">
        <v>92.524346262661496</v>
      </c>
      <c r="AN2217">
        <v>0.99999996051977402</v>
      </c>
    </row>
    <row r="2218" spans="1:40" x14ac:dyDescent="0.25">
      <c r="A2218" t="str">
        <f>"20190304154802608"</f>
        <v>20190304154802608</v>
      </c>
      <c r="B2218" t="str">
        <f>"1551685682598619"</f>
        <v>1551685682598619</v>
      </c>
      <c r="C2218" t="s">
        <v>40</v>
      </c>
      <c r="D2218">
        <v>4.5124170000000001</v>
      </c>
      <c r="E2218">
        <v>0.53796949999999999</v>
      </c>
      <c r="F2218" t="s">
        <v>54</v>
      </c>
      <c r="G2218">
        <v>-196.63589999999999</v>
      </c>
      <c r="H2218" s="1">
        <v>3.1677650000000001E-6</v>
      </c>
      <c r="I2218">
        <v>280.26659999999998</v>
      </c>
      <c r="J2218">
        <v>-192.49780000000001</v>
      </c>
      <c r="K2218">
        <v>1.1072</v>
      </c>
      <c r="L2218">
        <v>305.04419999999999</v>
      </c>
      <c r="M2218">
        <v>-0.10211240000000001</v>
      </c>
      <c r="N2218">
        <v>-1.054102E-2</v>
      </c>
      <c r="O2218">
        <v>-0.99471699999999996</v>
      </c>
      <c r="P2218">
        <v>-5.6327799999999997E-2</v>
      </c>
      <c r="Q2218">
        <v>0.13520160000000001</v>
      </c>
      <c r="R2218">
        <v>-0.98921590000000004</v>
      </c>
      <c r="S2218">
        <v>-0.5039825</v>
      </c>
      <c r="T2218">
        <v>-0.13422700000000001</v>
      </c>
      <c r="U2218">
        <v>-3.0232239999999999</v>
      </c>
      <c r="V2218">
        <v>-4.3797299999999997E-2</v>
      </c>
      <c r="W2218">
        <v>0.1459887</v>
      </c>
      <c r="X2218">
        <v>0.98831630000000004</v>
      </c>
      <c r="Y2218">
        <v>6.2737810000000005E-2</v>
      </c>
      <c r="Z2218">
        <v>3.3219619999999998E-2</v>
      </c>
      <c r="AA2218">
        <v>0.99747710000000001</v>
      </c>
      <c r="AB2218">
        <v>25</v>
      </c>
      <c r="AC2218">
        <v>-4.1380999999999801</v>
      </c>
      <c r="AD2218">
        <v>-1.1071968322350001</v>
      </c>
      <c r="AE2218">
        <v>-24.7776</v>
      </c>
      <c r="AF2218">
        <v>1.5831509400266499</v>
      </c>
      <c r="AG2218">
        <v>-1.1071968322350001</v>
      </c>
      <c r="AH2218">
        <v>25.0220367391628</v>
      </c>
      <c r="AI2218">
        <v>92.528571282446606</v>
      </c>
      <c r="AJ2218">
        <v>86.379706429577098</v>
      </c>
      <c r="AK2218">
        <v>25.096505220851601</v>
      </c>
      <c r="AL2218">
        <v>81.605463252209702</v>
      </c>
      <c r="AM2218">
        <v>92.537405992962206</v>
      </c>
      <c r="AN2218">
        <v>1.00000000643033</v>
      </c>
    </row>
    <row r="2219" spans="1:40" x14ac:dyDescent="0.25">
      <c r="A2219" t="str">
        <f>"20190304154802629"</f>
        <v>20190304154802629</v>
      </c>
      <c r="B2219" t="str">
        <f>"1551685682619115"</f>
        <v>1551685682619115</v>
      </c>
      <c r="C2219" t="s">
        <v>40</v>
      </c>
      <c r="D2219">
        <v>4.4951309999999998</v>
      </c>
      <c r="E2219">
        <v>0.53706369999999903</v>
      </c>
      <c r="F2219" t="s">
        <v>54</v>
      </c>
      <c r="G2219">
        <v>-196.6996</v>
      </c>
      <c r="H2219" s="1">
        <v>3.165454E-6</v>
      </c>
      <c r="I2219">
        <v>280.16370000000001</v>
      </c>
      <c r="J2219">
        <v>-192.52619999999999</v>
      </c>
      <c r="K2219">
        <v>1.1071310000000001</v>
      </c>
      <c r="L2219">
        <v>304.8159</v>
      </c>
      <c r="M2219">
        <v>-0.1065902</v>
      </c>
      <c r="N2219">
        <v>-1.0554559999999999E-2</v>
      </c>
      <c r="O2219">
        <v>-0.99424710000000005</v>
      </c>
      <c r="P2219">
        <v>-6.0515810000000003E-2</v>
      </c>
      <c r="Q2219">
        <v>0.1363711</v>
      </c>
      <c r="R2219">
        <v>-0.98880769999999996</v>
      </c>
      <c r="S2219">
        <v>-0.5103607</v>
      </c>
      <c r="T2219">
        <v>-0.1344825</v>
      </c>
      <c r="U2219">
        <v>-3.0220340000000001</v>
      </c>
      <c r="V2219">
        <v>-4.4008579999999999E-2</v>
      </c>
      <c r="W2219">
        <v>0.147179799999999</v>
      </c>
      <c r="X2219">
        <v>0.98813019999999996</v>
      </c>
      <c r="Y2219">
        <v>6.0355369999999998E-2</v>
      </c>
      <c r="Z2219">
        <v>3.3275970000000002E-2</v>
      </c>
      <c r="AA2219">
        <v>0.99762209999999996</v>
      </c>
      <c r="AB2219">
        <v>25</v>
      </c>
      <c r="AC2219">
        <v>-4.1734000000000098</v>
      </c>
      <c r="AD2219">
        <v>-1.1071278345459901</v>
      </c>
      <c r="AE2219">
        <v>-24.652200000000001</v>
      </c>
      <c r="AF2219">
        <v>1.5188146088527099</v>
      </c>
      <c r="AG2219">
        <v>-1.1071278345459901</v>
      </c>
      <c r="AH2219">
        <v>24.907773116011501</v>
      </c>
      <c r="AI2219">
        <v>92.5403577183734</v>
      </c>
      <c r="AJ2219">
        <v>86.510565190123998</v>
      </c>
      <c r="AK2219">
        <v>24.978584656797398</v>
      </c>
      <c r="AL2219">
        <v>81.536472718710996</v>
      </c>
      <c r="AM2219">
        <v>92.550109983213602</v>
      </c>
      <c r="AN2219">
        <v>0.99999997039684696</v>
      </c>
    </row>
    <row r="2220" spans="1:40" x14ac:dyDescent="0.25">
      <c r="A2220" t="str">
        <f>"20190304154802643"</f>
        <v>20190304154802643</v>
      </c>
      <c r="B2220" t="str">
        <f>"1551685682638636"</f>
        <v>1551685682638636</v>
      </c>
      <c r="C2220" t="s">
        <v>40</v>
      </c>
      <c r="D2220">
        <v>4.4893000000000001</v>
      </c>
      <c r="E2220">
        <v>0.53629729999999998</v>
      </c>
      <c r="F2220" t="s">
        <v>54</v>
      </c>
      <c r="G2220">
        <v>-196.81909999999999</v>
      </c>
      <c r="H2220" s="1">
        <v>3.1853810000000001E-6</v>
      </c>
      <c r="I2220">
        <v>279.6934</v>
      </c>
      <c r="J2220">
        <v>-192.54570000000001</v>
      </c>
      <c r="K2220">
        <v>1.1070770000000001</v>
      </c>
      <c r="L2220">
        <v>304.66489999999999</v>
      </c>
      <c r="M2220">
        <v>-0.10962139999999999</v>
      </c>
      <c r="N2220">
        <v>-1.0563599999999999E-2</v>
      </c>
      <c r="O2220">
        <v>-0.9939173</v>
      </c>
      <c r="P2220">
        <v>-6.3444509999999996E-2</v>
      </c>
      <c r="Q2220">
        <v>0.13677999999999901</v>
      </c>
      <c r="R2220">
        <v>-0.98856790000000005</v>
      </c>
      <c r="S2220">
        <v>-0.51617429999999997</v>
      </c>
      <c r="T2220">
        <v>-0.1331195</v>
      </c>
      <c r="U2220">
        <v>-3.0206909999999998</v>
      </c>
      <c r="V2220">
        <v>-4.4065119999999999E-2</v>
      </c>
      <c r="W2220">
        <v>0.14760419999999999</v>
      </c>
      <c r="X2220">
        <v>0.98806439999999995</v>
      </c>
      <c r="Y2220">
        <v>5.9253640000000003E-2</v>
      </c>
      <c r="Z2220">
        <v>3.2820250000000002E-2</v>
      </c>
      <c r="AA2220">
        <v>0.99770329999999996</v>
      </c>
      <c r="AB2220">
        <v>25</v>
      </c>
      <c r="AC2220">
        <v>-4.2733999999999801</v>
      </c>
      <c r="AD2220">
        <v>-1.107073814619</v>
      </c>
      <c r="AE2220">
        <v>-24.971499999999899</v>
      </c>
      <c r="AF2220">
        <v>1.5072015703786601</v>
      </c>
      <c r="AG2220">
        <v>-1.107073814619</v>
      </c>
      <c r="AH2220">
        <v>25.2412733750642</v>
      </c>
      <c r="AI2220">
        <v>92.506904727863201</v>
      </c>
      <c r="AJ2220">
        <v>86.582824004054103</v>
      </c>
      <c r="AK2220">
        <v>25.3104553613618</v>
      </c>
      <c r="AL2220">
        <v>81.511888101223093</v>
      </c>
      <c r="AM2220">
        <v>92.553551719353905</v>
      </c>
      <c r="AN2220">
        <v>0.99999999660280703</v>
      </c>
    </row>
    <row r="2221" spans="1:40" x14ac:dyDescent="0.25">
      <c r="A2221" t="str">
        <f>"20190304154802662"</f>
        <v>20190304154802662</v>
      </c>
      <c r="B2221" t="str">
        <f>"1551685682659131"</f>
        <v>1551685682659131</v>
      </c>
      <c r="C2221" t="s">
        <v>40</v>
      </c>
      <c r="D2221">
        <v>4.5695569999999996</v>
      </c>
      <c r="E2221">
        <v>0.53564449999999997</v>
      </c>
      <c r="F2221" t="s">
        <v>54</v>
      </c>
      <c r="G2221">
        <v>-196.84790000000001</v>
      </c>
      <c r="H2221" s="1">
        <v>3.1845219999999999E-6</v>
      </c>
      <c r="I2221">
        <v>279.64490000000001</v>
      </c>
      <c r="J2221">
        <v>-192.57390000000001</v>
      </c>
      <c r="K2221">
        <v>1.106997</v>
      </c>
      <c r="L2221">
        <v>304.45209999999997</v>
      </c>
      <c r="M2221">
        <v>-0.11397350000000001</v>
      </c>
      <c r="N2221">
        <v>-1.057694E-2</v>
      </c>
      <c r="O2221">
        <v>-0.99342750000000002</v>
      </c>
      <c r="P2221">
        <v>-6.7550499999999999E-2</v>
      </c>
      <c r="Q2221">
        <v>0.13705789999999901</v>
      </c>
      <c r="R2221">
        <v>-0.98825689999999999</v>
      </c>
      <c r="S2221">
        <v>-0.51927190000000001</v>
      </c>
      <c r="T2221">
        <v>-0.13362280000000001</v>
      </c>
      <c r="U2221">
        <v>-3.0198969999999998</v>
      </c>
      <c r="V2221">
        <v>-4.4251560000000002E-2</v>
      </c>
      <c r="W2221">
        <v>0.1479056</v>
      </c>
      <c r="X2221">
        <v>0.98801099999999997</v>
      </c>
      <c r="Y2221">
        <v>5.5918910000000002E-2</v>
      </c>
      <c r="Z2221">
        <v>3.2954600000000001E-2</v>
      </c>
      <c r="AA2221">
        <v>0.99789130000000004</v>
      </c>
      <c r="AB2221">
        <v>25</v>
      </c>
      <c r="AC2221">
        <v>-4.274</v>
      </c>
      <c r="AD2221">
        <v>-1.1069938154779999</v>
      </c>
      <c r="AE2221">
        <v>-24.807199999999899</v>
      </c>
      <c r="AF2221">
        <v>1.4158868942129501</v>
      </c>
      <c r="AG2221">
        <v>-1.1069938154779999</v>
      </c>
      <c r="AH2221">
        <v>25.084172954307</v>
      </c>
      <c r="AI2221">
        <v>92.522879360142497</v>
      </c>
      <c r="AJ2221">
        <v>86.7693433069647</v>
      </c>
      <c r="AK2221">
        <v>25.148477166745099</v>
      </c>
      <c r="AL2221">
        <v>81.4944275485975</v>
      </c>
      <c r="AM2221">
        <v>92.564479844956693</v>
      </c>
      <c r="AN2221">
        <v>1.00000000159739</v>
      </c>
    </row>
    <row r="2222" spans="1:40" x14ac:dyDescent="0.25">
      <c r="A2222" t="str">
        <f>"20190304154802684"</f>
        <v>20190304154802684</v>
      </c>
      <c r="B2222" t="str">
        <f>"1551685682678651"</f>
        <v>1551685682678651</v>
      </c>
      <c r="C2222" t="s">
        <v>40</v>
      </c>
      <c r="D2222">
        <v>4.508731</v>
      </c>
      <c r="E2222">
        <v>0.53489580000000003</v>
      </c>
      <c r="F2222" t="s">
        <v>54</v>
      </c>
      <c r="G2222">
        <v>-196.8115</v>
      </c>
      <c r="H2222" s="1">
        <v>3.1452139999999999E-6</v>
      </c>
      <c r="I2222">
        <v>280.16820000000001</v>
      </c>
      <c r="J2222">
        <v>-192.6088</v>
      </c>
      <c r="K2222">
        <v>1.1068880000000001</v>
      </c>
      <c r="L2222">
        <v>304.19880000000001</v>
      </c>
      <c r="M2222">
        <v>-0.119287</v>
      </c>
      <c r="N2222">
        <v>-1.0594259999999999E-2</v>
      </c>
      <c r="O2222">
        <v>-0.9928034</v>
      </c>
      <c r="P2222">
        <v>-7.2085259999999998E-2</v>
      </c>
      <c r="Q2222">
        <v>0.13744899999999999</v>
      </c>
      <c r="R2222">
        <v>-0.98788240000000005</v>
      </c>
      <c r="S2222">
        <v>-0.526779199999999</v>
      </c>
      <c r="T2222">
        <v>-0.1376095</v>
      </c>
      <c r="U2222">
        <v>-3.018707</v>
      </c>
      <c r="V2222">
        <v>-4.4955340000000003E-2</v>
      </c>
      <c r="W2222">
        <v>0.14833089999999999</v>
      </c>
      <c r="X2222">
        <v>0.98791549999999995</v>
      </c>
      <c r="Y2222">
        <v>5.3044870000000001E-2</v>
      </c>
      <c r="Z2222">
        <v>3.4206710000000001E-2</v>
      </c>
      <c r="AA2222">
        <v>0.99800610000000001</v>
      </c>
      <c r="AB2222">
        <v>25</v>
      </c>
      <c r="AC2222">
        <v>-4.2026999999999903</v>
      </c>
      <c r="AD2222">
        <v>-1.106884854786</v>
      </c>
      <c r="AE2222">
        <v>-24.0306</v>
      </c>
      <c r="AF2222">
        <v>1.3033067114046699</v>
      </c>
      <c r="AG2222">
        <v>-1.106884854786</v>
      </c>
      <c r="AH2222">
        <v>24.310305906659</v>
      </c>
      <c r="AI2222">
        <v>92.603229422718002</v>
      </c>
      <c r="AJ2222">
        <v>86.931237496978198</v>
      </c>
      <c r="AK2222">
        <v>24.3703667543409</v>
      </c>
      <c r="AL2222">
        <v>81.469788171966599</v>
      </c>
      <c r="AM2222">
        <v>92.605461257725395</v>
      </c>
      <c r="AN2222">
        <v>1.0000000368147799</v>
      </c>
    </row>
    <row r="2223" spans="1:40" x14ac:dyDescent="0.25">
      <c r="A2223" t="str">
        <f>"20190304154802707"</f>
        <v>20190304154802707</v>
      </c>
      <c r="B2223" t="str">
        <f>"1551685682699147"</f>
        <v>1551685682699147</v>
      </c>
      <c r="C2223" t="s">
        <v>40</v>
      </c>
      <c r="D2223">
        <v>4.5612009999999996</v>
      </c>
      <c r="E2223">
        <v>0.53414169999999905</v>
      </c>
      <c r="F2223" t="s">
        <v>54</v>
      </c>
      <c r="G2223">
        <v>-196.9203</v>
      </c>
      <c r="H2223" s="1">
        <v>3.150119E-6</v>
      </c>
      <c r="I2223">
        <v>279.89139999999998</v>
      </c>
      <c r="J2223">
        <v>-192.6473</v>
      </c>
      <c r="K2223">
        <v>1.106773</v>
      </c>
      <c r="L2223">
        <v>303.9316</v>
      </c>
      <c r="M2223">
        <v>-0.12503800000000001</v>
      </c>
      <c r="N2223">
        <v>-1.061347E-2</v>
      </c>
      <c r="O2223">
        <v>-0.99209539999999996</v>
      </c>
      <c r="P2223">
        <v>-7.7153940000000004E-2</v>
      </c>
      <c r="Q2223">
        <v>0.137743899999999</v>
      </c>
      <c r="R2223">
        <v>-0.98745850000000002</v>
      </c>
      <c r="S2223">
        <v>-0.53511049999999905</v>
      </c>
      <c r="T2223">
        <v>-0.13737769999999999</v>
      </c>
      <c r="U2223">
        <v>-3.0168460000000001</v>
      </c>
      <c r="V2223">
        <v>-4.5560249999999997E-2</v>
      </c>
      <c r="W2223">
        <v>0.14866289999999999</v>
      </c>
      <c r="X2223">
        <v>0.98783790000000005</v>
      </c>
      <c r="Y2223">
        <v>5.0037180000000001E-2</v>
      </c>
      <c r="Z2223">
        <v>3.4092079999999997E-2</v>
      </c>
      <c r="AA2223">
        <v>0.99816530000000003</v>
      </c>
      <c r="AB2223">
        <v>25</v>
      </c>
      <c r="AC2223">
        <v>-4.2729999999999899</v>
      </c>
      <c r="AD2223">
        <v>-1.1067698498809999</v>
      </c>
      <c r="AE2223">
        <v>-24.040199999999999</v>
      </c>
      <c r="AF2223">
        <v>1.23082544890874</v>
      </c>
      <c r="AG2223">
        <v>-1.1067698498809999</v>
      </c>
      <c r="AH2223">
        <v>24.3358267674184</v>
      </c>
      <c r="AI2223">
        <v>92.600642770389797</v>
      </c>
      <c r="AJ2223">
        <v>87.104636496870995</v>
      </c>
      <c r="AK2223">
        <v>24.392054756417799</v>
      </c>
      <c r="AL2223">
        <v>81.450552868240493</v>
      </c>
      <c r="AM2223">
        <v>92.640677660283401</v>
      </c>
      <c r="AN2223">
        <v>1.0000000554464299</v>
      </c>
    </row>
    <row r="2224" spans="1:40" x14ac:dyDescent="0.25">
      <c r="A2224" t="str">
        <f>"20190304154802732"</f>
        <v>20190304154802732</v>
      </c>
      <c r="B2224" t="str">
        <f>"1551685682718670"</f>
        <v>1551685682718670</v>
      </c>
      <c r="C2224" t="s">
        <v>40</v>
      </c>
      <c r="D2224">
        <v>3.8560059999999998</v>
      </c>
      <c r="E2224">
        <v>0.53376939999999995</v>
      </c>
      <c r="F2224" t="s">
        <v>54</v>
      </c>
      <c r="G2224">
        <v>-197.03659999999999</v>
      </c>
      <c r="H2224" s="1">
        <v>3.1511709999999998E-6</v>
      </c>
      <c r="I2224">
        <v>279.64350000000002</v>
      </c>
      <c r="J2224">
        <v>-192.6858</v>
      </c>
      <c r="K2224">
        <v>1.1066640000000001</v>
      </c>
      <c r="L2224">
        <v>303.67540000000002</v>
      </c>
      <c r="M2224">
        <v>-0.13070229999999999</v>
      </c>
      <c r="N2224">
        <v>-1.063216E-2</v>
      </c>
      <c r="O2224">
        <v>-0.99136469999999999</v>
      </c>
      <c r="P2224">
        <v>-8.2469819999999999E-2</v>
      </c>
      <c r="Q2224">
        <v>0.13788729999999999</v>
      </c>
      <c r="R2224">
        <v>-0.98700880000000002</v>
      </c>
      <c r="S2224">
        <v>-0.5448151</v>
      </c>
      <c r="T2224">
        <v>-0.13737669999999999</v>
      </c>
      <c r="U2224">
        <v>-3.0147400000000002</v>
      </c>
      <c r="V2224">
        <v>-4.5838810000000001E-2</v>
      </c>
      <c r="W2224">
        <v>0.14883969999999999</v>
      </c>
      <c r="X2224">
        <v>0.98779830000000002</v>
      </c>
      <c r="Y2224">
        <v>4.7566659999999997E-2</v>
      </c>
      <c r="Z2224">
        <v>3.4052489999999998E-2</v>
      </c>
      <c r="AA2224">
        <v>0.99828740000000005</v>
      </c>
      <c r="AB2224">
        <v>25</v>
      </c>
      <c r="AC2224">
        <v>-4.3507999999999898</v>
      </c>
      <c r="AD2224">
        <v>-1.106660848829</v>
      </c>
      <c r="AE2224">
        <v>-24.0319</v>
      </c>
      <c r="AF2224">
        <v>1.16986907387713</v>
      </c>
      <c r="AG2224">
        <v>-1.106660848829</v>
      </c>
      <c r="AH2224">
        <v>24.344428755838202</v>
      </c>
      <c r="AI2224">
        <v>92.599791494669404</v>
      </c>
      <c r="AJ2224">
        <v>87.248773557060005</v>
      </c>
      <c r="AK2224">
        <v>24.397633150214102</v>
      </c>
      <c r="AL2224">
        <v>81.440308246793606</v>
      </c>
      <c r="AM2224">
        <v>92.656906324760897</v>
      </c>
      <c r="AN2224">
        <v>0.99999996714059702</v>
      </c>
    </row>
    <row r="2225" spans="1:40" x14ac:dyDescent="0.25">
      <c r="A2225" t="str">
        <f>"20190304154804797"</f>
        <v>20190304154804797</v>
      </c>
      <c r="B2225" t="str">
        <f>"1551685684789574"</f>
        <v>1551685684789574</v>
      </c>
      <c r="C2225" t="s">
        <v>40</v>
      </c>
      <c r="D2225">
        <v>5.0205849999999996</v>
      </c>
      <c r="E2225">
        <v>0.61820609999999998</v>
      </c>
      <c r="F2225" t="s">
        <v>54</v>
      </c>
      <c r="G2225">
        <v>-197.17850000000001</v>
      </c>
      <c r="H2225" s="1">
        <v>3.1802259999999999E-6</v>
      </c>
      <c r="I2225">
        <v>279.4205</v>
      </c>
      <c r="J2225">
        <v>-207.04589999999999</v>
      </c>
      <c r="K2225">
        <v>1.097561</v>
      </c>
      <c r="L2225">
        <v>285.48259999999999</v>
      </c>
      <c r="M2225">
        <v>-0.97184369999999998</v>
      </c>
      <c r="N2225">
        <v>-1.389138E-2</v>
      </c>
      <c r="O2225">
        <v>-0.23521710000000001</v>
      </c>
      <c r="P2225">
        <v>-0.96493490000000004</v>
      </c>
      <c r="Q2225">
        <v>0.13501879999999999</v>
      </c>
      <c r="R2225">
        <v>-0.22510079999999999</v>
      </c>
      <c r="S2225">
        <v>-0.55790709999999999</v>
      </c>
      <c r="T2225">
        <v>-0.1374272</v>
      </c>
      <c r="U2225">
        <v>-3.0120239999999998</v>
      </c>
      <c r="V2225">
        <v>1.287467E-2</v>
      </c>
      <c r="W2225">
        <v>0.1484385</v>
      </c>
      <c r="X2225">
        <v>0.98883779999999999</v>
      </c>
      <c r="Y2225">
        <v>-0.91174189999999999</v>
      </c>
      <c r="Z2225">
        <v>-2.9664469999999998E-2</v>
      </c>
      <c r="AA2225">
        <v>0.40969100000000003</v>
      </c>
      <c r="AB2225">
        <v>27</v>
      </c>
      <c r="AC2225">
        <v>9.8673999999999698</v>
      </c>
      <c r="AD2225">
        <v>-1.0975578197739999</v>
      </c>
      <c r="AE2225">
        <v>-6.0620999999999796</v>
      </c>
      <c r="AF2225">
        <v>-8.1400713829945808</v>
      </c>
      <c r="AG2225">
        <v>-1.0975578197739999</v>
      </c>
      <c r="AH2225">
        <v>-8.0917666021335197</v>
      </c>
      <c r="AI2225">
        <v>95.462316672559894</v>
      </c>
      <c r="AJ2225">
        <v>-135.17050761016401</v>
      </c>
      <c r="AK2225">
        <v>11.530051258836499</v>
      </c>
      <c r="AL2225">
        <v>81.463553559630199</v>
      </c>
      <c r="AM2225">
        <v>89.254050993191697</v>
      </c>
      <c r="AN2225">
        <v>0.99999997005934804</v>
      </c>
    </row>
    <row r="2226" spans="1:40" x14ac:dyDescent="0.25">
      <c r="A2226" t="str">
        <f>"20190304154804820"</f>
        <v>20190304154804820</v>
      </c>
      <c r="B2226" t="str">
        <f>"1551685684809094"</f>
        <v>1551685684809094</v>
      </c>
      <c r="C2226" t="s">
        <v>40</v>
      </c>
      <c r="D2226">
        <v>4.9881089999999997</v>
      </c>
      <c r="E2226">
        <v>0.61470709999999995</v>
      </c>
      <c r="F2226" t="s">
        <v>60</v>
      </c>
      <c r="G2226">
        <v>-226.1336</v>
      </c>
      <c r="H2226" s="1">
        <v>1.7272149999999999E-6</v>
      </c>
      <c r="I2226">
        <v>287.10890000000001</v>
      </c>
      <c r="J2226">
        <v>-207.3272</v>
      </c>
      <c r="K2226">
        <v>1.0976870000000001</v>
      </c>
      <c r="L2226">
        <v>285.4341</v>
      </c>
      <c r="M2226">
        <v>-0.97598410000000002</v>
      </c>
      <c r="N2226">
        <v>-1.3867600000000001E-2</v>
      </c>
      <c r="O2226">
        <v>-0.21740019999999999</v>
      </c>
      <c r="P2226">
        <v>-0.96818210000000005</v>
      </c>
      <c r="Q2226">
        <v>0.13504769999999999</v>
      </c>
      <c r="R2226">
        <v>-0.2106787</v>
      </c>
      <c r="S2226">
        <v>-3.198318</v>
      </c>
      <c r="T2226">
        <v>-0.18390580000000001</v>
      </c>
      <c r="U2226">
        <v>0.2724915</v>
      </c>
      <c r="V2226">
        <v>9.4864900000000002E-3</v>
      </c>
      <c r="W2226">
        <v>0.14855209999999999</v>
      </c>
      <c r="X2226">
        <v>0.98885909999999999</v>
      </c>
      <c r="Y2226">
        <v>0.29868440000000002</v>
      </c>
      <c r="Z2226">
        <v>2.0044030000000001E-2</v>
      </c>
      <c r="AA2226">
        <v>0.95414140000000003</v>
      </c>
      <c r="AB2226">
        <v>27</v>
      </c>
      <c r="AC2226">
        <v>-18.8064</v>
      </c>
      <c r="AD2226">
        <v>-1.0976852727849999</v>
      </c>
      <c r="AE2226">
        <v>1.6748000000000001</v>
      </c>
      <c r="AF2226">
        <v>5.7043627205975103</v>
      </c>
      <c r="AG2226">
        <v>-1.0976852727849999</v>
      </c>
      <c r="AH2226">
        <v>17.931765639161299</v>
      </c>
      <c r="AI2226">
        <v>93.338512387562204</v>
      </c>
      <c r="AJ2226">
        <v>72.353354920764403</v>
      </c>
      <c r="AK2226">
        <v>18.8492144649064</v>
      </c>
      <c r="AL2226">
        <v>81.456972215453305</v>
      </c>
      <c r="AM2226">
        <v>89.450357319912996</v>
      </c>
      <c r="AN2226">
        <v>1.00000001977987</v>
      </c>
    </row>
    <row r="2227" spans="1:40" x14ac:dyDescent="0.25">
      <c r="A2227" t="str">
        <f>"20190304154804841"</f>
        <v>20190304154804841</v>
      </c>
      <c r="B2227" t="str">
        <f>"1551685684829593"</f>
        <v>1551685684829593</v>
      </c>
      <c r="C2227" t="s">
        <v>40</v>
      </c>
      <c r="D2227">
        <v>4.9424619999999999</v>
      </c>
      <c r="E2227">
        <v>0.61182890000000001</v>
      </c>
      <c r="F2227" t="s">
        <v>60</v>
      </c>
      <c r="G2227">
        <v>-226.06440000000001</v>
      </c>
      <c r="H2227" s="1">
        <v>1.6903599999999899E-6</v>
      </c>
      <c r="I2227">
        <v>287.15679999999998</v>
      </c>
      <c r="J2227">
        <v>-207.58029999999999</v>
      </c>
      <c r="K2227">
        <v>1.0978209999999999</v>
      </c>
      <c r="L2227">
        <v>285.3947</v>
      </c>
      <c r="M2227">
        <v>-0.97938320000000001</v>
      </c>
      <c r="N2227">
        <v>-1.3841529999999999E-2</v>
      </c>
      <c r="O2227">
        <v>-0.20153670000000001</v>
      </c>
      <c r="P2227">
        <v>-0.97081589999999995</v>
      </c>
      <c r="Q2227">
        <v>0.13432949999999999</v>
      </c>
      <c r="R2227">
        <v>-0.19867599999999999</v>
      </c>
      <c r="S2227">
        <v>-3.1884160000000001</v>
      </c>
      <c r="T2227">
        <v>-0.18678810000000001</v>
      </c>
      <c r="U2227">
        <v>0.29315190000000002</v>
      </c>
      <c r="V2227">
        <v>5.6279299999999997E-3</v>
      </c>
      <c r="W2227">
        <v>0.14792959999999999</v>
      </c>
      <c r="X2227">
        <v>0.98898189999999997</v>
      </c>
      <c r="Y2227">
        <v>0.28957870000000002</v>
      </c>
      <c r="Z2227">
        <v>1.9415740000000001E-2</v>
      </c>
      <c r="AA2227">
        <v>0.95695730000000001</v>
      </c>
      <c r="AB2227">
        <v>27</v>
      </c>
      <c r="AC2227">
        <v>-18.484100000000002</v>
      </c>
      <c r="AD2227">
        <v>-1.09781930964</v>
      </c>
      <c r="AE2227">
        <v>1.76209999999997</v>
      </c>
      <c r="AF2227">
        <v>5.4325271073680099</v>
      </c>
      <c r="AG2227">
        <v>-1.09781930964</v>
      </c>
      <c r="AH2227">
        <v>17.687757475319501</v>
      </c>
      <c r="AI2227">
        <v>93.395450333304098</v>
      </c>
      <c r="AJ2227">
        <v>72.926452107645801</v>
      </c>
      <c r="AK2227">
        <v>18.535757942815</v>
      </c>
      <c r="AL2227">
        <v>81.493037307183997</v>
      </c>
      <c r="AM2227">
        <v>89.673954441704794</v>
      </c>
      <c r="AN2227">
        <v>1.0000000193399201</v>
      </c>
    </row>
    <row r="2228" spans="1:40" x14ac:dyDescent="0.25">
      <c r="A2228" t="str">
        <f>"20190304154804862"</f>
        <v>20190304154804862</v>
      </c>
      <c r="B2228" t="str">
        <f>"1551685684858871"</f>
        <v>1551685684858871</v>
      </c>
      <c r="C2228" t="s">
        <v>40</v>
      </c>
      <c r="D2228">
        <v>4.8777400000000002</v>
      </c>
      <c r="E2228">
        <v>0.60561880000000001</v>
      </c>
      <c r="F2228" t="s">
        <v>60</v>
      </c>
      <c r="G2228">
        <v>-226.4511</v>
      </c>
      <c r="H2228" s="1">
        <v>1.896162E-6</v>
      </c>
      <c r="I2228">
        <v>287.23469999999998</v>
      </c>
      <c r="J2228">
        <v>-207.84620000000001</v>
      </c>
      <c r="K2228">
        <v>1.0979829999999999</v>
      </c>
      <c r="L2228">
        <v>285.35759999999999</v>
      </c>
      <c r="M2228">
        <v>-0.98262190000000005</v>
      </c>
      <c r="N2228">
        <v>-1.380642E-2</v>
      </c>
      <c r="O2228">
        <v>-0.18510399999999999</v>
      </c>
      <c r="P2228">
        <v>-0.97339629999999999</v>
      </c>
      <c r="Q2228">
        <v>0.13361589999999901</v>
      </c>
      <c r="R2228">
        <v>-0.18613569999999999</v>
      </c>
      <c r="S2228">
        <v>-3.1791990000000001</v>
      </c>
      <c r="T2228">
        <v>-0.1849519</v>
      </c>
      <c r="U2228">
        <v>0.30999759999999998</v>
      </c>
      <c r="V2228">
        <v>1.7502920000000001E-3</v>
      </c>
      <c r="W2228">
        <v>0.1473005</v>
      </c>
      <c r="X2228">
        <v>0.98909029999999998</v>
      </c>
      <c r="Y2228">
        <v>0.27885939999999998</v>
      </c>
      <c r="Z2228">
        <v>1.8175130000000001E-2</v>
      </c>
      <c r="AA2228">
        <v>0.96016000000000001</v>
      </c>
      <c r="AB2228">
        <v>27</v>
      </c>
      <c r="AC2228">
        <v>-18.604899999999901</v>
      </c>
      <c r="AD2228">
        <v>-1.0979811038380001</v>
      </c>
      <c r="AE2228">
        <v>1.87709999999998</v>
      </c>
      <c r="AF2228">
        <v>5.2706533916607903</v>
      </c>
      <c r="AG2228">
        <v>-1.0979811038380001</v>
      </c>
      <c r="AH2228">
        <v>17.8742079158012</v>
      </c>
      <c r="AI2228">
        <v>93.371971333758495</v>
      </c>
      <c r="AJ2228">
        <v>73.570540414173607</v>
      </c>
      <c r="AK2228">
        <v>18.6674223795548</v>
      </c>
      <c r="AL2228">
        <v>81.529481687327205</v>
      </c>
      <c r="AM2228">
        <v>89.898609621551799</v>
      </c>
      <c r="AN2228">
        <v>1.0000000611882101</v>
      </c>
    </row>
    <row r="2229" spans="1:40" x14ac:dyDescent="0.25">
      <c r="A2229" t="str">
        <f>"20190304154804876"</f>
        <v>20190304154804876</v>
      </c>
      <c r="B2229" t="str">
        <f>"1551685684869606"</f>
        <v>1551685684869606</v>
      </c>
      <c r="C2229" t="s">
        <v>40</v>
      </c>
      <c r="D2229">
        <v>4.7772079999999999</v>
      </c>
      <c r="E2229">
        <v>0.60407959999999905</v>
      </c>
      <c r="F2229" t="s">
        <v>60</v>
      </c>
      <c r="G2229">
        <v>-226.1738</v>
      </c>
      <c r="H2229" s="1">
        <v>1.748604E-6</v>
      </c>
      <c r="I2229">
        <v>287.10910000000001</v>
      </c>
      <c r="J2229">
        <v>-208.01419999999999</v>
      </c>
      <c r="K2229">
        <v>1.0981030000000001</v>
      </c>
      <c r="L2229">
        <v>285.33620000000002</v>
      </c>
      <c r="M2229">
        <v>-0.98449850000000005</v>
      </c>
      <c r="N2229">
        <v>-1.3779120000000001E-2</v>
      </c>
      <c r="O2229">
        <v>-0.17485100000000001</v>
      </c>
      <c r="P2229">
        <v>-0.97496879999999997</v>
      </c>
      <c r="Q2229">
        <v>0.1333348</v>
      </c>
      <c r="R2229">
        <v>-0.17792639999999901</v>
      </c>
      <c r="S2229">
        <v>-3.165848</v>
      </c>
      <c r="T2229">
        <v>-0.18966140000000001</v>
      </c>
      <c r="U2229">
        <v>0.30255130000000002</v>
      </c>
      <c r="V2229">
        <v>-2.7385769999999999E-4</v>
      </c>
      <c r="W2229">
        <v>0.14705289999999999</v>
      </c>
      <c r="X2229">
        <v>0.98912860000000002</v>
      </c>
      <c r="Y2229">
        <v>0.26697399999999999</v>
      </c>
      <c r="Z2229">
        <v>1.7833970000000001E-2</v>
      </c>
      <c r="AA2229">
        <v>0.96353869999999997</v>
      </c>
      <c r="AB2229">
        <v>27</v>
      </c>
      <c r="AC2229">
        <v>-18.159600000000001</v>
      </c>
      <c r="AD2229">
        <v>-1.098101251396</v>
      </c>
      <c r="AE2229">
        <v>1.7728999999999899</v>
      </c>
      <c r="AF2229">
        <v>4.9033486325129303</v>
      </c>
      <c r="AG2229">
        <v>-1.098101251396</v>
      </c>
      <c r="AH2229">
        <v>17.506364719078199</v>
      </c>
      <c r="AI2229">
        <v>93.456540903005802</v>
      </c>
      <c r="AJ2229">
        <v>74.352999422281101</v>
      </c>
      <c r="AK2229">
        <v>18.2132221160252</v>
      </c>
      <c r="AL2229">
        <v>81.543823863871594</v>
      </c>
      <c r="AM2229">
        <v>90.0158633467844</v>
      </c>
      <c r="AN2229">
        <v>1.0000000088672001</v>
      </c>
    </row>
    <row r="2230" spans="1:40" x14ac:dyDescent="0.25">
      <c r="A2230" t="str">
        <f>"20190304154804889"</f>
        <v>20190304154804889</v>
      </c>
      <c r="B2230" t="str">
        <f>"1551685684879367"</f>
        <v>1551685684879367</v>
      </c>
      <c r="C2230" t="s">
        <v>40</v>
      </c>
      <c r="D2230">
        <v>4.8218930000000002</v>
      </c>
      <c r="E2230">
        <v>0.60187550000000001</v>
      </c>
      <c r="F2230" t="s">
        <v>60</v>
      </c>
      <c r="G2230">
        <v>-226.54849999999999</v>
      </c>
      <c r="H2230" s="1">
        <v>1.9480050000000002E-6</v>
      </c>
      <c r="I2230">
        <v>287.19409999999999</v>
      </c>
      <c r="J2230">
        <v>-208.17619999999999</v>
      </c>
      <c r="K2230">
        <v>1.098231</v>
      </c>
      <c r="L2230">
        <v>285.31709999999998</v>
      </c>
      <c r="M2230">
        <v>-0.98618399999999995</v>
      </c>
      <c r="N2230">
        <v>-1.3748659999999999E-2</v>
      </c>
      <c r="O2230">
        <v>-0.16508200000000001</v>
      </c>
      <c r="P2230">
        <v>-0.9763539</v>
      </c>
      <c r="Q2230">
        <v>0.13286139999999999</v>
      </c>
      <c r="R2230">
        <v>-0.17053119999999999</v>
      </c>
      <c r="S2230">
        <v>-3.1604459999999999</v>
      </c>
      <c r="T2230">
        <v>-0.187247</v>
      </c>
      <c r="U2230">
        <v>0.316803</v>
      </c>
      <c r="V2230">
        <v>-2.63701E-3</v>
      </c>
      <c r="W2230">
        <v>0.1466189</v>
      </c>
      <c r="X2230">
        <v>0.98918950000000005</v>
      </c>
      <c r="Y2230">
        <v>0.26191540000000002</v>
      </c>
      <c r="Z2230">
        <v>1.700817E-2</v>
      </c>
      <c r="AA2230">
        <v>0.96494100000000005</v>
      </c>
      <c r="AB2230">
        <v>27</v>
      </c>
      <c r="AC2230">
        <v>-18.372299999999999</v>
      </c>
      <c r="AD2230">
        <v>-1.098229051995</v>
      </c>
      <c r="AE2230">
        <v>1.877</v>
      </c>
      <c r="AF2230">
        <v>4.8672530514147097</v>
      </c>
      <c r="AG2230">
        <v>-1.098229051995</v>
      </c>
      <c r="AH2230">
        <v>17.747532373007299</v>
      </c>
      <c r="AI2230">
        <v>93.415195742301506</v>
      </c>
      <c r="AJ2230">
        <v>74.663730104512993</v>
      </c>
      <c r="AK2230">
        <v>18.435595044589501</v>
      </c>
      <c r="AL2230">
        <v>81.568962311462499</v>
      </c>
      <c r="AM2230">
        <v>90.152740385560193</v>
      </c>
      <c r="AN2230">
        <v>0.999999961284599</v>
      </c>
    </row>
    <row r="2231" spans="1:40" x14ac:dyDescent="0.25">
      <c r="A2231" t="str">
        <f>"20190304154804907"</f>
        <v>20190304154804907</v>
      </c>
      <c r="B2231" t="str">
        <f>"1551685684898886"</f>
        <v>1551685684898886</v>
      </c>
      <c r="C2231" t="s">
        <v>40</v>
      </c>
      <c r="D2231">
        <v>4.864344</v>
      </c>
      <c r="E2231">
        <v>0.59821139999999995</v>
      </c>
      <c r="F2231" t="s">
        <v>60</v>
      </c>
      <c r="G2231">
        <v>-226.34989999999999</v>
      </c>
      <c r="H2231" s="1">
        <v>1.8423060000000001E-6</v>
      </c>
      <c r="I2231">
        <v>287.18049999999999</v>
      </c>
      <c r="J2231">
        <v>-208.3999</v>
      </c>
      <c r="K2231">
        <v>1.0984350000000001</v>
      </c>
      <c r="L2231">
        <v>285.29360000000003</v>
      </c>
      <c r="M2231">
        <v>-0.98831329999999995</v>
      </c>
      <c r="N2231">
        <v>-1.3697519999999999E-2</v>
      </c>
      <c r="O2231">
        <v>-0.15181919999999999</v>
      </c>
      <c r="P2231">
        <v>-0.97794029999999998</v>
      </c>
      <c r="Q2231">
        <v>0.13297220000000001</v>
      </c>
      <c r="R2231">
        <v>-0.16109370000000001</v>
      </c>
      <c r="S2231">
        <v>-3.155106</v>
      </c>
      <c r="T2231">
        <v>-0.19066169999999999</v>
      </c>
      <c r="U2231">
        <v>0.3234863</v>
      </c>
      <c r="V2231">
        <v>-6.4508419999999896E-3</v>
      </c>
      <c r="W2231">
        <v>0.14678640000000001</v>
      </c>
      <c r="X2231">
        <v>0.9891472</v>
      </c>
      <c r="Y2231">
        <v>0.25113079999999999</v>
      </c>
      <c r="Z2231">
        <v>1.6346059999999999E-2</v>
      </c>
      <c r="AA2231">
        <v>0.96781510000000004</v>
      </c>
      <c r="AB2231">
        <v>27</v>
      </c>
      <c r="AC2231">
        <v>-17.9499999999999</v>
      </c>
      <c r="AD2231">
        <v>-1.0984331576940001</v>
      </c>
      <c r="AE2231">
        <v>1.8868999999999601</v>
      </c>
      <c r="AF2231">
        <v>4.5734947197600198</v>
      </c>
      <c r="AG2231">
        <v>-1.0984331576940001</v>
      </c>
      <c r="AH2231">
        <v>17.390982359125498</v>
      </c>
      <c r="AI2231">
        <v>93.495519562799501</v>
      </c>
      <c r="AJ2231">
        <v>75.265926362933996</v>
      </c>
      <c r="AK2231">
        <v>18.0158174049641</v>
      </c>
      <c r="AL2231">
        <v>81.559260814007999</v>
      </c>
      <c r="AM2231">
        <v>90.373655994851006</v>
      </c>
      <c r="AN2231">
        <v>1.0000000219276499</v>
      </c>
    </row>
    <row r="2232" spans="1:40" x14ac:dyDescent="0.25">
      <c r="A2232" t="str">
        <f>"20190304154804930"</f>
        <v>20190304154804930</v>
      </c>
      <c r="B2232" t="str">
        <f>"1551685684919399"</f>
        <v>1551685684919399</v>
      </c>
      <c r="C2232" t="s">
        <v>40</v>
      </c>
      <c r="D2232">
        <v>4.8234279999999998</v>
      </c>
      <c r="E2232">
        <v>0.59521849999999998</v>
      </c>
      <c r="F2232" t="s">
        <v>60</v>
      </c>
      <c r="G2232">
        <v>-226.17519999999999</v>
      </c>
      <c r="H2232" s="1">
        <v>1.7493609999999999E-6</v>
      </c>
      <c r="I2232">
        <v>287.13029999999998</v>
      </c>
      <c r="J2232">
        <v>-208.67060000000001</v>
      </c>
      <c r="K2232">
        <v>1.0987089999999999</v>
      </c>
      <c r="L2232">
        <v>285.26839999999999</v>
      </c>
      <c r="M2232">
        <v>-0.99059920000000001</v>
      </c>
      <c r="N2232">
        <v>-1.3625999999999999E-2</v>
      </c>
      <c r="O2232">
        <v>-0.13611719999999999</v>
      </c>
      <c r="P2232">
        <v>-0.97940000000000005</v>
      </c>
      <c r="Q2232">
        <v>0.13320409999999999</v>
      </c>
      <c r="R2232">
        <v>-0.15176509999999999</v>
      </c>
      <c r="S2232">
        <v>-3.1477050000000002</v>
      </c>
      <c r="T2232">
        <v>-0.19451399999999999</v>
      </c>
      <c r="U2232">
        <v>0.3252563</v>
      </c>
      <c r="V2232">
        <v>-1.2829719999999999E-2</v>
      </c>
      <c r="W2232">
        <v>0.1471208</v>
      </c>
      <c r="X2232">
        <v>0.98903529999999995</v>
      </c>
      <c r="Y2232">
        <v>0.2365334</v>
      </c>
      <c r="Z2232">
        <v>1.542645E-2</v>
      </c>
      <c r="AA2232">
        <v>0.9715009</v>
      </c>
      <c r="AB2232">
        <v>27</v>
      </c>
      <c r="AC2232">
        <v>-17.5045999999999</v>
      </c>
      <c r="AD2232">
        <v>-1.0987072506390001</v>
      </c>
      <c r="AE2232">
        <v>1.8618999999999899</v>
      </c>
      <c r="AF2232">
        <v>4.2110609687617098</v>
      </c>
      <c r="AG2232">
        <v>-1.0987072506390001</v>
      </c>
      <c r="AH2232">
        <v>17.021879388216899</v>
      </c>
      <c r="AI2232">
        <v>93.585342353387702</v>
      </c>
      <c r="AJ2232">
        <v>76.104530319392893</v>
      </c>
      <c r="AK2232">
        <v>17.569421447851902</v>
      </c>
      <c r="AL2232">
        <v>81.539890439359894</v>
      </c>
      <c r="AM2232">
        <v>90.743196507726793</v>
      </c>
      <c r="AN2232">
        <v>0.99999997807700303</v>
      </c>
    </row>
    <row r="2233" spans="1:40" x14ac:dyDescent="0.25">
      <c r="A2233" t="str">
        <f>"20190304154804942"</f>
        <v>20190304154804942</v>
      </c>
      <c r="B2233" t="str">
        <f>"1551685684938902"</f>
        <v>1551685684938902</v>
      </c>
      <c r="C2233" t="s">
        <v>40</v>
      </c>
      <c r="D2233">
        <v>4.8587109999999996</v>
      </c>
      <c r="E2233">
        <v>0.57259729999999998</v>
      </c>
      <c r="F2233" t="s">
        <v>60</v>
      </c>
      <c r="G2233">
        <v>-226.22329999999999</v>
      </c>
      <c r="H2233" s="1">
        <v>1.7749360000000001E-6</v>
      </c>
      <c r="I2233">
        <v>287.12200000000001</v>
      </c>
      <c r="J2233">
        <v>-208.8314</v>
      </c>
      <c r="K2233">
        <v>1.0989009999999999</v>
      </c>
      <c r="L2233">
        <v>285.25569999999999</v>
      </c>
      <c r="M2233">
        <v>-0.99180429999999997</v>
      </c>
      <c r="N2233">
        <v>-1.3576329999999999E-2</v>
      </c>
      <c r="O2233">
        <v>-0.12704260000000001</v>
      </c>
      <c r="P2233">
        <v>-0.98034330000000003</v>
      </c>
      <c r="Q2233">
        <v>0.1331358</v>
      </c>
      <c r="R2233">
        <v>-0.14560890000000001</v>
      </c>
      <c r="S2233">
        <v>-3.141251</v>
      </c>
      <c r="T2233">
        <v>-0.1966263</v>
      </c>
      <c r="U2233">
        <v>0.33172610000000002</v>
      </c>
      <c r="V2233">
        <v>-1.5745720000000001E-2</v>
      </c>
      <c r="W2233">
        <v>0.1470764</v>
      </c>
      <c r="X2233">
        <v>0.98899979999999998</v>
      </c>
      <c r="Y2233">
        <v>0.2298259</v>
      </c>
      <c r="Z2233">
        <v>1.493265E-2</v>
      </c>
      <c r="AA2233">
        <v>0.97311720000000002</v>
      </c>
      <c r="AB2233">
        <v>27</v>
      </c>
      <c r="AC2233">
        <v>-17.3918999999999</v>
      </c>
      <c r="AD2233">
        <v>-1.098899225064</v>
      </c>
      <c r="AE2233">
        <v>1.8663000000000201</v>
      </c>
      <c r="AF2233">
        <v>4.0449263396267998</v>
      </c>
      <c r="AG2233">
        <v>-1.098899225064</v>
      </c>
      <c r="AH2233">
        <v>16.9469435793036</v>
      </c>
      <c r="AI2233">
        <v>93.608968590699803</v>
      </c>
      <c r="AJ2233">
        <v>76.575704015410196</v>
      </c>
      <c r="AK2233">
        <v>17.457603079459499</v>
      </c>
      <c r="AL2233">
        <v>81.542462534489502</v>
      </c>
      <c r="AM2233">
        <v>90.912120597134006</v>
      </c>
      <c r="AN2233">
        <v>0.99999999976765896</v>
      </c>
    </row>
    <row r="2234" spans="1:40" x14ac:dyDescent="0.25">
      <c r="A2234" t="str">
        <f>"20190304154804962"</f>
        <v>20190304154804962</v>
      </c>
      <c r="B2234" t="str">
        <f>"1551685684959398"</f>
        <v>1551685684959398</v>
      </c>
      <c r="C2234" t="s">
        <v>40</v>
      </c>
      <c r="D2234">
        <v>4.8334239999999999</v>
      </c>
      <c r="E2234">
        <v>0.56911919999999905</v>
      </c>
      <c r="F2234" t="s">
        <v>60</v>
      </c>
      <c r="G2234">
        <v>-224.22479999999999</v>
      </c>
      <c r="H2234" s="1">
        <v>7.1146309999999996E-7</v>
      </c>
      <c r="I2234">
        <v>286.11540000000002</v>
      </c>
      <c r="J2234">
        <v>-209.07079999999999</v>
      </c>
      <c r="K2234">
        <v>1.0992150000000001</v>
      </c>
      <c r="L2234">
        <v>285.23880000000003</v>
      </c>
      <c r="M2234">
        <v>-0.99341299999999999</v>
      </c>
      <c r="N2234">
        <v>-1.349848E-2</v>
      </c>
      <c r="O2234">
        <v>-0.11379010000000001</v>
      </c>
      <c r="P2234">
        <v>-0.98151920000000004</v>
      </c>
      <c r="Q2234">
        <v>0.13334760000000001</v>
      </c>
      <c r="R2234">
        <v>-0.13725309999999999</v>
      </c>
      <c r="S2234">
        <v>-3.1162109999999998</v>
      </c>
      <c r="T2234">
        <v>-0.2224585</v>
      </c>
      <c r="U2234">
        <v>0.17404169999999999</v>
      </c>
      <c r="V2234">
        <v>-2.0640789999999999E-2</v>
      </c>
      <c r="W2234">
        <v>0.14732919999999999</v>
      </c>
      <c r="X2234">
        <v>0.98887210000000003</v>
      </c>
      <c r="Y2234">
        <v>0.168326799999999</v>
      </c>
      <c r="Z2234">
        <v>1.3699859999999999E-2</v>
      </c>
      <c r="AA2234">
        <v>0.98563610000000001</v>
      </c>
      <c r="AB2234">
        <v>27</v>
      </c>
      <c r="AC2234">
        <v>-15.1539999999999</v>
      </c>
      <c r="AD2234">
        <v>-1.0992142885369001</v>
      </c>
      <c r="AE2234">
        <v>0.87659999999999605</v>
      </c>
      <c r="AF2234">
        <v>2.58189838608615</v>
      </c>
      <c r="AG2234">
        <v>-1.0992142885369001</v>
      </c>
      <c r="AH2234">
        <v>14.8777779433121</v>
      </c>
      <c r="AI2234">
        <v>94.1634985702796</v>
      </c>
      <c r="AJ2234">
        <v>80.154907785601097</v>
      </c>
      <c r="AK2234">
        <v>15.1401039579886</v>
      </c>
      <c r="AL2234">
        <v>81.527818490554196</v>
      </c>
      <c r="AM2234">
        <v>91.195764797472293</v>
      </c>
      <c r="AN2234">
        <v>0.99999998277143698</v>
      </c>
    </row>
    <row r="2235" spans="1:40" x14ac:dyDescent="0.25">
      <c r="A2235" t="str">
        <f>"20190304154804986"</f>
        <v>20190304154804986</v>
      </c>
      <c r="B2235" t="str">
        <f>"1551685684978918"</f>
        <v>1551685684978918</v>
      </c>
      <c r="C2235" t="s">
        <v>40</v>
      </c>
      <c r="D2235">
        <v>4.7999260000000001</v>
      </c>
      <c r="E2235">
        <v>0.56686029999999998</v>
      </c>
      <c r="F2235" t="s">
        <v>41</v>
      </c>
      <c r="G2235">
        <v>-209.9255</v>
      </c>
      <c r="H2235">
        <v>1.0343359999999999</v>
      </c>
      <c r="I2235">
        <v>285.28629999999998</v>
      </c>
      <c r="J2235">
        <v>-209.36500000000001</v>
      </c>
      <c r="K2235">
        <v>1.099613</v>
      </c>
      <c r="L2235">
        <v>285.2217</v>
      </c>
      <c r="M2235">
        <v>-0.99509519999999996</v>
      </c>
      <c r="N2235">
        <v>-1.3396709999999999E-2</v>
      </c>
      <c r="O2235">
        <v>-9.8010600000000003E-2</v>
      </c>
      <c r="P2235">
        <v>-0.98306170000000004</v>
      </c>
      <c r="Q2235">
        <v>0.13349649999999999</v>
      </c>
      <c r="R2235">
        <v>-0.12557349999999901</v>
      </c>
      <c r="S2235">
        <v>-3.1127470000000002</v>
      </c>
      <c r="T2235">
        <v>-0.2359985</v>
      </c>
      <c r="U2235">
        <v>0.1730042</v>
      </c>
      <c r="V2235">
        <v>-2.4724989999999999E-2</v>
      </c>
      <c r="W2235">
        <v>0.14746039999999999</v>
      </c>
      <c r="X2235">
        <v>0.9887589</v>
      </c>
      <c r="Y2235">
        <v>0.1523912</v>
      </c>
      <c r="Z2235">
        <v>1.288689E-2</v>
      </c>
      <c r="AA2235">
        <v>0.98823620000000001</v>
      </c>
      <c r="AB2235">
        <v>27</v>
      </c>
      <c r="AC2235">
        <v>-0.56049999999999001</v>
      </c>
      <c r="AD2235">
        <v>-6.5276999999999794E-2</v>
      </c>
      <c r="AE2235">
        <v>6.4599999999984406E-2</v>
      </c>
      <c r="AF2235">
        <v>0.117653920964279</v>
      </c>
      <c r="AG2235">
        <v>-6.5276999999999794E-2</v>
      </c>
      <c r="AH2235">
        <v>0.54418461897603498</v>
      </c>
      <c r="AI2235">
        <v>96.687105999485198</v>
      </c>
      <c r="AJ2235">
        <v>77.800297559622095</v>
      </c>
      <c r="AK2235">
        <v>0.56057152208916305</v>
      </c>
      <c r="AL2235">
        <v>81.520218663319696</v>
      </c>
      <c r="AM2235">
        <v>91.432444663404198</v>
      </c>
      <c r="AN2235">
        <v>1.0000000285139301</v>
      </c>
    </row>
    <row r="2236" spans="1:40" x14ac:dyDescent="0.25">
      <c r="A2236" t="str">
        <f>"20190304154805009"</f>
        <v>20190304154805009</v>
      </c>
      <c r="B2236" t="str">
        <f>"1551685684999415"</f>
        <v>1551685684999415</v>
      </c>
      <c r="C2236" t="s">
        <v>40</v>
      </c>
      <c r="D2236">
        <v>4.7825319999999998</v>
      </c>
      <c r="E2236">
        <v>0.56612079999999998</v>
      </c>
      <c r="F2236" t="s">
        <v>41</v>
      </c>
      <c r="G2236">
        <v>-210.17160000000001</v>
      </c>
      <c r="H2236">
        <v>1.0388470000000001</v>
      </c>
      <c r="I2236">
        <v>285.27089999999998</v>
      </c>
      <c r="J2236">
        <v>-209.6473</v>
      </c>
      <c r="K2236">
        <v>1.0999989999999999</v>
      </c>
      <c r="L2236">
        <v>285.20920000000001</v>
      </c>
      <c r="M2236">
        <v>-0.99642629999999999</v>
      </c>
      <c r="N2236">
        <v>-1.329668E-2</v>
      </c>
      <c r="O2236">
        <v>-8.3412500000000001E-2</v>
      </c>
      <c r="P2236">
        <v>-0.98424370000000005</v>
      </c>
      <c r="Q2236">
        <v>0.13390539999999901</v>
      </c>
      <c r="R2236">
        <v>-0.1154723</v>
      </c>
      <c r="S2236">
        <v>-3.1076510000000002</v>
      </c>
      <c r="T2236">
        <v>-0.23388909999999999</v>
      </c>
      <c r="U2236">
        <v>0.18939210000000001</v>
      </c>
      <c r="V2236">
        <v>-2.9207199999999999E-2</v>
      </c>
      <c r="W2236">
        <v>0.14785509999999999</v>
      </c>
      <c r="X2236">
        <v>0.9885777</v>
      </c>
      <c r="Y2236">
        <v>0.1432494</v>
      </c>
      <c r="Z2236">
        <v>1.1487499999999999E-2</v>
      </c>
      <c r="AA2236">
        <v>0.98962000000000006</v>
      </c>
      <c r="AB2236">
        <v>27</v>
      </c>
      <c r="AC2236">
        <v>-0.52430000000000998</v>
      </c>
      <c r="AD2236">
        <v>-6.1152000000000102E-2</v>
      </c>
      <c r="AE2236">
        <v>6.1699999999973401E-2</v>
      </c>
      <c r="AF2236">
        <v>0.103828811055437</v>
      </c>
      <c r="AG2236">
        <v>-6.1152000000000102E-2</v>
      </c>
      <c r="AH2236">
        <v>0.51047596208623203</v>
      </c>
      <c r="AI2236">
        <v>96.695335675322497</v>
      </c>
      <c r="AJ2236">
        <v>78.503092982911099</v>
      </c>
      <c r="AK2236">
        <v>0.52450519251676597</v>
      </c>
      <c r="AL2236">
        <v>81.497353395272199</v>
      </c>
      <c r="AM2236">
        <v>91.692292508021296</v>
      </c>
      <c r="AN2236">
        <v>1.00000003003256</v>
      </c>
    </row>
    <row r="2237" spans="1:40" x14ac:dyDescent="0.25">
      <c r="A2237" t="str">
        <f>"20190304154805030"</f>
        <v>20190304154805030</v>
      </c>
      <c r="B2237" t="str">
        <f>"1551685685018934"</f>
        <v>1551685685018934</v>
      </c>
      <c r="C2237" t="s">
        <v>40</v>
      </c>
      <c r="D2237">
        <v>4.5109089999999998</v>
      </c>
      <c r="E2237">
        <v>0.56774780000000002</v>
      </c>
      <c r="F2237" t="s">
        <v>41</v>
      </c>
      <c r="G2237">
        <v>-210.4196</v>
      </c>
      <c r="H2237">
        <v>1.043566</v>
      </c>
      <c r="I2237">
        <v>285.26229999999998</v>
      </c>
      <c r="J2237">
        <v>-209.90539999999999</v>
      </c>
      <c r="K2237">
        <v>1.100365</v>
      </c>
      <c r="L2237">
        <v>285.20080000000002</v>
      </c>
      <c r="M2237">
        <v>-0.99741780000000002</v>
      </c>
      <c r="N2237">
        <v>-1.320298E-2</v>
      </c>
      <c r="O2237">
        <v>-7.0593690000000001E-2</v>
      </c>
      <c r="P2237">
        <v>-0.98522909999999997</v>
      </c>
      <c r="Q2237">
        <v>0.1339928</v>
      </c>
      <c r="R2237">
        <v>-0.10663</v>
      </c>
      <c r="S2237">
        <v>-3.1038060000000001</v>
      </c>
      <c r="T2237">
        <v>-0.22641320000000001</v>
      </c>
      <c r="U2237">
        <v>0.21304319999999999</v>
      </c>
      <c r="V2237">
        <v>-3.3178109999999997E-2</v>
      </c>
      <c r="W2237">
        <v>0.14791689999999999</v>
      </c>
      <c r="X2237">
        <v>0.98844310000000002</v>
      </c>
      <c r="Y2237">
        <v>0.1381839</v>
      </c>
      <c r="Z2237">
        <v>1.0148860000000001E-2</v>
      </c>
      <c r="AA2237">
        <v>0.99035459999999997</v>
      </c>
      <c r="AB2237">
        <v>27</v>
      </c>
      <c r="AC2237">
        <v>-0.51420000000001598</v>
      </c>
      <c r="AD2237">
        <v>-5.6799000000000002E-2</v>
      </c>
      <c r="AE2237">
        <v>6.1499999999966803E-2</v>
      </c>
      <c r="AF2237">
        <v>9.6488270148618299E-2</v>
      </c>
      <c r="AG2237">
        <v>-5.6799000000000002E-2</v>
      </c>
      <c r="AH2237">
        <v>0.50252983748034097</v>
      </c>
      <c r="AI2237">
        <v>96.333824316623094</v>
      </c>
      <c r="AJ2237">
        <v>79.131195210247697</v>
      </c>
      <c r="AK2237">
        <v>0.51485177501421797</v>
      </c>
      <c r="AL2237">
        <v>81.4937727129618</v>
      </c>
      <c r="AM2237">
        <v>91.922470025687304</v>
      </c>
      <c r="AN2237">
        <v>0.99999997911319505</v>
      </c>
    </row>
    <row r="2238" spans="1:40" x14ac:dyDescent="0.25">
      <c r="A2238" t="str">
        <f>"20190304154805053"</f>
        <v>20190304154805053</v>
      </c>
      <c r="B2238" t="str">
        <f>"1551685685049190"</f>
        <v>1551685685049190</v>
      </c>
      <c r="C2238" t="s">
        <v>40</v>
      </c>
      <c r="D2238">
        <v>4.5324090000000004</v>
      </c>
      <c r="E2238">
        <v>0.57211820000000002</v>
      </c>
      <c r="F2238" t="s">
        <v>60</v>
      </c>
      <c r="G2238">
        <v>-226.33699999999999</v>
      </c>
      <c r="H2238" s="1">
        <v>1.835422E-6</v>
      </c>
      <c r="I2238">
        <v>286.53429999999997</v>
      </c>
      <c r="J2238">
        <v>-210.17519999999999</v>
      </c>
      <c r="K2238">
        <v>1.10077</v>
      </c>
      <c r="L2238">
        <v>285.19510000000002</v>
      </c>
      <c r="M2238">
        <v>-0.9982432</v>
      </c>
      <c r="N2238">
        <v>-1.3099960000000001E-2</v>
      </c>
      <c r="O2238">
        <v>-5.7784620000000002E-2</v>
      </c>
      <c r="P2238">
        <v>-0.98612200000000005</v>
      </c>
      <c r="Q2238">
        <v>0.1336068</v>
      </c>
      <c r="R2238">
        <v>-9.8554020000000006E-2</v>
      </c>
      <c r="S2238">
        <v>-3.1004330000000002</v>
      </c>
      <c r="T2238">
        <v>-0.2076247</v>
      </c>
      <c r="U2238">
        <v>0.25161739999999999</v>
      </c>
      <c r="V2238">
        <v>-3.7927269999999999E-2</v>
      </c>
      <c r="W2238">
        <v>0.14750369999999999</v>
      </c>
      <c r="X2238">
        <v>0.98833409999999999</v>
      </c>
      <c r="Y2238">
        <v>0.13790379999999899</v>
      </c>
      <c r="Z2238">
        <v>8.6153889999999993E-3</v>
      </c>
      <c r="AA2238">
        <v>0.99040819999999996</v>
      </c>
      <c r="AB2238">
        <v>27</v>
      </c>
      <c r="AC2238">
        <v>-16.161799999999999</v>
      </c>
      <c r="AD2238">
        <v>-1.1007681645780001</v>
      </c>
      <c r="AE2238">
        <v>1.33919999999994</v>
      </c>
      <c r="AF2238">
        <v>2.2605306515472701</v>
      </c>
      <c r="AG2238">
        <v>-1.1007681645780001</v>
      </c>
      <c r="AH2238">
        <v>15.9837574210179</v>
      </c>
      <c r="AI2238">
        <v>93.900923469978096</v>
      </c>
      <c r="AJ2238">
        <v>81.950230794057006</v>
      </c>
      <c r="AK2238">
        <v>16.1803025519512</v>
      </c>
      <c r="AL2238">
        <v>81.517710564004403</v>
      </c>
      <c r="AM2238">
        <v>92.197644223330698</v>
      </c>
      <c r="AN2238">
        <v>1.00000005627307</v>
      </c>
    </row>
    <row r="2239" spans="1:40" x14ac:dyDescent="0.25">
      <c r="A2239" t="str">
        <f>"20190304154805076"</f>
        <v>20190304154805076</v>
      </c>
      <c r="B2239" t="str">
        <f>"1551685685068710"</f>
        <v>1551685685068710</v>
      </c>
      <c r="C2239" t="s">
        <v>40</v>
      </c>
      <c r="D2239">
        <v>4.5375379999999996</v>
      </c>
      <c r="E2239">
        <v>0.57299239999999996</v>
      </c>
      <c r="F2239" t="s">
        <v>60</v>
      </c>
      <c r="G2239">
        <v>-230.05770000000001</v>
      </c>
      <c r="H2239" s="1">
        <v>-1.61835199999999E-6</v>
      </c>
      <c r="I2239">
        <v>287.1848</v>
      </c>
      <c r="J2239">
        <v>-210.46520000000001</v>
      </c>
      <c r="K2239">
        <v>1.1012309999999901</v>
      </c>
      <c r="L2239">
        <v>285.19229999999999</v>
      </c>
      <c r="M2239">
        <v>-0.99891359999999996</v>
      </c>
      <c r="N2239">
        <v>-1.298271E-2</v>
      </c>
      <c r="O2239">
        <v>-4.4752609999999998E-2</v>
      </c>
      <c r="P2239">
        <v>-0.98680880000000004</v>
      </c>
      <c r="Q2239">
        <v>0.13409579999999999</v>
      </c>
      <c r="R2239">
        <v>-9.0701039999999997E-2</v>
      </c>
      <c r="S2239">
        <v>-3.0964360000000002</v>
      </c>
      <c r="T2239">
        <v>-0.17143079999999999</v>
      </c>
      <c r="U2239">
        <v>0.30987550000000003</v>
      </c>
      <c r="V2239">
        <v>-4.3125789999999997E-2</v>
      </c>
      <c r="W2239">
        <v>0.14794379999999999</v>
      </c>
      <c r="X2239">
        <v>0.98805509999999996</v>
      </c>
      <c r="Y2239">
        <v>0.1437022</v>
      </c>
      <c r="Z2239">
        <v>6.7924129999999997E-3</v>
      </c>
      <c r="AA2239">
        <v>0.98959770000000002</v>
      </c>
      <c r="AB2239">
        <v>27</v>
      </c>
      <c r="AC2239">
        <v>-19.592500000000001</v>
      </c>
      <c r="AD2239">
        <v>-1.10123261835199</v>
      </c>
      <c r="AE2239">
        <v>1.9924999999999999</v>
      </c>
      <c r="AF2239">
        <v>2.8584548933466398</v>
      </c>
      <c r="AG2239">
        <v>-1.10123261835199</v>
      </c>
      <c r="AH2239">
        <v>19.422956786019</v>
      </c>
      <c r="AI2239">
        <v>93.210543541370896</v>
      </c>
      <c r="AJ2239">
        <v>81.627941406556999</v>
      </c>
      <c r="AK2239">
        <v>19.6630294707753</v>
      </c>
      <c r="AL2239">
        <v>81.492214842532306</v>
      </c>
      <c r="AM2239">
        <v>92.499211276434707</v>
      </c>
      <c r="AN2239">
        <v>1.0000000411787799</v>
      </c>
    </row>
    <row r="2240" spans="1:40" x14ac:dyDescent="0.25">
      <c r="A2240" t="str">
        <f>"20190304154805097"</f>
        <v>20190304154805097</v>
      </c>
      <c r="B2240" t="str">
        <f>"1551685685089206"</f>
        <v>1551685685089206</v>
      </c>
      <c r="C2240" t="s">
        <v>40</v>
      </c>
      <c r="D2240">
        <v>4.5002040000000001</v>
      </c>
      <c r="E2240">
        <v>0.57283339999999905</v>
      </c>
      <c r="F2240" t="s">
        <v>60</v>
      </c>
      <c r="G2240">
        <v>-232.46420000000001</v>
      </c>
      <c r="H2240" s="1">
        <v>-3.5681389999999999E-7</v>
      </c>
      <c r="I2240">
        <v>287.62110000000001</v>
      </c>
      <c r="J2240">
        <v>-210.73400000000001</v>
      </c>
      <c r="K2240">
        <v>1.1016440000000001</v>
      </c>
      <c r="L2240">
        <v>285.19240000000002</v>
      </c>
      <c r="M2240">
        <v>-0.99936570000000002</v>
      </c>
      <c r="N2240">
        <v>-1.287691E-2</v>
      </c>
      <c r="O2240">
        <v>-3.3204659999999997E-2</v>
      </c>
      <c r="P2240">
        <v>-0.987294</v>
      </c>
      <c r="Q2240">
        <v>0.1349813</v>
      </c>
      <c r="R2240">
        <v>-8.3850170000000002E-2</v>
      </c>
      <c r="S2240">
        <v>-3.0925449999999999</v>
      </c>
      <c r="T2240">
        <v>-0.1548078</v>
      </c>
      <c r="U2240">
        <v>0.34143069999999998</v>
      </c>
      <c r="V2240">
        <v>-4.7828299999999997E-2</v>
      </c>
      <c r="W2240">
        <v>0.14877609999999999</v>
      </c>
      <c r="X2240">
        <v>0.98771359999999997</v>
      </c>
      <c r="Y2240">
        <v>0.14243910000000001</v>
      </c>
      <c r="Z2240">
        <v>5.7034290000000003E-3</v>
      </c>
      <c r="AA2240">
        <v>0.98978710000000003</v>
      </c>
      <c r="AB2240">
        <v>27</v>
      </c>
      <c r="AC2240">
        <v>-21.7302</v>
      </c>
      <c r="AD2240">
        <v>-1.1016443568138901</v>
      </c>
      <c r="AE2240">
        <v>2.4286999999999899</v>
      </c>
      <c r="AF2240">
        <v>3.1409910366581699</v>
      </c>
      <c r="AG2240">
        <v>-1.1016443568138901</v>
      </c>
      <c r="AH2240">
        <v>21.582778350388299</v>
      </c>
      <c r="AI2240">
        <v>92.891589814904194</v>
      </c>
      <c r="AJ2240">
        <v>81.719745392070905</v>
      </c>
      <c r="AK2240">
        <v>21.837943270904798</v>
      </c>
      <c r="AL2240">
        <v>81.4439936991362</v>
      </c>
      <c r="AM2240">
        <v>92.772282232938593</v>
      </c>
      <c r="AN2240">
        <v>1.00000001491852</v>
      </c>
    </row>
    <row r="2241" spans="1:40" x14ac:dyDescent="0.25">
      <c r="A2241" t="str">
        <f>"20190304154805121"</f>
        <v>20190304154805121</v>
      </c>
      <c r="B2241" t="str">
        <f>"1551685685108727"</f>
        <v>1551685685108727</v>
      </c>
      <c r="C2241" t="s">
        <v>40</v>
      </c>
      <c r="D2241">
        <v>4.4772089999999896</v>
      </c>
      <c r="E2241">
        <v>0.57186559999999997</v>
      </c>
      <c r="F2241" t="s">
        <v>60</v>
      </c>
      <c r="G2241">
        <v>-234.4333</v>
      </c>
      <c r="H2241" s="1">
        <v>6.763256E-7</v>
      </c>
      <c r="I2241">
        <v>287.95859999999999</v>
      </c>
      <c r="J2241">
        <v>-211.0179</v>
      </c>
      <c r="K2241">
        <v>1.1020700000000001</v>
      </c>
      <c r="L2241">
        <v>285.19529999999997</v>
      </c>
      <c r="M2241">
        <v>-0.99968520000000005</v>
      </c>
      <c r="N2241">
        <v>-1.277116E-2</v>
      </c>
      <c r="O2241">
        <v>-2.1602039999999999E-2</v>
      </c>
      <c r="P2241">
        <v>-0.9879561</v>
      </c>
      <c r="Q2241">
        <v>0.13464889999999999</v>
      </c>
      <c r="R2241">
        <v>-7.6240989999999995E-2</v>
      </c>
      <c r="S2241">
        <v>-3.088867</v>
      </c>
      <c r="T2241">
        <v>-0.14358309999999999</v>
      </c>
      <c r="U2241">
        <v>0.36053469999999999</v>
      </c>
      <c r="V2241">
        <v>-5.1849970000000002E-2</v>
      </c>
      <c r="W2241">
        <v>0.1483672</v>
      </c>
      <c r="X2241">
        <v>0.98757209999999995</v>
      </c>
      <c r="Y2241">
        <v>0.1371657</v>
      </c>
      <c r="Z2241">
        <v>4.7806960000000001E-3</v>
      </c>
      <c r="AA2241">
        <v>0.99053659999999999</v>
      </c>
      <c r="AB2241">
        <v>27</v>
      </c>
      <c r="AC2241">
        <v>-23.415400000000002</v>
      </c>
      <c r="AD2241">
        <v>-1.1020693236743999</v>
      </c>
      <c r="AE2241">
        <v>2.7633000000000099</v>
      </c>
      <c r="AF2241">
        <v>3.2613912471253799</v>
      </c>
      <c r="AG2241">
        <v>-1.1020693236743999</v>
      </c>
      <c r="AH2241">
        <v>23.299333361548399</v>
      </c>
      <c r="AI2241">
        <v>92.681989636531497</v>
      </c>
      <c r="AJ2241">
        <v>82.031632730785901</v>
      </c>
      <c r="AK2241">
        <v>23.552285764943701</v>
      </c>
      <c r="AL2241">
        <v>81.4676843101755</v>
      </c>
      <c r="AM2241">
        <v>93.005410227823702</v>
      </c>
      <c r="AN2241">
        <v>0.99999994906162404</v>
      </c>
    </row>
    <row r="2242" spans="1:40" x14ac:dyDescent="0.25">
      <c r="A2242" t="str">
        <f>"20190304154805142"</f>
        <v>20190304154805142</v>
      </c>
      <c r="B2242" t="str">
        <f>"1551685685138983"</f>
        <v>1551685685138983</v>
      </c>
      <c r="C2242" t="s">
        <v>40</v>
      </c>
      <c r="D2242">
        <v>4.5478820000000004</v>
      </c>
      <c r="E2242">
        <v>0.57018769999999996</v>
      </c>
      <c r="F2242" t="s">
        <v>60</v>
      </c>
      <c r="G2242">
        <v>-235.04910000000001</v>
      </c>
      <c r="H2242" s="1">
        <v>9.9691200000000005E-7</v>
      </c>
      <c r="I2242">
        <v>288.12020000000001</v>
      </c>
      <c r="J2242">
        <v>-211.28700000000001</v>
      </c>
      <c r="K2242">
        <v>1.102492</v>
      </c>
      <c r="L2242">
        <v>285.2004</v>
      </c>
      <c r="M2242">
        <v>-0.99985650000000004</v>
      </c>
      <c r="N2242">
        <v>-1.267276E-2</v>
      </c>
      <c r="O2242">
        <v>-1.12385E-2</v>
      </c>
      <c r="P2242">
        <v>-0.98855519999999997</v>
      </c>
      <c r="Q2242">
        <v>0.1330741</v>
      </c>
      <c r="R2242">
        <v>-7.1063470000000004E-2</v>
      </c>
      <c r="S2242">
        <v>-3.0848239999999998</v>
      </c>
      <c r="T2242">
        <v>-0.14147029999999999</v>
      </c>
      <c r="U2242">
        <v>0.37545780000000001</v>
      </c>
      <c r="V2242">
        <v>-5.7100690000000003E-2</v>
      </c>
      <c r="W2242">
        <v>0.1467406</v>
      </c>
      <c r="X2242">
        <v>0.98752549999999995</v>
      </c>
      <c r="Y2242">
        <v>0.131788299999999</v>
      </c>
      <c r="Z2242">
        <v>4.2194429999999998E-3</v>
      </c>
      <c r="AA2242">
        <v>0.99126890000000001</v>
      </c>
      <c r="AB2242">
        <v>27</v>
      </c>
      <c r="AC2242">
        <v>-23.7621</v>
      </c>
      <c r="AD2242">
        <v>-1.102491003088</v>
      </c>
      <c r="AE2242">
        <v>2.9198</v>
      </c>
      <c r="AF2242">
        <v>3.1799437929676602</v>
      </c>
      <c r="AG2242">
        <v>-1.102491003088</v>
      </c>
      <c r="AH2242">
        <v>23.6775700656531</v>
      </c>
      <c r="AI2242">
        <v>92.642230824862395</v>
      </c>
      <c r="AJ2242">
        <v>82.350835401077703</v>
      </c>
      <c r="AK2242">
        <v>23.9155776253101</v>
      </c>
      <c r="AL2242">
        <v>81.561913099591493</v>
      </c>
      <c r="AM2242">
        <v>93.309271243217907</v>
      </c>
      <c r="AN2242">
        <v>0.99999995281854104</v>
      </c>
    </row>
    <row r="2243" spans="1:40" x14ac:dyDescent="0.25">
      <c r="A2243" t="str">
        <f>"20190304154805164"</f>
        <v>20190304154805164</v>
      </c>
      <c r="B2243" t="str">
        <f>"1551685685159479"</f>
        <v>1551685685159479</v>
      </c>
      <c r="C2243" t="s">
        <v>40</v>
      </c>
      <c r="D2243">
        <v>4.5546129999999998</v>
      </c>
      <c r="E2243">
        <v>0.56879380000000002</v>
      </c>
      <c r="F2243" t="s">
        <v>60</v>
      </c>
      <c r="G2243">
        <v>-234.88740000000001</v>
      </c>
      <c r="H2243" s="1">
        <v>9.1179619999999998E-7</v>
      </c>
      <c r="I2243">
        <v>288.09910000000002</v>
      </c>
      <c r="J2243">
        <v>-211.5496</v>
      </c>
      <c r="K2243">
        <v>1.1029450000000001</v>
      </c>
      <c r="L2243">
        <v>285.20760000000001</v>
      </c>
      <c r="M2243">
        <v>-0.99991940000000001</v>
      </c>
      <c r="N2243">
        <v>-1.257439E-2</v>
      </c>
      <c r="O2243">
        <v>-1.764498E-3</v>
      </c>
      <c r="P2243">
        <v>-0.9888692</v>
      </c>
      <c r="Q2243">
        <v>0.1324003</v>
      </c>
      <c r="R2243">
        <v>-6.7883760000000001E-2</v>
      </c>
      <c r="S2243">
        <v>-3.081299</v>
      </c>
      <c r="T2243">
        <v>-0.14394270000000001</v>
      </c>
      <c r="U2243">
        <v>0.37844850000000002</v>
      </c>
      <c r="V2243">
        <v>-6.3463809999999996E-2</v>
      </c>
      <c r="W2243">
        <v>0.14601749999999999</v>
      </c>
      <c r="X2243">
        <v>0.98724420000000002</v>
      </c>
      <c r="Y2243">
        <v>0.1234865</v>
      </c>
      <c r="Z2243">
        <v>3.7118199999999998E-3</v>
      </c>
      <c r="AA2243">
        <v>0.99233930000000004</v>
      </c>
      <c r="AB2243">
        <v>27</v>
      </c>
      <c r="AC2243">
        <v>-23.337800000000001</v>
      </c>
      <c r="AD2243">
        <v>-1.1029440882038</v>
      </c>
      <c r="AE2243">
        <v>2.8915000000000002</v>
      </c>
      <c r="AF2243">
        <v>2.9262412880940101</v>
      </c>
      <c r="AG2243">
        <v>-1.1029440882038</v>
      </c>
      <c r="AH2243">
        <v>23.281448109205801</v>
      </c>
      <c r="AI2243">
        <v>92.691181170972001</v>
      </c>
      <c r="AJ2243">
        <v>82.836070600002898</v>
      </c>
      <c r="AK2243">
        <v>23.490534259558601</v>
      </c>
      <c r="AL2243">
        <v>81.603794680741203</v>
      </c>
      <c r="AM2243">
        <v>93.678129567801193</v>
      </c>
      <c r="AN2243">
        <v>0.99999993795980102</v>
      </c>
    </row>
    <row r="2244" spans="1:40" x14ac:dyDescent="0.25">
      <c r="A2244" t="str">
        <f>"20190304154805187"</f>
        <v>20190304154805187</v>
      </c>
      <c r="B2244" t="str">
        <f>"1551685685178999"</f>
        <v>1551685685178999</v>
      </c>
      <c r="C2244" t="s">
        <v>40</v>
      </c>
      <c r="D2244">
        <v>4.5608089999999999</v>
      </c>
      <c r="E2244">
        <v>0.56757100000000005</v>
      </c>
      <c r="F2244" t="s">
        <v>60</v>
      </c>
      <c r="G2244">
        <v>-234.702</v>
      </c>
      <c r="H2244" s="1">
        <v>8.1533680000000003E-7</v>
      </c>
      <c r="I2244">
        <v>288.04930000000002</v>
      </c>
      <c r="J2244">
        <v>-211.8356</v>
      </c>
      <c r="K2244">
        <v>1.1034919999999999</v>
      </c>
      <c r="L2244">
        <v>285.2174</v>
      </c>
      <c r="M2244">
        <v>-0.99989170000000005</v>
      </c>
      <c r="N2244">
        <v>-1.24657E-2</v>
      </c>
      <c r="O2244">
        <v>7.8216090000000002E-3</v>
      </c>
      <c r="P2244">
        <v>-0.98894510000000002</v>
      </c>
      <c r="Q2244">
        <v>0.13325979999999901</v>
      </c>
      <c r="R2244">
        <v>-6.5033779999999999E-2</v>
      </c>
      <c r="S2244">
        <v>-3.079361</v>
      </c>
      <c r="T2244">
        <v>-0.14669570000000001</v>
      </c>
      <c r="U2244">
        <v>0.37796020000000002</v>
      </c>
      <c r="V2244">
        <v>-7.0269689999999996E-2</v>
      </c>
      <c r="W2244">
        <v>0.14679249999999999</v>
      </c>
      <c r="X2244">
        <v>0.9866682</v>
      </c>
      <c r="Y2244">
        <v>0.11390169999999999</v>
      </c>
      <c r="Z2244">
        <v>3.1406569999999998E-3</v>
      </c>
      <c r="AA2244">
        <v>0.99348709999999996</v>
      </c>
      <c r="AB2244">
        <v>27</v>
      </c>
      <c r="AC2244">
        <v>-22.866399999999999</v>
      </c>
      <c r="AD2244">
        <v>-1.1034911846631901</v>
      </c>
      <c r="AE2244">
        <v>2.8319000000000099</v>
      </c>
      <c r="AF2244">
        <v>2.6468763507873301</v>
      </c>
      <c r="AG2244">
        <v>-1.1034911846631901</v>
      </c>
      <c r="AH2244">
        <v>22.835475032995699</v>
      </c>
      <c r="AI2244">
        <v>92.748211811135306</v>
      </c>
      <c r="AJ2244">
        <v>83.388309606909999</v>
      </c>
      <c r="AK2244">
        <v>23.014833633844901</v>
      </c>
      <c r="AL2244">
        <v>81.5589073141402</v>
      </c>
      <c r="AM2244">
        <v>94.073679671491803</v>
      </c>
      <c r="AN2244">
        <v>1.0000000021400901</v>
      </c>
    </row>
    <row r="2245" spans="1:40" x14ac:dyDescent="0.25">
      <c r="A2245" t="str">
        <f>"20190304154805211"</f>
        <v>20190304154805211</v>
      </c>
      <c r="B2245" t="str">
        <f>"1551685685199494"</f>
        <v>1551685685199494</v>
      </c>
      <c r="C2245" t="s">
        <v>40</v>
      </c>
      <c r="D2245">
        <v>4.6110049999999996</v>
      </c>
      <c r="E2245">
        <v>0.56638149999999998</v>
      </c>
      <c r="F2245" t="s">
        <v>60</v>
      </c>
      <c r="G2245">
        <v>-235.40119999999999</v>
      </c>
      <c r="H2245" s="1">
        <v>1.184858E-6</v>
      </c>
      <c r="I2245">
        <v>288.1078</v>
      </c>
      <c r="J2245">
        <v>-212.11689999999999</v>
      </c>
      <c r="K2245">
        <v>1.104082</v>
      </c>
      <c r="L2245">
        <v>285.22890000000001</v>
      </c>
      <c r="M2245">
        <v>-0.99978769999999995</v>
      </c>
      <c r="N2245">
        <v>-1.236105E-2</v>
      </c>
      <c r="O2245">
        <v>1.6481849999999999E-2</v>
      </c>
      <c r="P2245">
        <v>-0.98893240000000004</v>
      </c>
      <c r="Q2245">
        <v>0.134717</v>
      </c>
      <c r="R2245">
        <v>-6.2160519999999997E-2</v>
      </c>
      <c r="S2245">
        <v>-3.0777890000000001</v>
      </c>
      <c r="T2245">
        <v>-0.14412130000000001</v>
      </c>
      <c r="U2245">
        <v>0.37750240000000002</v>
      </c>
      <c r="V2245">
        <v>-7.6136860000000001E-2</v>
      </c>
      <c r="W2245">
        <v>0.14812999999999901</v>
      </c>
      <c r="X2245">
        <v>0.98603280000000004</v>
      </c>
      <c r="Y2245">
        <v>0.10523009999999999</v>
      </c>
      <c r="Z2245">
        <v>2.5412059999999998E-3</v>
      </c>
      <c r="AA2245">
        <v>0.99444469999999996</v>
      </c>
      <c r="AB2245">
        <v>27</v>
      </c>
      <c r="AC2245">
        <v>-23.284300000000002</v>
      </c>
      <c r="AD2245">
        <v>-1.1040808151420001</v>
      </c>
      <c r="AE2245">
        <v>2.8788999999999798</v>
      </c>
      <c r="AF2245">
        <v>2.4891987345831001</v>
      </c>
      <c r="AG2245">
        <v>-1.1040808151420001</v>
      </c>
      <c r="AH2245">
        <v>23.277041633561701</v>
      </c>
      <c r="AI2245">
        <v>92.700255550116907</v>
      </c>
      <c r="AJ2245">
        <v>83.896104679781104</v>
      </c>
      <c r="AK2245">
        <v>23.435779739474899</v>
      </c>
      <c r="AL2245">
        <v>81.481427163281296</v>
      </c>
      <c r="AM2245">
        <v>94.415352041826495</v>
      </c>
      <c r="AN2245">
        <v>1.0000000005132399</v>
      </c>
    </row>
    <row r="2246" spans="1:40" x14ac:dyDescent="0.25">
      <c r="A2246" t="str">
        <f>"20190304154805230"</f>
        <v>20190304154805230</v>
      </c>
      <c r="B2246" t="str">
        <f>"1551685685219014"</f>
        <v>1551685685219014</v>
      </c>
      <c r="C2246" t="s">
        <v>40</v>
      </c>
      <c r="D2246">
        <v>4.6106350000000003</v>
      </c>
      <c r="E2246">
        <v>0.5650444</v>
      </c>
      <c r="F2246" t="s">
        <v>60</v>
      </c>
      <c r="G2246">
        <v>-236.17140000000001</v>
      </c>
      <c r="H2246" s="1">
        <v>1.5923249999999901E-6</v>
      </c>
      <c r="I2246">
        <v>288.16199999999998</v>
      </c>
      <c r="J2246">
        <v>-212.3629</v>
      </c>
      <c r="K2246">
        <v>1.104609</v>
      </c>
      <c r="L2246">
        <v>285.24040000000002</v>
      </c>
      <c r="M2246">
        <v>-0.99965110000000001</v>
      </c>
      <c r="N2246">
        <v>-1.227371E-2</v>
      </c>
      <c r="O2246">
        <v>2.339401E-2</v>
      </c>
      <c r="P2246">
        <v>-0.98897239999999997</v>
      </c>
      <c r="Q2246">
        <v>0.1348569</v>
      </c>
      <c r="R2246">
        <v>-6.121708E-2</v>
      </c>
      <c r="S2246">
        <v>-3.0763850000000001</v>
      </c>
      <c r="T2246">
        <v>-0.1412032</v>
      </c>
      <c r="U2246">
        <v>0.37512210000000001</v>
      </c>
      <c r="V2246">
        <v>-8.2204910000000006E-2</v>
      </c>
      <c r="W2246">
        <v>0.14816779999999999</v>
      </c>
      <c r="X2246">
        <v>0.98553979999999997</v>
      </c>
      <c r="Y2246">
        <v>9.7666879999999998E-2</v>
      </c>
      <c r="Z2246">
        <v>2.0512769999999998E-3</v>
      </c>
      <c r="AA2246">
        <v>0.99521700000000002</v>
      </c>
      <c r="AB2246">
        <v>27</v>
      </c>
      <c r="AC2246">
        <v>-23.808499999999999</v>
      </c>
      <c r="AD2246">
        <v>-1.1046074076750001</v>
      </c>
      <c r="AE2246">
        <v>2.92160000000001</v>
      </c>
      <c r="AF2246">
        <v>2.3587800752374601</v>
      </c>
      <c r="AG2246">
        <v>-1.1046074076750001</v>
      </c>
      <c r="AH2246">
        <v>23.819823695012499</v>
      </c>
      <c r="AI2246">
        <v>92.642195994626206</v>
      </c>
      <c r="AJ2246">
        <v>84.344669982259902</v>
      </c>
      <c r="AK2246">
        <v>23.961802975358701</v>
      </c>
      <c r="AL2246">
        <v>81.479237390915998</v>
      </c>
      <c r="AM2246">
        <v>94.768063816911607</v>
      </c>
      <c r="AN2246">
        <v>1.0000000207844899</v>
      </c>
    </row>
    <row r="2247" spans="1:40" x14ac:dyDescent="0.25">
      <c r="A2247" t="str">
        <f>"20190304154805253"</f>
        <v>20190304154805253</v>
      </c>
      <c r="B2247" t="str">
        <f>"1551685685249271"</f>
        <v>1551685685249271</v>
      </c>
      <c r="C2247" t="s">
        <v>40</v>
      </c>
      <c r="D2247">
        <v>4.5385920000000004</v>
      </c>
      <c r="E2247">
        <v>0.56306929999999999</v>
      </c>
      <c r="F2247" t="s">
        <v>60</v>
      </c>
      <c r="G2247">
        <v>-236.02629999999999</v>
      </c>
      <c r="H2247" s="1">
        <v>1.5199400000000001E-6</v>
      </c>
      <c r="I2247">
        <v>288.05220000000003</v>
      </c>
      <c r="J2247">
        <v>-212.63030000000001</v>
      </c>
      <c r="K2247">
        <v>1.105175</v>
      </c>
      <c r="L2247">
        <v>285.25409999999999</v>
      </c>
      <c r="M2247">
        <v>-0.99946919999999995</v>
      </c>
      <c r="N2247">
        <v>-1.218429E-2</v>
      </c>
      <c r="O2247">
        <v>3.021805E-2</v>
      </c>
      <c r="P2247">
        <v>-0.98909950000000002</v>
      </c>
      <c r="Q2247">
        <v>0.1339533</v>
      </c>
      <c r="R2247">
        <v>-6.1144789999999997E-2</v>
      </c>
      <c r="S2247">
        <v>-3.0756380000000001</v>
      </c>
      <c r="T2247">
        <v>-0.14357049999999999</v>
      </c>
      <c r="U2247">
        <v>0.365448</v>
      </c>
      <c r="V2247">
        <v>-8.9088070000000005E-2</v>
      </c>
      <c r="W2247">
        <v>0.14714669999999999</v>
      </c>
      <c r="X2247">
        <v>0.98509449999999998</v>
      </c>
      <c r="Y2247">
        <v>8.7825689999999998E-2</v>
      </c>
      <c r="Z2247">
        <v>1.541752E-3</v>
      </c>
      <c r="AA2247">
        <v>0.99613459999999998</v>
      </c>
      <c r="AB2247">
        <v>27</v>
      </c>
      <c r="AC2247">
        <v>-23.395999999999901</v>
      </c>
      <c r="AD2247">
        <v>-1.1051734800599999</v>
      </c>
      <c r="AE2247">
        <v>2.79810000000003</v>
      </c>
      <c r="AF2247">
        <v>2.08520081173616</v>
      </c>
      <c r="AG2247">
        <v>-1.1051734800599999</v>
      </c>
      <c r="AH2247">
        <v>23.418354720560199</v>
      </c>
      <c r="AI2247">
        <v>92.691301206806102</v>
      </c>
      <c r="AJ2247">
        <v>84.911728045558903</v>
      </c>
      <c r="AK2247">
        <v>23.536966853532299</v>
      </c>
      <c r="AL2247">
        <v>81.538390377613894</v>
      </c>
      <c r="AM2247">
        <v>95.1675475123008</v>
      </c>
      <c r="AN2247">
        <v>1.0000000047337301</v>
      </c>
    </row>
    <row r="2248" spans="1:40" x14ac:dyDescent="0.25">
      <c r="A2248" t="str">
        <f>"20190304154805276"</f>
        <v>20190304154805276</v>
      </c>
      <c r="B2248" t="str">
        <f>"1551685685268791"</f>
        <v>1551685685268791</v>
      </c>
      <c r="C2248" t="s">
        <v>40</v>
      </c>
      <c r="D2248">
        <v>4.6234900000000003</v>
      </c>
      <c r="E2248">
        <v>0.56190649999999998</v>
      </c>
      <c r="F2248" t="s">
        <v>60</v>
      </c>
      <c r="G2248">
        <v>-235.25659999999999</v>
      </c>
      <c r="H2248" s="1">
        <v>1.12028E-6</v>
      </c>
      <c r="I2248">
        <v>287.8245</v>
      </c>
      <c r="J2248">
        <v>-212.9161</v>
      </c>
      <c r="K2248">
        <v>1.105748</v>
      </c>
      <c r="L2248">
        <v>285.26990000000001</v>
      </c>
      <c r="M2248">
        <v>-0.99925350000000002</v>
      </c>
      <c r="N2248">
        <v>-1.209534E-2</v>
      </c>
      <c r="O2248">
        <v>3.669294E-2</v>
      </c>
      <c r="P2248">
        <v>-0.98909910000000001</v>
      </c>
      <c r="Q2248">
        <v>0.1339552</v>
      </c>
      <c r="R2248">
        <v>-6.1144900000000002E-2</v>
      </c>
      <c r="S2248">
        <v>-3.0750120000000001</v>
      </c>
      <c r="T2248">
        <v>-0.1501982</v>
      </c>
      <c r="U2248">
        <v>0.3493347</v>
      </c>
      <c r="V2248">
        <v>-9.5681619999999995E-2</v>
      </c>
      <c r="W2248">
        <v>0.1470062</v>
      </c>
      <c r="X2248">
        <v>0.98449699999999996</v>
      </c>
      <c r="Y2248">
        <v>7.6253409999999994E-2</v>
      </c>
      <c r="Z2248">
        <v>9.7649990000000001E-4</v>
      </c>
      <c r="AA2248">
        <v>0.99708799999999997</v>
      </c>
      <c r="AB2248">
        <v>27</v>
      </c>
      <c r="AC2248">
        <v>-22.340499999999899</v>
      </c>
      <c r="AD2248">
        <v>-1.1057468797200001</v>
      </c>
      <c r="AE2248">
        <v>2.55459999999999</v>
      </c>
      <c r="AF2248">
        <v>1.7289002002407901</v>
      </c>
      <c r="AG2248">
        <v>-1.1057468797200001</v>
      </c>
      <c r="AH2248">
        <v>22.3651137830058</v>
      </c>
      <c r="AI2248">
        <v>92.822032966556193</v>
      </c>
      <c r="AJ2248">
        <v>85.579630351873305</v>
      </c>
      <c r="AK2248">
        <v>22.4590758178336</v>
      </c>
      <c r="AL2248">
        <v>81.546529488764804</v>
      </c>
      <c r="AM2248">
        <v>95.551047367774203</v>
      </c>
      <c r="AN2248">
        <v>1.00000006912662</v>
      </c>
    </row>
    <row r="2249" spans="1:40" x14ac:dyDescent="0.25">
      <c r="A2249" t="str">
        <f>"20190304154805298"</f>
        <v>20190304154805298</v>
      </c>
      <c r="B2249" t="str">
        <f>"1551685685289286"</f>
        <v>1551685685289286</v>
      </c>
      <c r="C2249" t="s">
        <v>40</v>
      </c>
      <c r="D2249">
        <v>4.5968289999999996</v>
      </c>
      <c r="E2249">
        <v>0.56062959999999995</v>
      </c>
      <c r="F2249" t="s">
        <v>60</v>
      </c>
      <c r="G2249">
        <v>-235.0532</v>
      </c>
      <c r="H2249" s="1">
        <v>1.016748E-6</v>
      </c>
      <c r="I2249">
        <v>287.71699999999998</v>
      </c>
      <c r="J2249">
        <v>-213.1901</v>
      </c>
      <c r="K2249">
        <v>1.106214</v>
      </c>
      <c r="L2249">
        <v>285.28620000000001</v>
      </c>
      <c r="M2249">
        <v>-0.99903249999999999</v>
      </c>
      <c r="N2249">
        <v>-1.201781E-2</v>
      </c>
      <c r="O2249">
        <v>4.2302850000000003E-2</v>
      </c>
      <c r="P2249">
        <v>-0.98890730000000004</v>
      </c>
      <c r="Q2249">
        <v>0.1356628</v>
      </c>
      <c r="R2249">
        <v>-6.048125E-2</v>
      </c>
      <c r="S2249">
        <v>-3.074875</v>
      </c>
      <c r="T2249">
        <v>-0.15359</v>
      </c>
      <c r="U2249">
        <v>0.33990479999999901</v>
      </c>
      <c r="V2249">
        <v>-0.1006937</v>
      </c>
      <c r="W2249">
        <v>0.14857239999999999</v>
      </c>
      <c r="X2249">
        <v>0.98376169999999996</v>
      </c>
      <c r="Y2249">
        <v>6.7651710000000004E-2</v>
      </c>
      <c r="Z2249">
        <v>4.9492570000000003E-4</v>
      </c>
      <c r="AA2249">
        <v>0.99770890000000001</v>
      </c>
      <c r="AB2249">
        <v>27</v>
      </c>
      <c r="AC2249">
        <v>-21.863099999999999</v>
      </c>
      <c r="AD2249">
        <v>-1.106212983252</v>
      </c>
      <c r="AE2249">
        <v>2.4307999999999699</v>
      </c>
      <c r="AF2249">
        <v>1.49989246916546</v>
      </c>
      <c r="AG2249">
        <v>-1.106212983252</v>
      </c>
      <c r="AH2249">
        <v>21.891004794517102</v>
      </c>
      <c r="AI2249">
        <v>92.886098456588002</v>
      </c>
      <c r="AJ2249">
        <v>86.080426238872604</v>
      </c>
      <c r="AK2249">
        <v>21.9701951629234</v>
      </c>
      <c r="AL2249">
        <v>81.4557961544877</v>
      </c>
      <c r="AM2249">
        <v>95.8442018072395</v>
      </c>
      <c r="AN2249">
        <v>1.0000000308241599</v>
      </c>
    </row>
    <row r="2250" spans="1:40" x14ac:dyDescent="0.25">
      <c r="A2250" t="str">
        <f>"20190304154805320"</f>
        <v>20190304154805320</v>
      </c>
      <c r="B2250" t="str">
        <f>"1551685685308806"</f>
        <v>1551685685308806</v>
      </c>
      <c r="C2250" t="s">
        <v>40</v>
      </c>
      <c r="D2250">
        <v>4.5082079999999998</v>
      </c>
      <c r="E2250">
        <v>0.52926870000000004</v>
      </c>
      <c r="F2250" t="s">
        <v>60</v>
      </c>
      <c r="G2250">
        <v>-235.6908</v>
      </c>
      <c r="H2250" s="1">
        <v>1.356591E-6</v>
      </c>
      <c r="I2250">
        <v>287.70420000000001</v>
      </c>
      <c r="J2250">
        <v>-213.45849999999999</v>
      </c>
      <c r="K2250">
        <v>1.106627</v>
      </c>
      <c r="L2250">
        <v>285.303</v>
      </c>
      <c r="M2250">
        <v>-0.99881249999999999</v>
      </c>
      <c r="N2250">
        <v>-1.194861E-2</v>
      </c>
      <c r="O2250">
        <v>4.7231339999999997E-2</v>
      </c>
      <c r="P2250">
        <v>-0.98891430000000002</v>
      </c>
      <c r="Q2250">
        <v>0.1358559</v>
      </c>
      <c r="R2250">
        <v>-5.9930940000000002E-2</v>
      </c>
      <c r="S2250">
        <v>-3.0746000000000002</v>
      </c>
      <c r="T2250">
        <v>-0.15115789999999901</v>
      </c>
      <c r="U2250">
        <v>0.33041379999999998</v>
      </c>
      <c r="V2250">
        <v>-0.10514900000000001</v>
      </c>
      <c r="W2250">
        <v>0.14863509999999999</v>
      </c>
      <c r="X2250">
        <v>0.98328599999999999</v>
      </c>
      <c r="Y2250">
        <v>5.9710329999999999E-2</v>
      </c>
      <c r="Z2250" s="1">
        <v>7.1836639999999999E-5</v>
      </c>
      <c r="AA2250">
        <v>0.99821570000000004</v>
      </c>
      <c r="AB2250">
        <v>27</v>
      </c>
      <c r="AC2250">
        <v>-22.232299999999999</v>
      </c>
      <c r="AD2250">
        <v>-1.106625643409</v>
      </c>
      <c r="AE2250">
        <v>2.40120000000001</v>
      </c>
      <c r="AF2250">
        <v>1.34508934838767</v>
      </c>
      <c r="AG2250">
        <v>-1.106625643409</v>
      </c>
      <c r="AH2250">
        <v>22.266373456137501</v>
      </c>
      <c r="AI2250">
        <v>92.8400566146194</v>
      </c>
      <c r="AJ2250">
        <v>86.543020310325304</v>
      </c>
      <c r="AK2250">
        <v>22.334396623996401</v>
      </c>
      <c r="AL2250">
        <v>81.452163379416703</v>
      </c>
      <c r="AM2250">
        <v>96.103804694780493</v>
      </c>
      <c r="AN2250">
        <v>1.0000000314744999</v>
      </c>
    </row>
    <row r="2251" spans="1:40" x14ac:dyDescent="0.25">
      <c r="A2251" t="str">
        <f>"20190304154805341"</f>
        <v>20190304154805341</v>
      </c>
      <c r="B2251" t="str">
        <f>"1551685685339062"</f>
        <v>1551685685339062</v>
      </c>
      <c r="C2251" t="s">
        <v>40</v>
      </c>
      <c r="D2251">
        <v>4.542192</v>
      </c>
      <c r="E2251">
        <v>0.52948569999999995</v>
      </c>
      <c r="F2251" t="s">
        <v>60</v>
      </c>
      <c r="G2251">
        <v>-234.92500000000001</v>
      </c>
      <c r="H2251" s="1">
        <v>1.0289800000000001E-6</v>
      </c>
      <c r="I2251">
        <v>285.87650000000002</v>
      </c>
      <c r="J2251">
        <v>-213.7193</v>
      </c>
      <c r="K2251">
        <v>1.10702099999999</v>
      </c>
      <c r="L2251">
        <v>285.32010000000002</v>
      </c>
      <c r="M2251">
        <v>-0.99860470000000001</v>
      </c>
      <c r="N2251">
        <v>-1.1886259999999999E-2</v>
      </c>
      <c r="O2251">
        <v>5.1453819999999997E-2</v>
      </c>
      <c r="P2251">
        <v>-0.98909329999999995</v>
      </c>
      <c r="Q2251">
        <v>0.13414570000000001</v>
      </c>
      <c r="R2251">
        <v>-6.0826850000000002E-2</v>
      </c>
      <c r="S2251">
        <v>-3.0602420000000001</v>
      </c>
      <c r="T2251">
        <v>-0.15775899999999901</v>
      </c>
      <c r="U2251">
        <v>8.1756590000000004E-2</v>
      </c>
      <c r="V2251">
        <v>-0.1103707</v>
      </c>
      <c r="W2251">
        <v>0.14680480000000001</v>
      </c>
      <c r="X2251">
        <v>0.98298869999999905</v>
      </c>
      <c r="Y2251">
        <v>-2.468762E-2</v>
      </c>
      <c r="Z2251">
        <v>-2.8201120000000001E-3</v>
      </c>
      <c r="AA2251">
        <v>0.9996912</v>
      </c>
      <c r="AB2251">
        <v>27</v>
      </c>
      <c r="AC2251">
        <v>-21.2057</v>
      </c>
      <c r="AD2251">
        <v>-1.1070199710199899</v>
      </c>
      <c r="AE2251">
        <v>0.55639999999999601</v>
      </c>
      <c r="AF2251">
        <v>-0.534073932533212</v>
      </c>
      <c r="AG2251">
        <v>-1.1070199710199899</v>
      </c>
      <c r="AH2251">
        <v>21.148641758671999</v>
      </c>
      <c r="AI2251">
        <v>92.995444249304299</v>
      </c>
      <c r="AJ2251">
        <v>91.446602586590501</v>
      </c>
      <c r="AK2251">
        <v>21.184328557173899</v>
      </c>
      <c r="AL2251">
        <v>81.558195371055803</v>
      </c>
      <c r="AM2251">
        <v>96.406380842648403</v>
      </c>
      <c r="AN2251">
        <v>1.0000000625245999</v>
      </c>
    </row>
    <row r="2252" spans="1:40" x14ac:dyDescent="0.25">
      <c r="A2252" t="str">
        <f>"20190304154805364"</f>
        <v>20190304154805364</v>
      </c>
      <c r="B2252" t="str">
        <f>"1551685685359560"</f>
        <v>1551685685359560</v>
      </c>
      <c r="C2252" t="s">
        <v>40</v>
      </c>
      <c r="D2252">
        <v>4.523263</v>
      </c>
      <c r="E2252">
        <v>0.52943890000000005</v>
      </c>
      <c r="F2252" t="s">
        <v>60</v>
      </c>
      <c r="G2252">
        <v>-239.71270000000001</v>
      </c>
      <c r="H2252" s="1">
        <v>3.5715949999999999E-6</v>
      </c>
      <c r="I2252">
        <v>285.99400000000003</v>
      </c>
      <c r="J2252">
        <v>-214.00129999999999</v>
      </c>
      <c r="K2252">
        <v>1.107469</v>
      </c>
      <c r="L2252">
        <v>285.33920000000001</v>
      </c>
      <c r="M2252">
        <v>-0.99839480000000003</v>
      </c>
      <c r="N2252">
        <v>-1.182367E-2</v>
      </c>
      <c r="O2252">
        <v>5.5390799999999997E-2</v>
      </c>
      <c r="P2252">
        <v>-0.98914690000000005</v>
      </c>
      <c r="Q2252">
        <v>0.13309760000000001</v>
      </c>
      <c r="R2252">
        <v>-6.2238410000000001E-2</v>
      </c>
      <c r="S2252">
        <v>-3.0556030000000001</v>
      </c>
      <c r="T2252">
        <v>-0.13013339999999901</v>
      </c>
      <c r="U2252">
        <v>7.9223630000000003E-2</v>
      </c>
      <c r="V2252">
        <v>-0.1158315</v>
      </c>
      <c r="W2252">
        <v>0.14561089999999999</v>
      </c>
      <c r="X2252">
        <v>0.98253780000000002</v>
      </c>
      <c r="Y2252">
        <v>-2.9437040000000001E-2</v>
      </c>
      <c r="Z2252">
        <v>-2.5018380000000002E-3</v>
      </c>
      <c r="AA2252">
        <v>0.99956350000000005</v>
      </c>
      <c r="AB2252">
        <v>27</v>
      </c>
      <c r="AC2252">
        <v>-25.711400000000001</v>
      </c>
      <c r="AD2252">
        <v>-1.1074654284050001</v>
      </c>
      <c r="AE2252">
        <v>0.65480000000002203</v>
      </c>
      <c r="AF2252">
        <v>-0.76905402935640998</v>
      </c>
      <c r="AG2252">
        <v>-1.1074654284050001</v>
      </c>
      <c r="AH2252">
        <v>25.6606168024156</v>
      </c>
      <c r="AI2252">
        <v>92.470140053516502</v>
      </c>
      <c r="AJ2252">
        <v>91.716652593380701</v>
      </c>
      <c r="AK2252">
        <v>25.696014836071299</v>
      </c>
      <c r="AL2252">
        <v>81.627343348160394</v>
      </c>
      <c r="AM2252">
        <v>96.723572727511893</v>
      </c>
      <c r="AN2252">
        <v>0.99999999950995</v>
      </c>
    </row>
    <row r="2253" spans="1:40" x14ac:dyDescent="0.25">
      <c r="A2253" t="str">
        <f>"20190304154805388"</f>
        <v>20190304154805388</v>
      </c>
      <c r="B2253" t="str">
        <f>"1551685685379078"</f>
        <v>1551685685379078</v>
      </c>
      <c r="C2253" t="s">
        <v>40</v>
      </c>
      <c r="D2253">
        <v>4.5292019999999997</v>
      </c>
      <c r="E2253">
        <v>0.52908299999999997</v>
      </c>
      <c r="F2253" t="s">
        <v>60</v>
      </c>
      <c r="G2253">
        <v>-240.6225</v>
      </c>
      <c r="H2253" s="1">
        <v>-1.205532E-6</v>
      </c>
      <c r="I2253">
        <v>285.99149999999997</v>
      </c>
      <c r="J2253">
        <v>-214.29599999999999</v>
      </c>
      <c r="K2253">
        <v>1.10797099999999</v>
      </c>
      <c r="L2253">
        <v>285.35969999999998</v>
      </c>
      <c r="M2253">
        <v>-0.998197</v>
      </c>
      <c r="N2253">
        <v>-1.1765019999999999E-2</v>
      </c>
      <c r="O2253">
        <v>5.886019E-2</v>
      </c>
      <c r="P2253">
        <v>-0.98913229999999996</v>
      </c>
      <c r="Q2253">
        <v>0.1325614</v>
      </c>
      <c r="R2253">
        <v>-6.359969E-2</v>
      </c>
      <c r="S2253">
        <v>-3.0547330000000001</v>
      </c>
      <c r="T2253">
        <v>-0.12708</v>
      </c>
      <c r="U2253">
        <v>7.4859620000000002E-2</v>
      </c>
      <c r="V2253">
        <v>-0.1207893</v>
      </c>
      <c r="W2253">
        <v>0.144900799999999</v>
      </c>
      <c r="X2253">
        <v>0.98204570000000002</v>
      </c>
      <c r="Y2253">
        <v>-3.432615E-2</v>
      </c>
      <c r="Z2253">
        <v>-2.668751E-3</v>
      </c>
      <c r="AA2253">
        <v>0.99940709999999999</v>
      </c>
      <c r="AB2253">
        <v>27</v>
      </c>
      <c r="AC2253">
        <v>-26.326499999999999</v>
      </c>
      <c r="AD2253">
        <v>-1.1079722055319901</v>
      </c>
      <c r="AE2253">
        <v>0.63179999999999803</v>
      </c>
      <c r="AF2253">
        <v>-0.91736153404243503</v>
      </c>
      <c r="AG2253">
        <v>-1.1079722055319901</v>
      </c>
      <c r="AH2253">
        <v>26.2715344132742</v>
      </c>
      <c r="AI2253">
        <v>92.413484315390505</v>
      </c>
      <c r="AJ2253">
        <v>91.9998678598852</v>
      </c>
      <c r="AK2253">
        <v>26.3108851052225</v>
      </c>
      <c r="AL2253">
        <v>81.668465444958002</v>
      </c>
      <c r="AM2253">
        <v>97.012026700445006</v>
      </c>
      <c r="AN2253">
        <v>1.0000000268617999</v>
      </c>
    </row>
    <row r="2254" spans="1:40" x14ac:dyDescent="0.25">
      <c r="A2254" t="str">
        <f>"20190304154805411"</f>
        <v>20190304154805411</v>
      </c>
      <c r="B2254" t="str">
        <f>"1551685685409335"</f>
        <v>1551685685409335</v>
      </c>
      <c r="C2254" t="s">
        <v>40</v>
      </c>
      <c r="D2254">
        <v>4.5125669999999998</v>
      </c>
      <c r="E2254">
        <v>0.52861459999999905</v>
      </c>
      <c r="F2254" t="s">
        <v>60</v>
      </c>
      <c r="G2254">
        <v>-241.0112</v>
      </c>
      <c r="H2254" s="1">
        <v>-9.9866800000000003E-7</v>
      </c>
      <c r="I2254">
        <v>285.94990000000001</v>
      </c>
      <c r="J2254">
        <v>-214.56989999999999</v>
      </c>
      <c r="K2254">
        <v>1.108457</v>
      </c>
      <c r="L2254">
        <v>285.37889999999999</v>
      </c>
      <c r="M2254">
        <v>-0.99803889999999995</v>
      </c>
      <c r="N2254">
        <v>-1.171794E-2</v>
      </c>
      <c r="O2254">
        <v>6.149255E-2</v>
      </c>
      <c r="P2254">
        <v>-0.98905810000000005</v>
      </c>
      <c r="Q2254">
        <v>0.1323348</v>
      </c>
      <c r="R2254">
        <v>-6.5206449999999999E-2</v>
      </c>
      <c r="S2254">
        <v>-3.0542760000000002</v>
      </c>
      <c r="T2254">
        <v>-0.12667120000000001</v>
      </c>
      <c r="U2254">
        <v>6.7474370000000006E-2</v>
      </c>
      <c r="V2254">
        <v>-0.12515090000000001</v>
      </c>
      <c r="W2254">
        <v>0.14450450000000001</v>
      </c>
      <c r="X2254">
        <v>0.98155780000000004</v>
      </c>
      <c r="Y2254">
        <v>-3.9366680000000001E-2</v>
      </c>
      <c r="Z2254">
        <v>-2.8732110000000001E-3</v>
      </c>
      <c r="AA2254">
        <v>0.99922069999999996</v>
      </c>
      <c r="AB2254">
        <v>27</v>
      </c>
      <c r="AC2254">
        <v>-26.441299999999998</v>
      </c>
      <c r="AD2254">
        <v>-1.1084579986679901</v>
      </c>
      <c r="AE2254">
        <v>0.57100000000002604</v>
      </c>
      <c r="AF2254">
        <v>-1.0542831657034399</v>
      </c>
      <c r="AG2254">
        <v>-1.1084579986679901</v>
      </c>
      <c r="AH2254">
        <v>26.380029855014801</v>
      </c>
      <c r="AI2254">
        <v>92.4041692871224</v>
      </c>
      <c r="AJ2254">
        <v>92.288619324379397</v>
      </c>
      <c r="AK2254">
        <v>26.4243480010343</v>
      </c>
      <c r="AL2254">
        <v>81.691413113418506</v>
      </c>
      <c r="AM2254">
        <v>97.266139435588101</v>
      </c>
      <c r="AN2254">
        <v>1.00000000651595</v>
      </c>
    </row>
    <row r="2255" spans="1:40" x14ac:dyDescent="0.25">
      <c r="A2255" t="str">
        <f>"20190304154805430"</f>
        <v>20190304154805430</v>
      </c>
      <c r="B2255" t="str">
        <f>"1551685685419095"</f>
        <v>1551685685419095</v>
      </c>
      <c r="C2255" t="s">
        <v>40</v>
      </c>
      <c r="D2255">
        <v>4.5407469999999996</v>
      </c>
      <c r="E2255">
        <v>0.52844329999999995</v>
      </c>
      <c r="F2255" t="s">
        <v>60</v>
      </c>
      <c r="G2255">
        <v>-241.2647</v>
      </c>
      <c r="H2255" s="1">
        <v>-8.6380080000000004E-7</v>
      </c>
      <c r="I2255">
        <v>285.88389999999998</v>
      </c>
      <c r="J2255">
        <v>-214.81100000000001</v>
      </c>
      <c r="K2255">
        <v>1.1088789999999999</v>
      </c>
      <c r="L2255">
        <v>285.39589999999998</v>
      </c>
      <c r="M2255">
        <v>-0.99792610000000004</v>
      </c>
      <c r="N2255">
        <v>-1.1682069999999999E-2</v>
      </c>
      <c r="O2255">
        <v>6.3303899999999996E-2</v>
      </c>
      <c r="P2255">
        <v>-0.98899539999999997</v>
      </c>
      <c r="Q2255">
        <v>0.13294139999999999</v>
      </c>
      <c r="R2255">
        <v>-6.4921850000000003E-2</v>
      </c>
      <c r="S2255">
        <v>-3.0539700000000001</v>
      </c>
      <c r="T2255">
        <v>-0.12681139999999999</v>
      </c>
      <c r="U2255">
        <v>5.776978E-2</v>
      </c>
      <c r="V2255">
        <v>-0.12679019999999999</v>
      </c>
      <c r="W2255">
        <v>0.1449532</v>
      </c>
      <c r="X2255">
        <v>0.98128119999999996</v>
      </c>
      <c r="Y2255">
        <v>-4.4344889999999998E-2</v>
      </c>
      <c r="Z2255">
        <v>-3.065178E-3</v>
      </c>
      <c r="AA2255">
        <v>0.9990116</v>
      </c>
      <c r="AB2255">
        <v>27</v>
      </c>
      <c r="AC2255">
        <v>-26.453700000000001</v>
      </c>
      <c r="AD2255">
        <v>-1.1088798638007999</v>
      </c>
      <c r="AE2255">
        <v>0.48799999999999899</v>
      </c>
      <c r="AF2255">
        <v>-1.1856327134817</v>
      </c>
      <c r="AG2255">
        <v>-1.1088798638007999</v>
      </c>
      <c r="AH2255">
        <v>26.385183303695801</v>
      </c>
      <c r="AI2255">
        <v>92.404108215643802</v>
      </c>
      <c r="AJ2255">
        <v>92.572886547316699</v>
      </c>
      <c r="AK2255">
        <v>26.435075892708301</v>
      </c>
      <c r="AL2255">
        <v>81.665430794962802</v>
      </c>
      <c r="AM2255">
        <v>97.362330527513606</v>
      </c>
      <c r="AN2255">
        <v>0.999999989239859</v>
      </c>
    </row>
    <row r="2256" spans="1:40" x14ac:dyDescent="0.25">
      <c r="A2256" t="str">
        <f>"20190304154805455"</f>
        <v>20190304154805455</v>
      </c>
      <c r="B2256" t="str">
        <f>"1551685685449351"</f>
        <v>1551685685449351</v>
      </c>
      <c r="C2256" t="s">
        <v>40</v>
      </c>
      <c r="D2256">
        <v>4.5648289999999996</v>
      </c>
      <c r="E2256">
        <v>0.52780439999999995</v>
      </c>
      <c r="F2256" t="s">
        <v>60</v>
      </c>
      <c r="G2256">
        <v>-241.73419999999999</v>
      </c>
      <c r="H2256" s="1">
        <v>-6.1391059999999998E-7</v>
      </c>
      <c r="I2256">
        <v>285.89499999999998</v>
      </c>
      <c r="J2256">
        <v>-215.10249999999999</v>
      </c>
      <c r="K2256">
        <v>1.109364</v>
      </c>
      <c r="L2256">
        <v>285.41640000000001</v>
      </c>
      <c r="M2256">
        <v>-0.99782559999999998</v>
      </c>
      <c r="N2256">
        <v>-1.164479E-2</v>
      </c>
      <c r="O2256">
        <v>6.4873459999999994E-2</v>
      </c>
      <c r="P2256">
        <v>-0.98883549999999998</v>
      </c>
      <c r="Q2256">
        <v>0.13312959999999999</v>
      </c>
      <c r="R2256">
        <v>-6.6943409999999995E-2</v>
      </c>
      <c r="S2256">
        <v>-3.0539860000000001</v>
      </c>
      <c r="T2256">
        <v>-0.1257836</v>
      </c>
      <c r="U2256">
        <v>5.6610109999999998E-2</v>
      </c>
      <c r="V2256">
        <v>-0.1305086</v>
      </c>
      <c r="W2256">
        <v>0.14496410000000001</v>
      </c>
      <c r="X2256">
        <v>0.980792</v>
      </c>
      <c r="Y2256">
        <v>-4.6293939999999999E-2</v>
      </c>
      <c r="Z2256">
        <v>-3.135653E-3</v>
      </c>
      <c r="AA2256">
        <v>0.99892289999999995</v>
      </c>
      <c r="AB2256">
        <v>27</v>
      </c>
      <c r="AC2256">
        <v>-26.631699999999899</v>
      </c>
      <c r="AD2256">
        <v>-1.1093646139105999</v>
      </c>
      <c r="AE2256">
        <v>0.47859999999997099</v>
      </c>
      <c r="AF2256">
        <v>-1.2480509760302501</v>
      </c>
      <c r="AG2256">
        <v>-1.1093646139105999</v>
      </c>
      <c r="AH2256">
        <v>26.560570053509601</v>
      </c>
      <c r="AI2256">
        <v>92.389069749844595</v>
      </c>
      <c r="AJ2256">
        <v>92.690284666298396</v>
      </c>
      <c r="AK2256">
        <v>26.613008147384502</v>
      </c>
      <c r="AL2256">
        <v>81.664799829731095</v>
      </c>
      <c r="AM2256">
        <v>97.579509036225602</v>
      </c>
      <c r="AN2256">
        <v>1.00000001611338</v>
      </c>
    </row>
    <row r="2257" spans="1:40" x14ac:dyDescent="0.25">
      <c r="A2257" t="str">
        <f>"20190304154805466"</f>
        <v>20190304154805466</v>
      </c>
      <c r="B2257" t="str">
        <f>"1551685685459113"</f>
        <v>1551685685459113</v>
      </c>
      <c r="C2257" t="s">
        <v>40</v>
      </c>
      <c r="D2257">
        <v>4.5286559999999998</v>
      </c>
      <c r="E2257">
        <v>0.52772949999999996</v>
      </c>
      <c r="F2257" t="s">
        <v>60</v>
      </c>
      <c r="G2257">
        <v>-242.01849999999999</v>
      </c>
      <c r="H2257" s="1">
        <v>-4.626538E-7</v>
      </c>
      <c r="I2257">
        <v>285.815</v>
      </c>
      <c r="J2257">
        <v>-215.25810000000001</v>
      </c>
      <c r="K2257">
        <v>1.1096079999999999</v>
      </c>
      <c r="L2257">
        <v>285.42720000000003</v>
      </c>
      <c r="M2257">
        <v>-0.99778730000000004</v>
      </c>
      <c r="N2257">
        <v>-1.162724E-2</v>
      </c>
      <c r="O2257">
        <v>6.5462999999999993E-2</v>
      </c>
      <c r="P2257">
        <v>-0.98875250000000003</v>
      </c>
      <c r="Q2257">
        <v>0.13321160000000001</v>
      </c>
      <c r="R2257">
        <v>-6.7993700000000004E-2</v>
      </c>
      <c r="S2257">
        <v>-3.0538479999999999</v>
      </c>
      <c r="T2257">
        <v>-0.12586700000000001</v>
      </c>
      <c r="U2257">
        <v>4.5227049999999998E-2</v>
      </c>
      <c r="V2257">
        <v>-0.13221459999999999</v>
      </c>
      <c r="W2257">
        <v>0.14495559999999999</v>
      </c>
      <c r="X2257">
        <v>0.98056469999999996</v>
      </c>
      <c r="Y2257">
        <v>-5.060017E-2</v>
      </c>
      <c r="Z2257">
        <v>-3.2702619999999999E-3</v>
      </c>
      <c r="AA2257">
        <v>0.99871359999999998</v>
      </c>
      <c r="AB2257">
        <v>27</v>
      </c>
      <c r="AC2257">
        <v>-26.760399999999901</v>
      </c>
      <c r="AD2257">
        <v>-1.1096084626538001</v>
      </c>
      <c r="AE2257">
        <v>0.38779999999997</v>
      </c>
      <c r="AF2257">
        <v>-1.3626240745647999</v>
      </c>
      <c r="AG2257">
        <v>-1.1096084626538001</v>
      </c>
      <c r="AH2257">
        <v>26.682513477954998</v>
      </c>
      <c r="AI2257">
        <v>92.3782120257858</v>
      </c>
      <c r="AJ2257">
        <v>92.923444407888496</v>
      </c>
      <c r="AK2257">
        <v>26.740316019266299</v>
      </c>
      <c r="AL2257">
        <v>81.665291728407894</v>
      </c>
      <c r="AM2257">
        <v>97.679172081015693</v>
      </c>
      <c r="AN2257">
        <v>0.99999997865530399</v>
      </c>
    </row>
    <row r="2258" spans="1:40" x14ac:dyDescent="0.25">
      <c r="A2258" t="str">
        <f>"20190304154805479"</f>
        <v>20190304154805479</v>
      </c>
      <c r="B2258" t="str">
        <f>"1551685685468871"</f>
        <v>1551685685468871</v>
      </c>
      <c r="C2258" t="s">
        <v>40</v>
      </c>
      <c r="D2258">
        <v>4.5476599999999996</v>
      </c>
      <c r="E2258">
        <v>0.52761689999999895</v>
      </c>
      <c r="F2258" t="s">
        <v>60</v>
      </c>
      <c r="G2258">
        <v>-242.29130000000001</v>
      </c>
      <c r="H2258" s="1">
        <v>-3.1746920000000001E-7</v>
      </c>
      <c r="I2258">
        <v>285.79410000000001</v>
      </c>
      <c r="J2258">
        <v>-215.39959999999999</v>
      </c>
      <c r="K2258">
        <v>1.109802</v>
      </c>
      <c r="L2258">
        <v>285.43700000000001</v>
      </c>
      <c r="M2258">
        <v>-0.9977608</v>
      </c>
      <c r="N2258">
        <v>-1.161249E-2</v>
      </c>
      <c r="O2258">
        <v>6.5868270000000007E-2</v>
      </c>
      <c r="P2258">
        <v>-0.9887203</v>
      </c>
      <c r="Q2258">
        <v>0.13294110000000001</v>
      </c>
      <c r="R2258">
        <v>-6.8985899999999906E-2</v>
      </c>
      <c r="S2258">
        <v>-3.0538639999999999</v>
      </c>
      <c r="T2258">
        <v>-0.12534899999999999</v>
      </c>
      <c r="U2258">
        <v>4.144287E-2</v>
      </c>
      <c r="V2258">
        <v>-0.13366889999999901</v>
      </c>
      <c r="W2258">
        <v>0.14461070000000001</v>
      </c>
      <c r="X2258">
        <v>0.98041849999999997</v>
      </c>
      <c r="Y2258">
        <v>-5.2241879999999997E-2</v>
      </c>
      <c r="Z2258">
        <v>-3.3106210000000001E-3</v>
      </c>
      <c r="AA2258">
        <v>0.99862899999999999</v>
      </c>
      <c r="AB2258">
        <v>27</v>
      </c>
      <c r="AC2258">
        <v>-26.8917</v>
      </c>
      <c r="AD2258">
        <v>-1.1098023174692</v>
      </c>
      <c r="AE2258">
        <v>0.35710000000000203</v>
      </c>
      <c r="AF2258">
        <v>-1.4126991010483301</v>
      </c>
      <c r="AG2258">
        <v>-1.1098023174692</v>
      </c>
      <c r="AH2258">
        <v>26.811159727900801</v>
      </c>
      <c r="AI2258">
        <v>92.367028329221398</v>
      </c>
      <c r="AJ2258">
        <v>93.016166220309202</v>
      </c>
      <c r="AK2258">
        <v>26.8712795729748</v>
      </c>
      <c r="AL2258">
        <v>81.685263926313795</v>
      </c>
      <c r="AM2258">
        <v>97.763758543167199</v>
      </c>
      <c r="AN2258">
        <v>1.00000003226197</v>
      </c>
    </row>
    <row r="2259" spans="1:40" x14ac:dyDescent="0.25">
      <c r="A2259" t="str">
        <f>"20190304154805492"</f>
        <v>20190304154805492</v>
      </c>
      <c r="B2259" t="str">
        <f>"1551685685489366"</f>
        <v>1551685685489366</v>
      </c>
      <c r="C2259" t="s">
        <v>40</v>
      </c>
      <c r="D2259">
        <v>4.4968500000000002</v>
      </c>
      <c r="E2259">
        <v>0.52749729999999995</v>
      </c>
      <c r="F2259" t="s">
        <v>60</v>
      </c>
      <c r="G2259">
        <v>-242.26689999999999</v>
      </c>
      <c r="H2259" s="1">
        <v>-3.3046260000000002E-7</v>
      </c>
      <c r="I2259">
        <v>285.76909999999998</v>
      </c>
      <c r="J2259">
        <v>-215.5522</v>
      </c>
      <c r="K2259">
        <v>1.1099950000000001</v>
      </c>
      <c r="L2259">
        <v>285.44749999999999</v>
      </c>
      <c r="M2259">
        <v>-0.99773699999999999</v>
      </c>
      <c r="N2259">
        <v>-1.159731E-2</v>
      </c>
      <c r="O2259">
        <v>6.622931E-2</v>
      </c>
      <c r="P2259">
        <v>-0.98862700000000003</v>
      </c>
      <c r="Q2259">
        <v>0.1329591</v>
      </c>
      <c r="R2259">
        <v>-7.0276809999999995E-2</v>
      </c>
      <c r="S2259">
        <v>-3.0538180000000001</v>
      </c>
      <c r="T2259">
        <v>-0.12614349999999999</v>
      </c>
      <c r="U2259">
        <v>3.7750239999999997E-2</v>
      </c>
      <c r="V2259">
        <v>-0.13537389999999999</v>
      </c>
      <c r="W2259">
        <v>0.14455119999999999</v>
      </c>
      <c r="X2259">
        <v>0.98019330000000005</v>
      </c>
      <c r="Y2259">
        <v>-5.3807260000000003E-2</v>
      </c>
      <c r="Z2259">
        <v>-3.3873140000000002E-3</v>
      </c>
      <c r="AA2259">
        <v>0.99854560000000003</v>
      </c>
      <c r="AB2259">
        <v>27</v>
      </c>
      <c r="AC2259">
        <v>-26.714700000000001</v>
      </c>
      <c r="AD2259">
        <v>-1.1099953304626</v>
      </c>
      <c r="AE2259">
        <v>0.32159999999998901</v>
      </c>
      <c r="AF2259">
        <v>-1.44602532855275</v>
      </c>
      <c r="AG2259">
        <v>-1.1099953304626</v>
      </c>
      <c r="AH2259">
        <v>26.6313690935518</v>
      </c>
      <c r="AI2259">
        <v>92.383199866938398</v>
      </c>
      <c r="AJ2259">
        <v>93.107984038392701</v>
      </c>
      <c r="AK2259">
        <v>26.693686494777101</v>
      </c>
      <c r="AL2259">
        <v>81.688709154039699</v>
      </c>
      <c r="AM2259">
        <v>97.863341363349505</v>
      </c>
      <c r="AN2259">
        <v>1.0000000237937601</v>
      </c>
    </row>
    <row r="2260" spans="1:40" x14ac:dyDescent="0.25">
      <c r="A2260" t="str">
        <f>"20190304154805509"</f>
        <v>20190304154805509</v>
      </c>
      <c r="B2260" t="str">
        <f>"1551685685499126"</f>
        <v>1551685685499126</v>
      </c>
      <c r="C2260" t="s">
        <v>40</v>
      </c>
      <c r="D2260">
        <v>4.5247890000000002</v>
      </c>
      <c r="E2260">
        <v>0.52745869999999995</v>
      </c>
      <c r="F2260" t="s">
        <v>60</v>
      </c>
      <c r="G2260">
        <v>-242.48179999999999</v>
      </c>
      <c r="H2260" s="1">
        <v>-2.1612799999999999E-7</v>
      </c>
      <c r="I2260">
        <v>285.73930000000001</v>
      </c>
      <c r="J2260">
        <v>-215.77539999999999</v>
      </c>
      <c r="K2260">
        <v>1.110241</v>
      </c>
      <c r="L2260">
        <v>285.46269999999998</v>
      </c>
      <c r="M2260">
        <v>-0.99772190000000005</v>
      </c>
      <c r="N2260">
        <v>-1.157716E-2</v>
      </c>
      <c r="O2260">
        <v>6.6461720000000002E-2</v>
      </c>
      <c r="P2260">
        <v>-0.98847079999999998</v>
      </c>
      <c r="Q2260">
        <v>0.1332382</v>
      </c>
      <c r="R2260">
        <v>-7.1924979999999999E-2</v>
      </c>
      <c r="S2260">
        <v>-3.0538020000000001</v>
      </c>
      <c r="T2260">
        <v>-0.12587309999999999</v>
      </c>
      <c r="U2260">
        <v>3.3081050000000001E-2</v>
      </c>
      <c r="V2260">
        <v>-0.13732279999999999</v>
      </c>
      <c r="W2260">
        <v>0.14472860000000001</v>
      </c>
      <c r="X2260">
        <v>0.97989590000000004</v>
      </c>
      <c r="Y2260">
        <v>-5.5564589999999997E-2</v>
      </c>
      <c r="Z2260">
        <v>-3.433204E-3</v>
      </c>
      <c r="AA2260">
        <v>0.99844920000000004</v>
      </c>
      <c r="AB2260">
        <v>27</v>
      </c>
      <c r="AC2260">
        <v>-26.706399999999999</v>
      </c>
      <c r="AD2260">
        <v>-1.110241216128</v>
      </c>
      <c r="AE2260">
        <v>0.27660000000002999</v>
      </c>
      <c r="AF2260">
        <v>-1.49649770159899</v>
      </c>
      <c r="AG2260">
        <v>-1.110241216128</v>
      </c>
      <c r="AH2260">
        <v>26.619727788339599</v>
      </c>
      <c r="AI2260">
        <v>92.384516518624395</v>
      </c>
      <c r="AJ2260">
        <v>93.2176454225268</v>
      </c>
      <c r="AK2260">
        <v>26.684865531873701</v>
      </c>
      <c r="AL2260">
        <v>81.678436219260803</v>
      </c>
      <c r="AM2260">
        <v>97.9774882686133</v>
      </c>
      <c r="AN2260">
        <v>0.99999994694730299</v>
      </c>
    </row>
    <row r="2261" spans="1:40" x14ac:dyDescent="0.25">
      <c r="A2261" t="str">
        <f>"20190304154805523"</f>
        <v>20190304154805523</v>
      </c>
      <c r="B2261" t="str">
        <f>"1551685685518647"</f>
        <v>1551685685518647</v>
      </c>
      <c r="C2261" t="s">
        <v>40</v>
      </c>
      <c r="D2261">
        <v>4.4937709999999997</v>
      </c>
      <c r="E2261">
        <v>0.52733739999999996</v>
      </c>
      <c r="F2261" t="s">
        <v>60</v>
      </c>
      <c r="G2261">
        <v>-242.86689999999999</v>
      </c>
      <c r="H2261" s="1">
        <v>-1.1153830000000001E-8</v>
      </c>
      <c r="I2261">
        <v>285.70370000000003</v>
      </c>
      <c r="J2261">
        <v>-215.93020000000001</v>
      </c>
      <c r="K2261">
        <v>1.110393</v>
      </c>
      <c r="L2261">
        <v>285.47309999999999</v>
      </c>
      <c r="M2261">
        <v>-0.99772240000000001</v>
      </c>
      <c r="N2261">
        <v>-1.1564690000000001E-2</v>
      </c>
      <c r="O2261">
        <v>6.6456539999999995E-2</v>
      </c>
      <c r="P2261">
        <v>-0.98836089999999999</v>
      </c>
      <c r="Q2261">
        <v>0.1335057</v>
      </c>
      <c r="R2261">
        <v>-7.2931190000000007E-2</v>
      </c>
      <c r="S2261">
        <v>-3.053833</v>
      </c>
      <c r="T2261">
        <v>-0.12514929999999999</v>
      </c>
      <c r="U2261">
        <v>2.716064E-2</v>
      </c>
      <c r="V2261">
        <v>-0.13836709999999999</v>
      </c>
      <c r="W2261">
        <v>0.14493200000000001</v>
      </c>
      <c r="X2261">
        <v>0.97971900000000001</v>
      </c>
      <c r="Y2261">
        <v>-5.7493879999999997E-2</v>
      </c>
      <c r="Z2261">
        <v>-3.461951E-3</v>
      </c>
      <c r="AA2261">
        <v>0.9983398</v>
      </c>
      <c r="AB2261">
        <v>27</v>
      </c>
      <c r="AC2261">
        <v>-26.936699999999899</v>
      </c>
      <c r="AD2261">
        <v>-1.11039301115383</v>
      </c>
      <c r="AE2261">
        <v>0.230600000000038</v>
      </c>
      <c r="AF2261">
        <v>-1.5575028331465399</v>
      </c>
      <c r="AG2261">
        <v>-1.11039301115383</v>
      </c>
      <c r="AH2261">
        <v>26.846852584986301</v>
      </c>
      <c r="AI2261">
        <v>92.364447763901893</v>
      </c>
      <c r="AJ2261">
        <v>93.320256065873494</v>
      </c>
      <c r="AK2261">
        <v>26.914908163218101</v>
      </c>
      <c r="AL2261">
        <v>81.666658762710099</v>
      </c>
      <c r="AM2261">
        <v>98.038797213705493</v>
      </c>
      <c r="AN2261">
        <v>1.0000000289737001</v>
      </c>
    </row>
    <row r="2262" spans="1:40" x14ac:dyDescent="0.25">
      <c r="A2262" t="str">
        <f>"20190304154805536"</f>
        <v>20190304154805536</v>
      </c>
      <c r="B2262" t="str">
        <f>"1551685685529383"</f>
        <v>1551685685529383</v>
      </c>
      <c r="C2262" t="s">
        <v>40</v>
      </c>
      <c r="D2262">
        <v>4.5109009999999996</v>
      </c>
      <c r="E2262">
        <v>0.52727749999999995</v>
      </c>
      <c r="F2262" t="s">
        <v>60</v>
      </c>
      <c r="G2262">
        <v>-243.239</v>
      </c>
      <c r="H2262" s="1">
        <v>1.8684320000000001E-7</v>
      </c>
      <c r="I2262">
        <v>285.6773</v>
      </c>
      <c r="J2262">
        <v>-216.0926</v>
      </c>
      <c r="K2262">
        <v>1.1105529999999999</v>
      </c>
      <c r="L2262">
        <v>285.48399999999998</v>
      </c>
      <c r="M2262">
        <v>-0.99772890000000003</v>
      </c>
      <c r="N2262">
        <v>-1.1552450000000001E-2</v>
      </c>
      <c r="O2262">
        <v>6.636185E-2</v>
      </c>
      <c r="P2262">
        <v>-0.98823989999999995</v>
      </c>
      <c r="Q2262">
        <v>0.13387289999999999</v>
      </c>
      <c r="R2262">
        <v>-7.3892180000000002E-2</v>
      </c>
      <c r="S2262">
        <v>-3.0537719999999999</v>
      </c>
      <c r="T2262">
        <v>-0.1241683</v>
      </c>
      <c r="U2262">
        <v>2.2827150000000001E-2</v>
      </c>
      <c r="V2262">
        <v>-0.13927879999999901</v>
      </c>
      <c r="W2262">
        <v>0.14523349999999999</v>
      </c>
      <c r="X2262">
        <v>0.97954509999999995</v>
      </c>
      <c r="Y2262">
        <v>-5.8815609999999997E-2</v>
      </c>
      <c r="Z2262">
        <v>-3.4637639999999998E-3</v>
      </c>
      <c r="AA2262">
        <v>0.99826289999999995</v>
      </c>
      <c r="AB2262">
        <v>27</v>
      </c>
      <c r="AC2262">
        <v>-27.1464</v>
      </c>
      <c r="AD2262">
        <v>-1.1105528131568001</v>
      </c>
      <c r="AE2262">
        <v>0.193299999999965</v>
      </c>
      <c r="AF2262">
        <v>-1.6060436783740399</v>
      </c>
      <c r="AG2262">
        <v>-1.1105528131568001</v>
      </c>
      <c r="AH2262">
        <v>27.0541040264362</v>
      </c>
      <c r="AI2262">
        <v>92.346507180097205</v>
      </c>
      <c r="AJ2262">
        <v>93.397327703281604</v>
      </c>
      <c r="AK2262">
        <v>27.124476926217099</v>
      </c>
      <c r="AL2262">
        <v>81.649198930564197</v>
      </c>
      <c r="AM2262">
        <v>98.092483061652999</v>
      </c>
      <c r="AN2262">
        <v>0.99999997829284903</v>
      </c>
    </row>
    <row r="2263" spans="1:40" x14ac:dyDescent="0.25">
      <c r="A2263" t="str">
        <f>"20190304154805554"</f>
        <v>20190304154805554</v>
      </c>
      <c r="B2263" t="str">
        <f>"1551685685549481"</f>
        <v>1551685685549481</v>
      </c>
      <c r="C2263" t="s">
        <v>40</v>
      </c>
      <c r="D2263">
        <v>4.5072640000000002</v>
      </c>
      <c r="E2263">
        <v>0.52714399999999995</v>
      </c>
      <c r="F2263" t="s">
        <v>60</v>
      </c>
      <c r="G2263">
        <v>-243.64400000000001</v>
      </c>
      <c r="H2263" s="1">
        <v>4.023744E-7</v>
      </c>
      <c r="I2263">
        <v>285.65940000000001</v>
      </c>
      <c r="J2263">
        <v>-216.31620000000001</v>
      </c>
      <c r="K2263">
        <v>1.1107590000000001</v>
      </c>
      <c r="L2263">
        <v>285.49869999999999</v>
      </c>
      <c r="M2263">
        <v>-0.99775159999999996</v>
      </c>
      <c r="N2263">
        <v>-1.1537800000000001E-2</v>
      </c>
      <c r="O2263">
        <v>6.6021220000000005E-2</v>
      </c>
      <c r="P2263">
        <v>-0.98808149999999995</v>
      </c>
      <c r="Q2263">
        <v>0.13378870000000001</v>
      </c>
      <c r="R2263">
        <v>-7.613114E-2</v>
      </c>
      <c r="S2263">
        <v>-3.0538180000000001</v>
      </c>
      <c r="T2263">
        <v>-0.12309440000000001</v>
      </c>
      <c r="U2263">
        <v>1.9439700000000001E-2</v>
      </c>
      <c r="V2263">
        <v>-0.14124010000000001</v>
      </c>
      <c r="W2263">
        <v>0.14506169999999999</v>
      </c>
      <c r="X2263">
        <v>0.97928970000000004</v>
      </c>
      <c r="Y2263">
        <v>-5.9583120000000003E-2</v>
      </c>
      <c r="Z2263">
        <v>-3.4407890000000001E-3</v>
      </c>
      <c r="AA2263">
        <v>0.99821740000000003</v>
      </c>
      <c r="AB2263">
        <v>27</v>
      </c>
      <c r="AC2263">
        <v>-27.3278</v>
      </c>
      <c r="AD2263">
        <v>-1.1107585976256</v>
      </c>
      <c r="AE2263">
        <v>0.16070000000001899</v>
      </c>
      <c r="AF2263">
        <v>-1.6412738803175999</v>
      </c>
      <c r="AG2263">
        <v>-1.1107585976256</v>
      </c>
      <c r="AH2263">
        <v>27.233788376225299</v>
      </c>
      <c r="AI2263">
        <v>92.331348691953394</v>
      </c>
      <c r="AJ2263">
        <v>93.448821138400504</v>
      </c>
      <c r="AK2263">
        <v>27.3058014702634</v>
      </c>
      <c r="AL2263">
        <v>81.659147797988993</v>
      </c>
      <c r="AM2263">
        <v>98.207009691361705</v>
      </c>
      <c r="AN2263">
        <v>0.99999998959049496</v>
      </c>
    </row>
    <row r="2264" spans="1:40" x14ac:dyDescent="0.25">
      <c r="A2264" t="str">
        <f>"20190304154805568"</f>
        <v>20190304154805568</v>
      </c>
      <c r="B2264" t="str">
        <f>"1551685685559242"</f>
        <v>1551685685559242</v>
      </c>
      <c r="C2264" t="s">
        <v>40</v>
      </c>
      <c r="D2264">
        <v>4.496664</v>
      </c>
      <c r="E2264">
        <v>0.52712079999999994</v>
      </c>
      <c r="F2264" t="s">
        <v>60</v>
      </c>
      <c r="G2264">
        <v>-243.80629999999999</v>
      </c>
      <c r="H2264" s="1">
        <v>4.8873530000000002E-7</v>
      </c>
      <c r="I2264">
        <v>285.60390000000001</v>
      </c>
      <c r="J2264">
        <v>-216.48150000000001</v>
      </c>
      <c r="K2264">
        <v>1.110911</v>
      </c>
      <c r="L2264">
        <v>285.50940000000003</v>
      </c>
      <c r="M2264">
        <v>-0.99777749999999998</v>
      </c>
      <c r="N2264">
        <v>-1.152895E-2</v>
      </c>
      <c r="O2264">
        <v>6.56307E-2</v>
      </c>
      <c r="P2264">
        <v>-0.98804769999999997</v>
      </c>
      <c r="Q2264">
        <v>0.1335007</v>
      </c>
      <c r="R2264">
        <v>-7.7070349999999996E-2</v>
      </c>
      <c r="S2264">
        <v>-3.0537869999999998</v>
      </c>
      <c r="T2264">
        <v>-0.12339070000000001</v>
      </c>
      <c r="U2264">
        <v>1.1688230000000001E-2</v>
      </c>
      <c r="V2264">
        <v>-0.14184369999999999</v>
      </c>
      <c r="W2264">
        <v>0.14471349999999999</v>
      </c>
      <c r="X2264">
        <v>0.97925399999999996</v>
      </c>
      <c r="Y2264">
        <v>-6.172337E-2</v>
      </c>
      <c r="Z2264">
        <v>-3.4948480000000001E-3</v>
      </c>
      <c r="AA2264">
        <v>0.99808719999999995</v>
      </c>
      <c r="AB2264">
        <v>27</v>
      </c>
      <c r="AC2264">
        <v>-27.3247999999999</v>
      </c>
      <c r="AD2264">
        <v>-1.1109105112647</v>
      </c>
      <c r="AE2264">
        <v>9.4499999999982195E-2</v>
      </c>
      <c r="AF2264">
        <v>-1.69636462516026</v>
      </c>
      <c r="AG2264">
        <v>-1.1109105112647</v>
      </c>
      <c r="AH2264">
        <v>27.2270790592057</v>
      </c>
      <c r="AI2264">
        <v>92.331951225918999</v>
      </c>
      <c r="AJ2264">
        <v>93.565166181539198</v>
      </c>
      <c r="AK2264">
        <v>27.3024835720447</v>
      </c>
      <c r="AL2264">
        <v>81.679311155875695</v>
      </c>
      <c r="AM2264">
        <v>98.241898488520206</v>
      </c>
      <c r="AN2264">
        <v>1.00000001441396</v>
      </c>
    </row>
    <row r="2265" spans="1:40" x14ac:dyDescent="0.25">
      <c r="A2265" t="str">
        <f>"20190304154805581"</f>
        <v>20190304154805581</v>
      </c>
      <c r="B2265" t="str">
        <f>"1551685685569002"</f>
        <v>1551685685569002</v>
      </c>
      <c r="C2265" t="s">
        <v>40</v>
      </c>
      <c r="D2265">
        <v>4.5056859999999999</v>
      </c>
      <c r="E2265">
        <v>0.52708849999999996</v>
      </c>
      <c r="F2265" t="s">
        <v>60</v>
      </c>
      <c r="G2265">
        <v>-243.8065</v>
      </c>
      <c r="H2265" s="1">
        <v>4.8883580000000004E-7</v>
      </c>
      <c r="I2265">
        <v>285.58670000000001</v>
      </c>
      <c r="J2265">
        <v>-216.6336</v>
      </c>
      <c r="K2265">
        <v>1.1110390000000001</v>
      </c>
      <c r="L2265">
        <v>285.51900000000001</v>
      </c>
      <c r="M2265">
        <v>-0.99780709999999995</v>
      </c>
      <c r="N2265">
        <v>-1.1522060000000001E-2</v>
      </c>
      <c r="O2265">
        <v>6.5180589999999997E-2</v>
      </c>
      <c r="P2265">
        <v>-0.98802979999999996</v>
      </c>
      <c r="Q2265">
        <v>0.13297129999999999</v>
      </c>
      <c r="R2265">
        <v>-7.8206399999999995E-2</v>
      </c>
      <c r="S2265">
        <v>-3.0537260000000002</v>
      </c>
      <c r="T2265">
        <v>-0.1241506</v>
      </c>
      <c r="U2265">
        <v>8.6364749999999994E-3</v>
      </c>
      <c r="V2265">
        <v>-0.1425787</v>
      </c>
      <c r="W2265">
        <v>0.14413129999999999</v>
      </c>
      <c r="X2265">
        <v>0.97923309999999997</v>
      </c>
      <c r="Y2265">
        <v>-6.2268900000000002E-2</v>
      </c>
      <c r="Z2265">
        <v>-3.5203389999999999E-3</v>
      </c>
      <c r="AA2265">
        <v>0.99805319999999997</v>
      </c>
      <c r="AB2265">
        <v>27</v>
      </c>
      <c r="AC2265">
        <v>-27.172899999999998</v>
      </c>
      <c r="AD2265">
        <v>-1.1110385111641901</v>
      </c>
      <c r="AE2265">
        <v>6.7700000000001995E-2</v>
      </c>
      <c r="AF2265">
        <v>-1.7008634737272099</v>
      </c>
      <c r="AG2265">
        <v>-1.1110385111641901</v>
      </c>
      <c r="AH2265">
        <v>27.074259089723299</v>
      </c>
      <c r="AI2265">
        <v>92.3452935105162</v>
      </c>
      <c r="AJ2265">
        <v>93.594720669976795</v>
      </c>
      <c r="AK2265">
        <v>27.150374737506201</v>
      </c>
      <c r="AL2265">
        <v>81.713021983139896</v>
      </c>
      <c r="AM2265">
        <v>98.284189177159405</v>
      </c>
      <c r="AN2265">
        <v>0.99999999073449397</v>
      </c>
    </row>
    <row r="2266" spans="1:40" x14ac:dyDescent="0.25">
      <c r="A2266" t="str">
        <f>"20190304154805601"</f>
        <v>20190304154805601</v>
      </c>
      <c r="B2266" t="str">
        <f>"1551685685589497"</f>
        <v>1551685685589497</v>
      </c>
      <c r="C2266" t="s">
        <v>40</v>
      </c>
      <c r="D2266">
        <v>4.5229350000000004</v>
      </c>
      <c r="E2266">
        <v>0.52705029999999997</v>
      </c>
      <c r="F2266" t="s">
        <v>60</v>
      </c>
      <c r="G2266">
        <v>-243.678</v>
      </c>
      <c r="H2266" s="1">
        <v>4.2048189999999997E-7</v>
      </c>
      <c r="I2266">
        <v>285.56420000000003</v>
      </c>
      <c r="J2266">
        <v>-216.88050000000001</v>
      </c>
      <c r="K2266">
        <v>1.11124</v>
      </c>
      <c r="L2266">
        <v>285.53440000000001</v>
      </c>
      <c r="M2266">
        <v>-0.99786419999999998</v>
      </c>
      <c r="N2266">
        <v>-1.151256E-2</v>
      </c>
      <c r="O2266">
        <v>6.429965E-2</v>
      </c>
      <c r="P2266">
        <v>-0.98792930000000001</v>
      </c>
      <c r="Q2266">
        <v>0.1326476</v>
      </c>
      <c r="R2266">
        <v>-8.0003619999999998E-2</v>
      </c>
      <c r="S2266">
        <v>-3.0536500000000002</v>
      </c>
      <c r="T2266">
        <v>-0.12545000000000001</v>
      </c>
      <c r="U2266">
        <v>5.0964360000000002E-3</v>
      </c>
      <c r="V2266">
        <v>-0.14357010000000001</v>
      </c>
      <c r="W2266">
        <v>0.14372499999999999</v>
      </c>
      <c r="X2266">
        <v>0.97914800000000002</v>
      </c>
      <c r="Y2266">
        <v>-6.2542739999999999E-2</v>
      </c>
      <c r="Z2266">
        <v>-3.5429599999999999E-3</v>
      </c>
      <c r="AA2266">
        <v>0.99803600000000003</v>
      </c>
      <c r="AB2266">
        <v>27</v>
      </c>
      <c r="AC2266">
        <v>-26.7974999999999</v>
      </c>
      <c r="AD2266">
        <v>-1.1112395795181</v>
      </c>
      <c r="AE2266">
        <v>2.9800000000022898E-2</v>
      </c>
      <c r="AF2266">
        <v>-1.6905387484080601</v>
      </c>
      <c r="AG2266">
        <v>-1.1112395795181</v>
      </c>
      <c r="AH2266">
        <v>26.698045284150599</v>
      </c>
      <c r="AI2266">
        <v>92.378659882372304</v>
      </c>
      <c r="AJ2266">
        <v>93.623171291925004</v>
      </c>
      <c r="AK2266">
        <v>26.774584901684602</v>
      </c>
      <c r="AL2266">
        <v>81.736546496012807</v>
      </c>
      <c r="AM2266">
        <v>98.341699132904694</v>
      </c>
      <c r="AN2266">
        <v>1.0000000275715</v>
      </c>
    </row>
    <row r="2267" spans="1:40" x14ac:dyDescent="0.25">
      <c r="A2267" t="str">
        <f>"20190304154805622"</f>
        <v>20190304154805622</v>
      </c>
      <c r="B2267" t="str">
        <f>"1551685685618777"</f>
        <v>1551685685618777</v>
      </c>
      <c r="C2267" t="s">
        <v>40</v>
      </c>
      <c r="D2267">
        <v>4.4972500000000002</v>
      </c>
      <c r="E2267">
        <v>0.52692649999999996</v>
      </c>
      <c r="F2267" t="s">
        <v>60</v>
      </c>
      <c r="G2267">
        <v>-243.78120000000001</v>
      </c>
      <c r="H2267" s="1">
        <v>4.7537829999999999E-7</v>
      </c>
      <c r="I2267">
        <v>285.53269999999998</v>
      </c>
      <c r="J2267">
        <v>-217.1473</v>
      </c>
      <c r="K2267">
        <v>1.111448</v>
      </c>
      <c r="L2267">
        <v>285.55040000000002</v>
      </c>
      <c r="M2267">
        <v>-0.99793960000000004</v>
      </c>
      <c r="N2267">
        <v>-1.1504439999999999E-2</v>
      </c>
      <c r="O2267">
        <v>6.3120999999999997E-2</v>
      </c>
      <c r="P2267">
        <v>-0.98777590000000004</v>
      </c>
      <c r="Q2267">
        <v>0.13267029999999999</v>
      </c>
      <c r="R2267">
        <v>-8.1838220000000003E-2</v>
      </c>
      <c r="S2267">
        <v>-3.0535739999999998</v>
      </c>
      <c r="T2267">
        <v>-0.1261399</v>
      </c>
      <c r="U2267">
        <v>-1.8310550000000001E-4</v>
      </c>
      <c r="V2267">
        <v>-0.14430580000000001</v>
      </c>
      <c r="W2267">
        <v>0.1436655</v>
      </c>
      <c r="X2267">
        <v>0.97904860000000005</v>
      </c>
      <c r="Y2267">
        <v>-6.3088270000000002E-2</v>
      </c>
      <c r="Z2267">
        <v>-3.5443219999999999E-3</v>
      </c>
      <c r="AA2267">
        <v>0.99800160000000004</v>
      </c>
      <c r="AB2267">
        <v>27</v>
      </c>
      <c r="AC2267">
        <v>-26.633900000000001</v>
      </c>
      <c r="AD2267">
        <v>-1.1114475246216999</v>
      </c>
      <c r="AE2267">
        <v>-1.7700000000047501E-2</v>
      </c>
      <c r="AF2267">
        <v>-1.6959808692315601</v>
      </c>
      <c r="AG2267">
        <v>-1.1114475246216999</v>
      </c>
      <c r="AH2267">
        <v>26.533458103274601</v>
      </c>
      <c r="AI2267">
        <v>92.393754389040197</v>
      </c>
      <c r="AJ2267">
        <v>93.657289354257998</v>
      </c>
      <c r="AK2267">
        <v>26.610826098169401</v>
      </c>
      <c r="AL2267">
        <v>81.739991536065205</v>
      </c>
      <c r="AM2267">
        <v>98.384677771894104</v>
      </c>
      <c r="AN2267">
        <v>1.0000000504829201</v>
      </c>
    </row>
    <row r="2268" spans="1:40" x14ac:dyDescent="0.25">
      <c r="A2268" t="str">
        <f>"20190304154805643"</f>
        <v>20190304154805643</v>
      </c>
      <c r="B2268" t="str">
        <f>"1551685685639105"</f>
        <v>1551685685639105</v>
      </c>
      <c r="C2268" t="s">
        <v>40</v>
      </c>
      <c r="D2268">
        <v>4.4790469999999996</v>
      </c>
      <c r="E2268">
        <v>0.52678809999999998</v>
      </c>
      <c r="F2268" t="s">
        <v>60</v>
      </c>
      <c r="G2268">
        <v>-244.11879999999999</v>
      </c>
      <c r="H2268" s="1">
        <v>6.5504289999999995E-7</v>
      </c>
      <c r="I2268">
        <v>285.49509999999998</v>
      </c>
      <c r="J2268">
        <v>-217.39949999999999</v>
      </c>
      <c r="K2268">
        <v>1.1116269999999999</v>
      </c>
      <c r="L2268">
        <v>285.565</v>
      </c>
      <c r="M2268">
        <v>-0.99802170000000001</v>
      </c>
      <c r="N2268">
        <v>-1.1498670000000001E-2</v>
      </c>
      <c r="O2268">
        <v>6.1810999999999998E-2</v>
      </c>
      <c r="P2268">
        <v>-0.9875022</v>
      </c>
      <c r="Q2268">
        <v>0.13319510000000001</v>
      </c>
      <c r="R2268">
        <v>-8.4253880000000003E-2</v>
      </c>
      <c r="S2268">
        <v>-3.0534970000000001</v>
      </c>
      <c r="T2268">
        <v>-0.1258291</v>
      </c>
      <c r="U2268">
        <v>-6.2561040000000002E-3</v>
      </c>
      <c r="V2268">
        <v>-0.1454753</v>
      </c>
      <c r="W2268">
        <v>0.1441171</v>
      </c>
      <c r="X2268">
        <v>0.97880909999999999</v>
      </c>
      <c r="Y2268">
        <v>-6.3763440000000005E-2</v>
      </c>
      <c r="Z2268">
        <v>-3.5140179999999998E-3</v>
      </c>
      <c r="AA2268">
        <v>0.99795880000000003</v>
      </c>
      <c r="AB2268">
        <v>27</v>
      </c>
      <c r="AC2268">
        <v>-26.7193</v>
      </c>
      <c r="AD2268">
        <v>-1.1116263449571</v>
      </c>
      <c r="AE2268">
        <v>-6.9900000000018198E-2</v>
      </c>
      <c r="AF2268">
        <v>-1.7184476512081099</v>
      </c>
      <c r="AG2268">
        <v>-1.1116263449571</v>
      </c>
      <c r="AH2268">
        <v>26.617809671528299</v>
      </c>
      <c r="AI2268">
        <v>92.386463026637003</v>
      </c>
      <c r="AJ2268">
        <v>93.693893166089097</v>
      </c>
      <c r="AK2268">
        <v>26.696377416616901</v>
      </c>
      <c r="AL2268">
        <v>81.7138444767034</v>
      </c>
      <c r="AM2268">
        <v>98.453690400845502</v>
      </c>
      <c r="AN2268">
        <v>1.00000002783265</v>
      </c>
    </row>
    <row r="2269" spans="1:40" x14ac:dyDescent="0.25">
      <c r="A2269" t="str">
        <f>"20190304154805656"</f>
        <v>20190304154805656</v>
      </c>
      <c r="B2269" t="str">
        <f>"1551685685648865"</f>
        <v>1551685685648865</v>
      </c>
      <c r="C2269" t="s">
        <v>40</v>
      </c>
      <c r="D2269">
        <v>4.5035210000000001</v>
      </c>
      <c r="E2269">
        <v>0.52675559999999999</v>
      </c>
      <c r="F2269" t="s">
        <v>60</v>
      </c>
      <c r="G2269">
        <v>-244.79150000000001</v>
      </c>
      <c r="H2269" s="1">
        <v>1.012983E-6</v>
      </c>
      <c r="I2269">
        <v>285.44099999999997</v>
      </c>
      <c r="J2269">
        <v>-217.5547</v>
      </c>
      <c r="K2269">
        <v>1.111726</v>
      </c>
      <c r="L2269">
        <v>285.57380000000001</v>
      </c>
      <c r="M2269">
        <v>-0.99807639999999997</v>
      </c>
      <c r="N2269">
        <v>-1.149586E-2</v>
      </c>
      <c r="O2269">
        <v>6.0921530000000002E-2</v>
      </c>
      <c r="P2269">
        <v>-0.98732920000000002</v>
      </c>
      <c r="Q2269">
        <v>0.1337661</v>
      </c>
      <c r="R2269">
        <v>-8.5369390000000003E-2</v>
      </c>
      <c r="S2269">
        <v>-3.0534970000000001</v>
      </c>
      <c r="T2269">
        <v>-0.1239176</v>
      </c>
      <c r="U2269">
        <v>-1.382446E-2</v>
      </c>
      <c r="V2269">
        <v>-0.14574010000000001</v>
      </c>
      <c r="W2269">
        <v>0.1446489</v>
      </c>
      <c r="X2269">
        <v>0.97869119999999998</v>
      </c>
      <c r="Y2269">
        <v>-6.5349149999999995E-2</v>
      </c>
      <c r="Z2269">
        <v>-3.4710629999999999E-3</v>
      </c>
      <c r="AA2269">
        <v>0.99785639999999998</v>
      </c>
      <c r="AB2269">
        <v>27</v>
      </c>
      <c r="AC2269">
        <v>-27.236799999999999</v>
      </c>
      <c r="AD2269">
        <v>-1.1117249870170001</v>
      </c>
      <c r="AE2269">
        <v>-0.132800000000031</v>
      </c>
      <c r="AF2269">
        <v>-1.7889899697512699</v>
      </c>
      <c r="AG2269">
        <v>-1.1117249870170001</v>
      </c>
      <c r="AH2269">
        <v>27.1329084974859</v>
      </c>
      <c r="AI2269">
        <v>92.341207342651202</v>
      </c>
      <c r="AJ2269">
        <v>93.772298310054197</v>
      </c>
      <c r="AK2269">
        <v>27.2145391489838</v>
      </c>
      <c r="AL2269">
        <v>81.6830514742784</v>
      </c>
      <c r="AM2269">
        <v>98.469860620375002</v>
      </c>
      <c r="AN2269">
        <v>0.99999997298832899</v>
      </c>
    </row>
    <row r="2270" spans="1:40" x14ac:dyDescent="0.25">
      <c r="A2270" t="str">
        <f>"20190304154805669"</f>
        <v>20190304154805669</v>
      </c>
      <c r="B2270" t="str">
        <f>"1551685685658625"</f>
        <v>1551685685658625</v>
      </c>
      <c r="C2270" t="s">
        <v>40</v>
      </c>
      <c r="D2270">
        <v>4.5035119999999997</v>
      </c>
      <c r="E2270">
        <v>0.52673910000000002</v>
      </c>
      <c r="F2270" t="s">
        <v>60</v>
      </c>
      <c r="G2270">
        <v>-245.31020000000001</v>
      </c>
      <c r="H2270" s="1">
        <v>1.2890399999999999E-6</v>
      </c>
      <c r="I2270">
        <v>285.416</v>
      </c>
      <c r="J2270">
        <v>-217.7218</v>
      </c>
      <c r="K2270">
        <v>1.111826</v>
      </c>
      <c r="L2270">
        <v>285.5829</v>
      </c>
      <c r="M2270">
        <v>-0.99813850000000004</v>
      </c>
      <c r="N2270">
        <v>-1.1493349999999999E-2</v>
      </c>
      <c r="O2270">
        <v>5.9896039999999998E-2</v>
      </c>
      <c r="P2270">
        <v>-0.98716999999999999</v>
      </c>
      <c r="Q2270">
        <v>0.13418429999999901</v>
      </c>
      <c r="R2270">
        <v>-8.6545730000000001E-2</v>
      </c>
      <c r="S2270">
        <v>-3.0535739999999998</v>
      </c>
      <c r="T2270">
        <v>-0.1223085</v>
      </c>
      <c r="U2270">
        <v>-1.7364500000000001E-2</v>
      </c>
      <c r="V2270">
        <v>-0.14593310000000001</v>
      </c>
      <c r="W2270">
        <v>0.1450292</v>
      </c>
      <c r="X2270">
        <v>0.97860619999999998</v>
      </c>
      <c r="Y2270">
        <v>-6.5483379999999994E-2</v>
      </c>
      <c r="Z2270">
        <v>-3.3960539999999999E-3</v>
      </c>
      <c r="AA2270">
        <v>0.99784790000000001</v>
      </c>
      <c r="AB2270">
        <v>27</v>
      </c>
      <c r="AC2270">
        <v>-27.5884</v>
      </c>
      <c r="AD2270">
        <v>-1.1118247109599999</v>
      </c>
      <c r="AE2270">
        <v>-0.16689999999999799</v>
      </c>
      <c r="AF2270">
        <v>-1.8161956704573401</v>
      </c>
      <c r="AG2270">
        <v>-1.1118247109599999</v>
      </c>
      <c r="AH2270">
        <v>27.484228292858798</v>
      </c>
      <c r="AI2270">
        <v>92.311498089231094</v>
      </c>
      <c r="AJ2270">
        <v>93.780687336299394</v>
      </c>
      <c r="AK2270">
        <v>27.566601635951901</v>
      </c>
      <c r="AL2270">
        <v>81.661030040029601</v>
      </c>
      <c r="AM2270">
        <v>98.481639957881598</v>
      </c>
      <c r="AN2270">
        <v>1.00000001660334</v>
      </c>
    </row>
    <row r="2271" spans="1:40" x14ac:dyDescent="0.25">
      <c r="A2271" t="str">
        <f>"20190304154805689"</f>
        <v>20190304154805689</v>
      </c>
      <c r="B2271" t="str">
        <f>"1551685685679121"</f>
        <v>1551685685679121</v>
      </c>
      <c r="C2271" t="s">
        <v>40</v>
      </c>
      <c r="D2271">
        <v>4.5215009999999998</v>
      </c>
      <c r="E2271">
        <v>0.52673510000000001</v>
      </c>
      <c r="F2271" t="s">
        <v>60</v>
      </c>
      <c r="G2271">
        <v>-245.75479999999999</v>
      </c>
      <c r="H2271" s="1">
        <v>1.5256400000000001E-6</v>
      </c>
      <c r="I2271">
        <v>285.38909999999998</v>
      </c>
      <c r="J2271">
        <v>-217.95910000000001</v>
      </c>
      <c r="K2271">
        <v>1.1119460000000001</v>
      </c>
      <c r="L2271">
        <v>285.59550000000002</v>
      </c>
      <c r="M2271">
        <v>-0.99823220000000001</v>
      </c>
      <c r="N2271">
        <v>-1.149088E-2</v>
      </c>
      <c r="O2271">
        <v>5.8314049999999999E-2</v>
      </c>
      <c r="P2271">
        <v>-0.98696229999999996</v>
      </c>
      <c r="Q2271">
        <v>0.13434949999999901</v>
      </c>
      <c r="R2271">
        <v>-8.8635350000000002E-2</v>
      </c>
      <c r="S2271">
        <v>-3.0535890000000001</v>
      </c>
      <c r="T2271">
        <v>-0.1211091</v>
      </c>
      <c r="U2271">
        <v>-2.111816E-2</v>
      </c>
      <c r="V2271">
        <v>-0.1464956</v>
      </c>
      <c r="W2271">
        <v>0.1451471</v>
      </c>
      <c r="X2271">
        <v>0.97850470000000001</v>
      </c>
      <c r="Y2271">
        <v>-6.513128E-2</v>
      </c>
      <c r="Z2271">
        <v>-3.3063300000000001E-3</v>
      </c>
      <c r="AA2271">
        <v>0.99787119999999996</v>
      </c>
      <c r="AB2271">
        <v>27</v>
      </c>
      <c r="AC2271">
        <v>-27.795699999999901</v>
      </c>
      <c r="AD2271">
        <v>-1.11194447435999</v>
      </c>
      <c r="AE2271">
        <v>-0.20640000000003</v>
      </c>
      <c r="AF2271">
        <v>-1.8241164681464099</v>
      </c>
      <c r="AG2271">
        <v>-1.11194447435999</v>
      </c>
      <c r="AH2271">
        <v>27.692042550661299</v>
      </c>
      <c r="AI2271">
        <v>92.294448571058894</v>
      </c>
      <c r="AJ2271">
        <v>93.768714527139295</v>
      </c>
      <c r="AK2271">
        <v>27.774323430662701</v>
      </c>
      <c r="AL2271">
        <v>81.654202861109596</v>
      </c>
      <c r="AM2271">
        <v>98.514724460399194</v>
      </c>
      <c r="AN2271">
        <v>1.00000004468992</v>
      </c>
    </row>
    <row r="2272" spans="1:40" x14ac:dyDescent="0.25">
      <c r="A2272" t="str">
        <f>"20190304154805702"</f>
        <v>20190304154805702</v>
      </c>
      <c r="B2272" t="str">
        <f>"1551685685698642"</f>
        <v>1551685685698642</v>
      </c>
      <c r="C2272" t="s">
        <v>40</v>
      </c>
      <c r="D2272">
        <v>4.5023260000000001</v>
      </c>
      <c r="E2272">
        <v>0.52669650000000001</v>
      </c>
      <c r="F2272" t="s">
        <v>60</v>
      </c>
      <c r="G2272">
        <v>-246.11349999999999</v>
      </c>
      <c r="H2272" s="1">
        <v>1.7164899999999999E-6</v>
      </c>
      <c r="I2272">
        <v>285.34280000000001</v>
      </c>
      <c r="J2272">
        <v>-218.1148</v>
      </c>
      <c r="K2272">
        <v>1.1120139999999901</v>
      </c>
      <c r="L2272">
        <v>285.60340000000002</v>
      </c>
      <c r="M2272">
        <v>-0.99829650000000003</v>
      </c>
      <c r="N2272">
        <v>-1.148977E-2</v>
      </c>
      <c r="O2272">
        <v>5.7201450000000001E-2</v>
      </c>
      <c r="P2272">
        <v>-0.98685330000000004</v>
      </c>
      <c r="Q2272">
        <v>0.13427800000000001</v>
      </c>
      <c r="R2272">
        <v>-8.9944389999999999E-2</v>
      </c>
      <c r="S2272">
        <v>-3.053604</v>
      </c>
      <c r="T2272">
        <v>-0.12060070000000001</v>
      </c>
      <c r="U2272">
        <v>-2.7404789999999998E-2</v>
      </c>
      <c r="V2272">
        <v>-0.1467272</v>
      </c>
      <c r="W2272">
        <v>0.1450494</v>
      </c>
      <c r="X2272">
        <v>0.97848449999999998</v>
      </c>
      <c r="Y2272">
        <v>-6.6073549999999995E-2</v>
      </c>
      <c r="Z2272">
        <v>-3.284187E-3</v>
      </c>
      <c r="AA2272">
        <v>0.99780939999999996</v>
      </c>
      <c r="AB2272">
        <v>27</v>
      </c>
      <c r="AC2272">
        <v>-27.9986999999999</v>
      </c>
      <c r="AD2272">
        <v>-1.1120122835099999</v>
      </c>
      <c r="AE2272">
        <v>-0.26060000000000999</v>
      </c>
      <c r="AF2272">
        <v>-1.8589132711182801</v>
      </c>
      <c r="AG2272">
        <v>-1.1120122835099999</v>
      </c>
      <c r="AH2272">
        <v>27.893946508149199</v>
      </c>
      <c r="AI2272">
        <v>92.277881363970707</v>
      </c>
      <c r="AJ2272">
        <v>93.812677785296401</v>
      </c>
      <c r="AK2272">
        <v>27.9779266863667</v>
      </c>
      <c r="AL2272">
        <v>81.659860645704995</v>
      </c>
      <c r="AM2272">
        <v>98.528161369777393</v>
      </c>
      <c r="AN2272">
        <v>1.00000005820022</v>
      </c>
    </row>
    <row r="2273" spans="1:40" x14ac:dyDescent="0.25">
      <c r="A2273" t="str">
        <f>"20190304154805722"</f>
        <v>20190304154805722</v>
      </c>
      <c r="B2273" t="str">
        <f>"1551685685719137"</f>
        <v>1551685685719137</v>
      </c>
      <c r="C2273" t="s">
        <v>40</v>
      </c>
      <c r="D2273">
        <v>4.5263949999999999</v>
      </c>
      <c r="E2273">
        <v>0.52669379999999999</v>
      </c>
      <c r="F2273" t="s">
        <v>60</v>
      </c>
      <c r="G2273">
        <v>-246.1575</v>
      </c>
      <c r="H2273" s="1">
        <v>1.7399019999999999E-6</v>
      </c>
      <c r="I2273">
        <v>285.31529999999998</v>
      </c>
      <c r="J2273">
        <v>-218.3526</v>
      </c>
      <c r="K2273">
        <v>1.112106</v>
      </c>
      <c r="L2273">
        <v>285.61509999999998</v>
      </c>
      <c r="M2273">
        <v>-0.99839650000000002</v>
      </c>
      <c r="N2273">
        <v>-1.1488490000000001E-2</v>
      </c>
      <c r="O2273">
        <v>5.5429550000000001E-2</v>
      </c>
      <c r="P2273">
        <v>-0.98656710000000003</v>
      </c>
      <c r="Q2273">
        <v>0.1344629</v>
      </c>
      <c r="R2273">
        <v>-9.2764750000000007E-2</v>
      </c>
      <c r="S2273">
        <v>-3.0535890000000001</v>
      </c>
      <c r="T2273">
        <v>-0.121088</v>
      </c>
      <c r="U2273">
        <v>-3.1372070000000002E-2</v>
      </c>
      <c r="V2273">
        <v>-0.14782039999999999</v>
      </c>
      <c r="W2273">
        <v>0.14519379999999901</v>
      </c>
      <c r="X2273">
        <v>0.97829849999999996</v>
      </c>
      <c r="Y2273">
        <v>-6.5599340000000006E-2</v>
      </c>
      <c r="Z2273">
        <v>-3.2367189999999999E-3</v>
      </c>
      <c r="AA2273">
        <v>0.99784079999999997</v>
      </c>
      <c r="AB2273">
        <v>27</v>
      </c>
      <c r="AC2273">
        <v>-27.8049</v>
      </c>
      <c r="AD2273">
        <v>-1.112104260098</v>
      </c>
      <c r="AE2273">
        <v>-0.29980000000000401</v>
      </c>
      <c r="AF2273">
        <v>-1.8377143307900601</v>
      </c>
      <c r="AG2273">
        <v>-1.112104260098</v>
      </c>
      <c r="AH2273">
        <v>27.701218755508101</v>
      </c>
      <c r="AI2273">
        <v>92.293947836615999</v>
      </c>
      <c r="AJ2273">
        <v>93.795472501288202</v>
      </c>
      <c r="AK2273">
        <v>27.784374932458501</v>
      </c>
      <c r="AL2273">
        <v>81.651498398952896</v>
      </c>
      <c r="AM2273">
        <v>98.592365311086695</v>
      </c>
      <c r="AN2273">
        <v>1.00000003265842</v>
      </c>
    </row>
    <row r="2274" spans="1:40" x14ac:dyDescent="0.25">
      <c r="A2274" t="str">
        <f>"20190304154805735"</f>
        <v>20190304154805735</v>
      </c>
      <c r="B2274" t="str">
        <f>"1551685685728897"</f>
        <v>1551685685728897</v>
      </c>
      <c r="C2274" t="s">
        <v>40</v>
      </c>
      <c r="D2274">
        <v>4.52691</v>
      </c>
      <c r="E2274">
        <v>0.52667200000000003</v>
      </c>
      <c r="F2274" t="s">
        <v>60</v>
      </c>
      <c r="G2274">
        <v>-246.63130000000001</v>
      </c>
      <c r="H2274" s="1">
        <v>1.9920780000000002E-6</v>
      </c>
      <c r="I2274">
        <v>285.25229999999999</v>
      </c>
      <c r="J2274">
        <v>-218.51220000000001</v>
      </c>
      <c r="K2274">
        <v>1.112161</v>
      </c>
      <c r="L2274">
        <v>285.62270000000001</v>
      </c>
      <c r="M2274">
        <v>-0.99846440000000003</v>
      </c>
      <c r="N2274">
        <v>-1.1487900000000001E-2</v>
      </c>
      <c r="O2274">
        <v>5.4194800000000001E-2</v>
      </c>
      <c r="P2274">
        <v>-0.98645329999999998</v>
      </c>
      <c r="Q2274">
        <v>0.1342467</v>
      </c>
      <c r="R2274">
        <v>-9.427402E-2</v>
      </c>
      <c r="S2274">
        <v>-3.0535130000000001</v>
      </c>
      <c r="T2274">
        <v>-0.1200842</v>
      </c>
      <c r="U2274">
        <v>-3.9184570000000002E-2</v>
      </c>
      <c r="V2274">
        <v>-0.14812790000000001</v>
      </c>
      <c r="W2274">
        <v>0.144957</v>
      </c>
      <c r="X2274">
        <v>0.97828709999999997</v>
      </c>
      <c r="Y2274">
        <v>-6.6918809999999995E-2</v>
      </c>
      <c r="Z2274">
        <v>-3.207082E-3</v>
      </c>
      <c r="AA2274">
        <v>0.99775329999999995</v>
      </c>
      <c r="AB2274">
        <v>27</v>
      </c>
      <c r="AC2274">
        <v>-28.1191</v>
      </c>
      <c r="AD2274">
        <v>-1.1121590079220001</v>
      </c>
      <c r="AE2274">
        <v>-0.37040000000001699</v>
      </c>
      <c r="AF2274">
        <v>-1.8909074840921101</v>
      </c>
      <c r="AG2274">
        <v>-1.1121590079220001</v>
      </c>
      <c r="AH2274">
        <v>28.013879528451799</v>
      </c>
      <c r="AI2274">
        <v>92.268308830713593</v>
      </c>
      <c r="AJ2274">
        <v>93.861547584053397</v>
      </c>
      <c r="AK2274">
        <v>28.099641901755799</v>
      </c>
      <c r="AL2274">
        <v>81.665211074918105</v>
      </c>
      <c r="AM2274">
        <v>98.610070609168005</v>
      </c>
      <c r="AN2274">
        <v>1.0000000283168999</v>
      </c>
    </row>
    <row r="2275" spans="1:40" x14ac:dyDescent="0.25">
      <c r="A2275" t="str">
        <f>"20190304154805746"</f>
        <v>20190304154805746</v>
      </c>
      <c r="B2275" t="str">
        <f>"1551685685739136"</f>
        <v>1551685685739136</v>
      </c>
      <c r="C2275" t="s">
        <v>40</v>
      </c>
      <c r="D2275">
        <v>4.4989460000000001</v>
      </c>
      <c r="E2275">
        <v>0.52665930000000005</v>
      </c>
      <c r="F2275" t="s">
        <v>60</v>
      </c>
      <c r="G2275">
        <v>-246.59559999999999</v>
      </c>
      <c r="H2275" s="1">
        <v>1.9730730000000001E-6</v>
      </c>
      <c r="I2275">
        <v>285.21910000000003</v>
      </c>
      <c r="J2275">
        <v>-218.6713</v>
      </c>
      <c r="K2275">
        <v>1.112206</v>
      </c>
      <c r="L2275">
        <v>285.63010000000003</v>
      </c>
      <c r="M2275">
        <v>-0.99853250000000005</v>
      </c>
      <c r="N2275">
        <v>-1.148763E-2</v>
      </c>
      <c r="O2275">
        <v>5.2925729999999997E-2</v>
      </c>
      <c r="P2275">
        <v>-0.98636740000000001</v>
      </c>
      <c r="Q2275">
        <v>0.133773</v>
      </c>
      <c r="R2275">
        <v>-9.5836309999999994E-2</v>
      </c>
      <c r="S2275">
        <v>-3.0534669999999999</v>
      </c>
      <c r="T2275">
        <v>-0.1209234</v>
      </c>
      <c r="U2275">
        <v>-4.3884279999999998E-2</v>
      </c>
      <c r="V2275">
        <v>-0.14845269999999999</v>
      </c>
      <c r="W2275">
        <v>0.14446539999999999</v>
      </c>
      <c r="X2275">
        <v>0.97831060000000003</v>
      </c>
      <c r="Y2275">
        <v>-6.7185259999999997E-2</v>
      </c>
      <c r="Z2275">
        <v>-3.202407E-3</v>
      </c>
      <c r="AA2275">
        <v>0.99773540000000005</v>
      </c>
      <c r="AB2275">
        <v>27</v>
      </c>
      <c r="AC2275">
        <v>-27.924299999999899</v>
      </c>
      <c r="AD2275">
        <v>-1.1122040269269999</v>
      </c>
      <c r="AE2275">
        <v>-0.41100000000000098</v>
      </c>
      <c r="AF2275">
        <v>-1.88544482582674</v>
      </c>
      <c r="AG2275">
        <v>-1.1122040269269999</v>
      </c>
      <c r="AH2275">
        <v>27.819281568964001</v>
      </c>
      <c r="AI2275">
        <v>92.284209064016295</v>
      </c>
      <c r="AJ2275">
        <v>93.877277679395107</v>
      </c>
      <c r="AK2275">
        <v>27.9052741789442</v>
      </c>
      <c r="AL2275">
        <v>81.693677439980902</v>
      </c>
      <c r="AM2275">
        <v>98.628461899803995</v>
      </c>
      <c r="AN2275">
        <v>1.0000000430034</v>
      </c>
    </row>
    <row r="2276" spans="1:40" x14ac:dyDescent="0.25">
      <c r="A2276" t="str">
        <f>"20190304154805759"</f>
        <v>20190304154805759</v>
      </c>
      <c r="B2276" t="str">
        <f>"1551685685748896"</f>
        <v>1551685685748896</v>
      </c>
      <c r="C2276" t="s">
        <v>40</v>
      </c>
      <c r="D2276">
        <v>4.5346349999999997</v>
      </c>
      <c r="E2276">
        <v>0.52663879999999996</v>
      </c>
      <c r="F2276" t="s">
        <v>60</v>
      </c>
      <c r="G2276">
        <v>-246.46190000000001</v>
      </c>
      <c r="H2276" s="1">
        <v>1.9019069999999999E-6</v>
      </c>
      <c r="I2276">
        <v>285.1884</v>
      </c>
      <c r="J2276">
        <v>-218.8186</v>
      </c>
      <c r="K2276">
        <v>1.112239</v>
      </c>
      <c r="L2276">
        <v>285.63659999999999</v>
      </c>
      <c r="M2276">
        <v>-0.99859540000000002</v>
      </c>
      <c r="N2276">
        <v>-1.14874E-2</v>
      </c>
      <c r="O2276">
        <v>5.1724480000000003E-2</v>
      </c>
      <c r="P2276">
        <v>-0.98627390000000004</v>
      </c>
      <c r="Q2276">
        <v>0.13348599999999999</v>
      </c>
      <c r="R2276">
        <v>-9.7187709999999997E-2</v>
      </c>
      <c r="S2276">
        <v>-3.0532840000000001</v>
      </c>
      <c r="T2276">
        <v>-0.1221951</v>
      </c>
      <c r="U2276">
        <v>-4.8522950000000002E-2</v>
      </c>
      <c r="V2276">
        <v>-0.14862999999999901</v>
      </c>
      <c r="W2276">
        <v>0.14416479999999901</v>
      </c>
      <c r="X2276">
        <v>0.97832799999999998</v>
      </c>
      <c r="Y2276">
        <v>-6.7499569999999995E-2</v>
      </c>
      <c r="Z2276">
        <v>-3.2124950000000001E-3</v>
      </c>
      <c r="AA2276">
        <v>0.99771410000000005</v>
      </c>
      <c r="AB2276">
        <v>27</v>
      </c>
      <c r="AC2276">
        <v>-27.6433</v>
      </c>
      <c r="AD2276">
        <v>-1.1122370980930001</v>
      </c>
      <c r="AE2276">
        <v>-0.448199999999985</v>
      </c>
      <c r="AF2276">
        <v>-1.8744957261270501</v>
      </c>
      <c r="AG2276">
        <v>-1.1122370980930001</v>
      </c>
      <c r="AH2276">
        <v>27.538537264683001</v>
      </c>
      <c r="AI2276">
        <v>92.307493434700604</v>
      </c>
      <c r="AJ2276">
        <v>93.894007892207199</v>
      </c>
      <c r="AK2276">
        <v>27.624660002757999</v>
      </c>
      <c r="AL2276">
        <v>81.711082569703706</v>
      </c>
      <c r="AM2276">
        <v>98.638460345176</v>
      </c>
      <c r="AN2276">
        <v>1.0000000210215101</v>
      </c>
    </row>
    <row r="2277" spans="1:40" x14ac:dyDescent="0.25">
      <c r="A2277" t="str">
        <f>"20190304154805779"</f>
        <v>20190304154805779</v>
      </c>
      <c r="B2277" t="str">
        <f>"1551685685769395"</f>
        <v>1551685685769395</v>
      </c>
      <c r="C2277" t="s">
        <v>40</v>
      </c>
      <c r="D2277">
        <v>4.5326610000000001</v>
      </c>
      <c r="E2277">
        <v>0.52661259999999999</v>
      </c>
      <c r="F2277" t="s">
        <v>60</v>
      </c>
      <c r="G2277">
        <v>-246.3417</v>
      </c>
      <c r="H2277" s="1">
        <v>1.837969E-6</v>
      </c>
      <c r="I2277">
        <v>285.1626</v>
      </c>
      <c r="J2277">
        <v>-219.05080000000001</v>
      </c>
      <c r="K2277">
        <v>1.1122810000000001</v>
      </c>
      <c r="L2277">
        <v>285.64659999999998</v>
      </c>
      <c r="M2277">
        <v>-0.99869330000000001</v>
      </c>
      <c r="N2277">
        <v>-1.148712E-2</v>
      </c>
      <c r="O2277">
        <v>4.9796020000000003E-2</v>
      </c>
      <c r="P2277">
        <v>-0.98618260000000002</v>
      </c>
      <c r="Q2277">
        <v>0.1327779</v>
      </c>
      <c r="R2277">
        <v>-9.9065200000000006E-2</v>
      </c>
      <c r="S2277">
        <v>-3.0532840000000001</v>
      </c>
      <c r="T2277">
        <v>-0.12338639999999999</v>
      </c>
      <c r="U2277">
        <v>-5.2581790000000003E-2</v>
      </c>
      <c r="V2277">
        <v>-0.14862249999999999</v>
      </c>
      <c r="W2277">
        <v>0.14344000000000001</v>
      </c>
      <c r="X2277">
        <v>0.97843559999999996</v>
      </c>
      <c r="Y2277">
        <v>-6.6898490000000005E-2</v>
      </c>
      <c r="Z2277">
        <v>-3.1745369999999998E-3</v>
      </c>
      <c r="AA2277">
        <v>0.99775480000000005</v>
      </c>
      <c r="AB2277">
        <v>27</v>
      </c>
      <c r="AC2277">
        <v>-27.290899999999901</v>
      </c>
      <c r="AD2277">
        <v>-1.11227916203099</v>
      </c>
      <c r="AE2277">
        <v>-0.48399999999998</v>
      </c>
      <c r="AF2277">
        <v>-1.83941295059268</v>
      </c>
      <c r="AG2277">
        <v>-1.11227916203099</v>
      </c>
      <c r="AH2277">
        <v>27.1877887753196</v>
      </c>
      <c r="AI2277">
        <v>92.337382815993294</v>
      </c>
      <c r="AJ2277">
        <v>93.870496344948705</v>
      </c>
      <c r="AK2277">
        <v>27.2726321323867</v>
      </c>
      <c r="AL2277">
        <v>81.753046137056103</v>
      </c>
      <c r="AM2277">
        <v>98.637095405909406</v>
      </c>
      <c r="AN2277">
        <v>0.99999995222680305</v>
      </c>
    </row>
    <row r="2278" spans="1:40" x14ac:dyDescent="0.25">
      <c r="A2278" t="str">
        <f>"20190304154805793"</f>
        <v>20190304154805793</v>
      </c>
      <c r="B2278" t="str">
        <f>"1551685685788912"</f>
        <v>1551685685788912</v>
      </c>
      <c r="C2278" t="s">
        <v>40</v>
      </c>
      <c r="D2278">
        <v>4.5086779999999997</v>
      </c>
      <c r="E2278">
        <v>0.52658819999999995</v>
      </c>
      <c r="F2278" t="s">
        <v>60</v>
      </c>
      <c r="G2278">
        <v>-245.94800000000001</v>
      </c>
      <c r="H2278" s="1">
        <v>1.628457E-6</v>
      </c>
      <c r="I2278">
        <v>285.12990000000002</v>
      </c>
      <c r="J2278">
        <v>-219.2287</v>
      </c>
      <c r="K2278">
        <v>1.112309</v>
      </c>
      <c r="L2278">
        <v>285.65390000000002</v>
      </c>
      <c r="M2278">
        <v>-0.99876730000000002</v>
      </c>
      <c r="N2278">
        <v>-1.148705E-2</v>
      </c>
      <c r="O2278">
        <v>4.8291420000000002E-2</v>
      </c>
      <c r="P2278">
        <v>-0.98611729999999997</v>
      </c>
      <c r="Q2278">
        <v>0.13219439999999999</v>
      </c>
      <c r="R2278">
        <v>-0.1004871</v>
      </c>
      <c r="S2278">
        <v>-3.0531160000000002</v>
      </c>
      <c r="T2278">
        <v>-0.12625500000000001</v>
      </c>
      <c r="U2278">
        <v>-5.8654789999999998E-2</v>
      </c>
      <c r="V2278">
        <v>-0.14857100000000001</v>
      </c>
      <c r="W2278">
        <v>0.14284630000000001</v>
      </c>
      <c r="X2278">
        <v>0.97853029999999996</v>
      </c>
      <c r="Y2278">
        <v>-6.7376119999999998E-2</v>
      </c>
      <c r="Z2278">
        <v>-3.2205900000000002E-3</v>
      </c>
      <c r="AA2278">
        <v>0.99772240000000001</v>
      </c>
      <c r="AB2278">
        <v>27</v>
      </c>
      <c r="AC2278">
        <v>-26.719299999999901</v>
      </c>
      <c r="AD2278">
        <v>-1.1123073715430001</v>
      </c>
      <c r="AE2278">
        <v>-0.52400000000000002</v>
      </c>
      <c r="AF2278">
        <v>-1.81064989697562</v>
      </c>
      <c r="AG2278">
        <v>-1.1123073715430001</v>
      </c>
      <c r="AH2278">
        <v>26.616706692053601</v>
      </c>
      <c r="AI2278">
        <v>92.387476492495395</v>
      </c>
      <c r="AJ2278">
        <v>93.891653962314805</v>
      </c>
      <c r="AK2278">
        <v>26.701399885942699</v>
      </c>
      <c r="AL2278">
        <v>81.787416801649997</v>
      </c>
      <c r="AM2278">
        <v>98.633324627979903</v>
      </c>
      <c r="AN2278">
        <v>0.99999997774138905</v>
      </c>
    </row>
    <row r="2279" spans="1:40" x14ac:dyDescent="0.25">
      <c r="A2279" t="str">
        <f>"20190304154805813"</f>
        <v>20190304154805813</v>
      </c>
      <c r="B2279" t="str">
        <f>"1551685685809408"</f>
        <v>1551685685809408</v>
      </c>
      <c r="C2279" t="s">
        <v>40</v>
      </c>
      <c r="D2279">
        <v>4.5267799999999996</v>
      </c>
      <c r="E2279">
        <v>0.53491140000000004</v>
      </c>
      <c r="F2279" t="s">
        <v>60</v>
      </c>
      <c r="G2279">
        <v>-245.65280000000001</v>
      </c>
      <c r="H2279" s="1">
        <v>1.471376E-6</v>
      </c>
      <c r="I2279">
        <v>285.10640000000001</v>
      </c>
      <c r="J2279">
        <v>-219.4649</v>
      </c>
      <c r="K2279">
        <v>1.1123320000000001</v>
      </c>
      <c r="L2279">
        <v>285.66320000000002</v>
      </c>
      <c r="M2279">
        <v>-0.99886339999999996</v>
      </c>
      <c r="N2279">
        <v>-1.148743E-2</v>
      </c>
      <c r="O2279">
        <v>4.6263119999999998E-2</v>
      </c>
      <c r="P2279">
        <v>-0.98615459999999999</v>
      </c>
      <c r="Q2279">
        <v>0.13064769999999901</v>
      </c>
      <c r="R2279">
        <v>-0.1021315</v>
      </c>
      <c r="S2279">
        <v>-3.0530240000000002</v>
      </c>
      <c r="T2279">
        <v>-0.12851509999999999</v>
      </c>
      <c r="U2279">
        <v>-6.3262940000000004E-2</v>
      </c>
      <c r="V2279">
        <v>-0.14822969999999999</v>
      </c>
      <c r="W2279">
        <v>0.14129249999999999</v>
      </c>
      <c r="X2279">
        <v>0.9788076</v>
      </c>
      <c r="Y2279">
        <v>-6.685402E-2</v>
      </c>
      <c r="Z2279">
        <v>-3.2053210000000001E-3</v>
      </c>
      <c r="AA2279">
        <v>0.99775760000000002</v>
      </c>
      <c r="AB2279">
        <v>27</v>
      </c>
      <c r="AC2279">
        <v>-26.187899999999999</v>
      </c>
      <c r="AD2279">
        <v>-1.1123305286239999</v>
      </c>
      <c r="AE2279">
        <v>-0.55680000000000895</v>
      </c>
      <c r="AF2279">
        <v>-1.764635273578</v>
      </c>
      <c r="AG2279">
        <v>-1.1123305286239999</v>
      </c>
      <c r="AH2279">
        <v>26.0870526147094</v>
      </c>
      <c r="AI2279">
        <v>92.436005938573999</v>
      </c>
      <c r="AJ2279">
        <v>93.869826374723004</v>
      </c>
      <c r="AK2279">
        <v>26.170317746949198</v>
      </c>
      <c r="AL2279">
        <v>81.8773551738376</v>
      </c>
      <c r="AM2279">
        <v>98.611386088903302</v>
      </c>
      <c r="AN2279">
        <v>0.99999996616804898</v>
      </c>
    </row>
    <row r="2280" spans="1:40" x14ac:dyDescent="0.25">
      <c r="A2280" t="str">
        <f>"20190304154805833"</f>
        <v>20190304154805833</v>
      </c>
      <c r="B2280" t="str">
        <f>"1551685685828928"</f>
        <v>1551685685828928</v>
      </c>
      <c r="C2280" t="s">
        <v>40</v>
      </c>
      <c r="D2280">
        <v>4.4827380000000003</v>
      </c>
      <c r="E2280">
        <v>0.52802099999999996</v>
      </c>
      <c r="F2280" t="s">
        <v>60</v>
      </c>
      <c r="G2280">
        <v>-258.43849999999998</v>
      </c>
      <c r="H2280" s="1">
        <v>2.9537810000000001E-6</v>
      </c>
      <c r="I2280">
        <v>285.60910000000001</v>
      </c>
      <c r="J2280">
        <v>-219.715</v>
      </c>
      <c r="K2280">
        <v>1.112344</v>
      </c>
      <c r="L2280">
        <v>285.67239999999998</v>
      </c>
      <c r="M2280">
        <v>-0.99896149999999995</v>
      </c>
      <c r="N2280">
        <v>-1.1488180000000001E-2</v>
      </c>
      <c r="O2280">
        <v>4.409275E-2</v>
      </c>
      <c r="P2280">
        <v>-0.9861801</v>
      </c>
      <c r="Q2280">
        <v>0.1289575</v>
      </c>
      <c r="R2280">
        <v>-0.1040151</v>
      </c>
      <c r="S2280">
        <v>-3.0532379999999999</v>
      </c>
      <c r="T2280">
        <v>-8.7141159999999995E-2</v>
      </c>
      <c r="U2280">
        <v>-4.2419429999999998E-3</v>
      </c>
      <c r="V2280">
        <v>-0.14798359999999999</v>
      </c>
      <c r="W2280">
        <v>0.139599</v>
      </c>
      <c r="X2280">
        <v>0.97908779999999995</v>
      </c>
      <c r="Y2280">
        <v>-4.5451239999999997E-2</v>
      </c>
      <c r="Z2280">
        <v>-1.6608879999999999E-3</v>
      </c>
      <c r="AA2280">
        <v>0.9989652</v>
      </c>
      <c r="AB2280">
        <v>27</v>
      </c>
      <c r="AC2280">
        <v>-38.723499999999902</v>
      </c>
      <c r="AD2280">
        <v>-1.112341046219</v>
      </c>
      <c r="AE2280">
        <v>-6.32999999999697E-2</v>
      </c>
      <c r="AF2280">
        <v>-1.7693165952357299</v>
      </c>
      <c r="AG2280">
        <v>-1.112341046219</v>
      </c>
      <c r="AH2280">
        <v>38.651150463891</v>
      </c>
      <c r="AI2280">
        <v>91.646736117280597</v>
      </c>
      <c r="AJ2280">
        <v>92.620973798710693</v>
      </c>
      <c r="AK2280">
        <v>38.7076118612298</v>
      </c>
      <c r="AL2280">
        <v>81.975357007461398</v>
      </c>
      <c r="AM2280">
        <v>98.5948790857788</v>
      </c>
      <c r="AN2280">
        <v>0.99999997338939906</v>
      </c>
    </row>
    <row r="2281" spans="1:40" x14ac:dyDescent="0.25">
      <c r="A2281" t="str">
        <f>"20190304154805846"</f>
        <v>20190304154805846</v>
      </c>
      <c r="B2281" t="str">
        <f>"1551685685839664"</f>
        <v>1551685685839664</v>
      </c>
      <c r="C2281" t="s">
        <v>40</v>
      </c>
      <c r="D2281">
        <v>4.5070509999999997</v>
      </c>
      <c r="E2281">
        <v>0.52836229999999995</v>
      </c>
      <c r="F2281" t="s">
        <v>60</v>
      </c>
      <c r="G2281">
        <v>-242.8485</v>
      </c>
      <c r="H2281" s="1">
        <v>-2.0968049999999999E-8</v>
      </c>
      <c r="I2281">
        <v>285.20929999999998</v>
      </c>
      <c r="J2281">
        <v>-219.87299999999999</v>
      </c>
      <c r="K2281">
        <v>1.112352</v>
      </c>
      <c r="L2281">
        <v>285.67790000000002</v>
      </c>
      <c r="M2281">
        <v>-0.99902139999999995</v>
      </c>
      <c r="N2281">
        <v>-1.1488689999999999E-2</v>
      </c>
      <c r="O2281">
        <v>4.2713149999999998E-2</v>
      </c>
      <c r="P2281">
        <v>-0.98613110000000004</v>
      </c>
      <c r="Q2281">
        <v>0.12830129999999901</v>
      </c>
      <c r="R2281">
        <v>-0.10528179999999999</v>
      </c>
      <c r="S2281">
        <v>-3.0547939999999998</v>
      </c>
      <c r="T2281">
        <v>-0.14688599999999999</v>
      </c>
      <c r="U2281">
        <v>-6.115723E-2</v>
      </c>
      <c r="V2281">
        <v>-0.14789379999999999</v>
      </c>
      <c r="W2281">
        <v>0.1389408</v>
      </c>
      <c r="X2281">
        <v>0.97919500000000004</v>
      </c>
      <c r="Y2281">
        <v>-6.2587069999999995E-2</v>
      </c>
      <c r="Z2281">
        <v>-3.4251569999999999E-3</v>
      </c>
      <c r="AA2281">
        <v>0.99803359999999997</v>
      </c>
      <c r="AB2281">
        <v>27</v>
      </c>
      <c r="AC2281">
        <v>-22.9755</v>
      </c>
      <c r="AD2281">
        <v>-1.11235202096805</v>
      </c>
      <c r="AE2281">
        <v>-0.46860000000003699</v>
      </c>
      <c r="AF2281">
        <v>-1.44620448838308</v>
      </c>
      <c r="AG2281">
        <v>-1.11235202096805</v>
      </c>
      <c r="AH2281">
        <v>22.880902404939999</v>
      </c>
      <c r="AI2281">
        <v>92.777701253280199</v>
      </c>
      <c r="AJ2281">
        <v>93.616611483248207</v>
      </c>
      <c r="AK2281">
        <v>22.953529778776101</v>
      </c>
      <c r="AL2281">
        <v>82.013440326270498</v>
      </c>
      <c r="AM2281">
        <v>98.588814969033905</v>
      </c>
      <c r="AN2281">
        <v>0.99999998500403897</v>
      </c>
    </row>
    <row r="2282" spans="1:40" x14ac:dyDescent="0.25">
      <c r="A2282" t="str">
        <f>"20190304154805859"</f>
        <v>20190304154805859</v>
      </c>
      <c r="B2282" t="str">
        <f>"1551685685849425"</f>
        <v>1551685685849425</v>
      </c>
      <c r="C2282" t="s">
        <v>40</v>
      </c>
      <c r="D2282">
        <v>4.4896200000000004</v>
      </c>
      <c r="E2282">
        <v>0.53042049999999996</v>
      </c>
      <c r="F2282" t="s">
        <v>60</v>
      </c>
      <c r="G2282">
        <v>-242.96039999999999</v>
      </c>
      <c r="H2282" s="1">
        <v>3.8566819999999999E-8</v>
      </c>
      <c r="I2282">
        <v>285.20510000000002</v>
      </c>
      <c r="J2282">
        <v>-220.03049999999999</v>
      </c>
      <c r="K2282">
        <v>1.1123590000000001</v>
      </c>
      <c r="L2282">
        <v>285.68329999999997</v>
      </c>
      <c r="M2282">
        <v>-0.99907919999999995</v>
      </c>
      <c r="N2282">
        <v>-1.1489269999999999E-2</v>
      </c>
      <c r="O2282">
        <v>4.1336390000000001E-2</v>
      </c>
      <c r="P2282">
        <v>-0.98601030000000001</v>
      </c>
      <c r="Q2282">
        <v>0.12821299999999999</v>
      </c>
      <c r="R2282">
        <v>-0.10651480000000001</v>
      </c>
      <c r="S2282">
        <v>-3.0546570000000002</v>
      </c>
      <c r="T2282">
        <v>-0.1471741</v>
      </c>
      <c r="U2282">
        <v>-6.2561039999999998E-2</v>
      </c>
      <c r="V2282">
        <v>-0.1477715</v>
      </c>
      <c r="W2282">
        <v>0.13885110000000001</v>
      </c>
      <c r="X2282">
        <v>0.97922620000000005</v>
      </c>
      <c r="Y2282">
        <v>-6.1672829999999998E-2</v>
      </c>
      <c r="Z2282">
        <v>-3.354568E-3</v>
      </c>
      <c r="AA2282">
        <v>0.99809079999999994</v>
      </c>
      <c r="AB2282">
        <v>27</v>
      </c>
      <c r="AC2282">
        <v>-22.9299</v>
      </c>
      <c r="AD2282">
        <v>-1.1123589614331799</v>
      </c>
      <c r="AE2282">
        <v>-0.47819999999995799</v>
      </c>
      <c r="AF2282">
        <v>-1.4223472819077501</v>
      </c>
      <c r="AG2282">
        <v>-1.1123589614331799</v>
      </c>
      <c r="AH2282">
        <v>22.836811010255001</v>
      </c>
      <c r="AI2282">
        <v>92.783233355011006</v>
      </c>
      <c r="AJ2282">
        <v>93.563954854570596</v>
      </c>
      <c r="AK2282">
        <v>22.908084847222302</v>
      </c>
      <c r="AL2282">
        <v>82.018630162167995</v>
      </c>
      <c r="AM2282">
        <v>98.581548925087802</v>
      </c>
      <c r="AN2282">
        <v>0.99999999747495005</v>
      </c>
    </row>
    <row r="2283" spans="1:40" x14ac:dyDescent="0.25">
      <c r="A2283" t="str">
        <f>"20190304154805871"</f>
        <v>20190304154805871</v>
      </c>
      <c r="B2283" t="str">
        <f>"1551685685868944"</f>
        <v>1551685685868944</v>
      </c>
      <c r="C2283" t="s">
        <v>40</v>
      </c>
      <c r="D2283">
        <v>4.5012869999999996</v>
      </c>
      <c r="E2283">
        <v>0.53152949999999999</v>
      </c>
      <c r="F2283" t="s">
        <v>60</v>
      </c>
      <c r="G2283">
        <v>-245.14009999999999</v>
      </c>
      <c r="H2283" s="1">
        <v>1.1985329999999999E-6</v>
      </c>
      <c r="I2283">
        <v>285.2679</v>
      </c>
      <c r="J2283">
        <v>-220.1815</v>
      </c>
      <c r="K2283">
        <v>1.112363</v>
      </c>
      <c r="L2283">
        <v>285.68819999999999</v>
      </c>
      <c r="M2283">
        <v>-0.9991331</v>
      </c>
      <c r="N2283">
        <v>-1.1489879999999999E-2</v>
      </c>
      <c r="O2283">
        <v>4.0013729999999997E-2</v>
      </c>
      <c r="P2283">
        <v>-0.98589850000000001</v>
      </c>
      <c r="Q2283">
        <v>0.1281129</v>
      </c>
      <c r="R2283">
        <v>-0.107664</v>
      </c>
      <c r="S2283">
        <v>-3.0547179999999998</v>
      </c>
      <c r="T2283">
        <v>-0.1353241</v>
      </c>
      <c r="U2283">
        <v>-5.0537110000000003E-2</v>
      </c>
      <c r="V2283">
        <v>-0.14761859999999999</v>
      </c>
      <c r="W2283">
        <v>0.1387495</v>
      </c>
      <c r="X2283">
        <v>0.97926369999999896</v>
      </c>
      <c r="Y2283">
        <v>-5.6448110000000003E-2</v>
      </c>
      <c r="Z2283">
        <v>-2.88594E-3</v>
      </c>
      <c r="AA2283">
        <v>0.99840130000000005</v>
      </c>
      <c r="AB2283">
        <v>27</v>
      </c>
      <c r="AC2283">
        <v>-24.958599999999901</v>
      </c>
      <c r="AD2283">
        <v>-1.112361801467</v>
      </c>
      <c r="AE2283">
        <v>-0.42029999999999701</v>
      </c>
      <c r="AF2283">
        <v>-1.41590426863677</v>
      </c>
      <c r="AG2283">
        <v>-1.112361801467</v>
      </c>
      <c r="AH2283">
        <v>24.8723990678902</v>
      </c>
      <c r="AI2283">
        <v>92.556584184019499</v>
      </c>
      <c r="AJ2283">
        <v>93.258144723483696</v>
      </c>
      <c r="AK2283">
        <v>24.9374892294251</v>
      </c>
      <c r="AL2283">
        <v>82.024508608602503</v>
      </c>
      <c r="AM2283">
        <v>98.572478135892794</v>
      </c>
      <c r="AN2283">
        <v>1.00000003447694</v>
      </c>
    </row>
    <row r="2284" spans="1:40" x14ac:dyDescent="0.25">
      <c r="A2284" t="str">
        <f>"20190304154805890"</f>
        <v>20190304154805890</v>
      </c>
      <c r="B2284" t="str">
        <f>"1551685685879685"</f>
        <v>1551685685879685</v>
      </c>
      <c r="C2284" t="s">
        <v>40</v>
      </c>
      <c r="D2284">
        <v>4.4612590000000001</v>
      </c>
      <c r="E2284">
        <v>0.53257690000000002</v>
      </c>
      <c r="F2284" t="s">
        <v>60</v>
      </c>
      <c r="G2284">
        <v>-247.0872</v>
      </c>
      <c r="H2284" s="1">
        <v>2.2346920000000002E-6</v>
      </c>
      <c r="I2284">
        <v>285.28410000000002</v>
      </c>
      <c r="J2284">
        <v>-220.40860000000001</v>
      </c>
      <c r="K2284">
        <v>1.112368</v>
      </c>
      <c r="L2284">
        <v>285.69510000000002</v>
      </c>
      <c r="M2284">
        <v>-0.99921090000000001</v>
      </c>
      <c r="N2284">
        <v>-1.1490790000000001E-2</v>
      </c>
      <c r="O2284">
        <v>3.8024429999999998E-2</v>
      </c>
      <c r="P2284">
        <v>-0.98579130000000004</v>
      </c>
      <c r="Q2284">
        <v>0.12792110000000001</v>
      </c>
      <c r="R2284">
        <v>-0.1088667</v>
      </c>
      <c r="S2284">
        <v>-3.0543369999999999</v>
      </c>
      <c r="T2284">
        <v>-0.12627529999999901</v>
      </c>
      <c r="U2284">
        <v>-4.586792E-2</v>
      </c>
      <c r="V2284">
        <v>-0.14686459999999901</v>
      </c>
      <c r="W2284">
        <v>0.13856199999999999</v>
      </c>
      <c r="X2284">
        <v>0.97940360000000004</v>
      </c>
      <c r="Y2284">
        <v>-5.2952680000000002E-2</v>
      </c>
      <c r="Z2284">
        <v>-2.5327850000000001E-3</v>
      </c>
      <c r="AA2284">
        <v>0.99859379999999998</v>
      </c>
      <c r="AB2284">
        <v>27</v>
      </c>
      <c r="AC2284">
        <v>-26.6785999999999</v>
      </c>
      <c r="AD2284">
        <v>-1.1123657653079999</v>
      </c>
      <c r="AE2284">
        <v>-0.41100000000000098</v>
      </c>
      <c r="AF2284">
        <v>-1.4227352985253301</v>
      </c>
      <c r="AG2284">
        <v>-1.1123657653079999</v>
      </c>
      <c r="AH2284">
        <v>26.597446586928601</v>
      </c>
      <c r="AI2284">
        <v>92.391429391761903</v>
      </c>
      <c r="AJ2284">
        <v>93.061914687580696</v>
      </c>
      <c r="AK2284">
        <v>26.658688982581701</v>
      </c>
      <c r="AL2284">
        <v>82.035356274245103</v>
      </c>
      <c r="AM2284">
        <v>98.528137209099796</v>
      </c>
      <c r="AN2284">
        <v>1.00000002513505</v>
      </c>
    </row>
    <row r="2285" spans="1:40" x14ac:dyDescent="0.25">
      <c r="A2285" t="str">
        <f>"20190304154805904"</f>
        <v>20190304154805904</v>
      </c>
      <c r="B2285" t="str">
        <f>"1551685685899201"</f>
        <v>1551685685899201</v>
      </c>
      <c r="C2285" t="s">
        <v>40</v>
      </c>
      <c r="D2285">
        <v>4.5879370000000002</v>
      </c>
      <c r="E2285">
        <v>0.5300975</v>
      </c>
      <c r="F2285" t="s">
        <v>60</v>
      </c>
      <c r="G2285">
        <v>-248.654</v>
      </c>
      <c r="H2285" s="1">
        <v>3.0684250000000002E-6</v>
      </c>
      <c r="I2285">
        <v>285.31439999999998</v>
      </c>
      <c r="J2285">
        <v>-220.5762</v>
      </c>
      <c r="K2285">
        <v>1.112368</v>
      </c>
      <c r="L2285">
        <v>285.69990000000001</v>
      </c>
      <c r="M2285">
        <v>-0.99926559999999998</v>
      </c>
      <c r="N2285">
        <v>-1.149151E-2</v>
      </c>
      <c r="O2285">
        <v>3.6556419999999999E-2</v>
      </c>
      <c r="P2285">
        <v>-0.98566810000000005</v>
      </c>
      <c r="Q2285">
        <v>0.12790399999999999</v>
      </c>
      <c r="R2285">
        <v>-0.1099958</v>
      </c>
      <c r="S2285">
        <v>-3.0542910000000001</v>
      </c>
      <c r="T2285">
        <v>-0.12028460000000001</v>
      </c>
      <c r="U2285">
        <v>-4.1168209999999997E-2</v>
      </c>
      <c r="V2285">
        <v>-0.14654779999999901</v>
      </c>
      <c r="W2285">
        <v>0.13854649999999999</v>
      </c>
      <c r="X2285">
        <v>0.97945320000000002</v>
      </c>
      <c r="Y2285">
        <v>-4.9959860000000002E-2</v>
      </c>
      <c r="Z2285">
        <v>-2.2894439999999999E-3</v>
      </c>
      <c r="AA2285">
        <v>0.99874859999999999</v>
      </c>
      <c r="AB2285">
        <v>27</v>
      </c>
      <c r="AC2285">
        <v>-28.0778</v>
      </c>
      <c r="AD2285">
        <v>-1.1123649315749999</v>
      </c>
      <c r="AE2285">
        <v>-0.38550000000003498</v>
      </c>
      <c r="AF2285">
        <v>-1.4095219733127</v>
      </c>
      <c r="AG2285">
        <v>-1.1123649315749999</v>
      </c>
      <c r="AH2285">
        <v>28.000996631147199</v>
      </c>
      <c r="AI2285">
        <v>92.272056682364394</v>
      </c>
      <c r="AJ2285">
        <v>92.881738509055495</v>
      </c>
      <c r="AK2285">
        <v>28.0585088747026</v>
      </c>
      <c r="AL2285">
        <v>82.036252651522602</v>
      </c>
      <c r="AM2285">
        <v>98.509586259458302</v>
      </c>
      <c r="AN2285">
        <v>0.99999998066866402</v>
      </c>
    </row>
    <row r="2286" spans="1:40" x14ac:dyDescent="0.25">
      <c r="A2286" t="str">
        <f>"20190304154805923"</f>
        <v>20190304154805923</v>
      </c>
      <c r="B2286" t="str">
        <f>"1551685685918720"</f>
        <v>1551685685918720</v>
      </c>
      <c r="C2286" t="s">
        <v>40</v>
      </c>
      <c r="D2286">
        <v>4.447317</v>
      </c>
      <c r="E2286">
        <v>0.53027299999999999</v>
      </c>
      <c r="F2286" t="s">
        <v>60</v>
      </c>
      <c r="G2286">
        <v>-245.44040000000001</v>
      </c>
      <c r="H2286" s="1">
        <v>1.358317E-6</v>
      </c>
      <c r="I2286">
        <v>285.1857</v>
      </c>
      <c r="J2286">
        <v>-220.8117</v>
      </c>
      <c r="K2286">
        <v>1.1123689999999999</v>
      </c>
      <c r="L2286">
        <v>285.7063</v>
      </c>
      <c r="M2286">
        <v>-0.99933890000000003</v>
      </c>
      <c r="N2286">
        <v>-1.149265E-2</v>
      </c>
      <c r="O2286">
        <v>3.4495060000000001E-2</v>
      </c>
      <c r="P2286">
        <v>-0.98550979999999999</v>
      </c>
      <c r="Q2286">
        <v>0.1282073</v>
      </c>
      <c r="R2286">
        <v>-0.11105669999999999</v>
      </c>
      <c r="S2286">
        <v>-3.0543369999999999</v>
      </c>
      <c r="T2286">
        <v>-0.13664399999999999</v>
      </c>
      <c r="U2286">
        <v>-6.3171389999999994E-2</v>
      </c>
      <c r="V2286">
        <v>-0.14558109999999999</v>
      </c>
      <c r="W2286">
        <v>0.1388558</v>
      </c>
      <c r="X2286">
        <v>0.97955360000000002</v>
      </c>
      <c r="Y2286">
        <v>-5.5067489999999997E-2</v>
      </c>
      <c r="Z2286">
        <v>-2.6936429999999999E-3</v>
      </c>
      <c r="AA2286">
        <v>0.99847900000000001</v>
      </c>
      <c r="AB2286">
        <v>27</v>
      </c>
      <c r="AC2286">
        <v>-24.628699999999998</v>
      </c>
      <c r="AD2286">
        <v>-1.112367641683</v>
      </c>
      <c r="AE2286">
        <v>-0.52060000000000095</v>
      </c>
      <c r="AF2286">
        <v>-1.36712704475209</v>
      </c>
      <c r="AG2286">
        <v>-1.112367641683</v>
      </c>
      <c r="AH2286">
        <v>24.546031789535899</v>
      </c>
      <c r="AI2286">
        <v>92.590723106923207</v>
      </c>
      <c r="AJ2286">
        <v>93.187878369549296</v>
      </c>
      <c r="AK2286">
        <v>24.609227430776102</v>
      </c>
      <c r="AL2286">
        <v>82.018358439477396</v>
      </c>
      <c r="AM2286">
        <v>98.4534127804626</v>
      </c>
      <c r="AN2286">
        <v>1.0000000225718999</v>
      </c>
    </row>
    <row r="2287" spans="1:40" x14ac:dyDescent="0.25">
      <c r="A2287" t="str">
        <f>"20190304154805936"</f>
        <v>20190304154805936</v>
      </c>
      <c r="B2287" t="str">
        <f>"1551685685929457"</f>
        <v>1551685685929457</v>
      </c>
      <c r="C2287" t="s">
        <v>40</v>
      </c>
      <c r="D2287">
        <v>4.4858830000000003</v>
      </c>
      <c r="E2287">
        <v>0.53023730000000002</v>
      </c>
      <c r="F2287" t="s">
        <v>60</v>
      </c>
      <c r="G2287">
        <v>-245.98169999999999</v>
      </c>
      <c r="H2287" s="1">
        <v>1.6463490000000001E-6</v>
      </c>
      <c r="I2287">
        <v>285.1626</v>
      </c>
      <c r="J2287">
        <v>-220.9828</v>
      </c>
      <c r="K2287">
        <v>1.112368</v>
      </c>
      <c r="L2287">
        <v>285.71069999999997</v>
      </c>
      <c r="M2287">
        <v>-0.99938939999999998</v>
      </c>
      <c r="N2287">
        <v>-1.149354E-2</v>
      </c>
      <c r="O2287">
        <v>3.2999479999999998E-2</v>
      </c>
      <c r="P2287">
        <v>-0.98543780000000003</v>
      </c>
      <c r="Q2287">
        <v>0.12801989999999999</v>
      </c>
      <c r="R2287">
        <v>-0.1119091</v>
      </c>
      <c r="S2287">
        <v>-3.0542449999999999</v>
      </c>
      <c r="T2287">
        <v>-0.1349803</v>
      </c>
      <c r="U2287">
        <v>-6.5978999999999996E-2</v>
      </c>
      <c r="V2287">
        <v>-0.14496129999999999</v>
      </c>
      <c r="W2287">
        <v>0.13867260000000001</v>
      </c>
      <c r="X2287">
        <v>0.97967139999999997</v>
      </c>
      <c r="Y2287">
        <v>-5.4494910000000001E-2</v>
      </c>
      <c r="Z2287">
        <v>-2.595174E-3</v>
      </c>
      <c r="AA2287">
        <v>0.99851069999999997</v>
      </c>
      <c r="AB2287">
        <v>27</v>
      </c>
      <c r="AC2287">
        <v>-24.9988999999999</v>
      </c>
      <c r="AD2287">
        <v>-1.112366353651</v>
      </c>
      <c r="AE2287">
        <v>-0.54809999999997605</v>
      </c>
      <c r="AF2287">
        <v>-1.3700951294722199</v>
      </c>
      <c r="AG2287">
        <v>-1.112366353651</v>
      </c>
      <c r="AH2287">
        <v>24.9178823979837</v>
      </c>
      <c r="AI2287">
        <v>92.552210317556401</v>
      </c>
      <c r="AJ2287">
        <v>93.147205705946405</v>
      </c>
      <c r="AK2287">
        <v>24.980299893481799</v>
      </c>
      <c r="AL2287">
        <v>82.028957067721294</v>
      </c>
      <c r="AM2287">
        <v>98.416942091180303</v>
      </c>
      <c r="AN2287">
        <v>0.99999996023320403</v>
      </c>
    </row>
    <row r="2288" spans="1:40" x14ac:dyDescent="0.25">
      <c r="A2288" t="str">
        <f>"20190304154805949"</f>
        <v>20190304154805949</v>
      </c>
      <c r="B2288" t="str">
        <f>"1551685685938749"</f>
        <v>1551685685938749</v>
      </c>
      <c r="C2288" t="s">
        <v>40</v>
      </c>
      <c r="D2288">
        <v>4.4750909999999999</v>
      </c>
      <c r="E2288">
        <v>0.53028679999999995</v>
      </c>
      <c r="F2288" t="s">
        <v>60</v>
      </c>
      <c r="G2288">
        <v>-246.0753</v>
      </c>
      <c r="H2288" s="1">
        <v>1.6962050000000001E-6</v>
      </c>
      <c r="I2288">
        <v>285.14299999999997</v>
      </c>
      <c r="J2288">
        <v>-221.1336</v>
      </c>
      <c r="K2288">
        <v>1.112371</v>
      </c>
      <c r="L2288">
        <v>285.71429999999998</v>
      </c>
      <c r="M2288">
        <v>-0.99943190000000004</v>
      </c>
      <c r="N2288">
        <v>-1.1494330000000001E-2</v>
      </c>
      <c r="O2288">
        <v>3.1682469999999997E-2</v>
      </c>
      <c r="P2288">
        <v>-0.98534449999999996</v>
      </c>
      <c r="Q2288">
        <v>0.12786839999999999</v>
      </c>
      <c r="R2288">
        <v>-0.11289879999999999</v>
      </c>
      <c r="S2288">
        <v>-3.0540769999999999</v>
      </c>
      <c r="T2288">
        <v>-0.13538910000000001</v>
      </c>
      <c r="U2288">
        <v>-6.9091799999999995E-2</v>
      </c>
      <c r="V2288">
        <v>-0.14465410000000001</v>
      </c>
      <c r="W2288">
        <v>0.138523799999999</v>
      </c>
      <c r="X2288">
        <v>0.97973790000000005</v>
      </c>
      <c r="Y2288">
        <v>-5.4198049999999998E-2</v>
      </c>
      <c r="Z2288">
        <v>-2.5518699999999999E-3</v>
      </c>
      <c r="AA2288">
        <v>0.9985269</v>
      </c>
      <c r="AB2288">
        <v>27</v>
      </c>
      <c r="AC2288">
        <v>-24.941700000000001</v>
      </c>
      <c r="AD2288">
        <v>-1.112369303795</v>
      </c>
      <c r="AE2288">
        <v>-0.57130000000000702</v>
      </c>
      <c r="AF2288">
        <v>-1.3585791548533801</v>
      </c>
      <c r="AG2288">
        <v>-1.112369303795</v>
      </c>
      <c r="AH2288">
        <v>24.861650679069101</v>
      </c>
      <c r="AI2288">
        <v>92.558029291710099</v>
      </c>
      <c r="AJ2288">
        <v>93.127849797461906</v>
      </c>
      <c r="AK2288">
        <v>24.923578741346201</v>
      </c>
      <c r="AL2288">
        <v>82.037566101991899</v>
      </c>
      <c r="AM2288">
        <v>98.398797765865297</v>
      </c>
      <c r="AN2288">
        <v>1.0000000022548301</v>
      </c>
    </row>
    <row r="2289" spans="1:40" x14ac:dyDescent="0.25">
      <c r="A2289" t="str">
        <f>"20190304154805969"</f>
        <v>20190304154805969</v>
      </c>
      <c r="B2289" t="str">
        <f>"1551685685959244"</f>
        <v>1551685685959244</v>
      </c>
      <c r="C2289" t="s">
        <v>40</v>
      </c>
      <c r="D2289">
        <v>4.4255209999999998</v>
      </c>
      <c r="E2289">
        <v>0.53038009999999902</v>
      </c>
      <c r="F2289" t="s">
        <v>60</v>
      </c>
      <c r="G2289">
        <v>-246.26009999999999</v>
      </c>
      <c r="H2289" s="1">
        <v>1.7945440000000001E-6</v>
      </c>
      <c r="I2289">
        <v>285.12369999999999</v>
      </c>
      <c r="J2289">
        <v>-221.36949999999999</v>
      </c>
      <c r="K2289">
        <v>1.1123809999999901</v>
      </c>
      <c r="L2289">
        <v>285.71960000000001</v>
      </c>
      <c r="M2289">
        <v>-0.99949509999999997</v>
      </c>
      <c r="N2289">
        <v>-1.1495490000000001E-2</v>
      </c>
      <c r="O2289">
        <v>2.9624060000000001E-2</v>
      </c>
      <c r="P2289">
        <v>-0.98499669999999895</v>
      </c>
      <c r="Q2289">
        <v>0.1289653</v>
      </c>
      <c r="R2289">
        <v>-0.1146723</v>
      </c>
      <c r="S2289">
        <v>-3.0539399999999999</v>
      </c>
      <c r="T2289">
        <v>-0.13519999999999999</v>
      </c>
      <c r="U2289">
        <v>-7.1777339999999995E-2</v>
      </c>
      <c r="V2289">
        <v>-0.1444</v>
      </c>
      <c r="W2289">
        <v>0.13962169999999999</v>
      </c>
      <c r="X2289">
        <v>0.97961960000000003</v>
      </c>
      <c r="Y2289">
        <v>-5.3022920000000001E-2</v>
      </c>
      <c r="Z2289">
        <v>-2.4481799999999999E-3</v>
      </c>
      <c r="AA2289">
        <v>0.99859030000000004</v>
      </c>
      <c r="AB2289">
        <v>27</v>
      </c>
      <c r="AC2289">
        <v>-24.890599999999999</v>
      </c>
      <c r="AD2289">
        <v>-1.11237920545599</v>
      </c>
      <c r="AE2289">
        <v>-0.59590000000002796</v>
      </c>
      <c r="AF2289">
        <v>-1.3303920962171401</v>
      </c>
      <c r="AG2289">
        <v>-1.11237920545599</v>
      </c>
      <c r="AH2289">
        <v>24.812491557434299</v>
      </c>
      <c r="AI2289">
        <v>92.563255347179407</v>
      </c>
      <c r="AJ2289">
        <v>93.069136819472106</v>
      </c>
      <c r="AK2289">
        <v>24.873018874156699</v>
      </c>
      <c r="AL2289">
        <v>81.974044309468695</v>
      </c>
      <c r="AM2289">
        <v>98.385252392360798</v>
      </c>
      <c r="AN2289">
        <v>1.00000006990752</v>
      </c>
    </row>
    <row r="2290" spans="1:40" x14ac:dyDescent="0.25">
      <c r="A2290" t="str">
        <f>"20190304154805981"</f>
        <v>20190304154805981</v>
      </c>
      <c r="B2290" t="str">
        <f>"1551685685978765"</f>
        <v>1551685685978765</v>
      </c>
      <c r="C2290" t="s">
        <v>40</v>
      </c>
      <c r="D2290">
        <v>4.5193909999999997</v>
      </c>
      <c r="E2290">
        <v>0.52923999999999904</v>
      </c>
      <c r="F2290" t="s">
        <v>60</v>
      </c>
      <c r="G2290">
        <v>-247.22040000000001</v>
      </c>
      <c r="H2290" s="1">
        <v>2.3055409999999999E-6</v>
      </c>
      <c r="I2290">
        <v>285.06990000000002</v>
      </c>
      <c r="J2290">
        <v>-221.5283</v>
      </c>
      <c r="K2290">
        <v>1.1123809999999901</v>
      </c>
      <c r="L2290">
        <v>285.72280000000001</v>
      </c>
      <c r="M2290">
        <v>-0.99953510000000001</v>
      </c>
      <c r="N2290">
        <v>-1.1496299999999999E-2</v>
      </c>
      <c r="O2290">
        <v>2.8240060000000001E-2</v>
      </c>
      <c r="P2290">
        <v>-0.98476580000000002</v>
      </c>
      <c r="Q2290">
        <v>0.12961199999999901</v>
      </c>
      <c r="R2290">
        <v>-0.1159186</v>
      </c>
      <c r="S2290">
        <v>-3.0539860000000001</v>
      </c>
      <c r="T2290">
        <v>-0.1314148</v>
      </c>
      <c r="U2290">
        <v>-7.6751710000000001E-2</v>
      </c>
      <c r="V2290">
        <v>-0.14428389999999999</v>
      </c>
      <c r="W2290">
        <v>0.140268</v>
      </c>
      <c r="X2290">
        <v>0.97954430000000003</v>
      </c>
      <c r="Y2290">
        <v>-5.3270240000000003E-2</v>
      </c>
      <c r="Z2290">
        <v>-2.3417669999999998E-3</v>
      </c>
      <c r="AA2290">
        <v>0.99857739999999995</v>
      </c>
      <c r="AB2290">
        <v>27</v>
      </c>
      <c r="AC2290">
        <v>-25.6921</v>
      </c>
      <c r="AD2290">
        <v>-1.112378694459</v>
      </c>
      <c r="AE2290">
        <v>-0.65289999999998805</v>
      </c>
      <c r="AF2290">
        <v>-1.37565680873487</v>
      </c>
      <c r="AG2290">
        <v>-1.112378694459</v>
      </c>
      <c r="AH2290">
        <v>25.615425301897599</v>
      </c>
      <c r="AI2290">
        <v>92.482997863873607</v>
      </c>
      <c r="AJ2290">
        <v>93.074072894621693</v>
      </c>
      <c r="AK2290">
        <v>25.676445069604199</v>
      </c>
      <c r="AL2290">
        <v>81.9366454209881</v>
      </c>
      <c r="AM2290">
        <v>98.379241191949703</v>
      </c>
      <c r="AN2290">
        <v>0.99999999564285003</v>
      </c>
    </row>
    <row r="2291" spans="1:40" x14ac:dyDescent="0.25">
      <c r="A2291" t="str">
        <f>"20190304154805996"</f>
        <v>20190304154805996</v>
      </c>
      <c r="B2291" t="str">
        <f>"1551685685989501"</f>
        <v>1551685685989501</v>
      </c>
      <c r="C2291" t="s">
        <v>40</v>
      </c>
      <c r="D2291">
        <v>4.5176179999999997</v>
      </c>
      <c r="E2291">
        <v>0.52880660000000002</v>
      </c>
      <c r="F2291" t="s">
        <v>60</v>
      </c>
      <c r="G2291">
        <v>-246.02510000000001</v>
      </c>
      <c r="H2291" s="1">
        <v>1.6694850000000001E-6</v>
      </c>
      <c r="I2291">
        <v>285.00740000000002</v>
      </c>
      <c r="J2291">
        <v>-221.71</v>
      </c>
      <c r="K2291">
        <v>1.112382</v>
      </c>
      <c r="L2291">
        <v>285.72629999999998</v>
      </c>
      <c r="M2291">
        <v>-0.99957859999999998</v>
      </c>
      <c r="N2291">
        <v>-1.149727E-2</v>
      </c>
      <c r="O2291">
        <v>2.665758E-2</v>
      </c>
      <c r="P2291">
        <v>-0.98453400000000002</v>
      </c>
      <c r="Q2291">
        <v>0.1303289</v>
      </c>
      <c r="R2291">
        <v>-0.1170786</v>
      </c>
      <c r="S2291">
        <v>-3.0541689999999999</v>
      </c>
      <c r="T2291">
        <v>-0.13868699999999901</v>
      </c>
      <c r="U2291">
        <v>-8.9202879999999998E-2</v>
      </c>
      <c r="V2291">
        <v>-0.1438874</v>
      </c>
      <c r="W2291">
        <v>0.14098749999999999</v>
      </c>
      <c r="X2291">
        <v>0.97949929999999996</v>
      </c>
      <c r="Y2291">
        <v>-5.5744809999999999E-2</v>
      </c>
      <c r="Z2291">
        <v>-2.488793E-3</v>
      </c>
      <c r="AA2291">
        <v>0.99844189999999999</v>
      </c>
      <c r="AB2291">
        <v>27</v>
      </c>
      <c r="AC2291">
        <v>-24.315100000000001</v>
      </c>
      <c r="AD2291">
        <v>-1.112380330515</v>
      </c>
      <c r="AE2291">
        <v>-0.71889999999996201</v>
      </c>
      <c r="AF2291">
        <v>-1.36401669581356</v>
      </c>
      <c r="AG2291">
        <v>-1.112380330515</v>
      </c>
      <c r="AH2291">
        <v>24.236611244354702</v>
      </c>
      <c r="AI2291">
        <v>92.623696729310396</v>
      </c>
      <c r="AJ2291">
        <v>93.221161721428601</v>
      </c>
      <c r="AK2291">
        <v>24.3004373655323</v>
      </c>
      <c r="AL2291">
        <v>81.895007111204293</v>
      </c>
      <c r="AM2291">
        <v>98.356918673897695</v>
      </c>
      <c r="AN2291">
        <v>0.999999968867749</v>
      </c>
    </row>
    <row r="2292" spans="1:40" x14ac:dyDescent="0.25">
      <c r="A2292" t="str">
        <f>"20190304154806014"</f>
        <v>20190304154806014</v>
      </c>
      <c r="B2292" t="str">
        <f>"1551685686009020"</f>
        <v>1551685686009020</v>
      </c>
      <c r="C2292" t="s">
        <v>40</v>
      </c>
      <c r="D2292">
        <v>4.5408200000000001</v>
      </c>
      <c r="E2292">
        <v>0.52871709999999905</v>
      </c>
      <c r="F2292" t="s">
        <v>60</v>
      </c>
      <c r="G2292">
        <v>-245.82040000000001</v>
      </c>
      <c r="H2292" s="1">
        <v>1.5605379999999999E-6</v>
      </c>
      <c r="I2292">
        <v>284.96820000000002</v>
      </c>
      <c r="J2292">
        <v>-221.9187</v>
      </c>
      <c r="K2292">
        <v>1.11239</v>
      </c>
      <c r="L2292">
        <v>285.73</v>
      </c>
      <c r="M2292">
        <v>-0.9996254</v>
      </c>
      <c r="N2292">
        <v>-1.1498410000000001E-2</v>
      </c>
      <c r="O2292">
        <v>2.4840020000000001E-2</v>
      </c>
      <c r="P2292">
        <v>-0.98436129999999999</v>
      </c>
      <c r="Q2292">
        <v>0.13079379999999999</v>
      </c>
      <c r="R2292">
        <v>-0.1180093</v>
      </c>
      <c r="S2292">
        <v>-3.0543670000000001</v>
      </c>
      <c r="T2292">
        <v>-0.14091899999999999</v>
      </c>
      <c r="U2292">
        <v>-9.6038819999999997E-2</v>
      </c>
      <c r="V2292">
        <v>-0.1430313</v>
      </c>
      <c r="W2292">
        <v>0.14145720000000001</v>
      </c>
      <c r="X2292">
        <v>0.97955700000000001</v>
      </c>
      <c r="Y2292">
        <v>-5.6157810000000002E-2</v>
      </c>
      <c r="Z2292">
        <v>-2.4773659999999999E-3</v>
      </c>
      <c r="AA2292">
        <v>0.99841880000000005</v>
      </c>
      <c r="AB2292">
        <v>28</v>
      </c>
      <c r="AC2292">
        <v>-23.901700000000002</v>
      </c>
      <c r="AD2292">
        <v>-1.1123884394620001</v>
      </c>
      <c r="AE2292">
        <v>-0.76179999999999304</v>
      </c>
      <c r="AF2292">
        <v>-1.35239651513774</v>
      </c>
      <c r="AG2292">
        <v>-1.1123884394620001</v>
      </c>
      <c r="AH2292">
        <v>23.823849795198502</v>
      </c>
      <c r="AI2292">
        <v>92.669034808218299</v>
      </c>
      <c r="AJ2292">
        <v>93.248993840325596</v>
      </c>
      <c r="AK2292">
        <v>23.888118457479798</v>
      </c>
      <c r="AL2292">
        <v>81.867823128544899</v>
      </c>
      <c r="AM2292">
        <v>98.307410254407799</v>
      </c>
      <c r="AN2292">
        <v>1.0000000042302599</v>
      </c>
    </row>
    <row r="2293" spans="1:40" x14ac:dyDescent="0.25">
      <c r="A2293" t="str">
        <f>"20190304154806036"</f>
        <v>20190304154806036</v>
      </c>
      <c r="B2293" t="str">
        <f>"1551685686028541"</f>
        <v>1551685686028541</v>
      </c>
      <c r="C2293" t="s">
        <v>40</v>
      </c>
      <c r="D2293">
        <v>4.5537029999999996</v>
      </c>
      <c r="E2293">
        <v>0.52983709999999995</v>
      </c>
      <c r="F2293" t="s">
        <v>60</v>
      </c>
      <c r="G2293">
        <v>-245.71700000000001</v>
      </c>
      <c r="H2293" s="1">
        <v>1.505536E-6</v>
      </c>
      <c r="I2293">
        <v>284.9511</v>
      </c>
      <c r="J2293">
        <v>-222.19550000000001</v>
      </c>
      <c r="K2293">
        <v>1.112384</v>
      </c>
      <c r="L2293">
        <v>285.73419999999999</v>
      </c>
      <c r="M2293">
        <v>-0.99968230000000002</v>
      </c>
      <c r="N2293">
        <v>-1.1500099999999999E-2</v>
      </c>
      <c r="O2293">
        <v>2.2431199999999998E-2</v>
      </c>
      <c r="P2293">
        <v>-0.98427640000000005</v>
      </c>
      <c r="Q2293">
        <v>0.13065299999999999</v>
      </c>
      <c r="R2293">
        <v>-0.1188709</v>
      </c>
      <c r="S2293">
        <v>-3.0546419999999999</v>
      </c>
      <c r="T2293">
        <v>-0.14278109999999999</v>
      </c>
      <c r="U2293">
        <v>-9.9975590000000003E-2</v>
      </c>
      <c r="V2293">
        <v>-0.14152609999999999</v>
      </c>
      <c r="W2293">
        <v>0.14132690000000001</v>
      </c>
      <c r="X2293">
        <v>0.97979439999999995</v>
      </c>
      <c r="Y2293">
        <v>-5.5035250000000001E-2</v>
      </c>
      <c r="Z2293">
        <v>-2.391837E-3</v>
      </c>
      <c r="AA2293">
        <v>0.99848159999999997</v>
      </c>
      <c r="AB2293">
        <v>28</v>
      </c>
      <c r="AC2293">
        <v>-23.5215</v>
      </c>
      <c r="AD2293">
        <v>-1.1123824944639999</v>
      </c>
      <c r="AE2293">
        <v>-0.78309999999999003</v>
      </c>
      <c r="AF2293">
        <v>-1.3076319274951</v>
      </c>
      <c r="AG2293">
        <v>-1.1123824944639999</v>
      </c>
      <c r="AH2293">
        <v>23.4456346816694</v>
      </c>
      <c r="AI2293">
        <v>92.712163230879298</v>
      </c>
      <c r="AJ2293">
        <v>93.192246738596197</v>
      </c>
      <c r="AK2293">
        <v>23.5084044906943</v>
      </c>
      <c r="AL2293">
        <v>81.875364480638595</v>
      </c>
      <c r="AM2293">
        <v>98.219223123920898</v>
      </c>
      <c r="AN2293">
        <v>0.99999999795808903</v>
      </c>
    </row>
    <row r="2294" spans="1:40" x14ac:dyDescent="0.25">
      <c r="A2294" t="str">
        <f>"20190304154806057"</f>
        <v>20190304154806057</v>
      </c>
      <c r="B2294" t="str">
        <f>"1551685686049036"</f>
        <v>1551685686049036</v>
      </c>
      <c r="C2294" t="s">
        <v>40</v>
      </c>
      <c r="D2294">
        <v>4.4661660000000003</v>
      </c>
      <c r="E2294">
        <v>0.53122769999999897</v>
      </c>
      <c r="F2294" t="s">
        <v>60</v>
      </c>
      <c r="G2294">
        <v>-246.58699999999999</v>
      </c>
      <c r="H2294" s="1">
        <v>1.9684859999999999E-6</v>
      </c>
      <c r="I2294">
        <v>284.97930000000002</v>
      </c>
      <c r="J2294">
        <v>-222.46449999999999</v>
      </c>
      <c r="K2294">
        <v>1.112385</v>
      </c>
      <c r="L2294">
        <v>285.73759999999999</v>
      </c>
      <c r="M2294">
        <v>-0.99973199999999995</v>
      </c>
      <c r="N2294">
        <v>-1.150176E-2</v>
      </c>
      <c r="O2294">
        <v>2.0091109999999999E-2</v>
      </c>
      <c r="P2294">
        <v>-0.9842168</v>
      </c>
      <c r="Q2294">
        <v>0.13066059999999999</v>
      </c>
      <c r="R2294">
        <v>-0.1193533</v>
      </c>
      <c r="S2294">
        <v>-3.0549930000000001</v>
      </c>
      <c r="T2294">
        <v>-0.13932410000000001</v>
      </c>
      <c r="U2294">
        <v>-9.4543459999999996E-2</v>
      </c>
      <c r="V2294">
        <v>-0.1397099</v>
      </c>
      <c r="W2294">
        <v>0.14134679999999999</v>
      </c>
      <c r="X2294">
        <v>0.98005220000000004</v>
      </c>
      <c r="Y2294">
        <v>-5.0931039999999997E-2</v>
      </c>
      <c r="Z2294">
        <v>-2.1383050000000001E-3</v>
      </c>
      <c r="AA2294">
        <v>0.99869989999999997</v>
      </c>
      <c r="AB2294">
        <v>28</v>
      </c>
      <c r="AC2294">
        <v>-24.122499999999999</v>
      </c>
      <c r="AD2294">
        <v>-1.112383031514</v>
      </c>
      <c r="AE2294">
        <v>-0.758299999999962</v>
      </c>
      <c r="AF2294">
        <v>-1.2401921199579899</v>
      </c>
      <c r="AG2294">
        <v>-1.112383031514</v>
      </c>
      <c r="AH2294">
        <v>24.051299767383998</v>
      </c>
      <c r="AI2294">
        <v>92.644559064241307</v>
      </c>
      <c r="AJ2294">
        <v>92.951811207349294</v>
      </c>
      <c r="AK2294">
        <v>24.108929735759101</v>
      </c>
      <c r="AL2294">
        <v>81.8742131126115</v>
      </c>
      <c r="AM2294">
        <v>98.113053769603496</v>
      </c>
      <c r="AN2294">
        <v>1.00000004437654</v>
      </c>
    </row>
    <row r="2295" spans="1:40" x14ac:dyDescent="0.25">
      <c r="A2295" t="str">
        <f>"20190304154806079"</f>
        <v>20190304154806079</v>
      </c>
      <c r="B2295" t="str">
        <f>"1551685686069536"</f>
        <v>1551685686069536</v>
      </c>
      <c r="C2295" t="s">
        <v>40</v>
      </c>
      <c r="D2295">
        <v>4.4474070000000001</v>
      </c>
      <c r="E2295">
        <v>0.53254080000000004</v>
      </c>
      <c r="F2295" t="s">
        <v>60</v>
      </c>
      <c r="G2295">
        <v>-247.38079999999999</v>
      </c>
      <c r="H2295" s="1">
        <v>2.3909159999999999E-6</v>
      </c>
      <c r="I2295">
        <v>285.04390000000001</v>
      </c>
      <c r="J2295">
        <v>-222.72970000000001</v>
      </c>
      <c r="K2295">
        <v>1.1123809999999901</v>
      </c>
      <c r="L2295">
        <v>285.74040000000002</v>
      </c>
      <c r="M2295">
        <v>-0.99977570000000004</v>
      </c>
      <c r="N2295">
        <v>-1.1503279999999999E-2</v>
      </c>
      <c r="O2295">
        <v>1.7790940000000002E-2</v>
      </c>
      <c r="P2295">
        <v>-0.98416959999999998</v>
      </c>
      <c r="Q2295">
        <v>0.1304178</v>
      </c>
      <c r="R2295">
        <v>-0.120007</v>
      </c>
      <c r="S2295">
        <v>-3.0559080000000001</v>
      </c>
      <c r="T2295">
        <v>-0.13643039999999901</v>
      </c>
      <c r="U2295">
        <v>-8.5083010000000001E-2</v>
      </c>
      <c r="V2295">
        <v>-0.138102</v>
      </c>
      <c r="W2295">
        <v>0.14111589999999999</v>
      </c>
      <c r="X2295">
        <v>0.98031330000000005</v>
      </c>
      <c r="Y2295">
        <v>-4.5545380000000003E-2</v>
      </c>
      <c r="Z2295">
        <v>-1.8673629999999999E-3</v>
      </c>
      <c r="AA2295">
        <v>0.99896059999999998</v>
      </c>
      <c r="AB2295">
        <v>28</v>
      </c>
      <c r="AC2295">
        <v>-24.6510999999999</v>
      </c>
      <c r="AD2295">
        <v>-1.11237860908399</v>
      </c>
      <c r="AE2295">
        <v>-0.696500000000014</v>
      </c>
      <c r="AF2295">
        <v>-1.1326803569463599</v>
      </c>
      <c r="AG2295">
        <v>-1.11237860908399</v>
      </c>
      <c r="AH2295">
        <v>24.584784700533302</v>
      </c>
      <c r="AI2295">
        <v>92.587932397838401</v>
      </c>
      <c r="AJ2295">
        <v>92.637889424685994</v>
      </c>
      <c r="AK2295">
        <v>24.635989725045299</v>
      </c>
      <c r="AL2295">
        <v>81.887576398320604</v>
      </c>
      <c r="AM2295">
        <v>98.018795401663894</v>
      </c>
      <c r="AN2295">
        <v>1.00000001289685</v>
      </c>
    </row>
    <row r="2296" spans="1:40" x14ac:dyDescent="0.25">
      <c r="A2296" t="str">
        <f>"20190304154806092"</f>
        <v>20190304154806092</v>
      </c>
      <c r="B2296" t="str">
        <f>"1551685686089053"</f>
        <v>1551685686089053</v>
      </c>
      <c r="C2296" t="s">
        <v>40</v>
      </c>
      <c r="D2296">
        <v>4.4177999999999997</v>
      </c>
      <c r="E2296">
        <v>0.53363729999999998</v>
      </c>
      <c r="F2296" t="s">
        <v>60</v>
      </c>
      <c r="G2296">
        <v>-248.1086</v>
      </c>
      <c r="H2296" s="1">
        <v>2.778211E-6</v>
      </c>
      <c r="I2296">
        <v>285.10469999999998</v>
      </c>
      <c r="J2296">
        <v>-222.89490000000001</v>
      </c>
      <c r="K2296">
        <v>1.112382</v>
      </c>
      <c r="L2296">
        <v>285.74200000000002</v>
      </c>
      <c r="M2296">
        <v>-0.99980000000000002</v>
      </c>
      <c r="N2296">
        <v>-1.1504189999999999E-2</v>
      </c>
      <c r="O2296">
        <v>1.6364340000000002E-2</v>
      </c>
      <c r="P2296">
        <v>-0.98409250000000004</v>
      </c>
      <c r="Q2296">
        <v>0.1304246</v>
      </c>
      <c r="R2296">
        <v>-0.1206305</v>
      </c>
      <c r="S2296">
        <v>-3.0566559999999998</v>
      </c>
      <c r="T2296">
        <v>-0.13397590000000001</v>
      </c>
      <c r="U2296">
        <v>-7.6568600000000001E-2</v>
      </c>
      <c r="V2296">
        <v>-0.13732150000000001</v>
      </c>
      <c r="W2296">
        <v>0.14112959999999999</v>
      </c>
      <c r="X2296">
        <v>0.98042090000000004</v>
      </c>
      <c r="Y2296">
        <v>-4.1340250000000002E-2</v>
      </c>
      <c r="Z2296">
        <v>-1.6720490000000001E-3</v>
      </c>
      <c r="AA2296">
        <v>0.99914369999999997</v>
      </c>
      <c r="AB2296">
        <v>28</v>
      </c>
      <c r="AC2296">
        <v>-25.2136999999999</v>
      </c>
      <c r="AD2296">
        <v>-1.1123792217890001</v>
      </c>
      <c r="AE2296">
        <v>-0.63730000000003795</v>
      </c>
      <c r="AF2296">
        <v>-1.04780932388042</v>
      </c>
      <c r="AG2296">
        <v>-1.1123792217890001</v>
      </c>
      <c r="AH2296">
        <v>25.1509709872368</v>
      </c>
      <c r="AI2296">
        <v>92.530240117045196</v>
      </c>
      <c r="AJ2296">
        <v>92.385607913129405</v>
      </c>
      <c r="AK2296">
        <v>25.197353700599301</v>
      </c>
      <c r="AL2296">
        <v>81.886782995305495</v>
      </c>
      <c r="AM2296">
        <v>97.973196890366296</v>
      </c>
      <c r="AN2296">
        <v>0.99999994975760798</v>
      </c>
    </row>
    <row r="2297" spans="1:40" x14ac:dyDescent="0.25">
      <c r="A2297" t="str">
        <f>"20190304154806107"</f>
        <v>20190304154806107</v>
      </c>
      <c r="B2297" t="str">
        <f>"1551685686098813"</f>
        <v>1551685686098813</v>
      </c>
      <c r="C2297" t="s">
        <v>40</v>
      </c>
      <c r="D2297">
        <v>4.4419659999999999</v>
      </c>
      <c r="E2297">
        <v>0.53413100000000002</v>
      </c>
      <c r="F2297" t="s">
        <v>60</v>
      </c>
      <c r="G2297">
        <v>-248.88509999999999</v>
      </c>
      <c r="H2297" s="1">
        <v>3.1914200000000002E-6</v>
      </c>
      <c r="I2297">
        <v>285.14839999999998</v>
      </c>
      <c r="J2297">
        <v>-223.07919999999999</v>
      </c>
      <c r="K2297">
        <v>1.1123719999999999</v>
      </c>
      <c r="L2297">
        <v>285.74329999999998</v>
      </c>
      <c r="M2297">
        <v>-0.99982459999999995</v>
      </c>
      <c r="N2297">
        <v>-1.150499E-2</v>
      </c>
      <c r="O2297">
        <v>1.4783579999999999E-2</v>
      </c>
      <c r="P2297">
        <v>-0.98401499999999997</v>
      </c>
      <c r="Q2297">
        <v>0.13040009999999999</v>
      </c>
      <c r="R2297">
        <v>-0.12128650000000001</v>
      </c>
      <c r="S2297">
        <v>-3.0572810000000001</v>
      </c>
      <c r="T2297">
        <v>-0.13085139999999901</v>
      </c>
      <c r="U2297">
        <v>-6.9824220000000006E-2</v>
      </c>
      <c r="V2297">
        <v>-0.1364204</v>
      </c>
      <c r="W2297">
        <v>0.14111399999999999</v>
      </c>
      <c r="X2297">
        <v>0.980549</v>
      </c>
      <c r="Y2297">
        <v>-3.7560059999999999E-2</v>
      </c>
      <c r="Z2297">
        <v>-1.4819010000000001E-3</v>
      </c>
      <c r="AA2297">
        <v>0.99929330000000005</v>
      </c>
      <c r="AB2297">
        <v>28</v>
      </c>
      <c r="AC2297">
        <v>-25.805900000000001</v>
      </c>
      <c r="AD2297">
        <v>-1.1123688085800001</v>
      </c>
      <c r="AE2297">
        <v>-0.59489999999999499</v>
      </c>
      <c r="AF2297">
        <v>-0.97455397143230504</v>
      </c>
      <c r="AG2297">
        <v>-1.1123688085800001</v>
      </c>
      <c r="AH2297">
        <v>25.746471083242401</v>
      </c>
      <c r="AI2297">
        <v>92.472140809197398</v>
      </c>
      <c r="AJ2297">
        <v>92.167721728147797</v>
      </c>
      <c r="AK2297">
        <v>25.788910272630201</v>
      </c>
      <c r="AL2297">
        <v>81.887686369405998</v>
      </c>
      <c r="AM2297">
        <v>97.920521576673806</v>
      </c>
      <c r="AN2297">
        <v>1.0000000139665799</v>
      </c>
    </row>
    <row r="2298" spans="1:40" x14ac:dyDescent="0.25">
      <c r="A2298" t="str">
        <f>"20190304154806125"</f>
        <v>20190304154806125</v>
      </c>
      <c r="B2298" t="str">
        <f>"1551685686119309"</f>
        <v>1551685686119309</v>
      </c>
      <c r="C2298" t="s">
        <v>40</v>
      </c>
      <c r="D2298">
        <v>4.4151610000000003</v>
      </c>
      <c r="E2298">
        <v>0.53501399999999999</v>
      </c>
      <c r="F2298" t="s">
        <v>60</v>
      </c>
      <c r="G2298">
        <v>-249.31559999999999</v>
      </c>
      <c r="H2298" s="1">
        <v>3.4205169999999999E-6</v>
      </c>
      <c r="I2298">
        <v>285.15960000000001</v>
      </c>
      <c r="J2298">
        <v>-223.2826</v>
      </c>
      <c r="K2298">
        <v>1.1123590000000001</v>
      </c>
      <c r="L2298">
        <v>285.74439999999998</v>
      </c>
      <c r="M2298">
        <v>-0.99984859999999998</v>
      </c>
      <c r="N2298">
        <v>-1.150581E-2</v>
      </c>
      <c r="O2298">
        <v>1.305474E-2</v>
      </c>
      <c r="P2298">
        <v>-0.98406190000000004</v>
      </c>
      <c r="Q2298">
        <v>0.1297237</v>
      </c>
      <c r="R2298">
        <v>-0.1216308</v>
      </c>
      <c r="S2298">
        <v>-3.0575260000000002</v>
      </c>
      <c r="T2298">
        <v>-0.12963269999999999</v>
      </c>
      <c r="U2298">
        <v>-6.8023680000000003E-2</v>
      </c>
      <c r="V2298">
        <v>-0.13505989999999901</v>
      </c>
      <c r="W2298">
        <v>0.14045170000000001</v>
      </c>
      <c r="X2298">
        <v>0.98083240000000005</v>
      </c>
      <c r="Y2298">
        <v>-3.524646E-2</v>
      </c>
      <c r="Z2298">
        <v>-1.352722E-3</v>
      </c>
      <c r="AA2298">
        <v>0.99937770000000004</v>
      </c>
      <c r="AB2298">
        <v>28</v>
      </c>
      <c r="AC2298">
        <v>-26.032999999999902</v>
      </c>
      <c r="AD2298">
        <v>-1.112355579483</v>
      </c>
      <c r="AE2298">
        <v>-0.58479999999997201</v>
      </c>
      <c r="AF2298">
        <v>-0.92294249449949195</v>
      </c>
      <c r="AG2298">
        <v>-1.112355579483</v>
      </c>
      <c r="AH2298">
        <v>25.9757453139243</v>
      </c>
      <c r="AI2298">
        <v>92.450526278185293</v>
      </c>
      <c r="AJ2298">
        <v>92.034916528249695</v>
      </c>
      <c r="AK2298">
        <v>26.015927859625101</v>
      </c>
      <c r="AL2298">
        <v>81.926015203367299</v>
      </c>
      <c r="AM2298">
        <v>97.840281371319307</v>
      </c>
      <c r="AN2298">
        <v>1.00000002675532</v>
      </c>
    </row>
    <row r="2299" spans="1:40" x14ac:dyDescent="0.25">
      <c r="A2299" t="str">
        <f>"20190304154806139"</f>
        <v>20190304154806139</v>
      </c>
      <c r="B2299" t="str">
        <f>"1551685686129069"</f>
        <v>1551685686129069</v>
      </c>
      <c r="C2299" t="s">
        <v>40</v>
      </c>
      <c r="D2299">
        <v>4.385955</v>
      </c>
      <c r="E2299">
        <v>0.5353618</v>
      </c>
      <c r="F2299" t="s">
        <v>60</v>
      </c>
      <c r="G2299">
        <v>-249.4701</v>
      </c>
      <c r="H2299" s="1">
        <v>3.5027360000000001E-6</v>
      </c>
      <c r="I2299">
        <v>285.21080000000001</v>
      </c>
      <c r="J2299">
        <v>-223.4659</v>
      </c>
      <c r="K2299">
        <v>1.1123419999999999</v>
      </c>
      <c r="L2299">
        <v>285.74520000000001</v>
      </c>
      <c r="M2299">
        <v>-0.99986739999999996</v>
      </c>
      <c r="N2299">
        <v>-1.15064E-2</v>
      </c>
      <c r="O2299">
        <v>1.151401E-2</v>
      </c>
      <c r="P2299">
        <v>-0.98400469999999896</v>
      </c>
      <c r="Q2299">
        <v>0.12960469999999999</v>
      </c>
      <c r="R2299">
        <v>-0.1222183</v>
      </c>
      <c r="S2299">
        <v>-3.0579990000000001</v>
      </c>
      <c r="T2299">
        <v>-0.12989319999999999</v>
      </c>
      <c r="U2299">
        <v>-6.231689E-2</v>
      </c>
      <c r="V2299">
        <v>-0.13412650000000001</v>
      </c>
      <c r="W2299">
        <v>0.140344</v>
      </c>
      <c r="X2299">
        <v>0.98097590000000001</v>
      </c>
      <c r="Y2299">
        <v>-3.1843129999999997E-2</v>
      </c>
      <c r="Z2299">
        <v>-1.2156280000000001E-3</v>
      </c>
      <c r="AA2299">
        <v>0.99949219999999905</v>
      </c>
      <c r="AB2299">
        <v>28</v>
      </c>
      <c r="AC2299">
        <v>-26.004200000000001</v>
      </c>
      <c r="AD2299">
        <v>-1.112338497264</v>
      </c>
      <c r="AE2299">
        <v>-0.53440000000000498</v>
      </c>
      <c r="AF2299">
        <v>-0.83227484898184301</v>
      </c>
      <c r="AG2299">
        <v>-1.112338497264</v>
      </c>
      <c r="AH2299">
        <v>25.948863136616399</v>
      </c>
      <c r="AI2299">
        <v>92.453310227956806</v>
      </c>
      <c r="AJ2299">
        <v>91.837055222675005</v>
      </c>
      <c r="AK2299">
        <v>25.9860246370928</v>
      </c>
      <c r="AL2299">
        <v>81.932247768386702</v>
      </c>
      <c r="AM2299">
        <v>97.785639026200798</v>
      </c>
      <c r="AN2299">
        <v>1.0000000363595201</v>
      </c>
    </row>
    <row r="2300" spans="1:40" x14ac:dyDescent="0.25">
      <c r="A2300" t="str">
        <f>"20190304154806160"</f>
        <v>20190304154806160</v>
      </c>
      <c r="B2300" t="str">
        <f>"1551685686148589"</f>
        <v>1551685686148589</v>
      </c>
      <c r="C2300" t="s">
        <v>40</v>
      </c>
      <c r="D2300">
        <v>4.3687170000000002</v>
      </c>
      <c r="E2300">
        <v>0.53607769999999899</v>
      </c>
      <c r="F2300" t="s">
        <v>60</v>
      </c>
      <c r="G2300">
        <v>-249.6644</v>
      </c>
      <c r="H2300" s="1">
        <v>3.6061300000000001E-6</v>
      </c>
      <c r="I2300">
        <v>285.21890000000002</v>
      </c>
      <c r="J2300">
        <v>-223.71029999999999</v>
      </c>
      <c r="K2300">
        <v>1.1123160000000001</v>
      </c>
      <c r="L2300">
        <v>285.74579999999997</v>
      </c>
      <c r="M2300">
        <v>-0.99988869999999996</v>
      </c>
      <c r="N2300">
        <v>-1.150696E-2</v>
      </c>
      <c r="O2300">
        <v>9.4925719999999995E-3</v>
      </c>
      <c r="P2300">
        <v>-0.98385880000000003</v>
      </c>
      <c r="Q2300">
        <v>0.1297702</v>
      </c>
      <c r="R2300">
        <v>-0.1232147</v>
      </c>
      <c r="S2300">
        <v>-3.0582280000000002</v>
      </c>
      <c r="T2300">
        <v>-0.1298463</v>
      </c>
      <c r="U2300">
        <v>-6.1431880000000001E-2</v>
      </c>
      <c r="V2300">
        <v>-0.1331262</v>
      </c>
      <c r="W2300">
        <v>0.14052439999999999</v>
      </c>
      <c r="X2300">
        <v>0.98108629999999997</v>
      </c>
      <c r="Y2300">
        <v>-2.9535390000000002E-2</v>
      </c>
      <c r="Z2300">
        <v>-1.0903460000000001E-3</v>
      </c>
      <c r="AA2300">
        <v>0.99956319999999999</v>
      </c>
      <c r="AB2300">
        <v>28</v>
      </c>
      <c r="AC2300">
        <v>-25.9541</v>
      </c>
      <c r="AD2300">
        <v>-1.1123123938699999</v>
      </c>
      <c r="AE2300">
        <v>-0.52689999999995496</v>
      </c>
      <c r="AF2300">
        <v>-0.771846663390923</v>
      </c>
      <c r="AG2300">
        <v>-1.1123123938699999</v>
      </c>
      <c r="AH2300">
        <v>25.900376509541399</v>
      </c>
      <c r="AI2300">
        <v>92.458012163363406</v>
      </c>
      <c r="AJ2300">
        <v>91.706943214215997</v>
      </c>
      <c r="AK2300">
        <v>25.935737688936999</v>
      </c>
      <c r="AL2300">
        <v>81.921807940023001</v>
      </c>
      <c r="AM2300">
        <v>97.727419780719103</v>
      </c>
      <c r="AN2300">
        <v>1.0000000100847399</v>
      </c>
    </row>
    <row r="2301" spans="1:40" x14ac:dyDescent="0.25">
      <c r="A2301" t="str">
        <f>"20190304154806179"</f>
        <v>20190304154806179</v>
      </c>
      <c r="B2301" t="str">
        <f>"1551685686169084"</f>
        <v>1551685686169084</v>
      </c>
      <c r="C2301" t="s">
        <v>40</v>
      </c>
      <c r="D2301">
        <v>4.3860460000000003</v>
      </c>
      <c r="E2301">
        <v>0.54878539999999998</v>
      </c>
      <c r="F2301" t="s">
        <v>60</v>
      </c>
      <c r="G2301">
        <v>-250.2466</v>
      </c>
      <c r="H2301" s="1">
        <v>-1.405558E-6</v>
      </c>
      <c r="I2301">
        <v>285.23430000000002</v>
      </c>
      <c r="J2301">
        <v>-223.9648</v>
      </c>
      <c r="K2301">
        <v>1.1122799999999999</v>
      </c>
      <c r="L2301">
        <v>285.74599999999998</v>
      </c>
      <c r="M2301">
        <v>-0.99990619999999997</v>
      </c>
      <c r="N2301">
        <v>-1.150734E-2</v>
      </c>
      <c r="O2301">
        <v>7.4310440000000004E-3</v>
      </c>
      <c r="P2301">
        <v>-0.98368789999999995</v>
      </c>
      <c r="Q2301">
        <v>0.1299141</v>
      </c>
      <c r="R2301">
        <v>-0.124421</v>
      </c>
      <c r="S2301">
        <v>-3.0587460000000002</v>
      </c>
      <c r="T2301">
        <v>-0.12821270000000001</v>
      </c>
      <c r="U2301">
        <v>-5.8959959999999999E-2</v>
      </c>
      <c r="V2301">
        <v>-0.1322932</v>
      </c>
      <c r="W2301">
        <v>0.14068439999999999</v>
      </c>
      <c r="X2301">
        <v>0.98117600000000005</v>
      </c>
      <c r="Y2301">
        <v>-2.6668620000000001E-2</v>
      </c>
      <c r="Z2301">
        <v>-9.3802619999999997E-4</v>
      </c>
      <c r="AA2301">
        <v>0.99964390000000003</v>
      </c>
      <c r="AB2301">
        <v>28</v>
      </c>
      <c r="AC2301">
        <v>-26.2818</v>
      </c>
      <c r="AD2301">
        <v>-1.1122814055579999</v>
      </c>
      <c r="AE2301">
        <v>-0.51169999999996196</v>
      </c>
      <c r="AF2301">
        <v>-0.705736445807847</v>
      </c>
      <c r="AG2301">
        <v>-1.1122814055579999</v>
      </c>
      <c r="AH2301">
        <v>26.230308303111599</v>
      </c>
      <c r="AI2301">
        <v>92.427263146945805</v>
      </c>
      <c r="AJ2301">
        <v>91.541192975275493</v>
      </c>
      <c r="AK2301">
        <v>26.263364360499899</v>
      </c>
      <c r="AL2301">
        <v>81.912548281916798</v>
      </c>
      <c r="AM2301">
        <v>97.678952723539894</v>
      </c>
      <c r="AN2301">
        <v>0.99999996707279903</v>
      </c>
    </row>
    <row r="2302" spans="1:40" x14ac:dyDescent="0.25">
      <c r="A2302" t="str">
        <f>"20190304154806194"</f>
        <v>20190304154806194</v>
      </c>
      <c r="B2302" t="str">
        <f>"1551685686188605"</f>
        <v>1551685686188605</v>
      </c>
      <c r="C2302" t="s">
        <v>40</v>
      </c>
      <c r="D2302">
        <v>4.3986190000000001</v>
      </c>
      <c r="E2302">
        <v>0.54784109999999997</v>
      </c>
      <c r="F2302" t="s">
        <v>60</v>
      </c>
      <c r="G2302">
        <v>-257.01400000000001</v>
      </c>
      <c r="H2302" s="1">
        <v>2.1957180000000001E-6</v>
      </c>
      <c r="I2302">
        <v>286.14280000000002</v>
      </c>
      <c r="J2302">
        <v>-224.136</v>
      </c>
      <c r="K2302">
        <v>1.1122479999999999</v>
      </c>
      <c r="L2302">
        <v>285.74579999999997</v>
      </c>
      <c r="M2302">
        <v>-0.99991549999999996</v>
      </c>
      <c r="N2302">
        <v>-1.150759E-2</v>
      </c>
      <c r="O2302">
        <v>6.0682920000000003E-3</v>
      </c>
      <c r="P2302">
        <v>-0.98355669999999995</v>
      </c>
      <c r="Q2302">
        <v>0.1297915</v>
      </c>
      <c r="R2302">
        <v>-0.12558130000000001</v>
      </c>
      <c r="S2302">
        <v>-3.0680540000000001</v>
      </c>
      <c r="T2302">
        <v>-0.103256</v>
      </c>
      <c r="U2302">
        <v>3.6834720000000001E-2</v>
      </c>
      <c r="V2302">
        <v>-0.132104</v>
      </c>
      <c r="W2302">
        <v>0.14057159999999999</v>
      </c>
      <c r="X2302">
        <v>0.98121769999999997</v>
      </c>
      <c r="Y2302">
        <v>5.9335259999999997E-3</v>
      </c>
      <c r="Z2302" s="1">
        <v>-3.7164860000000003E-7</v>
      </c>
      <c r="AA2302">
        <v>0.99998240000000005</v>
      </c>
      <c r="AB2302">
        <v>28</v>
      </c>
      <c r="AC2302">
        <v>-32.878</v>
      </c>
      <c r="AD2302">
        <v>-1.11224580428199</v>
      </c>
      <c r="AE2302">
        <v>0.39700000000004798</v>
      </c>
      <c r="AF2302">
        <v>0.19724050313983499</v>
      </c>
      <c r="AG2302">
        <v>-1.11224580428199</v>
      </c>
      <c r="AH2302">
        <v>32.842223553572403</v>
      </c>
      <c r="AI2302">
        <v>91.939621891221194</v>
      </c>
      <c r="AJ2302">
        <v>89.655902941737693</v>
      </c>
      <c r="AK2302">
        <v>32.861643940741203</v>
      </c>
      <c r="AL2302">
        <v>81.919076450689303</v>
      </c>
      <c r="AM2302">
        <v>97.667779374454994</v>
      </c>
      <c r="AN2302">
        <v>1.0000000081679199</v>
      </c>
    </row>
    <row r="2303" spans="1:40" x14ac:dyDescent="0.25">
      <c r="A2303" t="str">
        <f>"20190304154806214"</f>
        <v>20190304154806214</v>
      </c>
      <c r="B2303" t="str">
        <f>"1551685686209100"</f>
        <v>1551685686209100</v>
      </c>
      <c r="C2303" t="s">
        <v>40</v>
      </c>
      <c r="D2303">
        <v>4.4029420000000004</v>
      </c>
      <c r="E2303">
        <v>0.54797169999999995</v>
      </c>
      <c r="F2303" t="s">
        <v>60</v>
      </c>
      <c r="G2303">
        <v>-257.7124</v>
      </c>
      <c r="H2303" s="1">
        <v>2.5673489999999998E-6</v>
      </c>
      <c r="I2303">
        <v>286.02980000000002</v>
      </c>
      <c r="J2303">
        <v>-224.38460000000001</v>
      </c>
      <c r="K2303">
        <v>1.1122080000000001</v>
      </c>
      <c r="L2303">
        <v>285.74520000000001</v>
      </c>
      <c r="M2303">
        <v>-0.99992530000000002</v>
      </c>
      <c r="N2303">
        <v>-1.150791E-2</v>
      </c>
      <c r="O2303">
        <v>4.1389180000000001E-3</v>
      </c>
      <c r="P2303">
        <v>-0.98331789999999997</v>
      </c>
      <c r="Q2303">
        <v>0.13007299999999999</v>
      </c>
      <c r="R2303">
        <v>-0.12715080000000001</v>
      </c>
      <c r="S2303">
        <v>-3.0668950000000001</v>
      </c>
      <c r="T2303">
        <v>-0.1015935</v>
      </c>
      <c r="U2303">
        <v>2.5939940000000002E-2</v>
      </c>
      <c r="V2303">
        <v>-0.1317634</v>
      </c>
      <c r="W2303">
        <v>0.14086760000000001</v>
      </c>
      <c r="X2303">
        <v>0.98122100000000001</v>
      </c>
      <c r="Y2303">
        <v>4.3164049999999997E-3</v>
      </c>
      <c r="Z2303" s="1">
        <v>6.876846E-6</v>
      </c>
      <c r="AA2303">
        <v>0.99999070000000001</v>
      </c>
      <c r="AB2303">
        <v>28</v>
      </c>
      <c r="AC2303">
        <v>-33.327800000000003</v>
      </c>
      <c r="AD2303">
        <v>-1.112205432651</v>
      </c>
      <c r="AE2303">
        <v>0.28460000000001101</v>
      </c>
      <c r="AF2303">
        <v>0.14648428411380399</v>
      </c>
      <c r="AG2303">
        <v>-1.112205432651</v>
      </c>
      <c r="AH2303">
        <v>33.291619319453098</v>
      </c>
      <c r="AI2303">
        <v>91.913405556574304</v>
      </c>
      <c r="AJ2303">
        <v>89.747898202200005</v>
      </c>
      <c r="AK2303">
        <v>33.310514488390801</v>
      </c>
      <c r="AL2303">
        <v>81.901946076084698</v>
      </c>
      <c r="AM2303">
        <v>97.648218646716799</v>
      </c>
      <c r="AN2303">
        <v>0.999999962575159</v>
      </c>
    </row>
    <row r="2304" spans="1:40" x14ac:dyDescent="0.25">
      <c r="A2304" t="str">
        <f>"20190304154806238"</f>
        <v>20190304154806238</v>
      </c>
      <c r="B2304" t="str">
        <f>"1551685686228621"</f>
        <v>1551685686228621</v>
      </c>
      <c r="C2304" t="s">
        <v>40</v>
      </c>
      <c r="D2304">
        <v>4.3923360000000002</v>
      </c>
      <c r="E2304">
        <v>0.54785759999999994</v>
      </c>
      <c r="F2304" t="s">
        <v>60</v>
      </c>
      <c r="G2304">
        <v>-257.5924</v>
      </c>
      <c r="H2304" s="1">
        <v>2.5034980000000002E-6</v>
      </c>
      <c r="I2304">
        <v>285.9837</v>
      </c>
      <c r="J2304">
        <v>-224.68039999999999</v>
      </c>
      <c r="K2304">
        <v>1.1121559999999999</v>
      </c>
      <c r="L2304">
        <v>285.74400000000003</v>
      </c>
      <c r="M2304">
        <v>-0.99993200000000004</v>
      </c>
      <c r="N2304">
        <v>-1.1508040000000001E-2</v>
      </c>
      <c r="O2304">
        <v>1.9232539999999999E-3</v>
      </c>
      <c r="P2304">
        <v>-0.98308859999999998</v>
      </c>
      <c r="Q2304">
        <v>0.1295502</v>
      </c>
      <c r="R2304">
        <v>-0.12943689999999999</v>
      </c>
      <c r="S2304">
        <v>-3.0673219999999999</v>
      </c>
      <c r="T2304">
        <v>-0.10273160000000001</v>
      </c>
      <c r="U2304">
        <v>2.2033690000000002E-2</v>
      </c>
      <c r="V2304">
        <v>-0.1318511</v>
      </c>
      <c r="W2304">
        <v>0.14036199999999999</v>
      </c>
      <c r="X2304">
        <v>0.98128170000000003</v>
      </c>
      <c r="Y2304">
        <v>5.2563389999999996E-3</v>
      </c>
      <c r="Z2304" s="1">
        <v>7.5989609999999996E-5</v>
      </c>
      <c r="AA2304">
        <v>0.99998620000000005</v>
      </c>
      <c r="AB2304">
        <v>28</v>
      </c>
      <c r="AC2304">
        <v>-32.911999999999999</v>
      </c>
      <c r="AD2304">
        <v>-1.1121534965019999</v>
      </c>
      <c r="AE2304">
        <v>0.23969999999996999</v>
      </c>
      <c r="AF2304">
        <v>0.17619604922272</v>
      </c>
      <c r="AG2304">
        <v>-1.1121534965019999</v>
      </c>
      <c r="AH2304">
        <v>32.8748629610105</v>
      </c>
      <c r="AI2304">
        <v>91.937544046833096</v>
      </c>
      <c r="AJ2304">
        <v>89.692920595970193</v>
      </c>
      <c r="AK2304">
        <v>32.894141501987299</v>
      </c>
      <c r="AL2304">
        <v>81.931205750625097</v>
      </c>
      <c r="AM2304">
        <v>97.652781082661903</v>
      </c>
      <c r="AN2304">
        <v>0.99999998918504895</v>
      </c>
    </row>
    <row r="2305" spans="1:40" x14ac:dyDescent="0.25">
      <c r="A2305" t="str">
        <f>"20190304154806253"</f>
        <v>20190304154806253</v>
      </c>
      <c r="B2305" t="str">
        <f>"1551685686249117"</f>
        <v>1551685686249117</v>
      </c>
      <c r="C2305" t="s">
        <v>40</v>
      </c>
      <c r="D2305">
        <v>4.3890349999999998</v>
      </c>
      <c r="E2305">
        <v>0.54781919999999995</v>
      </c>
      <c r="F2305" t="s">
        <v>60</v>
      </c>
      <c r="G2305">
        <v>-257.0958</v>
      </c>
      <c r="H2305" s="1">
        <v>2.2392379999999999E-6</v>
      </c>
      <c r="I2305">
        <v>285.89519999999999</v>
      </c>
      <c r="J2305">
        <v>-224.85130000000001</v>
      </c>
      <c r="K2305">
        <v>1.112125</v>
      </c>
      <c r="L2305">
        <v>285.74299999999999</v>
      </c>
      <c r="M2305">
        <v>-0.99993359999999998</v>
      </c>
      <c r="N2305">
        <v>-1.1508060000000001E-2</v>
      </c>
      <c r="O2305">
        <v>6.7526999999999995E-4</v>
      </c>
      <c r="P2305">
        <v>-0.98295679999999996</v>
      </c>
      <c r="Q2305">
        <v>0.129145699999999</v>
      </c>
      <c r="R2305">
        <v>-0.1308348</v>
      </c>
      <c r="S2305">
        <v>-3.0673680000000001</v>
      </c>
      <c r="T2305">
        <v>-0.1052396</v>
      </c>
      <c r="U2305">
        <v>1.4312739999999999E-2</v>
      </c>
      <c r="V2305">
        <v>-0.13201019999999999</v>
      </c>
      <c r="W2305">
        <v>0.13996729999999999</v>
      </c>
      <c r="X2305">
        <v>0.98131670000000004</v>
      </c>
      <c r="Y2305">
        <v>3.9878149999999996E-3</v>
      </c>
      <c r="Z2305" s="1">
        <v>7.5953809999999998E-5</v>
      </c>
      <c r="AA2305">
        <v>0.99999210000000005</v>
      </c>
      <c r="AB2305">
        <v>28</v>
      </c>
      <c r="AC2305">
        <v>-32.244499999999903</v>
      </c>
      <c r="AD2305">
        <v>-1.1121227607619999</v>
      </c>
      <c r="AE2305">
        <v>0.15219999999999301</v>
      </c>
      <c r="AF2305">
        <v>0.13026981777292501</v>
      </c>
      <c r="AG2305">
        <v>-1.1121227607619999</v>
      </c>
      <c r="AH2305">
        <v>32.206284287226403</v>
      </c>
      <c r="AI2305">
        <v>91.977692015492494</v>
      </c>
      <c r="AJ2305">
        <v>89.768248023124698</v>
      </c>
      <c r="AK2305">
        <v>32.225743356051098</v>
      </c>
      <c r="AL2305">
        <v>81.954045970529904</v>
      </c>
      <c r="AM2305">
        <v>97.661635762429995</v>
      </c>
      <c r="AN2305">
        <v>1.0000000018361099</v>
      </c>
    </row>
    <row r="2306" spans="1:40" x14ac:dyDescent="0.25">
      <c r="A2306" t="str">
        <f>"20190304154806269"</f>
        <v>20190304154806269</v>
      </c>
      <c r="B2306" t="str">
        <f>"1551685686258879"</f>
        <v>1551685686258879</v>
      </c>
      <c r="C2306" t="s">
        <v>40</v>
      </c>
      <c r="D2306">
        <v>4.4157929999999999</v>
      </c>
      <c r="E2306">
        <v>0.54796499999999904</v>
      </c>
      <c r="F2306" t="s">
        <v>60</v>
      </c>
      <c r="G2306">
        <v>-256.8954</v>
      </c>
      <c r="H2306" s="1">
        <v>2.1325899999999999E-6</v>
      </c>
      <c r="I2306">
        <v>285.84219999999999</v>
      </c>
      <c r="J2306">
        <v>-225.07239999999999</v>
      </c>
      <c r="K2306">
        <v>1.112085</v>
      </c>
      <c r="L2306">
        <v>285.74149999999997</v>
      </c>
      <c r="M2306">
        <v>-0.99993350000000003</v>
      </c>
      <c r="N2306">
        <v>-1.150809E-2</v>
      </c>
      <c r="O2306">
        <v>-8.8667439999999998E-4</v>
      </c>
      <c r="P2306">
        <v>-0.98272789999999999</v>
      </c>
      <c r="Q2306">
        <v>0.12933729999999999</v>
      </c>
      <c r="R2306">
        <v>-0.1323561</v>
      </c>
      <c r="S2306">
        <v>-3.0672450000000002</v>
      </c>
      <c r="T2306">
        <v>-0.1064517</v>
      </c>
      <c r="U2306">
        <v>9.4909669999999995E-3</v>
      </c>
      <c r="V2306">
        <v>-0.13198199999999999</v>
      </c>
      <c r="W2306">
        <v>0.14017270000000001</v>
      </c>
      <c r="X2306">
        <v>0.98129120000000003</v>
      </c>
      <c r="Y2306">
        <v>3.977581E-3</v>
      </c>
      <c r="Z2306">
        <v>1.124605E-4</v>
      </c>
      <c r="AA2306">
        <v>0.99999210000000005</v>
      </c>
      <c r="AB2306">
        <v>28</v>
      </c>
      <c r="AC2306">
        <v>-31.823</v>
      </c>
      <c r="AD2306">
        <v>-1.1120828674100001</v>
      </c>
      <c r="AE2306">
        <v>0.100700000000017</v>
      </c>
      <c r="AF2306">
        <v>0.12876122174201701</v>
      </c>
      <c r="AG2306">
        <v>-1.1120828674100001</v>
      </c>
      <c r="AH2306">
        <v>31.784083390132999</v>
      </c>
      <c r="AI2306">
        <v>92.003869347428207</v>
      </c>
      <c r="AJ2306">
        <v>89.767889036726302</v>
      </c>
      <c r="AK2306">
        <v>31.803793244000701</v>
      </c>
      <c r="AL2306">
        <v>81.942160444670193</v>
      </c>
      <c r="AM2306">
        <v>97.660215210678402</v>
      </c>
      <c r="AN2306">
        <v>1.00000002667336</v>
      </c>
    </row>
    <row r="2307" spans="1:40" x14ac:dyDescent="0.25">
      <c r="A2307" t="str">
        <f>"20190304154806284"</f>
        <v>20190304154806284</v>
      </c>
      <c r="B2307" t="str">
        <f>"1551685686279373"</f>
        <v>1551685686279373</v>
      </c>
      <c r="C2307" t="s">
        <v>40</v>
      </c>
      <c r="D2307">
        <v>4.4046659999999997</v>
      </c>
      <c r="E2307">
        <v>0.54804869999999895</v>
      </c>
      <c r="F2307" t="s">
        <v>60</v>
      </c>
      <c r="G2307">
        <v>-257.24619999999999</v>
      </c>
      <c r="H2307" s="1">
        <v>2.3192970000000001E-6</v>
      </c>
      <c r="I2307">
        <v>285.80189999999999</v>
      </c>
      <c r="J2307">
        <v>-225.24119999999999</v>
      </c>
      <c r="K2307">
        <v>1.11205</v>
      </c>
      <c r="L2307">
        <v>285.74</v>
      </c>
      <c r="M2307">
        <v>-0.99993180000000004</v>
      </c>
      <c r="N2307">
        <v>-1.1508000000000001E-2</v>
      </c>
      <c r="O2307">
        <v>-2.0358809999999998E-3</v>
      </c>
      <c r="P2307">
        <v>-0.98257539999999999</v>
      </c>
      <c r="Q2307">
        <v>0.1295972</v>
      </c>
      <c r="R2307">
        <v>-0.1332303</v>
      </c>
      <c r="S2307">
        <v>-3.0674589999999999</v>
      </c>
      <c r="T2307">
        <v>-0.1060261</v>
      </c>
      <c r="U2307">
        <v>5.7678219999999997E-3</v>
      </c>
      <c r="V2307">
        <v>-0.1317161</v>
      </c>
      <c r="W2307">
        <v>0.1404446</v>
      </c>
      <c r="X2307">
        <v>0.98128800000000005</v>
      </c>
      <c r="Y2307">
        <v>3.912675E-3</v>
      </c>
      <c r="Z2307">
        <v>1.3704709999999901E-4</v>
      </c>
      <c r="AA2307">
        <v>0.99999229999999995</v>
      </c>
      <c r="AB2307">
        <v>28</v>
      </c>
      <c r="AC2307">
        <v>-32.004999999999903</v>
      </c>
      <c r="AD2307">
        <v>-1.112047680703</v>
      </c>
      <c r="AE2307">
        <v>6.1899999999979999E-2</v>
      </c>
      <c r="AF2307">
        <v>0.12690933650688299</v>
      </c>
      <c r="AG2307">
        <v>-1.112047680703</v>
      </c>
      <c r="AH2307">
        <v>31.966215326611898</v>
      </c>
      <c r="AI2307">
        <v>91.992398908657293</v>
      </c>
      <c r="AJ2307">
        <v>89.772530745803806</v>
      </c>
      <c r="AK2307">
        <v>31.985804325218599</v>
      </c>
      <c r="AL2307">
        <v>81.9264256781142</v>
      </c>
      <c r="AM2307">
        <v>97.644989752284005</v>
      </c>
      <c r="AN2307">
        <v>0.99999997780618399</v>
      </c>
    </row>
    <row r="2308" spans="1:40" x14ac:dyDescent="0.25">
      <c r="A2308" t="str">
        <f>"20190304154806297"</f>
        <v>20190304154806297</v>
      </c>
      <c r="B2308" t="str">
        <f>"1551685686289134"</f>
        <v>1551685686289134</v>
      </c>
      <c r="C2308" t="s">
        <v>40</v>
      </c>
      <c r="D2308">
        <v>4.4443799999999998</v>
      </c>
      <c r="E2308">
        <v>0.54824539999999999</v>
      </c>
      <c r="F2308" t="s">
        <v>60</v>
      </c>
      <c r="G2308">
        <v>-257.80040000000002</v>
      </c>
      <c r="H2308" s="1">
        <v>2.614188E-6</v>
      </c>
      <c r="I2308">
        <v>285.77690000000001</v>
      </c>
      <c r="J2308">
        <v>-225.4119</v>
      </c>
      <c r="K2308">
        <v>1.1120139999999901</v>
      </c>
      <c r="L2308">
        <v>285.73849999999999</v>
      </c>
      <c r="M2308">
        <v>-0.99992879999999995</v>
      </c>
      <c r="N2308">
        <v>-1.150787E-2</v>
      </c>
      <c r="O2308">
        <v>-3.1670219999999998E-3</v>
      </c>
      <c r="P2308">
        <v>-0.98243369999999997</v>
      </c>
      <c r="Q2308">
        <v>0.12964769999999901</v>
      </c>
      <c r="R2308">
        <v>-0.13422200000000001</v>
      </c>
      <c r="S2308">
        <v>-3.0675050000000001</v>
      </c>
      <c r="T2308">
        <v>-0.1047695</v>
      </c>
      <c r="U2308">
        <v>3.479004E-3</v>
      </c>
      <c r="V2308">
        <v>-0.13158259999999999</v>
      </c>
      <c r="W2308">
        <v>0.14050789999999999</v>
      </c>
      <c r="X2308">
        <v>0.98129690000000003</v>
      </c>
      <c r="Y2308">
        <v>4.2972089999999998E-3</v>
      </c>
      <c r="Z2308">
        <v>1.6979660000000001E-4</v>
      </c>
      <c r="AA2308">
        <v>0.99999079999999996</v>
      </c>
      <c r="AB2308">
        <v>28</v>
      </c>
      <c r="AC2308">
        <v>-32.388500000000001</v>
      </c>
      <c r="AD2308">
        <v>-1.11201138581199</v>
      </c>
      <c r="AE2308">
        <v>3.8400000000024102E-2</v>
      </c>
      <c r="AF2308">
        <v>0.140815696752078</v>
      </c>
      <c r="AG2308">
        <v>-1.11201138581199</v>
      </c>
      <c r="AH2308">
        <v>32.350081996902503</v>
      </c>
      <c r="AI2308">
        <v>91.968708443726996</v>
      </c>
      <c r="AJ2308">
        <v>89.750600503657296</v>
      </c>
      <c r="AK2308">
        <v>32.369494954183999</v>
      </c>
      <c r="AL2308">
        <v>81.9227629419142</v>
      </c>
      <c r="AM2308">
        <v>97.637264275979504</v>
      </c>
      <c r="AN2308">
        <v>1.00000002826738</v>
      </c>
    </row>
    <row r="2309" spans="1:40" x14ac:dyDescent="0.25">
      <c r="A2309" t="str">
        <f>"20190304154806314"</f>
        <v>20190304154806314</v>
      </c>
      <c r="B2309" t="str">
        <f>"1551685686308654"</f>
        <v>1551685686308654</v>
      </c>
      <c r="C2309" t="s">
        <v>40</v>
      </c>
      <c r="D2309">
        <v>4.4213769999999997</v>
      </c>
      <c r="E2309">
        <v>0.54865240000000004</v>
      </c>
      <c r="F2309" t="s">
        <v>60</v>
      </c>
      <c r="G2309">
        <v>-258.1644</v>
      </c>
      <c r="H2309" s="1">
        <v>2.8079010000000001E-6</v>
      </c>
      <c r="I2309">
        <v>285.75970000000001</v>
      </c>
      <c r="J2309">
        <v>-225.6164</v>
      </c>
      <c r="K2309">
        <v>1.11196299999999</v>
      </c>
      <c r="L2309">
        <v>285.73649999999998</v>
      </c>
      <c r="M2309">
        <v>-0.99992380000000003</v>
      </c>
      <c r="N2309">
        <v>-1.150761E-2</v>
      </c>
      <c r="O2309">
        <v>-4.471137E-3</v>
      </c>
      <c r="P2309">
        <v>-0.98223689999999997</v>
      </c>
      <c r="Q2309">
        <v>0.1303204</v>
      </c>
      <c r="R2309">
        <v>-0.13500870000000001</v>
      </c>
      <c r="S2309">
        <v>-3.0676570000000001</v>
      </c>
      <c r="T2309">
        <v>-0.104153</v>
      </c>
      <c r="U2309">
        <v>1.9836430000000002E-3</v>
      </c>
      <c r="V2309">
        <v>-0.13107260000000001</v>
      </c>
      <c r="W2309">
        <v>0.14119899999999999</v>
      </c>
      <c r="X2309">
        <v>0.98126590000000002</v>
      </c>
      <c r="Y2309">
        <v>5.1129849999999996E-3</v>
      </c>
      <c r="Z2309">
        <v>2.1652020000000001E-4</v>
      </c>
      <c r="AA2309">
        <v>0.99998690000000001</v>
      </c>
      <c r="AB2309">
        <v>28</v>
      </c>
      <c r="AC2309">
        <v>-32.548000000000002</v>
      </c>
      <c r="AD2309">
        <v>-1.1119601920990001</v>
      </c>
      <c r="AE2309">
        <v>2.3200000000031199E-2</v>
      </c>
      <c r="AF2309">
        <v>0.168539258250337</v>
      </c>
      <c r="AG2309">
        <v>-1.1119601920990001</v>
      </c>
      <c r="AH2309">
        <v>32.509627012774899</v>
      </c>
      <c r="AI2309">
        <v>91.958956431328701</v>
      </c>
      <c r="AJ2309">
        <v>89.702964858232406</v>
      </c>
      <c r="AK2309">
        <v>32.529074832526803</v>
      </c>
      <c r="AL2309">
        <v>81.882766655646705</v>
      </c>
      <c r="AM2309">
        <v>97.608247982710395</v>
      </c>
      <c r="AN2309">
        <v>0.99999997528728402</v>
      </c>
    </row>
    <row r="2310" spans="1:40" x14ac:dyDescent="0.25">
      <c r="A2310" t="str">
        <f>"20190304154806327"</f>
        <v>20190304154806327</v>
      </c>
      <c r="B2310" t="str">
        <f>"1551685686319389"</f>
        <v>1551685686319389</v>
      </c>
      <c r="C2310" t="s">
        <v>40</v>
      </c>
      <c r="D2310">
        <v>4.4471480000000003</v>
      </c>
      <c r="E2310">
        <v>0.54876729999999996</v>
      </c>
      <c r="F2310" t="s">
        <v>60</v>
      </c>
      <c r="G2310">
        <v>-259.36250000000001</v>
      </c>
      <c r="H2310" s="1">
        <v>3.445467E-6</v>
      </c>
      <c r="I2310">
        <v>285.76499999999999</v>
      </c>
      <c r="J2310">
        <v>-225.78739999999999</v>
      </c>
      <c r="K2310">
        <v>1.111912</v>
      </c>
      <c r="L2310">
        <v>285.7346</v>
      </c>
      <c r="M2310">
        <v>-0.99991859999999999</v>
      </c>
      <c r="N2310">
        <v>-1.15073E-2</v>
      </c>
      <c r="O2310">
        <v>-5.5138119999999999E-3</v>
      </c>
      <c r="P2310">
        <v>-0.98205209999999998</v>
      </c>
      <c r="Q2310">
        <v>0.13091340000000001</v>
      </c>
      <c r="R2310">
        <v>-0.13577790000000001</v>
      </c>
      <c r="S2310">
        <v>-3.0680079999999998</v>
      </c>
      <c r="T2310">
        <v>-0.10109310000000001</v>
      </c>
      <c r="U2310">
        <v>2.5939940000000001E-3</v>
      </c>
      <c r="V2310">
        <v>-0.13080330000000001</v>
      </c>
      <c r="W2310">
        <v>0.1418065</v>
      </c>
      <c r="X2310">
        <v>0.98121420000000004</v>
      </c>
      <c r="Y2310">
        <v>6.3537400000000001E-3</v>
      </c>
      <c r="Z2310">
        <v>2.5941750000000002E-4</v>
      </c>
      <c r="AA2310">
        <v>0.99997979999999997</v>
      </c>
      <c r="AB2310">
        <v>28</v>
      </c>
      <c r="AC2310">
        <v>-33.575099999999999</v>
      </c>
      <c r="AD2310">
        <v>-1.1119085545330001</v>
      </c>
      <c r="AE2310">
        <v>3.03999999999859E-2</v>
      </c>
      <c r="AF2310">
        <v>0.21530245237912099</v>
      </c>
      <c r="AG2310">
        <v>-1.1119085545330001</v>
      </c>
      <c r="AH2310">
        <v>33.537639893769303</v>
      </c>
      <c r="AI2310">
        <v>91.898852434452294</v>
      </c>
      <c r="AJ2310">
        <v>89.632181858439694</v>
      </c>
      <c r="AK2310">
        <v>33.5567576715003</v>
      </c>
      <c r="AL2310">
        <v>81.8476054372791</v>
      </c>
      <c r="AM2310">
        <v>97.593194127450104</v>
      </c>
      <c r="AN2310">
        <v>0.99999994650738799</v>
      </c>
    </row>
    <row r="2311" spans="1:40" x14ac:dyDescent="0.25">
      <c r="A2311" t="str">
        <f>"20190304154806339"</f>
        <v>20190304154806339</v>
      </c>
      <c r="B2311" t="str">
        <f>"1551685686329149"</f>
        <v>1551685686329149</v>
      </c>
      <c r="C2311" t="s">
        <v>40</v>
      </c>
      <c r="D2311">
        <v>4.407769</v>
      </c>
      <c r="E2311">
        <v>0.5490351</v>
      </c>
      <c r="F2311" t="s">
        <v>60</v>
      </c>
      <c r="G2311">
        <v>-260.36829999999998</v>
      </c>
      <c r="H2311" s="1">
        <v>-1.340816E-6</v>
      </c>
      <c r="I2311">
        <v>285.74590000000001</v>
      </c>
      <c r="J2311">
        <v>-225.9366</v>
      </c>
      <c r="K2311">
        <v>1.111872</v>
      </c>
      <c r="L2311">
        <v>285.7328</v>
      </c>
      <c r="M2311">
        <v>-0.9999133</v>
      </c>
      <c r="N2311">
        <v>-1.1507E-2</v>
      </c>
      <c r="O2311">
        <v>-6.3903099999999997E-3</v>
      </c>
      <c r="P2311">
        <v>-0.98193260000000004</v>
      </c>
      <c r="Q2311">
        <v>0.13103110000000001</v>
      </c>
      <c r="R2311">
        <v>-0.13652529999999999</v>
      </c>
      <c r="S2311">
        <v>-3.0681150000000001</v>
      </c>
      <c r="T2311">
        <v>-9.8652119999999996E-2</v>
      </c>
      <c r="U2311">
        <v>1.00708E-3</v>
      </c>
      <c r="V2311">
        <v>-0.13067590000000001</v>
      </c>
      <c r="W2311">
        <v>0.14193720000000001</v>
      </c>
      <c r="X2311">
        <v>0.98121230000000004</v>
      </c>
      <c r="Y2311">
        <v>6.712895E-3</v>
      </c>
      <c r="Z2311">
        <v>2.7842870000000002E-4</v>
      </c>
      <c r="AA2311">
        <v>0.99997740000000002</v>
      </c>
      <c r="AB2311">
        <v>28</v>
      </c>
      <c r="AC2311">
        <v>-34.4316999999999</v>
      </c>
      <c r="AD2311">
        <v>-1.111873340816</v>
      </c>
      <c r="AE2311">
        <v>1.3100000000008501E-2</v>
      </c>
      <c r="AF2311">
        <v>0.232900689196194</v>
      </c>
      <c r="AG2311">
        <v>-1.111873340816</v>
      </c>
      <c r="AH2311">
        <v>34.395046608545698</v>
      </c>
      <c r="AI2311">
        <v>91.8514879356526</v>
      </c>
      <c r="AJ2311">
        <v>89.612036502088102</v>
      </c>
      <c r="AK2311">
        <v>34.413801537480303</v>
      </c>
      <c r="AL2311">
        <v>81.840040539686399</v>
      </c>
      <c r="AM2311">
        <v>97.585899180660306</v>
      </c>
      <c r="AN2311">
        <v>0.99999996862796903</v>
      </c>
    </row>
    <row r="2312" spans="1:40" x14ac:dyDescent="0.25">
      <c r="A2312" t="str">
        <f>"20190304154806360"</f>
        <v>20190304154806360</v>
      </c>
      <c r="B2312" t="str">
        <f>"1551685686348672"</f>
        <v>1551685686348672</v>
      </c>
      <c r="C2312" t="s">
        <v>40</v>
      </c>
      <c r="D2312">
        <v>4.417891</v>
      </c>
      <c r="E2312">
        <v>0.54940269999999902</v>
      </c>
      <c r="F2312" t="s">
        <v>60</v>
      </c>
      <c r="G2312">
        <v>-260.91849999999999</v>
      </c>
      <c r="H2312" s="1">
        <v>-1.0479839999999999E-6</v>
      </c>
      <c r="I2312">
        <v>285.74430000000001</v>
      </c>
      <c r="J2312">
        <v>-226.1806</v>
      </c>
      <c r="K2312">
        <v>1.111801</v>
      </c>
      <c r="L2312">
        <v>285.72969999999998</v>
      </c>
      <c r="M2312">
        <v>-0.99990380000000001</v>
      </c>
      <c r="N2312">
        <v>-1.1506590000000001E-2</v>
      </c>
      <c r="O2312">
        <v>-7.7654530000000003E-3</v>
      </c>
      <c r="P2312">
        <v>-0.98192559999999995</v>
      </c>
      <c r="Q2312">
        <v>0.1305492</v>
      </c>
      <c r="R2312">
        <v>-0.13703750000000001</v>
      </c>
      <c r="S2312">
        <v>-3.0683590000000001</v>
      </c>
      <c r="T2312">
        <v>-9.7525360000000005E-2</v>
      </c>
      <c r="U2312">
        <v>1.00708E-3</v>
      </c>
      <c r="V2312">
        <v>-0.1298118</v>
      </c>
      <c r="W2312">
        <v>0.14148129999999901</v>
      </c>
      <c r="X2312">
        <v>0.98139290000000001</v>
      </c>
      <c r="Y2312">
        <v>8.087014E-3</v>
      </c>
      <c r="Z2312">
        <v>3.3244330000000002E-4</v>
      </c>
      <c r="AA2312">
        <v>0.99996719999999895</v>
      </c>
      <c r="AB2312">
        <v>28</v>
      </c>
      <c r="AC2312">
        <v>-34.737900000000003</v>
      </c>
      <c r="AD2312">
        <v>-1.1118020479840001</v>
      </c>
      <c r="AE2312">
        <v>1.46000000000299E-2</v>
      </c>
      <c r="AF2312">
        <v>0.28408190818196699</v>
      </c>
      <c r="AG2312">
        <v>-1.1118020479840001</v>
      </c>
      <c r="AH2312">
        <v>34.701192960378101</v>
      </c>
      <c r="AI2312">
        <v>91.835027667940395</v>
      </c>
      <c r="AJ2312">
        <v>89.530957601607696</v>
      </c>
      <c r="AK2312">
        <v>34.720161278396397</v>
      </c>
      <c r="AL2312">
        <v>81.866428588515802</v>
      </c>
      <c r="AM2312">
        <v>97.534944625640193</v>
      </c>
      <c r="AN2312">
        <v>1.00000004291966</v>
      </c>
    </row>
    <row r="2313" spans="1:40" x14ac:dyDescent="0.25">
      <c r="A2313" t="str">
        <f>"20190304154806373"</f>
        <v>20190304154806373</v>
      </c>
      <c r="B2313" t="str">
        <f>"1551685686369166"</f>
        <v>1551685686369166</v>
      </c>
      <c r="C2313" t="s">
        <v>40</v>
      </c>
      <c r="D2313">
        <v>4.4294250000000002</v>
      </c>
      <c r="E2313">
        <v>0.54973419999999995</v>
      </c>
      <c r="F2313" t="s">
        <v>60</v>
      </c>
      <c r="G2313">
        <v>-260.92930000000001</v>
      </c>
      <c r="H2313" s="1">
        <v>-1.0422440000000001E-6</v>
      </c>
      <c r="I2313">
        <v>285.75700000000001</v>
      </c>
      <c r="J2313">
        <v>-226.34039999999999</v>
      </c>
      <c r="K2313">
        <v>1.1117539999999999</v>
      </c>
      <c r="L2313">
        <v>285.7276</v>
      </c>
      <c r="M2313">
        <v>-0.99989660000000002</v>
      </c>
      <c r="N2313">
        <v>-1.150638E-2</v>
      </c>
      <c r="O2313">
        <v>-8.6283079999999995E-3</v>
      </c>
      <c r="P2313">
        <v>-0.98188620000000004</v>
      </c>
      <c r="Q2313">
        <v>0.13043689999999999</v>
      </c>
      <c r="R2313">
        <v>-0.13742509999999999</v>
      </c>
      <c r="S2313">
        <v>-3.068619</v>
      </c>
      <c r="T2313">
        <v>-9.8181840000000006E-2</v>
      </c>
      <c r="U2313">
        <v>2.4108889999999998E-3</v>
      </c>
      <c r="V2313">
        <v>-0.1293358</v>
      </c>
      <c r="W2313">
        <v>0.1413855</v>
      </c>
      <c r="X2313">
        <v>0.98146949999999999</v>
      </c>
      <c r="Y2313">
        <v>9.4061509999999997E-3</v>
      </c>
      <c r="Z2313">
        <v>3.812997E-4</v>
      </c>
      <c r="AA2313">
        <v>0.9999557</v>
      </c>
      <c r="AB2313">
        <v>28</v>
      </c>
      <c r="AC2313">
        <v>-34.588900000000002</v>
      </c>
      <c r="AD2313">
        <v>-1.1117550422439999</v>
      </c>
      <c r="AE2313">
        <v>2.9400000000009599E-2</v>
      </c>
      <c r="AF2313">
        <v>0.32752397165021802</v>
      </c>
      <c r="AG2313">
        <v>-1.1117550422439999</v>
      </c>
      <c r="AH2313">
        <v>34.5516630938464</v>
      </c>
      <c r="AI2313">
        <v>91.842864794490495</v>
      </c>
      <c r="AJ2313">
        <v>89.456895051007194</v>
      </c>
      <c r="AK2313">
        <v>34.571096218902703</v>
      </c>
      <c r="AL2313">
        <v>81.871972860771393</v>
      </c>
      <c r="AM2313">
        <v>97.507051621535695</v>
      </c>
      <c r="AN2313">
        <v>0.99999999410106999</v>
      </c>
    </row>
    <row r="2314" spans="1:40" x14ac:dyDescent="0.25">
      <c r="A2314" t="str">
        <f>"20190304154806391"</f>
        <v>20190304154806391</v>
      </c>
      <c r="B2314" t="str">
        <f>"1551685686388686"</f>
        <v>1551685686388686</v>
      </c>
      <c r="C2314" t="s">
        <v>40</v>
      </c>
      <c r="D2314">
        <v>4.4358040000000001</v>
      </c>
      <c r="E2314">
        <v>0.55018669999999903</v>
      </c>
      <c r="F2314" t="s">
        <v>60</v>
      </c>
      <c r="G2314">
        <v>-261.20670000000001</v>
      </c>
      <c r="H2314" s="1">
        <v>-8.9463510000000004E-7</v>
      </c>
      <c r="I2314">
        <v>285.76749999999998</v>
      </c>
      <c r="J2314">
        <v>-226.57210000000001</v>
      </c>
      <c r="K2314">
        <v>1.111691</v>
      </c>
      <c r="L2314">
        <v>285.72430000000003</v>
      </c>
      <c r="M2314">
        <v>-0.99988580000000005</v>
      </c>
      <c r="N2314">
        <v>-1.150603E-2</v>
      </c>
      <c r="O2314">
        <v>-9.8100860000000008E-3</v>
      </c>
      <c r="P2314">
        <v>-0.98208779999999996</v>
      </c>
      <c r="Q2314">
        <v>0.12926949999999901</v>
      </c>
      <c r="R2314">
        <v>-0.13708789999999901</v>
      </c>
      <c r="S2314">
        <v>-3.0688170000000001</v>
      </c>
      <c r="T2314">
        <v>-9.7852830000000002E-2</v>
      </c>
      <c r="U2314">
        <v>3.5095209999999998E-3</v>
      </c>
      <c r="V2314">
        <v>-0.1278098</v>
      </c>
      <c r="W2314">
        <v>0.140245799999999</v>
      </c>
      <c r="X2314">
        <v>0.98183290000000001</v>
      </c>
      <c r="Y2314">
        <v>1.094467E-2</v>
      </c>
      <c r="Z2314">
        <v>4.3729769999999998E-4</v>
      </c>
      <c r="AA2314">
        <v>0.99994000000000005</v>
      </c>
      <c r="AB2314">
        <v>28</v>
      </c>
      <c r="AC2314">
        <v>-34.634599999999999</v>
      </c>
      <c r="AD2314">
        <v>-1.1116918946351</v>
      </c>
      <c r="AE2314">
        <v>4.31999999999561E-2</v>
      </c>
      <c r="AF2314">
        <v>0.38259460496051501</v>
      </c>
      <c r="AG2314">
        <v>-1.1116918946351</v>
      </c>
      <c r="AH2314">
        <v>34.596865487604703</v>
      </c>
      <c r="AI2314">
        <v>91.840324373685405</v>
      </c>
      <c r="AJ2314">
        <v>89.366411890707695</v>
      </c>
      <c r="AK2314">
        <v>34.616836063796498</v>
      </c>
      <c r="AL2314">
        <v>81.937930417269499</v>
      </c>
      <c r="AM2314">
        <v>97.416754946729199</v>
      </c>
      <c r="AN2314">
        <v>1.0000000364580399</v>
      </c>
    </row>
    <row r="2315" spans="1:40" x14ac:dyDescent="0.25">
      <c r="A2315" t="str">
        <f>"20190304154806416"</f>
        <v>20190304154806416</v>
      </c>
      <c r="B2315" t="str">
        <f>"1551685686409181"</f>
        <v>1551685686409181</v>
      </c>
      <c r="C2315" t="s">
        <v>40</v>
      </c>
      <c r="D2315">
        <v>4.4248450000000004</v>
      </c>
      <c r="E2315">
        <v>0.55054780000000003</v>
      </c>
      <c r="F2315" t="s">
        <v>60</v>
      </c>
      <c r="G2315">
        <v>-260.62639999999999</v>
      </c>
      <c r="H2315" s="1">
        <v>-1.2034340000000001E-6</v>
      </c>
      <c r="I2315">
        <v>285.81639999999999</v>
      </c>
      <c r="J2315">
        <v>-226.87799999999999</v>
      </c>
      <c r="K2315">
        <v>1.111612</v>
      </c>
      <c r="L2315">
        <v>285.71960000000001</v>
      </c>
      <c r="M2315">
        <v>-0.9998705</v>
      </c>
      <c r="N2315">
        <v>-1.1505649999999999E-2</v>
      </c>
      <c r="O2315">
        <v>-1.125687E-2</v>
      </c>
      <c r="P2315">
        <v>-0.9821491</v>
      </c>
      <c r="Q2315">
        <v>0.12885659999999999</v>
      </c>
      <c r="R2315">
        <v>-0.1370381</v>
      </c>
      <c r="S2315">
        <v>-3.069061</v>
      </c>
      <c r="T2315">
        <v>-0.1001885</v>
      </c>
      <c r="U2315">
        <v>8.3007810000000001E-3</v>
      </c>
      <c r="V2315">
        <v>-0.12630859999999999</v>
      </c>
      <c r="W2315">
        <v>0.1398624</v>
      </c>
      <c r="X2315">
        <v>0.9820818</v>
      </c>
      <c r="Y2315">
        <v>1.394949E-2</v>
      </c>
      <c r="Z2315">
        <v>5.4578109999999999E-4</v>
      </c>
      <c r="AA2315">
        <v>0.99990250000000003</v>
      </c>
      <c r="AB2315">
        <v>28</v>
      </c>
      <c r="AC2315">
        <v>-33.748399999999997</v>
      </c>
      <c r="AD2315">
        <v>-1.1116132034340001</v>
      </c>
      <c r="AE2315">
        <v>9.6799999999973296E-2</v>
      </c>
      <c r="AF2315">
        <v>0.47620370132531398</v>
      </c>
      <c r="AG2315">
        <v>-1.1116132034340001</v>
      </c>
      <c r="AH2315">
        <v>33.708600550139202</v>
      </c>
      <c r="AI2315">
        <v>91.888578097171205</v>
      </c>
      <c r="AJ2315">
        <v>89.190632451178104</v>
      </c>
      <c r="AK2315">
        <v>33.7302861673015</v>
      </c>
      <c r="AL2315">
        <v>81.960116052338094</v>
      </c>
      <c r="AM2315">
        <v>97.328756293294404</v>
      </c>
      <c r="AN2315">
        <v>1.0000000076294799</v>
      </c>
    </row>
    <row r="2316" spans="1:40" x14ac:dyDescent="0.25">
      <c r="A2316" t="str">
        <f>"20190304154806439"</f>
        <v>20190304154806439</v>
      </c>
      <c r="B2316" t="str">
        <f>"1551685686428701"</f>
        <v>1551685686428701</v>
      </c>
      <c r="C2316" t="s">
        <v>40</v>
      </c>
      <c r="D2316">
        <v>4.4349959999999999</v>
      </c>
      <c r="E2316">
        <v>0.55093649999999905</v>
      </c>
      <c r="F2316" t="s">
        <v>60</v>
      </c>
      <c r="G2316">
        <v>-260.8159</v>
      </c>
      <c r="H2316" s="1">
        <v>-1.102576E-6</v>
      </c>
      <c r="I2316">
        <v>285.83940000000001</v>
      </c>
      <c r="J2316">
        <v>-227.15549999999999</v>
      </c>
      <c r="K2316">
        <v>1.1115459999999999</v>
      </c>
      <c r="L2316">
        <v>285.71510000000001</v>
      </c>
      <c r="M2316">
        <v>-0.99985590000000002</v>
      </c>
      <c r="N2316">
        <v>-1.15055E-2</v>
      </c>
      <c r="O2316">
        <v>-1.248281E-2</v>
      </c>
      <c r="P2316">
        <v>-0.98219529999999999</v>
      </c>
      <c r="Q2316">
        <v>0.12851029999999999</v>
      </c>
      <c r="R2316">
        <v>-0.13703189999999901</v>
      </c>
      <c r="S2316">
        <v>-3.069229</v>
      </c>
      <c r="T2316">
        <v>-0.10053040000000001</v>
      </c>
      <c r="U2316">
        <v>1.083374E-2</v>
      </c>
      <c r="V2316">
        <v>-0.12507370000000001</v>
      </c>
      <c r="W2316">
        <v>0.13954040000000001</v>
      </c>
      <c r="X2316">
        <v>0.98228559999999998</v>
      </c>
      <c r="Y2316">
        <v>1.5998640000000001E-2</v>
      </c>
      <c r="Z2316">
        <v>6.1916040000000003E-4</v>
      </c>
      <c r="AA2316">
        <v>0.99987190000000004</v>
      </c>
      <c r="AB2316">
        <v>28</v>
      </c>
      <c r="AC2316">
        <v>-33.660400000000003</v>
      </c>
      <c r="AD2316">
        <v>-1.111547102576</v>
      </c>
      <c r="AE2316">
        <v>0.124300000000005</v>
      </c>
      <c r="AF2316">
        <v>0.54390139676237104</v>
      </c>
      <c r="AG2316">
        <v>-1.111547102576</v>
      </c>
      <c r="AH2316">
        <v>33.619564423926299</v>
      </c>
      <c r="AI2316">
        <v>91.893404756019706</v>
      </c>
      <c r="AJ2316">
        <v>89.073142776725206</v>
      </c>
      <c r="AK2316">
        <v>33.642331633600797</v>
      </c>
      <c r="AL2316">
        <v>81.978747755420599</v>
      </c>
      <c r="AM2316">
        <v>97.256382128171296</v>
      </c>
      <c r="AN2316">
        <v>0.99999997681560404</v>
      </c>
    </row>
    <row r="2317" spans="1:40" x14ac:dyDescent="0.25">
      <c r="A2317" t="str">
        <f>"20190304154806452"</f>
        <v>20190304154806452</v>
      </c>
      <c r="B2317" t="str">
        <f>"1551685686449198"</f>
        <v>1551685686449198</v>
      </c>
      <c r="C2317" t="s">
        <v>40</v>
      </c>
      <c r="D2317">
        <v>4.4211179999999999</v>
      </c>
      <c r="E2317">
        <v>0.55124899999999999</v>
      </c>
      <c r="F2317" t="s">
        <v>60</v>
      </c>
      <c r="G2317">
        <v>-261.12090000000001</v>
      </c>
      <c r="H2317" s="1">
        <v>-9.4029819999999995E-7</v>
      </c>
      <c r="I2317">
        <v>285.86399999999998</v>
      </c>
      <c r="J2317">
        <v>-227.31360000000001</v>
      </c>
      <c r="K2317">
        <v>1.1115090000000001</v>
      </c>
      <c r="L2317">
        <v>285.71249999999998</v>
      </c>
      <c r="M2317">
        <v>-0.99984740000000005</v>
      </c>
      <c r="N2317">
        <v>-1.150548E-2</v>
      </c>
      <c r="O2317">
        <v>-1.31529E-2</v>
      </c>
      <c r="P2317">
        <v>-0.98221360000000002</v>
      </c>
      <c r="Q2317">
        <v>0.12835239999999901</v>
      </c>
      <c r="R2317">
        <v>-0.13704729999999901</v>
      </c>
      <c r="S2317">
        <v>-3.0693969999999999</v>
      </c>
      <c r="T2317">
        <v>-0.1004487</v>
      </c>
      <c r="U2317">
        <v>1.345825E-2</v>
      </c>
      <c r="V2317">
        <v>-0.12441820000000001</v>
      </c>
      <c r="W2317">
        <v>0.13939499999999999</v>
      </c>
      <c r="X2317">
        <v>0.98238950000000003</v>
      </c>
      <c r="Y2317">
        <v>1.7522240000000001E-2</v>
      </c>
      <c r="Z2317">
        <v>6.6648480000000001E-4</v>
      </c>
      <c r="AA2317">
        <v>0.99984629999999997</v>
      </c>
      <c r="AB2317">
        <v>28</v>
      </c>
      <c r="AC2317">
        <v>-33.807299999999998</v>
      </c>
      <c r="AD2317">
        <v>-1.1115099402982</v>
      </c>
      <c r="AE2317">
        <v>0.15150000000005501</v>
      </c>
      <c r="AF2317">
        <v>0.59553658698794398</v>
      </c>
      <c r="AG2317">
        <v>-1.1115099402982</v>
      </c>
      <c r="AH2317">
        <v>33.7658838706515</v>
      </c>
      <c r="AI2317">
        <v>91.885096459110798</v>
      </c>
      <c r="AJ2317">
        <v>88.989566046370399</v>
      </c>
      <c r="AK2317">
        <v>33.789421891179899</v>
      </c>
      <c r="AL2317">
        <v>81.987160909084295</v>
      </c>
      <c r="AM2317">
        <v>97.217998877525602</v>
      </c>
      <c r="AN2317">
        <v>0.99999999211324497</v>
      </c>
    </row>
    <row r="2318" spans="1:40" x14ac:dyDescent="0.25">
      <c r="A2318" t="str">
        <f>"20190304154806469"</f>
        <v>20190304154806469</v>
      </c>
      <c r="B2318" t="str">
        <f>"1551685686458957"</f>
        <v>1551685686458957</v>
      </c>
      <c r="C2318" t="s">
        <v>40</v>
      </c>
      <c r="D2318">
        <v>4.4203890000000001</v>
      </c>
      <c r="E2318">
        <v>0.55139819999999995</v>
      </c>
      <c r="F2318" t="s">
        <v>60</v>
      </c>
      <c r="G2318">
        <v>-261.35359999999997</v>
      </c>
      <c r="H2318" s="1">
        <v>-8.1646950000000004E-7</v>
      </c>
      <c r="I2318">
        <v>285.88639999999998</v>
      </c>
      <c r="J2318">
        <v>-227.5444</v>
      </c>
      <c r="K2318">
        <v>1.111453</v>
      </c>
      <c r="L2318">
        <v>285.70839999999998</v>
      </c>
      <c r="M2318">
        <v>-0.99983500000000003</v>
      </c>
      <c r="N2318">
        <v>-1.150557E-2</v>
      </c>
      <c r="O2318">
        <v>-1.4070829999999999E-2</v>
      </c>
      <c r="P2318">
        <v>-0.98232229999999998</v>
      </c>
      <c r="Q2318">
        <v>0.12773670000000001</v>
      </c>
      <c r="R2318">
        <v>-0.13684589999999999</v>
      </c>
      <c r="S2318">
        <v>-3.0696110000000001</v>
      </c>
      <c r="T2318">
        <v>-0.100232</v>
      </c>
      <c r="U2318">
        <v>1.5686039999999998E-2</v>
      </c>
      <c r="V2318">
        <v>-0.1232944</v>
      </c>
      <c r="W2318">
        <v>0.1387987</v>
      </c>
      <c r="X2318">
        <v>0.98261560000000003</v>
      </c>
      <c r="Y2318">
        <v>1.9164150000000001E-2</v>
      </c>
      <c r="Z2318">
        <v>7.2053979999999905E-4</v>
      </c>
      <c r="AA2318">
        <v>0.99981609999999999</v>
      </c>
      <c r="AB2318">
        <v>28</v>
      </c>
      <c r="AC2318">
        <v>-33.809199999999898</v>
      </c>
      <c r="AD2318">
        <v>-1.1114538164695</v>
      </c>
      <c r="AE2318">
        <v>0.17799999999999699</v>
      </c>
      <c r="AF2318">
        <v>0.65303155417895697</v>
      </c>
      <c r="AG2318">
        <v>-1.1114538164695</v>
      </c>
      <c r="AH2318">
        <v>33.766856213123198</v>
      </c>
      <c r="AI2318">
        <v>91.884887845404293</v>
      </c>
      <c r="AJ2318">
        <v>88.892070731562896</v>
      </c>
      <c r="AK2318">
        <v>33.791453924248799</v>
      </c>
      <c r="AL2318">
        <v>82.0216618592938</v>
      </c>
      <c r="AM2318">
        <v>97.151852195467598</v>
      </c>
      <c r="AN2318">
        <v>1.0000000027781999</v>
      </c>
    </row>
    <row r="2319" spans="1:40" x14ac:dyDescent="0.25">
      <c r="A2319" t="str">
        <f>"20190304154806483"</f>
        <v>20190304154806483</v>
      </c>
      <c r="B2319" t="str">
        <f>"1551685686479453"</f>
        <v>1551685686479453</v>
      </c>
      <c r="C2319" t="s">
        <v>40</v>
      </c>
      <c r="D2319">
        <v>4.4241640000000002</v>
      </c>
      <c r="E2319">
        <v>0.55153109999999905</v>
      </c>
      <c r="F2319" t="s">
        <v>60</v>
      </c>
      <c r="G2319">
        <v>-261.06310000000002</v>
      </c>
      <c r="H2319" s="1">
        <v>-9.7104379999999996E-7</v>
      </c>
      <c r="I2319">
        <v>285.89600000000002</v>
      </c>
      <c r="J2319">
        <v>-227.70099999999999</v>
      </c>
      <c r="K2319">
        <v>1.1114200000000001</v>
      </c>
      <c r="L2319">
        <v>285.70549999999997</v>
      </c>
      <c r="M2319">
        <v>-0.9998264</v>
      </c>
      <c r="N2319">
        <v>-1.1505609999999999E-2</v>
      </c>
      <c r="O2319">
        <v>-1.4655710000000001E-2</v>
      </c>
      <c r="P2319">
        <v>-0.98237289999999999</v>
      </c>
      <c r="Q2319">
        <v>0.12735099999999999</v>
      </c>
      <c r="R2319">
        <v>-0.1368405</v>
      </c>
      <c r="S2319">
        <v>-3.0696409999999998</v>
      </c>
      <c r="T2319">
        <v>-0.101787</v>
      </c>
      <c r="U2319">
        <v>1.7181399999999999E-2</v>
      </c>
      <c r="V2319">
        <v>-0.1227007</v>
      </c>
      <c r="W2319">
        <v>0.13842560000000001</v>
      </c>
      <c r="X2319">
        <v>0.98274249999999996</v>
      </c>
      <c r="Y2319">
        <v>2.023455E-2</v>
      </c>
      <c r="Z2319">
        <v>7.6906679999999995E-4</v>
      </c>
      <c r="AA2319">
        <v>0.99979499999999999</v>
      </c>
      <c r="AB2319">
        <v>28</v>
      </c>
      <c r="AC2319">
        <v>-33.362099999999998</v>
      </c>
      <c r="AD2319">
        <v>-1.1114209710438001</v>
      </c>
      <c r="AE2319">
        <v>0.19049999999998499</v>
      </c>
      <c r="AF2319">
        <v>0.67870395559135699</v>
      </c>
      <c r="AG2319">
        <v>-1.1114209710438001</v>
      </c>
      <c r="AH2319">
        <v>33.318747889994398</v>
      </c>
      <c r="AI2319">
        <v>91.910123848972006</v>
      </c>
      <c r="AJ2319">
        <v>88.833044533614995</v>
      </c>
      <c r="AK2319">
        <v>33.344187748260097</v>
      </c>
      <c r="AL2319">
        <v>82.043246981102001</v>
      </c>
      <c r="AM2319">
        <v>97.116858239634794</v>
      </c>
      <c r="AN2319">
        <v>0.99999996491104903</v>
      </c>
    </row>
    <row r="2320" spans="1:40" x14ac:dyDescent="0.25">
      <c r="A2320" t="str">
        <f>"20190304154806497"</f>
        <v>20190304154806497</v>
      </c>
      <c r="B2320" t="str">
        <f>"1551685686489213"</f>
        <v>1551685686489213</v>
      </c>
      <c r="C2320" t="s">
        <v>40</v>
      </c>
      <c r="D2320">
        <v>4.4450880000000002</v>
      </c>
      <c r="E2320">
        <v>0.55743369999999903</v>
      </c>
      <c r="F2320" t="s">
        <v>60</v>
      </c>
      <c r="G2320">
        <v>-260.94369999999998</v>
      </c>
      <c r="H2320" s="1">
        <v>-1.0345860000000001E-6</v>
      </c>
      <c r="I2320">
        <v>285.89850000000001</v>
      </c>
      <c r="J2320">
        <v>-227.87569999999999</v>
      </c>
      <c r="K2320">
        <v>1.111381</v>
      </c>
      <c r="L2320">
        <v>285.70229999999998</v>
      </c>
      <c r="M2320">
        <v>-0.99981710000000001</v>
      </c>
      <c r="N2320">
        <v>-1.1505690000000001E-2</v>
      </c>
      <c r="O2320">
        <v>-1.5286050000000001E-2</v>
      </c>
      <c r="P2320">
        <v>-0.98238139999999996</v>
      </c>
      <c r="Q2320">
        <v>0.12711600000000001</v>
      </c>
      <c r="R2320">
        <v>-0.13699839999999999</v>
      </c>
      <c r="S2320">
        <v>-3.0696110000000001</v>
      </c>
      <c r="T2320">
        <v>-0.10262780000000001</v>
      </c>
      <c r="U2320">
        <v>1.7822270000000001E-2</v>
      </c>
      <c r="V2320">
        <v>-0.1222251</v>
      </c>
      <c r="W2320">
        <v>0.13820360000000001</v>
      </c>
      <c r="X2320">
        <v>0.98283299999999996</v>
      </c>
      <c r="Y2320">
        <v>2.1072569999999999E-2</v>
      </c>
      <c r="Z2320">
        <v>8.084988E-4</v>
      </c>
      <c r="AA2320">
        <v>0.99977760000000004</v>
      </c>
      <c r="AB2320">
        <v>28</v>
      </c>
      <c r="AC2320">
        <v>-33.067999999999898</v>
      </c>
      <c r="AD2320">
        <v>-1.1113820345859999</v>
      </c>
      <c r="AE2320">
        <v>0.19620000000003299</v>
      </c>
      <c r="AF2320">
        <v>0.70089788444936996</v>
      </c>
      <c r="AG2320">
        <v>-1.1113820345859999</v>
      </c>
      <c r="AH2320">
        <v>33.023835327097899</v>
      </c>
      <c r="AI2320">
        <v>91.927067362841001</v>
      </c>
      <c r="AJ2320">
        <v>88.784136912832096</v>
      </c>
      <c r="AK2320">
        <v>33.049964108641802</v>
      </c>
      <c r="AL2320">
        <v>82.05609003296</v>
      </c>
      <c r="AM2320">
        <v>97.088907671638594</v>
      </c>
      <c r="AN2320">
        <v>0.99999995800598396</v>
      </c>
    </row>
    <row r="2321" spans="1:40" x14ac:dyDescent="0.25">
      <c r="A2321" t="str">
        <f>"20190304154806515"</f>
        <v>20190304154806515</v>
      </c>
      <c r="B2321" t="str">
        <f>"1551685686508733"</f>
        <v>1551685686508733</v>
      </c>
      <c r="C2321" t="s">
        <v>40</v>
      </c>
      <c r="D2321">
        <v>4.4403800000000002</v>
      </c>
      <c r="E2321">
        <v>0.55763169999999995</v>
      </c>
      <c r="F2321" t="s">
        <v>60</v>
      </c>
      <c r="G2321">
        <v>-268.5985</v>
      </c>
      <c r="H2321" s="1">
        <v>3.0388910000000002E-6</v>
      </c>
      <c r="I2321">
        <v>286.5369</v>
      </c>
      <c r="J2321">
        <v>-228.09970000000001</v>
      </c>
      <c r="K2321">
        <v>1.1113299999999999</v>
      </c>
      <c r="L2321">
        <v>285.69799999999998</v>
      </c>
      <c r="M2321">
        <v>-0.99980519999999995</v>
      </c>
      <c r="N2321">
        <v>-1.150584E-2</v>
      </c>
      <c r="O2321">
        <v>-1.604589E-2</v>
      </c>
      <c r="P2321">
        <v>-0.98248489999999999</v>
      </c>
      <c r="Q2321">
        <v>0.1265232</v>
      </c>
      <c r="R2321">
        <v>-0.13680519999999999</v>
      </c>
      <c r="S2321">
        <v>-3.0734409999999999</v>
      </c>
      <c r="T2321">
        <v>-8.387828E-2</v>
      </c>
      <c r="U2321">
        <v>6.2988279999999994E-2</v>
      </c>
      <c r="V2321">
        <v>-0.1212642</v>
      </c>
      <c r="W2321">
        <v>0.137629799999999</v>
      </c>
      <c r="X2321">
        <v>0.98303260000000003</v>
      </c>
      <c r="Y2321">
        <v>3.6509710000000001E-2</v>
      </c>
      <c r="Z2321">
        <v>9.6137960000000004E-4</v>
      </c>
      <c r="AA2321">
        <v>0.99933280000000002</v>
      </c>
      <c r="AB2321">
        <v>28</v>
      </c>
      <c r="AC2321">
        <v>-40.498799999999903</v>
      </c>
      <c r="AD2321">
        <v>-1.111326961109</v>
      </c>
      <c r="AE2321">
        <v>0.83890000000002296</v>
      </c>
      <c r="AF2321">
        <v>1.4875545365065299</v>
      </c>
      <c r="AG2321">
        <v>-1.111326961109</v>
      </c>
      <c r="AH2321">
        <v>40.449677711078103</v>
      </c>
      <c r="AI2321">
        <v>91.572703480781499</v>
      </c>
      <c r="AJ2321">
        <v>87.893871847077705</v>
      </c>
      <c r="AK2321">
        <v>40.492274485927098</v>
      </c>
      <c r="AL2321">
        <v>82.089284132036497</v>
      </c>
      <c r="AM2321">
        <v>97.032323190999705</v>
      </c>
      <c r="AN2321">
        <v>1.00000003035621</v>
      </c>
    </row>
    <row r="2322" spans="1:40" x14ac:dyDescent="0.25">
      <c r="A2322" t="str">
        <f>"20190304154806529"</f>
        <v>20190304154806529</v>
      </c>
      <c r="B2322" t="str">
        <f>"1551685686519471"</f>
        <v>1551685686519471</v>
      </c>
      <c r="C2322" t="s">
        <v>40</v>
      </c>
      <c r="D2322">
        <v>4.4275659999999997</v>
      </c>
      <c r="E2322">
        <v>0.55781480000000006</v>
      </c>
      <c r="F2322" t="s">
        <v>60</v>
      </c>
      <c r="G2322">
        <v>-268.52429999999998</v>
      </c>
      <c r="H2322" s="1">
        <v>2.9994130000000002E-6</v>
      </c>
      <c r="I2322">
        <v>286.5514</v>
      </c>
      <c r="J2322">
        <v>-228.2791</v>
      </c>
      <c r="K2322">
        <v>1.111291</v>
      </c>
      <c r="L2322">
        <v>285.69450000000001</v>
      </c>
      <c r="M2322">
        <v>-0.99979580000000001</v>
      </c>
      <c r="N2322">
        <v>-1.150602E-2</v>
      </c>
      <c r="O2322">
        <v>-1.6619459999999999E-2</v>
      </c>
      <c r="P2322">
        <v>-0.98242039999999997</v>
      </c>
      <c r="Q2322">
        <v>0.12692390000000001</v>
      </c>
      <c r="R2322">
        <v>-0.13689709999999999</v>
      </c>
      <c r="S2322">
        <v>-3.07341</v>
      </c>
      <c r="T2322">
        <v>-8.4492330000000004E-2</v>
      </c>
      <c r="U2322">
        <v>6.4880370000000007E-2</v>
      </c>
      <c r="V2322">
        <v>-0.1207791</v>
      </c>
      <c r="W2322">
        <v>0.138043</v>
      </c>
      <c r="X2322">
        <v>0.98303439999999997</v>
      </c>
      <c r="Y2322">
        <v>3.7697139999999997E-2</v>
      </c>
      <c r="Z2322">
        <v>1.000552E-3</v>
      </c>
      <c r="AA2322">
        <v>0.99928870000000003</v>
      </c>
      <c r="AB2322">
        <v>28</v>
      </c>
      <c r="AC2322">
        <v>-40.245199999999897</v>
      </c>
      <c r="AD2322">
        <v>-1.1112880005870001</v>
      </c>
      <c r="AE2322">
        <v>0.856899999999996</v>
      </c>
      <c r="AF2322">
        <v>1.5245174483527399</v>
      </c>
      <c r="AG2322">
        <v>-1.1112880005870001</v>
      </c>
      <c r="AH2322">
        <v>40.194765155300701</v>
      </c>
      <c r="AI2322">
        <v>91.582548932837796</v>
      </c>
      <c r="AJ2322">
        <v>87.827912011429603</v>
      </c>
      <c r="AK2322">
        <v>40.239014157411397</v>
      </c>
      <c r="AL2322">
        <v>82.065381491459306</v>
      </c>
      <c r="AM2322">
        <v>97.004458703052507</v>
      </c>
      <c r="AN2322">
        <v>1.0000000462145799</v>
      </c>
    </row>
    <row r="2323" spans="1:40" x14ac:dyDescent="0.25">
      <c r="A2323" t="str">
        <f>"20190304154806543"</f>
        <v>20190304154806543</v>
      </c>
      <c r="B2323" t="str">
        <f>"1551685686538989"</f>
        <v>1551685686538989</v>
      </c>
      <c r="C2323" t="s">
        <v>40</v>
      </c>
      <c r="D2323">
        <v>4.4211830000000001</v>
      </c>
      <c r="E2323">
        <v>0.56234510000000004</v>
      </c>
      <c r="F2323" t="s">
        <v>60</v>
      </c>
      <c r="G2323">
        <v>-269.70690000000002</v>
      </c>
      <c r="H2323" s="1">
        <v>3.6287399999999999E-6</v>
      </c>
      <c r="I2323">
        <v>286.58460000000002</v>
      </c>
      <c r="J2323">
        <v>-228.44710000000001</v>
      </c>
      <c r="K2323">
        <v>1.1112580000000001</v>
      </c>
      <c r="L2323">
        <v>285.69110000000001</v>
      </c>
      <c r="M2323">
        <v>-0.99978730000000005</v>
      </c>
      <c r="N2323">
        <v>-1.1506209999999999E-2</v>
      </c>
      <c r="O2323">
        <v>-1.7125999999999999E-2</v>
      </c>
      <c r="P2323">
        <v>-0.98242739999999995</v>
      </c>
      <c r="Q2323">
        <v>0.1270531</v>
      </c>
      <c r="R2323">
        <v>-0.1367265</v>
      </c>
      <c r="S2323">
        <v>-3.0735320000000002</v>
      </c>
      <c r="T2323">
        <v>-8.2446580000000005E-2</v>
      </c>
      <c r="U2323">
        <v>6.6040039999999994E-2</v>
      </c>
      <c r="V2323">
        <v>-0.12009839999999999</v>
      </c>
      <c r="W2323">
        <v>0.13818469999999999</v>
      </c>
      <c r="X2323">
        <v>0.98309789999999997</v>
      </c>
      <c r="Y2323">
        <v>3.8579929999999998E-2</v>
      </c>
      <c r="Z2323">
        <v>1.0015899999999999E-3</v>
      </c>
      <c r="AA2323">
        <v>0.999255</v>
      </c>
      <c r="AB2323">
        <v>28</v>
      </c>
      <c r="AC2323">
        <v>-41.259799999999998</v>
      </c>
      <c r="AD2323">
        <v>-1.11125437126</v>
      </c>
      <c r="AE2323">
        <v>0.89350000000001695</v>
      </c>
      <c r="AF2323">
        <v>1.5988716718054401</v>
      </c>
      <c r="AG2323">
        <v>-1.11125437126</v>
      </c>
      <c r="AH2323">
        <v>41.208566567977698</v>
      </c>
      <c r="AI2323">
        <v>91.543536407666593</v>
      </c>
      <c r="AJ2323">
        <v>87.778067070648206</v>
      </c>
      <c r="AK2323">
        <v>41.254541998281802</v>
      </c>
      <c r="AL2323">
        <v>82.057184221337806</v>
      </c>
      <c r="AM2323">
        <v>96.964925606745695</v>
      </c>
      <c r="AN2323">
        <v>1.00000005899052</v>
      </c>
    </row>
    <row r="2324" spans="1:40" x14ac:dyDescent="0.25">
      <c r="A2324" t="str">
        <f>"20190304154806560"</f>
        <v>20190304154806560</v>
      </c>
      <c r="B2324" t="str">
        <f>"1551685686548749"</f>
        <v>1551685686548749</v>
      </c>
      <c r="C2324" t="s">
        <v>40</v>
      </c>
      <c r="D2324">
        <v>4.4452429999999996</v>
      </c>
      <c r="E2324">
        <v>0.56154110000000002</v>
      </c>
      <c r="F2324" t="s">
        <v>61</v>
      </c>
      <c r="G2324">
        <v>-289.2672</v>
      </c>
      <c r="H2324" s="1">
        <v>3.6576930000000002E-6</v>
      </c>
      <c r="I2324">
        <v>287.6891</v>
      </c>
      <c r="J2324">
        <v>-228.6557</v>
      </c>
      <c r="K2324">
        <v>1.1112229999999901</v>
      </c>
      <c r="L2324">
        <v>285.68689999999998</v>
      </c>
      <c r="M2324">
        <v>-0.99977669999999996</v>
      </c>
      <c r="N2324">
        <v>-1.150646E-2</v>
      </c>
      <c r="O2324">
        <v>-1.7723740000000002E-2</v>
      </c>
      <c r="P2324">
        <v>-0.98248590000000002</v>
      </c>
      <c r="Q2324">
        <v>0.12743869999999999</v>
      </c>
      <c r="R2324">
        <v>-0.1359447</v>
      </c>
      <c r="S2324">
        <v>-3.0749819999999999</v>
      </c>
      <c r="T2324">
        <v>-5.6183459999999998E-2</v>
      </c>
      <c r="U2324">
        <v>0.1010132</v>
      </c>
      <c r="V2324">
        <v>-0.1187129</v>
      </c>
      <c r="W2324">
        <v>0.1385866</v>
      </c>
      <c r="X2324">
        <v>0.98320960000000002</v>
      </c>
      <c r="Y2324">
        <v>5.0528360000000001E-2</v>
      </c>
      <c r="Z2324">
        <v>8.7212520000000003E-4</v>
      </c>
      <c r="AA2324">
        <v>0.99872229999999995</v>
      </c>
      <c r="AB2324">
        <v>28</v>
      </c>
      <c r="AC2324">
        <v>-60.611499999999999</v>
      </c>
      <c r="AD2324">
        <v>-1.11121934230699</v>
      </c>
      <c r="AE2324">
        <v>2.00220000000001</v>
      </c>
      <c r="AF2324">
        <v>3.0751865641476299</v>
      </c>
      <c r="AG2324">
        <v>-1.11121934230699</v>
      </c>
      <c r="AH2324">
        <v>60.546160828214902</v>
      </c>
      <c r="AI2324">
        <v>91.050092919348202</v>
      </c>
      <c r="AJ2324">
        <v>87.092401358375298</v>
      </c>
      <c r="AK2324">
        <v>60.634389350162401</v>
      </c>
      <c r="AL2324">
        <v>82.033933329994895</v>
      </c>
      <c r="AM2324">
        <v>96.884576677303002</v>
      </c>
      <c r="AN2324">
        <v>1.00000005792906</v>
      </c>
    </row>
    <row r="2325" spans="1:40" x14ac:dyDescent="0.25">
      <c r="A2325" t="str">
        <f>"20190304154806574"</f>
        <v>20190304154806574</v>
      </c>
      <c r="B2325" t="str">
        <f>"1551685686569245"</f>
        <v>1551685686569245</v>
      </c>
      <c r="C2325" t="s">
        <v>40</v>
      </c>
      <c r="D2325">
        <v>3.5544609999999999</v>
      </c>
      <c r="E2325">
        <v>0.56154110000000002</v>
      </c>
      <c r="F2325" t="s">
        <v>61</v>
      </c>
      <c r="G2325">
        <v>-288.52159999999998</v>
      </c>
      <c r="H2325" s="1">
        <v>4.013777E-6</v>
      </c>
      <c r="I2325">
        <v>287.56599999999997</v>
      </c>
      <c r="J2325">
        <v>-228.8297</v>
      </c>
      <c r="K2325">
        <v>1.111192</v>
      </c>
      <c r="L2325">
        <v>285.68329999999997</v>
      </c>
      <c r="M2325">
        <v>-0.99976830000000005</v>
      </c>
      <c r="N2325">
        <v>-1.150668E-2</v>
      </c>
      <c r="O2325">
        <v>-1.8195019999999999E-2</v>
      </c>
      <c r="P2325">
        <v>-0.98248709999999995</v>
      </c>
      <c r="Q2325">
        <v>0.1276909</v>
      </c>
      <c r="R2325">
        <v>-0.13569919999999999</v>
      </c>
      <c r="S2325">
        <v>-3.0742340000000001</v>
      </c>
      <c r="T2325">
        <v>-5.7063339999999997E-2</v>
      </c>
      <c r="U2325">
        <v>9.6496579999999998E-2</v>
      </c>
      <c r="V2325">
        <v>-0.1179925</v>
      </c>
      <c r="W2325">
        <v>0.13885059999999999</v>
      </c>
      <c r="X2325">
        <v>0.98325899999999999</v>
      </c>
      <c r="Y2325">
        <v>4.9541179999999997E-2</v>
      </c>
      <c r="Z2325">
        <v>8.7310459999999997E-4</v>
      </c>
      <c r="AA2325">
        <v>0.99877169999999904</v>
      </c>
      <c r="AB2325">
        <v>28</v>
      </c>
      <c r="AC2325">
        <v>-59.691899999999897</v>
      </c>
      <c r="AD2325">
        <v>-1.1111879862230001</v>
      </c>
      <c r="AE2325">
        <v>1.8827</v>
      </c>
      <c r="AF2325">
        <v>2.9675281270507399</v>
      </c>
      <c r="AG2325">
        <v>-1.1111879862230001</v>
      </c>
      <c r="AH2325">
        <v>59.627116868070601</v>
      </c>
      <c r="AI2325">
        <v>91.066299086195301</v>
      </c>
      <c r="AJ2325">
        <v>87.150848863980798</v>
      </c>
      <c r="AK2325">
        <v>59.711255454261902</v>
      </c>
      <c r="AL2325">
        <v>82.018659031261294</v>
      </c>
      <c r="AM2325">
        <v>96.842854983245005</v>
      </c>
      <c r="AN2325">
        <v>0.99999999012880503</v>
      </c>
    </row>
    <row r="2326" spans="1:40" x14ac:dyDescent="0.25">
      <c r="A2326" t="str">
        <f>"20190304154806640"</f>
        <v>20190304154806640</v>
      </c>
      <c r="B2326" t="str">
        <f>"1551685686628781"</f>
        <v>1551685686628781</v>
      </c>
      <c r="C2326" t="s">
        <v>40</v>
      </c>
      <c r="D2326">
        <v>3.9852799999999999</v>
      </c>
      <c r="E2326">
        <v>0.56439349999999999</v>
      </c>
      <c r="F2326" t="s">
        <v>61</v>
      </c>
      <c r="G2326">
        <v>-289.4162</v>
      </c>
      <c r="H2326" s="1">
        <v>3.609895E-6</v>
      </c>
      <c r="I2326">
        <v>287.60059999999999</v>
      </c>
      <c r="J2326">
        <v>-229.64529999999999</v>
      </c>
      <c r="K2326">
        <v>1.1110660000000001</v>
      </c>
      <c r="L2326">
        <v>285.66579999999999</v>
      </c>
      <c r="M2326">
        <v>-0.99973310000000004</v>
      </c>
      <c r="N2326">
        <v>-1.150868E-2</v>
      </c>
      <c r="O2326">
        <v>-2.0034940000000001E-2</v>
      </c>
      <c r="P2326">
        <v>-0.98269969999999995</v>
      </c>
      <c r="Q2326">
        <v>0.12983690000000001</v>
      </c>
      <c r="R2326">
        <v>-0.1320759</v>
      </c>
      <c r="S2326">
        <v>-3.074249</v>
      </c>
      <c r="T2326">
        <v>-5.6383370000000002E-2</v>
      </c>
      <c r="U2326">
        <v>9.7290039999999994E-2</v>
      </c>
      <c r="V2326">
        <v>-0.11250780000000001</v>
      </c>
      <c r="W2326">
        <v>0.14104800000000001</v>
      </c>
      <c r="X2326">
        <v>0.98358909999999999</v>
      </c>
      <c r="Y2326">
        <v>5.1636219999999997E-2</v>
      </c>
      <c r="Z2326">
        <v>9.0744450000000004E-4</v>
      </c>
      <c r="AA2326">
        <v>0.99866560000000004</v>
      </c>
      <c r="AB2326">
        <v>28</v>
      </c>
      <c r="AC2326">
        <v>-59.770899999999997</v>
      </c>
      <c r="AD2326">
        <v>-1.1110623901050001</v>
      </c>
      <c r="AE2326">
        <v>1.9347999999999901</v>
      </c>
      <c r="AF2326">
        <v>3.13091651057238</v>
      </c>
      <c r="AG2326">
        <v>-1.1110623901050001</v>
      </c>
      <c r="AH2326">
        <v>59.699528123088101</v>
      </c>
      <c r="AI2326">
        <v>91.064740453836805</v>
      </c>
      <c r="AJ2326">
        <v>86.997897414475602</v>
      </c>
      <c r="AK2326">
        <v>59.791895403560098</v>
      </c>
      <c r="AL2326">
        <v>81.891506230464202</v>
      </c>
      <c r="AM2326">
        <v>96.525414744141401</v>
      </c>
      <c r="AN2326">
        <v>1.00000003050182</v>
      </c>
    </row>
    <row r="2327" spans="1:40" x14ac:dyDescent="0.25">
      <c r="A2327" t="str">
        <f>"20190304154806653"</f>
        <v>20190304154806653</v>
      </c>
      <c r="B2327" t="str">
        <f>"1551685686649280"</f>
        <v>1551685686649280</v>
      </c>
      <c r="C2327" t="s">
        <v>40</v>
      </c>
      <c r="D2327">
        <v>3.9341349999999999</v>
      </c>
      <c r="E2327">
        <v>0.57031549999999998</v>
      </c>
      <c r="F2327" t="s">
        <v>60</v>
      </c>
      <c r="G2327">
        <v>-252.51150000000001</v>
      </c>
      <c r="H2327" s="1">
        <v>-2.0031209999999999E-7</v>
      </c>
      <c r="I2327">
        <v>286.65269999999998</v>
      </c>
      <c r="J2327">
        <v>-229.81110000000001</v>
      </c>
      <c r="K2327">
        <v>1.1110390000000001</v>
      </c>
      <c r="L2327">
        <v>285.66210000000001</v>
      </c>
      <c r="M2327">
        <v>-0.99972669999999997</v>
      </c>
      <c r="N2327">
        <v>-1.150934E-2</v>
      </c>
      <c r="O2327">
        <v>-2.034971E-2</v>
      </c>
      <c r="P2327">
        <v>-0.98271410000000003</v>
      </c>
      <c r="Q2327">
        <v>0.1303705</v>
      </c>
      <c r="R2327">
        <v>-0.13144140000000001</v>
      </c>
      <c r="S2327">
        <v>-3.0905909999999999</v>
      </c>
      <c r="T2327">
        <v>-0.1501719</v>
      </c>
      <c r="U2327">
        <v>0.13339229999999899</v>
      </c>
      <c r="V2327">
        <v>-0.111554399999999</v>
      </c>
      <c r="W2327">
        <v>0.141591299999999</v>
      </c>
      <c r="X2327">
        <v>0.98361960000000004</v>
      </c>
      <c r="Y2327">
        <v>6.3337560000000001E-2</v>
      </c>
      <c r="Z2327">
        <v>2.655915E-3</v>
      </c>
      <c r="AA2327">
        <v>0.9979886</v>
      </c>
      <c r="AB2327">
        <v>28</v>
      </c>
      <c r="AC2327">
        <v>-22.700399999999998</v>
      </c>
      <c r="AD2327">
        <v>-1.1110392003120999</v>
      </c>
      <c r="AE2327">
        <v>0.99059999999997195</v>
      </c>
      <c r="AF2327">
        <v>1.44890776042951</v>
      </c>
      <c r="AG2327">
        <v>-1.1110392003120999</v>
      </c>
      <c r="AH2327">
        <v>22.621452751608501</v>
      </c>
      <c r="AI2327">
        <v>92.806048014627095</v>
      </c>
      <c r="AJ2327">
        <v>86.335201968324398</v>
      </c>
      <c r="AK2327">
        <v>22.6950185370296</v>
      </c>
      <c r="AL2327">
        <v>81.860061600279906</v>
      </c>
      <c r="AM2327">
        <v>96.470389870616899</v>
      </c>
      <c r="AN2327">
        <v>0.99999999894960501</v>
      </c>
    </row>
    <row r="2328" spans="1:40" x14ac:dyDescent="0.25">
      <c r="A2328" t="str">
        <f>"20190304154806671"</f>
        <v>20190304154806671</v>
      </c>
      <c r="B2328" t="str">
        <f>"1551685686668797"</f>
        <v>1551685686668797</v>
      </c>
      <c r="C2328" t="s">
        <v>40</v>
      </c>
      <c r="D2328">
        <v>3.8604639999999999</v>
      </c>
      <c r="E2328">
        <v>0.57895600000000003</v>
      </c>
      <c r="F2328" t="s">
        <v>60</v>
      </c>
      <c r="G2328">
        <v>-258.35649999999998</v>
      </c>
      <c r="H2328" s="1">
        <v>2.9101170000000001E-6</v>
      </c>
      <c r="I2328">
        <v>287.33370000000002</v>
      </c>
      <c r="J2328">
        <v>-230.04150000000001</v>
      </c>
      <c r="K2328">
        <v>1.1110059999999999</v>
      </c>
      <c r="L2328">
        <v>285.65699999999998</v>
      </c>
      <c r="M2328">
        <v>-0.99971860000000001</v>
      </c>
      <c r="N2328">
        <v>-1.1510390000000001E-2</v>
      </c>
      <c r="O2328">
        <v>-2.0744660000000002E-2</v>
      </c>
      <c r="P2328">
        <v>-0.9828557</v>
      </c>
      <c r="Q2328">
        <v>0.1308367</v>
      </c>
      <c r="R2328">
        <v>-0.12991050000000001</v>
      </c>
      <c r="S2328">
        <v>-3.0929570000000002</v>
      </c>
      <c r="T2328">
        <v>-0.12038310000000001</v>
      </c>
      <c r="U2328">
        <v>0.1811218</v>
      </c>
      <c r="V2328">
        <v>-0.10961890000000001</v>
      </c>
      <c r="W2328">
        <v>0.1420718</v>
      </c>
      <c r="X2328">
        <v>0.98376790000000003</v>
      </c>
      <c r="Y2328">
        <v>7.9072130000000004E-2</v>
      </c>
      <c r="Z2328">
        <v>2.5606209999999999E-3</v>
      </c>
      <c r="AA2328">
        <v>0.99686560000000002</v>
      </c>
      <c r="AB2328">
        <v>28</v>
      </c>
      <c r="AC2328">
        <v>-28.314999999999898</v>
      </c>
      <c r="AD2328">
        <v>-1.1110030898829999</v>
      </c>
      <c r="AE2328">
        <v>1.6767000000000301</v>
      </c>
      <c r="AF2328">
        <v>2.26029536086094</v>
      </c>
      <c r="AG2328">
        <v>-1.1110030898829999</v>
      </c>
      <c r="AH2328">
        <v>28.230809880276599</v>
      </c>
      <c r="AI2328">
        <v>92.246489427726601</v>
      </c>
      <c r="AJ2328">
        <v>85.422387155098704</v>
      </c>
      <c r="AK2328">
        <v>28.342933678085998</v>
      </c>
      <c r="AL2328">
        <v>81.832249752437605</v>
      </c>
      <c r="AM2328">
        <v>96.358103687758799</v>
      </c>
      <c r="AN2328">
        <v>0.99999999033143006</v>
      </c>
    </row>
    <row r="2329" spans="1:40" x14ac:dyDescent="0.25">
      <c r="A2329" t="str">
        <f>"20190304154806685"</f>
        <v>20190304154806685</v>
      </c>
      <c r="B2329" t="str">
        <f>"1551685686678557"</f>
        <v>1551685686678557</v>
      </c>
      <c r="C2329" t="s">
        <v>40</v>
      </c>
      <c r="D2329">
        <v>3.9153799999999999</v>
      </c>
      <c r="E2329">
        <v>0.58285520000000002</v>
      </c>
      <c r="F2329" t="s">
        <v>60</v>
      </c>
      <c r="G2329">
        <v>-278.7543</v>
      </c>
      <c r="H2329">
        <v>5.7253600000000002E-2</v>
      </c>
      <c r="I2329">
        <v>289.62360000000001</v>
      </c>
      <c r="J2329">
        <v>-230.209</v>
      </c>
      <c r="K2329">
        <v>1.1109719999999901</v>
      </c>
      <c r="L2329">
        <v>285.6533</v>
      </c>
      <c r="M2329">
        <v>-0.99971339999999997</v>
      </c>
      <c r="N2329">
        <v>-1.151112E-2</v>
      </c>
      <c r="O2329">
        <v>-2.0992609999999998E-2</v>
      </c>
      <c r="P2329">
        <v>-0.98290330000000004</v>
      </c>
      <c r="Q2329">
        <v>0.13104370000000001</v>
      </c>
      <c r="R2329">
        <v>-0.12933989999999901</v>
      </c>
      <c r="S2329">
        <v>-3.0945429999999998</v>
      </c>
      <c r="T2329">
        <v>-6.6940899999999998E-2</v>
      </c>
      <c r="U2329">
        <v>0.25198359999999997</v>
      </c>
      <c r="V2329">
        <v>-0.10879220000000001</v>
      </c>
      <c r="W2329">
        <v>0.14228979999999999</v>
      </c>
      <c r="X2329">
        <v>0.98382820000000004</v>
      </c>
      <c r="Y2329">
        <v>0.1020291</v>
      </c>
      <c r="Z2329">
        <v>1.902094E-3</v>
      </c>
      <c r="AA2329">
        <v>0.99477959999999999</v>
      </c>
      <c r="AB2329">
        <v>28</v>
      </c>
      <c r="AC2329">
        <v>-48.545299999999997</v>
      </c>
      <c r="AD2329">
        <v>-1.0537183999999999</v>
      </c>
      <c r="AE2329">
        <v>3.9702999999999999</v>
      </c>
      <c r="AF2329">
        <v>4.9862513489387501</v>
      </c>
      <c r="AG2329">
        <v>-1.0537183999999999</v>
      </c>
      <c r="AH2329">
        <v>48.428582930967899</v>
      </c>
      <c r="AI2329">
        <v>91.239903202943594</v>
      </c>
      <c r="AJ2329">
        <v>84.121488158091196</v>
      </c>
      <c r="AK2329">
        <v>48.696002604761397</v>
      </c>
      <c r="AL2329">
        <v>81.819631390186601</v>
      </c>
      <c r="AM2329">
        <v>96.310158154752301</v>
      </c>
      <c r="AN2329">
        <v>1.0000000285400501</v>
      </c>
    </row>
    <row r="2330" spans="1:40" x14ac:dyDescent="0.25">
      <c r="A2330" t="str">
        <f>"20190304154806699"</f>
        <v>20190304154806699</v>
      </c>
      <c r="B2330" t="str">
        <f>"1551685686689294"</f>
        <v>1551685686689294</v>
      </c>
      <c r="C2330" t="s">
        <v>40</v>
      </c>
      <c r="D2330">
        <v>3.9333670000000001</v>
      </c>
      <c r="E2330">
        <v>0.58559319999999904</v>
      </c>
      <c r="F2330" t="s">
        <v>61</v>
      </c>
      <c r="G2330">
        <v>-305.49439999999998</v>
      </c>
      <c r="H2330" s="1">
        <v>1.638967E-6</v>
      </c>
      <c r="I2330">
        <v>292.55779999999999</v>
      </c>
      <c r="J2330">
        <v>-230.37270000000001</v>
      </c>
      <c r="K2330">
        <v>1.1109340000000001</v>
      </c>
      <c r="L2330">
        <v>285.64949999999999</v>
      </c>
      <c r="M2330">
        <v>-0.99970870000000001</v>
      </c>
      <c r="N2330">
        <v>-1.1511830000000001E-2</v>
      </c>
      <c r="O2330">
        <v>-2.1215049999999999E-2</v>
      </c>
      <c r="P2330">
        <v>-0.98298869999999905</v>
      </c>
      <c r="Q2330">
        <v>0.13111129999999999</v>
      </c>
      <c r="R2330">
        <v>-0.12862129999999999</v>
      </c>
      <c r="S2330">
        <v>-3.0956269999999999</v>
      </c>
      <c r="T2330">
        <v>-4.5681479999999997E-2</v>
      </c>
      <c r="U2330">
        <v>0.28390500000000002</v>
      </c>
      <c r="V2330">
        <v>-0.1078414</v>
      </c>
      <c r="W2330">
        <v>0.1423682</v>
      </c>
      <c r="X2330">
        <v>0.9839215</v>
      </c>
      <c r="Y2330">
        <v>0.11241379999999999</v>
      </c>
      <c r="Z2330">
        <v>1.5449140000000001E-3</v>
      </c>
      <c r="AA2330">
        <v>0.99366030000000005</v>
      </c>
      <c r="AB2330">
        <v>28</v>
      </c>
      <c r="AC2330">
        <v>-75.121699999999905</v>
      </c>
      <c r="AD2330">
        <v>-1.110932361033</v>
      </c>
      <c r="AE2330">
        <v>6.9082999999999899</v>
      </c>
      <c r="AF2330">
        <v>8.4987180816312602</v>
      </c>
      <c r="AG2330">
        <v>-1.110932361033</v>
      </c>
      <c r="AH2330">
        <v>74.941968696025896</v>
      </c>
      <c r="AI2330">
        <v>90.843876587392103</v>
      </c>
      <c r="AJ2330">
        <v>83.530071084102602</v>
      </c>
      <c r="AK2330">
        <v>75.430504782733394</v>
      </c>
      <c r="AL2330">
        <v>81.815092923681405</v>
      </c>
      <c r="AM2330">
        <v>96.254860544918799</v>
      </c>
      <c r="AN2330">
        <v>0.99999999504372405</v>
      </c>
    </row>
    <row r="2331" spans="1:40" x14ac:dyDescent="0.25">
      <c r="A2331" t="str">
        <f>"20190304154806718"</f>
        <v>20190304154806718</v>
      </c>
      <c r="B2331" t="str">
        <f>"1551685686708813"</f>
        <v>1551685686708813</v>
      </c>
      <c r="C2331" t="s">
        <v>40</v>
      </c>
      <c r="D2331">
        <v>4.3231679999999999</v>
      </c>
      <c r="E2331">
        <v>0.58193700000000004</v>
      </c>
      <c r="F2331" t="s">
        <v>45</v>
      </c>
      <c r="G2331">
        <v>-356.2989</v>
      </c>
      <c r="H2331">
        <v>-0.05</v>
      </c>
      <c r="I2331">
        <v>298.12729999999999</v>
      </c>
      <c r="J2331">
        <v>-230.6173</v>
      </c>
      <c r="K2331">
        <v>1.110881</v>
      </c>
      <c r="L2331">
        <v>285.64400000000001</v>
      </c>
      <c r="M2331">
        <v>-0.9997026</v>
      </c>
      <c r="N2331">
        <v>-1.1511850000000001E-2</v>
      </c>
      <c r="O2331">
        <v>-2.1499910000000001E-2</v>
      </c>
      <c r="P2331">
        <v>-0.98318000000000005</v>
      </c>
      <c r="Q2331">
        <v>0.1310926</v>
      </c>
      <c r="R2331">
        <v>-0.12716930000000001</v>
      </c>
      <c r="S2331">
        <v>-3.0958709999999998</v>
      </c>
      <c r="T2331">
        <v>-2.854133E-2</v>
      </c>
      <c r="U2331">
        <v>0.3067627</v>
      </c>
      <c r="V2331">
        <v>-0.1060875</v>
      </c>
      <c r="W2331">
        <v>0.142366299999999</v>
      </c>
      <c r="X2331">
        <v>0.9841124</v>
      </c>
      <c r="Y2331">
        <v>0.11996709999999999</v>
      </c>
      <c r="Z2331">
        <v>1.194807E-3</v>
      </c>
      <c r="AA2331">
        <v>0.99277720000000003</v>
      </c>
      <c r="AB2331">
        <v>28</v>
      </c>
      <c r="AC2331">
        <v>-125.6816</v>
      </c>
      <c r="AD2331">
        <v>-1.1608810000000001</v>
      </c>
      <c r="AE2331">
        <v>12.4832999999999</v>
      </c>
      <c r="AF2331">
        <v>15.181453610009999</v>
      </c>
      <c r="AG2331">
        <v>-1.1608810000000001</v>
      </c>
      <c r="AH2331">
        <v>125.37354535891799</v>
      </c>
      <c r="AI2331">
        <v>90.526661221441003</v>
      </c>
      <c r="AJ2331">
        <v>83.095681757494205</v>
      </c>
      <c r="AK2331">
        <v>126.29469527368801</v>
      </c>
      <c r="AL2331">
        <v>81.815202686654601</v>
      </c>
      <c r="AM2331">
        <v>96.152735711912996</v>
      </c>
      <c r="AN2331">
        <v>0.999999968432849</v>
      </c>
    </row>
    <row r="2332" spans="1:40" x14ac:dyDescent="0.25">
      <c r="A2332" t="str">
        <f>"20190304154806730"</f>
        <v>20190304154806730</v>
      </c>
      <c r="B2332" t="str">
        <f>"1551685686718574"</f>
        <v>1551685686718574</v>
      </c>
      <c r="C2332" t="s">
        <v>40</v>
      </c>
      <c r="D2332">
        <v>4.4623819999999998</v>
      </c>
      <c r="E2332">
        <v>0.57896309999999995</v>
      </c>
      <c r="F2332" t="s">
        <v>45</v>
      </c>
      <c r="G2332">
        <v>-378.96480000000003</v>
      </c>
      <c r="H2332">
        <v>-0.05</v>
      </c>
      <c r="I2332">
        <v>299.17419999999998</v>
      </c>
      <c r="J2332">
        <v>-230.779</v>
      </c>
      <c r="K2332">
        <v>1.1108450000000001</v>
      </c>
      <c r="L2332">
        <v>285.6404</v>
      </c>
      <c r="M2332">
        <v>-0.99969920000000001</v>
      </c>
      <c r="N2332">
        <v>-1.151051E-2</v>
      </c>
      <c r="O2332">
        <v>-2.1659350000000001E-2</v>
      </c>
      <c r="P2332">
        <v>-0.98324659999999997</v>
      </c>
      <c r="Q2332">
        <v>0.1310866</v>
      </c>
      <c r="R2332">
        <v>-0.12665979999999999</v>
      </c>
      <c r="S2332">
        <v>-3.0910340000000001</v>
      </c>
      <c r="T2332">
        <v>-2.4188640000000001E-2</v>
      </c>
      <c r="U2332">
        <v>0.28192139999999999</v>
      </c>
      <c r="V2332">
        <v>-0.1054065</v>
      </c>
      <c r="W2332">
        <v>0.1423691</v>
      </c>
      <c r="X2332">
        <v>0.98418519999999998</v>
      </c>
      <c r="Y2332">
        <v>0.1123705</v>
      </c>
      <c r="Z2332">
        <v>1.007277E-3</v>
      </c>
      <c r="AA2332">
        <v>0.99366589999999999</v>
      </c>
      <c r="AB2332">
        <v>28</v>
      </c>
      <c r="AC2332">
        <v>-148.1858</v>
      </c>
      <c r="AD2332">
        <v>-1.1608449999999999</v>
      </c>
      <c r="AE2332">
        <v>13.5337999999999</v>
      </c>
      <c r="AF2332">
        <v>16.7394264925587</v>
      </c>
      <c r="AG2332">
        <v>-1.1608449999999999</v>
      </c>
      <c r="AH2332">
        <v>147.84888159390101</v>
      </c>
      <c r="AI2332">
        <v>90.446996528495106</v>
      </c>
      <c r="AJ2332">
        <v>83.540488293701699</v>
      </c>
      <c r="AK2332">
        <v>148.79800989590299</v>
      </c>
      <c r="AL2332">
        <v>81.815040862607304</v>
      </c>
      <c r="AM2332">
        <v>96.113091147474094</v>
      </c>
      <c r="AN2332">
        <v>0.99999999938804995</v>
      </c>
    </row>
    <row r="2333" spans="1:40" x14ac:dyDescent="0.25">
      <c r="A2333" t="str">
        <f>"20190304154806749"</f>
        <v>20190304154806749</v>
      </c>
      <c r="B2333" t="str">
        <f>"1551685686739069"</f>
        <v>1551685686739069</v>
      </c>
      <c r="C2333" t="s">
        <v>40</v>
      </c>
      <c r="D2333">
        <v>4.3584250000000004</v>
      </c>
      <c r="E2333">
        <v>0.57580600000000004</v>
      </c>
      <c r="F2333" t="s">
        <v>45</v>
      </c>
      <c r="G2333">
        <v>-362.92809999999997</v>
      </c>
      <c r="H2333">
        <v>-0.05</v>
      </c>
      <c r="I2333">
        <v>296.77300000000002</v>
      </c>
      <c r="J2333">
        <v>-231.0128</v>
      </c>
      <c r="K2333">
        <v>1.110792</v>
      </c>
      <c r="L2333">
        <v>285.63510000000002</v>
      </c>
      <c r="M2333">
        <v>-0.99969560000000002</v>
      </c>
      <c r="N2333">
        <v>-1.150557E-2</v>
      </c>
      <c r="O2333">
        <v>-2.1830080000000002E-2</v>
      </c>
      <c r="P2333">
        <v>-0.98336880000000004</v>
      </c>
      <c r="Q2333">
        <v>0.13088150000000001</v>
      </c>
      <c r="R2333">
        <v>-0.1259226</v>
      </c>
      <c r="S2333">
        <v>-3.0882260000000001</v>
      </c>
      <c r="T2333">
        <v>-2.7128099999999999E-2</v>
      </c>
      <c r="U2333">
        <v>0.26016240000000002</v>
      </c>
      <c r="V2333">
        <v>-0.1044802</v>
      </c>
      <c r="W2333">
        <v>0.14217469999999999</v>
      </c>
      <c r="X2333">
        <v>0.98431210000000002</v>
      </c>
      <c r="Y2333">
        <v>0.105670899999999</v>
      </c>
      <c r="Z2333">
        <v>1.0130829999999999E-3</v>
      </c>
      <c r="AA2333">
        <v>0.99440059999999997</v>
      </c>
      <c r="AB2333">
        <v>28</v>
      </c>
      <c r="AC2333">
        <v>-131.91529999999901</v>
      </c>
      <c r="AD2333">
        <v>-1.160792</v>
      </c>
      <c r="AE2333">
        <v>11.137899999999901</v>
      </c>
      <c r="AF2333">
        <v>14.0140798399672</v>
      </c>
      <c r="AG2333">
        <v>-1.160792</v>
      </c>
      <c r="AH2333">
        <v>131.63058227995501</v>
      </c>
      <c r="AI2333">
        <v>90.502413869128503</v>
      </c>
      <c r="AJ2333">
        <v>83.922883882402104</v>
      </c>
      <c r="AK2333">
        <v>132.37957570255401</v>
      </c>
      <c r="AL2333">
        <v>81.826293913339399</v>
      </c>
      <c r="AM2333">
        <v>96.058996052554804</v>
      </c>
      <c r="AN2333">
        <v>1.0000000338592601</v>
      </c>
    </row>
    <row r="2334" spans="1:40" x14ac:dyDescent="0.25">
      <c r="A2334" t="str">
        <f>"20190304154806763"</f>
        <v>20190304154806763</v>
      </c>
      <c r="B2334" t="str">
        <f>"1551685686758589"</f>
        <v>1551685686758589</v>
      </c>
      <c r="C2334" t="s">
        <v>40</v>
      </c>
      <c r="D2334">
        <v>4.4628459999999999</v>
      </c>
      <c r="E2334">
        <v>0.57374449999999999</v>
      </c>
      <c r="F2334" t="s">
        <v>45</v>
      </c>
      <c r="G2334">
        <v>-377.45060000000001</v>
      </c>
      <c r="H2334">
        <v>-0.05</v>
      </c>
      <c r="I2334">
        <v>296.90309999999999</v>
      </c>
      <c r="J2334">
        <v>-231.1772</v>
      </c>
      <c r="K2334">
        <v>1.1107579999999999</v>
      </c>
      <c r="L2334">
        <v>285.63130000000001</v>
      </c>
      <c r="M2334">
        <v>-0.99969370000000002</v>
      </c>
      <c r="N2334">
        <v>-1.149904E-2</v>
      </c>
      <c r="O2334">
        <v>-2.191222E-2</v>
      </c>
      <c r="P2334">
        <v>-0.98346940000000005</v>
      </c>
      <c r="Q2334">
        <v>0.13083819999999999</v>
      </c>
      <c r="R2334">
        <v>-0.1251765</v>
      </c>
      <c r="S2334">
        <v>-3.084381</v>
      </c>
      <c r="T2334">
        <v>-2.4449470000000001E-2</v>
      </c>
      <c r="U2334">
        <v>0.2373352</v>
      </c>
      <c r="V2334">
        <v>-0.1036383</v>
      </c>
      <c r="W2334">
        <v>0.1421355</v>
      </c>
      <c r="X2334">
        <v>0.98440669999999997</v>
      </c>
      <c r="Y2334">
        <v>9.8543599999999995E-2</v>
      </c>
      <c r="Z2334">
        <v>8.7933599999999998E-4</v>
      </c>
      <c r="AA2334">
        <v>0.99513229999999997</v>
      </c>
      <c r="AB2334">
        <v>28</v>
      </c>
      <c r="AC2334">
        <v>-146.27340000000001</v>
      </c>
      <c r="AD2334">
        <v>-1.160758</v>
      </c>
      <c r="AE2334">
        <v>11.271799999999899</v>
      </c>
      <c r="AF2334">
        <v>14.4735742667777</v>
      </c>
      <c r="AG2334">
        <v>-1.160758</v>
      </c>
      <c r="AH2334">
        <v>145.98212974707499</v>
      </c>
      <c r="AI2334">
        <v>90.453347715357097</v>
      </c>
      <c r="AJ2334">
        <v>84.337845410065697</v>
      </c>
      <c r="AK2334">
        <v>146.70246731627299</v>
      </c>
      <c r="AL2334">
        <v>81.828562461225999</v>
      </c>
      <c r="AM2334">
        <v>96.009958210669097</v>
      </c>
      <c r="AN2334">
        <v>0.99999997429601395</v>
      </c>
    </row>
    <row r="2335" spans="1:40" x14ac:dyDescent="0.25">
      <c r="A2335" t="str">
        <f>"20190304154806776"</f>
        <v>20190304154806776</v>
      </c>
      <c r="B2335" t="str">
        <f>"1551685686769325"</f>
        <v>1551685686769325</v>
      </c>
      <c r="C2335" t="s">
        <v>40</v>
      </c>
      <c r="D2335">
        <v>4.436769</v>
      </c>
      <c r="E2335">
        <v>0.57285109999999995</v>
      </c>
      <c r="F2335" t="s">
        <v>45</v>
      </c>
      <c r="G2335">
        <v>-410.78129999999999</v>
      </c>
      <c r="H2335">
        <v>-0.05</v>
      </c>
      <c r="I2335">
        <v>298.6266</v>
      </c>
      <c r="J2335">
        <v>-231.34399999999999</v>
      </c>
      <c r="K2335">
        <v>1.110719</v>
      </c>
      <c r="L2335">
        <v>285.62759999999997</v>
      </c>
      <c r="M2335">
        <v>-0.99969240000000004</v>
      </c>
      <c r="N2335">
        <v>-1.149097E-2</v>
      </c>
      <c r="O2335">
        <v>-2.197758E-2</v>
      </c>
      <c r="P2335">
        <v>-0.98355780000000004</v>
      </c>
      <c r="Q2335">
        <v>0.1307818</v>
      </c>
      <c r="R2335">
        <v>-0.12453930000000001</v>
      </c>
      <c r="S2335">
        <v>-3.0814819999999998</v>
      </c>
      <c r="T2335">
        <v>-1.9915220000000001E-2</v>
      </c>
      <c r="U2335">
        <v>0.2229614</v>
      </c>
      <c r="V2335">
        <v>-0.10292220000000001</v>
      </c>
      <c r="W2335">
        <v>0.14208219999999999</v>
      </c>
      <c r="X2335">
        <v>0.98448959999999996</v>
      </c>
      <c r="Y2335">
        <v>9.406515E-2</v>
      </c>
      <c r="Z2335">
        <v>7.3443629999999998E-4</v>
      </c>
      <c r="AA2335">
        <v>0.99556579999999995</v>
      </c>
      <c r="AB2335">
        <v>28</v>
      </c>
      <c r="AC2335">
        <v>-179.437299999999</v>
      </c>
      <c r="AD2335">
        <v>-1.1607190000000001</v>
      </c>
      <c r="AE2335">
        <v>12.999000000000001</v>
      </c>
      <c r="AF2335">
        <v>16.939012867000699</v>
      </c>
      <c r="AG2335">
        <v>-1.1607190000000001</v>
      </c>
      <c r="AH2335">
        <v>179.10079314849199</v>
      </c>
      <c r="AI2335">
        <v>90.369668496067106</v>
      </c>
      <c r="AJ2335">
        <v>84.597145285041506</v>
      </c>
      <c r="AK2335">
        <v>179.903784095622</v>
      </c>
      <c r="AL2335">
        <v>81.831648273941298</v>
      </c>
      <c r="AM2335">
        <v>95.968233597085998</v>
      </c>
      <c r="AN2335">
        <v>1.00000005165891</v>
      </c>
    </row>
    <row r="2336" spans="1:40" x14ac:dyDescent="0.25">
      <c r="A2336" t="str">
        <f>"20190304154806793"</f>
        <v>20190304154806793</v>
      </c>
      <c r="B2336" t="str">
        <f>"1551685686788845"</f>
        <v>1551685686788845</v>
      </c>
      <c r="C2336" t="s">
        <v>40</v>
      </c>
      <c r="D2336">
        <v>4.557283</v>
      </c>
      <c r="E2336">
        <v>0.57124019999999898</v>
      </c>
      <c r="F2336" t="s">
        <v>45</v>
      </c>
      <c r="G2336">
        <v>-414.94529999999997</v>
      </c>
      <c r="H2336">
        <v>-0.05</v>
      </c>
      <c r="I2336">
        <v>298.6044</v>
      </c>
      <c r="J2336">
        <v>-231.56270000000001</v>
      </c>
      <c r="K2336">
        <v>1.110676</v>
      </c>
      <c r="L2336">
        <v>285.62279999999998</v>
      </c>
      <c r="M2336">
        <v>-0.99969149999999996</v>
      </c>
      <c r="N2336">
        <v>-1.1477899999999999E-2</v>
      </c>
      <c r="O2336">
        <v>-2.2029610000000002E-2</v>
      </c>
      <c r="P2336">
        <v>-0.98369799999999996</v>
      </c>
      <c r="Q2336">
        <v>0.13086329999999999</v>
      </c>
      <c r="R2336">
        <v>-0.1233419</v>
      </c>
      <c r="S2336">
        <v>-3.0803069999999999</v>
      </c>
      <c r="T2336">
        <v>-1.9473549999999999E-2</v>
      </c>
      <c r="U2336">
        <v>0.2177124</v>
      </c>
      <c r="V2336">
        <v>-0.10165680000000001</v>
      </c>
      <c r="W2336">
        <v>0.14216239999999999</v>
      </c>
      <c r="X2336">
        <v>0.98460939999999997</v>
      </c>
      <c r="Y2336">
        <v>9.2456559999999993E-2</v>
      </c>
      <c r="Z2336">
        <v>7.0978169999999995E-4</v>
      </c>
      <c r="AA2336">
        <v>0.9957165</v>
      </c>
      <c r="AB2336">
        <v>28</v>
      </c>
      <c r="AC2336">
        <v>-183.3826</v>
      </c>
      <c r="AD2336">
        <v>-1.160676</v>
      </c>
      <c r="AE2336">
        <v>12.9816</v>
      </c>
      <c r="AF2336">
        <v>17.0178838738242</v>
      </c>
      <c r="AG2336">
        <v>-1.160676</v>
      </c>
      <c r="AH2336">
        <v>183.04479608365801</v>
      </c>
      <c r="AI2336">
        <v>90.361744222655403</v>
      </c>
      <c r="AJ2336">
        <v>84.688414584633605</v>
      </c>
      <c r="AK2336">
        <v>183.83784407359599</v>
      </c>
      <c r="AL2336">
        <v>81.827005290001196</v>
      </c>
      <c r="AM2336">
        <v>95.894663550638498</v>
      </c>
      <c r="AN2336">
        <v>0.99999996176417905</v>
      </c>
    </row>
    <row r="2337" spans="1:40" x14ac:dyDescent="0.25">
      <c r="A2337" t="str">
        <f>"20190304154806807"</f>
        <v>20190304154806807</v>
      </c>
      <c r="B2337" t="str">
        <f>"1551685686799582"</f>
        <v>1551685686799582</v>
      </c>
      <c r="C2337" t="s">
        <v>40</v>
      </c>
      <c r="D2337">
        <v>4.4982600000000001</v>
      </c>
      <c r="E2337">
        <v>0.57031869999999996</v>
      </c>
      <c r="F2337" t="s">
        <v>45</v>
      </c>
      <c r="G2337">
        <v>-404.27940000000001</v>
      </c>
      <c r="H2337">
        <v>-0.05</v>
      </c>
      <c r="I2337">
        <v>297.29770000000002</v>
      </c>
      <c r="J2337">
        <v>-231.73169999999999</v>
      </c>
      <c r="K2337">
        <v>1.110649</v>
      </c>
      <c r="L2337">
        <v>285.61900000000003</v>
      </c>
      <c r="M2337">
        <v>-0.9996912</v>
      </c>
      <c r="N2337">
        <v>-1.1466759999999999E-2</v>
      </c>
      <c r="O2337">
        <v>-2.2046590000000001E-2</v>
      </c>
      <c r="P2337">
        <v>-0.98372130000000002</v>
      </c>
      <c r="Q2337">
        <v>0.13122110000000001</v>
      </c>
      <c r="R2337">
        <v>-0.12277490000000001</v>
      </c>
      <c r="S2337">
        <v>-3.0785830000000001</v>
      </c>
      <c r="T2337">
        <v>-2.0688410000000001E-2</v>
      </c>
      <c r="U2337">
        <v>0.20809939999999999</v>
      </c>
      <c r="V2337">
        <v>-0.1010638</v>
      </c>
      <c r="W2337">
        <v>0.1425159</v>
      </c>
      <c r="X2337">
        <v>0.98461940000000003</v>
      </c>
      <c r="Y2337">
        <v>8.9417670000000005E-2</v>
      </c>
      <c r="Z2337">
        <v>7.0889480000000001E-4</v>
      </c>
      <c r="AA2337">
        <v>0.99599400000000005</v>
      </c>
      <c r="AB2337">
        <v>28</v>
      </c>
      <c r="AC2337">
        <v>-172.54769999999999</v>
      </c>
      <c r="AD2337">
        <v>-1.160649</v>
      </c>
      <c r="AE2337">
        <v>11.6786999999999</v>
      </c>
      <c r="AF2337">
        <v>15.479502306889099</v>
      </c>
      <c r="AG2337">
        <v>-1.160649</v>
      </c>
      <c r="AH2337">
        <v>172.24050565159899</v>
      </c>
      <c r="AI2337">
        <v>90.384534132474499</v>
      </c>
      <c r="AJ2337">
        <v>84.864542274168301</v>
      </c>
      <c r="AK2337">
        <v>172.93858414156401</v>
      </c>
      <c r="AL2337">
        <v>81.806543346779705</v>
      </c>
      <c r="AM2337">
        <v>95.860458818984995</v>
      </c>
      <c r="AN2337">
        <v>1.0000000181398001</v>
      </c>
    </row>
    <row r="2338" spans="1:40" x14ac:dyDescent="0.25">
      <c r="A2338" t="str">
        <f>"20190304154806823"</f>
        <v>20190304154806823</v>
      </c>
      <c r="B2338" t="str">
        <f>"1551685686819101"</f>
        <v>1551685686819101</v>
      </c>
      <c r="C2338" t="s">
        <v>40</v>
      </c>
      <c r="D2338">
        <v>4.4698099999999998</v>
      </c>
      <c r="E2338">
        <v>0.56953730000000002</v>
      </c>
      <c r="F2338" t="s">
        <v>45</v>
      </c>
      <c r="G2338">
        <v>-413.31099999999998</v>
      </c>
      <c r="H2338">
        <v>-0.05</v>
      </c>
      <c r="I2338">
        <v>297.5677</v>
      </c>
      <c r="J2338">
        <v>-231.91560000000001</v>
      </c>
      <c r="K2338">
        <v>1.110622</v>
      </c>
      <c r="L2338">
        <v>285.61500000000001</v>
      </c>
      <c r="M2338">
        <v>-0.99969140000000001</v>
      </c>
      <c r="N2338">
        <v>-1.1454560000000001E-2</v>
      </c>
      <c r="O2338">
        <v>-2.204561E-2</v>
      </c>
      <c r="P2338">
        <v>-0.9837148</v>
      </c>
      <c r="Q2338">
        <v>0.13162499999999999</v>
      </c>
      <c r="R2338">
        <v>-0.12239269999999999</v>
      </c>
      <c r="S2338">
        <v>-3.0775450000000002</v>
      </c>
      <c r="T2338">
        <v>-1.9671560000000001E-2</v>
      </c>
      <c r="U2338">
        <v>0.20251459999999999</v>
      </c>
      <c r="V2338">
        <v>-0.1006744</v>
      </c>
      <c r="W2338">
        <v>0.14291289999999901</v>
      </c>
      <c r="X2338">
        <v>0.98460170000000002</v>
      </c>
      <c r="Y2338">
        <v>8.7640190000000007E-2</v>
      </c>
      <c r="Z2338">
        <v>6.7085229999999999E-4</v>
      </c>
      <c r="AA2338">
        <v>0.99615200000000004</v>
      </c>
      <c r="AB2338">
        <v>28</v>
      </c>
      <c r="AC2338">
        <v>-181.3954</v>
      </c>
      <c r="AD2338">
        <v>-1.160622</v>
      </c>
      <c r="AE2338">
        <v>11.952699999999901</v>
      </c>
      <c r="AF2338">
        <v>15.948379025127799</v>
      </c>
      <c r="AG2338">
        <v>-1.160622</v>
      </c>
      <c r="AH2338">
        <v>181.080406070838</v>
      </c>
      <c r="AI2338">
        <v>90.365812188955701</v>
      </c>
      <c r="AJ2338">
        <v>84.9667494876837</v>
      </c>
      <c r="AK2338">
        <v>181.785068968096</v>
      </c>
      <c r="AL2338">
        <v>81.783561279624806</v>
      </c>
      <c r="AM2338">
        <v>95.838138890361705</v>
      </c>
      <c r="AN2338">
        <v>0.99999996972232896</v>
      </c>
    </row>
    <row r="2339" spans="1:40" x14ac:dyDescent="0.25">
      <c r="A2339" t="str">
        <f>"20190304154806840"</f>
        <v>20190304154806840</v>
      </c>
      <c r="B2339" t="str">
        <f>"1551685686828861"</f>
        <v>1551685686828861</v>
      </c>
      <c r="C2339" t="s">
        <v>40</v>
      </c>
      <c r="D2339">
        <v>4.4709149999999998</v>
      </c>
      <c r="E2339">
        <v>0.56875690000000001</v>
      </c>
      <c r="F2339" t="s">
        <v>45</v>
      </c>
      <c r="G2339">
        <v>-407.3023</v>
      </c>
      <c r="H2339">
        <v>-0.05</v>
      </c>
      <c r="I2339">
        <v>296.85579999999999</v>
      </c>
      <c r="J2339">
        <v>-232.142</v>
      </c>
      <c r="K2339">
        <v>1.110598</v>
      </c>
      <c r="L2339">
        <v>285.61</v>
      </c>
      <c r="M2339">
        <v>-0.99969229999999998</v>
      </c>
      <c r="N2339">
        <v>-1.1438500000000001E-2</v>
      </c>
      <c r="O2339">
        <v>-2.2017399999999999E-2</v>
      </c>
      <c r="P2339">
        <v>-0.98380060000000003</v>
      </c>
      <c r="Q2339">
        <v>0.1316272</v>
      </c>
      <c r="R2339">
        <v>-0.12170019999999999</v>
      </c>
      <c r="S2339">
        <v>-3.0769039999999999</v>
      </c>
      <c r="T2339">
        <v>-2.0361420000000002E-2</v>
      </c>
      <c r="U2339">
        <v>0.19720460000000001</v>
      </c>
      <c r="V2339">
        <v>-9.9999299999999999E-2</v>
      </c>
      <c r="W2339">
        <v>0.1429058</v>
      </c>
      <c r="X2339">
        <v>0.98467150000000003</v>
      </c>
      <c r="Y2339">
        <v>8.5913519999999993E-2</v>
      </c>
      <c r="Z2339">
        <v>6.6986460000000004E-4</v>
      </c>
      <c r="AA2339">
        <v>0.99630240000000003</v>
      </c>
      <c r="AB2339">
        <v>28</v>
      </c>
      <c r="AC2339">
        <v>-175.16030000000001</v>
      </c>
      <c r="AD2339">
        <v>-1.160598</v>
      </c>
      <c r="AE2339">
        <v>11.2457999999999</v>
      </c>
      <c r="AF2339">
        <v>15.099239477066901</v>
      </c>
      <c r="AG2339">
        <v>-1.160598</v>
      </c>
      <c r="AH2339">
        <v>174.86256855650899</v>
      </c>
      <c r="AI2339">
        <v>90.378868225622199</v>
      </c>
      <c r="AJ2339">
        <v>85.064798024748498</v>
      </c>
      <c r="AK2339">
        <v>175.517098604903</v>
      </c>
      <c r="AL2339">
        <v>81.783972096361296</v>
      </c>
      <c r="AM2339">
        <v>95.798849074589597</v>
      </c>
      <c r="AN2339">
        <v>0.99999994529318803</v>
      </c>
    </row>
    <row r="2340" spans="1:40" x14ac:dyDescent="0.25">
      <c r="A2340" t="str">
        <f>"20190304154806863"</f>
        <v>20190304154806863</v>
      </c>
      <c r="B2340" t="str">
        <f>"1551685686859117"</f>
        <v>1551685686859117</v>
      </c>
      <c r="C2340" t="s">
        <v>40</v>
      </c>
      <c r="D2340">
        <v>4.4929990000000002</v>
      </c>
      <c r="E2340">
        <v>0.56695689999999999</v>
      </c>
      <c r="F2340" t="s">
        <v>45</v>
      </c>
      <c r="G2340">
        <v>-403.8399</v>
      </c>
      <c r="H2340">
        <v>-0.05</v>
      </c>
      <c r="I2340">
        <v>296.38900000000001</v>
      </c>
      <c r="J2340">
        <v>-232.4135</v>
      </c>
      <c r="K2340">
        <v>1.110568</v>
      </c>
      <c r="L2340">
        <v>285.60399999999998</v>
      </c>
      <c r="M2340">
        <v>-0.99969419999999998</v>
      </c>
      <c r="N2340">
        <v>-1.1416610000000001E-2</v>
      </c>
      <c r="O2340">
        <v>-2.1941430000000001E-2</v>
      </c>
      <c r="P2340">
        <v>-0.9838192</v>
      </c>
      <c r="Q2340">
        <v>0.13160259999999999</v>
      </c>
      <c r="R2340">
        <v>-0.12157660000000001</v>
      </c>
      <c r="S2340">
        <v>-3.0760960000000002</v>
      </c>
      <c r="T2340">
        <v>-2.0792959999999999E-2</v>
      </c>
      <c r="U2340">
        <v>0.19311519999999999</v>
      </c>
      <c r="V2340">
        <v>-9.9940689999999999E-2</v>
      </c>
      <c r="W2340">
        <v>0.14286699999999999</v>
      </c>
      <c r="X2340">
        <v>0.98468319999999998</v>
      </c>
      <c r="Y2340">
        <v>8.4535230000000003E-2</v>
      </c>
      <c r="Z2340">
        <v>6.6643319999999998E-4</v>
      </c>
      <c r="AA2340">
        <v>0.99642030000000004</v>
      </c>
      <c r="AB2340">
        <v>28</v>
      </c>
      <c r="AC2340">
        <v>-171.4264</v>
      </c>
      <c r="AD2340">
        <v>-1.160568</v>
      </c>
      <c r="AE2340">
        <v>10.784999999999901</v>
      </c>
      <c r="AF2340">
        <v>14.5433243277842</v>
      </c>
      <c r="AG2340">
        <v>-1.160568</v>
      </c>
      <c r="AH2340">
        <v>171.14065825441099</v>
      </c>
      <c r="AI2340">
        <v>90.387142585283698</v>
      </c>
      <c r="AJ2340">
        <v>85.142744184645196</v>
      </c>
      <c r="AK2340">
        <v>171.76140459468499</v>
      </c>
      <c r="AL2340">
        <v>81.786219191704703</v>
      </c>
      <c r="AM2340">
        <v>95.795405093996195</v>
      </c>
      <c r="AN2340">
        <v>1.0000000627844501</v>
      </c>
    </row>
    <row r="2341" spans="1:40" x14ac:dyDescent="0.25">
      <c r="A2341" t="str">
        <f>"20190304154806883"</f>
        <v>20190304154806883</v>
      </c>
      <c r="B2341" t="str">
        <f>"1551685686879613"</f>
        <v>1551685686879613</v>
      </c>
      <c r="C2341" t="s">
        <v>40</v>
      </c>
      <c r="D2341">
        <v>4.5116680000000002</v>
      </c>
      <c r="E2341">
        <v>0.56663189999999997</v>
      </c>
      <c r="F2341" t="s">
        <v>60</v>
      </c>
      <c r="G2341">
        <v>-365.33339999999998</v>
      </c>
      <c r="H2341">
        <v>8.0000119999999994E-2</v>
      </c>
      <c r="I2341">
        <v>293.36930000000001</v>
      </c>
      <c r="J2341">
        <v>-232.67930000000001</v>
      </c>
      <c r="K2341">
        <v>1.110535</v>
      </c>
      <c r="L2341">
        <v>285.59829999999999</v>
      </c>
      <c r="M2341">
        <v>-0.9996969</v>
      </c>
      <c r="N2341">
        <v>-1.13934E-2</v>
      </c>
      <c r="O2341">
        <v>-2.1828009999999998E-2</v>
      </c>
      <c r="P2341">
        <v>-0.98384550000000004</v>
      </c>
      <c r="Q2341">
        <v>0.13169500000000001</v>
      </c>
      <c r="R2341">
        <v>-0.1212631</v>
      </c>
      <c r="S2341">
        <v>-3.074722</v>
      </c>
      <c r="T2341">
        <v>-2.3839240000000001E-2</v>
      </c>
      <c r="U2341">
        <v>0.17962649999999999</v>
      </c>
      <c r="V2341">
        <v>-9.9728280000000002E-2</v>
      </c>
      <c r="W2341">
        <v>0.14294399999999999</v>
      </c>
      <c r="X2341">
        <v>0.9846935</v>
      </c>
      <c r="Y2341">
        <v>8.0093230000000001E-2</v>
      </c>
      <c r="Z2341">
        <v>6.8755249999999997E-4</v>
      </c>
      <c r="AA2341">
        <v>0.99678710000000004</v>
      </c>
      <c r="AB2341">
        <v>28</v>
      </c>
      <c r="AC2341">
        <v>-132.654099999999</v>
      </c>
      <c r="AD2341">
        <v>-1.03053488</v>
      </c>
      <c r="AE2341">
        <v>7.7710000000000097</v>
      </c>
      <c r="AF2341">
        <v>10.664269588169599</v>
      </c>
      <c r="AG2341">
        <v>-1.03053488</v>
      </c>
      <c r="AH2341">
        <v>132.44488751661399</v>
      </c>
      <c r="AI2341">
        <v>90.444363264684597</v>
      </c>
      <c r="AJ2341">
        <v>85.396558477513494</v>
      </c>
      <c r="AK2341">
        <v>132.877525854738</v>
      </c>
      <c r="AL2341">
        <v>81.781761171336797</v>
      </c>
      <c r="AM2341">
        <v>95.783111262578402</v>
      </c>
      <c r="AN2341">
        <v>1.000000002955</v>
      </c>
    </row>
    <row r="2342" spans="1:40" x14ac:dyDescent="0.25">
      <c r="A2342" t="str">
        <f>"20190304154806898"</f>
        <v>20190304154806898</v>
      </c>
      <c r="B2342" t="str">
        <f>"1551685686889373"</f>
        <v>1551685686889373</v>
      </c>
      <c r="C2342" t="s">
        <v>40</v>
      </c>
      <c r="D2342">
        <v>4.3432680000000001</v>
      </c>
      <c r="E2342">
        <v>0.56652999999999998</v>
      </c>
      <c r="F2342" t="s">
        <v>60</v>
      </c>
      <c r="G2342">
        <v>-381.3451</v>
      </c>
      <c r="H2342">
        <v>8.0000420000000003E-2</v>
      </c>
      <c r="I2342">
        <v>294.19099999999997</v>
      </c>
      <c r="J2342">
        <v>-232.8571</v>
      </c>
      <c r="K2342">
        <v>1.1105119999999999</v>
      </c>
      <c r="L2342">
        <v>285.59449999999998</v>
      </c>
      <c r="M2342">
        <v>-0.99969920000000001</v>
      </c>
      <c r="N2342">
        <v>-1.137792E-2</v>
      </c>
      <c r="O2342">
        <v>-2.1733820000000001E-2</v>
      </c>
      <c r="P2342">
        <v>-0.98389629999999995</v>
      </c>
      <c r="Q2342">
        <v>0.13150709999999999</v>
      </c>
      <c r="R2342">
        <v>-0.1210553</v>
      </c>
      <c r="S2342">
        <v>-3.0740050000000001</v>
      </c>
      <c r="T2342">
        <v>-2.130866E-2</v>
      </c>
      <c r="U2342">
        <v>0.17767330000000001</v>
      </c>
      <c r="V2342">
        <v>-9.9604860000000003E-2</v>
      </c>
      <c r="W2342">
        <v>0.14274619999999999</v>
      </c>
      <c r="X2342">
        <v>0.98473469999999996</v>
      </c>
      <c r="Y2342">
        <v>7.9382480000000005E-2</v>
      </c>
      <c r="Z2342">
        <v>6.3039040000000001E-4</v>
      </c>
      <c r="AA2342">
        <v>0.99684410000000001</v>
      </c>
      <c r="AB2342">
        <v>28</v>
      </c>
      <c r="AC2342">
        <v>-148.488</v>
      </c>
      <c r="AD2342">
        <v>-1.03051158</v>
      </c>
      <c r="AE2342">
        <v>8.59649999999999</v>
      </c>
      <c r="AF2342">
        <v>11.821321602732599</v>
      </c>
      <c r="AG2342">
        <v>-1.03051158</v>
      </c>
      <c r="AH2342">
        <v>148.25895776142301</v>
      </c>
      <c r="AI2342">
        <v>90.396982589683802</v>
      </c>
      <c r="AJ2342">
        <v>85.441206740594396</v>
      </c>
      <c r="AK2342">
        <v>148.733063422546</v>
      </c>
      <c r="AL2342">
        <v>81.793211821787395</v>
      </c>
      <c r="AM2342">
        <v>95.775762693903204</v>
      </c>
      <c r="AN2342">
        <v>1.00000001756707</v>
      </c>
    </row>
    <row r="2343" spans="1:40" x14ac:dyDescent="0.25">
      <c r="A2343" t="str">
        <f>"20190304154806911"</f>
        <v>20190304154806911</v>
      </c>
      <c r="B2343" t="str">
        <f>"1551685686908894"</f>
        <v>1551685686908894</v>
      </c>
      <c r="C2343" t="s">
        <v>40</v>
      </c>
      <c r="D2343">
        <v>4.3566849999999997</v>
      </c>
      <c r="E2343">
        <v>0.56636839999999999</v>
      </c>
      <c r="F2343" t="s">
        <v>60</v>
      </c>
      <c r="G2343">
        <v>-383.7002</v>
      </c>
      <c r="H2343">
        <v>8.0001100000000006E-2</v>
      </c>
      <c r="I2343">
        <v>294.30329999999998</v>
      </c>
      <c r="J2343">
        <v>-233.029</v>
      </c>
      <c r="K2343">
        <v>1.1104909999999999</v>
      </c>
      <c r="L2343">
        <v>285.59089999999998</v>
      </c>
      <c r="M2343">
        <v>-0.99970159999999997</v>
      </c>
      <c r="N2343">
        <v>-1.13633E-2</v>
      </c>
      <c r="O2343">
        <v>-2.1632019999999998E-2</v>
      </c>
      <c r="P2343">
        <v>-0.98395129999999997</v>
      </c>
      <c r="Q2343">
        <v>0.131302</v>
      </c>
      <c r="R2343">
        <v>-0.1208308</v>
      </c>
      <c r="S2343">
        <v>-3.0737459999999999</v>
      </c>
      <c r="T2343">
        <v>-2.0998840000000001E-2</v>
      </c>
      <c r="U2343">
        <v>0.1774597</v>
      </c>
      <c r="V2343">
        <v>-9.9472720000000001E-2</v>
      </c>
      <c r="W2343">
        <v>0.14253199999999999</v>
      </c>
      <c r="X2343">
        <v>0.98477910000000002</v>
      </c>
      <c r="Y2343">
        <v>7.921686E-2</v>
      </c>
      <c r="Z2343">
        <v>6.2292939999999996E-4</v>
      </c>
      <c r="AA2343">
        <v>0.9968572</v>
      </c>
      <c r="AB2343">
        <v>28</v>
      </c>
      <c r="AC2343">
        <v>-150.671199999999</v>
      </c>
      <c r="AD2343">
        <v>-1.0304898999999901</v>
      </c>
      <c r="AE2343">
        <v>8.7124000000000006</v>
      </c>
      <c r="AF2343">
        <v>11.9693353012426</v>
      </c>
      <c r="AG2343">
        <v>-1.0304898999999901</v>
      </c>
      <c r="AH2343">
        <v>150.440445908969</v>
      </c>
      <c r="AI2343">
        <v>90.391223359503897</v>
      </c>
      <c r="AJ2343">
        <v>85.451018389873994</v>
      </c>
      <c r="AK2343">
        <v>150.919364768995</v>
      </c>
      <c r="AL2343">
        <v>81.805611504874605</v>
      </c>
      <c r="AM2343">
        <v>95.767893714843495</v>
      </c>
      <c r="AN2343">
        <v>1.0000000344225</v>
      </c>
    </row>
    <row r="2344" spans="1:40" x14ac:dyDescent="0.25">
      <c r="A2344" t="str">
        <f>"20190304154806928"</f>
        <v>20190304154806928</v>
      </c>
      <c r="B2344" t="str">
        <f>"1551685686919633"</f>
        <v>1551685686919633</v>
      </c>
      <c r="C2344" t="s">
        <v>40</v>
      </c>
      <c r="D2344">
        <v>4.3625800000000003</v>
      </c>
      <c r="E2344">
        <v>0.56628009999999995</v>
      </c>
      <c r="F2344" t="s">
        <v>45</v>
      </c>
      <c r="G2344">
        <v>-411.04320000000001</v>
      </c>
      <c r="H2344">
        <v>-0.05</v>
      </c>
      <c r="I2344">
        <v>295.82569999999998</v>
      </c>
      <c r="J2344">
        <v>-233.25020000000001</v>
      </c>
      <c r="K2344">
        <v>1.1104529999999999</v>
      </c>
      <c r="L2344">
        <v>285.58620000000002</v>
      </c>
      <c r="M2344">
        <v>-0.99970499999999995</v>
      </c>
      <c r="N2344">
        <v>-1.1345890000000001E-2</v>
      </c>
      <c r="O2344">
        <v>-2.1477099999999999E-2</v>
      </c>
      <c r="P2344">
        <v>-0.98395849999999996</v>
      </c>
      <c r="Q2344">
        <v>0.13178000000000001</v>
      </c>
      <c r="R2344">
        <v>-0.1202495</v>
      </c>
      <c r="S2344">
        <v>-3.0732879999999998</v>
      </c>
      <c r="T2344">
        <v>-2.0035029999999999E-2</v>
      </c>
      <c r="U2344">
        <v>0.17669679999999999</v>
      </c>
      <c r="V2344">
        <v>-9.9035369999999998E-2</v>
      </c>
      <c r="W2344">
        <v>0.14299870000000001</v>
      </c>
      <c r="X2344">
        <v>0.98475550000000001</v>
      </c>
      <c r="Y2344">
        <v>7.882459E-2</v>
      </c>
      <c r="Z2344">
        <v>6.0072689999999998E-4</v>
      </c>
      <c r="AA2344">
        <v>0.99688829999999995</v>
      </c>
      <c r="AB2344">
        <v>28</v>
      </c>
      <c r="AC2344">
        <v>-177.79300000000001</v>
      </c>
      <c r="AD2344">
        <v>-1.160453</v>
      </c>
      <c r="AE2344">
        <v>10.2394999999999</v>
      </c>
      <c r="AF2344">
        <v>14.055264743037799</v>
      </c>
      <c r="AG2344">
        <v>-1.160453</v>
      </c>
      <c r="AH2344">
        <v>177.52451833888301</v>
      </c>
      <c r="AI2344">
        <v>90.3733608407926</v>
      </c>
      <c r="AJ2344">
        <v>85.473126885424193</v>
      </c>
      <c r="AK2344">
        <v>178.083833431377</v>
      </c>
      <c r="AL2344">
        <v>81.778594650408095</v>
      </c>
      <c r="AM2344">
        <v>95.7428406903866</v>
      </c>
      <c r="AN2344">
        <v>1.00000001374648</v>
      </c>
    </row>
    <row r="2345" spans="1:40" x14ac:dyDescent="0.25">
      <c r="A2345" t="str">
        <f>"20190304154806942"</f>
        <v>20190304154806942</v>
      </c>
      <c r="B2345" t="str">
        <f>"1551685686939149"</f>
        <v>1551685686939149</v>
      </c>
      <c r="C2345" t="s">
        <v>40</v>
      </c>
      <c r="D2345">
        <v>4.4418410000000002</v>
      </c>
      <c r="E2345">
        <v>0.56601299999999999</v>
      </c>
      <c r="F2345" t="s">
        <v>61</v>
      </c>
      <c r="G2345">
        <v>-408.1361</v>
      </c>
      <c r="H2345">
        <v>7.9999730000000005E-2</v>
      </c>
      <c r="I2345">
        <v>295.69580000000002</v>
      </c>
      <c r="J2345">
        <v>-233.40649999999999</v>
      </c>
      <c r="K2345">
        <v>1.1104369999999999</v>
      </c>
      <c r="L2345">
        <v>285.58300000000003</v>
      </c>
      <c r="M2345">
        <v>-0.99970780000000004</v>
      </c>
      <c r="N2345">
        <v>-1.1334479999999999E-2</v>
      </c>
      <c r="O2345">
        <v>-2.135488E-2</v>
      </c>
      <c r="P2345">
        <v>-0.9840333</v>
      </c>
      <c r="Q2345">
        <v>0.1316224</v>
      </c>
      <c r="R2345">
        <v>-0.11980780000000001</v>
      </c>
      <c r="S2345">
        <v>-3.0730439999999999</v>
      </c>
      <c r="T2345">
        <v>-1.8106819999999999E-2</v>
      </c>
      <c r="U2345">
        <v>0.17764279999999999</v>
      </c>
      <c r="V2345">
        <v>-9.8707619999999996E-2</v>
      </c>
      <c r="W2345">
        <v>0.1428345</v>
      </c>
      <c r="X2345">
        <v>0.98481220000000003</v>
      </c>
      <c r="Y2345">
        <v>7.9013650000000005E-2</v>
      </c>
      <c r="Z2345">
        <v>5.6467370000000004E-4</v>
      </c>
      <c r="AA2345">
        <v>0.99687340000000002</v>
      </c>
      <c r="AB2345">
        <v>28</v>
      </c>
      <c r="AC2345">
        <v>-174.7296</v>
      </c>
      <c r="AD2345">
        <v>-1.03043727</v>
      </c>
      <c r="AE2345">
        <v>10.1128</v>
      </c>
      <c r="AF2345">
        <v>13.841582782822</v>
      </c>
      <c r="AG2345">
        <v>-1.03043727</v>
      </c>
      <c r="AH2345">
        <v>174.46773035303599</v>
      </c>
      <c r="AI2345">
        <v>90.337335132515804</v>
      </c>
      <c r="AJ2345">
        <v>85.463879625664305</v>
      </c>
      <c r="AK2345">
        <v>175.018970827282</v>
      </c>
      <c r="AL2345">
        <v>81.788099906514006</v>
      </c>
      <c r="AM2345">
        <v>95.723634241804504</v>
      </c>
      <c r="AN2345">
        <v>0.99999997895257697</v>
      </c>
    </row>
    <row r="2346" spans="1:40" x14ac:dyDescent="0.25">
      <c r="A2346" t="str">
        <f>"20190304154806961"</f>
        <v>20190304154806961</v>
      </c>
      <c r="B2346" t="str">
        <f>"1551685686948909"</f>
        <v>1551685686948909</v>
      </c>
      <c r="C2346" t="s">
        <v>40</v>
      </c>
      <c r="D2346">
        <v>4.3712359999999997</v>
      </c>
      <c r="E2346">
        <v>0.5659419</v>
      </c>
      <c r="F2346" t="s">
        <v>61</v>
      </c>
      <c r="G2346">
        <v>-425.39859999999999</v>
      </c>
      <c r="H2346" s="1">
        <v>5.7385709999999899E-7</v>
      </c>
      <c r="I2346">
        <v>296.62790000000001</v>
      </c>
      <c r="J2346">
        <v>-233.65</v>
      </c>
      <c r="K2346">
        <v>1.1104080000000001</v>
      </c>
      <c r="L2346">
        <v>285.57799999999997</v>
      </c>
      <c r="M2346">
        <v>-0.99971239999999995</v>
      </c>
      <c r="N2346">
        <v>-1.1316369999999999E-2</v>
      </c>
      <c r="O2346">
        <v>-2.1148630000000002E-2</v>
      </c>
      <c r="P2346">
        <v>-0.98408359999999995</v>
      </c>
      <c r="Q2346">
        <v>0.13206129999999999</v>
      </c>
      <c r="R2346">
        <v>-0.1189095</v>
      </c>
      <c r="S2346">
        <v>-3.0725709999999999</v>
      </c>
      <c r="T2346">
        <v>-1.777101E-2</v>
      </c>
      <c r="U2346">
        <v>0.17675779999999999</v>
      </c>
      <c r="V2346">
        <v>-9.8003690000000004E-2</v>
      </c>
      <c r="W2346">
        <v>0.1432602</v>
      </c>
      <c r="X2346">
        <v>0.98482069999999999</v>
      </c>
      <c r="Y2346">
        <v>7.8530740000000002E-2</v>
      </c>
      <c r="Z2346">
        <v>5.5475920000000001E-4</v>
      </c>
      <c r="AA2346">
        <v>0.99691149999999995</v>
      </c>
      <c r="AB2346">
        <v>28</v>
      </c>
      <c r="AC2346">
        <v>-191.74860000000001</v>
      </c>
      <c r="AD2346">
        <v>-1.11040742614289</v>
      </c>
      <c r="AE2346">
        <v>11.049899999999999</v>
      </c>
      <c r="AF2346">
        <v>15.102402962983801</v>
      </c>
      <c r="AG2346">
        <v>-1.11040742614289</v>
      </c>
      <c r="AH2346">
        <v>191.465603780523</v>
      </c>
      <c r="AI2346">
        <v>90.331255075526798</v>
      </c>
      <c r="AJ2346">
        <v>85.4899676879037</v>
      </c>
      <c r="AK2346">
        <v>192.063512961074</v>
      </c>
      <c r="AL2346">
        <v>81.763455901712504</v>
      </c>
      <c r="AM2346">
        <v>95.683035755352506</v>
      </c>
      <c r="AN2346">
        <v>1.0000000096530699</v>
      </c>
    </row>
    <row r="2347" spans="1:40" x14ac:dyDescent="0.25">
      <c r="A2347" t="str">
        <f>"20190304154806975"</f>
        <v>20190304154806975</v>
      </c>
      <c r="B2347" t="str">
        <f>"1551685686969406"</f>
        <v>1551685686969406</v>
      </c>
      <c r="C2347" t="s">
        <v>40</v>
      </c>
      <c r="D2347">
        <v>4.3662789999999996</v>
      </c>
      <c r="E2347">
        <v>0.56582299999999996</v>
      </c>
      <c r="F2347" t="s">
        <v>61</v>
      </c>
      <c r="G2347">
        <v>-430.05599999999998</v>
      </c>
      <c r="H2347">
        <v>7.9999520000000005E-2</v>
      </c>
      <c r="I2347">
        <v>297.02449999999999</v>
      </c>
      <c r="J2347">
        <v>-233.8212</v>
      </c>
      <c r="K2347">
        <v>1.1103909999999999</v>
      </c>
      <c r="L2347">
        <v>285.5745</v>
      </c>
      <c r="M2347">
        <v>-0.99971589999999999</v>
      </c>
      <c r="N2347">
        <v>-1.130288E-2</v>
      </c>
      <c r="O2347">
        <v>-2.099258E-2</v>
      </c>
      <c r="P2347">
        <v>-0.98412820000000001</v>
      </c>
      <c r="Q2347">
        <v>0.13197349999999999</v>
      </c>
      <c r="R2347">
        <v>-0.1186377</v>
      </c>
      <c r="S2347">
        <v>-3.072327</v>
      </c>
      <c r="T2347">
        <v>-1.611841E-2</v>
      </c>
      <c r="U2347">
        <v>0.1790466</v>
      </c>
      <c r="V2347">
        <v>-9.7881109999999993E-2</v>
      </c>
      <c r="W2347">
        <v>0.14316199999999901</v>
      </c>
      <c r="X2347">
        <v>0.98484709999999998</v>
      </c>
      <c r="Y2347">
        <v>7.912023E-2</v>
      </c>
      <c r="Z2347">
        <v>5.2790249999999997E-4</v>
      </c>
      <c r="AA2347">
        <v>0.99686490000000005</v>
      </c>
      <c r="AB2347">
        <v>28</v>
      </c>
      <c r="AC2347">
        <v>-196.23480000000001</v>
      </c>
      <c r="AD2347">
        <v>-1.03039147999999</v>
      </c>
      <c r="AE2347">
        <v>11.4499999999999</v>
      </c>
      <c r="AF2347">
        <v>15.566785960636199</v>
      </c>
      <c r="AG2347">
        <v>-1.03039147999999</v>
      </c>
      <c r="AH2347">
        <v>195.945786074126</v>
      </c>
      <c r="AI2347">
        <v>90.300343880675996</v>
      </c>
      <c r="AJ2347">
        <v>85.457713974934293</v>
      </c>
      <c r="AK2347">
        <v>196.56586074889401</v>
      </c>
      <c r="AL2347">
        <v>81.769140371759207</v>
      </c>
      <c r="AM2347">
        <v>95.675822874104298</v>
      </c>
      <c r="AN2347">
        <v>0.99999994015861904</v>
      </c>
    </row>
    <row r="2348" spans="1:40" x14ac:dyDescent="0.25">
      <c r="A2348" t="str">
        <f>"20190304154806987"</f>
        <v>20190304154806987</v>
      </c>
      <c r="B2348" t="str">
        <f>"1551685686979166"</f>
        <v>1551685686979166</v>
      </c>
      <c r="C2348" t="s">
        <v>40</v>
      </c>
      <c r="D2348">
        <v>4.3517250000000001</v>
      </c>
      <c r="E2348">
        <v>0.56576070000000001</v>
      </c>
      <c r="F2348" t="s">
        <v>61</v>
      </c>
      <c r="G2348">
        <v>-433.95530000000002</v>
      </c>
      <c r="H2348">
        <v>7.9998979999999997E-2</v>
      </c>
      <c r="I2348">
        <v>297.23079999999999</v>
      </c>
      <c r="J2348">
        <v>-233.98779999999999</v>
      </c>
      <c r="K2348">
        <v>1.110379</v>
      </c>
      <c r="L2348">
        <v>285.57119999999998</v>
      </c>
      <c r="M2348">
        <v>-0.99971940000000004</v>
      </c>
      <c r="N2348">
        <v>-1.1288919999999999E-2</v>
      </c>
      <c r="O2348">
        <v>-2.083169E-2</v>
      </c>
      <c r="P2348">
        <v>-0.98417829999999995</v>
      </c>
      <c r="Q2348">
        <v>0.13181979999999999</v>
      </c>
      <c r="R2348">
        <v>-0.1183926</v>
      </c>
      <c r="S2348">
        <v>-3.0720670000000001</v>
      </c>
      <c r="T2348">
        <v>-1.5816569999999999E-2</v>
      </c>
      <c r="U2348">
        <v>0.17892459999999999</v>
      </c>
      <c r="V2348">
        <v>-9.7790009999999997E-2</v>
      </c>
      <c r="W2348">
        <v>0.14299779999999901</v>
      </c>
      <c r="X2348">
        <v>0.98488010000000004</v>
      </c>
      <c r="Y2348">
        <v>7.8925300000000004E-2</v>
      </c>
      <c r="Z2348">
        <v>5.2110839999999997E-4</v>
      </c>
      <c r="AA2348">
        <v>0.9968804</v>
      </c>
      <c r="AB2348">
        <v>28</v>
      </c>
      <c r="AC2348">
        <v>-199.9675</v>
      </c>
      <c r="AD2348">
        <v>-1.03038002</v>
      </c>
      <c r="AE2348">
        <v>11.659599999999999</v>
      </c>
      <c r="AF2348">
        <v>15.822576682684099</v>
      </c>
      <c r="AG2348">
        <v>-1.03038002</v>
      </c>
      <c r="AH2348">
        <v>199.67591270314699</v>
      </c>
      <c r="AI2348">
        <v>90.294734726137506</v>
      </c>
      <c r="AJ2348">
        <v>85.469275836902696</v>
      </c>
      <c r="AK2348">
        <v>200.30448255019201</v>
      </c>
      <c r="AL2348">
        <v>81.778646920703693</v>
      </c>
      <c r="AM2348">
        <v>95.670385947423</v>
      </c>
      <c r="AN2348">
        <v>1.0000000341183199</v>
      </c>
    </row>
    <row r="2349" spans="1:40" x14ac:dyDescent="0.25">
      <c r="A2349" t="str">
        <f>"20190304154807006"</f>
        <v>20190304154807006</v>
      </c>
      <c r="B2349" t="str">
        <f>"1551685686999662"</f>
        <v>1551685686999662</v>
      </c>
      <c r="C2349" t="s">
        <v>40</v>
      </c>
      <c r="D2349">
        <v>4.3495400000000002</v>
      </c>
      <c r="E2349">
        <v>0.56564829999999999</v>
      </c>
      <c r="F2349" t="s">
        <v>61</v>
      </c>
      <c r="G2349">
        <v>-433.673</v>
      </c>
      <c r="H2349">
        <v>7.9998979999999997E-2</v>
      </c>
      <c r="I2349">
        <v>297.24149999999997</v>
      </c>
      <c r="J2349">
        <v>-234.22</v>
      </c>
      <c r="K2349">
        <v>1.110371</v>
      </c>
      <c r="L2349">
        <v>285.56659999999999</v>
      </c>
      <c r="M2349">
        <v>-0.99972439999999996</v>
      </c>
      <c r="N2349">
        <v>-1.1269319999999999E-2</v>
      </c>
      <c r="O2349">
        <v>-2.0597089999999998E-2</v>
      </c>
      <c r="P2349">
        <v>-0.98429449999999996</v>
      </c>
      <c r="Q2349">
        <v>0.1317024</v>
      </c>
      <c r="R2349">
        <v>-0.1175519</v>
      </c>
      <c r="S2349">
        <v>-3.0719599999999998</v>
      </c>
      <c r="T2349">
        <v>-1.5851380000000002E-2</v>
      </c>
      <c r="U2349">
        <v>0.1795349</v>
      </c>
      <c r="V2349">
        <v>-9.7174800000000006E-2</v>
      </c>
      <c r="W2349">
        <v>0.14286380000000001</v>
      </c>
      <c r="X2349">
        <v>0.98496039999999996</v>
      </c>
      <c r="Y2349">
        <v>7.8890760000000004E-2</v>
      </c>
      <c r="Z2349">
        <v>5.2258559999999999E-4</v>
      </c>
      <c r="AA2349">
        <v>0.99688319999999997</v>
      </c>
      <c r="AB2349">
        <v>28</v>
      </c>
      <c r="AC2349">
        <v>-199.453</v>
      </c>
      <c r="AD2349">
        <v>-1.0303720199999999</v>
      </c>
      <c r="AE2349">
        <v>11.6748999999999</v>
      </c>
      <c r="AF2349">
        <v>15.780415287340899</v>
      </c>
      <c r="AG2349">
        <v>-1.0303720199999999</v>
      </c>
      <c r="AH2349">
        <v>199.16490088385501</v>
      </c>
      <c r="AI2349">
        <v>90.295488835683699</v>
      </c>
      <c r="AJ2349">
        <v>85.469752739148205</v>
      </c>
      <c r="AK2349">
        <v>199.791743866498</v>
      </c>
      <c r="AL2349">
        <v>81.786403905421807</v>
      </c>
      <c r="AM2349">
        <v>95.634486658484306</v>
      </c>
      <c r="AN2349">
        <v>0.99999999833681996</v>
      </c>
    </row>
    <row r="2350" spans="1:40" x14ac:dyDescent="0.25">
      <c r="A2350" t="str">
        <f>"20190304154807019"</f>
        <v>20190304154807019</v>
      </c>
      <c r="B2350" t="str">
        <f>"1551685687009421"</f>
        <v>1551685687009421</v>
      </c>
      <c r="C2350" t="s">
        <v>40</v>
      </c>
      <c r="D2350">
        <v>4.3244850000000001</v>
      </c>
      <c r="E2350">
        <v>0.56559740000000003</v>
      </c>
      <c r="F2350" t="s">
        <v>61</v>
      </c>
      <c r="G2350">
        <v>-429.9828</v>
      </c>
      <c r="H2350">
        <v>7.5020569999999995E-2</v>
      </c>
      <c r="I2350">
        <v>297.09820000000002</v>
      </c>
      <c r="J2350">
        <v>-234.3734</v>
      </c>
      <c r="K2350">
        <v>1.110363</v>
      </c>
      <c r="L2350">
        <v>285.56360000000001</v>
      </c>
      <c r="M2350">
        <v>-0.99972780000000006</v>
      </c>
      <c r="N2350">
        <v>-1.1256759999999999E-2</v>
      </c>
      <c r="O2350">
        <v>-2.0437940000000002E-2</v>
      </c>
      <c r="P2350">
        <v>-0.9843575</v>
      </c>
      <c r="Q2350">
        <v>0.13174469999999999</v>
      </c>
      <c r="R2350">
        <v>-0.11697730000000001</v>
      </c>
      <c r="S2350">
        <v>-3.0716549999999998</v>
      </c>
      <c r="T2350">
        <v>-1.6245369999999999E-2</v>
      </c>
      <c r="U2350">
        <v>0.18093870000000001</v>
      </c>
      <c r="V2350">
        <v>-9.675446E-2</v>
      </c>
      <c r="W2350">
        <v>0.14289540000000001</v>
      </c>
      <c r="X2350">
        <v>0.98499720000000002</v>
      </c>
      <c r="Y2350">
        <v>7.9191769999999995E-2</v>
      </c>
      <c r="Z2350">
        <v>5.3351919999999897E-4</v>
      </c>
      <c r="AA2350">
        <v>0.9968593</v>
      </c>
      <c r="AB2350">
        <v>28</v>
      </c>
      <c r="AC2350">
        <v>-195.60939999999999</v>
      </c>
      <c r="AD2350">
        <v>-1.03534243</v>
      </c>
      <c r="AE2350">
        <v>11.534599999999999</v>
      </c>
      <c r="AF2350">
        <v>15.5298631301585</v>
      </c>
      <c r="AG2350">
        <v>-1.03534243</v>
      </c>
      <c r="AH2350">
        <v>195.327325120062</v>
      </c>
      <c r="AI2350">
        <v>90.302741012403501</v>
      </c>
      <c r="AJ2350">
        <v>85.454154753967202</v>
      </c>
      <c r="AK2350">
        <v>195.94645319920201</v>
      </c>
      <c r="AL2350">
        <v>81.784574624089799</v>
      </c>
      <c r="AM2350">
        <v>95.610061641094404</v>
      </c>
      <c r="AN2350">
        <v>1.00000000243944</v>
      </c>
    </row>
    <row r="2351" spans="1:40" x14ac:dyDescent="0.25">
      <c r="A2351" t="str">
        <f>"20190304154807035"</f>
        <v>20190304154807035</v>
      </c>
      <c r="B2351" t="str">
        <f>"1551685687028942"</f>
        <v>1551685687028942</v>
      </c>
      <c r="C2351" t="s">
        <v>40</v>
      </c>
      <c r="D2351">
        <v>4.3456849999999996</v>
      </c>
      <c r="E2351">
        <v>0.56550219999999995</v>
      </c>
      <c r="F2351" t="s">
        <v>61</v>
      </c>
      <c r="G2351">
        <v>-432.90019999999998</v>
      </c>
      <c r="H2351">
        <v>7.9998959999999994E-2</v>
      </c>
      <c r="I2351">
        <v>297.33769999999998</v>
      </c>
      <c r="J2351">
        <v>-234.58109999999999</v>
      </c>
      <c r="K2351">
        <v>1.110358</v>
      </c>
      <c r="L2351">
        <v>285.55959999999999</v>
      </c>
      <c r="M2351">
        <v>-0.99973239999999997</v>
      </c>
      <c r="N2351">
        <v>-1.1240470000000001E-2</v>
      </c>
      <c r="O2351">
        <v>-2.0218799999999999E-2</v>
      </c>
      <c r="P2351">
        <v>-0.9844522</v>
      </c>
      <c r="Q2351">
        <v>0.13136629999999999</v>
      </c>
      <c r="R2351">
        <v>-0.1166064</v>
      </c>
      <c r="S2351">
        <v>-3.0714570000000001</v>
      </c>
      <c r="T2351">
        <v>-1.594102E-2</v>
      </c>
      <c r="U2351">
        <v>0.1821594</v>
      </c>
      <c r="V2351">
        <v>-9.6596059999999997E-2</v>
      </c>
      <c r="W2351">
        <v>0.14250270000000001</v>
      </c>
      <c r="X2351">
        <v>0.98506959999999999</v>
      </c>
      <c r="Y2351">
        <v>7.9371910000000004E-2</v>
      </c>
      <c r="Z2351">
        <v>5.3009239999999896E-4</v>
      </c>
      <c r="AA2351">
        <v>0.99684490000000003</v>
      </c>
      <c r="AB2351">
        <v>28</v>
      </c>
      <c r="AC2351">
        <v>-198.31909999999999</v>
      </c>
      <c r="AD2351">
        <v>-1.03035904</v>
      </c>
      <c r="AE2351">
        <v>11.778099999999901</v>
      </c>
      <c r="AF2351">
        <v>15.7852949324145</v>
      </c>
      <c r="AG2351">
        <v>-1.03035904</v>
      </c>
      <c r="AH2351">
        <v>198.03507349577899</v>
      </c>
      <c r="AI2351">
        <v>90.297159694985993</v>
      </c>
      <c r="AJ2351">
        <v>85.442612454251304</v>
      </c>
      <c r="AK2351">
        <v>198.66586901210101</v>
      </c>
      <c r="AL2351">
        <v>81.807307032830494</v>
      </c>
      <c r="AM2351">
        <v>95.600526629217001</v>
      </c>
      <c r="AN2351">
        <v>0.99999996757948595</v>
      </c>
    </row>
    <row r="2352" spans="1:40" x14ac:dyDescent="0.25">
      <c r="A2352" t="str">
        <f>"20190304154807053"</f>
        <v>20190304154807053</v>
      </c>
      <c r="B2352" t="str">
        <f>"1551685687049438"</f>
        <v>1551685687049438</v>
      </c>
      <c r="C2352" t="s">
        <v>40</v>
      </c>
      <c r="D2352">
        <v>4.3065300000000004</v>
      </c>
      <c r="E2352">
        <v>0.56538719999999998</v>
      </c>
      <c r="F2352" t="s">
        <v>61</v>
      </c>
      <c r="G2352">
        <v>-429.98140000000001</v>
      </c>
      <c r="H2352">
        <v>7.3603390000000005E-2</v>
      </c>
      <c r="I2352">
        <v>297.18009999999998</v>
      </c>
      <c r="J2352">
        <v>-234.79640000000001</v>
      </c>
      <c r="K2352">
        <v>1.110349</v>
      </c>
      <c r="L2352">
        <v>285.55540000000002</v>
      </c>
      <c r="M2352">
        <v>-0.99973719999999999</v>
      </c>
      <c r="N2352">
        <v>-1.122478E-2</v>
      </c>
      <c r="O2352">
        <v>-1.9989090000000001E-2</v>
      </c>
      <c r="P2352">
        <v>-0.98466189999999998</v>
      </c>
      <c r="Q2352">
        <v>0.13053600000000001</v>
      </c>
      <c r="R2352">
        <v>-0.1157629</v>
      </c>
      <c r="S2352">
        <v>-3.0712280000000001</v>
      </c>
      <c r="T2352">
        <v>-1.629531E-2</v>
      </c>
      <c r="U2352">
        <v>0.1826477</v>
      </c>
      <c r="V2352">
        <v>-9.5975060000000001E-2</v>
      </c>
      <c r="W2352">
        <v>0.1416597</v>
      </c>
      <c r="X2352">
        <v>0.98525189999999996</v>
      </c>
      <c r="Y2352">
        <v>7.9305100000000003E-2</v>
      </c>
      <c r="Z2352">
        <v>5.375213E-4</v>
      </c>
      <c r="AA2352">
        <v>0.99685029999999997</v>
      </c>
      <c r="AB2352">
        <v>28</v>
      </c>
      <c r="AC2352">
        <v>-195.185</v>
      </c>
      <c r="AD2352">
        <v>-1.0367456100000001</v>
      </c>
      <c r="AE2352">
        <v>11.624699999999899</v>
      </c>
      <c r="AF2352">
        <v>15.5237569350014</v>
      </c>
      <c r="AG2352">
        <v>-1.0367456100000001</v>
      </c>
      <c r="AH2352">
        <v>194.90813542138801</v>
      </c>
      <c r="AI2352">
        <v>90.303799925201005</v>
      </c>
      <c r="AJ2352">
        <v>85.446202771421895</v>
      </c>
      <c r="AK2352">
        <v>195.52811338597601</v>
      </c>
      <c r="AL2352">
        <v>81.856102628437597</v>
      </c>
      <c r="AM2352">
        <v>95.563725314779603</v>
      </c>
      <c r="AN2352">
        <v>0.99999999459985101</v>
      </c>
    </row>
    <row r="2353" spans="1:40" x14ac:dyDescent="0.25">
      <c r="A2353" t="str">
        <f>"20190304154807073"</f>
        <v>20190304154807073</v>
      </c>
      <c r="B2353" t="str">
        <f>"1551685687068958"</f>
        <v>1551685687068958</v>
      </c>
      <c r="C2353" t="s">
        <v>40</v>
      </c>
      <c r="D2353">
        <v>4.3205239999999998</v>
      </c>
      <c r="E2353">
        <v>0.56527439999999995</v>
      </c>
      <c r="F2353" t="s">
        <v>61</v>
      </c>
      <c r="G2353">
        <v>-427.4864</v>
      </c>
      <c r="H2353" s="1">
        <v>4.3561670000000003E-7</v>
      </c>
      <c r="I2353">
        <v>297.1429</v>
      </c>
      <c r="J2353">
        <v>-235.059</v>
      </c>
      <c r="K2353">
        <v>1.110341</v>
      </c>
      <c r="L2353">
        <v>285.5505</v>
      </c>
      <c r="M2353">
        <v>-0.99974300000000005</v>
      </c>
      <c r="N2353">
        <v>-1.120758E-2</v>
      </c>
      <c r="O2353">
        <v>-1.9708119999999999E-2</v>
      </c>
      <c r="P2353">
        <v>-0.98471869999999995</v>
      </c>
      <c r="Q2353">
        <v>0.13030549999999999</v>
      </c>
      <c r="R2353">
        <v>-0.1155417</v>
      </c>
      <c r="S2353">
        <v>-3.070786</v>
      </c>
      <c r="T2353">
        <v>-1.7694950000000001E-2</v>
      </c>
      <c r="U2353">
        <v>0.18466189999999999</v>
      </c>
      <c r="V2353">
        <v>-9.6029219999999998E-2</v>
      </c>
      <c r="W2353">
        <v>0.14141280000000001</v>
      </c>
      <c r="X2353">
        <v>0.98528210000000005</v>
      </c>
      <c r="Y2353">
        <v>7.9684610000000003E-2</v>
      </c>
      <c r="Z2353">
        <v>5.6914529999999995E-4</v>
      </c>
      <c r="AA2353">
        <v>0.99682000000000004</v>
      </c>
      <c r="AB2353">
        <v>28</v>
      </c>
      <c r="AC2353">
        <v>-192.42740000000001</v>
      </c>
      <c r="AD2353">
        <v>-1.1103405643833</v>
      </c>
      <c r="AE2353">
        <v>11.5923999999999</v>
      </c>
      <c r="AF2353">
        <v>15.3822582271832</v>
      </c>
      <c r="AG2353">
        <v>-1.1103405643833</v>
      </c>
      <c r="AH2353">
        <v>192.155167900078</v>
      </c>
      <c r="AI2353">
        <v>90.330015914518199</v>
      </c>
      <c r="AJ2353">
        <v>85.423161952189304</v>
      </c>
      <c r="AK2353">
        <v>192.77306677812601</v>
      </c>
      <c r="AL2353">
        <v>81.870392890391301</v>
      </c>
      <c r="AM2353">
        <v>95.566675724176704</v>
      </c>
      <c r="AN2353">
        <v>1.00000000383902</v>
      </c>
    </row>
    <row r="2354" spans="1:40" x14ac:dyDescent="0.25">
      <c r="A2354" t="str">
        <f>"20190304154807087"</f>
        <v>20190304154807087</v>
      </c>
      <c r="B2354" t="str">
        <f>"1551685687079694"</f>
        <v>1551685687079694</v>
      </c>
      <c r="C2354" t="s">
        <v>40</v>
      </c>
      <c r="D2354">
        <v>4.2834500000000002</v>
      </c>
      <c r="E2354">
        <v>0.565222</v>
      </c>
      <c r="F2354" t="s">
        <v>61</v>
      </c>
      <c r="G2354">
        <v>-429.95780000000002</v>
      </c>
      <c r="H2354">
        <v>6.9350119999999999E-3</v>
      </c>
      <c r="I2354">
        <v>297.27179999999998</v>
      </c>
      <c r="J2354">
        <v>-235.2406</v>
      </c>
      <c r="K2354">
        <v>1.1103379999999901</v>
      </c>
      <c r="L2354">
        <v>285.54719999999998</v>
      </c>
      <c r="M2354">
        <v>-0.99974689999999999</v>
      </c>
      <c r="N2354">
        <v>-1.119685E-2</v>
      </c>
      <c r="O2354">
        <v>-1.9514110000000001E-2</v>
      </c>
      <c r="P2354">
        <v>-0.98479099999999997</v>
      </c>
      <c r="Q2354">
        <v>0.1301321</v>
      </c>
      <c r="R2354">
        <v>-0.1151184</v>
      </c>
      <c r="S2354">
        <v>-3.0705260000000001</v>
      </c>
      <c r="T2354">
        <v>-1.7383579999999999E-2</v>
      </c>
      <c r="U2354">
        <v>0.18466189999999999</v>
      </c>
      <c r="V2354">
        <v>-9.5795909999999998E-2</v>
      </c>
      <c r="W2354">
        <v>0.1412292</v>
      </c>
      <c r="X2354">
        <v>0.98533110000000002</v>
      </c>
      <c r="Y2354">
        <v>7.9496300000000006E-2</v>
      </c>
      <c r="Z2354">
        <v>5.6240870000000005E-4</v>
      </c>
      <c r="AA2354">
        <v>0.99683500000000003</v>
      </c>
      <c r="AB2354">
        <v>28</v>
      </c>
      <c r="AC2354">
        <v>-194.71719999999999</v>
      </c>
      <c r="AD2354">
        <v>-1.10340298799999</v>
      </c>
      <c r="AE2354">
        <v>11.724600000000001</v>
      </c>
      <c r="AF2354">
        <v>15.521841515582</v>
      </c>
      <c r="AG2354">
        <v>-1.10340298799999</v>
      </c>
      <c r="AH2354">
        <v>194.445086791915</v>
      </c>
      <c r="AI2354">
        <v>90.324097630956302</v>
      </c>
      <c r="AJ2354">
        <v>85.435965028536998</v>
      </c>
      <c r="AK2354">
        <v>195.06674970302899</v>
      </c>
      <c r="AL2354">
        <v>81.881018682789502</v>
      </c>
      <c r="AM2354">
        <v>95.552961288313796</v>
      </c>
      <c r="AN2354">
        <v>0.99999995996628799</v>
      </c>
    </row>
    <row r="2355" spans="1:40" x14ac:dyDescent="0.25">
      <c r="A2355" t="str">
        <f>"20190304154807107"</f>
        <v>20190304154807107</v>
      </c>
      <c r="B2355" t="str">
        <f>"1551685687099214"</f>
        <v>1551685687099214</v>
      </c>
      <c r="C2355" t="s">
        <v>40</v>
      </c>
      <c r="D2355">
        <v>4.5010050000000001</v>
      </c>
      <c r="E2355">
        <v>0.56411</v>
      </c>
      <c r="F2355" t="s">
        <v>61</v>
      </c>
      <c r="G2355">
        <v>-427.74149999999997</v>
      </c>
      <c r="H2355" s="1">
        <v>4.2567599999999998E-7</v>
      </c>
      <c r="I2355">
        <v>297.19929999999999</v>
      </c>
      <c r="J2355">
        <v>-235.49359999999999</v>
      </c>
      <c r="K2355">
        <v>1.1103320000000001</v>
      </c>
      <c r="L2355">
        <v>285.54250000000002</v>
      </c>
      <c r="M2355">
        <v>-0.99975239999999999</v>
      </c>
      <c r="N2355">
        <v>-1.1183419999999999E-2</v>
      </c>
      <c r="O2355">
        <v>-1.9244509999999999E-2</v>
      </c>
      <c r="P2355">
        <v>-0.98474689999999998</v>
      </c>
      <c r="Q2355">
        <v>0.1303154</v>
      </c>
      <c r="R2355">
        <v>-0.1152899</v>
      </c>
      <c r="S2355">
        <v>-3.0704039999999999</v>
      </c>
      <c r="T2355">
        <v>-1.7709969999999998E-2</v>
      </c>
      <c r="U2355">
        <v>0.18585209999999999</v>
      </c>
      <c r="V2355">
        <v>-9.6234260000000002E-2</v>
      </c>
      <c r="W2355">
        <v>0.1413991</v>
      </c>
      <c r="X2355">
        <v>0.98526409999999998</v>
      </c>
      <c r="Y2355">
        <v>7.9614770000000001E-2</v>
      </c>
      <c r="Z2355">
        <v>5.7091059999999998E-4</v>
      </c>
      <c r="AA2355">
        <v>0.99682550000000003</v>
      </c>
      <c r="AB2355">
        <v>28</v>
      </c>
      <c r="AC2355">
        <v>-192.24789999999999</v>
      </c>
      <c r="AD2355">
        <v>-1.1103315743240001</v>
      </c>
      <c r="AE2355">
        <v>11.656799999999899</v>
      </c>
      <c r="AF2355">
        <v>15.3540781865713</v>
      </c>
      <c r="AG2355">
        <v>-1.1103315743240001</v>
      </c>
      <c r="AH2355">
        <v>191.98156883980599</v>
      </c>
      <c r="AI2355">
        <v>90.330313603728598</v>
      </c>
      <c r="AJ2355">
        <v>85.427397578873396</v>
      </c>
      <c r="AK2355">
        <v>192.59777601872099</v>
      </c>
      <c r="AL2355">
        <v>81.871186126572198</v>
      </c>
      <c r="AM2355">
        <v>95.578587975902707</v>
      </c>
      <c r="AN2355">
        <v>1.0000000425136799</v>
      </c>
    </row>
    <row r="2356" spans="1:40" x14ac:dyDescent="0.25">
      <c r="A2356" t="str">
        <f>"20190304154807121"</f>
        <v>20190304154807121</v>
      </c>
      <c r="B2356" t="str">
        <f>"1551685687118734"</f>
        <v>1551685687118734</v>
      </c>
      <c r="C2356" t="s">
        <v>40</v>
      </c>
      <c r="D2356">
        <v>4.4587680000000001</v>
      </c>
      <c r="E2356">
        <v>0.56320719999999902</v>
      </c>
      <c r="F2356" t="s">
        <v>61</v>
      </c>
      <c r="G2356">
        <v>-411.29430000000002</v>
      </c>
      <c r="H2356" s="1">
        <v>8.1588749999999997E-7</v>
      </c>
      <c r="I2356">
        <v>295.6567</v>
      </c>
      <c r="J2356">
        <v>-235.66399999999999</v>
      </c>
      <c r="K2356">
        <v>1.11032999999999</v>
      </c>
      <c r="L2356">
        <v>285.5394</v>
      </c>
      <c r="M2356">
        <v>-0.99975579999999997</v>
      </c>
      <c r="N2356">
        <v>-1.117547E-2</v>
      </c>
      <c r="O2356">
        <v>-1.906352E-2</v>
      </c>
      <c r="P2356">
        <v>-0.98469850000000003</v>
      </c>
      <c r="Q2356">
        <v>0.13041</v>
      </c>
      <c r="R2356">
        <v>-0.11559319999999999</v>
      </c>
      <c r="S2356">
        <v>-3.0696720000000002</v>
      </c>
      <c r="T2356">
        <v>-1.9387600000000001E-2</v>
      </c>
      <c r="U2356">
        <v>0.17660519999999999</v>
      </c>
      <c r="V2356">
        <v>-9.6716940000000001E-2</v>
      </c>
      <c r="W2356">
        <v>0.14148549999999999</v>
      </c>
      <c r="X2356">
        <v>0.98520439999999998</v>
      </c>
      <c r="Y2356">
        <v>7.6455670000000003E-2</v>
      </c>
      <c r="Z2356">
        <v>5.7628789999999996E-4</v>
      </c>
      <c r="AA2356">
        <v>0.99707279999999998</v>
      </c>
      <c r="AB2356">
        <v>28</v>
      </c>
      <c r="AC2356">
        <v>-175.63030000000001</v>
      </c>
      <c r="AD2356">
        <v>-1.11032918411249</v>
      </c>
      <c r="AE2356">
        <v>10.1173</v>
      </c>
      <c r="AF2356">
        <v>13.4632657741996</v>
      </c>
      <c r="AG2356">
        <v>-1.11032918411249</v>
      </c>
      <c r="AH2356">
        <v>175.398509108832</v>
      </c>
      <c r="AI2356">
        <v>90.361632193708004</v>
      </c>
      <c r="AJ2356">
        <v>85.610688565987104</v>
      </c>
      <c r="AK2356">
        <v>175.91796199878101</v>
      </c>
      <c r="AL2356">
        <v>81.866185243539306</v>
      </c>
      <c r="AM2356">
        <v>95.606728117740602</v>
      </c>
      <c r="AN2356">
        <v>1.0000000114862799</v>
      </c>
    </row>
    <row r="2357" spans="1:40" x14ac:dyDescent="0.25">
      <c r="A2357" t="str">
        <f>"20190304154807141"</f>
        <v>20190304154807141</v>
      </c>
      <c r="B2357" t="str">
        <f>"1551685687139230"</f>
        <v>1551685687139230</v>
      </c>
      <c r="C2357" t="s">
        <v>40</v>
      </c>
      <c r="D2357">
        <v>4.4558330000000002</v>
      </c>
      <c r="E2357">
        <v>0.56212229999999996</v>
      </c>
      <c r="F2357" t="s">
        <v>60</v>
      </c>
      <c r="G2357">
        <v>-387.81380000000001</v>
      </c>
      <c r="H2357">
        <v>8.0000849999999998E-2</v>
      </c>
      <c r="I2357">
        <v>293.90089999999998</v>
      </c>
      <c r="J2357">
        <v>-235.90809999999999</v>
      </c>
      <c r="K2357">
        <v>1.1103289999999999</v>
      </c>
      <c r="L2357">
        <v>285.53500000000003</v>
      </c>
      <c r="M2357">
        <v>-0.99976089999999995</v>
      </c>
      <c r="N2357">
        <v>-1.116381E-2</v>
      </c>
      <c r="O2357">
        <v>-1.880561E-2</v>
      </c>
      <c r="P2357">
        <v>-0.98474539999999999</v>
      </c>
      <c r="Q2357">
        <v>0.13004099999999999</v>
      </c>
      <c r="R2357">
        <v>-0.1156118</v>
      </c>
      <c r="S2357">
        <v>-3.0691830000000002</v>
      </c>
      <c r="T2357">
        <v>-2.0783900000000001E-2</v>
      </c>
      <c r="U2357">
        <v>0.16867070000000001</v>
      </c>
      <c r="V2357">
        <v>-9.6989099999999995E-2</v>
      </c>
      <c r="W2357">
        <v>0.14110549999999999</v>
      </c>
      <c r="X2357">
        <v>0.98523210000000006</v>
      </c>
      <c r="Y2357">
        <v>7.363749E-2</v>
      </c>
      <c r="Z2357">
        <v>5.779979E-4</v>
      </c>
      <c r="AA2357">
        <v>0.99728490000000003</v>
      </c>
      <c r="AB2357">
        <v>28</v>
      </c>
      <c r="AC2357">
        <v>-151.9057</v>
      </c>
      <c r="AD2357">
        <v>-1.0303281500000001</v>
      </c>
      <c r="AE2357">
        <v>8.3658999999999502</v>
      </c>
      <c r="AF2357">
        <v>11.220762917082</v>
      </c>
      <c r="AG2357">
        <v>-1.0303281500000001</v>
      </c>
      <c r="AH2357">
        <v>151.714539345199</v>
      </c>
      <c r="AI2357">
        <v>90.388042941552499</v>
      </c>
      <c r="AJ2357">
        <v>85.770122233125903</v>
      </c>
      <c r="AK2357">
        <v>152.13240465221099</v>
      </c>
      <c r="AL2357">
        <v>81.888177940764706</v>
      </c>
      <c r="AM2357">
        <v>95.622247354962695</v>
      </c>
      <c r="AN2357">
        <v>0.999999969259734</v>
      </c>
    </row>
    <row r="2358" spans="1:40" x14ac:dyDescent="0.25">
      <c r="A2358" t="str">
        <f>"20190304154807162"</f>
        <v>20190304154807162</v>
      </c>
      <c r="B2358" t="str">
        <f>"1551685687158749"</f>
        <v>1551685687158749</v>
      </c>
      <c r="C2358" t="s">
        <v>40</v>
      </c>
      <c r="D2358">
        <v>4.2618580000000001</v>
      </c>
      <c r="E2358">
        <v>0.56163529999999995</v>
      </c>
      <c r="F2358" t="s">
        <v>60</v>
      </c>
      <c r="G2358">
        <v>-358.31490000000002</v>
      </c>
      <c r="H2358">
        <v>8.0001000000000003E-2</v>
      </c>
      <c r="I2358">
        <v>291.9126</v>
      </c>
      <c r="J2358">
        <v>-236.18170000000001</v>
      </c>
      <c r="K2358">
        <v>1.1103270000000001</v>
      </c>
      <c r="L2358">
        <v>285.53019999999998</v>
      </c>
      <c r="M2358">
        <v>-0.99976640000000006</v>
      </c>
      <c r="N2358">
        <v>-1.114878E-2</v>
      </c>
      <c r="O2358">
        <v>-1.85173E-2</v>
      </c>
      <c r="P2358">
        <v>-0.98476759999999997</v>
      </c>
      <c r="Q2358">
        <v>0.1301882</v>
      </c>
      <c r="R2358">
        <v>-0.1152566</v>
      </c>
      <c r="S2358">
        <v>-3.0686490000000002</v>
      </c>
      <c r="T2358">
        <v>-2.582955E-2</v>
      </c>
      <c r="U2358">
        <v>0.15988160000000001</v>
      </c>
      <c r="V2358">
        <v>-9.6918199999999996E-2</v>
      </c>
      <c r="W2358">
        <v>0.14123729999999901</v>
      </c>
      <c r="X2358">
        <v>0.98522030000000005</v>
      </c>
      <c r="Y2358">
        <v>7.0509630000000004E-2</v>
      </c>
      <c r="Z2358">
        <v>6.39356E-4</v>
      </c>
      <c r="AA2358">
        <v>0.99751089999999998</v>
      </c>
      <c r="AB2358">
        <v>28</v>
      </c>
      <c r="AC2358">
        <v>-122.1332</v>
      </c>
      <c r="AD2358">
        <v>-1.0303260000000001</v>
      </c>
      <c r="AE2358">
        <v>6.3824000000000103</v>
      </c>
      <c r="AF2358">
        <v>8.6424097781389708</v>
      </c>
      <c r="AG2358">
        <v>-1.0303260000000001</v>
      </c>
      <c r="AH2358">
        <v>121.98540653661701</v>
      </c>
      <c r="AI2358">
        <v>90.482716240265901</v>
      </c>
      <c r="AJ2358">
        <v>85.947485770493799</v>
      </c>
      <c r="AK2358">
        <v>122.295511881439</v>
      </c>
      <c r="AL2358">
        <v>81.880550836140102</v>
      </c>
      <c r="AM2358">
        <v>95.618230597522</v>
      </c>
      <c r="AN2358">
        <v>1.0000000759673</v>
      </c>
    </row>
    <row r="2359" spans="1:40" x14ac:dyDescent="0.25">
      <c r="A2359" t="str">
        <f>"20190304154807177"</f>
        <v>20190304154807177</v>
      </c>
      <c r="B2359" t="str">
        <f>"1551685687169486"</f>
        <v>1551685687169486</v>
      </c>
      <c r="C2359" t="s">
        <v>40</v>
      </c>
      <c r="D2359">
        <v>4.1848429999999999</v>
      </c>
      <c r="E2359">
        <v>0.56163529999999995</v>
      </c>
      <c r="F2359" t="s">
        <v>60</v>
      </c>
      <c r="G2359">
        <v>-368.03390000000002</v>
      </c>
      <c r="H2359">
        <v>8.0000909999999995E-2</v>
      </c>
      <c r="I2359">
        <v>292.28989999999999</v>
      </c>
      <c r="J2359">
        <v>-236.35839999999999</v>
      </c>
      <c r="K2359">
        <v>1.1103259999999999</v>
      </c>
      <c r="L2359">
        <v>285.52710000000002</v>
      </c>
      <c r="M2359">
        <v>-0.99977000000000005</v>
      </c>
      <c r="N2359">
        <v>-1.1138220000000001E-2</v>
      </c>
      <c r="O2359">
        <v>-1.833164E-2</v>
      </c>
      <c r="P2359">
        <v>-0.98477230000000004</v>
      </c>
      <c r="Q2359">
        <v>0.13017390000000001</v>
      </c>
      <c r="R2359">
        <v>-0.1152328</v>
      </c>
      <c r="S2359">
        <v>-3.0679780000000001</v>
      </c>
      <c r="T2359">
        <v>-2.3973939999999999E-2</v>
      </c>
      <c r="U2359">
        <v>0.1572876</v>
      </c>
      <c r="V2359">
        <v>-9.7077319999999995E-2</v>
      </c>
      <c r="W2359">
        <v>0.1412127</v>
      </c>
      <c r="X2359">
        <v>0.98520810000000003</v>
      </c>
      <c r="Y2359">
        <v>6.949516E-2</v>
      </c>
      <c r="Z2359">
        <v>5.9777289999999998E-4</v>
      </c>
      <c r="AA2359">
        <v>0.99758210000000003</v>
      </c>
      <c r="AB2359">
        <v>28</v>
      </c>
      <c r="AC2359">
        <v>-131.6755</v>
      </c>
      <c r="AD2359">
        <v>-1.0303250899999901</v>
      </c>
      <c r="AE2359">
        <v>6.7627999999999702</v>
      </c>
      <c r="AF2359">
        <v>9.1750805794639394</v>
      </c>
      <c r="AG2359">
        <v>-1.0303250899999901</v>
      </c>
      <c r="AH2359">
        <v>131.52135839979599</v>
      </c>
      <c r="AI2359">
        <v>90.447752038734706</v>
      </c>
      <c r="AJ2359">
        <v>86.009445926578294</v>
      </c>
      <c r="AK2359">
        <v>131.84502792581199</v>
      </c>
      <c r="AL2359">
        <v>81.881974095669094</v>
      </c>
      <c r="AM2359">
        <v>95.627464671676705</v>
      </c>
      <c r="AN2359">
        <v>1.0000000165026399</v>
      </c>
    </row>
    <row r="2360" spans="1:40" x14ac:dyDescent="0.25">
      <c r="A2360" t="str">
        <f>"20190304154807189"</f>
        <v>20190304154807189</v>
      </c>
      <c r="B2360" t="str">
        <f>"1551685687179246"</f>
        <v>1551685687179246</v>
      </c>
      <c r="C2360" t="s">
        <v>40</v>
      </c>
      <c r="D2360">
        <v>4.1666829999999999</v>
      </c>
      <c r="E2360">
        <v>0.5285183</v>
      </c>
      <c r="F2360" t="s">
        <v>60</v>
      </c>
      <c r="G2360">
        <v>-368.51659999999998</v>
      </c>
      <c r="H2360">
        <v>8.0001050000000004E-2</v>
      </c>
      <c r="I2360">
        <v>292.31560000000002</v>
      </c>
      <c r="J2360">
        <v>-236.51910000000001</v>
      </c>
      <c r="K2360">
        <v>1.1103240000000001</v>
      </c>
      <c r="L2360">
        <v>285.52440000000001</v>
      </c>
      <c r="M2360">
        <v>-0.99977309999999997</v>
      </c>
      <c r="N2360">
        <v>-1.112834E-2</v>
      </c>
      <c r="O2360">
        <v>-1.8163390000000001E-2</v>
      </c>
      <c r="P2360">
        <v>-0.98481580000000002</v>
      </c>
      <c r="Q2360">
        <v>0.13014239999999999</v>
      </c>
      <c r="R2360">
        <v>-0.11489530000000001</v>
      </c>
      <c r="S2360">
        <v>-3.0680079999999998</v>
      </c>
      <c r="T2360">
        <v>-2.391863E-2</v>
      </c>
      <c r="U2360">
        <v>0.15759279999999901</v>
      </c>
      <c r="V2360">
        <v>-9.6905489999999997E-2</v>
      </c>
      <c r="W2360">
        <v>0.1411712</v>
      </c>
      <c r="X2360">
        <v>0.98523099999999997</v>
      </c>
      <c r="Y2360">
        <v>6.9425760000000003E-2</v>
      </c>
      <c r="Z2360">
        <v>5.9655370000000001E-4</v>
      </c>
      <c r="AA2360">
        <v>0.997587</v>
      </c>
      <c r="AB2360">
        <v>28</v>
      </c>
      <c r="AC2360">
        <v>-131.99749999999901</v>
      </c>
      <c r="AD2360">
        <v>-1.03032295</v>
      </c>
      <c r="AE2360">
        <v>6.7911999999999999</v>
      </c>
      <c r="AF2360">
        <v>9.1871917929434996</v>
      </c>
      <c r="AG2360">
        <v>-1.03032295</v>
      </c>
      <c r="AH2360">
        <v>131.84435131394699</v>
      </c>
      <c r="AI2360">
        <v>90.446656699959405</v>
      </c>
      <c r="AJ2360">
        <v>86.013952748373896</v>
      </c>
      <c r="AK2360">
        <v>132.168071151156</v>
      </c>
      <c r="AL2360">
        <v>81.884376225862894</v>
      </c>
      <c r="AM2360">
        <v>95.617437909004707</v>
      </c>
      <c r="AN2360">
        <v>1.00000005253128</v>
      </c>
    </row>
    <row r="2361" spans="1:40" x14ac:dyDescent="0.25">
      <c r="A2361" t="str">
        <f>"20190304154807208"</f>
        <v>20190304154807208</v>
      </c>
      <c r="B2361" t="str">
        <f>"1551685687198765"</f>
        <v>1551685687198765</v>
      </c>
      <c r="C2361" t="s">
        <v>40</v>
      </c>
      <c r="D2361">
        <v>4.1543929999999998</v>
      </c>
      <c r="E2361">
        <v>0.52442339999999998</v>
      </c>
      <c r="F2361" t="s">
        <v>62</v>
      </c>
      <c r="G2361">
        <v>-511.96039999999999</v>
      </c>
      <c r="H2361">
        <v>5.435117</v>
      </c>
      <c r="I2361">
        <v>275.84570000000002</v>
      </c>
      <c r="J2361">
        <v>-236.75450000000001</v>
      </c>
      <c r="K2361">
        <v>1.110322</v>
      </c>
      <c r="L2361">
        <v>285.52030000000002</v>
      </c>
      <c r="M2361">
        <v>-0.99977780000000005</v>
      </c>
      <c r="N2361">
        <v>-1.111441E-2</v>
      </c>
      <c r="O2361">
        <v>-1.7917039999999999E-2</v>
      </c>
      <c r="P2361">
        <v>-0.9848519</v>
      </c>
      <c r="Q2361">
        <v>0.1305182</v>
      </c>
      <c r="R2361">
        <v>-0.1141577</v>
      </c>
      <c r="S2361">
        <v>-3.0275569999999998</v>
      </c>
      <c r="T2361">
        <v>4.7537570000000001E-2</v>
      </c>
      <c r="U2361">
        <v>-0.1063843</v>
      </c>
      <c r="V2361">
        <v>-9.6410460000000003E-2</v>
      </c>
      <c r="W2361">
        <v>0.1415332</v>
      </c>
      <c r="X2361">
        <v>0.98522759999999998</v>
      </c>
      <c r="Y2361">
        <v>-1.7210059999999999E-2</v>
      </c>
      <c r="Z2361">
        <v>-4.4088489999999998E-4</v>
      </c>
      <c r="AA2361">
        <v>0.99985179999999996</v>
      </c>
      <c r="AB2361">
        <v>28</v>
      </c>
      <c r="AC2361">
        <v>-275.20589999999999</v>
      </c>
      <c r="AD2361">
        <v>4.3247949999999999</v>
      </c>
      <c r="AE2361">
        <v>-9.6745999999999892</v>
      </c>
      <c r="AF2361">
        <v>-4.7406983142802099</v>
      </c>
      <c r="AG2361">
        <v>4.3247949999999999</v>
      </c>
      <c r="AH2361">
        <v>275.26717419841901</v>
      </c>
      <c r="AI2361">
        <v>89.100018427415407</v>
      </c>
      <c r="AJ2361">
        <v>90.986660164884199</v>
      </c>
      <c r="AK2361">
        <v>275.34196059351598</v>
      </c>
      <c r="AL2361">
        <v>81.863424552475607</v>
      </c>
      <c r="AM2361">
        <v>95.588943215479503</v>
      </c>
      <c r="AN2361">
        <v>1.0000000236507001</v>
      </c>
    </row>
    <row r="2362" spans="1:40" x14ac:dyDescent="0.25">
      <c r="A2362" t="str">
        <f>"20190304154807222"</f>
        <v>20190304154807222</v>
      </c>
      <c r="B2362" t="str">
        <f>"1551685687219262"</f>
        <v>1551685687219262</v>
      </c>
      <c r="C2362" t="s">
        <v>40</v>
      </c>
      <c r="D2362">
        <v>4.1565479999999999</v>
      </c>
      <c r="E2362">
        <v>0.52230429999999906</v>
      </c>
      <c r="F2362" t="s">
        <v>62</v>
      </c>
      <c r="G2362">
        <v>-512.82650000000001</v>
      </c>
      <c r="H2362">
        <v>4.1970269999999896</v>
      </c>
      <c r="I2362">
        <v>273.11349999999999</v>
      </c>
      <c r="J2362">
        <v>-236.92830000000001</v>
      </c>
      <c r="K2362">
        <v>1.11032</v>
      </c>
      <c r="L2362">
        <v>285.51740000000001</v>
      </c>
      <c r="M2362">
        <v>-0.99978120000000004</v>
      </c>
      <c r="N2362">
        <v>-1.110477E-2</v>
      </c>
      <c r="O2362">
        <v>-1.77352E-2</v>
      </c>
      <c r="P2362">
        <v>-0.98493430000000004</v>
      </c>
      <c r="Q2362">
        <v>0.13039110000000001</v>
      </c>
      <c r="R2362">
        <v>-0.1135897</v>
      </c>
      <c r="S2362">
        <v>-3.025909</v>
      </c>
      <c r="T2362">
        <v>3.3832910000000001E-2</v>
      </c>
      <c r="U2362">
        <v>-0.13598629999999901</v>
      </c>
      <c r="V2362">
        <v>-9.6020530000000007E-2</v>
      </c>
      <c r="W2362">
        <v>0.1413973</v>
      </c>
      <c r="X2362">
        <v>0.98528519999999997</v>
      </c>
      <c r="Y2362">
        <v>-2.717425E-2</v>
      </c>
      <c r="Z2362">
        <v>-3.9415750000000002E-4</v>
      </c>
      <c r="AA2362">
        <v>0.99963060000000004</v>
      </c>
      <c r="AB2362">
        <v>28</v>
      </c>
      <c r="AC2362">
        <v>-275.89819999999997</v>
      </c>
      <c r="AD2362">
        <v>3.0867070000000001</v>
      </c>
      <c r="AE2362">
        <v>-12.4039</v>
      </c>
      <c r="AF2362">
        <v>-7.5076002996737303</v>
      </c>
      <c r="AG2362">
        <v>3.0867070000000001</v>
      </c>
      <c r="AH2362">
        <v>276.04031858748698</v>
      </c>
      <c r="AI2362">
        <v>89.359577078662994</v>
      </c>
      <c r="AJ2362">
        <v>91.557916606899695</v>
      </c>
      <c r="AK2362">
        <v>276.15964460479103</v>
      </c>
      <c r="AL2362">
        <v>81.871290219506605</v>
      </c>
      <c r="AM2362">
        <v>95.566157738173303</v>
      </c>
      <c r="AN2362">
        <v>1.0000000319839</v>
      </c>
    </row>
    <row r="2363" spans="1:40" x14ac:dyDescent="0.25">
      <c r="A2363" t="str">
        <f>"20190304154807235"</f>
        <v>20190304154807235</v>
      </c>
      <c r="B2363" t="str">
        <f>"1551685687229022"</f>
        <v>1551685687229022</v>
      </c>
      <c r="C2363" t="s">
        <v>40</v>
      </c>
      <c r="D2363">
        <v>4.24993</v>
      </c>
      <c r="E2363">
        <v>0.52203319999999998</v>
      </c>
      <c r="F2363" t="s">
        <v>62</v>
      </c>
      <c r="G2363">
        <v>-512.82619999999997</v>
      </c>
      <c r="H2363">
        <v>3.1875879999999999</v>
      </c>
      <c r="I2363">
        <v>271.7697</v>
      </c>
      <c r="J2363">
        <v>-237.09780000000001</v>
      </c>
      <c r="K2363">
        <v>1.1103209999999999</v>
      </c>
      <c r="L2363">
        <v>285.51459999999997</v>
      </c>
      <c r="M2363">
        <v>-0.99978440000000002</v>
      </c>
      <c r="N2363">
        <v>-1.1095829999999999E-2</v>
      </c>
      <c r="O2363">
        <v>-1.755789E-2</v>
      </c>
      <c r="P2363">
        <v>-0.9850217</v>
      </c>
      <c r="Q2363">
        <v>0.13018969999999999</v>
      </c>
      <c r="R2363">
        <v>-0.1130627</v>
      </c>
      <c r="S2363">
        <v>-3.0254819999999998</v>
      </c>
      <c r="T2363">
        <v>2.2780060000000001E-2</v>
      </c>
      <c r="U2363">
        <v>-0.1507568</v>
      </c>
      <c r="V2363">
        <v>-9.5667290000000002E-2</v>
      </c>
      <c r="W2363">
        <v>0.1411877</v>
      </c>
      <c r="X2363">
        <v>0.98534960000000005</v>
      </c>
      <c r="Y2363">
        <v>-3.2225869999999997E-2</v>
      </c>
      <c r="Z2363">
        <v>-3.8448129999999999E-4</v>
      </c>
      <c r="AA2363">
        <v>0.99948049999999999</v>
      </c>
      <c r="AB2363">
        <v>28</v>
      </c>
      <c r="AC2363">
        <v>-275.72840000000002</v>
      </c>
      <c r="AD2363">
        <v>2.077267</v>
      </c>
      <c r="AE2363">
        <v>-13.7448999999999</v>
      </c>
      <c r="AF2363">
        <v>-8.9007706355993701</v>
      </c>
      <c r="AG2363">
        <v>2.077267</v>
      </c>
      <c r="AH2363">
        <v>275.91161588656701</v>
      </c>
      <c r="AI2363">
        <v>89.568867353028494</v>
      </c>
      <c r="AJ2363">
        <v>91.847692399222893</v>
      </c>
      <c r="AK2363">
        <v>276.06296118319398</v>
      </c>
      <c r="AL2363">
        <v>81.8834209791777</v>
      </c>
      <c r="AM2363">
        <v>95.545448664296401</v>
      </c>
      <c r="AN2363">
        <v>1.0000000156136899</v>
      </c>
    </row>
    <row r="2364" spans="1:40" x14ac:dyDescent="0.25">
      <c r="A2364" t="str">
        <f>"20190304154807253"</f>
        <v>20190304154807253</v>
      </c>
      <c r="B2364" t="str">
        <f>"1551685687249518"</f>
        <v>1551685687249518</v>
      </c>
      <c r="C2364" t="s">
        <v>40</v>
      </c>
      <c r="D2364">
        <v>4.1101070000000002</v>
      </c>
      <c r="E2364">
        <v>0.52260509999999905</v>
      </c>
      <c r="F2364" t="s">
        <v>62</v>
      </c>
      <c r="G2364">
        <v>-512.82629999999995</v>
      </c>
      <c r="H2364">
        <v>3.4526859999999999</v>
      </c>
      <c r="I2364">
        <v>271.72809999999998</v>
      </c>
      <c r="J2364">
        <v>-237.32</v>
      </c>
      <c r="K2364">
        <v>1.1103179999999999</v>
      </c>
      <c r="L2364">
        <v>285.51089999999999</v>
      </c>
      <c r="M2364">
        <v>-0.99978849999999997</v>
      </c>
      <c r="N2364">
        <v>-1.1085029999999999E-2</v>
      </c>
      <c r="O2364">
        <v>-1.7326100000000001E-2</v>
      </c>
      <c r="P2364">
        <v>-0.98500690000000002</v>
      </c>
      <c r="Q2364">
        <v>0.13045100000000001</v>
      </c>
      <c r="R2364">
        <v>-0.11288960000000001</v>
      </c>
      <c r="S2364">
        <v>-3.0248870000000001</v>
      </c>
      <c r="T2364">
        <v>2.5697830000000001E-2</v>
      </c>
      <c r="U2364">
        <v>-0.15124509999999999</v>
      </c>
      <c r="V2364">
        <v>-9.5723020000000006E-2</v>
      </c>
      <c r="W2364">
        <v>0.14143789999999901</v>
      </c>
      <c r="X2364">
        <v>0.98530830000000003</v>
      </c>
      <c r="Y2364">
        <v>-3.2628499999999998E-2</v>
      </c>
      <c r="Z2364">
        <v>-3.8149670000000002E-4</v>
      </c>
      <c r="AA2364">
        <v>0.99946749999999995</v>
      </c>
      <c r="AB2364">
        <v>28</v>
      </c>
      <c r="AC2364">
        <v>-275.50629999999899</v>
      </c>
      <c r="AD2364">
        <v>2.342368</v>
      </c>
      <c r="AE2364">
        <v>-13.7828</v>
      </c>
      <c r="AF2364">
        <v>-9.0063387097062897</v>
      </c>
      <c r="AG2364">
        <v>2.342368</v>
      </c>
      <c r="AH2364">
        <v>275.68387800088999</v>
      </c>
      <c r="AI2364">
        <v>89.513453537603198</v>
      </c>
      <c r="AJ2364">
        <v>91.871134935209895</v>
      </c>
      <c r="AK2364">
        <v>275.84089873405401</v>
      </c>
      <c r="AL2364">
        <v>81.868940224163694</v>
      </c>
      <c r="AM2364">
        <v>95.548890079644394</v>
      </c>
      <c r="AN2364">
        <v>1.0000000110816101</v>
      </c>
    </row>
    <row r="2365" spans="1:40" x14ac:dyDescent="0.25">
      <c r="A2365" t="str">
        <f>"20190304154807275"</f>
        <v>20190304154807275</v>
      </c>
      <c r="B2365" t="str">
        <f>"1551685687269038"</f>
        <v>1551685687269038</v>
      </c>
      <c r="C2365" t="s">
        <v>40</v>
      </c>
      <c r="D2365">
        <v>4.0902849999999997</v>
      </c>
      <c r="E2365">
        <v>0.52232979999999996</v>
      </c>
      <c r="F2365" t="s">
        <v>62</v>
      </c>
      <c r="G2365">
        <v>-512.82650000000001</v>
      </c>
      <c r="H2365">
        <v>4.056012</v>
      </c>
      <c r="I2365">
        <v>272.18740000000003</v>
      </c>
      <c r="J2365">
        <v>-237.59800000000001</v>
      </c>
      <c r="K2365">
        <v>1.110322</v>
      </c>
      <c r="L2365">
        <v>285.50639999999999</v>
      </c>
      <c r="M2365">
        <v>-0.99979359999999995</v>
      </c>
      <c r="N2365">
        <v>-1.107313E-2</v>
      </c>
      <c r="O2365">
        <v>-1.7035649999999999E-2</v>
      </c>
      <c r="P2365">
        <v>-0.98504159999999996</v>
      </c>
      <c r="Q2365">
        <v>0.13079260000000001</v>
      </c>
      <c r="R2365">
        <v>-0.1121902</v>
      </c>
      <c r="S2365">
        <v>-3.0246279999999999</v>
      </c>
      <c r="T2365">
        <v>3.2339930000000003E-2</v>
      </c>
      <c r="U2365">
        <v>-0.14627079999999901</v>
      </c>
      <c r="V2365">
        <v>-9.5309260000000007E-2</v>
      </c>
      <c r="W2365">
        <v>0.14176729999999901</v>
      </c>
      <c r="X2365">
        <v>0.98530110000000004</v>
      </c>
      <c r="Y2365">
        <v>-3.1283749999999999E-2</v>
      </c>
      <c r="Z2365">
        <v>-3.7672779999999999E-4</v>
      </c>
      <c r="AA2365">
        <v>0.99951049999999997</v>
      </c>
      <c r="AB2365">
        <v>28</v>
      </c>
      <c r="AC2365">
        <v>-275.2285</v>
      </c>
      <c r="AD2365">
        <v>2.9456899999999999</v>
      </c>
      <c r="AE2365">
        <v>-13.3189999999999</v>
      </c>
      <c r="AF2365">
        <v>-8.6270973312355892</v>
      </c>
      <c r="AG2365">
        <v>2.9456899999999999</v>
      </c>
      <c r="AH2365">
        <v>275.383995468406</v>
      </c>
      <c r="AI2365">
        <v>89.387450171404694</v>
      </c>
      <c r="AJ2365">
        <v>91.794347771879501</v>
      </c>
      <c r="AK2365">
        <v>275.534841459446</v>
      </c>
      <c r="AL2365">
        <v>81.849875121736801</v>
      </c>
      <c r="AM2365">
        <v>95.525094016197599</v>
      </c>
      <c r="AN2365">
        <v>1.00000004002612</v>
      </c>
    </row>
    <row r="2366" spans="1:40" x14ac:dyDescent="0.25">
      <c r="A2366" t="str">
        <f>"20190304154807287"</f>
        <v>20190304154807287</v>
      </c>
      <c r="B2366" t="str">
        <f>"1551685687278798"</f>
        <v>1551685687278798</v>
      </c>
      <c r="C2366" t="s">
        <v>40</v>
      </c>
      <c r="D2366">
        <v>4.0609339999999996</v>
      </c>
      <c r="E2366">
        <v>0.52188859999999904</v>
      </c>
      <c r="F2366" t="s">
        <v>62</v>
      </c>
      <c r="G2366">
        <v>-512.82650000000001</v>
      </c>
      <c r="H2366">
        <v>3.9161169999999998</v>
      </c>
      <c r="I2366">
        <v>272.16640000000001</v>
      </c>
      <c r="J2366">
        <v>-237.76300000000001</v>
      </c>
      <c r="K2366">
        <v>1.1103229999999999</v>
      </c>
      <c r="L2366">
        <v>285.50380000000001</v>
      </c>
      <c r="M2366">
        <v>-0.99979660000000004</v>
      </c>
      <c r="N2366">
        <v>-1.106684E-2</v>
      </c>
      <c r="O2366">
        <v>-1.6863240000000002E-2</v>
      </c>
      <c r="P2366">
        <v>-0.98508030000000002</v>
      </c>
      <c r="Q2366">
        <v>0.1307219</v>
      </c>
      <c r="R2366">
        <v>-0.1119314</v>
      </c>
      <c r="S2366">
        <v>-3.0247649999999999</v>
      </c>
      <c r="T2366">
        <v>3.0836579999999999E-2</v>
      </c>
      <c r="U2366">
        <v>-0.1466064</v>
      </c>
      <c r="V2366">
        <v>-9.5220100000000002E-2</v>
      </c>
      <c r="W2366">
        <v>0.14169079999999901</v>
      </c>
      <c r="X2366">
        <v>0.98532070000000005</v>
      </c>
      <c r="Y2366">
        <v>-3.1564439999999999E-2</v>
      </c>
      <c r="Z2366">
        <v>-3.7229150000000003E-4</v>
      </c>
      <c r="AA2366">
        <v>0.99950159999999999</v>
      </c>
      <c r="AB2366">
        <v>28</v>
      </c>
      <c r="AC2366">
        <v>-275.06349999999998</v>
      </c>
      <c r="AD2366">
        <v>2.8057940000000001</v>
      </c>
      <c r="AE2366">
        <v>-13.337400000000001</v>
      </c>
      <c r="AF2366">
        <v>-8.69585488168374</v>
      </c>
      <c r="AG2366">
        <v>2.8057940000000001</v>
      </c>
      <c r="AH2366">
        <v>275.22073844508299</v>
      </c>
      <c r="AI2366">
        <v>89.416198027179306</v>
      </c>
      <c r="AJ2366">
        <v>91.809711322329406</v>
      </c>
      <c r="AK2366">
        <v>275.372375597754</v>
      </c>
      <c r="AL2366">
        <v>81.854302748767594</v>
      </c>
      <c r="AM2366">
        <v>95.5198482087619</v>
      </c>
      <c r="AN2366">
        <v>1.00000001604856</v>
      </c>
    </row>
    <row r="2367" spans="1:40" x14ac:dyDescent="0.25">
      <c r="A2367" t="str">
        <f>"20190304154807300"</f>
        <v>20190304154807300</v>
      </c>
      <c r="B2367" t="str">
        <f>"1551685687289535"</f>
        <v>1551685687289535</v>
      </c>
      <c r="C2367" t="s">
        <v>40</v>
      </c>
      <c r="D2367">
        <v>4.0691269999999999</v>
      </c>
      <c r="E2367">
        <v>0.52148839999999996</v>
      </c>
      <c r="F2367" t="s">
        <v>62</v>
      </c>
      <c r="G2367">
        <v>-512.82640000000004</v>
      </c>
      <c r="H2367">
        <v>3.6809229999999999</v>
      </c>
      <c r="I2367">
        <v>271.93579999999997</v>
      </c>
      <c r="J2367">
        <v>-237.9151</v>
      </c>
      <c r="K2367">
        <v>1.1103229999999999</v>
      </c>
      <c r="L2367">
        <v>285.50139999999999</v>
      </c>
      <c r="M2367">
        <v>-0.99979929999999995</v>
      </c>
      <c r="N2367">
        <v>-1.1061649999999999E-2</v>
      </c>
      <c r="O2367">
        <v>-1.6704190000000001E-2</v>
      </c>
      <c r="P2367">
        <v>-0.98504049999999999</v>
      </c>
      <c r="Q2367">
        <v>0.13117799999999999</v>
      </c>
      <c r="R2367">
        <v>-0.111748</v>
      </c>
      <c r="S2367">
        <v>-3.024734</v>
      </c>
      <c r="T2367">
        <v>2.8268459999999999E-2</v>
      </c>
      <c r="U2367">
        <v>-0.14920039999999901</v>
      </c>
      <c r="V2367">
        <v>-9.5193700000000006E-2</v>
      </c>
      <c r="W2367">
        <v>0.14214109999999999</v>
      </c>
      <c r="X2367">
        <v>0.98525830000000003</v>
      </c>
      <c r="Y2367">
        <v>-3.2578820000000001E-2</v>
      </c>
      <c r="Z2367">
        <v>-3.6884059999999999E-4</v>
      </c>
      <c r="AA2367">
        <v>0.9994691</v>
      </c>
      <c r="AB2367">
        <v>28</v>
      </c>
      <c r="AC2367">
        <v>-274.91129999999998</v>
      </c>
      <c r="AD2367">
        <v>2.5706000000000002</v>
      </c>
      <c r="AE2367">
        <v>-13.5656</v>
      </c>
      <c r="AF2367">
        <v>-8.9704731128208905</v>
      </c>
      <c r="AG2367">
        <v>2.5706000000000002</v>
      </c>
      <c r="AH2367">
        <v>275.07556187955299</v>
      </c>
      <c r="AI2367">
        <v>89.464867052498604</v>
      </c>
      <c r="AJ2367">
        <v>91.867807392057202</v>
      </c>
      <c r="AK2367">
        <v>275.23379537327901</v>
      </c>
      <c r="AL2367">
        <v>81.8282379103848</v>
      </c>
      <c r="AM2367">
        <v>95.518674603817701</v>
      </c>
      <c r="AN2367">
        <v>0.99999992527389203</v>
      </c>
    </row>
    <row r="2368" spans="1:40" x14ac:dyDescent="0.25">
      <c r="A2368" t="str">
        <f>"20190304154807319"</f>
        <v>20190304154807319</v>
      </c>
      <c r="B2368" t="str">
        <f>"1551685687309053"</f>
        <v>1551685687309053</v>
      </c>
      <c r="C2368" t="s">
        <v>40</v>
      </c>
      <c r="D2368">
        <v>4.0342969999999996</v>
      </c>
      <c r="E2368">
        <v>0.52064290000000002</v>
      </c>
      <c r="F2368" t="s">
        <v>62</v>
      </c>
      <c r="G2368">
        <v>-512.82640000000004</v>
      </c>
      <c r="H2368">
        <v>3.5930520000000001</v>
      </c>
      <c r="I2368">
        <v>271.7439</v>
      </c>
      <c r="J2368">
        <v>-238.16220000000001</v>
      </c>
      <c r="K2368">
        <v>1.1103229999999999</v>
      </c>
      <c r="L2368">
        <v>285.49759999999998</v>
      </c>
      <c r="M2368">
        <v>-0.99980360000000001</v>
      </c>
      <c r="N2368">
        <v>-1.105414E-2</v>
      </c>
      <c r="O2368">
        <v>-1.644607E-2</v>
      </c>
      <c r="P2368">
        <v>-0.98509760000000002</v>
      </c>
      <c r="Q2368">
        <v>0.13128870000000001</v>
      </c>
      <c r="R2368">
        <v>-0.11111070000000001</v>
      </c>
      <c r="S2368">
        <v>-3.024734</v>
      </c>
      <c r="T2368">
        <v>2.7317290000000001E-2</v>
      </c>
      <c r="U2368">
        <v>-0.15136720000000001</v>
      </c>
      <c r="V2368">
        <v>-9.4810779999999997E-2</v>
      </c>
      <c r="W2368">
        <v>0.1422445</v>
      </c>
      <c r="X2368">
        <v>0.98528039999999995</v>
      </c>
      <c r="Y2368">
        <v>-3.3550919999999998E-2</v>
      </c>
      <c r="Z2368">
        <v>-3.6427159999999998E-4</v>
      </c>
      <c r="AA2368">
        <v>0.99943689999999996</v>
      </c>
      <c r="AB2368">
        <v>28</v>
      </c>
      <c r="AC2368">
        <v>-274.66419999999999</v>
      </c>
      <c r="AD2368">
        <v>2.482729</v>
      </c>
      <c r="AE2368">
        <v>-13.753699999999901</v>
      </c>
      <c r="AF2368">
        <v>-9.2336642012888603</v>
      </c>
      <c r="AG2368">
        <v>2.482729</v>
      </c>
      <c r="AH2368">
        <v>274.83085723973102</v>
      </c>
      <c r="AI2368">
        <v>89.482715245156797</v>
      </c>
      <c r="AJ2368">
        <v>91.924278315206493</v>
      </c>
      <c r="AK2368">
        <v>274.99713560143698</v>
      </c>
      <c r="AL2368">
        <v>81.822253525164399</v>
      </c>
      <c r="AM2368">
        <v>95.496489231478506</v>
      </c>
      <c r="AN2368">
        <v>1.0000000242042999</v>
      </c>
    </row>
    <row r="2369" spans="1:40" x14ac:dyDescent="0.25">
      <c r="A2369" t="str">
        <f>"20190304154807333"</f>
        <v>20190304154807333</v>
      </c>
      <c r="B2369" t="str">
        <f>"1551685687329550"</f>
        <v>1551685687329550</v>
      </c>
      <c r="C2369" t="s">
        <v>40</v>
      </c>
      <c r="D2369">
        <v>4.0384830000000003</v>
      </c>
      <c r="E2369">
        <v>0.52010420000000002</v>
      </c>
      <c r="F2369" t="s">
        <v>62</v>
      </c>
      <c r="G2369">
        <v>-512.82619999999997</v>
      </c>
      <c r="H2369">
        <v>3.3099599999999998</v>
      </c>
      <c r="I2369">
        <v>271.29989999999998</v>
      </c>
      <c r="J2369">
        <v>-238.32409999999999</v>
      </c>
      <c r="K2369">
        <v>1.1103179999999999</v>
      </c>
      <c r="L2369">
        <v>285.49509999999998</v>
      </c>
      <c r="M2369">
        <v>-0.99980650000000004</v>
      </c>
      <c r="N2369">
        <v>-1.104976E-2</v>
      </c>
      <c r="O2369">
        <v>-1.627642E-2</v>
      </c>
      <c r="P2369">
        <v>-0.98515129999999995</v>
      </c>
      <c r="Q2369">
        <v>0.13114200000000001</v>
      </c>
      <c r="R2369">
        <v>-0.1108104</v>
      </c>
      <c r="S2369">
        <v>-3.0245359999999999</v>
      </c>
      <c r="T2369">
        <v>2.4222730000000001E-2</v>
      </c>
      <c r="U2369">
        <v>-0.1563416</v>
      </c>
      <c r="V2369">
        <v>-9.4677079999999997E-2</v>
      </c>
      <c r="W2369">
        <v>0.14209349999999901</v>
      </c>
      <c r="X2369">
        <v>0.98531500000000005</v>
      </c>
      <c r="Y2369">
        <v>-3.5362989999999997E-2</v>
      </c>
      <c r="Z2369">
        <v>-3.6400210000000002E-4</v>
      </c>
      <c r="AA2369">
        <v>0.9993744</v>
      </c>
      <c r="AB2369">
        <v>28</v>
      </c>
      <c r="AC2369">
        <v>-274.50209999999998</v>
      </c>
      <c r="AD2369">
        <v>2.1996419999999999</v>
      </c>
      <c r="AE2369">
        <v>-14.1952</v>
      </c>
      <c r="AF2369">
        <v>-9.7245124476882001</v>
      </c>
      <c r="AG2369">
        <v>2.1996419999999999</v>
      </c>
      <c r="AH2369">
        <v>274.679202970902</v>
      </c>
      <c r="AI2369">
        <v>89.541470177424998</v>
      </c>
      <c r="AJ2369">
        <v>92.027604950961205</v>
      </c>
      <c r="AK2369">
        <v>274.86009006766301</v>
      </c>
      <c r="AL2369">
        <v>81.830993611979295</v>
      </c>
      <c r="AM2369">
        <v>95.488594009898407</v>
      </c>
      <c r="AN2369">
        <v>0.99999998072228802</v>
      </c>
    </row>
    <row r="2370" spans="1:40" x14ac:dyDescent="0.25">
      <c r="A2370" t="str">
        <f>"20190304154807346"</f>
        <v>20190304154807346</v>
      </c>
      <c r="B2370" t="str">
        <f>"1551685687339310"</f>
        <v>1551685687339310</v>
      </c>
      <c r="C2370" t="s">
        <v>40</v>
      </c>
      <c r="D2370">
        <v>4.029954</v>
      </c>
      <c r="E2370">
        <v>0.52026530000000004</v>
      </c>
      <c r="F2370" t="s">
        <v>62</v>
      </c>
      <c r="G2370">
        <v>-512.82619999999997</v>
      </c>
      <c r="H2370">
        <v>3.055768</v>
      </c>
      <c r="I2370">
        <v>270.99470000000002</v>
      </c>
      <c r="J2370">
        <v>-238.49780000000001</v>
      </c>
      <c r="K2370">
        <v>1.1103149999999999</v>
      </c>
      <c r="L2370">
        <v>285.49239999999998</v>
      </c>
      <c r="M2370">
        <v>-0.99980959999999997</v>
      </c>
      <c r="N2370">
        <v>-1.104581E-2</v>
      </c>
      <c r="O2370">
        <v>-1.6094489999999999E-2</v>
      </c>
      <c r="P2370">
        <v>-0.98521199999999998</v>
      </c>
      <c r="Q2370">
        <v>0.130999</v>
      </c>
      <c r="R2370">
        <v>-0.1104406</v>
      </c>
      <c r="S2370">
        <v>-3.0243679999999999</v>
      </c>
      <c r="T2370">
        <v>2.1435139999999998E-2</v>
      </c>
      <c r="U2370">
        <v>-0.1597595</v>
      </c>
      <c r="V2370">
        <v>-9.4485970000000002E-2</v>
      </c>
      <c r="W2370">
        <v>0.1419472</v>
      </c>
      <c r="X2370">
        <v>0.98535450000000002</v>
      </c>
      <c r="Y2370">
        <v>-3.6673799999999999E-2</v>
      </c>
      <c r="Z2370">
        <v>-3.6447129999999999E-4</v>
      </c>
      <c r="AA2370">
        <v>0.99932719999999997</v>
      </c>
      <c r="AB2370">
        <v>28</v>
      </c>
      <c r="AC2370">
        <v>-274.32839999999999</v>
      </c>
      <c r="AD2370">
        <v>1.9454529999999901</v>
      </c>
      <c r="AE2370">
        <v>-14.497699999999901</v>
      </c>
      <c r="AF2370">
        <v>-10.079871987751901</v>
      </c>
      <c r="AG2370">
        <v>1.9454529999999901</v>
      </c>
      <c r="AH2370">
        <v>274.51244330124001</v>
      </c>
      <c r="AI2370">
        <v>89.594228540107196</v>
      </c>
      <c r="AJ2370">
        <v>92.102909299930204</v>
      </c>
      <c r="AK2370">
        <v>274.70433220806899</v>
      </c>
      <c r="AL2370">
        <v>81.839462376665097</v>
      </c>
      <c r="AM2370">
        <v>95.477364237814299</v>
      </c>
      <c r="AN2370">
        <v>1.00000004839246</v>
      </c>
    </row>
    <row r="2371" spans="1:40" x14ac:dyDescent="0.25">
      <c r="A2371" t="str">
        <f>"20190304154807363"</f>
        <v>20190304154807363</v>
      </c>
      <c r="B2371" t="str">
        <f>"1551685687358830"</f>
        <v>1551685687358830</v>
      </c>
      <c r="C2371" t="s">
        <v>40</v>
      </c>
      <c r="D2371">
        <v>4.0318719999999999</v>
      </c>
      <c r="E2371">
        <v>0.52042690000000003</v>
      </c>
      <c r="F2371" t="s">
        <v>62</v>
      </c>
      <c r="G2371">
        <v>-512.82619999999997</v>
      </c>
      <c r="H2371">
        <v>3.161279</v>
      </c>
      <c r="I2371">
        <v>271.20890000000003</v>
      </c>
      <c r="J2371">
        <v>-238.71449999999999</v>
      </c>
      <c r="K2371">
        <v>1.110309</v>
      </c>
      <c r="L2371">
        <v>285.48919999999998</v>
      </c>
      <c r="M2371">
        <v>-0.99981310000000001</v>
      </c>
      <c r="N2371">
        <v>-1.104137E-2</v>
      </c>
      <c r="O2371">
        <v>-1.58675E-2</v>
      </c>
      <c r="P2371">
        <v>-0.98534739999999998</v>
      </c>
      <c r="Q2371">
        <v>0.13047139999999999</v>
      </c>
      <c r="R2371">
        <v>-0.1098531</v>
      </c>
      <c r="S2371">
        <v>-3.0243679999999999</v>
      </c>
      <c r="T2371">
        <v>2.261198E-2</v>
      </c>
      <c r="U2371">
        <v>-0.15747069999999999</v>
      </c>
      <c r="V2371">
        <v>-9.4120599999999999E-2</v>
      </c>
      <c r="W2371">
        <v>0.14141609999999999</v>
      </c>
      <c r="X2371">
        <v>0.98546579999999995</v>
      </c>
      <c r="Y2371">
        <v>-3.614651E-2</v>
      </c>
      <c r="Z2371">
        <v>-3.5830079999999998E-4</v>
      </c>
      <c r="AA2371">
        <v>0.99934639999999997</v>
      </c>
      <c r="AB2371">
        <v>28</v>
      </c>
      <c r="AC2371">
        <v>-274.11169999999998</v>
      </c>
      <c r="AD2371">
        <v>2.05097</v>
      </c>
      <c r="AE2371">
        <v>-14.280299999999899</v>
      </c>
      <c r="AF2371">
        <v>-9.9282149074249908</v>
      </c>
      <c r="AG2371">
        <v>2.05097</v>
      </c>
      <c r="AH2371">
        <v>274.28847832596</v>
      </c>
      <c r="AI2371">
        <v>89.571863771919197</v>
      </c>
      <c r="AJ2371">
        <v>92.072987474069805</v>
      </c>
      <c r="AK2371">
        <v>274.47576445209103</v>
      </c>
      <c r="AL2371">
        <v>81.870202042131496</v>
      </c>
      <c r="AM2371">
        <v>95.455699233989293</v>
      </c>
      <c r="AN2371">
        <v>1.0000000218266001</v>
      </c>
    </row>
    <row r="2372" spans="1:40" x14ac:dyDescent="0.25">
      <c r="A2372" t="str">
        <f>"20190304154807386"</f>
        <v>20190304154807386</v>
      </c>
      <c r="B2372" t="str">
        <f>"1551685687379326"</f>
        <v>1551685687379326</v>
      </c>
      <c r="C2372" t="s">
        <v>40</v>
      </c>
      <c r="D2372">
        <v>4.0326849999999999</v>
      </c>
      <c r="E2372">
        <v>0.52082399999999995</v>
      </c>
      <c r="F2372" t="s">
        <v>62</v>
      </c>
      <c r="G2372">
        <v>-512.82619999999997</v>
      </c>
      <c r="H2372">
        <v>3.1847750000000001</v>
      </c>
      <c r="I2372">
        <v>271.51580000000001</v>
      </c>
      <c r="J2372">
        <v>-239.00710000000001</v>
      </c>
      <c r="K2372">
        <v>1.110306</v>
      </c>
      <c r="L2372">
        <v>285.48489999999998</v>
      </c>
      <c r="M2372">
        <v>-0.99981810000000004</v>
      </c>
      <c r="N2372">
        <v>-1.1036499999999999E-2</v>
      </c>
      <c r="O2372">
        <v>-1.5561470000000001E-2</v>
      </c>
      <c r="P2372">
        <v>-0.98535189999999995</v>
      </c>
      <c r="Q2372">
        <v>0.13061249999999999</v>
      </c>
      <c r="R2372">
        <v>-0.10964699999999999</v>
      </c>
      <c r="S2372">
        <v>-3.0243989999999998</v>
      </c>
      <c r="T2372">
        <v>2.2889380000000001E-2</v>
      </c>
      <c r="U2372">
        <v>-0.154174799999999</v>
      </c>
      <c r="V2372">
        <v>-9.4216019999999998E-2</v>
      </c>
      <c r="W2372">
        <v>0.14155209999999999</v>
      </c>
      <c r="X2372">
        <v>0.98543720000000001</v>
      </c>
      <c r="Y2372">
        <v>-3.5365649999999998E-2</v>
      </c>
      <c r="Z2372">
        <v>-3.5088239999999998E-4</v>
      </c>
      <c r="AA2372">
        <v>0.9993744</v>
      </c>
      <c r="AB2372">
        <v>28</v>
      </c>
      <c r="AC2372">
        <v>-273.81909999999903</v>
      </c>
      <c r="AD2372">
        <v>2.0744689999999899</v>
      </c>
      <c r="AE2372">
        <v>-13.9690999999999</v>
      </c>
      <c r="AF2372">
        <v>-9.7055658767274107</v>
      </c>
      <c r="AG2372">
        <v>2.0744689999999899</v>
      </c>
      <c r="AH2372">
        <v>273.98764783543498</v>
      </c>
      <c r="AI2372">
        <v>89.566471153032197</v>
      </c>
      <c r="AJ2372">
        <v>92.028761318287096</v>
      </c>
      <c r="AK2372">
        <v>274.16734414771901</v>
      </c>
      <c r="AL2372">
        <v>81.862330990177796</v>
      </c>
      <c r="AM2372">
        <v>95.461354370680993</v>
      </c>
      <c r="AN2372">
        <v>1.00000006529144</v>
      </c>
    </row>
    <row r="2373" spans="1:40" x14ac:dyDescent="0.25">
      <c r="A2373" t="str">
        <f>"20190304154807398"</f>
        <v>20190304154807398</v>
      </c>
      <c r="B2373" t="str">
        <f>"1551685687389086"</f>
        <v>1551685687389086</v>
      </c>
      <c r="C2373" t="s">
        <v>40</v>
      </c>
      <c r="D2373">
        <v>4.0312239999999999</v>
      </c>
      <c r="E2373">
        <v>0.52098389999999895</v>
      </c>
      <c r="F2373" t="s">
        <v>62</v>
      </c>
      <c r="G2373">
        <v>-512.82640000000004</v>
      </c>
      <c r="H2373">
        <v>3.5263710000000001</v>
      </c>
      <c r="I2373">
        <v>271.85210000000001</v>
      </c>
      <c r="J2373">
        <v>-239.16319999999999</v>
      </c>
      <c r="K2373">
        <v>1.110306</v>
      </c>
      <c r="L2373">
        <v>285.48259999999999</v>
      </c>
      <c r="M2373">
        <v>-0.99982070000000001</v>
      </c>
      <c r="N2373">
        <v>-1.1034540000000001E-2</v>
      </c>
      <c r="O2373">
        <v>-1.5398139999999999E-2</v>
      </c>
      <c r="P2373">
        <v>-0.985375</v>
      </c>
      <c r="Q2373">
        <v>0.13053119999999999</v>
      </c>
      <c r="R2373">
        <v>-0.10953499999999999</v>
      </c>
      <c r="S2373">
        <v>-3.0243229999999999</v>
      </c>
      <c r="T2373">
        <v>2.6686189999999999E-2</v>
      </c>
      <c r="U2373">
        <v>-0.1505737</v>
      </c>
      <c r="V2373">
        <v>-9.4265070000000006E-2</v>
      </c>
      <c r="W2373">
        <v>0.1414695</v>
      </c>
      <c r="X2373">
        <v>0.98544430000000005</v>
      </c>
      <c r="Y2373">
        <v>-3.4343440000000003E-2</v>
      </c>
      <c r="Z2373">
        <v>-3.4377250000000001E-4</v>
      </c>
      <c r="AA2373">
        <v>0.99941000000000002</v>
      </c>
      <c r="AB2373">
        <v>28</v>
      </c>
      <c r="AC2373">
        <v>-273.66320000000002</v>
      </c>
      <c r="AD2373">
        <v>2.4160650000000001</v>
      </c>
      <c r="AE2373">
        <v>-13.6304999999999</v>
      </c>
      <c r="AF2373">
        <v>-9.4139916313290595</v>
      </c>
      <c r="AG2373">
        <v>2.4160650000000001</v>
      </c>
      <c r="AH2373">
        <v>273.81935824067898</v>
      </c>
      <c r="AI2373">
        <v>89.494758141962393</v>
      </c>
      <c r="AJ2373">
        <v>91.969070505081802</v>
      </c>
      <c r="AK2373">
        <v>273.99179103735202</v>
      </c>
      <c r="AL2373">
        <v>81.867111160820599</v>
      </c>
      <c r="AM2373">
        <v>95.464141283524896</v>
      </c>
      <c r="AN2373">
        <v>0.99999999562742203</v>
      </c>
    </row>
    <row r="2374" spans="1:40" x14ac:dyDescent="0.25">
      <c r="A2374" t="str">
        <f>"20190304154807410"</f>
        <v>20190304154807410</v>
      </c>
      <c r="B2374" t="str">
        <f>"1551685687398846"</f>
        <v>1551685687398846</v>
      </c>
      <c r="C2374" t="s">
        <v>40</v>
      </c>
      <c r="D2374">
        <v>4.0480960000000001</v>
      </c>
      <c r="E2374">
        <v>0.52108969999999999</v>
      </c>
      <c r="F2374" t="s">
        <v>62</v>
      </c>
      <c r="G2374">
        <v>-512.82640000000004</v>
      </c>
      <c r="H2374">
        <v>3.5840930000000002</v>
      </c>
      <c r="I2374">
        <v>272.00130000000001</v>
      </c>
      <c r="J2374">
        <v>-239.31559999999999</v>
      </c>
      <c r="K2374">
        <v>1.110301</v>
      </c>
      <c r="L2374">
        <v>285.48050000000001</v>
      </c>
      <c r="M2374">
        <v>-0.99982300000000002</v>
      </c>
      <c r="N2374">
        <v>-1.103289E-2</v>
      </c>
      <c r="O2374">
        <v>-1.523887E-2</v>
      </c>
      <c r="P2374">
        <v>-0.98534580000000005</v>
      </c>
      <c r="Q2374">
        <v>0.1308375</v>
      </c>
      <c r="R2374">
        <v>-0.1094306</v>
      </c>
      <c r="S2374">
        <v>-3.0243380000000002</v>
      </c>
      <c r="T2374">
        <v>2.7339459999999999E-2</v>
      </c>
      <c r="U2374">
        <v>-0.1489868</v>
      </c>
      <c r="V2374">
        <v>-9.4318269999999996E-2</v>
      </c>
      <c r="W2374">
        <v>0.1417735</v>
      </c>
      <c r="X2374">
        <v>0.98539560000000004</v>
      </c>
      <c r="Y2374">
        <v>-3.3979269999999999E-2</v>
      </c>
      <c r="Z2374">
        <v>-3.3977459999999998E-4</v>
      </c>
      <c r="AA2374">
        <v>0.99942249999999999</v>
      </c>
      <c r="AB2374">
        <v>28</v>
      </c>
      <c r="AC2374">
        <v>-273.51080000000002</v>
      </c>
      <c r="AD2374">
        <v>2.473792</v>
      </c>
      <c r="AE2374">
        <v>-13.479199999999899</v>
      </c>
      <c r="AF2374">
        <v>-9.3086257191286208</v>
      </c>
      <c r="AG2374">
        <v>2.473792</v>
      </c>
      <c r="AH2374">
        <v>273.66212423502299</v>
      </c>
      <c r="AI2374">
        <v>89.482383388752694</v>
      </c>
      <c r="AJ2374">
        <v>91.948166607248396</v>
      </c>
      <c r="AK2374">
        <v>273.83156940072399</v>
      </c>
      <c r="AL2374">
        <v>81.849516549700098</v>
      </c>
      <c r="AM2374">
        <v>95.467474941347504</v>
      </c>
      <c r="AN2374">
        <v>1.0000000749286899</v>
      </c>
    </row>
    <row r="2375" spans="1:40" x14ac:dyDescent="0.25">
      <c r="A2375" t="str">
        <f>"20190304154807423"</f>
        <v>20190304154807423</v>
      </c>
      <c r="B2375" t="str">
        <f>"1551685687419342"</f>
        <v>1551685687419342</v>
      </c>
      <c r="C2375" t="s">
        <v>40</v>
      </c>
      <c r="D2375">
        <v>4.1817520000000004</v>
      </c>
      <c r="E2375">
        <v>0.52111090000000004</v>
      </c>
      <c r="F2375" t="s">
        <v>62</v>
      </c>
      <c r="G2375">
        <v>-512.82640000000004</v>
      </c>
      <c r="H2375">
        <v>3.7513649999999998</v>
      </c>
      <c r="I2375">
        <v>272.13909999999998</v>
      </c>
      <c r="J2375">
        <v>-239.47030000000001</v>
      </c>
      <c r="K2375">
        <v>1.1102989999999999</v>
      </c>
      <c r="L2375">
        <v>285.47820000000002</v>
      </c>
      <c r="M2375">
        <v>-0.99982559999999998</v>
      </c>
      <c r="N2375">
        <v>-1.103166E-2</v>
      </c>
      <c r="O2375">
        <v>-1.5077689999999999E-2</v>
      </c>
      <c r="P2375">
        <v>-0.98539390000000004</v>
      </c>
      <c r="Q2375">
        <v>0.13079109999999999</v>
      </c>
      <c r="R2375">
        <v>-0.1090531</v>
      </c>
      <c r="S2375">
        <v>-3.0243530000000001</v>
      </c>
      <c r="T2375">
        <v>2.920449E-2</v>
      </c>
      <c r="U2375">
        <v>-0.14752199999999999</v>
      </c>
      <c r="V2375">
        <v>-9.4099000000000002E-2</v>
      </c>
      <c r="W2375">
        <v>0.1417263</v>
      </c>
      <c r="X2375">
        <v>0.9854233</v>
      </c>
      <c r="Y2375">
        <v>-3.3657310000000003E-2</v>
      </c>
      <c r="Z2375">
        <v>-3.350982E-4</v>
      </c>
      <c r="AA2375">
        <v>0.99943340000000003</v>
      </c>
      <c r="AB2375">
        <v>28</v>
      </c>
      <c r="AC2375">
        <v>-273.35610000000003</v>
      </c>
      <c r="AD2375">
        <v>2.6410659999999999</v>
      </c>
      <c r="AE2375">
        <v>-13.3391</v>
      </c>
      <c r="AF2375">
        <v>-9.2148965494706196</v>
      </c>
      <c r="AG2375">
        <v>2.6410659999999999</v>
      </c>
      <c r="AH2375">
        <v>273.50068768988598</v>
      </c>
      <c r="AI2375">
        <v>89.447052855308598</v>
      </c>
      <c r="AJ2375">
        <v>91.929702771695005</v>
      </c>
      <c r="AK2375">
        <v>273.66862391380198</v>
      </c>
      <c r="AL2375">
        <v>81.852248070521298</v>
      </c>
      <c r="AM2375">
        <v>95.454688566640201</v>
      </c>
      <c r="AN2375">
        <v>1.0000000230477799</v>
      </c>
    </row>
    <row r="2376" spans="1:40" x14ac:dyDescent="0.25">
      <c r="A2376" t="str">
        <f>"20190304154807442"</f>
        <v>20190304154807442</v>
      </c>
      <c r="B2376" t="str">
        <f>"1551685687438862"</f>
        <v>1551685687438862</v>
      </c>
      <c r="C2376" t="s">
        <v>40</v>
      </c>
      <c r="D2376">
        <v>4.1486099999999997</v>
      </c>
      <c r="E2376">
        <v>0.5555485</v>
      </c>
      <c r="F2376" t="s">
        <v>62</v>
      </c>
      <c r="G2376">
        <v>-512.82629999999995</v>
      </c>
      <c r="H2376">
        <v>3.3429280000000001</v>
      </c>
      <c r="I2376">
        <v>272.2466</v>
      </c>
      <c r="J2376">
        <v>-239.71260000000001</v>
      </c>
      <c r="K2376">
        <v>1.110298</v>
      </c>
      <c r="L2376">
        <v>285.47489999999999</v>
      </c>
      <c r="M2376">
        <v>-0.99982919999999997</v>
      </c>
      <c r="N2376">
        <v>-1.103021E-2</v>
      </c>
      <c r="O2376">
        <v>-1.48246E-2</v>
      </c>
      <c r="P2376">
        <v>-0.98546659999999997</v>
      </c>
      <c r="Q2376">
        <v>0.13077269999999999</v>
      </c>
      <c r="R2376">
        <v>-0.1084161</v>
      </c>
      <c r="S2376">
        <v>-3.024994</v>
      </c>
      <c r="T2376">
        <v>2.4707440000000001E-2</v>
      </c>
      <c r="U2376">
        <v>-0.14642330000000001</v>
      </c>
      <c r="V2376">
        <v>-9.3710189999999999E-2</v>
      </c>
      <c r="W2376">
        <v>0.14170639999999901</v>
      </c>
      <c r="X2376">
        <v>0.98546319999999998</v>
      </c>
      <c r="Y2376">
        <v>-3.3537539999999998E-2</v>
      </c>
      <c r="Z2376">
        <v>-3.3263230000000002E-4</v>
      </c>
      <c r="AA2376">
        <v>0.99943740000000003</v>
      </c>
      <c r="AB2376">
        <v>28</v>
      </c>
      <c r="AC2376">
        <v>-273.11369999999903</v>
      </c>
      <c r="AD2376">
        <v>2.2326299999999901</v>
      </c>
      <c r="AE2376">
        <v>-13.2282999999999</v>
      </c>
      <c r="AF2376">
        <v>-9.1771863629179293</v>
      </c>
      <c r="AG2376">
        <v>2.2326299999999901</v>
      </c>
      <c r="AH2376">
        <v>273.26158168043202</v>
      </c>
      <c r="AI2376">
        <v>89.532150272559605</v>
      </c>
      <c r="AJ2376">
        <v>91.923492106800097</v>
      </c>
      <c r="AK2376">
        <v>273.42475639332298</v>
      </c>
      <c r="AL2376">
        <v>81.853399782831801</v>
      </c>
      <c r="AM2376">
        <v>95.432066675284503</v>
      </c>
      <c r="AN2376">
        <v>1.00000001103251</v>
      </c>
    </row>
    <row r="2377" spans="1:40" x14ac:dyDescent="0.25">
      <c r="A2377" t="str">
        <f>"20190304154807465"</f>
        <v>20190304154807465</v>
      </c>
      <c r="B2377" t="str">
        <f>"1551685687458951"</f>
        <v>1551685687458951</v>
      </c>
      <c r="C2377" t="s">
        <v>40</v>
      </c>
      <c r="D2377">
        <v>4.0737740000000002</v>
      </c>
      <c r="E2377">
        <v>0.55799809999999905</v>
      </c>
      <c r="F2377" t="s">
        <v>63</v>
      </c>
      <c r="G2377">
        <v>-510.95440000000002</v>
      </c>
      <c r="H2377">
        <v>2.2581829999999998</v>
      </c>
      <c r="I2377">
        <v>296.94049999999999</v>
      </c>
      <c r="J2377">
        <v>-240.0042</v>
      </c>
      <c r="K2377">
        <v>1.110301</v>
      </c>
      <c r="L2377">
        <v>285.47089999999997</v>
      </c>
      <c r="M2377">
        <v>-0.99983379999999999</v>
      </c>
      <c r="N2377">
        <v>-1.1029270000000001E-2</v>
      </c>
      <c r="O2377">
        <v>-1.4520140000000001E-2</v>
      </c>
      <c r="P2377">
        <v>-0.9854832</v>
      </c>
      <c r="Q2377">
        <v>0.13087779999999999</v>
      </c>
      <c r="R2377">
        <v>-0.10814070000000001</v>
      </c>
      <c r="S2377">
        <v>-3.0567319999999998</v>
      </c>
      <c r="T2377">
        <v>1.2936949999999999E-2</v>
      </c>
      <c r="U2377">
        <v>0.1292114</v>
      </c>
      <c r="V2377">
        <v>-9.3735079999999998E-2</v>
      </c>
      <c r="W2377">
        <v>0.14181070000000001</v>
      </c>
      <c r="X2377">
        <v>0.98544580000000004</v>
      </c>
      <c r="Y2377">
        <v>5.6736130000000003E-2</v>
      </c>
      <c r="Z2377" s="1">
        <v>-2.8479579999999999E-5</v>
      </c>
      <c r="AA2377">
        <v>0.99838919999999998</v>
      </c>
      <c r="AB2377">
        <v>28</v>
      </c>
      <c r="AC2377">
        <v>-270.9502</v>
      </c>
      <c r="AD2377">
        <v>1.1478820000000001</v>
      </c>
      <c r="AE2377">
        <v>11.4696</v>
      </c>
      <c r="AF2377">
        <v>15.4025886831036</v>
      </c>
      <c r="AG2377">
        <v>1.1478820000000001</v>
      </c>
      <c r="AH2377">
        <v>270.750231155405</v>
      </c>
      <c r="AI2377">
        <v>89.757480408571595</v>
      </c>
      <c r="AJ2377">
        <v>86.744035458940004</v>
      </c>
      <c r="AK2377">
        <v>271.19042210581802</v>
      </c>
      <c r="AL2377">
        <v>81.847362632024598</v>
      </c>
      <c r="AM2377">
        <v>95.433596196972104</v>
      </c>
      <c r="AN2377">
        <v>0.99999998229736797</v>
      </c>
    </row>
    <row r="2378" spans="1:40" x14ac:dyDescent="0.25">
      <c r="A2378" t="str">
        <f>"20190304154807487"</f>
        <v>20190304154807487</v>
      </c>
      <c r="B2378" t="str">
        <f>"1551685687479446"</f>
        <v>1551685687479446</v>
      </c>
      <c r="C2378" t="s">
        <v>40</v>
      </c>
      <c r="D2378">
        <v>4.0853199999999896</v>
      </c>
      <c r="E2378">
        <v>0.55906880000000003</v>
      </c>
      <c r="F2378" t="s">
        <v>48</v>
      </c>
      <c r="G2378">
        <v>-408.3947</v>
      </c>
      <c r="H2378">
        <v>1.922779</v>
      </c>
      <c r="I2378">
        <v>293.69670000000002</v>
      </c>
      <c r="J2378">
        <v>-240.28380000000001</v>
      </c>
      <c r="K2378">
        <v>1.1103000000000001</v>
      </c>
      <c r="L2378">
        <v>285.46710000000002</v>
      </c>
      <c r="M2378">
        <v>-0.99983789999999995</v>
      </c>
      <c r="N2378">
        <v>-1.102902E-2</v>
      </c>
      <c r="O2378">
        <v>-1.4228080000000001E-2</v>
      </c>
      <c r="P2378">
        <v>-0.98544030000000005</v>
      </c>
      <c r="Q2378">
        <v>0.13123760000000001</v>
      </c>
      <c r="R2378">
        <v>-0.1080922</v>
      </c>
      <c r="S2378">
        <v>-3.058624</v>
      </c>
      <c r="T2378">
        <v>1.475775E-2</v>
      </c>
      <c r="U2378">
        <v>0.14941409999999999</v>
      </c>
      <c r="V2378">
        <v>-9.397548E-2</v>
      </c>
      <c r="W2378">
        <v>0.14216999999999999</v>
      </c>
      <c r="X2378">
        <v>0.9853712</v>
      </c>
      <c r="Y2378">
        <v>6.2998120000000005E-2</v>
      </c>
      <c r="Z2378" s="1">
        <v>-2.9704850000000001E-5</v>
      </c>
      <c r="AA2378">
        <v>0.99801359999999995</v>
      </c>
      <c r="AB2378">
        <v>28</v>
      </c>
      <c r="AC2378">
        <v>-168.11089999999999</v>
      </c>
      <c r="AD2378">
        <v>0.81247899999999995</v>
      </c>
      <c r="AE2378">
        <v>8.2295999999999996</v>
      </c>
      <c r="AF2378">
        <v>10.620560319865101</v>
      </c>
      <c r="AG2378">
        <v>0.81247899999999995</v>
      </c>
      <c r="AH2378">
        <v>167.97286839057099</v>
      </c>
      <c r="AI2378">
        <v>89.723416738564197</v>
      </c>
      <c r="AJ2378">
        <v>86.382128070410204</v>
      </c>
      <c r="AK2378">
        <v>168.31025203174499</v>
      </c>
      <c r="AL2378">
        <v>81.826566106163199</v>
      </c>
      <c r="AM2378">
        <v>95.447857815115299</v>
      </c>
      <c r="AN2378">
        <v>1.0000000507653299</v>
      </c>
    </row>
    <row r="2379" spans="1:40" x14ac:dyDescent="0.25">
      <c r="A2379" t="str">
        <f>"20190304154807499"</f>
        <v>20190304154807499</v>
      </c>
      <c r="B2379" t="str">
        <f>"1551685687489207"</f>
        <v>1551685687489207</v>
      </c>
      <c r="C2379" t="s">
        <v>40</v>
      </c>
      <c r="D2379">
        <v>4.0738099999999999</v>
      </c>
      <c r="E2379">
        <v>0.55929739999999994</v>
      </c>
      <c r="F2379" t="s">
        <v>63</v>
      </c>
      <c r="G2379">
        <v>-511.82100000000003</v>
      </c>
      <c r="H2379">
        <v>2.579008</v>
      </c>
      <c r="I2379">
        <v>299.49470000000002</v>
      </c>
      <c r="J2379">
        <v>-240.44200000000001</v>
      </c>
      <c r="K2379">
        <v>1.110295</v>
      </c>
      <c r="L2379">
        <v>285.46499999999997</v>
      </c>
      <c r="M2379">
        <v>-0.99984039999999996</v>
      </c>
      <c r="N2379">
        <v>-1.102915E-2</v>
      </c>
      <c r="O2379">
        <v>-1.406251E-2</v>
      </c>
      <c r="P2379">
        <v>-0.98541299999999998</v>
      </c>
      <c r="Q2379">
        <v>0.13143469999999999</v>
      </c>
      <c r="R2379">
        <v>-0.1081025</v>
      </c>
      <c r="S2379">
        <v>-3.0594480000000002</v>
      </c>
      <c r="T2379">
        <v>1.6549109999999999E-2</v>
      </c>
      <c r="U2379">
        <v>0.15805050000000001</v>
      </c>
      <c r="V2379">
        <v>-9.4149449999999996E-2</v>
      </c>
      <c r="W2379">
        <v>0.14236679999999999</v>
      </c>
      <c r="X2379">
        <v>0.98532609999999998</v>
      </c>
      <c r="Y2379">
        <v>6.5629649999999998E-2</v>
      </c>
      <c r="Z2379" s="1">
        <v>-4.6218280000000003E-5</v>
      </c>
      <c r="AA2379">
        <v>0.99784399999999995</v>
      </c>
      <c r="AB2379">
        <v>28</v>
      </c>
      <c r="AC2379">
        <v>-271.37900000000002</v>
      </c>
      <c r="AD2379">
        <v>1.4687129999999999</v>
      </c>
      <c r="AE2379">
        <v>14.0297</v>
      </c>
      <c r="AF2379">
        <v>17.844292887154801</v>
      </c>
      <c r="AG2379">
        <v>1.4687129999999999</v>
      </c>
      <c r="AH2379">
        <v>271.14693671094398</v>
      </c>
      <c r="AI2379">
        <v>89.690320680776097</v>
      </c>
      <c r="AJ2379">
        <v>86.234770362603001</v>
      </c>
      <c r="AK2379">
        <v>271.737441649559</v>
      </c>
      <c r="AL2379">
        <v>81.815173789909593</v>
      </c>
      <c r="AM2379">
        <v>95.458130504259202</v>
      </c>
      <c r="AN2379">
        <v>0.99999997400937501</v>
      </c>
    </row>
    <row r="2380" spans="1:40" x14ac:dyDescent="0.25">
      <c r="A2380" t="str">
        <f>"20190304154807512"</f>
        <v>20190304154807512</v>
      </c>
      <c r="B2380" t="str">
        <f>"1551685687509703"</f>
        <v>1551685687509703</v>
      </c>
      <c r="C2380" t="s">
        <v>40</v>
      </c>
      <c r="D2380">
        <v>4.0416740000000004</v>
      </c>
      <c r="E2380">
        <v>0.55963160000000001</v>
      </c>
      <c r="F2380" t="s">
        <v>63</v>
      </c>
      <c r="G2380">
        <v>-511.82100000000003</v>
      </c>
      <c r="H2380">
        <v>2.7378049999999998</v>
      </c>
      <c r="I2380">
        <v>299.65190000000001</v>
      </c>
      <c r="J2380">
        <v>-240.60679999999999</v>
      </c>
      <c r="K2380">
        <v>1.110295</v>
      </c>
      <c r="L2380">
        <v>285.46289999999999</v>
      </c>
      <c r="M2380">
        <v>-0.99984280000000003</v>
      </c>
      <c r="N2380">
        <v>-1.102941E-2</v>
      </c>
      <c r="O2380">
        <v>-1.3889779999999999E-2</v>
      </c>
      <c r="P2380">
        <v>-0.98540289999999997</v>
      </c>
      <c r="Q2380">
        <v>0.131496</v>
      </c>
      <c r="R2380">
        <v>-0.10812089999999901</v>
      </c>
      <c r="S2380">
        <v>-3.0595089999999998</v>
      </c>
      <c r="T2380">
        <v>1.834941E-2</v>
      </c>
      <c r="U2380">
        <v>0.15994259999999999</v>
      </c>
      <c r="V2380">
        <v>-9.4337969999999993E-2</v>
      </c>
      <c r="W2380">
        <v>0.14242769999999999</v>
      </c>
      <c r="X2380">
        <v>0.98529929999999999</v>
      </c>
      <c r="Y2380">
        <v>6.6071569999999996E-2</v>
      </c>
      <c r="Z2380" s="1">
        <v>-6.970717E-5</v>
      </c>
      <c r="AA2380">
        <v>0.99781489999999995</v>
      </c>
      <c r="AB2380">
        <v>28</v>
      </c>
      <c r="AC2380">
        <v>-271.21420000000001</v>
      </c>
      <c r="AD2380">
        <v>1.62750999999999</v>
      </c>
      <c r="AE2380">
        <v>14.189</v>
      </c>
      <c r="AF2380">
        <v>17.954320632783698</v>
      </c>
      <c r="AG2380">
        <v>1.62750999999999</v>
      </c>
      <c r="AH2380">
        <v>270.98120798499701</v>
      </c>
      <c r="AI2380">
        <v>89.656639173775005</v>
      </c>
      <c r="AJ2380">
        <v>86.209311219021799</v>
      </c>
      <c r="AK2380">
        <v>271.58023031729198</v>
      </c>
      <c r="AL2380">
        <v>81.811648820658306</v>
      </c>
      <c r="AM2380">
        <v>95.469141239675494</v>
      </c>
      <c r="AN2380">
        <v>1.0000000064457499</v>
      </c>
    </row>
    <row r="2381" spans="1:40" x14ac:dyDescent="0.25">
      <c r="A2381" t="str">
        <f>"20190304154807524"</f>
        <v>20190304154807524</v>
      </c>
      <c r="B2381" t="str">
        <f>"1551685687519463"</f>
        <v>1551685687519463</v>
      </c>
      <c r="C2381" t="s">
        <v>40</v>
      </c>
      <c r="D2381">
        <v>4.0831269999999904</v>
      </c>
      <c r="E2381">
        <v>0.55960980000000005</v>
      </c>
      <c r="F2381" t="s">
        <v>63</v>
      </c>
      <c r="G2381">
        <v>-511.8211</v>
      </c>
      <c r="H2381">
        <v>2.8377720000000002</v>
      </c>
      <c r="I2381">
        <v>299.89179999999999</v>
      </c>
      <c r="J2381">
        <v>-240.76820000000001</v>
      </c>
      <c r="K2381">
        <v>1.1102939999999999</v>
      </c>
      <c r="L2381">
        <v>285.46080000000001</v>
      </c>
      <c r="M2381">
        <v>-0.99984510000000004</v>
      </c>
      <c r="N2381">
        <v>-1.1029880000000001E-2</v>
      </c>
      <c r="O2381">
        <v>-1.3720980000000001E-2</v>
      </c>
      <c r="P2381">
        <v>-0.98538760000000003</v>
      </c>
      <c r="Q2381">
        <v>0.13146739999999901</v>
      </c>
      <c r="R2381">
        <v>-0.1082949</v>
      </c>
      <c r="S2381">
        <v>-3.0597080000000001</v>
      </c>
      <c r="T2381">
        <v>1.9489530000000001E-2</v>
      </c>
      <c r="U2381">
        <v>0.1627808</v>
      </c>
      <c r="V2381">
        <v>-9.4678979999999996E-2</v>
      </c>
      <c r="W2381">
        <v>0.14239979999999999</v>
      </c>
      <c r="X2381">
        <v>0.9852706</v>
      </c>
      <c r="Y2381">
        <v>6.6822629999999994E-2</v>
      </c>
      <c r="Z2381" s="1">
        <v>-8.244324E-5</v>
      </c>
      <c r="AA2381">
        <v>0.99776489999999995</v>
      </c>
      <c r="AB2381">
        <v>28</v>
      </c>
      <c r="AC2381">
        <v>-271.05290000000002</v>
      </c>
      <c r="AD2381">
        <v>1.7274779999999901</v>
      </c>
      <c r="AE2381">
        <v>14.4309999999999</v>
      </c>
      <c r="AF2381">
        <v>18.1482436800414</v>
      </c>
      <c r="AG2381">
        <v>1.7274779999999901</v>
      </c>
      <c r="AH2381">
        <v>270.81839230902398</v>
      </c>
      <c r="AI2381">
        <v>89.635348351977498</v>
      </c>
      <c r="AJ2381">
        <v>86.166192993984396</v>
      </c>
      <c r="AK2381">
        <v>271.431288803916</v>
      </c>
      <c r="AL2381">
        <v>81.813263647379401</v>
      </c>
      <c r="AM2381">
        <v>95.488949314649105</v>
      </c>
      <c r="AN2381">
        <v>0.99999998375912003</v>
      </c>
    </row>
    <row r="2382" spans="1:40" x14ac:dyDescent="0.25">
      <c r="A2382" t="str">
        <f>"20190304154807541"</f>
        <v>20190304154807541</v>
      </c>
      <c r="B2382" t="str">
        <f>"1551685687538983"</f>
        <v>1551685687538983</v>
      </c>
      <c r="C2382" t="s">
        <v>40</v>
      </c>
      <c r="D2382">
        <v>4.0890139999999997</v>
      </c>
      <c r="E2382">
        <v>0.55971130000000002</v>
      </c>
      <c r="F2382" t="s">
        <v>63</v>
      </c>
      <c r="G2382">
        <v>-511.82100000000003</v>
      </c>
      <c r="H2382">
        <v>2.7425730000000001</v>
      </c>
      <c r="I2382">
        <v>299.82389999999998</v>
      </c>
      <c r="J2382">
        <v>-240.98089999999999</v>
      </c>
      <c r="K2382">
        <v>1.1102890000000001</v>
      </c>
      <c r="L2382">
        <v>285.4581</v>
      </c>
      <c r="M2382">
        <v>-0.99984819999999996</v>
      </c>
      <c r="N2382">
        <v>-1.1030710000000001E-2</v>
      </c>
      <c r="O2382">
        <v>-1.349855E-2</v>
      </c>
      <c r="P2382">
        <v>-0.98541829999999997</v>
      </c>
      <c r="Q2382">
        <v>0.1311021</v>
      </c>
      <c r="R2382">
        <v>-0.10845929999999999</v>
      </c>
      <c r="S2382">
        <v>-3.0598299999999998</v>
      </c>
      <c r="T2382">
        <v>1.8427249999999999E-2</v>
      </c>
      <c r="U2382">
        <v>0.162139899999999</v>
      </c>
      <c r="V2382">
        <v>-9.5062670000000002E-2</v>
      </c>
      <c r="W2382">
        <v>0.14203540000000001</v>
      </c>
      <c r="X2382">
        <v>0.98528629999999995</v>
      </c>
      <c r="Y2382">
        <v>6.6390279999999996E-2</v>
      </c>
      <c r="Z2382" s="1">
        <v>-6.3363700000000005E-5</v>
      </c>
      <c r="AA2382">
        <v>0.99779370000000001</v>
      </c>
      <c r="AB2382">
        <v>28</v>
      </c>
      <c r="AC2382">
        <v>-270.84010000000001</v>
      </c>
      <c r="AD2382">
        <v>1.6322840000000001</v>
      </c>
      <c r="AE2382">
        <v>14.365799999999901</v>
      </c>
      <c r="AF2382">
        <v>18.020008805227398</v>
      </c>
      <c r="AG2382">
        <v>1.6322840000000001</v>
      </c>
      <c r="AH2382">
        <v>270.61169015341602</v>
      </c>
      <c r="AI2382">
        <v>89.655169390918601</v>
      </c>
      <c r="AJ2382">
        <v>86.190303411330703</v>
      </c>
      <c r="AK2382">
        <v>271.21591383266099</v>
      </c>
      <c r="AL2382">
        <v>81.834357007526805</v>
      </c>
      <c r="AM2382">
        <v>95.510969534533899</v>
      </c>
      <c r="AN2382">
        <v>1.00000002952418</v>
      </c>
    </row>
    <row r="2383" spans="1:40" x14ac:dyDescent="0.25">
      <c r="A2383" t="str">
        <f>"20190304154807555"</f>
        <v>20190304154807555</v>
      </c>
      <c r="B2383" t="str">
        <f>"1551685687548743"</f>
        <v>1551685687548743</v>
      </c>
      <c r="C2383" t="s">
        <v>40</v>
      </c>
      <c r="D2383">
        <v>4.1896950000000004</v>
      </c>
      <c r="E2383">
        <v>0.56014819999999999</v>
      </c>
      <c r="F2383" t="s">
        <v>63</v>
      </c>
      <c r="G2383">
        <v>-511.82100000000003</v>
      </c>
      <c r="H2383">
        <v>2.459902</v>
      </c>
      <c r="I2383">
        <v>299.81619999999998</v>
      </c>
      <c r="J2383">
        <v>-241.1559</v>
      </c>
      <c r="K2383">
        <v>1.1102860000000001</v>
      </c>
      <c r="L2383">
        <v>285.45600000000002</v>
      </c>
      <c r="M2383">
        <v>-0.99985060000000003</v>
      </c>
      <c r="N2383">
        <v>-1.1031529999999999E-2</v>
      </c>
      <c r="O2383">
        <v>-1.3315570000000001E-2</v>
      </c>
      <c r="P2383">
        <v>-0.98545819999999995</v>
      </c>
      <c r="Q2383">
        <v>0.13088959999999999</v>
      </c>
      <c r="R2383">
        <v>-0.1083528</v>
      </c>
      <c r="S2383">
        <v>-3.0602109999999998</v>
      </c>
      <c r="T2383">
        <v>1.525021E-2</v>
      </c>
      <c r="U2383">
        <v>0.1622314</v>
      </c>
      <c r="V2383">
        <v>-9.513605E-2</v>
      </c>
      <c r="W2383">
        <v>0.14182400000000001</v>
      </c>
      <c r="X2383">
        <v>0.98530969999999996</v>
      </c>
      <c r="Y2383">
        <v>6.6231120000000004E-2</v>
      </c>
      <c r="Z2383" s="1">
        <v>-1.24247699999999E-5</v>
      </c>
      <c r="AA2383">
        <v>0.99780429999999998</v>
      </c>
      <c r="AB2383">
        <v>28</v>
      </c>
      <c r="AC2383">
        <v>-270.66509999999897</v>
      </c>
      <c r="AD2383">
        <v>1.3496159999999999</v>
      </c>
      <c r="AE2383">
        <v>14.360200000000001</v>
      </c>
      <c r="AF2383">
        <v>17.9627603726308</v>
      </c>
      <c r="AG2383">
        <v>1.3496159999999999</v>
      </c>
      <c r="AH2383">
        <v>270.44316990936602</v>
      </c>
      <c r="AI2383">
        <v>89.714702879638395</v>
      </c>
      <c r="AJ2383">
        <v>86.200011633393103</v>
      </c>
      <c r="AK2383">
        <v>271.04241434539</v>
      </c>
      <c r="AL2383">
        <v>81.846593454947396</v>
      </c>
      <c r="AM2383">
        <v>95.515067126274005</v>
      </c>
      <c r="AN2383">
        <v>1.00000005994984</v>
      </c>
    </row>
    <row r="2384" spans="1:40" x14ac:dyDescent="0.25">
      <c r="A2384" t="str">
        <f>"20190304154807568"</f>
        <v>20190304154807568</v>
      </c>
      <c r="B2384" t="str">
        <f>"1551685687559478"</f>
        <v>1551685687559478</v>
      </c>
      <c r="C2384" t="s">
        <v>40</v>
      </c>
      <c r="D2384">
        <v>4.0842369999999999</v>
      </c>
      <c r="E2384">
        <v>0.56011250000000001</v>
      </c>
      <c r="F2384" t="s">
        <v>63</v>
      </c>
      <c r="G2384">
        <v>-511.82100000000003</v>
      </c>
      <c r="H2384">
        <v>2.647319</v>
      </c>
      <c r="I2384">
        <v>300.13670000000002</v>
      </c>
      <c r="J2384">
        <v>-241.321</v>
      </c>
      <c r="K2384">
        <v>1.1102890000000001</v>
      </c>
      <c r="L2384">
        <v>285.45389999999998</v>
      </c>
      <c r="M2384">
        <v>-0.99985290000000004</v>
      </c>
      <c r="N2384">
        <v>-1.103237E-2</v>
      </c>
      <c r="O2384">
        <v>-1.3143200000000001E-2</v>
      </c>
      <c r="P2384">
        <v>-0.98551449999999996</v>
      </c>
      <c r="Q2384">
        <v>0.13055719999999901</v>
      </c>
      <c r="R2384">
        <v>-0.10824309999999999</v>
      </c>
      <c r="S2384">
        <v>-3.0602260000000001</v>
      </c>
      <c r="T2384">
        <v>1.7379160000000001E-2</v>
      </c>
      <c r="U2384">
        <v>0.1659851</v>
      </c>
      <c r="V2384">
        <v>-9.5196050000000004E-2</v>
      </c>
      <c r="W2384">
        <v>0.1414936</v>
      </c>
      <c r="X2384">
        <v>0.98535130000000004</v>
      </c>
      <c r="Y2384">
        <v>6.7279110000000003E-2</v>
      </c>
      <c r="Z2384" s="1">
        <v>-3.8969510000000001E-5</v>
      </c>
      <c r="AA2384">
        <v>0.99773420000000002</v>
      </c>
      <c r="AB2384">
        <v>28</v>
      </c>
      <c r="AC2384">
        <v>-270.5</v>
      </c>
      <c r="AD2384">
        <v>1.5370299999999999</v>
      </c>
      <c r="AE2384">
        <v>14.6828</v>
      </c>
      <c r="AF2384">
        <v>18.2363960224842</v>
      </c>
      <c r="AG2384">
        <v>1.5370299999999999</v>
      </c>
      <c r="AH2384">
        <v>270.27494109084301</v>
      </c>
      <c r="AI2384">
        <v>89.674906581072094</v>
      </c>
      <c r="AJ2384">
        <v>86.139904090037106</v>
      </c>
      <c r="AK2384">
        <v>270.89383969143398</v>
      </c>
      <c r="AL2384">
        <v>81.865715973640604</v>
      </c>
      <c r="AM2384">
        <v>95.518292335325597</v>
      </c>
      <c r="AN2384">
        <v>0.99999995559412502</v>
      </c>
    </row>
    <row r="2385" spans="1:40" x14ac:dyDescent="0.25">
      <c r="A2385" t="str">
        <f>"20190304154807587"</f>
        <v>20190304154807587</v>
      </c>
      <c r="B2385" t="str">
        <f>"1551685687578998"</f>
        <v>1551685687578998</v>
      </c>
      <c r="C2385" t="s">
        <v>40</v>
      </c>
      <c r="D2385">
        <v>4.100263</v>
      </c>
      <c r="E2385">
        <v>0.56013419999999903</v>
      </c>
      <c r="F2385" t="s">
        <v>63</v>
      </c>
      <c r="G2385">
        <v>-511.82100000000003</v>
      </c>
      <c r="H2385">
        <v>2.5423789999999999</v>
      </c>
      <c r="I2385">
        <v>300.14190000000002</v>
      </c>
      <c r="J2385">
        <v>-241.5634</v>
      </c>
      <c r="K2385">
        <v>1.1102890000000001</v>
      </c>
      <c r="L2385">
        <v>285.45100000000002</v>
      </c>
      <c r="M2385">
        <v>-0.99985619999999997</v>
      </c>
      <c r="N2385">
        <v>-1.10337E-2</v>
      </c>
      <c r="O2385">
        <v>-1.2890479999999999E-2</v>
      </c>
      <c r="P2385">
        <v>-0.98550959999999999</v>
      </c>
      <c r="Q2385">
        <v>0.13070570000000001</v>
      </c>
      <c r="R2385">
        <v>-0.1081067</v>
      </c>
      <c r="S2385">
        <v>-3.0602109999999998</v>
      </c>
      <c r="T2385">
        <v>1.620245E-2</v>
      </c>
      <c r="U2385">
        <v>0.16616819999999999</v>
      </c>
      <c r="V2385">
        <v>-9.5308649999999995E-2</v>
      </c>
      <c r="W2385">
        <v>0.14164270000000001</v>
      </c>
      <c r="X2385">
        <v>0.98531899999999994</v>
      </c>
      <c r="Y2385">
        <v>6.708683E-2</v>
      </c>
      <c r="Z2385" s="1">
        <v>-1.7396409999999999E-5</v>
      </c>
      <c r="AA2385">
        <v>0.9977471</v>
      </c>
      <c r="AB2385">
        <v>28</v>
      </c>
      <c r="AC2385">
        <v>-270.25760000000002</v>
      </c>
      <c r="AD2385">
        <v>1.4320899999999901</v>
      </c>
      <c r="AE2385">
        <v>14.690899999999999</v>
      </c>
      <c r="AF2385">
        <v>18.173132160947699</v>
      </c>
      <c r="AG2385">
        <v>1.4320899999999901</v>
      </c>
      <c r="AH2385">
        <v>270.03819836597199</v>
      </c>
      <c r="AI2385">
        <v>89.696832645003198</v>
      </c>
      <c r="AJ2385">
        <v>86.149892564155394</v>
      </c>
      <c r="AK2385">
        <v>270.65280746936202</v>
      </c>
      <c r="AL2385">
        <v>81.857086315017696</v>
      </c>
      <c r="AM2385">
        <v>95.524959122142207</v>
      </c>
      <c r="AN2385">
        <v>0.99999996249455503</v>
      </c>
    </row>
    <row r="2386" spans="1:40" x14ac:dyDescent="0.25">
      <c r="A2386" t="str">
        <f>"20190304154807599"</f>
        <v>20190304154807599</v>
      </c>
      <c r="B2386" t="str">
        <f>"1551685687588759"</f>
        <v>1551685687588759</v>
      </c>
      <c r="C2386" t="s">
        <v>40</v>
      </c>
      <c r="D2386">
        <v>4.0733759999999997</v>
      </c>
      <c r="E2386">
        <v>0.56017419999999996</v>
      </c>
      <c r="F2386" t="s">
        <v>63</v>
      </c>
      <c r="G2386">
        <v>-511.82100000000003</v>
      </c>
      <c r="H2386">
        <v>2.5763050000000001</v>
      </c>
      <c r="I2386">
        <v>300.17189999999999</v>
      </c>
      <c r="J2386">
        <v>-241.7132</v>
      </c>
      <c r="K2386">
        <v>1.11029</v>
      </c>
      <c r="L2386">
        <v>285.44920000000002</v>
      </c>
      <c r="M2386">
        <v>-0.99985809999999997</v>
      </c>
      <c r="N2386">
        <v>-1.103469E-2</v>
      </c>
      <c r="O2386">
        <v>-1.2733970000000001E-2</v>
      </c>
      <c r="P2386">
        <v>-0.98552169999999895</v>
      </c>
      <c r="Q2386">
        <v>0.13092500000000001</v>
      </c>
      <c r="R2386">
        <v>-0.10772900000000001</v>
      </c>
      <c r="S2386">
        <v>-3.060181</v>
      </c>
      <c r="T2386">
        <v>1.660097E-2</v>
      </c>
      <c r="U2386">
        <v>0.166687</v>
      </c>
      <c r="V2386">
        <v>-9.5085240000000001E-2</v>
      </c>
      <c r="W2386">
        <v>0.14186319999999999</v>
      </c>
      <c r="X2386">
        <v>0.98530890000000004</v>
      </c>
      <c r="Y2386">
        <v>6.7099829999999999E-2</v>
      </c>
      <c r="Z2386" s="1">
        <v>-2.080668E-5</v>
      </c>
      <c r="AA2386">
        <v>0.99774629999999997</v>
      </c>
      <c r="AB2386">
        <v>28</v>
      </c>
      <c r="AC2386">
        <v>-270.1078</v>
      </c>
      <c r="AD2386">
        <v>1.4660150000000001</v>
      </c>
      <c r="AE2386">
        <v>14.7226999999999</v>
      </c>
      <c r="AF2386">
        <v>18.160726550822901</v>
      </c>
      <c r="AG2386">
        <v>1.4660150000000001</v>
      </c>
      <c r="AH2386">
        <v>269.890480226107</v>
      </c>
      <c r="AI2386">
        <v>89.689480957045703</v>
      </c>
      <c r="AJ2386">
        <v>86.150413383865498</v>
      </c>
      <c r="AK2386">
        <v>270.50477353553799</v>
      </c>
      <c r="AL2386">
        <v>81.844324022315604</v>
      </c>
      <c r="AM2386">
        <v>95.5121442478181</v>
      </c>
      <c r="AN2386">
        <v>0.99999999939965301</v>
      </c>
    </row>
    <row r="2387" spans="1:40" x14ac:dyDescent="0.25">
      <c r="A2387" t="str">
        <f>"20190304154807613"</f>
        <v>20190304154807613</v>
      </c>
      <c r="B2387" t="str">
        <f>"1551685687609255"</f>
        <v>1551685687609255</v>
      </c>
      <c r="C2387" t="s">
        <v>40</v>
      </c>
      <c r="D2387">
        <v>4.0753680000000001</v>
      </c>
      <c r="E2387">
        <v>0.56036809999999904</v>
      </c>
      <c r="F2387" t="s">
        <v>63</v>
      </c>
      <c r="G2387">
        <v>-511.82100000000003</v>
      </c>
      <c r="H2387">
        <v>2.6630410000000002</v>
      </c>
      <c r="I2387">
        <v>300.2971</v>
      </c>
      <c r="J2387">
        <v>-241.87989999999999</v>
      </c>
      <c r="K2387">
        <v>1.11029</v>
      </c>
      <c r="L2387">
        <v>285.44729999999998</v>
      </c>
      <c r="M2387">
        <v>-0.99986030000000004</v>
      </c>
      <c r="N2387">
        <v>-1.103588E-2</v>
      </c>
      <c r="O2387">
        <v>-1.25597E-2</v>
      </c>
      <c r="P2387">
        <v>-0.98554390000000003</v>
      </c>
      <c r="Q2387">
        <v>0.13108499999999901</v>
      </c>
      <c r="R2387">
        <v>-0.10733189999999999</v>
      </c>
      <c r="S2387">
        <v>-3.0600890000000001</v>
      </c>
      <c r="T2387">
        <v>1.759231E-2</v>
      </c>
      <c r="U2387">
        <v>0.1682129</v>
      </c>
      <c r="V2387">
        <v>-9.4859379999999993E-2</v>
      </c>
      <c r="W2387">
        <v>0.14202409999999999</v>
      </c>
      <c r="X2387">
        <v>0.9853075</v>
      </c>
      <c r="Y2387">
        <v>6.7423529999999995E-2</v>
      </c>
      <c r="Z2387" s="1">
        <v>-3.198074E-5</v>
      </c>
      <c r="AA2387">
        <v>0.99772450000000001</v>
      </c>
      <c r="AB2387">
        <v>29</v>
      </c>
      <c r="AC2387">
        <v>-269.94110000000001</v>
      </c>
      <c r="AD2387">
        <v>1.55275099999999</v>
      </c>
      <c r="AE2387">
        <v>14.8498</v>
      </c>
      <c r="AF2387">
        <v>18.2386123568063</v>
      </c>
      <c r="AG2387">
        <v>1.55275099999999</v>
      </c>
      <c r="AH2387">
        <v>269.72438750659097</v>
      </c>
      <c r="AI2387">
        <v>89.670914429463096</v>
      </c>
      <c r="AJ2387">
        <v>86.131580208470297</v>
      </c>
      <c r="AK2387">
        <v>270.34478584240401</v>
      </c>
      <c r="AL2387">
        <v>81.835010905709794</v>
      </c>
      <c r="AM2387">
        <v>95.499139138139697</v>
      </c>
      <c r="AN2387">
        <v>1.00000000825552</v>
      </c>
    </row>
    <row r="2388" spans="1:40" x14ac:dyDescent="0.25">
      <c r="A2388" t="str">
        <f>"20190304154807624"</f>
        <v>20190304154807624</v>
      </c>
      <c r="B2388" t="str">
        <f>"1551685687619015"</f>
        <v>1551685687619015</v>
      </c>
      <c r="C2388" t="s">
        <v>40</v>
      </c>
      <c r="D2388">
        <v>4.1031339999999998</v>
      </c>
      <c r="E2388">
        <v>0.5603458</v>
      </c>
      <c r="F2388" t="s">
        <v>63</v>
      </c>
      <c r="G2388">
        <v>-511.8211</v>
      </c>
      <c r="H2388">
        <v>2.785256</v>
      </c>
      <c r="I2388">
        <v>300.53629999999998</v>
      </c>
      <c r="J2388">
        <v>-242.04409999999999</v>
      </c>
      <c r="K2388">
        <v>1.11029</v>
      </c>
      <c r="L2388">
        <v>285.44540000000001</v>
      </c>
      <c r="M2388">
        <v>-0.99986240000000004</v>
      </c>
      <c r="N2388">
        <v>-1.103721E-2</v>
      </c>
      <c r="O2388">
        <v>-1.238793E-2</v>
      </c>
      <c r="P2388">
        <v>-0.98559390000000002</v>
      </c>
      <c r="Q2388">
        <v>0.1312432</v>
      </c>
      <c r="R2388">
        <v>-0.1066788</v>
      </c>
      <c r="S2388">
        <v>-3.0600890000000001</v>
      </c>
      <c r="T2388">
        <v>1.898861E-2</v>
      </c>
      <c r="U2388">
        <v>0.17105100000000001</v>
      </c>
      <c r="V2388">
        <v>-9.4375609999999999E-2</v>
      </c>
      <c r="W2388">
        <v>0.14218359999999999</v>
      </c>
      <c r="X2388">
        <v>0.98533090000000001</v>
      </c>
      <c r="Y2388">
        <v>6.8174559999999995E-2</v>
      </c>
      <c r="Z2388" s="1">
        <v>-4.8249959999999998E-5</v>
      </c>
      <c r="AA2388">
        <v>0.99767340000000004</v>
      </c>
      <c r="AB2388">
        <v>29</v>
      </c>
      <c r="AC2388">
        <v>-269.77699999999999</v>
      </c>
      <c r="AD2388">
        <v>1.674966</v>
      </c>
      <c r="AE2388">
        <v>15.0908999999999</v>
      </c>
      <c r="AF2388">
        <v>18.431215616425298</v>
      </c>
      <c r="AG2388">
        <v>1.674966</v>
      </c>
      <c r="AH2388">
        <v>269.55898164208998</v>
      </c>
      <c r="AI2388">
        <v>89.644813527956998</v>
      </c>
      <c r="AJ2388">
        <v>86.088463676113903</v>
      </c>
      <c r="AK2388">
        <v>270.19355988646498</v>
      </c>
      <c r="AL2388">
        <v>81.825778116264104</v>
      </c>
      <c r="AM2388">
        <v>95.471135736250204</v>
      </c>
      <c r="AN2388">
        <v>0.99999995718332002</v>
      </c>
    </row>
    <row r="2389" spans="1:40" x14ac:dyDescent="0.25">
      <c r="A2389" t="str">
        <f>"20190304154807644"</f>
        <v>20190304154807644</v>
      </c>
      <c r="B2389" t="str">
        <f>"1551685687639511"</f>
        <v>1551685687639511</v>
      </c>
      <c r="C2389" t="s">
        <v>40</v>
      </c>
      <c r="D2389">
        <v>4.1046329999999998</v>
      </c>
      <c r="E2389">
        <v>0.56069519999999995</v>
      </c>
      <c r="F2389" t="s">
        <v>63</v>
      </c>
      <c r="G2389">
        <v>-511.8211</v>
      </c>
      <c r="H2389">
        <v>2.8165300000000002</v>
      </c>
      <c r="I2389">
        <v>300.70060000000001</v>
      </c>
      <c r="J2389">
        <v>-242.2801</v>
      </c>
      <c r="K2389">
        <v>1.1102920000000001</v>
      </c>
      <c r="L2389">
        <v>285.4427</v>
      </c>
      <c r="M2389">
        <v>-0.99986540000000002</v>
      </c>
      <c r="N2389">
        <v>-1.1039210000000001E-2</v>
      </c>
      <c r="O2389">
        <v>-1.2140939999999999E-2</v>
      </c>
      <c r="P2389">
        <v>-0.98564309999999999</v>
      </c>
      <c r="Q2389">
        <v>0.13117860000000001</v>
      </c>
      <c r="R2389">
        <v>-0.1063016</v>
      </c>
      <c r="S2389">
        <v>-3.0599980000000002</v>
      </c>
      <c r="T2389">
        <v>1.9354340000000001E-2</v>
      </c>
      <c r="U2389">
        <v>0.17303470000000001</v>
      </c>
      <c r="V2389">
        <v>-9.4241619999999998E-2</v>
      </c>
      <c r="W2389">
        <v>0.14212089999999999</v>
      </c>
      <c r="X2389">
        <v>0.98535280000000003</v>
      </c>
      <c r="Y2389">
        <v>6.8574490000000002E-2</v>
      </c>
      <c r="Z2389" s="1">
        <v>-4.8519810000000003E-5</v>
      </c>
      <c r="AA2389">
        <v>0.99764600000000003</v>
      </c>
      <c r="AB2389">
        <v>29</v>
      </c>
      <c r="AC2389">
        <v>-269.541</v>
      </c>
      <c r="AD2389">
        <v>1.7062379999999899</v>
      </c>
      <c r="AE2389">
        <v>15.257899999999999</v>
      </c>
      <c r="AF2389">
        <v>18.5287155915223</v>
      </c>
      <c r="AG2389">
        <v>1.7062379999999899</v>
      </c>
      <c r="AH2389">
        <v>269.32511718097498</v>
      </c>
      <c r="AI2389">
        <v>89.637878535641903</v>
      </c>
      <c r="AJ2389">
        <v>86.064432924283906</v>
      </c>
      <c r="AK2389">
        <v>269.96711520874197</v>
      </c>
      <c r="AL2389">
        <v>81.829407661806897</v>
      </c>
      <c r="AM2389">
        <v>95.463294417890296</v>
      </c>
      <c r="AN2389">
        <v>0.99999998681243696</v>
      </c>
    </row>
    <row r="2390" spans="1:40" x14ac:dyDescent="0.25">
      <c r="A2390" t="str">
        <f>"20190304154807666"</f>
        <v>20190304154807666</v>
      </c>
      <c r="B2390" t="str">
        <f>"1551685687659031"</f>
        <v>1551685687659031</v>
      </c>
      <c r="C2390" t="s">
        <v>40</v>
      </c>
      <c r="D2390">
        <v>4.1196010000000003</v>
      </c>
      <c r="E2390">
        <v>0.56081289999999995</v>
      </c>
      <c r="F2390" t="s">
        <v>63</v>
      </c>
      <c r="G2390">
        <v>-511.82119999999998</v>
      </c>
      <c r="H2390">
        <v>3.1473260000000001</v>
      </c>
      <c r="I2390">
        <v>301.0247</v>
      </c>
      <c r="J2390">
        <v>-242.57300000000001</v>
      </c>
      <c r="K2390">
        <v>1.1102959999999999</v>
      </c>
      <c r="L2390">
        <v>285.43950000000001</v>
      </c>
      <c r="M2390">
        <v>-0.99986909999999896</v>
      </c>
      <c r="N2390">
        <v>-1.1041820000000001E-2</v>
      </c>
      <c r="O2390">
        <v>-1.1834829999999999E-2</v>
      </c>
      <c r="P2390">
        <v>-0.98565080000000005</v>
      </c>
      <c r="Q2390">
        <v>0.1315799</v>
      </c>
      <c r="R2390">
        <v>-0.1057318</v>
      </c>
      <c r="S2390">
        <v>-3.059723</v>
      </c>
      <c r="T2390">
        <v>2.3124579999999999E-2</v>
      </c>
      <c r="U2390">
        <v>0.17687990000000001</v>
      </c>
      <c r="V2390">
        <v>-9.3973470000000003E-2</v>
      </c>
      <c r="W2390">
        <v>0.14252490000000001</v>
      </c>
      <c r="X2390">
        <v>0.98532010000000003</v>
      </c>
      <c r="Y2390">
        <v>6.9523429999999997E-2</v>
      </c>
      <c r="Z2390" s="1">
        <v>-9.8269259999999995E-5</v>
      </c>
      <c r="AA2390">
        <v>0.99758029999999998</v>
      </c>
      <c r="AB2390">
        <v>29</v>
      </c>
      <c r="AC2390">
        <v>-269.2482</v>
      </c>
      <c r="AD2390">
        <v>2.0370300000000001</v>
      </c>
      <c r="AE2390">
        <v>15.585199999999899</v>
      </c>
      <c r="AF2390">
        <v>18.769738228747102</v>
      </c>
      <c r="AG2390">
        <v>2.0370300000000001</v>
      </c>
      <c r="AH2390">
        <v>269.02953428343602</v>
      </c>
      <c r="AI2390">
        <v>89.567229735657506</v>
      </c>
      <c r="AJ2390">
        <v>86.009036918196301</v>
      </c>
      <c r="AK2390">
        <v>269.691199116988</v>
      </c>
      <c r="AL2390">
        <v>81.806022462934394</v>
      </c>
      <c r="AM2390">
        <v>95.448022821558496</v>
      </c>
      <c r="AN2390">
        <v>1.00000002982393</v>
      </c>
    </row>
    <row r="2391" spans="1:40" x14ac:dyDescent="0.25">
      <c r="A2391" t="str">
        <f>"20190304154807688"</f>
        <v>20190304154807688</v>
      </c>
      <c r="B2391" t="str">
        <f>"1551685687679526"</f>
        <v>1551685687679526</v>
      </c>
      <c r="C2391" t="s">
        <v>40</v>
      </c>
      <c r="D2391">
        <v>4.1060270000000001</v>
      </c>
      <c r="E2391">
        <v>0.56096109999999999</v>
      </c>
      <c r="F2391" t="s">
        <v>63</v>
      </c>
      <c r="G2391">
        <v>-511.82130000000001</v>
      </c>
      <c r="H2391">
        <v>3.5153660000000002</v>
      </c>
      <c r="I2391">
        <v>301.24029999999999</v>
      </c>
      <c r="J2391">
        <v>-242.85069999999999</v>
      </c>
      <c r="K2391">
        <v>1.1102959999999999</v>
      </c>
      <c r="L2391">
        <v>285.43650000000002</v>
      </c>
      <c r="M2391">
        <v>-0.99987239999999999</v>
      </c>
      <c r="N2391">
        <v>-1.1044440000000001E-2</v>
      </c>
      <c r="O2391">
        <v>-1.154517E-2</v>
      </c>
      <c r="P2391">
        <v>-0.98567959999999999</v>
      </c>
      <c r="Q2391">
        <v>0.1318645</v>
      </c>
      <c r="R2391">
        <v>-0.105107199999999</v>
      </c>
      <c r="S2391">
        <v>-3.0593110000000001</v>
      </c>
      <c r="T2391">
        <v>2.7328370000000001E-2</v>
      </c>
      <c r="U2391">
        <v>0.1795349</v>
      </c>
      <c r="V2391">
        <v>-9.3634560000000006E-2</v>
      </c>
      <c r="W2391">
        <v>0.14281140000000001</v>
      </c>
      <c r="X2391">
        <v>0.98531089999999999</v>
      </c>
      <c r="Y2391">
        <v>7.0104479999999997E-2</v>
      </c>
      <c r="Z2391">
        <v>-1.5580349999999999E-4</v>
      </c>
      <c r="AA2391">
        <v>0.99753959999999997</v>
      </c>
      <c r="AB2391">
        <v>29</v>
      </c>
      <c r="AC2391">
        <v>-268.97059999999999</v>
      </c>
      <c r="AD2391">
        <v>2.4050699999999998</v>
      </c>
      <c r="AE2391">
        <v>15.803799999999899</v>
      </c>
      <c r="AF2391">
        <v>18.906740673324698</v>
      </c>
      <c r="AG2391">
        <v>2.4050699999999998</v>
      </c>
      <c r="AH2391">
        <v>268.748788974104</v>
      </c>
      <c r="AI2391">
        <v>89.488529919482403</v>
      </c>
      <c r="AJ2391">
        <v>85.975815934597904</v>
      </c>
      <c r="AK2391">
        <v>269.423756895417</v>
      </c>
      <c r="AL2391">
        <v>81.789437720823699</v>
      </c>
      <c r="AM2391">
        <v>95.428542800758095</v>
      </c>
      <c r="AN2391">
        <v>1.0000000482275799</v>
      </c>
    </row>
    <row r="2392" spans="1:40" x14ac:dyDescent="0.25">
      <c r="A2392" t="str">
        <f>"20190304154807701"</f>
        <v>20190304154807701</v>
      </c>
      <c r="B2392" t="str">
        <f>"1551685687689287"</f>
        <v>1551685687689287</v>
      </c>
      <c r="C2392" t="s">
        <v>40</v>
      </c>
      <c r="D2392">
        <v>4.1086669999999996</v>
      </c>
      <c r="E2392">
        <v>0.56084049999999996</v>
      </c>
      <c r="F2392" t="s">
        <v>63</v>
      </c>
      <c r="G2392">
        <v>-511.82139999999998</v>
      </c>
      <c r="H2392">
        <v>3.7563019999999998</v>
      </c>
      <c r="I2392">
        <v>301.46409999999997</v>
      </c>
      <c r="J2392">
        <v>-243.01150000000001</v>
      </c>
      <c r="K2392">
        <v>1.110293</v>
      </c>
      <c r="L2392">
        <v>285.43490000000003</v>
      </c>
      <c r="M2392">
        <v>-0.99987429999999999</v>
      </c>
      <c r="N2392">
        <v>-1.104602E-2</v>
      </c>
      <c r="O2392">
        <v>-1.137721E-2</v>
      </c>
      <c r="P2392">
        <v>-0.98572000000000004</v>
      </c>
      <c r="Q2392">
        <v>0.13174669999999999</v>
      </c>
      <c r="R2392">
        <v>-0.10487630000000001</v>
      </c>
      <c r="S2392">
        <v>-3.0590060000000001</v>
      </c>
      <c r="T2392">
        <v>3.0094030000000001E-2</v>
      </c>
      <c r="U2392">
        <v>0.18228150000000001</v>
      </c>
      <c r="V2392">
        <v>-9.3568940000000003E-2</v>
      </c>
      <c r="W2392">
        <v>0.14269579999999901</v>
      </c>
      <c r="X2392">
        <v>0.98533389999999998</v>
      </c>
      <c r="Y2392">
        <v>7.0834830000000001E-2</v>
      </c>
      <c r="Z2392">
        <v>-1.9391849999999999E-4</v>
      </c>
      <c r="AA2392">
        <v>0.99748800000000004</v>
      </c>
      <c r="AB2392">
        <v>29</v>
      </c>
      <c r="AC2392">
        <v>-268.80990000000003</v>
      </c>
      <c r="AD2392">
        <v>2.6460089999999998</v>
      </c>
      <c r="AE2392">
        <v>16.0291999999999</v>
      </c>
      <c r="AF2392">
        <v>19.084812960635901</v>
      </c>
      <c r="AG2392">
        <v>2.6460089999999998</v>
      </c>
      <c r="AH2392">
        <v>268.58418941800602</v>
      </c>
      <c r="AI2392">
        <v>89.436977326479493</v>
      </c>
      <c r="AJ2392">
        <v>85.935559620802906</v>
      </c>
      <c r="AK2392">
        <v>269.27439212576098</v>
      </c>
      <c r="AL2392">
        <v>81.796129797912499</v>
      </c>
      <c r="AM2392">
        <v>95.424635257342999</v>
      </c>
      <c r="AN2392">
        <v>1.0000000661797801</v>
      </c>
    </row>
    <row r="2393" spans="1:40" x14ac:dyDescent="0.25">
      <c r="A2393" t="str">
        <f>"20190304154807713"</f>
        <v>20190304154807713</v>
      </c>
      <c r="B2393" t="str">
        <f>"1551685687708808"</f>
        <v>1551685687708808</v>
      </c>
      <c r="C2393" t="s">
        <v>40</v>
      </c>
      <c r="D2393">
        <v>4.1344690000000002</v>
      </c>
      <c r="E2393">
        <v>0.56055969999999999</v>
      </c>
      <c r="F2393" t="s">
        <v>63</v>
      </c>
      <c r="G2393">
        <v>-511.82139999999998</v>
      </c>
      <c r="H2393">
        <v>3.5980279999999998</v>
      </c>
      <c r="I2393">
        <v>301.4391</v>
      </c>
      <c r="J2393">
        <v>-243.17509999999999</v>
      </c>
      <c r="K2393">
        <v>1.1102890000000001</v>
      </c>
      <c r="L2393">
        <v>285.4332</v>
      </c>
      <c r="M2393">
        <v>-0.99987630000000005</v>
      </c>
      <c r="N2393">
        <v>-1.1047649999999999E-2</v>
      </c>
      <c r="O2393">
        <v>-1.12058E-2</v>
      </c>
      <c r="P2393">
        <v>-0.98572400000000004</v>
      </c>
      <c r="Q2393">
        <v>0.13184879999999999</v>
      </c>
      <c r="R2393">
        <v>-0.1047124</v>
      </c>
      <c r="S2393">
        <v>-3.0590670000000002</v>
      </c>
      <c r="T2393">
        <v>2.8311490000000002E-2</v>
      </c>
      <c r="U2393">
        <v>0.18212890000000001</v>
      </c>
      <c r="V2393">
        <v>-9.357364E-2</v>
      </c>
      <c r="W2393">
        <v>0.1427996</v>
      </c>
      <c r="X2393">
        <v>0.98531840000000004</v>
      </c>
      <c r="Y2393">
        <v>7.0613399999999896E-2</v>
      </c>
      <c r="Z2393">
        <v>-1.6335420000000001E-4</v>
      </c>
      <c r="AA2393">
        <v>0.99750380000000005</v>
      </c>
      <c r="AB2393">
        <v>29</v>
      </c>
      <c r="AC2393">
        <v>-268.6463</v>
      </c>
      <c r="AD2393">
        <v>2.4877389999999999</v>
      </c>
      <c r="AE2393">
        <v>16.005899999999901</v>
      </c>
      <c r="AF2393">
        <v>19.013850274594599</v>
      </c>
      <c r="AG2393">
        <v>2.4877389999999999</v>
      </c>
      <c r="AH2393">
        <v>268.427123688888</v>
      </c>
      <c r="AI2393">
        <v>89.470334280821902</v>
      </c>
      <c r="AJ2393">
        <v>85.948260443836105</v>
      </c>
      <c r="AK2393">
        <v>269.11119649595798</v>
      </c>
      <c r="AL2393">
        <v>81.790120831931404</v>
      </c>
      <c r="AM2393">
        <v>95.4249909429345</v>
      </c>
      <c r="AN2393">
        <v>1.00000005062078</v>
      </c>
    </row>
    <row r="2394" spans="1:40" x14ac:dyDescent="0.25">
      <c r="A2394" t="str">
        <f>"20190304154807732"</f>
        <v>20190304154807732</v>
      </c>
      <c r="B2394" t="str">
        <f>"1551685687729302"</f>
        <v>1551685687729302</v>
      </c>
      <c r="C2394" t="s">
        <v>40</v>
      </c>
      <c r="D2394">
        <v>4.3190419999999996</v>
      </c>
      <c r="E2394">
        <v>0.56061280000000002</v>
      </c>
      <c r="F2394" t="s">
        <v>63</v>
      </c>
      <c r="G2394">
        <v>-511.82130000000001</v>
      </c>
      <c r="H2394">
        <v>3.4429189999999998</v>
      </c>
      <c r="I2394">
        <v>301.29629999999997</v>
      </c>
      <c r="J2394">
        <v>-243.40539999999999</v>
      </c>
      <c r="K2394">
        <v>1.1102909999999999</v>
      </c>
      <c r="L2394">
        <v>285.43090000000001</v>
      </c>
      <c r="M2394">
        <v>-0.99987890000000001</v>
      </c>
      <c r="N2394">
        <v>-1.1050030000000001E-2</v>
      </c>
      <c r="O2394">
        <v>-1.096393E-2</v>
      </c>
      <c r="P2394">
        <v>-0.98571710000000001</v>
      </c>
      <c r="Q2394">
        <v>0.13198260000000001</v>
      </c>
      <c r="R2394">
        <v>-0.1046076</v>
      </c>
      <c r="S2394">
        <v>-3.0590670000000002</v>
      </c>
      <c r="T2394">
        <v>2.6562570000000001E-2</v>
      </c>
      <c r="U2394">
        <v>0.1806335</v>
      </c>
      <c r="V2394">
        <v>-9.3707079999999998E-2</v>
      </c>
      <c r="W2394">
        <v>0.14293549999999999</v>
      </c>
      <c r="X2394">
        <v>0.98528590000000005</v>
      </c>
      <c r="Y2394">
        <v>6.9886509999999999E-2</v>
      </c>
      <c r="Z2394">
        <v>-1.3284160000000001E-4</v>
      </c>
      <c r="AA2394">
        <v>0.99755499999999997</v>
      </c>
      <c r="AB2394">
        <v>29</v>
      </c>
      <c r="AC2394">
        <v>-268.41590000000002</v>
      </c>
      <c r="AD2394">
        <v>2.3326280000000001</v>
      </c>
      <c r="AE2394">
        <v>15.8653999999999</v>
      </c>
      <c r="AF2394">
        <v>18.806103588182498</v>
      </c>
      <c r="AG2394">
        <v>2.3326280000000001</v>
      </c>
      <c r="AH2394">
        <v>268.20562201302801</v>
      </c>
      <c r="AI2394">
        <v>89.502922230715996</v>
      </c>
      <c r="AJ2394">
        <v>85.9890860454353</v>
      </c>
      <c r="AK2394">
        <v>268.87425753491402</v>
      </c>
      <c r="AL2394">
        <v>81.782252712170703</v>
      </c>
      <c r="AM2394">
        <v>95.432859085412801</v>
      </c>
      <c r="AN2394">
        <v>0.99999993937059095</v>
      </c>
    </row>
    <row r="2395" spans="1:40" x14ac:dyDescent="0.25">
      <c r="A2395" t="str">
        <f>"20190304154807744"</f>
        <v>20190304154807744</v>
      </c>
      <c r="B2395" t="str">
        <f>"1551685687739063"</f>
        <v>1551685687739063</v>
      </c>
      <c r="C2395" t="s">
        <v>40</v>
      </c>
      <c r="D2395">
        <v>4.1137540000000001</v>
      </c>
      <c r="E2395">
        <v>0.56050159999999905</v>
      </c>
      <c r="F2395" t="s">
        <v>63</v>
      </c>
      <c r="G2395">
        <v>-511.82130000000001</v>
      </c>
      <c r="H2395">
        <v>3.3430460000000002</v>
      </c>
      <c r="I2395">
        <v>301.3621</v>
      </c>
      <c r="J2395">
        <v>-243.57740000000001</v>
      </c>
      <c r="K2395">
        <v>1.1102920000000001</v>
      </c>
      <c r="L2395">
        <v>285.42919999999998</v>
      </c>
      <c r="M2395">
        <v>-0.99988080000000001</v>
      </c>
      <c r="N2395">
        <v>-1.1051800000000001E-2</v>
      </c>
      <c r="O2395">
        <v>-1.0781900000000001E-2</v>
      </c>
      <c r="P2395">
        <v>-0.98575349999999995</v>
      </c>
      <c r="Q2395">
        <v>0.13186300000000001</v>
      </c>
      <c r="R2395">
        <v>-0.1044147</v>
      </c>
      <c r="S2395">
        <v>-3.059326</v>
      </c>
      <c r="T2395">
        <v>2.5449280000000001E-2</v>
      </c>
      <c r="U2395">
        <v>0.18157960000000001</v>
      </c>
      <c r="V2395">
        <v>-9.3693200000000004E-2</v>
      </c>
      <c r="W2395">
        <v>0.142818</v>
      </c>
      <c r="X2395">
        <v>0.98530430000000002</v>
      </c>
      <c r="Y2395">
        <v>7.00075E-2</v>
      </c>
      <c r="Z2395">
        <v>-1.1237809999999999E-4</v>
      </c>
      <c r="AA2395">
        <v>0.99754640000000006</v>
      </c>
      <c r="AB2395">
        <v>29</v>
      </c>
      <c r="AC2395">
        <v>-268.2439</v>
      </c>
      <c r="AD2395">
        <v>2.2327539999999999</v>
      </c>
      <c r="AE2395">
        <v>15.9329</v>
      </c>
      <c r="AF2395">
        <v>18.823029789641001</v>
      </c>
      <c r="AG2395">
        <v>2.2327539999999999</v>
      </c>
      <c r="AH2395">
        <v>268.03800363143802</v>
      </c>
      <c r="AI2395">
        <v>89.523910184909099</v>
      </c>
      <c r="AJ2395">
        <v>85.982985598663205</v>
      </c>
      <c r="AK2395">
        <v>268.70739296047202</v>
      </c>
      <c r="AL2395">
        <v>81.789055090057701</v>
      </c>
      <c r="AM2395">
        <v>95.431958344037398</v>
      </c>
      <c r="AN2395">
        <v>0.99999998022436398</v>
      </c>
    </row>
    <row r="2396" spans="1:40" x14ac:dyDescent="0.25">
      <c r="A2396" t="str">
        <f>"20190304154807759"</f>
        <v>20190304154807759</v>
      </c>
      <c r="B2396" t="str">
        <f>"1551685687748823"</f>
        <v>1551685687748823</v>
      </c>
      <c r="C2396" t="s">
        <v>40</v>
      </c>
      <c r="D2396">
        <v>4.1197540000000004</v>
      </c>
      <c r="E2396">
        <v>0.56046149999999995</v>
      </c>
      <c r="F2396" t="s">
        <v>63</v>
      </c>
      <c r="G2396">
        <v>-511.82119999999998</v>
      </c>
      <c r="H2396">
        <v>3.2216749999999998</v>
      </c>
      <c r="I2396">
        <v>301.31810000000002</v>
      </c>
      <c r="J2396">
        <v>-243.75559999999999</v>
      </c>
      <c r="K2396">
        <v>1.1102909999999999</v>
      </c>
      <c r="L2396">
        <v>285.42750000000001</v>
      </c>
      <c r="M2396">
        <v>-0.99988299999999997</v>
      </c>
      <c r="N2396">
        <v>-1.10537E-2</v>
      </c>
      <c r="O2396">
        <v>-1.059272E-2</v>
      </c>
      <c r="P2396">
        <v>-0.98577320000000002</v>
      </c>
      <c r="Q2396">
        <v>0.1318194</v>
      </c>
      <c r="R2396">
        <v>-0.1042831</v>
      </c>
      <c r="S2396">
        <v>-3.059326</v>
      </c>
      <c r="T2396">
        <v>2.4081350000000001E-2</v>
      </c>
      <c r="U2396">
        <v>0.1812134</v>
      </c>
      <c r="V2396">
        <v>-9.374826E-2</v>
      </c>
      <c r="W2396">
        <v>0.1427765</v>
      </c>
      <c r="X2396">
        <v>0.98530510000000004</v>
      </c>
      <c r="Y2396">
        <v>6.969997E-2</v>
      </c>
      <c r="Z2396" s="1">
        <v>-8.8796719999999896E-5</v>
      </c>
      <c r="AA2396">
        <v>0.99756800000000001</v>
      </c>
      <c r="AB2396">
        <v>29</v>
      </c>
      <c r="AC2396">
        <v>-268.06560000000002</v>
      </c>
      <c r="AD2396">
        <v>2.1113840000000001</v>
      </c>
      <c r="AE2396">
        <v>15.890599999999999</v>
      </c>
      <c r="AF2396">
        <v>18.7282673361109</v>
      </c>
      <c r="AG2396">
        <v>2.1113840000000001</v>
      </c>
      <c r="AH2396">
        <v>267.865664123302</v>
      </c>
      <c r="AI2396">
        <v>89.549489458340403</v>
      </c>
      <c r="AJ2396">
        <v>86.000579946402496</v>
      </c>
      <c r="AK2396">
        <v>268.52787556606802</v>
      </c>
      <c r="AL2396">
        <v>81.791457670104904</v>
      </c>
      <c r="AM2396">
        <v>95.435127006904906</v>
      </c>
      <c r="AN2396">
        <v>1.0000000026456399</v>
      </c>
    </row>
    <row r="2397" spans="1:40" x14ac:dyDescent="0.25">
      <c r="A2397" t="str">
        <f>"20190304154807778"</f>
        <v>20190304154807778</v>
      </c>
      <c r="B2397" t="str">
        <f>"1551685687769318"</f>
        <v>1551685687769318</v>
      </c>
      <c r="C2397" t="s">
        <v>40</v>
      </c>
      <c r="D2397">
        <v>4.131386</v>
      </c>
      <c r="E2397">
        <v>0.56033109999999997</v>
      </c>
      <c r="F2397" t="s">
        <v>63</v>
      </c>
      <c r="G2397">
        <v>-511.82119999999998</v>
      </c>
      <c r="H2397">
        <v>3.1360920000000001</v>
      </c>
      <c r="I2397">
        <v>301.30829999999997</v>
      </c>
      <c r="J2397">
        <v>-244.00069999999999</v>
      </c>
      <c r="K2397">
        <v>1.110293</v>
      </c>
      <c r="L2397">
        <v>285.42509999999999</v>
      </c>
      <c r="M2397">
        <v>-0.99988560000000004</v>
      </c>
      <c r="N2397">
        <v>-1.1056399999999999E-2</v>
      </c>
      <c r="O2397">
        <v>-1.032901E-2</v>
      </c>
      <c r="P2397">
        <v>-0.9858171</v>
      </c>
      <c r="Q2397">
        <v>0.131688</v>
      </c>
      <c r="R2397">
        <v>-0.10403320000000001</v>
      </c>
      <c r="S2397">
        <v>-3.0593569999999999</v>
      </c>
      <c r="T2397">
        <v>2.312088E-2</v>
      </c>
      <c r="U2397">
        <v>0.18124390000000001</v>
      </c>
      <c r="V2397">
        <v>-9.3756580000000006E-2</v>
      </c>
      <c r="W2397">
        <v>0.14264849999999901</v>
      </c>
      <c r="X2397">
        <v>0.98532280000000005</v>
      </c>
      <c r="Y2397">
        <v>6.9446350000000004E-2</v>
      </c>
      <c r="Z2397" s="1">
        <v>-7.0015729999999997E-5</v>
      </c>
      <c r="AA2397">
        <v>0.99758570000000002</v>
      </c>
      <c r="AB2397">
        <v>29</v>
      </c>
      <c r="AC2397">
        <v>-267.82049999999998</v>
      </c>
      <c r="AD2397">
        <v>2.0257990000000001</v>
      </c>
      <c r="AE2397">
        <v>15.883199999999899</v>
      </c>
      <c r="AF2397">
        <v>18.647778935420199</v>
      </c>
      <c r="AG2397">
        <v>2.0257990000000001</v>
      </c>
      <c r="AH2397">
        <v>267.62688501338198</v>
      </c>
      <c r="AI2397">
        <v>89.567357400838802</v>
      </c>
      <c r="AJ2397">
        <v>86.014171231844202</v>
      </c>
      <c r="AK2397">
        <v>268.283419358667</v>
      </c>
      <c r="AL2397">
        <v>81.798866985104496</v>
      </c>
      <c r="AM2397">
        <v>95.4355094178255</v>
      </c>
      <c r="AN2397">
        <v>0.99999995552269205</v>
      </c>
    </row>
    <row r="2398" spans="1:40" x14ac:dyDescent="0.25">
      <c r="A2398" t="str">
        <f>"20190304154807799"</f>
        <v>20190304154807799</v>
      </c>
      <c r="B2398" t="str">
        <f>"1551685687788842"</f>
        <v>1551685687788842</v>
      </c>
      <c r="C2398" t="s">
        <v>40</v>
      </c>
      <c r="D2398">
        <v>4.1115579999999996</v>
      </c>
      <c r="E2398">
        <v>0.56016140000000003</v>
      </c>
      <c r="F2398" t="s">
        <v>63</v>
      </c>
      <c r="G2398">
        <v>-511.8211</v>
      </c>
      <c r="H2398">
        <v>2.9651860000000001</v>
      </c>
      <c r="I2398">
        <v>301.26179999999999</v>
      </c>
      <c r="J2398">
        <v>-244.27789999999999</v>
      </c>
      <c r="K2398">
        <v>1.1102810000000001</v>
      </c>
      <c r="L2398">
        <v>285.42259999999999</v>
      </c>
      <c r="M2398">
        <v>-0.99988860000000002</v>
      </c>
      <c r="N2398">
        <v>-1.105954E-2</v>
      </c>
      <c r="O2398">
        <v>-1.002284E-2</v>
      </c>
      <c r="P2398">
        <v>-0.98580950000000001</v>
      </c>
      <c r="Q2398">
        <v>0.13170179999999901</v>
      </c>
      <c r="R2398">
        <v>-0.1040885</v>
      </c>
      <c r="S2398">
        <v>-3.059402</v>
      </c>
      <c r="T2398">
        <v>2.1190049999999998E-2</v>
      </c>
      <c r="U2398">
        <v>0.18090819999999999</v>
      </c>
      <c r="V2398">
        <v>-9.4112489999999993E-2</v>
      </c>
      <c r="W2398">
        <v>0.1426665</v>
      </c>
      <c r="X2398">
        <v>0.98528629999999995</v>
      </c>
      <c r="Y2398">
        <v>6.9031149999999999E-2</v>
      </c>
      <c r="Z2398" s="1">
        <v>-3.688951E-5</v>
      </c>
      <c r="AA2398">
        <v>0.99761449999999996</v>
      </c>
      <c r="AB2398">
        <v>29</v>
      </c>
      <c r="AC2398">
        <v>-267.54320000000001</v>
      </c>
      <c r="AD2398">
        <v>1.854905</v>
      </c>
      <c r="AE2398">
        <v>15.8392</v>
      </c>
      <c r="AF2398">
        <v>18.519223947705498</v>
      </c>
      <c r="AG2398">
        <v>1.854905</v>
      </c>
      <c r="AH2398">
        <v>267.35818973154699</v>
      </c>
      <c r="AI2398">
        <v>89.603444022564105</v>
      </c>
      <c r="AJ2398">
        <v>86.037595712945702</v>
      </c>
      <c r="AK2398">
        <v>268.00523118908399</v>
      </c>
      <c r="AL2398">
        <v>81.7978253048651</v>
      </c>
      <c r="AM2398">
        <v>95.456219814104898</v>
      </c>
      <c r="AN2398">
        <v>0.99999999198196998</v>
      </c>
    </row>
    <row r="2399" spans="1:40" x14ac:dyDescent="0.25">
      <c r="A2399" t="str">
        <f>"20190304154807822"</f>
        <v>20190304154807822</v>
      </c>
      <c r="B2399" t="str">
        <f>"1551685687819095"</f>
        <v>1551685687819095</v>
      </c>
      <c r="C2399" t="s">
        <v>40</v>
      </c>
      <c r="D2399">
        <v>4.1059390000000002</v>
      </c>
      <c r="E2399">
        <v>0.56018199999999996</v>
      </c>
      <c r="F2399" t="s">
        <v>63</v>
      </c>
      <c r="G2399">
        <v>-511.8211</v>
      </c>
      <c r="H2399">
        <v>2.904706</v>
      </c>
      <c r="I2399">
        <v>301.11489999999998</v>
      </c>
      <c r="J2399">
        <v>-244.56909999999999</v>
      </c>
      <c r="K2399">
        <v>1.110271</v>
      </c>
      <c r="L2399">
        <v>285.42</v>
      </c>
      <c r="M2399">
        <v>-0.99989189999999994</v>
      </c>
      <c r="N2399">
        <v>-1.106293E-2</v>
      </c>
      <c r="O2399">
        <v>-9.6896840000000005E-3</v>
      </c>
      <c r="P2399">
        <v>-0.98580630000000002</v>
      </c>
      <c r="Q2399">
        <v>0.13206389999999901</v>
      </c>
      <c r="R2399">
        <v>-0.1036588</v>
      </c>
      <c r="S2399">
        <v>-3.0593870000000001</v>
      </c>
      <c r="T2399">
        <v>2.0520449999999999E-2</v>
      </c>
      <c r="U2399">
        <v>0.1794434</v>
      </c>
      <c r="V2399">
        <v>-9.4008789999999995E-2</v>
      </c>
      <c r="W2399">
        <v>0.14303370000000001</v>
      </c>
      <c r="X2399">
        <v>0.98524299999999998</v>
      </c>
      <c r="Y2399">
        <v>6.8223110000000003E-2</v>
      </c>
      <c r="Z2399" s="1">
        <v>-2.2931140000000001E-5</v>
      </c>
      <c r="AA2399">
        <v>0.9976701</v>
      </c>
      <c r="AB2399">
        <v>29</v>
      </c>
      <c r="AC2399">
        <v>-267.25200000000001</v>
      </c>
      <c r="AD2399">
        <v>1.79443499999999</v>
      </c>
      <c r="AE2399">
        <v>15.694899999999899</v>
      </c>
      <c r="AF2399">
        <v>18.2830874648666</v>
      </c>
      <c r="AG2399">
        <v>1.79443499999999</v>
      </c>
      <c r="AH2399">
        <v>267.07536491185903</v>
      </c>
      <c r="AI2399">
        <v>89.615943795382293</v>
      </c>
      <c r="AJ2399">
        <v>86.083832137585802</v>
      </c>
      <c r="AK2399">
        <v>267.70644711515598</v>
      </c>
      <c r="AL2399">
        <v>81.776568608370596</v>
      </c>
      <c r="AM2399">
        <v>95.450482063146595</v>
      </c>
      <c r="AN2399">
        <v>1.00000003049097</v>
      </c>
    </row>
    <row r="2400" spans="1:40" x14ac:dyDescent="0.25">
      <c r="A2400" t="str">
        <f>"20190304154807835"</f>
        <v>20190304154807835</v>
      </c>
      <c r="B2400" t="str">
        <f>"1551685687828855"</f>
        <v>1551685687828855</v>
      </c>
      <c r="C2400" t="s">
        <v>40</v>
      </c>
      <c r="D2400">
        <v>4.136889</v>
      </c>
      <c r="E2400">
        <v>0.560187199999999</v>
      </c>
      <c r="F2400" t="s">
        <v>63</v>
      </c>
      <c r="G2400">
        <v>-511.82119999999998</v>
      </c>
      <c r="H2400">
        <v>3.050608</v>
      </c>
      <c r="I2400">
        <v>301.21859999999998</v>
      </c>
      <c r="J2400">
        <v>-244.73660000000001</v>
      </c>
      <c r="K2400">
        <v>1.1102700000000001</v>
      </c>
      <c r="L2400">
        <v>285.41860000000003</v>
      </c>
      <c r="M2400">
        <v>-0.99989380000000005</v>
      </c>
      <c r="N2400">
        <v>-1.1064910000000001E-2</v>
      </c>
      <c r="O2400">
        <v>-9.4916110000000005E-3</v>
      </c>
      <c r="P2400">
        <v>-0.98579450000000002</v>
      </c>
      <c r="Q2400">
        <v>0.1321957</v>
      </c>
      <c r="R2400">
        <v>-0.103605</v>
      </c>
      <c r="S2400">
        <v>-3.05925</v>
      </c>
      <c r="T2400">
        <v>2.221215E-2</v>
      </c>
      <c r="U2400">
        <v>0.18084720000000001</v>
      </c>
      <c r="V2400">
        <v>-9.4147869999999995E-2</v>
      </c>
      <c r="W2400">
        <v>0.14316860000000001</v>
      </c>
      <c r="X2400">
        <v>0.98521009999999998</v>
      </c>
      <c r="Y2400">
        <v>6.8484199999999995E-2</v>
      </c>
      <c r="Z2400" s="1">
        <v>-4.2958589999999998E-5</v>
      </c>
      <c r="AA2400">
        <v>0.99765219999999999</v>
      </c>
      <c r="AB2400">
        <v>29</v>
      </c>
      <c r="AC2400">
        <v>-267.08460000000002</v>
      </c>
      <c r="AD2400">
        <v>1.9403379999999999</v>
      </c>
      <c r="AE2400">
        <v>15.799999999999899</v>
      </c>
      <c r="AF2400">
        <v>18.3335420961929</v>
      </c>
      <c r="AG2400">
        <v>1.9403379999999999</v>
      </c>
      <c r="AH2400">
        <v>266.90855280836701</v>
      </c>
      <c r="AI2400">
        <v>89.584464816113396</v>
      </c>
      <c r="AJ2400">
        <v>86.070612145442396</v>
      </c>
      <c r="AK2400">
        <v>267.54449955027002</v>
      </c>
      <c r="AL2400">
        <v>81.768758823508605</v>
      </c>
      <c r="AM2400">
        <v>95.458678215682198</v>
      </c>
      <c r="AN2400">
        <v>1.0000000052967499</v>
      </c>
    </row>
    <row r="2401" spans="1:40" x14ac:dyDescent="0.25">
      <c r="A2401" t="str">
        <f>"20190304154807849"</f>
        <v>20190304154807849</v>
      </c>
      <c r="B2401" t="str">
        <f>"1551685687839591"</f>
        <v>1551685687839591</v>
      </c>
      <c r="C2401" t="s">
        <v>40</v>
      </c>
      <c r="D2401">
        <v>4.119624</v>
      </c>
      <c r="E2401">
        <v>0.56016730000000003</v>
      </c>
      <c r="F2401" t="s">
        <v>63</v>
      </c>
      <c r="G2401">
        <v>-511.82119999999998</v>
      </c>
      <c r="H2401">
        <v>3.0816560000000002</v>
      </c>
      <c r="I2401">
        <v>301.2525</v>
      </c>
      <c r="J2401">
        <v>-244.91419999999999</v>
      </c>
      <c r="K2401">
        <v>1.1102639999999999</v>
      </c>
      <c r="L2401">
        <v>285.41719999999998</v>
      </c>
      <c r="M2401">
        <v>-0.9998958</v>
      </c>
      <c r="N2401">
        <v>-1.106706E-2</v>
      </c>
      <c r="O2401">
        <v>-9.2742060000000001E-3</v>
      </c>
      <c r="P2401">
        <v>-0.98579629999999996</v>
      </c>
      <c r="Q2401">
        <v>0.13238800000000001</v>
      </c>
      <c r="R2401">
        <v>-0.10334069999999999</v>
      </c>
      <c r="S2401">
        <v>-3.0592649999999999</v>
      </c>
      <c r="T2401">
        <v>2.2581819999999999E-2</v>
      </c>
      <c r="U2401">
        <v>0.181366</v>
      </c>
      <c r="V2401">
        <v>-9.409489E-2</v>
      </c>
      <c r="W2401">
        <v>0.14336450000000001</v>
      </c>
      <c r="X2401">
        <v>0.98518669999999997</v>
      </c>
      <c r="Y2401">
        <v>6.8435590000000004E-2</v>
      </c>
      <c r="Z2401" s="1">
        <v>-4.426233E-5</v>
      </c>
      <c r="AA2401">
        <v>0.99765550000000003</v>
      </c>
      <c r="AB2401">
        <v>29</v>
      </c>
      <c r="AC2401">
        <v>-266.90699999999998</v>
      </c>
      <c r="AD2401">
        <v>1.971392</v>
      </c>
      <c r="AE2401">
        <v>15.8353</v>
      </c>
      <c r="AF2401">
        <v>18.309125545804498</v>
      </c>
      <c r="AG2401">
        <v>1.971392</v>
      </c>
      <c r="AH2401">
        <v>266.73415071523601</v>
      </c>
      <c r="AI2401">
        <v>89.577537273100603</v>
      </c>
      <c r="AJ2401">
        <v>86.073271165130805</v>
      </c>
      <c r="AK2401">
        <v>267.36906631554803</v>
      </c>
      <c r="AL2401">
        <v>81.757417799220406</v>
      </c>
      <c r="AM2401">
        <v>95.455753781701901</v>
      </c>
      <c r="AN2401">
        <v>1.0000000310206201</v>
      </c>
    </row>
    <row r="2402" spans="1:40" x14ac:dyDescent="0.25">
      <c r="A2402" t="str">
        <f>"20190304154807868"</f>
        <v>20190304154807868</v>
      </c>
      <c r="B2402" t="str">
        <f>"1551685687859617"</f>
        <v>1551685687859617</v>
      </c>
      <c r="C2402" t="s">
        <v>40</v>
      </c>
      <c r="D2402">
        <v>4.1245719999999997</v>
      </c>
      <c r="E2402">
        <v>0.56018639999999997</v>
      </c>
      <c r="F2402" t="s">
        <v>63</v>
      </c>
      <c r="G2402">
        <v>-511.82119999999998</v>
      </c>
      <c r="H2402">
        <v>3.1475559999999998</v>
      </c>
      <c r="I2402">
        <v>301.31009999999998</v>
      </c>
      <c r="J2402">
        <v>-245.1532</v>
      </c>
      <c r="K2402">
        <v>1.1102510000000001</v>
      </c>
      <c r="L2402">
        <v>285.4153</v>
      </c>
      <c r="M2402">
        <v>-0.99989859999999997</v>
      </c>
      <c r="N2402">
        <v>-1.107E-2</v>
      </c>
      <c r="O2402">
        <v>-8.9668590000000006E-3</v>
      </c>
      <c r="P2402">
        <v>-0.98577820000000005</v>
      </c>
      <c r="Q2402">
        <v>0.13280449999999999</v>
      </c>
      <c r="R2402">
        <v>-0.102979</v>
      </c>
      <c r="S2402">
        <v>-3.0591889999999999</v>
      </c>
      <c r="T2402">
        <v>2.3351670000000001E-2</v>
      </c>
      <c r="U2402">
        <v>0.1821594</v>
      </c>
      <c r="V2402">
        <v>-9.4031779999999995E-2</v>
      </c>
      <c r="W2402">
        <v>0.14378640000000001</v>
      </c>
      <c r="X2402">
        <v>0.98513119999999998</v>
      </c>
      <c r="Y2402">
        <v>6.8388229999999994E-2</v>
      </c>
      <c r="Z2402" s="1">
        <v>-4.946411E-5</v>
      </c>
      <c r="AA2402">
        <v>0.99765879999999996</v>
      </c>
      <c r="AB2402">
        <v>29</v>
      </c>
      <c r="AC2402">
        <v>-266.66800000000001</v>
      </c>
      <c r="AD2402">
        <v>2.0373049999999999</v>
      </c>
      <c r="AE2402">
        <v>15.894799999999901</v>
      </c>
      <c r="AF2402">
        <v>18.284418157439301</v>
      </c>
      <c r="AG2402">
        <v>2.0373049999999999</v>
      </c>
      <c r="AH2402">
        <v>266.49924285916802</v>
      </c>
      <c r="AI2402">
        <v>89.563027095602607</v>
      </c>
      <c r="AJ2402">
        <v>86.0751077843084</v>
      </c>
      <c r="AK2402">
        <v>267.13351905653599</v>
      </c>
      <c r="AL2402">
        <v>81.732991322297096</v>
      </c>
      <c r="AM2402">
        <v>95.452421940483802</v>
      </c>
      <c r="AN2402">
        <v>0.99999999284418395</v>
      </c>
    </row>
    <row r="2403" spans="1:40" x14ac:dyDescent="0.25">
      <c r="A2403" t="str">
        <f>"20190304154807889"</f>
        <v>20190304154807889</v>
      </c>
      <c r="B2403" t="str">
        <f>"1551685687879137"</f>
        <v>1551685687879137</v>
      </c>
      <c r="C2403" t="s">
        <v>40</v>
      </c>
      <c r="D2403">
        <v>4.2886870000000004</v>
      </c>
      <c r="E2403">
        <v>0.55927309999999997</v>
      </c>
      <c r="F2403" t="s">
        <v>63</v>
      </c>
      <c r="G2403">
        <v>-511.82119999999998</v>
      </c>
      <c r="H2403">
        <v>3.2677900000000002</v>
      </c>
      <c r="I2403">
        <v>301.3956</v>
      </c>
      <c r="J2403">
        <v>-245.44110000000001</v>
      </c>
      <c r="K2403">
        <v>1.1102339999999999</v>
      </c>
      <c r="L2403">
        <v>285.41309999999999</v>
      </c>
      <c r="M2403">
        <v>-0.99990210000000002</v>
      </c>
      <c r="N2403">
        <v>-1.107356E-2</v>
      </c>
      <c r="O2403">
        <v>-8.5726610000000005E-3</v>
      </c>
      <c r="P2403">
        <v>-0.98581209999999997</v>
      </c>
      <c r="Q2403">
        <v>0.13296939999999999</v>
      </c>
      <c r="R2403">
        <v>-0.1024398</v>
      </c>
      <c r="S2403">
        <v>-3.059097</v>
      </c>
      <c r="T2403">
        <v>2.4751309999999999E-2</v>
      </c>
      <c r="U2403">
        <v>0.18331910000000001</v>
      </c>
      <c r="V2403">
        <v>-9.3874860000000004E-2</v>
      </c>
      <c r="W2403">
        <v>0.14395859999999999</v>
      </c>
      <c r="X2403">
        <v>0.98512100000000002</v>
      </c>
      <c r="Y2403">
        <v>6.8373459999999997E-2</v>
      </c>
      <c r="Z2403" s="1">
        <v>-6.1577939999999995E-5</v>
      </c>
      <c r="AA2403">
        <v>0.99765979999999999</v>
      </c>
      <c r="AB2403">
        <v>29</v>
      </c>
      <c r="AC2403">
        <v>-266.38010000000003</v>
      </c>
      <c r="AD2403">
        <v>2.157556</v>
      </c>
      <c r="AE2403">
        <v>15.9825</v>
      </c>
      <c r="AF2403">
        <v>18.2644446887786</v>
      </c>
      <c r="AG2403">
        <v>2.157556</v>
      </c>
      <c r="AH2403">
        <v>266.21588769167602</v>
      </c>
      <c r="AI2403">
        <v>89.536743460259899</v>
      </c>
      <c r="AJ2403">
        <v>86.075221868929901</v>
      </c>
      <c r="AK2403">
        <v>266.85041474044903</v>
      </c>
      <c r="AL2403">
        <v>81.723021124466399</v>
      </c>
      <c r="AM2403">
        <v>95.443433672530006</v>
      </c>
      <c r="AN2403">
        <v>0.99999997624748904</v>
      </c>
    </row>
    <row r="2404" spans="1:40" x14ac:dyDescent="0.25">
      <c r="A2404" t="str">
        <f>"20190304154807903"</f>
        <v>20190304154807903</v>
      </c>
      <c r="B2404" t="str">
        <f>"1551685687899634"</f>
        <v>1551685687899634</v>
      </c>
      <c r="C2404" t="s">
        <v>40</v>
      </c>
      <c r="D2404">
        <v>4.2724529999999996</v>
      </c>
      <c r="E2404">
        <v>0.53417060000000005</v>
      </c>
      <c r="F2404" t="s">
        <v>63</v>
      </c>
      <c r="G2404">
        <v>-511.8211</v>
      </c>
      <c r="H2404">
        <v>2.8583729999999998</v>
      </c>
      <c r="I2404">
        <v>300.90660000000003</v>
      </c>
      <c r="J2404">
        <v>-245.60339999999999</v>
      </c>
      <c r="K2404">
        <v>1.1102209999999999</v>
      </c>
      <c r="L2404">
        <v>285.41199999999998</v>
      </c>
      <c r="M2404">
        <v>-0.99990389999999996</v>
      </c>
      <c r="N2404">
        <v>-1.107552E-2</v>
      </c>
      <c r="O2404">
        <v>-8.3356550000000008E-3</v>
      </c>
      <c r="P2404">
        <v>-0.98590029999999995</v>
      </c>
      <c r="Q2404">
        <v>0.13256889999999999</v>
      </c>
      <c r="R2404">
        <v>-0.1021083</v>
      </c>
      <c r="S2404">
        <v>-3.058945</v>
      </c>
      <c r="T2404">
        <v>2.0075559999999999E-2</v>
      </c>
      <c r="U2404">
        <v>0.17791750000000001</v>
      </c>
      <c r="V2404">
        <v>-9.3772250000000001E-2</v>
      </c>
      <c r="W2404">
        <v>0.14356360000000001</v>
      </c>
      <c r="X2404">
        <v>0.98518839999999996</v>
      </c>
      <c r="Y2404">
        <v>6.6384670000000007E-2</v>
      </c>
      <c r="Z2404" s="1">
        <v>3.3880349999999999E-6</v>
      </c>
      <c r="AA2404">
        <v>0.99779410000000002</v>
      </c>
      <c r="AB2404">
        <v>29</v>
      </c>
      <c r="AC2404">
        <v>-266.21769999999998</v>
      </c>
      <c r="AD2404">
        <v>1.7481519999999999</v>
      </c>
      <c r="AE2404">
        <v>15.494599999999901</v>
      </c>
      <c r="AF2404">
        <v>17.712535486525798</v>
      </c>
      <c r="AG2404">
        <v>1.7481519999999999</v>
      </c>
      <c r="AH2404">
        <v>266.06785005376901</v>
      </c>
      <c r="AI2404">
        <v>89.624384952214896</v>
      </c>
      <c r="AJ2404">
        <v>86.191353805896597</v>
      </c>
      <c r="AK2404">
        <v>266.662503515232</v>
      </c>
      <c r="AL2404">
        <v>81.745890403931995</v>
      </c>
      <c r="AM2404">
        <v>95.437149633659104</v>
      </c>
      <c r="AN2404">
        <v>0.99999996280478998</v>
      </c>
    </row>
    <row r="2405" spans="1:40" x14ac:dyDescent="0.25">
      <c r="A2405" t="str">
        <f>"20190304154807922"</f>
        <v>20190304154807922</v>
      </c>
      <c r="B2405" t="str">
        <f>"1551685687919155"</f>
        <v>1551685687919155</v>
      </c>
      <c r="C2405" t="s">
        <v>40</v>
      </c>
      <c r="D2405">
        <v>4.1326179999999999</v>
      </c>
      <c r="E2405">
        <v>0.54223469999999996</v>
      </c>
      <c r="F2405" t="s">
        <v>61</v>
      </c>
      <c r="G2405">
        <v>-289.95359999999999</v>
      </c>
      <c r="H2405" s="1">
        <v>3.8737270000000004E-6</v>
      </c>
      <c r="I2405">
        <v>285.17070000000001</v>
      </c>
      <c r="J2405">
        <v>-245.85310000000001</v>
      </c>
      <c r="K2405">
        <v>1.1102030000000001</v>
      </c>
      <c r="L2405">
        <v>285.41030000000001</v>
      </c>
      <c r="M2405">
        <v>-0.99990710000000005</v>
      </c>
      <c r="N2405">
        <v>-1.1078589999999999E-2</v>
      </c>
      <c r="O2405">
        <v>-7.9565920000000002E-3</v>
      </c>
      <c r="P2405">
        <v>-0.98586759999999996</v>
      </c>
      <c r="Q2405">
        <v>0.13306970000000001</v>
      </c>
      <c r="R2405">
        <v>-0.10177609999999999</v>
      </c>
      <c r="S2405">
        <v>-3.051453</v>
      </c>
      <c r="T2405">
        <v>-7.6386930000000006E-2</v>
      </c>
      <c r="U2405">
        <v>-1.6601560000000001E-2</v>
      </c>
      <c r="V2405">
        <v>-9.3807070000000006E-2</v>
      </c>
      <c r="W2405">
        <v>0.14407139999999999</v>
      </c>
      <c r="X2405">
        <v>0.98511099999999996</v>
      </c>
      <c r="Y2405">
        <v>2.51476E-3</v>
      </c>
      <c r="Z2405">
        <v>1.56403E-4</v>
      </c>
      <c r="AA2405">
        <v>0.99999680000000002</v>
      </c>
      <c r="AB2405">
        <v>29</v>
      </c>
      <c r="AC2405">
        <v>-44.100499999999897</v>
      </c>
      <c r="AD2405">
        <v>-1.110199126273</v>
      </c>
      <c r="AE2405">
        <v>-0.23959999999999501</v>
      </c>
      <c r="AF2405">
        <v>0.111248260950256</v>
      </c>
      <c r="AG2405">
        <v>-1.110199126273</v>
      </c>
      <c r="AH2405">
        <v>44.073080098174202</v>
      </c>
      <c r="AI2405">
        <v>91.442968647508707</v>
      </c>
      <c r="AJ2405">
        <v>89.855375610710496</v>
      </c>
      <c r="AK2405">
        <v>44.087201176935899</v>
      </c>
      <c r="AL2405">
        <v>81.716490346554394</v>
      </c>
      <c r="AM2405">
        <v>95.439581269053093</v>
      </c>
      <c r="AN2405">
        <v>1.0000000085004701</v>
      </c>
    </row>
    <row r="2406" spans="1:40" x14ac:dyDescent="0.25">
      <c r="A2406" t="str">
        <f>"20190304154807935"</f>
        <v>20190304154807935</v>
      </c>
      <c r="B2406" t="str">
        <f>"1551685687928914"</f>
        <v>1551685687928914</v>
      </c>
      <c r="C2406" t="s">
        <v>40</v>
      </c>
      <c r="D2406">
        <v>4.125826</v>
      </c>
      <c r="E2406">
        <v>0.54387249999999998</v>
      </c>
      <c r="F2406" t="s">
        <v>61</v>
      </c>
      <c r="G2406">
        <v>-439.67759999999998</v>
      </c>
      <c r="H2406" s="1">
        <v>6.1841800000000003E-6</v>
      </c>
      <c r="I2406">
        <v>288.327</v>
      </c>
      <c r="J2406">
        <v>-246.02680000000001</v>
      </c>
      <c r="K2406">
        <v>1.1101920000000001</v>
      </c>
      <c r="L2406">
        <v>285.4092</v>
      </c>
      <c r="M2406">
        <v>-0.99990919999999905</v>
      </c>
      <c r="N2406">
        <v>-1.108076E-2</v>
      </c>
      <c r="O2406">
        <v>-7.6815529999999998E-3</v>
      </c>
      <c r="P2406">
        <v>-0.98588500000000001</v>
      </c>
      <c r="Q2406">
        <v>0.13309869999999999</v>
      </c>
      <c r="R2406">
        <v>-0.1015655</v>
      </c>
      <c r="S2406">
        <v>-3.0500949999999998</v>
      </c>
      <c r="T2406">
        <v>-1.747048E-2</v>
      </c>
      <c r="U2406">
        <v>4.5898439999999999E-2</v>
      </c>
      <c r="V2406">
        <v>-9.3863409999999994E-2</v>
      </c>
      <c r="W2406">
        <v>0.14410529999999999</v>
      </c>
      <c r="X2406">
        <v>0.98510070000000005</v>
      </c>
      <c r="Y2406">
        <v>2.2726010000000001E-2</v>
      </c>
      <c r="Z2406">
        <v>1.49887E-4</v>
      </c>
      <c r="AA2406">
        <v>0.99974169999999996</v>
      </c>
      <c r="AB2406">
        <v>29</v>
      </c>
      <c r="AC2406">
        <v>-193.6508</v>
      </c>
      <c r="AD2406">
        <v>-1.11018581582</v>
      </c>
      <c r="AE2406">
        <v>2.9178000000000002</v>
      </c>
      <c r="AF2406">
        <v>4.4051992209872104</v>
      </c>
      <c r="AG2406">
        <v>-1.11018581582</v>
      </c>
      <c r="AH2406">
        <v>193.61630926578499</v>
      </c>
      <c r="AI2406">
        <v>90.328442411616706</v>
      </c>
      <c r="AJ2406">
        <v>88.6966191786818</v>
      </c>
      <c r="AK2406">
        <v>193.66959881826099</v>
      </c>
      <c r="AL2406">
        <v>81.7145277433346</v>
      </c>
      <c r="AM2406">
        <v>95.442885205216399</v>
      </c>
      <c r="AN2406">
        <v>1.0000000331826999</v>
      </c>
    </row>
    <row r="2407" spans="1:40" x14ac:dyDescent="0.25">
      <c r="A2407" t="str">
        <f>"20190304154807948"</f>
        <v>20190304154807948</v>
      </c>
      <c r="B2407" t="str">
        <f>"1551685687939649"</f>
        <v>1551685687939649</v>
      </c>
      <c r="C2407" t="s">
        <v>40</v>
      </c>
      <c r="D2407">
        <v>4.0957889999999999</v>
      </c>
      <c r="E2407">
        <v>0.54502720000000004</v>
      </c>
      <c r="F2407" t="s">
        <v>42</v>
      </c>
      <c r="G2407">
        <v>0</v>
      </c>
      <c r="H2407">
        <v>0</v>
      </c>
      <c r="I2407">
        <v>0</v>
      </c>
      <c r="J2407">
        <v>-246.1936</v>
      </c>
      <c r="K2407">
        <v>1.1101799999999999</v>
      </c>
      <c r="L2407">
        <v>285.40820000000002</v>
      </c>
      <c r="M2407">
        <v>-0.9999112</v>
      </c>
      <c r="N2407">
        <v>-1.108287E-2</v>
      </c>
      <c r="O2407">
        <v>-7.4089159999999998E-3</v>
      </c>
      <c r="P2407">
        <v>-0.98588819999999999</v>
      </c>
      <c r="Q2407">
        <v>0.13331670000000001</v>
      </c>
      <c r="R2407">
        <v>-0.10124850000000001</v>
      </c>
      <c r="S2407">
        <v>-3.049728</v>
      </c>
      <c r="T2407">
        <v>-5.1591400000000004E-3</v>
      </c>
      <c r="U2407">
        <v>5.8959959999999999E-2</v>
      </c>
      <c r="V2407">
        <v>-9.3811019999999995E-2</v>
      </c>
      <c r="W2407">
        <v>0.1443276</v>
      </c>
      <c r="X2407">
        <v>0.98507310000000003</v>
      </c>
      <c r="Y2407">
        <v>2.6736090000000001E-2</v>
      </c>
      <c r="Z2407">
        <v>1.012138E-4</v>
      </c>
      <c r="AA2407">
        <v>0.99964260000000005</v>
      </c>
      <c r="AB2407">
        <v>29</v>
      </c>
      <c r="AC2407">
        <v>-3.049728</v>
      </c>
      <c r="AD2407">
        <v>-5.1591400000000004E-3</v>
      </c>
      <c r="AE2407">
        <v>5.8959959999999999E-2</v>
      </c>
      <c r="AF2407">
        <v>8.1554673178318396E-2</v>
      </c>
      <c r="AG2407">
        <v>-5.1591400000000004E-3</v>
      </c>
      <c r="AH2407">
        <v>3.0491987066977599</v>
      </c>
      <c r="AI2407">
        <v>90.096907752415405</v>
      </c>
      <c r="AJ2407">
        <v>88.467917224861793</v>
      </c>
      <c r="AK2407">
        <v>3.05029351610137</v>
      </c>
      <c r="AL2407">
        <v>81.701655958565297</v>
      </c>
      <c r="AM2407">
        <v>95.440016980700506</v>
      </c>
      <c r="AN2407">
        <v>0.99999998796940504</v>
      </c>
    </row>
    <row r="2408" spans="1:40" x14ac:dyDescent="0.25">
      <c r="A2408" t="str">
        <f>"20190304154807967"</f>
        <v>20190304154807967</v>
      </c>
      <c r="B2408" t="str">
        <f>"1551685687959169"</f>
        <v>1551685687959169</v>
      </c>
      <c r="C2408" t="s">
        <v>40</v>
      </c>
      <c r="D2408">
        <v>4.1083930000000004</v>
      </c>
      <c r="E2408">
        <v>0.54627309999999996</v>
      </c>
      <c r="F2408" t="s">
        <v>42</v>
      </c>
      <c r="G2408">
        <v>0</v>
      </c>
      <c r="H2408">
        <v>0</v>
      </c>
      <c r="I2408">
        <v>0</v>
      </c>
      <c r="J2408">
        <v>-246.43799999999999</v>
      </c>
      <c r="K2408">
        <v>1.1101650000000001</v>
      </c>
      <c r="L2408">
        <v>285.40679999999998</v>
      </c>
      <c r="M2408">
        <v>-0.99991430000000003</v>
      </c>
      <c r="N2408">
        <v>-1.1085970000000001E-2</v>
      </c>
      <c r="O2408">
        <v>-6.9948600000000003E-3</v>
      </c>
      <c r="P2408">
        <v>-0.98588620000000005</v>
      </c>
      <c r="Q2408">
        <v>0.133608</v>
      </c>
      <c r="R2408">
        <v>-0.100886</v>
      </c>
      <c r="S2408">
        <v>-3.049515</v>
      </c>
      <c r="T2408">
        <v>3.228903E-3</v>
      </c>
      <c r="U2408">
        <v>6.8481449999999999E-2</v>
      </c>
      <c r="V2408">
        <v>-9.3851539999999997E-2</v>
      </c>
      <c r="W2408">
        <v>0.144624799999999</v>
      </c>
      <c r="X2408">
        <v>0.98502559999999995</v>
      </c>
      <c r="Y2408">
        <v>2.9443469999999999E-2</v>
      </c>
      <c r="Z2408" s="1">
        <v>6.2702409999999999E-5</v>
      </c>
      <c r="AA2408">
        <v>0.99956639999999997</v>
      </c>
      <c r="AB2408">
        <v>29</v>
      </c>
      <c r="AC2408">
        <v>-3.049515</v>
      </c>
      <c r="AD2408">
        <v>3.228903E-3</v>
      </c>
      <c r="AE2408">
        <v>6.8481449999999999E-2</v>
      </c>
      <c r="AF2408">
        <v>8.9811910558207503E-2</v>
      </c>
      <c r="AG2408">
        <v>3.228903E-3</v>
      </c>
      <c r="AH2408">
        <v>3.0489579225280901</v>
      </c>
      <c r="AI2408">
        <v>89.939349036724593</v>
      </c>
      <c r="AJ2408">
        <v>88.3127494716706</v>
      </c>
      <c r="AK2408">
        <v>3.05028212112249</v>
      </c>
      <c r="AL2408">
        <v>81.684446687721106</v>
      </c>
      <c r="AM2408">
        <v>95.442613459887994</v>
      </c>
      <c r="AN2408">
        <v>0.99999993849538305</v>
      </c>
    </row>
    <row r="2409" spans="1:40" x14ac:dyDescent="0.25">
      <c r="A2409" t="str">
        <f>"20190304154807980"</f>
        <v>20190304154807980</v>
      </c>
      <c r="B2409" t="str">
        <f>"1551685687968930"</f>
        <v>1551685687968930</v>
      </c>
      <c r="C2409" t="s">
        <v>40</v>
      </c>
      <c r="D2409">
        <v>4.111815</v>
      </c>
      <c r="E2409">
        <v>0.54660520000000001</v>
      </c>
      <c r="F2409" t="s">
        <v>42</v>
      </c>
      <c r="G2409">
        <v>0</v>
      </c>
      <c r="H2409">
        <v>0</v>
      </c>
      <c r="I2409">
        <v>0</v>
      </c>
      <c r="J2409">
        <v>-246.607</v>
      </c>
      <c r="K2409">
        <v>1.1101589999999999</v>
      </c>
      <c r="L2409">
        <v>285.40600000000001</v>
      </c>
      <c r="M2409">
        <v>-0.99991620000000003</v>
      </c>
      <c r="N2409">
        <v>-1.108811E-2</v>
      </c>
      <c r="O2409">
        <v>-6.7004430000000004E-3</v>
      </c>
      <c r="P2409">
        <v>-0.98591640000000003</v>
      </c>
      <c r="Q2409">
        <v>0.1336772</v>
      </c>
      <c r="R2409">
        <v>-0.10049810000000001</v>
      </c>
      <c r="S2409">
        <v>-3.04921</v>
      </c>
      <c r="T2409">
        <v>1.342404E-2</v>
      </c>
      <c r="U2409">
        <v>7.8979489999999999E-2</v>
      </c>
      <c r="V2409">
        <v>-9.3750009999999995E-2</v>
      </c>
      <c r="W2409">
        <v>0.14469799999999999</v>
      </c>
      <c r="X2409">
        <v>0.98502460000000003</v>
      </c>
      <c r="Y2409">
        <v>3.2590649999999999E-2</v>
      </c>
      <c r="Z2409" s="1">
        <v>5.2151439999999998E-6</v>
      </c>
      <c r="AA2409">
        <v>0.99946880000000005</v>
      </c>
      <c r="AB2409">
        <v>29</v>
      </c>
      <c r="AC2409">
        <v>-3.04921</v>
      </c>
      <c r="AD2409">
        <v>1.342404E-2</v>
      </c>
      <c r="AE2409">
        <v>7.8979489999999999E-2</v>
      </c>
      <c r="AF2409">
        <v>9.94081027580066E-2</v>
      </c>
      <c r="AG2409">
        <v>1.342404E-2</v>
      </c>
      <c r="AH2409">
        <v>3.0485532657012202</v>
      </c>
      <c r="AI2409">
        <v>89.747838657330504</v>
      </c>
      <c r="AJ2409">
        <v>88.132344494633202</v>
      </c>
      <c r="AK2409">
        <v>3.05020313906491</v>
      </c>
      <c r="AL2409">
        <v>81.6802087263993</v>
      </c>
      <c r="AM2409">
        <v>95.436766343980494</v>
      </c>
      <c r="AN2409">
        <v>1.0000000190920799</v>
      </c>
    </row>
    <row r="2410" spans="1:40" x14ac:dyDescent="0.25">
      <c r="A2410" t="str">
        <f>"20190304154807993"</f>
        <v>20190304154807993</v>
      </c>
      <c r="B2410" t="str">
        <f>"1551685687989425"</f>
        <v>1551685687989425</v>
      </c>
      <c r="C2410" t="s">
        <v>40</v>
      </c>
      <c r="D2410">
        <v>4.1139000000000001</v>
      </c>
      <c r="E2410">
        <v>0.54725659999999998</v>
      </c>
      <c r="F2410" t="s">
        <v>63</v>
      </c>
      <c r="G2410">
        <v>-551.92769999999996</v>
      </c>
      <c r="H2410">
        <v>2.655389</v>
      </c>
      <c r="I2410">
        <v>293.69319999999999</v>
      </c>
      <c r="J2410">
        <v>-246.7662</v>
      </c>
      <c r="K2410">
        <v>1.110152</v>
      </c>
      <c r="L2410">
        <v>285.40519999999998</v>
      </c>
      <c r="M2410">
        <v>-0.99991799999999997</v>
      </c>
      <c r="N2410">
        <v>-1.109012E-2</v>
      </c>
      <c r="O2410">
        <v>-6.4193929999999998E-3</v>
      </c>
      <c r="P2410">
        <v>-0.98589760000000004</v>
      </c>
      <c r="Q2410">
        <v>0.1340877</v>
      </c>
      <c r="R2410">
        <v>-0.10013320000000001</v>
      </c>
      <c r="S2410">
        <v>-3.049194</v>
      </c>
      <c r="T2410">
        <v>1.543283E-2</v>
      </c>
      <c r="U2410">
        <v>8.2763669999999998E-2</v>
      </c>
      <c r="V2410">
        <v>-9.3659720000000002E-2</v>
      </c>
      <c r="W2410">
        <v>0.14511170000000001</v>
      </c>
      <c r="X2410">
        <v>0.98497230000000002</v>
      </c>
      <c r="Y2410">
        <v>3.3549349999999999E-2</v>
      </c>
      <c r="Z2410" s="1">
        <v>-2.4764160000000001E-6</v>
      </c>
      <c r="AA2410">
        <v>0.99943700000000002</v>
      </c>
      <c r="AB2410">
        <v>29</v>
      </c>
      <c r="AC2410">
        <v>-305.16149999999902</v>
      </c>
      <c r="AD2410">
        <v>1.545237</v>
      </c>
      <c r="AE2410">
        <v>8.2880000000000091</v>
      </c>
      <c r="AF2410">
        <v>10.2466385436271</v>
      </c>
      <c r="AG2410">
        <v>1.545237</v>
      </c>
      <c r="AH2410">
        <v>305.09418724971403</v>
      </c>
      <c r="AI2410">
        <v>89.709975095665797</v>
      </c>
      <c r="AJ2410">
        <v>88.076434825019405</v>
      </c>
      <c r="AK2410">
        <v>305.27011719523699</v>
      </c>
      <c r="AL2410">
        <v>81.656252377424906</v>
      </c>
      <c r="AM2410">
        <v>95.431848240073407</v>
      </c>
      <c r="AN2410">
        <v>0.99999999019732899</v>
      </c>
    </row>
    <row r="2411" spans="1:40" x14ac:dyDescent="0.25">
      <c r="A2411" t="str">
        <f>"20190304154808009"</f>
        <v>20190304154808009</v>
      </c>
      <c r="B2411" t="str">
        <f>"1551685687999186"</f>
        <v>1551685687999186</v>
      </c>
      <c r="C2411" t="s">
        <v>40</v>
      </c>
      <c r="D2411">
        <v>4.0775990000000002</v>
      </c>
      <c r="E2411">
        <v>0.54744630000000005</v>
      </c>
      <c r="F2411" t="s">
        <v>63</v>
      </c>
      <c r="G2411">
        <v>-550.05790000000002</v>
      </c>
      <c r="H2411">
        <v>3.236958</v>
      </c>
      <c r="I2411">
        <v>294.2509</v>
      </c>
      <c r="J2411">
        <v>-246.99539999999999</v>
      </c>
      <c r="K2411">
        <v>1.110142</v>
      </c>
      <c r="L2411">
        <v>285.40410000000003</v>
      </c>
      <c r="M2411">
        <v>-0.99992060000000005</v>
      </c>
      <c r="N2411">
        <v>-1.109303E-2</v>
      </c>
      <c r="O2411">
        <v>-6.0075730000000004E-3</v>
      </c>
      <c r="P2411">
        <v>-0.98597190000000001</v>
      </c>
      <c r="Q2411">
        <v>0.13417290000000001</v>
      </c>
      <c r="R2411">
        <v>-9.9285159999999997E-2</v>
      </c>
      <c r="S2411">
        <v>-3.049042</v>
      </c>
      <c r="T2411">
        <v>2.138197E-2</v>
      </c>
      <c r="U2411">
        <v>8.8928220000000002E-2</v>
      </c>
      <c r="V2411">
        <v>-9.3214640000000001E-2</v>
      </c>
      <c r="W2411">
        <v>0.14520139999999901</v>
      </c>
      <c r="X2411">
        <v>0.98500129999999997</v>
      </c>
      <c r="Y2411">
        <v>3.515795E-2</v>
      </c>
      <c r="Z2411" s="1">
        <v>-3.69453E-5</v>
      </c>
      <c r="AA2411">
        <v>0.99938179999999999</v>
      </c>
      <c r="AB2411">
        <v>29</v>
      </c>
      <c r="AC2411">
        <v>-303.0625</v>
      </c>
      <c r="AD2411">
        <v>2.1268159999999998</v>
      </c>
      <c r="AE2411">
        <v>8.8467999999999698</v>
      </c>
      <c r="AF2411">
        <v>10.666897253197501</v>
      </c>
      <c r="AG2411">
        <v>2.1268159999999998</v>
      </c>
      <c r="AH2411">
        <v>302.98897018634</v>
      </c>
      <c r="AI2411">
        <v>89.598070728653596</v>
      </c>
      <c r="AJ2411">
        <v>87.983702575253702</v>
      </c>
      <c r="AK2411">
        <v>303.18413892861702</v>
      </c>
      <c r="AL2411">
        <v>81.6510579143564</v>
      </c>
      <c r="AM2411">
        <v>95.406030647004499</v>
      </c>
      <c r="AN2411">
        <v>0.999999988336989</v>
      </c>
    </row>
    <row r="2412" spans="1:40" x14ac:dyDescent="0.25">
      <c r="A2412" t="str">
        <f>"20190304154808024"</f>
        <v>20190304154808024</v>
      </c>
      <c r="B2412" t="str">
        <f>"1551685688019681"</f>
        <v>1551685688019681</v>
      </c>
      <c r="C2412" t="s">
        <v>40</v>
      </c>
      <c r="D2412">
        <v>4.0856279999999998</v>
      </c>
      <c r="E2412">
        <v>0.54762069999999996</v>
      </c>
      <c r="F2412" t="s">
        <v>63</v>
      </c>
      <c r="G2412">
        <v>-547.95510000000002</v>
      </c>
      <c r="H2412">
        <v>3.3975960000000001</v>
      </c>
      <c r="I2412">
        <v>294.55</v>
      </c>
      <c r="J2412">
        <v>-247.16300000000001</v>
      </c>
      <c r="K2412">
        <v>1.110136</v>
      </c>
      <c r="L2412">
        <v>285.40339999999998</v>
      </c>
      <c r="M2412">
        <v>-0.99992210000000004</v>
      </c>
      <c r="N2412">
        <v>-1.109517E-2</v>
      </c>
      <c r="O2412">
        <v>-5.7028419999999996E-3</v>
      </c>
      <c r="P2412">
        <v>-0.98600449999999995</v>
      </c>
      <c r="Q2412">
        <v>0.13444679999999901</v>
      </c>
      <c r="R2412">
        <v>-9.8586160000000006E-2</v>
      </c>
      <c r="S2412">
        <v>-3.0488430000000002</v>
      </c>
      <c r="T2412">
        <v>2.317369E-2</v>
      </c>
      <c r="U2412">
        <v>9.2651369999999997E-2</v>
      </c>
      <c r="V2412">
        <v>-9.2814400000000005E-2</v>
      </c>
      <c r="W2412">
        <v>0.14547779999999999</v>
      </c>
      <c r="X2412">
        <v>0.98499829999999999</v>
      </c>
      <c r="Y2412">
        <v>3.6074549999999997E-2</v>
      </c>
      <c r="Z2412" s="1">
        <v>-4.3481059999999997E-5</v>
      </c>
      <c r="AA2412">
        <v>0.99934909999999999</v>
      </c>
      <c r="AB2412">
        <v>29</v>
      </c>
      <c r="AC2412">
        <v>-300.7921</v>
      </c>
      <c r="AD2412">
        <v>2.2874599999999998</v>
      </c>
      <c r="AE2412">
        <v>9.1466000000000296</v>
      </c>
      <c r="AF2412">
        <v>10.8612992457965</v>
      </c>
      <c r="AG2412">
        <v>2.2874599999999998</v>
      </c>
      <c r="AH2412">
        <v>300.71766800950797</v>
      </c>
      <c r="AI2412">
        <v>89.564462307576704</v>
      </c>
      <c r="AJ2412">
        <v>87.931494275382093</v>
      </c>
      <c r="AK2412">
        <v>300.92244208040597</v>
      </c>
      <c r="AL2412">
        <v>81.635051305823197</v>
      </c>
      <c r="AM2412">
        <v>95.382971462927102</v>
      </c>
      <c r="AN2412">
        <v>0.99999997707154398</v>
      </c>
    </row>
    <row r="2413" spans="1:40" x14ac:dyDescent="0.25">
      <c r="A2413" t="str">
        <f>"20190304154808037"</f>
        <v>20190304154808037</v>
      </c>
      <c r="B2413" t="str">
        <f>"1551685688029441"</f>
        <v>1551685688029441</v>
      </c>
      <c r="C2413" t="s">
        <v>40</v>
      </c>
      <c r="D2413">
        <v>4.128126</v>
      </c>
      <c r="E2413">
        <v>0.547736</v>
      </c>
      <c r="F2413" t="s">
        <v>63</v>
      </c>
      <c r="G2413">
        <v>-510.95479999999998</v>
      </c>
      <c r="H2413">
        <v>3.467978</v>
      </c>
      <c r="I2413">
        <v>293.69549999999998</v>
      </c>
      <c r="J2413">
        <v>-247.3329</v>
      </c>
      <c r="K2413">
        <v>1.110134</v>
      </c>
      <c r="L2413">
        <v>285.40280000000001</v>
      </c>
      <c r="M2413">
        <v>-0.99992389999999998</v>
      </c>
      <c r="N2413">
        <v>-1.1097330000000001E-2</v>
      </c>
      <c r="O2413">
        <v>-5.3931169999999898E-3</v>
      </c>
      <c r="P2413">
        <v>-0.98603359999999995</v>
      </c>
      <c r="Q2413">
        <v>0.13447149999999999</v>
      </c>
      <c r="R2413">
        <v>-9.8261440000000005E-2</v>
      </c>
      <c r="S2413">
        <v>-3.0484469999999999</v>
      </c>
      <c r="T2413">
        <v>2.724874E-2</v>
      </c>
      <c r="U2413">
        <v>9.5825199999999999E-2</v>
      </c>
      <c r="V2413">
        <v>-9.2793810000000004E-2</v>
      </c>
      <c r="W2413">
        <v>0.1455061</v>
      </c>
      <c r="X2413">
        <v>0.98499610000000004</v>
      </c>
      <c r="Y2413">
        <v>3.6808189999999998E-2</v>
      </c>
      <c r="Z2413" s="1">
        <v>-6.8197430000000001E-5</v>
      </c>
      <c r="AA2413">
        <v>0.99932240000000006</v>
      </c>
      <c r="AB2413">
        <v>29</v>
      </c>
      <c r="AC2413">
        <v>-263.62189999999998</v>
      </c>
      <c r="AD2413">
        <v>2.3578440000000001</v>
      </c>
      <c r="AE2413">
        <v>8.2926999999999609</v>
      </c>
      <c r="AF2413">
        <v>9.7136343758888408</v>
      </c>
      <c r="AG2413">
        <v>2.3578440000000001</v>
      </c>
      <c r="AH2413">
        <v>263.55227719787598</v>
      </c>
      <c r="AI2413">
        <v>89.487770504745598</v>
      </c>
      <c r="AJ2413">
        <v>87.889229198460896</v>
      </c>
      <c r="AK2413">
        <v>263.74176183779298</v>
      </c>
      <c r="AL2413">
        <v>81.633412729925496</v>
      </c>
      <c r="AM2413">
        <v>95.3817962634335</v>
      </c>
      <c r="AN2413">
        <v>1.00000001666336</v>
      </c>
    </row>
    <row r="2414" spans="1:40" x14ac:dyDescent="0.25">
      <c r="A2414" t="str">
        <f>"20190304154808057"</f>
        <v>20190304154808057</v>
      </c>
      <c r="B2414" t="str">
        <f>"1551685688048962"</f>
        <v>1551685688048962</v>
      </c>
      <c r="C2414" t="s">
        <v>40</v>
      </c>
      <c r="D2414">
        <v>4.1123909999999997</v>
      </c>
      <c r="E2414">
        <v>0.54784480000000002</v>
      </c>
      <c r="F2414" t="s">
        <v>63</v>
      </c>
      <c r="G2414">
        <v>-510.95479999999998</v>
      </c>
      <c r="H2414">
        <v>3.5497540000000001</v>
      </c>
      <c r="I2414">
        <v>293.83229999999998</v>
      </c>
      <c r="J2414">
        <v>-247.5986</v>
      </c>
      <c r="K2414">
        <v>1.1101270000000001</v>
      </c>
      <c r="L2414">
        <v>285.40190000000001</v>
      </c>
      <c r="M2414">
        <v>-0.99992630000000005</v>
      </c>
      <c r="N2414">
        <v>-1.110067E-2</v>
      </c>
      <c r="O2414">
        <v>-4.906143E-3</v>
      </c>
      <c r="P2414">
        <v>-0.98614190000000002</v>
      </c>
      <c r="Q2414">
        <v>0.13415009999999999</v>
      </c>
      <c r="R2414">
        <v>-9.7611199999999995E-2</v>
      </c>
      <c r="S2414">
        <v>-3.04834</v>
      </c>
      <c r="T2414">
        <v>2.8211E-2</v>
      </c>
      <c r="U2414">
        <v>9.747314E-2</v>
      </c>
      <c r="V2414">
        <v>-9.2622999999999997E-2</v>
      </c>
      <c r="W2414">
        <v>0.1451886</v>
      </c>
      <c r="X2414">
        <v>0.98505900000000002</v>
      </c>
      <c r="Y2414">
        <v>3.686234E-2</v>
      </c>
      <c r="Z2414" s="1">
        <v>-6.5706929999999995E-5</v>
      </c>
      <c r="AA2414">
        <v>0.99932030000000005</v>
      </c>
      <c r="AB2414">
        <v>29</v>
      </c>
      <c r="AC2414">
        <v>-263.35619999999898</v>
      </c>
      <c r="AD2414">
        <v>2.4396270000000002</v>
      </c>
      <c r="AE2414">
        <v>8.4303999999999597</v>
      </c>
      <c r="AF2414">
        <v>9.7216079827470505</v>
      </c>
      <c r="AG2414">
        <v>2.4396270000000002</v>
      </c>
      <c r="AH2414">
        <v>263.28909592220401</v>
      </c>
      <c r="AI2414">
        <v>89.469476128398199</v>
      </c>
      <c r="AJ2414">
        <v>87.885388383741898</v>
      </c>
      <c r="AK2414">
        <v>263.47980847344098</v>
      </c>
      <c r="AL2414">
        <v>81.651799182579595</v>
      </c>
      <c r="AM2414">
        <v>95.371606726975003</v>
      </c>
      <c r="AN2414">
        <v>0.99999999158997999</v>
      </c>
    </row>
    <row r="2415" spans="1:40" x14ac:dyDescent="0.25">
      <c r="A2415" t="str">
        <f>"20190304154808081"</f>
        <v>20190304154808081</v>
      </c>
      <c r="B2415" t="str">
        <f>"1551685688069457"</f>
        <v>1551685688069457</v>
      </c>
      <c r="C2415" t="s">
        <v>40</v>
      </c>
      <c r="D2415">
        <v>4.0887129999999896</v>
      </c>
      <c r="E2415">
        <v>0.54792030000000003</v>
      </c>
      <c r="F2415" t="s">
        <v>63</v>
      </c>
      <c r="G2415">
        <v>-510.95479999999998</v>
      </c>
      <c r="H2415">
        <v>3.6141770000000002</v>
      </c>
      <c r="I2415">
        <v>294.06869999999998</v>
      </c>
      <c r="J2415">
        <v>-247.89400000000001</v>
      </c>
      <c r="K2415">
        <v>1.110123</v>
      </c>
      <c r="L2415">
        <v>285.40100000000001</v>
      </c>
      <c r="M2415">
        <v>-0.99992899999999996</v>
      </c>
      <c r="N2415">
        <v>-1.110445E-2</v>
      </c>
      <c r="O2415">
        <v>-4.3648250000000001E-3</v>
      </c>
      <c r="P2415">
        <v>-0.98618019999999995</v>
      </c>
      <c r="Q2415">
        <v>0.13428199999999901</v>
      </c>
      <c r="R2415">
        <v>-9.7042959999999998E-2</v>
      </c>
      <c r="S2415">
        <v>-3.0481259999999999</v>
      </c>
      <c r="T2415">
        <v>2.898324E-2</v>
      </c>
      <c r="U2415">
        <v>0.10031130000000001</v>
      </c>
      <c r="V2415">
        <v>-9.258777E-2</v>
      </c>
      <c r="W2415">
        <v>0.1453245</v>
      </c>
      <c r="X2415">
        <v>0.98504230000000004</v>
      </c>
      <c r="Y2415">
        <v>3.7253130000000002E-2</v>
      </c>
      <c r="Z2415" s="1">
        <v>-6.0105900000000003E-5</v>
      </c>
      <c r="AA2415">
        <v>0.99930580000000002</v>
      </c>
      <c r="AB2415">
        <v>29</v>
      </c>
      <c r="AC2415">
        <v>-263.06079999999997</v>
      </c>
      <c r="AD2415">
        <v>2.504054</v>
      </c>
      <c r="AE2415">
        <v>8.6676999999999609</v>
      </c>
      <c r="AF2415">
        <v>9.8150139958841507</v>
      </c>
      <c r="AG2415">
        <v>2.504054</v>
      </c>
      <c r="AH2415">
        <v>262.99665425574199</v>
      </c>
      <c r="AI2415">
        <v>89.454869141375895</v>
      </c>
      <c r="AJ2415">
        <v>87.862717997999795</v>
      </c>
      <c r="AK2415">
        <v>263.191650581641</v>
      </c>
      <c r="AL2415">
        <v>81.643929449109294</v>
      </c>
      <c r="AM2415">
        <v>95.369666033282698</v>
      </c>
      <c r="AN2415">
        <v>1.0000000191215499</v>
      </c>
    </row>
    <row r="2416" spans="1:40" x14ac:dyDescent="0.25">
      <c r="A2416" t="str">
        <f>"20190304154808102"</f>
        <v>20190304154808102</v>
      </c>
      <c r="B2416" t="str">
        <f>"1551685688098738"</f>
        <v>1551685688098738</v>
      </c>
      <c r="C2416" t="s">
        <v>40</v>
      </c>
      <c r="D2416">
        <v>4.0823499999999999</v>
      </c>
      <c r="E2416">
        <v>0.54788079999999995</v>
      </c>
      <c r="F2416" t="s">
        <v>63</v>
      </c>
      <c r="G2416">
        <v>-510.95479999999998</v>
      </c>
      <c r="H2416">
        <v>3.7110129999999999</v>
      </c>
      <c r="I2416">
        <v>294.2663</v>
      </c>
      <c r="J2416">
        <v>-248.17439999999999</v>
      </c>
      <c r="K2416">
        <v>1.1101270000000001</v>
      </c>
      <c r="L2416">
        <v>285.40030000000002</v>
      </c>
      <c r="M2416">
        <v>-0.99993100000000001</v>
      </c>
      <c r="N2416">
        <v>-1.110798E-2</v>
      </c>
      <c r="O2416">
        <v>-3.8517690000000001E-3</v>
      </c>
      <c r="P2416">
        <v>-0.98618850000000002</v>
      </c>
      <c r="Q2416">
        <v>0.13444739999999999</v>
      </c>
      <c r="R2416">
        <v>-9.6728789999999995E-2</v>
      </c>
      <c r="S2416">
        <v>-3.0480800000000001</v>
      </c>
      <c r="T2416">
        <v>3.0137420000000002E-2</v>
      </c>
      <c r="U2416">
        <v>0.1027222</v>
      </c>
      <c r="V2416">
        <v>-9.2779440000000005E-2</v>
      </c>
      <c r="W2416">
        <v>0.14549339999999999</v>
      </c>
      <c r="X2416">
        <v>0.98499930000000002</v>
      </c>
      <c r="Y2416">
        <v>3.7530429999999997E-2</v>
      </c>
      <c r="Z2416" s="1">
        <v>-5.7816509999999998E-5</v>
      </c>
      <c r="AA2416">
        <v>0.9992955</v>
      </c>
      <c r="AB2416">
        <v>29</v>
      </c>
      <c r="AC2416">
        <v>-262.78039999999999</v>
      </c>
      <c r="AD2416">
        <v>2.600886</v>
      </c>
      <c r="AE2416">
        <v>8.8659999999999801</v>
      </c>
      <c r="AF2416">
        <v>9.8771994684276105</v>
      </c>
      <c r="AG2416">
        <v>2.600886</v>
      </c>
      <c r="AH2416">
        <v>262.718591425027</v>
      </c>
      <c r="AI2416">
        <v>89.433196842468604</v>
      </c>
      <c r="AJ2416">
        <v>87.8469151030436</v>
      </c>
      <c r="AK2416">
        <v>262.91706288804198</v>
      </c>
      <c r="AL2416">
        <v>81.634147967096098</v>
      </c>
      <c r="AM2416">
        <v>95.380950354949306</v>
      </c>
      <c r="AN2416">
        <v>0.99999998746538099</v>
      </c>
    </row>
    <row r="2417" spans="1:40" x14ac:dyDescent="0.25">
      <c r="A2417" t="str">
        <f>"20190304154808124"</f>
        <v>20190304154808124</v>
      </c>
      <c r="B2417" t="str">
        <f>"1551685688119234"</f>
        <v>1551685688119234</v>
      </c>
      <c r="C2417" t="s">
        <v>40</v>
      </c>
      <c r="D2417">
        <v>4.101407</v>
      </c>
      <c r="E2417">
        <v>0.54799219999999904</v>
      </c>
      <c r="F2417" t="s">
        <v>63</v>
      </c>
      <c r="G2417">
        <v>-510.95490000000001</v>
      </c>
      <c r="H2417">
        <v>3.8740039999999998</v>
      </c>
      <c r="I2417">
        <v>294.31760000000003</v>
      </c>
      <c r="J2417">
        <v>-248.4588</v>
      </c>
      <c r="K2417">
        <v>1.1101259999999999</v>
      </c>
      <c r="L2417">
        <v>285.3997</v>
      </c>
      <c r="M2417">
        <v>-0.99993279999999995</v>
      </c>
      <c r="N2417">
        <v>-1.111151E-2</v>
      </c>
      <c r="O2417">
        <v>-3.3326359999999999E-3</v>
      </c>
      <c r="P2417">
        <v>-0.98617580000000005</v>
      </c>
      <c r="Q2417">
        <v>0.13476579999999999</v>
      </c>
      <c r="R2417">
        <v>-9.6414189999999997E-2</v>
      </c>
      <c r="S2417">
        <v>-3.0477750000000001</v>
      </c>
      <c r="T2417">
        <v>3.2056929999999997E-2</v>
      </c>
      <c r="U2417">
        <v>0.1034241</v>
      </c>
      <c r="V2417">
        <v>-9.297648E-2</v>
      </c>
      <c r="W2417">
        <v>0.1458151</v>
      </c>
      <c r="X2417">
        <v>0.98493310000000001</v>
      </c>
      <c r="Y2417">
        <v>3.7244840000000001E-2</v>
      </c>
      <c r="Z2417" s="1">
        <v>-6.0883610000000002E-5</v>
      </c>
      <c r="AA2417">
        <v>0.99930609999999997</v>
      </c>
      <c r="AB2417">
        <v>29</v>
      </c>
      <c r="AC2417">
        <v>-262.49610000000001</v>
      </c>
      <c r="AD2417">
        <v>2.7638780000000001</v>
      </c>
      <c r="AE2417">
        <v>8.9179000000000297</v>
      </c>
      <c r="AF2417">
        <v>9.7916240643283299</v>
      </c>
      <c r="AG2417">
        <v>2.7638780000000001</v>
      </c>
      <c r="AH2417">
        <v>262.43585892173201</v>
      </c>
      <c r="AI2417">
        <v>89.397023736474395</v>
      </c>
      <c r="AJ2417">
        <v>87.863254564421695</v>
      </c>
      <c r="AK2417">
        <v>262.63300434523302</v>
      </c>
      <c r="AL2417">
        <v>81.615516830107296</v>
      </c>
      <c r="AM2417">
        <v>95.392671134106294</v>
      </c>
      <c r="AN2417">
        <v>0.999999940348403</v>
      </c>
    </row>
    <row r="2418" spans="1:40" x14ac:dyDescent="0.25">
      <c r="A2418" t="str">
        <f>"20190304154808138"</f>
        <v>20190304154808138</v>
      </c>
      <c r="B2418" t="str">
        <f>"1551685688128993"</f>
        <v>1551685688128993</v>
      </c>
      <c r="C2418" t="s">
        <v>40</v>
      </c>
      <c r="D2418">
        <v>4.0723149999999997</v>
      </c>
      <c r="E2418">
        <v>0.54797739999999995</v>
      </c>
      <c r="F2418" t="s">
        <v>63</v>
      </c>
      <c r="G2418">
        <v>-510.95499999999998</v>
      </c>
      <c r="H2418">
        <v>4.0529289999999998</v>
      </c>
      <c r="I2418">
        <v>294.4889</v>
      </c>
      <c r="J2418">
        <v>-248.6473</v>
      </c>
      <c r="K2418">
        <v>1.1101240000000001</v>
      </c>
      <c r="L2418">
        <v>285.39949999999999</v>
      </c>
      <c r="M2418">
        <v>-0.99993379999999998</v>
      </c>
      <c r="N2418">
        <v>-1.111377E-2</v>
      </c>
      <c r="O2418">
        <v>-2.9892090000000001E-3</v>
      </c>
      <c r="P2418">
        <v>-0.98616389999999998</v>
      </c>
      <c r="Q2418">
        <v>0.13506689999999999</v>
      </c>
      <c r="R2418">
        <v>-9.611343E-2</v>
      </c>
      <c r="S2418">
        <v>-3.0476990000000002</v>
      </c>
      <c r="T2418">
        <v>3.4168240000000002E-2</v>
      </c>
      <c r="U2418">
        <v>0.10552980000000001</v>
      </c>
      <c r="V2418">
        <v>-9.3013589999999993E-2</v>
      </c>
      <c r="W2418">
        <v>0.146118</v>
      </c>
      <c r="X2418">
        <v>0.98488469999999995</v>
      </c>
      <c r="Y2418">
        <v>3.7592E-2</v>
      </c>
      <c r="Z2418" s="1">
        <v>-6.8403580000000002E-5</v>
      </c>
      <c r="AA2418">
        <v>0.99929310000000005</v>
      </c>
      <c r="AB2418">
        <v>29</v>
      </c>
      <c r="AC2418">
        <v>-262.30769999999899</v>
      </c>
      <c r="AD2418">
        <v>2.9428049999999999</v>
      </c>
      <c r="AE2418">
        <v>9.0894000000000101</v>
      </c>
      <c r="AF2418">
        <v>9.8722592605238297</v>
      </c>
      <c r="AG2418">
        <v>2.9428049999999999</v>
      </c>
      <c r="AH2418">
        <v>262.24638840547999</v>
      </c>
      <c r="AI2418">
        <v>89.357535865474304</v>
      </c>
      <c r="AJ2418">
        <v>87.844119711131199</v>
      </c>
      <c r="AK2418">
        <v>262.44864228243398</v>
      </c>
      <c r="AL2418">
        <v>81.597974001169902</v>
      </c>
      <c r="AM2418">
        <v>95.395074383635304</v>
      </c>
      <c r="AN2418">
        <v>0.99999993507138596</v>
      </c>
    </row>
    <row r="2419" spans="1:40" x14ac:dyDescent="0.25">
      <c r="A2419" t="str">
        <f>"20190304154808152"</f>
        <v>20190304154808152</v>
      </c>
      <c r="B2419" t="str">
        <f>"1551685688149490"</f>
        <v>1551685688149490</v>
      </c>
      <c r="C2419" t="s">
        <v>40</v>
      </c>
      <c r="D2419">
        <v>4.1199579999999996</v>
      </c>
      <c r="E2419">
        <v>0.54798100000000005</v>
      </c>
      <c r="F2419" t="s">
        <v>63</v>
      </c>
      <c r="G2419">
        <v>-510.95499999999998</v>
      </c>
      <c r="H2419">
        <v>4.1657869999999999</v>
      </c>
      <c r="I2419">
        <v>294.54820000000001</v>
      </c>
      <c r="J2419">
        <v>-248.82640000000001</v>
      </c>
      <c r="K2419">
        <v>1.1101219999999901</v>
      </c>
      <c r="L2419">
        <v>285.39929999999998</v>
      </c>
      <c r="M2419">
        <v>-0.99993469999999995</v>
      </c>
      <c r="N2419">
        <v>-1.111581E-2</v>
      </c>
      <c r="O2419">
        <v>-2.663543E-3</v>
      </c>
      <c r="P2419">
        <v>-0.98611349999999998</v>
      </c>
      <c r="Q2419">
        <v>0.1354947</v>
      </c>
      <c r="R2419">
        <v>-9.60258999999999E-2</v>
      </c>
      <c r="S2419">
        <v>-3.047577</v>
      </c>
      <c r="T2419">
        <v>3.550267E-2</v>
      </c>
      <c r="U2419">
        <v>0.1062927</v>
      </c>
      <c r="V2419">
        <v>-9.32476E-2</v>
      </c>
      <c r="W2419">
        <v>0.14654719999999999</v>
      </c>
      <c r="X2419">
        <v>0.98479879999999997</v>
      </c>
      <c r="Y2419">
        <v>3.7517750000000002E-2</v>
      </c>
      <c r="Z2419" s="1">
        <v>-7.0482869999999905E-5</v>
      </c>
      <c r="AA2419">
        <v>0.99929590000000001</v>
      </c>
      <c r="AB2419">
        <v>29</v>
      </c>
      <c r="AC2419">
        <v>-262.12860000000001</v>
      </c>
      <c r="AD2419">
        <v>3.0556649999999999</v>
      </c>
      <c r="AE2419">
        <v>9.1489000000000207</v>
      </c>
      <c r="AF2419">
        <v>9.8457651597361906</v>
      </c>
      <c r="AG2419">
        <v>3.0556649999999999</v>
      </c>
      <c r="AH2419">
        <v>262.06773140067099</v>
      </c>
      <c r="AI2419">
        <v>89.332442176586994</v>
      </c>
      <c r="AJ2419">
        <v>87.848435601155401</v>
      </c>
      <c r="AK2419">
        <v>262.27041774029198</v>
      </c>
      <c r="AL2419">
        <v>81.573115068371905</v>
      </c>
      <c r="AM2419">
        <v>95.4090362635216</v>
      </c>
      <c r="AN2419">
        <v>0.99999993660751796</v>
      </c>
    </row>
    <row r="2420" spans="1:40" x14ac:dyDescent="0.25">
      <c r="A2420" t="str">
        <f>"20190304154808168"</f>
        <v>20190304154808168</v>
      </c>
      <c r="B2420" t="str">
        <f>"1551685688159249"</f>
        <v>1551685688159249</v>
      </c>
      <c r="C2420" t="s">
        <v>40</v>
      </c>
      <c r="D2420">
        <v>4.1134620000000002</v>
      </c>
      <c r="E2420">
        <v>0.54796250000000002</v>
      </c>
      <c r="F2420" t="s">
        <v>63</v>
      </c>
      <c r="G2420">
        <v>-510.95499999999998</v>
      </c>
      <c r="H2420">
        <v>4.2940329999999998</v>
      </c>
      <c r="I2420">
        <v>294.5865</v>
      </c>
      <c r="J2420">
        <v>-249.04089999999999</v>
      </c>
      <c r="K2420">
        <v>1.1101240000000001</v>
      </c>
      <c r="L2420">
        <v>285.39909999999998</v>
      </c>
      <c r="M2420">
        <v>-0.99993569999999998</v>
      </c>
      <c r="N2420">
        <v>-1.1118340000000001E-2</v>
      </c>
      <c r="O2420">
        <v>-2.2742209999999999E-3</v>
      </c>
      <c r="P2420">
        <v>-0.9861143</v>
      </c>
      <c r="Q2420">
        <v>0.1356783</v>
      </c>
      <c r="R2420">
        <v>-9.5761280000000004E-2</v>
      </c>
      <c r="S2420">
        <v>-3.0475460000000001</v>
      </c>
      <c r="T2420">
        <v>3.7017580000000001E-2</v>
      </c>
      <c r="U2420">
        <v>0.1068115</v>
      </c>
      <c r="V2420">
        <v>-9.3366149999999995E-2</v>
      </c>
      <c r="W2420">
        <v>0.14673310000000001</v>
      </c>
      <c r="X2420">
        <v>0.98475990000000002</v>
      </c>
      <c r="Y2420">
        <v>3.7298890000000001E-2</v>
      </c>
      <c r="Z2420" s="1">
        <v>-7.1920950000000001E-5</v>
      </c>
      <c r="AA2420">
        <v>0.99930419999999998</v>
      </c>
      <c r="AB2420">
        <v>29</v>
      </c>
      <c r="AC2420">
        <v>-261.91410000000002</v>
      </c>
      <c r="AD2420">
        <v>3.1839089999999999</v>
      </c>
      <c r="AE2420">
        <v>9.1874000000000198</v>
      </c>
      <c r="AF2420">
        <v>9.7816198356021609</v>
      </c>
      <c r="AG2420">
        <v>3.1839089999999999</v>
      </c>
      <c r="AH2420">
        <v>261.85387899675902</v>
      </c>
      <c r="AI2420">
        <v>89.303854377689603</v>
      </c>
      <c r="AJ2420">
        <v>87.8606959393625</v>
      </c>
      <c r="AK2420">
        <v>262.05585532244402</v>
      </c>
      <c r="AL2420">
        <v>81.562347501672093</v>
      </c>
      <c r="AM2420">
        <v>95.416084824558098</v>
      </c>
      <c r="AN2420">
        <v>0.99999995062472002</v>
      </c>
    </row>
    <row r="2421" spans="1:40" x14ac:dyDescent="0.25">
      <c r="A2421" t="str">
        <f>"20190304154808190"</f>
        <v>20190304154808190</v>
      </c>
      <c r="B2421" t="str">
        <f>"1551685688178773"</f>
        <v>1551685688178773</v>
      </c>
      <c r="C2421" t="s">
        <v>40</v>
      </c>
      <c r="D2421">
        <v>4.0941409999999996</v>
      </c>
      <c r="E2421">
        <v>0.54792680000000005</v>
      </c>
      <c r="F2421" t="s">
        <v>63</v>
      </c>
      <c r="G2421">
        <v>-510.95499999999998</v>
      </c>
      <c r="H2421">
        <v>4.3436909999999997</v>
      </c>
      <c r="I2421">
        <v>294.6234</v>
      </c>
      <c r="J2421">
        <v>-249.31399999999999</v>
      </c>
      <c r="K2421">
        <v>1.1101219999999901</v>
      </c>
      <c r="L2421">
        <v>285.399</v>
      </c>
      <c r="M2421">
        <v>-0.99993659999999995</v>
      </c>
      <c r="N2421">
        <v>-1.1121799999999999E-2</v>
      </c>
      <c r="O2421">
        <v>-1.7786900000000001E-3</v>
      </c>
      <c r="P2421">
        <v>-0.98611170000000004</v>
      </c>
      <c r="Q2421">
        <v>0.135852799999999</v>
      </c>
      <c r="R2421">
        <v>-9.5540070000000005E-2</v>
      </c>
      <c r="S2421">
        <v>-3.0475159999999999</v>
      </c>
      <c r="T2421">
        <v>3.7625310000000002E-2</v>
      </c>
      <c r="U2421">
        <v>0.1073303</v>
      </c>
      <c r="V2421">
        <v>-9.3633179999999996E-2</v>
      </c>
      <c r="W2421">
        <v>0.1469114</v>
      </c>
      <c r="X2421">
        <v>0.98470800000000003</v>
      </c>
      <c r="Y2421">
        <v>3.6974010000000002E-2</v>
      </c>
      <c r="Z2421" s="1">
        <v>-6.4213380000000003E-5</v>
      </c>
      <c r="AA2421">
        <v>0.99931619999999999</v>
      </c>
      <c r="AB2421">
        <v>29</v>
      </c>
      <c r="AC2421">
        <v>-261.64100000000002</v>
      </c>
      <c r="AD2421">
        <v>3.2335690000000001</v>
      </c>
      <c r="AE2421">
        <v>9.2243999999999993</v>
      </c>
      <c r="AF2421">
        <v>9.6883144515628903</v>
      </c>
      <c r="AG2421">
        <v>3.2335690000000001</v>
      </c>
      <c r="AH2421">
        <v>261.58427293456202</v>
      </c>
      <c r="AI2421">
        <v>89.292260589757902</v>
      </c>
      <c r="AJ2421">
        <v>87.878901843280602</v>
      </c>
      <c r="AK2421">
        <v>261.783596224235</v>
      </c>
      <c r="AL2421">
        <v>81.552020063372794</v>
      </c>
      <c r="AM2421">
        <v>95.431767045418894</v>
      </c>
      <c r="AN2421">
        <v>0.99999998855543604</v>
      </c>
    </row>
    <row r="2422" spans="1:40" x14ac:dyDescent="0.25">
      <c r="A2422" t="str">
        <f>"20190304154808203"</f>
        <v>20190304154808203</v>
      </c>
      <c r="B2422" t="str">
        <f>"1551685688199266"</f>
        <v>1551685688199266</v>
      </c>
      <c r="C2422" t="s">
        <v>40</v>
      </c>
      <c r="D2422">
        <v>4.0979789999999996</v>
      </c>
      <c r="E2422">
        <v>0.54778850000000001</v>
      </c>
      <c r="F2422" t="s">
        <v>63</v>
      </c>
      <c r="G2422">
        <v>-510.95510000000002</v>
      </c>
      <c r="H2422">
        <v>4.3753919999999997</v>
      </c>
      <c r="I2422">
        <v>294.6585</v>
      </c>
      <c r="J2422">
        <v>-249.4811</v>
      </c>
      <c r="K2422">
        <v>1.110123</v>
      </c>
      <c r="L2422">
        <v>285.399</v>
      </c>
      <c r="M2422">
        <v>-0.99993719999999997</v>
      </c>
      <c r="N2422">
        <v>-1.112401E-2</v>
      </c>
      <c r="O2422">
        <v>-1.475915E-3</v>
      </c>
      <c r="P2422">
        <v>-0.9860968</v>
      </c>
      <c r="Q2422">
        <v>0.1360276</v>
      </c>
      <c r="R2422">
        <v>-9.5447400000000002E-2</v>
      </c>
      <c r="S2422">
        <v>-3.0474399999999999</v>
      </c>
      <c r="T2422">
        <v>3.803289E-2</v>
      </c>
      <c r="U2422">
        <v>0.1078491</v>
      </c>
      <c r="V2422">
        <v>-9.3838679999999994E-2</v>
      </c>
      <c r="W2422">
        <v>0.14708779999999999</v>
      </c>
      <c r="X2422">
        <v>0.98466209999999998</v>
      </c>
      <c r="Y2422">
        <v>3.6842260000000002E-2</v>
      </c>
      <c r="Z2422" s="1">
        <v>-5.9657239999999998E-5</v>
      </c>
      <c r="AA2422">
        <v>0.99932109999999996</v>
      </c>
      <c r="AB2422">
        <v>29</v>
      </c>
      <c r="AC2422">
        <v>-261.47399999999999</v>
      </c>
      <c r="AD2422">
        <v>3.265269</v>
      </c>
      <c r="AE2422">
        <v>9.2594999999999992</v>
      </c>
      <c r="AF2422">
        <v>9.6439250578948599</v>
      </c>
      <c r="AG2422">
        <v>3.265269</v>
      </c>
      <c r="AH2422">
        <v>261.41933123492902</v>
      </c>
      <c r="AI2422">
        <v>89.284868305417305</v>
      </c>
      <c r="AJ2422">
        <v>87.887280392659903</v>
      </c>
      <c r="AK2422">
        <v>261.61753384565498</v>
      </c>
      <c r="AL2422">
        <v>81.541802054747095</v>
      </c>
      <c r="AM2422">
        <v>95.443869030332493</v>
      </c>
      <c r="AN2422">
        <v>0.999999984974696</v>
      </c>
    </row>
    <row r="2423" spans="1:40" x14ac:dyDescent="0.25">
      <c r="A2423" t="str">
        <f>"20190304154808215"</f>
        <v>20190304154808215</v>
      </c>
      <c r="B2423" t="str">
        <f>"1551685688209026"</f>
        <v>1551685688209026</v>
      </c>
      <c r="C2423" t="s">
        <v>40</v>
      </c>
      <c r="D2423">
        <v>4.2753730000000001</v>
      </c>
      <c r="E2423">
        <v>0.54761510000000002</v>
      </c>
      <c r="F2423" t="s">
        <v>63</v>
      </c>
      <c r="G2423">
        <v>-510.95510000000002</v>
      </c>
      <c r="H2423">
        <v>4.3823610000000004</v>
      </c>
      <c r="I2423">
        <v>294.57420000000002</v>
      </c>
      <c r="J2423">
        <v>-249.64689999999999</v>
      </c>
      <c r="K2423">
        <v>1.110123</v>
      </c>
      <c r="L2423">
        <v>285.39909999999998</v>
      </c>
      <c r="M2423">
        <v>-0.99993750000000003</v>
      </c>
      <c r="N2423">
        <v>-1.1126250000000001E-2</v>
      </c>
      <c r="O2423">
        <v>-1.176245E-3</v>
      </c>
      <c r="P2423">
        <v>-0.98607699999999998</v>
      </c>
      <c r="Q2423">
        <v>0.13641220000000001</v>
      </c>
      <c r="R2423">
        <v>-9.5099900000000001E-2</v>
      </c>
      <c r="S2423">
        <v>-3.047409</v>
      </c>
      <c r="T2423">
        <v>3.8138030000000003E-2</v>
      </c>
      <c r="U2423">
        <v>0.1069336</v>
      </c>
      <c r="V2423">
        <v>-9.3786750000000002E-2</v>
      </c>
      <c r="W2423">
        <v>0.14747399999999999</v>
      </c>
      <c r="X2423">
        <v>0.98460930000000002</v>
      </c>
      <c r="Y2423">
        <v>3.6243350000000001E-2</v>
      </c>
      <c r="Z2423" s="1">
        <v>-5.2815159999999999E-5</v>
      </c>
      <c r="AA2423">
        <v>0.99934299999999998</v>
      </c>
      <c r="AB2423">
        <v>29</v>
      </c>
      <c r="AC2423">
        <v>-261.3082</v>
      </c>
      <c r="AD2423">
        <v>3.2722380000000002</v>
      </c>
      <c r="AE2423">
        <v>9.1751000000000396</v>
      </c>
      <c r="AF2423">
        <v>9.4809901971117796</v>
      </c>
      <c r="AG2423">
        <v>3.2722380000000002</v>
      </c>
      <c r="AH2423">
        <v>261.25630828572503</v>
      </c>
      <c r="AI2423">
        <v>89.282879290012303</v>
      </c>
      <c r="AJ2423">
        <v>87.921648482359899</v>
      </c>
      <c r="AK2423">
        <v>261.448762352649</v>
      </c>
      <c r="AL2423">
        <v>81.519430621272804</v>
      </c>
      <c r="AM2423">
        <v>95.4411645132015</v>
      </c>
      <c r="AN2423">
        <v>1.00000000439902</v>
      </c>
    </row>
    <row r="2424" spans="1:40" x14ac:dyDescent="0.25">
      <c r="A2424" t="str">
        <f>"20190304154808236"</f>
        <v>20190304154808236</v>
      </c>
      <c r="B2424" t="str">
        <f>"1551685688229522"</f>
        <v>1551685688229522</v>
      </c>
      <c r="C2424" t="s">
        <v>40</v>
      </c>
      <c r="D2424">
        <v>4.1051580000000003</v>
      </c>
      <c r="E2424">
        <v>0.547544699999999</v>
      </c>
      <c r="F2424" t="s">
        <v>63</v>
      </c>
      <c r="G2424">
        <v>-510.95510000000002</v>
      </c>
      <c r="H2424">
        <v>4.4943589999999896</v>
      </c>
      <c r="I2424">
        <v>294.51940000000002</v>
      </c>
      <c r="J2424">
        <v>-249.9023</v>
      </c>
      <c r="K2424">
        <v>1.1101259999999999</v>
      </c>
      <c r="L2424">
        <v>285.39929999999998</v>
      </c>
      <c r="M2424">
        <v>-0.99993799999999999</v>
      </c>
      <c r="N2424">
        <v>-1.1129740000000001E-2</v>
      </c>
      <c r="O2424">
        <v>-7.1805329999999996E-4</v>
      </c>
      <c r="P2424">
        <v>-0.98608830000000003</v>
      </c>
      <c r="Q2424">
        <v>0.1363297</v>
      </c>
      <c r="R2424">
        <v>-9.5101099999999994E-2</v>
      </c>
      <c r="S2424">
        <v>-3.0471650000000001</v>
      </c>
      <c r="T2424">
        <v>3.9465189999999997E-2</v>
      </c>
      <c r="U2424">
        <v>0.1063538</v>
      </c>
      <c r="V2424">
        <v>-9.4240470000000007E-2</v>
      </c>
      <c r="W2424">
        <v>0.14739479999999999</v>
      </c>
      <c r="X2424">
        <v>0.98457779999999995</v>
      </c>
      <c r="Y2424">
        <v>3.5598310000000001E-2</v>
      </c>
      <c r="Z2424" s="1">
        <v>-4.9563040000000002E-5</v>
      </c>
      <c r="AA2424">
        <v>0.99936619999999998</v>
      </c>
      <c r="AB2424">
        <v>29</v>
      </c>
      <c r="AC2424">
        <v>-261.05279999999999</v>
      </c>
      <c r="AD2424">
        <v>3.3842329999999898</v>
      </c>
      <c r="AE2424">
        <v>9.1201000000000292</v>
      </c>
      <c r="AF2424">
        <v>9.3059969900048003</v>
      </c>
      <c r="AG2424">
        <v>3.3842329999999898</v>
      </c>
      <c r="AH2424">
        <v>261.00237303888298</v>
      </c>
      <c r="AI2424">
        <v>89.257599510301702</v>
      </c>
      <c r="AJ2424">
        <v>87.957993356640003</v>
      </c>
      <c r="AK2424">
        <v>261.19014787105698</v>
      </c>
      <c r="AL2424">
        <v>81.524018280649301</v>
      </c>
      <c r="AM2424">
        <v>95.467502428203403</v>
      </c>
      <c r="AN2424">
        <v>0.99999996875284902</v>
      </c>
    </row>
    <row r="2425" spans="1:40" x14ac:dyDescent="0.25">
      <c r="A2425" t="str">
        <f>"20190304154808248"</f>
        <v>20190304154808248</v>
      </c>
      <c r="B2425" t="str">
        <f>"1551685688239282"</f>
        <v>1551685688239282</v>
      </c>
      <c r="C2425" t="s">
        <v>40</v>
      </c>
      <c r="D2425">
        <v>4.1164259999999997</v>
      </c>
      <c r="E2425">
        <v>0.54748819999999998</v>
      </c>
      <c r="F2425" t="s">
        <v>63</v>
      </c>
      <c r="G2425">
        <v>-510.95510000000002</v>
      </c>
      <c r="H2425">
        <v>4.4398600000000004</v>
      </c>
      <c r="I2425">
        <v>294.47919999999999</v>
      </c>
      <c r="J2425">
        <v>-250.0735</v>
      </c>
      <c r="K2425">
        <v>1.1101289999999999</v>
      </c>
      <c r="L2425">
        <v>285.39949999999999</v>
      </c>
      <c r="M2425">
        <v>-0.99993799999999999</v>
      </c>
      <c r="N2425">
        <v>-1.1132019999999999E-2</v>
      </c>
      <c r="O2425">
        <v>-4.141169E-4</v>
      </c>
      <c r="P2425">
        <v>-0.98613740000000005</v>
      </c>
      <c r="Q2425">
        <v>0.13604229999999901</v>
      </c>
      <c r="R2425">
        <v>-9.5004679999999994E-2</v>
      </c>
      <c r="S2425">
        <v>-3.04718</v>
      </c>
      <c r="T2425">
        <v>3.8867829999999999E-2</v>
      </c>
      <c r="U2425">
        <v>0.1059875</v>
      </c>
      <c r="V2425">
        <v>-9.4444990000000006E-2</v>
      </c>
      <c r="W2425">
        <v>0.1471095</v>
      </c>
      <c r="X2425">
        <v>0.9846009</v>
      </c>
      <c r="Y2425">
        <v>3.5174560000000001E-2</v>
      </c>
      <c r="Z2425" s="1">
        <v>-3.8295520000000001E-5</v>
      </c>
      <c r="AA2425">
        <v>0.99938119999999997</v>
      </c>
      <c r="AB2425">
        <v>29</v>
      </c>
      <c r="AC2425">
        <v>-260.88159999999999</v>
      </c>
      <c r="AD2425">
        <v>3.32973099999999</v>
      </c>
      <c r="AE2425">
        <v>9.0797000000000008</v>
      </c>
      <c r="AF2425">
        <v>9.1862467255290099</v>
      </c>
      <c r="AG2425">
        <v>3.32973099999999</v>
      </c>
      <c r="AH2425">
        <v>260.83537765294102</v>
      </c>
      <c r="AI2425">
        <v>89.269075439539293</v>
      </c>
      <c r="AJ2425">
        <v>87.982958747595802</v>
      </c>
      <c r="AK2425">
        <v>261.01832976399697</v>
      </c>
      <c r="AL2425">
        <v>81.5405451624801</v>
      </c>
      <c r="AM2425">
        <v>95.479168060227494</v>
      </c>
      <c r="AN2425">
        <v>0.99999999670357997</v>
      </c>
    </row>
    <row r="2426" spans="1:40" x14ac:dyDescent="0.25">
      <c r="A2426" t="str">
        <f>"20190304154808263"</f>
        <v>20190304154808263</v>
      </c>
      <c r="B2426" t="str">
        <f>"1551685688258801"</f>
        <v>1551685688258801</v>
      </c>
      <c r="C2426" t="s">
        <v>40</v>
      </c>
      <c r="D2426">
        <v>4.0774839999999903</v>
      </c>
      <c r="E2426">
        <v>0.54740359999999999</v>
      </c>
      <c r="F2426" t="s">
        <v>63</v>
      </c>
      <c r="G2426">
        <v>-510.95499999999998</v>
      </c>
      <c r="H2426">
        <v>4.3415210000000002</v>
      </c>
      <c r="I2426">
        <v>294.45269999999999</v>
      </c>
      <c r="J2426">
        <v>-250.25280000000001</v>
      </c>
      <c r="K2426">
        <v>1.1101350000000001</v>
      </c>
      <c r="L2426">
        <v>285.3997</v>
      </c>
      <c r="M2426">
        <v>-0.99993810000000005</v>
      </c>
      <c r="N2426">
        <v>-1.1134369999999999E-2</v>
      </c>
      <c r="O2426" s="1">
        <v>-9.959251E-5</v>
      </c>
      <c r="P2426">
        <v>-0.9861354</v>
      </c>
      <c r="Q2426">
        <v>0.136319</v>
      </c>
      <c r="R2426">
        <v>-9.4629060000000001E-2</v>
      </c>
      <c r="S2426">
        <v>-3.0471499999999998</v>
      </c>
      <c r="T2426">
        <v>3.7744279999999998E-2</v>
      </c>
      <c r="U2426">
        <v>0.1057434</v>
      </c>
      <c r="V2426">
        <v>-9.4380019999999995E-2</v>
      </c>
      <c r="W2426">
        <v>0.14738679999999901</v>
      </c>
      <c r="X2426">
        <v>0.98456569999999999</v>
      </c>
      <c r="Y2426">
        <v>3.4780770000000003E-2</v>
      </c>
      <c r="Z2426" s="1">
        <v>-2.398295E-5</v>
      </c>
      <c r="AA2426">
        <v>0.99939500000000003</v>
      </c>
      <c r="AB2426">
        <v>29</v>
      </c>
      <c r="AC2426">
        <v>-260.70219999999898</v>
      </c>
      <c r="AD2426">
        <v>3.2313860000000001</v>
      </c>
      <c r="AE2426">
        <v>9.0529999999999902</v>
      </c>
      <c r="AF2426">
        <v>9.0775726015606697</v>
      </c>
      <c r="AG2426">
        <v>3.2313860000000001</v>
      </c>
      <c r="AH2426">
        <v>260.66129874694502</v>
      </c>
      <c r="AI2426">
        <v>89.290177923550502</v>
      </c>
      <c r="AJ2426">
        <v>88.005471110313394</v>
      </c>
      <c r="AK2426">
        <v>260.83933147487897</v>
      </c>
      <c r="AL2426">
        <v>81.524482293574707</v>
      </c>
      <c r="AM2426">
        <v>95.4756163461428</v>
      </c>
      <c r="AN2426">
        <v>1.0000000373029601</v>
      </c>
    </row>
    <row r="2427" spans="1:40" x14ac:dyDescent="0.25">
      <c r="A2427" t="str">
        <f>"20190304154808281"</f>
        <v>20190304154808281</v>
      </c>
      <c r="B2427" t="str">
        <f>"1551685688269537"</f>
        <v>1551685688269537</v>
      </c>
      <c r="C2427" t="s">
        <v>40</v>
      </c>
      <c r="D2427">
        <v>4.1137550000000003</v>
      </c>
      <c r="E2427">
        <v>0.54738149999999997</v>
      </c>
      <c r="F2427" t="s">
        <v>63</v>
      </c>
      <c r="G2427">
        <v>-510.95510000000002</v>
      </c>
      <c r="H2427">
        <v>4.3870680000000002</v>
      </c>
      <c r="I2427">
        <v>294.48869999999999</v>
      </c>
      <c r="J2427">
        <v>-250.49629999999999</v>
      </c>
      <c r="K2427">
        <v>1.1101430000000001</v>
      </c>
      <c r="L2427">
        <v>285.40010000000001</v>
      </c>
      <c r="M2427">
        <v>-0.99993790000000005</v>
      </c>
      <c r="N2427">
        <v>-1.113755E-2</v>
      </c>
      <c r="O2427">
        <v>3.185865E-4</v>
      </c>
      <c r="P2427">
        <v>-0.98610189999999998</v>
      </c>
      <c r="Q2427">
        <v>0.13677779999999901</v>
      </c>
      <c r="R2427">
        <v>-9.4312499999999994E-2</v>
      </c>
      <c r="S2427">
        <v>-3.0470730000000001</v>
      </c>
      <c r="T2427">
        <v>3.8301590000000003E-2</v>
      </c>
      <c r="U2427">
        <v>0.1062317</v>
      </c>
      <c r="V2427">
        <v>-9.4478610000000005E-2</v>
      </c>
      <c r="W2427">
        <v>0.14784710000000001</v>
      </c>
      <c r="X2427">
        <v>0.98448720000000001</v>
      </c>
      <c r="Y2427">
        <v>3.4523709999999999E-2</v>
      </c>
      <c r="Z2427" s="1">
        <v>-1.7036069999999999E-5</v>
      </c>
      <c r="AA2427">
        <v>0.99940390000000001</v>
      </c>
      <c r="AB2427">
        <v>29</v>
      </c>
      <c r="AC2427">
        <v>-260.4588</v>
      </c>
      <c r="AD2427">
        <v>3.2769249999999999</v>
      </c>
      <c r="AE2427">
        <v>9.08859999999998</v>
      </c>
      <c r="AF2427">
        <v>9.0041921871409301</v>
      </c>
      <c r="AG2427">
        <v>3.2769249999999999</v>
      </c>
      <c r="AH2427">
        <v>260.42051049706998</v>
      </c>
      <c r="AI2427">
        <v>89.2795039284089</v>
      </c>
      <c r="AJ2427">
        <v>88.0197536111517</v>
      </c>
      <c r="AK2427">
        <v>260.59673060488097</v>
      </c>
      <c r="AL2427">
        <v>81.497816682177699</v>
      </c>
      <c r="AM2427">
        <v>95.4817357942011</v>
      </c>
      <c r="AN2427">
        <v>1.00000000984489</v>
      </c>
    </row>
    <row r="2428" spans="1:40" x14ac:dyDescent="0.25">
      <c r="A2428" t="str">
        <f>"20190304154808302"</f>
        <v>20190304154808302</v>
      </c>
      <c r="B2428" t="str">
        <f>"1551685688298818"</f>
        <v>1551685688298818</v>
      </c>
      <c r="C2428" t="s">
        <v>40</v>
      </c>
      <c r="D2428">
        <v>3.9824090000000001</v>
      </c>
      <c r="E2428">
        <v>0.54803059999999904</v>
      </c>
      <c r="F2428" t="s">
        <v>63</v>
      </c>
      <c r="G2428">
        <v>-510.95510000000002</v>
      </c>
      <c r="H2428">
        <v>4.4847970000000004</v>
      </c>
      <c r="I2428">
        <v>294.54070000000002</v>
      </c>
      <c r="J2428">
        <v>-250.773</v>
      </c>
      <c r="K2428">
        <v>1.1101589999999999</v>
      </c>
      <c r="L2428">
        <v>285.4008</v>
      </c>
      <c r="M2428">
        <v>-0.99993770000000004</v>
      </c>
      <c r="N2428">
        <v>-1.1141119999999999E-2</v>
      </c>
      <c r="O2428">
        <v>7.7477639999999897E-4</v>
      </c>
      <c r="P2428">
        <v>-0.98607869999999997</v>
      </c>
      <c r="Q2428">
        <v>0.137521</v>
      </c>
      <c r="R2428">
        <v>-9.3472559999999996E-2</v>
      </c>
      <c r="S2428">
        <v>-3.0470429999999999</v>
      </c>
      <c r="T2428">
        <v>3.9480210000000002E-2</v>
      </c>
      <c r="U2428">
        <v>0.1069336</v>
      </c>
      <c r="V2428">
        <v>-9.4092469999999997E-2</v>
      </c>
      <c r="W2428">
        <v>0.1485889</v>
      </c>
      <c r="X2428">
        <v>0.98441250000000002</v>
      </c>
      <c r="Y2428">
        <v>3.4298099999999998E-2</v>
      </c>
      <c r="Z2428" s="1">
        <v>-1.233121E-5</v>
      </c>
      <c r="AA2428">
        <v>0.99941159999999996</v>
      </c>
      <c r="AB2428">
        <v>29</v>
      </c>
      <c r="AC2428">
        <v>-260.18209999999999</v>
      </c>
      <c r="AD2428">
        <v>3.3746379999999898</v>
      </c>
      <c r="AE2428">
        <v>9.1399000000000097</v>
      </c>
      <c r="AF2428">
        <v>8.9368002353023002</v>
      </c>
      <c r="AG2428">
        <v>3.3746379999999898</v>
      </c>
      <c r="AH2428">
        <v>260.14539378930499</v>
      </c>
      <c r="AI2428">
        <v>89.257231902057299</v>
      </c>
      <c r="AJ2428">
        <v>88.032486199294198</v>
      </c>
      <c r="AK2428">
        <v>260.32072620110199</v>
      </c>
      <c r="AL2428">
        <v>81.454840002033805</v>
      </c>
      <c r="AM2428">
        <v>95.459879012483398</v>
      </c>
      <c r="AN2428">
        <v>1.0000000121350801</v>
      </c>
    </row>
    <row r="2429" spans="1:40" x14ac:dyDescent="0.25">
      <c r="A2429" t="str">
        <f>"20190304154808315"</f>
        <v>20190304154808315</v>
      </c>
      <c r="B2429" t="str">
        <f>"1551685688309554"</f>
        <v>1551685688309554</v>
      </c>
      <c r="C2429" t="s">
        <v>40</v>
      </c>
      <c r="D2429">
        <v>3.9576579999999999</v>
      </c>
      <c r="E2429">
        <v>0.54842309999999905</v>
      </c>
      <c r="F2429" t="s">
        <v>63</v>
      </c>
      <c r="G2429">
        <v>-510.95530000000002</v>
      </c>
      <c r="H2429">
        <v>5.0335999999999999</v>
      </c>
      <c r="I2429">
        <v>295.17599999999999</v>
      </c>
      <c r="J2429">
        <v>-250.94</v>
      </c>
      <c r="K2429">
        <v>1.1101700000000001</v>
      </c>
      <c r="L2429">
        <v>285.40120000000002</v>
      </c>
      <c r="M2429">
        <v>-0.99993750000000003</v>
      </c>
      <c r="N2429">
        <v>-1.114323E-2</v>
      </c>
      <c r="O2429">
        <v>1.0407039999999999E-3</v>
      </c>
      <c r="P2429">
        <v>-0.98605699999999996</v>
      </c>
      <c r="Q2429">
        <v>0.1380034</v>
      </c>
      <c r="R2429">
        <v>-9.2989829999999996E-2</v>
      </c>
      <c r="S2429">
        <v>-3.0468139999999999</v>
      </c>
      <c r="T2429">
        <v>4.5945640000000003E-2</v>
      </c>
      <c r="U2429">
        <v>0.1144714</v>
      </c>
      <c r="V2429">
        <v>-9.3875310000000003E-2</v>
      </c>
      <c r="W2429">
        <v>0.14907029999999999</v>
      </c>
      <c r="X2429">
        <v>0.98436049999999997</v>
      </c>
      <c r="Y2429">
        <v>3.6503609999999999E-2</v>
      </c>
      <c r="Z2429" s="1">
        <v>-4.4378390000000001E-5</v>
      </c>
      <c r="AA2429">
        <v>0.99933349999999999</v>
      </c>
      <c r="AB2429">
        <v>29</v>
      </c>
      <c r="AC2429">
        <v>-260.01530000000002</v>
      </c>
      <c r="AD2429">
        <v>3.9234300000000002</v>
      </c>
      <c r="AE2429">
        <v>9.7747999999999706</v>
      </c>
      <c r="AF2429">
        <v>9.5020185644164297</v>
      </c>
      <c r="AG2429">
        <v>3.9234300000000002</v>
      </c>
      <c r="AH2429">
        <v>259.96622565795599</v>
      </c>
      <c r="AI2429">
        <v>89.135930298878407</v>
      </c>
      <c r="AJ2429">
        <v>87.906715353861003</v>
      </c>
      <c r="AK2429">
        <v>260.16940662308201</v>
      </c>
      <c r="AL2429">
        <v>81.426947589979207</v>
      </c>
      <c r="AM2429">
        <v>95.447639842829702</v>
      </c>
      <c r="AN2429">
        <v>1.00000006106496</v>
      </c>
    </row>
    <row r="2430" spans="1:40" x14ac:dyDescent="0.25">
      <c r="A2430" t="str">
        <f>"20190304154808328"</f>
        <v>20190304154808328</v>
      </c>
      <c r="B2430" t="str">
        <f>"1551685688319314"</f>
        <v>1551685688319314</v>
      </c>
      <c r="C2430" t="s">
        <v>40</v>
      </c>
      <c r="D2430">
        <v>4.1166900000000002</v>
      </c>
      <c r="E2430">
        <v>0.54836929999999995</v>
      </c>
      <c r="F2430" t="s">
        <v>63</v>
      </c>
      <c r="G2430">
        <v>-510.9554</v>
      </c>
      <c r="H2430">
        <v>5.3714149999999998</v>
      </c>
      <c r="I2430">
        <v>295.53809999999999</v>
      </c>
      <c r="J2430">
        <v>-251.11449999999999</v>
      </c>
      <c r="K2430">
        <v>1.110188</v>
      </c>
      <c r="L2430">
        <v>285.40159999999997</v>
      </c>
      <c r="M2430">
        <v>-0.99993710000000002</v>
      </c>
      <c r="N2430">
        <v>-1.114538E-2</v>
      </c>
      <c r="O2430">
        <v>1.3079179999999999E-3</v>
      </c>
      <c r="P2430">
        <v>-0.98605489999999996</v>
      </c>
      <c r="Q2430">
        <v>0.1381809</v>
      </c>
      <c r="R2430">
        <v>-9.2746620000000002E-2</v>
      </c>
      <c r="S2430">
        <v>-3.0466160000000002</v>
      </c>
      <c r="T2430">
        <v>4.9930210000000003E-2</v>
      </c>
      <c r="U2430">
        <v>0.1187744</v>
      </c>
      <c r="V2430">
        <v>-9.3899999999999997E-2</v>
      </c>
      <c r="W2430">
        <v>0.14924709999999999</v>
      </c>
      <c r="X2430">
        <v>0.98433130000000002</v>
      </c>
      <c r="Y2430">
        <v>3.7647949999999999E-2</v>
      </c>
      <c r="Z2430" s="1">
        <v>-6.2476519999999904E-5</v>
      </c>
      <c r="AA2430">
        <v>0.99929109999999999</v>
      </c>
      <c r="AB2430">
        <v>29</v>
      </c>
      <c r="AC2430">
        <v>-259.84089999999998</v>
      </c>
      <c r="AD2430">
        <v>4.2612269999999999</v>
      </c>
      <c r="AE2430">
        <v>10.1365</v>
      </c>
      <c r="AF2430">
        <v>9.7939896648039397</v>
      </c>
      <c r="AG2430">
        <v>4.2612269999999999</v>
      </c>
      <c r="AH2430">
        <v>259.78417623705201</v>
      </c>
      <c r="AI2430">
        <v>89.060931440865005</v>
      </c>
      <c r="AJ2430">
        <v>87.840943794819694</v>
      </c>
      <c r="AK2430">
        <v>260.00365095948803</v>
      </c>
      <c r="AL2430">
        <v>81.416702631213198</v>
      </c>
      <c r="AM2430">
        <v>95.449224667917505</v>
      </c>
      <c r="AN2430">
        <v>1.00000000750905</v>
      </c>
    </row>
    <row r="2431" spans="1:40" x14ac:dyDescent="0.25">
      <c r="A2431" t="str">
        <f>"20190304154808346"</f>
        <v>20190304154808346</v>
      </c>
      <c r="B2431" t="str">
        <f>"1551685688338837"</f>
        <v>1551685688338837</v>
      </c>
      <c r="C2431" t="s">
        <v>40</v>
      </c>
      <c r="D2431">
        <v>4.1201930000000004</v>
      </c>
      <c r="E2431">
        <v>0.54819609999999996</v>
      </c>
      <c r="F2431" t="s">
        <v>63</v>
      </c>
      <c r="G2431">
        <v>-510.9554</v>
      </c>
      <c r="H2431">
        <v>5.4021460000000001</v>
      </c>
      <c r="I2431">
        <v>295.57600000000002</v>
      </c>
      <c r="J2431">
        <v>-251.35380000000001</v>
      </c>
      <c r="K2431">
        <v>1.1102099999999999</v>
      </c>
      <c r="L2431">
        <v>285.40230000000003</v>
      </c>
      <c r="M2431">
        <v>-0.99993650000000001</v>
      </c>
      <c r="N2431">
        <v>-1.114827E-2</v>
      </c>
      <c r="O2431">
        <v>1.652641E-3</v>
      </c>
      <c r="P2431">
        <v>-0.98600379999999999</v>
      </c>
      <c r="Q2431">
        <v>0.13903509999999999</v>
      </c>
      <c r="R2431">
        <v>-9.2009720000000003E-2</v>
      </c>
      <c r="S2431">
        <v>-3.0465849999999999</v>
      </c>
      <c r="T2431">
        <v>5.0323369999999999E-2</v>
      </c>
      <c r="U2431">
        <v>0.1192932</v>
      </c>
      <c r="V2431">
        <v>-9.3509019999999998E-2</v>
      </c>
      <c r="W2431">
        <v>0.15009810000000001</v>
      </c>
      <c r="X2431">
        <v>0.98423910000000003</v>
      </c>
      <c r="Y2431">
        <v>3.7473840000000001E-2</v>
      </c>
      <c r="Z2431" s="1">
        <v>-5.4679370000000002E-5</v>
      </c>
      <c r="AA2431">
        <v>0.99929760000000001</v>
      </c>
      <c r="AB2431">
        <v>29</v>
      </c>
      <c r="AC2431">
        <v>-259.60160000000002</v>
      </c>
      <c r="AD2431">
        <v>4.2919359999999998</v>
      </c>
      <c r="AE2431">
        <v>10.173699999999901</v>
      </c>
      <c r="AF2431">
        <v>9.7419724808470605</v>
      </c>
      <c r="AG2431">
        <v>4.2919359999999998</v>
      </c>
      <c r="AH2431">
        <v>259.547225979171</v>
      </c>
      <c r="AI2431">
        <v>89.053295932611107</v>
      </c>
      <c r="AJ2431">
        <v>87.850441278953696</v>
      </c>
      <c r="AK2431">
        <v>259.76545046624</v>
      </c>
      <c r="AL2431">
        <v>81.367388285541693</v>
      </c>
      <c r="AM2431">
        <v>95.427176279026199</v>
      </c>
      <c r="AN2431">
        <v>0.99999999120688998</v>
      </c>
    </row>
    <row r="2432" spans="1:40" x14ac:dyDescent="0.25">
      <c r="A2432" t="str">
        <f>"20190304154808360"</f>
        <v>20190304154808360</v>
      </c>
      <c r="B2432" t="str">
        <f>"1551685688349570"</f>
        <v>1551685688349570</v>
      </c>
      <c r="C2432" t="s">
        <v>40</v>
      </c>
      <c r="D2432">
        <v>4.1281549999999996</v>
      </c>
      <c r="E2432">
        <v>0.54811299999999996</v>
      </c>
      <c r="F2432" t="s">
        <v>63</v>
      </c>
      <c r="G2432">
        <v>-510.07060000000001</v>
      </c>
      <c r="H2432">
        <v>5.5419</v>
      </c>
      <c r="I2432">
        <v>295.60329999999999</v>
      </c>
      <c r="J2432">
        <v>-251.52600000000001</v>
      </c>
      <c r="K2432">
        <v>1.1102289999999999</v>
      </c>
      <c r="L2432">
        <v>285.40289999999999</v>
      </c>
      <c r="M2432">
        <v>-0.99993600000000005</v>
      </c>
      <c r="N2432">
        <v>-1.11502999999999E-2</v>
      </c>
      <c r="O2432">
        <v>1.882187E-3</v>
      </c>
      <c r="P2432">
        <v>-0.98605690000000001</v>
      </c>
      <c r="Q2432">
        <v>0.13898750000000001</v>
      </c>
      <c r="R2432">
        <v>-9.1511339999999997E-2</v>
      </c>
      <c r="S2432">
        <v>-3.0464169999999999</v>
      </c>
      <c r="T2432">
        <v>5.2184580000000001E-2</v>
      </c>
      <c r="U2432">
        <v>0.12011719999999999</v>
      </c>
      <c r="V2432">
        <v>-9.3243619999999999E-2</v>
      </c>
      <c r="W2432">
        <v>0.15004909999999999</v>
      </c>
      <c r="X2432">
        <v>0.98427180000000003</v>
      </c>
      <c r="Y2432">
        <v>3.7516319999999999E-2</v>
      </c>
      <c r="Z2432" s="1">
        <v>-5.8720030000000002E-5</v>
      </c>
      <c r="AA2432">
        <v>0.99929599999999996</v>
      </c>
      <c r="AB2432">
        <v>29</v>
      </c>
      <c r="AC2432">
        <v>-258.5446</v>
      </c>
      <c r="AD2432">
        <v>4.4316709999999997</v>
      </c>
      <c r="AE2432">
        <v>10.2004</v>
      </c>
      <c r="AF2432">
        <v>9.7108736591903604</v>
      </c>
      <c r="AG2432">
        <v>4.4316709999999997</v>
      </c>
      <c r="AH2432">
        <v>258.48751448311299</v>
      </c>
      <c r="AI2432">
        <v>89.018473950189005</v>
      </c>
      <c r="AJ2432">
        <v>87.8485206827052</v>
      </c>
      <c r="AK2432">
        <v>258.70781959332902</v>
      </c>
      <c r="AL2432">
        <v>81.370228368506503</v>
      </c>
      <c r="AM2432">
        <v>95.411685565357899</v>
      </c>
      <c r="AN2432">
        <v>1.00000004067837</v>
      </c>
    </row>
    <row r="2433" spans="1:40" x14ac:dyDescent="0.25">
      <c r="A2433" t="str">
        <f>"20190304154808373"</f>
        <v>20190304154808373</v>
      </c>
      <c r="B2433" t="str">
        <f>"1551685688369089"</f>
        <v>1551685688369089</v>
      </c>
      <c r="C2433" t="s">
        <v>40</v>
      </c>
      <c r="D2433">
        <v>4.0957710000000001</v>
      </c>
      <c r="E2433">
        <v>0.54790890000000003</v>
      </c>
      <c r="F2433" t="s">
        <v>63</v>
      </c>
      <c r="G2433">
        <v>-510.9554</v>
      </c>
      <c r="H2433">
        <v>5.4894059999999998</v>
      </c>
      <c r="I2433">
        <v>295.67630000000003</v>
      </c>
      <c r="J2433">
        <v>-251.69540000000001</v>
      </c>
      <c r="K2433">
        <v>1.1102479999999999</v>
      </c>
      <c r="L2433">
        <v>285.40339999999998</v>
      </c>
      <c r="M2433">
        <v>-0.99993569999999998</v>
      </c>
      <c r="N2433">
        <v>-1.115229E-2</v>
      </c>
      <c r="O2433">
        <v>2.0963370000000002E-3</v>
      </c>
      <c r="P2433">
        <v>-0.98612270000000002</v>
      </c>
      <c r="Q2433">
        <v>0.1389629</v>
      </c>
      <c r="R2433">
        <v>-9.0838189999999999E-2</v>
      </c>
      <c r="S2433">
        <v>-3.0463559999999998</v>
      </c>
      <c r="T2433">
        <v>5.1423549999999998E-2</v>
      </c>
      <c r="U2433">
        <v>0.12063599999999999</v>
      </c>
      <c r="V2433">
        <v>-9.2788270000000006E-2</v>
      </c>
      <c r="W2433">
        <v>0.15002219999999999</v>
      </c>
      <c r="X2433">
        <v>0.9843189</v>
      </c>
      <c r="Y2433">
        <v>3.7473190000000003E-2</v>
      </c>
      <c r="Z2433" s="1">
        <v>-4.8346320000000003E-5</v>
      </c>
      <c r="AA2433">
        <v>0.99929760000000001</v>
      </c>
      <c r="AB2433">
        <v>29</v>
      </c>
      <c r="AC2433">
        <v>-259.26</v>
      </c>
      <c r="AD2433">
        <v>4.3791580000000003</v>
      </c>
      <c r="AE2433">
        <v>10.2729</v>
      </c>
      <c r="AF2433">
        <v>9.7265766431579106</v>
      </c>
      <c r="AG2433">
        <v>4.3791580000000003</v>
      </c>
      <c r="AH2433">
        <v>259.20712975074201</v>
      </c>
      <c r="AI2433">
        <v>89.032792838504193</v>
      </c>
      <c r="AJ2433">
        <v>87.851021913229403</v>
      </c>
      <c r="AK2433">
        <v>259.42652029351598</v>
      </c>
      <c r="AL2433">
        <v>81.371787005961707</v>
      </c>
      <c r="AM2433">
        <v>95.385157479722395</v>
      </c>
      <c r="AN2433">
        <v>1.0000000102198201</v>
      </c>
    </row>
    <row r="2434" spans="1:40" x14ac:dyDescent="0.25">
      <c r="A2434" t="str">
        <f>"20190304154808390"</f>
        <v>20190304154808390</v>
      </c>
      <c r="B2434" t="str">
        <f>"1551685688378850"</f>
        <v>1551685688378850</v>
      </c>
      <c r="C2434" t="s">
        <v>40</v>
      </c>
      <c r="D2434">
        <v>4.1164040000000002</v>
      </c>
      <c r="E2434">
        <v>0.54783440000000005</v>
      </c>
      <c r="F2434" t="s">
        <v>63</v>
      </c>
      <c r="G2434">
        <v>-510.9554</v>
      </c>
      <c r="H2434">
        <v>5.3923489999999896</v>
      </c>
      <c r="I2434">
        <v>295.70670000000001</v>
      </c>
      <c r="J2434">
        <v>-251.92959999999999</v>
      </c>
      <c r="K2434">
        <v>1.1102730000000001</v>
      </c>
      <c r="L2434">
        <v>285.4042</v>
      </c>
      <c r="M2434">
        <v>-0.99993520000000002</v>
      </c>
      <c r="N2434">
        <v>-1.1155099999999999E-2</v>
      </c>
      <c r="O2434">
        <v>2.3604720000000002E-3</v>
      </c>
      <c r="P2434">
        <v>-0.98627370000000003</v>
      </c>
      <c r="Q2434">
        <v>0.1382688</v>
      </c>
      <c r="R2434">
        <v>-9.0257119999999996E-2</v>
      </c>
      <c r="S2434">
        <v>-3.0462799999999999</v>
      </c>
      <c r="T2434">
        <v>5.0315260000000001E-2</v>
      </c>
      <c r="U2434">
        <v>0.1210632</v>
      </c>
      <c r="V2434">
        <v>-9.2478969999999994E-2</v>
      </c>
      <c r="W2434">
        <v>0.1493254</v>
      </c>
      <c r="X2434">
        <v>0.98445389999999999</v>
      </c>
      <c r="Y2434">
        <v>3.7350380000000002E-2</v>
      </c>
      <c r="Z2434" s="1">
        <v>-3.4609400000000001E-5</v>
      </c>
      <c r="AA2434">
        <v>0.99930220000000003</v>
      </c>
      <c r="AB2434">
        <v>29</v>
      </c>
      <c r="AC2434">
        <v>-259.0258</v>
      </c>
      <c r="AD2434">
        <v>4.2820759999999902</v>
      </c>
      <c r="AE2434">
        <v>10.3025</v>
      </c>
      <c r="AF2434">
        <v>9.6883666819164098</v>
      </c>
      <c r="AG2434">
        <v>4.2820759999999902</v>
      </c>
      <c r="AH2434">
        <v>258.97873421813398</v>
      </c>
      <c r="AI2434">
        <v>89.053393031172803</v>
      </c>
      <c r="AJ2434">
        <v>87.857570101996799</v>
      </c>
      <c r="AK2434">
        <v>259.19526500509198</v>
      </c>
      <c r="AL2434">
        <v>81.412165101526199</v>
      </c>
      <c r="AM2434">
        <v>95.3665798953772</v>
      </c>
      <c r="AN2434">
        <v>0.99999995810131403</v>
      </c>
    </row>
    <row r="2435" spans="1:40" x14ac:dyDescent="0.25">
      <c r="A2435" t="str">
        <f>"20190304154808403"</f>
        <v>20190304154808403</v>
      </c>
      <c r="B2435" t="str">
        <f>"1551685688399346"</f>
        <v>1551685688399346</v>
      </c>
      <c r="C2435" t="s">
        <v>40</v>
      </c>
      <c r="D2435">
        <v>4.0980879999999997</v>
      </c>
      <c r="E2435">
        <v>0.54766059999999905</v>
      </c>
      <c r="F2435" t="s">
        <v>63</v>
      </c>
      <c r="G2435">
        <v>-510.95530000000002</v>
      </c>
      <c r="H2435">
        <v>5.1720940000000004</v>
      </c>
      <c r="I2435">
        <v>295.81240000000003</v>
      </c>
      <c r="J2435">
        <v>-252.0797</v>
      </c>
      <c r="K2435">
        <v>1.1102909999999999</v>
      </c>
      <c r="L2435">
        <v>285.40469999999999</v>
      </c>
      <c r="M2435">
        <v>-0.99993460000000001</v>
      </c>
      <c r="N2435">
        <v>-1.1156900000000001E-2</v>
      </c>
      <c r="O2435">
        <v>2.508204E-3</v>
      </c>
      <c r="P2435">
        <v>-0.98627949999999998</v>
      </c>
      <c r="Q2435">
        <v>0.13820109999999999</v>
      </c>
      <c r="R2435">
        <v>-9.029508E-2</v>
      </c>
      <c r="S2435">
        <v>-3.046265</v>
      </c>
      <c r="T2435">
        <v>4.7769899999999997E-2</v>
      </c>
      <c r="U2435">
        <v>0.122406</v>
      </c>
      <c r="V2435">
        <v>-9.2670539999999996E-2</v>
      </c>
      <c r="W2435">
        <v>0.1492551</v>
      </c>
      <c r="X2435">
        <v>0.98444659999999995</v>
      </c>
      <c r="Y2435">
        <v>3.7643040000000003E-2</v>
      </c>
      <c r="Z2435" s="1">
        <v>-1.7642829999999999E-5</v>
      </c>
      <c r="AA2435">
        <v>0.99929120000000005</v>
      </c>
      <c r="AB2435">
        <v>29</v>
      </c>
      <c r="AC2435">
        <v>-258.87560000000002</v>
      </c>
      <c r="AD2435">
        <v>4.0618030000000003</v>
      </c>
      <c r="AE2435">
        <v>10.4077</v>
      </c>
      <c r="AF2435">
        <v>9.7559161668496994</v>
      </c>
      <c r="AG2435">
        <v>4.0618030000000003</v>
      </c>
      <c r="AH2435">
        <v>258.83727372272801</v>
      </c>
      <c r="AI2435">
        <v>89.101597795482704</v>
      </c>
      <c r="AJ2435">
        <v>87.841468733487204</v>
      </c>
      <c r="AK2435">
        <v>259.05291044896597</v>
      </c>
      <c r="AL2435">
        <v>81.416239103488294</v>
      </c>
      <c r="AM2435">
        <v>95.377671292484095</v>
      </c>
      <c r="AN2435">
        <v>1.0000000110557301</v>
      </c>
    </row>
    <row r="2436" spans="1:40" x14ac:dyDescent="0.25">
      <c r="A2436" t="str">
        <f>"20190304154808415"</f>
        <v>20190304154808415</v>
      </c>
      <c r="B2436" t="str">
        <f>"1551685688409105"</f>
        <v>1551685688409105</v>
      </c>
      <c r="C2436" t="s">
        <v>40</v>
      </c>
      <c r="D2436">
        <v>4.2204879999999996</v>
      </c>
      <c r="E2436">
        <v>0.54708950000000001</v>
      </c>
      <c r="F2436" t="s">
        <v>63</v>
      </c>
      <c r="G2436">
        <v>-510.95530000000002</v>
      </c>
      <c r="H2436">
        <v>5.0465720000000003</v>
      </c>
      <c r="I2436">
        <v>295.6848</v>
      </c>
      <c r="J2436">
        <v>-252.25040000000001</v>
      </c>
      <c r="K2436">
        <v>1.1103130000000001</v>
      </c>
      <c r="L2436">
        <v>285.40530000000001</v>
      </c>
      <c r="M2436">
        <v>-0.99993430000000005</v>
      </c>
      <c r="N2436">
        <v>-1.1158950000000001E-2</v>
      </c>
      <c r="O2436">
        <v>2.6656689999999999E-3</v>
      </c>
      <c r="P2436">
        <v>-0.98631020000000003</v>
      </c>
      <c r="Q2436">
        <v>0.13793559999999999</v>
      </c>
      <c r="R2436">
        <v>-9.0366150000000006E-2</v>
      </c>
      <c r="S2436">
        <v>-3.0463260000000001</v>
      </c>
      <c r="T2436">
        <v>4.6321269999999998E-2</v>
      </c>
      <c r="U2436">
        <v>0.1209717</v>
      </c>
      <c r="V2436">
        <v>-9.2904829999999994E-2</v>
      </c>
      <c r="W2436">
        <v>0.1489868</v>
      </c>
      <c r="X2436">
        <v>0.98446509999999998</v>
      </c>
      <c r="Y2436">
        <v>3.7015329999999999E-2</v>
      </c>
      <c r="Z2436" s="1">
        <v>-4.4295739999999996E-6</v>
      </c>
      <c r="AA2436">
        <v>0.9993147</v>
      </c>
      <c r="AB2436">
        <v>29</v>
      </c>
      <c r="AC2436">
        <v>-258.70490000000001</v>
      </c>
      <c r="AD2436">
        <v>3.9362590000000002</v>
      </c>
      <c r="AE2436">
        <v>10.279499999999899</v>
      </c>
      <c r="AF2436">
        <v>9.5875829182449603</v>
      </c>
      <c r="AG2436">
        <v>3.9362590000000002</v>
      </c>
      <c r="AH2436">
        <v>258.67159513327601</v>
      </c>
      <c r="AI2436">
        <v>89.128783735302207</v>
      </c>
      <c r="AJ2436">
        <v>87.877321281557499</v>
      </c>
      <c r="AK2436">
        <v>258.87914170501</v>
      </c>
      <c r="AL2436">
        <v>81.431784888246696</v>
      </c>
      <c r="AM2436">
        <v>95.391086420141704</v>
      </c>
      <c r="AN2436">
        <v>0.99999995356478799</v>
      </c>
    </row>
    <row r="2437" spans="1:40" x14ac:dyDescent="0.25">
      <c r="A2437" t="str">
        <f>"20190304154808428"</f>
        <v>20190304154808428</v>
      </c>
      <c r="B2437" t="str">
        <f>"1551685688418866"</f>
        <v>1551685688418866</v>
      </c>
      <c r="C2437" t="s">
        <v>40</v>
      </c>
      <c r="D2437">
        <v>4.130725</v>
      </c>
      <c r="E2437">
        <v>0.54701390000000005</v>
      </c>
      <c r="F2437" t="s">
        <v>63</v>
      </c>
      <c r="G2437">
        <v>-510.95510000000002</v>
      </c>
      <c r="H2437">
        <v>4.636139</v>
      </c>
      <c r="I2437">
        <v>295.27120000000002</v>
      </c>
      <c r="J2437">
        <v>-252.4221</v>
      </c>
      <c r="K2437">
        <v>1.11032999999999</v>
      </c>
      <c r="L2437">
        <v>285.40589999999997</v>
      </c>
      <c r="M2437">
        <v>-0.99993379999999998</v>
      </c>
      <c r="N2437">
        <v>-1.1160979999999999E-2</v>
      </c>
      <c r="O2437">
        <v>2.8047620000000001E-3</v>
      </c>
      <c r="P2437">
        <v>-0.98632430000000004</v>
      </c>
      <c r="Q2437">
        <v>0.1378095</v>
      </c>
      <c r="R2437">
        <v>-9.0406020000000004E-2</v>
      </c>
      <c r="S2437">
        <v>-3.046478</v>
      </c>
      <c r="T2437">
        <v>4.1520710000000002E-2</v>
      </c>
      <c r="U2437">
        <v>0.1161804</v>
      </c>
      <c r="V2437">
        <v>-9.3090660000000006E-2</v>
      </c>
      <c r="W2437">
        <v>0.14885770000000001</v>
      </c>
      <c r="X2437">
        <v>0.98446710000000004</v>
      </c>
      <c r="Y2437">
        <v>3.5305499999999997E-2</v>
      </c>
      <c r="Z2437" s="1">
        <v>2.6110410000000001E-5</v>
      </c>
      <c r="AA2437">
        <v>0.99937659999999995</v>
      </c>
      <c r="AB2437">
        <v>29</v>
      </c>
      <c r="AC2437">
        <v>-258.53300000000002</v>
      </c>
      <c r="AD2437">
        <v>3.52580899999999</v>
      </c>
      <c r="AE2437">
        <v>9.8653000000000404</v>
      </c>
      <c r="AF2437">
        <v>9.1383953404087901</v>
      </c>
      <c r="AG2437">
        <v>3.52580899999999</v>
      </c>
      <c r="AH2437">
        <v>258.51164428305401</v>
      </c>
      <c r="AI2437">
        <v>89.219085965558904</v>
      </c>
      <c r="AJ2437">
        <v>87.975435297284093</v>
      </c>
      <c r="AK2437">
        <v>258.69714306197898</v>
      </c>
      <c r="AL2437">
        <v>81.439265401489806</v>
      </c>
      <c r="AM2437">
        <v>95.401795141499406</v>
      </c>
      <c r="AN2437">
        <v>0.99999997840546695</v>
      </c>
    </row>
    <row r="2438" spans="1:40" x14ac:dyDescent="0.25">
      <c r="A2438" t="str">
        <f>"20190304154808447"</f>
        <v>20190304154808447</v>
      </c>
      <c r="B2438" t="str">
        <f>"1551685688439362"</f>
        <v>1551685688439362</v>
      </c>
      <c r="C2438" t="s">
        <v>40</v>
      </c>
      <c r="D2438">
        <v>3.9701029999999999</v>
      </c>
      <c r="E2438">
        <v>0.54718679999999997</v>
      </c>
      <c r="F2438" t="s">
        <v>63</v>
      </c>
      <c r="G2438">
        <v>-510.95510000000002</v>
      </c>
      <c r="H2438">
        <v>4.5581779999999998</v>
      </c>
      <c r="I2438">
        <v>295.19009999999997</v>
      </c>
      <c r="J2438">
        <v>-252.66730000000001</v>
      </c>
      <c r="K2438">
        <v>1.11036</v>
      </c>
      <c r="L2438">
        <v>285.40679999999998</v>
      </c>
      <c r="M2438">
        <v>-0.99993319999999997</v>
      </c>
      <c r="N2438">
        <v>-1.116383E-2</v>
      </c>
      <c r="O2438">
        <v>2.9706070000000001E-3</v>
      </c>
      <c r="P2438">
        <v>-0.98623380000000005</v>
      </c>
      <c r="Q2438">
        <v>0.13810610000000001</v>
      </c>
      <c r="R2438">
        <v>-9.0937439999999994E-2</v>
      </c>
      <c r="S2438">
        <v>-3.046494</v>
      </c>
      <c r="T2438">
        <v>4.062963E-2</v>
      </c>
      <c r="U2438">
        <v>0.11529540000000001</v>
      </c>
      <c r="V2438">
        <v>-9.3797679999999994E-2</v>
      </c>
      <c r="W2438">
        <v>0.14914859999999999</v>
      </c>
      <c r="X2438">
        <v>0.98435600000000001</v>
      </c>
      <c r="Y2438">
        <v>3.4849770000000002E-2</v>
      </c>
      <c r="Z2438" s="1">
        <v>3.5062959999999997E-5</v>
      </c>
      <c r="AA2438">
        <v>0.99939259999999996</v>
      </c>
      <c r="AB2438">
        <v>29</v>
      </c>
      <c r="AC2438">
        <v>-258.2878</v>
      </c>
      <c r="AD2438">
        <v>3.4478179999999998</v>
      </c>
      <c r="AE2438">
        <v>9.7832999999999899</v>
      </c>
      <c r="AF2438">
        <v>9.0143334564987896</v>
      </c>
      <c r="AG2438">
        <v>3.4478179999999998</v>
      </c>
      <c r="AH2438">
        <v>258.269769477907</v>
      </c>
      <c r="AI2438">
        <v>89.235630664891403</v>
      </c>
      <c r="AJ2438">
        <v>88.001029353811802</v>
      </c>
      <c r="AK2438">
        <v>258.45003285509</v>
      </c>
      <c r="AL2438">
        <v>81.422410274537896</v>
      </c>
      <c r="AM2438">
        <v>95.443186729407699</v>
      </c>
      <c r="AN2438">
        <v>1.00000002219567</v>
      </c>
    </row>
    <row r="2439" spans="1:40" x14ac:dyDescent="0.25">
      <c r="A2439" t="str">
        <f>"20190304154808471"</f>
        <v>20190304154808471</v>
      </c>
      <c r="B2439" t="str">
        <f>"1551685688469619"</f>
        <v>1551685688469619</v>
      </c>
      <c r="C2439" t="s">
        <v>40</v>
      </c>
      <c r="D2439">
        <v>4.1218729999999999</v>
      </c>
      <c r="E2439">
        <v>0.54725749999999995</v>
      </c>
      <c r="F2439" t="s">
        <v>48</v>
      </c>
      <c r="G2439">
        <v>-476.38920000000002</v>
      </c>
      <c r="H2439">
        <v>4.2693839999999996</v>
      </c>
      <c r="I2439">
        <v>293.85579999999999</v>
      </c>
      <c r="J2439">
        <v>-252.971</v>
      </c>
      <c r="K2439">
        <v>1.1103989999999999</v>
      </c>
      <c r="L2439">
        <v>285.40789999999998</v>
      </c>
      <c r="M2439">
        <v>-0.99993279999999995</v>
      </c>
      <c r="N2439">
        <v>-1.116733E-2</v>
      </c>
      <c r="O2439">
        <v>3.1314810000000002E-3</v>
      </c>
      <c r="P2439">
        <v>-0.98620099999999999</v>
      </c>
      <c r="Q2439">
        <v>0.138020899999999</v>
      </c>
      <c r="R2439">
        <v>-9.1422299999999998E-2</v>
      </c>
      <c r="S2439">
        <v>-3.0464479999999998</v>
      </c>
      <c r="T2439">
        <v>4.3016789999999999E-2</v>
      </c>
      <c r="U2439">
        <v>0.1150513</v>
      </c>
      <c r="V2439">
        <v>-9.4454689999999994E-2</v>
      </c>
      <c r="W2439">
        <v>0.1490571</v>
      </c>
      <c r="X2439">
        <v>0.98430700000000004</v>
      </c>
      <c r="Y2439">
        <v>3.4609460000000002E-2</v>
      </c>
      <c r="Z2439" s="1">
        <v>2.823083E-5</v>
      </c>
      <c r="AA2439">
        <v>0.99940090000000004</v>
      </c>
      <c r="AB2439">
        <v>29</v>
      </c>
      <c r="AC2439">
        <v>-223.41820000000001</v>
      </c>
      <c r="AD2439">
        <v>3.1589849999999902</v>
      </c>
      <c r="AE2439">
        <v>8.4479000000000006</v>
      </c>
      <c r="AF2439">
        <v>7.7466386350695604</v>
      </c>
      <c r="AG2439">
        <v>3.1589849999999902</v>
      </c>
      <c r="AH2439">
        <v>223.39896216870099</v>
      </c>
      <c r="AI2439">
        <v>89.190346522555103</v>
      </c>
      <c r="AJ2439">
        <v>88.013992894604598</v>
      </c>
      <c r="AK2439">
        <v>223.55555438061799</v>
      </c>
      <c r="AL2439">
        <v>81.427711816033593</v>
      </c>
      <c r="AM2439">
        <v>95.481353579531898</v>
      </c>
      <c r="AN2439">
        <v>0.99999998888620301</v>
      </c>
    </row>
    <row r="2440" spans="1:40" x14ac:dyDescent="0.25">
      <c r="A2440" t="str">
        <f>"20190304154808493"</f>
        <v>20190304154808493</v>
      </c>
      <c r="B2440" t="str">
        <f>"1551685688489138"</f>
        <v>1551685688489138</v>
      </c>
      <c r="C2440" t="s">
        <v>40</v>
      </c>
      <c r="D2440">
        <v>4.259366</v>
      </c>
      <c r="E2440">
        <v>0.54657800000000001</v>
      </c>
      <c r="F2440" t="s">
        <v>48</v>
      </c>
      <c r="G2440">
        <v>-476.32850000000002</v>
      </c>
      <c r="H2440">
        <v>4.1683779999999997</v>
      </c>
      <c r="I2440">
        <v>293.77969999999999</v>
      </c>
      <c r="J2440">
        <v>-253.25069999999999</v>
      </c>
      <c r="K2440">
        <v>1.110422</v>
      </c>
      <c r="L2440">
        <v>285.40890000000002</v>
      </c>
      <c r="M2440">
        <v>-0.9999323</v>
      </c>
      <c r="N2440">
        <v>-1.117052E-2</v>
      </c>
      <c r="O2440">
        <v>3.2364260000000001E-3</v>
      </c>
      <c r="P2440">
        <v>-0.98624869999999998</v>
      </c>
      <c r="Q2440">
        <v>0.1374582</v>
      </c>
      <c r="R2440">
        <v>-9.175403E-2</v>
      </c>
      <c r="S2440">
        <v>-3.0467379999999999</v>
      </c>
      <c r="T2440">
        <v>4.1712760000000002E-2</v>
      </c>
      <c r="U2440">
        <v>0.1141968</v>
      </c>
      <c r="V2440">
        <v>-9.4901700000000005E-2</v>
      </c>
      <c r="W2440">
        <v>0.14849119999999999</v>
      </c>
      <c r="X2440">
        <v>0.98434949999999999</v>
      </c>
      <c r="Y2440">
        <v>3.4221210000000002E-2</v>
      </c>
      <c r="Z2440" s="1">
        <v>3.7471619999999997E-5</v>
      </c>
      <c r="AA2440">
        <v>0.99941429999999998</v>
      </c>
      <c r="AB2440">
        <v>29</v>
      </c>
      <c r="AC2440">
        <v>-223.0778</v>
      </c>
      <c r="AD2440">
        <v>3.0579559999999999</v>
      </c>
      <c r="AE2440">
        <v>8.3707999999999707</v>
      </c>
      <c r="AF2440">
        <v>7.6473012801719804</v>
      </c>
      <c r="AG2440">
        <v>3.0579559999999999</v>
      </c>
      <c r="AH2440">
        <v>223.06186810294699</v>
      </c>
      <c r="AI2440">
        <v>89.2150422460996</v>
      </c>
      <c r="AJ2440">
        <v>88.036479519117293</v>
      </c>
      <c r="AK2440">
        <v>223.213864518636</v>
      </c>
      <c r="AL2440">
        <v>81.460500092827004</v>
      </c>
      <c r="AM2440">
        <v>95.506898853407094</v>
      </c>
      <c r="AN2440">
        <v>0.99999995364528804</v>
      </c>
    </row>
    <row r="2441" spans="1:40" x14ac:dyDescent="0.25">
      <c r="A2441" t="str">
        <f>"20190304154808505"</f>
        <v>20190304154808505</v>
      </c>
      <c r="B2441" t="str">
        <f>"1551685688498898"</f>
        <v>1551685688498898</v>
      </c>
      <c r="C2441" t="s">
        <v>40</v>
      </c>
      <c r="D2441">
        <v>4.2375590000000001</v>
      </c>
      <c r="E2441">
        <v>0.54626560000000002</v>
      </c>
      <c r="F2441" t="s">
        <v>63</v>
      </c>
      <c r="G2441">
        <v>-510.95499999999998</v>
      </c>
      <c r="H2441">
        <v>4.0811999999999999</v>
      </c>
      <c r="I2441">
        <v>294.54579999999999</v>
      </c>
      <c r="J2441">
        <v>-253.42850000000001</v>
      </c>
      <c r="K2441">
        <v>1.110439</v>
      </c>
      <c r="L2441">
        <v>285.40949999999998</v>
      </c>
      <c r="M2441">
        <v>-0.9999323</v>
      </c>
      <c r="N2441">
        <v>-1.117253E-2</v>
      </c>
      <c r="O2441">
        <v>3.2839900000000001E-3</v>
      </c>
      <c r="P2441">
        <v>-0.98626670000000005</v>
      </c>
      <c r="Q2441">
        <v>0.1372671</v>
      </c>
      <c r="R2441">
        <v>-9.1847680000000001E-2</v>
      </c>
      <c r="S2441">
        <v>-3.0469970000000002</v>
      </c>
      <c r="T2441">
        <v>3.5126329999999997E-2</v>
      </c>
      <c r="U2441">
        <v>0.10803219999999999</v>
      </c>
      <c r="V2441">
        <v>-9.5048579999999994E-2</v>
      </c>
      <c r="W2441">
        <v>0.1482984</v>
      </c>
      <c r="X2441">
        <v>0.98436440000000003</v>
      </c>
      <c r="Y2441">
        <v>3.2151510000000001E-2</v>
      </c>
      <c r="Z2441" s="1">
        <v>6.8932189999999996E-5</v>
      </c>
      <c r="AA2441">
        <v>0.99948300000000001</v>
      </c>
      <c r="AB2441">
        <v>29</v>
      </c>
      <c r="AC2441">
        <v>-257.52649999999898</v>
      </c>
      <c r="AD2441">
        <v>2.970761</v>
      </c>
      <c r="AE2441">
        <v>9.1363000000000003</v>
      </c>
      <c r="AF2441">
        <v>8.2893818694431491</v>
      </c>
      <c r="AG2441">
        <v>2.970761</v>
      </c>
      <c r="AH2441">
        <v>257.52089042359398</v>
      </c>
      <c r="AI2441">
        <v>89.3394073186425</v>
      </c>
      <c r="AJ2441">
        <v>88.156333415861397</v>
      </c>
      <c r="AK2441">
        <v>257.67139592367897</v>
      </c>
      <c r="AL2441">
        <v>81.471670449574901</v>
      </c>
      <c r="AM2441">
        <v>95.515286434736893</v>
      </c>
      <c r="AN2441">
        <v>0.99999995999496705</v>
      </c>
    </row>
    <row r="2442" spans="1:40" x14ac:dyDescent="0.25">
      <c r="A2442" t="str">
        <f>"20190304154808532"</f>
        <v>20190304154808532</v>
      </c>
      <c r="B2442" t="str">
        <f>"1551685688529154"</f>
        <v>1551685688529154</v>
      </c>
      <c r="C2442" t="s">
        <v>40</v>
      </c>
      <c r="D2442">
        <v>4.2180549999999997</v>
      </c>
      <c r="E2442">
        <v>0.54657509999999998</v>
      </c>
      <c r="F2442" t="s">
        <v>63</v>
      </c>
      <c r="G2442">
        <v>-510.95490000000001</v>
      </c>
      <c r="H2442">
        <v>3.85277</v>
      </c>
      <c r="I2442">
        <v>294.32839999999999</v>
      </c>
      <c r="J2442">
        <v>-253.6771</v>
      </c>
      <c r="K2442">
        <v>1.1104620000000001</v>
      </c>
      <c r="L2442">
        <v>285.41039999999998</v>
      </c>
      <c r="M2442">
        <v>-0.99993209999999999</v>
      </c>
      <c r="N2442">
        <v>-1.1175350000000001E-2</v>
      </c>
      <c r="O2442">
        <v>3.3368719999999998E-3</v>
      </c>
      <c r="P2442">
        <v>-0.98625949999999996</v>
      </c>
      <c r="Q2442">
        <v>0.13712669999999999</v>
      </c>
      <c r="R2442">
        <v>-9.213412E-2</v>
      </c>
      <c r="S2442">
        <v>-3.0470890000000002</v>
      </c>
      <c r="T2442">
        <v>3.2448650000000002E-2</v>
      </c>
      <c r="U2442">
        <v>0.10552980000000001</v>
      </c>
      <c r="V2442">
        <v>-9.5394690000000004E-2</v>
      </c>
      <c r="W2442">
        <v>0.14815599999999901</v>
      </c>
      <c r="X2442">
        <v>0.98435240000000002</v>
      </c>
      <c r="Y2442">
        <v>3.1277850000000003E-2</v>
      </c>
      <c r="Z2442" s="1">
        <v>8.1144239999999997E-5</v>
      </c>
      <c r="AA2442">
        <v>0.99951069999999997</v>
      </c>
      <c r="AB2442">
        <v>29</v>
      </c>
      <c r="AC2442">
        <v>-257.27780000000001</v>
      </c>
      <c r="AD2442">
        <v>2.7423079999999902</v>
      </c>
      <c r="AE2442">
        <v>8.9179999999999993</v>
      </c>
      <c r="AF2442">
        <v>8.0584792922728905</v>
      </c>
      <c r="AG2442">
        <v>2.7423079999999902</v>
      </c>
      <c r="AH2442">
        <v>257.276932626563</v>
      </c>
      <c r="AI2442">
        <v>89.389608258542395</v>
      </c>
      <c r="AJ2442">
        <v>88.205956736572602</v>
      </c>
      <c r="AK2442">
        <v>257.41771384930797</v>
      </c>
      <c r="AL2442">
        <v>81.479920824732702</v>
      </c>
      <c r="AM2442">
        <v>95.535312360626094</v>
      </c>
      <c r="AN2442">
        <v>0.99999999730097799</v>
      </c>
    </row>
    <row r="2443" spans="1:40" x14ac:dyDescent="0.25">
      <c r="A2443" t="str">
        <f>"20190304154808543"</f>
        <v>20190304154808543</v>
      </c>
      <c r="B2443" t="str">
        <f>"1551685688538914"</f>
        <v>1551685688538914</v>
      </c>
      <c r="C2443" t="s">
        <v>40</v>
      </c>
      <c r="D2443">
        <v>4.1021700000000001</v>
      </c>
      <c r="E2443">
        <v>0.54665920000000001</v>
      </c>
      <c r="F2443" t="s">
        <v>63</v>
      </c>
      <c r="G2443">
        <v>-510.95490000000001</v>
      </c>
      <c r="H2443">
        <v>3.9148480000000001</v>
      </c>
      <c r="I2443">
        <v>294.48250000000002</v>
      </c>
      <c r="J2443">
        <v>-253.9171</v>
      </c>
      <c r="K2443">
        <v>1.1104769999999999</v>
      </c>
      <c r="L2443">
        <v>285.41120000000001</v>
      </c>
      <c r="M2443">
        <v>-0.99993189999999998</v>
      </c>
      <c r="N2443">
        <v>-1.117809E-2</v>
      </c>
      <c r="O2443">
        <v>3.3748680000000001E-3</v>
      </c>
      <c r="P2443">
        <v>-0.98623320000000003</v>
      </c>
      <c r="Q2443">
        <v>0.137325</v>
      </c>
      <c r="R2443">
        <v>-9.2119870000000006E-2</v>
      </c>
      <c r="S2443">
        <v>-3.0472410000000001</v>
      </c>
      <c r="T2443">
        <v>3.3216599999999999E-2</v>
      </c>
      <c r="U2443">
        <v>0.1074524</v>
      </c>
      <c r="V2443">
        <v>-9.542283E-2</v>
      </c>
      <c r="W2443">
        <v>0.14835309999999999</v>
      </c>
      <c r="X2443">
        <v>0.98431999999999997</v>
      </c>
      <c r="Y2443">
        <v>3.1867970000000002E-2</v>
      </c>
      <c r="Z2443" s="1">
        <v>7.9029390000000005E-5</v>
      </c>
      <c r="AA2443">
        <v>0.99949209999999999</v>
      </c>
      <c r="AB2443">
        <v>29</v>
      </c>
      <c r="AC2443">
        <v>-257.0378</v>
      </c>
      <c r="AD2443">
        <v>2.80437099999999</v>
      </c>
      <c r="AE2443">
        <v>9.0713000000000008</v>
      </c>
      <c r="AF2443">
        <v>8.2027503451303794</v>
      </c>
      <c r="AG2443">
        <v>2.80437099999999</v>
      </c>
      <c r="AH2443">
        <v>257.036393941445</v>
      </c>
      <c r="AI2443">
        <v>89.375222716935198</v>
      </c>
      <c r="AJ2443">
        <v>88.172151742146397</v>
      </c>
      <c r="AK2443">
        <v>257.182537160577</v>
      </c>
      <c r="AL2443">
        <v>81.468501749915404</v>
      </c>
      <c r="AM2443">
        <v>95.537116170985399</v>
      </c>
      <c r="AN2443">
        <v>1.0000000105824001</v>
      </c>
    </row>
    <row r="2444" spans="1:40" x14ac:dyDescent="0.25">
      <c r="A2444" t="str">
        <f>"20190304154808559"</f>
        <v>20190304154808559</v>
      </c>
      <c r="B2444" t="str">
        <f>"1551685688548674"</f>
        <v>1551685688548674</v>
      </c>
      <c r="C2444" t="s">
        <v>40</v>
      </c>
      <c r="D2444">
        <v>4.1025349999999996</v>
      </c>
      <c r="E2444">
        <v>0.54675019999999996</v>
      </c>
      <c r="F2444" t="s">
        <v>63</v>
      </c>
      <c r="G2444">
        <v>-510.95499999999998</v>
      </c>
      <c r="H2444">
        <v>4.0008549999999996</v>
      </c>
      <c r="I2444">
        <v>294.54700000000003</v>
      </c>
      <c r="J2444">
        <v>-254.12219999999999</v>
      </c>
      <c r="K2444">
        <v>1.110495</v>
      </c>
      <c r="L2444">
        <v>285.4119</v>
      </c>
      <c r="M2444">
        <v>-0.99993180000000004</v>
      </c>
      <c r="N2444">
        <v>-1.118044E-2</v>
      </c>
      <c r="O2444">
        <v>3.4006629999999999E-3</v>
      </c>
      <c r="P2444">
        <v>-0.98612549999999999</v>
      </c>
      <c r="Q2444">
        <v>0.13792879999999999</v>
      </c>
      <c r="R2444">
        <v>-9.2370770000000005E-2</v>
      </c>
      <c r="S2444">
        <v>-3.0472410000000001</v>
      </c>
      <c r="T2444">
        <v>3.4267069999999997E-2</v>
      </c>
      <c r="U2444">
        <v>0.1083069</v>
      </c>
      <c r="V2444">
        <v>-9.5701759999999997E-2</v>
      </c>
      <c r="W2444">
        <v>0.14895620000000001</v>
      </c>
      <c r="X2444">
        <v>0.98420180000000002</v>
      </c>
      <c r="Y2444">
        <v>3.2122079999999997E-2</v>
      </c>
      <c r="Z2444" s="1">
        <v>7.5319519999999997E-5</v>
      </c>
      <c r="AA2444">
        <v>0.99948389999999998</v>
      </c>
      <c r="AB2444">
        <v>29</v>
      </c>
      <c r="AC2444">
        <v>-256.83280000000002</v>
      </c>
      <c r="AD2444">
        <v>2.8903599999999998</v>
      </c>
      <c r="AE2444">
        <v>9.1351000000000209</v>
      </c>
      <c r="AF2444">
        <v>8.2605459820267395</v>
      </c>
      <c r="AG2444">
        <v>2.8903599999999998</v>
      </c>
      <c r="AH2444">
        <v>256.829895837067</v>
      </c>
      <c r="AI2444">
        <v>89.355554553028</v>
      </c>
      <c r="AJ2444">
        <v>88.157802794760002</v>
      </c>
      <c r="AK2444">
        <v>256.97896061064898</v>
      </c>
      <c r="AL2444">
        <v>81.433558149654701</v>
      </c>
      <c r="AM2444">
        <v>95.553863416578395</v>
      </c>
      <c r="AN2444">
        <v>0.99999997975438804</v>
      </c>
    </row>
    <row r="2445" spans="1:40" x14ac:dyDescent="0.25">
      <c r="A2445" t="str">
        <f>"20190304154808573"</f>
        <v>20190304154808573</v>
      </c>
      <c r="B2445" t="str">
        <f>"1551685688569170"</f>
        <v>1551685688569170</v>
      </c>
      <c r="C2445" t="s">
        <v>40</v>
      </c>
      <c r="D2445">
        <v>4.1062130000000003</v>
      </c>
      <c r="E2445">
        <v>0.54691569999999901</v>
      </c>
      <c r="F2445" t="s">
        <v>63</v>
      </c>
      <c r="G2445">
        <v>-510.95499999999998</v>
      </c>
      <c r="H2445">
        <v>4.2123119999999998</v>
      </c>
      <c r="I2445">
        <v>294.54300000000001</v>
      </c>
      <c r="J2445">
        <v>-254.29939999999999</v>
      </c>
      <c r="K2445">
        <v>1.1105039999999999</v>
      </c>
      <c r="L2445">
        <v>285.4126</v>
      </c>
      <c r="M2445">
        <v>-0.99993180000000004</v>
      </c>
      <c r="N2445">
        <v>-1.118248E-2</v>
      </c>
      <c r="O2445">
        <v>3.4199479999999999E-3</v>
      </c>
      <c r="P2445">
        <v>-0.98608530000000005</v>
      </c>
      <c r="Q2445">
        <v>0.13804330000000001</v>
      </c>
      <c r="R2445">
        <v>-9.2628829999999995E-2</v>
      </c>
      <c r="S2445">
        <v>-3.0472260000000002</v>
      </c>
      <c r="T2445">
        <v>3.6802889999999998E-2</v>
      </c>
      <c r="U2445">
        <v>0.1083374</v>
      </c>
      <c r="V2445">
        <v>-9.5981179999999999E-2</v>
      </c>
      <c r="W2445">
        <v>0.149070799999999</v>
      </c>
      <c r="X2445">
        <v>0.98415730000000001</v>
      </c>
      <c r="Y2445">
        <v>3.2112889999999998E-2</v>
      </c>
      <c r="Z2445" s="1">
        <v>6.5279979999999997E-5</v>
      </c>
      <c r="AA2445">
        <v>0.99948419999999905</v>
      </c>
      <c r="AB2445">
        <v>29</v>
      </c>
      <c r="AC2445">
        <v>-256.65559999999999</v>
      </c>
      <c r="AD2445">
        <v>3.1018080000000001</v>
      </c>
      <c r="AE2445">
        <v>9.1303999999999998</v>
      </c>
      <c r="AF2445">
        <v>8.2513394009162901</v>
      </c>
      <c r="AG2445">
        <v>3.1018080000000001</v>
      </c>
      <c r="AH2445">
        <v>256.64788796621701</v>
      </c>
      <c r="AI2445">
        <v>89.307923043959903</v>
      </c>
      <c r="AJ2445">
        <v>88.158550472197106</v>
      </c>
      <c r="AK2445">
        <v>256.79922938415899</v>
      </c>
      <c r="AL2445">
        <v>81.426918442776497</v>
      </c>
      <c r="AM2445">
        <v>95.570227451509396</v>
      </c>
      <c r="AN2445">
        <v>1.00000004073506</v>
      </c>
    </row>
    <row r="2446" spans="1:40" x14ac:dyDescent="0.25">
      <c r="A2446" t="str">
        <f>"20190304154808590"</f>
        <v>20190304154808590</v>
      </c>
      <c r="B2446" t="str">
        <f>"1551685688578930"</f>
        <v>1551685688578930</v>
      </c>
      <c r="C2446" t="s">
        <v>40</v>
      </c>
      <c r="D2446">
        <v>4.0740509999999999</v>
      </c>
      <c r="E2446">
        <v>0.54698649999999904</v>
      </c>
      <c r="F2446" t="s">
        <v>63</v>
      </c>
      <c r="G2446">
        <v>-510.95499999999998</v>
      </c>
      <c r="H2446">
        <v>4.3345900000000004</v>
      </c>
      <c r="I2446">
        <v>294.59399999999999</v>
      </c>
      <c r="J2446">
        <v>-254.54169999999999</v>
      </c>
      <c r="K2446">
        <v>1.110517</v>
      </c>
      <c r="L2446">
        <v>285.41340000000002</v>
      </c>
      <c r="M2446">
        <v>-0.99993149999999997</v>
      </c>
      <c r="N2446">
        <v>-1.1185270000000001E-2</v>
      </c>
      <c r="O2446">
        <v>3.4427640000000001E-3</v>
      </c>
      <c r="P2446">
        <v>-0.98584099999999997</v>
      </c>
      <c r="Q2446">
        <v>0.1393189</v>
      </c>
      <c r="R2446">
        <v>-9.3317269999999994E-2</v>
      </c>
      <c r="S2446">
        <v>-3.0472109999999999</v>
      </c>
      <c r="T2446">
        <v>3.8279769999999998E-2</v>
      </c>
      <c r="U2446">
        <v>0.1090088</v>
      </c>
      <c r="V2446">
        <v>-9.6692009999999995E-2</v>
      </c>
      <c r="W2446">
        <v>0.1503456</v>
      </c>
      <c r="X2446">
        <v>0.98389369999999998</v>
      </c>
      <c r="Y2446">
        <v>3.2310140000000001E-2</v>
      </c>
      <c r="Z2446" s="1">
        <v>5.9619630000000003E-5</v>
      </c>
      <c r="AA2446">
        <v>0.99947790000000003</v>
      </c>
      <c r="AB2446">
        <v>29</v>
      </c>
      <c r="AC2446">
        <v>-256.41329999999999</v>
      </c>
      <c r="AD2446">
        <v>3.2240730000000002</v>
      </c>
      <c r="AE2446">
        <v>9.1805999999999699</v>
      </c>
      <c r="AF2446">
        <v>8.2964098928909493</v>
      </c>
      <c r="AG2446">
        <v>3.2240730000000002</v>
      </c>
      <c r="AH2446">
        <v>256.40290373846398</v>
      </c>
      <c r="AI2446">
        <v>89.279963572542897</v>
      </c>
      <c r="AJ2446">
        <v>88.146731269708198</v>
      </c>
      <c r="AK2446">
        <v>256.55735052681001</v>
      </c>
      <c r="AL2446">
        <v>81.353044704604798</v>
      </c>
      <c r="AM2446">
        <v>95.612711594612307</v>
      </c>
      <c r="AN2446">
        <v>0.99999997856844403</v>
      </c>
    </row>
    <row r="2447" spans="1:40" x14ac:dyDescent="0.25">
      <c r="A2447" t="str">
        <f>"20190304154808603"</f>
        <v>20190304154808603</v>
      </c>
      <c r="B2447" t="str">
        <f>"1551685688599427"</f>
        <v>1551685688599427</v>
      </c>
      <c r="C2447" t="s">
        <v>40</v>
      </c>
      <c r="D2447">
        <v>4.1179750000000004</v>
      </c>
      <c r="E2447">
        <v>0.54710839999999905</v>
      </c>
      <c r="F2447" t="s">
        <v>63</v>
      </c>
      <c r="G2447">
        <v>-510.95519999999999</v>
      </c>
      <c r="H2447">
        <v>4.7182979999999999</v>
      </c>
      <c r="I2447">
        <v>294.48079999999999</v>
      </c>
      <c r="J2447">
        <v>-254.69630000000001</v>
      </c>
      <c r="K2447">
        <v>1.1105210000000001</v>
      </c>
      <c r="L2447">
        <v>285.41390000000001</v>
      </c>
      <c r="M2447">
        <v>-0.99993149999999997</v>
      </c>
      <c r="N2447">
        <v>-1.118706E-2</v>
      </c>
      <c r="O2447">
        <v>3.4568580000000002E-3</v>
      </c>
      <c r="P2447">
        <v>-0.98575900000000005</v>
      </c>
      <c r="Q2447">
        <v>0.1398105</v>
      </c>
      <c r="R2447">
        <v>-9.3447580000000002E-2</v>
      </c>
      <c r="S2447">
        <v>-3.0472109999999999</v>
      </c>
      <c r="T2447">
        <v>4.2875770000000001E-2</v>
      </c>
      <c r="U2447">
        <v>0.1077576</v>
      </c>
      <c r="V2447">
        <v>-9.6836699999999998E-2</v>
      </c>
      <c r="W2447">
        <v>0.15083729999999901</v>
      </c>
      <c r="X2447">
        <v>0.98380420000000002</v>
      </c>
      <c r="Y2447">
        <v>3.188593E-2</v>
      </c>
      <c r="Z2447" s="1">
        <v>4.1453399999999999E-5</v>
      </c>
      <c r="AA2447">
        <v>0.99949149999999998</v>
      </c>
      <c r="AB2447">
        <v>29</v>
      </c>
      <c r="AC2447">
        <v>-256.25889999999998</v>
      </c>
      <c r="AD2447">
        <v>3.6077769999999898</v>
      </c>
      <c r="AE2447">
        <v>9.0668999999999702</v>
      </c>
      <c r="AF2447">
        <v>8.17932061860785</v>
      </c>
      <c r="AG2447">
        <v>3.6077769999999898</v>
      </c>
      <c r="AH2447">
        <v>256.237988669169</v>
      </c>
      <c r="AI2447">
        <v>89.193751373224501</v>
      </c>
      <c r="AJ2447">
        <v>88.171693905980803</v>
      </c>
      <c r="AK2447">
        <v>256.393884829348</v>
      </c>
      <c r="AL2447">
        <v>81.324547319395506</v>
      </c>
      <c r="AM2447">
        <v>95.621564803851101</v>
      </c>
      <c r="AN2447">
        <v>0.99999997073790903</v>
      </c>
    </row>
    <row r="2448" spans="1:40" x14ac:dyDescent="0.25">
      <c r="A2448" t="str">
        <f>"20190304154808626"</f>
        <v>20190304154808626</v>
      </c>
      <c r="B2448" t="str">
        <f>"1551685688618946"</f>
        <v>1551685688618946</v>
      </c>
      <c r="C2448" t="s">
        <v>40</v>
      </c>
      <c r="D2448">
        <v>4.249492</v>
      </c>
      <c r="E2448">
        <v>0.54693539999999996</v>
      </c>
      <c r="F2448" t="s">
        <v>63</v>
      </c>
      <c r="G2448">
        <v>-510.95519999999999</v>
      </c>
      <c r="H2448">
        <v>4.8789389999999999</v>
      </c>
      <c r="I2448">
        <v>294.51170000000002</v>
      </c>
      <c r="J2448">
        <v>-255.0034</v>
      </c>
      <c r="K2448">
        <v>1.110522</v>
      </c>
      <c r="L2448">
        <v>285.4151</v>
      </c>
      <c r="M2448">
        <v>-0.99993149999999997</v>
      </c>
      <c r="N2448">
        <v>-1.11906E-2</v>
      </c>
      <c r="O2448">
        <v>3.485953E-3</v>
      </c>
      <c r="P2448">
        <v>-0.98561469999999995</v>
      </c>
      <c r="Q2448">
        <v>0.14035120000000001</v>
      </c>
      <c r="R2448">
        <v>-9.4157080000000004E-2</v>
      </c>
      <c r="S2448">
        <v>-3.047272</v>
      </c>
      <c r="T2448">
        <v>4.4812680000000001E-2</v>
      </c>
      <c r="U2448">
        <v>0.1081848</v>
      </c>
      <c r="V2448">
        <v>-9.7574839999999996E-2</v>
      </c>
      <c r="W2448">
        <v>0.15137929999999999</v>
      </c>
      <c r="X2448">
        <v>0.98364799999999997</v>
      </c>
      <c r="Y2448">
        <v>3.1995990000000002E-2</v>
      </c>
      <c r="Z2448" s="1">
        <v>3.4154160000000003E-5</v>
      </c>
      <c r="AA2448">
        <v>0.99948800000000004</v>
      </c>
      <c r="AB2448">
        <v>29</v>
      </c>
      <c r="AC2448">
        <v>-255.95179999999999</v>
      </c>
      <c r="AD2448">
        <v>3.7684169999999999</v>
      </c>
      <c r="AE2448">
        <v>9.09660000000002</v>
      </c>
      <c r="AF2448">
        <v>8.2024772598253595</v>
      </c>
      <c r="AG2448">
        <v>3.7684169999999999</v>
      </c>
      <c r="AH2448">
        <v>255.92654944143399</v>
      </c>
      <c r="AI2448">
        <v>89.156836200663307</v>
      </c>
      <c r="AJ2448">
        <v>88.164291628844495</v>
      </c>
      <c r="AK2448">
        <v>256.08568938713199</v>
      </c>
      <c r="AL2448">
        <v>81.293132221949307</v>
      </c>
      <c r="AM2448">
        <v>95.665031314887599</v>
      </c>
      <c r="AN2448">
        <v>0.99999996488675702</v>
      </c>
    </row>
    <row r="2449" spans="1:40" x14ac:dyDescent="0.25">
      <c r="A2449" t="str">
        <f>"20190304154808639"</f>
        <v>20190304154808639</v>
      </c>
      <c r="B2449" t="str">
        <f>"1551685688628706"</f>
        <v>1551685688628706</v>
      </c>
      <c r="C2449" t="s">
        <v>40</v>
      </c>
      <c r="D2449">
        <v>4.2245999999999997</v>
      </c>
      <c r="E2449">
        <v>0.54667840000000001</v>
      </c>
      <c r="F2449" t="s">
        <v>63</v>
      </c>
      <c r="G2449">
        <v>-510.95519999999999</v>
      </c>
      <c r="H2449">
        <v>4.8933479999999996</v>
      </c>
      <c r="I2449">
        <v>294.21699999999998</v>
      </c>
      <c r="J2449">
        <v>-255.17150000000001</v>
      </c>
      <c r="K2449">
        <v>1.1105240000000001</v>
      </c>
      <c r="L2449">
        <v>285.41570000000002</v>
      </c>
      <c r="M2449">
        <v>-0.99993129999999997</v>
      </c>
      <c r="N2449">
        <v>-1.1192529999999999E-2</v>
      </c>
      <c r="O2449">
        <v>3.5025640000000001E-3</v>
      </c>
      <c r="P2449">
        <v>-0.98553020000000002</v>
      </c>
      <c r="Q2449">
        <v>0.1407958</v>
      </c>
      <c r="R2449">
        <v>-9.4376139999999997E-2</v>
      </c>
      <c r="S2449">
        <v>-3.0473940000000002</v>
      </c>
      <c r="T2449">
        <v>4.503977E-2</v>
      </c>
      <c r="U2449">
        <v>0.1047974</v>
      </c>
      <c r="V2449">
        <v>-9.7810090000000002E-2</v>
      </c>
      <c r="W2449">
        <v>0.15182470000000001</v>
      </c>
      <c r="X2449">
        <v>0.98355599999999999</v>
      </c>
      <c r="Y2449">
        <v>3.0868300000000001E-2</v>
      </c>
      <c r="Z2449" s="1">
        <v>3.5709849999999998E-5</v>
      </c>
      <c r="AA2449">
        <v>0.99952350000000001</v>
      </c>
      <c r="AB2449">
        <v>29</v>
      </c>
      <c r="AC2449">
        <v>-255.78370000000001</v>
      </c>
      <c r="AD2449">
        <v>3.7828240000000002</v>
      </c>
      <c r="AE2449">
        <v>8.8012999999999693</v>
      </c>
      <c r="AF2449">
        <v>7.9035645551698002</v>
      </c>
      <c r="AG2449">
        <v>3.7828240000000002</v>
      </c>
      <c r="AH2449">
        <v>255.757087087504</v>
      </c>
      <c r="AI2449">
        <v>89.153021893516097</v>
      </c>
      <c r="AJ2449">
        <v>88.229973488965996</v>
      </c>
      <c r="AK2449">
        <v>255.9071387937</v>
      </c>
      <c r="AL2449">
        <v>81.267314392682906</v>
      </c>
      <c r="AM2449">
        <v>95.679128068487898</v>
      </c>
      <c r="AN2449">
        <v>0.99999997918594796</v>
      </c>
    </row>
    <row r="2450" spans="1:40" x14ac:dyDescent="0.25">
      <c r="A2450" t="str">
        <f>"20190304154808651"</f>
        <v>20190304154808651</v>
      </c>
      <c r="B2450" t="str">
        <f>"1551685688639443"</f>
        <v>1551685688639443</v>
      </c>
      <c r="C2450" t="s">
        <v>40</v>
      </c>
      <c r="D2450">
        <v>4.3235760000000001</v>
      </c>
      <c r="E2450">
        <v>0.54645940000000004</v>
      </c>
      <c r="F2450" t="s">
        <v>63</v>
      </c>
      <c r="G2450">
        <v>-510.95519999999999</v>
      </c>
      <c r="H2450">
        <v>4.8467469999999997</v>
      </c>
      <c r="I2450">
        <v>294.0016</v>
      </c>
      <c r="J2450">
        <v>-255.32929999999999</v>
      </c>
      <c r="K2450">
        <v>1.110527</v>
      </c>
      <c r="L2450">
        <v>285.4162</v>
      </c>
      <c r="M2450">
        <v>-0.99993129999999997</v>
      </c>
      <c r="N2450">
        <v>-1.119435E-2</v>
      </c>
      <c r="O2450">
        <v>3.5182249999999998E-3</v>
      </c>
      <c r="P2450">
        <v>-0.98544419999999999</v>
      </c>
      <c r="Q2450">
        <v>0.14118339999999999</v>
      </c>
      <c r="R2450">
        <v>-9.4695379999999996E-2</v>
      </c>
      <c r="S2450">
        <v>-3.047485</v>
      </c>
      <c r="T2450">
        <v>4.4515489999999998E-2</v>
      </c>
      <c r="U2450">
        <v>0.10229489999999999</v>
      </c>
      <c r="V2450">
        <v>-9.8145120000000002E-2</v>
      </c>
      <c r="W2450">
        <v>0.1522136</v>
      </c>
      <c r="X2450">
        <v>0.98346250000000002</v>
      </c>
      <c r="Y2450">
        <v>3.0031849999999999E-2</v>
      </c>
      <c r="Z2450" s="1">
        <v>3.962469E-5</v>
      </c>
      <c r="AA2450">
        <v>0.99954889999999996</v>
      </c>
      <c r="AB2450">
        <v>29</v>
      </c>
      <c r="AC2450">
        <v>-255.6259</v>
      </c>
      <c r="AD2450">
        <v>3.7362199999999999</v>
      </c>
      <c r="AE2450">
        <v>8.5853999999999893</v>
      </c>
      <c r="AF2450">
        <v>7.6843014831024901</v>
      </c>
      <c r="AG2450">
        <v>3.7362199999999999</v>
      </c>
      <c r="AH2450">
        <v>255.59998358478799</v>
      </c>
      <c r="AI2450">
        <v>89.162919596677796</v>
      </c>
      <c r="AJ2450">
        <v>88.277991009311293</v>
      </c>
      <c r="AK2450">
        <v>255.74276028406999</v>
      </c>
      <c r="AL2450">
        <v>81.244769933097999</v>
      </c>
      <c r="AM2450">
        <v>95.6989912380931</v>
      </c>
      <c r="AN2450">
        <v>0.99999996675551095</v>
      </c>
    </row>
    <row r="2451" spans="1:40" x14ac:dyDescent="0.25">
      <c r="A2451" t="str">
        <f>"20190304154808662"</f>
        <v>20190304154808662</v>
      </c>
      <c r="B2451" t="str">
        <f>"1551685688658962"</f>
        <v>1551685688658962</v>
      </c>
      <c r="C2451" t="s">
        <v>40</v>
      </c>
      <c r="D2451">
        <v>4.2475019999999999</v>
      </c>
      <c r="E2451">
        <v>0.54602890000000004</v>
      </c>
      <c r="F2451" t="s">
        <v>63</v>
      </c>
      <c r="G2451">
        <v>-510.95519999999999</v>
      </c>
      <c r="H2451">
        <v>4.7713109999999999</v>
      </c>
      <c r="I2451">
        <v>293.78890000000001</v>
      </c>
      <c r="J2451">
        <v>-255.48179999999999</v>
      </c>
      <c r="K2451">
        <v>1.110527</v>
      </c>
      <c r="L2451">
        <v>285.41680000000002</v>
      </c>
      <c r="M2451">
        <v>-0.99993109999999996</v>
      </c>
      <c r="N2451">
        <v>-1.11961E-2</v>
      </c>
      <c r="O2451">
        <v>3.534662E-3</v>
      </c>
      <c r="P2451">
        <v>-0.98537240000000004</v>
      </c>
      <c r="Q2451">
        <v>0.14151610000000001</v>
      </c>
      <c r="R2451">
        <v>-9.4945769999999999E-2</v>
      </c>
      <c r="S2451">
        <v>-3.0476679999999998</v>
      </c>
      <c r="T2451">
        <v>4.3646219999999999E-2</v>
      </c>
      <c r="U2451">
        <v>9.9822999999999995E-2</v>
      </c>
      <c r="V2451">
        <v>-9.8411520000000002E-2</v>
      </c>
      <c r="W2451">
        <v>0.15254670000000001</v>
      </c>
      <c r="X2451">
        <v>0.98338429999999999</v>
      </c>
      <c r="Y2451">
        <v>2.9203639999999999E-2</v>
      </c>
      <c r="Z2451" s="1">
        <v>4.4651270000000002E-5</v>
      </c>
      <c r="AA2451">
        <v>0.9995735</v>
      </c>
      <c r="AB2451">
        <v>29</v>
      </c>
      <c r="AC2451">
        <v>-255.4734</v>
      </c>
      <c r="AD2451">
        <v>3.660784</v>
      </c>
      <c r="AE2451">
        <v>8.3720999999999801</v>
      </c>
      <c r="AF2451">
        <v>7.4674473331201598</v>
      </c>
      <c r="AG2451">
        <v>3.660784</v>
      </c>
      <c r="AH2451">
        <v>255.44900266270801</v>
      </c>
      <c r="AI2451">
        <v>89.179313404873497</v>
      </c>
      <c r="AJ2451">
        <v>88.325570268953996</v>
      </c>
      <c r="AK2451">
        <v>255.58434433771501</v>
      </c>
      <c r="AL2451">
        <v>81.225459510199599</v>
      </c>
      <c r="AM2451">
        <v>95.714809449625506</v>
      </c>
      <c r="AN2451">
        <v>1.00000000221804</v>
      </c>
    </row>
    <row r="2452" spans="1:40" x14ac:dyDescent="0.25">
      <c r="A2452" t="str">
        <f>"20190304154808682"</f>
        <v>20190304154808682</v>
      </c>
      <c r="B2452" t="str">
        <f>"1551685688679458"</f>
        <v>1551685688679458</v>
      </c>
      <c r="C2452" t="s">
        <v>40</v>
      </c>
      <c r="D2452">
        <v>4.2415000000000003</v>
      </c>
      <c r="E2452">
        <v>0.54558070000000003</v>
      </c>
      <c r="F2452" t="s">
        <v>63</v>
      </c>
      <c r="G2452">
        <v>-546.72609999999997</v>
      </c>
      <c r="H2452">
        <v>4.9741099999999996</v>
      </c>
      <c r="I2452">
        <v>294.55</v>
      </c>
      <c r="J2452">
        <v>-255.73609999999999</v>
      </c>
      <c r="K2452">
        <v>1.1105290000000001</v>
      </c>
      <c r="L2452">
        <v>285.41770000000002</v>
      </c>
      <c r="M2452">
        <v>-0.99993089999999996</v>
      </c>
      <c r="N2452">
        <v>-1.1199020000000001E-2</v>
      </c>
      <c r="O2452">
        <v>3.562951E-3</v>
      </c>
      <c r="P2452">
        <v>-0.98516590000000004</v>
      </c>
      <c r="Q2452">
        <v>0.14262250000000001</v>
      </c>
      <c r="R2452">
        <v>-9.543037E-2</v>
      </c>
      <c r="S2452">
        <v>-3.0479280000000002</v>
      </c>
      <c r="T2452">
        <v>4.0433999999999998E-2</v>
      </c>
      <c r="U2452">
        <v>9.5581050000000001E-2</v>
      </c>
      <c r="V2452">
        <v>-9.8922789999999997E-2</v>
      </c>
      <c r="W2452">
        <v>0.1536536</v>
      </c>
      <c r="X2452">
        <v>0.98316060000000005</v>
      </c>
      <c r="Y2452">
        <v>2.778301E-2</v>
      </c>
      <c r="Z2452" s="1">
        <v>5.8525449999999997E-5</v>
      </c>
      <c r="AA2452">
        <v>0.999614</v>
      </c>
      <c r="AB2452">
        <v>29</v>
      </c>
      <c r="AC2452">
        <v>-290.99</v>
      </c>
      <c r="AD2452">
        <v>3.8635809999999999</v>
      </c>
      <c r="AE2452">
        <v>9.1322999999999794</v>
      </c>
      <c r="AF2452">
        <v>8.0939683815964099</v>
      </c>
      <c r="AG2452">
        <v>3.8635809999999999</v>
      </c>
      <c r="AH2452">
        <v>290.96944865007998</v>
      </c>
      <c r="AI2452">
        <v>89.239548015999702</v>
      </c>
      <c r="AJ2452">
        <v>88.406600181120794</v>
      </c>
      <c r="AK2452">
        <v>291.10764268572098</v>
      </c>
      <c r="AL2452">
        <v>81.161281792232202</v>
      </c>
      <c r="AM2452">
        <v>95.745599394178896</v>
      </c>
      <c r="AN2452">
        <v>0.99999995628335103</v>
      </c>
    </row>
    <row r="2453" spans="1:40" x14ac:dyDescent="0.25">
      <c r="A2453" t="str">
        <f>"20190304154808704"</f>
        <v>20190304154808704</v>
      </c>
      <c r="B2453" t="str">
        <f>"1551685688698978"</f>
        <v>1551685688698978</v>
      </c>
      <c r="C2453" t="s">
        <v>40</v>
      </c>
      <c r="D2453">
        <v>4.1196109999999999</v>
      </c>
      <c r="E2453">
        <v>0.54545869999999996</v>
      </c>
      <c r="F2453" t="s">
        <v>63</v>
      </c>
      <c r="G2453">
        <v>-550.05849999999998</v>
      </c>
      <c r="H2453">
        <v>5.0019179999999999</v>
      </c>
      <c r="I2453">
        <v>294.15780000000001</v>
      </c>
      <c r="J2453">
        <v>-256.03219999999999</v>
      </c>
      <c r="K2453">
        <v>1.110535</v>
      </c>
      <c r="L2453">
        <v>285.41879999999998</v>
      </c>
      <c r="M2453">
        <v>-0.99993080000000001</v>
      </c>
      <c r="N2453">
        <v>-1.120238E-2</v>
      </c>
      <c r="O2453">
        <v>3.5968990000000002E-3</v>
      </c>
      <c r="P2453">
        <v>-0.98509349999999996</v>
      </c>
      <c r="Q2453">
        <v>0.14320369999999999</v>
      </c>
      <c r="R2453">
        <v>-9.53074E-2</v>
      </c>
      <c r="S2453">
        <v>-3.0480960000000001</v>
      </c>
      <c r="T2453">
        <v>4.0301320000000002E-2</v>
      </c>
      <c r="U2453">
        <v>9.0515139999999994E-2</v>
      </c>
      <c r="V2453">
        <v>-9.8833069999999995E-2</v>
      </c>
      <c r="W2453">
        <v>0.1542374</v>
      </c>
      <c r="X2453">
        <v>0.98307820000000001</v>
      </c>
      <c r="Y2453">
        <v>2.6087539999999999E-2</v>
      </c>
      <c r="Z2453" s="1">
        <v>6.157026E-5</v>
      </c>
      <c r="AA2453">
        <v>0.99965970000000004</v>
      </c>
      <c r="AB2453">
        <v>29</v>
      </c>
      <c r="AC2453">
        <v>-294.02629999999999</v>
      </c>
      <c r="AD2453">
        <v>3.8913829999999998</v>
      </c>
      <c r="AE2453">
        <v>8.7390000000000292</v>
      </c>
      <c r="AF2453">
        <v>7.6799501751500596</v>
      </c>
      <c r="AG2453">
        <v>3.8913829999999998</v>
      </c>
      <c r="AH2453">
        <v>294.004380584876</v>
      </c>
      <c r="AI2453">
        <v>89.241947392066095</v>
      </c>
      <c r="AJ2453">
        <v>88.503666214121495</v>
      </c>
      <c r="AK2453">
        <v>294.13041376138301</v>
      </c>
      <c r="AL2453">
        <v>81.127428903655797</v>
      </c>
      <c r="AM2453">
        <v>95.740901065017596</v>
      </c>
      <c r="AN2453">
        <v>0.99999994929981095</v>
      </c>
    </row>
    <row r="2454" spans="1:40" x14ac:dyDescent="0.25">
      <c r="A2454" t="str">
        <f>"20190304154808726"</f>
        <v>20190304154808726</v>
      </c>
      <c r="B2454" t="str">
        <f>"1551685688719474"</f>
        <v>1551685688719474</v>
      </c>
      <c r="C2454" t="s">
        <v>40</v>
      </c>
      <c r="D2454">
        <v>4.1101080000000003</v>
      </c>
      <c r="E2454">
        <v>0.54562679999999997</v>
      </c>
      <c r="F2454" t="s">
        <v>63</v>
      </c>
      <c r="G2454">
        <v>-550.05849999999998</v>
      </c>
      <c r="H2454">
        <v>5.0335559999999999</v>
      </c>
      <c r="I2454">
        <v>294.11430000000001</v>
      </c>
      <c r="J2454">
        <v>-256.31700000000001</v>
      </c>
      <c r="K2454">
        <v>1.1105370000000001</v>
      </c>
      <c r="L2454">
        <v>285.41989999999998</v>
      </c>
      <c r="M2454">
        <v>-0.99993069999999895</v>
      </c>
      <c r="N2454">
        <v>-1.120559E-2</v>
      </c>
      <c r="O2454">
        <v>3.6296620000000001E-3</v>
      </c>
      <c r="P2454">
        <v>-0.98505200000000004</v>
      </c>
      <c r="Q2454">
        <v>0.14338229999999999</v>
      </c>
      <c r="R2454">
        <v>-9.5469390000000001E-2</v>
      </c>
      <c r="S2454">
        <v>-3.0482480000000001</v>
      </c>
      <c r="T2454">
        <v>4.0671829999999999E-2</v>
      </c>
      <c r="U2454">
        <v>9.0148930000000002E-2</v>
      </c>
      <c r="V2454">
        <v>-9.9027130000000005E-2</v>
      </c>
      <c r="W2454">
        <v>0.15441830000000001</v>
      </c>
      <c r="X2454">
        <v>0.98303030000000002</v>
      </c>
      <c r="Y2454">
        <v>2.5933310000000001E-2</v>
      </c>
      <c r="Z2454" s="1">
        <v>6.1450030000000005E-5</v>
      </c>
      <c r="AA2454">
        <v>0.99966370000000004</v>
      </c>
      <c r="AB2454">
        <v>29</v>
      </c>
      <c r="AC2454">
        <v>-293.74149999999997</v>
      </c>
      <c r="AD2454">
        <v>3.923019</v>
      </c>
      <c r="AE2454">
        <v>8.6944000000000301</v>
      </c>
      <c r="AF2454">
        <v>7.62673433980531</v>
      </c>
      <c r="AG2454">
        <v>3.923019</v>
      </c>
      <c r="AH2454">
        <v>293.71878116111799</v>
      </c>
      <c r="AI2454">
        <v>89.235039234112904</v>
      </c>
      <c r="AJ2454">
        <v>88.512585686368595</v>
      </c>
      <c r="AK2454">
        <v>293.843971456855</v>
      </c>
      <c r="AL2454">
        <v>81.116938667947494</v>
      </c>
      <c r="AM2454">
        <v>95.752376285051</v>
      </c>
      <c r="AN2454">
        <v>0.99999997728450796</v>
      </c>
    </row>
    <row r="2455" spans="1:40" x14ac:dyDescent="0.25">
      <c r="A2455" t="str">
        <f>"20190304154808738"</f>
        <v>20190304154808738</v>
      </c>
      <c r="B2455" t="str">
        <f>"1551685688729234"</f>
        <v>1551685688729234</v>
      </c>
      <c r="C2455" t="s">
        <v>40</v>
      </c>
      <c r="D2455">
        <v>4.1238190000000001</v>
      </c>
      <c r="E2455">
        <v>0.54571930000000002</v>
      </c>
      <c r="F2455" t="s">
        <v>63</v>
      </c>
      <c r="G2455">
        <v>-550.05849999999998</v>
      </c>
      <c r="H2455">
        <v>5.137689</v>
      </c>
      <c r="I2455">
        <v>294.19799999999998</v>
      </c>
      <c r="J2455">
        <v>-256.46910000000003</v>
      </c>
      <c r="K2455">
        <v>1.1105370000000001</v>
      </c>
      <c r="L2455">
        <v>285.42039999999997</v>
      </c>
      <c r="M2455">
        <v>-0.9999306</v>
      </c>
      <c r="N2455">
        <v>-1.12073E-2</v>
      </c>
      <c r="O2455">
        <v>3.6473550000000001E-3</v>
      </c>
      <c r="P2455">
        <v>-0.98501870000000002</v>
      </c>
      <c r="Q2455">
        <v>0.14373949999999999</v>
      </c>
      <c r="R2455">
        <v>-9.527484E-2</v>
      </c>
      <c r="S2455">
        <v>-3.048279</v>
      </c>
      <c r="T2455">
        <v>4.1792269999999999E-2</v>
      </c>
      <c r="U2455">
        <v>9.1094969999999997E-2</v>
      </c>
      <c r="V2455">
        <v>-9.885041E-2</v>
      </c>
      <c r="W2455">
        <v>0.15477679999999999</v>
      </c>
      <c r="X2455">
        <v>0.98299179999999997</v>
      </c>
      <c r="Y2455">
        <v>2.6225269999999998E-2</v>
      </c>
      <c r="Z2455" s="1">
        <v>5.8126340000000002E-5</v>
      </c>
      <c r="AA2455">
        <v>0.99965610000000005</v>
      </c>
      <c r="AB2455">
        <v>29</v>
      </c>
      <c r="AC2455">
        <v>-293.58940000000001</v>
      </c>
      <c r="AD2455">
        <v>4.0271520000000001</v>
      </c>
      <c r="AE2455">
        <v>8.7775999999999996</v>
      </c>
      <c r="AF2455">
        <v>7.7052011692335602</v>
      </c>
      <c r="AG2455">
        <v>4.0271520000000001</v>
      </c>
      <c r="AH2455">
        <v>293.56427774269298</v>
      </c>
      <c r="AI2455">
        <v>89.214329074820995</v>
      </c>
      <c r="AJ2455">
        <v>88.496499050124299</v>
      </c>
      <c r="AK2455">
        <v>293.69299148069302</v>
      </c>
      <c r="AL2455">
        <v>81.0961490106437</v>
      </c>
      <c r="AM2455">
        <v>95.7424028725965</v>
      </c>
      <c r="AN2455">
        <v>1.0000000701213201</v>
      </c>
    </row>
    <row r="2456" spans="1:40" x14ac:dyDescent="0.25">
      <c r="A2456" t="str">
        <f>"20190304154808749"</f>
        <v>20190304154808749</v>
      </c>
      <c r="B2456" t="str">
        <f>"1551685688738994"</f>
        <v>1551685688738994</v>
      </c>
      <c r="C2456" t="s">
        <v>40</v>
      </c>
      <c r="D2456">
        <v>4.0980860000000003</v>
      </c>
      <c r="E2456">
        <v>0.54578909999999903</v>
      </c>
      <c r="F2456" t="s">
        <v>63</v>
      </c>
      <c r="G2456">
        <v>-550.05859999999996</v>
      </c>
      <c r="H2456">
        <v>5.2712159999999999</v>
      </c>
      <c r="I2456">
        <v>294.32929999999999</v>
      </c>
      <c r="J2456">
        <v>-256.63150000000002</v>
      </c>
      <c r="K2456">
        <v>1.1105370000000001</v>
      </c>
      <c r="L2456">
        <v>285.42110000000002</v>
      </c>
      <c r="M2456">
        <v>-0.9999304</v>
      </c>
      <c r="N2456">
        <v>-1.120912E-2</v>
      </c>
      <c r="O2456">
        <v>3.6665370000000001E-3</v>
      </c>
      <c r="P2456">
        <v>-0.98504809999999998</v>
      </c>
      <c r="Q2456">
        <v>0.14377699999999999</v>
      </c>
      <c r="R2456">
        <v>-9.4911869999999995E-2</v>
      </c>
      <c r="S2456">
        <v>-3.0482480000000001</v>
      </c>
      <c r="T2456">
        <v>4.3199899999999999E-2</v>
      </c>
      <c r="U2456">
        <v>9.2498780000000003E-2</v>
      </c>
      <c r="V2456">
        <v>-9.8506209999999997E-2</v>
      </c>
      <c r="W2456">
        <v>0.15481589999999901</v>
      </c>
      <c r="X2456">
        <v>0.98302009999999995</v>
      </c>
      <c r="Y2456">
        <v>2.6666269999999999E-2</v>
      </c>
      <c r="Z2456" s="1">
        <v>5.3622960000000002E-5</v>
      </c>
      <c r="AA2456">
        <v>0.99964439999999999</v>
      </c>
      <c r="AB2456">
        <v>29</v>
      </c>
      <c r="AC2456">
        <v>-293.42709999999897</v>
      </c>
      <c r="AD2456">
        <v>4.160679</v>
      </c>
      <c r="AE2456">
        <v>8.9081999999999599</v>
      </c>
      <c r="AF2456">
        <v>7.8306381559349996</v>
      </c>
      <c r="AG2456">
        <v>4.160679</v>
      </c>
      <c r="AH2456">
        <v>293.398854935879</v>
      </c>
      <c r="AI2456">
        <v>89.1878341660383</v>
      </c>
      <c r="AJ2456">
        <v>88.471173202664701</v>
      </c>
      <c r="AK2456">
        <v>293.53282307325497</v>
      </c>
      <c r="AL2456">
        <v>81.093880573900094</v>
      </c>
      <c r="AM2456">
        <v>95.722376945566594</v>
      </c>
      <c r="AN2456">
        <v>0.99999997665269102</v>
      </c>
    </row>
    <row r="2457" spans="1:40" x14ac:dyDescent="0.25">
      <c r="A2457" t="str">
        <f>"20190304154808762"</f>
        <v>20190304154808762</v>
      </c>
      <c r="B2457" t="str">
        <f>"1551685688759490"</f>
        <v>1551685688759490</v>
      </c>
      <c r="C2457" t="s">
        <v>40</v>
      </c>
      <c r="D2457">
        <v>4.1186170000000004</v>
      </c>
      <c r="E2457">
        <v>0.54592980000000002</v>
      </c>
      <c r="F2457" t="s">
        <v>63</v>
      </c>
      <c r="G2457">
        <v>-550.05859999999996</v>
      </c>
      <c r="H2457">
        <v>5.2985670000000002</v>
      </c>
      <c r="I2457">
        <v>294.48660000000001</v>
      </c>
      <c r="J2457">
        <v>-256.78579999999999</v>
      </c>
      <c r="K2457">
        <v>1.1105370000000001</v>
      </c>
      <c r="L2457">
        <v>285.42160000000001</v>
      </c>
      <c r="M2457">
        <v>-0.9999304</v>
      </c>
      <c r="N2457">
        <v>-1.121082E-2</v>
      </c>
      <c r="O2457">
        <v>3.6843480000000001E-3</v>
      </c>
      <c r="P2457">
        <v>-0.9850236</v>
      </c>
      <c r="Q2457">
        <v>0.14396989999999901</v>
      </c>
      <c r="R2457">
        <v>-9.4875189999999998E-2</v>
      </c>
      <c r="S2457">
        <v>-3.0482480000000001</v>
      </c>
      <c r="T2457">
        <v>4.350793E-2</v>
      </c>
      <c r="U2457">
        <v>9.4177250000000004E-2</v>
      </c>
      <c r="V2457">
        <v>-9.8487240000000004E-2</v>
      </c>
      <c r="W2457">
        <v>0.15501099999999901</v>
      </c>
      <c r="X2457">
        <v>0.98299130000000001</v>
      </c>
      <c r="Y2457">
        <v>2.7198369999999999E-2</v>
      </c>
      <c r="Z2457" s="1">
        <v>5.2318560000000001E-5</v>
      </c>
      <c r="AA2457">
        <v>0.99963000000000002</v>
      </c>
      <c r="AB2457">
        <v>29</v>
      </c>
      <c r="AC2457">
        <v>-293.27280000000002</v>
      </c>
      <c r="AD2457">
        <v>4.1880300000000004</v>
      </c>
      <c r="AE2457">
        <v>9.0649999999999906</v>
      </c>
      <c r="AF2457">
        <v>7.9827251935589896</v>
      </c>
      <c r="AG2457">
        <v>4.1880300000000004</v>
      </c>
      <c r="AH2457">
        <v>293.244466392856</v>
      </c>
      <c r="AI2457">
        <v>89.182077354632696</v>
      </c>
      <c r="AJ2457">
        <v>88.440674635481997</v>
      </c>
      <c r="AK2457">
        <v>293.38299297475902</v>
      </c>
      <c r="AL2457">
        <v>81.082565973516196</v>
      </c>
      <c r="AM2457">
        <v>95.721448772541194</v>
      </c>
      <c r="AN2457">
        <v>1.00000002121975</v>
      </c>
    </row>
    <row r="2458" spans="1:40" x14ac:dyDescent="0.25">
      <c r="A2458" t="str">
        <f>"20190304154808774"</f>
        <v>20190304154808774</v>
      </c>
      <c r="B2458" t="str">
        <f>"1551685688769250"</f>
        <v>1551685688769250</v>
      </c>
      <c r="C2458" t="s">
        <v>40</v>
      </c>
      <c r="D2458">
        <v>4.1096879999999896</v>
      </c>
      <c r="E2458">
        <v>0.5459965</v>
      </c>
      <c r="F2458" t="s">
        <v>63</v>
      </c>
      <c r="G2458">
        <v>-549.03139999999996</v>
      </c>
      <c r="H2458">
        <v>5.3678720000000002</v>
      </c>
      <c r="I2458">
        <v>294.55</v>
      </c>
      <c r="J2458">
        <v>-256.93819999999999</v>
      </c>
      <c r="K2458">
        <v>1.1105370000000001</v>
      </c>
      <c r="L2458">
        <v>285.42219999999998</v>
      </c>
      <c r="M2458">
        <v>-0.99993030000000005</v>
      </c>
      <c r="N2458">
        <v>-1.12125E-2</v>
      </c>
      <c r="O2458">
        <v>3.7021599999999999E-3</v>
      </c>
      <c r="P2458">
        <v>-0.98505659999999895</v>
      </c>
      <c r="Q2458">
        <v>0.1439117</v>
      </c>
      <c r="R2458">
        <v>-9.461783E-2</v>
      </c>
      <c r="S2458">
        <v>-3.0483090000000002</v>
      </c>
      <c r="T2458">
        <v>4.440761E-2</v>
      </c>
      <c r="U2458">
        <v>9.5214839999999995E-2</v>
      </c>
      <c r="V2458">
        <v>-9.8247650000000006E-2</v>
      </c>
      <c r="W2458">
        <v>0.15495439999999999</v>
      </c>
      <c r="X2458">
        <v>0.98302420000000001</v>
      </c>
      <c r="Y2458">
        <v>2.7519829999999999E-2</v>
      </c>
      <c r="Z2458" s="1">
        <v>4.934767E-5</v>
      </c>
      <c r="AA2458">
        <v>0.99962130000000005</v>
      </c>
      <c r="AB2458">
        <v>29</v>
      </c>
      <c r="AC2458">
        <v>-292.09320000000002</v>
      </c>
      <c r="AD2458">
        <v>4.2573349999999897</v>
      </c>
      <c r="AE2458">
        <v>9.1278000000000308</v>
      </c>
      <c r="AF2458">
        <v>8.0445864020723192</v>
      </c>
      <c r="AG2458">
        <v>4.2573349999999897</v>
      </c>
      <c r="AH2458">
        <v>292.063007898688</v>
      </c>
      <c r="AI2458">
        <v>89.165188373319793</v>
      </c>
      <c r="AJ2458">
        <v>88.422243397210295</v>
      </c>
      <c r="AK2458">
        <v>292.20479266177603</v>
      </c>
      <c r="AL2458">
        <v>81.085848587355997</v>
      </c>
      <c r="AM2458">
        <v>95.707432445439295</v>
      </c>
      <c r="AN2458">
        <v>1.0000000222977601</v>
      </c>
    </row>
    <row r="2459" spans="1:40" x14ac:dyDescent="0.25">
      <c r="A2459" t="str">
        <f>"20190304154808793"</f>
        <v>20190304154808793</v>
      </c>
      <c r="B2459" t="str">
        <f>"1551685688788770"</f>
        <v>1551685688788770</v>
      </c>
      <c r="C2459" t="s">
        <v>40</v>
      </c>
      <c r="D2459">
        <v>4.105766</v>
      </c>
      <c r="E2459">
        <v>0.54614099999999999</v>
      </c>
      <c r="F2459" t="s">
        <v>63</v>
      </c>
      <c r="G2459">
        <v>-544.73689999999999</v>
      </c>
      <c r="H2459">
        <v>5.3032469999999998</v>
      </c>
      <c r="I2459">
        <v>294.55</v>
      </c>
      <c r="J2459">
        <v>-257.19540000000001</v>
      </c>
      <c r="K2459">
        <v>1.1105400000000001</v>
      </c>
      <c r="L2459">
        <v>285.42320000000001</v>
      </c>
      <c r="M2459">
        <v>-0.99993019999999999</v>
      </c>
      <c r="N2459">
        <v>-1.1215360000000001E-2</v>
      </c>
      <c r="O2459">
        <v>3.7325969999999998E-3</v>
      </c>
      <c r="P2459">
        <v>-0.98510149999999996</v>
      </c>
      <c r="Q2459">
        <v>0.14396059999999999</v>
      </c>
      <c r="R2459">
        <v>-9.4079209999999996E-2</v>
      </c>
      <c r="S2459">
        <v>-3.0483090000000002</v>
      </c>
      <c r="T2459">
        <v>4.4409280000000002E-2</v>
      </c>
      <c r="U2459">
        <v>9.6679689999999999E-2</v>
      </c>
      <c r="V2459">
        <v>-9.7738710000000006E-2</v>
      </c>
      <c r="W2459">
        <v>0.1550067</v>
      </c>
      <c r="X2459">
        <v>0.98306669999999996</v>
      </c>
      <c r="Y2459">
        <v>2.7969279999999999E-2</v>
      </c>
      <c r="Z2459" s="1">
        <v>4.9426769999999997E-5</v>
      </c>
      <c r="AA2459">
        <v>0.99960879999999996</v>
      </c>
      <c r="AB2459">
        <v>29</v>
      </c>
      <c r="AC2459">
        <v>-287.54149999999998</v>
      </c>
      <c r="AD2459">
        <v>4.1927070000000004</v>
      </c>
      <c r="AE2459">
        <v>9.1267999999999994</v>
      </c>
      <c r="AF2459">
        <v>8.0516822690421002</v>
      </c>
      <c r="AG2459">
        <v>4.1927070000000004</v>
      </c>
      <c r="AH2459">
        <v>287.51249838413497</v>
      </c>
      <c r="AI2459">
        <v>89.1648597285797</v>
      </c>
      <c r="AJ2459">
        <v>88.395871931942807</v>
      </c>
      <c r="AK2459">
        <v>287.65577537473001</v>
      </c>
      <c r="AL2459">
        <v>81.082815479628294</v>
      </c>
      <c r="AM2459">
        <v>95.677816770041403</v>
      </c>
      <c r="AN2459">
        <v>1.0000000345631199</v>
      </c>
    </row>
    <row r="2460" spans="1:40" x14ac:dyDescent="0.25">
      <c r="A2460" t="str">
        <f>"20190304154808805"</f>
        <v>20190304154808805</v>
      </c>
      <c r="B2460" t="str">
        <f>"1551685688799507"</f>
        <v>1551685688799507</v>
      </c>
      <c r="C2460" t="s">
        <v>40</v>
      </c>
      <c r="D2460">
        <v>4.0827419999999996</v>
      </c>
      <c r="E2460">
        <v>0.5462148</v>
      </c>
      <c r="F2460" t="s">
        <v>63</v>
      </c>
      <c r="G2460">
        <v>-511.13420000000002</v>
      </c>
      <c r="H2460">
        <v>4.8548549999999997</v>
      </c>
      <c r="I2460">
        <v>293.69319999999999</v>
      </c>
      <c r="J2460">
        <v>-257.35809999999998</v>
      </c>
      <c r="K2460">
        <v>1.110541</v>
      </c>
      <c r="L2460">
        <v>285.42380000000003</v>
      </c>
      <c r="M2460">
        <v>-0.99992999999999999</v>
      </c>
      <c r="N2460">
        <v>-1.12172E-2</v>
      </c>
      <c r="O2460">
        <v>3.7516020000000001E-3</v>
      </c>
      <c r="P2460">
        <v>-0.98513260000000002</v>
      </c>
      <c r="Q2460">
        <v>0.14394749999999901</v>
      </c>
      <c r="R2460">
        <v>-9.377133E-2</v>
      </c>
      <c r="S2460">
        <v>-3.048279</v>
      </c>
      <c r="T2460">
        <v>4.494774E-2</v>
      </c>
      <c r="U2460">
        <v>9.9273680000000003E-2</v>
      </c>
      <c r="V2460">
        <v>-9.7449649999999999E-2</v>
      </c>
      <c r="W2460">
        <v>0.15499540000000001</v>
      </c>
      <c r="X2460">
        <v>0.98309709999999995</v>
      </c>
      <c r="Y2460">
        <v>2.8800309999999999E-2</v>
      </c>
      <c r="Z2460" s="1">
        <v>4.6682050000000001E-5</v>
      </c>
      <c r="AA2460">
        <v>0.99958519999999895</v>
      </c>
      <c r="AB2460">
        <v>29</v>
      </c>
      <c r="AC2460">
        <v>-253.77610000000001</v>
      </c>
      <c r="AD2460">
        <v>3.7443140000000001</v>
      </c>
      <c r="AE2460">
        <v>8.2693999999999601</v>
      </c>
      <c r="AF2460">
        <v>7.3156240602775604</v>
      </c>
      <c r="AG2460">
        <v>3.7443140000000001</v>
      </c>
      <c r="AH2460">
        <v>253.750158465407</v>
      </c>
      <c r="AI2460">
        <v>89.154961162926597</v>
      </c>
      <c r="AJ2460">
        <v>88.348618523087097</v>
      </c>
      <c r="AK2460">
        <v>253.883203784617</v>
      </c>
      <c r="AL2460">
        <v>81.083470155690506</v>
      </c>
      <c r="AM2460">
        <v>95.660960071437003</v>
      </c>
      <c r="AN2460">
        <v>0.99999995816734499</v>
      </c>
    </row>
    <row r="2461" spans="1:40" x14ac:dyDescent="0.25">
      <c r="A2461" t="str">
        <f>"20190304154808827"</f>
        <v>20190304154808827</v>
      </c>
      <c r="B2461" t="str">
        <f>"1551685688819026"</f>
        <v>1551685688819026</v>
      </c>
      <c r="C2461" t="s">
        <v>40</v>
      </c>
      <c r="D2461">
        <v>4.107183</v>
      </c>
      <c r="E2461">
        <v>0.54636569999999995</v>
      </c>
      <c r="F2461" t="s">
        <v>63</v>
      </c>
      <c r="G2461">
        <v>-510.95519999999999</v>
      </c>
      <c r="H2461">
        <v>4.8583489999999996</v>
      </c>
      <c r="I2461">
        <v>293.79700000000003</v>
      </c>
      <c r="J2461">
        <v>-257.64139999999998</v>
      </c>
      <c r="K2461">
        <v>1.1105430000000001</v>
      </c>
      <c r="L2461">
        <v>285.42500000000001</v>
      </c>
      <c r="M2461">
        <v>-0.99992999999999999</v>
      </c>
      <c r="N2461">
        <v>-1.12204E-2</v>
      </c>
      <c r="O2461">
        <v>3.784721E-3</v>
      </c>
      <c r="P2461">
        <v>-0.98516049999999999</v>
      </c>
      <c r="Q2461">
        <v>0.144098</v>
      </c>
      <c r="R2461">
        <v>-9.3245869999999995E-2</v>
      </c>
      <c r="S2461">
        <v>-3.048279</v>
      </c>
      <c r="T2461">
        <v>4.5050260000000002E-2</v>
      </c>
      <c r="U2461">
        <v>0.100647</v>
      </c>
      <c r="V2461">
        <v>-9.6956940000000005E-2</v>
      </c>
      <c r="W2461">
        <v>0.15514900000000001</v>
      </c>
      <c r="X2461">
        <v>0.98312160000000004</v>
      </c>
      <c r="Y2461">
        <v>2.921704E-2</v>
      </c>
      <c r="Z2461" s="1">
        <v>4.6505209999999997E-5</v>
      </c>
      <c r="AA2461">
        <v>0.99957309999999999</v>
      </c>
      <c r="AB2461">
        <v>29</v>
      </c>
      <c r="AC2461">
        <v>-253.31379999999999</v>
      </c>
      <c r="AD2461">
        <v>3.7478060000000002</v>
      </c>
      <c r="AE2461">
        <v>8.3720000000000105</v>
      </c>
      <c r="AF2461">
        <v>7.4115371448651599</v>
      </c>
      <c r="AG2461">
        <v>3.7478060000000002</v>
      </c>
      <c r="AH2461">
        <v>253.28829006303701</v>
      </c>
      <c r="AI2461">
        <v>89.152641654411298</v>
      </c>
      <c r="AJ2461">
        <v>88.323930956041195</v>
      </c>
      <c r="AK2461">
        <v>253.424416376404</v>
      </c>
      <c r="AL2461">
        <v>81.074561870030294</v>
      </c>
      <c r="AM2461">
        <v>95.632383039273293</v>
      </c>
      <c r="AN2461">
        <v>0.99999997040086097</v>
      </c>
    </row>
    <row r="2462" spans="1:40" x14ac:dyDescent="0.25">
      <c r="A2462" t="str">
        <f>"20190304154808840"</f>
        <v>20190304154808840</v>
      </c>
      <c r="B2462" t="str">
        <f>"1551685688828786"</f>
        <v>1551685688828786</v>
      </c>
      <c r="C2462" t="s">
        <v>40</v>
      </c>
      <c r="D2462">
        <v>4.1166410000000004</v>
      </c>
      <c r="E2462">
        <v>0.54644419999999905</v>
      </c>
      <c r="F2462" t="s">
        <v>63</v>
      </c>
      <c r="G2462">
        <v>-510.95519999999999</v>
      </c>
      <c r="H2462">
        <v>4.9105049999999997</v>
      </c>
      <c r="I2462">
        <v>293.9966</v>
      </c>
      <c r="J2462">
        <v>-257.80860000000001</v>
      </c>
      <c r="K2462">
        <v>1.110544</v>
      </c>
      <c r="L2462">
        <v>285.42559999999997</v>
      </c>
      <c r="M2462">
        <v>-0.99992990000000004</v>
      </c>
      <c r="N2462">
        <v>-1.1222269999999999E-2</v>
      </c>
      <c r="O2462">
        <v>3.8044390000000002E-3</v>
      </c>
      <c r="P2462">
        <v>-0.98512599999999995</v>
      </c>
      <c r="Q2462">
        <v>0.144343</v>
      </c>
      <c r="R2462">
        <v>-9.3230030000000005E-2</v>
      </c>
      <c r="S2462">
        <v>-3.0483090000000002</v>
      </c>
      <c r="T2462">
        <v>4.5728680000000001E-2</v>
      </c>
      <c r="U2462">
        <v>0.1031494</v>
      </c>
      <c r="V2462">
        <v>-9.6960610000000003E-2</v>
      </c>
      <c r="W2462">
        <v>0.155395799999999</v>
      </c>
      <c r="X2462">
        <v>0.98308229999999996</v>
      </c>
      <c r="Y2462">
        <v>3.0016589999999999E-2</v>
      </c>
      <c r="Z2462" s="1">
        <v>4.3146950000000002E-5</v>
      </c>
      <c r="AA2462">
        <v>0.99954940000000003</v>
      </c>
      <c r="AB2462">
        <v>29</v>
      </c>
      <c r="AC2462">
        <v>-253.14660000000001</v>
      </c>
      <c r="AD2462">
        <v>3.7999610000000001</v>
      </c>
      <c r="AE2462">
        <v>8.5710000000000193</v>
      </c>
      <c r="AF2462">
        <v>7.60608472417554</v>
      </c>
      <c r="AG2462">
        <v>3.7999610000000001</v>
      </c>
      <c r="AH2462">
        <v>253.12040800260999</v>
      </c>
      <c r="AI2462">
        <v>89.140301775668206</v>
      </c>
      <c r="AJ2462">
        <v>88.278821297046306</v>
      </c>
      <c r="AK2462">
        <v>253.26316979742799</v>
      </c>
      <c r="AL2462">
        <v>81.060248035072803</v>
      </c>
      <c r="AM2462">
        <v>95.632818586807701</v>
      </c>
      <c r="AN2462">
        <v>1.00000001156125</v>
      </c>
    </row>
    <row r="2463" spans="1:40" x14ac:dyDescent="0.25">
      <c r="A2463" t="str">
        <f>"20190304154808853"</f>
        <v>20190304154808853</v>
      </c>
      <c r="B2463" t="str">
        <f>"1551685688849282"</f>
        <v>1551685688849282</v>
      </c>
      <c r="C2463" t="s">
        <v>40</v>
      </c>
      <c r="D2463">
        <v>4.0980049999999997</v>
      </c>
      <c r="E2463">
        <v>0.54659190000000002</v>
      </c>
      <c r="F2463" t="s">
        <v>63</v>
      </c>
      <c r="G2463">
        <v>-510.95530000000002</v>
      </c>
      <c r="H2463">
        <v>4.9871210000000001</v>
      </c>
      <c r="I2463">
        <v>294.03989999999999</v>
      </c>
      <c r="J2463">
        <v>-257.97469999999998</v>
      </c>
      <c r="K2463">
        <v>1.1105449999999999</v>
      </c>
      <c r="L2463">
        <v>285.42619999999999</v>
      </c>
      <c r="M2463">
        <v>-0.99992979999999998</v>
      </c>
      <c r="N2463">
        <v>-1.1224130000000001E-2</v>
      </c>
      <c r="O2463">
        <v>3.82374E-3</v>
      </c>
      <c r="P2463">
        <v>-0.9851221</v>
      </c>
      <c r="Q2463">
        <v>0.14446579999999901</v>
      </c>
      <c r="R2463">
        <v>-9.3082540000000005E-2</v>
      </c>
      <c r="S2463">
        <v>-3.048279</v>
      </c>
      <c r="T2463">
        <v>4.6681050000000002E-2</v>
      </c>
      <c r="U2463">
        <v>0.10372919999999999</v>
      </c>
      <c r="V2463">
        <v>-9.6832139999999997E-2</v>
      </c>
      <c r="W2463">
        <v>0.15552009999999999</v>
      </c>
      <c r="X2463">
        <v>0.98307529999999999</v>
      </c>
      <c r="Y2463">
        <v>3.0187499999999999E-2</v>
      </c>
      <c r="Z2463" s="1">
        <v>3.9845790000000003E-5</v>
      </c>
      <c r="AA2463">
        <v>0.99954430000000005</v>
      </c>
      <c r="AB2463">
        <v>29</v>
      </c>
      <c r="AC2463">
        <v>-252.98060000000001</v>
      </c>
      <c r="AD2463">
        <v>3.876576</v>
      </c>
      <c r="AE2463">
        <v>8.6136999999999908</v>
      </c>
      <c r="AF2463">
        <v>7.6444512055598102</v>
      </c>
      <c r="AG2463">
        <v>3.876576</v>
      </c>
      <c r="AH2463">
        <v>252.95236124116701</v>
      </c>
      <c r="AI2463">
        <v>89.122393157429499</v>
      </c>
      <c r="AJ2463">
        <v>88.268996103018296</v>
      </c>
      <c r="AK2463">
        <v>253.097535612657</v>
      </c>
      <c r="AL2463">
        <v>81.053038462375596</v>
      </c>
      <c r="AM2463">
        <v>95.6254429658226</v>
      </c>
      <c r="AN2463">
        <v>1.00000000515553</v>
      </c>
    </row>
    <row r="2464" spans="1:40" x14ac:dyDescent="0.25">
      <c r="A2464" t="str">
        <f>"20190304154808865"</f>
        <v>20190304154808865</v>
      </c>
      <c r="B2464" t="str">
        <f>"1551685688859042"</f>
        <v>1551685688859042</v>
      </c>
      <c r="C2464" t="s">
        <v>40</v>
      </c>
      <c r="D2464">
        <v>4.0995910000000002</v>
      </c>
      <c r="E2464">
        <v>0.54664369999999995</v>
      </c>
      <c r="F2464" t="s">
        <v>63</v>
      </c>
      <c r="G2464">
        <v>-510.95530000000002</v>
      </c>
      <c r="H2464">
        <v>5.0514109999999999</v>
      </c>
      <c r="I2464">
        <v>294.16399999999999</v>
      </c>
      <c r="J2464">
        <v>-258.14760000000001</v>
      </c>
      <c r="K2464">
        <v>1.1105449999999999</v>
      </c>
      <c r="L2464">
        <v>285.42689999999999</v>
      </c>
      <c r="M2464">
        <v>-0.99992970000000003</v>
      </c>
      <c r="N2464">
        <v>-1.122604E-2</v>
      </c>
      <c r="O2464">
        <v>3.8439350000000001E-3</v>
      </c>
      <c r="P2464">
        <v>-0.98509599999999997</v>
      </c>
      <c r="Q2464">
        <v>0.1446375</v>
      </c>
      <c r="R2464">
        <v>-9.3092339999999996E-2</v>
      </c>
      <c r="S2464">
        <v>-3.048279</v>
      </c>
      <c r="T2464">
        <v>4.7486309999999997E-2</v>
      </c>
      <c r="U2464">
        <v>0.10528559999999999</v>
      </c>
      <c r="V2464">
        <v>-9.6861810000000007E-2</v>
      </c>
      <c r="W2464">
        <v>0.1556939</v>
      </c>
      <c r="X2464">
        <v>0.9830449</v>
      </c>
      <c r="Y2464">
        <v>3.0676999999999999E-2</v>
      </c>
      <c r="Z2464" s="1">
        <v>3.6387119999999997E-5</v>
      </c>
      <c r="AA2464">
        <v>0.99952940000000001</v>
      </c>
      <c r="AB2464">
        <v>29</v>
      </c>
      <c r="AC2464">
        <v>-252.80770000000001</v>
      </c>
      <c r="AD2464">
        <v>3.9408660000000002</v>
      </c>
      <c r="AE2464">
        <v>8.7370999999999892</v>
      </c>
      <c r="AF2464">
        <v>7.7633137171631201</v>
      </c>
      <c r="AG2464">
        <v>3.9408660000000002</v>
      </c>
      <c r="AH2464">
        <v>252.77806770088199</v>
      </c>
      <c r="AI2464">
        <v>89.107239350531003</v>
      </c>
      <c r="AJ2464">
        <v>88.240886388316895</v>
      </c>
      <c r="AK2464">
        <v>252.927956096776</v>
      </c>
      <c r="AL2464">
        <v>81.042957959425294</v>
      </c>
      <c r="AM2464">
        <v>95.627328476424694</v>
      </c>
      <c r="AN2464">
        <v>1.0000000380748399</v>
      </c>
    </row>
    <row r="2465" spans="1:40" x14ac:dyDescent="0.25">
      <c r="A2465" t="str">
        <f>"20190304154808883"</f>
        <v>20190304154808883</v>
      </c>
      <c r="B2465" t="str">
        <f>"1551685688879538"</f>
        <v>1551685688879538</v>
      </c>
      <c r="C2465" t="s">
        <v>40</v>
      </c>
      <c r="D2465">
        <v>4.0913779999999997</v>
      </c>
      <c r="E2465">
        <v>0.54676029999999998</v>
      </c>
      <c r="F2465" t="s">
        <v>63</v>
      </c>
      <c r="G2465">
        <v>-510.95530000000002</v>
      </c>
      <c r="H2465">
        <v>5.0961949999999998</v>
      </c>
      <c r="I2465">
        <v>294.19159999999999</v>
      </c>
      <c r="J2465">
        <v>-258.37450000000001</v>
      </c>
      <c r="K2465">
        <v>1.1105480000000001</v>
      </c>
      <c r="L2465">
        <v>285.42790000000002</v>
      </c>
      <c r="M2465">
        <v>-0.99992950000000003</v>
      </c>
      <c r="N2465">
        <v>-1.122857E-2</v>
      </c>
      <c r="O2465">
        <v>3.8701479999999999E-3</v>
      </c>
      <c r="P2465">
        <v>-0.98505209999999999</v>
      </c>
      <c r="Q2465">
        <v>0.14509620000000001</v>
      </c>
      <c r="R2465">
        <v>-9.2840909999999999E-2</v>
      </c>
      <c r="S2465">
        <v>-3.0483090000000002</v>
      </c>
      <c r="T2465">
        <v>4.8059230000000001E-2</v>
      </c>
      <c r="U2465">
        <v>0.105682399999999</v>
      </c>
      <c r="V2465">
        <v>-9.6636250000000007E-2</v>
      </c>
      <c r="W2465">
        <v>0.15615409999999999</v>
      </c>
      <c r="X2465">
        <v>0.98299409999999998</v>
      </c>
      <c r="Y2465">
        <v>3.0780350000000001E-2</v>
      </c>
      <c r="Z2465" s="1">
        <v>3.4752390000000002E-5</v>
      </c>
      <c r="AA2465">
        <v>0.99952609999999997</v>
      </c>
      <c r="AB2465">
        <v>29</v>
      </c>
      <c r="AC2465">
        <v>-252.58080000000001</v>
      </c>
      <c r="AD2465">
        <v>3.9856470000000002</v>
      </c>
      <c r="AE2465">
        <v>8.7636999999999698</v>
      </c>
      <c r="AF2465">
        <v>7.7841117809866001</v>
      </c>
      <c r="AG2465">
        <v>3.9856470000000002</v>
      </c>
      <c r="AH2465">
        <v>252.550018123564</v>
      </c>
      <c r="AI2465">
        <v>89.096284250094797</v>
      </c>
      <c r="AJ2465">
        <v>88.234584959221095</v>
      </c>
      <c r="AK2465">
        <v>252.70138391476999</v>
      </c>
      <c r="AL2465">
        <v>81.016263914383401</v>
      </c>
      <c r="AM2465">
        <v>95.614596343148307</v>
      </c>
      <c r="AN2465">
        <v>1.0000000341978399</v>
      </c>
    </row>
    <row r="2466" spans="1:40" x14ac:dyDescent="0.25">
      <c r="A2466" t="str">
        <f>"20190304154808905"</f>
        <v>20190304154808905</v>
      </c>
      <c r="B2466" t="str">
        <f>"1551685688899058"</f>
        <v>1551685688899058</v>
      </c>
      <c r="C2466" t="s">
        <v>40</v>
      </c>
      <c r="D2466">
        <v>4.102398</v>
      </c>
      <c r="E2466">
        <v>0.5468731</v>
      </c>
      <c r="F2466" t="s">
        <v>63</v>
      </c>
      <c r="G2466">
        <v>-510.9554</v>
      </c>
      <c r="H2466">
        <v>5.238791</v>
      </c>
      <c r="I2466">
        <v>294.32369999999997</v>
      </c>
      <c r="J2466">
        <v>-258.67579999999998</v>
      </c>
      <c r="K2466">
        <v>1.1105449999999999</v>
      </c>
      <c r="L2466">
        <v>285.42910000000001</v>
      </c>
      <c r="M2466">
        <v>-0.99992930000000002</v>
      </c>
      <c r="N2466">
        <v>-1.1231949999999999E-2</v>
      </c>
      <c r="O2466">
        <v>3.9052940000000001E-3</v>
      </c>
      <c r="P2466">
        <v>-0.98503770000000002</v>
      </c>
      <c r="Q2466">
        <v>0.14524279999999901</v>
      </c>
      <c r="R2466">
        <v>-9.2766169999999995E-2</v>
      </c>
      <c r="S2466">
        <v>-3.0483090000000002</v>
      </c>
      <c r="T2466">
        <v>4.9823279999999998E-2</v>
      </c>
      <c r="U2466">
        <v>0.10736080000000001</v>
      </c>
      <c r="V2466">
        <v>-9.6595039999999993E-2</v>
      </c>
      <c r="W2466">
        <v>0.1563039</v>
      </c>
      <c r="X2466">
        <v>0.98297429999999997</v>
      </c>
      <c r="Y2466">
        <v>3.129477E-2</v>
      </c>
      <c r="Z2466" s="1">
        <v>2.781383E-5</v>
      </c>
      <c r="AA2466">
        <v>0.99951020000000002</v>
      </c>
      <c r="AB2466">
        <v>29</v>
      </c>
      <c r="AC2466">
        <v>-252.27959999999999</v>
      </c>
      <c r="AD2466">
        <v>4.1282459999999999</v>
      </c>
      <c r="AE2466">
        <v>8.8945999999999596</v>
      </c>
      <c r="AF2466">
        <v>7.9071293223877497</v>
      </c>
      <c r="AG2466">
        <v>4.1282459999999999</v>
      </c>
      <c r="AH2466">
        <v>252.24495362594101</v>
      </c>
      <c r="AI2466">
        <v>89.062840071752007</v>
      </c>
      <c r="AJ2466">
        <v>88.204535605883393</v>
      </c>
      <c r="AK2466">
        <v>252.40261832816</v>
      </c>
      <c r="AL2466">
        <v>81.007573929591999</v>
      </c>
      <c r="AM2466">
        <v>95.612329642884603</v>
      </c>
      <c r="AN2466">
        <v>0.99999999268414996</v>
      </c>
    </row>
    <row r="2467" spans="1:40" x14ac:dyDescent="0.25">
      <c r="A2467" t="str">
        <f>"20190304154808920"</f>
        <v>20190304154808920</v>
      </c>
      <c r="B2467" t="str">
        <f>"1551685688908819"</f>
        <v>1551685688908819</v>
      </c>
      <c r="C2467" t="s">
        <v>40</v>
      </c>
      <c r="D2467">
        <v>4.0908680000000004</v>
      </c>
      <c r="E2467">
        <v>0.54692169999999996</v>
      </c>
      <c r="F2467" t="s">
        <v>63</v>
      </c>
      <c r="G2467">
        <v>-510.9554</v>
      </c>
      <c r="H2467">
        <v>5.2946249999999999</v>
      </c>
      <c r="I2467">
        <v>294.39260000000002</v>
      </c>
      <c r="J2467">
        <v>-258.8673</v>
      </c>
      <c r="K2467">
        <v>1.1105449999999999</v>
      </c>
      <c r="L2467">
        <v>285.4298</v>
      </c>
      <c r="M2467">
        <v>-0.99992919999999996</v>
      </c>
      <c r="N2467">
        <v>-1.1233979999999999E-2</v>
      </c>
      <c r="O2467">
        <v>3.927692E-3</v>
      </c>
      <c r="P2467">
        <v>-0.98499970000000003</v>
      </c>
      <c r="Q2467">
        <v>0.14571210000000001</v>
      </c>
      <c r="R2467">
        <v>-9.2431550000000001E-2</v>
      </c>
      <c r="S2467">
        <v>-3.0483090000000002</v>
      </c>
      <c r="T2467">
        <v>5.0557489999999997E-2</v>
      </c>
      <c r="U2467">
        <v>0.1083069</v>
      </c>
      <c r="V2467">
        <v>-9.6282629999999994E-2</v>
      </c>
      <c r="W2467">
        <v>0.15677489999999999</v>
      </c>
      <c r="X2467">
        <v>0.98292990000000002</v>
      </c>
      <c r="Y2467">
        <v>3.158213E-2</v>
      </c>
      <c r="Z2467" s="1">
        <v>2.4884100000000001E-5</v>
      </c>
      <c r="AA2467">
        <v>0.99950119999999998</v>
      </c>
      <c r="AB2467">
        <v>29</v>
      </c>
      <c r="AC2467">
        <v>-252.0881</v>
      </c>
      <c r="AD2467">
        <v>4.1840799999999998</v>
      </c>
      <c r="AE2467">
        <v>8.9628000000000103</v>
      </c>
      <c r="AF2467">
        <v>7.9703510503264798</v>
      </c>
      <c r="AG2467">
        <v>4.1840799999999998</v>
      </c>
      <c r="AH2467">
        <v>252.05201217882001</v>
      </c>
      <c r="AI2467">
        <v>89.049448678160999</v>
      </c>
      <c r="AJ2467">
        <v>88.188804960705198</v>
      </c>
      <c r="AK2467">
        <v>252.21270757974099</v>
      </c>
      <c r="AL2467">
        <v>80.980250392060498</v>
      </c>
      <c r="AM2467">
        <v>95.594544536938898</v>
      </c>
      <c r="AN2467">
        <v>0.99999995121186702</v>
      </c>
    </row>
    <row r="2468" spans="1:40" x14ac:dyDescent="0.25">
      <c r="A2468" t="str">
        <f>"20190304154808939"</f>
        <v>20190304154808939</v>
      </c>
      <c r="B2468" t="str">
        <f>"1551685688929318"</f>
        <v>1551685688929318</v>
      </c>
      <c r="C2468" t="s">
        <v>40</v>
      </c>
      <c r="D2468">
        <v>4.2137969999999996</v>
      </c>
      <c r="E2468">
        <v>0.54698570000000002</v>
      </c>
      <c r="F2468" t="s">
        <v>63</v>
      </c>
      <c r="G2468">
        <v>-510.9554</v>
      </c>
      <c r="H2468">
        <v>5.4198430000000002</v>
      </c>
      <c r="I2468">
        <v>294.48759999999999</v>
      </c>
      <c r="J2468">
        <v>-259.11500000000001</v>
      </c>
      <c r="K2468">
        <v>1.1105449999999999</v>
      </c>
      <c r="L2468">
        <v>285.43079999999998</v>
      </c>
      <c r="M2468">
        <v>-0.99992910000000002</v>
      </c>
      <c r="N2468">
        <v>-1.123654E-2</v>
      </c>
      <c r="O2468">
        <v>3.9564659999999996E-3</v>
      </c>
      <c r="P2468">
        <v>-0.9849812</v>
      </c>
      <c r="Q2468">
        <v>0.14602209999999999</v>
      </c>
      <c r="R2468">
        <v>-9.2140929999999996E-2</v>
      </c>
      <c r="S2468">
        <v>-3.0482480000000001</v>
      </c>
      <c r="T2468">
        <v>5.2109000000000003E-2</v>
      </c>
      <c r="U2468">
        <v>0.1095276</v>
      </c>
      <c r="V2468">
        <v>-9.6020480000000005E-2</v>
      </c>
      <c r="W2468">
        <v>0.15708659999999999</v>
      </c>
      <c r="X2468">
        <v>0.98290580000000005</v>
      </c>
      <c r="Y2468">
        <v>3.195369E-2</v>
      </c>
      <c r="Z2468" s="1">
        <v>1.862666E-5</v>
      </c>
      <c r="AA2468">
        <v>0.99948939999999997</v>
      </c>
      <c r="AB2468">
        <v>29</v>
      </c>
      <c r="AC2468">
        <v>-251.84039999999999</v>
      </c>
      <c r="AD2468">
        <v>4.3092980000000001</v>
      </c>
      <c r="AE2468">
        <v>9.0568000000000097</v>
      </c>
      <c r="AF2468">
        <v>8.05791201406117</v>
      </c>
      <c r="AG2468">
        <v>4.3092980000000001</v>
      </c>
      <c r="AH2468">
        <v>251.80063331542701</v>
      </c>
      <c r="AI2468">
        <v>89.020041396544201</v>
      </c>
      <c r="AJ2468">
        <v>88.167094176405001</v>
      </c>
      <c r="AK2468">
        <v>251.96638453041601</v>
      </c>
      <c r="AL2468">
        <v>80.962167429428106</v>
      </c>
      <c r="AM2468">
        <v>95.579544378014006</v>
      </c>
      <c r="AN2468">
        <v>0.99999997207631497</v>
      </c>
    </row>
    <row r="2469" spans="1:40" x14ac:dyDescent="0.25">
      <c r="A2469" t="str">
        <f>"20190304154808952"</f>
        <v>20190304154808952</v>
      </c>
      <c r="B2469" t="str">
        <f>"1551685688949810"</f>
        <v>1551685688949810</v>
      </c>
      <c r="C2469" t="s">
        <v>40</v>
      </c>
      <c r="D2469">
        <v>4.0898240000000001</v>
      </c>
      <c r="E2469">
        <v>0.5470815</v>
      </c>
      <c r="F2469" t="s">
        <v>63</v>
      </c>
      <c r="G2469">
        <v>-510.9554</v>
      </c>
      <c r="H2469">
        <v>5.5207249999999997</v>
      </c>
      <c r="I2469">
        <v>294.61110000000002</v>
      </c>
      <c r="J2469">
        <v>-259.28899999999999</v>
      </c>
      <c r="K2469">
        <v>1.1105449999999999</v>
      </c>
      <c r="L2469">
        <v>285.43150000000003</v>
      </c>
      <c r="M2469">
        <v>-0.99992899999999996</v>
      </c>
      <c r="N2469">
        <v>-1.1238389999999999E-2</v>
      </c>
      <c r="O2469">
        <v>3.9766009999999997E-3</v>
      </c>
      <c r="P2469">
        <v>-0.98492800000000003</v>
      </c>
      <c r="Q2469">
        <v>0.1463576</v>
      </c>
      <c r="R2469">
        <v>-9.2175569999999998E-2</v>
      </c>
      <c r="S2469">
        <v>-3.048187</v>
      </c>
      <c r="T2469">
        <v>5.3380249999999997E-2</v>
      </c>
      <c r="U2469">
        <v>0.1111145</v>
      </c>
      <c r="V2469">
        <v>-9.6074779999999999E-2</v>
      </c>
      <c r="W2469">
        <v>0.15742329999999999</v>
      </c>
      <c r="X2469">
        <v>0.98284669999999996</v>
      </c>
      <c r="Y2469">
        <v>3.245381E-2</v>
      </c>
      <c r="Z2469" s="1">
        <v>1.266529E-5</v>
      </c>
      <c r="AA2469">
        <v>0.99947319999999995</v>
      </c>
      <c r="AB2469">
        <v>30</v>
      </c>
      <c r="AC2469">
        <v>-251.66640000000001</v>
      </c>
      <c r="AD2469">
        <v>4.4101800000000004</v>
      </c>
      <c r="AE2469">
        <v>9.17959999999999</v>
      </c>
      <c r="AF2469">
        <v>8.17617994000077</v>
      </c>
      <c r="AG2469">
        <v>4.4101800000000004</v>
      </c>
      <c r="AH2469">
        <v>251.62374796229099</v>
      </c>
      <c r="AI2469">
        <v>88.996415947253297</v>
      </c>
      <c r="AJ2469">
        <v>88.138904462322898</v>
      </c>
      <c r="AK2469">
        <v>251.79517498282999</v>
      </c>
      <c r="AL2469">
        <v>80.942633578173101</v>
      </c>
      <c r="AM2469">
        <v>95.583013281691095</v>
      </c>
      <c r="AN2469">
        <v>1.00000004721791</v>
      </c>
    </row>
    <row r="2470" spans="1:40" x14ac:dyDescent="0.25">
      <c r="A2470" t="str">
        <f>"20190304154808963"</f>
        <v>20190304154808963</v>
      </c>
      <c r="B2470" t="str">
        <f>"1551685688959570"</f>
        <v>1551685688959570</v>
      </c>
      <c r="C2470" t="s">
        <v>40</v>
      </c>
      <c r="D2470">
        <v>4.2440129999999998</v>
      </c>
      <c r="E2470">
        <v>0.5469001</v>
      </c>
      <c r="F2470" t="s">
        <v>63</v>
      </c>
      <c r="G2470">
        <v>-510.07060000000001</v>
      </c>
      <c r="H2470">
        <v>5.6040020000000004</v>
      </c>
      <c r="I2470">
        <v>294.6232</v>
      </c>
      <c r="J2470">
        <v>-259.44709999999998</v>
      </c>
      <c r="K2470">
        <v>1.1105499999999999</v>
      </c>
      <c r="L2470">
        <v>285.43220000000002</v>
      </c>
      <c r="M2470">
        <v>-0.99992879999999995</v>
      </c>
      <c r="N2470">
        <v>-1.124021E-2</v>
      </c>
      <c r="O2470">
        <v>3.9951270000000002E-3</v>
      </c>
      <c r="P2470">
        <v>-0.98486859999999998</v>
      </c>
      <c r="Q2470">
        <v>0.14683570000000001</v>
      </c>
      <c r="R2470">
        <v>-9.2049880000000001E-2</v>
      </c>
      <c r="S2470">
        <v>-3.0482480000000001</v>
      </c>
      <c r="T2470">
        <v>5.4618949999999999E-2</v>
      </c>
      <c r="U2470">
        <v>0.1117249</v>
      </c>
      <c r="V2470">
        <v>-9.5966579999999996E-2</v>
      </c>
      <c r="W2470">
        <v>0.15790270000000001</v>
      </c>
      <c r="X2470">
        <v>0.98278030000000005</v>
      </c>
      <c r="Y2470">
        <v>3.263431E-2</v>
      </c>
      <c r="Z2470" s="1">
        <v>7.6709839999999995E-6</v>
      </c>
      <c r="AA2470">
        <v>0.99946740000000001</v>
      </c>
      <c r="AB2470">
        <v>30</v>
      </c>
      <c r="AC2470">
        <v>-250.62350000000001</v>
      </c>
      <c r="AD2470">
        <v>4.4934519999999996</v>
      </c>
      <c r="AE2470">
        <v>9.1909999999999705</v>
      </c>
      <c r="AF2470">
        <v>8.18696244248199</v>
      </c>
      <c r="AG2470">
        <v>4.4934519999999996</v>
      </c>
      <c r="AH2470">
        <v>250.57778052818799</v>
      </c>
      <c r="AI2470">
        <v>88.9732091070248</v>
      </c>
      <c r="AJ2470">
        <v>88.128678488819901</v>
      </c>
      <c r="AK2470">
        <v>250.75175285398001</v>
      </c>
      <c r="AL2470">
        <v>80.914817501612404</v>
      </c>
      <c r="AM2470">
        <v>95.577139726483907</v>
      </c>
      <c r="AN2470">
        <v>0.99999998260613798</v>
      </c>
    </row>
    <row r="2471" spans="1:40" x14ac:dyDescent="0.25">
      <c r="A2471" t="str">
        <f>"20190304154808983"</f>
        <v>20190304154808983</v>
      </c>
      <c r="B2471" t="str">
        <f>"1551685688979091"</f>
        <v>1551685688979091</v>
      </c>
      <c r="C2471" t="s">
        <v>40</v>
      </c>
      <c r="D2471">
        <v>4.2222390000000001</v>
      </c>
      <c r="E2471">
        <v>0.54652519999999905</v>
      </c>
      <c r="F2471" t="s">
        <v>63</v>
      </c>
      <c r="G2471">
        <v>-510.07060000000001</v>
      </c>
      <c r="H2471">
        <v>5.6087850000000001</v>
      </c>
      <c r="I2471">
        <v>294.53769999999997</v>
      </c>
      <c r="J2471">
        <v>-259.7011</v>
      </c>
      <c r="K2471">
        <v>1.110555</v>
      </c>
      <c r="L2471">
        <v>285.43329999999997</v>
      </c>
      <c r="M2471">
        <v>-0.99992879999999995</v>
      </c>
      <c r="N2471">
        <v>-1.124321E-2</v>
      </c>
      <c r="O2471">
        <v>4.0247310000000001E-3</v>
      </c>
      <c r="P2471">
        <v>-0.98479989999999995</v>
      </c>
      <c r="Q2471">
        <v>0.1473275</v>
      </c>
      <c r="R2471">
        <v>-9.1999709999999998E-2</v>
      </c>
      <c r="S2471">
        <v>-3.048279</v>
      </c>
      <c r="T2471">
        <v>5.471206E-2</v>
      </c>
      <c r="U2471">
        <v>0.11074829999999999</v>
      </c>
      <c r="V2471">
        <v>-9.5945790000000003E-2</v>
      </c>
      <c r="W2471">
        <v>0.1583966</v>
      </c>
      <c r="X2471">
        <v>0.98270290000000005</v>
      </c>
      <c r="Y2471">
        <v>3.228462E-2</v>
      </c>
      <c r="Z2471" s="1">
        <v>9.3900600000000007E-6</v>
      </c>
      <c r="AA2471">
        <v>0.99947870000000005</v>
      </c>
      <c r="AB2471">
        <v>30</v>
      </c>
      <c r="AC2471">
        <v>-250.36949999999999</v>
      </c>
      <c r="AD2471">
        <v>4.4982300000000004</v>
      </c>
      <c r="AE2471">
        <v>9.1043999999999894</v>
      </c>
      <c r="AF2471">
        <v>8.0939835663287099</v>
      </c>
      <c r="AG2471">
        <v>4.4982300000000004</v>
      </c>
      <c r="AH2471">
        <v>250.323421743105</v>
      </c>
      <c r="AI2471">
        <v>88.971062003092598</v>
      </c>
      <c r="AJ2471">
        <v>88.148037528800501</v>
      </c>
      <c r="AK2471">
        <v>250.494634905184</v>
      </c>
      <c r="AL2471">
        <v>80.886158914119505</v>
      </c>
      <c r="AM2471">
        <v>95.576375527678707</v>
      </c>
      <c r="AN2471">
        <v>1.00000003358934</v>
      </c>
    </row>
    <row r="2472" spans="1:40" x14ac:dyDescent="0.25">
      <c r="A2472" t="str">
        <f>"20190304154808999"</f>
        <v>20190304154808999</v>
      </c>
      <c r="B2472" t="str">
        <f>"1551685688989827"</f>
        <v>1551685688989827</v>
      </c>
      <c r="C2472" t="s">
        <v>40</v>
      </c>
      <c r="D2472">
        <v>4.2277040000000001</v>
      </c>
      <c r="E2472">
        <v>0.54632969999999903</v>
      </c>
      <c r="F2472" t="s">
        <v>63</v>
      </c>
      <c r="G2472">
        <v>-510.9554</v>
      </c>
      <c r="H2472">
        <v>5.509741</v>
      </c>
      <c r="I2472">
        <v>294.32740000000001</v>
      </c>
      <c r="J2472">
        <v>-259.91289999999998</v>
      </c>
      <c r="K2472">
        <v>1.1105579999999999</v>
      </c>
      <c r="L2472">
        <v>285.4341</v>
      </c>
      <c r="M2472">
        <v>-0.9999287</v>
      </c>
      <c r="N2472">
        <v>-1.124577E-2</v>
      </c>
      <c r="O2472">
        <v>4.0492729999999999E-3</v>
      </c>
      <c r="P2472">
        <v>-0.9847496</v>
      </c>
      <c r="Q2472">
        <v>0.1477057</v>
      </c>
      <c r="R2472">
        <v>-9.1933790000000001E-2</v>
      </c>
      <c r="S2472">
        <v>-3.0484010000000001</v>
      </c>
      <c r="T2472">
        <v>5.3375119999999998E-2</v>
      </c>
      <c r="U2472">
        <v>0.107910199999999</v>
      </c>
      <c r="V2472">
        <v>-9.5903310000000005E-2</v>
      </c>
      <c r="W2472">
        <v>0.15877649999999999</v>
      </c>
      <c r="X2472">
        <v>0.98264569999999996</v>
      </c>
      <c r="Y2472">
        <v>3.1329460000000003E-2</v>
      </c>
      <c r="Z2472" s="1">
        <v>1.8447349999999999E-5</v>
      </c>
      <c r="AA2472">
        <v>0.99950910000000004</v>
      </c>
      <c r="AB2472">
        <v>30</v>
      </c>
      <c r="AC2472">
        <v>-251.04249999999999</v>
      </c>
      <c r="AD2472">
        <v>4.3991829999999998</v>
      </c>
      <c r="AE2472">
        <v>8.8933</v>
      </c>
      <c r="AF2472">
        <v>7.8742083443554902</v>
      </c>
      <c r="AG2472">
        <v>4.3991829999999998</v>
      </c>
      <c r="AH2472">
        <v>250.999475319835</v>
      </c>
      <c r="AI2472">
        <v>88.996392672224005</v>
      </c>
      <c r="AJ2472">
        <v>88.203139720209094</v>
      </c>
      <c r="AK2472">
        <v>251.161487053549</v>
      </c>
      <c r="AL2472">
        <v>80.864112922903203</v>
      </c>
      <c r="AM2472">
        <v>95.574244554382503</v>
      </c>
      <c r="AN2472">
        <v>0.99999999677484797</v>
      </c>
    </row>
    <row r="2473" spans="1:40" x14ac:dyDescent="0.25">
      <c r="A2473" t="str">
        <f>"20190304154809017"</f>
        <v>20190304154809017</v>
      </c>
      <c r="B2473" t="str">
        <f>"1551685689009350"</f>
        <v>1551685689009350</v>
      </c>
      <c r="C2473" t="s">
        <v>40</v>
      </c>
      <c r="D2473">
        <v>4.280945</v>
      </c>
      <c r="E2473">
        <v>0.54613100000000003</v>
      </c>
      <c r="F2473" t="s">
        <v>63</v>
      </c>
      <c r="G2473">
        <v>-510.9554</v>
      </c>
      <c r="H2473">
        <v>5.4761870000000004</v>
      </c>
      <c r="I2473">
        <v>294.2</v>
      </c>
      <c r="J2473">
        <v>-260.13780000000003</v>
      </c>
      <c r="K2473">
        <v>1.11056</v>
      </c>
      <c r="L2473">
        <v>285.43509999999998</v>
      </c>
      <c r="M2473">
        <v>-0.9999285</v>
      </c>
      <c r="N2473">
        <v>-1.12485E-2</v>
      </c>
      <c r="O2473">
        <v>4.0751279999999999E-3</v>
      </c>
      <c r="P2473">
        <v>-0.98477360000000003</v>
      </c>
      <c r="Q2473">
        <v>0.14787159999999999</v>
      </c>
      <c r="R2473">
        <v>-9.1405440000000004E-2</v>
      </c>
      <c r="S2473">
        <v>-3.0484309999999999</v>
      </c>
      <c r="T2473">
        <v>5.3013209999999998E-2</v>
      </c>
      <c r="U2473">
        <v>0.10644530000000001</v>
      </c>
      <c r="V2473">
        <v>-9.5401169999999993E-2</v>
      </c>
      <c r="W2473">
        <v>0.15894549999999999</v>
      </c>
      <c r="X2473">
        <v>0.98266730000000002</v>
      </c>
      <c r="Y2473">
        <v>3.0823630000000001E-2</v>
      </c>
      <c r="Z2473" s="1">
        <v>2.2169440000000001E-5</v>
      </c>
      <c r="AA2473">
        <v>0.99952479999999999</v>
      </c>
      <c r="AB2473">
        <v>30</v>
      </c>
      <c r="AC2473">
        <v>-250.8176</v>
      </c>
      <c r="AD2473">
        <v>4.3656269999999999</v>
      </c>
      <c r="AE2473">
        <v>8.7649000000000097</v>
      </c>
      <c r="AF2473">
        <v>7.7403066905443998</v>
      </c>
      <c r="AG2473">
        <v>4.3656269999999999</v>
      </c>
      <c r="AH2473">
        <v>250.775356623303</v>
      </c>
      <c r="AI2473">
        <v>89.003140837655096</v>
      </c>
      <c r="AJ2473">
        <v>88.232098407286998</v>
      </c>
      <c r="AK2473">
        <v>250.93276098650699</v>
      </c>
      <c r="AL2473">
        <v>80.854305777945697</v>
      </c>
      <c r="AM2473">
        <v>95.545119634029106</v>
      </c>
      <c r="AN2473">
        <v>1.00000003884845</v>
      </c>
    </row>
    <row r="2474" spans="1:40" x14ac:dyDescent="0.25">
      <c r="A2474" t="str">
        <f>"20190304154809028"</f>
        <v>20190304154809028</v>
      </c>
      <c r="B2474" t="str">
        <f>"1551685689019107"</f>
        <v>1551685689019107</v>
      </c>
      <c r="C2474" t="s">
        <v>40</v>
      </c>
      <c r="D2474">
        <v>4.2246410000000001</v>
      </c>
      <c r="E2474">
        <v>0.52840419999999999</v>
      </c>
      <c r="F2474" t="s">
        <v>63</v>
      </c>
      <c r="G2474">
        <v>-510.9554</v>
      </c>
      <c r="H2474">
        <v>5.3678679999999996</v>
      </c>
      <c r="I2474">
        <v>294.17779999999999</v>
      </c>
      <c r="J2474">
        <v>-260.31459999999998</v>
      </c>
      <c r="K2474">
        <v>1.1105609999999999</v>
      </c>
      <c r="L2474">
        <v>285.43579999999997</v>
      </c>
      <c r="M2474">
        <v>-0.99992840000000005</v>
      </c>
      <c r="N2474">
        <v>-1.1250629999999999E-2</v>
      </c>
      <c r="O2474">
        <v>4.09568E-3</v>
      </c>
      <c r="P2474">
        <v>-0.98479090000000002</v>
      </c>
      <c r="Q2474">
        <v>0.1478246</v>
      </c>
      <c r="R2474">
        <v>-9.1296379999999996E-2</v>
      </c>
      <c r="S2474">
        <v>-3.0485229999999999</v>
      </c>
      <c r="T2474">
        <v>5.1745770000000003E-2</v>
      </c>
      <c r="U2474">
        <v>0.1062622</v>
      </c>
      <c r="V2474">
        <v>-9.5312380000000002E-2</v>
      </c>
      <c r="W2474">
        <v>0.15890079999999901</v>
      </c>
      <c r="X2474">
        <v>0.98268310000000003</v>
      </c>
      <c r="Y2474">
        <v>3.0742189999999999E-2</v>
      </c>
      <c r="Z2474" s="1">
        <v>2.7739559999999998E-5</v>
      </c>
      <c r="AA2474">
        <v>0.99952730000000001</v>
      </c>
      <c r="AB2474">
        <v>30</v>
      </c>
      <c r="AC2474">
        <v>-250.64080000000001</v>
      </c>
      <c r="AD2474">
        <v>4.2573069999999902</v>
      </c>
      <c r="AE2474">
        <v>8.7420000000000098</v>
      </c>
      <c r="AF2474">
        <v>7.7130946333432497</v>
      </c>
      <c r="AG2474">
        <v>4.2573069999999902</v>
      </c>
      <c r="AH2474">
        <v>250.602289886969</v>
      </c>
      <c r="AI2474">
        <v>89.027196273861705</v>
      </c>
      <c r="AJ2474">
        <v>88.237093910953107</v>
      </c>
      <c r="AK2474">
        <v>250.75710196982999</v>
      </c>
      <c r="AL2474">
        <v>80.856899458846101</v>
      </c>
      <c r="AM2474">
        <v>95.539902384491896</v>
      </c>
      <c r="AN2474">
        <v>0.99999999452375699</v>
      </c>
    </row>
    <row r="2475" spans="1:40" x14ac:dyDescent="0.25">
      <c r="A2475" t="str">
        <f>"20190304154809041"</f>
        <v>20190304154809041</v>
      </c>
      <c r="B2475" t="str">
        <f>"1551685689029843"</f>
        <v>1551685689029843</v>
      </c>
      <c r="C2475" t="s">
        <v>40</v>
      </c>
      <c r="D2475">
        <v>4.2806610000000003</v>
      </c>
      <c r="E2475">
        <v>0.52734040000000004</v>
      </c>
      <c r="F2475" t="s">
        <v>61</v>
      </c>
      <c r="G2475">
        <v>-292.56180000000001</v>
      </c>
      <c r="H2475" s="1">
        <v>2.6150559999999998E-6</v>
      </c>
      <c r="I2475">
        <v>285.13249999999999</v>
      </c>
      <c r="J2475">
        <v>-260.46589999999998</v>
      </c>
      <c r="K2475">
        <v>1.1105609999999999</v>
      </c>
      <c r="L2475">
        <v>285.43650000000002</v>
      </c>
      <c r="M2475">
        <v>-0.99992840000000005</v>
      </c>
      <c r="N2475">
        <v>-1.1252440000000001E-2</v>
      </c>
      <c r="O2475">
        <v>4.1129549999999997E-3</v>
      </c>
      <c r="P2475">
        <v>-0.98484119999999997</v>
      </c>
      <c r="Q2475">
        <v>0.14756910000000001</v>
      </c>
      <c r="R2475">
        <v>-9.1168089999999993E-2</v>
      </c>
      <c r="S2475">
        <v>-3.0594790000000001</v>
      </c>
      <c r="T2475">
        <v>-0.105364899999999</v>
      </c>
      <c r="U2475">
        <v>-2.8778080000000001E-2</v>
      </c>
      <c r="V2475">
        <v>-9.5201030000000006E-2</v>
      </c>
      <c r="W2475">
        <v>0.15864800000000001</v>
      </c>
      <c r="X2475">
        <v>0.98273469999999996</v>
      </c>
      <c r="Y2475">
        <v>-1.350701E-2</v>
      </c>
      <c r="Z2475">
        <v>-4.0386509999999998E-4</v>
      </c>
      <c r="AA2475">
        <v>0.99990869999999998</v>
      </c>
      <c r="AB2475">
        <v>30</v>
      </c>
      <c r="AC2475">
        <v>-32.0959</v>
      </c>
      <c r="AD2475">
        <v>-1.1105583849439999</v>
      </c>
      <c r="AE2475">
        <v>-0.30400000000003002</v>
      </c>
      <c r="AF2475">
        <v>-0.43549341018438198</v>
      </c>
      <c r="AG2475">
        <v>-1.1105583849439999</v>
      </c>
      <c r="AH2475">
        <v>32.0560025709174</v>
      </c>
      <c r="AI2475">
        <v>91.983996772882094</v>
      </c>
      <c r="AJ2475">
        <v>90.7783378310138</v>
      </c>
      <c r="AK2475">
        <v>32.078190336478599</v>
      </c>
      <c r="AL2475">
        <v>80.871569585875207</v>
      </c>
      <c r="AM2475">
        <v>95.533181769299503</v>
      </c>
      <c r="AN2475">
        <v>0.99999995730057401</v>
      </c>
    </row>
    <row r="2476" spans="1:40" x14ac:dyDescent="0.25">
      <c r="A2476" t="str">
        <f>"20190304154809054"</f>
        <v>20190304154809054</v>
      </c>
      <c r="B2476" t="str">
        <f>"1551685689049362"</f>
        <v>1551685689049362</v>
      </c>
      <c r="C2476" t="s">
        <v>40</v>
      </c>
      <c r="D2476">
        <v>4.2599660000000004</v>
      </c>
      <c r="E2476">
        <v>0.52661250000000004</v>
      </c>
      <c r="F2476" t="s">
        <v>61</v>
      </c>
      <c r="G2476">
        <v>-292.42829999999998</v>
      </c>
      <c r="H2476" s="1">
        <v>2.5985289999999999E-6</v>
      </c>
      <c r="I2476">
        <v>285.05059999999997</v>
      </c>
      <c r="J2476">
        <v>-260.6284</v>
      </c>
      <c r="K2476">
        <v>1.110563</v>
      </c>
      <c r="L2476">
        <v>285.43709999999999</v>
      </c>
      <c r="M2476">
        <v>-0.99992820000000004</v>
      </c>
      <c r="N2476">
        <v>-1.125437E-2</v>
      </c>
      <c r="O2476">
        <v>4.1318379999999997E-3</v>
      </c>
      <c r="P2476">
        <v>-0.98485049999999996</v>
      </c>
      <c r="Q2476">
        <v>0.1474789</v>
      </c>
      <c r="R2476">
        <v>-9.1211449999999999E-2</v>
      </c>
      <c r="S2476">
        <v>-3.0586850000000001</v>
      </c>
      <c r="T2476">
        <v>-0.1062765</v>
      </c>
      <c r="U2476">
        <v>-3.6926269999999997E-2</v>
      </c>
      <c r="V2476">
        <v>-9.5262860000000005E-2</v>
      </c>
      <c r="W2476">
        <v>0.15855949999999999</v>
      </c>
      <c r="X2476">
        <v>0.98274300000000003</v>
      </c>
      <c r="Y2476">
        <v>-1.618934E-2</v>
      </c>
      <c r="Z2476">
        <v>-4.6932860000000002E-4</v>
      </c>
      <c r="AA2476">
        <v>0.9998688</v>
      </c>
      <c r="AB2476">
        <v>30</v>
      </c>
      <c r="AC2476">
        <v>-31.799899999999901</v>
      </c>
      <c r="AD2476">
        <v>-1.110560401471</v>
      </c>
      <c r="AE2476">
        <v>-0.386500000000012</v>
      </c>
      <c r="AF2476">
        <v>-0.51726626124963804</v>
      </c>
      <c r="AG2476">
        <v>-1.110560401471</v>
      </c>
      <c r="AH2476">
        <v>31.759302161627801</v>
      </c>
      <c r="AI2476">
        <v>92.0024394740784</v>
      </c>
      <c r="AJ2476">
        <v>90.933098382108795</v>
      </c>
      <c r="AK2476">
        <v>31.782922813736299</v>
      </c>
      <c r="AL2476">
        <v>80.876705346563099</v>
      </c>
      <c r="AM2476">
        <v>95.536706597876105</v>
      </c>
      <c r="AN2476">
        <v>0.99999996579231398</v>
      </c>
    </row>
    <row r="2477" spans="1:40" x14ac:dyDescent="0.25">
      <c r="A2477" t="str">
        <f>"20190304154809072"</f>
        <v>20190304154809072</v>
      </c>
      <c r="B2477" t="str">
        <f>"1551685689068882"</f>
        <v>1551685689068882</v>
      </c>
      <c r="C2477" t="s">
        <v>40</v>
      </c>
      <c r="D2477">
        <v>4.2299720000000001</v>
      </c>
      <c r="E2477">
        <v>0.52594280000000004</v>
      </c>
      <c r="F2477" t="s">
        <v>61</v>
      </c>
      <c r="G2477">
        <v>-292.27010000000001</v>
      </c>
      <c r="H2477" s="1">
        <v>2.574981E-6</v>
      </c>
      <c r="I2477">
        <v>284.99889999999999</v>
      </c>
      <c r="J2477">
        <v>-260.87279999999998</v>
      </c>
      <c r="K2477">
        <v>1.110557</v>
      </c>
      <c r="L2477">
        <v>285.43819999999999</v>
      </c>
      <c r="M2477">
        <v>-0.99992789999999998</v>
      </c>
      <c r="N2477">
        <v>-1.125725E-2</v>
      </c>
      <c r="O2477">
        <v>4.1605469999999997E-3</v>
      </c>
      <c r="P2477">
        <v>-0.98490350000000004</v>
      </c>
      <c r="Q2477">
        <v>0.147175</v>
      </c>
      <c r="R2477">
        <v>-9.113011E-2</v>
      </c>
      <c r="S2477">
        <v>-3.0582889999999998</v>
      </c>
      <c r="T2477">
        <v>-0.1073397</v>
      </c>
      <c r="U2477">
        <v>-4.2358399999999997E-2</v>
      </c>
      <c r="V2477">
        <v>-9.5210329999999996E-2</v>
      </c>
      <c r="W2477">
        <v>0.1582586</v>
      </c>
      <c r="X2477">
        <v>0.98279660000000002</v>
      </c>
      <c r="Y2477">
        <v>-1.7993510000000001E-2</v>
      </c>
      <c r="Z2477">
        <v>-5.1613359999999999E-4</v>
      </c>
      <c r="AA2477">
        <v>0.999838</v>
      </c>
      <c r="AB2477">
        <v>30</v>
      </c>
      <c r="AC2477">
        <v>-31.397300000000001</v>
      </c>
      <c r="AD2477">
        <v>-1.110554425019</v>
      </c>
      <c r="AE2477">
        <v>-0.43930000000000202</v>
      </c>
      <c r="AF2477">
        <v>-0.56922240811510705</v>
      </c>
      <c r="AG2477">
        <v>-1.110554425019</v>
      </c>
      <c r="AH2477">
        <v>31.355978311155699</v>
      </c>
      <c r="AI2477">
        <v>92.028098942990496</v>
      </c>
      <c r="AJ2477">
        <v>91.040007723737602</v>
      </c>
      <c r="AK2477">
        <v>31.3808017923458</v>
      </c>
      <c r="AL2477">
        <v>80.8941661915417</v>
      </c>
      <c r="AM2477">
        <v>95.533372569953002</v>
      </c>
      <c r="AN2477">
        <v>0.99999997419211395</v>
      </c>
    </row>
    <row r="2478" spans="1:40" x14ac:dyDescent="0.25">
      <c r="A2478" t="str">
        <f>"20190304154809084"</f>
        <v>20190304154809084</v>
      </c>
      <c r="B2478" t="str">
        <f>"1551685689079619"</f>
        <v>1551685689079619</v>
      </c>
      <c r="C2478" t="s">
        <v>40</v>
      </c>
      <c r="D2478">
        <v>4.2556649999999996</v>
      </c>
      <c r="E2478">
        <v>0.52567739999999996</v>
      </c>
      <c r="F2478" t="s">
        <v>61</v>
      </c>
      <c r="G2478">
        <v>-291.9939</v>
      </c>
      <c r="H2478" s="1">
        <v>2.5298649999999998E-6</v>
      </c>
      <c r="I2478">
        <v>284.95460000000003</v>
      </c>
      <c r="J2478">
        <v>-261.03769999999997</v>
      </c>
      <c r="K2478">
        <v>1.1105560000000001</v>
      </c>
      <c r="L2478">
        <v>285.43889999999999</v>
      </c>
      <c r="M2478">
        <v>-0.99992789999999998</v>
      </c>
      <c r="N2478">
        <v>-1.1259180000000001E-2</v>
      </c>
      <c r="O2478">
        <v>4.1795519999999996E-3</v>
      </c>
      <c r="P2478">
        <v>-0.98490420000000001</v>
      </c>
      <c r="Q2478">
        <v>0.14722969999999999</v>
      </c>
      <c r="R2478">
        <v>-9.1034729999999994E-2</v>
      </c>
      <c r="S2478">
        <v>-3.0578919999999998</v>
      </c>
      <c r="T2478">
        <v>-0.1091206</v>
      </c>
      <c r="U2478">
        <v>-4.7515870000000002E-2</v>
      </c>
      <c r="V2478">
        <v>-9.5133529999999994E-2</v>
      </c>
      <c r="W2478">
        <v>0.1583156</v>
      </c>
      <c r="X2478">
        <v>0.98279490000000003</v>
      </c>
      <c r="Y2478">
        <v>-1.969833E-2</v>
      </c>
      <c r="Z2478">
        <v>-5.6432870000000003E-4</v>
      </c>
      <c r="AA2478">
        <v>0.99980579999999997</v>
      </c>
      <c r="AB2478">
        <v>30</v>
      </c>
      <c r="AC2478">
        <v>-30.956199999999999</v>
      </c>
      <c r="AD2478">
        <v>-1.1105534701349999</v>
      </c>
      <c r="AE2478">
        <v>-0.48429999999996198</v>
      </c>
      <c r="AF2478">
        <v>-0.61289839941297297</v>
      </c>
      <c r="AG2478">
        <v>-1.1105534701349999</v>
      </c>
      <c r="AH2478">
        <v>30.914128082182799</v>
      </c>
      <c r="AI2478">
        <v>92.056994468091304</v>
      </c>
      <c r="AJ2478">
        <v>91.135787868308995</v>
      </c>
      <c r="AK2478">
        <v>30.940140409177801</v>
      </c>
      <c r="AL2478">
        <v>80.8908590236626</v>
      </c>
      <c r="AM2478">
        <v>95.528946329592998</v>
      </c>
      <c r="AN2478">
        <v>1.00000001659981</v>
      </c>
    </row>
    <row r="2479" spans="1:40" x14ac:dyDescent="0.25">
      <c r="A2479" t="str">
        <f>"20190304154809099"</f>
        <v>20190304154809099</v>
      </c>
      <c r="B2479" t="str">
        <f>"1551685689089379"</f>
        <v>1551685689089379</v>
      </c>
      <c r="C2479" t="s">
        <v>40</v>
      </c>
      <c r="D2479">
        <v>4.2578750000000003</v>
      </c>
      <c r="E2479">
        <v>0.52560669999999898</v>
      </c>
      <c r="F2479" t="s">
        <v>61</v>
      </c>
      <c r="G2479">
        <v>-291.78050000000002</v>
      </c>
      <c r="H2479" s="1">
        <v>2.4931150000000001E-6</v>
      </c>
      <c r="I2479">
        <v>284.94189999999998</v>
      </c>
      <c r="J2479">
        <v>-261.22059999999999</v>
      </c>
      <c r="K2479">
        <v>1.1105560000000001</v>
      </c>
      <c r="L2479">
        <v>285.43970000000002</v>
      </c>
      <c r="M2479">
        <v>-0.99992789999999998</v>
      </c>
      <c r="N2479">
        <v>-1.126125E-2</v>
      </c>
      <c r="O2479">
        <v>4.2007579999999997E-3</v>
      </c>
      <c r="P2479">
        <v>-0.98489899999999997</v>
      </c>
      <c r="Q2479">
        <v>0.14721890000000001</v>
      </c>
      <c r="R2479">
        <v>-9.1109019999999999E-2</v>
      </c>
      <c r="S2479">
        <v>-3.057922</v>
      </c>
      <c r="T2479">
        <v>-0.1104647</v>
      </c>
      <c r="U2479">
        <v>-4.943848E-2</v>
      </c>
      <c r="V2479">
        <v>-9.5228789999999994E-2</v>
      </c>
      <c r="W2479">
        <v>0.15830659999999999</v>
      </c>
      <c r="X2479">
        <v>0.98278710000000002</v>
      </c>
      <c r="Y2479">
        <v>-2.0346860000000001E-2</v>
      </c>
      <c r="Z2479">
        <v>-5.8638470000000004E-4</v>
      </c>
      <c r="AA2479">
        <v>0.99979280000000004</v>
      </c>
      <c r="AB2479">
        <v>30</v>
      </c>
      <c r="AC2479">
        <v>-30.559899999999999</v>
      </c>
      <c r="AD2479">
        <v>-1.1105535068850001</v>
      </c>
      <c r="AE2479">
        <v>-0.49780000000003999</v>
      </c>
      <c r="AF2479">
        <v>-0.62535284606207098</v>
      </c>
      <c r="AG2479">
        <v>-1.1105535068850001</v>
      </c>
      <c r="AH2479">
        <v>30.517248317134001</v>
      </c>
      <c r="AI2479">
        <v>92.083694581183593</v>
      </c>
      <c r="AJ2479">
        <v>91.173928412630602</v>
      </c>
      <c r="AK2479">
        <v>30.5438511017087</v>
      </c>
      <c r="AL2479">
        <v>80.891381054683606</v>
      </c>
      <c r="AM2479">
        <v>95.534491921862696</v>
      </c>
      <c r="AN2479">
        <v>0.99999999298741704</v>
      </c>
    </row>
    <row r="2480" spans="1:40" x14ac:dyDescent="0.25">
      <c r="A2480" t="str">
        <f>"20190304154809120"</f>
        <v>20190304154809120</v>
      </c>
      <c r="B2480" t="str">
        <f>"1551685689109100"</f>
        <v>1551685689109100</v>
      </c>
      <c r="C2480" t="s">
        <v>40</v>
      </c>
      <c r="D2480">
        <v>4.2490059999999996</v>
      </c>
      <c r="E2480">
        <v>0.52573110000000001</v>
      </c>
      <c r="F2480" t="s">
        <v>61</v>
      </c>
      <c r="G2480">
        <v>-291.52510000000001</v>
      </c>
      <c r="H2480" s="1">
        <v>2.447918E-6</v>
      </c>
      <c r="I2480">
        <v>284.94069999999999</v>
      </c>
      <c r="J2480">
        <v>-261.50979999999998</v>
      </c>
      <c r="K2480">
        <v>1.1105560000000001</v>
      </c>
      <c r="L2480">
        <v>285.44099999999997</v>
      </c>
      <c r="M2480">
        <v>-0.99992760000000003</v>
      </c>
      <c r="N2480">
        <v>-1.1264420000000001E-2</v>
      </c>
      <c r="O2480">
        <v>4.2347119999999999E-3</v>
      </c>
      <c r="P2480">
        <v>-0.98488450000000005</v>
      </c>
      <c r="Q2480">
        <v>0.14707729999999999</v>
      </c>
      <c r="R2480">
        <v>-9.1494469999999994E-2</v>
      </c>
      <c r="S2480">
        <v>-3.0581360000000002</v>
      </c>
      <c r="T2480">
        <v>-0.11207019999999999</v>
      </c>
      <c r="U2480">
        <v>-5.0354000000000003E-2</v>
      </c>
      <c r="V2480">
        <v>-9.5647549999999998E-2</v>
      </c>
      <c r="W2480">
        <v>0.15816820000000001</v>
      </c>
      <c r="X2480">
        <v>0.98276870000000005</v>
      </c>
      <c r="Y2480">
        <v>-2.067811E-2</v>
      </c>
      <c r="Z2480">
        <v>-6.0270199999999999E-4</v>
      </c>
      <c r="AA2480">
        <v>0.99978599999999995</v>
      </c>
      <c r="AB2480">
        <v>30</v>
      </c>
      <c r="AC2480">
        <v>-30.0153</v>
      </c>
      <c r="AD2480">
        <v>-1.11055355208199</v>
      </c>
      <c r="AE2480">
        <v>-0.50029999999998098</v>
      </c>
      <c r="AF2480">
        <v>-0.62655223546127103</v>
      </c>
      <c r="AG2480">
        <v>-1.11055355208199</v>
      </c>
      <c r="AH2480">
        <v>29.9718928769828</v>
      </c>
      <c r="AI2480">
        <v>92.121556218114407</v>
      </c>
      <c r="AJ2480">
        <v>91.1975743720445</v>
      </c>
      <c r="AK2480">
        <v>29.9990043088956</v>
      </c>
      <c r="AL2480">
        <v>80.899411810934197</v>
      </c>
      <c r="AM2480">
        <v>95.558780673972095</v>
      </c>
      <c r="AN2480">
        <v>0.99999997550596598</v>
      </c>
    </row>
    <row r="2481" spans="1:40" x14ac:dyDescent="0.25">
      <c r="A2481" t="str">
        <f>"20190304154809142"</f>
        <v>20190304154809142</v>
      </c>
      <c r="B2481" t="str">
        <f>"1551685689139356"</f>
        <v>1551685689139356</v>
      </c>
      <c r="C2481" t="s">
        <v>40</v>
      </c>
      <c r="D2481">
        <v>4.4698279999999997</v>
      </c>
      <c r="E2481">
        <v>0.52586169999999899</v>
      </c>
      <c r="F2481" t="s">
        <v>61</v>
      </c>
      <c r="G2481">
        <v>-290.94560000000001</v>
      </c>
      <c r="H2481" s="1">
        <v>2.3437320000000001E-6</v>
      </c>
      <c r="I2481">
        <v>284.95670000000001</v>
      </c>
      <c r="J2481">
        <v>-261.79180000000002</v>
      </c>
      <c r="K2481">
        <v>1.1105560000000001</v>
      </c>
      <c r="L2481">
        <v>285.44220000000001</v>
      </c>
      <c r="M2481">
        <v>-0.99992740000000002</v>
      </c>
      <c r="N2481">
        <v>-1.1267559999999999E-2</v>
      </c>
      <c r="O2481">
        <v>4.2674760000000001E-3</v>
      </c>
      <c r="P2481">
        <v>-0.98483410000000005</v>
      </c>
      <c r="Q2481">
        <v>0.14710090000000001</v>
      </c>
      <c r="R2481">
        <v>-9.1994129999999993E-2</v>
      </c>
      <c r="S2481">
        <v>-3.0585939999999998</v>
      </c>
      <c r="T2481">
        <v>-0.1153947</v>
      </c>
      <c r="U2481">
        <v>-5.0323489999999999E-2</v>
      </c>
      <c r="V2481">
        <v>-9.6179490000000006E-2</v>
      </c>
      <c r="W2481">
        <v>0.1581941</v>
      </c>
      <c r="X2481">
        <v>0.98271260000000005</v>
      </c>
      <c r="Y2481">
        <v>-2.0697320000000002E-2</v>
      </c>
      <c r="Z2481">
        <v>-6.1980529999999996E-4</v>
      </c>
      <c r="AA2481">
        <v>0.99978560000000005</v>
      </c>
      <c r="AB2481">
        <v>30</v>
      </c>
      <c r="AC2481">
        <v>-29.153799999999901</v>
      </c>
      <c r="AD2481">
        <v>-1.1105536562679901</v>
      </c>
      <c r="AE2481">
        <v>-0.48550000000000099</v>
      </c>
      <c r="AF2481">
        <v>-0.60903311491878498</v>
      </c>
      <c r="AG2481">
        <v>-1.1105536562679901</v>
      </c>
      <c r="AH2481">
        <v>29.109234644751599</v>
      </c>
      <c r="AI2481">
        <v>92.184368347397495</v>
      </c>
      <c r="AJ2481">
        <v>91.198586535666493</v>
      </c>
      <c r="AK2481">
        <v>29.136777315992301</v>
      </c>
      <c r="AL2481">
        <v>80.897908794877907</v>
      </c>
      <c r="AM2481">
        <v>95.589817438998494</v>
      </c>
      <c r="AN2481">
        <v>0.999999960885114</v>
      </c>
    </row>
    <row r="2482" spans="1:40" x14ac:dyDescent="0.25">
      <c r="A2482" t="str">
        <f>"20190304154809161"</f>
        <v>20190304154809161</v>
      </c>
      <c r="B2482" t="str">
        <f>"1551685689158997"</f>
        <v>1551685689158997</v>
      </c>
      <c r="C2482" t="s">
        <v>40</v>
      </c>
      <c r="D2482">
        <v>4.2319750000000003</v>
      </c>
      <c r="E2482">
        <v>0.52607789999999999</v>
      </c>
      <c r="F2482" t="s">
        <v>61</v>
      </c>
      <c r="G2482">
        <v>-291.41050000000001</v>
      </c>
      <c r="H2482" s="1">
        <v>2.426668E-6</v>
      </c>
      <c r="I2482">
        <v>284.9513</v>
      </c>
      <c r="J2482">
        <v>-262.05959999999999</v>
      </c>
      <c r="K2482">
        <v>1.1105590000000001</v>
      </c>
      <c r="L2482">
        <v>285.44330000000002</v>
      </c>
      <c r="M2482">
        <v>-0.99992720000000002</v>
      </c>
      <c r="N2482">
        <v>-1.127059E-2</v>
      </c>
      <c r="O2482">
        <v>4.2976170000000001E-3</v>
      </c>
      <c r="P2482">
        <v>-0.98479930000000004</v>
      </c>
      <c r="Q2482">
        <v>0.147069799999999</v>
      </c>
      <c r="R2482">
        <v>-9.2418249999999993E-2</v>
      </c>
      <c r="S2482">
        <v>-3.058624</v>
      </c>
      <c r="T2482">
        <v>-0.1146832</v>
      </c>
      <c r="U2482">
        <v>-5.0689699999999997E-2</v>
      </c>
      <c r="V2482">
        <v>-9.6632579999999996E-2</v>
      </c>
      <c r="W2482">
        <v>0.15816540000000001</v>
      </c>
      <c r="X2482">
        <v>0.98267280000000001</v>
      </c>
      <c r="Y2482">
        <v>-2.0847049999999999E-2</v>
      </c>
      <c r="Z2482">
        <v>-6.20861E-4</v>
      </c>
      <c r="AA2482">
        <v>0.99978250000000002</v>
      </c>
      <c r="AB2482">
        <v>30</v>
      </c>
      <c r="AC2482">
        <v>-29.350899999999999</v>
      </c>
      <c r="AD2482">
        <v>-1.110556573332</v>
      </c>
      <c r="AE2482">
        <v>-0.49200000000001798</v>
      </c>
      <c r="AF2482">
        <v>-0.61725894725653996</v>
      </c>
      <c r="AG2482">
        <v>-1.110556573332</v>
      </c>
      <c r="AH2482">
        <v>29.3065692287148</v>
      </c>
      <c r="AI2482">
        <v>92.169673432095806</v>
      </c>
      <c r="AJ2482">
        <v>91.206593101987806</v>
      </c>
      <c r="AK2482">
        <v>29.334098664659798</v>
      </c>
      <c r="AL2482">
        <v>80.899574422497196</v>
      </c>
      <c r="AM2482">
        <v>95.616208452701798</v>
      </c>
      <c r="AN2482">
        <v>0.99999999056722799</v>
      </c>
    </row>
    <row r="2483" spans="1:40" x14ac:dyDescent="0.25">
      <c r="A2483" t="str">
        <f>"20190304154809184"</f>
        <v>20190304154809184</v>
      </c>
      <c r="B2483" t="str">
        <f>"1551685689179493"</f>
        <v>1551685689179493</v>
      </c>
      <c r="C2483" t="s">
        <v>40</v>
      </c>
      <c r="D2483">
        <v>4.3237189999999996</v>
      </c>
      <c r="E2483">
        <v>0.52616809999999903</v>
      </c>
      <c r="F2483" t="s">
        <v>61</v>
      </c>
      <c r="G2483">
        <v>-291.99939999999998</v>
      </c>
      <c r="H2483" s="1">
        <v>2.5312570000000001E-6</v>
      </c>
      <c r="I2483">
        <v>284.94979999999998</v>
      </c>
      <c r="J2483">
        <v>-262.35739999999998</v>
      </c>
      <c r="K2483">
        <v>1.1105609999999999</v>
      </c>
      <c r="L2483">
        <v>285.44459999999998</v>
      </c>
      <c r="M2483">
        <v>-0.99992709999999996</v>
      </c>
      <c r="N2483">
        <v>-1.127393E-2</v>
      </c>
      <c r="O2483">
        <v>4.3295310000000002E-3</v>
      </c>
      <c r="P2483">
        <v>-0.98477939999999997</v>
      </c>
      <c r="Q2483">
        <v>0.1470224</v>
      </c>
      <c r="R2483">
        <v>-9.2706179999999999E-2</v>
      </c>
      <c r="S2483">
        <v>-3.0585019999999998</v>
      </c>
      <c r="T2483">
        <v>-0.11344899999999999</v>
      </c>
      <c r="U2483">
        <v>-5.0415040000000001E-2</v>
      </c>
      <c r="V2483">
        <v>-9.6952860000000002E-2</v>
      </c>
      <c r="W2483">
        <v>0.1581207</v>
      </c>
      <c r="X2483">
        <v>0.98264839999999998</v>
      </c>
      <c r="Y2483">
        <v>-2.0790309999999999E-2</v>
      </c>
      <c r="Z2483">
        <v>-6.1442029999999996E-4</v>
      </c>
      <c r="AA2483">
        <v>0.99978370000000005</v>
      </c>
      <c r="AB2483">
        <v>30</v>
      </c>
      <c r="AC2483">
        <v>-29.641999999999999</v>
      </c>
      <c r="AD2483">
        <v>-1.1105584687429999</v>
      </c>
      <c r="AE2483">
        <v>-0.49479999999999702</v>
      </c>
      <c r="AF2483">
        <v>-0.622266254270879</v>
      </c>
      <c r="AG2483">
        <v>-1.1105584687429999</v>
      </c>
      <c r="AH2483">
        <v>29.598045172284898</v>
      </c>
      <c r="AI2483">
        <v>92.148332408458302</v>
      </c>
      <c r="AJ2483">
        <v>91.204403139754206</v>
      </c>
      <c r="AK2483">
        <v>29.625408578183599</v>
      </c>
      <c r="AL2483">
        <v>80.9021677690328</v>
      </c>
      <c r="AM2483">
        <v>95.634842292235305</v>
      </c>
      <c r="AN2483">
        <v>0.99999994542661297</v>
      </c>
    </row>
    <row r="2484" spans="1:40" x14ac:dyDescent="0.25">
      <c r="A2484" t="str">
        <f>"20190304154809197"</f>
        <v>20190304154809197</v>
      </c>
      <c r="B2484" t="str">
        <f>"1551685689189254"</f>
        <v>1551685689189254</v>
      </c>
      <c r="C2484" t="s">
        <v>40</v>
      </c>
      <c r="D2484">
        <v>4.2227980000000001</v>
      </c>
      <c r="E2484">
        <v>0.52616809999999903</v>
      </c>
      <c r="F2484" t="s">
        <v>61</v>
      </c>
      <c r="G2484">
        <v>-292.54239999999999</v>
      </c>
      <c r="H2484" s="1">
        <v>2.6277599999999998E-6</v>
      </c>
      <c r="I2484">
        <v>284.9477</v>
      </c>
      <c r="J2484">
        <v>-262.53129999999999</v>
      </c>
      <c r="K2484">
        <v>1.1105640000000001</v>
      </c>
      <c r="L2484">
        <v>285.44540000000001</v>
      </c>
      <c r="M2484">
        <v>-0.99992700000000001</v>
      </c>
      <c r="N2484">
        <v>-1.127586E-2</v>
      </c>
      <c r="O2484">
        <v>4.3473280000000001E-3</v>
      </c>
      <c r="P2484">
        <v>-0.98472360000000003</v>
      </c>
      <c r="Q2484">
        <v>0.1473988</v>
      </c>
      <c r="R2484">
        <v>-9.2699809999999994E-2</v>
      </c>
      <c r="S2484">
        <v>-3.058411</v>
      </c>
      <c r="T2484">
        <v>-0.1125242</v>
      </c>
      <c r="U2484">
        <v>-5.0354000000000003E-2</v>
      </c>
      <c r="V2484">
        <v>-9.6963789999999994E-2</v>
      </c>
      <c r="W2484">
        <v>0.15849829999999901</v>
      </c>
      <c r="X2484">
        <v>0.98258659999999998</v>
      </c>
      <c r="Y2484">
        <v>-2.078895E-2</v>
      </c>
      <c r="Z2484">
        <v>-6.1042069999999999E-4</v>
      </c>
      <c r="AA2484">
        <v>0.99978370000000005</v>
      </c>
      <c r="AB2484">
        <v>30</v>
      </c>
      <c r="AC2484">
        <v>-30.011099999999999</v>
      </c>
      <c r="AD2484">
        <v>-1.1105613722399901</v>
      </c>
      <c r="AE2484">
        <v>-0.49770000000000802</v>
      </c>
      <c r="AF2484">
        <v>-0.62731289513701705</v>
      </c>
      <c r="AG2484">
        <v>-1.1105613722399901</v>
      </c>
      <c r="AH2484">
        <v>29.967627033424598</v>
      </c>
      <c r="AI2484">
        <v>92.1218716129341</v>
      </c>
      <c r="AJ2484">
        <v>91.1991984812814</v>
      </c>
      <c r="AK2484">
        <v>29.994758509518899</v>
      </c>
      <c r="AL2484">
        <v>80.880257598032998</v>
      </c>
      <c r="AM2484">
        <v>95.635825611021801</v>
      </c>
      <c r="AN2484">
        <v>1.0000000570868</v>
      </c>
    </row>
    <row r="2485" spans="1:40" x14ac:dyDescent="0.25">
      <c r="A2485" t="str">
        <f>"20190304154809208"</f>
        <v>20190304154809208</v>
      </c>
      <c r="B2485" t="str">
        <f>"1551685689199012"</f>
        <v>1551685689199012</v>
      </c>
      <c r="C2485" t="s">
        <v>40</v>
      </c>
      <c r="D2485">
        <v>4.3508820000000004</v>
      </c>
      <c r="E2485">
        <v>0.51096529999999996</v>
      </c>
      <c r="F2485" t="s">
        <v>61</v>
      </c>
      <c r="G2485">
        <v>-293.02659999999997</v>
      </c>
      <c r="H2485" s="1">
        <v>2.7139450000000002E-6</v>
      </c>
      <c r="I2485">
        <v>284.9443</v>
      </c>
      <c r="J2485">
        <v>-262.69619999999998</v>
      </c>
      <c r="K2485">
        <v>1.1105670000000001</v>
      </c>
      <c r="L2485">
        <v>285.44619999999998</v>
      </c>
      <c r="M2485">
        <v>-0.99992689999999995</v>
      </c>
      <c r="N2485">
        <v>-1.127768E-2</v>
      </c>
      <c r="O2485">
        <v>4.3637550000000004E-3</v>
      </c>
      <c r="P2485">
        <v>-0.984734</v>
      </c>
      <c r="Q2485">
        <v>0.14731320000000001</v>
      </c>
      <c r="R2485">
        <v>-9.2724650000000006E-2</v>
      </c>
      <c r="S2485">
        <v>-3.0584410000000002</v>
      </c>
      <c r="T2485">
        <v>-0.1113808</v>
      </c>
      <c r="U2485">
        <v>-5.026245E-2</v>
      </c>
      <c r="V2485">
        <v>-9.7005389999999997E-2</v>
      </c>
      <c r="W2485">
        <v>0.15841440000000001</v>
      </c>
      <c r="X2485">
        <v>0.98259600000000002</v>
      </c>
      <c r="Y2485">
        <v>-2.077567E-2</v>
      </c>
      <c r="Z2485">
        <v>-6.0501640000000002E-4</v>
      </c>
      <c r="AA2485">
        <v>0.99978400000000001</v>
      </c>
      <c r="AB2485">
        <v>30</v>
      </c>
      <c r="AC2485">
        <v>-30.330400000000001</v>
      </c>
      <c r="AD2485">
        <v>-1.110564286055</v>
      </c>
      <c r="AE2485">
        <v>-0.50189999999997703</v>
      </c>
      <c r="AF2485">
        <v>-0.63340909256964795</v>
      </c>
      <c r="AG2485">
        <v>-1.110564286055</v>
      </c>
      <c r="AH2485">
        <v>30.287325815963001</v>
      </c>
      <c r="AI2485">
        <v>92.099500650320493</v>
      </c>
      <c r="AJ2485">
        <v>91.198071377555394</v>
      </c>
      <c r="AK2485">
        <v>30.314298032352902</v>
      </c>
      <c r="AL2485">
        <v>80.885126007281102</v>
      </c>
      <c r="AM2485">
        <v>95.638174360922903</v>
      </c>
      <c r="AN2485">
        <v>1.0000000335162</v>
      </c>
    </row>
    <row r="2486" spans="1:40" x14ac:dyDescent="0.25">
      <c r="A2486" t="str">
        <f>"20190304154809222"</f>
        <v>20190304154809222</v>
      </c>
      <c r="B2486" t="str">
        <f>"1551685689219509"</f>
        <v>1551685689219509</v>
      </c>
      <c r="C2486" t="s">
        <v>40</v>
      </c>
      <c r="D2486">
        <v>4.183122</v>
      </c>
      <c r="E2486">
        <v>0.49238300000000002</v>
      </c>
      <c r="F2486" t="s">
        <v>60</v>
      </c>
      <c r="G2486">
        <v>-360.14210000000003</v>
      </c>
      <c r="H2486" s="1">
        <v>-1.461181E-6</v>
      </c>
      <c r="I2486">
        <v>279.86360000000002</v>
      </c>
      <c r="J2486">
        <v>-262.86410000000001</v>
      </c>
      <c r="K2486">
        <v>1.110571</v>
      </c>
      <c r="L2486">
        <v>285.44690000000003</v>
      </c>
      <c r="M2486">
        <v>-0.99992669999999995</v>
      </c>
      <c r="N2486">
        <v>-1.12795E-2</v>
      </c>
      <c r="O2486">
        <v>4.378201E-3</v>
      </c>
      <c r="P2486">
        <v>-0.98470250000000004</v>
      </c>
      <c r="Q2486">
        <v>0.14749010000000001</v>
      </c>
      <c r="R2486">
        <v>-9.2778299999999994E-2</v>
      </c>
      <c r="S2486">
        <v>-3.0353089999999998</v>
      </c>
      <c r="T2486">
        <v>-3.4592749999999999E-2</v>
      </c>
      <c r="U2486">
        <v>-0.17388919999999999</v>
      </c>
      <c r="V2486">
        <v>-9.7073339999999994E-2</v>
      </c>
      <c r="W2486">
        <v>0.15859189999999901</v>
      </c>
      <c r="X2486">
        <v>0.98256060000000001</v>
      </c>
      <c r="Y2486">
        <v>-6.1557830000000001E-2</v>
      </c>
      <c r="Z2486">
        <v>-6.9848320000000003E-4</v>
      </c>
      <c r="AA2486">
        <v>0.99810330000000003</v>
      </c>
      <c r="AB2486">
        <v>30</v>
      </c>
      <c r="AC2486">
        <v>-97.278000000000006</v>
      </c>
      <c r="AD2486">
        <v>-1.1105724611809999</v>
      </c>
      <c r="AE2486">
        <v>-5.5833000000000004</v>
      </c>
      <c r="AF2486">
        <v>-6.00839571652324</v>
      </c>
      <c r="AG2486">
        <v>-1.1105724611809999</v>
      </c>
      <c r="AH2486">
        <v>97.239988903804701</v>
      </c>
      <c r="AI2486">
        <v>90.653097992657806</v>
      </c>
      <c r="AJ2486">
        <v>93.535773779193505</v>
      </c>
      <c r="AK2486">
        <v>97.431769111978696</v>
      </c>
      <c r="AL2486">
        <v>80.874825288903196</v>
      </c>
      <c r="AM2486">
        <v>95.642300260210803</v>
      </c>
      <c r="AN2486">
        <v>0.99999997837836196</v>
      </c>
    </row>
    <row r="2487" spans="1:40" x14ac:dyDescent="0.25">
      <c r="A2487" t="str">
        <f>"20190304154809240"</f>
        <v>20190304154809240</v>
      </c>
      <c r="B2487" t="str">
        <f>"1551685689229272"</f>
        <v>1551685689229272</v>
      </c>
      <c r="C2487" t="s">
        <v>40</v>
      </c>
      <c r="D2487">
        <v>4.1604349999999997</v>
      </c>
      <c r="E2487">
        <v>0.48800640000000001</v>
      </c>
      <c r="F2487" t="s">
        <v>61</v>
      </c>
      <c r="G2487">
        <v>-318.40629999999999</v>
      </c>
      <c r="H2487">
        <v>8.0000740000000001E-2</v>
      </c>
      <c r="I2487">
        <v>279.55180000000001</v>
      </c>
      <c r="J2487">
        <v>-263.1019</v>
      </c>
      <c r="K2487">
        <v>1.1105689999999999</v>
      </c>
      <c r="L2487">
        <v>285.44799999999998</v>
      </c>
      <c r="M2487">
        <v>-0.9999268</v>
      </c>
      <c r="N2487">
        <v>-1.128206E-2</v>
      </c>
      <c r="O2487">
        <v>4.3953040000000001E-3</v>
      </c>
      <c r="P2487">
        <v>-0.98465250000000004</v>
      </c>
      <c r="Q2487">
        <v>0.14789099999999999</v>
      </c>
      <c r="R2487">
        <v>-9.2673759999999994E-2</v>
      </c>
      <c r="S2487">
        <v>-3.0247799999999998</v>
      </c>
      <c r="T2487">
        <v>-5.6123970000000002E-2</v>
      </c>
      <c r="U2487">
        <v>-0.32104490000000002</v>
      </c>
      <c r="V2487">
        <v>-9.6986870000000003E-2</v>
      </c>
      <c r="W2487">
        <v>0.15899449999999901</v>
      </c>
      <c r="X2487">
        <v>0.98250409999999999</v>
      </c>
      <c r="Y2487">
        <v>-0.1098851</v>
      </c>
      <c r="Z2487">
        <v>-1.670085E-3</v>
      </c>
      <c r="AA2487">
        <v>0.99394289999999996</v>
      </c>
      <c r="AB2487">
        <v>30</v>
      </c>
      <c r="AC2487">
        <v>-55.304400000000001</v>
      </c>
      <c r="AD2487">
        <v>-1.0305682599999999</v>
      </c>
      <c r="AE2487">
        <v>-5.8961999999999604</v>
      </c>
      <c r="AF2487">
        <v>-6.1371310074135801</v>
      </c>
      <c r="AG2487">
        <v>-1.0305682599999999</v>
      </c>
      <c r="AH2487">
        <v>55.258975817305597</v>
      </c>
      <c r="AI2487">
        <v>91.061902865426504</v>
      </c>
      <c r="AJ2487">
        <v>96.337369819993199</v>
      </c>
      <c r="AK2487">
        <v>55.608280465396902</v>
      </c>
      <c r="AL2487">
        <v>80.851461813263001</v>
      </c>
      <c r="AM2487">
        <v>95.637628748506401</v>
      </c>
      <c r="AN2487">
        <v>1.00000000524972</v>
      </c>
    </row>
    <row r="2488" spans="1:40" x14ac:dyDescent="0.25">
      <c r="A2488" t="str">
        <f>"20190304154809253"</f>
        <v>20190304154809253</v>
      </c>
      <c r="B2488" t="str">
        <f>"1551685689249765"</f>
        <v>1551685689249765</v>
      </c>
      <c r="C2488" t="s">
        <v>40</v>
      </c>
      <c r="D2488">
        <v>4.1756320000000002</v>
      </c>
      <c r="E2488">
        <v>0.48338979999999998</v>
      </c>
      <c r="F2488" t="s">
        <v>61</v>
      </c>
      <c r="G2488">
        <v>-315.42860000000002</v>
      </c>
      <c r="H2488">
        <v>8.0001409999999995E-2</v>
      </c>
      <c r="I2488">
        <v>279.29399999999998</v>
      </c>
      <c r="J2488">
        <v>-263.274</v>
      </c>
      <c r="K2488">
        <v>1.110574</v>
      </c>
      <c r="L2488">
        <v>285.44869999999997</v>
      </c>
      <c r="M2488">
        <v>-0.99992669999999995</v>
      </c>
      <c r="N2488">
        <v>-1.128388E-2</v>
      </c>
      <c r="O2488">
        <v>4.4052049999999997E-3</v>
      </c>
      <c r="P2488">
        <v>-0.98466430000000005</v>
      </c>
      <c r="Q2488">
        <v>0.1479307</v>
      </c>
      <c r="R2488">
        <v>-9.2481930000000004E-2</v>
      </c>
      <c r="S2488">
        <v>-3.0222470000000001</v>
      </c>
      <c r="T2488">
        <v>-5.9522869999999999E-2</v>
      </c>
      <c r="U2488">
        <v>-0.35543819999999998</v>
      </c>
      <c r="V2488">
        <v>-9.6806310000000007E-2</v>
      </c>
      <c r="W2488">
        <v>0.15903499999999901</v>
      </c>
      <c r="X2488">
        <v>0.98251529999999998</v>
      </c>
      <c r="Y2488">
        <v>-0.1211397</v>
      </c>
      <c r="Z2488">
        <v>-1.911568E-3</v>
      </c>
      <c r="AA2488">
        <v>0.9926336</v>
      </c>
      <c r="AB2488">
        <v>30</v>
      </c>
      <c r="AC2488">
        <v>-52.154600000000002</v>
      </c>
      <c r="AD2488">
        <v>-1.03057259</v>
      </c>
      <c r="AE2488">
        <v>-6.1546999999999299</v>
      </c>
      <c r="AF2488">
        <v>-6.38194894658983</v>
      </c>
      <c r="AG2488">
        <v>-1.03057259</v>
      </c>
      <c r="AH2488">
        <v>52.106913433205001</v>
      </c>
      <c r="AI2488">
        <v>91.124648701797895</v>
      </c>
      <c r="AJ2488">
        <v>96.9826938555194</v>
      </c>
      <c r="AK2488">
        <v>52.5063975126427</v>
      </c>
      <c r="AL2488">
        <v>80.849110953608601</v>
      </c>
      <c r="AM2488">
        <v>95.6271368912887</v>
      </c>
      <c r="AN2488">
        <v>0.99999995380745199</v>
      </c>
    </row>
    <row r="2489" spans="1:40" x14ac:dyDescent="0.25">
      <c r="A2489" t="str">
        <f>"20190304154809265"</f>
        <v>20190304154809265</v>
      </c>
      <c r="B2489" t="str">
        <f>"1551685689259526"</f>
        <v>1551685689259526</v>
      </c>
      <c r="C2489" t="s">
        <v>40</v>
      </c>
      <c r="D2489">
        <v>4.1440630000000001</v>
      </c>
      <c r="E2489">
        <v>0.48185800000000001</v>
      </c>
      <c r="F2489" t="s">
        <v>61</v>
      </c>
      <c r="G2489">
        <v>-311.69619999999998</v>
      </c>
      <c r="H2489">
        <v>7.8629820000000003E-2</v>
      </c>
      <c r="I2489">
        <v>279.17009999999999</v>
      </c>
      <c r="J2489">
        <v>-263.43959999999998</v>
      </c>
      <c r="K2489">
        <v>1.110581</v>
      </c>
      <c r="L2489">
        <v>285.4495</v>
      </c>
      <c r="M2489">
        <v>-0.9999266</v>
      </c>
      <c r="N2489">
        <v>-1.128563E-2</v>
      </c>
      <c r="O2489">
        <v>4.4118250000000003E-3</v>
      </c>
      <c r="P2489">
        <v>-0.98467289999999996</v>
      </c>
      <c r="Q2489">
        <v>0.14800379999999999</v>
      </c>
      <c r="R2489">
        <v>-9.227291E-2</v>
      </c>
      <c r="S2489">
        <v>-3.0196529999999999</v>
      </c>
      <c r="T2489">
        <v>-6.4352870000000006E-2</v>
      </c>
      <c r="U2489">
        <v>-0.39154050000000001</v>
      </c>
      <c r="V2489">
        <v>-9.6605099999999999E-2</v>
      </c>
      <c r="W2489">
        <v>0.1591089</v>
      </c>
      <c r="X2489">
        <v>0.98252320000000004</v>
      </c>
      <c r="Y2489">
        <v>-0.13291600000000001</v>
      </c>
      <c r="Z2489">
        <v>-2.2075939999999998E-3</v>
      </c>
      <c r="AA2489">
        <v>0.99112489999999998</v>
      </c>
      <c r="AB2489">
        <v>30</v>
      </c>
      <c r="AC2489">
        <v>-48.256599999999899</v>
      </c>
      <c r="AD2489">
        <v>-1.0319511800000001</v>
      </c>
      <c r="AE2489">
        <v>-6.2794000000000096</v>
      </c>
      <c r="AF2489">
        <v>-6.4893339249987498</v>
      </c>
      <c r="AG2489">
        <v>-1.0319511800000001</v>
      </c>
      <c r="AH2489">
        <v>48.2067468560927</v>
      </c>
      <c r="AI2489">
        <v>91.215371631409099</v>
      </c>
      <c r="AJ2489">
        <v>97.666762417843103</v>
      </c>
      <c r="AK2489">
        <v>48.652510937005502</v>
      </c>
      <c r="AL2489">
        <v>80.844822732713197</v>
      </c>
      <c r="AM2489">
        <v>95.615470967816805</v>
      </c>
      <c r="AN2489">
        <v>1.0000000129717299</v>
      </c>
    </row>
    <row r="2490" spans="1:40" x14ac:dyDescent="0.25">
      <c r="A2490" t="str">
        <f>"20190304154809278"</f>
        <v>20190304154809278</v>
      </c>
      <c r="B2490" t="str">
        <f>"1551685689269285"</f>
        <v>1551685689269285</v>
      </c>
      <c r="C2490" t="s">
        <v>40</v>
      </c>
      <c r="D2490">
        <v>4.1785350000000001</v>
      </c>
      <c r="E2490">
        <v>0.48059160000000001</v>
      </c>
      <c r="F2490" t="s">
        <v>61</v>
      </c>
      <c r="G2490">
        <v>-311.42149999999998</v>
      </c>
      <c r="H2490">
        <v>5.702045E-2</v>
      </c>
      <c r="I2490">
        <v>279.04259999999999</v>
      </c>
      <c r="J2490">
        <v>-263.59890000000001</v>
      </c>
      <c r="K2490">
        <v>1.1105849999999999</v>
      </c>
      <c r="L2490">
        <v>285.4502</v>
      </c>
      <c r="M2490">
        <v>-0.99992669999999995</v>
      </c>
      <c r="N2490">
        <v>-1.128731E-2</v>
      </c>
      <c r="O2490">
        <v>4.4170190000000003E-3</v>
      </c>
      <c r="P2490">
        <v>-0.98471410000000004</v>
      </c>
      <c r="Q2490">
        <v>0.148024499999999</v>
      </c>
      <c r="R2490">
        <v>-9.1799800000000001E-2</v>
      </c>
      <c r="S2490">
        <v>-3.0188899999999999</v>
      </c>
      <c r="T2490">
        <v>-6.6287159999999998E-2</v>
      </c>
      <c r="U2490">
        <v>-0.40310669999999998</v>
      </c>
      <c r="V2490">
        <v>-9.6138570000000007E-2</v>
      </c>
      <c r="W2490">
        <v>0.15913099999999999</v>
      </c>
      <c r="X2490">
        <v>0.98256529999999997</v>
      </c>
      <c r="Y2490">
        <v>-0.136681</v>
      </c>
      <c r="Z2490">
        <v>-2.3156520000000001E-3</v>
      </c>
      <c r="AA2490">
        <v>0.99061239999999995</v>
      </c>
      <c r="AB2490">
        <v>30</v>
      </c>
      <c r="AC2490">
        <v>-47.822599999999902</v>
      </c>
      <c r="AD2490">
        <v>-1.0535645499999999</v>
      </c>
      <c r="AE2490">
        <v>-6.4076000000000004</v>
      </c>
      <c r="AF2490">
        <v>-6.6156299662202001</v>
      </c>
      <c r="AG2490">
        <v>-1.0535645499999999</v>
      </c>
      <c r="AH2490">
        <v>47.771052310496501</v>
      </c>
      <c r="AI2490">
        <v>91.251482525486693</v>
      </c>
      <c r="AJ2490">
        <v>97.884523923979998</v>
      </c>
      <c r="AK2490">
        <v>48.238470093517201</v>
      </c>
      <c r="AL2490">
        <v>80.843539428306599</v>
      </c>
      <c r="AM2490">
        <v>95.588286612512604</v>
      </c>
      <c r="AN2490">
        <v>0.99999993428336498</v>
      </c>
    </row>
    <row r="2491" spans="1:40" x14ac:dyDescent="0.25">
      <c r="A2491" t="str">
        <f>"20190304154809288"</f>
        <v>20190304154809288</v>
      </c>
      <c r="B2491" t="str">
        <f>"1551685689279044"</f>
        <v>1551685689279044</v>
      </c>
      <c r="C2491" t="s">
        <v>40</v>
      </c>
      <c r="D2491">
        <v>4.1453829999999998</v>
      </c>
      <c r="E2491">
        <v>0.47970439999999998</v>
      </c>
      <c r="F2491" t="s">
        <v>61</v>
      </c>
      <c r="G2491">
        <v>-311.24250000000001</v>
      </c>
      <c r="H2491">
        <v>2.2889420000000001E-2</v>
      </c>
      <c r="I2491">
        <v>278.95139999999998</v>
      </c>
      <c r="J2491">
        <v>-263.75839999999999</v>
      </c>
      <c r="K2491">
        <v>1.1105879999999999</v>
      </c>
      <c r="L2491">
        <v>285.45089999999999</v>
      </c>
      <c r="M2491">
        <v>-0.99992639999999999</v>
      </c>
      <c r="N2491">
        <v>-1.1289E-2</v>
      </c>
      <c r="O2491">
        <v>4.4213200000000003E-3</v>
      </c>
      <c r="P2491">
        <v>-0.9847359</v>
      </c>
      <c r="Q2491">
        <v>0.1480071</v>
      </c>
      <c r="R2491">
        <v>-9.1591569999999997E-2</v>
      </c>
      <c r="S2491">
        <v>-3.0185550000000001</v>
      </c>
      <c r="T2491">
        <v>-6.8913219999999997E-2</v>
      </c>
      <c r="U2491">
        <v>-0.41174319999999998</v>
      </c>
      <c r="V2491">
        <v>-9.5935960000000001E-2</v>
      </c>
      <c r="W2491">
        <v>0.15911549999999999</v>
      </c>
      <c r="X2491">
        <v>0.98258769999999995</v>
      </c>
      <c r="Y2491">
        <v>-0.139478399999999</v>
      </c>
      <c r="Z2491">
        <v>-2.4264759999999999E-3</v>
      </c>
      <c r="AA2491">
        <v>0.99022220000000005</v>
      </c>
      <c r="AB2491">
        <v>30</v>
      </c>
      <c r="AC2491">
        <v>-47.484099999999998</v>
      </c>
      <c r="AD2491">
        <v>-1.0876985800000001</v>
      </c>
      <c r="AE2491">
        <v>-6.49950000000001</v>
      </c>
      <c r="AF2491">
        <v>-6.7059382944647696</v>
      </c>
      <c r="AG2491">
        <v>-1.0876985800000001</v>
      </c>
      <c r="AH2491">
        <v>47.430468004066199</v>
      </c>
      <c r="AI2491">
        <v>91.300772322237606</v>
      </c>
      <c r="AJ2491">
        <v>98.047402930296599</v>
      </c>
      <c r="AK2491">
        <v>47.914527981551203</v>
      </c>
      <c r="AL2491">
        <v>80.844439761008104</v>
      </c>
      <c r="AM2491">
        <v>95.5764574034297</v>
      </c>
      <c r="AN2491">
        <v>1.0000000194763301</v>
      </c>
    </row>
    <row r="2492" spans="1:40" x14ac:dyDescent="0.25">
      <c r="A2492" t="str">
        <f>"20190304154809308"</f>
        <v>20190304154809308</v>
      </c>
      <c r="B2492" t="str">
        <f>"1551685689299542"</f>
        <v>1551685689299542</v>
      </c>
      <c r="C2492" t="s">
        <v>40</v>
      </c>
      <c r="D2492">
        <v>4.1790669999999999</v>
      </c>
      <c r="E2492">
        <v>0.47828280000000001</v>
      </c>
      <c r="F2492" t="s">
        <v>61</v>
      </c>
      <c r="G2492">
        <v>-311.15410000000003</v>
      </c>
      <c r="H2492">
        <v>4.6363949999999998E-3</v>
      </c>
      <c r="I2492">
        <v>278.88600000000002</v>
      </c>
      <c r="J2492">
        <v>-264.01029999999997</v>
      </c>
      <c r="K2492">
        <v>1.110592</v>
      </c>
      <c r="L2492">
        <v>285.452</v>
      </c>
      <c r="M2492">
        <v>-0.99992650000000005</v>
      </c>
      <c r="N2492">
        <v>-1.129164E-2</v>
      </c>
      <c r="O2492">
        <v>4.4251300000000002E-3</v>
      </c>
      <c r="P2492">
        <v>-0.98478140000000003</v>
      </c>
      <c r="Q2492">
        <v>0.14792459999999999</v>
      </c>
      <c r="R2492">
        <v>-9.1236029999999996E-2</v>
      </c>
      <c r="S2492">
        <v>-3.0181879999999999</v>
      </c>
      <c r="T2492">
        <v>-7.0427779999999995E-2</v>
      </c>
      <c r="U2492">
        <v>-0.4180603</v>
      </c>
      <c r="V2492">
        <v>-9.5585809999999993E-2</v>
      </c>
      <c r="W2492">
        <v>0.15903499999999901</v>
      </c>
      <c r="X2492">
        <v>0.98263480000000003</v>
      </c>
      <c r="Y2492">
        <v>-0.14152919999999999</v>
      </c>
      <c r="Z2492">
        <v>-2.4992539999999998E-3</v>
      </c>
      <c r="AA2492">
        <v>0.98993089999999995</v>
      </c>
      <c r="AB2492">
        <v>30</v>
      </c>
      <c r="AC2492">
        <v>-47.143799999999999</v>
      </c>
      <c r="AD2492">
        <v>-1.1059556049999999</v>
      </c>
      <c r="AE2492">
        <v>-6.56600000000003</v>
      </c>
      <c r="AF2492">
        <v>-6.7709110841494899</v>
      </c>
      <c r="AG2492">
        <v>-1.1059556049999999</v>
      </c>
      <c r="AH2492">
        <v>47.088859632410703</v>
      </c>
      <c r="AI2492">
        <v>91.331741919443303</v>
      </c>
      <c r="AJ2492">
        <v>98.182480019196404</v>
      </c>
      <c r="AK2492">
        <v>47.586017654249801</v>
      </c>
      <c r="AL2492">
        <v>80.849111049846798</v>
      </c>
      <c r="AM2492">
        <v>95.555967214359896</v>
      </c>
      <c r="AN2492">
        <v>0.99999996423469695</v>
      </c>
    </row>
    <row r="2493" spans="1:40" x14ac:dyDescent="0.25">
      <c r="A2493" t="str">
        <f>"20190304154809330"</f>
        <v>20190304154809330</v>
      </c>
      <c r="B2493" t="str">
        <f>"1551685689319060"</f>
        <v>1551685689319060</v>
      </c>
      <c r="C2493" t="s">
        <v>40</v>
      </c>
      <c r="D2493">
        <v>4.184774</v>
      </c>
      <c r="E2493">
        <v>0.47696830000000001</v>
      </c>
      <c r="F2493" t="s">
        <v>61</v>
      </c>
      <c r="G2493">
        <v>-309.48180000000002</v>
      </c>
      <c r="H2493" s="1">
        <v>2.8827610000000001E-6</v>
      </c>
      <c r="I2493">
        <v>279.00099999999998</v>
      </c>
      <c r="J2493">
        <v>-264.30590000000001</v>
      </c>
      <c r="K2493">
        <v>1.110589</v>
      </c>
      <c r="L2493">
        <v>285.45330000000001</v>
      </c>
      <c r="M2493">
        <v>-0.99992639999999999</v>
      </c>
      <c r="N2493">
        <v>-1.1294719999999999E-2</v>
      </c>
      <c r="O2493">
        <v>4.4267489999999998E-3</v>
      </c>
      <c r="P2493">
        <v>-0.9848384</v>
      </c>
      <c r="Q2493">
        <v>0.1477472</v>
      </c>
      <c r="R2493">
        <v>-9.090848E-2</v>
      </c>
      <c r="S2493">
        <v>-3.0177610000000001</v>
      </c>
      <c r="T2493">
        <v>-7.3705320000000005E-2</v>
      </c>
      <c r="U2493">
        <v>-0.42813109999999999</v>
      </c>
      <c r="V2493">
        <v>-9.5260990000000004E-2</v>
      </c>
      <c r="W2493">
        <v>0.1588608</v>
      </c>
      <c r="X2493">
        <v>0.98269459999999997</v>
      </c>
      <c r="Y2493">
        <v>-0.144783</v>
      </c>
      <c r="Z2493">
        <v>-2.6387580000000002E-3</v>
      </c>
      <c r="AA2493">
        <v>0.98945989999999995</v>
      </c>
      <c r="AB2493">
        <v>30</v>
      </c>
      <c r="AC2493">
        <v>-45.175899999999999</v>
      </c>
      <c r="AD2493">
        <v>-1.1105861172389999</v>
      </c>
      <c r="AE2493">
        <v>-6.4523000000000303</v>
      </c>
      <c r="AF2493">
        <v>-6.6482943077390901</v>
      </c>
      <c r="AG2493">
        <v>-1.1105861172389999</v>
      </c>
      <c r="AH2493">
        <v>45.120169388486701</v>
      </c>
      <c r="AI2493">
        <v>91.394936074229904</v>
      </c>
      <c r="AJ2493">
        <v>98.382013310152004</v>
      </c>
      <c r="AK2493">
        <v>45.620860408061702</v>
      </c>
      <c r="AL2493">
        <v>80.859221226817894</v>
      </c>
      <c r="AM2493">
        <v>95.536869584121007</v>
      </c>
      <c r="AN2493">
        <v>1.0000000434307801</v>
      </c>
    </row>
    <row r="2494" spans="1:40" x14ac:dyDescent="0.25">
      <c r="A2494" t="str">
        <f>"20190304154809351"</f>
        <v>20190304154809351</v>
      </c>
      <c r="B2494" t="str">
        <f>"1551685689339556"</f>
        <v>1551685689339556</v>
      </c>
      <c r="C2494" t="s">
        <v>40</v>
      </c>
      <c r="D2494">
        <v>4.1892610000000001</v>
      </c>
      <c r="E2494">
        <v>0.47605940000000002</v>
      </c>
      <c r="F2494" t="s">
        <v>61</v>
      </c>
      <c r="G2494">
        <v>-308.1728</v>
      </c>
      <c r="H2494" s="1">
        <v>3.0888980000000001E-6</v>
      </c>
      <c r="I2494">
        <v>279.0994</v>
      </c>
      <c r="J2494">
        <v>-264.57549999999998</v>
      </c>
      <c r="K2494">
        <v>1.1105879999999999</v>
      </c>
      <c r="L2494">
        <v>285.4545</v>
      </c>
      <c r="M2494">
        <v>-0.99992639999999999</v>
      </c>
      <c r="N2494">
        <v>-1.129751E-2</v>
      </c>
      <c r="O2494">
        <v>4.421688E-3</v>
      </c>
      <c r="P2494">
        <v>-0.98484839999999996</v>
      </c>
      <c r="Q2494">
        <v>0.14786089999999999</v>
      </c>
      <c r="R2494">
        <v>-9.0614280000000005E-2</v>
      </c>
      <c r="S2494">
        <v>-3.0172729999999999</v>
      </c>
      <c r="T2494">
        <v>-7.6388960000000006E-2</v>
      </c>
      <c r="U2494">
        <v>-0.43704219999999999</v>
      </c>
      <c r="V2494">
        <v>-9.4963039999999999E-2</v>
      </c>
      <c r="W2494">
        <v>0.1589766</v>
      </c>
      <c r="X2494">
        <v>0.98270460000000004</v>
      </c>
      <c r="Y2494">
        <v>-0.14765790000000001</v>
      </c>
      <c r="Z2494">
        <v>-2.7594439999999998E-3</v>
      </c>
      <c r="AA2494">
        <v>0.98903470000000004</v>
      </c>
      <c r="AB2494">
        <v>30</v>
      </c>
      <c r="AC2494">
        <v>-43.597299999999997</v>
      </c>
      <c r="AD2494">
        <v>-1.1105849111020001</v>
      </c>
      <c r="AE2494">
        <v>-6.3550999999999904</v>
      </c>
      <c r="AF2494">
        <v>-6.5436659284975596</v>
      </c>
      <c r="AG2494">
        <v>-1.1105849111020001</v>
      </c>
      <c r="AH2494">
        <v>43.541105302603803</v>
      </c>
      <c r="AI2494">
        <v>91.444883759243595</v>
      </c>
      <c r="AJ2494">
        <v>98.546851911370993</v>
      </c>
      <c r="AK2494">
        <v>44.044078076410898</v>
      </c>
      <c r="AL2494">
        <v>80.852499968459995</v>
      </c>
      <c r="AM2494">
        <v>95.519603082535895</v>
      </c>
      <c r="AN2494">
        <v>0.99999993458737801</v>
      </c>
    </row>
    <row r="2495" spans="1:40" x14ac:dyDescent="0.25">
      <c r="A2495" t="str">
        <f>"20190304154809365"</f>
        <v>20190304154809365</v>
      </c>
      <c r="B2495" t="str">
        <f>"1551685689359077"</f>
        <v>1551685689359077</v>
      </c>
      <c r="C2495" t="s">
        <v>40</v>
      </c>
      <c r="D2495">
        <v>4.1739699999999997</v>
      </c>
      <c r="E2495">
        <v>0.4751824</v>
      </c>
      <c r="F2495" t="s">
        <v>61</v>
      </c>
      <c r="G2495">
        <v>-308.00119999999998</v>
      </c>
      <c r="H2495" s="1">
        <v>3.125783E-6</v>
      </c>
      <c r="I2495">
        <v>279.07499999999999</v>
      </c>
      <c r="J2495">
        <v>-264.77269999999999</v>
      </c>
      <c r="K2495">
        <v>1.110592</v>
      </c>
      <c r="L2495">
        <v>285.4554</v>
      </c>
      <c r="M2495">
        <v>-0.99992650000000005</v>
      </c>
      <c r="N2495">
        <v>-1.129956E-2</v>
      </c>
      <c r="O2495">
        <v>4.4098119999999999E-3</v>
      </c>
      <c r="P2495">
        <v>-0.98480060000000003</v>
      </c>
      <c r="Q2495">
        <v>0.14799660000000001</v>
      </c>
      <c r="R2495">
        <v>-9.091204E-2</v>
      </c>
      <c r="S2495">
        <v>-3.016937</v>
      </c>
      <c r="T2495">
        <v>-7.7156310000000006E-2</v>
      </c>
      <c r="U2495">
        <v>-0.44320680000000001</v>
      </c>
      <c r="V2495">
        <v>-9.5250059999999998E-2</v>
      </c>
      <c r="W2495">
        <v>0.1591127</v>
      </c>
      <c r="X2495">
        <v>0.9826549</v>
      </c>
      <c r="Y2495">
        <v>-0.1496381</v>
      </c>
      <c r="Z2495">
        <v>-2.8157009999999999E-3</v>
      </c>
      <c r="AA2495">
        <v>0.98873679999999997</v>
      </c>
      <c r="AB2495">
        <v>30</v>
      </c>
      <c r="AC2495">
        <v>-43.228499999999997</v>
      </c>
      <c r="AD2495">
        <v>-1.110588874217</v>
      </c>
      <c r="AE2495">
        <v>-6.3803999999999998</v>
      </c>
      <c r="AF2495">
        <v>-6.5667378084953496</v>
      </c>
      <c r="AG2495">
        <v>-1.110588874217</v>
      </c>
      <c r="AH2495">
        <v>43.172053967990003</v>
      </c>
      <c r="AI2495">
        <v>91.456843449175807</v>
      </c>
      <c r="AJ2495">
        <v>98.648750840233305</v>
      </c>
      <c r="AK2495">
        <v>43.682739118650801</v>
      </c>
      <c r="AL2495">
        <v>80.844602438400003</v>
      </c>
      <c r="AM2495">
        <v>95.536460523617393</v>
      </c>
      <c r="AN2495">
        <v>1.00000003886265</v>
      </c>
    </row>
    <row r="2496" spans="1:40" x14ac:dyDescent="0.25">
      <c r="A2496" t="str">
        <f>"20190304154809378"</f>
        <v>20190304154809378</v>
      </c>
      <c r="B2496" t="str">
        <f>"1551685689369812"</f>
        <v>1551685689369812</v>
      </c>
      <c r="C2496" t="s">
        <v>40</v>
      </c>
      <c r="D2496">
        <v>4.1766500000000004</v>
      </c>
      <c r="E2496">
        <v>0.47487410000000002</v>
      </c>
      <c r="F2496" t="s">
        <v>61</v>
      </c>
      <c r="G2496">
        <v>-307.81240000000003</v>
      </c>
      <c r="H2496" s="1">
        <v>3.1745619999999999E-6</v>
      </c>
      <c r="I2496">
        <v>279.01729999999998</v>
      </c>
      <c r="J2496">
        <v>-264.93939999999998</v>
      </c>
      <c r="K2496">
        <v>1.1105969999999901</v>
      </c>
      <c r="L2496">
        <v>285.45609999999999</v>
      </c>
      <c r="M2496">
        <v>-0.99992639999999999</v>
      </c>
      <c r="N2496">
        <v>-1.13012999999999E-2</v>
      </c>
      <c r="O2496">
        <v>4.3956020000000002E-3</v>
      </c>
      <c r="P2496">
        <v>-0.9848266</v>
      </c>
      <c r="Q2496">
        <v>0.14787500000000001</v>
      </c>
      <c r="R2496">
        <v>-9.0826409999999996E-2</v>
      </c>
      <c r="S2496">
        <v>-3.0163570000000002</v>
      </c>
      <c r="T2496">
        <v>-7.7833529999999998E-2</v>
      </c>
      <c r="U2496">
        <v>-0.4512024</v>
      </c>
      <c r="V2496">
        <v>-9.5153050000000003E-2</v>
      </c>
      <c r="W2496">
        <v>0.15899160000000001</v>
      </c>
      <c r="X2496">
        <v>0.9826838</v>
      </c>
      <c r="Y2496">
        <v>-0.15221319999999999</v>
      </c>
      <c r="Z2496">
        <v>-2.8811399999999999E-3</v>
      </c>
      <c r="AA2496">
        <v>0.98834350000000004</v>
      </c>
      <c r="AB2496">
        <v>30</v>
      </c>
      <c r="AC2496">
        <v>-42.872999999999998</v>
      </c>
      <c r="AD2496">
        <v>-1.1105938254379999</v>
      </c>
      <c r="AE2496">
        <v>-6.4388000000000103</v>
      </c>
      <c r="AF2496">
        <v>-6.6228563661951796</v>
      </c>
      <c r="AG2496">
        <v>-1.1105938254379999</v>
      </c>
      <c r="AH2496">
        <v>42.816184285836599</v>
      </c>
      <c r="AI2496">
        <v>91.468386859905607</v>
      </c>
      <c r="AJ2496">
        <v>98.792891638956704</v>
      </c>
      <c r="AK2496">
        <v>43.339604080922101</v>
      </c>
      <c r="AL2496">
        <v>80.851629521667206</v>
      </c>
      <c r="AM2496">
        <v>95.530695097549895</v>
      </c>
      <c r="AN2496">
        <v>0.999999941288649</v>
      </c>
    </row>
    <row r="2497" spans="1:40" x14ac:dyDescent="0.25">
      <c r="A2497" t="str">
        <f>"20190304154809397"</f>
        <v>20190304154809397</v>
      </c>
      <c r="B2497" t="str">
        <f>"1551685689389336"</f>
        <v>1551685689389336</v>
      </c>
      <c r="C2497" t="s">
        <v>40</v>
      </c>
      <c r="D2497">
        <v>4.1935260000000003</v>
      </c>
      <c r="E2497">
        <v>0.47418149999999998</v>
      </c>
      <c r="F2497" t="s">
        <v>61</v>
      </c>
      <c r="G2497">
        <v>-307.56549999999999</v>
      </c>
      <c r="H2497" s="1">
        <v>3.2094710000000002E-6</v>
      </c>
      <c r="I2497">
        <v>279.05079999999998</v>
      </c>
      <c r="J2497">
        <v>-265.18630000000002</v>
      </c>
      <c r="K2497">
        <v>1.110609</v>
      </c>
      <c r="L2497">
        <v>285.4572</v>
      </c>
      <c r="M2497">
        <v>-0.9999266</v>
      </c>
      <c r="N2497">
        <v>-1.1303880000000001E-2</v>
      </c>
      <c r="O2497">
        <v>4.3655229999999996E-3</v>
      </c>
      <c r="P2497">
        <v>-0.9848209</v>
      </c>
      <c r="Q2497">
        <v>0.1476365</v>
      </c>
      <c r="R2497">
        <v>-9.1275999999999996E-2</v>
      </c>
      <c r="S2497">
        <v>-3.0162960000000001</v>
      </c>
      <c r="T2497">
        <v>-7.8587530000000003E-2</v>
      </c>
      <c r="U2497">
        <v>-0.45324710000000001</v>
      </c>
      <c r="V2497">
        <v>-9.557707E-2</v>
      </c>
      <c r="W2497">
        <v>0.15875339999999999</v>
      </c>
      <c r="X2497">
        <v>0.98268120000000003</v>
      </c>
      <c r="Y2497">
        <v>-0.15284010000000001</v>
      </c>
      <c r="Z2497">
        <v>-2.912558E-3</v>
      </c>
      <c r="AA2497">
        <v>0.98824659999999998</v>
      </c>
      <c r="AB2497">
        <v>30</v>
      </c>
      <c r="AC2497">
        <v>-42.379199999999898</v>
      </c>
      <c r="AD2497">
        <v>-1.1106057905290001</v>
      </c>
      <c r="AE2497">
        <v>-6.4064000000000103</v>
      </c>
      <c r="AF2497">
        <v>-6.5869354607996504</v>
      </c>
      <c r="AG2497">
        <v>-1.1106057905290001</v>
      </c>
      <c r="AH2497">
        <v>42.3224104546305</v>
      </c>
      <c r="AI2497">
        <v>91.485311794421406</v>
      </c>
      <c r="AJ2497">
        <v>98.8463739365843</v>
      </c>
      <c r="AK2497">
        <v>42.846325287904399</v>
      </c>
      <c r="AL2497">
        <v>80.865453299780995</v>
      </c>
      <c r="AM2497">
        <v>95.555201700683597</v>
      </c>
      <c r="AN2497">
        <v>0.99999997957739195</v>
      </c>
    </row>
    <row r="2498" spans="1:40" x14ac:dyDescent="0.25">
      <c r="A2498" t="str">
        <f>"20190304154809408"</f>
        <v>20190304154809408</v>
      </c>
      <c r="B2498" t="str">
        <f>"1551685689399093"</f>
        <v>1551685689399093</v>
      </c>
      <c r="C2498" t="s">
        <v>40</v>
      </c>
      <c r="D2498">
        <v>4.2335419999999999</v>
      </c>
      <c r="E2498">
        <v>0.47416720000000001</v>
      </c>
      <c r="F2498" t="s">
        <v>61</v>
      </c>
      <c r="G2498">
        <v>-306.99040000000002</v>
      </c>
      <c r="H2498" s="1">
        <v>3.3027070000000001E-6</v>
      </c>
      <c r="I2498">
        <v>279.084</v>
      </c>
      <c r="J2498">
        <v>-265.35019999999997</v>
      </c>
      <c r="K2498">
        <v>1.110616</v>
      </c>
      <c r="L2498">
        <v>285.45780000000002</v>
      </c>
      <c r="M2498">
        <v>-0.9999268</v>
      </c>
      <c r="N2498">
        <v>-1.1305600000000001E-2</v>
      </c>
      <c r="O2498">
        <v>4.3394779999999999E-3</v>
      </c>
      <c r="P2498">
        <v>-0.98483279999999995</v>
      </c>
      <c r="Q2498">
        <v>0.14748820000000001</v>
      </c>
      <c r="R2498">
        <v>-9.1388440000000001E-2</v>
      </c>
      <c r="S2498">
        <v>-3.0156559999999999</v>
      </c>
      <c r="T2498">
        <v>-8.011675E-2</v>
      </c>
      <c r="U2498">
        <v>-0.45974730000000003</v>
      </c>
      <c r="V2498">
        <v>-9.5667009999999997E-2</v>
      </c>
      <c r="W2498">
        <v>0.1586052</v>
      </c>
      <c r="X2498">
        <v>0.98269640000000003</v>
      </c>
      <c r="Y2498">
        <v>-0.154923799999999</v>
      </c>
      <c r="Z2498">
        <v>-2.992621E-3</v>
      </c>
      <c r="AA2498">
        <v>0.98792190000000002</v>
      </c>
      <c r="AB2498">
        <v>30</v>
      </c>
      <c r="AC2498">
        <v>-41.6402</v>
      </c>
      <c r="AD2498">
        <v>-1.1106126972929999</v>
      </c>
      <c r="AE2498">
        <v>-6.3738000000000099</v>
      </c>
      <c r="AF2498">
        <v>-6.5498954653772596</v>
      </c>
      <c r="AG2498">
        <v>-1.1106126972929999</v>
      </c>
      <c r="AH2498">
        <v>41.583243024869702</v>
      </c>
      <c r="AI2498">
        <v>91.511278260443504</v>
      </c>
      <c r="AJ2498">
        <v>98.951277546938798</v>
      </c>
      <c r="AK2498">
        <v>42.110576956818498</v>
      </c>
      <c r="AL2498">
        <v>80.874053689312206</v>
      </c>
      <c r="AM2498">
        <v>95.560311047479701</v>
      </c>
      <c r="AN2498">
        <v>1.00000000042117</v>
      </c>
    </row>
    <row r="2499" spans="1:40" x14ac:dyDescent="0.25">
      <c r="A2499" t="str">
        <f>"20190304154809421"</f>
        <v>20190304154809421</v>
      </c>
      <c r="B2499" t="str">
        <f>"1551685689408852"</f>
        <v>1551685689408852</v>
      </c>
      <c r="C2499" t="s">
        <v>40</v>
      </c>
      <c r="D2499">
        <v>4.2715300000000003</v>
      </c>
      <c r="E2499">
        <v>0.47416720000000001</v>
      </c>
      <c r="F2499" t="s">
        <v>61</v>
      </c>
      <c r="G2499">
        <v>-307.01929999999999</v>
      </c>
      <c r="H2499" s="1">
        <v>3.2938050000000001E-6</v>
      </c>
      <c r="I2499">
        <v>279.09820000000002</v>
      </c>
      <c r="J2499">
        <v>-265.51209999999998</v>
      </c>
      <c r="K2499">
        <v>1.1106229999999999</v>
      </c>
      <c r="L2499">
        <v>285.45850000000002</v>
      </c>
      <c r="M2499">
        <v>-0.99992700000000001</v>
      </c>
      <c r="N2499">
        <v>-1.1307279999999999E-2</v>
      </c>
      <c r="O2499">
        <v>4.3082470000000003E-3</v>
      </c>
      <c r="P2499">
        <v>-0.98485239999999996</v>
      </c>
      <c r="Q2499">
        <v>0.1472871</v>
      </c>
      <c r="R2499">
        <v>-9.1502470000000002E-2</v>
      </c>
      <c r="S2499">
        <v>-3.015533</v>
      </c>
      <c r="T2499">
        <v>-8.0373410000000006E-2</v>
      </c>
      <c r="U2499">
        <v>-0.46023560000000002</v>
      </c>
      <c r="V2499">
        <v>-9.5753069999999996E-2</v>
      </c>
      <c r="W2499">
        <v>0.15840460000000001</v>
      </c>
      <c r="X2499">
        <v>0.98272040000000005</v>
      </c>
      <c r="Y2499">
        <v>-0.15505479999999899</v>
      </c>
      <c r="Z2499">
        <v>-3.0017400000000001E-3</v>
      </c>
      <c r="AA2499">
        <v>0.98790129999999998</v>
      </c>
      <c r="AB2499">
        <v>30</v>
      </c>
      <c r="AC2499">
        <v>-41.507199999999997</v>
      </c>
      <c r="AD2499">
        <v>-1.1106197061949901</v>
      </c>
      <c r="AE2499">
        <v>-6.3602999999999899</v>
      </c>
      <c r="AF2499">
        <v>-6.53450457023472</v>
      </c>
      <c r="AG2499">
        <v>-1.1106197061949901</v>
      </c>
      <c r="AH2499">
        <v>41.4504155808375</v>
      </c>
      <c r="AI2499">
        <v>91.516097350442706</v>
      </c>
      <c r="AJ2499">
        <v>98.958737835531494</v>
      </c>
      <c r="AK2499">
        <v>41.977019640921903</v>
      </c>
      <c r="AL2499">
        <v>80.885694618578597</v>
      </c>
      <c r="AM2499">
        <v>95.565146534552198</v>
      </c>
      <c r="AN2499">
        <v>1.0000000261458699</v>
      </c>
    </row>
    <row r="2500" spans="1:40" x14ac:dyDescent="0.25">
      <c r="A2500" t="str">
        <f>"20190304154809434"</f>
        <v>20190304154809434</v>
      </c>
      <c r="B2500" t="str">
        <f>"1551685689429349"</f>
        <v>1551685689429349</v>
      </c>
      <c r="C2500" t="s">
        <v>40</v>
      </c>
      <c r="D2500">
        <v>4.289472</v>
      </c>
      <c r="E2500">
        <v>0.51178259999999998</v>
      </c>
      <c r="F2500" t="s">
        <v>61</v>
      </c>
      <c r="G2500">
        <v>-306.85449999999997</v>
      </c>
      <c r="H2500" s="1">
        <v>3.3102390000000001E-6</v>
      </c>
      <c r="I2500">
        <v>279.1465</v>
      </c>
      <c r="J2500">
        <v>-265.68110000000001</v>
      </c>
      <c r="K2500">
        <v>1.1106320000000001</v>
      </c>
      <c r="L2500">
        <v>285.45920000000001</v>
      </c>
      <c r="M2500">
        <v>-0.99992689999999995</v>
      </c>
      <c r="N2500">
        <v>-1.1309039999999999E-2</v>
      </c>
      <c r="O2500">
        <v>4.2727800000000003E-3</v>
      </c>
      <c r="P2500">
        <v>-0.98483960000000004</v>
      </c>
      <c r="Q2500">
        <v>0.14729</v>
      </c>
      <c r="R2500">
        <v>-9.1634069999999998E-2</v>
      </c>
      <c r="S2500">
        <v>-3.0154719999999999</v>
      </c>
      <c r="T2500">
        <v>-8.1007480000000007E-2</v>
      </c>
      <c r="U2500">
        <v>-0.46038820000000003</v>
      </c>
      <c r="V2500">
        <v>-9.5853309999999997E-2</v>
      </c>
      <c r="W2500">
        <v>0.15840689999999999</v>
      </c>
      <c r="X2500">
        <v>0.98271019999999998</v>
      </c>
      <c r="Y2500">
        <v>-0.1550705</v>
      </c>
      <c r="Z2500">
        <v>-3.0187619999999999E-3</v>
      </c>
      <c r="AA2500">
        <v>0.98789879999999997</v>
      </c>
      <c r="AB2500">
        <v>30</v>
      </c>
      <c r="AC2500">
        <v>-41.173399999999901</v>
      </c>
      <c r="AD2500">
        <v>-1.110628689761</v>
      </c>
      <c r="AE2500">
        <v>-6.3127000000000004</v>
      </c>
      <c r="AF2500">
        <v>-6.4839689963389899</v>
      </c>
      <c r="AG2500">
        <v>-1.110628689761</v>
      </c>
      <c r="AH2500">
        <v>41.116819319439401</v>
      </c>
      <c r="AI2500">
        <v>91.528392821474</v>
      </c>
      <c r="AJ2500">
        <v>98.961531502231296</v>
      </c>
      <c r="AK2500">
        <v>41.6397428063554</v>
      </c>
      <c r="AL2500">
        <v>80.885560637941197</v>
      </c>
      <c r="AM2500">
        <v>95.570993289827697</v>
      </c>
      <c r="AN2500">
        <v>0.99999997009480202</v>
      </c>
    </row>
    <row r="2501" spans="1:40" x14ac:dyDescent="0.25">
      <c r="A2501" t="str">
        <f>"20190304154809450"</f>
        <v>20190304154809450</v>
      </c>
      <c r="B2501" t="str">
        <f>"1551685689439108"</f>
        <v>1551685689439108</v>
      </c>
      <c r="C2501" t="s">
        <v>40</v>
      </c>
      <c r="D2501">
        <v>4.0620260000000004</v>
      </c>
      <c r="E2501">
        <v>0.55868719999999905</v>
      </c>
      <c r="F2501" t="s">
        <v>60</v>
      </c>
      <c r="G2501">
        <v>-450.88240000000002</v>
      </c>
      <c r="H2501">
        <v>8.0001600000000006E-2</v>
      </c>
      <c r="I2501">
        <v>275.43729999999999</v>
      </c>
      <c r="J2501">
        <v>-265.91399999999999</v>
      </c>
      <c r="K2501">
        <v>1.1106419999999999</v>
      </c>
      <c r="L2501">
        <v>285.46010000000001</v>
      </c>
      <c r="M2501">
        <v>-0.99992729999999996</v>
      </c>
      <c r="N2501">
        <v>-1.131148E-2</v>
      </c>
      <c r="O2501">
        <v>4.2151139999999998E-3</v>
      </c>
      <c r="P2501">
        <v>-0.98483529999999997</v>
      </c>
      <c r="Q2501">
        <v>0.14727170000000001</v>
      </c>
      <c r="R2501">
        <v>-9.1711459999999995E-2</v>
      </c>
      <c r="S2501">
        <v>-3.0335079999999999</v>
      </c>
      <c r="T2501">
        <v>-1.6881230000000001E-2</v>
      </c>
      <c r="U2501">
        <v>-0.1641541</v>
      </c>
      <c r="V2501">
        <v>-9.5877019999999993E-2</v>
      </c>
      <c r="W2501">
        <v>0.15838859999999999</v>
      </c>
      <c r="X2501">
        <v>0.98271090000000005</v>
      </c>
      <c r="Y2501">
        <v>-5.8240489999999999E-2</v>
      </c>
      <c r="Z2501">
        <v>-4.6737930000000002E-4</v>
      </c>
      <c r="AA2501">
        <v>0.99830249999999998</v>
      </c>
      <c r="AB2501">
        <v>30</v>
      </c>
      <c r="AC2501">
        <v>-184.9684</v>
      </c>
      <c r="AD2501">
        <v>-1.03064039999999</v>
      </c>
      <c r="AE2501">
        <v>-10.0228</v>
      </c>
      <c r="AF2501">
        <v>-10.8020892098214</v>
      </c>
      <c r="AG2501">
        <v>-1.03064039999999</v>
      </c>
      <c r="AH2501">
        <v>184.91878229773499</v>
      </c>
      <c r="AI2501">
        <v>90.318789910224794</v>
      </c>
      <c r="AJ2501">
        <v>93.343151885920093</v>
      </c>
      <c r="AK2501">
        <v>185.23688454896899</v>
      </c>
      <c r="AL2501">
        <v>80.886623128569795</v>
      </c>
      <c r="AM2501">
        <v>95.572358698357107</v>
      </c>
      <c r="AN2501">
        <v>1.00000003227642</v>
      </c>
    </row>
    <row r="2502" spans="1:40" x14ac:dyDescent="0.25">
      <c r="A2502" t="str">
        <f>"20190304154809462"</f>
        <v>20190304154809462</v>
      </c>
      <c r="B2502" t="str">
        <f>"1551685689459605"</f>
        <v>1551685689459605</v>
      </c>
      <c r="C2502" t="s">
        <v>40</v>
      </c>
      <c r="D2502">
        <v>4.1610300000000002</v>
      </c>
      <c r="E2502">
        <v>0.5534673</v>
      </c>
      <c r="F2502" t="s">
        <v>63</v>
      </c>
      <c r="G2502">
        <v>-511.82490000000001</v>
      </c>
      <c r="H2502">
        <v>14.30545</v>
      </c>
      <c r="I2502">
        <v>301.79910000000001</v>
      </c>
      <c r="J2502">
        <v>-266.06049999999999</v>
      </c>
      <c r="K2502">
        <v>1.110644</v>
      </c>
      <c r="L2502">
        <v>285.46069999999997</v>
      </c>
      <c r="M2502">
        <v>-0.99992729999999996</v>
      </c>
      <c r="N2502">
        <v>-1.131304E-2</v>
      </c>
      <c r="O2502">
        <v>4.1734939999999998E-3</v>
      </c>
      <c r="P2502">
        <v>-0.98488410000000004</v>
      </c>
      <c r="Q2502">
        <v>0.14697360000000001</v>
      </c>
      <c r="R2502">
        <v>-9.1664430000000005E-2</v>
      </c>
      <c r="S2502">
        <v>-3.040619</v>
      </c>
      <c r="T2502">
        <v>0.16315099999999999</v>
      </c>
      <c r="U2502">
        <v>0.20202639999999999</v>
      </c>
      <c r="V2502">
        <v>-9.5791210000000002E-2</v>
      </c>
      <c r="W2502">
        <v>0.1580915</v>
      </c>
      <c r="X2502">
        <v>0.9827671</v>
      </c>
      <c r="Y2502">
        <v>6.2069890000000003E-2</v>
      </c>
      <c r="Z2502">
        <v>-1.0398789999999901E-3</v>
      </c>
      <c r="AA2502">
        <v>0.99807129999999999</v>
      </c>
      <c r="AB2502">
        <v>30</v>
      </c>
      <c r="AC2502">
        <v>-245.76439999999999</v>
      </c>
      <c r="AD2502">
        <v>13.194806</v>
      </c>
      <c r="AE2502">
        <v>16.3384</v>
      </c>
      <c r="AF2502">
        <v>15.268677622814399</v>
      </c>
      <c r="AG2502">
        <v>13.194806</v>
      </c>
      <c r="AH2502">
        <v>245.12698445039899</v>
      </c>
      <c r="AI2502">
        <v>86.924779040060699</v>
      </c>
      <c r="AJ2502">
        <v>86.435716792904401</v>
      </c>
      <c r="AK2502">
        <v>245.956243928617</v>
      </c>
      <c r="AL2502">
        <v>80.903862852307199</v>
      </c>
      <c r="AM2502">
        <v>95.567086406508906</v>
      </c>
      <c r="AN2502">
        <v>1.0000000255639601</v>
      </c>
    </row>
    <row r="2503" spans="1:40" x14ac:dyDescent="0.25">
      <c r="A2503" t="str">
        <f>"20190304154809475"</f>
        <v>20190304154809475</v>
      </c>
      <c r="B2503" t="str">
        <f>"1551685689469366"</f>
        <v>1551685689469366</v>
      </c>
      <c r="C2503" t="s">
        <v>40</v>
      </c>
      <c r="D2503">
        <v>4.1435490000000001</v>
      </c>
      <c r="E2503">
        <v>0.55253759999999996</v>
      </c>
      <c r="F2503" t="s">
        <v>63</v>
      </c>
      <c r="G2503">
        <v>-511.82389999999998</v>
      </c>
      <c r="H2503">
        <v>11.44106</v>
      </c>
      <c r="I2503">
        <v>298.54509999999999</v>
      </c>
      <c r="J2503">
        <v>-266.22300000000001</v>
      </c>
      <c r="K2503">
        <v>1.1106480000000001</v>
      </c>
      <c r="L2503">
        <v>285.46140000000003</v>
      </c>
      <c r="M2503">
        <v>-0.99992749999999997</v>
      </c>
      <c r="N2503">
        <v>-1.131475E-2</v>
      </c>
      <c r="O2503">
        <v>4.125971E-3</v>
      </c>
      <c r="P2503">
        <v>-0.98488180000000003</v>
      </c>
      <c r="Q2503">
        <v>0.146952</v>
      </c>
      <c r="R2503">
        <v>-9.1722970000000001E-2</v>
      </c>
      <c r="S2503">
        <v>-3.0420229999999999</v>
      </c>
      <c r="T2503">
        <v>0.12786939999999999</v>
      </c>
      <c r="U2503">
        <v>0.16195680000000001</v>
      </c>
      <c r="V2503">
        <v>-9.5805119999999994E-2</v>
      </c>
      <c r="W2503">
        <v>0.1580703</v>
      </c>
      <c r="X2503">
        <v>0.98276909999999895</v>
      </c>
      <c r="Y2503">
        <v>4.9018039999999999E-2</v>
      </c>
      <c r="Z2503">
        <v>-5.3157379999999998E-4</v>
      </c>
      <c r="AA2503">
        <v>0.99879779999999996</v>
      </c>
      <c r="AB2503">
        <v>30</v>
      </c>
      <c r="AC2503">
        <v>-245.6009</v>
      </c>
      <c r="AD2503">
        <v>10.3304119999999</v>
      </c>
      <c r="AE2503">
        <v>13.083699999999901</v>
      </c>
      <c r="AF2503">
        <v>12.048925025397899</v>
      </c>
      <c r="AG2503">
        <v>10.3304119999999</v>
      </c>
      <c r="AH2503">
        <v>245.22018136937899</v>
      </c>
      <c r="AI2503">
        <v>87.590625278025797</v>
      </c>
      <c r="AJ2503">
        <v>87.187026828507001</v>
      </c>
      <c r="AK2503">
        <v>245.73325244498</v>
      </c>
      <c r="AL2503">
        <v>80.905092502158794</v>
      </c>
      <c r="AM2503">
        <v>95.5678784729905</v>
      </c>
      <c r="AN2503">
        <v>0.999999972337556</v>
      </c>
    </row>
    <row r="2504" spans="1:40" x14ac:dyDescent="0.25">
      <c r="A2504" t="str">
        <f>"20190304154809485"</f>
        <v>20190304154809485</v>
      </c>
      <c r="B2504" t="str">
        <f>"1551685689479125"</f>
        <v>1551685689479125</v>
      </c>
      <c r="C2504" t="s">
        <v>40</v>
      </c>
      <c r="D2504">
        <v>4.1671659999999999</v>
      </c>
      <c r="E2504">
        <v>0.55167449999999996</v>
      </c>
      <c r="F2504" t="s">
        <v>63</v>
      </c>
      <c r="G2504">
        <v>-511.82380000000001</v>
      </c>
      <c r="H2504">
        <v>10.91058</v>
      </c>
      <c r="I2504">
        <v>297.947</v>
      </c>
      <c r="J2504">
        <v>-266.38400000000001</v>
      </c>
      <c r="K2504">
        <v>1.1106499999999999</v>
      </c>
      <c r="L2504">
        <v>285.46199999999999</v>
      </c>
      <c r="M2504">
        <v>-0.99992760000000003</v>
      </c>
      <c r="N2504">
        <v>-1.1316440000000001E-2</v>
      </c>
      <c r="O2504">
        <v>4.0756079999999997E-3</v>
      </c>
      <c r="P2504">
        <v>-0.98485210000000001</v>
      </c>
      <c r="Q2504">
        <v>0.1469462</v>
      </c>
      <c r="R2504">
        <v>-9.2049030000000004E-2</v>
      </c>
      <c r="S2504">
        <v>-3.0423279999999999</v>
      </c>
      <c r="T2504">
        <v>0.12139560000000001</v>
      </c>
      <c r="U2504">
        <v>0.1546631</v>
      </c>
      <c r="V2504">
        <v>-9.6082630000000002E-2</v>
      </c>
      <c r="W2504">
        <v>0.15806509999999999</v>
      </c>
      <c r="X2504">
        <v>0.98274280000000003</v>
      </c>
      <c r="Y2504">
        <v>4.66793E-2</v>
      </c>
      <c r="Z2504">
        <v>-4.574348E-4</v>
      </c>
      <c r="AA2504">
        <v>0.99890979999999996</v>
      </c>
      <c r="AB2504">
        <v>30</v>
      </c>
      <c r="AC2504">
        <v>-245.43979999999999</v>
      </c>
      <c r="AD2504">
        <v>9.7999299999999998</v>
      </c>
      <c r="AE2504">
        <v>12.484999999999999</v>
      </c>
      <c r="AF2504">
        <v>11.466282839965199</v>
      </c>
      <c r="AG2504">
        <v>9.7999299999999998</v>
      </c>
      <c r="AH2504">
        <v>245.09890845177199</v>
      </c>
      <c r="AI2504">
        <v>87.712828475991302</v>
      </c>
      <c r="AJ2504">
        <v>87.321526362663803</v>
      </c>
      <c r="AK2504">
        <v>245.56259730346</v>
      </c>
      <c r="AL2504">
        <v>80.905393838670406</v>
      </c>
      <c r="AM2504">
        <v>95.584053150103998</v>
      </c>
      <c r="AN2504">
        <v>0.99999992928878001</v>
      </c>
    </row>
    <row r="2505" spans="1:40" x14ac:dyDescent="0.25">
      <c r="A2505" t="str">
        <f>"20190304154809498"</f>
        <v>20190304154809498</v>
      </c>
      <c r="B2505" t="str">
        <f>"1551685689488885"</f>
        <v>1551685689488885</v>
      </c>
      <c r="C2505" t="s">
        <v>40</v>
      </c>
      <c r="D2505">
        <v>4.1588190000000003</v>
      </c>
      <c r="E2505">
        <v>0.55103329999999995</v>
      </c>
      <c r="F2505" t="s">
        <v>63</v>
      </c>
      <c r="G2505">
        <v>-510.95710000000003</v>
      </c>
      <c r="H2505">
        <v>10.483370000000001</v>
      </c>
      <c r="I2505">
        <v>297.29360000000003</v>
      </c>
      <c r="J2505">
        <v>-266.54450000000003</v>
      </c>
      <c r="K2505">
        <v>1.1106579999999999</v>
      </c>
      <c r="L2505">
        <v>285.46249999999998</v>
      </c>
      <c r="M2505">
        <v>-0.99992800000000004</v>
      </c>
      <c r="N2505">
        <v>-1.1318099999999999E-2</v>
      </c>
      <c r="O2505">
        <v>4.0234090000000004E-3</v>
      </c>
      <c r="P2505">
        <v>-0.98485849999999997</v>
      </c>
      <c r="Q2505">
        <v>0.14692839999999999</v>
      </c>
      <c r="R2505">
        <v>-9.2011029999999994E-2</v>
      </c>
      <c r="S2505">
        <v>-3.0425110000000002</v>
      </c>
      <c r="T2505">
        <v>0.1165984</v>
      </c>
      <c r="U2505">
        <v>0.14718629999999999</v>
      </c>
      <c r="V2505">
        <v>-9.5994300000000005E-2</v>
      </c>
      <c r="W2505">
        <v>0.1580482</v>
      </c>
      <c r="X2505">
        <v>0.98275420000000002</v>
      </c>
      <c r="Y2505">
        <v>4.4282839999999997E-2</v>
      </c>
      <c r="Z2505">
        <v>-3.9737220000000002E-4</v>
      </c>
      <c r="AA2505">
        <v>0.99901899999999999</v>
      </c>
      <c r="AB2505">
        <v>30</v>
      </c>
      <c r="AC2505">
        <v>-244.4126</v>
      </c>
      <c r="AD2505">
        <v>9.3727119999999999</v>
      </c>
      <c r="AE2505">
        <v>11.831099999999999</v>
      </c>
      <c r="AF2505">
        <v>10.8316781071837</v>
      </c>
      <c r="AG2505">
        <v>9.3727119999999999</v>
      </c>
      <c r="AH2505">
        <v>244.10010067705801</v>
      </c>
      <c r="AI2505">
        <v>87.803253626409798</v>
      </c>
      <c r="AJ2505">
        <v>87.459228474223494</v>
      </c>
      <c r="AK2505">
        <v>244.52000354041101</v>
      </c>
      <c r="AL2505">
        <v>80.906374914092694</v>
      </c>
      <c r="AM2505">
        <v>95.578887751023998</v>
      </c>
      <c r="AN2505">
        <v>0.99999997838668397</v>
      </c>
    </row>
    <row r="2506" spans="1:40" x14ac:dyDescent="0.25">
      <c r="A2506" t="str">
        <f>"20190304154809512"</f>
        <v>20190304154809512</v>
      </c>
      <c r="B2506" t="str">
        <f>"1551685689509381"</f>
        <v>1551685689509381</v>
      </c>
      <c r="C2506" t="s">
        <v>40</v>
      </c>
      <c r="D2506">
        <v>4.1571569999999998</v>
      </c>
      <c r="E2506">
        <v>0.55201069999999997</v>
      </c>
      <c r="F2506" t="s">
        <v>63</v>
      </c>
      <c r="G2506">
        <v>-510.95699999999999</v>
      </c>
      <c r="H2506">
        <v>10.17071</v>
      </c>
      <c r="I2506">
        <v>296.90359999999998</v>
      </c>
      <c r="J2506">
        <v>-266.72500000000002</v>
      </c>
      <c r="K2506">
        <v>1.11066</v>
      </c>
      <c r="L2506">
        <v>285.46319999999997</v>
      </c>
      <c r="M2506">
        <v>-0.99992809999999999</v>
      </c>
      <c r="N2506">
        <v>-1.131996E-2</v>
      </c>
      <c r="O2506">
        <v>3.9638219999999997E-3</v>
      </c>
      <c r="P2506">
        <v>-0.98484780000000005</v>
      </c>
      <c r="Q2506">
        <v>0.1468624</v>
      </c>
      <c r="R2506">
        <v>-9.2229229999999995E-2</v>
      </c>
      <c r="S2506">
        <v>-3.0426030000000002</v>
      </c>
      <c r="T2506">
        <v>0.11278630000000001</v>
      </c>
      <c r="U2506">
        <v>0.14242550000000001</v>
      </c>
      <c r="V2506">
        <v>-9.6155130000000005E-2</v>
      </c>
      <c r="W2506">
        <v>0.1579836</v>
      </c>
      <c r="X2506">
        <v>0.98274890000000004</v>
      </c>
      <c r="Y2506">
        <v>4.2783410000000001E-2</v>
      </c>
      <c r="Z2506">
        <v>-3.5828420000000001E-4</v>
      </c>
      <c r="AA2506">
        <v>0.99908430000000004</v>
      </c>
      <c r="AB2506">
        <v>30</v>
      </c>
      <c r="AC2506">
        <v>-244.232</v>
      </c>
      <c r="AD2506">
        <v>9.0600500000000004</v>
      </c>
      <c r="AE2506">
        <v>11.4404</v>
      </c>
      <c r="AF2506">
        <v>10.4577962680317</v>
      </c>
      <c r="AG2506">
        <v>9.0600500000000004</v>
      </c>
      <c r="AH2506">
        <v>243.940475476378</v>
      </c>
      <c r="AI2506">
        <v>87.8749388297786</v>
      </c>
      <c r="AJ2506">
        <v>87.545217054372699</v>
      </c>
      <c r="AK2506">
        <v>244.332571681361</v>
      </c>
      <c r="AL2506">
        <v>80.910123637768393</v>
      </c>
      <c r="AM2506">
        <v>95.588205519334394</v>
      </c>
      <c r="AN2506">
        <v>1.0000000136727401</v>
      </c>
    </row>
    <row r="2507" spans="1:40" x14ac:dyDescent="0.25">
      <c r="A2507" t="str">
        <f>"20190304154809530"</f>
        <v>20190304154809530</v>
      </c>
      <c r="B2507" t="str">
        <f>"1551685689519141"</f>
        <v>1551685689519141</v>
      </c>
      <c r="C2507" t="s">
        <v>40</v>
      </c>
      <c r="D2507">
        <v>4.1560160000000002</v>
      </c>
      <c r="E2507">
        <v>0.55146790000000001</v>
      </c>
      <c r="F2507" t="s">
        <v>63</v>
      </c>
      <c r="G2507">
        <v>-511.8236</v>
      </c>
      <c r="H2507">
        <v>10.5634</v>
      </c>
      <c r="I2507">
        <v>297.49200000000002</v>
      </c>
      <c r="J2507">
        <v>-266.97699999999998</v>
      </c>
      <c r="K2507">
        <v>1.1106609999999999</v>
      </c>
      <c r="L2507">
        <v>285.46409999999997</v>
      </c>
      <c r="M2507">
        <v>-0.99992829999999999</v>
      </c>
      <c r="N2507">
        <v>-1.1322570000000001E-2</v>
      </c>
      <c r="O2507">
        <v>3.877957E-3</v>
      </c>
      <c r="P2507">
        <v>-0.98486669999999998</v>
      </c>
      <c r="Q2507">
        <v>0.14672679999999999</v>
      </c>
      <c r="R2507">
        <v>-9.2244160000000006E-2</v>
      </c>
      <c r="S2507">
        <v>-3.0426030000000002</v>
      </c>
      <c r="T2507">
        <v>0.1173453</v>
      </c>
      <c r="U2507">
        <v>0.1493225</v>
      </c>
      <c r="V2507">
        <v>-9.6085970000000007E-2</v>
      </c>
      <c r="W2507">
        <v>0.1578504</v>
      </c>
      <c r="X2507">
        <v>0.98277709999999996</v>
      </c>
      <c r="Y2507">
        <v>4.5125520000000002E-2</v>
      </c>
      <c r="Z2507">
        <v>-4.2036720000000001E-4</v>
      </c>
      <c r="AA2507">
        <v>0.99898120000000001</v>
      </c>
      <c r="AB2507">
        <v>30</v>
      </c>
      <c r="AC2507">
        <v>-244.8466</v>
      </c>
      <c r="AD2507">
        <v>9.4527389999999993</v>
      </c>
      <c r="AE2507">
        <v>12.027900000000001</v>
      </c>
      <c r="AF2507">
        <v>11.0617962836965</v>
      </c>
      <c r="AG2507">
        <v>9.4527389999999993</v>
      </c>
      <c r="AH2507">
        <v>244.527818082891</v>
      </c>
      <c r="AI2507">
        <v>87.788472445923105</v>
      </c>
      <c r="AJ2507">
        <v>87.409855289568199</v>
      </c>
      <c r="AK2507">
        <v>244.96034664411201</v>
      </c>
      <c r="AL2507">
        <v>80.917852703274207</v>
      </c>
      <c r="AM2507">
        <v>95.584052370141805</v>
      </c>
      <c r="AN2507">
        <v>1.0000000453477</v>
      </c>
    </row>
    <row r="2508" spans="1:40" x14ac:dyDescent="0.25">
      <c r="A2508" t="str">
        <f>"20190304154809546"</f>
        <v>20190304154809546</v>
      </c>
      <c r="B2508" t="str">
        <f>"1551685689539637"</f>
        <v>1551685689539637</v>
      </c>
      <c r="C2508" t="s">
        <v>40</v>
      </c>
      <c r="D2508">
        <v>4.1675269999999998</v>
      </c>
      <c r="E2508">
        <v>0.55061380000000004</v>
      </c>
      <c r="F2508" t="s">
        <v>63</v>
      </c>
      <c r="G2508">
        <v>-510.95699999999999</v>
      </c>
      <c r="H2508">
        <v>10.185549999999999</v>
      </c>
      <c r="I2508">
        <v>297.10419999999999</v>
      </c>
      <c r="J2508">
        <v>-267.17340000000002</v>
      </c>
      <c r="K2508">
        <v>1.110662</v>
      </c>
      <c r="L2508">
        <v>285.46480000000003</v>
      </c>
      <c r="M2508">
        <v>-0.9999287</v>
      </c>
      <c r="N2508">
        <v>-1.1324590000000001E-2</v>
      </c>
      <c r="O2508">
        <v>3.8109929999999999E-3</v>
      </c>
      <c r="P2508">
        <v>-0.98488520000000002</v>
      </c>
      <c r="Q2508">
        <v>0.1466094</v>
      </c>
      <c r="R2508">
        <v>-9.2234839999999998E-2</v>
      </c>
      <c r="S2508">
        <v>-3.0428470000000001</v>
      </c>
      <c r="T2508">
        <v>0.1131803</v>
      </c>
      <c r="U2508">
        <v>0.1451721</v>
      </c>
      <c r="V2508">
        <v>-9.6011379999999993E-2</v>
      </c>
      <c r="W2508">
        <v>0.1577355</v>
      </c>
      <c r="X2508">
        <v>0.98280279999999998</v>
      </c>
      <c r="Y2508">
        <v>4.3831309999999998E-2</v>
      </c>
      <c r="Z2508">
        <v>-3.8129020000000002E-4</v>
      </c>
      <c r="AA2508">
        <v>0.99903889999999995</v>
      </c>
      <c r="AB2508">
        <v>30</v>
      </c>
      <c r="AC2508">
        <v>-243.78360000000001</v>
      </c>
      <c r="AD2508">
        <v>9.0748879999999996</v>
      </c>
      <c r="AE2508">
        <v>11.639399999999901</v>
      </c>
      <c r="AF2508">
        <v>10.6954113017974</v>
      </c>
      <c r="AG2508">
        <v>9.0748879999999996</v>
      </c>
      <c r="AH2508">
        <v>243.489550499205</v>
      </c>
      <c r="AI2508">
        <v>87.867620853591106</v>
      </c>
      <c r="AJ2508">
        <v>87.484868414885398</v>
      </c>
      <c r="AK2508">
        <v>243.89322790399899</v>
      </c>
      <c r="AL2508">
        <v>80.924519169869498</v>
      </c>
      <c r="AM2508">
        <v>95.579599937393297</v>
      </c>
      <c r="AN2508">
        <v>1.0000000083687901</v>
      </c>
    </row>
    <row r="2509" spans="1:40" x14ac:dyDescent="0.25">
      <c r="A2509" t="str">
        <f>"20190304154809563"</f>
        <v>20190304154809563</v>
      </c>
      <c r="B2509" t="str">
        <f>"1551685689559157"</f>
        <v>1551685689559157</v>
      </c>
      <c r="C2509" t="s">
        <v>40</v>
      </c>
      <c r="D2509">
        <v>4.1839589999999998</v>
      </c>
      <c r="E2509">
        <v>0.55009240000000004</v>
      </c>
      <c r="F2509" t="s">
        <v>63</v>
      </c>
      <c r="G2509">
        <v>-510.95679999999999</v>
      </c>
      <c r="H2509">
        <v>9.6177670000000006</v>
      </c>
      <c r="I2509">
        <v>296.5711</v>
      </c>
      <c r="J2509">
        <v>-267.4049</v>
      </c>
      <c r="K2509">
        <v>1.110663</v>
      </c>
      <c r="L2509">
        <v>285.46559999999999</v>
      </c>
      <c r="M2509">
        <v>-0.99992899999999996</v>
      </c>
      <c r="N2509">
        <v>-1.1326889999999999E-2</v>
      </c>
      <c r="O2509">
        <v>3.7325269999999998E-3</v>
      </c>
      <c r="P2509">
        <v>-0.98506369999999999</v>
      </c>
      <c r="Q2509">
        <v>0.14562820000000001</v>
      </c>
      <c r="R2509">
        <v>-9.1880989999999996E-2</v>
      </c>
      <c r="S2509">
        <v>-3.0431819999999998</v>
      </c>
      <c r="T2509">
        <v>0.1061964</v>
      </c>
      <c r="U2509">
        <v>0.1386414</v>
      </c>
      <c r="V2509">
        <v>-9.5580739999999997E-2</v>
      </c>
      <c r="W2509">
        <v>0.15675790000000001</v>
      </c>
      <c r="X2509">
        <v>0.98300120000000002</v>
      </c>
      <c r="Y2509">
        <v>4.176846E-2</v>
      </c>
      <c r="Z2509">
        <v>-3.1907209999999998E-4</v>
      </c>
      <c r="AA2509">
        <v>0.99912730000000005</v>
      </c>
      <c r="AB2509">
        <v>30</v>
      </c>
      <c r="AC2509">
        <v>-243.55189999999999</v>
      </c>
      <c r="AD2509">
        <v>8.507104</v>
      </c>
      <c r="AE2509">
        <v>11.105499999999999</v>
      </c>
      <c r="AF2509">
        <v>10.183901204267199</v>
      </c>
      <c r="AG2509">
        <v>8.507104</v>
      </c>
      <c r="AH2509">
        <v>243.295438828746</v>
      </c>
      <c r="AI2509">
        <v>87.999153903849503</v>
      </c>
      <c r="AJ2509">
        <v>87.603102889555402</v>
      </c>
      <c r="AK2509">
        <v>243.657040154963</v>
      </c>
      <c r="AL2509">
        <v>80.981237404789894</v>
      </c>
      <c r="AM2509">
        <v>95.553616510385396</v>
      </c>
      <c r="AN2509">
        <v>1.00000003813639</v>
      </c>
    </row>
    <row r="2510" spans="1:40" x14ac:dyDescent="0.25">
      <c r="A2510" t="str">
        <f>"20190304154809576"</f>
        <v>20190304154809576</v>
      </c>
      <c r="B2510" t="str">
        <f>"1551685689568918"</f>
        <v>1551685689568918</v>
      </c>
      <c r="C2510" t="s">
        <v>40</v>
      </c>
      <c r="D2510">
        <v>4.1689590000000001</v>
      </c>
      <c r="E2510">
        <v>0.54991140000000005</v>
      </c>
      <c r="F2510" t="s">
        <v>63</v>
      </c>
      <c r="G2510">
        <v>-510.95659999999998</v>
      </c>
      <c r="H2510">
        <v>8.9480570000000004</v>
      </c>
      <c r="I2510">
        <v>296.31529999999998</v>
      </c>
      <c r="J2510">
        <v>-267.57819999999998</v>
      </c>
      <c r="K2510">
        <v>1.110663</v>
      </c>
      <c r="L2510">
        <v>285.46620000000001</v>
      </c>
      <c r="M2510">
        <v>-0.99992919999999996</v>
      </c>
      <c r="N2510">
        <v>-1.1328599999999999E-2</v>
      </c>
      <c r="O2510">
        <v>3.6739770000000001E-3</v>
      </c>
      <c r="P2510">
        <v>-0.98510059999999999</v>
      </c>
      <c r="Q2510">
        <v>0.14541319999999999</v>
      </c>
      <c r="R2510">
        <v>-9.1827640000000002E-2</v>
      </c>
      <c r="S2510">
        <v>-3.0436709999999998</v>
      </c>
      <c r="T2510">
        <v>9.7945089999999999E-2</v>
      </c>
      <c r="U2510">
        <v>0.1355896</v>
      </c>
      <c r="V2510">
        <v>-9.5470559999999996E-2</v>
      </c>
      <c r="W2510">
        <v>0.15654499999999999</v>
      </c>
      <c r="X2510">
        <v>0.98304579999999997</v>
      </c>
      <c r="Y2510">
        <v>4.0822860000000002E-2</v>
      </c>
      <c r="Z2510">
        <v>-2.652248E-4</v>
      </c>
      <c r="AA2510">
        <v>0.99916640000000001</v>
      </c>
      <c r="AB2510">
        <v>30</v>
      </c>
      <c r="AC2510">
        <v>-243.3784</v>
      </c>
      <c r="AD2510">
        <v>7.8373939999999997</v>
      </c>
      <c r="AE2510">
        <v>10.8490999999999</v>
      </c>
      <c r="AF2510">
        <v>9.9445108307156698</v>
      </c>
      <c r="AG2510">
        <v>7.8373939999999997</v>
      </c>
      <c r="AH2510">
        <v>243.16495681553801</v>
      </c>
      <c r="AI2510">
        <v>88.155492676133903</v>
      </c>
      <c r="AJ2510">
        <v>87.658128148222104</v>
      </c>
      <c r="AK2510">
        <v>243.49438240640399</v>
      </c>
      <c r="AL2510">
        <v>80.9935878567738</v>
      </c>
      <c r="AM2510">
        <v>95.547004468849195</v>
      </c>
      <c r="AN2510">
        <v>1.00000000487467</v>
      </c>
    </row>
    <row r="2511" spans="1:40" x14ac:dyDescent="0.25">
      <c r="A2511" t="str">
        <f>"20190304154809588"</f>
        <v>20190304154809588</v>
      </c>
      <c r="B2511" t="str">
        <f>"1551685689579653"</f>
        <v>1551685689579653</v>
      </c>
      <c r="C2511" t="s">
        <v>40</v>
      </c>
      <c r="D2511">
        <v>4.1790289999999999</v>
      </c>
      <c r="E2511">
        <v>0.5499347</v>
      </c>
      <c r="F2511" t="s">
        <v>63</v>
      </c>
      <c r="G2511">
        <v>-510.95650000000001</v>
      </c>
      <c r="H2511">
        <v>8.7125520000000005</v>
      </c>
      <c r="I2511">
        <v>296.20260000000002</v>
      </c>
      <c r="J2511">
        <v>-267.75220000000002</v>
      </c>
      <c r="K2511">
        <v>1.110663</v>
      </c>
      <c r="L2511">
        <v>285.46679999999998</v>
      </c>
      <c r="M2511">
        <v>-0.99992930000000002</v>
      </c>
      <c r="N2511">
        <v>-1.1330349999999999E-2</v>
      </c>
      <c r="O2511">
        <v>3.6157260000000001E-3</v>
      </c>
      <c r="P2511">
        <v>-0.98511389999999999</v>
      </c>
      <c r="Q2511">
        <v>0.14535279999999901</v>
      </c>
      <c r="R2511">
        <v>-9.1778280000000004E-2</v>
      </c>
      <c r="S2511">
        <v>-3.0438540000000001</v>
      </c>
      <c r="T2511">
        <v>9.5075370000000006E-2</v>
      </c>
      <c r="U2511">
        <v>0.13427729999999999</v>
      </c>
      <c r="V2511">
        <v>-9.536414E-2</v>
      </c>
      <c r="W2511">
        <v>0.1564866</v>
      </c>
      <c r="X2511">
        <v>0.98306539999999998</v>
      </c>
      <c r="Y2511">
        <v>4.0449400000000003E-2</v>
      </c>
      <c r="Z2511">
        <v>-2.481653E-4</v>
      </c>
      <c r="AA2511">
        <v>0.9991816</v>
      </c>
      <c r="AB2511">
        <v>30</v>
      </c>
      <c r="AC2511">
        <v>-243.20429999999999</v>
      </c>
      <c r="AD2511">
        <v>7.6018889999999999</v>
      </c>
      <c r="AE2511">
        <v>10.735799999999999</v>
      </c>
      <c r="AF2511">
        <v>9.8467116171030202</v>
      </c>
      <c r="AG2511">
        <v>7.6018889999999999</v>
      </c>
      <c r="AH2511">
        <v>243.00457322824801</v>
      </c>
      <c r="AI2511">
        <v>88.209674141445007</v>
      </c>
      <c r="AJ2511">
        <v>87.679605217965701</v>
      </c>
      <c r="AK2511">
        <v>243.322767237021</v>
      </c>
      <c r="AL2511">
        <v>80.996975439082505</v>
      </c>
      <c r="AM2511">
        <v>95.540749998530799</v>
      </c>
      <c r="AN2511">
        <v>0.99999997792732898</v>
      </c>
    </row>
    <row r="2512" spans="1:40" x14ac:dyDescent="0.25">
      <c r="A2512" t="str">
        <f>"20190304154809600"</f>
        <v>20190304154809600</v>
      </c>
      <c r="B2512" t="str">
        <f>"1551685689589414"</f>
        <v>1551685689589414</v>
      </c>
      <c r="C2512" t="s">
        <v>40</v>
      </c>
      <c r="D2512">
        <v>4.3101209999999996</v>
      </c>
      <c r="E2512">
        <v>0.5495333</v>
      </c>
      <c r="F2512" t="s">
        <v>63</v>
      </c>
      <c r="G2512">
        <v>-510.95650000000001</v>
      </c>
      <c r="H2512">
        <v>8.6080159999999992</v>
      </c>
      <c r="I2512">
        <v>296.2484</v>
      </c>
      <c r="J2512">
        <v>-267.90249999999997</v>
      </c>
      <c r="K2512">
        <v>1.1106659999999999</v>
      </c>
      <c r="L2512">
        <v>285.46730000000002</v>
      </c>
      <c r="M2512">
        <v>-0.99992950000000003</v>
      </c>
      <c r="N2512">
        <v>-1.1331859999999999E-2</v>
      </c>
      <c r="O2512">
        <v>3.5652290000000001E-3</v>
      </c>
      <c r="P2512">
        <v>-0.98513790000000001</v>
      </c>
      <c r="Q2512">
        <v>0.145341</v>
      </c>
      <c r="R2512">
        <v>-9.1540979999999994E-2</v>
      </c>
      <c r="S2512">
        <v>-3.0440670000000001</v>
      </c>
      <c r="T2512">
        <v>9.3841670000000002E-2</v>
      </c>
      <c r="U2512">
        <v>0.1349487</v>
      </c>
      <c r="V2512">
        <v>-9.5077380000000003E-2</v>
      </c>
      <c r="W2512">
        <v>0.1564767</v>
      </c>
      <c r="X2512">
        <v>0.98309480000000005</v>
      </c>
      <c r="Y2512">
        <v>4.0716929999999998E-2</v>
      </c>
      <c r="Z2512">
        <v>-2.4609840000000002E-4</v>
      </c>
      <c r="AA2512">
        <v>0.99917069999999997</v>
      </c>
      <c r="AB2512">
        <v>30</v>
      </c>
      <c r="AC2512">
        <v>-243.054</v>
      </c>
      <c r="AD2512">
        <v>7.49735</v>
      </c>
      <c r="AE2512">
        <v>10.781099999999901</v>
      </c>
      <c r="AF2512">
        <v>9.9050265631993799</v>
      </c>
      <c r="AG2512">
        <v>7.49735</v>
      </c>
      <c r="AH2512">
        <v>242.86026620874799</v>
      </c>
      <c r="AI2512">
        <v>88.233248905179593</v>
      </c>
      <c r="AJ2512">
        <v>87.664492959077904</v>
      </c>
      <c r="AK2512">
        <v>243.17777182798599</v>
      </c>
      <c r="AL2512">
        <v>80.997550176862902</v>
      </c>
      <c r="AM2512">
        <v>95.524027994468099</v>
      </c>
      <c r="AN2512">
        <v>1.00000002580879</v>
      </c>
    </row>
    <row r="2513" spans="1:40" x14ac:dyDescent="0.25">
      <c r="A2513" t="str">
        <f>"20190304154809612"</f>
        <v>20190304154809612</v>
      </c>
      <c r="B2513" t="str">
        <f>"1551685689608934"</f>
        <v>1551685689608934</v>
      </c>
      <c r="C2513" t="s">
        <v>40</v>
      </c>
      <c r="D2513">
        <v>4.1887840000000001</v>
      </c>
      <c r="E2513">
        <v>0.54954389999999997</v>
      </c>
      <c r="F2513" t="s">
        <v>63</v>
      </c>
      <c r="G2513">
        <v>-510.95650000000001</v>
      </c>
      <c r="H2513">
        <v>8.5397800000000004</v>
      </c>
      <c r="I2513">
        <v>296.01659999999998</v>
      </c>
      <c r="J2513">
        <v>-268.06659999999999</v>
      </c>
      <c r="K2513">
        <v>1.1106659999999999</v>
      </c>
      <c r="L2513">
        <v>285.46780000000001</v>
      </c>
      <c r="M2513">
        <v>-0.99992959999999997</v>
      </c>
      <c r="N2513">
        <v>-1.13335E-2</v>
      </c>
      <c r="O2513">
        <v>3.5105000000000002E-3</v>
      </c>
      <c r="P2513">
        <v>-0.98507880000000003</v>
      </c>
      <c r="Q2513">
        <v>0.14580279999999901</v>
      </c>
      <c r="R2513">
        <v>-9.1442380000000004E-2</v>
      </c>
      <c r="S2513">
        <v>-3.043793</v>
      </c>
      <c r="T2513">
        <v>9.3036649999999999E-2</v>
      </c>
      <c r="U2513">
        <v>0.13211059999999999</v>
      </c>
      <c r="V2513">
        <v>-9.4924540000000002E-2</v>
      </c>
      <c r="W2513">
        <v>0.15693969999999999</v>
      </c>
      <c r="X2513">
        <v>0.98303569999999996</v>
      </c>
      <c r="Y2513">
        <v>3.9846159999999999E-2</v>
      </c>
      <c r="Z2513">
        <v>-2.3561470000000001E-4</v>
      </c>
      <c r="AA2513">
        <v>0.99920580000000003</v>
      </c>
      <c r="AB2513">
        <v>30</v>
      </c>
      <c r="AC2513">
        <v>-242.88990000000001</v>
      </c>
      <c r="AD2513">
        <v>7.4291140000000002</v>
      </c>
      <c r="AE2513">
        <v>10.5487999999999</v>
      </c>
      <c r="AF2513">
        <v>9.6869698853304609</v>
      </c>
      <c r="AG2513">
        <v>7.4291140000000002</v>
      </c>
      <c r="AH2513">
        <v>242.698813890803</v>
      </c>
      <c r="AI2513">
        <v>88.248093324853002</v>
      </c>
      <c r="AJ2513">
        <v>87.714335602115497</v>
      </c>
      <c r="AK2513">
        <v>243.005644758279</v>
      </c>
      <c r="AL2513">
        <v>80.970689801640106</v>
      </c>
      <c r="AM2513">
        <v>95.515532262813196</v>
      </c>
      <c r="AN2513">
        <v>0.99999996260239499</v>
      </c>
    </row>
    <row r="2514" spans="1:40" x14ac:dyDescent="0.25">
      <c r="A2514" t="str">
        <f>"20190304154809629"</f>
        <v>20190304154809629</v>
      </c>
      <c r="B2514" t="str">
        <f>"1551685689619669"</f>
        <v>1551685689619669</v>
      </c>
      <c r="C2514" t="s">
        <v>40</v>
      </c>
      <c r="D2514">
        <v>4.1547510000000001</v>
      </c>
      <c r="E2514">
        <v>0.54945390000000005</v>
      </c>
      <c r="F2514" t="s">
        <v>63</v>
      </c>
      <c r="G2514">
        <v>-510.95650000000001</v>
      </c>
      <c r="H2514">
        <v>8.5747210000000003</v>
      </c>
      <c r="I2514">
        <v>296.05340000000001</v>
      </c>
      <c r="J2514">
        <v>-268.30430000000001</v>
      </c>
      <c r="K2514">
        <v>1.1106670000000001</v>
      </c>
      <c r="L2514">
        <v>285.46859999999998</v>
      </c>
      <c r="M2514">
        <v>-0.99992990000000004</v>
      </c>
      <c r="N2514">
        <v>-1.133587E-2</v>
      </c>
      <c r="O2514">
        <v>3.4313870000000002E-3</v>
      </c>
      <c r="P2514">
        <v>-0.98508079999999998</v>
      </c>
      <c r="Q2514">
        <v>0.14598800000000001</v>
      </c>
      <c r="R2514">
        <v>-9.1123220000000005E-2</v>
      </c>
      <c r="S2514">
        <v>-3.0439150000000001</v>
      </c>
      <c r="T2514">
        <v>9.3541150000000003E-2</v>
      </c>
      <c r="U2514">
        <v>0.1326599</v>
      </c>
      <c r="V2514">
        <v>-9.4527929999999996E-2</v>
      </c>
      <c r="W2514">
        <v>0.15712670000000001</v>
      </c>
      <c r="X2514">
        <v>0.98304409999999998</v>
      </c>
      <c r="Y2514">
        <v>4.0103180000000002E-2</v>
      </c>
      <c r="Z2514">
        <v>-2.440675E-4</v>
      </c>
      <c r="AA2514">
        <v>0.99919550000000001</v>
      </c>
      <c r="AB2514">
        <v>30</v>
      </c>
      <c r="AC2514">
        <v>-242.65219999999999</v>
      </c>
      <c r="AD2514">
        <v>7.4640539999999902</v>
      </c>
      <c r="AE2514">
        <v>10.5848</v>
      </c>
      <c r="AF2514">
        <v>9.7428494669424808</v>
      </c>
      <c r="AG2514">
        <v>7.4640539999999902</v>
      </c>
      <c r="AH2514">
        <v>242.458116961961</v>
      </c>
      <c r="AI2514">
        <v>88.238131832655398</v>
      </c>
      <c r="AJ2514">
        <v>87.698885097490006</v>
      </c>
      <c r="AK2514">
        <v>242.768559946691</v>
      </c>
      <c r="AL2514">
        <v>80.959841378063999</v>
      </c>
      <c r="AM2514">
        <v>95.492582055852594</v>
      </c>
      <c r="AN2514">
        <v>1.00000001597389</v>
      </c>
    </row>
    <row r="2515" spans="1:40" x14ac:dyDescent="0.25">
      <c r="A2515" t="str">
        <f>"20190304154809642"</f>
        <v>20190304154809642</v>
      </c>
      <c r="B2515" t="str">
        <f>"1551685689639189"</f>
        <v>1551685689639189</v>
      </c>
      <c r="C2515" t="s">
        <v>40</v>
      </c>
      <c r="D2515">
        <v>4.1563860000000004</v>
      </c>
      <c r="E2515">
        <v>0.54920719999999901</v>
      </c>
      <c r="F2515" t="s">
        <v>63</v>
      </c>
      <c r="G2515">
        <v>-510.95650000000001</v>
      </c>
      <c r="H2515">
        <v>8.5910410000000006</v>
      </c>
      <c r="I2515">
        <v>296.06849999999997</v>
      </c>
      <c r="J2515">
        <v>-268.45659999999998</v>
      </c>
      <c r="K2515">
        <v>1.110668</v>
      </c>
      <c r="L2515">
        <v>285.46910000000003</v>
      </c>
      <c r="M2515">
        <v>-0.99993010000000004</v>
      </c>
      <c r="N2515">
        <v>-1.1337409999999999E-2</v>
      </c>
      <c r="O2515">
        <v>3.3810670000000002E-3</v>
      </c>
      <c r="P2515">
        <v>-0.98512290000000002</v>
      </c>
      <c r="Q2515">
        <v>0.145904799999999</v>
      </c>
      <c r="R2515">
        <v>-9.0800430000000001E-2</v>
      </c>
      <c r="S2515">
        <v>-3.0438230000000002</v>
      </c>
      <c r="T2515">
        <v>9.3834639999999997E-2</v>
      </c>
      <c r="U2515">
        <v>0.1329651</v>
      </c>
      <c r="V2515">
        <v>-9.4156030000000002E-2</v>
      </c>
      <c r="W2515">
        <v>0.15704570000000001</v>
      </c>
      <c r="X2515">
        <v>0.98309270000000004</v>
      </c>
      <c r="Y2515">
        <v>4.025459E-2</v>
      </c>
      <c r="Z2515">
        <v>-2.4923909999999998E-4</v>
      </c>
      <c r="AA2515">
        <v>0.99918940000000001</v>
      </c>
      <c r="AB2515">
        <v>30</v>
      </c>
      <c r="AC2515">
        <v>-242.4999</v>
      </c>
      <c r="AD2515">
        <v>7.4803729999999904</v>
      </c>
      <c r="AE2515">
        <v>10.5993999999999</v>
      </c>
      <c r="AF2515">
        <v>9.7700995352435704</v>
      </c>
      <c r="AG2515">
        <v>7.4803729999999904</v>
      </c>
      <c r="AH2515">
        <v>242.30423273333801</v>
      </c>
      <c r="AI2515">
        <v>88.233171333724599</v>
      </c>
      <c r="AJ2515">
        <v>87.690992082612397</v>
      </c>
      <c r="AK2515">
        <v>242.616471051822</v>
      </c>
      <c r="AL2515">
        <v>80.964540381045595</v>
      </c>
      <c r="AM2515">
        <v>95.470835209403603</v>
      </c>
      <c r="AN2515">
        <v>0.99999998333356999</v>
      </c>
    </row>
    <row r="2516" spans="1:40" x14ac:dyDescent="0.25">
      <c r="A2516" t="str">
        <f>"20190304154809653"</f>
        <v>20190304154809653</v>
      </c>
      <c r="B2516" t="str">
        <f>"1551685689648949"</f>
        <v>1551685689648949</v>
      </c>
      <c r="C2516" t="s">
        <v>40</v>
      </c>
      <c r="D2516">
        <v>4.1317490000000001</v>
      </c>
      <c r="E2516">
        <v>0.54910800000000004</v>
      </c>
      <c r="F2516" t="s">
        <v>63</v>
      </c>
      <c r="G2516">
        <v>-510.95639999999997</v>
      </c>
      <c r="H2516">
        <v>8.40984499999999</v>
      </c>
      <c r="I2516">
        <v>295.98660000000001</v>
      </c>
      <c r="J2516">
        <v>-268.6164</v>
      </c>
      <c r="K2516">
        <v>1.1106689999999999</v>
      </c>
      <c r="L2516">
        <v>285.46949999999998</v>
      </c>
      <c r="M2516">
        <v>-0.99993030000000005</v>
      </c>
      <c r="N2516">
        <v>-1.1339E-2</v>
      </c>
      <c r="O2516">
        <v>3.3283649999999998E-3</v>
      </c>
      <c r="P2516">
        <v>-0.98514500000000005</v>
      </c>
      <c r="Q2516">
        <v>0.1458777</v>
      </c>
      <c r="R2516">
        <v>-9.0604309999999993E-2</v>
      </c>
      <c r="S2516">
        <v>-3.0439150000000001</v>
      </c>
      <c r="T2516">
        <v>9.162199E-2</v>
      </c>
      <c r="U2516">
        <v>0.132019</v>
      </c>
      <c r="V2516">
        <v>-9.3907939999999995E-2</v>
      </c>
      <c r="W2516">
        <v>0.15702070000000001</v>
      </c>
      <c r="X2516">
        <v>0.98312040000000001</v>
      </c>
      <c r="Y2516">
        <v>3.999664E-2</v>
      </c>
      <c r="Z2516">
        <v>-2.367998E-4</v>
      </c>
      <c r="AA2516">
        <v>0.99919979999999997</v>
      </c>
      <c r="AB2516">
        <v>30</v>
      </c>
      <c r="AC2516">
        <v>-242.34</v>
      </c>
      <c r="AD2516">
        <v>7.2991759999999903</v>
      </c>
      <c r="AE2516">
        <v>10.517099999999999</v>
      </c>
      <c r="AF2516">
        <v>9.7016093669316295</v>
      </c>
      <c r="AG2516">
        <v>7.2991759999999903</v>
      </c>
      <c r="AH2516">
        <v>242.15439781241699</v>
      </c>
      <c r="AI2516">
        <v>88.274859086368394</v>
      </c>
      <c r="AJ2516">
        <v>87.705744114100597</v>
      </c>
      <c r="AK2516">
        <v>242.45855640600001</v>
      </c>
      <c r="AL2516">
        <v>80.965990568069898</v>
      </c>
      <c r="AM2516">
        <v>95.456354507306401</v>
      </c>
      <c r="AN2516">
        <v>0.99999996115984602</v>
      </c>
    </row>
    <row r="2517" spans="1:40" x14ac:dyDescent="0.25">
      <c r="A2517" t="str">
        <f>"20190304154809665"</f>
        <v>20190304154809665</v>
      </c>
      <c r="B2517" t="str">
        <f>"1551685689659685"</f>
        <v>1551685689659685</v>
      </c>
      <c r="C2517" t="s">
        <v>40</v>
      </c>
      <c r="D2517">
        <v>3.9928240000000002</v>
      </c>
      <c r="E2517">
        <v>0.54972200000000004</v>
      </c>
      <c r="F2517" t="s">
        <v>63</v>
      </c>
      <c r="G2517">
        <v>-510.95639999999997</v>
      </c>
      <c r="H2517">
        <v>8.3611850000000008</v>
      </c>
      <c r="I2517">
        <v>295.97059999999999</v>
      </c>
      <c r="J2517">
        <v>-268.78390000000002</v>
      </c>
      <c r="K2517">
        <v>1.1106689999999999</v>
      </c>
      <c r="L2517">
        <v>285.47000000000003</v>
      </c>
      <c r="M2517">
        <v>-0.99993050000000006</v>
      </c>
      <c r="N2517">
        <v>-1.134051E-2</v>
      </c>
      <c r="O2517">
        <v>3.2726859999999999E-3</v>
      </c>
      <c r="P2517">
        <v>-0.9851742</v>
      </c>
      <c r="Q2517">
        <v>0.1459443</v>
      </c>
      <c r="R2517">
        <v>-9.0179259999999997E-2</v>
      </c>
      <c r="S2517">
        <v>-3.0438839999999998</v>
      </c>
      <c r="T2517">
        <v>9.1070289999999998E-2</v>
      </c>
      <c r="U2517">
        <v>0.13189699999999999</v>
      </c>
      <c r="V2517">
        <v>-9.342781E-2</v>
      </c>
      <c r="W2517">
        <v>0.15708900000000001</v>
      </c>
      <c r="X2517">
        <v>0.98315529999999995</v>
      </c>
      <c r="Y2517">
        <v>4.0012810000000003E-2</v>
      </c>
      <c r="Z2517">
        <v>-2.361981E-4</v>
      </c>
      <c r="AA2517">
        <v>0.99919919999999995</v>
      </c>
      <c r="AB2517">
        <v>30</v>
      </c>
      <c r="AC2517">
        <v>-242.17250000000001</v>
      </c>
      <c r="AD2517">
        <v>7.2505160000000002</v>
      </c>
      <c r="AE2517">
        <v>10.500599999999899</v>
      </c>
      <c r="AF2517">
        <v>9.6992605394625109</v>
      </c>
      <c r="AG2517">
        <v>7.2505160000000002</v>
      </c>
      <c r="AH2517">
        <v>241.98906518765301</v>
      </c>
      <c r="AI2517">
        <v>88.285183974268705</v>
      </c>
      <c r="AJ2517">
        <v>87.704733541125805</v>
      </c>
      <c r="AK2517">
        <v>242.29187627255001</v>
      </c>
      <c r="AL2517">
        <v>80.962028689228703</v>
      </c>
      <c r="AM2517">
        <v>95.428432930929802</v>
      </c>
      <c r="AN2517">
        <v>1.00000002676024</v>
      </c>
    </row>
    <row r="2518" spans="1:40" x14ac:dyDescent="0.25">
      <c r="A2518" t="str">
        <f>"20190304154809678"</f>
        <v>20190304154809678</v>
      </c>
      <c r="B2518" t="str">
        <f>"1551685689669445"</f>
        <v>1551685689669445</v>
      </c>
      <c r="C2518" t="s">
        <v>40</v>
      </c>
      <c r="D2518">
        <v>4.014907</v>
      </c>
      <c r="E2518">
        <v>0.55024390000000001</v>
      </c>
      <c r="F2518" t="s">
        <v>63</v>
      </c>
      <c r="G2518">
        <v>-510.95650000000001</v>
      </c>
      <c r="H2518">
        <v>8.6619399999999995</v>
      </c>
      <c r="I2518">
        <v>296.43549999999999</v>
      </c>
      <c r="J2518">
        <v>-268.9402</v>
      </c>
      <c r="K2518">
        <v>1.11067</v>
      </c>
      <c r="L2518">
        <v>285.47050000000002</v>
      </c>
      <c r="M2518">
        <v>-0.9999306</v>
      </c>
      <c r="N2518">
        <v>-1.134197E-2</v>
      </c>
      <c r="O2518">
        <v>3.2209999999999999E-3</v>
      </c>
      <c r="P2518">
        <v>-0.98518890000000003</v>
      </c>
      <c r="Q2518">
        <v>0.14609739999999999</v>
      </c>
      <c r="R2518">
        <v>-8.9770420000000004E-2</v>
      </c>
      <c r="S2518">
        <v>-3.043701</v>
      </c>
      <c r="T2518">
        <v>9.4907759999999994E-2</v>
      </c>
      <c r="U2518">
        <v>0.13781740000000001</v>
      </c>
      <c r="V2518">
        <v>-9.2968410000000001E-2</v>
      </c>
      <c r="W2518">
        <v>0.15724389999999999</v>
      </c>
      <c r="X2518">
        <v>0.98317410000000005</v>
      </c>
      <c r="Y2518">
        <v>4.2005010000000002E-2</v>
      </c>
      <c r="Z2518">
        <v>-2.7916159999999998E-4</v>
      </c>
      <c r="AA2518">
        <v>0.99911740000000004</v>
      </c>
      <c r="AB2518">
        <v>30</v>
      </c>
      <c r="AC2518">
        <v>-242.0163</v>
      </c>
      <c r="AD2518">
        <v>7.5512699999999997</v>
      </c>
      <c r="AE2518">
        <v>10.9649999999999</v>
      </c>
      <c r="AF2518">
        <v>10.175472683736199</v>
      </c>
      <c r="AG2518">
        <v>7.5512699999999997</v>
      </c>
      <c r="AH2518">
        <v>241.81543182856799</v>
      </c>
      <c r="AI2518">
        <v>88.212962767905196</v>
      </c>
      <c r="AJ2518">
        <v>87.590443710825298</v>
      </c>
      <c r="AK2518">
        <v>242.14719695546199</v>
      </c>
      <c r="AL2518">
        <v>80.953042008328197</v>
      </c>
      <c r="AM2518">
        <v>95.401796028631793</v>
      </c>
      <c r="AN2518">
        <v>1.0000000401279701</v>
      </c>
    </row>
    <row r="2519" spans="1:40" x14ac:dyDescent="0.25">
      <c r="A2519" t="str">
        <f>"20190304154809688"</f>
        <v>20190304154809688</v>
      </c>
      <c r="B2519" t="str">
        <f>"1551685689679205"</f>
        <v>1551685689679205</v>
      </c>
      <c r="C2519" t="s">
        <v>40</v>
      </c>
      <c r="D2519">
        <v>4.0216059999999896</v>
      </c>
      <c r="E2519">
        <v>0.55076969999999903</v>
      </c>
      <c r="F2519" t="s">
        <v>63</v>
      </c>
      <c r="G2519">
        <v>-510.95659999999998</v>
      </c>
      <c r="H2519">
        <v>8.9818259999999999</v>
      </c>
      <c r="I2519">
        <v>296.84730000000002</v>
      </c>
      <c r="J2519">
        <v>-269.1037</v>
      </c>
      <c r="K2519">
        <v>1.1106689999999999</v>
      </c>
      <c r="L2519">
        <v>285.471</v>
      </c>
      <c r="M2519">
        <v>-0.9999306</v>
      </c>
      <c r="N2519">
        <v>-1.1343529999999999E-2</v>
      </c>
      <c r="O2519">
        <v>3.1669290000000002E-3</v>
      </c>
      <c r="P2519">
        <v>-0.9852474</v>
      </c>
      <c r="Q2519">
        <v>0.1459666</v>
      </c>
      <c r="R2519">
        <v>-8.9336150000000003E-2</v>
      </c>
      <c r="S2519">
        <v>-3.0434269999999999</v>
      </c>
      <c r="T2519">
        <v>9.8983050000000003E-2</v>
      </c>
      <c r="U2519">
        <v>0.14306640000000001</v>
      </c>
      <c r="V2519">
        <v>-9.248133E-2</v>
      </c>
      <c r="W2519">
        <v>0.15711530000000001</v>
      </c>
      <c r="X2519">
        <v>0.98324049999999996</v>
      </c>
      <c r="Y2519">
        <v>4.3780619999999999E-2</v>
      </c>
      <c r="Z2519">
        <v>-3.240618E-4</v>
      </c>
      <c r="AA2519">
        <v>0.99904110000000002</v>
      </c>
      <c r="AB2519">
        <v>30</v>
      </c>
      <c r="AC2519">
        <v>-241.85290000000001</v>
      </c>
      <c r="AD2519">
        <v>7.8711570000000002</v>
      </c>
      <c r="AE2519">
        <v>11.376300000000001</v>
      </c>
      <c r="AF2519">
        <v>10.599061010792401</v>
      </c>
      <c r="AG2519">
        <v>7.8711570000000002</v>
      </c>
      <c r="AH2519">
        <v>241.63234733104099</v>
      </c>
      <c r="AI2519">
        <v>88.136044767565807</v>
      </c>
      <c r="AJ2519">
        <v>87.488364322678294</v>
      </c>
      <c r="AK2519">
        <v>241.99274055958401</v>
      </c>
      <c r="AL2519">
        <v>80.960502139412299</v>
      </c>
      <c r="AM2519">
        <v>95.373300277272904</v>
      </c>
      <c r="AN2519">
        <v>0.99999994736645303</v>
      </c>
    </row>
    <row r="2520" spans="1:40" x14ac:dyDescent="0.25">
      <c r="A2520" t="str">
        <f>"20190304154809701"</f>
        <v>20190304154809701</v>
      </c>
      <c r="B2520" t="str">
        <f>"1551685689688965"</f>
        <v>1551685689688965</v>
      </c>
      <c r="C2520" t="s">
        <v>40</v>
      </c>
      <c r="D2520">
        <v>3.9968859999999999</v>
      </c>
      <c r="E2520">
        <v>0.5511682</v>
      </c>
      <c r="F2520" t="s">
        <v>63</v>
      </c>
      <c r="G2520">
        <v>-510.95670000000001</v>
      </c>
      <c r="H2520">
        <v>9.2034959999999995</v>
      </c>
      <c r="I2520">
        <v>297.24810000000002</v>
      </c>
      <c r="J2520">
        <v>-269.25889999999998</v>
      </c>
      <c r="K2520">
        <v>1.1106720000000001</v>
      </c>
      <c r="L2520">
        <v>285.47140000000002</v>
      </c>
      <c r="M2520">
        <v>-0.99993080000000001</v>
      </c>
      <c r="N2520">
        <v>-1.134512E-2</v>
      </c>
      <c r="O2520">
        <v>3.1155990000000001E-3</v>
      </c>
      <c r="P2520">
        <v>-0.98533170000000003</v>
      </c>
      <c r="Q2520">
        <v>0.14576449999999999</v>
      </c>
      <c r="R2520">
        <v>-8.8735700000000001E-2</v>
      </c>
      <c r="S2520">
        <v>-3.0432739999999998</v>
      </c>
      <c r="T2520">
        <v>0.1018343</v>
      </c>
      <c r="U2520">
        <v>0.1481934</v>
      </c>
      <c r="V2520">
        <v>-9.1830700000000001E-2</v>
      </c>
      <c r="W2520">
        <v>0.15691569999999999</v>
      </c>
      <c r="X2520">
        <v>0.98333340000000002</v>
      </c>
      <c r="Y2520">
        <v>4.551173E-2</v>
      </c>
      <c r="Z2520">
        <v>-3.6294229999999999E-4</v>
      </c>
      <c r="AA2520">
        <v>0.99896370000000001</v>
      </c>
      <c r="AB2520">
        <v>30</v>
      </c>
      <c r="AC2520">
        <v>-241.6978</v>
      </c>
      <c r="AD2520">
        <v>8.0928240000000002</v>
      </c>
      <c r="AE2520">
        <v>11.7767</v>
      </c>
      <c r="AF2520">
        <v>11.0112451878038</v>
      </c>
      <c r="AG2520">
        <v>8.0928240000000002</v>
      </c>
      <c r="AH2520">
        <v>241.46325082328599</v>
      </c>
      <c r="AI2520">
        <v>88.082398394372106</v>
      </c>
      <c r="AJ2520">
        <v>87.388997746692894</v>
      </c>
      <c r="AK2520">
        <v>241.84962852779</v>
      </c>
      <c r="AL2520">
        <v>80.972082446069706</v>
      </c>
      <c r="AM2520">
        <v>95.335215490620499</v>
      </c>
      <c r="AN2520">
        <v>0.99999999496226999</v>
      </c>
    </row>
    <row r="2521" spans="1:40" x14ac:dyDescent="0.25">
      <c r="A2521" t="str">
        <f>"20190304154809716"</f>
        <v>20190304154809716</v>
      </c>
      <c r="B2521" t="str">
        <f>"1551685689709461"</f>
        <v>1551685689709461</v>
      </c>
      <c r="C2521" t="s">
        <v>40</v>
      </c>
      <c r="D2521">
        <v>4.0455100000000002</v>
      </c>
      <c r="E2521">
        <v>0.55198499999999995</v>
      </c>
      <c r="F2521" t="s">
        <v>63</v>
      </c>
      <c r="G2521">
        <v>-511.82319999999999</v>
      </c>
      <c r="H2521">
        <v>9.3591429999999995</v>
      </c>
      <c r="I2521">
        <v>297.65839999999997</v>
      </c>
      <c r="J2521">
        <v>-269.45150000000001</v>
      </c>
      <c r="K2521">
        <v>1.110671</v>
      </c>
      <c r="L2521">
        <v>285.47199999999998</v>
      </c>
      <c r="M2521">
        <v>-0.99993100000000001</v>
      </c>
      <c r="N2521">
        <v>-1.134655E-2</v>
      </c>
      <c r="O2521">
        <v>3.0519319999999998E-3</v>
      </c>
      <c r="P2521">
        <v>-0.98538320000000001</v>
      </c>
      <c r="Q2521">
        <v>0.14568020000000001</v>
      </c>
      <c r="R2521">
        <v>-8.8302870000000006E-2</v>
      </c>
      <c r="S2521">
        <v>-3.0431210000000002</v>
      </c>
      <c r="T2521">
        <v>0.103483199999999</v>
      </c>
      <c r="U2521">
        <v>0.1528931</v>
      </c>
      <c r="V2521">
        <v>-9.1335319999999998E-2</v>
      </c>
      <c r="W2521">
        <v>0.15683369999999999</v>
      </c>
      <c r="X2521">
        <v>0.98339259999999995</v>
      </c>
      <c r="Y2521">
        <v>4.711543E-2</v>
      </c>
      <c r="Z2521">
        <v>-3.9455069999999999E-4</v>
      </c>
      <c r="AA2521">
        <v>0.99888940000000004</v>
      </c>
      <c r="AB2521">
        <v>30</v>
      </c>
      <c r="AC2521">
        <v>-242.3717</v>
      </c>
      <c r="AD2521">
        <v>8.2484719999999996</v>
      </c>
      <c r="AE2521">
        <v>12.1863999999999</v>
      </c>
      <c r="AF2521">
        <v>11.433384951533199</v>
      </c>
      <c r="AG2521">
        <v>8.2484719999999996</v>
      </c>
      <c r="AH2521">
        <v>242.12804025362601</v>
      </c>
      <c r="AI2521">
        <v>88.051053780988795</v>
      </c>
      <c r="AJ2521">
        <v>87.296478104988594</v>
      </c>
      <c r="AK2521">
        <v>242.53813609172201</v>
      </c>
      <c r="AL2521">
        <v>80.976839445737198</v>
      </c>
      <c r="AM2521">
        <v>95.306281827053795</v>
      </c>
      <c r="AN2521">
        <v>0.99999997793497497</v>
      </c>
    </row>
    <row r="2522" spans="1:40" x14ac:dyDescent="0.25">
      <c r="A2522" t="str">
        <f>"20190304154809732"</f>
        <v>20190304154809732</v>
      </c>
      <c r="B2522" t="str">
        <f>"1551685689728983"</f>
        <v>1551685689728983</v>
      </c>
      <c r="C2522" t="s">
        <v>40</v>
      </c>
      <c r="D2522">
        <v>4.1202439999999996</v>
      </c>
      <c r="E2522">
        <v>0.55156519999999898</v>
      </c>
      <c r="F2522" t="s">
        <v>63</v>
      </c>
      <c r="G2522">
        <v>-511.82339999999999</v>
      </c>
      <c r="H2522">
        <v>9.6686969999999999</v>
      </c>
      <c r="I2522">
        <v>298.24529999999999</v>
      </c>
      <c r="J2522">
        <v>-269.66919999999999</v>
      </c>
      <c r="K2522">
        <v>1.1106689999999999</v>
      </c>
      <c r="L2522">
        <v>285.4726</v>
      </c>
      <c r="M2522">
        <v>-0.99993129999999997</v>
      </c>
      <c r="N2522">
        <v>-1.1346530000000001E-2</v>
      </c>
      <c r="O2522">
        <v>2.9805819999999998E-3</v>
      </c>
      <c r="P2522">
        <v>-0.98553190000000002</v>
      </c>
      <c r="Q2522">
        <v>0.14512929999999999</v>
      </c>
      <c r="R2522">
        <v>-8.7549409999999994E-2</v>
      </c>
      <c r="S2522">
        <v>-3.042999</v>
      </c>
      <c r="T2522">
        <v>0.10744769999999899</v>
      </c>
      <c r="U2522">
        <v>0.16036989999999901</v>
      </c>
      <c r="V2522">
        <v>-9.0511880000000003E-2</v>
      </c>
      <c r="W2522">
        <v>0.1562846</v>
      </c>
      <c r="X2522">
        <v>0.98355619999999999</v>
      </c>
      <c r="Y2522">
        <v>4.9633669999999998E-2</v>
      </c>
      <c r="Z2522">
        <v>-4.5462980000000002E-4</v>
      </c>
      <c r="AA2522">
        <v>0.99876739999999997</v>
      </c>
      <c r="AB2522">
        <v>30</v>
      </c>
      <c r="AC2522">
        <v>-242.1542</v>
      </c>
      <c r="AD2522">
        <v>8.5580280000000002</v>
      </c>
      <c r="AE2522">
        <v>12.772699999999899</v>
      </c>
      <c r="AF2522">
        <v>12.035845329305101</v>
      </c>
      <c r="AG2522">
        <v>8.5580280000000002</v>
      </c>
      <c r="AH2522">
        <v>241.889913801234</v>
      </c>
      <c r="AI2522">
        <v>87.976230890363297</v>
      </c>
      <c r="AJ2522">
        <v>87.151452641966401</v>
      </c>
      <c r="AK2522">
        <v>242.34032230482899</v>
      </c>
      <c r="AL2522">
        <v>81.008693904120904</v>
      </c>
      <c r="AM2522">
        <v>95.257842282547898</v>
      </c>
      <c r="AN2522">
        <v>1.00000003758836</v>
      </c>
    </row>
    <row r="2523" spans="1:40" x14ac:dyDescent="0.25">
      <c r="A2523" t="str">
        <f>"20190304154809746"</f>
        <v>20190304154809746</v>
      </c>
      <c r="B2523" t="str">
        <f>"1551685689739717"</f>
        <v>1551685689739717</v>
      </c>
      <c r="C2523" t="s">
        <v>40</v>
      </c>
      <c r="D2523">
        <v>4.2013280000000002</v>
      </c>
      <c r="E2523">
        <v>0.5514384</v>
      </c>
      <c r="F2523" t="s">
        <v>63</v>
      </c>
      <c r="G2523">
        <v>-511.82319999999999</v>
      </c>
      <c r="H2523">
        <v>9.3048459999999995</v>
      </c>
      <c r="I2523">
        <v>298.16609999999997</v>
      </c>
      <c r="J2523">
        <v>-269.86270000000002</v>
      </c>
      <c r="K2523">
        <v>1.1106670000000001</v>
      </c>
      <c r="L2523">
        <v>285.47309999999999</v>
      </c>
      <c r="M2523">
        <v>-0.99993149999999997</v>
      </c>
      <c r="N2523">
        <v>-1.1344180000000001E-2</v>
      </c>
      <c r="O2523">
        <v>2.9166399999999999E-3</v>
      </c>
      <c r="P2523">
        <v>-0.98558000000000001</v>
      </c>
      <c r="Q2523">
        <v>0.14493989999999901</v>
      </c>
      <c r="R2523">
        <v>-8.7321910000000003E-2</v>
      </c>
      <c r="S2523">
        <v>-3.0430600000000001</v>
      </c>
      <c r="T2523">
        <v>0.1029742</v>
      </c>
      <c r="U2523">
        <v>0.1595154</v>
      </c>
      <c r="V2523">
        <v>-9.0221510000000005E-2</v>
      </c>
      <c r="W2523">
        <v>0.15609389999999901</v>
      </c>
      <c r="X2523">
        <v>0.98361310000000002</v>
      </c>
      <c r="Y2523">
        <v>4.9418719999999999E-2</v>
      </c>
      <c r="Z2523">
        <v>-4.2311509999999998E-4</v>
      </c>
      <c r="AA2523">
        <v>0.99877800000000005</v>
      </c>
      <c r="AB2523">
        <v>30</v>
      </c>
      <c r="AC2523">
        <v>-241.9605</v>
      </c>
      <c r="AD2523">
        <v>8.1941790000000001</v>
      </c>
      <c r="AE2523">
        <v>12.6929999999999</v>
      </c>
      <c r="AF2523">
        <v>11.973494389669799</v>
      </c>
      <c r="AG2523">
        <v>8.1941790000000001</v>
      </c>
      <c r="AH2523">
        <v>241.720028421167</v>
      </c>
      <c r="AI2523">
        <v>88.060823155500998</v>
      </c>
      <c r="AJ2523">
        <v>87.164196837688394</v>
      </c>
      <c r="AK2523">
        <v>242.15507691831201</v>
      </c>
      <c r="AL2523">
        <v>81.01975543687</v>
      </c>
      <c r="AM2523">
        <v>95.240767254833102</v>
      </c>
      <c r="AN2523">
        <v>0.99999997848774902</v>
      </c>
    </row>
    <row r="2524" spans="1:40" x14ac:dyDescent="0.25">
      <c r="A2524" t="str">
        <f>"20190304154809765"</f>
        <v>20190304154809765</v>
      </c>
      <c r="B2524" t="str">
        <f>"1551685689759237"</f>
        <v>1551685689759237</v>
      </c>
      <c r="C2524" t="s">
        <v>40</v>
      </c>
      <c r="D2524">
        <v>4.1955559999999998</v>
      </c>
      <c r="E2524">
        <v>0.55106099999999902</v>
      </c>
      <c r="F2524" t="s">
        <v>63</v>
      </c>
      <c r="G2524">
        <v>-511.82319999999999</v>
      </c>
      <c r="H2524">
        <v>9.1397949999999994</v>
      </c>
      <c r="I2524">
        <v>298.11</v>
      </c>
      <c r="J2524">
        <v>-270.10849999999999</v>
      </c>
      <c r="K2524">
        <v>1.110665</v>
      </c>
      <c r="L2524">
        <v>285.47370000000001</v>
      </c>
      <c r="M2524">
        <v>-0.99993189999999998</v>
      </c>
      <c r="N2524">
        <v>-1.1340029999999999E-2</v>
      </c>
      <c r="O2524">
        <v>2.8354840000000001E-3</v>
      </c>
      <c r="P2524">
        <v>-0.98570530000000001</v>
      </c>
      <c r="Q2524">
        <v>0.1445892</v>
      </c>
      <c r="R2524">
        <v>-8.648372E-2</v>
      </c>
      <c r="S2524">
        <v>-3.0431520000000001</v>
      </c>
      <c r="T2524">
        <v>0.1009839</v>
      </c>
      <c r="U2524">
        <v>0.15893550000000001</v>
      </c>
      <c r="V2524">
        <v>-8.9303930000000004E-2</v>
      </c>
      <c r="W2524">
        <v>0.15574060000000001</v>
      </c>
      <c r="X2524">
        <v>0.98375279999999998</v>
      </c>
      <c r="Y2524">
        <v>4.9309190000000003E-2</v>
      </c>
      <c r="Z2524">
        <v>-4.1139889999999998E-4</v>
      </c>
      <c r="AA2524">
        <v>0.99878350000000005</v>
      </c>
      <c r="AB2524">
        <v>30</v>
      </c>
      <c r="AC2524">
        <v>-241.71469999999999</v>
      </c>
      <c r="AD2524">
        <v>8.0291299999999897</v>
      </c>
      <c r="AE2524">
        <v>12.6363</v>
      </c>
      <c r="AF2524">
        <v>11.9376910262061</v>
      </c>
      <c r="AG2524">
        <v>8.0291299999999897</v>
      </c>
      <c r="AH2524">
        <v>241.48383476660001</v>
      </c>
      <c r="AI2524">
        <v>88.097987045250505</v>
      </c>
      <c r="AJ2524">
        <v>87.169901823778005</v>
      </c>
      <c r="AK2524">
        <v>241.912004351121</v>
      </c>
      <c r="AL2524">
        <v>81.0402483992698</v>
      </c>
      <c r="AM2524">
        <v>95.187026700293302</v>
      </c>
      <c r="AN2524">
        <v>0.99999994895482103</v>
      </c>
    </row>
    <row r="2525" spans="1:40" x14ac:dyDescent="0.25">
      <c r="A2525" t="str">
        <f>"20190304154809776"</f>
        <v>20190304154809776</v>
      </c>
      <c r="B2525" t="str">
        <f>"1551685689768997"</f>
        <v>1551685689768997</v>
      </c>
      <c r="C2525" t="s">
        <v>40</v>
      </c>
      <c r="D2525">
        <v>4.1790330000000004</v>
      </c>
      <c r="E2525">
        <v>0.55095830000000001</v>
      </c>
      <c r="F2525" t="s">
        <v>63</v>
      </c>
      <c r="G2525">
        <v>-511.82319999999999</v>
      </c>
      <c r="H2525">
        <v>9.0667069999999992</v>
      </c>
      <c r="I2525">
        <v>298.05579999999998</v>
      </c>
      <c r="J2525">
        <v>-270.2731</v>
      </c>
      <c r="K2525">
        <v>1.110663</v>
      </c>
      <c r="L2525">
        <v>285.4742</v>
      </c>
      <c r="M2525">
        <v>-0.99993200000000004</v>
      </c>
      <c r="N2525">
        <v>-1.1336769999999999E-2</v>
      </c>
      <c r="O2525">
        <v>2.7811440000000002E-3</v>
      </c>
      <c r="P2525">
        <v>-0.98574709999999999</v>
      </c>
      <c r="Q2525">
        <v>0.144483</v>
      </c>
      <c r="R2525">
        <v>-8.6184839999999999E-2</v>
      </c>
      <c r="S2525">
        <v>-3.0427550000000001</v>
      </c>
      <c r="T2525">
        <v>0.1001533</v>
      </c>
      <c r="U2525">
        <v>0.1583862</v>
      </c>
      <c r="V2525">
        <v>-8.8951779999999994E-2</v>
      </c>
      <c r="W2525">
        <v>0.15563179999999999</v>
      </c>
      <c r="X2525">
        <v>0.98380199999999995</v>
      </c>
      <c r="Y2525">
        <v>4.9190739999999997E-2</v>
      </c>
      <c r="Z2525">
        <v>-4.0676800000000001E-4</v>
      </c>
      <c r="AA2525">
        <v>0.99878929999999999</v>
      </c>
      <c r="AB2525">
        <v>30</v>
      </c>
      <c r="AC2525">
        <v>-241.55009999999999</v>
      </c>
      <c r="AD2525">
        <v>7.9560440000000003</v>
      </c>
      <c r="AE2525">
        <v>12.5815999999999</v>
      </c>
      <c r="AF2525">
        <v>11.896850957658801</v>
      </c>
      <c r="AG2525">
        <v>7.9560440000000003</v>
      </c>
      <c r="AH2525">
        <v>241.32306208405299</v>
      </c>
      <c r="AI2525">
        <v>88.114020410067099</v>
      </c>
      <c r="AJ2525">
        <v>87.177692247824993</v>
      </c>
      <c r="AK2525">
        <v>241.747086833456</v>
      </c>
      <c r="AL2525">
        <v>81.046559823318205</v>
      </c>
      <c r="AM2525">
        <v>95.166426756610903</v>
      </c>
      <c r="AN2525">
        <v>1.0000000257702</v>
      </c>
    </row>
    <row r="2526" spans="1:40" x14ac:dyDescent="0.25">
      <c r="A2526" t="str">
        <f>"20190304154809789"</f>
        <v>20190304154809789</v>
      </c>
      <c r="B2526" t="str">
        <f>"1551685689779733"</f>
        <v>1551685689779733</v>
      </c>
      <c r="C2526" t="s">
        <v>40</v>
      </c>
      <c r="D2526">
        <v>4.1165539999999998</v>
      </c>
      <c r="E2526">
        <v>0.55073919999999998</v>
      </c>
      <c r="F2526" t="s">
        <v>63</v>
      </c>
      <c r="G2526">
        <v>-511.82310000000001</v>
      </c>
      <c r="H2526">
        <v>8.9269449999999999</v>
      </c>
      <c r="I2526">
        <v>298.0378</v>
      </c>
      <c r="J2526">
        <v>-270.44290000000001</v>
      </c>
      <c r="K2526">
        <v>1.1106579999999999</v>
      </c>
      <c r="L2526">
        <v>285.47460000000001</v>
      </c>
      <c r="M2526">
        <v>-0.99993209999999999</v>
      </c>
      <c r="N2526">
        <v>-1.13332E-2</v>
      </c>
      <c r="O2526">
        <v>2.7251380000000002E-3</v>
      </c>
      <c r="P2526">
        <v>-0.98578049999999995</v>
      </c>
      <c r="Q2526">
        <v>0.1444589</v>
      </c>
      <c r="R2526">
        <v>-8.5841929999999997E-2</v>
      </c>
      <c r="S2526">
        <v>-3.042786</v>
      </c>
      <c r="T2526">
        <v>9.8462099999999997E-2</v>
      </c>
      <c r="U2526">
        <v>0.15826419999999999</v>
      </c>
      <c r="V2526">
        <v>-8.8553419999999994E-2</v>
      </c>
      <c r="W2526">
        <v>0.15560489999999999</v>
      </c>
      <c r="X2526">
        <v>0.98384210000000005</v>
      </c>
      <c r="Y2526">
        <v>4.9206800000000002E-2</v>
      </c>
      <c r="Z2526">
        <v>-3.9736760000000002E-4</v>
      </c>
      <c r="AA2526">
        <v>0.99878849999999997</v>
      </c>
      <c r="AB2526">
        <v>30</v>
      </c>
      <c r="AC2526">
        <v>-241.3802</v>
      </c>
      <c r="AD2526">
        <v>7.8162869999999902</v>
      </c>
      <c r="AE2526">
        <v>12.563199999999901</v>
      </c>
      <c r="AF2526">
        <v>11.892879929946</v>
      </c>
      <c r="AG2526">
        <v>7.8162869999999902</v>
      </c>
      <c r="AH2526">
        <v>241.161350691656</v>
      </c>
      <c r="AI2526">
        <v>88.145886426222901</v>
      </c>
      <c r="AJ2526">
        <v>87.176743962775305</v>
      </c>
      <c r="AK2526">
        <v>241.580901569057</v>
      </c>
      <c r="AL2526">
        <v>81.048119272559006</v>
      </c>
      <c r="AM2526">
        <v>95.143205391564507</v>
      </c>
      <c r="AN2526">
        <v>0.99999993541505605</v>
      </c>
    </row>
    <row r="2527" spans="1:40" x14ac:dyDescent="0.25">
      <c r="A2527" t="str">
        <f>"20190304154809801"</f>
        <v>20190304154809801</v>
      </c>
      <c r="B2527" t="str">
        <f>"1551685689789493"</f>
        <v>1551685689789493</v>
      </c>
      <c r="C2527" t="s">
        <v>40</v>
      </c>
      <c r="D2527">
        <v>4.1129680000000004</v>
      </c>
      <c r="E2527">
        <v>0.55055430000000005</v>
      </c>
      <c r="F2527" t="s">
        <v>63</v>
      </c>
      <c r="G2527">
        <v>-511.82310000000001</v>
      </c>
      <c r="H2527">
        <v>8.8608469999999997</v>
      </c>
      <c r="I2527">
        <v>297.96929999999998</v>
      </c>
      <c r="J2527">
        <v>-270.59559999999999</v>
      </c>
      <c r="K2527">
        <v>1.1106549999999999</v>
      </c>
      <c r="L2527">
        <v>285.47489999999999</v>
      </c>
      <c r="M2527">
        <v>-0.9999323</v>
      </c>
      <c r="N2527">
        <v>-1.132998E-2</v>
      </c>
      <c r="O2527">
        <v>2.6749690000000001E-3</v>
      </c>
      <c r="P2527">
        <v>-0.98582429999999999</v>
      </c>
      <c r="Q2527">
        <v>0.14433360000000001</v>
      </c>
      <c r="R2527">
        <v>-8.5547949999999998E-2</v>
      </c>
      <c r="S2527">
        <v>-3.042694</v>
      </c>
      <c r="T2527">
        <v>9.7695229999999994E-2</v>
      </c>
      <c r="U2527">
        <v>0.15750120000000001</v>
      </c>
      <c r="V2527">
        <v>-8.8210399999999994E-2</v>
      </c>
      <c r="W2527">
        <v>0.155476799999999</v>
      </c>
      <c r="X2527">
        <v>0.98389320000000002</v>
      </c>
      <c r="Y2527">
        <v>4.900902E-2</v>
      </c>
      <c r="Z2527">
        <v>-3.9210390000000002E-4</v>
      </c>
      <c r="AA2527">
        <v>0.99879830000000003</v>
      </c>
      <c r="AB2527">
        <v>30</v>
      </c>
      <c r="AC2527">
        <v>-241.22749999999999</v>
      </c>
      <c r="AD2527">
        <v>7.7501920000000002</v>
      </c>
      <c r="AE2527">
        <v>12.494399999999899</v>
      </c>
      <c r="AF2527">
        <v>11.836852311383399</v>
      </c>
      <c r="AG2527">
        <v>7.7501920000000002</v>
      </c>
      <c r="AH2527">
        <v>241.011949937917</v>
      </c>
      <c r="AI2527">
        <v>88.160397046461995</v>
      </c>
      <c r="AJ2527">
        <v>87.188283936076402</v>
      </c>
      <c r="AK2527">
        <v>241.42687622043101</v>
      </c>
      <c r="AL2527">
        <v>81.055549597148897</v>
      </c>
      <c r="AM2527">
        <v>95.123124261895597</v>
      </c>
      <c r="AN2527">
        <v>0.99999996950631898</v>
      </c>
    </row>
    <row r="2528" spans="1:40" x14ac:dyDescent="0.25">
      <c r="A2528" t="str">
        <f>"20190304154809812"</f>
        <v>20190304154809812</v>
      </c>
      <c r="B2528" t="str">
        <f>"1551685689809012"</f>
        <v>1551685689809012</v>
      </c>
      <c r="C2528" t="s">
        <v>40</v>
      </c>
      <c r="D2528">
        <v>4.0665139999999997</v>
      </c>
      <c r="E2528">
        <v>0.55011919999999903</v>
      </c>
      <c r="F2528" t="s">
        <v>63</v>
      </c>
      <c r="G2528">
        <v>-511.82310000000001</v>
      </c>
      <c r="H2528">
        <v>8.7511100000000006</v>
      </c>
      <c r="I2528">
        <v>297.90640000000002</v>
      </c>
      <c r="J2528">
        <v>-270.75700000000001</v>
      </c>
      <c r="K2528">
        <v>1.1106860000000001</v>
      </c>
      <c r="L2528">
        <v>285.4753</v>
      </c>
      <c r="M2528">
        <v>-0.9999325</v>
      </c>
      <c r="N2528">
        <v>-1.1326610000000001E-2</v>
      </c>
      <c r="O2528">
        <v>2.6216410000000001E-3</v>
      </c>
      <c r="P2528">
        <v>-0.98555119999999896</v>
      </c>
      <c r="Q2528">
        <v>0.143306399999999</v>
      </c>
      <c r="R2528">
        <v>-9.0289640000000004E-2</v>
      </c>
      <c r="S2528">
        <v>-3.0426329999999999</v>
      </c>
      <c r="T2528">
        <v>9.637105E-2</v>
      </c>
      <c r="U2528">
        <v>0.1567993</v>
      </c>
      <c r="V2528">
        <v>-9.2898359999999999E-2</v>
      </c>
      <c r="W2528">
        <v>0.15444229999999901</v>
      </c>
      <c r="X2528">
        <v>0.98362459999999996</v>
      </c>
      <c r="Y2528">
        <v>4.883403E-2</v>
      </c>
      <c r="Z2528">
        <v>-3.8324410000000001E-4</v>
      </c>
      <c r="AA2528">
        <v>0.99880679999999999</v>
      </c>
      <c r="AB2528">
        <v>30</v>
      </c>
      <c r="AC2528">
        <v>-241.06610000000001</v>
      </c>
      <c r="AD2528">
        <v>7.6404240000000003</v>
      </c>
      <c r="AE2528">
        <v>12.431100000000001</v>
      </c>
      <c r="AF2528">
        <v>11.787218808954099</v>
      </c>
      <c r="AG2528">
        <v>7.6404240000000003</v>
      </c>
      <c r="AH2528">
        <v>240.85655762751799</v>
      </c>
      <c r="AI2528">
        <v>88.185249565967496</v>
      </c>
      <c r="AJ2528">
        <v>87.198251486043802</v>
      </c>
      <c r="AK2528">
        <v>241.265820120315</v>
      </c>
      <c r="AL2528">
        <v>81.115546552498103</v>
      </c>
      <c r="AM2528">
        <v>95.395292344999007</v>
      </c>
      <c r="AN2528">
        <v>0.99999994152256799</v>
      </c>
    </row>
    <row r="2529" spans="1:40" x14ac:dyDescent="0.25">
      <c r="A2529" t="str">
        <f>"20190304154809831"</f>
        <v>20190304154809831</v>
      </c>
      <c r="B2529" t="str">
        <f>"1551685689819749"</f>
        <v>1551685689819749</v>
      </c>
      <c r="C2529" t="s">
        <v>40</v>
      </c>
      <c r="D2529">
        <v>4.0953059999999999</v>
      </c>
      <c r="E2529">
        <v>0.54993130000000001</v>
      </c>
      <c r="F2529" t="s">
        <v>63</v>
      </c>
      <c r="G2529">
        <v>-510.95639999999997</v>
      </c>
      <c r="H2529">
        <v>8.4678240000000002</v>
      </c>
      <c r="I2529">
        <v>296.49540000000002</v>
      </c>
      <c r="J2529">
        <v>-271.00450000000001</v>
      </c>
      <c r="K2529">
        <v>1.110976</v>
      </c>
      <c r="L2529">
        <v>285.47519999999997</v>
      </c>
      <c r="M2529">
        <v>-0.99993290000000001</v>
      </c>
      <c r="N2529">
        <v>-1.1321660000000001E-2</v>
      </c>
      <c r="O2529">
        <v>2.5398339999999999E-3</v>
      </c>
      <c r="P2529">
        <v>-0.98574320000000004</v>
      </c>
      <c r="Q2529">
        <v>0.14249300000000001</v>
      </c>
      <c r="R2529">
        <v>-8.9478859999999993E-2</v>
      </c>
      <c r="S2529">
        <v>-3.0431819999999998</v>
      </c>
      <c r="T2529">
        <v>9.3211530000000001E-2</v>
      </c>
      <c r="U2529">
        <v>0.13961789999999999</v>
      </c>
      <c r="V2529">
        <v>-9.2007779999999997E-2</v>
      </c>
      <c r="W2529">
        <v>0.15362629999999999</v>
      </c>
      <c r="X2529">
        <v>0.98383609999999999</v>
      </c>
      <c r="Y2529">
        <v>4.3282710000000002E-2</v>
      </c>
      <c r="Z2529">
        <v>-3.1070840000000001E-4</v>
      </c>
      <c r="AA2529">
        <v>0.99906280000000003</v>
      </c>
      <c r="AB2529">
        <v>30</v>
      </c>
      <c r="AC2529">
        <v>-239.95189999999999</v>
      </c>
      <c r="AD2529">
        <v>7.3568479999999896</v>
      </c>
      <c r="AE2529">
        <v>11.020200000000001</v>
      </c>
      <c r="AF2529">
        <v>10.4009310659203</v>
      </c>
      <c r="AG2529">
        <v>7.3568479999999896</v>
      </c>
      <c r="AH2529">
        <v>239.75421883279699</v>
      </c>
      <c r="AI2529">
        <v>88.244083404325295</v>
      </c>
      <c r="AJ2529">
        <v>87.5159726583083</v>
      </c>
      <c r="AK2529">
        <v>240.092457248573</v>
      </c>
      <c r="AL2529">
        <v>81.162864898707198</v>
      </c>
      <c r="AM2529">
        <v>95.342728521013697</v>
      </c>
      <c r="AN2529">
        <v>0.99999997164771304</v>
      </c>
    </row>
    <row r="2530" spans="1:40" x14ac:dyDescent="0.25">
      <c r="A2530" t="str">
        <f>"20190304154809843"</f>
        <v>20190304154809843</v>
      </c>
      <c r="B2530" t="str">
        <f>"1551685689839270"</f>
        <v>1551685689839270</v>
      </c>
      <c r="C2530" t="s">
        <v>40</v>
      </c>
      <c r="D2530">
        <v>4.1262410000000003</v>
      </c>
      <c r="E2530">
        <v>0.55037329999999995</v>
      </c>
      <c r="F2530" t="s">
        <v>63</v>
      </c>
      <c r="G2530">
        <v>-510.95639999999997</v>
      </c>
      <c r="H2530">
        <v>8.3319639999999993</v>
      </c>
      <c r="I2530">
        <v>296.65289999999999</v>
      </c>
      <c r="J2530">
        <v>-271.15660000000003</v>
      </c>
      <c r="K2530">
        <v>1.1109290000000001</v>
      </c>
      <c r="L2530">
        <v>285.47550000000001</v>
      </c>
      <c r="M2530">
        <v>-0.99993290000000001</v>
      </c>
      <c r="N2530">
        <v>-1.131885E-2</v>
      </c>
      <c r="O2530">
        <v>2.489308E-3</v>
      </c>
      <c r="P2530">
        <v>-0.98511870000000001</v>
      </c>
      <c r="Q2530">
        <v>0.14397480000000001</v>
      </c>
      <c r="R2530">
        <v>-9.3876589999999996E-2</v>
      </c>
      <c r="S2530">
        <v>-3.0430299999999999</v>
      </c>
      <c r="T2530">
        <v>9.1576340000000006E-2</v>
      </c>
      <c r="U2530">
        <v>0.1417542</v>
      </c>
      <c r="V2530">
        <v>-9.6353910000000001E-2</v>
      </c>
      <c r="W2530">
        <v>0.1550976</v>
      </c>
      <c r="X2530">
        <v>0.98318899999999998</v>
      </c>
      <c r="Y2530">
        <v>4.4035589999999999E-2</v>
      </c>
      <c r="Z2530">
        <v>-3.0968869999999999E-4</v>
      </c>
      <c r="AA2530">
        <v>0.99902990000000003</v>
      </c>
      <c r="AB2530">
        <v>30</v>
      </c>
      <c r="AC2530">
        <v>-239.79979999999901</v>
      </c>
      <c r="AD2530">
        <v>7.2210349999999899</v>
      </c>
      <c r="AE2530">
        <v>11.177399999999899</v>
      </c>
      <c r="AF2530">
        <v>10.5708269770355</v>
      </c>
      <c r="AG2530">
        <v>7.2210349999999899</v>
      </c>
      <c r="AH2530">
        <v>239.61008043113901</v>
      </c>
      <c r="AI2530">
        <v>88.275498383384701</v>
      </c>
      <c r="AJ2530">
        <v>87.473932247580706</v>
      </c>
      <c r="AK2530">
        <v>239.951820942593</v>
      </c>
      <c r="AL2530">
        <v>81.077543005773194</v>
      </c>
      <c r="AM2530">
        <v>95.597193942435993</v>
      </c>
      <c r="AN2530">
        <v>0.99999997560952303</v>
      </c>
    </row>
    <row r="2531" spans="1:40" x14ac:dyDescent="0.25">
      <c r="A2531" t="str">
        <f>"20190304154809855"</f>
        <v>20190304154809855</v>
      </c>
      <c r="B2531" t="str">
        <f>"1551685689849029"</f>
        <v>1551685689849029</v>
      </c>
      <c r="C2531" t="s">
        <v>40</v>
      </c>
      <c r="D2531">
        <v>4.1082580000000002</v>
      </c>
      <c r="E2531">
        <v>0.55045059999999901</v>
      </c>
      <c r="F2531" t="s">
        <v>63</v>
      </c>
      <c r="G2531">
        <v>-510.95659999999998</v>
      </c>
      <c r="H2531">
        <v>8.9660149999999899</v>
      </c>
      <c r="I2531">
        <v>295.89949999999999</v>
      </c>
      <c r="J2531">
        <v>-271.33269999999999</v>
      </c>
      <c r="K2531">
        <v>1.110943</v>
      </c>
      <c r="L2531">
        <v>285.476</v>
      </c>
      <c r="M2531">
        <v>-0.99993310000000002</v>
      </c>
      <c r="N2531">
        <v>-1.131571E-2</v>
      </c>
      <c r="O2531">
        <v>2.4310949999999999E-3</v>
      </c>
      <c r="P2531">
        <v>-0.9853324</v>
      </c>
      <c r="Q2531">
        <v>0.14286090000000001</v>
      </c>
      <c r="R2531">
        <v>-9.3333719999999995E-2</v>
      </c>
      <c r="S2531">
        <v>-3.0433650000000001</v>
      </c>
      <c r="T2531">
        <v>9.9691989999999994E-2</v>
      </c>
      <c r="U2531">
        <v>0.13229369999999999</v>
      </c>
      <c r="V2531">
        <v>-9.57538E-2</v>
      </c>
      <c r="W2531">
        <v>0.15398339999999999</v>
      </c>
      <c r="X2531">
        <v>0.98342280000000004</v>
      </c>
      <c r="Y2531">
        <v>4.0987460000000003E-2</v>
      </c>
      <c r="Z2531">
        <v>-3.316975E-4</v>
      </c>
      <c r="AA2531">
        <v>0.99915960000000004</v>
      </c>
      <c r="AB2531">
        <v>30</v>
      </c>
      <c r="AC2531">
        <v>-239.62389999999999</v>
      </c>
      <c r="AD2531">
        <v>7.8550719999999901</v>
      </c>
      <c r="AE2531">
        <v>10.423499999999899</v>
      </c>
      <c r="AF2531">
        <v>9.8303399066801695</v>
      </c>
      <c r="AG2531">
        <v>7.8550719999999901</v>
      </c>
      <c r="AH2531">
        <v>239.391773379184</v>
      </c>
      <c r="AI2531">
        <v>88.122230855745698</v>
      </c>
      <c r="AJ2531">
        <v>87.648537724958103</v>
      </c>
      <c r="AK2531">
        <v>239.72225366126699</v>
      </c>
      <c r="AL2531">
        <v>81.142158806968595</v>
      </c>
      <c r="AM2531">
        <v>95.561238741469396</v>
      </c>
      <c r="AN2531">
        <v>1.0000000406249101</v>
      </c>
    </row>
    <row r="2532" spans="1:40" x14ac:dyDescent="0.25">
      <c r="A2532" t="str">
        <f>"20190304154809868"</f>
        <v>20190304154809868</v>
      </c>
      <c r="B2532" t="str">
        <f>"1551685689859765"</f>
        <v>1551685689859765</v>
      </c>
      <c r="C2532" t="s">
        <v>40</v>
      </c>
      <c r="D2532">
        <v>4.133839</v>
      </c>
      <c r="E2532">
        <v>0.55053079999999999</v>
      </c>
      <c r="F2532" t="s">
        <v>63</v>
      </c>
      <c r="G2532">
        <v>-510.95650000000001</v>
      </c>
      <c r="H2532">
        <v>8.6274519999999999</v>
      </c>
      <c r="I2532">
        <v>296.0693</v>
      </c>
      <c r="J2532">
        <v>-271.5052</v>
      </c>
      <c r="K2532">
        <v>1.1109690000000001</v>
      </c>
      <c r="L2532">
        <v>285.47629999999998</v>
      </c>
      <c r="M2532">
        <v>-0.99993319999999997</v>
      </c>
      <c r="N2532">
        <v>-1.1312829999999999E-2</v>
      </c>
      <c r="O2532">
        <v>2.3740110000000001E-3</v>
      </c>
      <c r="P2532">
        <v>-0.98522359999999998</v>
      </c>
      <c r="Q2532">
        <v>0.14328179999999999</v>
      </c>
      <c r="R2532">
        <v>-9.3834849999999997E-2</v>
      </c>
      <c r="S2532">
        <v>-3.0435789999999998</v>
      </c>
      <c r="T2532">
        <v>9.5471860000000006E-2</v>
      </c>
      <c r="U2532">
        <v>0.134552</v>
      </c>
      <c r="V2532">
        <v>-9.6199049999999994E-2</v>
      </c>
      <c r="W2532">
        <v>0.15439990000000001</v>
      </c>
      <c r="X2532">
        <v>0.98331400000000002</v>
      </c>
      <c r="Y2532">
        <v>4.1782439999999997E-2</v>
      </c>
      <c r="Z2532">
        <v>-3.1709339999999998E-4</v>
      </c>
      <c r="AA2532">
        <v>0.99912670000000003</v>
      </c>
      <c r="AB2532">
        <v>30</v>
      </c>
      <c r="AC2532">
        <v>-239.4513</v>
      </c>
      <c r="AD2532">
        <v>7.516483</v>
      </c>
      <c r="AE2532">
        <v>10.593</v>
      </c>
      <c r="AF2532">
        <v>10.0146250147325</v>
      </c>
      <c r="AG2532">
        <v>7.516483</v>
      </c>
      <c r="AH2532">
        <v>239.24049707315001</v>
      </c>
      <c r="AI2532">
        <v>88.202040672885204</v>
      </c>
      <c r="AJ2532">
        <v>87.6029938153209</v>
      </c>
      <c r="AK2532">
        <v>239.56795626853599</v>
      </c>
      <c r="AL2532">
        <v>81.118005950720004</v>
      </c>
      <c r="AM2532">
        <v>95.587549229931895</v>
      </c>
      <c r="AN2532">
        <v>1.0000000044684501</v>
      </c>
    </row>
    <row r="2533" spans="1:40" x14ac:dyDescent="0.25">
      <c r="A2533" t="str">
        <f>"20190304154809880"</f>
        <v>20190304154809880</v>
      </c>
      <c r="B2533" t="str">
        <f>"1551685689869525"</f>
        <v>1551685689869525</v>
      </c>
      <c r="C2533" t="s">
        <v>40</v>
      </c>
      <c r="D2533">
        <v>4.0785559999999998</v>
      </c>
      <c r="E2533">
        <v>0.55063799999999996</v>
      </c>
      <c r="F2533" t="s">
        <v>63</v>
      </c>
      <c r="G2533">
        <v>-510.95650000000001</v>
      </c>
      <c r="H2533">
        <v>8.652393</v>
      </c>
      <c r="I2533">
        <v>295.97739999999999</v>
      </c>
      <c r="J2533">
        <v>-271.6628</v>
      </c>
      <c r="K2533">
        <v>1.1109009999999999</v>
      </c>
      <c r="L2533">
        <v>285.47669999999999</v>
      </c>
      <c r="M2533">
        <v>-0.99993350000000003</v>
      </c>
      <c r="N2533">
        <v>-1.1310489999999999E-2</v>
      </c>
      <c r="O2533">
        <v>2.321811E-3</v>
      </c>
      <c r="P2533">
        <v>-0.98463480000000003</v>
      </c>
      <c r="Q2533">
        <v>0.14503650000000001</v>
      </c>
      <c r="R2533">
        <v>-9.7257109999999994E-2</v>
      </c>
      <c r="S2533">
        <v>-3.0437620000000001</v>
      </c>
      <c r="T2533">
        <v>9.5863100000000007E-2</v>
      </c>
      <c r="U2533">
        <v>0.13348389999999999</v>
      </c>
      <c r="V2533">
        <v>-9.9568329999999997E-2</v>
      </c>
      <c r="W2533">
        <v>0.15614520000000001</v>
      </c>
      <c r="X2533">
        <v>0.98270279999999999</v>
      </c>
      <c r="Y2533">
        <v>4.1481919999999999E-2</v>
      </c>
      <c r="Z2533">
        <v>-3.187005E-4</v>
      </c>
      <c r="AA2533">
        <v>0.99913920000000001</v>
      </c>
      <c r="AB2533">
        <v>30</v>
      </c>
      <c r="AC2533">
        <v>-239.2937</v>
      </c>
      <c r="AD2533">
        <v>7.5414919999999999</v>
      </c>
      <c r="AE2533">
        <v>10.500699999999901</v>
      </c>
      <c r="AF2533">
        <v>9.9351924807763599</v>
      </c>
      <c r="AG2533">
        <v>7.5414919999999999</v>
      </c>
      <c r="AH2533">
        <v>239.08043045474801</v>
      </c>
      <c r="AI2533">
        <v>88.1948326070207</v>
      </c>
      <c r="AJ2533">
        <v>87.620393849605904</v>
      </c>
      <c r="AK2533">
        <v>239.405585518892</v>
      </c>
      <c r="AL2533">
        <v>81.016779729249606</v>
      </c>
      <c r="AM2533">
        <v>95.785515841852003</v>
      </c>
      <c r="AN2533">
        <v>0.99999998447493399</v>
      </c>
    </row>
    <row r="2534" spans="1:40" x14ac:dyDescent="0.25">
      <c r="A2534" t="str">
        <f>"20190304154809892"</f>
        <v>20190304154809892</v>
      </c>
      <c r="B2534" t="str">
        <f>"1551685689889044"</f>
        <v>1551685689889044</v>
      </c>
      <c r="C2534" t="s">
        <v>40</v>
      </c>
      <c r="D2534">
        <v>4.1048939999999998</v>
      </c>
      <c r="E2534">
        <v>0.55081559999999996</v>
      </c>
      <c r="F2534" t="s">
        <v>48</v>
      </c>
      <c r="G2534">
        <v>-476.37110000000001</v>
      </c>
      <c r="H2534">
        <v>7.9308100000000001</v>
      </c>
      <c r="I2534">
        <v>293.8331</v>
      </c>
      <c r="J2534">
        <v>-271.8297</v>
      </c>
      <c r="K2534">
        <v>1.110908</v>
      </c>
      <c r="L2534">
        <v>285.47710000000001</v>
      </c>
      <c r="M2534">
        <v>-0.99993350000000003</v>
      </c>
      <c r="N2534">
        <v>-1.1308179999999999E-2</v>
      </c>
      <c r="O2534">
        <v>2.2666309999999999E-3</v>
      </c>
      <c r="P2534">
        <v>-0.98478730000000003</v>
      </c>
      <c r="Q2534">
        <v>0.14426</v>
      </c>
      <c r="R2534">
        <v>-9.6866869999999994E-2</v>
      </c>
      <c r="S2534">
        <v>-3.0441889999999998</v>
      </c>
      <c r="T2534">
        <v>0.10141790000000001</v>
      </c>
      <c r="U2534">
        <v>0.12426760000000001</v>
      </c>
      <c r="V2534">
        <v>-9.9124219999999999E-2</v>
      </c>
      <c r="W2534">
        <v>0.15536800000000001</v>
      </c>
      <c r="X2534">
        <v>0.98287089999999999</v>
      </c>
      <c r="Y2534">
        <v>3.8510460000000003E-2</v>
      </c>
      <c r="Z2534">
        <v>-3.2209639999999999E-4</v>
      </c>
      <c r="AA2534">
        <v>0.99925819999999999</v>
      </c>
      <c r="AB2534">
        <v>30</v>
      </c>
      <c r="AC2534">
        <v>-204.54140000000001</v>
      </c>
      <c r="AD2534">
        <v>6.8199019999999999</v>
      </c>
      <c r="AE2534">
        <v>8.3559999999999892</v>
      </c>
      <c r="AF2534">
        <v>7.8835793146391602</v>
      </c>
      <c r="AG2534">
        <v>6.8199019999999999</v>
      </c>
      <c r="AH2534">
        <v>204.33303387982301</v>
      </c>
      <c r="AI2534">
        <v>88.089802661000107</v>
      </c>
      <c r="AJ2534">
        <v>87.790509510900606</v>
      </c>
      <c r="AK2534">
        <v>204.59875517859999</v>
      </c>
      <c r="AL2534">
        <v>81.061860483411095</v>
      </c>
      <c r="AM2534">
        <v>95.758905798956803</v>
      </c>
      <c r="AN2534">
        <v>1.0000000162406999</v>
      </c>
    </row>
    <row r="2535" spans="1:40" x14ac:dyDescent="0.25">
      <c r="A2535" t="str">
        <f>"20190304154809910"</f>
        <v>20190304154809910</v>
      </c>
      <c r="B2535" t="str">
        <f>"1551685689899781"</f>
        <v>1551685689899781</v>
      </c>
      <c r="C2535" t="s">
        <v>40</v>
      </c>
      <c r="D2535">
        <v>4.0966149999999999</v>
      </c>
      <c r="E2535">
        <v>0.55093490000000001</v>
      </c>
      <c r="F2535" t="s">
        <v>63</v>
      </c>
      <c r="G2535">
        <v>-510.95650000000001</v>
      </c>
      <c r="H2535">
        <v>8.8319919999999996</v>
      </c>
      <c r="I2535">
        <v>295.41520000000003</v>
      </c>
      <c r="J2535">
        <v>-272.07440000000003</v>
      </c>
      <c r="K2535">
        <v>1.110852</v>
      </c>
      <c r="L2535">
        <v>285.47770000000003</v>
      </c>
      <c r="M2535">
        <v>-0.99993370000000004</v>
      </c>
      <c r="N2535">
        <v>-1.1305519999999999E-2</v>
      </c>
      <c r="O2535">
        <v>2.186117E-3</v>
      </c>
      <c r="P2535">
        <v>-0.98422639999999995</v>
      </c>
      <c r="Q2535">
        <v>0.14634169999999999</v>
      </c>
      <c r="R2535">
        <v>-9.9411349999999996E-2</v>
      </c>
      <c r="S2535">
        <v>-3.0444339999999999</v>
      </c>
      <c r="T2535">
        <v>9.8301650000000004E-2</v>
      </c>
      <c r="U2535">
        <v>0.1265259</v>
      </c>
      <c r="V2535">
        <v>-0.1015891</v>
      </c>
      <c r="W2535">
        <v>0.15744029999999901</v>
      </c>
      <c r="X2535">
        <v>0.98228930000000003</v>
      </c>
      <c r="Y2535">
        <v>3.9328229999999999E-2</v>
      </c>
      <c r="Z2535">
        <v>-3.1680690000000002E-4</v>
      </c>
      <c r="AA2535">
        <v>0.99922630000000001</v>
      </c>
      <c r="AB2535">
        <v>30</v>
      </c>
      <c r="AC2535">
        <v>-238.88210000000001</v>
      </c>
      <c r="AD2535">
        <v>7.7211399999999903</v>
      </c>
      <c r="AE2535">
        <v>9.9375</v>
      </c>
      <c r="AF2535">
        <v>9.40540970529951</v>
      </c>
      <c r="AG2535">
        <v>7.7211399999999903</v>
      </c>
      <c r="AH2535">
        <v>238.65436122471201</v>
      </c>
      <c r="AI2535">
        <v>88.148403041555895</v>
      </c>
      <c r="AJ2535">
        <v>87.743131350892796</v>
      </c>
      <c r="AK2535">
        <v>238.96439455743101</v>
      </c>
      <c r="AL2535">
        <v>80.941647103081706</v>
      </c>
      <c r="AM2535">
        <v>95.904580916272096</v>
      </c>
      <c r="AN2535">
        <v>1.0000000310986901</v>
      </c>
    </row>
    <row r="2536" spans="1:40" x14ac:dyDescent="0.25">
      <c r="A2536" t="str">
        <f>"20190304154809933"</f>
        <v>20190304154809933</v>
      </c>
      <c r="B2536" t="str">
        <f>"1551685689929060"</f>
        <v>1551685689929060</v>
      </c>
      <c r="C2536" t="s">
        <v>40</v>
      </c>
      <c r="D2536">
        <v>4.2623519999999999</v>
      </c>
      <c r="E2536">
        <v>0.55017490000000002</v>
      </c>
      <c r="F2536" t="s">
        <v>63</v>
      </c>
      <c r="G2536">
        <v>-510.95670000000001</v>
      </c>
      <c r="H2536">
        <v>9.3192140000000006</v>
      </c>
      <c r="I2536">
        <v>294.89010000000002</v>
      </c>
      <c r="J2536">
        <v>-272.36619999999999</v>
      </c>
      <c r="K2536">
        <v>1.110865</v>
      </c>
      <c r="L2536">
        <v>285.47820000000002</v>
      </c>
      <c r="M2536">
        <v>-0.99993410000000005</v>
      </c>
      <c r="N2536">
        <v>-1.130284E-2</v>
      </c>
      <c r="O2536">
        <v>2.0893399999999999E-3</v>
      </c>
      <c r="P2536">
        <v>-0.98424100000000003</v>
      </c>
      <c r="Q2536">
        <v>0.14617459999999999</v>
      </c>
      <c r="R2536">
        <v>-9.9512649999999994E-2</v>
      </c>
      <c r="S2536">
        <v>-3.0446469999999999</v>
      </c>
      <c r="T2536">
        <v>0.104619699999999</v>
      </c>
      <c r="U2536">
        <v>0.1199646</v>
      </c>
      <c r="V2536">
        <v>-0.10159509999999999</v>
      </c>
      <c r="W2536">
        <v>0.15727070000000001</v>
      </c>
      <c r="X2536">
        <v>0.98231579999999996</v>
      </c>
      <c r="Y2536">
        <v>3.7270770000000002E-2</v>
      </c>
      <c r="Z2536">
        <v>-3.3380479999999999E-4</v>
      </c>
      <c r="AA2536">
        <v>0.99930509999999995</v>
      </c>
      <c r="AB2536">
        <v>30</v>
      </c>
      <c r="AC2536">
        <v>-238.59049999999999</v>
      </c>
      <c r="AD2536">
        <v>8.2083490000000001</v>
      </c>
      <c r="AE2536">
        <v>9.4118999999999993</v>
      </c>
      <c r="AF2536">
        <v>8.90282998766933</v>
      </c>
      <c r="AG2536">
        <v>8.2083490000000001</v>
      </c>
      <c r="AH2536">
        <v>238.327998099989</v>
      </c>
      <c r="AI2536">
        <v>88.028806831403699</v>
      </c>
      <c r="AJ2536">
        <v>87.860689803353594</v>
      </c>
      <c r="AK2536">
        <v>238.635437547409</v>
      </c>
      <c r="AL2536">
        <v>80.951486624715599</v>
      </c>
      <c r="AM2536">
        <v>95.904769013274105</v>
      </c>
      <c r="AN2536">
        <v>0.99999998417606895</v>
      </c>
    </row>
    <row r="2537" spans="1:40" x14ac:dyDescent="0.25">
      <c r="A2537" t="str">
        <f>"20190304154809947"</f>
        <v>20190304154809947</v>
      </c>
      <c r="B2537" t="str">
        <f>"1551685689939797"</f>
        <v>1551685689939797</v>
      </c>
      <c r="C2537" t="s">
        <v>40</v>
      </c>
      <c r="D2537">
        <v>4.2546049999999997</v>
      </c>
      <c r="E2537">
        <v>0.55000869999999902</v>
      </c>
      <c r="F2537" t="s">
        <v>63</v>
      </c>
      <c r="G2537">
        <v>-510.95650000000001</v>
      </c>
      <c r="H2537">
        <v>8.7850269999999995</v>
      </c>
      <c r="I2537">
        <v>294.35919999999999</v>
      </c>
      <c r="J2537">
        <v>-272.57150000000001</v>
      </c>
      <c r="K2537">
        <v>1.1108370000000001</v>
      </c>
      <c r="L2537">
        <v>285.4787</v>
      </c>
      <c r="M2537">
        <v>-0.9999342</v>
      </c>
      <c r="N2537">
        <v>-1.130137E-2</v>
      </c>
      <c r="O2537">
        <v>2.0214600000000001E-3</v>
      </c>
      <c r="P2537">
        <v>-0.98379700000000003</v>
      </c>
      <c r="Q2537">
        <v>0.1471558</v>
      </c>
      <c r="R2537">
        <v>-0.1024171</v>
      </c>
      <c r="S2537">
        <v>-3.0449830000000002</v>
      </c>
      <c r="T2537">
        <v>9.7941639999999996E-2</v>
      </c>
      <c r="U2537">
        <v>0.11334230000000001</v>
      </c>
      <c r="V2537">
        <v>-0.10443180000000001</v>
      </c>
      <c r="W2537">
        <v>0.158245</v>
      </c>
      <c r="X2537">
        <v>0.98186180000000001</v>
      </c>
      <c r="Y2537">
        <v>3.5166749999999997E-2</v>
      </c>
      <c r="Z2537">
        <v>-2.7859089999999998E-4</v>
      </c>
      <c r="AA2537">
        <v>0.99938139999999998</v>
      </c>
      <c r="AB2537">
        <v>30</v>
      </c>
      <c r="AC2537">
        <v>-238.38499999999999</v>
      </c>
      <c r="AD2537">
        <v>7.6741900000000003</v>
      </c>
      <c r="AE2537">
        <v>8.8804999999999801</v>
      </c>
      <c r="AF2537">
        <v>8.3898825650156699</v>
      </c>
      <c r="AG2537">
        <v>7.6741900000000003</v>
      </c>
      <c r="AH2537">
        <v>238.15599423059001</v>
      </c>
      <c r="AI2537">
        <v>88.155518610922201</v>
      </c>
      <c r="AJ2537">
        <v>87.982389014623493</v>
      </c>
      <c r="AK2537">
        <v>238.42726544917599</v>
      </c>
      <c r="AL2537">
        <v>80.894955940753405</v>
      </c>
      <c r="AM2537">
        <v>96.071211040640904</v>
      </c>
      <c r="AN2537">
        <v>1.00000003758773</v>
      </c>
    </row>
    <row r="2538" spans="1:40" x14ac:dyDescent="0.25">
      <c r="A2538" t="str">
        <f>"20190304154809959"</f>
        <v>20190304154809959</v>
      </c>
      <c r="B2538" t="str">
        <f>"1551685689949558"</f>
        <v>1551685689949558</v>
      </c>
      <c r="C2538" t="s">
        <v>40</v>
      </c>
      <c r="D2538">
        <v>4.2575149999999997</v>
      </c>
      <c r="E2538">
        <v>0.54981869999999999</v>
      </c>
      <c r="F2538" t="s">
        <v>63</v>
      </c>
      <c r="G2538">
        <v>-514.01699999999903</v>
      </c>
      <c r="H2538">
        <v>9.0539090000000009</v>
      </c>
      <c r="I2538">
        <v>293.69319999999999</v>
      </c>
      <c r="J2538">
        <v>-272.73250000000002</v>
      </c>
      <c r="K2538">
        <v>1.1108359999999999</v>
      </c>
      <c r="L2538">
        <v>285.47899999999998</v>
      </c>
      <c r="M2538">
        <v>-0.99993430000000005</v>
      </c>
      <c r="N2538">
        <v>-1.130044E-2</v>
      </c>
      <c r="O2538">
        <v>1.96824E-3</v>
      </c>
      <c r="P2538">
        <v>-0.98387930000000001</v>
      </c>
      <c r="Q2538">
        <v>0.14680989999999999</v>
      </c>
      <c r="R2538">
        <v>-0.10212</v>
      </c>
      <c r="S2538">
        <v>-3.045258</v>
      </c>
      <c r="T2538">
        <v>0.1001838</v>
      </c>
      <c r="U2538">
        <v>0.103607199999999</v>
      </c>
      <c r="V2538">
        <v>-0.1040822</v>
      </c>
      <c r="W2538">
        <v>0.1578994</v>
      </c>
      <c r="X2538">
        <v>0.98195449999999995</v>
      </c>
      <c r="Y2538">
        <v>3.2026069999999997E-2</v>
      </c>
      <c r="Z2538">
        <v>-2.585194E-4</v>
      </c>
      <c r="AA2538">
        <v>0.99948700000000001</v>
      </c>
      <c r="AB2538">
        <v>30</v>
      </c>
      <c r="AC2538">
        <v>-241.28449999999901</v>
      </c>
      <c r="AD2538">
        <v>7.9430729999999903</v>
      </c>
      <c r="AE2538">
        <v>8.2141999999999395</v>
      </c>
      <c r="AF2538">
        <v>7.7308795669458297</v>
      </c>
      <c r="AG2538">
        <v>7.9430729999999903</v>
      </c>
      <c r="AH2538">
        <v>241.03928372144</v>
      </c>
      <c r="AI2538">
        <v>88.113559429157405</v>
      </c>
      <c r="AJ2538">
        <v>88.162975869315602</v>
      </c>
      <c r="AK2538">
        <v>241.29400159246899</v>
      </c>
      <c r="AL2538">
        <v>80.915008978580303</v>
      </c>
      <c r="AM2538">
        <v>96.050470852625693</v>
      </c>
      <c r="AN2538">
        <v>0.99999998247372401</v>
      </c>
    </row>
    <row r="2539" spans="1:40" x14ac:dyDescent="0.25">
      <c r="A2539" t="str">
        <f>"20190304154809977"</f>
        <v>20190304154809977</v>
      </c>
      <c r="B2539" t="str">
        <f>"1551685689969077"</f>
        <v>1551685689969077</v>
      </c>
      <c r="C2539" t="s">
        <v>40</v>
      </c>
      <c r="D2539">
        <v>4.1690480000000001</v>
      </c>
      <c r="E2539">
        <v>0.5498286</v>
      </c>
      <c r="F2539" t="s">
        <v>63</v>
      </c>
      <c r="G2539">
        <v>-540.85649999999998</v>
      </c>
      <c r="H2539">
        <v>9.6846870000000003</v>
      </c>
      <c r="I2539">
        <v>294.55</v>
      </c>
      <c r="J2539">
        <v>-272.9735</v>
      </c>
      <c r="K2539">
        <v>1.11083</v>
      </c>
      <c r="L2539">
        <v>285.4794</v>
      </c>
      <c r="M2539">
        <v>-0.99993449999999995</v>
      </c>
      <c r="N2539">
        <v>-1.129933E-2</v>
      </c>
      <c r="O2539">
        <v>1.889274E-3</v>
      </c>
      <c r="P2539">
        <v>-0.98349679999999995</v>
      </c>
      <c r="Q2539">
        <v>0.14728929999999901</v>
      </c>
      <c r="R2539">
        <v>-0.1050729</v>
      </c>
      <c r="S2539">
        <v>-3.0453190000000001</v>
      </c>
      <c r="T2539">
        <v>9.7381590000000004E-2</v>
      </c>
      <c r="U2539">
        <v>0.1030273</v>
      </c>
      <c r="V2539">
        <v>-0.10695689999999999</v>
      </c>
      <c r="W2539">
        <v>0.15837300000000001</v>
      </c>
      <c r="X2539">
        <v>0.98156920000000003</v>
      </c>
      <c r="Y2539">
        <v>3.1914909999999998E-2</v>
      </c>
      <c r="Z2539">
        <v>-2.4789149999999998E-4</v>
      </c>
      <c r="AA2539">
        <v>0.99949060000000001</v>
      </c>
      <c r="AB2539">
        <v>30</v>
      </c>
      <c r="AC2539">
        <v>-267.88299999999998</v>
      </c>
      <c r="AD2539">
        <v>8.5738570000000003</v>
      </c>
      <c r="AE2539">
        <v>9.0706000000000095</v>
      </c>
      <c r="AF2539">
        <v>8.5556929088642892</v>
      </c>
      <c r="AG2539">
        <v>8.5738570000000003</v>
      </c>
      <c r="AH2539">
        <v>267.62582253689499</v>
      </c>
      <c r="AI2539">
        <v>88.165994312663599</v>
      </c>
      <c r="AJ2539">
        <v>88.1689427637818</v>
      </c>
      <c r="AK2539">
        <v>267.899779383181</v>
      </c>
      <c r="AL2539">
        <v>80.887527520402301</v>
      </c>
      <c r="AM2539">
        <v>96.218711988353107</v>
      </c>
      <c r="AN2539">
        <v>0.99999993998762304</v>
      </c>
    </row>
    <row r="2540" spans="1:40" x14ac:dyDescent="0.25">
      <c r="A2540" t="str">
        <f>"20190304154809989"</f>
        <v>20190304154809989</v>
      </c>
      <c r="B2540" t="str">
        <f>"1551685689979813"</f>
        <v>1551685689979813</v>
      </c>
      <c r="C2540" t="s">
        <v>40</v>
      </c>
      <c r="D2540">
        <v>4.1294050000000002</v>
      </c>
      <c r="E2540">
        <v>0.5496588</v>
      </c>
      <c r="F2540" t="s">
        <v>63</v>
      </c>
      <c r="G2540">
        <v>-550.06020000000001</v>
      </c>
      <c r="H2540">
        <v>9.9451730000000005</v>
      </c>
      <c r="I2540">
        <v>294.08280000000002</v>
      </c>
      <c r="J2540">
        <v>-273.1456</v>
      </c>
      <c r="K2540">
        <v>1.1108290000000001</v>
      </c>
      <c r="L2540">
        <v>285.47969999999998</v>
      </c>
      <c r="M2540">
        <v>-0.99993460000000001</v>
      </c>
      <c r="N2540">
        <v>-1.129873E-2</v>
      </c>
      <c r="O2540">
        <v>1.8338510000000001E-3</v>
      </c>
      <c r="P2540">
        <v>-0.98361980000000004</v>
      </c>
      <c r="Q2540">
        <v>0.1467492</v>
      </c>
      <c r="R2540">
        <v>-0.104675</v>
      </c>
      <c r="S2540">
        <v>-3.0458980000000002</v>
      </c>
      <c r="T2540">
        <v>9.7113130000000006E-2</v>
      </c>
      <c r="U2540">
        <v>9.4573969999999993E-2</v>
      </c>
      <c r="V2540">
        <v>-0.10650469999999999</v>
      </c>
      <c r="W2540">
        <v>0.1578339</v>
      </c>
      <c r="X2540">
        <v>0.98170519999999994</v>
      </c>
      <c r="Y2540">
        <v>2.9193670000000001E-2</v>
      </c>
      <c r="Z2540">
        <v>-2.2101790000000001E-4</v>
      </c>
      <c r="AA2540">
        <v>0.99957379999999996</v>
      </c>
      <c r="AB2540">
        <v>30</v>
      </c>
      <c r="AC2540">
        <v>-276.91460000000001</v>
      </c>
      <c r="AD2540">
        <v>8.8343439999999909</v>
      </c>
      <c r="AE2540">
        <v>8.6031000000000404</v>
      </c>
      <c r="AF2540">
        <v>8.0870101392190499</v>
      </c>
      <c r="AG2540">
        <v>8.8343439999999909</v>
      </c>
      <c r="AH2540">
        <v>276.648614258799</v>
      </c>
      <c r="AI2540">
        <v>88.171750213701998</v>
      </c>
      <c r="AJ2540">
        <v>88.325602900063302</v>
      </c>
      <c r="AK2540">
        <v>276.90774842574501</v>
      </c>
      <c r="AL2540">
        <v>80.918809169750205</v>
      </c>
      <c r="AM2540">
        <v>96.191773552778798</v>
      </c>
      <c r="AN2540">
        <v>0.99999994540916803</v>
      </c>
    </row>
    <row r="2541" spans="1:40" x14ac:dyDescent="0.25">
      <c r="A2541" t="str">
        <f>"20190304154810002"</f>
        <v>20190304154810002</v>
      </c>
      <c r="B2541" t="str">
        <f>"1551685689999333"</f>
        <v>1551685689999333</v>
      </c>
      <c r="C2541" t="s">
        <v>40</v>
      </c>
      <c r="D2541">
        <v>4.2864690000000003</v>
      </c>
      <c r="E2541">
        <v>0.54959399999999903</v>
      </c>
      <c r="F2541" t="s">
        <v>63</v>
      </c>
      <c r="G2541">
        <v>-550.05999999999995</v>
      </c>
      <c r="H2541">
        <v>9.5670839999999995</v>
      </c>
      <c r="I2541">
        <v>294.07440000000003</v>
      </c>
      <c r="J2541">
        <v>-273.30770000000001</v>
      </c>
      <c r="K2541">
        <v>1.110832</v>
      </c>
      <c r="L2541">
        <v>285.47989999999999</v>
      </c>
      <c r="M2541">
        <v>-0.99993469999999995</v>
      </c>
      <c r="N2541">
        <v>-1.129839E-2</v>
      </c>
      <c r="O2541">
        <v>1.7824869999999999E-3</v>
      </c>
      <c r="P2541">
        <v>-0.9836184</v>
      </c>
      <c r="Q2541">
        <v>0.14651529999999999</v>
      </c>
      <c r="R2541">
        <v>-0.105015899999999</v>
      </c>
      <c r="S2541">
        <v>-3.0461119999999999</v>
      </c>
      <c r="T2541">
        <v>9.3021270000000003E-2</v>
      </c>
      <c r="U2541">
        <v>9.4543459999999996E-2</v>
      </c>
      <c r="V2541">
        <v>-0.1067948</v>
      </c>
      <c r="W2541">
        <v>0.15759989999999999</v>
      </c>
      <c r="X2541">
        <v>0.98171129999999995</v>
      </c>
      <c r="Y2541">
        <v>2.9233680000000001E-2</v>
      </c>
      <c r="Z2541">
        <v>-2.064019E-4</v>
      </c>
      <c r="AA2541">
        <v>0.99957260000000003</v>
      </c>
      <c r="AB2541">
        <v>30</v>
      </c>
      <c r="AC2541">
        <v>-276.75229999999902</v>
      </c>
      <c r="AD2541">
        <v>8.4562519999999992</v>
      </c>
      <c r="AE2541">
        <v>8.5945000000000302</v>
      </c>
      <c r="AF2541">
        <v>8.0935984157689198</v>
      </c>
      <c r="AG2541">
        <v>8.4562519999999992</v>
      </c>
      <c r="AH2541">
        <v>276.509273079325</v>
      </c>
      <c r="AI2541">
        <v>88.249066468695304</v>
      </c>
      <c r="AJ2541">
        <v>88.323395606571495</v>
      </c>
      <c r="AK2541">
        <v>276.75691975461001</v>
      </c>
      <c r="AL2541">
        <v>80.932386508366406</v>
      </c>
      <c r="AM2541">
        <v>96.208469043371906</v>
      </c>
      <c r="AN2541">
        <v>0.99999996716736905</v>
      </c>
    </row>
    <row r="2542" spans="1:40" x14ac:dyDescent="0.25">
      <c r="A2542" t="str">
        <f>"20190304154810013"</f>
        <v>20190304154810013</v>
      </c>
      <c r="B2542" t="str">
        <f>"1551685690009094"</f>
        <v>1551685690009094</v>
      </c>
      <c r="C2542" t="s">
        <v>40</v>
      </c>
      <c r="D2542">
        <v>3.5330409999999999</v>
      </c>
      <c r="E2542">
        <v>0.54959399999999903</v>
      </c>
      <c r="F2542" t="s">
        <v>63</v>
      </c>
      <c r="G2542">
        <v>-550.05989999999997</v>
      </c>
      <c r="H2542">
        <v>9.3478569999999994</v>
      </c>
      <c r="I2542">
        <v>293.91640000000001</v>
      </c>
      <c r="J2542">
        <v>-273.46359999999999</v>
      </c>
      <c r="K2542">
        <v>1.110838</v>
      </c>
      <c r="L2542">
        <v>285.48009999999999</v>
      </c>
      <c r="M2542">
        <v>-0.99993480000000001</v>
      </c>
      <c r="N2542">
        <v>-1.129814E-2</v>
      </c>
      <c r="O2542">
        <v>1.733868E-3</v>
      </c>
      <c r="P2542">
        <v>-0.98339690000000002</v>
      </c>
      <c r="Q2542">
        <v>0.1464213</v>
      </c>
      <c r="R2542">
        <v>-0.1071988</v>
      </c>
      <c r="S2542">
        <v>-3.0463870000000002</v>
      </c>
      <c r="T2542">
        <v>9.0670940000000005E-2</v>
      </c>
      <c r="U2542">
        <v>9.2864989999999994E-2</v>
      </c>
      <c r="V2542">
        <v>-0.108929</v>
      </c>
      <c r="W2542">
        <v>0.1575029</v>
      </c>
      <c r="X2542">
        <v>0.98149240000000004</v>
      </c>
      <c r="Y2542">
        <v>2.8729859999999999E-2</v>
      </c>
      <c r="Z2542">
        <v>-1.9383209999999999E-4</v>
      </c>
      <c r="AA2542">
        <v>0.99958720000000001</v>
      </c>
      <c r="AB2542">
        <v>30</v>
      </c>
      <c r="AC2542">
        <v>-276.59629999999999</v>
      </c>
      <c r="AD2542">
        <v>8.2370190000000001</v>
      </c>
      <c r="AE2542">
        <v>8.4363000000000099</v>
      </c>
      <c r="AF2542">
        <v>7.9496317605613704</v>
      </c>
      <c r="AG2542">
        <v>8.2370190000000001</v>
      </c>
      <c r="AH2542">
        <v>276.36564702361102</v>
      </c>
      <c r="AI2542">
        <v>88.293522360834203</v>
      </c>
      <c r="AJ2542">
        <v>88.352346641808595</v>
      </c>
      <c r="AK2542">
        <v>276.602631914293</v>
      </c>
      <c r="AL2542">
        <v>80.938014887877401</v>
      </c>
      <c r="AM2542">
        <v>96.3329426035978</v>
      </c>
      <c r="AN2542">
        <v>1.00000001090358</v>
      </c>
    </row>
    <row r="2543" spans="1:40" x14ac:dyDescent="0.25">
      <c r="A2543" t="str">
        <f>"20190304154810066"</f>
        <v>20190304154810066</v>
      </c>
      <c r="B2543" t="str">
        <f>"1551685690059845"</f>
        <v>1551685690059845</v>
      </c>
      <c r="C2543" t="s">
        <v>40</v>
      </c>
      <c r="D2543">
        <v>3.1138430000000001</v>
      </c>
      <c r="E2543">
        <v>0.59735369999999999</v>
      </c>
      <c r="F2543" t="s">
        <v>42</v>
      </c>
      <c r="G2543">
        <v>0</v>
      </c>
      <c r="H2543">
        <v>0</v>
      </c>
      <c r="I2543">
        <v>0</v>
      </c>
      <c r="J2543">
        <v>-274.17680000000001</v>
      </c>
      <c r="K2543">
        <v>1.110833</v>
      </c>
      <c r="L2543">
        <v>285.48110000000003</v>
      </c>
      <c r="M2543">
        <v>-0.99993500000000002</v>
      </c>
      <c r="N2543">
        <v>-1.129869E-2</v>
      </c>
      <c r="O2543">
        <v>1.5399980000000001E-3</v>
      </c>
      <c r="P2543">
        <v>-0.98346279999999997</v>
      </c>
      <c r="Q2543">
        <v>0.1445332</v>
      </c>
      <c r="R2543">
        <v>-0.109139</v>
      </c>
      <c r="S2543">
        <v>-3.0465390000000001</v>
      </c>
      <c r="T2543">
        <v>9.0698360000000006E-2</v>
      </c>
      <c r="U2543">
        <v>8.6303710000000006E-2</v>
      </c>
      <c r="V2543">
        <v>-0.1106729</v>
      </c>
      <c r="W2543">
        <v>0.15562000000000001</v>
      </c>
      <c r="X2543">
        <v>0.98159770000000002</v>
      </c>
      <c r="Y2543">
        <v>2.677152E-2</v>
      </c>
      <c r="Z2543">
        <v>-1.838217E-4</v>
      </c>
      <c r="AA2543">
        <v>0.99964149999999996</v>
      </c>
      <c r="AB2543">
        <v>30</v>
      </c>
      <c r="AC2543">
        <v>-3.0465390000000001</v>
      </c>
      <c r="AD2543">
        <v>9.0698360000000006E-2</v>
      </c>
      <c r="AE2543">
        <v>8.6303710000000006E-2</v>
      </c>
      <c r="AF2543">
        <v>8.1539433046490195E-2</v>
      </c>
      <c r="AG2543">
        <v>9.0698360000000006E-2</v>
      </c>
      <c r="AH2543">
        <v>3.04397256463744</v>
      </c>
      <c r="AI2543">
        <v>88.293928639081003</v>
      </c>
      <c r="AJ2543">
        <v>88.465574730944198</v>
      </c>
      <c r="AK2543">
        <v>3.04641491690046</v>
      </c>
      <c r="AL2543">
        <v>81.0472445607856</v>
      </c>
      <c r="AM2543">
        <v>96.432802114028206</v>
      </c>
      <c r="AN2543">
        <v>1.00000005991984</v>
      </c>
    </row>
    <row r="2544" spans="1:40" x14ac:dyDescent="0.25">
      <c r="A2544" t="str">
        <f>"20190304154810078"</f>
        <v>20190304154810078</v>
      </c>
      <c r="B2544" t="str">
        <f>"1551685690069606"</f>
        <v>1551685690069606</v>
      </c>
      <c r="C2544" t="s">
        <v>40</v>
      </c>
      <c r="D2544">
        <v>3.8350379999999999</v>
      </c>
      <c r="E2544">
        <v>0.58333119999999905</v>
      </c>
      <c r="F2544" t="s">
        <v>41</v>
      </c>
      <c r="G2544">
        <v>-274.95269999999999</v>
      </c>
      <c r="H2544">
        <v>1.0015969999999901</v>
      </c>
      <c r="I2544">
        <v>285.59899999999999</v>
      </c>
      <c r="J2544">
        <v>-274.3408</v>
      </c>
      <c r="K2544">
        <v>1.110827</v>
      </c>
      <c r="L2544">
        <v>285.48129999999998</v>
      </c>
      <c r="M2544">
        <v>-0.99993520000000002</v>
      </c>
      <c r="N2544">
        <v>-1.1299129999999999E-2</v>
      </c>
      <c r="O2544">
        <v>1.504369E-3</v>
      </c>
      <c r="P2544">
        <v>-0.98329619999999995</v>
      </c>
      <c r="Q2544">
        <v>0.14425499999999999</v>
      </c>
      <c r="R2544">
        <v>-0.1109913</v>
      </c>
      <c r="S2544">
        <v>-3.1694339999999999</v>
      </c>
      <c r="T2544">
        <v>-0.44617810000000002</v>
      </c>
      <c r="U2544">
        <v>0.48132320000000001</v>
      </c>
      <c r="V2544">
        <v>-0.11248759999999999</v>
      </c>
      <c r="W2544">
        <v>0.1553416</v>
      </c>
      <c r="X2544">
        <v>0.98143539999999996</v>
      </c>
      <c r="Y2544">
        <v>0.14713219999999999</v>
      </c>
      <c r="Z2544">
        <v>1.0895180000000001E-2</v>
      </c>
      <c r="AA2544">
        <v>0.98905679999999996</v>
      </c>
      <c r="AB2544">
        <v>30</v>
      </c>
      <c r="AC2544">
        <v>-0.61189999999999101</v>
      </c>
      <c r="AD2544">
        <v>-0.10922999999999999</v>
      </c>
      <c r="AE2544">
        <v>0.117700000000013</v>
      </c>
      <c r="AF2544">
        <v>0.11329778814027899</v>
      </c>
      <c r="AG2544">
        <v>-0.10922999999999999</v>
      </c>
      <c r="AH2544">
        <v>0.59382878127813399</v>
      </c>
      <c r="AI2544">
        <v>100.241859380503</v>
      </c>
      <c r="AJ2544">
        <v>79.198241421124294</v>
      </c>
      <c r="AK2544">
        <v>0.61432906749701599</v>
      </c>
      <c r="AL2544">
        <v>81.063391163404503</v>
      </c>
      <c r="AM2544">
        <v>96.538446486464494</v>
      </c>
      <c r="AN2544">
        <v>0.99999995860873903</v>
      </c>
    </row>
    <row r="2545" spans="1:40" x14ac:dyDescent="0.25">
      <c r="A2545" t="str">
        <f>"20190304154810099"</f>
        <v>20190304154810099</v>
      </c>
      <c r="B2545" t="str">
        <f>"1551685690089125"</f>
        <v>1551685690089125</v>
      </c>
      <c r="C2545" t="s">
        <v>40</v>
      </c>
      <c r="D2545">
        <v>4.0650680000000001</v>
      </c>
      <c r="E2545">
        <v>0.57340279999999999</v>
      </c>
      <c r="F2545" t="s">
        <v>41</v>
      </c>
      <c r="G2545">
        <v>-275.22059999999999</v>
      </c>
      <c r="H2545">
        <v>0.99684479999999998</v>
      </c>
      <c r="I2545">
        <v>285.5831</v>
      </c>
      <c r="J2545">
        <v>-274.6191</v>
      </c>
      <c r="K2545">
        <v>1.1108129999999901</v>
      </c>
      <c r="L2545">
        <v>285.48169999999999</v>
      </c>
      <c r="M2545">
        <v>-0.99993520000000002</v>
      </c>
      <c r="N2545">
        <v>-1.130009E-2</v>
      </c>
      <c r="O2545">
        <v>1.4533090000000001E-3</v>
      </c>
      <c r="P2545">
        <v>-0.98344989999999999</v>
      </c>
      <c r="Q2545">
        <v>0.1434124</v>
      </c>
      <c r="R2545">
        <v>-0.11072269999999899</v>
      </c>
      <c r="S2545">
        <v>-3.1518860000000002</v>
      </c>
      <c r="T2545">
        <v>-0.40855770000000002</v>
      </c>
      <c r="U2545">
        <v>0.36291499999999999</v>
      </c>
      <c r="V2545">
        <v>-0.1121651</v>
      </c>
      <c r="W2545">
        <v>0.154505</v>
      </c>
      <c r="X2545">
        <v>0.98160440000000004</v>
      </c>
      <c r="Y2545">
        <v>0.111946</v>
      </c>
      <c r="Z2545">
        <v>7.6684429999999996E-3</v>
      </c>
      <c r="AA2545">
        <v>0.99368469999999998</v>
      </c>
      <c r="AB2545">
        <v>30</v>
      </c>
      <c r="AC2545">
        <v>-0.60149999999998705</v>
      </c>
      <c r="AD2545">
        <v>-0.11396819999999901</v>
      </c>
      <c r="AE2545">
        <v>0.10140000000001199</v>
      </c>
      <c r="AF2545">
        <v>9.7134878340424002E-2</v>
      </c>
      <c r="AG2545">
        <v>-0.11396819999999901</v>
      </c>
      <c r="AH2545">
        <v>0.58135282066729199</v>
      </c>
      <c r="AI2545">
        <v>100.943614347454</v>
      </c>
      <c r="AJ2545">
        <v>80.514402328412302</v>
      </c>
      <c r="AK2545">
        <v>0.600329107489605</v>
      </c>
      <c r="AL2545">
        <v>81.111910999014796</v>
      </c>
      <c r="AM2545">
        <v>96.518749663510107</v>
      </c>
      <c r="AN2545">
        <v>1.0000000013911801</v>
      </c>
    </row>
    <row r="2546" spans="1:40" x14ac:dyDescent="0.25">
      <c r="A2546" t="str">
        <f>"20190304154810124"</f>
        <v>20190304154810124</v>
      </c>
      <c r="B2546" t="str">
        <f>"1551685690119382"</f>
        <v>1551685690119382</v>
      </c>
      <c r="C2546" t="s">
        <v>40</v>
      </c>
      <c r="D2546">
        <v>4.0670449999999896</v>
      </c>
      <c r="E2546">
        <v>0.56679489999999999</v>
      </c>
      <c r="F2546" t="s">
        <v>41</v>
      </c>
      <c r="G2546">
        <v>-275.5104</v>
      </c>
      <c r="H2546">
        <v>1.0362819999999999</v>
      </c>
      <c r="I2546">
        <v>285.56139999999999</v>
      </c>
      <c r="J2546">
        <v>-274.94069999999999</v>
      </c>
      <c r="K2546">
        <v>1.1107830000000001</v>
      </c>
      <c r="L2546">
        <v>285.4821</v>
      </c>
      <c r="M2546">
        <v>-0.99993520000000002</v>
      </c>
      <c r="N2546">
        <v>-1.1301520000000001E-2</v>
      </c>
      <c r="O2546">
        <v>1.412005E-3</v>
      </c>
      <c r="P2546">
        <v>-0.98348009999999997</v>
      </c>
      <c r="Q2546">
        <v>0.14248669999999999</v>
      </c>
      <c r="R2546">
        <v>-0.1116472</v>
      </c>
      <c r="S2546">
        <v>-3.1198730000000001</v>
      </c>
      <c r="T2546">
        <v>-0.261048</v>
      </c>
      <c r="U2546">
        <v>0.27832030000000002</v>
      </c>
      <c r="V2546">
        <v>-0.11304409999999999</v>
      </c>
      <c r="W2546">
        <v>0.15358479999999999</v>
      </c>
      <c r="X2546">
        <v>0.98164799999999997</v>
      </c>
      <c r="Y2546">
        <v>8.7109889999999995E-2</v>
      </c>
      <c r="Z2546">
        <v>4.0232219999999999E-3</v>
      </c>
      <c r="AA2546">
        <v>0.99619060000000004</v>
      </c>
      <c r="AB2546">
        <v>30</v>
      </c>
      <c r="AC2546">
        <v>-0.56970000000001098</v>
      </c>
      <c r="AD2546">
        <v>-7.4501000000000095E-2</v>
      </c>
      <c r="AE2546">
        <v>7.9299999999989199E-2</v>
      </c>
      <c r="AF2546">
        <v>7.7200310700399094E-2</v>
      </c>
      <c r="AG2546">
        <v>-7.4501000000000095E-2</v>
      </c>
      <c r="AH2546">
        <v>0.56040977889455801</v>
      </c>
      <c r="AI2546">
        <v>97.502477868985295</v>
      </c>
      <c r="AJ2546">
        <v>82.156478146107105</v>
      </c>
      <c r="AK2546">
        <v>0.57058689719786404</v>
      </c>
      <c r="AL2546">
        <v>81.165271729847305</v>
      </c>
      <c r="AM2546">
        <v>96.569100838009604</v>
      </c>
      <c r="AN2546">
        <v>1.0000000276199199</v>
      </c>
    </row>
    <row r="2547" spans="1:40" x14ac:dyDescent="0.25">
      <c r="A2547" t="str">
        <f>"20190304154810146"</f>
        <v>20190304154810146</v>
      </c>
      <c r="B2547" t="str">
        <f>"1551685690139878"</f>
        <v>1551685690139878</v>
      </c>
      <c r="C2547" t="s">
        <v>40</v>
      </c>
      <c r="D2547">
        <v>4.1132600000000004</v>
      </c>
      <c r="E2547">
        <v>0.56289089999999997</v>
      </c>
      <c r="F2547" t="s">
        <v>61</v>
      </c>
      <c r="G2547">
        <v>-296.86950000000002</v>
      </c>
      <c r="H2547" s="1">
        <v>3.2130310000000002E-6</v>
      </c>
      <c r="I2547">
        <v>287.03289999999998</v>
      </c>
      <c r="J2547">
        <v>-275.25450000000001</v>
      </c>
      <c r="K2547">
        <v>1.110743</v>
      </c>
      <c r="L2547">
        <v>285.48259999999999</v>
      </c>
      <c r="M2547">
        <v>-0.99993520000000002</v>
      </c>
      <c r="N2547">
        <v>-1.1303219999999999E-2</v>
      </c>
      <c r="O2547">
        <v>1.387791E-3</v>
      </c>
      <c r="P2547">
        <v>-0.98336140000000005</v>
      </c>
      <c r="Q2547">
        <v>0.14246239999999999</v>
      </c>
      <c r="R2547">
        <v>-0.112717</v>
      </c>
      <c r="S2547">
        <v>-3.0979920000000001</v>
      </c>
      <c r="T2547">
        <v>-0.15692539999999999</v>
      </c>
      <c r="U2547">
        <v>0.21908569999999999</v>
      </c>
      <c r="V2547">
        <v>-0.11408500000000001</v>
      </c>
      <c r="W2547">
        <v>0.15356410000000001</v>
      </c>
      <c r="X2547">
        <v>0.98153080000000004</v>
      </c>
      <c r="Y2547">
        <v>6.9051169999999995E-2</v>
      </c>
      <c r="Z2547">
        <v>2.0821110000000002E-3</v>
      </c>
      <c r="AA2547">
        <v>0.99761089999999997</v>
      </c>
      <c r="AB2547">
        <v>30</v>
      </c>
      <c r="AC2547">
        <v>-21.614999999999998</v>
      </c>
      <c r="AD2547">
        <v>-1.1107397869689899</v>
      </c>
      <c r="AE2547">
        <v>1.55029999999999</v>
      </c>
      <c r="AF2547">
        <v>1.51631589164956</v>
      </c>
      <c r="AG2547">
        <v>-1.1107397869689899</v>
      </c>
      <c r="AH2547">
        <v>21.560488055978599</v>
      </c>
      <c r="AI2547">
        <v>92.941867488953093</v>
      </c>
      <c r="AJ2547">
        <v>85.977099961765603</v>
      </c>
      <c r="AK2547">
        <v>21.642264252374801</v>
      </c>
      <c r="AL2547">
        <v>81.166471884837307</v>
      </c>
      <c r="AM2547">
        <v>96.629837095141497</v>
      </c>
      <c r="AN2547">
        <v>1.0000000156912201</v>
      </c>
    </row>
    <row r="2548" spans="1:40" x14ac:dyDescent="0.25">
      <c r="A2548" t="str">
        <f>"20190304154810168"</f>
        <v>20190304154810168</v>
      </c>
      <c r="B2548" t="str">
        <f>"1551685690159397"</f>
        <v>1551685690159397</v>
      </c>
      <c r="C2548" t="s">
        <v>40</v>
      </c>
      <c r="D2548">
        <v>4.1208150000000003</v>
      </c>
      <c r="E2548">
        <v>0.56113749999999996</v>
      </c>
      <c r="F2548" t="s">
        <v>61</v>
      </c>
      <c r="G2548">
        <v>-301.64690000000002</v>
      </c>
      <c r="H2548" s="1">
        <v>3.4593250000000001E-6</v>
      </c>
      <c r="I2548">
        <v>287.05450000000002</v>
      </c>
      <c r="J2548">
        <v>-275.54579999999999</v>
      </c>
      <c r="K2548">
        <v>1.1107320000000001</v>
      </c>
      <c r="L2548">
        <v>285.483</v>
      </c>
      <c r="M2548">
        <v>-0.99993520000000002</v>
      </c>
      <c r="N2548">
        <v>-1.130488E-2</v>
      </c>
      <c r="O2548">
        <v>1.37575E-3</v>
      </c>
      <c r="P2548">
        <v>-0.98354920000000001</v>
      </c>
      <c r="Q2548">
        <v>0.14174310000000001</v>
      </c>
      <c r="R2548">
        <v>-0.1119827</v>
      </c>
      <c r="S2548">
        <v>-3.0906980000000002</v>
      </c>
      <c r="T2548">
        <v>-0.1300741</v>
      </c>
      <c r="U2548">
        <v>0.184082</v>
      </c>
      <c r="V2548">
        <v>-0.1133357</v>
      </c>
      <c r="W2548">
        <v>0.15285170000000001</v>
      </c>
      <c r="X2548">
        <v>0.98172879999999996</v>
      </c>
      <c r="Y2548">
        <v>5.8016860000000003E-2</v>
      </c>
      <c r="Z2548">
        <v>1.505354E-3</v>
      </c>
      <c r="AA2548">
        <v>0.99831440000000005</v>
      </c>
      <c r="AB2548">
        <v>30</v>
      </c>
      <c r="AC2548">
        <v>-26.101099999999999</v>
      </c>
      <c r="AD2548">
        <v>-1.110728540675</v>
      </c>
      <c r="AE2548">
        <v>1.5715000000000101</v>
      </c>
      <c r="AF2548">
        <v>1.5328218461133201</v>
      </c>
      <c r="AG2548">
        <v>-1.110728540675</v>
      </c>
      <c r="AH2548">
        <v>26.0562222339274</v>
      </c>
      <c r="AI2548">
        <v>92.436727631326207</v>
      </c>
      <c r="AJ2548">
        <v>86.633313866416998</v>
      </c>
      <c r="AK2548">
        <v>26.1248919195239</v>
      </c>
      <c r="AL2548">
        <v>81.207777174174495</v>
      </c>
      <c r="AM2548">
        <v>96.585360034391798</v>
      </c>
      <c r="AN2548">
        <v>1.0000000299184</v>
      </c>
    </row>
    <row r="2549" spans="1:40" x14ac:dyDescent="0.25">
      <c r="A2549" t="str">
        <f>"20190304154810181"</f>
        <v>20190304154810181</v>
      </c>
      <c r="B2549" t="str">
        <f>"1551685690169158"</f>
        <v>1551685690169158</v>
      </c>
      <c r="C2549" t="s">
        <v>40</v>
      </c>
      <c r="D2549">
        <v>4.1233120000000003</v>
      </c>
      <c r="E2549">
        <v>0.56040990000000002</v>
      </c>
      <c r="F2549" t="s">
        <v>61</v>
      </c>
      <c r="G2549">
        <v>-307.03199999999998</v>
      </c>
      <c r="H2549" s="1">
        <v>2.488976E-6</v>
      </c>
      <c r="I2549">
        <v>287.22730000000001</v>
      </c>
      <c r="J2549">
        <v>-275.72430000000003</v>
      </c>
      <c r="K2549">
        <v>1.110711</v>
      </c>
      <c r="L2549">
        <v>285.48320000000001</v>
      </c>
      <c r="M2549">
        <v>-0.99993520000000002</v>
      </c>
      <c r="N2549">
        <v>-1.130603E-2</v>
      </c>
      <c r="O2549">
        <v>1.3722820000000001E-3</v>
      </c>
      <c r="P2549">
        <v>-0.98340930000000004</v>
      </c>
      <c r="Q2549">
        <v>0.14198529999999901</v>
      </c>
      <c r="R2549">
        <v>-0.1129005</v>
      </c>
      <c r="S2549">
        <v>-3.0853269999999999</v>
      </c>
      <c r="T2549">
        <v>-0.10884000000000001</v>
      </c>
      <c r="U2549">
        <v>0.170929</v>
      </c>
      <c r="V2549">
        <v>-0.1142483</v>
      </c>
      <c r="W2549">
        <v>0.15309429999999999</v>
      </c>
      <c r="X2549">
        <v>0.98158509999999999</v>
      </c>
      <c r="Y2549">
        <v>5.390168E-2</v>
      </c>
      <c r="Z2549">
        <v>1.2219310000000001E-3</v>
      </c>
      <c r="AA2549">
        <v>0.99854549999999997</v>
      </c>
      <c r="AB2549">
        <v>30</v>
      </c>
      <c r="AC2549">
        <v>-31.307699999999901</v>
      </c>
      <c r="AD2549">
        <v>-1.110708511024</v>
      </c>
      <c r="AE2549">
        <v>1.7441</v>
      </c>
      <c r="AF2549">
        <v>1.6990008241582999</v>
      </c>
      <c r="AG2549">
        <v>-1.110708511024</v>
      </c>
      <c r="AH2549">
        <v>31.270827452290401</v>
      </c>
      <c r="AI2549">
        <v>92.031240268999397</v>
      </c>
      <c r="AJ2549">
        <v>86.890073991226203</v>
      </c>
      <c r="AK2549">
        <v>31.3366387276598</v>
      </c>
      <c r="AL2549">
        <v>81.193710729358202</v>
      </c>
      <c r="AM2549">
        <v>96.638878312632301</v>
      </c>
      <c r="AN2549">
        <v>0.99999992364369195</v>
      </c>
    </row>
    <row r="2550" spans="1:40" x14ac:dyDescent="0.25">
      <c r="A2550" t="str">
        <f>"20190304154810201"</f>
        <v>20190304154810201</v>
      </c>
      <c r="B2550" t="str">
        <f>"1551685690189654"</f>
        <v>1551685690189654</v>
      </c>
      <c r="C2550" t="s">
        <v>40</v>
      </c>
      <c r="D2550">
        <v>4.1146370000000001</v>
      </c>
      <c r="E2550">
        <v>0.55961919999999898</v>
      </c>
      <c r="F2550" t="s">
        <v>61</v>
      </c>
      <c r="G2550">
        <v>-311.11739999999998</v>
      </c>
      <c r="H2550" s="1">
        <v>2.4740299999999999E-6</v>
      </c>
      <c r="I2550">
        <v>287.34410000000003</v>
      </c>
      <c r="J2550">
        <v>-275.9898</v>
      </c>
      <c r="K2550">
        <v>1.1107</v>
      </c>
      <c r="L2550">
        <v>285.48360000000002</v>
      </c>
      <c r="M2550">
        <v>-0.99993520000000002</v>
      </c>
      <c r="N2550">
        <v>-1.1307879999999999E-2</v>
      </c>
      <c r="O2550">
        <v>1.371319E-3</v>
      </c>
      <c r="P2550">
        <v>-0.98350700000000002</v>
      </c>
      <c r="Q2550">
        <v>0.14179739999999999</v>
      </c>
      <c r="R2550">
        <v>-0.11228299999999999</v>
      </c>
      <c r="S2550">
        <v>-3.0831909999999998</v>
      </c>
      <c r="T2550">
        <v>-9.675694E-2</v>
      </c>
      <c r="U2550">
        <v>0.16210939999999999</v>
      </c>
      <c r="V2550">
        <v>-0.1136286</v>
      </c>
      <c r="W2550">
        <v>0.1529105</v>
      </c>
      <c r="X2550">
        <v>0.98168580000000005</v>
      </c>
      <c r="Y2550">
        <v>5.1102479999999999E-2</v>
      </c>
      <c r="Z2550">
        <v>1.0628359999999999E-3</v>
      </c>
      <c r="AA2550">
        <v>0.99869289999999999</v>
      </c>
      <c r="AB2550">
        <v>30</v>
      </c>
      <c r="AC2550">
        <v>-35.127599999999902</v>
      </c>
      <c r="AD2550">
        <v>-1.11069752597</v>
      </c>
      <c r="AE2550">
        <v>1.8605</v>
      </c>
      <c r="AF2550">
        <v>1.8105190122659001</v>
      </c>
      <c r="AG2550">
        <v>-1.11069752597</v>
      </c>
      <c r="AH2550">
        <v>35.095130000162598</v>
      </c>
      <c r="AI2550">
        <v>91.810297201921401</v>
      </c>
      <c r="AJ2550">
        <v>87.046792034923897</v>
      </c>
      <c r="AK2550">
        <v>35.159348370188603</v>
      </c>
      <c r="AL2550">
        <v>81.204368239704806</v>
      </c>
      <c r="AM2550">
        <v>96.602515537630694</v>
      </c>
      <c r="AN2550">
        <v>1.00000004483492</v>
      </c>
    </row>
    <row r="2551" spans="1:40" x14ac:dyDescent="0.25">
      <c r="A2551" t="str">
        <f>"20190304154810214"</f>
        <v>20190304154810214</v>
      </c>
      <c r="B2551" t="str">
        <f>"1551685690209173"</f>
        <v>1551685690209173</v>
      </c>
      <c r="C2551" t="s">
        <v>40</v>
      </c>
      <c r="D2551">
        <v>4.1357939999999997</v>
      </c>
      <c r="E2551">
        <v>0.55874769999999996</v>
      </c>
      <c r="F2551" t="s">
        <v>61</v>
      </c>
      <c r="G2551">
        <v>-318.0797</v>
      </c>
      <c r="H2551" s="1">
        <v>5.5366289999999998E-6</v>
      </c>
      <c r="I2551">
        <v>287.62889999999999</v>
      </c>
      <c r="J2551">
        <v>-276.173</v>
      </c>
      <c r="K2551">
        <v>1.1106940000000001</v>
      </c>
      <c r="L2551">
        <v>285.48390000000001</v>
      </c>
      <c r="M2551">
        <v>-0.99993520000000002</v>
      </c>
      <c r="N2551">
        <v>-1.130923E-2</v>
      </c>
      <c r="O2551">
        <v>1.373672E-3</v>
      </c>
      <c r="P2551">
        <v>-0.98342099999999999</v>
      </c>
      <c r="Q2551">
        <v>0.14174110000000001</v>
      </c>
      <c r="R2551">
        <v>-0.1131035</v>
      </c>
      <c r="S2551">
        <v>-3.0799560000000001</v>
      </c>
      <c r="T2551">
        <v>-8.1275819999999999E-2</v>
      </c>
      <c r="U2551">
        <v>0.15698239999999999</v>
      </c>
      <c r="V2551">
        <v>-0.1144506</v>
      </c>
      <c r="W2551">
        <v>0.15285489999999999</v>
      </c>
      <c r="X2551">
        <v>0.98159890000000005</v>
      </c>
      <c r="Y2551">
        <v>4.9506519999999998E-2</v>
      </c>
      <c r="Z2551">
        <v>9.1217299999999996E-4</v>
      </c>
      <c r="AA2551">
        <v>0.99877340000000003</v>
      </c>
      <c r="AB2551">
        <v>30</v>
      </c>
      <c r="AC2551">
        <v>-41.906700000000001</v>
      </c>
      <c r="AD2551">
        <v>-1.1106884633709999</v>
      </c>
      <c r="AE2551">
        <v>2.14499999999998</v>
      </c>
      <c r="AF2551">
        <v>2.0859667735674301</v>
      </c>
      <c r="AG2551">
        <v>-1.1106884633709999</v>
      </c>
      <c r="AH2551">
        <v>41.880265105080198</v>
      </c>
      <c r="AI2551">
        <v>91.517280576064707</v>
      </c>
      <c r="AJ2551">
        <v>87.148575701093606</v>
      </c>
      <c r="AK2551">
        <v>41.946888937260702</v>
      </c>
      <c r="AL2551">
        <v>81.207591208597407</v>
      </c>
      <c r="AM2551">
        <v>96.650435932714998</v>
      </c>
      <c r="AN2551">
        <v>0.99999998038778903</v>
      </c>
    </row>
    <row r="2552" spans="1:40" x14ac:dyDescent="0.25">
      <c r="A2552" t="str">
        <f>"20190304154810226"</f>
        <v>20190304154810226</v>
      </c>
      <c r="B2552" t="str">
        <f>"1551685690218934"</f>
        <v>1551685690218934</v>
      </c>
      <c r="C2552" t="s">
        <v>40</v>
      </c>
      <c r="D2552">
        <v>4.1507620000000003</v>
      </c>
      <c r="E2552">
        <v>0.55845140000000004</v>
      </c>
      <c r="F2552" t="s">
        <v>60</v>
      </c>
      <c r="G2552">
        <v>-327.89580000000001</v>
      </c>
      <c r="H2552" s="1">
        <v>2.5191280000000001E-6</v>
      </c>
      <c r="I2552">
        <v>287.9529</v>
      </c>
      <c r="J2552">
        <v>-276.35129999999998</v>
      </c>
      <c r="K2552">
        <v>1.110689</v>
      </c>
      <c r="L2552">
        <v>285.48410000000001</v>
      </c>
      <c r="M2552">
        <v>-0.99993509999999997</v>
      </c>
      <c r="N2552">
        <v>-1.131061E-2</v>
      </c>
      <c r="O2552">
        <v>1.3809860000000001E-3</v>
      </c>
      <c r="P2552">
        <v>-0.98351619999999995</v>
      </c>
      <c r="Q2552">
        <v>0.1414733</v>
      </c>
      <c r="R2552">
        <v>-0.1126115</v>
      </c>
      <c r="S2552">
        <v>-3.0769959999999998</v>
      </c>
      <c r="T2552">
        <v>-6.6075209999999995E-2</v>
      </c>
      <c r="U2552">
        <v>0.14688109999999999</v>
      </c>
      <c r="V2552">
        <v>-0.1139643</v>
      </c>
      <c r="W2552">
        <v>0.152591</v>
      </c>
      <c r="X2552">
        <v>0.98169649999999997</v>
      </c>
      <c r="Y2552">
        <v>4.6285199999999999E-2</v>
      </c>
      <c r="Z2552">
        <v>7.4455919999999996E-4</v>
      </c>
      <c r="AA2552">
        <v>0.99892800000000004</v>
      </c>
      <c r="AB2552">
        <v>30</v>
      </c>
      <c r="AC2552">
        <v>-51.544499999999999</v>
      </c>
      <c r="AD2552">
        <v>-1.1106864808720001</v>
      </c>
      <c r="AE2552">
        <v>2.4687999999999799</v>
      </c>
      <c r="AF2552">
        <v>2.3965006618679299</v>
      </c>
      <c r="AG2552">
        <v>-1.1106864808720001</v>
      </c>
      <c r="AH2552">
        <v>51.523991525810303</v>
      </c>
      <c r="AI2552">
        <v>91.233582607913405</v>
      </c>
      <c r="AJ2552">
        <v>87.336959354450897</v>
      </c>
      <c r="AK2552">
        <v>51.591651869589299</v>
      </c>
      <c r="AL2552">
        <v>81.222890747428394</v>
      </c>
      <c r="AM2552">
        <v>96.621777240590006</v>
      </c>
      <c r="AN2552">
        <v>0.99999994653386803</v>
      </c>
    </row>
    <row r="2553" spans="1:40" x14ac:dyDescent="0.25">
      <c r="A2553" t="str">
        <f>"20190304154810239"</f>
        <v>20190304154810239</v>
      </c>
      <c r="B2553" t="str">
        <f>"1551685690229669"</f>
        <v>1551685690229669</v>
      </c>
      <c r="C2553" t="s">
        <v>40</v>
      </c>
      <c r="D2553">
        <v>4.2098719999999998</v>
      </c>
      <c r="E2553">
        <v>0.55810990000000005</v>
      </c>
      <c r="F2553" t="s">
        <v>60</v>
      </c>
      <c r="G2553">
        <v>-332.51119999999997</v>
      </c>
      <c r="H2553" s="1">
        <v>-3.5458370000000002E-7</v>
      </c>
      <c r="I2553">
        <v>288.14210000000003</v>
      </c>
      <c r="J2553">
        <v>-276.5188</v>
      </c>
      <c r="K2553">
        <v>1.1106799999999999</v>
      </c>
      <c r="L2553">
        <v>285.48439999999999</v>
      </c>
      <c r="M2553">
        <v>-0.99993500000000002</v>
      </c>
      <c r="N2553">
        <v>-1.1311949999999999E-2</v>
      </c>
      <c r="O2553">
        <v>1.3926710000000001E-3</v>
      </c>
      <c r="P2553">
        <v>-0.98352019999999996</v>
      </c>
      <c r="Q2553">
        <v>0.14131869999999999</v>
      </c>
      <c r="R2553">
        <v>-0.1127701</v>
      </c>
      <c r="S2553">
        <v>-3.0757140000000001</v>
      </c>
      <c r="T2553">
        <v>-6.0829279999999999E-2</v>
      </c>
      <c r="U2553">
        <v>0.1455688</v>
      </c>
      <c r="V2553">
        <v>-0.1141322</v>
      </c>
      <c r="W2553">
        <v>0.15243880000000001</v>
      </c>
      <c r="X2553">
        <v>0.98170069999999998</v>
      </c>
      <c r="Y2553">
        <v>4.5870279999999999E-2</v>
      </c>
      <c r="Z2553">
        <v>7.011513E-4</v>
      </c>
      <c r="AA2553">
        <v>0.99894709999999998</v>
      </c>
      <c r="AB2553">
        <v>30</v>
      </c>
      <c r="AC2553">
        <v>-55.992399999999897</v>
      </c>
      <c r="AD2553">
        <v>-1.1106803545836901</v>
      </c>
      <c r="AE2553">
        <v>2.6577000000000299</v>
      </c>
      <c r="AF2553">
        <v>2.5787010570416302</v>
      </c>
      <c r="AG2553">
        <v>-1.1106803545836901</v>
      </c>
      <c r="AH2553">
        <v>55.974072197486699</v>
      </c>
      <c r="AI2553">
        <v>91.135553406581707</v>
      </c>
      <c r="AJ2553">
        <v>87.362273516899407</v>
      </c>
      <c r="AK2553">
        <v>56.044447257164599</v>
      </c>
      <c r="AL2553">
        <v>81.231714913863598</v>
      </c>
      <c r="AM2553">
        <v>96.631417949493994</v>
      </c>
      <c r="AN2553">
        <v>1.00000000560138</v>
      </c>
    </row>
    <row r="2554" spans="1:40" x14ac:dyDescent="0.25">
      <c r="A2554" t="str">
        <f>"20190304154810256"</f>
        <v>20190304154810256</v>
      </c>
      <c r="B2554" t="str">
        <f>"1551685690249189"</f>
        <v>1551685690249189</v>
      </c>
      <c r="C2554" t="s">
        <v>40</v>
      </c>
      <c r="D2554">
        <v>4.1491660000000001</v>
      </c>
      <c r="E2554">
        <v>0.55748560000000003</v>
      </c>
      <c r="F2554" t="s">
        <v>60</v>
      </c>
      <c r="G2554">
        <v>-338.28269999999998</v>
      </c>
      <c r="H2554" s="1">
        <v>2.7081329999999998E-6</v>
      </c>
      <c r="I2554">
        <v>288.33819999999997</v>
      </c>
      <c r="J2554">
        <v>-276.74869999999999</v>
      </c>
      <c r="K2554">
        <v>1.1106819999999999</v>
      </c>
      <c r="L2554">
        <v>285.48469999999998</v>
      </c>
      <c r="M2554">
        <v>-0.99993520000000002</v>
      </c>
      <c r="N2554">
        <v>-1.131383E-2</v>
      </c>
      <c r="O2554">
        <v>1.41687E-3</v>
      </c>
      <c r="P2554">
        <v>-0.98359240000000003</v>
      </c>
      <c r="Q2554">
        <v>0.1405206</v>
      </c>
      <c r="R2554">
        <v>-0.1131379</v>
      </c>
      <c r="S2554">
        <v>-3.0744929999999999</v>
      </c>
      <c r="T2554">
        <v>-5.528748E-2</v>
      </c>
      <c r="U2554">
        <v>0.142059299999999</v>
      </c>
      <c r="V2554">
        <v>-0.11452039999999999</v>
      </c>
      <c r="W2554">
        <v>0.15164659999999999</v>
      </c>
      <c r="X2554">
        <v>0.98177820000000005</v>
      </c>
      <c r="Y2554">
        <v>4.47293E-2</v>
      </c>
      <c r="Z2554">
        <v>6.4569319999999999E-4</v>
      </c>
      <c r="AA2554">
        <v>0.99899890000000002</v>
      </c>
      <c r="AB2554">
        <v>30</v>
      </c>
      <c r="AC2554">
        <v>-61.533999999999899</v>
      </c>
      <c r="AD2554">
        <v>-1.1106792918670001</v>
      </c>
      <c r="AE2554">
        <v>2.8534999999999902</v>
      </c>
      <c r="AF2554">
        <v>2.7654068664454599</v>
      </c>
      <c r="AG2554">
        <v>-1.1106792918670001</v>
      </c>
      <c r="AH2554">
        <v>61.517982157605402</v>
      </c>
      <c r="AI2554">
        <v>91.033293695842502</v>
      </c>
      <c r="AJ2554">
        <v>87.4261258458111</v>
      </c>
      <c r="AK2554">
        <v>61.5901226851337</v>
      </c>
      <c r="AL2554">
        <v>81.277638701617093</v>
      </c>
      <c r="AM2554">
        <v>96.653251078303697</v>
      </c>
      <c r="AN2554">
        <v>1.0000000236514699</v>
      </c>
    </row>
    <row r="2555" spans="1:40" x14ac:dyDescent="0.25">
      <c r="A2555" t="str">
        <f>"20190304154810268"</f>
        <v>20190304154810268</v>
      </c>
      <c r="B2555" t="str">
        <f>"1551685690258949"</f>
        <v>1551685690258949</v>
      </c>
      <c r="C2555" t="s">
        <v>40</v>
      </c>
      <c r="D2555">
        <v>4.1575319999999998</v>
      </c>
      <c r="E2555">
        <v>0.55720559999999997</v>
      </c>
      <c r="F2555" t="s">
        <v>60</v>
      </c>
      <c r="G2555">
        <v>-346.80259999999998</v>
      </c>
      <c r="H2555" s="1">
        <v>2.0831960000000001E-6</v>
      </c>
      <c r="I2555">
        <v>288.58159999999998</v>
      </c>
      <c r="J2555">
        <v>-276.91809999999998</v>
      </c>
      <c r="K2555">
        <v>1.110671</v>
      </c>
      <c r="L2555">
        <v>285.48500000000001</v>
      </c>
      <c r="M2555">
        <v>-0.99993509999999997</v>
      </c>
      <c r="N2555">
        <v>-1.1315250000000001E-2</v>
      </c>
      <c r="O2555">
        <v>1.4436329999999999E-3</v>
      </c>
      <c r="P2555">
        <v>-0.9836298</v>
      </c>
      <c r="Q2555">
        <v>0.14011029999999999</v>
      </c>
      <c r="R2555">
        <v>-0.1133226</v>
      </c>
      <c r="S2555">
        <v>-3.072632</v>
      </c>
      <c r="T2555">
        <v>-4.8715469999999997E-2</v>
      </c>
      <c r="U2555">
        <v>0.1358337</v>
      </c>
      <c r="V2555">
        <v>-0.114728</v>
      </c>
      <c r="W2555">
        <v>0.15124079999999901</v>
      </c>
      <c r="X2555">
        <v>0.98181649999999998</v>
      </c>
      <c r="Y2555">
        <v>4.271295E-2</v>
      </c>
      <c r="Z2555">
        <v>5.7367029999999997E-4</v>
      </c>
      <c r="AA2555">
        <v>0.99908719999999995</v>
      </c>
      <c r="AB2555">
        <v>30</v>
      </c>
      <c r="AC2555">
        <v>-69.884500000000003</v>
      </c>
      <c r="AD2555">
        <v>-1.110668916804</v>
      </c>
      <c r="AE2555">
        <v>3.0965999999999601</v>
      </c>
      <c r="AF2555">
        <v>2.9949477630994701</v>
      </c>
      <c r="AG2555">
        <v>-1.110668916804</v>
      </c>
      <c r="AH2555">
        <v>69.8712839543618</v>
      </c>
      <c r="AI2555">
        <v>90.909857582472895</v>
      </c>
      <c r="AJ2555">
        <v>87.5455883992461</v>
      </c>
      <c r="AK2555">
        <v>69.944260800851296</v>
      </c>
      <c r="AL2555">
        <v>81.301160133269406</v>
      </c>
      <c r="AM2555">
        <v>96.664945856942694</v>
      </c>
      <c r="AN2555">
        <v>0.99999996662044399</v>
      </c>
    </row>
    <row r="2556" spans="1:40" x14ac:dyDescent="0.25">
      <c r="A2556" t="str">
        <f>"20190304154810280"</f>
        <v>20190304154810280</v>
      </c>
      <c r="B2556" t="str">
        <f>"1551685690269686"</f>
        <v>1551685690269686</v>
      </c>
      <c r="C2556" t="s">
        <v>40</v>
      </c>
      <c r="D2556">
        <v>4.1432890000000002</v>
      </c>
      <c r="E2556">
        <v>0.55701350000000005</v>
      </c>
      <c r="F2556" t="s">
        <v>60</v>
      </c>
      <c r="G2556">
        <v>-349.94880000000001</v>
      </c>
      <c r="H2556" s="1">
        <v>3.7574740000000002E-6</v>
      </c>
      <c r="I2556">
        <v>288.64679999999998</v>
      </c>
      <c r="J2556">
        <v>-277.07799999999997</v>
      </c>
      <c r="K2556">
        <v>1.1106769999999999</v>
      </c>
      <c r="L2556">
        <v>285.4853</v>
      </c>
      <c r="M2556">
        <v>-0.99993500000000002</v>
      </c>
      <c r="N2556">
        <v>-1.1316629999999999E-2</v>
      </c>
      <c r="O2556">
        <v>1.477625E-3</v>
      </c>
      <c r="P2556">
        <v>-0.98359810000000003</v>
      </c>
      <c r="Q2556">
        <v>0.13970080000000001</v>
      </c>
      <c r="R2556">
        <v>-0.11409999999999999</v>
      </c>
      <c r="S2556">
        <v>-3.0718990000000002</v>
      </c>
      <c r="T2556">
        <v>-4.6718120000000002E-2</v>
      </c>
      <c r="U2556">
        <v>0.13299559999999999</v>
      </c>
      <c r="V2556">
        <v>-0.11553479999999999</v>
      </c>
      <c r="W2556">
        <v>0.15083489999999999</v>
      </c>
      <c r="X2556">
        <v>0.98178430000000005</v>
      </c>
      <c r="Y2556">
        <v>4.1768949999999999E-2</v>
      </c>
      <c r="Z2556">
        <v>5.4818680000000004E-4</v>
      </c>
      <c r="AA2556">
        <v>0.99912710000000005</v>
      </c>
      <c r="AB2556">
        <v>30</v>
      </c>
      <c r="AC2556">
        <v>-72.870800000000003</v>
      </c>
      <c r="AD2556">
        <v>-1.110673242526</v>
      </c>
      <c r="AE2556">
        <v>3.1614999999999802</v>
      </c>
      <c r="AF2556">
        <v>3.0531060198353499</v>
      </c>
      <c r="AG2556">
        <v>-1.110673242526</v>
      </c>
      <c r="AH2556">
        <v>72.858498380509005</v>
      </c>
      <c r="AI2556">
        <v>90.872597915702499</v>
      </c>
      <c r="AJ2556">
        <v>87.600447321345399</v>
      </c>
      <c r="AK2556">
        <v>72.930897688720805</v>
      </c>
      <c r="AL2556">
        <v>81.324686103065403</v>
      </c>
      <c r="AM2556">
        <v>96.711607682973707</v>
      </c>
      <c r="AN2556">
        <v>0.99999993439776702</v>
      </c>
    </row>
    <row r="2557" spans="1:40" x14ac:dyDescent="0.25">
      <c r="A2557" t="str">
        <f>"20190304154810293"</f>
        <v>20190304154810293</v>
      </c>
      <c r="B2557" t="str">
        <f>"1551685690289205"</f>
        <v>1551685690289205</v>
      </c>
      <c r="C2557" t="s">
        <v>40</v>
      </c>
      <c r="D2557">
        <v>4.2034349999999998</v>
      </c>
      <c r="E2557">
        <v>0.55674380000000001</v>
      </c>
      <c r="F2557" t="s">
        <v>60</v>
      </c>
      <c r="G2557">
        <v>-354.1053</v>
      </c>
      <c r="H2557" s="1">
        <v>6.4783860000000001E-7</v>
      </c>
      <c r="I2557">
        <v>288.72129999999999</v>
      </c>
      <c r="J2557">
        <v>-277.24740000000003</v>
      </c>
      <c r="K2557">
        <v>1.110663</v>
      </c>
      <c r="L2557">
        <v>285.4855</v>
      </c>
      <c r="M2557">
        <v>-0.99993489999999996</v>
      </c>
      <c r="N2557">
        <v>-1.1318099999999999E-2</v>
      </c>
      <c r="O2557">
        <v>1.5183709999999999E-3</v>
      </c>
      <c r="P2557">
        <v>-0.98366209999999998</v>
      </c>
      <c r="Q2557">
        <v>0.139548799999999</v>
      </c>
      <c r="R2557">
        <v>-0.1137339</v>
      </c>
      <c r="S2557">
        <v>-3.071259</v>
      </c>
      <c r="T2557">
        <v>-4.42853E-2</v>
      </c>
      <c r="U2557">
        <v>0.12902830000000001</v>
      </c>
      <c r="V2557">
        <v>-0.115205</v>
      </c>
      <c r="W2557">
        <v>0.150688299999999</v>
      </c>
      <c r="X2557">
        <v>0.98184559999999999</v>
      </c>
      <c r="Y2557">
        <v>4.0449850000000002E-2</v>
      </c>
      <c r="Z2557">
        <v>5.1581730000000001E-4</v>
      </c>
      <c r="AA2557">
        <v>0.9991814</v>
      </c>
      <c r="AB2557">
        <v>30</v>
      </c>
      <c r="AC2557">
        <v>-76.857899999999901</v>
      </c>
      <c r="AD2557">
        <v>-1.1106623521614001</v>
      </c>
      <c r="AE2557">
        <v>3.2357999999999798</v>
      </c>
      <c r="AF2557">
        <v>3.1184399371557001</v>
      </c>
      <c r="AG2557">
        <v>-1.1106623521614001</v>
      </c>
      <c r="AH2557">
        <v>76.846705563186205</v>
      </c>
      <c r="AI2557">
        <v>90.827355106841594</v>
      </c>
      <c r="AJ2557">
        <v>87.6762117974679</v>
      </c>
      <c r="AK2557">
        <v>76.917971855849103</v>
      </c>
      <c r="AL2557">
        <v>81.333183082963501</v>
      </c>
      <c r="AM2557">
        <v>96.692209041279298</v>
      </c>
      <c r="AN2557">
        <v>0.99999996901062405</v>
      </c>
    </row>
    <row r="2558" spans="1:40" x14ac:dyDescent="0.25">
      <c r="A2558" t="str">
        <f>"20190304154810305"</f>
        <v>20190304154810305</v>
      </c>
      <c r="B2558" t="str">
        <f>"1551685690298966"</f>
        <v>1551685690298966</v>
      </c>
      <c r="C2558" t="s">
        <v>40</v>
      </c>
      <c r="D2558">
        <v>4.1734429999999998</v>
      </c>
      <c r="E2558">
        <v>0.55660359999999998</v>
      </c>
      <c r="F2558" t="s">
        <v>60</v>
      </c>
      <c r="G2558">
        <v>-364.161</v>
      </c>
      <c r="H2558" s="1">
        <v>6.7747369999999901E-7</v>
      </c>
      <c r="I2558">
        <v>289.09769999999997</v>
      </c>
      <c r="J2558">
        <v>-277.41629999999998</v>
      </c>
      <c r="K2558">
        <v>1.1106480000000001</v>
      </c>
      <c r="L2558">
        <v>285.48579999999998</v>
      </c>
      <c r="M2558">
        <v>-0.99993489999999996</v>
      </c>
      <c r="N2558">
        <v>-1.1319630000000001E-2</v>
      </c>
      <c r="O2558">
        <v>1.5726150000000001E-3</v>
      </c>
      <c r="P2558">
        <v>-0.98370060000000004</v>
      </c>
      <c r="Q2558">
        <v>0.1393054</v>
      </c>
      <c r="R2558">
        <v>-0.11369849999999999</v>
      </c>
      <c r="S2558">
        <v>-3.0701290000000001</v>
      </c>
      <c r="T2558">
        <v>-3.9232969999999999E-2</v>
      </c>
      <c r="U2558">
        <v>0.12759400000000001</v>
      </c>
      <c r="V2558">
        <v>-0.1152181</v>
      </c>
      <c r="W2558">
        <v>0.15045069999999999</v>
      </c>
      <c r="X2558">
        <v>0.98188050000000004</v>
      </c>
      <c r="Y2558">
        <v>3.9946410000000002E-2</v>
      </c>
      <c r="Z2558">
        <v>4.7903479999999998E-4</v>
      </c>
      <c r="AA2558">
        <v>0.99920169999999997</v>
      </c>
      <c r="AB2558">
        <v>30</v>
      </c>
      <c r="AC2558">
        <v>-86.744699999999995</v>
      </c>
      <c r="AD2558">
        <v>-1.1106473225262901</v>
      </c>
      <c r="AE2558">
        <v>3.6118999999999901</v>
      </c>
      <c r="AF2558">
        <v>3.4749021388740302</v>
      </c>
      <c r="AG2558">
        <v>-1.1106473225262901</v>
      </c>
      <c r="AH2558">
        <v>86.736078913827299</v>
      </c>
      <c r="AI2558">
        <v>90.733038988352504</v>
      </c>
      <c r="AJ2558">
        <v>87.705789653741306</v>
      </c>
      <c r="AK2558">
        <v>86.812763276464494</v>
      </c>
      <c r="AL2558">
        <v>81.3469535604209</v>
      </c>
      <c r="AM2558">
        <v>96.692727374485401</v>
      </c>
      <c r="AN2558">
        <v>0.99999996998917395</v>
      </c>
    </row>
    <row r="2559" spans="1:40" x14ac:dyDescent="0.25">
      <c r="A2559" t="str">
        <f>"20190304154810324"</f>
        <v>20190304154810324</v>
      </c>
      <c r="B2559" t="str">
        <f>"1551685690319461"</f>
        <v>1551685690319461</v>
      </c>
      <c r="C2559" t="s">
        <v>40</v>
      </c>
      <c r="D2559">
        <v>4.1488829999999997</v>
      </c>
      <c r="E2559">
        <v>0.55622260000000001</v>
      </c>
      <c r="F2559" t="s">
        <v>60</v>
      </c>
      <c r="G2559">
        <v>-365.87759999999997</v>
      </c>
      <c r="H2559" s="1">
        <v>1.5909840000000001E-6</v>
      </c>
      <c r="I2559">
        <v>289.13099999999997</v>
      </c>
      <c r="J2559">
        <v>-277.6705</v>
      </c>
      <c r="K2559">
        <v>1.110627</v>
      </c>
      <c r="L2559">
        <v>285.48630000000003</v>
      </c>
      <c r="M2559">
        <v>-0.99993460000000001</v>
      </c>
      <c r="N2559">
        <v>-1.1321960000000001E-2</v>
      </c>
      <c r="O2559">
        <v>1.6704039999999999E-3</v>
      </c>
      <c r="P2559">
        <v>-0.98373449999999996</v>
      </c>
      <c r="Q2559">
        <v>0.13864860000000001</v>
      </c>
      <c r="R2559">
        <v>-0.11420619999999999</v>
      </c>
      <c r="S2559">
        <v>-3.0698240000000001</v>
      </c>
      <c r="T2559">
        <v>-3.8542149999999997E-2</v>
      </c>
      <c r="U2559">
        <v>0.12649540000000001</v>
      </c>
      <c r="V2559">
        <v>-0.1158144</v>
      </c>
      <c r="W2559">
        <v>0.14980299999999999</v>
      </c>
      <c r="X2559">
        <v>0.98190940000000004</v>
      </c>
      <c r="Y2559">
        <v>3.949606E-2</v>
      </c>
      <c r="Z2559">
        <v>4.6947280000000002E-4</v>
      </c>
      <c r="AA2559">
        <v>0.99921959999999999</v>
      </c>
      <c r="AB2559">
        <v>30</v>
      </c>
      <c r="AC2559">
        <v>-88.207099999999897</v>
      </c>
      <c r="AD2559">
        <v>-1.1106254090159999</v>
      </c>
      <c r="AE2559">
        <v>3.6446999999999399</v>
      </c>
      <c r="AF2559">
        <v>3.4967905680965798</v>
      </c>
      <c r="AG2559">
        <v>-1.1106254090159999</v>
      </c>
      <c r="AH2559">
        <v>88.199106526985503</v>
      </c>
      <c r="AI2559">
        <v>90.720878511735506</v>
      </c>
      <c r="AJ2559">
        <v>87.729608902644898</v>
      </c>
      <c r="AK2559">
        <v>88.275384027682406</v>
      </c>
      <c r="AL2559">
        <v>81.384489632944195</v>
      </c>
      <c r="AM2559">
        <v>96.726852115710699</v>
      </c>
      <c r="AN2559">
        <v>0.999999991932359</v>
      </c>
    </row>
    <row r="2560" spans="1:40" x14ac:dyDescent="0.25">
      <c r="A2560" t="str">
        <f>"20190304154810347"</f>
        <v>20190304154810347</v>
      </c>
      <c r="B2560" t="str">
        <f>"1551685690338981"</f>
        <v>1551685690338981</v>
      </c>
      <c r="C2560" t="s">
        <v>40</v>
      </c>
      <c r="D2560">
        <v>4.1973770000000004</v>
      </c>
      <c r="E2560">
        <v>0.55591459999999904</v>
      </c>
      <c r="F2560" t="s">
        <v>60</v>
      </c>
      <c r="G2560">
        <v>-368.37020000000001</v>
      </c>
      <c r="H2560" s="1">
        <v>2.9174120000000001E-6</v>
      </c>
      <c r="I2560">
        <v>289.09210000000002</v>
      </c>
      <c r="J2560">
        <v>-277.98289999999997</v>
      </c>
      <c r="K2560">
        <v>1.1105929999999999</v>
      </c>
      <c r="L2560">
        <v>285.48700000000002</v>
      </c>
      <c r="M2560">
        <v>-0.9999344</v>
      </c>
      <c r="N2560">
        <v>-1.1324870000000001E-2</v>
      </c>
      <c r="O2560">
        <v>1.819687E-3</v>
      </c>
      <c r="P2560">
        <v>-0.98369439999999997</v>
      </c>
      <c r="Q2560">
        <v>0.13852130000000001</v>
      </c>
      <c r="R2560">
        <v>-0.1147058</v>
      </c>
      <c r="S2560">
        <v>-3.069061</v>
      </c>
      <c r="T2560">
        <v>-3.7580849999999999E-2</v>
      </c>
      <c r="U2560">
        <v>0.1220093</v>
      </c>
      <c r="V2560">
        <v>-0.1164504</v>
      </c>
      <c r="W2560">
        <v>0.1496856</v>
      </c>
      <c r="X2560">
        <v>0.98185210000000001</v>
      </c>
      <c r="Y2560">
        <v>3.789932E-2</v>
      </c>
      <c r="Z2560">
        <v>4.4497699999999999E-4</v>
      </c>
      <c r="AA2560">
        <v>0.99928150000000004</v>
      </c>
      <c r="AB2560">
        <v>30</v>
      </c>
      <c r="AC2560">
        <v>-90.387299999999996</v>
      </c>
      <c r="AD2560">
        <v>-1.110590082588</v>
      </c>
      <c r="AE2560">
        <v>3.60509999999999</v>
      </c>
      <c r="AF2560">
        <v>3.4400883899631398</v>
      </c>
      <c r="AG2560">
        <v>-1.110590082588</v>
      </c>
      <c r="AH2560">
        <v>90.380087829861097</v>
      </c>
      <c r="AI2560">
        <v>90.703505462709899</v>
      </c>
      <c r="AJ2560">
        <v>87.820233979359699</v>
      </c>
      <c r="AK2560">
        <v>90.4523515150143</v>
      </c>
      <c r="AL2560">
        <v>81.391293025733404</v>
      </c>
      <c r="AM2560">
        <v>96.763842687472106</v>
      </c>
      <c r="AN2560">
        <v>1.0000000103909601</v>
      </c>
    </row>
    <row r="2561" spans="1:40" x14ac:dyDescent="0.25">
      <c r="A2561" t="str">
        <f>"20190304154810362"</f>
        <v>20190304154810362</v>
      </c>
      <c r="B2561" t="str">
        <f>"1551685690359479"</f>
        <v>1551685690359479</v>
      </c>
      <c r="C2561" t="s">
        <v>40</v>
      </c>
      <c r="D2561">
        <v>4.2033149999999999</v>
      </c>
      <c r="E2561">
        <v>0.55573099999999998</v>
      </c>
      <c r="F2561" t="s">
        <v>60</v>
      </c>
      <c r="G2561">
        <v>-372.8913</v>
      </c>
      <c r="H2561" s="1">
        <v>1.834849E-9</v>
      </c>
      <c r="I2561">
        <v>289.14080000000001</v>
      </c>
      <c r="J2561">
        <v>-278.18029999999999</v>
      </c>
      <c r="K2561">
        <v>1.110571</v>
      </c>
      <c r="L2561">
        <v>285.48750000000001</v>
      </c>
      <c r="M2561">
        <v>-0.99993410000000005</v>
      </c>
      <c r="N2561">
        <v>-1.132674E-2</v>
      </c>
      <c r="O2561">
        <v>1.9323540000000001E-3</v>
      </c>
      <c r="P2561">
        <v>-0.98372579999999998</v>
      </c>
      <c r="Q2561">
        <v>0.13860059999999999</v>
      </c>
      <c r="R2561">
        <v>-0.11434039999999999</v>
      </c>
      <c r="S2561">
        <v>-3.0685730000000002</v>
      </c>
      <c r="T2561">
        <v>-3.5907630000000003E-2</v>
      </c>
      <c r="U2561">
        <v>0.1181335</v>
      </c>
      <c r="V2561">
        <v>-0.1161905</v>
      </c>
      <c r="W2561">
        <v>0.14977089999999901</v>
      </c>
      <c r="X2561">
        <v>0.98186989999999996</v>
      </c>
      <c r="Y2561">
        <v>3.6533349999999999E-2</v>
      </c>
      <c r="Z2561">
        <v>4.1994180000000001E-4</v>
      </c>
      <c r="AA2561">
        <v>0.99933240000000001</v>
      </c>
      <c r="AB2561">
        <v>30</v>
      </c>
      <c r="AC2561">
        <v>-94.710999999999999</v>
      </c>
      <c r="AD2561">
        <v>-1.1105709981651499</v>
      </c>
      <c r="AE2561">
        <v>3.6533000000000002</v>
      </c>
      <c r="AF2561">
        <v>3.4697899036295698</v>
      </c>
      <c r="AG2561">
        <v>-1.1105709981651499</v>
      </c>
      <c r="AH2561">
        <v>94.704880824239694</v>
      </c>
      <c r="AI2561">
        <v>90.671406327367293</v>
      </c>
      <c r="AJ2561">
        <v>87.901740301285002</v>
      </c>
      <c r="AK2561">
        <v>94.7749295006371</v>
      </c>
      <c r="AL2561">
        <v>81.3863501234989</v>
      </c>
      <c r="AM2561">
        <v>96.748764974146198</v>
      </c>
      <c r="AN2561">
        <v>1.00000002765153</v>
      </c>
    </row>
    <row r="2562" spans="1:40" x14ac:dyDescent="0.25">
      <c r="A2562" t="str">
        <f>"20190304154810378"</f>
        <v>20190304154810378</v>
      </c>
      <c r="B2562" t="str">
        <f>"1551685690369243"</f>
        <v>1551685690369243</v>
      </c>
      <c r="C2562" t="s">
        <v>40</v>
      </c>
      <c r="D2562">
        <v>4.2435589999999896</v>
      </c>
      <c r="E2562">
        <v>0.55565109999999995</v>
      </c>
      <c r="F2562" t="s">
        <v>60</v>
      </c>
      <c r="G2562">
        <v>-380.09789999999998</v>
      </c>
      <c r="H2562" s="1">
        <v>-1.4846999999999999E-6</v>
      </c>
      <c r="I2562">
        <v>289.40069999999997</v>
      </c>
      <c r="J2562">
        <v>-278.41559999999998</v>
      </c>
      <c r="K2562">
        <v>1.110538</v>
      </c>
      <c r="L2562">
        <v>285.48809999999997</v>
      </c>
      <c r="M2562">
        <v>-0.99993370000000004</v>
      </c>
      <c r="N2562">
        <v>-1.1328980000000001E-2</v>
      </c>
      <c r="O2562">
        <v>2.0806219999999999E-3</v>
      </c>
      <c r="P2562">
        <v>-0.98364439999999997</v>
      </c>
      <c r="Q2562">
        <v>0.13900090000000001</v>
      </c>
      <c r="R2562">
        <v>-0.11455360000000001</v>
      </c>
      <c r="S2562">
        <v>-3.0680239999999999</v>
      </c>
      <c r="T2562">
        <v>-3.3431530000000001E-2</v>
      </c>
      <c r="U2562">
        <v>0.1177979</v>
      </c>
      <c r="V2562">
        <v>-0.1165432</v>
      </c>
      <c r="W2562">
        <v>0.15017730000000001</v>
      </c>
      <c r="X2562">
        <v>0.98176600000000003</v>
      </c>
      <c r="Y2562">
        <v>3.62834E-2</v>
      </c>
      <c r="Z2562">
        <v>4.041297E-4</v>
      </c>
      <c r="AA2562">
        <v>0.99934149999999999</v>
      </c>
      <c r="AB2562">
        <v>30</v>
      </c>
      <c r="AC2562">
        <v>-101.6823</v>
      </c>
      <c r="AD2562">
        <v>-1.1105394847000001</v>
      </c>
      <c r="AE2562">
        <v>3.9125999999999901</v>
      </c>
      <c r="AF2562">
        <v>3.700574768434</v>
      </c>
      <c r="AG2562">
        <v>-1.1105394847000001</v>
      </c>
      <c r="AH2562">
        <v>101.678110540812</v>
      </c>
      <c r="AI2562">
        <v>90.625351911689293</v>
      </c>
      <c r="AJ2562">
        <v>87.915640127795299</v>
      </c>
      <c r="AK2562">
        <v>101.751489987683</v>
      </c>
      <c r="AL2562">
        <v>81.362798587603095</v>
      </c>
      <c r="AM2562">
        <v>96.769770976665697</v>
      </c>
      <c r="AN2562">
        <v>1.0000000088287599</v>
      </c>
    </row>
    <row r="2563" spans="1:40" x14ac:dyDescent="0.25">
      <c r="A2563" t="str">
        <f>"20190304154810390"</f>
        <v>20190304154810390</v>
      </c>
      <c r="B2563" t="str">
        <f>"1551685690378998"</f>
        <v>1551685690378998</v>
      </c>
      <c r="C2563" t="s">
        <v>40</v>
      </c>
      <c r="D2563">
        <v>4.2287809999999997</v>
      </c>
      <c r="E2563">
        <v>0.55561499999999997</v>
      </c>
      <c r="F2563" t="s">
        <v>60</v>
      </c>
      <c r="G2563">
        <v>-385.79520000000002</v>
      </c>
      <c r="H2563" s="1">
        <v>1.547125E-6</v>
      </c>
      <c r="I2563">
        <v>289.54500000000002</v>
      </c>
      <c r="J2563">
        <v>-278.57420000000002</v>
      </c>
      <c r="K2563">
        <v>1.110528</v>
      </c>
      <c r="L2563">
        <v>285.48860000000002</v>
      </c>
      <c r="M2563">
        <v>-0.99993339999999997</v>
      </c>
      <c r="N2563">
        <v>-1.133051E-2</v>
      </c>
      <c r="O2563">
        <v>2.1873259999999999E-3</v>
      </c>
      <c r="P2563">
        <v>-0.9837785</v>
      </c>
      <c r="Q2563">
        <v>0.13854639999999999</v>
      </c>
      <c r="R2563">
        <v>-0.1139505</v>
      </c>
      <c r="S2563">
        <v>-3.0678709999999998</v>
      </c>
      <c r="T2563">
        <v>-3.1728390000000002E-2</v>
      </c>
      <c r="U2563">
        <v>0.1159058</v>
      </c>
      <c r="V2563">
        <v>-0.1160414</v>
      </c>
      <c r="W2563">
        <v>0.149729</v>
      </c>
      <c r="X2563">
        <v>0.98189389999999999</v>
      </c>
      <c r="Y2563">
        <v>3.5563610000000002E-2</v>
      </c>
      <c r="Z2563">
        <v>3.8756130000000002E-4</v>
      </c>
      <c r="AA2563">
        <v>0.99936740000000002</v>
      </c>
      <c r="AB2563">
        <v>30</v>
      </c>
      <c r="AC2563">
        <v>-107.221</v>
      </c>
      <c r="AD2563">
        <v>-1.1105264528749901</v>
      </c>
      <c r="AE2563">
        <v>4.0563999999999902</v>
      </c>
      <c r="AF2563">
        <v>3.8214385960429702</v>
      </c>
      <c r="AG2563">
        <v>-1.1105264528749901</v>
      </c>
      <c r="AH2563">
        <v>107.21813133646801</v>
      </c>
      <c r="AI2563">
        <v>90.593051109113006</v>
      </c>
      <c r="AJ2563">
        <v>87.958743945235</v>
      </c>
      <c r="AK2563">
        <v>107.291958455561</v>
      </c>
      <c r="AL2563">
        <v>81.388778002760105</v>
      </c>
      <c r="AM2563">
        <v>96.740021202605305</v>
      </c>
      <c r="AN2563">
        <v>1.00000000540608</v>
      </c>
    </row>
    <row r="2564" spans="1:40" x14ac:dyDescent="0.25">
      <c r="A2564" t="str">
        <f>"20190304154810403"</f>
        <v>20190304154810403</v>
      </c>
      <c r="B2564" t="str">
        <f>"1551685690399494"</f>
        <v>1551685690399494</v>
      </c>
      <c r="C2564" t="s">
        <v>40</v>
      </c>
      <c r="D2564">
        <v>4.2082090000000001</v>
      </c>
      <c r="E2564">
        <v>0.55546580000000001</v>
      </c>
      <c r="F2564" t="s">
        <v>60</v>
      </c>
      <c r="G2564">
        <v>-384.22149999999999</v>
      </c>
      <c r="H2564" s="1">
        <v>7.0969769999999998E-7</v>
      </c>
      <c r="I2564">
        <v>289.5256</v>
      </c>
      <c r="J2564">
        <v>-278.73840000000001</v>
      </c>
      <c r="K2564">
        <v>1.1105149999999999</v>
      </c>
      <c r="L2564">
        <v>285.48899999999998</v>
      </c>
      <c r="M2564">
        <v>-0.99993310000000002</v>
      </c>
      <c r="N2564">
        <v>-1.133228E-2</v>
      </c>
      <c r="O2564">
        <v>2.3061639999999999E-3</v>
      </c>
      <c r="P2564">
        <v>-0.98383719999999997</v>
      </c>
      <c r="Q2564">
        <v>0.13834859999999999</v>
      </c>
      <c r="R2564">
        <v>-0.11368399999999999</v>
      </c>
      <c r="S2564">
        <v>-3.0675659999999998</v>
      </c>
      <c r="T2564">
        <v>-3.2245160000000002E-2</v>
      </c>
      <c r="U2564">
        <v>0.117218</v>
      </c>
      <c r="V2564">
        <v>-0.1158884</v>
      </c>
      <c r="W2564">
        <v>0.14953569999999999</v>
      </c>
      <c r="X2564">
        <v>0.98194139999999996</v>
      </c>
      <c r="Y2564">
        <v>3.587535E-2</v>
      </c>
      <c r="Z2564">
        <v>3.9374149999999998E-4</v>
      </c>
      <c r="AA2564">
        <v>0.99935620000000003</v>
      </c>
      <c r="AB2564">
        <v>30</v>
      </c>
      <c r="AC2564">
        <v>-105.483099999999</v>
      </c>
      <c r="AD2564">
        <v>-1.1105142903023</v>
      </c>
      <c r="AE2564">
        <v>4.03659999999996</v>
      </c>
      <c r="AF2564">
        <v>3.79289253245775</v>
      </c>
      <c r="AG2564">
        <v>-1.1105142903023</v>
      </c>
      <c r="AH2564">
        <v>105.480455141384</v>
      </c>
      <c r="AI2564">
        <v>90.602806845046004</v>
      </c>
      <c r="AJ2564">
        <v>87.940631339142001</v>
      </c>
      <c r="AK2564">
        <v>105.554467894947</v>
      </c>
      <c r="AL2564">
        <v>81.399979164621598</v>
      </c>
      <c r="AM2564">
        <v>96.730893490319005</v>
      </c>
      <c r="AN2564">
        <v>0.99999997993150402</v>
      </c>
    </row>
    <row r="2565" spans="1:40" x14ac:dyDescent="0.25">
      <c r="A2565" t="str">
        <f>"20190304154810416"</f>
        <v>20190304154810416</v>
      </c>
      <c r="B2565" t="str">
        <f>"1551685690409254"</f>
        <v>1551685690409254</v>
      </c>
      <c r="C2565" t="s">
        <v>40</v>
      </c>
      <c r="D2565">
        <v>4.2247379999999897</v>
      </c>
      <c r="E2565">
        <v>0.55542219999999998</v>
      </c>
      <c r="F2565" t="s">
        <v>60</v>
      </c>
      <c r="G2565">
        <v>-387.18740000000003</v>
      </c>
      <c r="H2565">
        <v>7.3627040000000003E-3</v>
      </c>
      <c r="I2565">
        <v>289.61630000000002</v>
      </c>
      <c r="J2565">
        <v>-278.9162</v>
      </c>
      <c r="K2565">
        <v>1.1104889999999901</v>
      </c>
      <c r="L2565">
        <v>285.4896</v>
      </c>
      <c r="M2565">
        <v>-0.99993290000000001</v>
      </c>
      <c r="N2565">
        <v>-1.1334189999999999E-2</v>
      </c>
      <c r="O2565">
        <v>2.4374560000000002E-3</v>
      </c>
      <c r="P2565">
        <v>-0.98382199999999997</v>
      </c>
      <c r="Q2565">
        <v>0.1381858</v>
      </c>
      <c r="R2565">
        <v>-0.1140132</v>
      </c>
      <c r="S2565">
        <v>-3.0672000000000001</v>
      </c>
      <c r="T2565">
        <v>-3.1199810000000001E-2</v>
      </c>
      <c r="U2565">
        <v>0.11672970000000001</v>
      </c>
      <c r="V2565">
        <v>-0.116344</v>
      </c>
      <c r="W2565">
        <v>0.149376799999999</v>
      </c>
      <c r="X2565">
        <v>0.98191170000000005</v>
      </c>
      <c r="Y2565">
        <v>3.5590049999999998E-2</v>
      </c>
      <c r="Z2565">
        <v>3.8555879999999999E-4</v>
      </c>
      <c r="AA2565">
        <v>0.99936639999999999</v>
      </c>
      <c r="AB2565">
        <v>30</v>
      </c>
      <c r="AC2565">
        <v>-108.27119999999999</v>
      </c>
      <c r="AD2565">
        <v>-1.1031262959999999</v>
      </c>
      <c r="AE2565">
        <v>4.12670000000002</v>
      </c>
      <c r="AF2565">
        <v>3.8623641714709702</v>
      </c>
      <c r="AG2565">
        <v>-1.1031262959999999</v>
      </c>
      <c r="AH2565">
        <v>108.269714825742</v>
      </c>
      <c r="AI2565">
        <v>90.583377536811994</v>
      </c>
      <c r="AJ2565">
        <v>87.956923008764306</v>
      </c>
      <c r="AK2565">
        <v>108.344201012632</v>
      </c>
      <c r="AL2565">
        <v>81.4091868018496</v>
      </c>
      <c r="AM2565">
        <v>96.757313400493899</v>
      </c>
      <c r="AN2565">
        <v>0.99999997065556401</v>
      </c>
    </row>
    <row r="2566" spans="1:40" x14ac:dyDescent="0.25">
      <c r="A2566" t="str">
        <f>"20190304154810427"</f>
        <v>20190304154810427</v>
      </c>
      <c r="B2566" t="str">
        <f>"1551685690419014"</f>
        <v>1551685690419014</v>
      </c>
      <c r="C2566" t="s">
        <v>40</v>
      </c>
      <c r="D2566">
        <v>4.2215660000000002</v>
      </c>
      <c r="E2566">
        <v>0.55538369999999904</v>
      </c>
      <c r="F2566" t="s">
        <v>60</v>
      </c>
      <c r="G2566">
        <v>-388.54849999999999</v>
      </c>
      <c r="H2566">
        <v>1.488489E-2</v>
      </c>
      <c r="I2566">
        <v>289.61630000000002</v>
      </c>
      <c r="J2566">
        <v>-279.08949999999999</v>
      </c>
      <c r="K2566">
        <v>1.110482</v>
      </c>
      <c r="L2566">
        <v>285.49020000000002</v>
      </c>
      <c r="M2566">
        <v>-0.9999325</v>
      </c>
      <c r="N2566">
        <v>-1.133602E-2</v>
      </c>
      <c r="O2566">
        <v>2.5698549999999998E-3</v>
      </c>
      <c r="P2566">
        <v>-0.98395960000000005</v>
      </c>
      <c r="Q2566">
        <v>0.13761599999999999</v>
      </c>
      <c r="R2566">
        <v>-0.1135129</v>
      </c>
      <c r="S2566">
        <v>-3.0670470000000001</v>
      </c>
      <c r="T2566">
        <v>-3.0650380000000001E-2</v>
      </c>
      <c r="U2566">
        <v>0.115448</v>
      </c>
      <c r="V2566">
        <v>-0.11597200000000001</v>
      </c>
      <c r="W2566">
        <v>0.1488119</v>
      </c>
      <c r="X2566">
        <v>0.98204150000000001</v>
      </c>
      <c r="Y2566">
        <v>3.5042719999999999E-2</v>
      </c>
      <c r="Z2566">
        <v>3.7719359999999999E-4</v>
      </c>
      <c r="AA2566">
        <v>0.99938570000000004</v>
      </c>
      <c r="AB2566">
        <v>30</v>
      </c>
      <c r="AC2566">
        <v>-109.459</v>
      </c>
      <c r="AD2566">
        <v>-1.0955971099999999</v>
      </c>
      <c r="AE2566">
        <v>4.1261000000000001</v>
      </c>
      <c r="AF2566">
        <v>3.8443899552533498</v>
      </c>
      <c r="AG2566">
        <v>-1.0955971099999999</v>
      </c>
      <c r="AH2566">
        <v>109.458292249742</v>
      </c>
      <c r="AI2566">
        <v>90.573116167666498</v>
      </c>
      <c r="AJ2566">
        <v>87.988486652987504</v>
      </c>
      <c r="AK2566">
        <v>109.531262246837</v>
      </c>
      <c r="AL2566">
        <v>81.441919265708293</v>
      </c>
      <c r="AM2566">
        <v>96.735024182724004</v>
      </c>
      <c r="AN2566">
        <v>0.99999999704392994</v>
      </c>
    </row>
    <row r="2567" spans="1:40" x14ac:dyDescent="0.25">
      <c r="A2567" t="str">
        <f>"20190304154810446"</f>
        <v>20190304154810446</v>
      </c>
      <c r="B2567" t="str">
        <f>"1551685690439511"</f>
        <v>1551685690439511</v>
      </c>
      <c r="C2567" t="s">
        <v>40</v>
      </c>
      <c r="D2567">
        <v>4.2276959999999999</v>
      </c>
      <c r="E2567">
        <v>0.55529019999999996</v>
      </c>
      <c r="F2567" t="s">
        <v>60</v>
      </c>
      <c r="G2567">
        <v>-386.58789999999999</v>
      </c>
      <c r="H2567" s="1">
        <v>1.9689649999999998E-6</v>
      </c>
      <c r="I2567">
        <v>289.58080000000001</v>
      </c>
      <c r="J2567">
        <v>-279.32709999999997</v>
      </c>
      <c r="K2567">
        <v>1.1104689999999999</v>
      </c>
      <c r="L2567">
        <v>285.49099999999999</v>
      </c>
      <c r="M2567">
        <v>-0.99993209999999999</v>
      </c>
      <c r="N2567">
        <v>-1.133839E-2</v>
      </c>
      <c r="O2567">
        <v>2.7554770000000001E-3</v>
      </c>
      <c r="P2567">
        <v>-0.98405220000000004</v>
      </c>
      <c r="Q2567">
        <v>0.13712149999999901</v>
      </c>
      <c r="R2567">
        <v>-0.1133083</v>
      </c>
      <c r="S2567">
        <v>-3.0668030000000002</v>
      </c>
      <c r="T2567">
        <v>-3.1680699999999999E-2</v>
      </c>
      <c r="U2567">
        <v>0.1166992</v>
      </c>
      <c r="V2567">
        <v>-0.1159483</v>
      </c>
      <c r="W2567">
        <v>0.14832239999999999</v>
      </c>
      <c r="X2567">
        <v>0.98211839999999995</v>
      </c>
      <c r="Y2567">
        <v>3.5267140000000002E-2</v>
      </c>
      <c r="Z2567">
        <v>3.8489360000000002E-4</v>
      </c>
      <c r="AA2567">
        <v>0.99937779999999998</v>
      </c>
      <c r="AB2567">
        <v>30</v>
      </c>
      <c r="AC2567">
        <v>-107.2608</v>
      </c>
      <c r="AD2567">
        <v>-1.110467031035</v>
      </c>
      <c r="AE2567">
        <v>4.0898000000000199</v>
      </c>
      <c r="AF2567">
        <v>3.7938048128783799</v>
      </c>
      <c r="AG2567">
        <v>-1.110467031035</v>
      </c>
      <c r="AH2567">
        <v>107.260182955058</v>
      </c>
      <c r="AI2567">
        <v>90.592792609446903</v>
      </c>
      <c r="AJ2567">
        <v>87.974286264106695</v>
      </c>
      <c r="AK2567">
        <v>107.333000235425</v>
      </c>
      <c r="AL2567">
        <v>81.470280722001505</v>
      </c>
      <c r="AM2567">
        <v>96.733138049737605</v>
      </c>
      <c r="AN2567">
        <v>1.0000000471166</v>
      </c>
    </row>
    <row r="2568" spans="1:40" x14ac:dyDescent="0.25">
      <c r="A2568" t="str">
        <f>"20190304154810459"</f>
        <v>20190304154810459</v>
      </c>
      <c r="B2568" t="str">
        <f>"1551685690449270"</f>
        <v>1551685690449270</v>
      </c>
      <c r="C2568" t="s">
        <v>40</v>
      </c>
      <c r="D2568">
        <v>4.233479</v>
      </c>
      <c r="E2568">
        <v>0.55523820000000002</v>
      </c>
      <c r="F2568" t="s">
        <v>60</v>
      </c>
      <c r="G2568">
        <v>-384.22160000000002</v>
      </c>
      <c r="H2568" s="1">
        <v>7.0974689999999898E-7</v>
      </c>
      <c r="I2568">
        <v>289.45679999999999</v>
      </c>
      <c r="J2568">
        <v>-279.50209999999998</v>
      </c>
      <c r="K2568">
        <v>1.110463</v>
      </c>
      <c r="L2568">
        <v>285.49160000000001</v>
      </c>
      <c r="M2568">
        <v>-0.99993149999999997</v>
      </c>
      <c r="N2568">
        <v>-1.1340090000000001E-2</v>
      </c>
      <c r="O2568">
        <v>2.8943900000000002E-3</v>
      </c>
      <c r="P2568">
        <v>-0.98415450000000004</v>
      </c>
      <c r="Q2568">
        <v>0.13693949999999999</v>
      </c>
      <c r="R2568">
        <v>-0.112639</v>
      </c>
      <c r="S2568">
        <v>-3.0664980000000002</v>
      </c>
      <c r="T2568">
        <v>-3.2463550000000001E-2</v>
      </c>
      <c r="U2568">
        <v>0.11593630000000001</v>
      </c>
      <c r="V2568">
        <v>-0.1154147</v>
      </c>
      <c r="W2568">
        <v>0.1481442</v>
      </c>
      <c r="X2568">
        <v>0.98220810000000003</v>
      </c>
      <c r="Y2568">
        <v>3.488368E-2</v>
      </c>
      <c r="Z2568">
        <v>3.846411E-4</v>
      </c>
      <c r="AA2568">
        <v>0.99939129999999998</v>
      </c>
      <c r="AB2568">
        <v>30</v>
      </c>
      <c r="AC2568">
        <v>-104.7195</v>
      </c>
      <c r="AD2568">
        <v>-1.1104622902531001</v>
      </c>
      <c r="AE2568">
        <v>3.9651999999999799</v>
      </c>
      <c r="AF2568">
        <v>3.6616536642869999</v>
      </c>
      <c r="AG2568">
        <v>-1.1104622902531001</v>
      </c>
      <c r="AH2568">
        <v>104.718780293066</v>
      </c>
      <c r="AI2568">
        <v>90.607183944796901</v>
      </c>
      <c r="AJ2568">
        <v>87.9973806077532</v>
      </c>
      <c r="AK2568">
        <v>104.788662459842</v>
      </c>
      <c r="AL2568">
        <v>81.480604519307306</v>
      </c>
      <c r="AM2568">
        <v>96.701827824883495</v>
      </c>
      <c r="AN2568">
        <v>1.00000000433767</v>
      </c>
    </row>
    <row r="2569" spans="1:40" x14ac:dyDescent="0.25">
      <c r="A2569" t="str">
        <f>"20190304154810470"</f>
        <v>20190304154810470</v>
      </c>
      <c r="B2569" t="str">
        <f>"1551685690459030"</f>
        <v>1551685690459030</v>
      </c>
      <c r="C2569" t="s">
        <v>40</v>
      </c>
      <c r="D2569">
        <v>4.2295239999999996</v>
      </c>
      <c r="E2569">
        <v>0.55521909999999997</v>
      </c>
      <c r="F2569" t="s">
        <v>60</v>
      </c>
      <c r="G2569">
        <v>-383.81139999999999</v>
      </c>
      <c r="H2569" s="1">
        <v>4.9146070000000003E-7</v>
      </c>
      <c r="I2569">
        <v>289.48950000000002</v>
      </c>
      <c r="J2569">
        <v>-279.6687</v>
      </c>
      <c r="K2569">
        <v>1.110457</v>
      </c>
      <c r="L2569">
        <v>285.49220000000003</v>
      </c>
      <c r="M2569">
        <v>-0.99993109999999996</v>
      </c>
      <c r="N2569">
        <v>-1.134168E-2</v>
      </c>
      <c r="O2569">
        <v>3.0270340000000001E-3</v>
      </c>
      <c r="P2569">
        <v>-0.98419089999999998</v>
      </c>
      <c r="Q2569">
        <v>0.13680220000000001</v>
      </c>
      <c r="R2569">
        <v>-0.1124867</v>
      </c>
      <c r="S2569">
        <v>-3.0663149999999999</v>
      </c>
      <c r="T2569">
        <v>-3.2643560000000002E-2</v>
      </c>
      <c r="U2569">
        <v>0.11752319999999999</v>
      </c>
      <c r="V2569">
        <v>-0.1153917</v>
      </c>
      <c r="W2569">
        <v>0.1480098</v>
      </c>
      <c r="X2569">
        <v>0.98223110000000002</v>
      </c>
      <c r="Y2569">
        <v>3.5269759999999997E-2</v>
      </c>
      <c r="Z2569">
        <v>3.8987350000000001E-4</v>
      </c>
      <c r="AA2569">
        <v>0.99937770000000004</v>
      </c>
      <c r="AB2569">
        <v>30</v>
      </c>
      <c r="AC2569">
        <v>-104.1427</v>
      </c>
      <c r="AD2569">
        <v>-1.1104565085392999</v>
      </c>
      <c r="AE2569">
        <v>3.9972999999999899</v>
      </c>
      <c r="AF2569">
        <v>3.6815999454793999</v>
      </c>
      <c r="AG2569">
        <v>-1.1104565085392999</v>
      </c>
      <c r="AH2569">
        <v>104.142500378207</v>
      </c>
      <c r="AI2569">
        <v>90.610532154059399</v>
      </c>
      <c r="AJ2569">
        <v>87.975347904488402</v>
      </c>
      <c r="AK2569">
        <v>104.21347166677</v>
      </c>
      <c r="AL2569">
        <v>81.488391212583707</v>
      </c>
      <c r="AM2569">
        <v>96.700348947351898</v>
      </c>
      <c r="AN2569">
        <v>1.00000003956606</v>
      </c>
    </row>
    <row r="2570" spans="1:40" x14ac:dyDescent="0.25">
      <c r="A2570" t="str">
        <f>"20190304154810483"</f>
        <v>20190304154810483</v>
      </c>
      <c r="B2570" t="str">
        <f>"1551685690479530"</f>
        <v>1551685690479530</v>
      </c>
      <c r="C2570" t="s">
        <v>40</v>
      </c>
      <c r="D2570">
        <v>4.1710010000000004</v>
      </c>
      <c r="E2570">
        <v>0.55531119999999901</v>
      </c>
      <c r="F2570" t="s">
        <v>60</v>
      </c>
      <c r="G2570">
        <v>-384.17989999999998</v>
      </c>
      <c r="H2570" s="1">
        <v>6.8753369999999899E-7</v>
      </c>
      <c r="I2570">
        <v>289.5043</v>
      </c>
      <c r="J2570">
        <v>-279.82929999999999</v>
      </c>
      <c r="K2570">
        <v>1.11046</v>
      </c>
      <c r="L2570">
        <v>285.49290000000002</v>
      </c>
      <c r="M2570">
        <v>-0.99993069999999895</v>
      </c>
      <c r="N2570">
        <v>-1.1343219999999999E-2</v>
      </c>
      <c r="O2570">
        <v>3.156023E-3</v>
      </c>
      <c r="P2570">
        <v>-0.98419000000000001</v>
      </c>
      <c r="Q2570">
        <v>0.1366695</v>
      </c>
      <c r="R2570">
        <v>-0.11265650000000001</v>
      </c>
      <c r="S2570">
        <v>-3.0661619999999998</v>
      </c>
      <c r="T2570">
        <v>-3.2578709999999997E-2</v>
      </c>
      <c r="U2570">
        <v>0.1177063</v>
      </c>
      <c r="V2570">
        <v>-0.1156882</v>
      </c>
      <c r="W2570">
        <v>0.1478787</v>
      </c>
      <c r="X2570">
        <v>0.98221590000000003</v>
      </c>
      <c r="Y2570">
        <v>3.520235E-2</v>
      </c>
      <c r="Z2570">
        <v>3.8895660000000002E-4</v>
      </c>
      <c r="AA2570">
        <v>0.99938009999999999</v>
      </c>
      <c r="AB2570">
        <v>30</v>
      </c>
      <c r="AC2570">
        <v>-104.3506</v>
      </c>
      <c r="AD2570">
        <v>-1.1104593124663</v>
      </c>
      <c r="AE2570">
        <v>4.0113999999999796</v>
      </c>
      <c r="AF2570">
        <v>3.6816096369176301</v>
      </c>
      <c r="AG2570">
        <v>-1.1104593124663</v>
      </c>
      <c r="AH2570">
        <v>104.350941439362</v>
      </c>
      <c r="AI2570">
        <v>90.609315761743702</v>
      </c>
      <c r="AJ2570">
        <v>87.979383477714407</v>
      </c>
      <c r="AK2570">
        <v>104.42177143050399</v>
      </c>
      <c r="AL2570">
        <v>81.495985687294606</v>
      </c>
      <c r="AM2570">
        <v>96.717511422349702</v>
      </c>
      <c r="AN2570">
        <v>0.99999997187286904</v>
      </c>
    </row>
    <row r="2571" spans="1:40" x14ac:dyDescent="0.25">
      <c r="A2571" t="str">
        <f>"20190304154810496"</f>
        <v>20190304154810496</v>
      </c>
      <c r="B2571" t="str">
        <f>"1551685690489290"</f>
        <v>1551685690489290</v>
      </c>
      <c r="C2571" t="s">
        <v>40</v>
      </c>
      <c r="D2571">
        <v>4.1814169999999997</v>
      </c>
      <c r="E2571">
        <v>0.55531119999999901</v>
      </c>
      <c r="F2571" t="s">
        <v>60</v>
      </c>
      <c r="G2571">
        <v>-386.96080000000001</v>
      </c>
      <c r="H2571">
        <v>2.046839E-2</v>
      </c>
      <c r="I2571">
        <v>289.61630000000002</v>
      </c>
      <c r="J2571">
        <v>-280.00299999999999</v>
      </c>
      <c r="K2571">
        <v>1.110452</v>
      </c>
      <c r="L2571">
        <v>285.49349999999998</v>
      </c>
      <c r="M2571">
        <v>-0.99993019999999999</v>
      </c>
      <c r="N2571">
        <v>-1.134489E-2</v>
      </c>
      <c r="O2571">
        <v>3.295381E-3</v>
      </c>
      <c r="P2571">
        <v>-0.98426599999999997</v>
      </c>
      <c r="Q2571">
        <v>0.13636819999999999</v>
      </c>
      <c r="R2571">
        <v>-0.1123571</v>
      </c>
      <c r="S2571">
        <v>-3.0660400000000001</v>
      </c>
      <c r="T2571">
        <v>-3.1194929999999999E-2</v>
      </c>
      <c r="U2571">
        <v>0.11801150000000001</v>
      </c>
      <c r="V2571">
        <v>-0.1155257</v>
      </c>
      <c r="W2571">
        <v>0.14757970000000001</v>
      </c>
      <c r="X2571">
        <v>0.98228000000000004</v>
      </c>
      <c r="Y2571">
        <v>3.5164180000000003E-2</v>
      </c>
      <c r="Z2571">
        <v>3.8223279999999998E-4</v>
      </c>
      <c r="AA2571">
        <v>0.99938150000000003</v>
      </c>
      <c r="AB2571">
        <v>30</v>
      </c>
      <c r="AC2571">
        <v>-106.95780000000001</v>
      </c>
      <c r="AD2571">
        <v>-1.08998361</v>
      </c>
      <c r="AE2571">
        <v>4.1228000000000398</v>
      </c>
      <c r="AF2571">
        <v>3.7698972889297999</v>
      </c>
      <c r="AG2571">
        <v>-1.08998361</v>
      </c>
      <c r="AH2571">
        <v>106.959714734657</v>
      </c>
      <c r="AI2571">
        <v>90.583495834516796</v>
      </c>
      <c r="AJ2571">
        <v>87.981391149374502</v>
      </c>
      <c r="AK2571">
        <v>107.03168113207499</v>
      </c>
      <c r="AL2571">
        <v>81.513307222164997</v>
      </c>
      <c r="AM2571">
        <v>96.707728042375194</v>
      </c>
      <c r="AN2571">
        <v>0.99999997680628905</v>
      </c>
    </row>
    <row r="2572" spans="1:40" x14ac:dyDescent="0.25">
      <c r="A2572" t="str">
        <f>"20190304154810512"</f>
        <v>20190304154810512</v>
      </c>
      <c r="B2572" t="str">
        <f>"1551685690509787"</f>
        <v>1551685690509787</v>
      </c>
      <c r="C2572" t="s">
        <v>40</v>
      </c>
      <c r="D2572">
        <v>4.2278909999999996</v>
      </c>
      <c r="E2572">
        <v>0.57261209999999996</v>
      </c>
      <c r="F2572" t="s">
        <v>60</v>
      </c>
      <c r="G2572">
        <v>-385.75170000000003</v>
      </c>
      <c r="H2572" s="1">
        <v>1.523964E-6</v>
      </c>
      <c r="I2572">
        <v>289.58609999999999</v>
      </c>
      <c r="J2572">
        <v>-280.2285</v>
      </c>
      <c r="K2572">
        <v>1.110463</v>
      </c>
      <c r="L2572">
        <v>285.49450000000002</v>
      </c>
      <c r="M2572">
        <v>-0.99992959999999997</v>
      </c>
      <c r="N2572">
        <v>-1.1347070000000001E-2</v>
      </c>
      <c r="O2572">
        <v>3.4761000000000002E-3</v>
      </c>
      <c r="P2572">
        <v>-0.98441129999999999</v>
      </c>
      <c r="Q2572">
        <v>0.13524239999999901</v>
      </c>
      <c r="R2572">
        <v>-0.11244460000000001</v>
      </c>
      <c r="S2572">
        <v>-3.0659179999999999</v>
      </c>
      <c r="T2572">
        <v>-3.2194729999999998E-2</v>
      </c>
      <c r="U2572">
        <v>0.1186523</v>
      </c>
      <c r="V2572">
        <v>-0.11579159999999999</v>
      </c>
      <c r="W2572">
        <v>0.14645810000000001</v>
      </c>
      <c r="X2572">
        <v>0.98241659999999997</v>
      </c>
      <c r="Y2572">
        <v>3.5193500000000003E-2</v>
      </c>
      <c r="Z2572">
        <v>3.8741490000000002E-4</v>
      </c>
      <c r="AA2572">
        <v>0.9993805</v>
      </c>
      <c r="AB2572">
        <v>30</v>
      </c>
      <c r="AC2572">
        <v>-105.5232</v>
      </c>
      <c r="AD2572">
        <v>-1.1104614760360001</v>
      </c>
      <c r="AE2572">
        <v>4.0915999999999704</v>
      </c>
      <c r="AF2572">
        <v>3.7243306531944</v>
      </c>
      <c r="AG2572">
        <v>-1.1104614760360001</v>
      </c>
      <c r="AH2572">
        <v>105.525117624221</v>
      </c>
      <c r="AI2572">
        <v>90.602537331628795</v>
      </c>
      <c r="AJ2572">
        <v>87.978681296311393</v>
      </c>
      <c r="AK2572">
        <v>105.59665815313301</v>
      </c>
      <c r="AL2572">
        <v>81.578276536919802</v>
      </c>
      <c r="AM2572">
        <v>96.722099490381297</v>
      </c>
      <c r="AN2572">
        <v>1.0000000228208601</v>
      </c>
    </row>
    <row r="2573" spans="1:40" x14ac:dyDescent="0.25">
      <c r="A2573" t="str">
        <f>"20190304154810525"</f>
        <v>20190304154810525</v>
      </c>
      <c r="B2573" t="str">
        <f>"1551685690519546"</f>
        <v>1551685690519546</v>
      </c>
      <c r="C2573" t="s">
        <v>40</v>
      </c>
      <c r="D2573">
        <v>4.171977</v>
      </c>
      <c r="E2573">
        <v>0.57216869999999997</v>
      </c>
      <c r="F2573" t="s">
        <v>64</v>
      </c>
      <c r="G2573">
        <v>-446.99799999999999</v>
      </c>
      <c r="H2573">
        <v>3.0061499999999999</v>
      </c>
      <c r="I2573">
        <v>299.24849999999998</v>
      </c>
      <c r="J2573">
        <v>-280.4153</v>
      </c>
      <c r="K2573">
        <v>1.1104560000000001</v>
      </c>
      <c r="L2573">
        <v>285.49529999999999</v>
      </c>
      <c r="M2573">
        <v>-0.99992910000000002</v>
      </c>
      <c r="N2573">
        <v>-1.13489E-2</v>
      </c>
      <c r="O2573">
        <v>3.6253449999999999E-3</v>
      </c>
      <c r="P2573">
        <v>-0.98451820000000001</v>
      </c>
      <c r="Q2573">
        <v>0.13485</v>
      </c>
      <c r="R2573">
        <v>-0.1119796</v>
      </c>
      <c r="S2573">
        <v>-3.071625</v>
      </c>
      <c r="T2573">
        <v>3.4915689999999999E-2</v>
      </c>
      <c r="U2573">
        <v>0.25332640000000001</v>
      </c>
      <c r="V2573">
        <v>-0.1154741</v>
      </c>
      <c r="W2573">
        <v>0.146068899999999</v>
      </c>
      <c r="X2573">
        <v>0.98251189999999999</v>
      </c>
      <c r="Y2573">
        <v>7.8581139999999994E-2</v>
      </c>
      <c r="Z2573" s="1">
        <v>8.3034740000000002E-5</v>
      </c>
      <c r="AA2573">
        <v>0.99690769999999995</v>
      </c>
      <c r="AB2573">
        <v>31</v>
      </c>
      <c r="AC2573">
        <v>-166.58269999999999</v>
      </c>
      <c r="AD2573">
        <v>1.89569399999999</v>
      </c>
      <c r="AE2573">
        <v>13.7531999999999</v>
      </c>
      <c r="AF2573">
        <v>13.1474599019251</v>
      </c>
      <c r="AG2573">
        <v>1.89569399999999</v>
      </c>
      <c r="AH2573">
        <v>166.610038180901</v>
      </c>
      <c r="AI2573">
        <v>89.350135088079597</v>
      </c>
      <c r="AJ2573">
        <v>85.488049869274207</v>
      </c>
      <c r="AK2573">
        <v>167.13872735023401</v>
      </c>
      <c r="AL2573">
        <v>81.600818390003596</v>
      </c>
      <c r="AM2573">
        <v>96.703191185772596</v>
      </c>
      <c r="AN2573">
        <v>1.0000000124798101</v>
      </c>
    </row>
    <row r="2574" spans="1:40" x14ac:dyDescent="0.25">
      <c r="A2574" t="str">
        <f>"20190304154810547"</f>
        <v>20190304154810547</v>
      </c>
      <c r="B2574" t="str">
        <f>"1551685690539065"</f>
        <v>1551685690539065</v>
      </c>
      <c r="C2574" t="s">
        <v>40</v>
      </c>
      <c r="D2574">
        <v>4.1860720000000002</v>
      </c>
      <c r="E2574">
        <v>0.57217739999999995</v>
      </c>
      <c r="F2574" t="s">
        <v>64</v>
      </c>
      <c r="G2574">
        <v>-448.49</v>
      </c>
      <c r="H2574">
        <v>2.9237790000000001</v>
      </c>
      <c r="I2574">
        <v>299.24849999999998</v>
      </c>
      <c r="J2574">
        <v>-280.71499999999997</v>
      </c>
      <c r="K2574">
        <v>1.1104620000000001</v>
      </c>
      <c r="L2574">
        <v>285.4966</v>
      </c>
      <c r="M2574">
        <v>-0.99992809999999999</v>
      </c>
      <c r="N2574">
        <v>-1.135185E-2</v>
      </c>
      <c r="O2574">
        <v>3.8641090000000001E-3</v>
      </c>
      <c r="P2574">
        <v>-0.98454330000000001</v>
      </c>
      <c r="Q2574">
        <v>0.13441539999999999</v>
      </c>
      <c r="R2574">
        <v>-0.1122807</v>
      </c>
      <c r="S2574">
        <v>-3.0712280000000001</v>
      </c>
      <c r="T2574">
        <v>3.3135060000000001E-2</v>
      </c>
      <c r="U2574">
        <v>0.25131229999999999</v>
      </c>
      <c r="V2574">
        <v>-0.11601</v>
      </c>
      <c r="W2574">
        <v>0.14563779999999901</v>
      </c>
      <c r="X2574">
        <v>0.98251279999999996</v>
      </c>
      <c r="Y2574">
        <v>7.7704460000000003E-2</v>
      </c>
      <c r="Z2574">
        <v>1.08743E-4</v>
      </c>
      <c r="AA2574">
        <v>0.99697639999999998</v>
      </c>
      <c r="AB2574">
        <v>31</v>
      </c>
      <c r="AC2574">
        <v>-167.77500000000001</v>
      </c>
      <c r="AD2574">
        <v>1.8133169999999901</v>
      </c>
      <c r="AE2574">
        <v>13.7518999999999</v>
      </c>
      <c r="AF2574">
        <v>13.1019343878879</v>
      </c>
      <c r="AG2574">
        <v>1.8133169999999901</v>
      </c>
      <c r="AH2574">
        <v>167.80741819491499</v>
      </c>
      <c r="AI2574">
        <v>89.382767639638601</v>
      </c>
      <c r="AJ2574">
        <v>85.535562720862202</v>
      </c>
      <c r="AK2574">
        <v>168.32788956227699</v>
      </c>
      <c r="AL2574">
        <v>81.625785872917504</v>
      </c>
      <c r="AM2574">
        <v>96.734008658100095</v>
      </c>
      <c r="AN2574">
        <v>1.00000004552633</v>
      </c>
    </row>
    <row r="2575" spans="1:40" x14ac:dyDescent="0.25">
      <c r="A2575" t="str">
        <f>"20190304154810561"</f>
        <v>20190304154810561</v>
      </c>
      <c r="B2575" t="str">
        <f>"1551685690559561"</f>
        <v>1551685690559561</v>
      </c>
      <c r="C2575" t="s">
        <v>40</v>
      </c>
      <c r="D2575">
        <v>4.1574030000000004</v>
      </c>
      <c r="E2575">
        <v>0.57184259999999998</v>
      </c>
      <c r="F2575" t="s">
        <v>64</v>
      </c>
      <c r="G2575">
        <v>-455.35860000000002</v>
      </c>
      <c r="H2575">
        <v>3.2380260000000001</v>
      </c>
      <c r="I2575">
        <v>299.74189999999999</v>
      </c>
      <c r="J2575">
        <v>-280.9058</v>
      </c>
      <c r="K2575">
        <v>1.1104620000000001</v>
      </c>
      <c r="L2575">
        <v>285.49759999999998</v>
      </c>
      <c r="M2575">
        <v>-0.99992749999999997</v>
      </c>
      <c r="N2575">
        <v>-1.1353749999999999E-2</v>
      </c>
      <c r="O2575">
        <v>4.0152E-3</v>
      </c>
      <c r="P2575">
        <v>-0.98464799999999997</v>
      </c>
      <c r="Q2575">
        <v>0.13415940000000001</v>
      </c>
      <c r="R2575">
        <v>-0.11166760000000001</v>
      </c>
      <c r="S2575">
        <v>-3.070557</v>
      </c>
      <c r="T2575">
        <v>3.7406679999999998E-2</v>
      </c>
      <c r="U2575">
        <v>0.25045780000000001</v>
      </c>
      <c r="V2575">
        <v>-0.11554589999999899</v>
      </c>
      <c r="W2575">
        <v>0.1453844</v>
      </c>
      <c r="X2575">
        <v>0.98260499999999995</v>
      </c>
      <c r="Y2575">
        <v>7.7295470000000005E-2</v>
      </c>
      <c r="Z2575" s="1">
        <v>6.3857469999999906E-5</v>
      </c>
      <c r="AA2575">
        <v>0.99700820000000001</v>
      </c>
      <c r="AB2575">
        <v>31</v>
      </c>
      <c r="AC2575">
        <v>-174.4528</v>
      </c>
      <c r="AD2575">
        <v>2.127564</v>
      </c>
      <c r="AE2575">
        <v>14.244300000000001</v>
      </c>
      <c r="AF2575">
        <v>13.541676375729599</v>
      </c>
      <c r="AG2575">
        <v>2.127564</v>
      </c>
      <c r="AH2575">
        <v>174.482811359994</v>
      </c>
      <c r="AI2575">
        <v>89.3034902716267</v>
      </c>
      <c r="AJ2575">
        <v>85.562149086934895</v>
      </c>
      <c r="AK2575">
        <v>175.02044162818899</v>
      </c>
      <c r="AL2575">
        <v>81.640460703262605</v>
      </c>
      <c r="AM2575">
        <v>96.706691446021594</v>
      </c>
      <c r="AN2575">
        <v>1.00000003239758</v>
      </c>
    </row>
    <row r="2576" spans="1:40" x14ac:dyDescent="0.25">
      <c r="A2576" t="str">
        <f>"20190304154810575"</f>
        <v>20190304154810575</v>
      </c>
      <c r="B2576" t="str">
        <f>"1551685690569424"</f>
        <v>1551685690569424</v>
      </c>
      <c r="C2576" t="s">
        <v>40</v>
      </c>
      <c r="D2576">
        <v>4.179583</v>
      </c>
      <c r="E2576">
        <v>0.57201990000000003</v>
      </c>
      <c r="F2576" t="s">
        <v>64</v>
      </c>
      <c r="G2576">
        <v>-455.35860000000002</v>
      </c>
      <c r="H2576">
        <v>3.2976510000000001</v>
      </c>
      <c r="I2576">
        <v>299.66309999999999</v>
      </c>
      <c r="J2576">
        <v>-281.07409999999999</v>
      </c>
      <c r="K2576">
        <v>1.1104620000000001</v>
      </c>
      <c r="L2576">
        <v>285.4984</v>
      </c>
      <c r="M2576">
        <v>-0.99992700000000001</v>
      </c>
      <c r="N2576">
        <v>-1.135544E-2</v>
      </c>
      <c r="O2576">
        <v>4.1481110000000003E-3</v>
      </c>
      <c r="P2576">
        <v>-0.98465539999999996</v>
      </c>
      <c r="Q2576">
        <v>0.13419</v>
      </c>
      <c r="R2576">
        <v>-0.11156480000000001</v>
      </c>
      <c r="S2576">
        <v>-3.0697939999999999</v>
      </c>
      <c r="T2576">
        <v>3.8487550000000002E-2</v>
      </c>
      <c r="U2576">
        <v>0.24926760000000001</v>
      </c>
      <c r="V2576">
        <v>-0.11557389999999999</v>
      </c>
      <c r="W2576">
        <v>0.1454165</v>
      </c>
      <c r="X2576">
        <v>0.9825969</v>
      </c>
      <c r="Y2576">
        <v>7.6798909999999998E-2</v>
      </c>
      <c r="Z2576" s="1">
        <v>5.5094309999999898E-5</v>
      </c>
      <c r="AA2576">
        <v>0.99704660000000001</v>
      </c>
      <c r="AB2576">
        <v>31</v>
      </c>
      <c r="AC2576">
        <v>-174.28450000000001</v>
      </c>
      <c r="AD2576">
        <v>2.187189</v>
      </c>
      <c r="AE2576">
        <v>14.1646999999999</v>
      </c>
      <c r="AF2576">
        <v>13.439477404812999</v>
      </c>
      <c r="AG2576">
        <v>2.187189</v>
      </c>
      <c r="AH2576">
        <v>174.31448811528301</v>
      </c>
      <c r="AI2576">
        <v>89.283253060731795</v>
      </c>
      <c r="AJ2576">
        <v>85.591272891116503</v>
      </c>
      <c r="AK2576">
        <v>174.84548640307901</v>
      </c>
      <c r="AL2576">
        <v>81.638601281637406</v>
      </c>
      <c r="AM2576">
        <v>96.708356650287897</v>
      </c>
      <c r="AN2576">
        <v>0.99999997636153404</v>
      </c>
    </row>
    <row r="2577" spans="1:40" x14ac:dyDescent="0.25">
      <c r="A2577" t="str">
        <f>"20190304154810589"</f>
        <v>20190304154810589</v>
      </c>
      <c r="B2577" t="str">
        <f>"1551685690579185"</f>
        <v>1551685690579185</v>
      </c>
      <c r="C2577" t="s">
        <v>40</v>
      </c>
      <c r="D2577">
        <v>4.1473449999999996</v>
      </c>
      <c r="E2577">
        <v>0.57217680000000004</v>
      </c>
      <c r="F2577" t="s">
        <v>64</v>
      </c>
      <c r="G2577">
        <v>-455.35860000000002</v>
      </c>
      <c r="H2577">
        <v>3.3399779999999999</v>
      </c>
      <c r="I2577">
        <v>299.74720000000002</v>
      </c>
      <c r="J2577">
        <v>-281.29730000000001</v>
      </c>
      <c r="K2577">
        <v>1.1104590000000001</v>
      </c>
      <c r="L2577">
        <v>285.49950000000001</v>
      </c>
      <c r="M2577">
        <v>-0.99992619999999999</v>
      </c>
      <c r="N2577">
        <v>-1.135767E-2</v>
      </c>
      <c r="O2577">
        <v>4.3249450000000002E-3</v>
      </c>
      <c r="P2577">
        <v>-0.98466120000000001</v>
      </c>
      <c r="Q2577">
        <v>0.13433110000000001</v>
      </c>
      <c r="R2577">
        <v>-0.11134479999999999</v>
      </c>
      <c r="S2577">
        <v>-3.0698240000000001</v>
      </c>
      <c r="T2577">
        <v>3.9270640000000002E-2</v>
      </c>
      <c r="U2577">
        <v>0.25097659999999999</v>
      </c>
      <c r="V2577">
        <v>-0.1155278</v>
      </c>
      <c r="W2577">
        <v>0.14555989999999999</v>
      </c>
      <c r="X2577">
        <v>0.98258109999999999</v>
      </c>
      <c r="Y2577">
        <v>7.7173110000000003E-2</v>
      </c>
      <c r="Z2577" s="1">
        <v>5.0493459999999997E-5</v>
      </c>
      <c r="AA2577">
        <v>0.99701770000000001</v>
      </c>
      <c r="AB2577">
        <v>31</v>
      </c>
      <c r="AC2577">
        <v>-174.06129999999999</v>
      </c>
      <c r="AD2577">
        <v>2.2295189999999998</v>
      </c>
      <c r="AE2577">
        <v>14.2477</v>
      </c>
      <c r="AF2577">
        <v>13.4925137352351</v>
      </c>
      <c r="AG2577">
        <v>2.2295189999999998</v>
      </c>
      <c r="AH2577">
        <v>174.092923767516</v>
      </c>
      <c r="AI2577">
        <v>89.268475808447107</v>
      </c>
      <c r="AJ2577">
        <v>85.568333167345102</v>
      </c>
      <c r="AK2577">
        <v>174.62922088753899</v>
      </c>
      <c r="AL2577">
        <v>81.630296800330299</v>
      </c>
      <c r="AM2577">
        <v>96.705812046987901</v>
      </c>
      <c r="AN2577">
        <v>0.99999998756902997</v>
      </c>
    </row>
    <row r="2578" spans="1:40" x14ac:dyDescent="0.25">
      <c r="A2578" t="str">
        <f>"20190304154810602"</f>
        <v>20190304154810602</v>
      </c>
      <c r="B2578" t="str">
        <f>"1551685690599681"</f>
        <v>1551685690599681</v>
      </c>
      <c r="C2578" t="s">
        <v>40</v>
      </c>
      <c r="D2578">
        <v>4.1516609999999998</v>
      </c>
      <c r="E2578">
        <v>0.57241260000000005</v>
      </c>
      <c r="F2578" t="s">
        <v>64</v>
      </c>
      <c r="G2578">
        <v>-455.3587</v>
      </c>
      <c r="H2578">
        <v>3.4840900000000001</v>
      </c>
      <c r="I2578">
        <v>299.85199999999998</v>
      </c>
      <c r="J2578">
        <v>-281.46030000000002</v>
      </c>
      <c r="K2578">
        <v>1.1104590000000001</v>
      </c>
      <c r="L2578">
        <v>285.50029999999998</v>
      </c>
      <c r="M2578">
        <v>-0.99992570000000003</v>
      </c>
      <c r="N2578">
        <v>-1.135939E-2</v>
      </c>
      <c r="O2578">
        <v>4.4532670000000003E-3</v>
      </c>
      <c r="P2578">
        <v>-0.98466580000000004</v>
      </c>
      <c r="Q2578">
        <v>0.13443769999999999</v>
      </c>
      <c r="R2578">
        <v>-0.1111743</v>
      </c>
      <c r="S2578">
        <v>-3.0696409999999998</v>
      </c>
      <c r="T2578">
        <v>4.1860099999999997E-2</v>
      </c>
      <c r="U2578">
        <v>0.25311280000000003</v>
      </c>
      <c r="V2578">
        <v>-0.1154834</v>
      </c>
      <c r="W2578">
        <v>0.1456684</v>
      </c>
      <c r="X2578">
        <v>0.98257019999999995</v>
      </c>
      <c r="Y2578">
        <v>7.7738810000000005E-2</v>
      </c>
      <c r="Z2578" s="1">
        <v>2.4286509999999999E-5</v>
      </c>
      <c r="AA2578">
        <v>0.99697380000000002</v>
      </c>
      <c r="AB2578">
        <v>31</v>
      </c>
      <c r="AC2578">
        <v>-173.89839999999899</v>
      </c>
      <c r="AD2578">
        <v>2.373631</v>
      </c>
      <c r="AE2578">
        <v>14.351699999999999</v>
      </c>
      <c r="AF2578">
        <v>13.574579838175</v>
      </c>
      <c r="AG2578">
        <v>2.373631</v>
      </c>
      <c r="AH2578">
        <v>173.92840618029501</v>
      </c>
      <c r="AI2578">
        <v>89.220493354608294</v>
      </c>
      <c r="AJ2578">
        <v>85.537286355842596</v>
      </c>
      <c r="AK2578">
        <v>174.473475973642</v>
      </c>
      <c r="AL2578">
        <v>81.624012902233503</v>
      </c>
      <c r="AM2578">
        <v>96.703331990776903</v>
      </c>
      <c r="AN2578">
        <v>0.99999994818107796</v>
      </c>
    </row>
    <row r="2579" spans="1:40" x14ac:dyDescent="0.25">
      <c r="A2579" t="str">
        <f>"20190304154810615"</f>
        <v>20190304154810615</v>
      </c>
      <c r="B2579" t="str">
        <f>"1551685690609441"</f>
        <v>1551685690609441</v>
      </c>
      <c r="C2579" t="s">
        <v>40</v>
      </c>
      <c r="D2579">
        <v>4.1684210000000004</v>
      </c>
      <c r="E2579">
        <v>0.57253430000000005</v>
      </c>
      <c r="F2579" t="s">
        <v>64</v>
      </c>
      <c r="G2579">
        <v>-455.3587</v>
      </c>
      <c r="H2579">
        <v>3.5868090000000001</v>
      </c>
      <c r="I2579">
        <v>299.96589999999998</v>
      </c>
      <c r="J2579">
        <v>-281.63380000000001</v>
      </c>
      <c r="K2579">
        <v>1.1104449999999999</v>
      </c>
      <c r="L2579">
        <v>285.50119999999998</v>
      </c>
      <c r="M2579">
        <v>-0.99992479999999995</v>
      </c>
      <c r="N2579">
        <v>-1.136122E-2</v>
      </c>
      <c r="O2579">
        <v>4.5899920000000002E-3</v>
      </c>
      <c r="P2579">
        <v>-0.98450760000000004</v>
      </c>
      <c r="Q2579">
        <v>0.1351434</v>
      </c>
      <c r="R2579">
        <v>-0.1117192</v>
      </c>
      <c r="S2579">
        <v>-3.0695800000000002</v>
      </c>
      <c r="T2579">
        <v>4.3711659999999999E-2</v>
      </c>
      <c r="U2579">
        <v>0.25534059999999997</v>
      </c>
      <c r="V2579">
        <v>-0.11616170000000001</v>
      </c>
      <c r="W2579">
        <v>0.1463737</v>
      </c>
      <c r="X2579">
        <v>0.98238550000000002</v>
      </c>
      <c r="Y2579">
        <v>7.8322459999999997E-2</v>
      </c>
      <c r="Z2579" s="1">
        <v>6.328919E-6</v>
      </c>
      <c r="AA2579">
        <v>0.99692809999999998</v>
      </c>
      <c r="AB2579">
        <v>31</v>
      </c>
      <c r="AC2579">
        <v>-173.72489999999999</v>
      </c>
      <c r="AD2579">
        <v>2.4763639999999998</v>
      </c>
      <c r="AE2579">
        <v>14.464699999999899</v>
      </c>
      <c r="AF2579">
        <v>13.6643427816594</v>
      </c>
      <c r="AG2579">
        <v>2.4763639999999998</v>
      </c>
      <c r="AH2579">
        <v>173.75440459604101</v>
      </c>
      <c r="AI2579">
        <v>89.185983412495801</v>
      </c>
      <c r="AJ2579">
        <v>85.503416654386598</v>
      </c>
      <c r="AK2579">
        <v>174.30846152393099</v>
      </c>
      <c r="AL2579">
        <v>81.583165091164105</v>
      </c>
      <c r="AM2579">
        <v>96.743599026404695</v>
      </c>
      <c r="AN2579">
        <v>1.0000000356044101</v>
      </c>
    </row>
    <row r="2580" spans="1:40" x14ac:dyDescent="0.25">
      <c r="A2580" t="str">
        <f>"20190304154810626"</f>
        <v>20190304154810626</v>
      </c>
      <c r="B2580" t="str">
        <f>"1551685690619200"</f>
        <v>1551685690619200</v>
      </c>
      <c r="C2580" t="s">
        <v>40</v>
      </c>
      <c r="D2580">
        <v>4.1293850000000001</v>
      </c>
      <c r="E2580">
        <v>0.57258359999999997</v>
      </c>
      <c r="F2580" t="s">
        <v>64</v>
      </c>
      <c r="G2580">
        <v>-455.35879999999997</v>
      </c>
      <c r="H2580">
        <v>3.785393</v>
      </c>
      <c r="I2580">
        <v>299.91759999999999</v>
      </c>
      <c r="J2580">
        <v>-281.79140000000001</v>
      </c>
      <c r="K2580">
        <v>1.110441</v>
      </c>
      <c r="L2580">
        <v>285.50209999999998</v>
      </c>
      <c r="M2580">
        <v>-0.99992429999999999</v>
      </c>
      <c r="N2580">
        <v>-1.1362850000000001E-2</v>
      </c>
      <c r="O2580">
        <v>4.7142590000000002E-3</v>
      </c>
      <c r="P2580">
        <v>-0.98453420000000003</v>
      </c>
      <c r="Q2580">
        <v>0.13539889999999999</v>
      </c>
      <c r="R2580">
        <v>-0.11117440000000001</v>
      </c>
      <c r="S2580">
        <v>-3.0696110000000001</v>
      </c>
      <c r="T2580">
        <v>4.7264809999999997E-2</v>
      </c>
      <c r="U2580">
        <v>0.25473020000000002</v>
      </c>
      <c r="V2580">
        <v>-0.11573890000000001</v>
      </c>
      <c r="W2580">
        <v>0.1466317</v>
      </c>
      <c r="X2580">
        <v>0.98239690000000002</v>
      </c>
      <c r="Y2580">
        <v>7.8000239999999998E-2</v>
      </c>
      <c r="Z2580" s="1">
        <v>-2.9580549999999999E-5</v>
      </c>
      <c r="AA2580">
        <v>0.99695339999999999</v>
      </c>
      <c r="AB2580">
        <v>31</v>
      </c>
      <c r="AC2580">
        <v>-173.567399999999</v>
      </c>
      <c r="AD2580">
        <v>2.6749520000000002</v>
      </c>
      <c r="AE2580">
        <v>14.4155</v>
      </c>
      <c r="AF2580">
        <v>13.593838607352801</v>
      </c>
      <c r="AG2580">
        <v>2.6749520000000002</v>
      </c>
      <c r="AH2580">
        <v>173.59248503485799</v>
      </c>
      <c r="AI2580">
        <v>89.119871667764798</v>
      </c>
      <c r="AJ2580">
        <v>85.522367640690902</v>
      </c>
      <c r="AK2580">
        <v>174.14447644660601</v>
      </c>
      <c r="AL2580">
        <v>81.568221315828595</v>
      </c>
      <c r="AM2580">
        <v>96.719201558547397</v>
      </c>
      <c r="AN2580">
        <v>1.0000000087738501</v>
      </c>
    </row>
    <row r="2581" spans="1:40" x14ac:dyDescent="0.25">
      <c r="A2581" t="str">
        <f>"20190304154810648"</f>
        <v>20190304154810648</v>
      </c>
      <c r="B2581" t="str">
        <f>"1551685690639696"</f>
        <v>1551685690639696</v>
      </c>
      <c r="C2581" t="s">
        <v>40</v>
      </c>
      <c r="D2581">
        <v>4.0838320000000001</v>
      </c>
      <c r="E2581">
        <v>0.57260119999999903</v>
      </c>
      <c r="F2581" t="s">
        <v>64</v>
      </c>
      <c r="G2581">
        <v>-455.01119999999997</v>
      </c>
      <c r="H2581">
        <v>3.901138</v>
      </c>
      <c r="I2581">
        <v>299.99520000000001</v>
      </c>
      <c r="J2581">
        <v>-282.08510000000001</v>
      </c>
      <c r="K2581">
        <v>1.11043</v>
      </c>
      <c r="L2581">
        <v>285.50369999999998</v>
      </c>
      <c r="M2581">
        <v>-0.99992329999999996</v>
      </c>
      <c r="N2581">
        <v>-1.136581E-2</v>
      </c>
      <c r="O2581">
        <v>4.9436530000000001E-3</v>
      </c>
      <c r="P2581">
        <v>-0.98451259999999996</v>
      </c>
      <c r="Q2581">
        <v>0.13571639999999999</v>
      </c>
      <c r="R2581">
        <v>-0.1109808</v>
      </c>
      <c r="S2581">
        <v>-3.0693049999999999</v>
      </c>
      <c r="T2581">
        <v>4.9448970000000002E-2</v>
      </c>
      <c r="U2581">
        <v>0.25680540000000002</v>
      </c>
      <c r="V2581">
        <v>-0.115770899999999</v>
      </c>
      <c r="W2581">
        <v>0.14695150000000001</v>
      </c>
      <c r="X2581">
        <v>0.98234529999999998</v>
      </c>
      <c r="Y2581">
        <v>7.8448699999999996E-2</v>
      </c>
      <c r="Z2581" s="1">
        <v>-4.8588960000000002E-5</v>
      </c>
      <c r="AA2581">
        <v>0.99691810000000003</v>
      </c>
      <c r="AB2581">
        <v>31</v>
      </c>
      <c r="AC2581">
        <v>-172.926099999999</v>
      </c>
      <c r="AD2581">
        <v>2.7907079999999902</v>
      </c>
      <c r="AE2581">
        <v>14.4915</v>
      </c>
      <c r="AF2581">
        <v>13.632855352628299</v>
      </c>
      <c r="AG2581">
        <v>2.7907079999999902</v>
      </c>
      <c r="AH2581">
        <v>172.95090293651</v>
      </c>
      <c r="AI2581">
        <v>89.078422852287005</v>
      </c>
      <c r="AJ2581">
        <v>85.492979233897401</v>
      </c>
      <c r="AK2581">
        <v>173.50981996060301</v>
      </c>
      <c r="AL2581">
        <v>81.549697105373099</v>
      </c>
      <c r="AM2581">
        <v>96.721392128530297</v>
      </c>
      <c r="AN2581">
        <v>0.99999996653557399</v>
      </c>
    </row>
    <row r="2582" spans="1:40" x14ac:dyDescent="0.25">
      <c r="A2582" t="str">
        <f>"20190304154810660"</f>
        <v>20190304154810660</v>
      </c>
      <c r="B2582" t="str">
        <f>"1551685690649457"</f>
        <v>1551685690649457</v>
      </c>
      <c r="C2582" t="s">
        <v>40</v>
      </c>
      <c r="D2582">
        <v>4.1202430000000003</v>
      </c>
      <c r="E2582">
        <v>0.57277019999999901</v>
      </c>
      <c r="F2582" t="s">
        <v>64</v>
      </c>
      <c r="G2582">
        <v>-455.20479999999998</v>
      </c>
      <c r="H2582">
        <v>4.0499140000000002</v>
      </c>
      <c r="I2582">
        <v>299.99520000000001</v>
      </c>
      <c r="J2582">
        <v>-282.25439999999998</v>
      </c>
      <c r="K2582">
        <v>1.1104309999999999</v>
      </c>
      <c r="L2582">
        <v>285.50470000000001</v>
      </c>
      <c r="M2582">
        <v>-0.99992250000000005</v>
      </c>
      <c r="N2582">
        <v>-1.1367499999999999E-2</v>
      </c>
      <c r="O2582">
        <v>5.0742799999999996E-3</v>
      </c>
      <c r="P2582">
        <v>-0.98455150000000002</v>
      </c>
      <c r="Q2582">
        <v>0.1357833</v>
      </c>
      <c r="R2582">
        <v>-0.110551</v>
      </c>
      <c r="S2582">
        <v>-3.0689700000000002</v>
      </c>
      <c r="T2582">
        <v>5.2109719999999998E-2</v>
      </c>
      <c r="U2582">
        <v>0.25689699999999999</v>
      </c>
      <c r="V2582">
        <v>-0.1154703</v>
      </c>
      <c r="W2582">
        <v>0.14701939999999999</v>
      </c>
      <c r="X2582">
        <v>0.98237059999999998</v>
      </c>
      <c r="Y2582">
        <v>7.8356499999999996E-2</v>
      </c>
      <c r="Z2582" s="1">
        <v>-7.4282170000000003E-5</v>
      </c>
      <c r="AA2582">
        <v>0.99692539999999996</v>
      </c>
      <c r="AB2582">
        <v>31</v>
      </c>
      <c r="AC2582">
        <v>-172.9504</v>
      </c>
      <c r="AD2582">
        <v>2.9394830000000001</v>
      </c>
      <c r="AE2582">
        <v>14.4904999999999</v>
      </c>
      <c r="AF2582">
        <v>13.608754223299799</v>
      </c>
      <c r="AG2582">
        <v>2.9394830000000001</v>
      </c>
      <c r="AH2582">
        <v>172.97208899466301</v>
      </c>
      <c r="AI2582">
        <v>89.029409514333807</v>
      </c>
      <c r="AJ2582">
        <v>85.501463120977704</v>
      </c>
      <c r="AK2582">
        <v>173.531502393643</v>
      </c>
      <c r="AL2582">
        <v>81.545764670825506</v>
      </c>
      <c r="AM2582">
        <v>96.703927957871997</v>
      </c>
      <c r="AN2582">
        <v>1.0000000449513999</v>
      </c>
    </row>
    <row r="2583" spans="1:40" x14ac:dyDescent="0.25">
      <c r="A2583" t="str">
        <f>"20190304154810672"</f>
        <v>20190304154810672</v>
      </c>
      <c r="B2583" t="str">
        <f>"1551685690668977"</f>
        <v>1551685690668977</v>
      </c>
      <c r="C2583" t="s">
        <v>40</v>
      </c>
      <c r="D2583">
        <v>4.1081789999999998</v>
      </c>
      <c r="E2583">
        <v>0.57287379999999999</v>
      </c>
      <c r="F2583" t="s">
        <v>64</v>
      </c>
      <c r="G2583">
        <v>-440.86470000000003</v>
      </c>
      <c r="H2583">
        <v>3.8586390000000002</v>
      </c>
      <c r="I2583">
        <v>298.90839999999997</v>
      </c>
      <c r="J2583">
        <v>-282.42290000000003</v>
      </c>
      <c r="K2583">
        <v>1.11043</v>
      </c>
      <c r="L2583">
        <v>285.50569999999999</v>
      </c>
      <c r="M2583">
        <v>-0.99992190000000003</v>
      </c>
      <c r="N2583">
        <v>-1.136918E-2</v>
      </c>
      <c r="O2583">
        <v>5.2032320000000003E-3</v>
      </c>
      <c r="P2583">
        <v>-0.98452660000000003</v>
      </c>
      <c r="Q2583">
        <v>0.13570360000000001</v>
      </c>
      <c r="R2583">
        <v>-0.1108702</v>
      </c>
      <c r="S2583">
        <v>-3.068848</v>
      </c>
      <c r="T2583">
        <v>5.3173900000000003E-2</v>
      </c>
      <c r="U2583">
        <v>0.25933840000000002</v>
      </c>
      <c r="V2583">
        <v>-0.1159162</v>
      </c>
      <c r="W2583">
        <v>0.1469406</v>
      </c>
      <c r="X2583">
        <v>0.98232980000000003</v>
      </c>
      <c r="Y2583">
        <v>7.901851E-2</v>
      </c>
      <c r="Z2583" s="1">
        <v>-8.426141E-5</v>
      </c>
      <c r="AA2583">
        <v>0.99687309999999996</v>
      </c>
      <c r="AB2583">
        <v>31</v>
      </c>
      <c r="AC2583">
        <v>-158.4418</v>
      </c>
      <c r="AD2583">
        <v>2.7482090000000001</v>
      </c>
      <c r="AE2583">
        <v>13.4026999999999</v>
      </c>
      <c r="AF2583">
        <v>12.5742996853339</v>
      </c>
      <c r="AG2583">
        <v>2.7482090000000001</v>
      </c>
      <c r="AH2583">
        <v>158.46206108155499</v>
      </c>
      <c r="AI2583">
        <v>89.009531225675502</v>
      </c>
      <c r="AJ2583">
        <v>85.462965649898393</v>
      </c>
      <c r="AK2583">
        <v>158.98393147579</v>
      </c>
      <c r="AL2583">
        <v>81.550328518409003</v>
      </c>
      <c r="AM2583">
        <v>96.729855800746805</v>
      </c>
      <c r="AN2583">
        <v>0.99999997065941904</v>
      </c>
    </row>
    <row r="2584" spans="1:40" x14ac:dyDescent="0.25">
      <c r="A2584" t="str">
        <f>"20190304154810685"</f>
        <v>20190304154810685</v>
      </c>
      <c r="B2584" t="str">
        <f>"1551685690679713"</f>
        <v>1551685690679713</v>
      </c>
      <c r="C2584" t="s">
        <v>40</v>
      </c>
      <c r="D2584">
        <v>4.092193</v>
      </c>
      <c r="E2584">
        <v>0.57292449999999995</v>
      </c>
      <c r="F2584" t="s">
        <v>64</v>
      </c>
      <c r="G2584">
        <v>-441.07619999999997</v>
      </c>
      <c r="H2584">
        <v>3.939425</v>
      </c>
      <c r="I2584">
        <v>298.90839999999997</v>
      </c>
      <c r="J2584">
        <v>-282.59800000000001</v>
      </c>
      <c r="K2584">
        <v>1.1104259999999999</v>
      </c>
      <c r="L2584">
        <v>285.50670000000002</v>
      </c>
      <c r="M2584">
        <v>-0.99992110000000001</v>
      </c>
      <c r="N2584">
        <v>-1.137092E-2</v>
      </c>
      <c r="O2584">
        <v>5.3328219999999897E-3</v>
      </c>
      <c r="P2584">
        <v>-0.9844908</v>
      </c>
      <c r="Q2584">
        <v>0.13571929999999999</v>
      </c>
      <c r="R2584">
        <v>-0.11116719999999999</v>
      </c>
      <c r="S2584">
        <v>-3.0688170000000001</v>
      </c>
      <c r="T2584">
        <v>5.4721590000000001E-2</v>
      </c>
      <c r="U2584">
        <v>0.2592468</v>
      </c>
      <c r="V2584">
        <v>-0.11634170000000001</v>
      </c>
      <c r="W2584">
        <v>0.14695710000000001</v>
      </c>
      <c r="X2584">
        <v>0.98227699999999996</v>
      </c>
      <c r="Y2584">
        <v>7.886029E-2</v>
      </c>
      <c r="Z2584" s="1">
        <v>-9.7172680000000004E-5</v>
      </c>
      <c r="AA2584">
        <v>0.99688569999999999</v>
      </c>
      <c r="AB2584">
        <v>31</v>
      </c>
      <c r="AC2584">
        <v>-158.47819999999899</v>
      </c>
      <c r="AD2584">
        <v>2.828999</v>
      </c>
      <c r="AE2584">
        <v>13.4016999999999</v>
      </c>
      <c r="AF2584">
        <v>12.5523471903282</v>
      </c>
      <c r="AG2584">
        <v>2.828999</v>
      </c>
      <c r="AH2584">
        <v>158.49727171420301</v>
      </c>
      <c r="AI2584">
        <v>88.980634068930101</v>
      </c>
      <c r="AJ2584">
        <v>85.471855500801198</v>
      </c>
      <c r="AK2584">
        <v>159.018708950156</v>
      </c>
      <c r="AL2584">
        <v>81.549372523260502</v>
      </c>
      <c r="AM2584">
        <v>96.754691339196398</v>
      </c>
      <c r="AN2584">
        <v>0.99999994256414804</v>
      </c>
    </row>
    <row r="2585" spans="1:40" x14ac:dyDescent="0.25">
      <c r="A2585" t="str">
        <f>"20190304154810703"</f>
        <v>20190304154810703</v>
      </c>
      <c r="B2585" t="str">
        <f>"1551685690699233"</f>
        <v>1551685690699233</v>
      </c>
      <c r="C2585" t="s">
        <v>40</v>
      </c>
      <c r="D2585">
        <v>4.2383459999999999</v>
      </c>
      <c r="E2585">
        <v>0.57075969999999998</v>
      </c>
      <c r="F2585" t="s">
        <v>64</v>
      </c>
      <c r="G2585">
        <v>-441.52229999999997</v>
      </c>
      <c r="H2585">
        <v>3.9763310000000001</v>
      </c>
      <c r="I2585">
        <v>298.90839999999997</v>
      </c>
      <c r="J2585">
        <v>-282.8331</v>
      </c>
      <c r="K2585">
        <v>1.1104229999999999</v>
      </c>
      <c r="L2585">
        <v>285.50819999999999</v>
      </c>
      <c r="M2585">
        <v>-0.99992029999999998</v>
      </c>
      <c r="N2585">
        <v>-1.137326E-2</v>
      </c>
      <c r="O2585">
        <v>5.5021890000000002E-3</v>
      </c>
      <c r="P2585">
        <v>-0.984537</v>
      </c>
      <c r="Q2585">
        <v>0.13540940000000001</v>
      </c>
      <c r="R2585">
        <v>-0.1111384</v>
      </c>
      <c r="S2585">
        <v>-3.0688780000000002</v>
      </c>
      <c r="T2585">
        <v>5.534124E-2</v>
      </c>
      <c r="U2585">
        <v>0.25878909999999999</v>
      </c>
      <c r="V2585">
        <v>-0.1164816</v>
      </c>
      <c r="W2585">
        <v>0.14664820000000001</v>
      </c>
      <c r="X2585">
        <v>0.98230669999999998</v>
      </c>
      <c r="Y2585">
        <v>7.8542059999999997E-2</v>
      </c>
      <c r="Z2585" s="1">
        <v>-9.7910410000000004E-5</v>
      </c>
      <c r="AA2585">
        <v>0.99691079999999999</v>
      </c>
      <c r="AB2585">
        <v>31</v>
      </c>
      <c r="AC2585">
        <v>-158.689199999999</v>
      </c>
      <c r="AD2585">
        <v>2.8659080000000001</v>
      </c>
      <c r="AE2585">
        <v>13.4001999999999</v>
      </c>
      <c r="AF2585">
        <v>12.5227472950547</v>
      </c>
      <c r="AG2585">
        <v>2.8659080000000001</v>
      </c>
      <c r="AH2585">
        <v>158.70913482168601</v>
      </c>
      <c r="AI2585">
        <v>88.968692153132906</v>
      </c>
      <c r="AJ2585">
        <v>85.488494720282205</v>
      </c>
      <c r="AK2585">
        <v>159.22820762769501</v>
      </c>
      <c r="AL2585">
        <v>81.567265999227502</v>
      </c>
      <c r="AM2585">
        <v>96.762536041534304</v>
      </c>
      <c r="AN2585">
        <v>1.0000000552833399</v>
      </c>
    </row>
    <row r="2586" spans="1:40" x14ac:dyDescent="0.25">
      <c r="A2586" t="str">
        <f>"20190304154810714"</f>
        <v>20190304154810714</v>
      </c>
      <c r="B2586" t="str">
        <f>"1551685690708993"</f>
        <v>1551685690708993</v>
      </c>
      <c r="C2586" t="s">
        <v>40</v>
      </c>
      <c r="D2586">
        <v>4.2271450000000002</v>
      </c>
      <c r="E2586">
        <v>0.56985529999999995</v>
      </c>
      <c r="F2586" t="s">
        <v>64</v>
      </c>
      <c r="G2586">
        <v>-455.35860000000002</v>
      </c>
      <c r="H2586">
        <v>3.4267820000000002</v>
      </c>
      <c r="I2586">
        <v>299.13569999999999</v>
      </c>
      <c r="J2586">
        <v>-282.9973</v>
      </c>
      <c r="K2586">
        <v>1.1104320000000001</v>
      </c>
      <c r="L2586">
        <v>285.50920000000002</v>
      </c>
      <c r="M2586">
        <v>-0.99991949999999996</v>
      </c>
      <c r="N2586">
        <v>-1.1374860000000001E-2</v>
      </c>
      <c r="O2586">
        <v>5.6170930000000001E-3</v>
      </c>
      <c r="P2586">
        <v>-0.98453500000000005</v>
      </c>
      <c r="Q2586">
        <v>0.13501529999999901</v>
      </c>
      <c r="R2586">
        <v>-0.11163149999999999</v>
      </c>
      <c r="S2586">
        <v>-3.0688170000000001</v>
      </c>
      <c r="T2586">
        <v>4.1202660000000002E-2</v>
      </c>
      <c r="U2586">
        <v>0.24240110000000001</v>
      </c>
      <c r="V2586">
        <v>-0.117089899999999</v>
      </c>
      <c r="W2586">
        <v>0.14625479999999999</v>
      </c>
      <c r="X2586">
        <v>0.98229299999999997</v>
      </c>
      <c r="Y2586">
        <v>7.3142689999999996E-2</v>
      </c>
      <c r="Z2586" s="1">
        <v>6.5512900000000001E-5</v>
      </c>
      <c r="AA2586">
        <v>0.99732149999999997</v>
      </c>
      <c r="AB2586">
        <v>31</v>
      </c>
      <c r="AC2586">
        <v>-172.3613</v>
      </c>
      <c r="AD2586">
        <v>2.3163499999999999</v>
      </c>
      <c r="AE2586">
        <v>13.626499999999901</v>
      </c>
      <c r="AF2586">
        <v>12.655781386677299</v>
      </c>
      <c r="AG2586">
        <v>2.3163499999999999</v>
      </c>
      <c r="AH2586">
        <v>172.40418316018099</v>
      </c>
      <c r="AI2586">
        <v>89.232309741773705</v>
      </c>
      <c r="AJ2586">
        <v>85.801583483265802</v>
      </c>
      <c r="AK2586">
        <v>172.88359277548301</v>
      </c>
      <c r="AL2586">
        <v>81.590051577533302</v>
      </c>
      <c r="AM2586">
        <v>96.797616233907604</v>
      </c>
      <c r="AN2586">
        <v>1.00000002452702</v>
      </c>
    </row>
    <row r="2587" spans="1:40" x14ac:dyDescent="0.25">
      <c r="A2587" t="str">
        <f>"20190304154810727"</f>
        <v>20190304154810727</v>
      </c>
      <c r="B2587" t="str">
        <f>"1551685690719729"</f>
        <v>1551685690719729</v>
      </c>
      <c r="C2587" t="s">
        <v>40</v>
      </c>
      <c r="D2587">
        <v>4.2536579999999997</v>
      </c>
      <c r="E2587">
        <v>0.56890490000000005</v>
      </c>
      <c r="F2587" t="s">
        <v>63</v>
      </c>
      <c r="G2587">
        <v>-511.82139999999998</v>
      </c>
      <c r="H2587">
        <v>3.7207949999999999</v>
      </c>
      <c r="I2587">
        <v>302.93740000000003</v>
      </c>
      <c r="J2587">
        <v>-283.17059999999998</v>
      </c>
      <c r="K2587">
        <v>1.1104400000000001</v>
      </c>
      <c r="L2587">
        <v>285.51029999999997</v>
      </c>
      <c r="M2587">
        <v>-0.99991890000000005</v>
      </c>
      <c r="N2587">
        <v>-1.137648E-2</v>
      </c>
      <c r="O2587">
        <v>5.7328739999999998E-3</v>
      </c>
      <c r="P2587">
        <v>-0.98461480000000001</v>
      </c>
      <c r="Q2587">
        <v>0.1347759</v>
      </c>
      <c r="R2587">
        <v>-0.111217899999999</v>
      </c>
      <c r="S2587">
        <v>-3.0688170000000001</v>
      </c>
      <c r="T2587">
        <v>3.500938E-2</v>
      </c>
      <c r="U2587">
        <v>0.2337341</v>
      </c>
      <c r="V2587">
        <v>-0.1167933</v>
      </c>
      <c r="W2587">
        <v>0.14601610000000001</v>
      </c>
      <c r="X2587">
        <v>0.98236380000000001</v>
      </c>
      <c r="Y2587">
        <v>7.0227819999999996E-2</v>
      </c>
      <c r="Z2587">
        <v>1.305004E-4</v>
      </c>
      <c r="AA2587">
        <v>0.99753099999999995</v>
      </c>
      <c r="AB2587">
        <v>31</v>
      </c>
      <c r="AC2587">
        <v>-228.6508</v>
      </c>
      <c r="AD2587">
        <v>2.61035499999999</v>
      </c>
      <c r="AE2587">
        <v>17.427099999999999</v>
      </c>
      <c r="AF2587">
        <v>16.113814555835798</v>
      </c>
      <c r="AG2587">
        <v>2.61035499999999</v>
      </c>
      <c r="AH2587">
        <v>228.717318709051</v>
      </c>
      <c r="AI2587">
        <v>89.347727269398405</v>
      </c>
      <c r="AJ2587">
        <v>85.970001117137102</v>
      </c>
      <c r="AK2587">
        <v>229.299107826924</v>
      </c>
      <c r="AL2587">
        <v>81.603876338999498</v>
      </c>
      <c r="AM2587">
        <v>96.780073604345304</v>
      </c>
      <c r="AN2587">
        <v>1.00000000596726</v>
      </c>
    </row>
    <row r="2588" spans="1:40" x14ac:dyDescent="0.25">
      <c r="A2588" t="str">
        <f>"20190304154810741"</f>
        <v>20190304154810741</v>
      </c>
      <c r="B2588" t="str">
        <f>"1551685690729488"</f>
        <v>1551685690729488</v>
      </c>
      <c r="C2588" t="s">
        <v>40</v>
      </c>
      <c r="D2588">
        <v>4.2479789999999999</v>
      </c>
      <c r="E2588">
        <v>0.5681136</v>
      </c>
      <c r="F2588" t="s">
        <v>63</v>
      </c>
      <c r="G2588">
        <v>-511.82119999999998</v>
      </c>
      <c r="H2588">
        <v>3.184574</v>
      </c>
      <c r="I2588">
        <v>302.46620000000001</v>
      </c>
      <c r="J2588">
        <v>-283.3605</v>
      </c>
      <c r="K2588">
        <v>1.1104459999999901</v>
      </c>
      <c r="L2588">
        <v>285.51150000000001</v>
      </c>
      <c r="M2588">
        <v>-0.99991819999999998</v>
      </c>
      <c r="N2588">
        <v>-1.1378360000000001E-2</v>
      </c>
      <c r="O2588">
        <v>5.852749E-3</v>
      </c>
      <c r="P2588">
        <v>-0.98462479999999997</v>
      </c>
      <c r="Q2588">
        <v>0.13455429999999999</v>
      </c>
      <c r="R2588">
        <v>-0.1113961</v>
      </c>
      <c r="S2588">
        <v>-3.0687869999999999</v>
      </c>
      <c r="T2588">
        <v>2.7838709999999999E-2</v>
      </c>
      <c r="U2588">
        <v>0.22756960000000001</v>
      </c>
      <c r="V2588">
        <v>-0.1170923</v>
      </c>
      <c r="W2588">
        <v>0.14579439999999999</v>
      </c>
      <c r="X2588">
        <v>0.98236109999999999</v>
      </c>
      <c r="Y2588">
        <v>6.8116720000000006E-2</v>
      </c>
      <c r="Z2588">
        <v>1.9906009999999999E-4</v>
      </c>
      <c r="AA2588">
        <v>0.99767729999999999</v>
      </c>
      <c r="AB2588">
        <v>31</v>
      </c>
      <c r="AC2588">
        <v>-228.4607</v>
      </c>
      <c r="AD2588">
        <v>2.074128</v>
      </c>
      <c r="AE2588">
        <v>16.954699999999999</v>
      </c>
      <c r="AF2588">
        <v>15.6159198983629</v>
      </c>
      <c r="AG2588">
        <v>2.074128</v>
      </c>
      <c r="AH2588">
        <v>228.537291018768</v>
      </c>
      <c r="AI2588">
        <v>89.481226540712996</v>
      </c>
      <c r="AJ2588">
        <v>86.091063720134599</v>
      </c>
      <c r="AK2588">
        <v>229.07957645200401</v>
      </c>
      <c r="AL2588">
        <v>81.616715934013399</v>
      </c>
      <c r="AM2588">
        <v>96.797287431397507</v>
      </c>
      <c r="AN2588">
        <v>0.99999997229192905</v>
      </c>
    </row>
    <row r="2589" spans="1:40" x14ac:dyDescent="0.25">
      <c r="A2589" t="str">
        <f>"20190304154810759"</f>
        <v>20190304154810759</v>
      </c>
      <c r="B2589" t="str">
        <f>"1551685690749008"</f>
        <v>1551685690749008</v>
      </c>
      <c r="C2589" t="s">
        <v>40</v>
      </c>
      <c r="D2589">
        <v>4.2236229999999999</v>
      </c>
      <c r="E2589">
        <v>0.56670520000000002</v>
      </c>
      <c r="F2589" t="s">
        <v>63</v>
      </c>
      <c r="G2589">
        <v>-511.8211</v>
      </c>
      <c r="H2589">
        <v>2.7631359999999998</v>
      </c>
      <c r="I2589">
        <v>301.94869999999997</v>
      </c>
      <c r="J2589">
        <v>-283.61369999999999</v>
      </c>
      <c r="K2589">
        <v>1.110465</v>
      </c>
      <c r="L2589">
        <v>285.51319999999998</v>
      </c>
      <c r="M2589">
        <v>-0.99991730000000001</v>
      </c>
      <c r="N2589">
        <v>-1.1380909999999999E-2</v>
      </c>
      <c r="O2589">
        <v>6.001831E-3</v>
      </c>
      <c r="P2589">
        <v>-0.98474709999999999</v>
      </c>
      <c r="Q2589">
        <v>0.13384969999999999</v>
      </c>
      <c r="R2589">
        <v>-0.1111656</v>
      </c>
      <c r="S2589">
        <v>-3.0688170000000001</v>
      </c>
      <c r="T2589">
        <v>2.2201060000000002E-2</v>
      </c>
      <c r="U2589">
        <v>0.22079470000000001</v>
      </c>
      <c r="V2589">
        <v>-0.1170127</v>
      </c>
      <c r="W2589">
        <v>0.14509</v>
      </c>
      <c r="X2589">
        <v>0.98247490000000004</v>
      </c>
      <c r="Y2589">
        <v>6.5776299999999996E-2</v>
      </c>
      <c r="Z2589">
        <v>2.4875610000000002E-4</v>
      </c>
      <c r="AA2589">
        <v>0.99783440000000001</v>
      </c>
      <c r="AB2589">
        <v>31</v>
      </c>
      <c r="AC2589">
        <v>-228.20740000000001</v>
      </c>
      <c r="AD2589">
        <v>1.652671</v>
      </c>
      <c r="AE2589">
        <v>16.435499999999902</v>
      </c>
      <c r="AF2589">
        <v>15.064667079263801</v>
      </c>
      <c r="AG2589">
        <v>1.652671</v>
      </c>
      <c r="AH2589">
        <v>228.29002752075399</v>
      </c>
      <c r="AI2589">
        <v>89.5861232646144</v>
      </c>
      <c r="AJ2589">
        <v>86.224573426371293</v>
      </c>
      <c r="AK2589">
        <v>228.79250901432499</v>
      </c>
      <c r="AL2589">
        <v>81.657509115771305</v>
      </c>
      <c r="AM2589">
        <v>96.791930339947896</v>
      </c>
      <c r="AN2589">
        <v>1.0000000045956501</v>
      </c>
    </row>
    <row r="2590" spans="1:40" x14ac:dyDescent="0.25">
      <c r="A2590" t="str">
        <f>"20190304154810781"</f>
        <v>20190304154810781</v>
      </c>
      <c r="B2590" t="str">
        <f>"1551685690769504"</f>
        <v>1551685690769504</v>
      </c>
      <c r="C2590" t="s">
        <v>40</v>
      </c>
      <c r="D2590">
        <v>4.2356809999999996</v>
      </c>
      <c r="E2590">
        <v>0.5655289</v>
      </c>
      <c r="F2590" t="s">
        <v>63</v>
      </c>
      <c r="G2590">
        <v>-511.82080000000002</v>
      </c>
      <c r="H2590">
        <v>1.935219</v>
      </c>
      <c r="I2590">
        <v>301.19040000000001</v>
      </c>
      <c r="J2590">
        <v>-283.90300000000002</v>
      </c>
      <c r="K2590">
        <v>1.1104830000000001</v>
      </c>
      <c r="L2590">
        <v>285.51510000000002</v>
      </c>
      <c r="M2590">
        <v>-0.99991629999999998</v>
      </c>
      <c r="N2590">
        <v>-1.1383809999999999E-2</v>
      </c>
      <c r="O2590">
        <v>6.1553939999999998E-3</v>
      </c>
      <c r="P2590">
        <v>-0.98490299999999997</v>
      </c>
      <c r="Q2590">
        <v>0.13295580000000001</v>
      </c>
      <c r="R2590">
        <v>-0.1108553</v>
      </c>
      <c r="S2590">
        <v>-3.068756</v>
      </c>
      <c r="T2590">
        <v>1.109183E-2</v>
      </c>
      <c r="U2590">
        <v>0.21081539999999999</v>
      </c>
      <c r="V2590">
        <v>-0.1168604</v>
      </c>
      <c r="W2590">
        <v>0.1441964</v>
      </c>
      <c r="X2590">
        <v>0.98262459999999996</v>
      </c>
      <c r="Y2590">
        <v>6.2394779999999997E-2</v>
      </c>
      <c r="Z2590">
        <v>3.3515969999999999E-4</v>
      </c>
      <c r="AA2590">
        <v>0.99805149999999998</v>
      </c>
      <c r="AB2590">
        <v>31</v>
      </c>
      <c r="AC2590">
        <v>-227.9178</v>
      </c>
      <c r="AD2590">
        <v>0.82473599999999903</v>
      </c>
      <c r="AE2590">
        <v>15.675299999999901</v>
      </c>
      <c r="AF2590">
        <v>14.2718022936781</v>
      </c>
      <c r="AG2590">
        <v>0.82473599999999903</v>
      </c>
      <c r="AH2590">
        <v>228.007004045651</v>
      </c>
      <c r="AI2590">
        <v>89.793158158629595</v>
      </c>
      <c r="AJ2590">
        <v>86.418317859999704</v>
      </c>
      <c r="AK2590">
        <v>228.45471854188801</v>
      </c>
      <c r="AL2590">
        <v>81.709252978065194</v>
      </c>
      <c r="AM2590">
        <v>96.782148833498297</v>
      </c>
      <c r="AN2590">
        <v>1.00000002969313</v>
      </c>
    </row>
    <row r="2591" spans="1:40" x14ac:dyDescent="0.25">
      <c r="A2591" t="str">
        <f>"20190304154810793"</f>
        <v>20190304154810793</v>
      </c>
      <c r="B2591" t="str">
        <f>"1551685690789025"</f>
        <v>1551685690789025</v>
      </c>
      <c r="C2591" t="s">
        <v>40</v>
      </c>
      <c r="D2591">
        <v>4.2699369999999996</v>
      </c>
      <c r="E2591">
        <v>0.56465169999999998</v>
      </c>
      <c r="F2591" t="s">
        <v>48</v>
      </c>
      <c r="G2591">
        <v>-408.38310000000001</v>
      </c>
      <c r="H2591">
        <v>1.1751590000000001</v>
      </c>
      <c r="I2591">
        <v>293.74770000000001</v>
      </c>
      <c r="J2591">
        <v>-284.07830000000001</v>
      </c>
      <c r="K2591">
        <v>1.110493</v>
      </c>
      <c r="L2591">
        <v>285.51620000000003</v>
      </c>
      <c r="M2591">
        <v>-0.99991580000000002</v>
      </c>
      <c r="N2591">
        <v>-1.1385559999999999E-2</v>
      </c>
      <c r="O2591">
        <v>6.2408480000000002E-3</v>
      </c>
      <c r="P2591">
        <v>-0.98496810000000001</v>
      </c>
      <c r="Q2591">
        <v>0.1326592</v>
      </c>
      <c r="R2591">
        <v>-0.11063339999999899</v>
      </c>
      <c r="S2591">
        <v>-3.0685730000000002</v>
      </c>
      <c r="T2591">
        <v>1.5943050000000001E-3</v>
      </c>
      <c r="U2591">
        <v>0.20294190000000001</v>
      </c>
      <c r="V2591">
        <v>-0.11672589999999999</v>
      </c>
      <c r="W2591">
        <v>0.14389959999999999</v>
      </c>
      <c r="X2591">
        <v>0.98268409999999995</v>
      </c>
      <c r="Y2591">
        <v>5.97631E-2</v>
      </c>
      <c r="Z2591">
        <v>3.9931450000000001E-4</v>
      </c>
      <c r="AA2591">
        <v>0.99821249999999995</v>
      </c>
      <c r="AB2591">
        <v>31</v>
      </c>
      <c r="AC2591">
        <v>-124.3048</v>
      </c>
      <c r="AD2591">
        <v>6.4666000000000098E-2</v>
      </c>
      <c r="AE2591">
        <v>8.2314999999999792</v>
      </c>
      <c r="AF2591">
        <v>7.4555200909766404</v>
      </c>
      <c r="AG2591">
        <v>6.4666000000000098E-2</v>
      </c>
      <c r="AH2591">
        <v>124.353720298523</v>
      </c>
      <c r="AI2591">
        <v>89.970258650351695</v>
      </c>
      <c r="AJ2591">
        <v>86.5689879256105</v>
      </c>
      <c r="AK2591">
        <v>124.577031244133</v>
      </c>
      <c r="AL2591">
        <v>81.726437636799801</v>
      </c>
      <c r="AM2591">
        <v>96.774009165860505</v>
      </c>
      <c r="AN2591">
        <v>1.0000000355018801</v>
      </c>
    </row>
    <row r="2592" spans="1:40" x14ac:dyDescent="0.25">
      <c r="A2592" t="str">
        <f>"20190304154810805"</f>
        <v>20190304154810805</v>
      </c>
      <c r="B2592" t="str">
        <f>"1551685690799762"</f>
        <v>1551685690799762</v>
      </c>
      <c r="C2592" t="s">
        <v>40</v>
      </c>
      <c r="D2592">
        <v>4.1904459999999997</v>
      </c>
      <c r="E2592">
        <v>0.56423769999999995</v>
      </c>
      <c r="F2592" t="s">
        <v>63</v>
      </c>
      <c r="G2592">
        <v>-511.82040000000001</v>
      </c>
      <c r="H2592">
        <v>0.74107419999999902</v>
      </c>
      <c r="I2592">
        <v>300.1139</v>
      </c>
      <c r="J2592">
        <v>-284.25290000000001</v>
      </c>
      <c r="K2592">
        <v>1.110501</v>
      </c>
      <c r="L2592">
        <v>285.51740000000001</v>
      </c>
      <c r="M2592">
        <v>-0.9999152</v>
      </c>
      <c r="N2592">
        <v>-1.13873E-2</v>
      </c>
      <c r="O2592">
        <v>6.3164700000000002E-3</v>
      </c>
      <c r="P2592">
        <v>-0.98499890000000001</v>
      </c>
      <c r="Q2592">
        <v>0.13235169999999999</v>
      </c>
      <c r="R2592">
        <v>-0.11072650000000001</v>
      </c>
      <c r="S2592">
        <v>-3.0685419999999999</v>
      </c>
      <c r="T2592">
        <v>-4.9762729999999998E-3</v>
      </c>
      <c r="U2592">
        <v>0.19668579999999999</v>
      </c>
      <c r="V2592">
        <v>-0.1168975</v>
      </c>
      <c r="W2592">
        <v>0.14359140000000001</v>
      </c>
      <c r="X2592">
        <v>0.98270880000000005</v>
      </c>
      <c r="Y2592">
        <v>5.7660679999999999E-2</v>
      </c>
      <c r="Z2592">
        <v>4.3698309999999998E-4</v>
      </c>
      <c r="AA2592">
        <v>0.99833609999999995</v>
      </c>
      <c r="AB2592">
        <v>31</v>
      </c>
      <c r="AC2592">
        <v>-227.5675</v>
      </c>
      <c r="AD2592">
        <v>-0.3694268</v>
      </c>
      <c r="AE2592">
        <v>14.596499999999899</v>
      </c>
      <c r="AF2592">
        <v>13.158657730716801</v>
      </c>
      <c r="AG2592">
        <v>-0.3694268</v>
      </c>
      <c r="AH2592">
        <v>227.65456649050299</v>
      </c>
      <c r="AI2592">
        <v>90.092821806130203</v>
      </c>
      <c r="AJ2592">
        <v>86.6919283831174</v>
      </c>
      <c r="AK2592">
        <v>228.03484030606799</v>
      </c>
      <c r="AL2592">
        <v>81.744281635419</v>
      </c>
      <c r="AM2592">
        <v>96.783706045120894</v>
      </c>
      <c r="AN2592">
        <v>1.00000005062882</v>
      </c>
    </row>
    <row r="2593" spans="1:40" x14ac:dyDescent="0.25">
      <c r="A2593" t="str">
        <f>"20190304154810827"</f>
        <v>20190304154810827</v>
      </c>
      <c r="B2593" t="str">
        <f>"1551685690819280"</f>
        <v>1551685690819280</v>
      </c>
      <c r="C2593" t="s">
        <v>40</v>
      </c>
      <c r="D2593">
        <v>4.2187599999999996</v>
      </c>
      <c r="E2593">
        <v>0.56529269999999998</v>
      </c>
      <c r="F2593" t="s">
        <v>63</v>
      </c>
      <c r="G2593">
        <v>-511.82029999999997</v>
      </c>
      <c r="H2593">
        <v>0.46053729999999998</v>
      </c>
      <c r="I2593">
        <v>299.8503</v>
      </c>
      <c r="J2593">
        <v>-284.5249</v>
      </c>
      <c r="K2593">
        <v>1.1105069999999999</v>
      </c>
      <c r="L2593">
        <v>285.51920000000001</v>
      </c>
      <c r="M2593">
        <v>-0.99991450000000004</v>
      </c>
      <c r="N2593">
        <v>-1.1390020000000001E-2</v>
      </c>
      <c r="O2593">
        <v>6.4207910000000003E-3</v>
      </c>
      <c r="P2593">
        <v>-0.98512230000000001</v>
      </c>
      <c r="Q2593">
        <v>0.13189960000000001</v>
      </c>
      <c r="R2593">
        <v>-0.1101651</v>
      </c>
      <c r="S2593">
        <v>-3.0685730000000002</v>
      </c>
      <c r="T2593">
        <v>-8.7630750000000004E-3</v>
      </c>
      <c r="U2593">
        <v>0.19326779999999999</v>
      </c>
      <c r="V2593">
        <v>-0.1164451</v>
      </c>
      <c r="W2593">
        <v>0.14313890000000001</v>
      </c>
      <c r="X2593">
        <v>0.98282849999999999</v>
      </c>
      <c r="Y2593">
        <v>5.6447690000000002E-2</v>
      </c>
      <c r="Z2593">
        <v>4.5707279999999999E-4</v>
      </c>
      <c r="AA2593">
        <v>0.99840549999999995</v>
      </c>
      <c r="AB2593">
        <v>31</v>
      </c>
      <c r="AC2593">
        <v>-227.2954</v>
      </c>
      <c r="AD2593">
        <v>-0.64996969999999898</v>
      </c>
      <c r="AE2593">
        <v>14.3310999999999</v>
      </c>
      <c r="AF2593">
        <v>12.871188754771801</v>
      </c>
      <c r="AG2593">
        <v>-0.64996969999999898</v>
      </c>
      <c r="AH2593">
        <v>227.380885031063</v>
      </c>
      <c r="AI2593">
        <v>90.1635181351798</v>
      </c>
      <c r="AJ2593">
        <v>86.760155874854206</v>
      </c>
      <c r="AK2593">
        <v>227.74581629106001</v>
      </c>
      <c r="AL2593">
        <v>81.770478448414593</v>
      </c>
      <c r="AM2593">
        <v>96.756880554608202</v>
      </c>
      <c r="AN2593">
        <v>1.0000000332097301</v>
      </c>
    </row>
    <row r="2594" spans="1:40" x14ac:dyDescent="0.25">
      <c r="A2594" t="str">
        <f>"20190304154810839"</f>
        <v>20190304154810839</v>
      </c>
      <c r="B2594" t="str">
        <f>"1551685690829041"</f>
        <v>1551685690829041</v>
      </c>
      <c r="C2594" t="s">
        <v>40</v>
      </c>
      <c r="D2594">
        <v>4.436267</v>
      </c>
      <c r="E2594">
        <v>0.56570399999999998</v>
      </c>
      <c r="F2594" t="s">
        <v>61</v>
      </c>
      <c r="G2594">
        <v>-307.2183</v>
      </c>
      <c r="H2594" s="1">
        <v>2.471318E-6</v>
      </c>
      <c r="I2594">
        <v>287.05149999999998</v>
      </c>
      <c r="J2594">
        <v>-284.7054</v>
      </c>
      <c r="K2594">
        <v>1.1105179999999999</v>
      </c>
      <c r="L2594">
        <v>285.5204</v>
      </c>
      <c r="M2594">
        <v>-0.99991419999999998</v>
      </c>
      <c r="N2594">
        <v>-1.139183E-2</v>
      </c>
      <c r="O2594">
        <v>6.4779099999999999E-3</v>
      </c>
      <c r="P2594">
        <v>-0.9851685</v>
      </c>
      <c r="Q2594">
        <v>0.13151450000000001</v>
      </c>
      <c r="R2594">
        <v>-0.1102139</v>
      </c>
      <c r="S2594">
        <v>-3.088867</v>
      </c>
      <c r="T2594">
        <v>-0.15115429999999999</v>
      </c>
      <c r="U2594">
        <v>0.2085571</v>
      </c>
      <c r="V2594">
        <v>-0.1165547</v>
      </c>
      <c r="W2594">
        <v>0.1427524</v>
      </c>
      <c r="X2594">
        <v>0.98287170000000001</v>
      </c>
      <c r="Y2594">
        <v>6.0815729999999998E-2</v>
      </c>
      <c r="Z2594">
        <v>1.589752E-3</v>
      </c>
      <c r="AA2594">
        <v>0.99814769999999997</v>
      </c>
      <c r="AB2594">
        <v>31</v>
      </c>
      <c r="AC2594">
        <v>-22.512899999999998</v>
      </c>
      <c r="AD2594">
        <v>-1.1105155286820001</v>
      </c>
      <c r="AE2594">
        <v>1.5310999999999799</v>
      </c>
      <c r="AF2594">
        <v>1.38187491357824</v>
      </c>
      <c r="AG2594">
        <v>-1.1105155286820001</v>
      </c>
      <c r="AH2594">
        <v>22.467928207494001</v>
      </c>
      <c r="AI2594">
        <v>92.824310321169193</v>
      </c>
      <c r="AJ2594">
        <v>86.480494733949499</v>
      </c>
      <c r="AK2594">
        <v>22.5377598920861</v>
      </c>
      <c r="AL2594">
        <v>81.792852868215903</v>
      </c>
      <c r="AM2594">
        <v>96.762886848613107</v>
      </c>
      <c r="AN2594">
        <v>1.00000001222937</v>
      </c>
    </row>
    <row r="2595" spans="1:40" x14ac:dyDescent="0.25">
      <c r="A2595" t="str">
        <f>"20190304154810853"</f>
        <v>20190304154810853</v>
      </c>
      <c r="B2595" t="str">
        <f>"1551685690849537"</f>
        <v>1551685690849537</v>
      </c>
      <c r="C2595" t="s">
        <v>40</v>
      </c>
      <c r="D2595">
        <v>4.021541</v>
      </c>
      <c r="E2595">
        <v>0.63656869999999999</v>
      </c>
      <c r="F2595" t="s">
        <v>41</v>
      </c>
      <c r="G2595">
        <v>-285.61070000000001</v>
      </c>
      <c r="H2595">
        <v>1.051858</v>
      </c>
      <c r="I2595">
        <v>285.58300000000003</v>
      </c>
      <c r="J2595">
        <v>-284.8997</v>
      </c>
      <c r="K2595">
        <v>1.1105149999999999</v>
      </c>
      <c r="L2595">
        <v>285.52179999999998</v>
      </c>
      <c r="M2595">
        <v>-0.99991379999999996</v>
      </c>
      <c r="N2595">
        <v>-1.1393769999999999E-2</v>
      </c>
      <c r="O2595">
        <v>6.5310159999999997E-3</v>
      </c>
      <c r="P2595">
        <v>-0.98520039999999998</v>
      </c>
      <c r="Q2595">
        <v>0.13162850000000001</v>
      </c>
      <c r="R2595">
        <v>-0.1097911</v>
      </c>
      <c r="S2595">
        <v>-3.0958860000000001</v>
      </c>
      <c r="T2595">
        <v>-0.20070489999999999</v>
      </c>
      <c r="U2595">
        <v>0.21368409999999999</v>
      </c>
      <c r="V2595">
        <v>-0.11618820000000001</v>
      </c>
      <c r="W2595">
        <v>0.1428652</v>
      </c>
      <c r="X2595">
        <v>0.98289870000000001</v>
      </c>
      <c r="Y2595">
        <v>6.219707E-2</v>
      </c>
      <c r="Z2595">
        <v>2.0186380000000001E-3</v>
      </c>
      <c r="AA2595">
        <v>0.9980618</v>
      </c>
      <c r="AB2595">
        <v>31</v>
      </c>
      <c r="AC2595">
        <v>-0.71100000000001196</v>
      </c>
      <c r="AD2595">
        <v>-5.8656999999999897E-2</v>
      </c>
      <c r="AE2595">
        <v>6.1199999999985197E-2</v>
      </c>
      <c r="AF2595">
        <v>5.6175316168264898E-2</v>
      </c>
      <c r="AG2595">
        <v>-5.8656999999999897E-2</v>
      </c>
      <c r="AH2595">
        <v>0.70661064200768897</v>
      </c>
      <c r="AI2595">
        <v>94.730486829635495</v>
      </c>
      <c r="AJ2595">
        <v>85.454564100544005</v>
      </c>
      <c r="AK2595">
        <v>0.71126289738332504</v>
      </c>
      <c r="AL2595">
        <v>81.786322946736703</v>
      </c>
      <c r="AM2595">
        <v>96.741633871617395</v>
      </c>
      <c r="AN2595">
        <v>1.0000000088259799</v>
      </c>
    </row>
    <row r="2596" spans="1:40" x14ac:dyDescent="0.25">
      <c r="A2596" t="str">
        <f>"20190304154810865"</f>
        <v>20190304154810865</v>
      </c>
      <c r="B2596" t="str">
        <f>"1551685690859297"</f>
        <v>1551685690859297</v>
      </c>
      <c r="C2596" t="s">
        <v>40</v>
      </c>
      <c r="D2596">
        <v>4.0090399999999997</v>
      </c>
      <c r="E2596">
        <v>0.6363299</v>
      </c>
      <c r="F2596" t="s">
        <v>61</v>
      </c>
      <c r="G2596">
        <v>-297.75599999999997</v>
      </c>
      <c r="H2596" s="1">
        <v>3.2256679999999998E-6</v>
      </c>
      <c r="I2596">
        <v>288.68700000000001</v>
      </c>
      <c r="J2596">
        <v>-285.07089999999999</v>
      </c>
      <c r="K2596">
        <v>1.110527</v>
      </c>
      <c r="L2596">
        <v>285.52289999999999</v>
      </c>
      <c r="M2596">
        <v>-0.99991359999999996</v>
      </c>
      <c r="N2596">
        <v>-1.139547E-2</v>
      </c>
      <c r="O2596">
        <v>6.5655940000000001E-3</v>
      </c>
      <c r="P2596">
        <v>-0.98521630000000004</v>
      </c>
      <c r="Q2596">
        <v>0.13130359999999999</v>
      </c>
      <c r="R2596">
        <v>-0.1100385</v>
      </c>
      <c r="S2596">
        <v>-3.1685789999999998</v>
      </c>
      <c r="T2596">
        <v>-0.2736981</v>
      </c>
      <c r="U2596">
        <v>0.78012079999999995</v>
      </c>
      <c r="V2596">
        <v>-0.11647399999999999</v>
      </c>
      <c r="W2596">
        <v>0.1425391</v>
      </c>
      <c r="X2596">
        <v>0.98291220000000001</v>
      </c>
      <c r="Y2596">
        <v>0.23177639999999999</v>
      </c>
      <c r="Z2596">
        <v>1.0704129999999999E-2</v>
      </c>
      <c r="AA2596">
        <v>0.97271019999999997</v>
      </c>
      <c r="AB2596">
        <v>31</v>
      </c>
      <c r="AC2596">
        <v>-12.685099999999901</v>
      </c>
      <c r="AD2596">
        <v>-1.110523774332</v>
      </c>
      <c r="AE2596">
        <v>3.1641000000000101</v>
      </c>
      <c r="AF2596">
        <v>3.0586719357442802</v>
      </c>
      <c r="AG2596">
        <v>-1.110523774332</v>
      </c>
      <c r="AH2596">
        <v>12.614584070646201</v>
      </c>
      <c r="AI2596">
        <v>94.890079071349504</v>
      </c>
      <c r="AJ2596">
        <v>76.370470049101101</v>
      </c>
      <c r="AK2596">
        <v>13.0275273302061</v>
      </c>
      <c r="AL2596">
        <v>81.805200144446005</v>
      </c>
      <c r="AM2596">
        <v>96.757971803314504</v>
      </c>
      <c r="AN2596">
        <v>0.99999999030682496</v>
      </c>
    </row>
    <row r="2597" spans="1:40" x14ac:dyDescent="0.25">
      <c r="A2597" t="str">
        <f>"20190304154810880"</f>
        <v>20190304154810880</v>
      </c>
      <c r="B2597" t="str">
        <f>"1551685690869056"</f>
        <v>1551685690869056</v>
      </c>
      <c r="C2597" t="s">
        <v>40</v>
      </c>
      <c r="D2597">
        <v>3.9931190000000001</v>
      </c>
      <c r="E2597">
        <v>0.63932330000000004</v>
      </c>
      <c r="F2597" t="s">
        <v>61</v>
      </c>
      <c r="G2597">
        <v>-297.35640000000001</v>
      </c>
      <c r="H2597" s="1">
        <v>3.1677939999999998E-6</v>
      </c>
      <c r="I2597">
        <v>288.53820000000002</v>
      </c>
      <c r="J2597">
        <v>-285.2765</v>
      </c>
      <c r="K2597">
        <v>1.1105259999999999</v>
      </c>
      <c r="L2597">
        <v>285.52440000000001</v>
      </c>
      <c r="M2597">
        <v>-0.9999133</v>
      </c>
      <c r="N2597">
        <v>-1.13975E-2</v>
      </c>
      <c r="O2597">
        <v>6.5979929999999999E-3</v>
      </c>
      <c r="P2597">
        <v>-0.98515940000000002</v>
      </c>
      <c r="Q2597">
        <v>0.1315269</v>
      </c>
      <c r="R2597">
        <v>-0.11028019999999999</v>
      </c>
      <c r="S2597">
        <v>-3.170105</v>
      </c>
      <c r="T2597">
        <v>-0.28655520000000001</v>
      </c>
      <c r="U2597">
        <v>0.77804569999999995</v>
      </c>
      <c r="V2597">
        <v>-0.11675190000000001</v>
      </c>
      <c r="W2597">
        <v>0.1427599</v>
      </c>
      <c r="X2597">
        <v>0.98284720000000003</v>
      </c>
      <c r="Y2597">
        <v>0.23095850000000001</v>
      </c>
      <c r="Z2597">
        <v>1.1091749999999999E-2</v>
      </c>
      <c r="AA2597">
        <v>0.9729004</v>
      </c>
      <c r="AB2597">
        <v>31</v>
      </c>
      <c r="AC2597">
        <v>-12.0799</v>
      </c>
      <c r="AD2597">
        <v>-1.1105228322059999</v>
      </c>
      <c r="AE2597">
        <v>3.0137999999999998</v>
      </c>
      <c r="AF2597">
        <v>2.91086678441508</v>
      </c>
      <c r="AG2597">
        <v>-1.1105228322059999</v>
      </c>
      <c r="AH2597">
        <v>12.004017410185901</v>
      </c>
      <c r="AI2597">
        <v>95.137478950592197</v>
      </c>
      <c r="AJ2597">
        <v>76.369389881175806</v>
      </c>
      <c r="AK2597">
        <v>12.401727314431101</v>
      </c>
      <c r="AL2597">
        <v>81.792418658856604</v>
      </c>
      <c r="AM2597">
        <v>96.774390089666397</v>
      </c>
      <c r="AN2597">
        <v>1.0000000068747299</v>
      </c>
    </row>
    <row r="2598" spans="1:40" x14ac:dyDescent="0.25">
      <c r="A2598" t="str">
        <f>"20190304154810893"</f>
        <v>20190304154810893</v>
      </c>
      <c r="B2598" t="str">
        <f>"1551685690889552"</f>
        <v>1551685690889552</v>
      </c>
      <c r="C2598" t="s">
        <v>40</v>
      </c>
      <c r="D2598">
        <v>4.0203699999999998</v>
      </c>
      <c r="E2598">
        <v>0.64381809999999995</v>
      </c>
      <c r="F2598" t="s">
        <v>61</v>
      </c>
      <c r="G2598">
        <v>-296.8732</v>
      </c>
      <c r="H2598" s="1">
        <v>3.0896449999999998E-6</v>
      </c>
      <c r="I2598">
        <v>288.45159999999998</v>
      </c>
      <c r="J2598">
        <v>-285.44979999999998</v>
      </c>
      <c r="K2598">
        <v>1.1105370000000001</v>
      </c>
      <c r="L2598">
        <v>285.52550000000002</v>
      </c>
      <c r="M2598">
        <v>-0.99991319999999995</v>
      </c>
      <c r="N2598">
        <v>-1.139921E-2</v>
      </c>
      <c r="O2598">
        <v>6.619046E-3</v>
      </c>
      <c r="P2598">
        <v>-0.98516219999999999</v>
      </c>
      <c r="Q2598">
        <v>0.13139709999999999</v>
      </c>
      <c r="R2598">
        <v>-0.110411</v>
      </c>
      <c r="S2598">
        <v>-3.1755070000000001</v>
      </c>
      <c r="T2598">
        <v>-0.30409309999999901</v>
      </c>
      <c r="U2598">
        <v>0.80157469999999997</v>
      </c>
      <c r="V2598">
        <v>-0.116907399999999</v>
      </c>
      <c r="W2598">
        <v>0.14262830000000001</v>
      </c>
      <c r="X2598">
        <v>0.98284780000000005</v>
      </c>
      <c r="Y2598">
        <v>0.23719799999999999</v>
      </c>
      <c r="Z2598">
        <v>1.1985259999999999E-2</v>
      </c>
      <c r="AA2598">
        <v>0.97138740000000001</v>
      </c>
      <c r="AB2598">
        <v>31</v>
      </c>
      <c r="AC2598">
        <v>-11.423400000000001</v>
      </c>
      <c r="AD2598">
        <v>-1.110533910355</v>
      </c>
      <c r="AE2598">
        <v>2.92609999999996</v>
      </c>
      <c r="AF2598">
        <v>2.8253609150000001</v>
      </c>
      <c r="AG2598">
        <v>-1.110533910355</v>
      </c>
      <c r="AH2598">
        <v>11.341927680181801</v>
      </c>
      <c r="AI2598">
        <v>95.427407738922298</v>
      </c>
      <c r="AJ2598">
        <v>76.0118871630916</v>
      </c>
      <c r="AK2598">
        <v>11.7411785340541</v>
      </c>
      <c r="AL2598">
        <v>81.800036560263905</v>
      </c>
      <c r="AM2598">
        <v>96.783324669526607</v>
      </c>
      <c r="AN2598">
        <v>0.99999998505024401</v>
      </c>
    </row>
    <row r="2599" spans="1:40" x14ac:dyDescent="0.25">
      <c r="A2599" t="str">
        <f>"20190304154810906"</f>
        <v>20190304154810906</v>
      </c>
      <c r="B2599" t="str">
        <f>"1551685690899312"</f>
        <v>1551685690899312</v>
      </c>
      <c r="C2599" t="s">
        <v>40</v>
      </c>
      <c r="D2599">
        <v>4.0164600000000004</v>
      </c>
      <c r="E2599">
        <v>0.6443759</v>
      </c>
      <c r="F2599" t="s">
        <v>61</v>
      </c>
      <c r="G2599">
        <v>-296.45260000000002</v>
      </c>
      <c r="H2599" s="1">
        <v>3.0176749999999999E-6</v>
      </c>
      <c r="I2599">
        <v>288.42149999999998</v>
      </c>
      <c r="J2599">
        <v>-285.62169999999998</v>
      </c>
      <c r="K2599">
        <v>1.110544</v>
      </c>
      <c r="L2599">
        <v>285.52670000000001</v>
      </c>
      <c r="M2599">
        <v>-0.99991319999999995</v>
      </c>
      <c r="N2599">
        <v>-1.140089E-2</v>
      </c>
      <c r="O2599">
        <v>6.6321330000000001E-3</v>
      </c>
      <c r="P2599">
        <v>-0.98507259999999996</v>
      </c>
      <c r="Q2599">
        <v>0.13177030000000001</v>
      </c>
      <c r="R2599">
        <v>-0.1107641</v>
      </c>
      <c r="S2599">
        <v>-3.1818849999999999</v>
      </c>
      <c r="T2599">
        <v>-0.32115480000000002</v>
      </c>
      <c r="U2599">
        <v>0.83749390000000001</v>
      </c>
      <c r="V2599">
        <v>-0.11727650000000001</v>
      </c>
      <c r="W2599">
        <v>0.14299919999999999</v>
      </c>
      <c r="X2599">
        <v>0.98274989999999995</v>
      </c>
      <c r="Y2599">
        <v>0.24682989999999999</v>
      </c>
      <c r="Z2599">
        <v>1.307059E-2</v>
      </c>
      <c r="AA2599">
        <v>0.96897069999999996</v>
      </c>
      <c r="AB2599">
        <v>31</v>
      </c>
      <c r="AC2599">
        <v>-10.8309</v>
      </c>
      <c r="AD2599">
        <v>-1.1105409823250001</v>
      </c>
      <c r="AE2599">
        <v>2.8947999999999698</v>
      </c>
      <c r="AF2599">
        <v>2.79546948689236</v>
      </c>
      <c r="AG2599">
        <v>-1.1105409823250001</v>
      </c>
      <c r="AH2599">
        <v>10.744433223615699</v>
      </c>
      <c r="AI2599">
        <v>95.712264316806198</v>
      </c>
      <c r="AJ2599">
        <v>75.416209667337796</v>
      </c>
      <c r="AK2599">
        <v>11.1575443634478</v>
      </c>
      <c r="AL2599">
        <v>81.778565237772</v>
      </c>
      <c r="AM2599">
        <v>96.805211983978396</v>
      </c>
      <c r="AN2599">
        <v>0.99999995730144897</v>
      </c>
    </row>
    <row r="2600" spans="1:40" x14ac:dyDescent="0.25">
      <c r="A2600" t="str">
        <f>"20190304154810918"</f>
        <v>20190304154810918</v>
      </c>
      <c r="B2600" t="str">
        <f>"1551685690909072"</f>
        <v>1551685690909072</v>
      </c>
      <c r="C2600" t="s">
        <v>40</v>
      </c>
      <c r="D2600">
        <v>4.0352759999999996</v>
      </c>
      <c r="E2600">
        <v>0.64436510000000002</v>
      </c>
      <c r="F2600" t="s">
        <v>61</v>
      </c>
      <c r="G2600">
        <v>-296.58909999999997</v>
      </c>
      <c r="H2600" s="1">
        <v>3.0416499999999999E-6</v>
      </c>
      <c r="I2600">
        <v>288.42419999999998</v>
      </c>
      <c r="J2600">
        <v>-285.79719999999998</v>
      </c>
      <c r="K2600">
        <v>1.1105449999999999</v>
      </c>
      <c r="L2600">
        <v>285.52789999999999</v>
      </c>
      <c r="M2600">
        <v>-0.99991300000000005</v>
      </c>
      <c r="N2600">
        <v>-1.1402610000000001E-2</v>
      </c>
      <c r="O2600">
        <v>6.6416019999999999E-3</v>
      </c>
      <c r="P2600">
        <v>-0.9850835</v>
      </c>
      <c r="Q2600">
        <v>0.13158909999999999</v>
      </c>
      <c r="R2600">
        <v>-0.1108828</v>
      </c>
      <c r="S2600">
        <v>-3.1831670000000001</v>
      </c>
      <c r="T2600">
        <v>-0.32232420000000001</v>
      </c>
      <c r="U2600">
        <v>0.84097289999999902</v>
      </c>
      <c r="V2600">
        <v>-0.1174075</v>
      </c>
      <c r="W2600">
        <v>0.14281749999999999</v>
      </c>
      <c r="X2600">
        <v>0.98276070000000004</v>
      </c>
      <c r="Y2600">
        <v>0.2477027</v>
      </c>
      <c r="Z2600">
        <v>1.31543999999999E-2</v>
      </c>
      <c r="AA2600">
        <v>0.96874680000000002</v>
      </c>
      <c r="AB2600">
        <v>31</v>
      </c>
      <c r="AC2600">
        <v>-10.791899999999901</v>
      </c>
      <c r="AD2600">
        <v>-1.11054195835</v>
      </c>
      <c r="AE2600">
        <v>2.8962999999999899</v>
      </c>
      <c r="AF2600">
        <v>2.7969279206114099</v>
      </c>
      <c r="AG2600">
        <v>-1.11054195835</v>
      </c>
      <c r="AH2600">
        <v>10.7051538440932</v>
      </c>
      <c r="AI2600">
        <v>95.731572964371907</v>
      </c>
      <c r="AJ2600">
        <v>75.3576849578956</v>
      </c>
      <c r="AK2600">
        <v>11.120091189376801</v>
      </c>
      <c r="AL2600">
        <v>81.789084003152297</v>
      </c>
      <c r="AM2600">
        <v>96.812667958593906</v>
      </c>
      <c r="AN2600">
        <v>0.99999997641349403</v>
      </c>
    </row>
    <row r="2601" spans="1:40" x14ac:dyDescent="0.25">
      <c r="A2601" t="str">
        <f>"20190304154810939"</f>
        <v>20190304154810939</v>
      </c>
      <c r="B2601" t="str">
        <f>"1551685690929569"</f>
        <v>1551685690929569</v>
      </c>
      <c r="C2601" t="s">
        <v>40</v>
      </c>
      <c r="D2601">
        <v>3.9385159999999999</v>
      </c>
      <c r="E2601">
        <v>0.64346749999999997</v>
      </c>
      <c r="F2601" t="s">
        <v>61</v>
      </c>
      <c r="G2601">
        <v>-296.68490000000003</v>
      </c>
      <c r="H2601" s="1">
        <v>3.0604470000000002E-6</v>
      </c>
      <c r="I2601">
        <v>288.40350000000001</v>
      </c>
      <c r="J2601">
        <v>-286.07409999999999</v>
      </c>
      <c r="K2601">
        <v>1.1105560000000001</v>
      </c>
      <c r="L2601">
        <v>285.52969999999999</v>
      </c>
      <c r="M2601">
        <v>-0.99991300000000005</v>
      </c>
      <c r="N2601">
        <v>-1.140535E-2</v>
      </c>
      <c r="O2601">
        <v>6.6490119999999897E-3</v>
      </c>
      <c r="P2601">
        <v>-0.985039</v>
      </c>
      <c r="Q2601">
        <v>0.13154689999999999</v>
      </c>
      <c r="R2601">
        <v>-0.1113285</v>
      </c>
      <c r="S2601">
        <v>-3.1834410000000002</v>
      </c>
      <c r="T2601">
        <v>-0.32471240000000001</v>
      </c>
      <c r="U2601">
        <v>0.84082029999999996</v>
      </c>
      <c r="V2601">
        <v>-0.1178642</v>
      </c>
      <c r="W2601">
        <v>0.1427746</v>
      </c>
      <c r="X2601">
        <v>0.98271229999999998</v>
      </c>
      <c r="Y2601">
        <v>0.2476139</v>
      </c>
      <c r="Z2601">
        <v>1.323411E-2</v>
      </c>
      <c r="AA2601">
        <v>0.96876839999999997</v>
      </c>
      <c r="AB2601">
        <v>31</v>
      </c>
      <c r="AC2601">
        <v>-10.610799999999999</v>
      </c>
      <c r="AD2601">
        <v>-1.1105529395529901</v>
      </c>
      <c r="AE2601">
        <v>2.8738000000000099</v>
      </c>
      <c r="AF2601">
        <v>2.7748613463142799</v>
      </c>
      <c r="AG2601">
        <v>-1.1105529395529901</v>
      </c>
      <c r="AH2601">
        <v>10.522288022638</v>
      </c>
      <c r="AI2601">
        <v>95.827084799193599</v>
      </c>
      <c r="AJ2601">
        <v>75.226710191894</v>
      </c>
      <c r="AK2601">
        <v>10.9385432555788</v>
      </c>
      <c r="AL2601">
        <v>81.791567722249297</v>
      </c>
      <c r="AM2601">
        <v>96.839251483518794</v>
      </c>
      <c r="AN2601">
        <v>1.0000000103090401</v>
      </c>
    </row>
    <row r="2602" spans="1:40" x14ac:dyDescent="0.25">
      <c r="A2602" t="str">
        <f>"20190304154810961"</f>
        <v>20190304154810961</v>
      </c>
      <c r="B2602" t="str">
        <f>"1551685690949089"</f>
        <v>1551685690949089</v>
      </c>
      <c r="C2602" t="s">
        <v>40</v>
      </c>
      <c r="D2602">
        <v>4.0816439999999998</v>
      </c>
      <c r="E2602">
        <v>0.64273840000000004</v>
      </c>
      <c r="F2602" t="s">
        <v>61</v>
      </c>
      <c r="G2602">
        <v>-296.65609999999998</v>
      </c>
      <c r="H2602" s="1">
        <v>3.0647230000000001E-6</v>
      </c>
      <c r="I2602">
        <v>288.2962</v>
      </c>
      <c r="J2602">
        <v>-286.3809</v>
      </c>
      <c r="K2602">
        <v>1.110562</v>
      </c>
      <c r="L2602">
        <v>285.5317</v>
      </c>
      <c r="M2602">
        <v>-0.99991289999999999</v>
      </c>
      <c r="N2602">
        <v>-1.1408369999999999E-2</v>
      </c>
      <c r="O2602">
        <v>6.6491880000000003E-3</v>
      </c>
      <c r="P2602">
        <v>-0.9850141</v>
      </c>
      <c r="Q2602">
        <v>0.1314506</v>
      </c>
      <c r="R2602">
        <v>-0.1116602</v>
      </c>
      <c r="S2602">
        <v>-3.1842649999999999</v>
      </c>
      <c r="T2602">
        <v>-0.334180599999999</v>
      </c>
      <c r="U2602">
        <v>0.83248899999999904</v>
      </c>
      <c r="V2602">
        <v>-0.1181981</v>
      </c>
      <c r="W2602">
        <v>0.142678799999999</v>
      </c>
      <c r="X2602">
        <v>0.98268610000000001</v>
      </c>
      <c r="Y2602">
        <v>0.24512049999999999</v>
      </c>
      <c r="Z2602">
        <v>1.3432319999999999E-2</v>
      </c>
      <c r="AA2602">
        <v>0.96939960000000003</v>
      </c>
      <c r="AB2602">
        <v>31</v>
      </c>
      <c r="AC2602">
        <v>-10.2751999999999</v>
      </c>
      <c r="AD2602">
        <v>-1.110558935277</v>
      </c>
      <c r="AE2602">
        <v>2.7644999999999902</v>
      </c>
      <c r="AF2602">
        <v>2.6670601390551298</v>
      </c>
      <c r="AG2602">
        <v>-1.110558935277</v>
      </c>
      <c r="AH2602">
        <v>10.182437351823999</v>
      </c>
      <c r="AI2602">
        <v>96.022820656046704</v>
      </c>
      <c r="AJ2602">
        <v>75.322388860894606</v>
      </c>
      <c r="AK2602">
        <v>10.584355500354301</v>
      </c>
      <c r="AL2602">
        <v>81.797113356996903</v>
      </c>
      <c r="AM2602">
        <v>96.858623367139003</v>
      </c>
      <c r="AN2602">
        <v>1.00000000097313</v>
      </c>
    </row>
    <row r="2603" spans="1:40" x14ac:dyDescent="0.25">
      <c r="A2603" t="str">
        <f>"20190304154810976"</f>
        <v>20190304154810976</v>
      </c>
      <c r="B2603" t="str">
        <f>"1551685690969585"</f>
        <v>1551685690969585</v>
      </c>
      <c r="C2603" t="s">
        <v>40</v>
      </c>
      <c r="D2603">
        <v>4.0021060000000004</v>
      </c>
      <c r="E2603">
        <v>0.64213279999999995</v>
      </c>
      <c r="F2603" t="s">
        <v>61</v>
      </c>
      <c r="G2603">
        <v>-296.94369999999998</v>
      </c>
      <c r="H2603" s="1">
        <v>3.1177889999999999E-6</v>
      </c>
      <c r="I2603">
        <v>288.27280000000002</v>
      </c>
      <c r="J2603">
        <v>-286.58890000000002</v>
      </c>
      <c r="K2603">
        <v>1.1105659999999999</v>
      </c>
      <c r="L2603">
        <v>285.53309999999999</v>
      </c>
      <c r="M2603">
        <v>-0.99991289999999999</v>
      </c>
      <c r="N2603">
        <v>-1.1410429999999999E-2</v>
      </c>
      <c r="O2603">
        <v>6.6434490000000001E-3</v>
      </c>
      <c r="P2603">
        <v>-0.98496139999999999</v>
      </c>
      <c r="Q2603">
        <v>0.13147220000000001</v>
      </c>
      <c r="R2603">
        <v>-0.11209959999999999</v>
      </c>
      <c r="S2603">
        <v>-3.183929</v>
      </c>
      <c r="T2603">
        <v>-0.33475460000000001</v>
      </c>
      <c r="U2603">
        <v>0.82623289999999905</v>
      </c>
      <c r="V2603">
        <v>-0.118633</v>
      </c>
      <c r="W2603">
        <v>0.14270039999999901</v>
      </c>
      <c r="X2603">
        <v>0.98263060000000002</v>
      </c>
      <c r="Y2603">
        <v>0.24337149999999999</v>
      </c>
      <c r="Z2603">
        <v>1.3356929999999999E-2</v>
      </c>
      <c r="AA2603">
        <v>0.96984119999999996</v>
      </c>
      <c r="AB2603">
        <v>31</v>
      </c>
      <c r="AC2603">
        <v>-10.3547999999999</v>
      </c>
      <c r="AD2603">
        <v>-1.1105628822110001</v>
      </c>
      <c r="AE2603">
        <v>2.73970000000002</v>
      </c>
      <c r="AF2603">
        <v>2.6424366879657999</v>
      </c>
      <c r="AG2603">
        <v>-1.1105628822110001</v>
      </c>
      <c r="AH2603">
        <v>10.262450069809001</v>
      </c>
      <c r="AI2603">
        <v>95.982639684054007</v>
      </c>
      <c r="AJ2603">
        <v>75.560789921576003</v>
      </c>
      <c r="AK2603">
        <v>10.6552195191172</v>
      </c>
      <c r="AL2603">
        <v>81.795863332766899</v>
      </c>
      <c r="AM2603">
        <v>96.884002461213598</v>
      </c>
      <c r="AN2603">
        <v>1.0000000444527499</v>
      </c>
    </row>
    <row r="2604" spans="1:40" x14ac:dyDescent="0.25">
      <c r="A2604" t="str">
        <f>"20190304154810993"</f>
        <v>20190304154810993</v>
      </c>
      <c r="B2604" t="str">
        <f>"1551685690989105"</f>
        <v>1551685690989105</v>
      </c>
      <c r="C2604" t="s">
        <v>40</v>
      </c>
      <c r="D2604">
        <v>3.9362170000000001</v>
      </c>
      <c r="E2604">
        <v>0.64196679999999995</v>
      </c>
      <c r="F2604" t="s">
        <v>61</v>
      </c>
      <c r="G2604">
        <v>-297.15949999999998</v>
      </c>
      <c r="H2604" s="1">
        <v>3.1574399999999999E-6</v>
      </c>
      <c r="I2604">
        <v>288.25709999999998</v>
      </c>
      <c r="J2604">
        <v>-286.81139999999999</v>
      </c>
      <c r="K2604">
        <v>1.110581</v>
      </c>
      <c r="L2604">
        <v>285.53460000000001</v>
      </c>
      <c r="M2604">
        <v>-0.99991300000000005</v>
      </c>
      <c r="N2604">
        <v>-1.1412479999999999E-2</v>
      </c>
      <c r="O2604">
        <v>6.629401E-3</v>
      </c>
      <c r="P2604">
        <v>-0.9850023</v>
      </c>
      <c r="Q2604">
        <v>0.1310183</v>
      </c>
      <c r="R2604">
        <v>-0.1122722</v>
      </c>
      <c r="S2604">
        <v>-3.1838380000000002</v>
      </c>
      <c r="T2604">
        <v>-0.33449980000000001</v>
      </c>
      <c r="U2604">
        <v>0.82046509999999995</v>
      </c>
      <c r="V2604">
        <v>-0.118794</v>
      </c>
      <c r="W2604">
        <v>0.14224690000000001</v>
      </c>
      <c r="X2604">
        <v>0.98267689999999996</v>
      </c>
      <c r="Y2604">
        <v>0.2417552</v>
      </c>
      <c r="Z2604">
        <v>1.3259440000000001E-2</v>
      </c>
      <c r="AA2604">
        <v>0.97024670000000002</v>
      </c>
      <c r="AB2604">
        <v>31</v>
      </c>
      <c r="AC2604">
        <v>-10.348099999999899</v>
      </c>
      <c r="AD2604">
        <v>-1.1105778425599999</v>
      </c>
      <c r="AE2604">
        <v>2.7224999999999602</v>
      </c>
      <c r="AF2604">
        <v>2.6255506274311502</v>
      </c>
      <c r="AG2604">
        <v>-1.1105778425599999</v>
      </c>
      <c r="AH2604">
        <v>10.255446938874799</v>
      </c>
      <c r="AI2604">
        <v>95.988881249236798</v>
      </c>
      <c r="AJ2604">
        <v>75.639844406242005</v>
      </c>
      <c r="AK2604">
        <v>10.6442985282106</v>
      </c>
      <c r="AL2604">
        <v>81.822114752423403</v>
      </c>
      <c r="AM2604">
        <v>96.892933433849095</v>
      </c>
      <c r="AN2604">
        <v>1.0000000423946001</v>
      </c>
    </row>
    <row r="2605" spans="1:40" x14ac:dyDescent="0.25">
      <c r="A2605" t="str">
        <f>"20190304154811005"</f>
        <v>20190304154811005</v>
      </c>
      <c r="B2605" t="str">
        <f>"1551685690998865"</f>
        <v>1551685690998865</v>
      </c>
      <c r="C2605" t="s">
        <v>40</v>
      </c>
      <c r="D2605">
        <v>4.4563699999999997</v>
      </c>
      <c r="E2605">
        <v>0.64208089999999995</v>
      </c>
      <c r="F2605" t="s">
        <v>61</v>
      </c>
      <c r="G2605">
        <v>-297.44630000000001</v>
      </c>
      <c r="H2605" s="1">
        <v>3.2071479999999998E-6</v>
      </c>
      <c r="I2605">
        <v>288.27050000000003</v>
      </c>
      <c r="J2605">
        <v>-286.99680000000001</v>
      </c>
      <c r="K2605">
        <v>1.110589</v>
      </c>
      <c r="L2605">
        <v>285.53570000000002</v>
      </c>
      <c r="M2605">
        <v>-0.9999131</v>
      </c>
      <c r="N2605">
        <v>-1.14122999999999E-2</v>
      </c>
      <c r="O2605">
        <v>6.6067490000000003E-3</v>
      </c>
      <c r="P2605">
        <v>-0.98498509999999995</v>
      </c>
      <c r="Q2605">
        <v>0.1309292</v>
      </c>
      <c r="R2605">
        <v>-0.1125246</v>
      </c>
      <c r="S2605">
        <v>-3.1831969999999998</v>
      </c>
      <c r="T2605">
        <v>-0.33241300000000001</v>
      </c>
      <c r="U2605">
        <v>0.81890869999999905</v>
      </c>
      <c r="V2605">
        <v>-0.11902749999999999</v>
      </c>
      <c r="W2605">
        <v>0.14215529999999901</v>
      </c>
      <c r="X2605">
        <v>0.98266180000000003</v>
      </c>
      <c r="Y2605">
        <v>0.24139669999999999</v>
      </c>
      <c r="Z2605">
        <v>1.317078E-2</v>
      </c>
      <c r="AA2605">
        <v>0.97033720000000001</v>
      </c>
      <c r="AB2605">
        <v>31</v>
      </c>
      <c r="AC2605">
        <v>-10.4495</v>
      </c>
      <c r="AD2605">
        <v>-1.110585792852</v>
      </c>
      <c r="AE2605">
        <v>2.7347999999999999</v>
      </c>
      <c r="AF2605">
        <v>2.6378126944023199</v>
      </c>
      <c r="AG2605">
        <v>-1.110585792852</v>
      </c>
      <c r="AH2605">
        <v>10.3578422823559</v>
      </c>
      <c r="AI2605">
        <v>95.932044174526794</v>
      </c>
      <c r="AJ2605">
        <v>75.7123014585965</v>
      </c>
      <c r="AK2605">
        <v>10.745992432539399</v>
      </c>
      <c r="AL2605">
        <v>81.827416118833199</v>
      </c>
      <c r="AM2605">
        <v>96.906456468399696</v>
      </c>
      <c r="AN2605">
        <v>0.99999994412678805</v>
      </c>
    </row>
    <row r="2606" spans="1:40" x14ac:dyDescent="0.25">
      <c r="A2606" t="str">
        <f>"20190304154811018"</f>
        <v>20190304154811018</v>
      </c>
      <c r="B2606" t="str">
        <f>"1551685691009601"</f>
        <v>1551685691009601</v>
      </c>
      <c r="C2606" t="s">
        <v>40</v>
      </c>
      <c r="D2606">
        <v>4.43011</v>
      </c>
      <c r="E2606">
        <v>0.64263139999999996</v>
      </c>
      <c r="F2606" t="s">
        <v>61</v>
      </c>
      <c r="G2606">
        <v>-297.57299999999998</v>
      </c>
      <c r="H2606" s="1">
        <v>3.230784E-6</v>
      </c>
      <c r="I2606">
        <v>288.25720000000001</v>
      </c>
      <c r="J2606">
        <v>-287.16480000000001</v>
      </c>
      <c r="K2606">
        <v>1.1106069999999999</v>
      </c>
      <c r="L2606">
        <v>285.5369</v>
      </c>
      <c r="M2606">
        <v>-0.9999133</v>
      </c>
      <c r="N2606">
        <v>-1.141113E-2</v>
      </c>
      <c r="O2606">
        <v>6.5795589999999996E-3</v>
      </c>
      <c r="P2606">
        <v>-0.98502239999999996</v>
      </c>
      <c r="Q2606">
        <v>0.1308011</v>
      </c>
      <c r="R2606">
        <v>-0.1123494</v>
      </c>
      <c r="S2606">
        <v>-3.1837770000000001</v>
      </c>
      <c r="T2606">
        <v>-0.33432279999999998</v>
      </c>
      <c r="U2606">
        <v>0.81924439999999998</v>
      </c>
      <c r="V2606">
        <v>-0.1188288</v>
      </c>
      <c r="W2606">
        <v>0.1420236</v>
      </c>
      <c r="X2606">
        <v>0.98270489999999999</v>
      </c>
      <c r="Y2606">
        <v>0.2414618</v>
      </c>
      <c r="Z2606">
        <v>1.324152E-2</v>
      </c>
      <c r="AA2606">
        <v>0.97031999999999996</v>
      </c>
      <c r="AB2606">
        <v>31</v>
      </c>
      <c r="AC2606">
        <v>-10.4081999999999</v>
      </c>
      <c r="AD2606">
        <v>-1.11060376921599</v>
      </c>
      <c r="AE2606">
        <v>2.7202999999999999</v>
      </c>
      <c r="AF2606">
        <v>2.62379129828249</v>
      </c>
      <c r="AG2606">
        <v>-1.11060376921599</v>
      </c>
      <c r="AH2606">
        <v>10.3159285348907</v>
      </c>
      <c r="AI2606">
        <v>95.956527587826599</v>
      </c>
      <c r="AJ2606">
        <v>75.729761757160006</v>
      </c>
      <c r="AK2606">
        <v>10.7021541311136</v>
      </c>
      <c r="AL2606">
        <v>81.835039397460406</v>
      </c>
      <c r="AM2606">
        <v>96.894738677856196</v>
      </c>
      <c r="AN2606">
        <v>0.99999995357520299</v>
      </c>
    </row>
    <row r="2607" spans="1:40" x14ac:dyDescent="0.25">
      <c r="A2607" t="str">
        <f>"20190304154811039"</f>
        <v>20190304154811039</v>
      </c>
      <c r="B2607" t="str">
        <f>"1551685691029121"</f>
        <v>1551685691029121</v>
      </c>
      <c r="C2607" t="s">
        <v>40</v>
      </c>
      <c r="D2607">
        <v>4.3606059999999998</v>
      </c>
      <c r="E2607">
        <v>0.64424729999999997</v>
      </c>
      <c r="F2607" t="s">
        <v>61</v>
      </c>
      <c r="G2607">
        <v>-297.58819999999997</v>
      </c>
      <c r="H2607" s="1">
        <v>3.23531E-6</v>
      </c>
      <c r="I2607">
        <v>288.23610000000002</v>
      </c>
      <c r="J2607">
        <v>-287.45580000000001</v>
      </c>
      <c r="K2607">
        <v>1.1106210000000001</v>
      </c>
      <c r="L2607">
        <v>285.53870000000001</v>
      </c>
      <c r="M2607">
        <v>-0.99991379999999996</v>
      </c>
      <c r="N2607">
        <v>-1.1406950000000001E-2</v>
      </c>
      <c r="O2607">
        <v>6.51222E-3</v>
      </c>
      <c r="P2607">
        <v>-0.98496099999999998</v>
      </c>
      <c r="Q2607">
        <v>0.1309051</v>
      </c>
      <c r="R2607">
        <v>-0.1127644</v>
      </c>
      <c r="S2607">
        <v>-3.1847530000000002</v>
      </c>
      <c r="T2607">
        <v>-0.33933390000000002</v>
      </c>
      <c r="U2607">
        <v>0.82473750000000001</v>
      </c>
      <c r="V2607">
        <v>-0.11918520000000001</v>
      </c>
      <c r="W2607">
        <v>0.1421161</v>
      </c>
      <c r="X2607">
        <v>0.98264839999999998</v>
      </c>
      <c r="Y2607">
        <v>0.24297769999999999</v>
      </c>
      <c r="Z2607">
        <v>1.350502E-2</v>
      </c>
      <c r="AA2607">
        <v>0.96993790000000002</v>
      </c>
      <c r="AB2607">
        <v>31</v>
      </c>
      <c r="AC2607">
        <v>-10.132399999999899</v>
      </c>
      <c r="AD2607">
        <v>-1.11061776469</v>
      </c>
      <c r="AE2607">
        <v>2.6974000000000098</v>
      </c>
      <c r="AF2607">
        <v>2.6021595566451898</v>
      </c>
      <c r="AG2607">
        <v>-1.11061776469</v>
      </c>
      <c r="AH2607">
        <v>10.037142138878</v>
      </c>
      <c r="AI2607">
        <v>96.113630399639405</v>
      </c>
      <c r="AJ2607">
        <v>75.465879112745398</v>
      </c>
      <c r="AK2607">
        <v>10.428275432377401</v>
      </c>
      <c r="AL2607">
        <v>81.829685510674196</v>
      </c>
      <c r="AM2607">
        <v>96.9156116974182</v>
      </c>
      <c r="AN2607">
        <v>0.99999998790040401</v>
      </c>
    </row>
    <row r="2608" spans="1:40" x14ac:dyDescent="0.25">
      <c r="A2608" t="str">
        <f>"20190304154811052"</f>
        <v>20190304154811052</v>
      </c>
      <c r="B2608" t="str">
        <f>"1551685691049617"</f>
        <v>1551685691049617</v>
      </c>
      <c r="C2608" t="s">
        <v>40</v>
      </c>
      <c r="D2608">
        <v>4.3970469999999997</v>
      </c>
      <c r="E2608">
        <v>0.64571109999999998</v>
      </c>
      <c r="F2608" t="s">
        <v>61</v>
      </c>
      <c r="G2608">
        <v>-297.72340000000003</v>
      </c>
      <c r="H2608" s="1">
        <v>3.2595400000000001E-6</v>
      </c>
      <c r="I2608">
        <v>288.23340000000002</v>
      </c>
      <c r="J2608">
        <v>-287.6379</v>
      </c>
      <c r="K2608">
        <v>1.1106320000000001</v>
      </c>
      <c r="L2608">
        <v>285.53989999999999</v>
      </c>
      <c r="M2608">
        <v>-0.99991419999999998</v>
      </c>
      <c r="N2608">
        <v>-1.140358E-2</v>
      </c>
      <c r="O2608">
        <v>6.4570529999999999E-3</v>
      </c>
      <c r="P2608">
        <v>-0.98499179999999997</v>
      </c>
      <c r="Q2608">
        <v>0.13083819999999999</v>
      </c>
      <c r="R2608">
        <v>-0.1125728</v>
      </c>
      <c r="S2608">
        <v>-3.187408</v>
      </c>
      <c r="T2608">
        <v>-0.34477409999999997</v>
      </c>
      <c r="U2608">
        <v>0.83651730000000002</v>
      </c>
      <c r="V2608">
        <v>-0.1189451</v>
      </c>
      <c r="W2608">
        <v>0.142042</v>
      </c>
      <c r="X2608">
        <v>0.98268820000000001</v>
      </c>
      <c r="Y2608">
        <v>0.24613180000000001</v>
      </c>
      <c r="Z2608">
        <v>1.387241E-2</v>
      </c>
      <c r="AA2608">
        <v>0.96913709999999997</v>
      </c>
      <c r="AB2608">
        <v>31</v>
      </c>
      <c r="AC2608">
        <v>-10.0855</v>
      </c>
      <c r="AD2608">
        <v>-1.1106287404599999</v>
      </c>
      <c r="AE2608">
        <v>2.6935000000000202</v>
      </c>
      <c r="AF2608">
        <v>2.5988991273719</v>
      </c>
      <c r="AG2608">
        <v>-1.1106287404599999</v>
      </c>
      <c r="AH2608">
        <v>9.98960696100111</v>
      </c>
      <c r="AI2608">
        <v>96.141214887970904</v>
      </c>
      <c r="AJ2608">
        <v>75.417181272635204</v>
      </c>
      <c r="AK2608">
        <v>10.381715663062201</v>
      </c>
      <c r="AL2608">
        <v>81.833974595444204</v>
      </c>
      <c r="AM2608">
        <v>96.901537792359093</v>
      </c>
      <c r="AN2608">
        <v>0.99999998249862498</v>
      </c>
    </row>
    <row r="2609" spans="1:40" x14ac:dyDescent="0.25">
      <c r="A2609" t="str">
        <f>"20190304154811065"</f>
        <v>20190304154811065</v>
      </c>
      <c r="B2609" t="str">
        <f>"1551685691059377"</f>
        <v>1551685691059377</v>
      </c>
      <c r="C2609" t="s">
        <v>40</v>
      </c>
      <c r="D2609">
        <v>4.411384</v>
      </c>
      <c r="E2609">
        <v>0.64643899999999999</v>
      </c>
      <c r="F2609" t="s">
        <v>61</v>
      </c>
      <c r="G2609">
        <v>-297.81760000000003</v>
      </c>
      <c r="H2609" s="1">
        <v>3.2746770000000002E-6</v>
      </c>
      <c r="I2609">
        <v>288.25139999999999</v>
      </c>
      <c r="J2609">
        <v>-287.81049999999999</v>
      </c>
      <c r="K2609">
        <v>1.1106499999999999</v>
      </c>
      <c r="L2609">
        <v>285.54090000000002</v>
      </c>
      <c r="M2609">
        <v>-0.99991470000000005</v>
      </c>
      <c r="N2609">
        <v>-1.140007E-2</v>
      </c>
      <c r="O2609">
        <v>6.3882840000000001E-3</v>
      </c>
      <c r="P2609">
        <v>-0.98497290000000004</v>
      </c>
      <c r="Q2609">
        <v>0.1308503</v>
      </c>
      <c r="R2609">
        <v>-0.1127248</v>
      </c>
      <c r="S2609">
        <v>-3.1889949999999998</v>
      </c>
      <c r="T2609">
        <v>-0.3479275</v>
      </c>
      <c r="U2609">
        <v>0.84945680000000001</v>
      </c>
      <c r="V2609">
        <v>-0.119036</v>
      </c>
      <c r="W2609">
        <v>0.142044899999999</v>
      </c>
      <c r="X2609">
        <v>0.98267680000000002</v>
      </c>
      <c r="Y2609">
        <v>0.24970919999999999</v>
      </c>
      <c r="Z2609">
        <v>1.4191519999999999E-2</v>
      </c>
      <c r="AA2609">
        <v>0.96821690000000005</v>
      </c>
      <c r="AB2609">
        <v>31</v>
      </c>
      <c r="AC2609">
        <v>-10.007099999999999</v>
      </c>
      <c r="AD2609">
        <v>-1.1106467253229999</v>
      </c>
      <c r="AE2609">
        <v>2.7104999999999602</v>
      </c>
      <c r="AF2609">
        <v>2.6164856952811202</v>
      </c>
      <c r="AG2609">
        <v>-1.1106467253229999</v>
      </c>
      <c r="AH2609">
        <v>9.9104802268211696</v>
      </c>
      <c r="AI2609">
        <v>96.184168652604399</v>
      </c>
      <c r="AJ2609">
        <v>75.210679691639598</v>
      </c>
      <c r="AK2609">
        <v>10.310051011915199</v>
      </c>
      <c r="AL2609">
        <v>81.833806946024197</v>
      </c>
      <c r="AM2609">
        <v>96.906840496458798</v>
      </c>
      <c r="AN2609">
        <v>1.0000000080851199</v>
      </c>
    </row>
    <row r="2610" spans="1:40" x14ac:dyDescent="0.25">
      <c r="A2610" t="str">
        <f>"20190304154811083"</f>
        <v>20190304154811083</v>
      </c>
      <c r="B2610" t="str">
        <f>"1551685691079872"</f>
        <v>1551685691079872</v>
      </c>
      <c r="C2610" t="s">
        <v>40</v>
      </c>
      <c r="D2610">
        <v>4.4523229999999998</v>
      </c>
      <c r="E2610">
        <v>0.64889439999999998</v>
      </c>
      <c r="F2610" t="s">
        <v>61</v>
      </c>
      <c r="G2610">
        <v>-297.93779999999998</v>
      </c>
      <c r="H2610" s="1">
        <v>3.2956529999999998E-6</v>
      </c>
      <c r="I2610">
        <v>288.25540000000001</v>
      </c>
      <c r="J2610">
        <v>-288.04320000000001</v>
      </c>
      <c r="K2610">
        <v>1.1106560000000001</v>
      </c>
      <c r="L2610">
        <v>285.54230000000001</v>
      </c>
      <c r="M2610">
        <v>-0.99991540000000001</v>
      </c>
      <c r="N2610">
        <v>-1.139534E-2</v>
      </c>
      <c r="O2610">
        <v>6.2805710000000004E-3</v>
      </c>
      <c r="P2610">
        <v>-0.98498560000000002</v>
      </c>
      <c r="Q2610">
        <v>0.1307923</v>
      </c>
      <c r="R2610">
        <v>-0.11267919999999999</v>
      </c>
      <c r="S2610">
        <v>-3.1901250000000001</v>
      </c>
      <c r="T2610">
        <v>-0.34985329999999998</v>
      </c>
      <c r="U2610">
        <v>0.85507199999999906</v>
      </c>
      <c r="V2610">
        <v>-0.118891899999999</v>
      </c>
      <c r="W2610">
        <v>0.14197589999999999</v>
      </c>
      <c r="X2610">
        <v>0.98270420000000003</v>
      </c>
      <c r="Y2610">
        <v>0.25129430000000003</v>
      </c>
      <c r="Z2610">
        <v>1.435852E-2</v>
      </c>
      <c r="AA2610">
        <v>0.96780429999999995</v>
      </c>
      <c r="AB2610">
        <v>31</v>
      </c>
      <c r="AC2610">
        <v>-9.8945999999999596</v>
      </c>
      <c r="AD2610">
        <v>-1.11065270434699</v>
      </c>
      <c r="AE2610">
        <v>2.7130999999999901</v>
      </c>
      <c r="AF2610">
        <v>2.6201936500029701</v>
      </c>
      <c r="AG2610">
        <v>-1.11065270434699</v>
      </c>
      <c r="AH2610">
        <v>9.7966425802313406</v>
      </c>
      <c r="AI2610">
        <v>96.250189720691196</v>
      </c>
      <c r="AJ2610">
        <v>75.026243667391</v>
      </c>
      <c r="AK2610">
        <v>10.2016258526761</v>
      </c>
      <c r="AL2610">
        <v>81.837800703107007</v>
      </c>
      <c r="AM2610">
        <v>96.898369490998206</v>
      </c>
      <c r="AN2610">
        <v>0.99999999238202997</v>
      </c>
    </row>
    <row r="2611" spans="1:40" x14ac:dyDescent="0.25">
      <c r="A2611" t="str">
        <f>"20190304154811097"</f>
        <v>20190304154811097</v>
      </c>
      <c r="B2611" t="str">
        <f>"1551685691089633"</f>
        <v>1551685691089633</v>
      </c>
      <c r="C2611" t="s">
        <v>40</v>
      </c>
      <c r="D2611">
        <v>4.4131710000000002</v>
      </c>
      <c r="E2611">
        <v>0.64946539999999997</v>
      </c>
      <c r="F2611" t="s">
        <v>61</v>
      </c>
      <c r="G2611">
        <v>-298.17910000000001</v>
      </c>
      <c r="H2611" s="1">
        <v>3.3327969999999998E-6</v>
      </c>
      <c r="I2611">
        <v>288.32010000000002</v>
      </c>
      <c r="J2611">
        <v>-288.24650000000003</v>
      </c>
      <c r="K2611">
        <v>1.1106819999999999</v>
      </c>
      <c r="L2611">
        <v>285.54349999999999</v>
      </c>
      <c r="M2611">
        <v>-0.99991620000000003</v>
      </c>
      <c r="N2611">
        <v>-1.1390539999999999E-2</v>
      </c>
      <c r="O2611">
        <v>6.1704000000000004E-3</v>
      </c>
      <c r="P2611">
        <v>-0.9850004</v>
      </c>
      <c r="Q2611">
        <v>0.13050390000000001</v>
      </c>
      <c r="R2611">
        <v>-0.11288579999999999</v>
      </c>
      <c r="S2611">
        <v>-3.1922609999999998</v>
      </c>
      <c r="T2611">
        <v>-0.34979369999999999</v>
      </c>
      <c r="U2611">
        <v>0.87484740000000005</v>
      </c>
      <c r="V2611">
        <v>-0.1189978</v>
      </c>
      <c r="W2611">
        <v>0.1416772</v>
      </c>
      <c r="X2611">
        <v>0.98273449999999996</v>
      </c>
      <c r="Y2611">
        <v>0.25679059999999998</v>
      </c>
      <c r="Z2611">
        <v>1.4675769999999999E-2</v>
      </c>
      <c r="AA2611">
        <v>0.96635559999999998</v>
      </c>
      <c r="AB2611">
        <v>31</v>
      </c>
      <c r="AC2611">
        <v>-9.9325999999999794</v>
      </c>
      <c r="AD2611">
        <v>-1.110678667203</v>
      </c>
      <c r="AE2611">
        <v>2.7766000000000299</v>
      </c>
      <c r="AF2611">
        <v>2.6841252308307801</v>
      </c>
      <c r="AG2611">
        <v>-1.110678667203</v>
      </c>
      <c r="AH2611">
        <v>9.8354753235879606</v>
      </c>
      <c r="AI2611">
        <v>96.217389251754497</v>
      </c>
      <c r="AJ2611">
        <v>74.735540101599995</v>
      </c>
      <c r="AK2611">
        <v>10.255472207434901</v>
      </c>
      <c r="AL2611">
        <v>81.855089792578895</v>
      </c>
      <c r="AM2611">
        <v>96.904243929085496</v>
      </c>
      <c r="AN2611">
        <v>1.0000000014474599</v>
      </c>
    </row>
    <row r="2612" spans="1:40" x14ac:dyDescent="0.25">
      <c r="A2612" t="str">
        <f>"20190304154811109"</f>
        <v>20190304154811109</v>
      </c>
      <c r="B2612" t="str">
        <f>"1551685691099394"</f>
        <v>1551685691099394</v>
      </c>
      <c r="C2612" t="s">
        <v>40</v>
      </c>
      <c r="D2612">
        <v>4.4574129999999998</v>
      </c>
      <c r="E2612">
        <v>0.64987099999999998</v>
      </c>
      <c r="F2612" t="s">
        <v>61</v>
      </c>
      <c r="G2612">
        <v>-298.31310000000002</v>
      </c>
      <c r="H2612" s="1">
        <v>3.3570580000000001E-6</v>
      </c>
      <c r="I2612">
        <v>288.31450000000001</v>
      </c>
      <c r="J2612">
        <v>-288.42250000000001</v>
      </c>
      <c r="K2612">
        <v>1.1106830000000001</v>
      </c>
      <c r="L2612">
        <v>285.54450000000003</v>
      </c>
      <c r="M2612">
        <v>-0.9999169</v>
      </c>
      <c r="N2612">
        <v>-1.1385279999999999E-2</v>
      </c>
      <c r="O2612">
        <v>6.0620079999999998E-3</v>
      </c>
      <c r="P2612">
        <v>-0.98494389999999998</v>
      </c>
      <c r="Q2612">
        <v>0.13070180000000001</v>
      </c>
      <c r="R2612">
        <v>-0.113150399999999</v>
      </c>
      <c r="S2612">
        <v>-3.193085</v>
      </c>
      <c r="T2612">
        <v>-0.35230109999999998</v>
      </c>
      <c r="U2612">
        <v>0.87896730000000001</v>
      </c>
      <c r="V2612">
        <v>-0.119161</v>
      </c>
      <c r="W2612">
        <v>0.14186409999999999</v>
      </c>
      <c r="X2612">
        <v>0.9826878</v>
      </c>
      <c r="Y2612">
        <v>0.25796340000000001</v>
      </c>
      <c r="Z2612">
        <v>1.484396E-2</v>
      </c>
      <c r="AA2612">
        <v>0.96604069999999997</v>
      </c>
      <c r="AB2612">
        <v>31</v>
      </c>
      <c r="AC2612">
        <v>-9.8905999999999992</v>
      </c>
      <c r="AD2612">
        <v>-1.1106796429420001</v>
      </c>
      <c r="AE2612">
        <v>2.76999999999998</v>
      </c>
      <c r="AF2612">
        <v>2.6786658073614</v>
      </c>
      <c r="AG2612">
        <v>-1.1106796429420001</v>
      </c>
      <c r="AH2612">
        <v>9.7927018396646108</v>
      </c>
      <c r="AI2612">
        <v>96.243338234463394</v>
      </c>
      <c r="AJ2612">
        <v>74.7017107029274</v>
      </c>
      <c r="AK2612">
        <v>10.213024483342</v>
      </c>
      <c r="AL2612">
        <v>81.8442722587708</v>
      </c>
      <c r="AM2612">
        <v>96.913946572601702</v>
      </c>
      <c r="AN2612">
        <v>1.00000003952932</v>
      </c>
    </row>
    <row r="2613" spans="1:40" x14ac:dyDescent="0.25">
      <c r="A2613" t="str">
        <f>"20190304154811123"</f>
        <v>20190304154811123</v>
      </c>
      <c r="B2613" t="str">
        <f>"1551685691119889"</f>
        <v>1551685691119889</v>
      </c>
      <c r="C2613" t="s">
        <v>40</v>
      </c>
      <c r="D2613">
        <v>4.3916680000000001</v>
      </c>
      <c r="E2613">
        <v>0.65054509999999999</v>
      </c>
      <c r="F2613" t="s">
        <v>61</v>
      </c>
      <c r="G2613">
        <v>-298.47190000000001</v>
      </c>
      <c r="H2613" s="1">
        <v>3.3848179999999998E-6</v>
      </c>
      <c r="I2613">
        <v>288.31920000000002</v>
      </c>
      <c r="J2613">
        <v>-288.60890000000001</v>
      </c>
      <c r="K2613">
        <v>1.1106959999999999</v>
      </c>
      <c r="L2613">
        <v>285.5455</v>
      </c>
      <c r="M2613">
        <v>-0.99991779999999997</v>
      </c>
      <c r="N2613">
        <v>-1.137815E-2</v>
      </c>
      <c r="O2613">
        <v>5.9300209999999997E-3</v>
      </c>
      <c r="P2613">
        <v>-0.98497690000000004</v>
      </c>
      <c r="Q2613">
        <v>0.13053429999999999</v>
      </c>
      <c r="R2613">
        <v>-0.1130553</v>
      </c>
      <c r="S2613">
        <v>-3.1940309999999998</v>
      </c>
      <c r="T2613">
        <v>-0.35300989999999999</v>
      </c>
      <c r="U2613">
        <v>0.88189699999999904</v>
      </c>
      <c r="V2613">
        <v>-0.1189424</v>
      </c>
      <c r="W2613">
        <v>0.1416857</v>
      </c>
      <c r="X2613">
        <v>0.98273999999999995</v>
      </c>
      <c r="Y2613">
        <v>0.25883030000000001</v>
      </c>
      <c r="Z2613">
        <v>1.4929080000000001E-2</v>
      </c>
      <c r="AA2613">
        <v>0.96580739999999998</v>
      </c>
      <c r="AB2613">
        <v>31</v>
      </c>
      <c r="AC2613">
        <v>-9.8629999999999995</v>
      </c>
      <c r="AD2613">
        <v>-1.11069261518199</v>
      </c>
      <c r="AE2613">
        <v>2.7737000000000198</v>
      </c>
      <c r="AF2613">
        <v>2.6836215985480498</v>
      </c>
      <c r="AG2613">
        <v>-1.11069261518199</v>
      </c>
      <c r="AH2613">
        <v>9.7645225850681499</v>
      </c>
      <c r="AI2613">
        <v>96.259231377678901</v>
      </c>
      <c r="AJ2613">
        <v>74.632598075299896</v>
      </c>
      <c r="AK2613">
        <v>10.1873138895353</v>
      </c>
      <c r="AL2613">
        <v>81.854597966461498</v>
      </c>
      <c r="AM2613">
        <v>96.901022379275005</v>
      </c>
      <c r="AN2613">
        <v>1.0000000198511201</v>
      </c>
    </row>
    <row r="2614" spans="1:40" x14ac:dyDescent="0.25">
      <c r="A2614" t="str">
        <f>"20190304154811140"</f>
        <v>20190304154811140</v>
      </c>
      <c r="B2614" t="str">
        <f>"1551685691129648"</f>
        <v>1551685691129648</v>
      </c>
      <c r="C2614" t="s">
        <v>40</v>
      </c>
      <c r="D2614">
        <v>4.3959229999999998</v>
      </c>
      <c r="E2614">
        <v>0.65100139999999995</v>
      </c>
      <c r="F2614" t="s">
        <v>61</v>
      </c>
      <c r="G2614">
        <v>-298.57</v>
      </c>
      <c r="H2614" s="1">
        <v>3.4026170000000001E-6</v>
      </c>
      <c r="I2614">
        <v>288.31459999999998</v>
      </c>
      <c r="J2614">
        <v>-288.84379999999999</v>
      </c>
      <c r="K2614">
        <v>1.110711</v>
      </c>
      <c r="L2614">
        <v>285.54669999999999</v>
      </c>
      <c r="M2614">
        <v>-0.99991890000000005</v>
      </c>
      <c r="N2614">
        <v>-1.1368339999999999E-2</v>
      </c>
      <c r="O2614">
        <v>5.7473929999999999E-3</v>
      </c>
      <c r="P2614">
        <v>-0.98481719999999895</v>
      </c>
      <c r="Q2614">
        <v>0.13099919999999901</v>
      </c>
      <c r="R2614">
        <v>-0.11390500000000001</v>
      </c>
      <c r="S2614">
        <v>-3.1948850000000002</v>
      </c>
      <c r="T2614">
        <v>-0.35623729999999998</v>
      </c>
      <c r="U2614">
        <v>0.88815309999999903</v>
      </c>
      <c r="V2614">
        <v>-0.1196183</v>
      </c>
      <c r="W2614">
        <v>0.1421327</v>
      </c>
      <c r="X2614">
        <v>0.98259339999999995</v>
      </c>
      <c r="Y2614">
        <v>0.260658</v>
      </c>
      <c r="Z2614">
        <v>1.5170889999999999E-2</v>
      </c>
      <c r="AA2614">
        <v>0.96531199999999995</v>
      </c>
      <c r="AB2614">
        <v>31</v>
      </c>
      <c r="AC2614">
        <v>-9.7262000000000004</v>
      </c>
      <c r="AD2614">
        <v>-1.1107075973830001</v>
      </c>
      <c r="AE2614">
        <v>2.7678999999999898</v>
      </c>
      <c r="AF2614">
        <v>2.6796232972844698</v>
      </c>
      <c r="AG2614">
        <v>-1.1107075973830001</v>
      </c>
      <c r="AH2614">
        <v>9.6258222896435299</v>
      </c>
      <c r="AI2614">
        <v>96.343042724032699</v>
      </c>
      <c r="AJ2614">
        <v>74.443933310570898</v>
      </c>
      <c r="AK2614">
        <v>10.053382870160201</v>
      </c>
      <c r="AL2614">
        <v>81.828724877275505</v>
      </c>
      <c r="AM2614">
        <v>96.940881950772607</v>
      </c>
      <c r="AN2614">
        <v>1.00000001591386</v>
      </c>
    </row>
    <row r="2615" spans="1:40" x14ac:dyDescent="0.25">
      <c r="A2615" t="str">
        <f>"20190304154811163"</f>
        <v>20190304154811163</v>
      </c>
      <c r="B2615" t="str">
        <f>"1551685691159905"</f>
        <v>1551685691159905</v>
      </c>
      <c r="C2615" t="s">
        <v>40</v>
      </c>
      <c r="D2615">
        <v>4.3820610000000002</v>
      </c>
      <c r="E2615">
        <v>0.65240319999999996</v>
      </c>
      <c r="F2615" t="s">
        <v>61</v>
      </c>
      <c r="G2615">
        <v>-298.83440000000002</v>
      </c>
      <c r="H2615" s="1">
        <v>3.448443E-6</v>
      </c>
      <c r="I2615">
        <v>288.32679999999999</v>
      </c>
      <c r="J2615">
        <v>-289.15589999999997</v>
      </c>
      <c r="K2615">
        <v>1.1107260000000001</v>
      </c>
      <c r="L2615">
        <v>285.54820000000001</v>
      </c>
      <c r="M2615">
        <v>-0.99992060000000005</v>
      </c>
      <c r="N2615">
        <v>-1.135476E-2</v>
      </c>
      <c r="O2615">
        <v>5.4737519999999897E-3</v>
      </c>
      <c r="P2615">
        <v>-0.98472420000000005</v>
      </c>
      <c r="Q2615">
        <v>0.13121269999999999</v>
      </c>
      <c r="R2615">
        <v>-0.1144612</v>
      </c>
      <c r="S2615">
        <v>-3.1964109999999999</v>
      </c>
      <c r="T2615">
        <v>-0.35536269999999998</v>
      </c>
      <c r="U2615">
        <v>0.88949579999999995</v>
      </c>
      <c r="V2615">
        <v>-0.1199144</v>
      </c>
      <c r="W2615">
        <v>0.142323799999999</v>
      </c>
      <c r="X2615">
        <v>0.9825296</v>
      </c>
      <c r="Y2615">
        <v>0.26118419999999998</v>
      </c>
      <c r="Z2615">
        <v>1.5187300000000001E-2</v>
      </c>
      <c r="AA2615">
        <v>0.96516950000000001</v>
      </c>
      <c r="AB2615">
        <v>31</v>
      </c>
      <c r="AC2615">
        <v>-9.6785000000000405</v>
      </c>
      <c r="AD2615">
        <v>-1.1107225515570001</v>
      </c>
      <c r="AE2615">
        <v>2.77859999999998</v>
      </c>
      <c r="AF2615">
        <v>2.6928126259584402</v>
      </c>
      <c r="AG2615">
        <v>-1.1107225515570001</v>
      </c>
      <c r="AH2615">
        <v>9.5770373616267701</v>
      </c>
      <c r="AI2615">
        <v>96.370589609013507</v>
      </c>
      <c r="AJ2615">
        <v>74.295404613982498</v>
      </c>
      <c r="AK2615">
        <v>10.010224225812999</v>
      </c>
      <c r="AL2615">
        <v>81.817662830722398</v>
      </c>
      <c r="AM2615">
        <v>96.958342390137005</v>
      </c>
      <c r="AN2615">
        <v>0.99999997112497896</v>
      </c>
    </row>
    <row r="2616" spans="1:40" x14ac:dyDescent="0.25">
      <c r="A2616" t="str">
        <f>"20190304154811183"</f>
        <v>20190304154811183</v>
      </c>
      <c r="B2616" t="str">
        <f>"1551685691179424"</f>
        <v>1551685691179424</v>
      </c>
      <c r="C2616" t="s">
        <v>40</v>
      </c>
      <c r="D2616">
        <v>4.4420390000000003</v>
      </c>
      <c r="E2616">
        <v>0.65444019999999903</v>
      </c>
      <c r="F2616" t="s">
        <v>61</v>
      </c>
      <c r="G2616">
        <v>-299.09300000000002</v>
      </c>
      <c r="H2616" s="1">
        <v>3.493052E-6</v>
      </c>
      <c r="I2616">
        <v>288.34120000000001</v>
      </c>
      <c r="J2616">
        <v>-289.43389999999999</v>
      </c>
      <c r="K2616">
        <v>1.1107469999999999</v>
      </c>
      <c r="L2616">
        <v>285.54939999999999</v>
      </c>
      <c r="M2616">
        <v>-0.99992219999999998</v>
      </c>
      <c r="N2616">
        <v>-1.134319E-2</v>
      </c>
      <c r="O2616">
        <v>5.2041530000000004E-3</v>
      </c>
      <c r="P2616">
        <v>-0.98466509999999996</v>
      </c>
      <c r="Q2616">
        <v>0.13069049999999999</v>
      </c>
      <c r="R2616">
        <v>-0.11556429999999999</v>
      </c>
      <c r="S2616">
        <v>-3.1986690000000002</v>
      </c>
      <c r="T2616">
        <v>-0.35753479999999999</v>
      </c>
      <c r="U2616">
        <v>0.89904789999999901</v>
      </c>
      <c r="V2616">
        <v>-0.120759199999999</v>
      </c>
      <c r="W2616">
        <v>0.14178289999999999</v>
      </c>
      <c r="X2616">
        <v>0.98250440000000006</v>
      </c>
      <c r="Y2616">
        <v>0.26390669999999999</v>
      </c>
      <c r="Z2616">
        <v>1.544542E-2</v>
      </c>
      <c r="AA2616">
        <v>0.96442459999999997</v>
      </c>
      <c r="AB2616">
        <v>31</v>
      </c>
      <c r="AC2616">
        <v>-9.65910000000002</v>
      </c>
      <c r="AD2616">
        <v>-1.1107435069479901</v>
      </c>
      <c r="AE2616">
        <v>2.7918000000000198</v>
      </c>
      <c r="AF2616">
        <v>2.7084372218763502</v>
      </c>
      <c r="AG2616">
        <v>-1.1107435069479901</v>
      </c>
      <c r="AH2616">
        <v>9.5568651992333198</v>
      </c>
      <c r="AI2616">
        <v>96.380357158699795</v>
      </c>
      <c r="AJ2616">
        <v>74.177150241892093</v>
      </c>
      <c r="AK2616">
        <v>9.9951516126264597</v>
      </c>
      <c r="AL2616">
        <v>81.848972150389699</v>
      </c>
      <c r="AM2616">
        <v>97.007056391942598</v>
      </c>
      <c r="AN2616">
        <v>1.0000000355681999</v>
      </c>
    </row>
    <row r="2617" spans="1:40" x14ac:dyDescent="0.25">
      <c r="A2617" t="str">
        <f>"20190304154811196"</f>
        <v>20190304154811196</v>
      </c>
      <c r="B2617" t="str">
        <f>"1551685691189185"</f>
        <v>1551685691189185</v>
      </c>
      <c r="C2617" t="s">
        <v>40</v>
      </c>
      <c r="D2617">
        <v>4.0666539999999998</v>
      </c>
      <c r="E2617">
        <v>0.65623299999999996</v>
      </c>
      <c r="F2617" t="s">
        <v>61</v>
      </c>
      <c r="G2617">
        <v>-299.34199999999998</v>
      </c>
      <c r="H2617" s="1">
        <v>3.5345490000000001E-6</v>
      </c>
      <c r="I2617">
        <v>288.37189999999998</v>
      </c>
      <c r="J2617">
        <v>-289.61849999999998</v>
      </c>
      <c r="K2617">
        <v>1.1107610000000001</v>
      </c>
      <c r="L2617">
        <v>285.55020000000002</v>
      </c>
      <c r="M2617">
        <v>-0.99992320000000001</v>
      </c>
      <c r="N2617">
        <v>-1.1335929999999999E-2</v>
      </c>
      <c r="O2617">
        <v>5.0134990000000003E-3</v>
      </c>
      <c r="P2617">
        <v>-0.98465080000000005</v>
      </c>
      <c r="Q2617">
        <v>0.13013959999999999</v>
      </c>
      <c r="R2617">
        <v>-0.1163042</v>
      </c>
      <c r="S2617">
        <v>-3.2013850000000001</v>
      </c>
      <c r="T2617">
        <v>-0.35888779999999998</v>
      </c>
      <c r="U2617">
        <v>0.91195680000000001</v>
      </c>
      <c r="V2617">
        <v>-0.1213162</v>
      </c>
      <c r="W2617">
        <v>0.1412207</v>
      </c>
      <c r="X2617">
        <v>0.98251670000000002</v>
      </c>
      <c r="Y2617">
        <v>0.2674454</v>
      </c>
      <c r="Z2617">
        <v>1.5711760000000002E-2</v>
      </c>
      <c r="AA2617">
        <v>0.96344490000000005</v>
      </c>
      <c r="AB2617">
        <v>31</v>
      </c>
      <c r="AC2617">
        <v>-9.7234999999999996</v>
      </c>
      <c r="AD2617">
        <v>-1.110757465451</v>
      </c>
      <c r="AE2617">
        <v>2.8216999999999599</v>
      </c>
      <c r="AF2617">
        <v>2.7399350394386399</v>
      </c>
      <c r="AG2617">
        <v>-1.110757465451</v>
      </c>
      <c r="AH2617">
        <v>9.62171915896446</v>
      </c>
      <c r="AI2617">
        <v>96.335528764996198</v>
      </c>
      <c r="AJ2617">
        <v>74.104867795190202</v>
      </c>
      <c r="AK2617">
        <v>10.065709400801399</v>
      </c>
      <c r="AL2617">
        <v>81.881510841317805</v>
      </c>
      <c r="AM2617">
        <v>97.038965601303403</v>
      </c>
      <c r="AN2617">
        <v>0.99999998613490904</v>
      </c>
    </row>
    <row r="2618" spans="1:40" x14ac:dyDescent="0.25">
      <c r="A2618" t="str">
        <f>"20190304154811216"</f>
        <v>20190304154811216</v>
      </c>
      <c r="B2618" t="str">
        <f>"1551685691209681"</f>
        <v>1551685691209681</v>
      </c>
      <c r="C2618" t="s">
        <v>40</v>
      </c>
      <c r="D2618">
        <v>4.4668519999999896</v>
      </c>
      <c r="E2618">
        <v>0.65649809999999997</v>
      </c>
      <c r="F2618" t="s">
        <v>61</v>
      </c>
      <c r="G2618">
        <v>-299.50689999999997</v>
      </c>
      <c r="H2618" s="1">
        <v>3.5612470000000001E-6</v>
      </c>
      <c r="I2618">
        <v>288.40100000000001</v>
      </c>
      <c r="J2618">
        <v>-289.90519999999998</v>
      </c>
      <c r="K2618">
        <v>1.1107899999999999</v>
      </c>
      <c r="L2618">
        <v>285.55130000000003</v>
      </c>
      <c r="M2618">
        <v>-0.99992490000000001</v>
      </c>
      <c r="N2618">
        <v>-1.13247E-2</v>
      </c>
      <c r="O2618">
        <v>4.6962230000000002E-3</v>
      </c>
      <c r="P2618">
        <v>-0.9846589</v>
      </c>
      <c r="Q2618">
        <v>0.1294824</v>
      </c>
      <c r="R2618">
        <v>-0.1169676</v>
      </c>
      <c r="S2618">
        <v>-3.20343</v>
      </c>
      <c r="T2618">
        <v>-0.35984080000000002</v>
      </c>
      <c r="U2618">
        <v>0.92355350000000003</v>
      </c>
      <c r="V2618">
        <v>-0.12167459999999999</v>
      </c>
      <c r="W2618">
        <v>0.14054659999999999</v>
      </c>
      <c r="X2618">
        <v>0.98256900000000003</v>
      </c>
      <c r="Y2618">
        <v>0.270783099999999</v>
      </c>
      <c r="Z2618">
        <v>1.596641E-2</v>
      </c>
      <c r="AA2618">
        <v>0.96250800000000003</v>
      </c>
      <c r="AB2618">
        <v>31</v>
      </c>
      <c r="AC2618">
        <v>-9.6016999999999904</v>
      </c>
      <c r="AD2618">
        <v>-1.110786438753</v>
      </c>
      <c r="AE2618">
        <v>2.8496999999999799</v>
      </c>
      <c r="AF2618">
        <v>2.7704970842566201</v>
      </c>
      <c r="AG2618">
        <v>-1.110786438753</v>
      </c>
      <c r="AH2618">
        <v>9.4981513530114796</v>
      </c>
      <c r="AI2618">
        <v>96.405721862089806</v>
      </c>
      <c r="AJ2618">
        <v>73.738667080560205</v>
      </c>
      <c r="AK2618">
        <v>9.9561227257957103</v>
      </c>
      <c r="AL2618">
        <v>81.920522713972403</v>
      </c>
      <c r="AM2618">
        <v>97.059179065160507</v>
      </c>
      <c r="AN2618">
        <v>0.999999947408858</v>
      </c>
    </row>
    <row r="2619" spans="1:40" x14ac:dyDescent="0.25">
      <c r="A2619" t="str">
        <f>"20190304154811229"</f>
        <v>20190304154811229</v>
      </c>
      <c r="B2619" t="str">
        <f>"1551685691219441"</f>
        <v>1551685691219441</v>
      </c>
      <c r="C2619" t="s">
        <v>40</v>
      </c>
      <c r="D2619">
        <v>4.4490460000000001</v>
      </c>
      <c r="E2619">
        <v>0.65662119999999902</v>
      </c>
      <c r="F2619" t="s">
        <v>61</v>
      </c>
      <c r="G2619">
        <v>-299.63150000000002</v>
      </c>
      <c r="H2619" s="1">
        <v>3.587465E-6</v>
      </c>
      <c r="I2619">
        <v>288.35390000000001</v>
      </c>
      <c r="J2619">
        <v>-290.0831</v>
      </c>
      <c r="K2619">
        <v>1.1108020000000001</v>
      </c>
      <c r="L2619">
        <v>285.55189999999999</v>
      </c>
      <c r="M2619">
        <v>-0.99992599999999998</v>
      </c>
      <c r="N2619">
        <v>-1.131685E-2</v>
      </c>
      <c r="O2619">
        <v>4.4883570000000001E-3</v>
      </c>
      <c r="P2619">
        <v>-0.9845796</v>
      </c>
      <c r="Q2619">
        <v>0.1295827</v>
      </c>
      <c r="R2619">
        <v>-0.1175244</v>
      </c>
      <c r="S2619">
        <v>-3.2045590000000002</v>
      </c>
      <c r="T2619">
        <v>-0.36597760000000001</v>
      </c>
      <c r="U2619">
        <v>0.92340089999999997</v>
      </c>
      <c r="V2619">
        <v>-0.1220311</v>
      </c>
      <c r="W2619">
        <v>0.14063390000000001</v>
      </c>
      <c r="X2619">
        <v>0.98251239999999995</v>
      </c>
      <c r="Y2619">
        <v>0.2707946</v>
      </c>
      <c r="Z2619">
        <v>1.6225369999999999E-2</v>
      </c>
      <c r="AA2619">
        <v>0.96250040000000003</v>
      </c>
      <c r="AB2619">
        <v>31</v>
      </c>
      <c r="AC2619">
        <v>-9.5484000000000098</v>
      </c>
      <c r="AD2619">
        <v>-1.1107984125349999</v>
      </c>
      <c r="AE2619">
        <v>2.80200000000002</v>
      </c>
      <c r="AF2619">
        <v>2.72515573397818</v>
      </c>
      <c r="AG2619">
        <v>-1.1107984125349999</v>
      </c>
      <c r="AH2619">
        <v>9.44321427630282</v>
      </c>
      <c r="AI2619">
        <v>96.448054153827897</v>
      </c>
      <c r="AJ2619">
        <v>73.902733296136205</v>
      </c>
      <c r="AK2619">
        <v>9.8911396085534005</v>
      </c>
      <c r="AL2619">
        <v>81.915471446328397</v>
      </c>
      <c r="AM2619">
        <v>97.080056199491807</v>
      </c>
      <c r="AN2619">
        <v>1.00000004967508</v>
      </c>
    </row>
    <row r="2620" spans="1:40" x14ac:dyDescent="0.25">
      <c r="A2620" t="str">
        <f>"20190304154811241"</f>
        <v>20190304154811241</v>
      </c>
      <c r="B2620" t="str">
        <f>"1551685691239937"</f>
        <v>1551685691239937</v>
      </c>
      <c r="C2620" t="s">
        <v>40</v>
      </c>
      <c r="D2620">
        <v>4.4303499999999998</v>
      </c>
      <c r="E2620">
        <v>0.65707109999999902</v>
      </c>
      <c r="F2620" t="s">
        <v>61</v>
      </c>
      <c r="G2620">
        <v>-299.77120000000002</v>
      </c>
      <c r="H2620" s="1">
        <v>3.6134840000000002E-6</v>
      </c>
      <c r="I2620">
        <v>288.3399</v>
      </c>
      <c r="J2620">
        <v>-290.25510000000003</v>
      </c>
      <c r="K2620">
        <v>1.110814</v>
      </c>
      <c r="L2620">
        <v>285.55250000000001</v>
      </c>
      <c r="M2620">
        <v>-0.99992700000000001</v>
      </c>
      <c r="N2620">
        <v>-1.1306689999999999E-2</v>
      </c>
      <c r="O2620">
        <v>4.2762809999999998E-3</v>
      </c>
      <c r="P2620">
        <v>-0.98449430000000004</v>
      </c>
      <c r="Q2620">
        <v>0.1298367</v>
      </c>
      <c r="R2620">
        <v>-0.1179568</v>
      </c>
      <c r="S2620">
        <v>-3.205444</v>
      </c>
      <c r="T2620">
        <v>-0.36752069999999998</v>
      </c>
      <c r="U2620">
        <v>0.92242429999999997</v>
      </c>
      <c r="V2620">
        <v>-0.122259199999999</v>
      </c>
      <c r="W2620">
        <v>0.14087330000000001</v>
      </c>
      <c r="X2620">
        <v>0.98244969999999998</v>
      </c>
      <c r="Y2620">
        <v>0.27064379999999999</v>
      </c>
      <c r="Z2620">
        <v>1.6293910000000002E-2</v>
      </c>
      <c r="AA2620">
        <v>0.9625416</v>
      </c>
      <c r="AB2620">
        <v>31</v>
      </c>
      <c r="AC2620">
        <v>-9.5160999999999891</v>
      </c>
      <c r="AD2620">
        <v>-1.1108103865159999</v>
      </c>
      <c r="AE2620">
        <v>2.7873999999999901</v>
      </c>
      <c r="AF2620">
        <v>2.7126372398227501</v>
      </c>
      <c r="AG2620">
        <v>-1.1108103865159999</v>
      </c>
      <c r="AH2620">
        <v>9.4098483244961209</v>
      </c>
      <c r="AI2620">
        <v>96.471318249281396</v>
      </c>
      <c r="AJ2620">
        <v>73.918976700925199</v>
      </c>
      <c r="AK2620">
        <v>9.8558381682983995</v>
      </c>
      <c r="AL2620">
        <v>81.9016165533004</v>
      </c>
      <c r="AM2620">
        <v>97.093603603485803</v>
      </c>
      <c r="AN2620">
        <v>1.0000000058338001</v>
      </c>
    </row>
    <row r="2621" spans="1:40" x14ac:dyDescent="0.25">
      <c r="A2621" t="str">
        <f>"20190304154811255"</f>
        <v>20190304154811255</v>
      </c>
      <c r="B2621" t="str">
        <f>"1551685691249697"</f>
        <v>1551685691249697</v>
      </c>
      <c r="C2621" t="s">
        <v>40</v>
      </c>
      <c r="D2621">
        <v>4.4760109999999997</v>
      </c>
      <c r="E2621">
        <v>0.65701599999999905</v>
      </c>
      <c r="F2621" t="s">
        <v>61</v>
      </c>
      <c r="G2621">
        <v>-299.88959999999997</v>
      </c>
      <c r="H2621" s="1">
        <v>3.6352279999999999E-6</v>
      </c>
      <c r="I2621">
        <v>288.33120000000002</v>
      </c>
      <c r="J2621">
        <v>-290.43</v>
      </c>
      <c r="K2621">
        <v>1.1108309999999999</v>
      </c>
      <c r="L2621">
        <v>285.55309999999997</v>
      </c>
      <c r="M2621">
        <v>-0.99992800000000004</v>
      </c>
      <c r="N2621">
        <v>-1.12944E-2</v>
      </c>
      <c r="O2621">
        <v>4.0547959999999899E-3</v>
      </c>
      <c r="P2621">
        <v>-0.98449889999999995</v>
      </c>
      <c r="Q2621">
        <v>0.12979180000000001</v>
      </c>
      <c r="R2621">
        <v>-0.1179665</v>
      </c>
      <c r="S2621">
        <v>-3.2068180000000002</v>
      </c>
      <c r="T2621">
        <v>-0.36973230000000001</v>
      </c>
      <c r="U2621">
        <v>0.92489619999999995</v>
      </c>
      <c r="V2621">
        <v>-0.1220551</v>
      </c>
      <c r="W2621">
        <v>0.14081279999999999</v>
      </c>
      <c r="X2621">
        <v>0.98248369999999996</v>
      </c>
      <c r="Y2621">
        <v>0.27140769999999997</v>
      </c>
      <c r="Z2621">
        <v>1.6442490000000001E-2</v>
      </c>
      <c r="AA2621">
        <v>0.96232399999999996</v>
      </c>
      <c r="AB2621">
        <v>31</v>
      </c>
      <c r="AC2621">
        <v>-9.4595999999999592</v>
      </c>
      <c r="AD2621">
        <v>-1.1108273647719999</v>
      </c>
      <c r="AE2621">
        <v>2.77810000000005</v>
      </c>
      <c r="AF2621">
        <v>2.7053743592969499</v>
      </c>
      <c r="AG2621">
        <v>-1.1108273647719999</v>
      </c>
      <c r="AH2621">
        <v>9.3520669625837201</v>
      </c>
      <c r="AI2621">
        <v>96.509329269165903</v>
      </c>
      <c r="AJ2621">
        <v>73.865853386763007</v>
      </c>
      <c r="AK2621">
        <v>9.7986807444123603</v>
      </c>
      <c r="AL2621">
        <v>81.905117446420306</v>
      </c>
      <c r="AM2621">
        <v>97.081639267197303</v>
      </c>
      <c r="AN2621">
        <v>0.99999995642276895</v>
      </c>
    </row>
    <row r="2622" spans="1:40" x14ac:dyDescent="0.25">
      <c r="A2622" t="str">
        <f>"20190304154811272"</f>
        <v>20190304154811272</v>
      </c>
      <c r="B2622" t="str">
        <f>"1551685691269217"</f>
        <v>1551685691269217</v>
      </c>
      <c r="C2622" t="s">
        <v>40</v>
      </c>
      <c r="D2622">
        <v>4.0875000000000004</v>
      </c>
      <c r="E2622">
        <v>0.65861080000000005</v>
      </c>
      <c r="F2622" t="s">
        <v>61</v>
      </c>
      <c r="G2622">
        <v>-300.02659999999997</v>
      </c>
      <c r="H2622" s="1">
        <v>3.6361569999999999E-6</v>
      </c>
      <c r="I2622">
        <v>288.31939999999997</v>
      </c>
      <c r="J2622">
        <v>-290.66730000000001</v>
      </c>
      <c r="K2622">
        <v>1.110849</v>
      </c>
      <c r="L2622">
        <v>285.55380000000002</v>
      </c>
      <c r="M2622">
        <v>-0.99992950000000003</v>
      </c>
      <c r="N2622">
        <v>-1.127157E-2</v>
      </c>
      <c r="O2622">
        <v>3.7388289999999999E-3</v>
      </c>
      <c r="P2622">
        <v>-0.98436990000000002</v>
      </c>
      <c r="Q2622">
        <v>0.1302941</v>
      </c>
      <c r="R2622">
        <v>-0.1184875</v>
      </c>
      <c r="S2622">
        <v>-3.2069399999999999</v>
      </c>
      <c r="T2622">
        <v>-0.3712125</v>
      </c>
      <c r="U2622">
        <v>0.92443850000000005</v>
      </c>
      <c r="V2622">
        <v>-0.12227159999999999</v>
      </c>
      <c r="W2622">
        <v>0.141286299999999</v>
      </c>
      <c r="X2622">
        <v>0.98238890000000001</v>
      </c>
      <c r="Y2622">
        <v>0.27155899999999999</v>
      </c>
      <c r="Z2622">
        <v>1.6539649999999999E-2</v>
      </c>
      <c r="AA2622">
        <v>0.96227969999999896</v>
      </c>
      <c r="AB2622">
        <v>31</v>
      </c>
      <c r="AC2622">
        <v>-9.3592999999999602</v>
      </c>
      <c r="AD2622">
        <v>-1.110845363843</v>
      </c>
      <c r="AE2622">
        <v>2.7655999999999401</v>
      </c>
      <c r="AF2622">
        <v>2.6956611271961699</v>
      </c>
      <c r="AG2622">
        <v>-1.110845363843</v>
      </c>
      <c r="AH2622">
        <v>9.2497374210153094</v>
      </c>
      <c r="AI2622">
        <v>96.577064411262697</v>
      </c>
      <c r="AJ2622">
        <v>73.752235029782995</v>
      </c>
      <c r="AK2622">
        <v>9.6983611343762099</v>
      </c>
      <c r="AL2622">
        <v>81.877714748398105</v>
      </c>
      <c r="AM2622">
        <v>97.0947503261348</v>
      </c>
      <c r="AN2622">
        <v>1.0000000567887199</v>
      </c>
    </row>
    <row r="2623" spans="1:40" x14ac:dyDescent="0.25">
      <c r="A2623" t="str">
        <f>"20190304154811282"</f>
        <v>20190304154811282</v>
      </c>
      <c r="B2623" t="str">
        <f>"1551685691279954"</f>
        <v>1551685691279954</v>
      </c>
      <c r="C2623" t="s">
        <v>40</v>
      </c>
      <c r="D2623">
        <v>4.4554929999999997</v>
      </c>
      <c r="E2623">
        <v>0.65864769999999995</v>
      </c>
      <c r="F2623" t="s">
        <v>61</v>
      </c>
      <c r="G2623">
        <v>-300.30849999999998</v>
      </c>
      <c r="H2623" s="1">
        <v>3.5823640000000001E-6</v>
      </c>
      <c r="I2623">
        <v>288.36259999999999</v>
      </c>
      <c r="J2623">
        <v>-290.82929999999999</v>
      </c>
      <c r="K2623">
        <v>1.110857</v>
      </c>
      <c r="L2623">
        <v>285.55410000000001</v>
      </c>
      <c r="M2623">
        <v>-0.99993050000000006</v>
      </c>
      <c r="N2623">
        <v>-1.1251769999999999E-2</v>
      </c>
      <c r="O2623">
        <v>3.51097E-3</v>
      </c>
      <c r="P2623">
        <v>-0.98440819999999996</v>
      </c>
      <c r="Q2623">
        <v>0.1301349</v>
      </c>
      <c r="R2623">
        <v>-0.1183449</v>
      </c>
      <c r="S2623">
        <v>-3.209076</v>
      </c>
      <c r="T2623">
        <v>-0.36974380000000001</v>
      </c>
      <c r="U2623">
        <v>0.93490600000000001</v>
      </c>
      <c r="V2623">
        <v>-0.1219085</v>
      </c>
      <c r="W2623">
        <v>0.14110510000000001</v>
      </c>
      <c r="X2623">
        <v>0.98246</v>
      </c>
      <c r="Y2623">
        <v>0.2744992</v>
      </c>
      <c r="Z2623">
        <v>1.666815E-2</v>
      </c>
      <c r="AA2623">
        <v>0.96144280000000004</v>
      </c>
      <c r="AB2623">
        <v>31</v>
      </c>
      <c r="AC2623">
        <v>-9.4791999999999899</v>
      </c>
      <c r="AD2623">
        <v>-1.1108534176360001</v>
      </c>
      <c r="AE2623">
        <v>2.80849999999998</v>
      </c>
      <c r="AF2623">
        <v>2.7405995716283802</v>
      </c>
      <c r="AG2623">
        <v>-1.1108534176360001</v>
      </c>
      <c r="AH2623">
        <v>9.3706985319400804</v>
      </c>
      <c r="AI2623">
        <v>96.491151149790298</v>
      </c>
      <c r="AJ2623">
        <v>73.697659312559495</v>
      </c>
      <c r="AK2623">
        <v>9.8262338820113193</v>
      </c>
      <c r="AL2623">
        <v>81.888201273216694</v>
      </c>
      <c r="AM2623">
        <v>97.073388639112693</v>
      </c>
      <c r="AN2623">
        <v>0.99999999160913</v>
      </c>
    </row>
    <row r="2624" spans="1:40" x14ac:dyDescent="0.25">
      <c r="A2624" t="str">
        <f>"20190304154811295"</f>
        <v>20190304154811295</v>
      </c>
      <c r="B2624" t="str">
        <f>"1551685691289713"</f>
        <v>1551685691289713</v>
      </c>
      <c r="C2624" t="s">
        <v>40</v>
      </c>
      <c r="D2624">
        <v>4.4643810000000004</v>
      </c>
      <c r="E2624">
        <v>0.65869</v>
      </c>
      <c r="F2624" t="s">
        <v>61</v>
      </c>
      <c r="G2624">
        <v>-300.42739999999998</v>
      </c>
      <c r="H2624" s="1">
        <v>3.5620840000000001E-6</v>
      </c>
      <c r="I2624">
        <v>288.35340000000002</v>
      </c>
      <c r="J2624">
        <v>-290.99110000000002</v>
      </c>
      <c r="K2624">
        <v>1.1108659999999999</v>
      </c>
      <c r="L2624">
        <v>285.55439999999999</v>
      </c>
      <c r="M2624">
        <v>-0.99993160000000003</v>
      </c>
      <c r="N2624">
        <v>-1.123096E-2</v>
      </c>
      <c r="O2624">
        <v>3.2798440000000001E-3</v>
      </c>
      <c r="P2624">
        <v>-0.98438210000000004</v>
      </c>
      <c r="Q2624">
        <v>0.13026270000000001</v>
      </c>
      <c r="R2624">
        <v>-0.11842179999999999</v>
      </c>
      <c r="S2624">
        <v>-3.2091370000000001</v>
      </c>
      <c r="T2624">
        <v>-0.37141489999999999</v>
      </c>
      <c r="U2624">
        <v>0.93594359999999999</v>
      </c>
      <c r="V2624">
        <v>-0.12176240000000001</v>
      </c>
      <c r="W2624">
        <v>0.1412089</v>
      </c>
      <c r="X2624">
        <v>0.98246319999999998</v>
      </c>
      <c r="Y2624">
        <v>0.27498329999999999</v>
      </c>
      <c r="Z2624">
        <v>1.6785629999999999E-2</v>
      </c>
      <c r="AA2624">
        <v>0.96130249999999995</v>
      </c>
      <c r="AB2624">
        <v>31</v>
      </c>
      <c r="AC2624">
        <v>-9.4362999999999602</v>
      </c>
      <c r="AD2624">
        <v>-1.1108624379159999</v>
      </c>
      <c r="AE2624">
        <v>2.7990000000000301</v>
      </c>
      <c r="AF2624">
        <v>2.7332181928306301</v>
      </c>
      <c r="AG2624">
        <v>-1.1108624379159999</v>
      </c>
      <c r="AH2624">
        <v>9.3266292900813301</v>
      </c>
      <c r="AI2624">
        <v>96.520581980348496</v>
      </c>
      <c r="AJ2624">
        <v>73.666497314759496</v>
      </c>
      <c r="AK2624">
        <v>9.7821526751628696</v>
      </c>
      <c r="AL2624">
        <v>81.882193785752094</v>
      </c>
      <c r="AM2624">
        <v>97.064974546513</v>
      </c>
      <c r="AN2624">
        <v>0.99999998742360396</v>
      </c>
    </row>
    <row r="2625" spans="1:40" x14ac:dyDescent="0.25">
      <c r="A2625" t="str">
        <f>"20190304154811307"</f>
        <v>20190304154811307</v>
      </c>
      <c r="B2625" t="str">
        <f>"1551685691299473"</f>
        <v>1551685691299473</v>
      </c>
      <c r="C2625" t="s">
        <v>40</v>
      </c>
      <c r="D2625">
        <v>4.461176</v>
      </c>
      <c r="E2625">
        <v>0.65876020000000002</v>
      </c>
      <c r="F2625" t="s">
        <v>61</v>
      </c>
      <c r="G2625">
        <v>-300.56810000000002</v>
      </c>
      <c r="H2625" s="1">
        <v>3.5376280000000002E-6</v>
      </c>
      <c r="I2625">
        <v>288.34769999999997</v>
      </c>
      <c r="J2625">
        <v>-291.15989999999999</v>
      </c>
      <c r="K2625">
        <v>1.1108610000000001</v>
      </c>
      <c r="L2625">
        <v>285.5548</v>
      </c>
      <c r="M2625">
        <v>-0.99993270000000001</v>
      </c>
      <c r="N2625">
        <v>-1.1206890000000001E-2</v>
      </c>
      <c r="O2625">
        <v>3.030863E-3</v>
      </c>
      <c r="P2625">
        <v>-0.98425620000000003</v>
      </c>
      <c r="Q2625">
        <v>0.13098089999999901</v>
      </c>
      <c r="R2625">
        <v>-0.1186783</v>
      </c>
      <c r="S2625">
        <v>-3.2094420000000001</v>
      </c>
      <c r="T2625">
        <v>-0.37227490000000002</v>
      </c>
      <c r="U2625">
        <v>0.93609620000000004</v>
      </c>
      <c r="V2625">
        <v>-0.12177739999999999</v>
      </c>
      <c r="W2625">
        <v>0.141899</v>
      </c>
      <c r="X2625">
        <v>0.98236190000000001</v>
      </c>
      <c r="Y2625">
        <v>0.27522980000000002</v>
      </c>
      <c r="Z2625">
        <v>1.685646E-2</v>
      </c>
      <c r="AA2625">
        <v>0.96123069999999999</v>
      </c>
      <c r="AB2625">
        <v>31</v>
      </c>
      <c r="AC2625">
        <v>-9.4082000000000203</v>
      </c>
      <c r="AD2625">
        <v>-1.110857462372</v>
      </c>
      <c r="AE2625">
        <v>2.7928999999999702</v>
      </c>
      <c r="AF2625">
        <v>2.7294006919316098</v>
      </c>
      <c r="AG2625">
        <v>-1.110857462372</v>
      </c>
      <c r="AH2625">
        <v>9.2975004429953891</v>
      </c>
      <c r="AI2625">
        <v>96.539916265786403</v>
      </c>
      <c r="AJ2625">
        <v>73.639720937817501</v>
      </c>
      <c r="AK2625">
        <v>9.7533146635553507</v>
      </c>
      <c r="AL2625">
        <v>81.842251727693395</v>
      </c>
      <c r="AM2625">
        <v>97.066557343585799</v>
      </c>
      <c r="AN2625">
        <v>0.99999998196168405</v>
      </c>
    </row>
    <row r="2626" spans="1:40" x14ac:dyDescent="0.25">
      <c r="A2626" t="str">
        <f>"20190304154811319"</f>
        <v>20190304154811319</v>
      </c>
      <c r="B2626" t="str">
        <f>"1551685691309233"</f>
        <v>1551685691309233</v>
      </c>
      <c r="C2626" t="s">
        <v>40</v>
      </c>
      <c r="D2626">
        <v>4.4900359999999999</v>
      </c>
      <c r="E2626">
        <v>0.65882719999999995</v>
      </c>
      <c r="F2626" t="s">
        <v>61</v>
      </c>
      <c r="G2626">
        <v>-300.75369999999998</v>
      </c>
      <c r="H2626" s="1">
        <v>3.504397E-6</v>
      </c>
      <c r="I2626">
        <v>288.35129999999998</v>
      </c>
      <c r="J2626">
        <v>-291.33479999999997</v>
      </c>
      <c r="K2626">
        <v>1.110867</v>
      </c>
      <c r="L2626">
        <v>285.55509999999998</v>
      </c>
      <c r="M2626">
        <v>-0.99993370000000004</v>
      </c>
      <c r="N2626">
        <v>-1.118068E-2</v>
      </c>
      <c r="O2626">
        <v>2.7661090000000001E-3</v>
      </c>
      <c r="P2626">
        <v>-0.98428099999999996</v>
      </c>
      <c r="Q2626">
        <v>0.13099769999999999</v>
      </c>
      <c r="R2626">
        <v>-0.11845070000000001</v>
      </c>
      <c r="S2626">
        <v>-3.2102970000000002</v>
      </c>
      <c r="T2626">
        <v>-0.37171720000000003</v>
      </c>
      <c r="U2626">
        <v>0.9357605</v>
      </c>
      <c r="V2626">
        <v>-0.1212937</v>
      </c>
      <c r="W2626">
        <v>0.14188770000000001</v>
      </c>
      <c r="X2626">
        <v>0.98242339999999995</v>
      </c>
      <c r="Y2626">
        <v>0.27532719999999999</v>
      </c>
      <c r="Z2626">
        <v>1.68594E-2</v>
      </c>
      <c r="AA2626">
        <v>0.96120269999999997</v>
      </c>
      <c r="AB2626">
        <v>31</v>
      </c>
      <c r="AC2626">
        <v>-9.4189000000000007</v>
      </c>
      <c r="AD2626">
        <v>-1.1108634956029999</v>
      </c>
      <c r="AE2626">
        <v>2.79619999999999</v>
      </c>
      <c r="AF2626">
        <v>2.7351697750787598</v>
      </c>
      <c r="AG2626">
        <v>-1.1108634956029999</v>
      </c>
      <c r="AH2626">
        <v>9.3076179916374802</v>
      </c>
      <c r="AI2626">
        <v>96.532377343999897</v>
      </c>
      <c r="AJ2626">
        <v>73.623859521844906</v>
      </c>
      <c r="AK2626">
        <v>9.7645749565775493</v>
      </c>
      <c r="AL2626">
        <v>81.842906009630198</v>
      </c>
      <c r="AM2626">
        <v>97.038334866009095</v>
      </c>
      <c r="AN2626">
        <v>1.00000000896927</v>
      </c>
    </row>
    <row r="2627" spans="1:40" x14ac:dyDescent="0.25">
      <c r="A2627" t="str">
        <f>"20190304154811333"</f>
        <v>20190304154811333</v>
      </c>
      <c r="B2627" t="str">
        <f>"1551685691329729"</f>
        <v>1551685691329729</v>
      </c>
      <c r="C2627" t="s">
        <v>40</v>
      </c>
      <c r="D2627">
        <v>4.5069710000000001</v>
      </c>
      <c r="E2627">
        <v>0.65889019999999898</v>
      </c>
      <c r="F2627" t="s">
        <v>61</v>
      </c>
      <c r="G2627">
        <v>-300.88740000000001</v>
      </c>
      <c r="H2627" s="1">
        <v>3.4814179999999999E-6</v>
      </c>
      <c r="I2627">
        <v>288.34269999999998</v>
      </c>
      <c r="J2627">
        <v>-291.52260000000001</v>
      </c>
      <c r="K2627">
        <v>1.1108690000000001</v>
      </c>
      <c r="L2627">
        <v>285.55529999999999</v>
      </c>
      <c r="M2627">
        <v>-0.99993469999999995</v>
      </c>
      <c r="N2627">
        <v>-1.115157E-2</v>
      </c>
      <c r="O2627">
        <v>2.4770539999999998E-3</v>
      </c>
      <c r="P2627">
        <v>-0.98416239999999999</v>
      </c>
      <c r="Q2627">
        <v>0.13146279999999999</v>
      </c>
      <c r="R2627">
        <v>-0.1189195</v>
      </c>
      <c r="S2627">
        <v>-3.2102970000000002</v>
      </c>
      <c r="T2627">
        <v>-0.3733224</v>
      </c>
      <c r="U2627">
        <v>0.93682860000000001</v>
      </c>
      <c r="V2627">
        <v>-0.1214819</v>
      </c>
      <c r="W2627">
        <v>0.14232</v>
      </c>
      <c r="X2627">
        <v>0.98233760000000003</v>
      </c>
      <c r="Y2627">
        <v>0.27587979999999901</v>
      </c>
      <c r="Z2627">
        <v>1.6984269999999999E-2</v>
      </c>
      <c r="AA2627">
        <v>0.96104199999999995</v>
      </c>
      <c r="AB2627">
        <v>31</v>
      </c>
      <c r="AC2627">
        <v>-9.3648000000000007</v>
      </c>
      <c r="AD2627">
        <v>-1.110865518582</v>
      </c>
      <c r="AE2627">
        <v>2.7873999999999901</v>
      </c>
      <c r="AF2627">
        <v>2.72891919620798</v>
      </c>
      <c r="AG2627">
        <v>-1.110865518582</v>
      </c>
      <c r="AH2627">
        <v>9.2520848628683101</v>
      </c>
      <c r="AI2627">
        <v>96.569335901725594</v>
      </c>
      <c r="AJ2627">
        <v>73.566480733642607</v>
      </c>
      <c r="AK2627">
        <v>9.7098968320741594</v>
      </c>
      <c r="AL2627">
        <v>81.817883010285897</v>
      </c>
      <c r="AM2627">
        <v>97.049755298332101</v>
      </c>
      <c r="AN2627">
        <v>0.99999999740068501</v>
      </c>
    </row>
    <row r="2628" spans="1:40" x14ac:dyDescent="0.25">
      <c r="A2628" t="str">
        <f>"20190304154811351"</f>
        <v>20190304154811351</v>
      </c>
      <c r="B2628" t="str">
        <f>"1551685691339490"</f>
        <v>1551685691339490</v>
      </c>
      <c r="C2628" t="s">
        <v>40</v>
      </c>
      <c r="D2628">
        <v>4.5313429999999997</v>
      </c>
      <c r="E2628">
        <v>0.65895109999999901</v>
      </c>
      <c r="F2628" t="s">
        <v>61</v>
      </c>
      <c r="G2628">
        <v>-301.04680000000002</v>
      </c>
      <c r="H2628" s="1">
        <v>3.4541979999999998E-6</v>
      </c>
      <c r="I2628">
        <v>288.33069999999998</v>
      </c>
      <c r="J2628">
        <v>-291.7629</v>
      </c>
      <c r="K2628">
        <v>1.110857</v>
      </c>
      <c r="L2628">
        <v>285.55549999999999</v>
      </c>
      <c r="M2628">
        <v>-0.99993609999999999</v>
      </c>
      <c r="N2628">
        <v>-1.111204E-2</v>
      </c>
      <c r="O2628">
        <v>2.0982290000000001E-3</v>
      </c>
      <c r="P2628">
        <v>-0.98412880000000003</v>
      </c>
      <c r="Q2628">
        <v>0.13206019999999999</v>
      </c>
      <c r="R2628">
        <v>-0.11853669999999999</v>
      </c>
      <c r="S2628">
        <v>-3.2113649999999998</v>
      </c>
      <c r="T2628">
        <v>-0.37456270000000003</v>
      </c>
      <c r="U2628">
        <v>0.93582149999999997</v>
      </c>
      <c r="V2628">
        <v>-0.12073059999999999</v>
      </c>
      <c r="W2628">
        <v>0.142876</v>
      </c>
      <c r="X2628">
        <v>0.98234949999999999</v>
      </c>
      <c r="Y2628">
        <v>0.2758678</v>
      </c>
      <c r="Z2628">
        <v>1.7063370000000001E-2</v>
      </c>
      <c r="AA2628">
        <v>0.96104409999999896</v>
      </c>
      <c r="AB2628">
        <v>31</v>
      </c>
      <c r="AC2628">
        <v>-9.2839000000000098</v>
      </c>
      <c r="AD2628">
        <v>-1.1108535458019999</v>
      </c>
      <c r="AE2628">
        <v>2.7751999999999799</v>
      </c>
      <c r="AF2628">
        <v>2.7199654188693998</v>
      </c>
      <c r="AG2628">
        <v>-1.1108535458019999</v>
      </c>
      <c r="AH2628">
        <v>9.1691955069445807</v>
      </c>
      <c r="AI2628">
        <v>96.625106940158901</v>
      </c>
      <c r="AJ2628">
        <v>73.477449205756599</v>
      </c>
      <c r="AK2628">
        <v>9.6284138737716791</v>
      </c>
      <c r="AL2628">
        <v>81.785697538598001</v>
      </c>
      <c r="AM2628">
        <v>97.006507024855694</v>
      </c>
      <c r="AN2628">
        <v>0.99999998465130402</v>
      </c>
    </row>
    <row r="2629" spans="1:40" x14ac:dyDescent="0.25">
      <c r="A2629" t="str">
        <f>"20190304154811366"</f>
        <v>20190304154811366</v>
      </c>
      <c r="B2629" t="str">
        <f>"1551685691359986"</f>
        <v>1551685691359986</v>
      </c>
      <c r="C2629" t="s">
        <v>40</v>
      </c>
      <c r="D2629">
        <v>4.5035420000000004</v>
      </c>
      <c r="E2629">
        <v>0.65897729999999999</v>
      </c>
      <c r="F2629" t="s">
        <v>61</v>
      </c>
      <c r="G2629">
        <v>-301.32749999999999</v>
      </c>
      <c r="H2629" s="1">
        <v>3.4027789999999999E-6</v>
      </c>
      <c r="I2629">
        <v>288.34930000000003</v>
      </c>
      <c r="J2629">
        <v>-291.97179999999997</v>
      </c>
      <c r="K2629">
        <v>1.11086</v>
      </c>
      <c r="L2629">
        <v>285.5557</v>
      </c>
      <c r="M2629">
        <v>-0.99993719999999997</v>
      </c>
      <c r="N2629">
        <v>-1.107703E-2</v>
      </c>
      <c r="O2629">
        <v>1.763003E-3</v>
      </c>
      <c r="P2629">
        <v>-0.98403379999999996</v>
      </c>
      <c r="Q2629">
        <v>0.13225880000000001</v>
      </c>
      <c r="R2629">
        <v>-0.119103</v>
      </c>
      <c r="S2629">
        <v>-3.2114259999999999</v>
      </c>
      <c r="T2629">
        <v>-0.37298419999999999</v>
      </c>
      <c r="U2629">
        <v>0.93804929999999997</v>
      </c>
      <c r="V2629">
        <v>-0.12096949999999999</v>
      </c>
      <c r="W2629">
        <v>0.14303740000000001</v>
      </c>
      <c r="X2629">
        <v>0.98229659999999996</v>
      </c>
      <c r="Y2629">
        <v>0.27680719999999998</v>
      </c>
      <c r="Z2629">
        <v>1.7084889999999998E-2</v>
      </c>
      <c r="AA2629">
        <v>0.96077360000000001</v>
      </c>
      <c r="AB2629">
        <v>31</v>
      </c>
      <c r="AC2629">
        <v>-9.3557000000000095</v>
      </c>
      <c r="AD2629">
        <v>-1.1108565972210001</v>
      </c>
      <c r="AE2629">
        <v>2.7936000000000201</v>
      </c>
      <c r="AF2629">
        <v>2.7416128582090402</v>
      </c>
      <c r="AG2629">
        <v>-1.1108565972210001</v>
      </c>
      <c r="AH2629">
        <v>9.24099469014166</v>
      </c>
      <c r="AI2629">
        <v>96.574035422328805</v>
      </c>
      <c r="AJ2629">
        <v>73.475461458778298</v>
      </c>
      <c r="AK2629">
        <v>9.7029081365904393</v>
      </c>
      <c r="AL2629">
        <v>81.776353861356995</v>
      </c>
      <c r="AM2629">
        <v>97.020607481843498</v>
      </c>
      <c r="AN2629">
        <v>0.99999996405028402</v>
      </c>
    </row>
    <row r="2630" spans="1:40" x14ac:dyDescent="0.25">
      <c r="A2630" t="str">
        <f>"20190304154811384"</f>
        <v>20190304154811384</v>
      </c>
      <c r="B2630" t="str">
        <f>"1551685691379505"</f>
        <v>1551685691379505</v>
      </c>
      <c r="C2630" t="s">
        <v>40</v>
      </c>
      <c r="D2630">
        <v>4.5211980000000001</v>
      </c>
      <c r="E2630">
        <v>0.65895349999999997</v>
      </c>
      <c r="F2630" t="s">
        <v>61</v>
      </c>
      <c r="G2630">
        <v>-301.49299999999999</v>
      </c>
      <c r="H2630" s="1">
        <v>3.3749519999999998E-6</v>
      </c>
      <c r="I2630">
        <v>288.33179999999999</v>
      </c>
      <c r="J2630">
        <v>-292.21890000000002</v>
      </c>
      <c r="K2630">
        <v>1.110851</v>
      </c>
      <c r="L2630">
        <v>285.5557</v>
      </c>
      <c r="M2630">
        <v>-0.99993840000000001</v>
      </c>
      <c r="N2630">
        <v>-1.103642E-2</v>
      </c>
      <c r="O2630">
        <v>1.363267E-3</v>
      </c>
      <c r="P2630">
        <v>-0.98404380000000002</v>
      </c>
      <c r="Q2630">
        <v>0.13227130000000001</v>
      </c>
      <c r="R2630">
        <v>-0.1190063</v>
      </c>
      <c r="S2630">
        <v>-3.2124329999999999</v>
      </c>
      <c r="T2630">
        <v>-0.3748031</v>
      </c>
      <c r="U2630">
        <v>0.93667599999999995</v>
      </c>
      <c r="V2630">
        <v>-0.1204824</v>
      </c>
      <c r="W2630">
        <v>0.14300860000000001</v>
      </c>
      <c r="X2630">
        <v>0.98236069999999998</v>
      </c>
      <c r="Y2630">
        <v>0.27671410000000002</v>
      </c>
      <c r="Z2630">
        <v>1.7185740000000001E-2</v>
      </c>
      <c r="AA2630">
        <v>0.96079859999999995</v>
      </c>
      <c r="AB2630">
        <v>31</v>
      </c>
      <c r="AC2630">
        <v>-9.2740999999999705</v>
      </c>
      <c r="AD2630">
        <v>-1.1108476250479999</v>
      </c>
      <c r="AE2630">
        <v>2.77609999999998</v>
      </c>
      <c r="AF2630">
        <v>2.7275392448065099</v>
      </c>
      <c r="AG2630">
        <v>-1.1108476250479999</v>
      </c>
      <c r="AH2630">
        <v>9.1572992492702294</v>
      </c>
      <c r="AI2630">
        <v>96.631425205680202</v>
      </c>
      <c r="AJ2630">
        <v>73.413620693992002</v>
      </c>
      <c r="AK2630">
        <v>9.61922981941483</v>
      </c>
      <c r="AL2630">
        <v>81.778021472978097</v>
      </c>
      <c r="AM2630">
        <v>96.992166734124396</v>
      </c>
      <c r="AN2630">
        <v>1.0000000066440999</v>
      </c>
    </row>
    <row r="2631" spans="1:40" x14ac:dyDescent="0.25">
      <c r="A2631" t="str">
        <f>"20190304154811396"</f>
        <v>20190304154811396</v>
      </c>
      <c r="B2631" t="str">
        <f>"1551685691389266"</f>
        <v>1551685691389266</v>
      </c>
      <c r="C2631" t="s">
        <v>40</v>
      </c>
      <c r="D2631">
        <v>4.5604800000000001</v>
      </c>
      <c r="E2631">
        <v>0.65886809999999996</v>
      </c>
      <c r="F2631" t="s">
        <v>61</v>
      </c>
      <c r="G2631">
        <v>-301.68799999999999</v>
      </c>
      <c r="H2631" s="1">
        <v>3.341666E-6</v>
      </c>
      <c r="I2631">
        <v>288.3168</v>
      </c>
      <c r="J2631">
        <v>-292.38130000000001</v>
      </c>
      <c r="K2631">
        <v>1.1108530000000001</v>
      </c>
      <c r="L2631">
        <v>285.5557</v>
      </c>
      <c r="M2631">
        <v>-0.99993889999999996</v>
      </c>
      <c r="N2631">
        <v>-1.1010499999999999E-2</v>
      </c>
      <c r="O2631">
        <v>1.09903E-3</v>
      </c>
      <c r="P2631">
        <v>-0.98402270000000003</v>
      </c>
      <c r="Q2631">
        <v>0.1323211</v>
      </c>
      <c r="R2631">
        <v>-0.1191258</v>
      </c>
      <c r="S2631">
        <v>-3.2125849999999998</v>
      </c>
      <c r="T2631">
        <v>-0.37687589999999999</v>
      </c>
      <c r="U2631">
        <v>0.93676760000000003</v>
      </c>
      <c r="V2631">
        <v>-0.1203428</v>
      </c>
      <c r="W2631">
        <v>0.14303270000000001</v>
      </c>
      <c r="X2631">
        <v>0.98237430000000003</v>
      </c>
      <c r="Y2631">
        <v>0.27695829999999999</v>
      </c>
      <c r="Z2631">
        <v>1.7309870000000002E-2</v>
      </c>
      <c r="AA2631">
        <v>0.96072599999999997</v>
      </c>
      <c r="AB2631">
        <v>31</v>
      </c>
      <c r="AC2631">
        <v>-9.3066999999999709</v>
      </c>
      <c r="AD2631">
        <v>-1.110849658334</v>
      </c>
      <c r="AE2631">
        <v>2.7610999999999901</v>
      </c>
      <c r="AF2631">
        <v>2.7153141779848302</v>
      </c>
      <c r="AG2631">
        <v>-1.110849658334</v>
      </c>
      <c r="AH2631">
        <v>9.1894001470906694</v>
      </c>
      <c r="AI2631">
        <v>96.612712819014405</v>
      </c>
      <c r="AJ2631">
        <v>73.538470544187604</v>
      </c>
      <c r="AK2631">
        <v>9.6463461016042906</v>
      </c>
      <c r="AL2631">
        <v>81.7766262803746</v>
      </c>
      <c r="AM2631">
        <v>96.984049409416798</v>
      </c>
      <c r="AN2631">
        <v>1.0000000040408099</v>
      </c>
    </row>
    <row r="2632" spans="1:40" x14ac:dyDescent="0.25">
      <c r="A2632" t="str">
        <f>"20190304154811407"</f>
        <v>20190304154811407</v>
      </c>
      <c r="B2632" t="str">
        <f>"1551685691399025"</f>
        <v>1551685691399025</v>
      </c>
      <c r="C2632" t="s">
        <v>40</v>
      </c>
      <c r="D2632">
        <v>4.5308809999999999</v>
      </c>
      <c r="E2632">
        <v>0.65883499999999995</v>
      </c>
      <c r="F2632" t="s">
        <v>61</v>
      </c>
      <c r="G2632">
        <v>-301.80560000000003</v>
      </c>
      <c r="H2632" s="1">
        <v>3.3223590000000001E-6</v>
      </c>
      <c r="I2632">
        <v>288.29910000000001</v>
      </c>
      <c r="J2632">
        <v>-292.55930000000001</v>
      </c>
      <c r="K2632">
        <v>1.11086</v>
      </c>
      <c r="L2632">
        <v>285.55549999999999</v>
      </c>
      <c r="M2632">
        <v>-0.99993960000000004</v>
      </c>
      <c r="N2632">
        <v>-1.098323E-2</v>
      </c>
      <c r="O2632">
        <v>8.0798909999999999E-4</v>
      </c>
      <c r="P2632">
        <v>-0.98400960000000004</v>
      </c>
      <c r="Q2632">
        <v>0.13218640000000001</v>
      </c>
      <c r="R2632">
        <v>-0.11938269999999999</v>
      </c>
      <c r="S2632">
        <v>-3.2128299999999999</v>
      </c>
      <c r="T2632">
        <v>-0.37869760000000002</v>
      </c>
      <c r="U2632">
        <v>0.9352722</v>
      </c>
      <c r="V2632">
        <v>-0.1203143</v>
      </c>
      <c r="W2632">
        <v>0.14286989999999999</v>
      </c>
      <c r="X2632">
        <v>0.98240150000000004</v>
      </c>
      <c r="Y2632">
        <v>0.27678839999999999</v>
      </c>
      <c r="Z2632">
        <v>1.7401E-2</v>
      </c>
      <c r="AA2632">
        <v>0.96077330000000005</v>
      </c>
      <c r="AB2632">
        <v>31</v>
      </c>
      <c r="AC2632">
        <v>-9.2463000000000193</v>
      </c>
      <c r="AD2632">
        <v>-1.110856677641</v>
      </c>
      <c r="AE2632">
        <v>2.74360000000001</v>
      </c>
      <c r="AF2632">
        <v>2.7003060488658202</v>
      </c>
      <c r="AG2632">
        <v>-1.110856677641</v>
      </c>
      <c r="AH2632">
        <v>9.1274313128616793</v>
      </c>
      <c r="AI2632">
        <v>96.656599496336199</v>
      </c>
      <c r="AJ2632">
        <v>73.519405527866795</v>
      </c>
      <c r="AK2632">
        <v>9.5830922820772599</v>
      </c>
      <c r="AL2632">
        <v>81.786050984038496</v>
      </c>
      <c r="AM2632">
        <v>96.982220336363895</v>
      </c>
      <c r="AN2632">
        <v>1.0000000231563699</v>
      </c>
    </row>
    <row r="2633" spans="1:40" x14ac:dyDescent="0.25">
      <c r="A2633" t="str">
        <f>"20190304154811421"</f>
        <v>20190304154811421</v>
      </c>
      <c r="B2633" t="str">
        <f>"1551685691409761"</f>
        <v>1551685691409761</v>
      </c>
      <c r="C2633" t="s">
        <v>40</v>
      </c>
      <c r="D2633">
        <v>4.5547979999999999</v>
      </c>
      <c r="E2633">
        <v>0.658833</v>
      </c>
      <c r="F2633" t="s">
        <v>61</v>
      </c>
      <c r="G2633">
        <v>-301.92219999999998</v>
      </c>
      <c r="H2633" s="1">
        <v>3.3036750000000002E-6</v>
      </c>
      <c r="I2633">
        <v>288.27629999999999</v>
      </c>
      <c r="J2633">
        <v>-292.73759999999999</v>
      </c>
      <c r="K2633">
        <v>1.1108579999999999</v>
      </c>
      <c r="L2633">
        <v>285.55549999999999</v>
      </c>
      <c r="M2633">
        <v>-0.99993989999999999</v>
      </c>
      <c r="N2633">
        <v>-1.095759E-2</v>
      </c>
      <c r="O2633">
        <v>5.1605290000000001E-4</v>
      </c>
      <c r="P2633">
        <v>-0.98401090000000002</v>
      </c>
      <c r="Q2633">
        <v>0.13218679999999999</v>
      </c>
      <c r="R2633">
        <v>-0.11937159999999999</v>
      </c>
      <c r="S2633">
        <v>-3.2132260000000001</v>
      </c>
      <c r="T2633">
        <v>-0.38123099999999999</v>
      </c>
      <c r="U2633">
        <v>0.93371579999999998</v>
      </c>
      <c r="V2633">
        <v>-0.12001630000000001</v>
      </c>
      <c r="W2633">
        <v>0.14284530000000001</v>
      </c>
      <c r="X2633">
        <v>0.98244149999999997</v>
      </c>
      <c r="Y2633">
        <v>0.27658359999999999</v>
      </c>
      <c r="Z2633">
        <v>1.7519400000000001E-2</v>
      </c>
      <c r="AA2633">
        <v>0.96083019999999997</v>
      </c>
      <c r="AB2633">
        <v>31</v>
      </c>
      <c r="AC2633">
        <v>-9.1845999999999801</v>
      </c>
      <c r="AD2633">
        <v>-1.1108546963249999</v>
      </c>
      <c r="AE2633">
        <v>2.7207999999999899</v>
      </c>
      <c r="AF2633">
        <v>2.68001829983994</v>
      </c>
      <c r="AG2633">
        <v>-1.1108546963249999</v>
      </c>
      <c r="AH2633">
        <v>9.0641073742245108</v>
      </c>
      <c r="AI2633">
        <v>96.702980137350593</v>
      </c>
      <c r="AJ2633">
        <v>73.528436568292605</v>
      </c>
      <c r="AK2633">
        <v>9.5170656578220303</v>
      </c>
      <c r="AL2633">
        <v>81.787474845878293</v>
      </c>
      <c r="AM2633">
        <v>96.964815735158197</v>
      </c>
      <c r="AN2633">
        <v>0.99999999646001403</v>
      </c>
    </row>
    <row r="2634" spans="1:40" x14ac:dyDescent="0.25">
      <c r="A2634" t="str">
        <f>"20190304154811440"</f>
        <v>20190304154811440</v>
      </c>
      <c r="B2634" t="str">
        <f>"1551685691429281"</f>
        <v>1551685691429281</v>
      </c>
      <c r="C2634" t="s">
        <v>40</v>
      </c>
      <c r="D2634">
        <v>4.5922409999999996</v>
      </c>
      <c r="E2634">
        <v>0.65866080000000005</v>
      </c>
      <c r="F2634" t="s">
        <v>61</v>
      </c>
      <c r="G2634">
        <v>-302.05810000000002</v>
      </c>
      <c r="H2634" s="1">
        <v>3.280724E-6</v>
      </c>
      <c r="I2634">
        <v>288.26310000000001</v>
      </c>
      <c r="J2634">
        <v>-292.99509999999998</v>
      </c>
      <c r="K2634">
        <v>1.110857</v>
      </c>
      <c r="L2634">
        <v>285.55509999999998</v>
      </c>
      <c r="M2634">
        <v>-0.99994039999999995</v>
      </c>
      <c r="N2634">
        <v>-1.0922919999999999E-2</v>
      </c>
      <c r="O2634" s="1">
        <v>9.4344909999999999E-5</v>
      </c>
      <c r="P2634">
        <v>-0.98384660000000002</v>
      </c>
      <c r="Q2634">
        <v>0.13275590000000001</v>
      </c>
      <c r="R2634">
        <v>-0.1200903</v>
      </c>
      <c r="S2634">
        <v>-3.213409</v>
      </c>
      <c r="T2634">
        <v>-0.38298729999999997</v>
      </c>
      <c r="U2634">
        <v>0.93350219999999995</v>
      </c>
      <c r="V2634">
        <v>-0.1203217</v>
      </c>
      <c r="W2634">
        <v>0.14337759999999999</v>
      </c>
      <c r="X2634">
        <v>0.98232660000000005</v>
      </c>
      <c r="Y2634">
        <v>0.27689390000000003</v>
      </c>
      <c r="Z2634">
        <v>1.7651199999999999E-2</v>
      </c>
      <c r="AA2634">
        <v>0.96073839999999999</v>
      </c>
      <c r="AB2634">
        <v>31</v>
      </c>
      <c r="AC2634">
        <v>-9.0630000000000397</v>
      </c>
      <c r="AD2634">
        <v>-1.110853719276</v>
      </c>
      <c r="AE2634">
        <v>2.7080000000000202</v>
      </c>
      <c r="AF2634">
        <v>2.6703156349770198</v>
      </c>
      <c r="AG2634">
        <v>-1.110853719276</v>
      </c>
      <c r="AH2634">
        <v>8.9399547319316799</v>
      </c>
      <c r="AI2634">
        <v>96.789645937003499</v>
      </c>
      <c r="AJ2634">
        <v>73.369402002399895</v>
      </c>
      <c r="AK2634">
        <v>9.3961360241867293</v>
      </c>
      <c r="AL2634">
        <v>81.756659118383595</v>
      </c>
      <c r="AM2634">
        <v>96.983172695390294</v>
      </c>
      <c r="AN2634">
        <v>0.999999998370105</v>
      </c>
    </row>
    <row r="2635" spans="1:40" x14ac:dyDescent="0.25">
      <c r="A2635" t="str">
        <f>"20190304154811451"</f>
        <v>20190304154811451</v>
      </c>
      <c r="B2635" t="str">
        <f>"1551685691439042"</f>
        <v>1551685691439042</v>
      </c>
      <c r="C2635" t="s">
        <v>40</v>
      </c>
      <c r="D2635">
        <v>4.5821759999999996</v>
      </c>
      <c r="E2635">
        <v>0.65859369999999995</v>
      </c>
      <c r="F2635" t="s">
        <v>61</v>
      </c>
      <c r="G2635">
        <v>-302.2688</v>
      </c>
      <c r="H2635" s="1">
        <v>3.2458459999999999E-6</v>
      </c>
      <c r="I2635">
        <v>288.23439999999999</v>
      </c>
      <c r="J2635">
        <v>-293.16410000000002</v>
      </c>
      <c r="K2635">
        <v>1.110868</v>
      </c>
      <c r="L2635">
        <v>285.55489999999998</v>
      </c>
      <c r="M2635">
        <v>-0.99994059999999996</v>
      </c>
      <c r="N2635">
        <v>-1.090153E-2</v>
      </c>
      <c r="O2635">
        <v>-1.8211430000000001E-4</v>
      </c>
      <c r="P2635">
        <v>-0.98385339999999999</v>
      </c>
      <c r="Q2635">
        <v>0.13275689999999901</v>
      </c>
      <c r="R2635">
        <v>-0.12003419999999999</v>
      </c>
      <c r="S2635">
        <v>-3.2145389999999998</v>
      </c>
      <c r="T2635">
        <v>-0.38505529999999999</v>
      </c>
      <c r="U2635">
        <v>0.92871090000000001</v>
      </c>
      <c r="V2635">
        <v>-0.1199947</v>
      </c>
      <c r="W2635">
        <v>0.14335829999999999</v>
      </c>
      <c r="X2635">
        <v>0.98236939999999995</v>
      </c>
      <c r="Y2635">
        <v>0.2757348</v>
      </c>
      <c r="Z2635">
        <v>1.768722E-2</v>
      </c>
      <c r="AA2635">
        <v>0.96107100000000001</v>
      </c>
      <c r="AB2635">
        <v>31</v>
      </c>
      <c r="AC2635">
        <v>-9.1046999999999798</v>
      </c>
      <c r="AD2635">
        <v>-1.110864754154</v>
      </c>
      <c r="AE2635">
        <v>2.6795000000000102</v>
      </c>
      <c r="AF2635">
        <v>2.6449230237369199</v>
      </c>
      <c r="AG2635">
        <v>-1.110864754154</v>
      </c>
      <c r="AH2635">
        <v>8.9811708870261402</v>
      </c>
      <c r="AI2635">
        <v>96.766510361563704</v>
      </c>
      <c r="AJ2635">
        <v>73.590485441930895</v>
      </c>
      <c r="AK2635">
        <v>9.4282060226472204</v>
      </c>
      <c r="AL2635">
        <v>81.757776351605798</v>
      </c>
      <c r="AM2635">
        <v>96.9640806129552</v>
      </c>
      <c r="AN2635">
        <v>0.99999998413166902</v>
      </c>
    </row>
    <row r="2636" spans="1:40" x14ac:dyDescent="0.25">
      <c r="A2636" t="str">
        <f>"20190304154811463"</f>
        <v>20190304154811463</v>
      </c>
      <c r="B2636" t="str">
        <f>"1551685691459537"</f>
        <v>1551685691459537</v>
      </c>
      <c r="C2636" t="s">
        <v>40</v>
      </c>
      <c r="D2636">
        <v>4.4665210000000002</v>
      </c>
      <c r="E2636">
        <v>0.65859369999999995</v>
      </c>
      <c r="F2636" t="s">
        <v>61</v>
      </c>
      <c r="G2636">
        <v>-302.41199999999998</v>
      </c>
      <c r="H2636" s="1">
        <v>3.2211430000000001E-6</v>
      </c>
      <c r="I2636">
        <v>288.22640000000001</v>
      </c>
      <c r="J2636">
        <v>-293.33249999999998</v>
      </c>
      <c r="K2636">
        <v>1.1108709999999999</v>
      </c>
      <c r="L2636">
        <v>285.55459999999999</v>
      </c>
      <c r="M2636">
        <v>-0.99994070000000002</v>
      </c>
      <c r="N2636">
        <v>-1.088254E-2</v>
      </c>
      <c r="O2636">
        <v>-4.5715190000000002E-4</v>
      </c>
      <c r="P2636">
        <v>-0.98377250000000005</v>
      </c>
      <c r="Q2636">
        <v>0.13297819999999999</v>
      </c>
      <c r="R2636">
        <v>-0.1204529</v>
      </c>
      <c r="S2636">
        <v>-3.2145999999999999</v>
      </c>
      <c r="T2636">
        <v>-0.38613920000000002</v>
      </c>
      <c r="U2636">
        <v>0.92861939999999998</v>
      </c>
      <c r="V2636">
        <v>-0.1201434</v>
      </c>
      <c r="W2636">
        <v>0.14355979999999999</v>
      </c>
      <c r="X2636">
        <v>0.98232180000000002</v>
      </c>
      <c r="Y2636">
        <v>0.27595530000000001</v>
      </c>
      <c r="Z2636">
        <v>1.7773000000000001E-2</v>
      </c>
      <c r="AA2636">
        <v>0.96100609999999997</v>
      </c>
      <c r="AB2636">
        <v>31</v>
      </c>
      <c r="AC2636">
        <v>-9.0795000000000492</v>
      </c>
      <c r="AD2636">
        <v>-1.1108677788569901</v>
      </c>
      <c r="AE2636">
        <v>2.6718000000000202</v>
      </c>
      <c r="AF2636">
        <v>2.6395868298780099</v>
      </c>
      <c r="AG2636">
        <v>-1.1108677788569901</v>
      </c>
      <c r="AH2636">
        <v>8.9549116472009</v>
      </c>
      <c r="AI2636">
        <v>96.785698047256901</v>
      </c>
      <c r="AJ2636">
        <v>73.576373471152195</v>
      </c>
      <c r="AK2636">
        <v>9.4016960418715207</v>
      </c>
      <c r="AL2636">
        <v>81.746110597518197</v>
      </c>
      <c r="AM2636">
        <v>96.972960292398298</v>
      </c>
      <c r="AN2636">
        <v>0.999999985747419</v>
      </c>
    </row>
    <row r="2637" spans="1:40" x14ac:dyDescent="0.25">
      <c r="A2637" t="str">
        <f>"20190304154811477"</f>
        <v>20190304154811477</v>
      </c>
      <c r="B2637" t="str">
        <f>"1551685691469297"</f>
        <v>1551685691469297</v>
      </c>
      <c r="C2637" t="s">
        <v>40</v>
      </c>
      <c r="D2637">
        <v>4.4479870000000004</v>
      </c>
      <c r="E2637">
        <v>0.59627369999999902</v>
      </c>
      <c r="F2637" t="s">
        <v>61</v>
      </c>
      <c r="G2637">
        <v>-302.58519999999999</v>
      </c>
      <c r="H2637" s="1">
        <v>3.190791E-6</v>
      </c>
      <c r="I2637">
        <v>288.22210000000001</v>
      </c>
      <c r="J2637">
        <v>-293.51429999999999</v>
      </c>
      <c r="K2637">
        <v>1.110881</v>
      </c>
      <c r="L2637">
        <v>285.55430000000001</v>
      </c>
      <c r="M2637">
        <v>-0.99994070000000002</v>
      </c>
      <c r="N2637">
        <v>-1.0863060000000001E-2</v>
      </c>
      <c r="O2637">
        <v>-7.5388409999999995E-4</v>
      </c>
      <c r="P2637">
        <v>-0.9837283</v>
      </c>
      <c r="Q2637">
        <v>0.13311519999999999</v>
      </c>
      <c r="R2637">
        <v>-0.12066</v>
      </c>
      <c r="S2637">
        <v>-3.2151179999999999</v>
      </c>
      <c r="T2637">
        <v>-0.38599990000000001</v>
      </c>
      <c r="U2637">
        <v>0.92691040000000002</v>
      </c>
      <c r="V2637">
        <v>-0.12005929999999999</v>
      </c>
      <c r="W2637">
        <v>0.14367729999999901</v>
      </c>
      <c r="X2637">
        <v>0.98231489999999999</v>
      </c>
      <c r="Y2637">
        <v>0.27572940000000001</v>
      </c>
      <c r="Z2637">
        <v>1.7780130000000002E-2</v>
      </c>
      <c r="AA2637">
        <v>0.9610708</v>
      </c>
      <c r="AB2637">
        <v>31</v>
      </c>
      <c r="AC2637">
        <v>-9.0708999999999893</v>
      </c>
      <c r="AD2637">
        <v>-1.1108778092089999</v>
      </c>
      <c r="AE2637">
        <v>2.6678000000000002</v>
      </c>
      <c r="AF2637">
        <v>2.6382202312085701</v>
      </c>
      <c r="AG2637">
        <v>-1.1108778092089999</v>
      </c>
      <c r="AH2637">
        <v>8.9454043086838002</v>
      </c>
      <c r="AI2637">
        <v>96.792610421823696</v>
      </c>
      <c r="AJ2637">
        <v>73.567912485829794</v>
      </c>
      <c r="AK2637">
        <v>9.3922581811388692</v>
      </c>
      <c r="AL2637">
        <v>81.739307791954204</v>
      </c>
      <c r="AM2637">
        <v>96.968175710329902</v>
      </c>
      <c r="AN2637">
        <v>0.99999998240689403</v>
      </c>
    </row>
    <row r="2638" spans="1:40" x14ac:dyDescent="0.25">
      <c r="A2638" t="str">
        <f>"20190304154811488"</f>
        <v>20190304154811488</v>
      </c>
      <c r="B2638" t="str">
        <f>"1551685691479058"</f>
        <v>1551685691479058</v>
      </c>
      <c r="C2638" t="s">
        <v>40</v>
      </c>
      <c r="D2638">
        <v>3.854311</v>
      </c>
      <c r="E2638">
        <v>0.58675250000000001</v>
      </c>
      <c r="F2638" t="s">
        <v>41</v>
      </c>
      <c r="G2638">
        <v>-294.45580000000001</v>
      </c>
      <c r="H2638">
        <v>1.0433239999999999</v>
      </c>
      <c r="I2638">
        <v>285.68239999999997</v>
      </c>
      <c r="J2638">
        <v>-293.69</v>
      </c>
      <c r="K2638">
        <v>1.1108800000000001</v>
      </c>
      <c r="L2638">
        <v>285.55380000000002</v>
      </c>
      <c r="M2638">
        <v>-0.99994070000000002</v>
      </c>
      <c r="N2638">
        <v>-1.0845759999999999E-2</v>
      </c>
      <c r="O2638">
        <v>-1.0404959999999999E-3</v>
      </c>
      <c r="P2638">
        <v>-0.98374130000000004</v>
      </c>
      <c r="Q2638">
        <v>0.13331860000000001</v>
      </c>
      <c r="R2638">
        <v>-0.1203299</v>
      </c>
      <c r="S2638">
        <v>-3.1322329999999998</v>
      </c>
      <c r="T2638">
        <v>-0.2249324</v>
      </c>
      <c r="U2638">
        <v>0.42556759999999899</v>
      </c>
      <c r="V2638">
        <v>-0.119448</v>
      </c>
      <c r="W2638">
        <v>0.14386370000000001</v>
      </c>
      <c r="X2638">
        <v>0.98236219999999996</v>
      </c>
      <c r="Y2638">
        <v>0.13526479999999999</v>
      </c>
      <c r="Z2638">
        <v>5.6295210000000002E-3</v>
      </c>
      <c r="AA2638">
        <v>0.99079349999999999</v>
      </c>
      <c r="AB2638">
        <v>31</v>
      </c>
      <c r="AC2638">
        <v>-0.76580000000001203</v>
      </c>
      <c r="AD2638">
        <v>-6.7555999999999894E-2</v>
      </c>
      <c r="AE2638">
        <v>0.12859999999994801</v>
      </c>
      <c r="AF2638">
        <v>0.12842478444216299</v>
      </c>
      <c r="AG2638">
        <v>-6.7555999999999894E-2</v>
      </c>
      <c r="AH2638">
        <v>0.75991423100877398</v>
      </c>
      <c r="AI2638">
        <v>95.009546171737199</v>
      </c>
      <c r="AJ2638">
        <v>80.407703132816806</v>
      </c>
      <c r="AK2638">
        <v>0.77364486483442296</v>
      </c>
      <c r="AL2638">
        <v>81.728516223775003</v>
      </c>
      <c r="AM2638">
        <v>96.932711808759393</v>
      </c>
      <c r="AN2638">
        <v>1.00000004043526</v>
      </c>
    </row>
    <row r="2639" spans="1:40" x14ac:dyDescent="0.25">
      <c r="A2639" t="str">
        <f>"20190304154811501"</f>
        <v>20190304154811501</v>
      </c>
      <c r="B2639" t="str">
        <f>"1551685691489793"</f>
        <v>1551685691489793</v>
      </c>
      <c r="C2639" t="s">
        <v>40</v>
      </c>
      <c r="D2639">
        <v>4.3155760000000001</v>
      </c>
      <c r="E2639">
        <v>0.57830819999999905</v>
      </c>
      <c r="F2639" t="s">
        <v>61</v>
      </c>
      <c r="G2639">
        <v>-317.89240000000001</v>
      </c>
      <c r="H2639" s="1">
        <v>5.3986100000000001E-6</v>
      </c>
      <c r="I2639">
        <v>288.25760000000002</v>
      </c>
      <c r="J2639">
        <v>-293.85610000000003</v>
      </c>
      <c r="K2639">
        <v>1.1108789999999999</v>
      </c>
      <c r="L2639">
        <v>285.55340000000001</v>
      </c>
      <c r="M2639">
        <v>-0.99994059999999996</v>
      </c>
      <c r="N2639">
        <v>-1.083107E-2</v>
      </c>
      <c r="O2639">
        <v>-1.3114999999999999E-3</v>
      </c>
      <c r="P2639">
        <v>-0.98374070000000002</v>
      </c>
      <c r="Q2639">
        <v>0.133156</v>
      </c>
      <c r="R2639">
        <v>-0.12051530000000001</v>
      </c>
      <c r="S2639">
        <v>-3.1114809999999999</v>
      </c>
      <c r="T2639">
        <v>-0.1428152</v>
      </c>
      <c r="U2639">
        <v>0.34759519999999999</v>
      </c>
      <c r="V2639">
        <v>-0.1193673</v>
      </c>
      <c r="W2639">
        <v>0.14368719999999999</v>
      </c>
      <c r="X2639">
        <v>0.98239779999999999</v>
      </c>
      <c r="Y2639">
        <v>0.11218119999999999</v>
      </c>
      <c r="Z2639">
        <v>3.2208470000000002E-3</v>
      </c>
      <c r="AA2639">
        <v>0.99368259999999997</v>
      </c>
      <c r="AB2639">
        <v>31</v>
      </c>
      <c r="AC2639">
        <v>-24.036299999999901</v>
      </c>
      <c r="AD2639">
        <v>-1.11087360139</v>
      </c>
      <c r="AE2639">
        <v>2.7042000000000099</v>
      </c>
      <c r="AF2639">
        <v>2.7299649022875001</v>
      </c>
      <c r="AG2639">
        <v>-1.11087360139</v>
      </c>
      <c r="AH2639">
        <v>23.982147808376801</v>
      </c>
      <c r="AI2639">
        <v>92.635100164232</v>
      </c>
      <c r="AJ2639">
        <v>83.5057917903831</v>
      </c>
      <c r="AK2639">
        <v>24.1625777190436</v>
      </c>
      <c r="AL2639">
        <v>81.738734767724495</v>
      </c>
      <c r="AM2639">
        <v>96.927824932512493</v>
      </c>
      <c r="AN2639">
        <v>1.00000000059898</v>
      </c>
    </row>
    <row r="2640" spans="1:40" x14ac:dyDescent="0.25">
      <c r="A2640" t="str">
        <f>"20190304154811518"</f>
        <v>20190304154811518</v>
      </c>
      <c r="B2640" t="str">
        <f>"1551685691509316"</f>
        <v>1551685691509316</v>
      </c>
      <c r="C2640" t="s">
        <v>40</v>
      </c>
      <c r="D2640">
        <v>4.2791969999999999</v>
      </c>
      <c r="E2640">
        <v>0.57036439999999999</v>
      </c>
      <c r="F2640" t="s">
        <v>60</v>
      </c>
      <c r="G2640">
        <v>-325.57679999999999</v>
      </c>
      <c r="H2640" s="1">
        <v>1.265253E-6</v>
      </c>
      <c r="I2640">
        <v>288.40620000000001</v>
      </c>
      <c r="J2640">
        <v>-294.0951</v>
      </c>
      <c r="K2640">
        <v>1.110876</v>
      </c>
      <c r="L2640">
        <v>285.55270000000002</v>
      </c>
      <c r="M2640">
        <v>-0.99994019999999995</v>
      </c>
      <c r="N2640">
        <v>-1.0811599999999999E-2</v>
      </c>
      <c r="O2640">
        <v>-1.701092E-3</v>
      </c>
      <c r="P2640">
        <v>-0.98378679999999996</v>
      </c>
      <c r="Q2640">
        <v>0.13309260000000001</v>
      </c>
      <c r="R2640">
        <v>-0.1202095</v>
      </c>
      <c r="S2640">
        <v>-3.0984189999999998</v>
      </c>
      <c r="T2640">
        <v>-0.1085086</v>
      </c>
      <c r="U2640">
        <v>0.27865600000000001</v>
      </c>
      <c r="V2640">
        <v>-0.1186782</v>
      </c>
      <c r="W2640">
        <v>0.1436056</v>
      </c>
      <c r="X2640">
        <v>0.98249319999999896</v>
      </c>
      <c r="Y2640">
        <v>9.1194399999999995E-2</v>
      </c>
      <c r="Z2640">
        <v>2.1284089999999999E-3</v>
      </c>
      <c r="AA2640">
        <v>0.99583080000000002</v>
      </c>
      <c r="AB2640">
        <v>31</v>
      </c>
      <c r="AC2640">
        <v>-31.481699999999901</v>
      </c>
      <c r="AD2640">
        <v>-1.110874734747</v>
      </c>
      <c r="AE2640">
        <v>2.8534999999999902</v>
      </c>
      <c r="AF2640">
        <v>2.9034665369671102</v>
      </c>
      <c r="AG2640">
        <v>-1.110874734747</v>
      </c>
      <c r="AH2640">
        <v>31.437974782075099</v>
      </c>
      <c r="AI2640">
        <v>92.015160890405497</v>
      </c>
      <c r="AJ2640">
        <v>84.723394059227601</v>
      </c>
      <c r="AK2640">
        <v>31.5913029013679</v>
      </c>
      <c r="AL2640">
        <v>81.743458975765805</v>
      </c>
      <c r="AM2640">
        <v>96.887553959630495</v>
      </c>
      <c r="AN2640">
        <v>0.99999998577641902</v>
      </c>
    </row>
    <row r="2641" spans="1:40" x14ac:dyDescent="0.25">
      <c r="A2641" t="str">
        <f>"20190304154811529"</f>
        <v>20190304154811529</v>
      </c>
      <c r="B2641" t="str">
        <f>"1551685691519074"</f>
        <v>1551685691519074</v>
      </c>
      <c r="C2641" t="s">
        <v>40</v>
      </c>
      <c r="D2641">
        <v>4.2721280000000004</v>
      </c>
      <c r="E2641">
        <v>0.56819049999999904</v>
      </c>
      <c r="F2641" t="s">
        <v>60</v>
      </c>
      <c r="G2641">
        <v>-340.17759999999998</v>
      </c>
      <c r="H2641" s="1">
        <v>-1.4422769999999999E-6</v>
      </c>
      <c r="I2641">
        <v>288.767</v>
      </c>
      <c r="J2641">
        <v>-294.25900000000001</v>
      </c>
      <c r="K2641">
        <v>1.110878</v>
      </c>
      <c r="L2641">
        <v>285.55220000000003</v>
      </c>
      <c r="M2641">
        <v>-0.99993989999999999</v>
      </c>
      <c r="N2641">
        <v>-1.079943E-2</v>
      </c>
      <c r="O2641">
        <v>-1.9678180000000001E-3</v>
      </c>
      <c r="P2641">
        <v>-0.98380909999999999</v>
      </c>
      <c r="Q2641">
        <v>0.132719</v>
      </c>
      <c r="R2641">
        <v>-0.1204387</v>
      </c>
      <c r="S2641">
        <v>-3.0858150000000002</v>
      </c>
      <c r="T2641">
        <v>-7.4387549999999997E-2</v>
      </c>
      <c r="U2641">
        <v>0.2152405</v>
      </c>
      <c r="V2641">
        <v>-0.118645</v>
      </c>
      <c r="W2641">
        <v>0.1432205</v>
      </c>
      <c r="X2641">
        <v>0.98255340000000002</v>
      </c>
      <c r="Y2641">
        <v>7.1515399999999896E-2</v>
      </c>
      <c r="Z2641">
        <v>1.2736869999999999E-3</v>
      </c>
      <c r="AA2641">
        <v>0.99743870000000001</v>
      </c>
      <c r="AB2641">
        <v>31</v>
      </c>
      <c r="AC2641">
        <v>-45.918599999999898</v>
      </c>
      <c r="AD2641">
        <v>-1.1108794422769901</v>
      </c>
      <c r="AE2641">
        <v>3.2147999999999599</v>
      </c>
      <c r="AF2641">
        <v>3.3032346227509999</v>
      </c>
      <c r="AG2641">
        <v>-1.1108794422769901</v>
      </c>
      <c r="AH2641">
        <v>45.885460162006801</v>
      </c>
      <c r="AI2641">
        <v>91.3832721991254</v>
      </c>
      <c r="AJ2641">
        <v>85.882454403801702</v>
      </c>
      <c r="AK2641">
        <v>46.017614740307103</v>
      </c>
      <c r="AL2641">
        <v>81.765753880776401</v>
      </c>
      <c r="AM2641">
        <v>96.885227854061696</v>
      </c>
      <c r="AN2641">
        <v>0.999999965748404</v>
      </c>
    </row>
    <row r="2642" spans="1:40" x14ac:dyDescent="0.25">
      <c r="A2642" t="str">
        <f>"20190304154811542"</f>
        <v>20190304154811542</v>
      </c>
      <c r="B2642" t="str">
        <f>"1551685691539570"</f>
        <v>1551685691539570</v>
      </c>
      <c r="C2642" t="s">
        <v>40</v>
      </c>
      <c r="D2642">
        <v>4.2623040000000003</v>
      </c>
      <c r="E2642">
        <v>0.56517280000000003</v>
      </c>
      <c r="F2642" t="s">
        <v>60</v>
      </c>
      <c r="G2642">
        <v>-345.0444</v>
      </c>
      <c r="H2642" s="1">
        <v>1.1475809999999999E-6</v>
      </c>
      <c r="I2642">
        <v>288.80160000000001</v>
      </c>
      <c r="J2642">
        <v>-294.42829999999998</v>
      </c>
      <c r="K2642">
        <v>1.1108629999999999</v>
      </c>
      <c r="L2642">
        <v>285.55160000000001</v>
      </c>
      <c r="M2642">
        <v>-0.99993940000000003</v>
      </c>
      <c r="N2642">
        <v>-1.0788570000000001E-2</v>
      </c>
      <c r="O2642">
        <v>-2.2439650000000001E-3</v>
      </c>
      <c r="P2642">
        <v>-0.98372899999999996</v>
      </c>
      <c r="Q2642">
        <v>0.1332807</v>
      </c>
      <c r="R2642">
        <v>-0.120475</v>
      </c>
      <c r="S2642">
        <v>-3.082611</v>
      </c>
      <c r="T2642">
        <v>-6.7428829999999995E-2</v>
      </c>
      <c r="U2642">
        <v>0.1972351</v>
      </c>
      <c r="V2642">
        <v>-0.1184106</v>
      </c>
      <c r="W2642">
        <v>0.143770799999999</v>
      </c>
      <c r="X2642">
        <v>0.98250130000000002</v>
      </c>
      <c r="Y2642">
        <v>6.6068260000000004E-2</v>
      </c>
      <c r="Z2642">
        <v>1.1034370000000001E-3</v>
      </c>
      <c r="AA2642">
        <v>0.99781450000000005</v>
      </c>
      <c r="AB2642">
        <v>31</v>
      </c>
      <c r="AC2642">
        <v>-50.616100000000003</v>
      </c>
      <c r="AD2642">
        <v>-1.1108618524189999</v>
      </c>
      <c r="AE2642">
        <v>3.25</v>
      </c>
      <c r="AF2642">
        <v>3.3619664866593899</v>
      </c>
      <c r="AG2642">
        <v>-1.1108618524189999</v>
      </c>
      <c r="AH2642">
        <v>50.584414666183598</v>
      </c>
      <c r="AI2642">
        <v>91.255276442647201</v>
      </c>
      <c r="AJ2642">
        <v>86.197571646311005</v>
      </c>
      <c r="AK2642">
        <v>50.708183164386703</v>
      </c>
      <c r="AL2642">
        <v>81.7338942375345</v>
      </c>
      <c r="AM2642">
        <v>96.872116217997402</v>
      </c>
      <c r="AN2642">
        <v>0.99999995881334403</v>
      </c>
    </row>
    <row r="2643" spans="1:40" x14ac:dyDescent="0.25">
      <c r="A2643" t="str">
        <f>"20190304154811558"</f>
        <v>20190304154811558</v>
      </c>
      <c r="B2643" t="str">
        <f>"1551685691549329"</f>
        <v>1551685691549329</v>
      </c>
      <c r="C2643" t="s">
        <v>40</v>
      </c>
      <c r="D2643">
        <v>4.3348719999999998</v>
      </c>
      <c r="E2643">
        <v>0.5641467</v>
      </c>
      <c r="F2643" t="s">
        <v>60</v>
      </c>
      <c r="G2643">
        <v>-355.05410000000001</v>
      </c>
      <c r="H2643" s="1">
        <v>1.152778E-6</v>
      </c>
      <c r="I2643">
        <v>288.94970000000001</v>
      </c>
      <c r="J2643">
        <v>-294.64030000000002</v>
      </c>
      <c r="K2643">
        <v>1.110862</v>
      </c>
      <c r="L2643">
        <v>285.55079999999998</v>
      </c>
      <c r="M2643">
        <v>-0.99993869999999896</v>
      </c>
      <c r="N2643">
        <v>-1.077609E-2</v>
      </c>
      <c r="O2643">
        <v>-2.589484E-3</v>
      </c>
      <c r="P2643">
        <v>-0.98371600000000003</v>
      </c>
      <c r="Q2643">
        <v>0.1331396</v>
      </c>
      <c r="R2643">
        <v>-0.1207358</v>
      </c>
      <c r="S2643">
        <v>-3.0783999999999998</v>
      </c>
      <c r="T2643">
        <v>-5.640626E-2</v>
      </c>
      <c r="U2643">
        <v>0.17254639999999999</v>
      </c>
      <c r="V2643">
        <v>-0.1183313</v>
      </c>
      <c r="W2643">
        <v>0.14361740000000001</v>
      </c>
      <c r="X2643">
        <v>0.98253330000000005</v>
      </c>
      <c r="Y2643">
        <v>5.8532580000000001E-2</v>
      </c>
      <c r="Z2643">
        <v>8.7098779999999999E-4</v>
      </c>
      <c r="AA2643">
        <v>0.99828510000000004</v>
      </c>
      <c r="AB2643">
        <v>31</v>
      </c>
      <c r="AC2643">
        <v>-60.413799999999902</v>
      </c>
      <c r="AD2643">
        <v>-1.1108608472220001</v>
      </c>
      <c r="AE2643">
        <v>3.3989000000000198</v>
      </c>
      <c r="AF2643">
        <v>3.5541403689665199</v>
      </c>
      <c r="AG2643">
        <v>-1.1108608472220001</v>
      </c>
      <c r="AH2643">
        <v>60.384443869241998</v>
      </c>
      <c r="AI2643">
        <v>91.052101006145804</v>
      </c>
      <c r="AJ2643">
        <v>86.631540143650199</v>
      </c>
      <c r="AK2643">
        <v>60.499148646752403</v>
      </c>
      <c r="AL2643">
        <v>81.742775671683106</v>
      </c>
      <c r="AM2643">
        <v>96.867336372715201</v>
      </c>
      <c r="AN2643">
        <v>0.99999996987566897</v>
      </c>
    </row>
    <row r="2644" spans="1:40" x14ac:dyDescent="0.25">
      <c r="A2644" t="str">
        <f>"20190304154811575"</f>
        <v>20190304154811575</v>
      </c>
      <c r="B2644" t="str">
        <f>"1551685691569826"</f>
        <v>1551685691569826</v>
      </c>
      <c r="C2644" t="s">
        <v>40</v>
      </c>
      <c r="D2644">
        <v>4.3513640000000002</v>
      </c>
      <c r="E2644">
        <v>0.56235669999999904</v>
      </c>
      <c r="F2644" t="s">
        <v>60</v>
      </c>
      <c r="G2644">
        <v>-357.90480000000002</v>
      </c>
      <c r="H2644" s="1">
        <v>2.6697360000000002E-6</v>
      </c>
      <c r="I2644">
        <v>288.91449999999998</v>
      </c>
      <c r="J2644">
        <v>-294.88839999999999</v>
      </c>
      <c r="K2644">
        <v>1.110857</v>
      </c>
      <c r="L2644">
        <v>285.54969999999997</v>
      </c>
      <c r="M2644">
        <v>-0.99993750000000003</v>
      </c>
      <c r="N2644">
        <v>-1.0763460000000001E-2</v>
      </c>
      <c r="O2644">
        <v>-2.993417E-3</v>
      </c>
      <c r="P2644">
        <v>-0.98360479999999995</v>
      </c>
      <c r="Q2644">
        <v>0.1335529</v>
      </c>
      <c r="R2644">
        <v>-0.12118379999999999</v>
      </c>
      <c r="S2644">
        <v>-3.0770569999999999</v>
      </c>
      <c r="T2644">
        <v>-5.4029939999999999E-2</v>
      </c>
      <c r="U2644">
        <v>0.16360469999999999</v>
      </c>
      <c r="V2644">
        <v>-0.1183829</v>
      </c>
      <c r="W2644">
        <v>0.1440176</v>
      </c>
      <c r="X2644">
        <v>0.98246849999999997</v>
      </c>
      <c r="Y2644">
        <v>5.6069380000000002E-2</v>
      </c>
      <c r="Z2644">
        <v>8.1420949999999896E-4</v>
      </c>
      <c r="AA2644">
        <v>0.99842660000000005</v>
      </c>
      <c r="AB2644">
        <v>31</v>
      </c>
      <c r="AC2644">
        <v>-63.016399999999997</v>
      </c>
      <c r="AD2644">
        <v>-1.1108543302639999</v>
      </c>
      <c r="AE2644">
        <v>3.3647999999999998</v>
      </c>
      <c r="AF2644">
        <v>3.5523294934460998</v>
      </c>
      <c r="AG2644">
        <v>-1.1108543302639999</v>
      </c>
      <c r="AH2644">
        <v>62.986527568383799</v>
      </c>
      <c r="AI2644">
        <v>91.008782643942098</v>
      </c>
      <c r="AJ2644">
        <v>86.772038259806905</v>
      </c>
      <c r="AK2644">
        <v>63.096400034358901</v>
      </c>
      <c r="AL2644">
        <v>81.719604997467698</v>
      </c>
      <c r="AM2644">
        <v>96.870751161847906</v>
      </c>
      <c r="AN2644">
        <v>0.99999996680720904</v>
      </c>
    </row>
    <row r="2645" spans="1:40" x14ac:dyDescent="0.25">
      <c r="A2645" t="str">
        <f>"20190304154811597"</f>
        <v>20190304154811597</v>
      </c>
      <c r="B2645" t="str">
        <f>"1551685691589853"</f>
        <v>1551685691589853</v>
      </c>
      <c r="C2645" t="s">
        <v>40</v>
      </c>
      <c r="D2645">
        <v>4.3284339999999997</v>
      </c>
      <c r="E2645">
        <v>0.56126980000000004</v>
      </c>
      <c r="F2645" t="s">
        <v>60</v>
      </c>
      <c r="G2645">
        <v>-362.05070000000001</v>
      </c>
      <c r="H2645" s="1">
        <v>-4.4553139999999999E-7</v>
      </c>
      <c r="I2645">
        <v>288.779</v>
      </c>
      <c r="J2645">
        <v>-295.2002</v>
      </c>
      <c r="K2645">
        <v>1.110857</v>
      </c>
      <c r="L2645">
        <v>285.54820000000001</v>
      </c>
      <c r="M2645">
        <v>-0.99993609999999999</v>
      </c>
      <c r="N2645">
        <v>-1.075047E-2</v>
      </c>
      <c r="O2645">
        <v>-3.5008159999999999E-3</v>
      </c>
      <c r="P2645">
        <v>-0.98354730000000001</v>
      </c>
      <c r="Q2645">
        <v>0.1337168</v>
      </c>
      <c r="R2645">
        <v>-0.12146940000000001</v>
      </c>
      <c r="S2645">
        <v>-3.0751339999999998</v>
      </c>
      <c r="T2645">
        <v>-5.086243E-2</v>
      </c>
      <c r="U2645">
        <v>0.14785770000000001</v>
      </c>
      <c r="V2645">
        <v>-0.118169899999999</v>
      </c>
      <c r="W2645">
        <v>0.14416860000000001</v>
      </c>
      <c r="X2645">
        <v>0.98247209999999996</v>
      </c>
      <c r="Y2645">
        <v>5.1511229999999998E-2</v>
      </c>
      <c r="Z2645">
        <v>7.2305839999999998E-4</v>
      </c>
      <c r="AA2645">
        <v>0.99867209999999995</v>
      </c>
      <c r="AB2645">
        <v>31</v>
      </c>
      <c r="AC2645">
        <v>-66.850499999999997</v>
      </c>
      <c r="AD2645">
        <v>-1.11085744553139</v>
      </c>
      <c r="AE2645">
        <v>3.2307999999999799</v>
      </c>
      <c r="AF2645">
        <v>3.4638707848720398</v>
      </c>
      <c r="AG2645">
        <v>-1.11085744553139</v>
      </c>
      <c r="AH2645">
        <v>66.820371362427494</v>
      </c>
      <c r="AI2645">
        <v>90.951150930981001</v>
      </c>
      <c r="AJ2645">
        <v>87.032526389426906</v>
      </c>
      <c r="AK2645">
        <v>66.919312863263201</v>
      </c>
      <c r="AL2645">
        <v>81.710862946803203</v>
      </c>
      <c r="AM2645">
        <v>96.858481953929498</v>
      </c>
      <c r="AN2645">
        <v>1.00000006888518</v>
      </c>
    </row>
    <row r="2646" spans="1:40" x14ac:dyDescent="0.25">
      <c r="A2646" t="str">
        <f>"20190304154811610"</f>
        <v>20190304154811610</v>
      </c>
      <c r="B2646" t="str">
        <f>"1551685691599613"</f>
        <v>1551685691599613</v>
      </c>
      <c r="C2646" t="s">
        <v>40</v>
      </c>
      <c r="D2646">
        <v>4.3415239999999997</v>
      </c>
      <c r="E2646">
        <v>0.56088559999999998</v>
      </c>
      <c r="F2646" t="s">
        <v>60</v>
      </c>
      <c r="G2646">
        <v>-364.15159999999997</v>
      </c>
      <c r="H2646" s="1">
        <v>6.7251589999999999E-7</v>
      </c>
      <c r="I2646">
        <v>288.65530000000001</v>
      </c>
      <c r="J2646">
        <v>-295.38619999999997</v>
      </c>
      <c r="K2646">
        <v>1.1108530000000001</v>
      </c>
      <c r="L2646">
        <v>285.54730000000001</v>
      </c>
      <c r="M2646">
        <v>-0.99993520000000002</v>
      </c>
      <c r="N2646">
        <v>-1.074376E-2</v>
      </c>
      <c r="O2646">
        <v>-3.8026079999999999E-3</v>
      </c>
      <c r="P2646">
        <v>-0.98348429999999998</v>
      </c>
      <c r="Q2646">
        <v>0.1340354</v>
      </c>
      <c r="R2646">
        <v>-0.1216275</v>
      </c>
      <c r="S2646">
        <v>-3.074036</v>
      </c>
      <c r="T2646">
        <v>-4.9524899999999997E-2</v>
      </c>
      <c r="U2646">
        <v>0.13851930000000001</v>
      </c>
      <c r="V2646">
        <v>-0.1180319</v>
      </c>
      <c r="W2646">
        <v>0.14448050000000001</v>
      </c>
      <c r="X2646">
        <v>0.98244279999999995</v>
      </c>
      <c r="Y2646">
        <v>4.8803430000000002E-2</v>
      </c>
      <c r="Z2646">
        <v>6.7563490000000003E-4</v>
      </c>
      <c r="AA2646">
        <v>0.99880809999999998</v>
      </c>
      <c r="AB2646">
        <v>31</v>
      </c>
      <c r="AC2646">
        <v>-68.7654</v>
      </c>
      <c r="AD2646">
        <v>-1.1108523274841</v>
      </c>
      <c r="AE2646">
        <v>3.1080000000000001</v>
      </c>
      <c r="AF2646">
        <v>3.3686031654482198</v>
      </c>
      <c r="AG2646">
        <v>-1.1108523274841</v>
      </c>
      <c r="AH2646">
        <v>68.735183071322993</v>
      </c>
      <c r="AI2646">
        <v>90.924785959299101</v>
      </c>
      <c r="AJ2646">
        <v>87.194268858324094</v>
      </c>
      <c r="AK2646">
        <v>68.826643620243701</v>
      </c>
      <c r="AL2646">
        <v>81.692802739275805</v>
      </c>
      <c r="AM2646">
        <v>96.850751075304998</v>
      </c>
      <c r="AN2646">
        <v>0.99999999978484899</v>
      </c>
    </row>
    <row r="2647" spans="1:40" x14ac:dyDescent="0.25">
      <c r="A2647" t="str">
        <f>"20190304154811629"</f>
        <v>20190304154811629</v>
      </c>
      <c r="B2647" t="str">
        <f>"1551685691619132"</f>
        <v>1551685691619132</v>
      </c>
      <c r="C2647" t="s">
        <v>40</v>
      </c>
      <c r="D2647">
        <v>4.3454499999999996</v>
      </c>
      <c r="E2647">
        <v>0.5605</v>
      </c>
      <c r="F2647" t="s">
        <v>60</v>
      </c>
      <c r="G2647">
        <v>-365.4273</v>
      </c>
      <c r="H2647" s="1">
        <v>1.3513610000000001E-6</v>
      </c>
      <c r="I2647">
        <v>288.62240000000003</v>
      </c>
      <c r="J2647">
        <v>-295.65660000000003</v>
      </c>
      <c r="K2647">
        <v>1.110846</v>
      </c>
      <c r="L2647">
        <v>285.54590000000002</v>
      </c>
      <c r="M2647">
        <v>-0.99993330000000002</v>
      </c>
      <c r="N2647">
        <v>-1.073576E-2</v>
      </c>
      <c r="O2647">
        <v>-4.237518E-3</v>
      </c>
      <c r="P2647">
        <v>-0.98344019999999999</v>
      </c>
      <c r="Q2647">
        <v>0.13417370000000001</v>
      </c>
      <c r="R2647">
        <v>-0.1218302</v>
      </c>
      <c r="S2647">
        <v>-3.0737000000000001</v>
      </c>
      <c r="T2647">
        <v>-4.8748850000000003E-2</v>
      </c>
      <c r="U2647">
        <v>0.1349487</v>
      </c>
      <c r="V2647">
        <v>-0.1178066</v>
      </c>
      <c r="W2647">
        <v>0.14461160000000001</v>
      </c>
      <c r="X2647">
        <v>0.9824505</v>
      </c>
      <c r="Y2647">
        <v>4.8085179999999998E-2</v>
      </c>
      <c r="Z2647">
        <v>6.6108349999999998E-4</v>
      </c>
      <c r="AA2647">
        <v>0.99884300000000004</v>
      </c>
      <c r="AB2647">
        <v>31</v>
      </c>
      <c r="AC2647">
        <v>-69.770699999999906</v>
      </c>
      <c r="AD2647">
        <v>-1.110844648639</v>
      </c>
      <c r="AE2647">
        <v>3.0764999999999998</v>
      </c>
      <c r="AF2647">
        <v>3.3712911090934798</v>
      </c>
      <c r="AG2647">
        <v>-1.110844648639</v>
      </c>
      <c r="AH2647">
        <v>69.739392108011202</v>
      </c>
      <c r="AI2647">
        <v>90.911495035590804</v>
      </c>
      <c r="AJ2647">
        <v>87.232403489316994</v>
      </c>
      <c r="AK2647">
        <v>69.829666984531698</v>
      </c>
      <c r="AL2647">
        <v>81.685211101751094</v>
      </c>
      <c r="AM2647">
        <v>96.837745163822603</v>
      </c>
      <c r="AN2647">
        <v>0.99999994740418297</v>
      </c>
    </row>
    <row r="2648" spans="1:40" x14ac:dyDescent="0.25">
      <c r="A2648" t="str">
        <f>"20190304154811641"</f>
        <v>20190304154811641</v>
      </c>
      <c r="B2648" t="str">
        <f>"1551685691639629"</f>
        <v>1551685691639629</v>
      </c>
      <c r="C2648" t="s">
        <v>40</v>
      </c>
      <c r="D2648">
        <v>4.4124629999999998</v>
      </c>
      <c r="E2648">
        <v>0.55939669999999997</v>
      </c>
      <c r="F2648" t="s">
        <v>60</v>
      </c>
      <c r="G2648">
        <v>-367.50979999999998</v>
      </c>
      <c r="H2648" s="1">
        <v>2.4595349999999998E-6</v>
      </c>
      <c r="I2648">
        <v>288.6146</v>
      </c>
      <c r="J2648">
        <v>-295.82299999999998</v>
      </c>
      <c r="K2648">
        <v>1.1108450000000001</v>
      </c>
      <c r="L2648">
        <v>285.54489999999998</v>
      </c>
      <c r="M2648">
        <v>-0.99993240000000005</v>
      </c>
      <c r="N2648">
        <v>-1.0731829999999999E-2</v>
      </c>
      <c r="O2648">
        <v>-4.497661E-3</v>
      </c>
      <c r="P2648">
        <v>-0.98339270000000001</v>
      </c>
      <c r="Q2648">
        <v>0.13430929999999999</v>
      </c>
      <c r="R2648">
        <v>-0.1220667</v>
      </c>
      <c r="S2648">
        <v>-3.0733030000000001</v>
      </c>
      <c r="T2648">
        <v>-4.7513010000000001E-2</v>
      </c>
      <c r="U2648">
        <v>0.13125609999999999</v>
      </c>
      <c r="V2648">
        <v>-0.117786</v>
      </c>
      <c r="W2648">
        <v>0.1447446</v>
      </c>
      <c r="X2648">
        <v>0.98243340000000001</v>
      </c>
      <c r="Y2648">
        <v>4.7153399999999998E-2</v>
      </c>
      <c r="Z2648">
        <v>6.387287E-4</v>
      </c>
      <c r="AA2648">
        <v>0.99888750000000004</v>
      </c>
      <c r="AB2648">
        <v>31</v>
      </c>
      <c r="AC2648">
        <v>-71.686800000000005</v>
      </c>
      <c r="AD2648">
        <v>-1.110842540465</v>
      </c>
      <c r="AE2648">
        <v>3.0697000000000099</v>
      </c>
      <c r="AF2648">
        <v>3.3912975832199299</v>
      </c>
      <c r="AG2648">
        <v>-1.110842540465</v>
      </c>
      <c r="AH2648">
        <v>71.655093313191401</v>
      </c>
      <c r="AI2648">
        <v>90.8871713430635</v>
      </c>
      <c r="AJ2648">
        <v>87.290323057963704</v>
      </c>
      <c r="AK2648">
        <v>71.743900564227999</v>
      </c>
      <c r="AL2648">
        <v>81.6775098674985</v>
      </c>
      <c r="AM2648">
        <v>96.836678682840002</v>
      </c>
      <c r="AN2648">
        <v>0.999999963230359</v>
      </c>
    </row>
    <row r="2649" spans="1:40" x14ac:dyDescent="0.25">
      <c r="A2649" t="str">
        <f>"20190304154811654"</f>
        <v>20190304154811654</v>
      </c>
      <c r="B2649" t="str">
        <f>"1551685691649389"</f>
        <v>1551685691649389</v>
      </c>
      <c r="C2649" t="s">
        <v>40</v>
      </c>
      <c r="D2649">
        <v>4.4159410000000001</v>
      </c>
      <c r="E2649">
        <v>0.55892410000000003</v>
      </c>
      <c r="F2649" t="s">
        <v>60</v>
      </c>
      <c r="G2649">
        <v>-364.97289999999998</v>
      </c>
      <c r="H2649" s="1">
        <v>1.109564E-6</v>
      </c>
      <c r="I2649">
        <v>288.2901</v>
      </c>
      <c r="J2649">
        <v>-296.00229999999999</v>
      </c>
      <c r="K2649">
        <v>1.1108359999999999</v>
      </c>
      <c r="L2649">
        <v>285.54379999999998</v>
      </c>
      <c r="M2649">
        <v>-0.99993109999999996</v>
      </c>
      <c r="N2649">
        <v>-1.072798E-2</v>
      </c>
      <c r="O2649">
        <v>-4.7732759999999999E-3</v>
      </c>
      <c r="P2649">
        <v>-0.98339529999999997</v>
      </c>
      <c r="Q2649">
        <v>0.1341533</v>
      </c>
      <c r="R2649">
        <v>-0.1222169</v>
      </c>
      <c r="S2649">
        <v>-3.07254</v>
      </c>
      <c r="T2649">
        <v>-4.935813E-2</v>
      </c>
      <c r="U2649">
        <v>0.1219788</v>
      </c>
      <c r="V2649">
        <v>-0.1176623</v>
      </c>
      <c r="W2649">
        <v>0.1445871</v>
      </c>
      <c r="X2649">
        <v>0.98247150000000005</v>
      </c>
      <c r="Y2649">
        <v>4.4428130000000003E-2</v>
      </c>
      <c r="Z2649">
        <v>6.205866E-4</v>
      </c>
      <c r="AA2649">
        <v>0.99901240000000002</v>
      </c>
      <c r="AB2649">
        <v>31</v>
      </c>
      <c r="AC2649">
        <v>-68.970599999999905</v>
      </c>
      <c r="AD2649">
        <v>-1.1108348904359999</v>
      </c>
      <c r="AE2649">
        <v>2.7463000000000202</v>
      </c>
      <c r="AF2649">
        <v>3.07470703484096</v>
      </c>
      <c r="AG2649">
        <v>-1.1108348904359999</v>
      </c>
      <c r="AH2649">
        <v>68.938850112303399</v>
      </c>
      <c r="AI2649">
        <v>90.922229648916002</v>
      </c>
      <c r="AJ2649">
        <v>87.446272108465095</v>
      </c>
      <c r="AK2649">
        <v>69.016322941102501</v>
      </c>
      <c r="AL2649">
        <v>81.686630594611202</v>
      </c>
      <c r="AM2649">
        <v>96.829304240924202</v>
      </c>
      <c r="AN2649">
        <v>1.0000000473199699</v>
      </c>
    </row>
    <row r="2650" spans="1:40" x14ac:dyDescent="0.25">
      <c r="A2650" t="str">
        <f>"20190304154811674"</f>
        <v>20190304154811674</v>
      </c>
      <c r="B2650" t="str">
        <f>"1551685691669885"</f>
        <v>1551685691669885</v>
      </c>
      <c r="C2650" t="s">
        <v>40</v>
      </c>
      <c r="D2650">
        <v>4.4506860000000001</v>
      </c>
      <c r="E2650">
        <v>0.55771199999999999</v>
      </c>
      <c r="F2650" t="s">
        <v>60</v>
      </c>
      <c r="G2650">
        <v>-362.78980000000001</v>
      </c>
      <c r="H2650" s="1">
        <v>-5.2206700000000003E-8</v>
      </c>
      <c r="I2650">
        <v>288.11250000000001</v>
      </c>
      <c r="J2650">
        <v>-296.28210000000001</v>
      </c>
      <c r="K2650">
        <v>1.110822</v>
      </c>
      <c r="L2650">
        <v>285.5421</v>
      </c>
      <c r="M2650">
        <v>-0.99992910000000002</v>
      </c>
      <c r="N2650">
        <v>-1.072332E-2</v>
      </c>
      <c r="O2650">
        <v>-5.1835800000000001E-3</v>
      </c>
      <c r="P2650">
        <v>-0.98325779999999996</v>
      </c>
      <c r="Q2650">
        <v>0.13438369999999999</v>
      </c>
      <c r="R2650">
        <v>-0.1230666</v>
      </c>
      <c r="S2650">
        <v>-3.0722960000000001</v>
      </c>
      <c r="T2650">
        <v>-5.1099659999999998E-2</v>
      </c>
      <c r="U2650">
        <v>0.11816409999999999</v>
      </c>
      <c r="V2650">
        <v>-0.11810379999999999</v>
      </c>
      <c r="W2650">
        <v>0.14481540000000001</v>
      </c>
      <c r="X2650">
        <v>0.98238490000000001</v>
      </c>
      <c r="Y2650">
        <v>4.3602269999999999E-2</v>
      </c>
      <c r="Z2650">
        <v>6.2696219999999997E-4</v>
      </c>
      <c r="AA2650">
        <v>0.99904879999999996</v>
      </c>
      <c r="AB2650">
        <v>31</v>
      </c>
      <c r="AC2650">
        <v>-66.5077</v>
      </c>
      <c r="AD2650">
        <v>-1.1108220522067001</v>
      </c>
      <c r="AE2650">
        <v>2.5703999999999998</v>
      </c>
      <c r="AF2650">
        <v>2.91432148598075</v>
      </c>
      <c r="AG2650">
        <v>-1.1108220522067001</v>
      </c>
      <c r="AH2650">
        <v>66.474965401986594</v>
      </c>
      <c r="AI2650">
        <v>90.956426724145203</v>
      </c>
      <c r="AJ2650">
        <v>87.489709626265494</v>
      </c>
      <c r="AK2650">
        <v>66.548089533439096</v>
      </c>
      <c r="AL2650">
        <v>81.673410855907605</v>
      </c>
      <c r="AM2650">
        <v>96.855284733628295</v>
      </c>
      <c r="AN2650">
        <v>1.0000000496998001</v>
      </c>
    </row>
    <row r="2651" spans="1:40" x14ac:dyDescent="0.25">
      <c r="A2651" t="str">
        <f>"20190304154811686"</f>
        <v>20190304154811686</v>
      </c>
      <c r="B2651" t="str">
        <f>"1551685691679645"</f>
        <v>1551685691679645</v>
      </c>
      <c r="C2651" t="s">
        <v>40</v>
      </c>
      <c r="D2651">
        <v>4.4248019999999997</v>
      </c>
      <c r="E2651">
        <v>0.55714909999999995</v>
      </c>
      <c r="F2651" t="s">
        <v>60</v>
      </c>
      <c r="G2651">
        <v>-358.36</v>
      </c>
      <c r="H2651" s="1">
        <v>2.9119730000000001E-6</v>
      </c>
      <c r="I2651">
        <v>287.68389999999999</v>
      </c>
      <c r="J2651">
        <v>-296.45119999999997</v>
      </c>
      <c r="K2651">
        <v>1.1108070000000001</v>
      </c>
      <c r="L2651">
        <v>285.541</v>
      </c>
      <c r="M2651">
        <v>-0.99992780000000003</v>
      </c>
      <c r="N2651">
        <v>-1.072118E-2</v>
      </c>
      <c r="O2651">
        <v>-5.4197840000000004E-3</v>
      </c>
      <c r="P2651">
        <v>-0.98328590000000005</v>
      </c>
      <c r="Q2651">
        <v>0.13441040000000001</v>
      </c>
      <c r="R2651">
        <v>-0.1228113</v>
      </c>
      <c r="S2651">
        <v>-3.0718990000000002</v>
      </c>
      <c r="T2651">
        <v>-5.496848E-2</v>
      </c>
      <c r="U2651">
        <v>0.1059875</v>
      </c>
      <c r="V2651">
        <v>-0.11761190000000001</v>
      </c>
      <c r="W2651">
        <v>0.14484469999999999</v>
      </c>
      <c r="X2651">
        <v>0.98243950000000002</v>
      </c>
      <c r="Y2651">
        <v>3.9887800000000001E-2</v>
      </c>
      <c r="Z2651">
        <v>6.0951899999999999E-4</v>
      </c>
      <c r="AA2651">
        <v>0.99920399999999998</v>
      </c>
      <c r="AB2651">
        <v>31</v>
      </c>
      <c r="AC2651">
        <v>-61.908799999999999</v>
      </c>
      <c r="AD2651">
        <v>-1.11080408802699</v>
      </c>
      <c r="AE2651">
        <v>2.1428999999999898</v>
      </c>
      <c r="AF2651">
        <v>2.4776234624509299</v>
      </c>
      <c r="AG2651">
        <v>-1.11080408802699</v>
      </c>
      <c r="AH2651">
        <v>61.8763794847968</v>
      </c>
      <c r="AI2651">
        <v>91.027639422844302</v>
      </c>
      <c r="AJ2651">
        <v>87.707015602708694</v>
      </c>
      <c r="AK2651">
        <v>61.935925292920601</v>
      </c>
      <c r="AL2651">
        <v>81.6717134373758</v>
      </c>
      <c r="AM2651">
        <v>96.826626807829101</v>
      </c>
      <c r="AN2651">
        <v>0.99999995864997404</v>
      </c>
    </row>
    <row r="2652" spans="1:40" x14ac:dyDescent="0.25">
      <c r="A2652" t="str">
        <f>"20190304154811698"</f>
        <v>20190304154811698</v>
      </c>
      <c r="B2652" t="str">
        <f>"1551685691689404"</f>
        <v>1551685691689404</v>
      </c>
      <c r="C2652" t="s">
        <v>40</v>
      </c>
      <c r="D2652">
        <v>4.4030559999999896</v>
      </c>
      <c r="E2652">
        <v>0.55658629999999998</v>
      </c>
      <c r="F2652" t="s">
        <v>60</v>
      </c>
      <c r="G2652">
        <v>-356.03019999999998</v>
      </c>
      <c r="H2652" s="1">
        <v>1.672183E-6</v>
      </c>
      <c r="I2652">
        <v>287.53399999999999</v>
      </c>
      <c r="J2652">
        <v>-296.61270000000002</v>
      </c>
      <c r="K2652">
        <v>1.110798</v>
      </c>
      <c r="L2652">
        <v>285.53989999999999</v>
      </c>
      <c r="M2652">
        <v>-0.9999268</v>
      </c>
      <c r="N2652">
        <v>-1.071952E-2</v>
      </c>
      <c r="O2652">
        <v>-5.6379849999999999E-3</v>
      </c>
      <c r="P2652">
        <v>-0.98325629999999997</v>
      </c>
      <c r="Q2652">
        <v>0.13439219999999999</v>
      </c>
      <c r="R2652">
        <v>-0.1230697</v>
      </c>
      <c r="S2652">
        <v>-3.071625</v>
      </c>
      <c r="T2652">
        <v>-5.7268140000000002E-2</v>
      </c>
      <c r="U2652">
        <v>0.1027527</v>
      </c>
      <c r="V2652">
        <v>-0.1176516</v>
      </c>
      <c r="W2652">
        <v>0.14482819999999999</v>
      </c>
      <c r="X2652">
        <v>0.98243729999999996</v>
      </c>
      <c r="Y2652">
        <v>3.9057290000000001E-2</v>
      </c>
      <c r="Z2652">
        <v>6.180561E-4</v>
      </c>
      <c r="AA2652">
        <v>0.99923680000000004</v>
      </c>
      <c r="AB2652">
        <v>31</v>
      </c>
      <c r="AC2652">
        <v>-59.417499999999897</v>
      </c>
      <c r="AD2652">
        <v>-1.1107963278170001</v>
      </c>
      <c r="AE2652">
        <v>1.9941</v>
      </c>
      <c r="AF2652">
        <v>2.32826967336963</v>
      </c>
      <c r="AG2652">
        <v>-1.1107963278170001</v>
      </c>
      <c r="AH2652">
        <v>59.3845809622131</v>
      </c>
      <c r="AI2652">
        <v>91.070777587625898</v>
      </c>
      <c r="AJ2652">
        <v>87.754775157887096</v>
      </c>
      <c r="AK2652">
        <v>59.440585160405902</v>
      </c>
      <c r="AL2652">
        <v>81.672669888903599</v>
      </c>
      <c r="AM2652">
        <v>96.828924532133996</v>
      </c>
      <c r="AN2652">
        <v>1.0000000774645399</v>
      </c>
    </row>
    <row r="2653" spans="1:40" x14ac:dyDescent="0.25">
      <c r="A2653" t="str">
        <f>"20190304154811709"</f>
        <v>20190304154811709</v>
      </c>
      <c r="B2653" t="str">
        <f>"1551685691699165"</f>
        <v>1551685691699165</v>
      </c>
      <c r="C2653" t="s">
        <v>40</v>
      </c>
      <c r="D2653">
        <v>4.3114600000000003</v>
      </c>
      <c r="E2653">
        <v>0.55613590000000002</v>
      </c>
      <c r="F2653" t="s">
        <v>60</v>
      </c>
      <c r="G2653">
        <v>-353.64440000000002</v>
      </c>
      <c r="H2653" s="1">
        <v>4.0259860000000002E-7</v>
      </c>
      <c r="I2653">
        <v>287.34519999999998</v>
      </c>
      <c r="J2653">
        <v>-296.78469999999999</v>
      </c>
      <c r="K2653">
        <v>1.110792</v>
      </c>
      <c r="L2653">
        <v>285.53870000000001</v>
      </c>
      <c r="M2653">
        <v>-0.99992539999999996</v>
      </c>
      <c r="N2653">
        <v>-1.07181E-2</v>
      </c>
      <c r="O2653">
        <v>-5.8633169999999998E-3</v>
      </c>
      <c r="P2653">
        <v>-0.98321510000000001</v>
      </c>
      <c r="Q2653">
        <v>0.13433529999999999</v>
      </c>
      <c r="R2653">
        <v>-0.1234589</v>
      </c>
      <c r="S2653">
        <v>-3.071472</v>
      </c>
      <c r="T2653">
        <v>-5.9822559999999997E-2</v>
      </c>
      <c r="U2653">
        <v>9.7228999999999996E-2</v>
      </c>
      <c r="V2653">
        <v>-0.1178141</v>
      </c>
      <c r="W2653">
        <v>0.14477390000000001</v>
      </c>
      <c r="X2653">
        <v>0.98242569999999996</v>
      </c>
      <c r="Y2653">
        <v>3.7488590000000002E-2</v>
      </c>
      <c r="Z2653">
        <v>6.1727820000000004E-4</v>
      </c>
      <c r="AA2653">
        <v>0.99929679999999999</v>
      </c>
      <c r="AB2653">
        <v>31</v>
      </c>
      <c r="AC2653">
        <v>-56.859699999999997</v>
      </c>
      <c r="AD2653">
        <v>-1.1107915974014</v>
      </c>
      <c r="AE2653">
        <v>1.80649999999997</v>
      </c>
      <c r="AF2653">
        <v>2.1390589987870601</v>
      </c>
      <c r="AG2653">
        <v>-1.1107915974014</v>
      </c>
      <c r="AH2653">
        <v>56.826464323659003</v>
      </c>
      <c r="AI2653">
        <v>91.119030427002699</v>
      </c>
      <c r="AJ2653">
        <v>87.844292829669698</v>
      </c>
      <c r="AK2653">
        <v>56.877556899898899</v>
      </c>
      <c r="AL2653">
        <v>81.675813120603607</v>
      </c>
      <c r="AM2653">
        <v>96.838347343685697</v>
      </c>
      <c r="AN2653">
        <v>0.999999950150253</v>
      </c>
    </row>
    <row r="2654" spans="1:40" x14ac:dyDescent="0.25">
      <c r="A2654" t="str">
        <f>"20190304154811722"</f>
        <v>20190304154811722</v>
      </c>
      <c r="B2654" t="str">
        <f>"1551685691719661"</f>
        <v>1551685691719661</v>
      </c>
      <c r="C2654" t="s">
        <v>40</v>
      </c>
      <c r="D2654">
        <v>4.4302849999999996</v>
      </c>
      <c r="E2654">
        <v>0.55497030000000003</v>
      </c>
      <c r="F2654" t="s">
        <v>60</v>
      </c>
      <c r="G2654">
        <v>-349.464</v>
      </c>
      <c r="H2654" s="1">
        <v>3.4994720000000002E-6</v>
      </c>
      <c r="I2654">
        <v>287.1302</v>
      </c>
      <c r="J2654">
        <v>-296.95519999999999</v>
      </c>
      <c r="K2654">
        <v>1.1107750000000001</v>
      </c>
      <c r="L2654">
        <v>285.53750000000002</v>
      </c>
      <c r="M2654">
        <v>-0.99992429999999999</v>
      </c>
      <c r="N2654">
        <v>-1.0717290000000001E-2</v>
      </c>
      <c r="O2654">
        <v>-6.0686019999999898E-3</v>
      </c>
      <c r="P2654">
        <v>-0.98321559999999997</v>
      </c>
      <c r="Q2654">
        <v>0.13436429999999999</v>
      </c>
      <c r="R2654">
        <v>-0.1234252</v>
      </c>
      <c r="S2654">
        <v>-3.0717159999999999</v>
      </c>
      <c r="T2654">
        <v>-6.4769740000000006E-2</v>
      </c>
      <c r="U2654">
        <v>9.2803960000000005E-2</v>
      </c>
      <c r="V2654">
        <v>-0.11757280000000001</v>
      </c>
      <c r="W2654">
        <v>0.1448065</v>
      </c>
      <c r="X2654">
        <v>0.98244989999999999</v>
      </c>
      <c r="Y2654">
        <v>3.6251779999999997E-2</v>
      </c>
      <c r="Z2654">
        <v>6.3931239999999998E-4</v>
      </c>
      <c r="AA2654">
        <v>0.99934250000000002</v>
      </c>
      <c r="AB2654">
        <v>31</v>
      </c>
      <c r="AC2654">
        <v>-52.508800000000001</v>
      </c>
      <c r="AD2654">
        <v>-1.1107715005279899</v>
      </c>
      <c r="AE2654">
        <v>1.59269999999997</v>
      </c>
      <c r="AF2654">
        <v>1.91048978923706</v>
      </c>
      <c r="AG2654">
        <v>-1.1107715005279899</v>
      </c>
      <c r="AH2654">
        <v>52.474706542283599</v>
      </c>
      <c r="AI2654">
        <v>91.211839016248604</v>
      </c>
      <c r="AJ2654">
        <v>87.914906401860904</v>
      </c>
      <c r="AK2654">
        <v>52.521220580446702</v>
      </c>
      <c r="AL2654">
        <v>81.673926188539696</v>
      </c>
      <c r="AM2654">
        <v>96.824307147297105</v>
      </c>
      <c r="AN2654">
        <v>1.0000000458760401</v>
      </c>
    </row>
    <row r="2655" spans="1:40" x14ac:dyDescent="0.25">
      <c r="A2655" t="str">
        <f>"20190304154811734"</f>
        <v>20190304154811734</v>
      </c>
      <c r="B2655" t="str">
        <f>"1551685691729421"</f>
        <v>1551685691729421</v>
      </c>
      <c r="C2655" t="s">
        <v>40</v>
      </c>
      <c r="D2655">
        <v>4.3632030000000004</v>
      </c>
      <c r="E2655">
        <v>0.55466340000000003</v>
      </c>
      <c r="F2655" t="s">
        <v>60</v>
      </c>
      <c r="G2655">
        <v>-345.51420000000002</v>
      </c>
      <c r="H2655" s="1">
        <v>1.39761E-6</v>
      </c>
      <c r="I2655">
        <v>286.8605</v>
      </c>
      <c r="J2655">
        <v>-297.12650000000002</v>
      </c>
      <c r="K2655">
        <v>1.110757</v>
      </c>
      <c r="L2655">
        <v>285.53620000000001</v>
      </c>
      <c r="M2655">
        <v>-0.99992289999999995</v>
      </c>
      <c r="N2655">
        <v>-1.0716669999999999E-2</v>
      </c>
      <c r="O2655">
        <v>-6.2667230000000001E-3</v>
      </c>
      <c r="P2655">
        <v>-0.98314769999999896</v>
      </c>
      <c r="Q2655">
        <v>0.13458299999999901</v>
      </c>
      <c r="R2655">
        <v>-0.1237272</v>
      </c>
      <c r="S2655">
        <v>-3.0713200000000001</v>
      </c>
      <c r="T2655">
        <v>-7.0255520000000002E-2</v>
      </c>
      <c r="U2655">
        <v>8.3679199999999995E-2</v>
      </c>
      <c r="V2655">
        <v>-0.1176748</v>
      </c>
      <c r="W2655">
        <v>0.1450292</v>
      </c>
      <c r="X2655">
        <v>0.98240479999999997</v>
      </c>
      <c r="Y2655">
        <v>3.3486149999999999E-2</v>
      </c>
      <c r="Z2655">
        <v>6.3853909999999996E-4</v>
      </c>
      <c r="AA2655">
        <v>0.99943899999999997</v>
      </c>
      <c r="AB2655">
        <v>32</v>
      </c>
      <c r="AC2655">
        <v>-48.387700000000002</v>
      </c>
      <c r="AD2655">
        <v>-1.11075560238999</v>
      </c>
      <c r="AE2655">
        <v>1.32429999999999</v>
      </c>
      <c r="AF2655">
        <v>1.6266672049087201</v>
      </c>
      <c r="AG2655">
        <v>-1.11075560238999</v>
      </c>
      <c r="AH2655">
        <v>48.352989847042601</v>
      </c>
      <c r="AI2655">
        <v>91.315212430090298</v>
      </c>
      <c r="AJ2655">
        <v>88.073210581094102</v>
      </c>
      <c r="AK2655">
        <v>48.3930930128667</v>
      </c>
      <c r="AL2655">
        <v>81.661029978150694</v>
      </c>
      <c r="AM2655">
        <v>96.830482247998503</v>
      </c>
      <c r="AN2655">
        <v>1.00000000923535</v>
      </c>
    </row>
    <row r="2656" spans="1:40" x14ac:dyDescent="0.25">
      <c r="A2656" t="str">
        <f>"20190304154811746"</f>
        <v>20190304154811746</v>
      </c>
      <c r="B2656" t="str">
        <f>"1551685691739180"</f>
        <v>1551685691739180</v>
      </c>
      <c r="C2656" t="s">
        <v>40</v>
      </c>
      <c r="D2656">
        <v>4.2977059999999998</v>
      </c>
      <c r="E2656">
        <v>0.5547879</v>
      </c>
      <c r="F2656" t="s">
        <v>60</v>
      </c>
      <c r="G2656">
        <v>-345.07799999999997</v>
      </c>
      <c r="H2656" s="1">
        <v>1.1654899999999901E-6</v>
      </c>
      <c r="I2656">
        <v>286.78559999999999</v>
      </c>
      <c r="J2656">
        <v>-297.31580000000002</v>
      </c>
      <c r="K2656">
        <v>1.1107359999999999</v>
      </c>
      <c r="L2656">
        <v>285.53489999999999</v>
      </c>
      <c r="M2656">
        <v>-0.99992179999999997</v>
      </c>
      <c r="N2656">
        <v>-1.0716399999999999E-2</v>
      </c>
      <c r="O2656">
        <v>-6.4644309999999996E-3</v>
      </c>
      <c r="P2656">
        <v>-0.98311729999999997</v>
      </c>
      <c r="Q2656">
        <v>0.1344591</v>
      </c>
      <c r="R2656">
        <v>-0.1241032</v>
      </c>
      <c r="S2656">
        <v>-3.0712280000000001</v>
      </c>
      <c r="T2656">
        <v>-7.1142319999999995E-2</v>
      </c>
      <c r="U2656">
        <v>8.0017089999999999E-2</v>
      </c>
      <c r="V2656">
        <v>-0.1178487</v>
      </c>
      <c r="W2656">
        <v>0.14491119999999999</v>
      </c>
      <c r="X2656">
        <v>0.98240139999999998</v>
      </c>
      <c r="Y2656">
        <v>3.2493759999999997E-2</v>
      </c>
      <c r="Z2656">
        <v>6.3084749999999998E-4</v>
      </c>
      <c r="AA2656">
        <v>0.99947169999999996</v>
      </c>
      <c r="AB2656">
        <v>32</v>
      </c>
      <c r="AC2656">
        <v>-47.7622</v>
      </c>
      <c r="AD2656">
        <v>-1.1107348345100001</v>
      </c>
      <c r="AE2656">
        <v>1.2506999999999899</v>
      </c>
      <c r="AF2656">
        <v>1.55860465855742</v>
      </c>
      <c r="AG2656">
        <v>-1.1107348345100001</v>
      </c>
      <c r="AH2656">
        <v>47.727322216618099</v>
      </c>
      <c r="AI2656">
        <v>91.332466196242905</v>
      </c>
      <c r="AJ2656">
        <v>88.129588251988906</v>
      </c>
      <c r="AK2656">
        <v>47.7656808422445</v>
      </c>
      <c r="AL2656">
        <v>81.667863334133003</v>
      </c>
      <c r="AM2656">
        <v>96.840504218756706</v>
      </c>
      <c r="AN2656">
        <v>1.00000004134954</v>
      </c>
    </row>
    <row r="2657" spans="1:40" x14ac:dyDescent="0.25">
      <c r="A2657" t="str">
        <f>"20190304154811764"</f>
        <v>20190304154811764</v>
      </c>
      <c r="B2657" t="str">
        <f>"1551685691759676"</f>
        <v>1551685691759676</v>
      </c>
      <c r="C2657" t="s">
        <v>40</v>
      </c>
      <c r="D2657">
        <v>4.2376620000000003</v>
      </c>
      <c r="E2657">
        <v>0.55505059999999995</v>
      </c>
      <c r="F2657" t="s">
        <v>60</v>
      </c>
      <c r="G2657">
        <v>-345.36700000000002</v>
      </c>
      <c r="H2657" s="1">
        <v>1.3192819999999999E-6</v>
      </c>
      <c r="I2657">
        <v>286.78429999999997</v>
      </c>
      <c r="J2657">
        <v>-297.55180000000001</v>
      </c>
      <c r="K2657">
        <v>1.1107089999999999</v>
      </c>
      <c r="L2657">
        <v>285.53309999999999</v>
      </c>
      <c r="M2657">
        <v>-0.99992020000000004</v>
      </c>
      <c r="N2657">
        <v>-1.071659E-2</v>
      </c>
      <c r="O2657">
        <v>-6.6860110000000004E-3</v>
      </c>
      <c r="P2657">
        <v>-0.98315339999999996</v>
      </c>
      <c r="Q2657">
        <v>0.13389899999999999</v>
      </c>
      <c r="R2657">
        <v>-0.1244209</v>
      </c>
      <c r="S2657">
        <v>-3.0713200000000001</v>
      </c>
      <c r="T2657">
        <v>-7.0995450000000002E-2</v>
      </c>
      <c r="U2657">
        <v>7.9864500000000005E-2</v>
      </c>
      <c r="V2657">
        <v>-0.117938</v>
      </c>
      <c r="W2657">
        <v>0.14435970000000001</v>
      </c>
      <c r="X2657">
        <v>0.98247180000000001</v>
      </c>
      <c r="Y2657">
        <v>3.2664810000000002E-2</v>
      </c>
      <c r="Z2657">
        <v>6.353881E-4</v>
      </c>
      <c r="AA2657">
        <v>0.99946619999999997</v>
      </c>
      <c r="AB2657">
        <v>32</v>
      </c>
      <c r="AC2657">
        <v>-47.815199999999898</v>
      </c>
      <c r="AD2657">
        <v>-1.1107076807180001</v>
      </c>
      <c r="AE2657">
        <v>1.2511999999999801</v>
      </c>
      <c r="AF2657">
        <v>1.5700367464351399</v>
      </c>
      <c r="AG2657">
        <v>-1.1107076807180001</v>
      </c>
      <c r="AH2657">
        <v>47.780000923377798</v>
      </c>
      <c r="AI2657">
        <v>91.330956269797696</v>
      </c>
      <c r="AJ2657">
        <v>88.117954764963102</v>
      </c>
      <c r="AK2657">
        <v>47.8186906468082</v>
      </c>
      <c r="AL2657">
        <v>81.699797118403694</v>
      </c>
      <c r="AM2657">
        <v>96.845152572355602</v>
      </c>
      <c r="AN2657">
        <v>0.99999996631166399</v>
      </c>
    </row>
    <row r="2658" spans="1:40" x14ac:dyDescent="0.25">
      <c r="A2658" t="str">
        <f>"20190304154811781"</f>
        <v>20190304154811781</v>
      </c>
      <c r="B2658" t="str">
        <f>"1551685691769437"</f>
        <v>1551685691769437</v>
      </c>
      <c r="C2658" t="s">
        <v>40</v>
      </c>
      <c r="D2658">
        <v>4.2316779999999996</v>
      </c>
      <c r="E2658">
        <v>0.55514659999999905</v>
      </c>
      <c r="F2658" t="s">
        <v>60</v>
      </c>
      <c r="G2658">
        <v>-345.12729999999999</v>
      </c>
      <c r="H2658" s="1">
        <v>1.191732E-6</v>
      </c>
      <c r="I2658">
        <v>286.79050000000001</v>
      </c>
      <c r="J2658">
        <v>-297.77780000000001</v>
      </c>
      <c r="K2658">
        <v>1.110673</v>
      </c>
      <c r="L2658">
        <v>285.53140000000002</v>
      </c>
      <c r="M2658">
        <v>-0.99991909999999895</v>
      </c>
      <c r="N2658">
        <v>-1.0717239999999999E-2</v>
      </c>
      <c r="O2658">
        <v>-6.8736269999999898E-3</v>
      </c>
      <c r="P2658">
        <v>-0.98309000000000002</v>
      </c>
      <c r="Q2658">
        <v>0.13381170000000001</v>
      </c>
      <c r="R2658">
        <v>-0.12501599999999999</v>
      </c>
      <c r="S2658">
        <v>-3.0714419999999998</v>
      </c>
      <c r="T2658">
        <v>-7.1706530000000004E-2</v>
      </c>
      <c r="U2658">
        <v>8.1176760000000001E-2</v>
      </c>
      <c r="V2658">
        <v>-0.1183394</v>
      </c>
      <c r="W2658">
        <v>0.14427989999999999</v>
      </c>
      <c r="X2658">
        <v>0.98243530000000001</v>
      </c>
      <c r="Y2658">
        <v>3.327753E-2</v>
      </c>
      <c r="Z2658">
        <v>6.5350179999999996E-4</v>
      </c>
      <c r="AA2658">
        <v>0.9994459</v>
      </c>
      <c r="AB2658">
        <v>32</v>
      </c>
      <c r="AC2658">
        <v>-47.3494999999999</v>
      </c>
      <c r="AD2658">
        <v>-1.110671808268</v>
      </c>
      <c r="AE2658">
        <v>1.2590999999999799</v>
      </c>
      <c r="AF2658">
        <v>1.5836809297574199</v>
      </c>
      <c r="AG2658">
        <v>-1.110671808268</v>
      </c>
      <c r="AH2658">
        <v>47.313711409831498</v>
      </c>
      <c r="AI2658">
        <v>91.3439977750715</v>
      </c>
      <c r="AJ2658">
        <v>88.082915784010595</v>
      </c>
      <c r="AK2658">
        <v>47.3532356288963</v>
      </c>
      <c r="AL2658">
        <v>81.704418066705003</v>
      </c>
      <c r="AM2658">
        <v>96.868480498779903</v>
      </c>
      <c r="AN2658">
        <v>1.0000000109112299</v>
      </c>
    </row>
    <row r="2659" spans="1:40" x14ac:dyDescent="0.25">
      <c r="A2659" t="str">
        <f>"20190304154811792"</f>
        <v>20190304154811792</v>
      </c>
      <c r="B2659" t="str">
        <f>"1551685691789933"</f>
        <v>1551685691789933</v>
      </c>
      <c r="C2659" t="s">
        <v>40</v>
      </c>
      <c r="D2659">
        <v>4.2134410000000004</v>
      </c>
      <c r="E2659">
        <v>0.55534130000000004</v>
      </c>
      <c r="F2659" t="s">
        <v>60</v>
      </c>
      <c r="G2659">
        <v>-345.60250000000002</v>
      </c>
      <c r="H2659" s="1">
        <v>1.444566E-6</v>
      </c>
      <c r="I2659">
        <v>286.7826</v>
      </c>
      <c r="J2659">
        <v>-297.95639999999997</v>
      </c>
      <c r="K2659">
        <v>1.1106480000000001</v>
      </c>
      <c r="L2659">
        <v>285.53019999999998</v>
      </c>
      <c r="M2659">
        <v>-0.99991819999999998</v>
      </c>
      <c r="N2659">
        <v>-1.0718E-2</v>
      </c>
      <c r="O2659">
        <v>-7.0075569999999898E-3</v>
      </c>
      <c r="P2659">
        <v>-0.98311230000000005</v>
      </c>
      <c r="Q2659">
        <v>0.1336318</v>
      </c>
      <c r="R2659">
        <v>-0.1250328</v>
      </c>
      <c r="S2659">
        <v>-3.0715330000000001</v>
      </c>
      <c r="T2659">
        <v>-7.1332809999999996E-2</v>
      </c>
      <c r="U2659">
        <v>8.0352779999999999E-2</v>
      </c>
      <c r="V2659">
        <v>-0.1182169</v>
      </c>
      <c r="W2659">
        <v>0.14410770000000001</v>
      </c>
      <c r="X2659">
        <v>0.98247530000000005</v>
      </c>
      <c r="Y2659">
        <v>3.3142850000000001E-2</v>
      </c>
      <c r="Z2659">
        <v>6.5002339999999895E-4</v>
      </c>
      <c r="AA2659">
        <v>0.99945039999999996</v>
      </c>
      <c r="AB2659">
        <v>32</v>
      </c>
      <c r="AC2659">
        <v>-47.646099999999997</v>
      </c>
      <c r="AD2659">
        <v>-1.1106465554339999</v>
      </c>
      <c r="AE2659">
        <v>1.2524000000000199</v>
      </c>
      <c r="AF2659">
        <v>1.58541024963108</v>
      </c>
      <c r="AG2659">
        <v>-1.1106465554339999</v>
      </c>
      <c r="AH2659">
        <v>47.610301004418702</v>
      </c>
      <c r="AI2659">
        <v>91.335605658815496</v>
      </c>
      <c r="AJ2659">
        <v>88.092770664123705</v>
      </c>
      <c r="AK2659">
        <v>47.649636128328297</v>
      </c>
      <c r="AL2659">
        <v>81.714388421693897</v>
      </c>
      <c r="AM2659">
        <v>96.861161661551606</v>
      </c>
      <c r="AN2659">
        <v>0.99999998987749406</v>
      </c>
    </row>
    <row r="2660" spans="1:40" x14ac:dyDescent="0.25">
      <c r="A2660" t="str">
        <f>"20190304154811808"</f>
        <v>20190304154811808</v>
      </c>
      <c r="B2660" t="str">
        <f>"1551685691799693"</f>
        <v>1551685691799693</v>
      </c>
      <c r="C2660" t="s">
        <v>40</v>
      </c>
      <c r="D2660">
        <v>4.2409509999999999</v>
      </c>
      <c r="E2660">
        <v>0.55548819999999999</v>
      </c>
      <c r="F2660" t="s">
        <v>60</v>
      </c>
      <c r="G2660">
        <v>-346.07810000000001</v>
      </c>
      <c r="H2660" s="1">
        <v>1.6976920000000001E-6</v>
      </c>
      <c r="I2660">
        <v>286.81099999999998</v>
      </c>
      <c r="J2660">
        <v>-298.17619999999999</v>
      </c>
      <c r="K2660">
        <v>1.1106069999999999</v>
      </c>
      <c r="L2660">
        <v>285.52839999999998</v>
      </c>
      <c r="M2660">
        <v>-0.9999171</v>
      </c>
      <c r="N2660">
        <v>-1.0719370000000001E-2</v>
      </c>
      <c r="O2660">
        <v>-7.1445190000000002E-3</v>
      </c>
      <c r="P2660">
        <v>-0.98303660000000004</v>
      </c>
      <c r="Q2660">
        <v>0.13375619999999999</v>
      </c>
      <c r="R2660">
        <v>-0.12549269999999901</v>
      </c>
      <c r="S2660">
        <v>-3.071564</v>
      </c>
      <c r="T2660">
        <v>-7.0891499999999996E-2</v>
      </c>
      <c r="U2660">
        <v>8.1756590000000004E-2</v>
      </c>
      <c r="V2660">
        <v>-0.1185327</v>
      </c>
      <c r="W2660">
        <v>0.1442408</v>
      </c>
      <c r="X2660">
        <v>0.98241780000000001</v>
      </c>
      <c r="Y2660">
        <v>3.3735859999999999E-2</v>
      </c>
      <c r="Z2660">
        <v>6.5835630000000002E-4</v>
      </c>
      <c r="AA2660">
        <v>0.99943059999999995</v>
      </c>
      <c r="AB2660">
        <v>32</v>
      </c>
      <c r="AC2660">
        <v>-47.901899999999998</v>
      </c>
      <c r="AD2660">
        <v>-1.11060530230799</v>
      </c>
      <c r="AE2660">
        <v>1.2826</v>
      </c>
      <c r="AF2660">
        <v>1.62395061371433</v>
      </c>
      <c r="AG2660">
        <v>-1.11060530230799</v>
      </c>
      <c r="AH2660">
        <v>47.865801661969002</v>
      </c>
      <c r="AI2660">
        <v>91.328401651586702</v>
      </c>
      <c r="AJ2660">
        <v>88.056862360347495</v>
      </c>
      <c r="AK2660">
        <v>47.906217012787103</v>
      </c>
      <c r="AL2660">
        <v>81.706682519547797</v>
      </c>
      <c r="AM2660">
        <v>96.879713668370997</v>
      </c>
      <c r="AN2660">
        <v>1.0000000715553801</v>
      </c>
    </row>
    <row r="2661" spans="1:40" x14ac:dyDescent="0.25">
      <c r="A2661" t="str">
        <f>"20190304154811822"</f>
        <v>20190304154811822</v>
      </c>
      <c r="B2661" t="str">
        <f>"1551685691819213"</f>
        <v>1551685691819213</v>
      </c>
      <c r="C2661" t="s">
        <v>40</v>
      </c>
      <c r="D2661">
        <v>4.1723080000000001</v>
      </c>
      <c r="E2661">
        <v>0.55558560000000001</v>
      </c>
      <c r="F2661" t="s">
        <v>60</v>
      </c>
      <c r="G2661">
        <v>-346.66789999999997</v>
      </c>
      <c r="H2661" s="1">
        <v>2.0115449999999999E-6</v>
      </c>
      <c r="I2661">
        <v>286.80709999999999</v>
      </c>
      <c r="J2661">
        <v>-298.36450000000002</v>
      </c>
      <c r="K2661">
        <v>1.110579</v>
      </c>
      <c r="L2661">
        <v>285.52699999999999</v>
      </c>
      <c r="M2661">
        <v>-0.99991629999999998</v>
      </c>
      <c r="N2661">
        <v>-1.0720810000000001E-2</v>
      </c>
      <c r="O2661">
        <v>-7.2425669999999897E-3</v>
      </c>
      <c r="P2661">
        <v>-0.98301349999999998</v>
      </c>
      <c r="Q2661">
        <v>0.13380929999999999</v>
      </c>
      <c r="R2661">
        <v>-0.12561710000000001</v>
      </c>
      <c r="S2661">
        <v>-3.0716549999999998</v>
      </c>
      <c r="T2661">
        <v>-7.0350049999999997E-2</v>
      </c>
      <c r="U2661">
        <v>8.099365E-2</v>
      </c>
      <c r="V2661">
        <v>-0.1185527</v>
      </c>
      <c r="W2661">
        <v>0.14430109999999999</v>
      </c>
      <c r="X2661">
        <v>0.98240640000000001</v>
      </c>
      <c r="Y2661">
        <v>3.3585230000000001E-2</v>
      </c>
      <c r="Z2661">
        <v>6.5278560000000001E-4</v>
      </c>
      <c r="AA2661">
        <v>0.99943570000000004</v>
      </c>
      <c r="AB2661">
        <v>32</v>
      </c>
      <c r="AC2661">
        <v>-48.303399999999897</v>
      </c>
      <c r="AD2661">
        <v>-1.1105769884550001</v>
      </c>
      <c r="AE2661">
        <v>1.2801</v>
      </c>
      <c r="AF2661">
        <v>1.62906659008123</v>
      </c>
      <c r="AG2661">
        <v>-1.1105769884550001</v>
      </c>
      <c r="AH2661">
        <v>48.2673641328646</v>
      </c>
      <c r="AI2661">
        <v>91.317328138882701</v>
      </c>
      <c r="AJ2661">
        <v>88.066950109062205</v>
      </c>
      <c r="AK2661">
        <v>48.307615129881398</v>
      </c>
      <c r="AL2661">
        <v>81.703189978677997</v>
      </c>
      <c r="AM2661">
        <v>96.880942434117301</v>
      </c>
      <c r="AN2661">
        <v>0.99999994244972801</v>
      </c>
    </row>
    <row r="2662" spans="1:40" x14ac:dyDescent="0.25">
      <c r="A2662" t="str">
        <f>"20190304154811834"</f>
        <v>20190304154811834</v>
      </c>
      <c r="B2662" t="str">
        <f>"1551685691828973"</f>
        <v>1551685691828973</v>
      </c>
      <c r="C2662" t="s">
        <v>40</v>
      </c>
      <c r="D2662">
        <v>4.1258439999999998</v>
      </c>
      <c r="E2662">
        <v>0.55569109999999999</v>
      </c>
      <c r="F2662" t="s">
        <v>60</v>
      </c>
      <c r="G2662">
        <v>-347.79849999999999</v>
      </c>
      <c r="H2662" s="1">
        <v>2.6131800000000001E-6</v>
      </c>
      <c r="I2662">
        <v>286.83539999999999</v>
      </c>
      <c r="J2662">
        <v>-298.54360000000003</v>
      </c>
      <c r="K2662">
        <v>1.110557</v>
      </c>
      <c r="L2662">
        <v>285.5256</v>
      </c>
      <c r="M2662">
        <v>-0.99991569999999996</v>
      </c>
      <c r="N2662">
        <v>-1.072233E-2</v>
      </c>
      <c r="O2662">
        <v>-7.3247809999999998E-3</v>
      </c>
      <c r="P2662">
        <v>-0.98298620000000003</v>
      </c>
      <c r="Q2662">
        <v>0.13376060000000001</v>
      </c>
      <c r="R2662">
        <v>-0.12588099999999999</v>
      </c>
      <c r="S2662">
        <v>-3.071564</v>
      </c>
      <c r="T2662">
        <v>-6.9005250000000004E-2</v>
      </c>
      <c r="U2662">
        <v>8.1298830000000002E-2</v>
      </c>
      <c r="V2662">
        <v>-0.1187291</v>
      </c>
      <c r="W2662">
        <v>0.1442601</v>
      </c>
      <c r="X2662">
        <v>0.98239120000000002</v>
      </c>
      <c r="Y2662">
        <v>3.3767800000000001E-2</v>
      </c>
      <c r="Z2662">
        <v>6.4629199999999905E-4</v>
      </c>
      <c r="AA2662">
        <v>0.99942949999999997</v>
      </c>
      <c r="AB2662">
        <v>32</v>
      </c>
      <c r="AC2662">
        <v>-49.2548999999999</v>
      </c>
      <c r="AD2662">
        <v>-1.1105543868200001</v>
      </c>
      <c r="AE2662">
        <v>1.3097999999999901</v>
      </c>
      <c r="AF2662">
        <v>1.6697187134106499</v>
      </c>
      <c r="AG2662">
        <v>-1.1105543868200001</v>
      </c>
      <c r="AH2662">
        <v>49.218980137174903</v>
      </c>
      <c r="AI2662">
        <v>91.291833347852801</v>
      </c>
      <c r="AJ2662">
        <v>88.057026774956995</v>
      </c>
      <c r="AK2662">
        <v>49.259814223884597</v>
      </c>
      <c r="AL2662">
        <v>81.705564615663505</v>
      </c>
      <c r="AM2662">
        <v>96.891188122389494</v>
      </c>
      <c r="AN2662">
        <v>1.0000000227381201</v>
      </c>
    </row>
    <row r="2663" spans="1:40" x14ac:dyDescent="0.25">
      <c r="A2663" t="str">
        <f>"20190304154811853"</f>
        <v>20190304154811853</v>
      </c>
      <c r="B2663" t="str">
        <f>"1551685691849469"</f>
        <v>1551685691849469</v>
      </c>
      <c r="C2663" t="s">
        <v>40</v>
      </c>
      <c r="D2663">
        <v>4.2792690000000002</v>
      </c>
      <c r="E2663">
        <v>0.55590980000000001</v>
      </c>
      <c r="F2663" t="s">
        <v>60</v>
      </c>
      <c r="G2663">
        <v>-348.04410000000001</v>
      </c>
      <c r="H2663" s="1">
        <v>2.7438680000000001E-6</v>
      </c>
      <c r="I2663">
        <v>286.8338</v>
      </c>
      <c r="J2663">
        <v>-298.8</v>
      </c>
      <c r="K2663">
        <v>1.1105160000000001</v>
      </c>
      <c r="L2663">
        <v>285.52370000000002</v>
      </c>
      <c r="M2663">
        <v>-0.99991509999999995</v>
      </c>
      <c r="N2663">
        <v>-1.0724839999999999E-2</v>
      </c>
      <c r="O2663">
        <v>-7.4153459999999997E-3</v>
      </c>
      <c r="P2663">
        <v>-0.98298030000000003</v>
      </c>
      <c r="Q2663">
        <v>0.13381589999999999</v>
      </c>
      <c r="R2663">
        <v>-0.1258697</v>
      </c>
      <c r="S2663">
        <v>-3.0716549999999998</v>
      </c>
      <c r="T2663">
        <v>-6.8913219999999997E-2</v>
      </c>
      <c r="U2663">
        <v>8.1176760000000001E-2</v>
      </c>
      <c r="V2663">
        <v>-0.1186183</v>
      </c>
      <c r="W2663">
        <v>0.1443266</v>
      </c>
      <c r="X2663">
        <v>0.98239480000000001</v>
      </c>
      <c r="Y2663">
        <v>3.3817850000000003E-2</v>
      </c>
      <c r="Z2663">
        <v>6.4746490000000003E-4</v>
      </c>
      <c r="AA2663">
        <v>0.99942779999999998</v>
      </c>
      <c r="AB2663">
        <v>32</v>
      </c>
      <c r="AC2663">
        <v>-49.244100000000003</v>
      </c>
      <c r="AD2663">
        <v>-1.1105132561319999</v>
      </c>
      <c r="AE2663">
        <v>1.3100999999999701</v>
      </c>
      <c r="AF2663">
        <v>1.6743960564734199</v>
      </c>
      <c r="AG2663">
        <v>-1.1105132561319999</v>
      </c>
      <c r="AH2663">
        <v>49.208023168926999</v>
      </c>
      <c r="AI2663">
        <v>91.292068561518406</v>
      </c>
      <c r="AJ2663">
        <v>88.051154648726794</v>
      </c>
      <c r="AK2663">
        <v>49.249024214086099</v>
      </c>
      <c r="AL2663">
        <v>81.701714009707501</v>
      </c>
      <c r="AM2663">
        <v>96.884793916754703</v>
      </c>
      <c r="AN2663">
        <v>1.00000000581474</v>
      </c>
    </row>
    <row r="2664" spans="1:40" x14ac:dyDescent="0.25">
      <c r="A2664" t="str">
        <f>"20190304154811865"</f>
        <v>20190304154811865</v>
      </c>
      <c r="B2664" t="str">
        <f>"1551685691859229"</f>
        <v>1551685691859229</v>
      </c>
      <c r="C2664" t="s">
        <v>40</v>
      </c>
      <c r="D2664">
        <v>4.1212019999999896</v>
      </c>
      <c r="E2664">
        <v>0.55590980000000001</v>
      </c>
      <c r="F2664" t="s">
        <v>60</v>
      </c>
      <c r="G2664">
        <v>-350.03570000000002</v>
      </c>
      <c r="H2664" s="1">
        <v>-1.5178089999999999E-6</v>
      </c>
      <c r="I2664">
        <v>286.90260000000001</v>
      </c>
      <c r="J2664">
        <v>-298.97890000000001</v>
      </c>
      <c r="K2664">
        <v>1.110498</v>
      </c>
      <c r="L2664">
        <v>285.52229999999997</v>
      </c>
      <c r="M2664">
        <v>-0.99991459999999999</v>
      </c>
      <c r="N2664">
        <v>-1.072682E-2</v>
      </c>
      <c r="O2664">
        <v>-7.4588469999999898E-3</v>
      </c>
      <c r="P2664">
        <v>-0.98297230000000002</v>
      </c>
      <c r="Q2664">
        <v>0.13364119999999999</v>
      </c>
      <c r="R2664">
        <v>-0.12611739999999999</v>
      </c>
      <c r="S2664">
        <v>-3.0715940000000002</v>
      </c>
      <c r="T2664">
        <v>-6.6575880000000004E-2</v>
      </c>
      <c r="U2664">
        <v>8.2672120000000002E-2</v>
      </c>
      <c r="V2664">
        <v>-0.11881609999999999</v>
      </c>
      <c r="W2664">
        <v>0.1441596</v>
      </c>
      <c r="X2664">
        <v>0.98239540000000003</v>
      </c>
      <c r="Y2664">
        <v>3.4348629999999998E-2</v>
      </c>
      <c r="Z2664">
        <v>6.3806559999999895E-4</v>
      </c>
      <c r="AA2664">
        <v>0.99940969999999996</v>
      </c>
      <c r="AB2664">
        <v>32</v>
      </c>
      <c r="AC2664">
        <v>-51.056800000000003</v>
      </c>
      <c r="AD2664">
        <v>-1.110499517809</v>
      </c>
      <c r="AE2664">
        <v>1.3803000000000301</v>
      </c>
      <c r="AF2664">
        <v>1.7602762542627901</v>
      </c>
      <c r="AG2664">
        <v>-1.110499517809</v>
      </c>
      <c r="AH2664">
        <v>51.020964429342001</v>
      </c>
      <c r="AI2664">
        <v>91.246136269260205</v>
      </c>
      <c r="AJ2664">
        <v>88.024019878023495</v>
      </c>
      <c r="AK2664">
        <v>51.063397781292998</v>
      </c>
      <c r="AL2664">
        <v>81.711383384863694</v>
      </c>
      <c r="AM2664">
        <v>96.896159904332393</v>
      </c>
      <c r="AN2664">
        <v>0.99999998891626496</v>
      </c>
    </row>
    <row r="2665" spans="1:40" x14ac:dyDescent="0.25">
      <c r="A2665" t="str">
        <f>"20190304154811876"</f>
        <v>20190304154811876</v>
      </c>
      <c r="B2665" t="str">
        <f>"1551685691868989"</f>
        <v>1551685691868989</v>
      </c>
      <c r="C2665" t="s">
        <v>40</v>
      </c>
      <c r="D2665">
        <v>4.1328839999999998</v>
      </c>
      <c r="E2665">
        <v>0.56712940000000001</v>
      </c>
      <c r="F2665" t="s">
        <v>60</v>
      </c>
      <c r="G2665">
        <v>-349.64010000000002</v>
      </c>
      <c r="H2665" s="1">
        <v>3.5932109999999998E-6</v>
      </c>
      <c r="I2665">
        <v>286.87020000000001</v>
      </c>
      <c r="J2665">
        <v>-299.14580000000001</v>
      </c>
      <c r="K2665">
        <v>1.110487</v>
      </c>
      <c r="L2665">
        <v>285.52100000000002</v>
      </c>
      <c r="M2665">
        <v>-0.99991450000000004</v>
      </c>
      <c r="N2665">
        <v>-1.072878E-2</v>
      </c>
      <c r="O2665">
        <v>-7.4927240000000001E-3</v>
      </c>
      <c r="P2665">
        <v>-0.98298779999999997</v>
      </c>
      <c r="Q2665">
        <v>0.13342770000000001</v>
      </c>
      <c r="R2665">
        <v>-0.126223</v>
      </c>
      <c r="S2665">
        <v>-3.0715940000000002</v>
      </c>
      <c r="T2665">
        <v>-6.7329410000000006E-2</v>
      </c>
      <c r="U2665">
        <v>8.1726069999999998E-2</v>
      </c>
      <c r="V2665">
        <v>-0.118882</v>
      </c>
      <c r="W2665">
        <v>0.14395289999999999</v>
      </c>
      <c r="X2665">
        <v>0.98241780000000001</v>
      </c>
      <c r="Y2665">
        <v>3.4074750000000001E-2</v>
      </c>
      <c r="Z2665">
        <v>6.400345E-4</v>
      </c>
      <c r="AA2665">
        <v>0.9994191</v>
      </c>
      <c r="AB2665">
        <v>32</v>
      </c>
      <c r="AC2665">
        <v>-50.494300000000003</v>
      </c>
      <c r="AD2665">
        <v>-1.1104834067889999</v>
      </c>
      <c r="AE2665">
        <v>1.3492000000000499</v>
      </c>
      <c r="AF2665">
        <v>1.72668917105208</v>
      </c>
      <c r="AG2665">
        <v>-1.1104834067889999</v>
      </c>
      <c r="AH2665">
        <v>50.458385405419499</v>
      </c>
      <c r="AI2665">
        <v>91.260019316594395</v>
      </c>
      <c r="AJ2665">
        <v>88.040099549991297</v>
      </c>
      <c r="AK2665">
        <v>50.500131550442902</v>
      </c>
      <c r="AL2665">
        <v>81.723351767186301</v>
      </c>
      <c r="AM2665">
        <v>96.899792109446807</v>
      </c>
      <c r="AN2665">
        <v>1.00000005054962</v>
      </c>
    </row>
    <row r="2666" spans="1:40" x14ac:dyDescent="0.25">
      <c r="A2666" t="str">
        <f>"20190304154811888"</f>
        <v>20190304154811888</v>
      </c>
      <c r="B2666" t="str">
        <f>"1551685691879725"</f>
        <v>1551685691879725</v>
      </c>
      <c r="C2666" t="s">
        <v>40</v>
      </c>
      <c r="D2666">
        <v>4.0843360000000004</v>
      </c>
      <c r="E2666">
        <v>0.56597519999999901</v>
      </c>
      <c r="F2666" t="s">
        <v>63</v>
      </c>
      <c r="G2666">
        <v>-510.07100000000003</v>
      </c>
      <c r="H2666">
        <v>6.7806709999999999</v>
      </c>
      <c r="I2666">
        <v>296.87939999999998</v>
      </c>
      <c r="J2666">
        <v>-299.31979999999999</v>
      </c>
      <c r="K2666">
        <v>1.1104700000000001</v>
      </c>
      <c r="L2666">
        <v>285.5197</v>
      </c>
      <c r="M2666">
        <v>-0.99991430000000003</v>
      </c>
      <c r="N2666">
        <v>-1.073094E-2</v>
      </c>
      <c r="O2666">
        <v>-7.5193400000000002E-3</v>
      </c>
      <c r="P2666">
        <v>-0.98304279999999999</v>
      </c>
      <c r="Q2666">
        <v>0.1333326</v>
      </c>
      <c r="R2666">
        <v>-0.12589600000000001</v>
      </c>
      <c r="S2666">
        <v>-3.0619200000000002</v>
      </c>
      <c r="T2666">
        <v>8.2313059999999993E-2</v>
      </c>
      <c r="U2666">
        <v>0.16488649999999999</v>
      </c>
      <c r="V2666">
        <v>-0.1185228</v>
      </c>
      <c r="W2666">
        <v>0.1438652</v>
      </c>
      <c r="X2666">
        <v>0.98247399999999996</v>
      </c>
      <c r="Y2666">
        <v>6.1261599999999999E-2</v>
      </c>
      <c r="Z2666">
        <v>-7.7629469999999999E-4</v>
      </c>
      <c r="AA2666">
        <v>0.99812140000000005</v>
      </c>
      <c r="AB2666">
        <v>32</v>
      </c>
      <c r="AC2666">
        <v>-210.75120000000001</v>
      </c>
      <c r="AD2666">
        <v>5.6702009999999996</v>
      </c>
      <c r="AE2666">
        <v>11.359699999999901</v>
      </c>
      <c r="AF2666">
        <v>12.934843816916599</v>
      </c>
      <c r="AG2666">
        <v>5.6702009999999996</v>
      </c>
      <c r="AH2666">
        <v>210.50788130666399</v>
      </c>
      <c r="AI2666">
        <v>88.459967786746105</v>
      </c>
      <c r="AJ2666">
        <v>86.483830683174105</v>
      </c>
      <c r="AK2666">
        <v>210.98111160994699</v>
      </c>
      <c r="AL2666">
        <v>81.728429083876094</v>
      </c>
      <c r="AM2666">
        <v>96.878754838377603</v>
      </c>
      <c r="AN2666">
        <v>1.0000000052834399</v>
      </c>
    </row>
    <row r="2667" spans="1:40" x14ac:dyDescent="0.25">
      <c r="A2667" t="str">
        <f>"20190304154811902"</f>
        <v>20190304154811902</v>
      </c>
      <c r="B2667" t="str">
        <f>"1551685691899244"</f>
        <v>1551685691899244</v>
      </c>
      <c r="C2667" t="s">
        <v>40</v>
      </c>
      <c r="D2667">
        <v>4.0811529999999996</v>
      </c>
      <c r="E2667">
        <v>0.56573619999999902</v>
      </c>
      <c r="F2667" t="s">
        <v>63</v>
      </c>
      <c r="G2667">
        <v>-510.9554</v>
      </c>
      <c r="H2667">
        <v>5.3946940000000003</v>
      </c>
      <c r="I2667">
        <v>296.3793</v>
      </c>
      <c r="J2667">
        <v>-299.49639999999999</v>
      </c>
      <c r="K2667">
        <v>1.110457</v>
      </c>
      <c r="L2667">
        <v>285.51830000000001</v>
      </c>
      <c r="M2667">
        <v>-0.99991410000000003</v>
      </c>
      <c r="N2667">
        <v>-1.0733299999999999E-2</v>
      </c>
      <c r="O2667">
        <v>-7.5369319999999997E-3</v>
      </c>
      <c r="P2667">
        <v>-0.98301950000000005</v>
      </c>
      <c r="Q2667">
        <v>0.13366979999999901</v>
      </c>
      <c r="R2667">
        <v>-0.12571959999999999</v>
      </c>
      <c r="S2667">
        <v>-3.0634769999999998</v>
      </c>
      <c r="T2667">
        <v>6.2016370000000001E-2</v>
      </c>
      <c r="U2667">
        <v>0.157196</v>
      </c>
      <c r="V2667">
        <v>-0.11832429999999999</v>
      </c>
      <c r="W2667">
        <v>0.1442087</v>
      </c>
      <c r="X2667">
        <v>0.98244759999999998</v>
      </c>
      <c r="Y2667">
        <v>5.8762309999999998E-2</v>
      </c>
      <c r="Z2667">
        <v>-5.1204169999999999E-4</v>
      </c>
      <c r="AA2667">
        <v>0.99827189999999999</v>
      </c>
      <c r="AB2667">
        <v>32</v>
      </c>
      <c r="AC2667">
        <v>-211.459</v>
      </c>
      <c r="AD2667">
        <v>4.2842370000000001</v>
      </c>
      <c r="AE2667">
        <v>10.860999999999899</v>
      </c>
      <c r="AF2667">
        <v>12.4494383904832</v>
      </c>
      <c r="AG2667">
        <v>4.2842370000000001</v>
      </c>
      <c r="AH2667">
        <v>211.28462945391601</v>
      </c>
      <c r="AI2667">
        <v>88.8403783657958</v>
      </c>
      <c r="AJ2667">
        <v>86.627882972300696</v>
      </c>
      <c r="AK2667">
        <v>211.69444453359901</v>
      </c>
      <c r="AL2667">
        <v>81.708540865239002</v>
      </c>
      <c r="AM2667">
        <v>96.867527297963306</v>
      </c>
      <c r="AN2667">
        <v>1.0000000379359599</v>
      </c>
    </row>
    <row r="2668" spans="1:40" x14ac:dyDescent="0.25">
      <c r="A2668" t="str">
        <f>"20190304154811913"</f>
        <v>20190304154811913</v>
      </c>
      <c r="B2668" t="str">
        <f>"1551685691909004"</f>
        <v>1551685691909004</v>
      </c>
      <c r="C2668" t="s">
        <v>40</v>
      </c>
      <c r="D2668">
        <v>4.1090059999999999</v>
      </c>
      <c r="E2668">
        <v>0.56575719999999996</v>
      </c>
      <c r="F2668" t="s">
        <v>63</v>
      </c>
      <c r="G2668">
        <v>-510.95530000000002</v>
      </c>
      <c r="H2668">
        <v>5.090935</v>
      </c>
      <c r="I2668">
        <v>296.28500000000003</v>
      </c>
      <c r="J2668">
        <v>-299.66370000000001</v>
      </c>
      <c r="K2668">
        <v>1.1104540000000001</v>
      </c>
      <c r="L2668">
        <v>285.51710000000003</v>
      </c>
      <c r="M2668">
        <v>-0.99991390000000002</v>
      </c>
      <c r="N2668">
        <v>-1.073559E-2</v>
      </c>
      <c r="O2668">
        <v>-7.550378E-3</v>
      </c>
      <c r="P2668">
        <v>-0.98297760000000001</v>
      </c>
      <c r="Q2668">
        <v>0.134050799999999</v>
      </c>
      <c r="R2668">
        <v>-0.12564120000000001</v>
      </c>
      <c r="S2668">
        <v>-3.063965</v>
      </c>
      <c r="T2668">
        <v>5.7676909999999998E-2</v>
      </c>
      <c r="U2668">
        <v>0.1560059</v>
      </c>
      <c r="V2668">
        <v>-0.118229</v>
      </c>
      <c r="W2668">
        <v>0.14459459999999999</v>
      </c>
      <c r="X2668">
        <v>0.98240229999999995</v>
      </c>
      <c r="Y2668">
        <v>5.838235E-2</v>
      </c>
      <c r="Z2668">
        <v>-4.58515E-4</v>
      </c>
      <c r="AA2668">
        <v>0.99829420000000002</v>
      </c>
      <c r="AB2668">
        <v>32</v>
      </c>
      <c r="AC2668">
        <v>-211.29159999999999</v>
      </c>
      <c r="AD2668">
        <v>3.9804809999999899</v>
      </c>
      <c r="AE2668">
        <v>10.7678999999999</v>
      </c>
      <c r="AF2668">
        <v>12.3586416390973</v>
      </c>
      <c r="AG2668">
        <v>3.9804809999999899</v>
      </c>
      <c r="AH2668">
        <v>211.1295342617</v>
      </c>
      <c r="AI2668">
        <v>88.921760705863207</v>
      </c>
      <c r="AJ2668">
        <v>86.649966973718605</v>
      </c>
      <c r="AK2668">
        <v>211.52839168706799</v>
      </c>
      <c r="AL2668">
        <v>81.6861958069194</v>
      </c>
      <c r="AM2668">
        <v>96.862362261332706</v>
      </c>
      <c r="AN2668">
        <v>0.99999998691772396</v>
      </c>
    </row>
    <row r="2669" spans="1:40" x14ac:dyDescent="0.25">
      <c r="A2669" t="str">
        <f>"20190304154811930"</f>
        <v>20190304154811930</v>
      </c>
      <c r="B2669" t="str">
        <f>"1551685691919741"</f>
        <v>1551685691919741</v>
      </c>
      <c r="C2669" t="s">
        <v>40</v>
      </c>
      <c r="D2669">
        <v>4.0966370000000003</v>
      </c>
      <c r="E2669">
        <v>0.56607249999999998</v>
      </c>
      <c r="F2669" t="s">
        <v>63</v>
      </c>
      <c r="G2669">
        <v>-510.95519999999999</v>
      </c>
      <c r="H2669">
        <v>4.9121920000000001</v>
      </c>
      <c r="I2669">
        <v>296.30739999999997</v>
      </c>
      <c r="J2669">
        <v>-299.90710000000001</v>
      </c>
      <c r="K2669">
        <v>1.110441</v>
      </c>
      <c r="L2669">
        <v>285.51519999999999</v>
      </c>
      <c r="M2669">
        <v>-0.99991379999999996</v>
      </c>
      <c r="N2669">
        <v>-1.073913E-2</v>
      </c>
      <c r="O2669">
        <v>-7.5607209999999899E-3</v>
      </c>
      <c r="P2669">
        <v>-0.98300410000000005</v>
      </c>
      <c r="Q2669">
        <v>0.13450609999999999</v>
      </c>
      <c r="R2669">
        <v>-0.124945</v>
      </c>
      <c r="S2669">
        <v>-3.0643919999999998</v>
      </c>
      <c r="T2669">
        <v>5.5138350000000003E-2</v>
      </c>
      <c r="U2669">
        <v>0.1564941</v>
      </c>
      <c r="V2669">
        <v>-0.11751830000000001</v>
      </c>
      <c r="W2669">
        <v>0.14505750000000001</v>
      </c>
      <c r="X2669">
        <v>0.98241940000000005</v>
      </c>
      <c r="Y2669">
        <v>5.8545060000000003E-2</v>
      </c>
      <c r="Z2669">
        <v>-4.2881590000000002E-4</v>
      </c>
      <c r="AA2669">
        <v>0.99828470000000002</v>
      </c>
      <c r="AB2669">
        <v>32</v>
      </c>
      <c r="AC2669">
        <v>-211.04810000000001</v>
      </c>
      <c r="AD2669">
        <v>3.8017509999999999</v>
      </c>
      <c r="AE2669">
        <v>10.7921999999999</v>
      </c>
      <c r="AF2669">
        <v>12.3836513180271</v>
      </c>
      <c r="AG2669">
        <v>3.8017509999999999</v>
      </c>
      <c r="AH2669">
        <v>210.89221104717899</v>
      </c>
      <c r="AI2669">
        <v>88.969017168138393</v>
      </c>
      <c r="AJ2669">
        <v>86.639434285790699</v>
      </c>
      <c r="AK2669">
        <v>211.28968931540501</v>
      </c>
      <c r="AL2669">
        <v>81.659391548087001</v>
      </c>
      <c r="AM2669">
        <v>96.821383376172093</v>
      </c>
      <c r="AN2669">
        <v>1.0000000533187401</v>
      </c>
    </row>
    <row r="2670" spans="1:40" x14ac:dyDescent="0.25">
      <c r="A2670" t="str">
        <f>"20190304154811946"</f>
        <v>20190304154811946</v>
      </c>
      <c r="B2670" t="str">
        <f>"1551685691939261"</f>
        <v>1551685691939261</v>
      </c>
      <c r="C2670" t="s">
        <v>40</v>
      </c>
      <c r="D2670">
        <v>4.0341259999999997</v>
      </c>
      <c r="E2670">
        <v>0.56496150000000001</v>
      </c>
      <c r="F2670" t="s">
        <v>63</v>
      </c>
      <c r="G2670">
        <v>-510.95530000000002</v>
      </c>
      <c r="H2670">
        <v>4.9254300000000004</v>
      </c>
      <c r="I2670">
        <v>296.59859999999998</v>
      </c>
      <c r="J2670">
        <v>-300.11950000000002</v>
      </c>
      <c r="K2670">
        <v>1.110444</v>
      </c>
      <c r="L2670">
        <v>285.5136</v>
      </c>
      <c r="M2670">
        <v>-0.99991379999999996</v>
      </c>
      <c r="N2670">
        <v>-1.0742359999999999E-2</v>
      </c>
      <c r="O2670">
        <v>-7.5639740000000002E-3</v>
      </c>
      <c r="P2670">
        <v>-0.98306780000000005</v>
      </c>
      <c r="Q2670">
        <v>0.13419039999999999</v>
      </c>
      <c r="R2670">
        <v>-0.124784199999999</v>
      </c>
      <c r="S2670">
        <v>-3.0647579999999999</v>
      </c>
      <c r="T2670">
        <v>5.5400970000000001E-2</v>
      </c>
      <c r="U2670">
        <v>0.1609497</v>
      </c>
      <c r="V2670">
        <v>-0.11735080000000001</v>
      </c>
      <c r="W2670">
        <v>0.1447475</v>
      </c>
      <c r="X2670">
        <v>0.9824851</v>
      </c>
      <c r="Y2670">
        <v>5.9989420000000002E-2</v>
      </c>
      <c r="Z2670">
        <v>-4.3715460000000002E-4</v>
      </c>
      <c r="AA2670">
        <v>0.9981989</v>
      </c>
      <c r="AB2670">
        <v>32</v>
      </c>
      <c r="AC2670">
        <v>-210.83580000000001</v>
      </c>
      <c r="AD2670">
        <v>3.8149860000000002</v>
      </c>
      <c r="AE2670">
        <v>11.0849999999999</v>
      </c>
      <c r="AF2670">
        <v>12.675392550552299</v>
      </c>
      <c r="AG2670">
        <v>3.8149860000000002</v>
      </c>
      <c r="AH2670">
        <v>210.67712790908399</v>
      </c>
      <c r="AI2670">
        <v>88.964461419918393</v>
      </c>
      <c r="AJ2670">
        <v>86.556948984989305</v>
      </c>
      <c r="AK2670">
        <v>211.09256717968901</v>
      </c>
      <c r="AL2670">
        <v>81.6773423363787</v>
      </c>
      <c r="AM2670">
        <v>96.811300979837398</v>
      </c>
      <c r="AN2670">
        <v>1.00000001036945</v>
      </c>
    </row>
    <row r="2671" spans="1:40" x14ac:dyDescent="0.25">
      <c r="A2671" t="str">
        <f>"20190304154811964"</f>
        <v>20190304154811964</v>
      </c>
      <c r="B2671" t="str">
        <f>"1551685691959757"</f>
        <v>1551685691959757</v>
      </c>
      <c r="C2671" t="s">
        <v>40</v>
      </c>
      <c r="D2671">
        <v>4.0390879999999996</v>
      </c>
      <c r="E2671">
        <v>0.56439689999999998</v>
      </c>
      <c r="F2671" t="s">
        <v>63</v>
      </c>
      <c r="G2671">
        <v>-510.95479999999998</v>
      </c>
      <c r="H2671">
        <v>3.552594</v>
      </c>
      <c r="I2671">
        <v>296.0641</v>
      </c>
      <c r="J2671">
        <v>-300.39</v>
      </c>
      <c r="K2671">
        <v>1.1104339999999999</v>
      </c>
      <c r="L2671">
        <v>285.51150000000001</v>
      </c>
      <c r="M2671">
        <v>-0.99991379999999996</v>
      </c>
      <c r="N2671">
        <v>-1.074663E-2</v>
      </c>
      <c r="O2671">
        <v>-7.564734E-3</v>
      </c>
      <c r="P2671">
        <v>-0.98310980000000003</v>
      </c>
      <c r="Q2671">
        <v>0.1345344</v>
      </c>
      <c r="R2671">
        <v>-0.124082</v>
      </c>
      <c r="S2671">
        <v>-3.0663149999999999</v>
      </c>
      <c r="T2671">
        <v>3.5519000000000002E-2</v>
      </c>
      <c r="U2671">
        <v>0.15344240000000001</v>
      </c>
      <c r="V2671">
        <v>-0.11664480000000001</v>
      </c>
      <c r="W2671">
        <v>0.14509849999999999</v>
      </c>
      <c r="X2671">
        <v>0.98251739999999999</v>
      </c>
      <c r="Y2671">
        <v>5.7530909999999998E-2</v>
      </c>
      <c r="Z2671">
        <v>-1.9246500000000001E-4</v>
      </c>
      <c r="AA2671">
        <v>0.99834369999999995</v>
      </c>
      <c r="AB2671">
        <v>32</v>
      </c>
      <c r="AC2671">
        <v>-210.56479999999999</v>
      </c>
      <c r="AD2671">
        <v>2.4421599999999999</v>
      </c>
      <c r="AE2671">
        <v>10.552599999999901</v>
      </c>
      <c r="AF2671">
        <v>12.143627026410799</v>
      </c>
      <c r="AG2671">
        <v>2.4421599999999999</v>
      </c>
      <c r="AH2671">
        <v>210.45070396149001</v>
      </c>
      <c r="AI2671">
        <v>89.336249111296198</v>
      </c>
      <c r="AJ2671">
        <v>86.697526432504105</v>
      </c>
      <c r="AK2671">
        <v>210.81492029908401</v>
      </c>
      <c r="AL2671">
        <v>81.657016960844302</v>
      </c>
      <c r="AM2671">
        <v>96.770484210761296</v>
      </c>
      <c r="AN2671">
        <v>1.00000001268602</v>
      </c>
    </row>
    <row r="2672" spans="1:40" x14ac:dyDescent="0.25">
      <c r="A2672" t="str">
        <f>"20190304154811987"</f>
        <v>20190304154811987</v>
      </c>
      <c r="B2672" t="str">
        <f>"1551685691979277"</f>
        <v>1551685691979277</v>
      </c>
      <c r="C2672" t="s">
        <v>40</v>
      </c>
      <c r="D2672">
        <v>4.0532779999999997</v>
      </c>
      <c r="E2672">
        <v>0.56407339999999995</v>
      </c>
      <c r="F2672" t="s">
        <v>63</v>
      </c>
      <c r="G2672">
        <v>-510.95460000000003</v>
      </c>
      <c r="H2672">
        <v>2.8763200000000002</v>
      </c>
      <c r="I2672">
        <v>295.89280000000002</v>
      </c>
      <c r="J2672">
        <v>-300.71050000000002</v>
      </c>
      <c r="K2672">
        <v>1.11043</v>
      </c>
      <c r="L2672">
        <v>285.50920000000002</v>
      </c>
      <c r="M2672">
        <v>-0.99991370000000002</v>
      </c>
      <c r="N2672">
        <v>-1.075189E-2</v>
      </c>
      <c r="O2672">
        <v>-7.562895E-3</v>
      </c>
      <c r="P2672">
        <v>-0.98316630000000005</v>
      </c>
      <c r="Q2672">
        <v>0.13496269999999999</v>
      </c>
      <c r="R2672">
        <v>-0.12316439999999999</v>
      </c>
      <c r="S2672">
        <v>-3.0671080000000002</v>
      </c>
      <c r="T2672">
        <v>2.5723340000000001E-2</v>
      </c>
      <c r="U2672">
        <v>0.1512146</v>
      </c>
      <c r="V2672">
        <v>-0.1157265</v>
      </c>
      <c r="W2672">
        <v>0.14553389999999999</v>
      </c>
      <c r="X2672">
        <v>0.98256160000000003</v>
      </c>
      <c r="Y2672">
        <v>5.679414E-2</v>
      </c>
      <c r="Z2672" s="1">
        <v>-7.7151719999999895E-5</v>
      </c>
      <c r="AA2672">
        <v>0.99838590000000005</v>
      </c>
      <c r="AB2672">
        <v>32</v>
      </c>
      <c r="AC2672">
        <v>-210.2441</v>
      </c>
      <c r="AD2672">
        <v>1.76589</v>
      </c>
      <c r="AE2672">
        <v>10.383599999999999</v>
      </c>
      <c r="AF2672">
        <v>11.9726062286211</v>
      </c>
      <c r="AG2672">
        <v>1.76589</v>
      </c>
      <c r="AH2672">
        <v>210.144762859293</v>
      </c>
      <c r="AI2672">
        <v>89.519322477174796</v>
      </c>
      <c r="AJ2672">
        <v>86.739204805853106</v>
      </c>
      <c r="AK2672">
        <v>210.49295243448401</v>
      </c>
      <c r="AL2672">
        <v>81.631802783743098</v>
      </c>
      <c r="AM2672">
        <v>96.7173723783188</v>
      </c>
      <c r="AN2672">
        <v>1.000000018323</v>
      </c>
    </row>
    <row r="2673" spans="1:40" x14ac:dyDescent="0.25">
      <c r="A2673" t="str">
        <f>"20190304154811999"</f>
        <v>20190304154811999</v>
      </c>
      <c r="B2673" t="str">
        <f>"1551685691989036"</f>
        <v>1551685691989036</v>
      </c>
      <c r="C2673" t="s">
        <v>40</v>
      </c>
      <c r="D2673">
        <v>4.0317030000000003</v>
      </c>
      <c r="E2673">
        <v>0.56364269999999905</v>
      </c>
      <c r="F2673" t="s">
        <v>63</v>
      </c>
      <c r="G2673">
        <v>-510.95440000000002</v>
      </c>
      <c r="H2673">
        <v>2.355677</v>
      </c>
      <c r="I2673">
        <v>295.91160000000002</v>
      </c>
      <c r="J2673">
        <v>-300.88369999999998</v>
      </c>
      <c r="K2673">
        <v>1.11042</v>
      </c>
      <c r="L2673">
        <v>285.50779999999997</v>
      </c>
      <c r="M2673">
        <v>-0.99991359999999996</v>
      </c>
      <c r="N2673">
        <v>-1.075484E-2</v>
      </c>
      <c r="O2673">
        <v>-7.5616859999999998E-3</v>
      </c>
      <c r="P2673">
        <v>-0.98314469999999998</v>
      </c>
      <c r="Q2673">
        <v>0.1352344</v>
      </c>
      <c r="R2673">
        <v>-0.1230382</v>
      </c>
      <c r="S2673">
        <v>-3.0679020000000001</v>
      </c>
      <c r="T2673">
        <v>1.8172029999999999E-2</v>
      </c>
      <c r="U2673">
        <v>0.1517944</v>
      </c>
      <c r="V2673">
        <v>-0.11560090000000001</v>
      </c>
      <c r="W2673">
        <v>0.14580899999999999</v>
      </c>
      <c r="X2673">
        <v>0.98253559999999995</v>
      </c>
      <c r="Y2673">
        <v>5.696905E-2</v>
      </c>
      <c r="Z2673" s="1">
        <v>1.1887259999999999E-5</v>
      </c>
      <c r="AA2673">
        <v>0.99837600000000004</v>
      </c>
      <c r="AB2673">
        <v>32</v>
      </c>
      <c r="AC2673">
        <v>-210.07069999999999</v>
      </c>
      <c r="AD2673">
        <v>1.2452570000000001</v>
      </c>
      <c r="AE2673">
        <v>10.4038</v>
      </c>
      <c r="AF2673">
        <v>11.991662684169301</v>
      </c>
      <c r="AG2673">
        <v>1.2452570000000001</v>
      </c>
      <c r="AH2673">
        <v>209.978658229985</v>
      </c>
      <c r="AI2673">
        <v>89.660769935958996</v>
      </c>
      <c r="AJ2673">
        <v>86.731447952451902</v>
      </c>
      <c r="AK2673">
        <v>210.324481577851</v>
      </c>
      <c r="AL2673">
        <v>81.615870773582301</v>
      </c>
      <c r="AM2673">
        <v>96.710324357783506</v>
      </c>
      <c r="AN2673">
        <v>1.0000000189145799</v>
      </c>
    </row>
    <row r="2674" spans="1:40" x14ac:dyDescent="0.25">
      <c r="A2674" t="str">
        <f>"20190304154812010"</f>
        <v>20190304154812010</v>
      </c>
      <c r="B2674" t="str">
        <f>"1551685691999775"</f>
        <v>1551685691999775</v>
      </c>
      <c r="C2674" t="s">
        <v>40</v>
      </c>
      <c r="D2674">
        <v>4.1132369999999998</v>
      </c>
      <c r="E2674">
        <v>0.56364269999999905</v>
      </c>
      <c r="F2674" t="s">
        <v>63</v>
      </c>
      <c r="G2674">
        <v>-510.95429999999999</v>
      </c>
      <c r="H2674">
        <v>2.0770249999999999</v>
      </c>
      <c r="I2674">
        <v>295.69209999999998</v>
      </c>
      <c r="J2674">
        <v>-301.05360000000002</v>
      </c>
      <c r="K2674">
        <v>1.1104069999999999</v>
      </c>
      <c r="L2674">
        <v>285.50659999999999</v>
      </c>
      <c r="M2674">
        <v>-0.99991359999999996</v>
      </c>
      <c r="N2674">
        <v>-1.075778E-2</v>
      </c>
      <c r="O2674">
        <v>-7.5608369999999999E-3</v>
      </c>
      <c r="P2674">
        <v>-0.98306280000000001</v>
      </c>
      <c r="Q2674">
        <v>0.13588159999999999</v>
      </c>
      <c r="R2674">
        <v>-0.12297909999999999</v>
      </c>
      <c r="S2674">
        <v>-3.0681150000000001</v>
      </c>
      <c r="T2674">
        <v>1.411867E-2</v>
      </c>
      <c r="U2674">
        <v>0.14874270000000001</v>
      </c>
      <c r="V2674">
        <v>-0.1155428</v>
      </c>
      <c r="W2674">
        <v>0.14645910000000001</v>
      </c>
      <c r="X2674">
        <v>0.98244569999999998</v>
      </c>
      <c r="Y2674">
        <v>5.597419E-2</v>
      </c>
      <c r="Z2674" s="1">
        <v>5.6487650000000001E-5</v>
      </c>
      <c r="AA2674">
        <v>0.99843219999999999</v>
      </c>
      <c r="AB2674">
        <v>32</v>
      </c>
      <c r="AC2674">
        <v>-209.9007</v>
      </c>
      <c r="AD2674">
        <v>0.96661799999999998</v>
      </c>
      <c r="AE2674">
        <v>10.1854999999999</v>
      </c>
      <c r="AF2674">
        <v>11.772076500931799</v>
      </c>
      <c r="AG2674">
        <v>0.96661799999999998</v>
      </c>
      <c r="AH2674">
        <v>209.81324515907801</v>
      </c>
      <c r="AI2674">
        <v>89.736452420442205</v>
      </c>
      <c r="AJ2674">
        <v>86.788649550518997</v>
      </c>
      <c r="AK2674">
        <v>210.145459098419</v>
      </c>
      <c r="AL2674">
        <v>81.578218253552606</v>
      </c>
      <c r="AM2674">
        <v>96.707590679103404</v>
      </c>
      <c r="AN2674">
        <v>0.99999998002656898</v>
      </c>
    </row>
    <row r="2675" spans="1:40" x14ac:dyDescent="0.25">
      <c r="A2675" t="str">
        <f>"20190304154812023"</f>
        <v>20190304154812023</v>
      </c>
      <c r="B2675" t="str">
        <f>"1551685692019294"</f>
        <v>1551685692019294</v>
      </c>
      <c r="C2675" t="s">
        <v>40</v>
      </c>
      <c r="D2675">
        <v>4.025271</v>
      </c>
      <c r="E2675">
        <v>0.53892890000000004</v>
      </c>
      <c r="F2675" t="s">
        <v>63</v>
      </c>
      <c r="G2675">
        <v>-510.95429999999999</v>
      </c>
      <c r="H2675">
        <v>2.215579</v>
      </c>
      <c r="I2675">
        <v>295.69940000000003</v>
      </c>
      <c r="J2675">
        <v>-301.2251</v>
      </c>
      <c r="K2675">
        <v>1.110403</v>
      </c>
      <c r="L2675">
        <v>285.5052</v>
      </c>
      <c r="M2675">
        <v>-0.99991359999999996</v>
      </c>
      <c r="N2675">
        <v>-1.0760810000000001E-2</v>
      </c>
      <c r="O2675">
        <v>-7.5602330000000004E-3</v>
      </c>
      <c r="P2675">
        <v>-0.98307339999999999</v>
      </c>
      <c r="Q2675">
        <v>0.13606199999999999</v>
      </c>
      <c r="R2675">
        <v>-0.1226954</v>
      </c>
      <c r="S2675">
        <v>-3.068085</v>
      </c>
      <c r="T2675">
        <v>1.6155360000000001E-2</v>
      </c>
      <c r="U2675">
        <v>0.1489868</v>
      </c>
      <c r="V2675">
        <v>-0.1152586</v>
      </c>
      <c r="W2675">
        <v>0.146643</v>
      </c>
      <c r="X2675">
        <v>0.98245170000000004</v>
      </c>
      <c r="Y2675">
        <v>5.6053289999999999E-2</v>
      </c>
      <c r="Z2675" s="1">
        <v>3.3192889999999998E-5</v>
      </c>
      <c r="AA2675">
        <v>0.99842770000000003</v>
      </c>
      <c r="AB2675">
        <v>32</v>
      </c>
      <c r="AC2675">
        <v>-209.72919999999999</v>
      </c>
      <c r="AD2675">
        <v>1.1051759999999999</v>
      </c>
      <c r="AE2675">
        <v>10.1942</v>
      </c>
      <c r="AF2675">
        <v>11.779275612933199</v>
      </c>
      <c r="AG2675">
        <v>1.1051759999999999</v>
      </c>
      <c r="AH2675">
        <v>209.64032290052799</v>
      </c>
      <c r="AI2675">
        <v>89.698428169050104</v>
      </c>
      <c r="AJ2675">
        <v>86.784044846377199</v>
      </c>
      <c r="AK2675">
        <v>209.973897743967</v>
      </c>
      <c r="AL2675">
        <v>81.567566966614194</v>
      </c>
      <c r="AM2675">
        <v>96.691201345236607</v>
      </c>
      <c r="AN2675">
        <v>1.00000002857792</v>
      </c>
    </row>
    <row r="2676" spans="1:40" x14ac:dyDescent="0.25">
      <c r="A2676" t="str">
        <f>"20190304154812036"</f>
        <v>20190304154812036</v>
      </c>
      <c r="B2676" t="str">
        <f>"1551685692029053"</f>
        <v>1551685692029053</v>
      </c>
      <c r="C2676" t="s">
        <v>40</v>
      </c>
      <c r="D2676">
        <v>4.0357810000000001</v>
      </c>
      <c r="E2676">
        <v>0.54076369999999996</v>
      </c>
      <c r="F2676" t="s">
        <v>42</v>
      </c>
      <c r="G2676">
        <v>0</v>
      </c>
      <c r="H2676">
        <v>0</v>
      </c>
      <c r="I2676">
        <v>0</v>
      </c>
      <c r="J2676">
        <v>-301.41329999999999</v>
      </c>
      <c r="K2676">
        <v>1.1103989999999999</v>
      </c>
      <c r="L2676">
        <v>285.50380000000001</v>
      </c>
      <c r="M2676">
        <v>-0.99991350000000001</v>
      </c>
      <c r="N2676">
        <v>-1.076417E-2</v>
      </c>
      <c r="O2676">
        <v>-7.5599869999999998E-3</v>
      </c>
      <c r="P2676">
        <v>-0.98307730000000004</v>
      </c>
      <c r="Q2676">
        <v>0.13599439999999999</v>
      </c>
      <c r="R2676">
        <v>-0.12273770000000001</v>
      </c>
      <c r="S2676">
        <v>-3.0479129999999999</v>
      </c>
      <c r="T2676">
        <v>-1.352775E-2</v>
      </c>
      <c r="U2676">
        <v>-4.4921879999999997E-2</v>
      </c>
      <c r="V2676">
        <v>-0.1153004</v>
      </c>
      <c r="W2676">
        <v>0.1465793</v>
      </c>
      <c r="X2676">
        <v>0.98245629999999995</v>
      </c>
      <c r="Y2676">
        <v>-7.1768539999999999E-3</v>
      </c>
      <c r="Z2676">
        <v>-1.023821E-4</v>
      </c>
      <c r="AA2676">
        <v>0.99997429999999998</v>
      </c>
      <c r="AB2676">
        <v>32</v>
      </c>
      <c r="AC2676">
        <v>-3.0479129999999999</v>
      </c>
      <c r="AD2676">
        <v>-1.352775E-2</v>
      </c>
      <c r="AE2676">
        <v>-4.4921879999999997E-2</v>
      </c>
      <c r="AF2676">
        <v>-2.1876647891354802E-2</v>
      </c>
      <c r="AG2676">
        <v>-1.352775E-2</v>
      </c>
      <c r="AH2676">
        <v>3.0481054860225498</v>
      </c>
      <c r="AI2676">
        <v>90.254275298060406</v>
      </c>
      <c r="AJ2676">
        <v>90.411212170453695</v>
      </c>
      <c r="AK2676">
        <v>3.0482140085078999</v>
      </c>
      <c r="AL2676">
        <v>81.571256567005506</v>
      </c>
      <c r="AM2676">
        <v>96.693574923179696</v>
      </c>
      <c r="AN2676">
        <v>1.0000000274191601</v>
      </c>
    </row>
    <row r="2677" spans="1:40" x14ac:dyDescent="0.25">
      <c r="A2677" t="str">
        <f>"20190304154812053"</f>
        <v>20190304154812053</v>
      </c>
      <c r="B2677" t="str">
        <f>"1551685692049548"</f>
        <v>1551685692049548</v>
      </c>
      <c r="C2677" t="s">
        <v>40</v>
      </c>
      <c r="D2677">
        <v>4.0287750000000004</v>
      </c>
      <c r="E2677">
        <v>0.54280569999999995</v>
      </c>
      <c r="F2677" t="s">
        <v>42</v>
      </c>
      <c r="G2677">
        <v>0</v>
      </c>
      <c r="H2677">
        <v>0</v>
      </c>
      <c r="I2677">
        <v>0</v>
      </c>
      <c r="J2677">
        <v>-301.65550000000002</v>
      </c>
      <c r="K2677">
        <v>1.1103829999999999</v>
      </c>
      <c r="L2677">
        <v>285.50200000000001</v>
      </c>
      <c r="M2677">
        <v>-0.99991359999999996</v>
      </c>
      <c r="N2677">
        <v>-1.076856E-2</v>
      </c>
      <c r="O2677">
        <v>-7.5604590000000003E-3</v>
      </c>
      <c r="P2677">
        <v>-0.98318749999999999</v>
      </c>
      <c r="Q2677">
        <v>0.13575309999999999</v>
      </c>
      <c r="R2677">
        <v>-0.12212249999999999</v>
      </c>
      <c r="S2677">
        <v>-3.0459900000000002</v>
      </c>
      <c r="T2677">
        <v>1.273549E-2</v>
      </c>
      <c r="U2677">
        <v>-3.1219480000000001E-2</v>
      </c>
      <c r="V2677">
        <v>-0.1146832</v>
      </c>
      <c r="W2677">
        <v>0.146343899999999</v>
      </c>
      <c r="X2677">
        <v>0.98256359999999998</v>
      </c>
      <c r="Y2677">
        <v>-2.6889219999999998E-3</v>
      </c>
      <c r="Z2677">
        <v>-1.218823E-4</v>
      </c>
      <c r="AA2677">
        <v>0.99999640000000001</v>
      </c>
      <c r="AB2677">
        <v>32</v>
      </c>
      <c r="AC2677">
        <v>-3.0459900000000002</v>
      </c>
      <c r="AD2677">
        <v>1.273549E-2</v>
      </c>
      <c r="AE2677">
        <v>-3.1219480000000001E-2</v>
      </c>
      <c r="AF2677">
        <v>-8.1880304260301996E-3</v>
      </c>
      <c r="AG2677">
        <v>1.273549E-2</v>
      </c>
      <c r="AH2677">
        <v>3.0460857366927501</v>
      </c>
      <c r="AI2677">
        <v>89.760452264884094</v>
      </c>
      <c r="AJ2677">
        <v>90.154013542806595</v>
      </c>
      <c r="AK2677">
        <v>3.0461233645128099</v>
      </c>
      <c r="AL2677">
        <v>81.584890796105199</v>
      </c>
      <c r="AM2677">
        <v>96.657346376630201</v>
      </c>
      <c r="AN2677">
        <v>1.0000000007372001</v>
      </c>
    </row>
    <row r="2678" spans="1:40" x14ac:dyDescent="0.25">
      <c r="A2678" t="str">
        <f>"20190304154812064"</f>
        <v>20190304154812064</v>
      </c>
      <c r="B2678" t="str">
        <f>"1551685692059309"</f>
        <v>1551685692059309</v>
      </c>
      <c r="C2678" t="s">
        <v>40</v>
      </c>
      <c r="D2678">
        <v>4.0120709999999997</v>
      </c>
      <c r="E2678">
        <v>0.54341980000000001</v>
      </c>
      <c r="F2678" t="s">
        <v>42</v>
      </c>
      <c r="G2678">
        <v>0</v>
      </c>
      <c r="H2678">
        <v>0</v>
      </c>
      <c r="I2678">
        <v>0</v>
      </c>
      <c r="J2678">
        <v>-301.81790000000001</v>
      </c>
      <c r="K2678">
        <v>1.110387</v>
      </c>
      <c r="L2678">
        <v>285.50069999999999</v>
      </c>
      <c r="M2678">
        <v>-0.99991350000000001</v>
      </c>
      <c r="N2678">
        <v>-1.077153E-2</v>
      </c>
      <c r="O2678">
        <v>-7.5609359999999999E-3</v>
      </c>
      <c r="P2678">
        <v>-0.98318099999999997</v>
      </c>
      <c r="Q2678">
        <v>0.13579440000000001</v>
      </c>
      <c r="R2678">
        <v>-0.12212820000000001</v>
      </c>
      <c r="S2678">
        <v>-3.0440670000000001</v>
      </c>
      <c r="T2678">
        <v>3.9150600000000001E-2</v>
      </c>
      <c r="U2678">
        <v>-1.434326E-2</v>
      </c>
      <c r="V2678">
        <v>-0.1146881</v>
      </c>
      <c r="W2678">
        <v>0.14638880000000001</v>
      </c>
      <c r="X2678">
        <v>0.98255630000000005</v>
      </c>
      <c r="Y2678">
        <v>2.8474529999999998E-3</v>
      </c>
      <c r="Z2678">
        <v>-1.816508E-4</v>
      </c>
      <c r="AA2678">
        <v>0.99999590000000005</v>
      </c>
      <c r="AB2678">
        <v>32</v>
      </c>
      <c r="AC2678">
        <v>-3.0440670000000001</v>
      </c>
      <c r="AD2678">
        <v>3.9150600000000001E-2</v>
      </c>
      <c r="AE2678">
        <v>-1.434326E-2</v>
      </c>
      <c r="AF2678">
        <v>8.6730442345584104E-3</v>
      </c>
      <c r="AG2678">
        <v>3.9150600000000001E-2</v>
      </c>
      <c r="AH2678">
        <v>3.0435849962458201</v>
      </c>
      <c r="AI2678">
        <v>89.263029837261598</v>
      </c>
      <c r="AJ2678">
        <v>89.836729552248698</v>
      </c>
      <c r="AK2678">
        <v>3.0438491454980698</v>
      </c>
      <c r="AL2678">
        <v>81.582289878813199</v>
      </c>
      <c r="AM2678">
        <v>96.657677287138995</v>
      </c>
      <c r="AN2678">
        <v>0.99999996185836904</v>
      </c>
    </row>
    <row r="2679" spans="1:40" x14ac:dyDescent="0.25">
      <c r="A2679" t="str">
        <f>"20190304154812077"</f>
        <v>20190304154812077</v>
      </c>
      <c r="B2679" t="str">
        <f>"1551685692069070"</f>
        <v>1551685692069070</v>
      </c>
      <c r="C2679" t="s">
        <v>40</v>
      </c>
      <c r="D2679">
        <v>4.0642829999999996</v>
      </c>
      <c r="E2679">
        <v>0.54267919999999903</v>
      </c>
      <c r="F2679" t="s">
        <v>42</v>
      </c>
      <c r="G2679">
        <v>0</v>
      </c>
      <c r="H2679">
        <v>0</v>
      </c>
      <c r="I2679">
        <v>0</v>
      </c>
      <c r="J2679">
        <v>-301.99189999999999</v>
      </c>
      <c r="K2679">
        <v>1.110379</v>
      </c>
      <c r="L2679">
        <v>285.49950000000001</v>
      </c>
      <c r="M2679">
        <v>-0.99991339999999995</v>
      </c>
      <c r="N2679">
        <v>-1.077473E-2</v>
      </c>
      <c r="O2679">
        <v>-7.561295E-3</v>
      </c>
      <c r="P2679">
        <v>-0.98318890000000003</v>
      </c>
      <c r="Q2679">
        <v>0.13577330000000001</v>
      </c>
      <c r="R2679">
        <v>-0.1220885</v>
      </c>
      <c r="S2679">
        <v>-3.0435180000000002</v>
      </c>
      <c r="T2679">
        <v>4.7749159999999999E-2</v>
      </c>
      <c r="U2679">
        <v>-9.9487299999999994E-3</v>
      </c>
      <c r="V2679">
        <v>-0.1146472</v>
      </c>
      <c r="W2679">
        <v>0.14637130000000001</v>
      </c>
      <c r="X2679">
        <v>0.98256370000000004</v>
      </c>
      <c r="Y2679">
        <v>4.2901650000000003E-3</v>
      </c>
      <c r="Z2679">
        <v>-2.106221E-4</v>
      </c>
      <c r="AA2679">
        <v>0.99999079999999996</v>
      </c>
      <c r="AB2679">
        <v>32</v>
      </c>
      <c r="AC2679">
        <v>-3.0435180000000002</v>
      </c>
      <c r="AD2679">
        <v>4.7749159999999999E-2</v>
      </c>
      <c r="AE2679">
        <v>-9.9487299999999994E-3</v>
      </c>
      <c r="AF2679">
        <v>1.3062611783386101E-2</v>
      </c>
      <c r="AG2679">
        <v>4.7749159999999999E-2</v>
      </c>
      <c r="AH2679">
        <v>3.0427572824938198</v>
      </c>
      <c r="AI2679">
        <v>89.100955041071202</v>
      </c>
      <c r="AJ2679">
        <v>89.754029698296506</v>
      </c>
      <c r="AK2679">
        <v>3.0431599521347001</v>
      </c>
      <c r="AL2679">
        <v>81.583303637349402</v>
      </c>
      <c r="AM2679">
        <v>96.655274659280906</v>
      </c>
      <c r="AN2679">
        <v>0.99999998124460898</v>
      </c>
    </row>
    <row r="2680" spans="1:40" x14ac:dyDescent="0.25">
      <c r="A2680" t="str">
        <f>"20190304154812089"</f>
        <v>20190304154812089</v>
      </c>
      <c r="B2680" t="str">
        <f>"1551685692079399"</f>
        <v>1551685692079399</v>
      </c>
      <c r="C2680" t="s">
        <v>40</v>
      </c>
      <c r="D2680">
        <v>4.0702879999999997</v>
      </c>
      <c r="E2680">
        <v>0.5420142</v>
      </c>
      <c r="F2680" t="s">
        <v>42</v>
      </c>
      <c r="G2680">
        <v>0</v>
      </c>
      <c r="H2680">
        <v>0</v>
      </c>
      <c r="I2680">
        <v>0</v>
      </c>
      <c r="J2680">
        <v>-302.17070000000001</v>
      </c>
      <c r="K2680">
        <v>1.1103730000000001</v>
      </c>
      <c r="L2680">
        <v>285.49810000000002</v>
      </c>
      <c r="M2680">
        <v>-0.99991350000000001</v>
      </c>
      <c r="N2680">
        <v>-1.0778060000000001E-2</v>
      </c>
      <c r="O2680">
        <v>-7.5620130000000002E-3</v>
      </c>
      <c r="P2680">
        <v>-0.98320469999999904</v>
      </c>
      <c r="Q2680">
        <v>0.13597390000000001</v>
      </c>
      <c r="R2680">
        <v>-0.12173829999999999</v>
      </c>
      <c r="S2680">
        <v>-3.0432130000000002</v>
      </c>
      <c r="T2680">
        <v>4.454839E-2</v>
      </c>
      <c r="U2680">
        <v>-1.5777590000000001E-2</v>
      </c>
      <c r="V2680">
        <v>-0.11429599999999999</v>
      </c>
      <c r="W2680">
        <v>0.14657510000000001</v>
      </c>
      <c r="X2680">
        <v>0.98257430000000001</v>
      </c>
      <c r="Y2680">
        <v>2.375542E-3</v>
      </c>
      <c r="Z2680">
        <v>-1.9677210000000001E-4</v>
      </c>
      <c r="AA2680">
        <v>0.99999709999999997</v>
      </c>
      <c r="AB2680">
        <v>32</v>
      </c>
      <c r="AC2680">
        <v>-3.0432130000000002</v>
      </c>
      <c r="AD2680">
        <v>4.454839E-2</v>
      </c>
      <c r="AE2680">
        <v>-1.5777590000000001E-2</v>
      </c>
      <c r="AF2680">
        <v>7.2354596592302499E-3</v>
      </c>
      <c r="AG2680">
        <v>4.454839E-2</v>
      </c>
      <c r="AH2680">
        <v>3.0425933183951299</v>
      </c>
      <c r="AI2680">
        <v>89.1611612600679</v>
      </c>
      <c r="AJ2680">
        <v>89.863747640100897</v>
      </c>
      <c r="AK2680">
        <v>3.04292803268017</v>
      </c>
      <c r="AL2680">
        <v>81.571499988477996</v>
      </c>
      <c r="AM2680">
        <v>96.634998599542499</v>
      </c>
      <c r="AN2680">
        <v>1.00000004528824</v>
      </c>
    </row>
    <row r="2681" spans="1:40" x14ac:dyDescent="0.25">
      <c r="A2681" t="str">
        <f>"20190304154812100"</f>
        <v>20190304154812100</v>
      </c>
      <c r="B2681" t="str">
        <f>"1551685692089159"</f>
        <v>1551685692089159</v>
      </c>
      <c r="C2681" t="s">
        <v>40</v>
      </c>
      <c r="D2681">
        <v>4.050243</v>
      </c>
      <c r="E2681">
        <v>0.54153499999999999</v>
      </c>
      <c r="F2681" t="s">
        <v>42</v>
      </c>
      <c r="G2681">
        <v>0</v>
      </c>
      <c r="H2681">
        <v>0</v>
      </c>
      <c r="I2681">
        <v>0</v>
      </c>
      <c r="J2681">
        <v>-302.32589999999999</v>
      </c>
      <c r="K2681">
        <v>1.1103700000000001</v>
      </c>
      <c r="L2681">
        <v>285.49689999999998</v>
      </c>
      <c r="M2681">
        <v>-0.9999133</v>
      </c>
      <c r="N2681">
        <v>-1.0780959999999999E-2</v>
      </c>
      <c r="O2681">
        <v>-7.5622569999999898E-3</v>
      </c>
      <c r="P2681">
        <v>-0.98320379999999996</v>
      </c>
      <c r="Q2681">
        <v>0.1358461</v>
      </c>
      <c r="R2681">
        <v>-0.1218871</v>
      </c>
      <c r="S2681">
        <v>-3.0431210000000002</v>
      </c>
      <c r="T2681">
        <v>4.0715689999999999E-2</v>
      </c>
      <c r="U2681">
        <v>-1.9989010000000001E-2</v>
      </c>
      <c r="V2681">
        <v>-0.1144443</v>
      </c>
      <c r="W2681">
        <v>0.14645059999999999</v>
      </c>
      <c r="X2681">
        <v>0.98257550000000005</v>
      </c>
      <c r="Y2681">
        <v>9.9204950000000001E-4</v>
      </c>
      <c r="Z2681">
        <v>-1.839857E-4</v>
      </c>
      <c r="AA2681">
        <v>0.99999950000000004</v>
      </c>
      <c r="AB2681">
        <v>32</v>
      </c>
      <c r="AC2681">
        <v>-3.0431210000000002</v>
      </c>
      <c r="AD2681">
        <v>4.0715689999999999E-2</v>
      </c>
      <c r="AE2681">
        <v>-1.9989010000000001E-2</v>
      </c>
      <c r="AF2681">
        <v>3.0252204091839102E-3</v>
      </c>
      <c r="AG2681">
        <v>4.0715689999999999E-2</v>
      </c>
      <c r="AH2681">
        <v>3.0426404954274502</v>
      </c>
      <c r="AI2681">
        <v>89.233331438384496</v>
      </c>
      <c r="AJ2681">
        <v>89.943032275851806</v>
      </c>
      <c r="AK2681">
        <v>3.0429144095399199</v>
      </c>
      <c r="AL2681">
        <v>81.578710275907</v>
      </c>
      <c r="AM2681">
        <v>96.643522616512001</v>
      </c>
      <c r="AN2681">
        <v>0.99999994462154795</v>
      </c>
    </row>
    <row r="2682" spans="1:40" x14ac:dyDescent="0.25">
      <c r="A2682" t="str">
        <f>"20190304154812121"</f>
        <v>20190304154812121</v>
      </c>
      <c r="B2682" t="str">
        <f>"1551685692109655"</f>
        <v>1551685692109655</v>
      </c>
      <c r="C2682" t="s">
        <v>40</v>
      </c>
      <c r="D2682">
        <v>4.0240780000000003</v>
      </c>
      <c r="E2682">
        <v>0.54278879999999996</v>
      </c>
      <c r="F2682" t="s">
        <v>42</v>
      </c>
      <c r="G2682">
        <v>0</v>
      </c>
      <c r="H2682">
        <v>0</v>
      </c>
      <c r="I2682">
        <v>0</v>
      </c>
      <c r="J2682">
        <v>-302.62060000000002</v>
      </c>
      <c r="K2682">
        <v>1.1103719999999999</v>
      </c>
      <c r="L2682">
        <v>285.49470000000002</v>
      </c>
      <c r="M2682">
        <v>-0.9999133</v>
      </c>
      <c r="N2682">
        <v>-1.0786520000000001E-2</v>
      </c>
      <c r="O2682">
        <v>-7.5632240000000003E-3</v>
      </c>
      <c r="P2682">
        <v>-0.98325569999999896</v>
      </c>
      <c r="Q2682">
        <v>0.13580349999999999</v>
      </c>
      <c r="R2682">
        <v>-0.1215149</v>
      </c>
      <c r="S2682">
        <v>-3.0430600000000001</v>
      </c>
      <c r="T2682">
        <v>3.7621500000000002E-2</v>
      </c>
      <c r="U2682">
        <v>-2.4169920000000001E-2</v>
      </c>
      <c r="V2682">
        <v>-0.11407059999999999</v>
      </c>
      <c r="W2682">
        <v>0.14641419999999999</v>
      </c>
      <c r="X2682">
        <v>0.98262439999999995</v>
      </c>
      <c r="Y2682">
        <v>-3.8075640000000003E-4</v>
      </c>
      <c r="Z2682">
        <v>-1.7477549999999999E-4</v>
      </c>
      <c r="AA2682">
        <v>0.99999990000000005</v>
      </c>
      <c r="AB2682">
        <v>32</v>
      </c>
      <c r="AC2682">
        <v>-3.0430600000000001</v>
      </c>
      <c r="AD2682">
        <v>3.7621500000000002E-2</v>
      </c>
      <c r="AE2682">
        <v>-2.4169920000000001E-2</v>
      </c>
      <c r="AF2682">
        <v>-1.15237087873683E-3</v>
      </c>
      <c r="AG2682">
        <v>3.7621500000000002E-2</v>
      </c>
      <c r="AH2682">
        <v>3.0426907360059499</v>
      </c>
      <c r="AI2682">
        <v>89.291599652090099</v>
      </c>
      <c r="AJ2682">
        <v>90.021699867110101</v>
      </c>
      <c r="AK2682">
        <v>3.0429235317696199</v>
      </c>
      <c r="AL2682">
        <v>81.580818746354296</v>
      </c>
      <c r="AM2682">
        <v>96.621695594070601</v>
      </c>
      <c r="AN2682">
        <v>0.99999996561067905</v>
      </c>
    </row>
    <row r="2683" spans="1:40" x14ac:dyDescent="0.25">
      <c r="A2683" t="str">
        <f>"20190304154812134"</f>
        <v>20190304154812134</v>
      </c>
      <c r="B2683" t="str">
        <f>"1551685692129176"</f>
        <v>1551685692129176</v>
      </c>
      <c r="C2683" t="s">
        <v>40</v>
      </c>
      <c r="D2683">
        <v>4.0418830000000003</v>
      </c>
      <c r="E2683">
        <v>0.54350089999999995</v>
      </c>
      <c r="F2683" t="s">
        <v>42</v>
      </c>
      <c r="G2683">
        <v>0</v>
      </c>
      <c r="H2683">
        <v>0</v>
      </c>
      <c r="I2683">
        <v>0</v>
      </c>
      <c r="J2683">
        <v>-302.8073</v>
      </c>
      <c r="K2683">
        <v>1.1103769999999999</v>
      </c>
      <c r="L2683">
        <v>285.49329999999998</v>
      </c>
      <c r="M2683">
        <v>-0.9999133</v>
      </c>
      <c r="N2683">
        <v>-1.0790080000000001E-2</v>
      </c>
      <c r="O2683">
        <v>-7.5634730000000002E-3</v>
      </c>
      <c r="P2683">
        <v>-0.98323240000000001</v>
      </c>
      <c r="Q2683">
        <v>0.1358924</v>
      </c>
      <c r="R2683">
        <v>-0.1216047</v>
      </c>
      <c r="S2683">
        <v>-3.0429379999999999</v>
      </c>
      <c r="T2683">
        <v>4.6740530000000002E-2</v>
      </c>
      <c r="U2683">
        <v>-1.3671880000000001E-2</v>
      </c>
      <c r="V2683">
        <v>-0.11415989999999999</v>
      </c>
      <c r="W2683">
        <v>0.14650669999999999</v>
      </c>
      <c r="X2683">
        <v>0.98260029999999998</v>
      </c>
      <c r="Y2683">
        <v>3.068332E-3</v>
      </c>
      <c r="Z2683">
        <v>-2.0478299999999999E-4</v>
      </c>
      <c r="AA2683">
        <v>0.99999530000000003</v>
      </c>
      <c r="AB2683">
        <v>32</v>
      </c>
      <c r="AC2683">
        <v>-3.0429379999999999</v>
      </c>
      <c r="AD2683">
        <v>4.6740530000000002E-2</v>
      </c>
      <c r="AE2683">
        <v>-1.3671880000000001E-2</v>
      </c>
      <c r="AF2683">
        <v>9.34282335519066E-3</v>
      </c>
      <c r="AG2683">
        <v>4.6740530000000002E-2</v>
      </c>
      <c r="AH2683">
        <v>3.0422365942424499</v>
      </c>
      <c r="AI2683">
        <v>89.119788449350693</v>
      </c>
      <c r="AJ2683">
        <v>89.824043052685496</v>
      </c>
      <c r="AK2683">
        <v>3.0426099751431899</v>
      </c>
      <c r="AL2683">
        <v>81.575461597417998</v>
      </c>
      <c r="AM2683">
        <v>96.626994379143099</v>
      </c>
      <c r="AN2683">
        <v>1.00000002273649</v>
      </c>
    </row>
    <row r="2684" spans="1:40" x14ac:dyDescent="0.25">
      <c r="A2684" t="str">
        <f>"20190304154812147"</f>
        <v>20190304154812147</v>
      </c>
      <c r="B2684" t="str">
        <f>"1551685692139911"</f>
        <v>1551685692139911</v>
      </c>
      <c r="C2684" t="s">
        <v>40</v>
      </c>
      <c r="D2684">
        <v>4.0603400000000001</v>
      </c>
      <c r="E2684">
        <v>0.54380600000000001</v>
      </c>
      <c r="F2684" t="s">
        <v>42</v>
      </c>
      <c r="G2684">
        <v>0</v>
      </c>
      <c r="H2684">
        <v>0</v>
      </c>
      <c r="I2684">
        <v>0</v>
      </c>
      <c r="J2684">
        <v>-303.0027</v>
      </c>
      <c r="K2684">
        <v>1.1103879999999999</v>
      </c>
      <c r="L2684">
        <v>285.49180000000001</v>
      </c>
      <c r="M2684">
        <v>-0.99991319999999995</v>
      </c>
      <c r="N2684">
        <v>-1.0793850000000001E-2</v>
      </c>
      <c r="O2684">
        <v>-7.5640809999999899E-3</v>
      </c>
      <c r="P2684">
        <v>-0.98324630000000002</v>
      </c>
      <c r="Q2684">
        <v>0.1355296</v>
      </c>
      <c r="R2684">
        <v>-0.12189659999999999</v>
      </c>
      <c r="S2684">
        <v>-3.0424799999999999</v>
      </c>
      <c r="T2684">
        <v>5.5157779999999997E-2</v>
      </c>
      <c r="U2684">
        <v>-8.5449219999999999E-3</v>
      </c>
      <c r="V2684">
        <v>-0.11445089999999999</v>
      </c>
      <c r="W2684">
        <v>0.14614769999999999</v>
      </c>
      <c r="X2684">
        <v>0.98261989999999999</v>
      </c>
      <c r="Y2684">
        <v>4.7525670000000001E-3</v>
      </c>
      <c r="Z2684">
        <v>-2.361815E-4</v>
      </c>
      <c r="AA2684">
        <v>0.99998869999999895</v>
      </c>
      <c r="AB2684">
        <v>32</v>
      </c>
      <c r="AC2684">
        <v>-3.0424799999999999</v>
      </c>
      <c r="AD2684">
        <v>5.5157779999999997E-2</v>
      </c>
      <c r="AE2684">
        <v>-8.5449219999999999E-3</v>
      </c>
      <c r="AF2684">
        <v>1.4465472578670599E-2</v>
      </c>
      <c r="AG2684">
        <v>5.5157779999999997E-2</v>
      </c>
      <c r="AH2684">
        <v>3.0414579650674902</v>
      </c>
      <c r="AI2684">
        <v>88.961048973708799</v>
      </c>
      <c r="AJ2684">
        <v>89.727497704172393</v>
      </c>
      <c r="AK2684">
        <v>3.0419924693963201</v>
      </c>
      <c r="AL2684">
        <v>81.596254512722396</v>
      </c>
      <c r="AM2684">
        <v>96.643604799972195</v>
      </c>
      <c r="AN2684">
        <v>1.00000001330105</v>
      </c>
    </row>
    <row r="2685" spans="1:40" x14ac:dyDescent="0.25">
      <c r="A2685" t="str">
        <f>"20190304154812167"</f>
        <v>20190304154812167</v>
      </c>
      <c r="B2685" t="str">
        <f>"1551685692159431"</f>
        <v>1551685692159431</v>
      </c>
      <c r="C2685" t="s">
        <v>40</v>
      </c>
      <c r="D2685">
        <v>4.0581500000000004</v>
      </c>
      <c r="E2685">
        <v>0.54419469999999903</v>
      </c>
      <c r="F2685" t="s">
        <v>42</v>
      </c>
      <c r="G2685">
        <v>0</v>
      </c>
      <c r="H2685">
        <v>0</v>
      </c>
      <c r="I2685">
        <v>0</v>
      </c>
      <c r="J2685">
        <v>-303.27379999999999</v>
      </c>
      <c r="K2685">
        <v>1.110385</v>
      </c>
      <c r="L2685">
        <v>285.48970000000003</v>
      </c>
      <c r="M2685">
        <v>-0.99991319999999995</v>
      </c>
      <c r="N2685">
        <v>-1.0799100000000001E-2</v>
      </c>
      <c r="O2685">
        <v>-7.5643380000000003E-3</v>
      </c>
      <c r="P2685">
        <v>-0.98328369999999998</v>
      </c>
      <c r="Q2685">
        <v>0.13559749999999901</v>
      </c>
      <c r="R2685">
        <v>-0.1215205</v>
      </c>
      <c r="S2685">
        <v>-3.042297</v>
      </c>
      <c r="T2685">
        <v>5.7481879999999999E-2</v>
      </c>
      <c r="U2685">
        <v>-7.2021480000000002E-3</v>
      </c>
      <c r="V2685">
        <v>-0.11407340000000001</v>
      </c>
      <c r="W2685">
        <v>0.14622180000000001</v>
      </c>
      <c r="X2685">
        <v>0.98265279999999999</v>
      </c>
      <c r="Y2685">
        <v>5.1937620000000002E-3</v>
      </c>
      <c r="Z2685">
        <v>-2.4560339999999997E-4</v>
      </c>
      <c r="AA2685">
        <v>0.9999865</v>
      </c>
      <c r="AB2685">
        <v>32</v>
      </c>
      <c r="AC2685">
        <v>-3.042297</v>
      </c>
      <c r="AD2685">
        <v>5.7481879999999999E-2</v>
      </c>
      <c r="AE2685">
        <v>-7.2021480000000002E-3</v>
      </c>
      <c r="AF2685">
        <v>1.58067172026276E-2</v>
      </c>
      <c r="AG2685">
        <v>5.7481879999999999E-2</v>
      </c>
      <c r="AH2685">
        <v>3.04117876139513</v>
      </c>
      <c r="AI2685">
        <v>88.917185475371298</v>
      </c>
      <c r="AJ2685">
        <v>89.702204276858893</v>
      </c>
      <c r="AK2685">
        <v>3.04176302127531</v>
      </c>
      <c r="AL2685">
        <v>81.591963020070494</v>
      </c>
      <c r="AM2685">
        <v>96.621667007001804</v>
      </c>
      <c r="AN2685">
        <v>1.00000004036531</v>
      </c>
    </row>
    <row r="2686" spans="1:40" x14ac:dyDescent="0.25">
      <c r="A2686" t="str">
        <f>"20190304154812189"</f>
        <v>20190304154812189</v>
      </c>
      <c r="B2686" t="str">
        <f>"1551685692179725"</f>
        <v>1551685692179725</v>
      </c>
      <c r="C2686" t="s">
        <v>40</v>
      </c>
      <c r="D2686">
        <v>4.0790569999999997</v>
      </c>
      <c r="E2686">
        <v>0.54444009999999998</v>
      </c>
      <c r="F2686" t="s">
        <v>42</v>
      </c>
      <c r="G2686">
        <v>0</v>
      </c>
      <c r="H2686">
        <v>0</v>
      </c>
      <c r="I2686">
        <v>0</v>
      </c>
      <c r="J2686">
        <v>-303.59559999999999</v>
      </c>
      <c r="K2686">
        <v>1.11039</v>
      </c>
      <c r="L2686">
        <v>285.4873</v>
      </c>
      <c r="M2686">
        <v>-0.9999131</v>
      </c>
      <c r="N2686">
        <v>-1.080537E-2</v>
      </c>
      <c r="O2686">
        <v>-7.5650780000000003E-3</v>
      </c>
      <c r="P2686">
        <v>-0.98328289999999996</v>
      </c>
      <c r="Q2686">
        <v>0.1356665</v>
      </c>
      <c r="R2686">
        <v>-0.1214483</v>
      </c>
      <c r="S2686">
        <v>-3.0421140000000002</v>
      </c>
      <c r="T2686">
        <v>6.1565880000000003E-2</v>
      </c>
      <c r="U2686">
        <v>-2.9296880000000002E-3</v>
      </c>
      <c r="V2686">
        <v>-0.1140004</v>
      </c>
      <c r="W2686">
        <v>0.14629679999999901</v>
      </c>
      <c r="X2686">
        <v>0.98265000000000002</v>
      </c>
      <c r="Y2686">
        <v>6.5982259999999996E-3</v>
      </c>
      <c r="Z2686">
        <v>-2.6592690000000002E-4</v>
      </c>
      <c r="AA2686">
        <v>0.99997820000000004</v>
      </c>
      <c r="AB2686">
        <v>32</v>
      </c>
      <c r="AC2686">
        <v>-3.0421140000000002</v>
      </c>
      <c r="AD2686">
        <v>6.1565880000000003E-2</v>
      </c>
      <c r="AE2686">
        <v>-2.9296880000000002E-3</v>
      </c>
      <c r="AF2686">
        <v>2.0077343835803702E-2</v>
      </c>
      <c r="AG2686">
        <v>6.1565880000000003E-2</v>
      </c>
      <c r="AH2686">
        <v>3.0408036786164598</v>
      </c>
      <c r="AI2686">
        <v>88.8401400669254</v>
      </c>
      <c r="AJ2686">
        <v>89.621701868579294</v>
      </c>
      <c r="AK2686">
        <v>3.04149313153968</v>
      </c>
      <c r="AL2686">
        <v>81.587618219916905</v>
      </c>
      <c r="AM2686">
        <v>96.617485828973301</v>
      </c>
      <c r="AN2686">
        <v>0.99999993369519702</v>
      </c>
    </row>
    <row r="2687" spans="1:40" x14ac:dyDescent="0.25">
      <c r="A2687" t="str">
        <f>"20190304154812209"</f>
        <v>20190304154812209</v>
      </c>
      <c r="B2687" t="str">
        <f>"1551685692199252"</f>
        <v>1551685692199252</v>
      </c>
      <c r="C2687" t="s">
        <v>40</v>
      </c>
      <c r="D2687">
        <v>4.0317720000000001</v>
      </c>
      <c r="E2687">
        <v>0.54466300000000001</v>
      </c>
      <c r="F2687" t="s">
        <v>42</v>
      </c>
      <c r="G2687">
        <v>0</v>
      </c>
      <c r="H2687">
        <v>0</v>
      </c>
      <c r="I2687">
        <v>0</v>
      </c>
      <c r="J2687">
        <v>-303.8922</v>
      </c>
      <c r="K2687">
        <v>1.1103909999999999</v>
      </c>
      <c r="L2687">
        <v>285.48500000000001</v>
      </c>
      <c r="M2687">
        <v>-0.99991300000000005</v>
      </c>
      <c r="N2687">
        <v>-1.081117E-2</v>
      </c>
      <c r="O2687">
        <v>-7.5649869999999996E-3</v>
      </c>
      <c r="P2687">
        <v>-0.98323349999999998</v>
      </c>
      <c r="Q2687">
        <v>0.1355557</v>
      </c>
      <c r="R2687">
        <v>-0.1219717</v>
      </c>
      <c r="S2687">
        <v>-3.0419309999999999</v>
      </c>
      <c r="T2687">
        <v>6.5021510000000005E-2</v>
      </c>
      <c r="U2687">
        <v>-7.9345700000000002E-4</v>
      </c>
      <c r="V2687">
        <v>-0.11452469999999999</v>
      </c>
      <c r="W2687">
        <v>0.1461916</v>
      </c>
      <c r="X2687">
        <v>0.9826047</v>
      </c>
      <c r="Y2687">
        <v>7.2998530000000002E-3</v>
      </c>
      <c r="Z2687">
        <v>-2.8200300000000002E-4</v>
      </c>
      <c r="AA2687">
        <v>0.99997329999999995</v>
      </c>
      <c r="AB2687">
        <v>32</v>
      </c>
      <c r="AC2687">
        <v>-3.0419309999999999</v>
      </c>
      <c r="AD2687">
        <v>6.5021510000000005E-2</v>
      </c>
      <c r="AE2687">
        <v>-7.9345700000000002E-4</v>
      </c>
      <c r="AF2687">
        <v>2.2209930202958299E-2</v>
      </c>
      <c r="AG2687">
        <v>6.5021510000000005E-2</v>
      </c>
      <c r="AH2687">
        <v>3.0404607800866899</v>
      </c>
      <c r="AI2687">
        <v>88.774925496022107</v>
      </c>
      <c r="AJ2687">
        <v>89.581473755944899</v>
      </c>
      <c r="AK2687">
        <v>3.041237056365</v>
      </c>
      <c r="AL2687">
        <v>81.593711329591102</v>
      </c>
      <c r="AM2687">
        <v>96.647952299793701</v>
      </c>
      <c r="AN2687">
        <v>0.99999994364136802</v>
      </c>
    </row>
    <row r="2688" spans="1:40" x14ac:dyDescent="0.25">
      <c r="A2688" t="str">
        <f>"20190304154812222"</f>
        <v>20190304154812222</v>
      </c>
      <c r="B2688" t="str">
        <f>"1551685692219740"</f>
        <v>1551685692219740</v>
      </c>
      <c r="C2688" t="s">
        <v>40</v>
      </c>
      <c r="D2688">
        <v>4.0447689999999996</v>
      </c>
      <c r="E2688">
        <v>0.54483409999999999</v>
      </c>
      <c r="F2688" t="s">
        <v>42</v>
      </c>
      <c r="G2688">
        <v>0</v>
      </c>
      <c r="H2688">
        <v>0</v>
      </c>
      <c r="I2688">
        <v>0</v>
      </c>
      <c r="J2688">
        <v>-304.06490000000002</v>
      </c>
      <c r="K2688">
        <v>1.1103879999999999</v>
      </c>
      <c r="L2688">
        <v>285.4837</v>
      </c>
      <c r="M2688">
        <v>-0.99991289999999999</v>
      </c>
      <c r="N2688">
        <v>-1.081463E-2</v>
      </c>
      <c r="O2688">
        <v>-7.5651219999999996E-3</v>
      </c>
      <c r="P2688">
        <v>-0.98325499999999999</v>
      </c>
      <c r="Q2688">
        <v>0.1355845</v>
      </c>
      <c r="R2688">
        <v>-0.1217641</v>
      </c>
      <c r="S2688">
        <v>-3.0418090000000002</v>
      </c>
      <c r="T2688">
        <v>6.7261340000000003E-2</v>
      </c>
      <c r="U2688">
        <v>-5.7983399999999999E-4</v>
      </c>
      <c r="V2688">
        <v>-0.114317</v>
      </c>
      <c r="W2688">
        <v>0.14622360000000001</v>
      </c>
      <c r="X2688">
        <v>0.98262419999999995</v>
      </c>
      <c r="Y2688">
        <v>7.3699280000000004E-3</v>
      </c>
      <c r="Z2688">
        <v>-2.906804E-4</v>
      </c>
      <c r="AA2688">
        <v>0.9999728</v>
      </c>
      <c r="AB2688">
        <v>32</v>
      </c>
      <c r="AC2688">
        <v>-3.0418090000000002</v>
      </c>
      <c r="AD2688">
        <v>6.7261340000000003E-2</v>
      </c>
      <c r="AE2688">
        <v>-5.7983399999999999E-4</v>
      </c>
      <c r="AF2688">
        <v>2.2422221222501301E-2</v>
      </c>
      <c r="AG2688">
        <v>6.7261340000000003E-2</v>
      </c>
      <c r="AH2688">
        <v>3.0402397979176299</v>
      </c>
      <c r="AI2688">
        <v>88.732646818274503</v>
      </c>
      <c r="AJ2688">
        <v>89.577442755599904</v>
      </c>
      <c r="AK2688">
        <v>3.0410664038631898</v>
      </c>
      <c r="AL2688">
        <v>81.591858578189701</v>
      </c>
      <c r="AM2688">
        <v>96.635872801603199</v>
      </c>
      <c r="AN2688">
        <v>1.00000001805579</v>
      </c>
    </row>
    <row r="2689" spans="1:40" x14ac:dyDescent="0.25">
      <c r="A2689" t="str">
        <f>"20190304154812234"</f>
        <v>20190304154812234</v>
      </c>
      <c r="B2689" t="str">
        <f>"1551685692229501"</f>
        <v>1551685692229501</v>
      </c>
      <c r="C2689" t="s">
        <v>40</v>
      </c>
      <c r="D2689">
        <v>4.0781559999999999</v>
      </c>
      <c r="E2689">
        <v>0.54439069999999901</v>
      </c>
      <c r="F2689" t="s">
        <v>42</v>
      </c>
      <c r="G2689">
        <v>0</v>
      </c>
      <c r="H2689">
        <v>0</v>
      </c>
      <c r="I2689">
        <v>0</v>
      </c>
      <c r="J2689">
        <v>-304.23570000000001</v>
      </c>
      <c r="K2689">
        <v>1.1103860000000001</v>
      </c>
      <c r="L2689">
        <v>285.48239999999998</v>
      </c>
      <c r="M2689">
        <v>-0.99991300000000005</v>
      </c>
      <c r="N2689">
        <v>-1.0818059999999999E-2</v>
      </c>
      <c r="O2689">
        <v>-7.56537599999999E-3</v>
      </c>
      <c r="P2689">
        <v>-0.98322180000000003</v>
      </c>
      <c r="Q2689">
        <v>0.13558110000000001</v>
      </c>
      <c r="R2689">
        <v>-0.1220363</v>
      </c>
      <c r="S2689">
        <v>-3.041534</v>
      </c>
      <c r="T2689">
        <v>7.0651649999999996E-2</v>
      </c>
      <c r="U2689">
        <v>1.403809E-3</v>
      </c>
      <c r="V2689">
        <v>-0.11458930000000001</v>
      </c>
      <c r="W2689">
        <v>0.14622370000000001</v>
      </c>
      <c r="X2689">
        <v>0.98259249999999998</v>
      </c>
      <c r="Y2689">
        <v>8.0218110000000002E-3</v>
      </c>
      <c r="Z2689">
        <v>-3.0730219999999998E-4</v>
      </c>
      <c r="AA2689">
        <v>0.99996779999999996</v>
      </c>
      <c r="AB2689">
        <v>32</v>
      </c>
      <c r="AC2689">
        <v>-3.041534</v>
      </c>
      <c r="AD2689">
        <v>7.0651649999999996E-2</v>
      </c>
      <c r="AE2689">
        <v>1.403809E-3</v>
      </c>
      <c r="AF2689">
        <v>2.4402293490800399E-2</v>
      </c>
      <c r="AG2689">
        <v>7.0651649999999996E-2</v>
      </c>
      <c r="AH2689">
        <v>3.03979610090181</v>
      </c>
      <c r="AI2689">
        <v>88.668600726161998</v>
      </c>
      <c r="AJ2689">
        <v>89.540061784138999</v>
      </c>
      <c r="AK2689">
        <v>3.0407149591228002</v>
      </c>
      <c r="AL2689">
        <v>81.591853053390693</v>
      </c>
      <c r="AM2689">
        <v>96.651750467777603</v>
      </c>
      <c r="AN2689">
        <v>1.00000004958621</v>
      </c>
    </row>
    <row r="2690" spans="1:40" x14ac:dyDescent="0.25">
      <c r="A2690" t="str">
        <f>"20190304154812247"</f>
        <v>20190304154812247</v>
      </c>
      <c r="B2690" t="str">
        <f>"1551685692239260"</f>
        <v>1551685692239260</v>
      </c>
      <c r="C2690" t="s">
        <v>40</v>
      </c>
      <c r="D2690">
        <v>4.1113309999999998</v>
      </c>
      <c r="E2690">
        <v>0.54380479999999998</v>
      </c>
      <c r="F2690" t="s">
        <v>42</v>
      </c>
      <c r="G2690">
        <v>0</v>
      </c>
      <c r="H2690">
        <v>0</v>
      </c>
      <c r="I2690">
        <v>0</v>
      </c>
      <c r="J2690">
        <v>-304.42239999999998</v>
      </c>
      <c r="K2690">
        <v>1.110379</v>
      </c>
      <c r="L2690">
        <v>285.48099999999999</v>
      </c>
      <c r="M2690">
        <v>-0.99991289999999999</v>
      </c>
      <c r="N2690">
        <v>-1.082172E-2</v>
      </c>
      <c r="O2690">
        <v>-7.5655119999999999E-3</v>
      </c>
      <c r="P2690">
        <v>-0.98319630000000002</v>
      </c>
      <c r="Q2690">
        <v>0.13565940000000001</v>
      </c>
      <c r="R2690">
        <v>-0.12215380000000001</v>
      </c>
      <c r="S2690">
        <v>-3.0415040000000002</v>
      </c>
      <c r="T2690">
        <v>6.8127160000000006E-2</v>
      </c>
      <c r="U2690">
        <v>-2.7770999999999998E-3</v>
      </c>
      <c r="V2690">
        <v>-0.1147064</v>
      </c>
      <c r="W2690">
        <v>0.1463052</v>
      </c>
      <c r="X2690">
        <v>0.98256670000000002</v>
      </c>
      <c r="Y2690">
        <v>6.6478750000000001E-3</v>
      </c>
      <c r="Z2690">
        <v>-2.8976819999999999E-4</v>
      </c>
      <c r="AA2690">
        <v>0.99997789999999998</v>
      </c>
      <c r="AB2690">
        <v>32</v>
      </c>
      <c r="AC2690">
        <v>-3.0415040000000002</v>
      </c>
      <c r="AD2690">
        <v>6.8127160000000006E-2</v>
      </c>
      <c r="AE2690">
        <v>-2.7770999999999998E-3</v>
      </c>
      <c r="AF2690">
        <v>2.0224713028572799E-2</v>
      </c>
      <c r="AG2690">
        <v>6.8127160000000006E-2</v>
      </c>
      <c r="AH2690">
        <v>3.03991276465295</v>
      </c>
      <c r="AI2690">
        <v>88.716193718874806</v>
      </c>
      <c r="AJ2690">
        <v>89.6188135346911</v>
      </c>
      <c r="AK2690">
        <v>3.04074332452555</v>
      </c>
      <c r="AL2690">
        <v>81.587132642342198</v>
      </c>
      <c r="AM2690">
        <v>96.658660222011704</v>
      </c>
      <c r="AN2690">
        <v>1.0000000448484401</v>
      </c>
    </row>
    <row r="2691" spans="1:40" x14ac:dyDescent="0.25">
      <c r="A2691" t="str">
        <f>"20190304154812258"</f>
        <v>20190304154812258</v>
      </c>
      <c r="B2691" t="str">
        <f>"1551685692249998"</f>
        <v>1551685692249998</v>
      </c>
      <c r="C2691" t="s">
        <v>40</v>
      </c>
      <c r="D2691">
        <v>4.1591040000000001</v>
      </c>
      <c r="E2691">
        <v>0.54334300000000002</v>
      </c>
      <c r="F2691" t="s">
        <v>42</v>
      </c>
      <c r="G2691">
        <v>0</v>
      </c>
      <c r="H2691">
        <v>0</v>
      </c>
      <c r="I2691">
        <v>0</v>
      </c>
      <c r="J2691">
        <v>-304.59019999999998</v>
      </c>
      <c r="K2691">
        <v>1.1103700000000001</v>
      </c>
      <c r="L2691">
        <v>285.47969999999998</v>
      </c>
      <c r="M2691">
        <v>-0.99991300000000005</v>
      </c>
      <c r="N2691">
        <v>-1.0825029999999999E-2</v>
      </c>
      <c r="O2691">
        <v>-7.5656469999999896E-3</v>
      </c>
      <c r="P2691">
        <v>-0.98325180000000001</v>
      </c>
      <c r="Q2691">
        <v>0.13535639999999999</v>
      </c>
      <c r="R2691">
        <v>-0.1220456</v>
      </c>
      <c r="S2691">
        <v>-3.041382</v>
      </c>
      <c r="T2691">
        <v>6.4487340000000004E-2</v>
      </c>
      <c r="U2691">
        <v>-7.6904299999999998E-3</v>
      </c>
      <c r="V2691">
        <v>-0.11459759999999999</v>
      </c>
      <c r="W2691">
        <v>0.1460062</v>
      </c>
      <c r="X2691">
        <v>0.98262380000000005</v>
      </c>
      <c r="Y2691">
        <v>5.0331150000000003E-3</v>
      </c>
      <c r="Z2691">
        <v>-2.6839350000000002E-4</v>
      </c>
      <c r="AA2691">
        <v>0.99998730000000002</v>
      </c>
      <c r="AB2691">
        <v>32</v>
      </c>
      <c r="AC2691">
        <v>-3.041382</v>
      </c>
      <c r="AD2691">
        <v>6.4487340000000004E-2</v>
      </c>
      <c r="AE2691">
        <v>-7.6904299999999998E-3</v>
      </c>
      <c r="AF2691">
        <v>1.53142711503103E-2</v>
      </c>
      <c r="AG2691">
        <v>6.4487340000000004E-2</v>
      </c>
      <c r="AH2691">
        <v>3.0399864238501402</v>
      </c>
      <c r="AI2691">
        <v>88.7847802692785</v>
      </c>
      <c r="AJ2691">
        <v>89.711368552828304</v>
      </c>
      <c r="AK2691">
        <v>3.0407088977924701</v>
      </c>
      <c r="AL2691">
        <v>81.604449461596602</v>
      </c>
      <c r="AM2691">
        <v>96.652017955647807</v>
      </c>
      <c r="AN2691">
        <v>0.99999997634531901</v>
      </c>
    </row>
    <row r="2692" spans="1:40" x14ac:dyDescent="0.25">
      <c r="A2692" t="str">
        <f>"20190304154812270"</f>
        <v>20190304154812270</v>
      </c>
      <c r="B2692" t="str">
        <f>"1551685692259756"</f>
        <v>1551685692259756</v>
      </c>
      <c r="C2692" t="s">
        <v>40</v>
      </c>
      <c r="D2692">
        <v>4.0474079999999999</v>
      </c>
      <c r="E2692">
        <v>0.54352559999999905</v>
      </c>
      <c r="F2692" t="s">
        <v>42</v>
      </c>
      <c r="G2692">
        <v>0</v>
      </c>
      <c r="H2692">
        <v>0</v>
      </c>
      <c r="I2692">
        <v>0</v>
      </c>
      <c r="J2692">
        <v>-304.76679999999999</v>
      </c>
      <c r="K2692">
        <v>1.1103689999999999</v>
      </c>
      <c r="L2692">
        <v>285.47840000000002</v>
      </c>
      <c r="M2692">
        <v>-0.99991289999999999</v>
      </c>
      <c r="N2692">
        <v>-1.082851E-2</v>
      </c>
      <c r="O2692">
        <v>-7.5659019999999898E-3</v>
      </c>
      <c r="P2692">
        <v>-0.98320759999999996</v>
      </c>
      <c r="Q2692">
        <v>0.13522039999999999</v>
      </c>
      <c r="R2692">
        <v>-0.1225506</v>
      </c>
      <c r="S2692">
        <v>-3.041229</v>
      </c>
      <c r="T2692">
        <v>6.1753269999999999E-2</v>
      </c>
      <c r="U2692">
        <v>-1.089478E-2</v>
      </c>
      <c r="V2692">
        <v>-0.1151022</v>
      </c>
      <c r="W2692">
        <v>0.14587320000000001</v>
      </c>
      <c r="X2692">
        <v>0.98258460000000003</v>
      </c>
      <c r="Y2692">
        <v>3.9800139999999996E-3</v>
      </c>
      <c r="Z2692">
        <v>-2.5438099999999998E-4</v>
      </c>
      <c r="AA2692">
        <v>0.99999210000000005</v>
      </c>
      <c r="AB2692">
        <v>32</v>
      </c>
      <c r="AC2692">
        <v>-3.041229</v>
      </c>
      <c r="AD2692">
        <v>6.1753269999999999E-2</v>
      </c>
      <c r="AE2692">
        <v>-1.089478E-2</v>
      </c>
      <c r="AF2692">
        <v>1.2111524426909799E-2</v>
      </c>
      <c r="AG2692">
        <v>6.1753269999999999E-2</v>
      </c>
      <c r="AH2692">
        <v>3.0399709898700902</v>
      </c>
      <c r="AI2692">
        <v>88.836276028082295</v>
      </c>
      <c r="AJ2692">
        <v>89.771729544838195</v>
      </c>
      <c r="AK2692">
        <v>3.04062226766683</v>
      </c>
      <c r="AL2692">
        <v>81.612152483538495</v>
      </c>
      <c r="AM2692">
        <v>96.681308258943702</v>
      </c>
      <c r="AN2692">
        <v>1.00000000154012</v>
      </c>
    </row>
    <row r="2693" spans="1:40" x14ac:dyDescent="0.25">
      <c r="A2693" t="str">
        <f>"20190304154812335"</f>
        <v>20190304154812335</v>
      </c>
      <c r="B2693" t="str">
        <f>"1551685692329883"</f>
        <v>1551685692329883</v>
      </c>
      <c r="C2693" t="s">
        <v>40</v>
      </c>
      <c r="D2693">
        <v>3.9817930000000001</v>
      </c>
      <c r="E2693">
        <v>0.57875209999999999</v>
      </c>
      <c r="F2693" t="s">
        <v>42</v>
      </c>
      <c r="G2693">
        <v>0</v>
      </c>
      <c r="H2693">
        <v>0</v>
      </c>
      <c r="I2693">
        <v>0</v>
      </c>
      <c r="J2693">
        <v>-305.69299999999998</v>
      </c>
      <c r="K2693">
        <v>1.110352</v>
      </c>
      <c r="L2693">
        <v>285.47140000000002</v>
      </c>
      <c r="M2693">
        <v>-0.99991269999999999</v>
      </c>
      <c r="N2693">
        <v>-1.0846420000000001E-2</v>
      </c>
      <c r="O2693">
        <v>-7.5667030000000001E-3</v>
      </c>
      <c r="P2693">
        <v>-0.98306570000000004</v>
      </c>
      <c r="Q2693">
        <v>0.13535529999999901</v>
      </c>
      <c r="R2693">
        <v>-0.1235361</v>
      </c>
      <c r="S2693">
        <v>-3.0413209999999999</v>
      </c>
      <c r="T2693">
        <v>6.2062140000000002E-2</v>
      </c>
      <c r="U2693">
        <v>-1.0864260000000001E-2</v>
      </c>
      <c r="V2693">
        <v>-0.1160881</v>
      </c>
      <c r="W2693">
        <v>0.1460246</v>
      </c>
      <c r="X2693">
        <v>0.98244609999999999</v>
      </c>
      <c r="Y2693">
        <v>3.9909239999999999E-3</v>
      </c>
      <c r="Z2693">
        <v>-2.5552220000000001E-4</v>
      </c>
      <c r="AA2693">
        <v>0.99999199999999999</v>
      </c>
      <c r="AB2693">
        <v>32</v>
      </c>
      <c r="AC2693">
        <v>-3.0413209999999999</v>
      </c>
      <c r="AD2693">
        <v>6.2062140000000002E-2</v>
      </c>
      <c r="AE2693">
        <v>-1.0864260000000001E-2</v>
      </c>
      <c r="AF2693">
        <v>1.21451166657176E-2</v>
      </c>
      <c r="AG2693">
        <v>6.2062140000000002E-2</v>
      </c>
      <c r="AH2693">
        <v>3.0400502206231002</v>
      </c>
      <c r="AI2693">
        <v>88.830487591220304</v>
      </c>
      <c r="AJ2693">
        <v>89.771102391703295</v>
      </c>
      <c r="AK2693">
        <v>3.0407079039248002</v>
      </c>
      <c r="AL2693">
        <v>81.603383871703201</v>
      </c>
      <c r="AM2693">
        <v>96.738953719244194</v>
      </c>
      <c r="AN2693">
        <v>0.99999998508598897</v>
      </c>
    </row>
    <row r="2694" spans="1:40" x14ac:dyDescent="0.25">
      <c r="A2694" t="str">
        <f>"20190304154812347"</f>
        <v>20190304154812347</v>
      </c>
      <c r="B2694" t="str">
        <f>"1551685692339643"</f>
        <v>1551685692339643</v>
      </c>
      <c r="C2694" t="s">
        <v>40</v>
      </c>
      <c r="D2694">
        <v>4.0798249999999996</v>
      </c>
      <c r="E2694">
        <v>0.57875209999999999</v>
      </c>
      <c r="F2694" t="s">
        <v>41</v>
      </c>
      <c r="G2694">
        <v>-306.61250000000001</v>
      </c>
      <c r="H2694">
        <v>0.94680679999999995</v>
      </c>
      <c r="I2694">
        <v>285.55529999999999</v>
      </c>
      <c r="J2694">
        <v>-305.87040000000002</v>
      </c>
      <c r="K2694">
        <v>1.110352</v>
      </c>
      <c r="L2694">
        <v>285.4701</v>
      </c>
      <c r="M2694">
        <v>-0.99991260000000004</v>
      </c>
      <c r="N2694">
        <v>-1.08498E-2</v>
      </c>
      <c r="O2694">
        <v>-7.5656419999999896E-3</v>
      </c>
      <c r="P2694">
        <v>-0.98304829999999999</v>
      </c>
      <c r="Q2694">
        <v>0.13536239999999999</v>
      </c>
      <c r="R2694">
        <v>-0.12366729999999999</v>
      </c>
      <c r="S2694">
        <v>-3.1654969999999998</v>
      </c>
      <c r="T2694">
        <v>-0.56308150000000001</v>
      </c>
      <c r="U2694">
        <v>0.288269</v>
      </c>
      <c r="V2694">
        <v>-0.11621960000000001</v>
      </c>
      <c r="W2694">
        <v>0.146035</v>
      </c>
      <c r="X2694">
        <v>0.982429</v>
      </c>
      <c r="Y2694">
        <v>9.6522360000000001E-2</v>
      </c>
      <c r="Z2694">
        <v>1.0281119999999999E-2</v>
      </c>
      <c r="AA2694">
        <v>0.99527770000000004</v>
      </c>
      <c r="AB2694">
        <v>32</v>
      </c>
      <c r="AC2694">
        <v>-0.74209999999999299</v>
      </c>
      <c r="AD2694">
        <v>-0.163545199999999</v>
      </c>
      <c r="AE2694">
        <v>8.5199999999986106E-2</v>
      </c>
      <c r="AF2694">
        <v>8.6658285147318895E-2</v>
      </c>
      <c r="AG2694">
        <v>-0.163545199999999</v>
      </c>
      <c r="AH2694">
        <v>0.70751838356136698</v>
      </c>
      <c r="AI2694">
        <v>102.922215986315</v>
      </c>
      <c r="AJ2694">
        <v>83.017077143284794</v>
      </c>
      <c r="AK2694">
        <v>0.73132684478624499</v>
      </c>
      <c r="AL2694">
        <v>81.602781481679003</v>
      </c>
      <c r="AM2694">
        <v>96.746633360834196</v>
      </c>
      <c r="AN2694">
        <v>0.99999997834507903</v>
      </c>
    </row>
    <row r="2695" spans="1:40" x14ac:dyDescent="0.25">
      <c r="A2695" t="str">
        <f>"20190304154812361"</f>
        <v>20190304154812361</v>
      </c>
      <c r="B2695" t="str">
        <f>"1551685692349402"</f>
        <v>1551685692349402</v>
      </c>
      <c r="C2695" t="s">
        <v>40</v>
      </c>
      <c r="D2695">
        <v>4.013083</v>
      </c>
      <c r="E2695">
        <v>0.54957979999999995</v>
      </c>
      <c r="F2695" t="s">
        <v>41</v>
      </c>
      <c r="G2695">
        <v>-306.62650000000002</v>
      </c>
      <c r="H2695">
        <v>0.97596939999999999</v>
      </c>
      <c r="I2695">
        <v>285.53899999999999</v>
      </c>
      <c r="J2695">
        <v>-306.06369999999998</v>
      </c>
      <c r="K2695">
        <v>1.110347</v>
      </c>
      <c r="L2695">
        <v>285.46870000000001</v>
      </c>
      <c r="M2695">
        <v>-0.99991249999999998</v>
      </c>
      <c r="N2695">
        <v>-1.085347E-2</v>
      </c>
      <c r="O2695">
        <v>-7.5623030000000003E-3</v>
      </c>
      <c r="P2695">
        <v>-0.98305830000000005</v>
      </c>
      <c r="Q2695">
        <v>0.13517419999999999</v>
      </c>
      <c r="R2695">
        <v>-0.123790899999999</v>
      </c>
      <c r="S2695">
        <v>-3.1654969999999998</v>
      </c>
      <c r="T2695">
        <v>-0.56276040000000005</v>
      </c>
      <c r="U2695">
        <v>0.28799439999999998</v>
      </c>
      <c r="V2695">
        <v>-0.1163464</v>
      </c>
      <c r="W2695">
        <v>0.14585100000000001</v>
      </c>
      <c r="X2695">
        <v>0.98244140000000002</v>
      </c>
      <c r="Y2695">
        <v>9.6436679999999997E-2</v>
      </c>
      <c r="Z2695">
        <v>1.0267220000000001E-2</v>
      </c>
      <c r="AA2695">
        <v>0.99528620000000001</v>
      </c>
      <c r="AB2695">
        <v>32</v>
      </c>
      <c r="AC2695">
        <v>-0.56280000000003805</v>
      </c>
      <c r="AD2695">
        <v>-0.13437760000000001</v>
      </c>
      <c r="AE2695">
        <v>7.0299999999974702E-2</v>
      </c>
      <c r="AF2695">
        <v>7.0591746499605701E-2</v>
      </c>
      <c r="AG2695">
        <v>-0.13437760000000001</v>
      </c>
      <c r="AH2695">
        <v>0.53236856253578402</v>
      </c>
      <c r="AI2695">
        <v>104.04834327603599</v>
      </c>
      <c r="AJ2695">
        <v>82.446677938088399</v>
      </c>
      <c r="AK2695">
        <v>0.55358542288615398</v>
      </c>
      <c r="AL2695">
        <v>81.613438624491494</v>
      </c>
      <c r="AM2695">
        <v>96.753841774713806</v>
      </c>
      <c r="AN2695">
        <v>1.00000005171395</v>
      </c>
    </row>
    <row r="2696" spans="1:40" x14ac:dyDescent="0.25">
      <c r="A2696" t="str">
        <f>"20190304154812394"</f>
        <v>20190304154812394</v>
      </c>
      <c r="B2696" t="str">
        <f>"1551685692389419"</f>
        <v>1551685692389419</v>
      </c>
      <c r="C2696" t="s">
        <v>40</v>
      </c>
      <c r="D2696">
        <v>4.1618789999999999</v>
      </c>
      <c r="E2696">
        <v>0.55286880000000005</v>
      </c>
      <c r="F2696" t="s">
        <v>60</v>
      </c>
      <c r="G2696">
        <v>-387.90390000000002</v>
      </c>
      <c r="H2696" s="1">
        <v>2.6692819999999999E-6</v>
      </c>
      <c r="I2696">
        <v>286.47919999999999</v>
      </c>
      <c r="J2696">
        <v>-306.53440000000001</v>
      </c>
      <c r="K2696">
        <v>1.1103499999999999</v>
      </c>
      <c r="L2696">
        <v>285.46510000000001</v>
      </c>
      <c r="M2696">
        <v>-0.99991269999999999</v>
      </c>
      <c r="N2696">
        <v>-1.086239E-2</v>
      </c>
      <c r="O2696">
        <v>-7.5413679999999997E-3</v>
      </c>
      <c r="P2696">
        <v>-0.98304069999999999</v>
      </c>
      <c r="Q2696">
        <v>0.1352757</v>
      </c>
      <c r="R2696">
        <v>-0.1238225</v>
      </c>
      <c r="S2696">
        <v>-3.0621339999999999</v>
      </c>
      <c r="T2696">
        <v>-4.154468E-2</v>
      </c>
      <c r="U2696">
        <v>3.7811280000000003E-2</v>
      </c>
      <c r="V2696">
        <v>-0.1163951</v>
      </c>
      <c r="W2696">
        <v>0.14596329999999999</v>
      </c>
      <c r="X2696">
        <v>0.98241889999999998</v>
      </c>
      <c r="Y2696">
        <v>1.9884639999999999E-2</v>
      </c>
      <c r="Z2696">
        <v>2.6328389999999999E-4</v>
      </c>
      <c r="AA2696">
        <v>0.99980219999999997</v>
      </c>
      <c r="AB2696">
        <v>32</v>
      </c>
      <c r="AC2696">
        <v>-81.369500000000002</v>
      </c>
      <c r="AD2696">
        <v>-1.1103473307179901</v>
      </c>
      <c r="AE2696">
        <v>1.01409999999998</v>
      </c>
      <c r="AF2696">
        <v>1.6274416316834801</v>
      </c>
      <c r="AG2696">
        <v>-1.1103473307179901</v>
      </c>
      <c r="AH2696">
        <v>81.344393223092894</v>
      </c>
      <c r="AI2696">
        <v>90.781879813814598</v>
      </c>
      <c r="AJ2696">
        <v>88.853847266065301</v>
      </c>
      <c r="AK2696">
        <v>81.368247776958597</v>
      </c>
      <c r="AL2696">
        <v>81.606934265716006</v>
      </c>
      <c r="AM2696">
        <v>96.756795965198506</v>
      </c>
      <c r="AN2696">
        <v>0.99999999966405395</v>
      </c>
    </row>
    <row r="2697" spans="1:40" x14ac:dyDescent="0.25">
      <c r="A2697" t="str">
        <f>"20190304154812410"</f>
        <v>20190304154812410</v>
      </c>
      <c r="B2697" t="str">
        <f>"1551685692399179"</f>
        <v>1551685692399179</v>
      </c>
      <c r="C2697" t="s">
        <v>40</v>
      </c>
      <c r="D2697">
        <v>4.1883499999999998</v>
      </c>
      <c r="E2697">
        <v>0.55259539999999996</v>
      </c>
      <c r="F2697" t="s">
        <v>42</v>
      </c>
      <c r="G2697">
        <v>0</v>
      </c>
      <c r="H2697">
        <v>0</v>
      </c>
      <c r="I2697">
        <v>0</v>
      </c>
      <c r="J2697">
        <v>-306.78129999999999</v>
      </c>
      <c r="K2697">
        <v>1.110349</v>
      </c>
      <c r="L2697">
        <v>285.46319999999997</v>
      </c>
      <c r="M2697">
        <v>-0.99991269999999999</v>
      </c>
      <c r="N2697">
        <v>-1.086707E-2</v>
      </c>
      <c r="O2697">
        <v>-7.519838E-3</v>
      </c>
      <c r="P2697">
        <v>-0.98314460000000004</v>
      </c>
      <c r="Q2697">
        <v>0.13462839999999901</v>
      </c>
      <c r="R2697">
        <v>-0.1237004</v>
      </c>
      <c r="S2697">
        <v>-3.0591430000000002</v>
      </c>
      <c r="T2697">
        <v>3.177881E-3</v>
      </c>
      <c r="U2697">
        <v>6.2133790000000001E-2</v>
      </c>
      <c r="V2697">
        <v>-0.1162914</v>
      </c>
      <c r="W2697">
        <v>0.14532410000000001</v>
      </c>
      <c r="X2697">
        <v>0.98252589999999995</v>
      </c>
      <c r="Y2697">
        <v>2.7824419999999999E-2</v>
      </c>
      <c r="Z2697" s="1">
        <v>4.7231599999999997E-5</v>
      </c>
      <c r="AA2697">
        <v>0.99961279999999997</v>
      </c>
      <c r="AB2697">
        <v>32</v>
      </c>
      <c r="AC2697">
        <v>-3.0591430000000002</v>
      </c>
      <c r="AD2697">
        <v>3.177881E-3</v>
      </c>
      <c r="AE2697">
        <v>6.2133790000000001E-2</v>
      </c>
      <c r="AF2697">
        <v>8.5137558822341503E-2</v>
      </c>
      <c r="AG2697">
        <v>3.177881E-3</v>
      </c>
      <c r="AH2697">
        <v>3.0585859315317401</v>
      </c>
      <c r="AI2697">
        <v>89.940492564417497</v>
      </c>
      <c r="AJ2697">
        <v>88.405549613661194</v>
      </c>
      <c r="AK2697">
        <v>3.0597722796662099</v>
      </c>
      <c r="AL2697">
        <v>81.643952149125198</v>
      </c>
      <c r="AM2697">
        <v>96.750103308618307</v>
      </c>
      <c r="AN2697">
        <v>0.99999996396278901</v>
      </c>
    </row>
    <row r="2698" spans="1:40" x14ac:dyDescent="0.25">
      <c r="A2698" t="str">
        <f>"20190304154812424"</f>
        <v>20190304154812424</v>
      </c>
      <c r="B2698" t="str">
        <f>"1551685692419676"</f>
        <v>1551685692419676</v>
      </c>
      <c r="C2698" t="s">
        <v>40</v>
      </c>
      <c r="D2698">
        <v>4.1029109999999998</v>
      </c>
      <c r="E2698">
        <v>0.55225880000000005</v>
      </c>
      <c r="F2698" t="s">
        <v>42</v>
      </c>
      <c r="G2698">
        <v>0</v>
      </c>
      <c r="H2698">
        <v>0</v>
      </c>
      <c r="I2698">
        <v>0</v>
      </c>
      <c r="J2698">
        <v>-306.96839999999997</v>
      </c>
      <c r="K2698">
        <v>1.110341</v>
      </c>
      <c r="L2698">
        <v>285.46190000000001</v>
      </c>
      <c r="M2698">
        <v>-0.99991289999999999</v>
      </c>
      <c r="N2698">
        <v>-1.0870609999999999E-2</v>
      </c>
      <c r="O2698">
        <v>-7.4973629999999999E-3</v>
      </c>
      <c r="P2698">
        <v>-0.98322140000000002</v>
      </c>
      <c r="Q2698">
        <v>0.13457740000000001</v>
      </c>
      <c r="R2698">
        <v>-0.12314600000000001</v>
      </c>
      <c r="S2698">
        <v>-3.0579529999999999</v>
      </c>
      <c r="T2698">
        <v>7.8433749999999997E-3</v>
      </c>
      <c r="U2698">
        <v>6.0089110000000001E-2</v>
      </c>
      <c r="V2698">
        <v>-0.1157562</v>
      </c>
      <c r="W2698">
        <v>0.14527880000000001</v>
      </c>
      <c r="X2698">
        <v>0.98259589999999997</v>
      </c>
      <c r="Y2698">
        <v>2.7141740000000001E-2</v>
      </c>
      <c r="Z2698" s="1">
        <v>1.2014539999999999E-5</v>
      </c>
      <c r="AA2698">
        <v>0.99963159999999895</v>
      </c>
      <c r="AB2698">
        <v>32</v>
      </c>
      <c r="AC2698">
        <v>-3.0579529999999999</v>
      </c>
      <c r="AD2698">
        <v>7.8433749999999997E-3</v>
      </c>
      <c r="AE2698">
        <v>6.0089110000000001E-2</v>
      </c>
      <c r="AF2698">
        <v>8.3014811294149796E-2</v>
      </c>
      <c r="AG2698">
        <v>7.8433749999999997E-3</v>
      </c>
      <c r="AH2698">
        <v>3.05739640161466</v>
      </c>
      <c r="AI2698">
        <v>89.8530691876677</v>
      </c>
      <c r="AJ2698">
        <v>88.444679933312798</v>
      </c>
      <c r="AK2698">
        <v>3.0585332651504502</v>
      </c>
      <c r="AL2698">
        <v>81.646576339553405</v>
      </c>
      <c r="AM2698">
        <v>96.718848159717695</v>
      </c>
      <c r="AN2698">
        <v>1.00000006513234</v>
      </c>
    </row>
    <row r="2699" spans="1:40" x14ac:dyDescent="0.25">
      <c r="A2699" t="str">
        <f>"20190304154812436"</f>
        <v>20190304154812436</v>
      </c>
      <c r="B2699" t="str">
        <f>"1551685692429435"</f>
        <v>1551685692429435</v>
      </c>
      <c r="C2699" t="s">
        <v>40</v>
      </c>
      <c r="D2699">
        <v>4.0698319999999999</v>
      </c>
      <c r="E2699">
        <v>0.55269659999999998</v>
      </c>
      <c r="F2699" t="s">
        <v>42</v>
      </c>
      <c r="G2699">
        <v>0</v>
      </c>
      <c r="H2699">
        <v>0</v>
      </c>
      <c r="I2699">
        <v>0</v>
      </c>
      <c r="J2699">
        <v>-307.14859999999999</v>
      </c>
      <c r="K2699">
        <v>1.11032999999999</v>
      </c>
      <c r="L2699">
        <v>285.46050000000002</v>
      </c>
      <c r="M2699">
        <v>-0.99991289999999999</v>
      </c>
      <c r="N2699">
        <v>-1.087403E-2</v>
      </c>
      <c r="O2699">
        <v>-7.4722669999999899E-3</v>
      </c>
      <c r="P2699">
        <v>-0.98320719999999995</v>
      </c>
      <c r="Q2699">
        <v>0.13451199999999999</v>
      </c>
      <c r="R2699">
        <v>-0.1233291</v>
      </c>
      <c r="S2699">
        <v>-3.0548709999999999</v>
      </c>
      <c r="T2699">
        <v>2.6847240000000001E-2</v>
      </c>
      <c r="U2699">
        <v>5.8624269999999999E-2</v>
      </c>
      <c r="V2699">
        <v>-0.115962</v>
      </c>
      <c r="W2699">
        <v>0.14521879999999901</v>
      </c>
      <c r="X2699">
        <v>0.98258040000000002</v>
      </c>
      <c r="Y2699">
        <v>2.66565E-2</v>
      </c>
      <c r="Z2699">
        <v>-1.1907789999999999E-4</v>
      </c>
      <c r="AA2699">
        <v>0.99964459999999999</v>
      </c>
      <c r="AB2699">
        <v>32</v>
      </c>
      <c r="AC2699">
        <v>-3.0548709999999999</v>
      </c>
      <c r="AD2699">
        <v>2.6847240000000001E-2</v>
      </c>
      <c r="AE2699">
        <v>5.8624269999999999E-2</v>
      </c>
      <c r="AF2699">
        <v>8.1444507851253997E-2</v>
      </c>
      <c r="AG2699">
        <v>2.6847240000000001E-2</v>
      </c>
      <c r="AH2699">
        <v>3.0541118254169599</v>
      </c>
      <c r="AI2699">
        <v>89.496532086038997</v>
      </c>
      <c r="AJ2699">
        <v>88.472445953047</v>
      </c>
      <c r="AK2699">
        <v>3.0553155359645698</v>
      </c>
      <c r="AL2699">
        <v>81.650050082206207</v>
      </c>
      <c r="AM2699">
        <v>96.730789133518002</v>
      </c>
      <c r="AN2699">
        <v>0.99999996389079904</v>
      </c>
    </row>
    <row r="2700" spans="1:40" x14ac:dyDescent="0.25">
      <c r="A2700" t="str">
        <f>"20190304154812447"</f>
        <v>20190304154812447</v>
      </c>
      <c r="B2700" t="str">
        <f>"1551685692439195"</f>
        <v>1551685692439195</v>
      </c>
      <c r="C2700" t="s">
        <v>40</v>
      </c>
      <c r="D2700">
        <v>4.0727669999999998</v>
      </c>
      <c r="E2700">
        <v>0.552871</v>
      </c>
      <c r="F2700" t="s">
        <v>42</v>
      </c>
      <c r="G2700">
        <v>0</v>
      </c>
      <c r="H2700">
        <v>0</v>
      </c>
      <c r="I2700">
        <v>0</v>
      </c>
      <c r="J2700">
        <v>-307.322</v>
      </c>
      <c r="K2700">
        <v>1.1103209999999999</v>
      </c>
      <c r="L2700">
        <v>285.45929999999998</v>
      </c>
      <c r="M2700">
        <v>-0.9999133</v>
      </c>
      <c r="N2700">
        <v>-1.0877329999999999E-2</v>
      </c>
      <c r="O2700">
        <v>-7.4435949999999999E-3</v>
      </c>
      <c r="P2700">
        <v>-0.98317500000000002</v>
      </c>
      <c r="Q2700">
        <v>0.13453380000000001</v>
      </c>
      <c r="R2700">
        <v>-0.12356449999999999</v>
      </c>
      <c r="S2700">
        <v>-3.0543209999999998</v>
      </c>
      <c r="T2700">
        <v>3.3393619999999999E-2</v>
      </c>
      <c r="U2700">
        <v>6.1309809999999999E-2</v>
      </c>
      <c r="V2700">
        <v>-0.1162229</v>
      </c>
      <c r="W2700">
        <v>0.14524519999999999</v>
      </c>
      <c r="X2700">
        <v>0.98254569999999997</v>
      </c>
      <c r="Y2700">
        <v>2.75093E-2</v>
      </c>
      <c r="Z2700">
        <v>-1.630577E-4</v>
      </c>
      <c r="AA2700">
        <v>0.99962150000000005</v>
      </c>
      <c r="AB2700">
        <v>32</v>
      </c>
      <c r="AC2700">
        <v>-3.0543209999999998</v>
      </c>
      <c r="AD2700">
        <v>3.3393619999999999E-2</v>
      </c>
      <c r="AE2700">
        <v>6.1309809999999999E-2</v>
      </c>
      <c r="AF2700">
        <v>8.4034540043415706E-2</v>
      </c>
      <c r="AG2700">
        <v>3.3393619999999999E-2</v>
      </c>
      <c r="AH2700">
        <v>3.05341513585685</v>
      </c>
      <c r="AI2700">
        <v>89.373647859071397</v>
      </c>
      <c r="AJ2700">
        <v>88.423532608270307</v>
      </c>
      <c r="AK2700">
        <v>3.0547538247224901</v>
      </c>
      <c r="AL2700">
        <v>81.648521497525493</v>
      </c>
      <c r="AM2700">
        <v>96.746029207041303</v>
      </c>
      <c r="AN2700">
        <v>0.99999999159796904</v>
      </c>
    </row>
    <row r="2701" spans="1:40" x14ac:dyDescent="0.25">
      <c r="A2701" t="str">
        <f>"20190304154812459"</f>
        <v>20190304154812459</v>
      </c>
      <c r="B2701" t="str">
        <f>"1551685692448955"</f>
        <v>1551685692448955</v>
      </c>
      <c r="C2701" t="s">
        <v>40</v>
      </c>
      <c r="D2701">
        <v>4.1097000000000001</v>
      </c>
      <c r="E2701">
        <v>0.55313679999999998</v>
      </c>
      <c r="F2701" t="s">
        <v>42</v>
      </c>
      <c r="G2701">
        <v>0</v>
      </c>
      <c r="H2701">
        <v>0</v>
      </c>
      <c r="I2701">
        <v>0</v>
      </c>
      <c r="J2701">
        <v>-307.48570000000001</v>
      </c>
      <c r="K2701">
        <v>1.110317</v>
      </c>
      <c r="L2701">
        <v>285.4581</v>
      </c>
      <c r="M2701">
        <v>-0.99991350000000001</v>
      </c>
      <c r="N2701">
        <v>-1.088045E-2</v>
      </c>
      <c r="O2701">
        <v>-7.4124250000000003E-3</v>
      </c>
      <c r="P2701">
        <v>-0.98323769999999999</v>
      </c>
      <c r="Q2701">
        <v>0.1345807</v>
      </c>
      <c r="R2701">
        <v>-0.123011999999999</v>
      </c>
      <c r="S2701">
        <v>-3.0539550000000002</v>
      </c>
      <c r="T2701">
        <v>3.7742499999999998E-2</v>
      </c>
      <c r="U2701">
        <v>6.1828609999999999E-2</v>
      </c>
      <c r="V2701">
        <v>-0.1156992</v>
      </c>
      <c r="W2701">
        <v>0.14529710000000001</v>
      </c>
      <c r="X2701">
        <v>0.98259989999999997</v>
      </c>
      <c r="Y2701">
        <v>2.764981E-2</v>
      </c>
      <c r="Z2701">
        <v>-1.9262319999999999E-4</v>
      </c>
      <c r="AA2701">
        <v>0.9996176</v>
      </c>
      <c r="AB2701">
        <v>32</v>
      </c>
      <c r="AC2701">
        <v>-3.0539550000000002</v>
      </c>
      <c r="AD2701">
        <v>3.7742499999999998E-2</v>
      </c>
      <c r="AE2701">
        <v>6.1828609999999999E-2</v>
      </c>
      <c r="AF2701">
        <v>8.4452566369084395E-2</v>
      </c>
      <c r="AG2701">
        <v>3.7742499999999998E-2</v>
      </c>
      <c r="AH2701">
        <v>3.0529466655623101</v>
      </c>
      <c r="AI2701">
        <v>89.291979439018206</v>
      </c>
      <c r="AJ2701">
        <v>88.415451538150293</v>
      </c>
      <c r="AK2701">
        <v>3.0543477331568898</v>
      </c>
      <c r="AL2701">
        <v>81.645516520637599</v>
      </c>
      <c r="AM2701">
        <v>96.715542840034303</v>
      </c>
      <c r="AN2701">
        <v>1.0000000578145201</v>
      </c>
    </row>
    <row r="2702" spans="1:40" x14ac:dyDescent="0.25">
      <c r="A2702" t="str">
        <f>"20190304154812472"</f>
        <v>20190304154812472</v>
      </c>
      <c r="B2702" t="str">
        <f>"1551685692469451"</f>
        <v>1551685692469451</v>
      </c>
      <c r="C2702" t="s">
        <v>40</v>
      </c>
      <c r="D2702">
        <v>4.1657640000000002</v>
      </c>
      <c r="E2702">
        <v>0.55226459999999999</v>
      </c>
      <c r="F2702" t="s">
        <v>42</v>
      </c>
      <c r="G2702">
        <v>0</v>
      </c>
      <c r="H2702">
        <v>0</v>
      </c>
      <c r="I2702">
        <v>0</v>
      </c>
      <c r="J2702">
        <v>-307.6678</v>
      </c>
      <c r="K2702">
        <v>1.110309</v>
      </c>
      <c r="L2702">
        <v>285.45670000000001</v>
      </c>
      <c r="M2702">
        <v>-0.99991359999999996</v>
      </c>
      <c r="N2702">
        <v>-1.088392E-2</v>
      </c>
      <c r="O2702">
        <v>-7.3756459999999996E-3</v>
      </c>
      <c r="P2702">
        <v>-0.98322039999999999</v>
      </c>
      <c r="Q2702">
        <v>0.13465920000000001</v>
      </c>
      <c r="R2702">
        <v>-0.1230636</v>
      </c>
      <c r="S2702">
        <v>-3.0536799999999999</v>
      </c>
      <c r="T2702">
        <v>4.1248079999999999E-2</v>
      </c>
      <c r="U2702">
        <v>6.5460210000000005E-2</v>
      </c>
      <c r="V2702">
        <v>-0.1157849</v>
      </c>
      <c r="W2702">
        <v>0.1453806</v>
      </c>
      <c r="X2702">
        <v>0.98257740000000005</v>
      </c>
      <c r="Y2702">
        <v>2.8802680000000001E-2</v>
      </c>
      <c r="Z2702">
        <v>-2.1760470000000001E-4</v>
      </c>
      <c r="AA2702">
        <v>0.9995851</v>
      </c>
      <c r="AB2702">
        <v>32</v>
      </c>
      <c r="AC2702">
        <v>-3.0536799999999999</v>
      </c>
      <c r="AD2702">
        <v>4.1248079999999999E-2</v>
      </c>
      <c r="AE2702">
        <v>6.5460210000000005E-2</v>
      </c>
      <c r="AF2702">
        <v>8.7966582562630999E-2</v>
      </c>
      <c r="AG2702">
        <v>4.1248079999999999E-2</v>
      </c>
      <c r="AH2702">
        <v>3.05255738427357</v>
      </c>
      <c r="AI2702">
        <v>89.226151630224294</v>
      </c>
      <c r="AJ2702">
        <v>88.349344890095793</v>
      </c>
      <c r="AK2702">
        <v>3.0541031593635601</v>
      </c>
      <c r="AL2702">
        <v>81.640680530029897</v>
      </c>
      <c r="AM2702">
        <v>96.720624137619595</v>
      </c>
      <c r="AN2702">
        <v>1.0000000044575601</v>
      </c>
    </row>
    <row r="2703" spans="1:40" x14ac:dyDescent="0.25">
      <c r="A2703" t="str">
        <f>"20190304154812484"</f>
        <v>20190304154812484</v>
      </c>
      <c r="B2703" t="str">
        <f>"1551685692479211"</f>
        <v>1551685692479211</v>
      </c>
      <c r="C2703" t="s">
        <v>40</v>
      </c>
      <c r="D2703">
        <v>4.0882959999999997</v>
      </c>
      <c r="E2703">
        <v>0.55230829999999997</v>
      </c>
      <c r="F2703" t="s">
        <v>42</v>
      </c>
      <c r="G2703">
        <v>0</v>
      </c>
      <c r="H2703">
        <v>0</v>
      </c>
      <c r="I2703">
        <v>0</v>
      </c>
      <c r="J2703">
        <v>-307.84649999999999</v>
      </c>
      <c r="K2703">
        <v>1.1102959999999999</v>
      </c>
      <c r="L2703">
        <v>285.45549999999997</v>
      </c>
      <c r="M2703">
        <v>-0.99991379999999996</v>
      </c>
      <c r="N2703">
        <v>-1.0887340000000001E-2</v>
      </c>
      <c r="O2703">
        <v>-7.3348299999999996E-3</v>
      </c>
      <c r="P2703">
        <v>-0.9831995</v>
      </c>
      <c r="Q2703">
        <v>0.13497679999999901</v>
      </c>
      <c r="R2703">
        <v>-0.1228818</v>
      </c>
      <c r="S2703">
        <v>-3.0529790000000001</v>
      </c>
      <c r="T2703">
        <v>4.0652630000000002E-2</v>
      </c>
      <c r="U2703">
        <v>5.841064E-2</v>
      </c>
      <c r="V2703">
        <v>-0.1156416</v>
      </c>
      <c r="W2703">
        <v>0.14570239999999901</v>
      </c>
      <c r="X2703">
        <v>0.98254660000000005</v>
      </c>
      <c r="Y2703">
        <v>2.6459679999999999E-2</v>
      </c>
      <c r="Z2703">
        <v>-2.0958559999999999E-4</v>
      </c>
      <c r="AA2703">
        <v>0.99964989999999998</v>
      </c>
      <c r="AB2703">
        <v>32</v>
      </c>
      <c r="AC2703">
        <v>-3.0529790000000001</v>
      </c>
      <c r="AD2703">
        <v>4.0652630000000002E-2</v>
      </c>
      <c r="AE2703">
        <v>5.841064E-2</v>
      </c>
      <c r="AF2703">
        <v>8.0789159093880694E-2</v>
      </c>
      <c r="AG2703">
        <v>4.0652630000000002E-2</v>
      </c>
      <c r="AH2703">
        <v>3.05192747210309</v>
      </c>
      <c r="AI2703">
        <v>89.237114615651507</v>
      </c>
      <c r="AJ2703">
        <v>88.483647751215102</v>
      </c>
      <c r="AK2703">
        <v>3.0532672368350902</v>
      </c>
      <c r="AL2703">
        <v>81.622044233472593</v>
      </c>
      <c r="AM2703">
        <v>96.712590863491201</v>
      </c>
      <c r="AN2703">
        <v>0.99999999509394</v>
      </c>
    </row>
    <row r="2704" spans="1:40" x14ac:dyDescent="0.25">
      <c r="A2704" t="str">
        <f>"20190304154812500"</f>
        <v>20190304154812500</v>
      </c>
      <c r="B2704" t="str">
        <f>"1551685692488971"</f>
        <v>1551685692488971</v>
      </c>
      <c r="C2704" t="s">
        <v>40</v>
      </c>
      <c r="D2704">
        <v>4.2625270000000004</v>
      </c>
      <c r="E2704">
        <v>0.55285059999999997</v>
      </c>
      <c r="F2704" t="s">
        <v>42</v>
      </c>
      <c r="G2704">
        <v>0</v>
      </c>
      <c r="H2704">
        <v>0</v>
      </c>
      <c r="I2704">
        <v>0</v>
      </c>
      <c r="J2704">
        <v>-308.06580000000002</v>
      </c>
      <c r="K2704">
        <v>1.110282</v>
      </c>
      <c r="L2704">
        <v>285.45389999999998</v>
      </c>
      <c r="M2704">
        <v>-0.99991419999999998</v>
      </c>
      <c r="N2704">
        <v>-1.089153E-2</v>
      </c>
      <c r="O2704">
        <v>-7.2822140000000004E-3</v>
      </c>
      <c r="P2704">
        <v>-0.98318609999999995</v>
      </c>
      <c r="Q2704">
        <v>0.13500760000000001</v>
      </c>
      <c r="R2704">
        <v>-0.1229556</v>
      </c>
      <c r="S2704">
        <v>-3.0528870000000001</v>
      </c>
      <c r="T2704">
        <v>4.1745419999999998E-2</v>
      </c>
      <c r="U2704">
        <v>5.8990479999999998E-2</v>
      </c>
      <c r="V2704">
        <v>-0.1157656</v>
      </c>
      <c r="W2704">
        <v>0.1457387</v>
      </c>
      <c r="X2704">
        <v>0.98252660000000003</v>
      </c>
      <c r="Y2704">
        <v>2.6597320000000001E-2</v>
      </c>
      <c r="Z2704">
        <v>-2.158261E-4</v>
      </c>
      <c r="AA2704">
        <v>0.99964620000000004</v>
      </c>
      <c r="AB2704">
        <v>32</v>
      </c>
      <c r="AC2704">
        <v>-3.0528870000000001</v>
      </c>
      <c r="AD2704">
        <v>4.1745419999999998E-2</v>
      </c>
      <c r="AE2704">
        <v>5.8990479999999998E-2</v>
      </c>
      <c r="AF2704">
        <v>8.1206831710168806E-2</v>
      </c>
      <c r="AG2704">
        <v>4.1745419999999998E-2</v>
      </c>
      <c r="AH2704">
        <v>3.0518060191850802</v>
      </c>
      <c r="AI2704">
        <v>89.216581583490694</v>
      </c>
      <c r="AJ2704">
        <v>88.475751406650303</v>
      </c>
      <c r="AK2704">
        <v>3.0531716637525701</v>
      </c>
      <c r="AL2704">
        <v>81.619941839796098</v>
      </c>
      <c r="AM2704">
        <v>96.719858376952601</v>
      </c>
      <c r="AN2704">
        <v>0.99999998126430401</v>
      </c>
    </row>
    <row r="2705" spans="1:40" x14ac:dyDescent="0.25">
      <c r="A2705" t="str">
        <f>"20190304154812512"</f>
        <v>20190304154812512</v>
      </c>
      <c r="B2705" t="str">
        <f>"1551685692509467"</f>
        <v>1551685692509467</v>
      </c>
      <c r="C2705" t="s">
        <v>40</v>
      </c>
      <c r="D2705">
        <v>4.2964449999999896</v>
      </c>
      <c r="E2705">
        <v>0.55243409999999904</v>
      </c>
      <c r="F2705" t="s">
        <v>42</v>
      </c>
      <c r="G2705">
        <v>0</v>
      </c>
      <c r="H2705">
        <v>0</v>
      </c>
      <c r="I2705">
        <v>0</v>
      </c>
      <c r="J2705">
        <v>-308.25150000000002</v>
      </c>
      <c r="K2705">
        <v>1.110268</v>
      </c>
      <c r="L2705">
        <v>285.45260000000002</v>
      </c>
      <c r="M2705">
        <v>-0.99991430000000003</v>
      </c>
      <c r="N2705">
        <v>-1.0895190000000001E-2</v>
      </c>
      <c r="O2705">
        <v>-7.235338E-3</v>
      </c>
      <c r="P2705">
        <v>-0.98317770000000004</v>
      </c>
      <c r="Q2705">
        <v>0.13500719999999999</v>
      </c>
      <c r="R2705">
        <v>-0.12302299999999999</v>
      </c>
      <c r="S2705">
        <v>-3.0533450000000002</v>
      </c>
      <c r="T2705">
        <v>4.2309279999999998E-2</v>
      </c>
      <c r="U2705">
        <v>6.283569E-2</v>
      </c>
      <c r="V2705">
        <v>-0.11587799999999999</v>
      </c>
      <c r="W2705">
        <v>0.14574300000000001</v>
      </c>
      <c r="X2705">
        <v>0.98251270000000002</v>
      </c>
      <c r="Y2705">
        <v>2.7805860000000002E-2</v>
      </c>
      <c r="Z2705">
        <v>-2.2018229999999999E-4</v>
      </c>
      <c r="AA2705">
        <v>0.99961330000000004</v>
      </c>
      <c r="AB2705">
        <v>32</v>
      </c>
      <c r="AC2705">
        <v>-3.0533450000000002</v>
      </c>
      <c r="AD2705">
        <v>4.2309279999999998E-2</v>
      </c>
      <c r="AE2705">
        <v>6.283569E-2</v>
      </c>
      <c r="AF2705">
        <v>8.4911046515197902E-2</v>
      </c>
      <c r="AG2705">
        <v>4.2309279999999998E-2</v>
      </c>
      <c r="AH2705">
        <v>3.0522245997338899</v>
      </c>
      <c r="AI2705">
        <v>89.206136203125894</v>
      </c>
      <c r="AJ2705">
        <v>88.406476989806094</v>
      </c>
      <c r="AK2705">
        <v>3.0536985719312799</v>
      </c>
      <c r="AL2705">
        <v>81.619692707978203</v>
      </c>
      <c r="AM2705">
        <v>96.726417406839204</v>
      </c>
      <c r="AN2705">
        <v>0.99999996929714396</v>
      </c>
    </row>
    <row r="2706" spans="1:40" x14ac:dyDescent="0.25">
      <c r="A2706" t="str">
        <f>"20190304154812524"</f>
        <v>20190304154812524</v>
      </c>
      <c r="B2706" t="str">
        <f>"1551685692519227"</f>
        <v>1551685692519227</v>
      </c>
      <c r="C2706" t="s">
        <v>40</v>
      </c>
      <c r="D2706">
        <v>4.1532809999999998</v>
      </c>
      <c r="E2706">
        <v>0.55230819999999903</v>
      </c>
      <c r="F2706" t="s">
        <v>42</v>
      </c>
      <c r="G2706">
        <v>0</v>
      </c>
      <c r="H2706">
        <v>0</v>
      </c>
      <c r="I2706">
        <v>0</v>
      </c>
      <c r="J2706">
        <v>-308.42689999999999</v>
      </c>
      <c r="K2706">
        <v>1.110266</v>
      </c>
      <c r="L2706">
        <v>285.45139999999998</v>
      </c>
      <c r="M2706">
        <v>-0.99991490000000005</v>
      </c>
      <c r="N2706">
        <v>-1.0900170000000001E-2</v>
      </c>
      <c r="O2706">
        <v>-7.1889629999999996E-3</v>
      </c>
      <c r="P2706">
        <v>-0.98321040000000004</v>
      </c>
      <c r="Q2706">
        <v>0.1348152</v>
      </c>
      <c r="R2706">
        <v>-0.122974</v>
      </c>
      <c r="S2706">
        <v>-3.0529480000000002</v>
      </c>
      <c r="T2706">
        <v>4.2236450000000002E-2</v>
      </c>
      <c r="U2706">
        <v>5.9356689999999997E-2</v>
      </c>
      <c r="V2706">
        <v>-0.1158732</v>
      </c>
      <c r="W2706">
        <v>0.14555660000000001</v>
      </c>
      <c r="X2706">
        <v>0.98254090000000005</v>
      </c>
      <c r="Y2706">
        <v>2.6623540000000001E-2</v>
      </c>
      <c r="Z2706">
        <v>-2.1680939999999999E-4</v>
      </c>
      <c r="AA2706">
        <v>0.99964549999999996</v>
      </c>
      <c r="AB2706">
        <v>32</v>
      </c>
      <c r="AC2706">
        <v>-3.0529480000000002</v>
      </c>
      <c r="AD2706">
        <v>4.2236450000000002E-2</v>
      </c>
      <c r="AE2706">
        <v>5.9356689999999997E-2</v>
      </c>
      <c r="AF2706">
        <v>8.1288434317993596E-2</v>
      </c>
      <c r="AG2706">
        <v>4.2236450000000002E-2</v>
      </c>
      <c r="AH2706">
        <v>3.0518584642876299</v>
      </c>
      <c r="AI2706">
        <v>89.207381976111805</v>
      </c>
      <c r="AJ2706">
        <v>88.474246660602603</v>
      </c>
      <c r="AK2706">
        <v>3.05323300999228</v>
      </c>
      <c r="AL2706">
        <v>81.630487774049399</v>
      </c>
      <c r="AM2706">
        <v>96.725950053208194</v>
      </c>
      <c r="AN2706">
        <v>0.999999971227304</v>
      </c>
    </row>
    <row r="2707" spans="1:40" x14ac:dyDescent="0.25">
      <c r="A2707" t="str">
        <f>"20190304154812537"</f>
        <v>20190304154812537</v>
      </c>
      <c r="B2707" t="str">
        <f>"1551685692528986"</f>
        <v>1551685692528986</v>
      </c>
      <c r="C2707" t="s">
        <v>40</v>
      </c>
      <c r="D2707">
        <v>4.1259690000000004</v>
      </c>
      <c r="E2707">
        <v>0.55219960000000001</v>
      </c>
      <c r="F2707" t="s">
        <v>42</v>
      </c>
      <c r="G2707">
        <v>0</v>
      </c>
      <c r="H2707">
        <v>0</v>
      </c>
      <c r="I2707">
        <v>0</v>
      </c>
      <c r="J2707">
        <v>-308.60430000000002</v>
      </c>
      <c r="K2707">
        <v>1.110263</v>
      </c>
      <c r="L2707">
        <v>285.4502</v>
      </c>
      <c r="M2707">
        <v>-0.99991509999999995</v>
      </c>
      <c r="N2707">
        <v>-1.0905929999999999E-2</v>
      </c>
      <c r="O2707">
        <v>-7.1411649999999997E-3</v>
      </c>
      <c r="P2707">
        <v>-0.98319109999999998</v>
      </c>
      <c r="Q2707">
        <v>0.13477819999999999</v>
      </c>
      <c r="R2707">
        <v>-0.1231675</v>
      </c>
      <c r="S2707">
        <v>-3.052521</v>
      </c>
      <c r="T2707">
        <v>4.394257E-2</v>
      </c>
      <c r="U2707">
        <v>5.8563230000000001E-2</v>
      </c>
      <c r="V2707">
        <v>-0.1161131</v>
      </c>
      <c r="W2707">
        <v>0.14552590000000001</v>
      </c>
      <c r="X2707">
        <v>0.98251710000000003</v>
      </c>
      <c r="Y2707">
        <v>2.6318520000000001E-2</v>
      </c>
      <c r="Z2707">
        <v>-2.26529E-4</v>
      </c>
      <c r="AA2707">
        <v>0.99965360000000003</v>
      </c>
      <c r="AB2707">
        <v>32</v>
      </c>
      <c r="AC2707">
        <v>-3.052521</v>
      </c>
      <c r="AD2707">
        <v>4.394257E-2</v>
      </c>
      <c r="AE2707">
        <v>5.8563230000000001E-2</v>
      </c>
      <c r="AF2707">
        <v>8.0344943797024004E-2</v>
      </c>
      <c r="AG2707">
        <v>4.394257E-2</v>
      </c>
      <c r="AH2707">
        <v>3.0513928128184999</v>
      </c>
      <c r="AI2707">
        <v>89.175236425104799</v>
      </c>
      <c r="AJ2707">
        <v>88.491717370243705</v>
      </c>
      <c r="AK2707">
        <v>3.0527666726385001</v>
      </c>
      <c r="AL2707">
        <v>81.632265470076902</v>
      </c>
      <c r="AM2707">
        <v>96.739909023949195</v>
      </c>
      <c r="AN2707">
        <v>0.99999994567741302</v>
      </c>
    </row>
    <row r="2708" spans="1:40" x14ac:dyDescent="0.25">
      <c r="A2708" t="str">
        <f>"20190304154812548"</f>
        <v>20190304154812548</v>
      </c>
      <c r="B2708" t="str">
        <f>"1551685692539723"</f>
        <v>1551685692539723</v>
      </c>
      <c r="C2708" t="s">
        <v>40</v>
      </c>
      <c r="D2708">
        <v>4.1306699999999896</v>
      </c>
      <c r="E2708">
        <v>0.55212349999999999</v>
      </c>
      <c r="F2708" t="s">
        <v>42</v>
      </c>
      <c r="G2708">
        <v>0</v>
      </c>
      <c r="H2708">
        <v>0</v>
      </c>
      <c r="I2708">
        <v>0</v>
      </c>
      <c r="J2708">
        <v>-308.77839999999998</v>
      </c>
      <c r="K2708">
        <v>1.11026</v>
      </c>
      <c r="L2708">
        <v>285.44900000000001</v>
      </c>
      <c r="M2708">
        <v>-0.99991540000000001</v>
      </c>
      <c r="N2708">
        <v>-1.091258E-2</v>
      </c>
      <c r="O2708">
        <v>-7.0934989999999996E-3</v>
      </c>
      <c r="P2708">
        <v>-0.98318220000000001</v>
      </c>
      <c r="Q2708">
        <v>0.13469709999999999</v>
      </c>
      <c r="R2708">
        <v>-0.1233286</v>
      </c>
      <c r="S2708">
        <v>-3.052155</v>
      </c>
      <c r="T2708">
        <v>4.5973060000000003E-2</v>
      </c>
      <c r="U2708">
        <v>5.6945799999999998E-2</v>
      </c>
      <c r="V2708">
        <v>-0.1163206</v>
      </c>
      <c r="W2708">
        <v>0.1454519</v>
      </c>
      <c r="X2708">
        <v>0.98250360000000003</v>
      </c>
      <c r="Y2708">
        <v>2.5743350000000002E-2</v>
      </c>
      <c r="Z2708">
        <v>-2.3759709999999999E-4</v>
      </c>
      <c r="AA2708">
        <v>0.99966849999999996</v>
      </c>
      <c r="AB2708">
        <v>32</v>
      </c>
      <c r="AC2708">
        <v>-3.052155</v>
      </c>
      <c r="AD2708">
        <v>4.5973060000000003E-2</v>
      </c>
      <c r="AE2708">
        <v>5.6945799999999998E-2</v>
      </c>
      <c r="AF2708">
        <v>7.8578290991651395E-2</v>
      </c>
      <c r="AG2708">
        <v>4.5973060000000003E-2</v>
      </c>
      <c r="AH2708">
        <v>3.0509822702631202</v>
      </c>
      <c r="AI2708">
        <v>89.137002525787594</v>
      </c>
      <c r="AJ2708">
        <v>88.524668792260897</v>
      </c>
      <c r="AK2708">
        <v>3.0523402306297398</v>
      </c>
      <c r="AL2708">
        <v>81.636551671445005</v>
      </c>
      <c r="AM2708">
        <v>96.751934400649603</v>
      </c>
      <c r="AN2708">
        <v>1.0000000306054599</v>
      </c>
    </row>
    <row r="2709" spans="1:40" x14ac:dyDescent="0.25">
      <c r="A2709" t="str">
        <f>"20190304154812562"</f>
        <v>20190304154812562</v>
      </c>
      <c r="B2709" t="str">
        <f>"1551685692559243"</f>
        <v>1551685692559243</v>
      </c>
      <c r="C2709" t="s">
        <v>40</v>
      </c>
      <c r="D2709">
        <v>4.1618230000000001</v>
      </c>
      <c r="E2709">
        <v>0.55187509999999995</v>
      </c>
      <c r="F2709" t="s">
        <v>42</v>
      </c>
      <c r="G2709">
        <v>0</v>
      </c>
      <c r="H2709">
        <v>0</v>
      </c>
      <c r="I2709">
        <v>0</v>
      </c>
      <c r="J2709">
        <v>-308.97280000000001</v>
      </c>
      <c r="K2709">
        <v>1.1102609999999999</v>
      </c>
      <c r="L2709">
        <v>285.44760000000002</v>
      </c>
      <c r="M2709">
        <v>-0.99991560000000002</v>
      </c>
      <c r="N2709">
        <v>-1.0920859999999999E-2</v>
      </c>
      <c r="O2709">
        <v>-7.0398800000000001E-3</v>
      </c>
      <c r="P2709">
        <v>-0.98321860000000005</v>
      </c>
      <c r="Q2709">
        <v>0.134718</v>
      </c>
      <c r="R2709">
        <v>-0.12301429999999999</v>
      </c>
      <c r="S2709">
        <v>-3.051758</v>
      </c>
      <c r="T2709">
        <v>4.761493E-2</v>
      </c>
      <c r="U2709">
        <v>5.5603029999999998E-2</v>
      </c>
      <c r="V2709">
        <v>-0.1160582</v>
      </c>
      <c r="W2709">
        <v>0.1454811</v>
      </c>
      <c r="X2709">
        <v>0.98253029999999997</v>
      </c>
      <c r="Y2709">
        <v>2.5252259999999999E-2</v>
      </c>
      <c r="Z2709">
        <v>-2.4575770000000001E-4</v>
      </c>
      <c r="AA2709">
        <v>0.99968109999999999</v>
      </c>
      <c r="AB2709">
        <v>32</v>
      </c>
      <c r="AC2709">
        <v>-3.051758</v>
      </c>
      <c r="AD2709">
        <v>4.761493E-2</v>
      </c>
      <c r="AE2709">
        <v>5.5603029999999998E-2</v>
      </c>
      <c r="AF2709">
        <v>7.7068188000646604E-2</v>
      </c>
      <c r="AG2709">
        <v>4.761493E-2</v>
      </c>
      <c r="AH2709">
        <v>3.05054853648473</v>
      </c>
      <c r="AI2709">
        <v>89.1060483109068</v>
      </c>
      <c r="AJ2709">
        <v>88.552803612250003</v>
      </c>
      <c r="AK2709">
        <v>3.05189335669019</v>
      </c>
      <c r="AL2709">
        <v>81.634860586329694</v>
      </c>
      <c r="AM2709">
        <v>96.736661916461301</v>
      </c>
      <c r="AN2709">
        <v>1.00000002333126</v>
      </c>
    </row>
    <row r="2710" spans="1:40" x14ac:dyDescent="0.25">
      <c r="A2710" t="str">
        <f>"20190304154812579"</f>
        <v>20190304154812579</v>
      </c>
      <c r="B2710" t="str">
        <f>"1551685692569003"</f>
        <v>1551685692569003</v>
      </c>
      <c r="C2710" t="s">
        <v>40</v>
      </c>
      <c r="D2710">
        <v>4.1604609999999997</v>
      </c>
      <c r="E2710">
        <v>0.55179500000000004</v>
      </c>
      <c r="F2710" t="s">
        <v>42</v>
      </c>
      <c r="G2710">
        <v>0</v>
      </c>
      <c r="H2710">
        <v>0</v>
      </c>
      <c r="I2710">
        <v>0</v>
      </c>
      <c r="J2710">
        <v>-309.22500000000002</v>
      </c>
      <c r="K2710">
        <v>1.110274</v>
      </c>
      <c r="L2710">
        <v>285.44589999999999</v>
      </c>
      <c r="M2710">
        <v>-0.99991569999999996</v>
      </c>
      <c r="N2710">
        <v>-1.096693E-2</v>
      </c>
      <c r="O2710">
        <v>-6.967015E-3</v>
      </c>
      <c r="P2710">
        <v>-0.98316599999999998</v>
      </c>
      <c r="Q2710">
        <v>0.1354524</v>
      </c>
      <c r="R2710">
        <v>-0.1226286</v>
      </c>
      <c r="S2710">
        <v>-3.0512700000000001</v>
      </c>
      <c r="T2710">
        <v>4.9747590000000001E-2</v>
      </c>
      <c r="U2710">
        <v>5.4656980000000001E-2</v>
      </c>
      <c r="V2710">
        <v>-0.1157435</v>
      </c>
      <c r="W2710">
        <v>0.1462609</v>
      </c>
      <c r="X2710">
        <v>0.98245159999999998</v>
      </c>
      <c r="Y2710">
        <v>2.4872200000000001E-2</v>
      </c>
      <c r="Z2710">
        <v>-2.5629100000000002E-4</v>
      </c>
      <c r="AA2710">
        <v>0.99969059999999998</v>
      </c>
      <c r="AB2710">
        <v>32</v>
      </c>
      <c r="AC2710">
        <v>-3.0512700000000001</v>
      </c>
      <c r="AD2710">
        <v>4.9747590000000001E-2</v>
      </c>
      <c r="AE2710">
        <v>5.4656980000000001E-2</v>
      </c>
      <c r="AF2710">
        <v>7.5895005642787297E-2</v>
      </c>
      <c r="AG2710">
        <v>4.9747590000000001E-2</v>
      </c>
      <c r="AH2710">
        <v>3.05000463496006</v>
      </c>
      <c r="AI2710">
        <v>89.065839971178093</v>
      </c>
      <c r="AJ2710">
        <v>88.5745705821179</v>
      </c>
      <c r="AK2710">
        <v>3.05135431372205</v>
      </c>
      <c r="AL2710">
        <v>81.589697875677103</v>
      </c>
      <c r="AM2710">
        <v>96.719095469532405</v>
      </c>
      <c r="AN2710">
        <v>0.99999997750180902</v>
      </c>
    </row>
    <row r="2711" spans="1:40" x14ac:dyDescent="0.25">
      <c r="A2711" t="str">
        <f>"20190304154812594"</f>
        <v>20190304154812594</v>
      </c>
      <c r="B2711" t="str">
        <f>"1551685692589498"</f>
        <v>1551685692589498</v>
      </c>
      <c r="C2711" t="s">
        <v>40</v>
      </c>
      <c r="D2711">
        <v>4.1756589999999996</v>
      </c>
      <c r="E2711">
        <v>0.55166309999999996</v>
      </c>
      <c r="F2711" t="s">
        <v>42</v>
      </c>
      <c r="G2711">
        <v>0</v>
      </c>
      <c r="H2711">
        <v>0</v>
      </c>
      <c r="I2711">
        <v>0</v>
      </c>
      <c r="J2711">
        <v>-309.4341</v>
      </c>
      <c r="K2711">
        <v>1.1102909999999999</v>
      </c>
      <c r="L2711">
        <v>285.44450000000001</v>
      </c>
      <c r="M2711">
        <v>-0.99991509999999995</v>
      </c>
      <c r="N2711">
        <v>-1.1048799999999999E-2</v>
      </c>
      <c r="O2711">
        <v>-6.9044719999999896E-3</v>
      </c>
      <c r="P2711">
        <v>-0.98324940000000005</v>
      </c>
      <c r="Q2711">
        <v>0.1354389</v>
      </c>
      <c r="R2711">
        <v>-0.1219712</v>
      </c>
      <c r="S2711">
        <v>-3.0509339999999998</v>
      </c>
      <c r="T2711">
        <v>5.2914259999999998E-2</v>
      </c>
      <c r="U2711">
        <v>5.5114749999999997E-2</v>
      </c>
      <c r="V2711">
        <v>-0.1151464</v>
      </c>
      <c r="W2711">
        <v>0.14632979999999901</v>
      </c>
      <c r="X2711">
        <v>0.98251149999999998</v>
      </c>
      <c r="Y2711">
        <v>2.4961130000000002E-2</v>
      </c>
      <c r="Z2711">
        <v>-2.7451290000000001E-4</v>
      </c>
      <c r="AA2711">
        <v>0.99968840000000003</v>
      </c>
      <c r="AB2711">
        <v>32</v>
      </c>
      <c r="AC2711">
        <v>-3.0509339999999998</v>
      </c>
      <c r="AD2711">
        <v>5.2914259999999998E-2</v>
      </c>
      <c r="AE2711">
        <v>5.5114749999999997E-2</v>
      </c>
      <c r="AF2711">
        <v>7.6156910225645205E-2</v>
      </c>
      <c r="AG2711">
        <v>5.2914259999999998E-2</v>
      </c>
      <c r="AH2711">
        <v>3.0495636933908399</v>
      </c>
      <c r="AI2711">
        <v>89.0062463959528</v>
      </c>
      <c r="AJ2711">
        <v>88.569446905454996</v>
      </c>
      <c r="AK2711">
        <v>3.0509733715544001</v>
      </c>
      <c r="AL2711">
        <v>81.585707246053204</v>
      </c>
      <c r="AM2711">
        <v>96.684343502861594</v>
      </c>
      <c r="AN2711">
        <v>0.99999997571662402</v>
      </c>
    </row>
    <row r="2712" spans="1:40" x14ac:dyDescent="0.25">
      <c r="A2712" t="str">
        <f>"20190304154812611"</f>
        <v>20190304154812611</v>
      </c>
      <c r="B2712" t="str">
        <f>"1551685692609020"</f>
        <v>1551685692609020</v>
      </c>
      <c r="C2712" t="s">
        <v>40</v>
      </c>
      <c r="D2712">
        <v>4.2111689999999999</v>
      </c>
      <c r="E2712">
        <v>0.55150169999999998</v>
      </c>
      <c r="F2712" t="s">
        <v>42</v>
      </c>
      <c r="G2712">
        <v>0</v>
      </c>
      <c r="H2712">
        <v>0</v>
      </c>
      <c r="I2712">
        <v>0</v>
      </c>
      <c r="J2712">
        <v>-309.6891</v>
      </c>
      <c r="K2712">
        <v>1.1103379999999901</v>
      </c>
      <c r="L2712">
        <v>285.44279999999998</v>
      </c>
      <c r="M2712">
        <v>-0.99991390000000002</v>
      </c>
      <c r="N2712">
        <v>-1.120669E-2</v>
      </c>
      <c r="O2712">
        <v>-6.8336509999999996E-3</v>
      </c>
      <c r="P2712">
        <v>-0.98327359999999997</v>
      </c>
      <c r="Q2712">
        <v>0.1356571</v>
      </c>
      <c r="R2712">
        <v>-0.1215339</v>
      </c>
      <c r="S2712">
        <v>-3.0505680000000002</v>
      </c>
      <c r="T2712">
        <v>5.4211139999999998E-2</v>
      </c>
      <c r="U2712">
        <v>5.5938719999999997E-2</v>
      </c>
      <c r="V2712">
        <v>-0.1147778</v>
      </c>
      <c r="W2712">
        <v>0.146703799999999</v>
      </c>
      <c r="X2712">
        <v>0.98249889999999995</v>
      </c>
      <c r="Y2712">
        <v>2.5162239999999999E-2</v>
      </c>
      <c r="Z2712">
        <v>-2.8051660000000001E-4</v>
      </c>
      <c r="AA2712">
        <v>0.99968330000000005</v>
      </c>
      <c r="AB2712">
        <v>32</v>
      </c>
      <c r="AC2712">
        <v>-3.0505680000000002</v>
      </c>
      <c r="AD2712">
        <v>5.4211139999999998E-2</v>
      </c>
      <c r="AE2712">
        <v>5.5938719999999997E-2</v>
      </c>
      <c r="AF2712">
        <v>7.6761005752436703E-2</v>
      </c>
      <c r="AG2712">
        <v>5.4211139999999998E-2</v>
      </c>
      <c r="AH2712">
        <v>3.0491518653216998</v>
      </c>
      <c r="AI2712">
        <v>88.981763132018997</v>
      </c>
      <c r="AJ2712">
        <v>88.5579095098539</v>
      </c>
      <c r="AK2712">
        <v>3.0505996455613502</v>
      </c>
      <c r="AL2712">
        <v>81.564045209916998</v>
      </c>
      <c r="AM2712">
        <v>96.663223358206906</v>
      </c>
      <c r="AN2712">
        <v>1.0000000184042399</v>
      </c>
    </row>
    <row r="2713" spans="1:40" x14ac:dyDescent="0.25">
      <c r="A2713" t="str">
        <f>"20190304154812622"</f>
        <v>20190304154812622</v>
      </c>
      <c r="B2713" t="str">
        <f>"1551685692619755"</f>
        <v>1551685692619755</v>
      </c>
      <c r="C2713" t="s">
        <v>40</v>
      </c>
      <c r="D2713">
        <v>4.2886100000000003</v>
      </c>
      <c r="E2713">
        <v>0.55155859999999901</v>
      </c>
      <c r="F2713" t="s">
        <v>42</v>
      </c>
      <c r="G2713">
        <v>0</v>
      </c>
      <c r="H2713">
        <v>0</v>
      </c>
      <c r="I2713">
        <v>0</v>
      </c>
      <c r="J2713">
        <v>-309.85939999999999</v>
      </c>
      <c r="K2713">
        <v>1.1103639999999999</v>
      </c>
      <c r="L2713">
        <v>285.44170000000003</v>
      </c>
      <c r="M2713">
        <v>-0.99991289999999999</v>
      </c>
      <c r="N2713">
        <v>-1.131411E-2</v>
      </c>
      <c r="O2713">
        <v>-6.7865490000000002E-3</v>
      </c>
      <c r="P2713">
        <v>-0.98331369999999896</v>
      </c>
      <c r="Q2713">
        <v>0.13584560000000001</v>
      </c>
      <c r="R2713">
        <v>-0.12099699999999999</v>
      </c>
      <c r="S2713">
        <v>-3.0502319999999998</v>
      </c>
      <c r="T2713">
        <v>5.5975909999999997E-2</v>
      </c>
      <c r="U2713">
        <v>5.5938719999999997E-2</v>
      </c>
      <c r="V2713">
        <v>-0.1142864</v>
      </c>
      <c r="W2713">
        <v>0.1469982</v>
      </c>
      <c r="X2713">
        <v>0.98251219999999995</v>
      </c>
      <c r="Y2713">
        <v>2.5116900000000001E-2</v>
      </c>
      <c r="Z2713">
        <v>-2.8960839999999998E-4</v>
      </c>
      <c r="AA2713">
        <v>0.99968449999999998</v>
      </c>
      <c r="AB2713">
        <v>32</v>
      </c>
      <c r="AC2713">
        <v>-3.0502319999999998</v>
      </c>
      <c r="AD2713">
        <v>5.5975909999999997E-2</v>
      </c>
      <c r="AE2713">
        <v>5.5938719999999997E-2</v>
      </c>
      <c r="AF2713">
        <v>7.6613514271768393E-2</v>
      </c>
      <c r="AG2713">
        <v>5.5975909999999997E-2</v>
      </c>
      <c r="AH2713">
        <v>3.0487557005761099</v>
      </c>
      <c r="AI2713">
        <v>88.948485357154894</v>
      </c>
      <c r="AJ2713">
        <v>88.560492278901293</v>
      </c>
      <c r="AK2713">
        <v>3.05023183624863</v>
      </c>
      <c r="AL2713">
        <v>81.546992620732098</v>
      </c>
      <c r="AM2713">
        <v>96.6348618718377</v>
      </c>
      <c r="AN2713">
        <v>1.0000000375885101</v>
      </c>
    </row>
    <row r="2714" spans="1:40" x14ac:dyDescent="0.25">
      <c r="A2714" t="str">
        <f>"20190304154812636"</f>
        <v>20190304154812636</v>
      </c>
      <c r="B2714" t="str">
        <f>"1551685692629516"</f>
        <v>1551685692629516</v>
      </c>
      <c r="C2714" t="s">
        <v>40</v>
      </c>
      <c r="D2714">
        <v>4.2101989999999896</v>
      </c>
      <c r="E2714">
        <v>0.55150080000000001</v>
      </c>
      <c r="F2714" t="s">
        <v>42</v>
      </c>
      <c r="G2714">
        <v>0</v>
      </c>
      <c r="H2714">
        <v>0</v>
      </c>
      <c r="I2714">
        <v>0</v>
      </c>
      <c r="J2714">
        <v>-310.04340000000002</v>
      </c>
      <c r="K2714">
        <v>1.110387</v>
      </c>
      <c r="L2714">
        <v>285.44060000000002</v>
      </c>
      <c r="M2714">
        <v>-0.99991209999999997</v>
      </c>
      <c r="N2714">
        <v>-1.1425309999999999E-2</v>
      </c>
      <c r="O2714">
        <v>-6.7350650000000001E-3</v>
      </c>
      <c r="P2714">
        <v>-0.98328409999999999</v>
      </c>
      <c r="Q2714">
        <v>0.13625979999999999</v>
      </c>
      <c r="R2714">
        <v>-0.120772</v>
      </c>
      <c r="S2714">
        <v>-3.0503230000000001</v>
      </c>
      <c r="T2714">
        <v>5.6197400000000002E-2</v>
      </c>
      <c r="U2714">
        <v>5.8013919999999997E-2</v>
      </c>
      <c r="V2714">
        <v>-0.11411209999999999</v>
      </c>
      <c r="W2714">
        <v>0.14752079999999901</v>
      </c>
      <c r="X2714">
        <v>0.9824541</v>
      </c>
      <c r="Y2714">
        <v>2.5744699999999999E-2</v>
      </c>
      <c r="Z2714">
        <v>-2.9101460000000002E-4</v>
      </c>
      <c r="AA2714">
        <v>0.99966849999999996</v>
      </c>
      <c r="AB2714">
        <v>32</v>
      </c>
      <c r="AC2714">
        <v>-3.0503230000000001</v>
      </c>
      <c r="AD2714">
        <v>5.6197400000000002E-2</v>
      </c>
      <c r="AE2714">
        <v>5.8013919999999997E-2</v>
      </c>
      <c r="AF2714">
        <v>7.8531421926882103E-2</v>
      </c>
      <c r="AG2714">
        <v>5.6197400000000002E-2</v>
      </c>
      <c r="AH2714">
        <v>3.0488285869663501</v>
      </c>
      <c r="AI2714">
        <v>88.944367675860207</v>
      </c>
      <c r="AJ2714">
        <v>88.524507296673406</v>
      </c>
      <c r="AK2714">
        <v>3.0503575339130098</v>
      </c>
      <c r="AL2714">
        <v>81.516719558553405</v>
      </c>
      <c r="AM2714">
        <v>96.625221247641406</v>
      </c>
      <c r="AN2714">
        <v>1.0000000082029299</v>
      </c>
    </row>
    <row r="2715" spans="1:40" x14ac:dyDescent="0.25">
      <c r="A2715" t="str">
        <f>"20190304154812649"</f>
        <v>20190304154812649</v>
      </c>
      <c r="B2715" t="str">
        <f>"1551685692639275"</f>
        <v>1551685692639275</v>
      </c>
      <c r="C2715" t="s">
        <v>40</v>
      </c>
      <c r="D2715">
        <v>4.1992289999999999</v>
      </c>
      <c r="E2715">
        <v>0.55142400000000003</v>
      </c>
      <c r="F2715" t="s">
        <v>42</v>
      </c>
      <c r="G2715">
        <v>0</v>
      </c>
      <c r="H2715">
        <v>0</v>
      </c>
      <c r="I2715">
        <v>0</v>
      </c>
      <c r="J2715">
        <v>-310.2321</v>
      </c>
      <c r="K2715">
        <v>1.110412</v>
      </c>
      <c r="L2715">
        <v>285.4393</v>
      </c>
      <c r="M2715">
        <v>-0.9999112</v>
      </c>
      <c r="N2715">
        <v>-1.1530429999999999E-2</v>
      </c>
      <c r="O2715">
        <v>-6.6803339999999996E-3</v>
      </c>
      <c r="P2715">
        <v>-0.9832999</v>
      </c>
      <c r="Q2715">
        <v>0.13633310000000001</v>
      </c>
      <c r="R2715">
        <v>-0.1205604</v>
      </c>
      <c r="S2715">
        <v>-3.0501399999999999</v>
      </c>
      <c r="T2715">
        <v>5.7468409999999998E-2</v>
      </c>
      <c r="U2715">
        <v>5.7922359999999999E-2</v>
      </c>
      <c r="V2715">
        <v>-0.1139535</v>
      </c>
      <c r="W2715">
        <v>0.14769760000000001</v>
      </c>
      <c r="X2715">
        <v>0.98244600000000004</v>
      </c>
      <c r="Y2715">
        <v>2.5660949999999998E-2</v>
      </c>
      <c r="Z2715">
        <v>-2.9659E-4</v>
      </c>
      <c r="AA2715">
        <v>0.99967070000000002</v>
      </c>
      <c r="AB2715">
        <v>32</v>
      </c>
      <c r="AC2715">
        <v>-3.0501399999999999</v>
      </c>
      <c r="AD2715">
        <v>5.7468409999999998E-2</v>
      </c>
      <c r="AE2715">
        <v>5.7922359999999999E-2</v>
      </c>
      <c r="AF2715">
        <v>7.8270600659317693E-2</v>
      </c>
      <c r="AG2715">
        <v>5.7468409999999998E-2</v>
      </c>
      <c r="AH2715">
        <v>3.0486031244563199</v>
      </c>
      <c r="AI2715">
        <v>88.920416013728499</v>
      </c>
      <c r="AJ2715">
        <v>88.529296886900198</v>
      </c>
      <c r="AK2715">
        <v>3.0501491628312798</v>
      </c>
      <c r="AL2715">
        <v>81.506477931394997</v>
      </c>
      <c r="AM2715">
        <v>96.6161488646203</v>
      </c>
      <c r="AN2715">
        <v>1.000000062062</v>
      </c>
    </row>
    <row r="2716" spans="1:40" x14ac:dyDescent="0.25">
      <c r="A2716" t="str">
        <f>"20190304154812668"</f>
        <v>20190304154812668</v>
      </c>
      <c r="B2716" t="str">
        <f>"1551685692659770"</f>
        <v>1551685692659770</v>
      </c>
      <c r="C2716" t="s">
        <v>40</v>
      </c>
      <c r="D2716">
        <v>4.2339169999999999</v>
      </c>
      <c r="E2716">
        <v>0.55124669999999998</v>
      </c>
      <c r="F2716" t="s">
        <v>42</v>
      </c>
      <c r="G2716">
        <v>0</v>
      </c>
      <c r="H2716">
        <v>0</v>
      </c>
      <c r="I2716">
        <v>0</v>
      </c>
      <c r="J2716">
        <v>-310.5102</v>
      </c>
      <c r="K2716">
        <v>1.1104320000000001</v>
      </c>
      <c r="L2716">
        <v>285.43759999999997</v>
      </c>
      <c r="M2716">
        <v>-0.99991010000000002</v>
      </c>
      <c r="N2716">
        <v>-1.1673930000000001E-2</v>
      </c>
      <c r="O2716">
        <v>-6.6017139999999998E-3</v>
      </c>
      <c r="P2716">
        <v>-0.98334410000000005</v>
      </c>
      <c r="Q2716">
        <v>0.13655039999999999</v>
      </c>
      <c r="R2716">
        <v>-0.1199525</v>
      </c>
      <c r="S2716">
        <v>-3.050049</v>
      </c>
      <c r="T2716">
        <v>5.7757139999999998E-2</v>
      </c>
      <c r="U2716">
        <v>5.7830810000000003E-2</v>
      </c>
      <c r="V2716">
        <v>-0.1134222</v>
      </c>
      <c r="W2716">
        <v>0.14805699999999999</v>
      </c>
      <c r="X2716">
        <v>0.98245329999999997</v>
      </c>
      <c r="Y2716">
        <v>2.555292E-2</v>
      </c>
      <c r="Z2716">
        <v>-2.947661E-4</v>
      </c>
      <c r="AA2716">
        <v>0.99967340000000005</v>
      </c>
      <c r="AB2716">
        <v>32</v>
      </c>
      <c r="AC2716">
        <v>-3.050049</v>
      </c>
      <c r="AD2716">
        <v>5.7757139999999998E-2</v>
      </c>
      <c r="AE2716">
        <v>5.7830810000000003E-2</v>
      </c>
      <c r="AF2716">
        <v>7.7938534347501198E-2</v>
      </c>
      <c r="AG2716">
        <v>5.7757139999999998E-2</v>
      </c>
      <c r="AH2716">
        <v>3.0485079466926499</v>
      </c>
      <c r="AI2716">
        <v>88.914956443482296</v>
      </c>
      <c r="AJ2716">
        <v>88.535487981361698</v>
      </c>
      <c r="AK2716">
        <v>3.0500509837387102</v>
      </c>
      <c r="AL2716">
        <v>81.485656202140603</v>
      </c>
      <c r="AM2716">
        <v>96.585524638043594</v>
      </c>
      <c r="AN2716">
        <v>0.99999997869136403</v>
      </c>
    </row>
    <row r="2717" spans="1:40" x14ac:dyDescent="0.25">
      <c r="A2717" t="str">
        <f>"20190304154812680"</f>
        <v>20190304154812680</v>
      </c>
      <c r="B2717" t="str">
        <f>"1551685692669531"</f>
        <v>1551685692669531</v>
      </c>
      <c r="C2717" t="s">
        <v>40</v>
      </c>
      <c r="D2717">
        <v>4.2388250000000003</v>
      </c>
      <c r="E2717">
        <v>0.55114580000000002</v>
      </c>
      <c r="F2717" t="s">
        <v>42</v>
      </c>
      <c r="G2717">
        <v>0</v>
      </c>
      <c r="H2717">
        <v>0</v>
      </c>
      <c r="I2717">
        <v>0</v>
      </c>
      <c r="J2717">
        <v>-310.68020000000001</v>
      </c>
      <c r="K2717">
        <v>1.1104430000000001</v>
      </c>
      <c r="L2717">
        <v>285.43650000000002</v>
      </c>
      <c r="M2717">
        <v>-0.99990950000000001</v>
      </c>
      <c r="N2717">
        <v>-1.1757109999999999E-2</v>
      </c>
      <c r="O2717">
        <v>-6.5549629999999996E-3</v>
      </c>
      <c r="P2717">
        <v>-0.98333250000000005</v>
      </c>
      <c r="Q2717">
        <v>0.1364725</v>
      </c>
      <c r="R2717">
        <v>-0.1201356</v>
      </c>
      <c r="S2717">
        <v>-3.0498349999999999</v>
      </c>
      <c r="T2717">
        <v>5.7910440000000001E-2</v>
      </c>
      <c r="U2717">
        <v>5.8013919999999997E-2</v>
      </c>
      <c r="V2717">
        <v>-0.11365069999999999</v>
      </c>
      <c r="W2717">
        <v>0.1480612</v>
      </c>
      <c r="X2717">
        <v>0.98242629999999997</v>
      </c>
      <c r="Y2717">
        <v>2.5567510000000002E-2</v>
      </c>
      <c r="Z2717">
        <v>-2.938668E-4</v>
      </c>
      <c r="AA2717">
        <v>0.99967309999999998</v>
      </c>
      <c r="AB2717">
        <v>32</v>
      </c>
      <c r="AC2717">
        <v>-3.0498349999999999</v>
      </c>
      <c r="AD2717">
        <v>5.7910440000000001E-2</v>
      </c>
      <c r="AE2717">
        <v>5.8013919999999997E-2</v>
      </c>
      <c r="AF2717">
        <v>7.7977504509263801E-2</v>
      </c>
      <c r="AG2717">
        <v>5.7910440000000001E-2</v>
      </c>
      <c r="AH2717">
        <v>3.04829051062366</v>
      </c>
      <c r="AI2717">
        <v>88.912000016026795</v>
      </c>
      <c r="AJ2717">
        <v>88.5346515566806</v>
      </c>
      <c r="AK2717">
        <v>3.0498375608266</v>
      </c>
      <c r="AL2717">
        <v>81.485413213053803</v>
      </c>
      <c r="AM2717">
        <v>96.598854677920002</v>
      </c>
      <c r="AN2717">
        <v>1.0000000177438</v>
      </c>
    </row>
    <row r="2718" spans="1:40" x14ac:dyDescent="0.25">
      <c r="A2718" t="str">
        <f>"20190304154812693"</f>
        <v>20190304154812693</v>
      </c>
      <c r="B2718" t="str">
        <f>"1551685692689051"</f>
        <v>1551685692689051</v>
      </c>
      <c r="C2718" t="s">
        <v>40</v>
      </c>
      <c r="D2718">
        <v>4.2616430000000003</v>
      </c>
      <c r="E2718">
        <v>0.55096299999999998</v>
      </c>
      <c r="F2718" t="s">
        <v>42</v>
      </c>
      <c r="G2718">
        <v>0</v>
      </c>
      <c r="H2718">
        <v>0</v>
      </c>
      <c r="I2718">
        <v>0</v>
      </c>
      <c r="J2718">
        <v>-310.85500000000002</v>
      </c>
      <c r="K2718">
        <v>1.1104499999999999</v>
      </c>
      <c r="L2718">
        <v>285.43549999999999</v>
      </c>
      <c r="M2718">
        <v>-0.99990880000000004</v>
      </c>
      <c r="N2718">
        <v>-1.1840959999999999E-2</v>
      </c>
      <c r="O2718">
        <v>-6.5072680000000001E-3</v>
      </c>
      <c r="P2718">
        <v>-0.98330269999999997</v>
      </c>
      <c r="Q2718">
        <v>0.13689200000000001</v>
      </c>
      <c r="R2718">
        <v>-0.11990430000000001</v>
      </c>
      <c r="S2718">
        <v>-3.049744</v>
      </c>
      <c r="T2718">
        <v>5.7552810000000003E-2</v>
      </c>
      <c r="U2718">
        <v>5.654907E-2</v>
      </c>
      <c r="V2718">
        <v>-0.1134655</v>
      </c>
      <c r="W2718">
        <v>0.1485629</v>
      </c>
      <c r="X2718">
        <v>0.98237189999999996</v>
      </c>
      <c r="Y2718">
        <v>2.504054E-2</v>
      </c>
      <c r="Z2718">
        <v>-2.877755E-4</v>
      </c>
      <c r="AA2718">
        <v>0.99968639999999998</v>
      </c>
      <c r="AB2718">
        <v>32</v>
      </c>
      <c r="AC2718">
        <v>-3.049744</v>
      </c>
      <c r="AD2718">
        <v>5.7552810000000003E-2</v>
      </c>
      <c r="AE2718">
        <v>5.654907E-2</v>
      </c>
      <c r="AF2718">
        <v>7.6367576590020594E-2</v>
      </c>
      <c r="AG2718">
        <v>5.7552810000000003E-2</v>
      </c>
      <c r="AH2718">
        <v>3.0482262285080699</v>
      </c>
      <c r="AI2718">
        <v>88.918680208315195</v>
      </c>
      <c r="AJ2718">
        <v>88.564862186004007</v>
      </c>
      <c r="AK2718">
        <v>3.04972580289731</v>
      </c>
      <c r="AL2718">
        <v>81.456345897985003</v>
      </c>
      <c r="AM2718">
        <v>96.588557716208001</v>
      </c>
      <c r="AN2718">
        <v>0.999999952428133</v>
      </c>
    </row>
    <row r="2719" spans="1:40" x14ac:dyDescent="0.25">
      <c r="A2719" t="str">
        <f>"20190304154812712"</f>
        <v>20190304154812712</v>
      </c>
      <c r="B2719" t="str">
        <f>"1551685692709547"</f>
        <v>1551685692709547</v>
      </c>
      <c r="C2719" t="s">
        <v>40</v>
      </c>
      <c r="D2719">
        <v>4.2381229999999999</v>
      </c>
      <c r="E2719">
        <v>0.55085799999999996</v>
      </c>
      <c r="F2719" t="s">
        <v>42</v>
      </c>
      <c r="G2719">
        <v>0</v>
      </c>
      <c r="H2719">
        <v>0</v>
      </c>
      <c r="I2719">
        <v>0</v>
      </c>
      <c r="J2719">
        <v>-311.14609999999999</v>
      </c>
      <c r="K2719">
        <v>1.11046</v>
      </c>
      <c r="L2719">
        <v>285.43369999999999</v>
      </c>
      <c r="M2719">
        <v>-0.99990769999999995</v>
      </c>
      <c r="N2719">
        <v>-1.197114E-2</v>
      </c>
      <c r="O2719">
        <v>-6.4256549999999997E-3</v>
      </c>
      <c r="P2719">
        <v>-0.98324670000000003</v>
      </c>
      <c r="Q2719">
        <v>0.13730309999999901</v>
      </c>
      <c r="R2719">
        <v>-0.11989320000000001</v>
      </c>
      <c r="S2719">
        <v>-3.049652</v>
      </c>
      <c r="T2719">
        <v>5.8411959999999999E-2</v>
      </c>
      <c r="U2719">
        <v>5.5847170000000002E-2</v>
      </c>
      <c r="V2719">
        <v>-0.11353530000000001</v>
      </c>
      <c r="W2719">
        <v>0.14910100000000001</v>
      </c>
      <c r="X2719">
        <v>0.98228230000000005</v>
      </c>
      <c r="Y2719">
        <v>2.4729419999999998E-2</v>
      </c>
      <c r="Z2719">
        <v>-2.8870609999999999E-4</v>
      </c>
      <c r="AA2719">
        <v>0.99969419999999998</v>
      </c>
      <c r="AB2719">
        <v>32</v>
      </c>
      <c r="AC2719">
        <v>-3.049652</v>
      </c>
      <c r="AD2719">
        <v>5.8411959999999999E-2</v>
      </c>
      <c r="AE2719">
        <v>5.5847170000000002E-2</v>
      </c>
      <c r="AF2719">
        <v>7.5415774812469694E-2</v>
      </c>
      <c r="AG2719">
        <v>5.8411959999999999E-2</v>
      </c>
      <c r="AH2719">
        <v>3.0481122889961099</v>
      </c>
      <c r="AI2719">
        <v>88.902492641389401</v>
      </c>
      <c r="AJ2719">
        <v>88.5826886252853</v>
      </c>
      <c r="AK2719">
        <v>3.04960456821712</v>
      </c>
      <c r="AL2719">
        <v>81.425167724471194</v>
      </c>
      <c r="AM2719">
        <v>96.593171153408804</v>
      </c>
      <c r="AN2719">
        <v>0.99999994472018805</v>
      </c>
    </row>
    <row r="2720" spans="1:40" x14ac:dyDescent="0.25">
      <c r="A2720" t="str">
        <f>"20190304154812725"</f>
        <v>20190304154812725</v>
      </c>
      <c r="B2720" t="str">
        <f>"1551685692719306"</f>
        <v>1551685692719306</v>
      </c>
      <c r="C2720" t="s">
        <v>40</v>
      </c>
      <c r="D2720">
        <v>4.2703790000000001</v>
      </c>
      <c r="E2720">
        <v>0.55077010000000004</v>
      </c>
      <c r="F2720" t="s">
        <v>42</v>
      </c>
      <c r="G2720">
        <v>0</v>
      </c>
      <c r="H2720">
        <v>0</v>
      </c>
      <c r="I2720">
        <v>0</v>
      </c>
      <c r="J2720">
        <v>-311.33100000000002</v>
      </c>
      <c r="K2720">
        <v>1.1104670000000001</v>
      </c>
      <c r="L2720">
        <v>285.43259999999998</v>
      </c>
      <c r="M2720">
        <v>-0.9999072</v>
      </c>
      <c r="N2720">
        <v>-1.204685E-2</v>
      </c>
      <c r="O2720">
        <v>-6.3723490000000002E-3</v>
      </c>
      <c r="P2720">
        <v>-0.98329509999999998</v>
      </c>
      <c r="Q2720">
        <v>0.13733789999999901</v>
      </c>
      <c r="R2720">
        <v>-0.1194543</v>
      </c>
      <c r="S2720">
        <v>-3.0497130000000001</v>
      </c>
      <c r="T2720">
        <v>5.8088180000000003E-2</v>
      </c>
      <c r="U2720">
        <v>5.4901119999999998E-2</v>
      </c>
      <c r="V2720">
        <v>-0.1131489</v>
      </c>
      <c r="W2720">
        <v>0.14921029999999999</v>
      </c>
      <c r="X2720">
        <v>0.98231040000000003</v>
      </c>
      <c r="Y2720">
        <v>2.436586E-2</v>
      </c>
      <c r="Z2720">
        <v>-2.8332779999999999E-4</v>
      </c>
      <c r="AA2720">
        <v>0.99970300000000001</v>
      </c>
      <c r="AB2720">
        <v>32</v>
      </c>
      <c r="AC2720">
        <v>-3.0497130000000001</v>
      </c>
      <c r="AD2720">
        <v>5.8088180000000003E-2</v>
      </c>
      <c r="AE2720">
        <v>5.4901119999999998E-2</v>
      </c>
      <c r="AF2720">
        <v>7.4308299972285302E-2</v>
      </c>
      <c r="AG2720">
        <v>5.8088180000000003E-2</v>
      </c>
      <c r="AH2720">
        <v>3.0481956938594199</v>
      </c>
      <c r="AI2720">
        <v>88.908594803928807</v>
      </c>
      <c r="AJ2720">
        <v>88.603531626300594</v>
      </c>
      <c r="AK2720">
        <v>3.0496545621042999</v>
      </c>
      <c r="AL2720">
        <v>81.418835399464299</v>
      </c>
      <c r="AM2720">
        <v>96.570742545789102</v>
      </c>
      <c r="AN2720">
        <v>1.0000000545727199</v>
      </c>
    </row>
    <row r="2721" spans="1:40" x14ac:dyDescent="0.25">
      <c r="A2721" t="str">
        <f>"20190304154812736"</f>
        <v>20190304154812736</v>
      </c>
      <c r="B2721" t="str">
        <f>"1551685692729067"</f>
        <v>1551685692729067</v>
      </c>
      <c r="C2721" t="s">
        <v>40</v>
      </c>
      <c r="D2721">
        <v>4.2742509999999996</v>
      </c>
      <c r="E2721">
        <v>0.55065940000000002</v>
      </c>
      <c r="F2721" t="s">
        <v>42</v>
      </c>
      <c r="G2721">
        <v>0</v>
      </c>
      <c r="H2721">
        <v>0</v>
      </c>
      <c r="I2721">
        <v>0</v>
      </c>
      <c r="J2721">
        <v>-311.5009</v>
      </c>
      <c r="K2721">
        <v>1.110473</v>
      </c>
      <c r="L2721">
        <v>285.43150000000003</v>
      </c>
      <c r="M2721">
        <v>-0.99990670000000004</v>
      </c>
      <c r="N2721">
        <v>-1.2113240000000001E-2</v>
      </c>
      <c r="O2721">
        <v>-6.3231619999999898E-3</v>
      </c>
      <c r="P2721">
        <v>-0.98323400000000005</v>
      </c>
      <c r="Q2721">
        <v>0.1376134</v>
      </c>
      <c r="R2721">
        <v>-0.11963840000000001</v>
      </c>
      <c r="S2721">
        <v>-3.049652</v>
      </c>
      <c r="T2721">
        <v>5.7778950000000003E-2</v>
      </c>
      <c r="U2721">
        <v>5.5358890000000001E-2</v>
      </c>
      <c r="V2721">
        <v>-0.11338230000000001</v>
      </c>
      <c r="W2721">
        <v>0.14955019999999999</v>
      </c>
      <c r="X2721">
        <v>0.98223170000000004</v>
      </c>
      <c r="Y2721">
        <v>2.4467119999999998E-2</v>
      </c>
      <c r="Z2721">
        <v>-2.7988580000000001E-4</v>
      </c>
      <c r="AA2721">
        <v>0.99970060000000005</v>
      </c>
      <c r="AB2721">
        <v>32</v>
      </c>
      <c r="AC2721">
        <v>-3.049652</v>
      </c>
      <c r="AD2721">
        <v>5.7778950000000003E-2</v>
      </c>
      <c r="AE2721">
        <v>5.5358890000000001E-2</v>
      </c>
      <c r="AF2721">
        <v>7.4615865657991901E-2</v>
      </c>
      <c r="AG2721">
        <v>5.7778950000000003E-2</v>
      </c>
      <c r="AH2721">
        <v>3.0481471713767498</v>
      </c>
      <c r="AI2721">
        <v>88.914388866589206</v>
      </c>
      <c r="AJ2721">
        <v>88.597731565459398</v>
      </c>
      <c r="AK2721">
        <v>3.0496076981872702</v>
      </c>
      <c r="AL2721">
        <v>81.399138758087204</v>
      </c>
      <c r="AM2721">
        <v>96.584700493541902</v>
      </c>
      <c r="AN2721">
        <v>0.99999996037910899</v>
      </c>
    </row>
    <row r="2722" spans="1:40" x14ac:dyDescent="0.25">
      <c r="A2722" t="str">
        <f>"20190304154812748"</f>
        <v>20190304154812748</v>
      </c>
      <c r="B2722" t="str">
        <f>"1551685692739803"</f>
        <v>1551685692739803</v>
      </c>
      <c r="C2722" t="s">
        <v>40</v>
      </c>
      <c r="D2722">
        <v>4.366282</v>
      </c>
      <c r="E2722">
        <v>0.55045540000000004</v>
      </c>
      <c r="F2722" t="s">
        <v>42</v>
      </c>
      <c r="G2722">
        <v>0</v>
      </c>
      <c r="H2722">
        <v>0</v>
      </c>
      <c r="I2722">
        <v>0</v>
      </c>
      <c r="J2722">
        <v>-311.66950000000003</v>
      </c>
      <c r="K2722">
        <v>1.110471</v>
      </c>
      <c r="L2722">
        <v>285.43049999999999</v>
      </c>
      <c r="M2722">
        <v>-0.99990630000000003</v>
      </c>
      <c r="N2722">
        <v>-1.2175180000000001E-2</v>
      </c>
      <c r="O2722">
        <v>-6.2743060000000003E-3</v>
      </c>
      <c r="P2722">
        <v>-0.98323090000000002</v>
      </c>
      <c r="Q2722">
        <v>0.13774829999999999</v>
      </c>
      <c r="R2722">
        <v>-0.11951009999999999</v>
      </c>
      <c r="S2722">
        <v>-3.0495909999999999</v>
      </c>
      <c r="T2722">
        <v>5.8199290000000001E-2</v>
      </c>
      <c r="U2722">
        <v>5.3710939999999999E-2</v>
      </c>
      <c r="V2722">
        <v>-0.11330170000000001</v>
      </c>
      <c r="W2722">
        <v>0.1497454</v>
      </c>
      <c r="X2722">
        <v>0.98221130000000001</v>
      </c>
      <c r="Y2722">
        <v>2.387858E-2</v>
      </c>
      <c r="Z2722">
        <v>-2.785272E-4</v>
      </c>
      <c r="AA2722">
        <v>0.99971489999999996</v>
      </c>
      <c r="AB2722">
        <v>32</v>
      </c>
      <c r="AC2722">
        <v>-3.0495909999999999</v>
      </c>
      <c r="AD2722">
        <v>5.8199290000000001E-2</v>
      </c>
      <c r="AE2722">
        <v>5.3710939999999999E-2</v>
      </c>
      <c r="AF2722">
        <v>7.2818852886510105E-2</v>
      </c>
      <c r="AG2722">
        <v>5.8199290000000001E-2</v>
      </c>
      <c r="AH2722">
        <v>3.0480841409444999</v>
      </c>
      <c r="AI2722">
        <v>88.906454819003102</v>
      </c>
      <c r="AJ2722">
        <v>88.631461837371305</v>
      </c>
      <c r="AK2722">
        <v>3.0495092511697002</v>
      </c>
      <c r="AL2722">
        <v>81.387827581343203</v>
      </c>
      <c r="AM2722">
        <v>96.580196161164196</v>
      </c>
      <c r="AN2722">
        <v>0.99999999894586999</v>
      </c>
    </row>
    <row r="2723" spans="1:40" x14ac:dyDescent="0.25">
      <c r="A2723" t="str">
        <f>"20190304154812760"</f>
        <v>20190304154812760</v>
      </c>
      <c r="B2723" t="str">
        <f>"1551685692749563"</f>
        <v>1551685692749563</v>
      </c>
      <c r="C2723" t="s">
        <v>40</v>
      </c>
      <c r="D2723">
        <v>4.2729739999999996</v>
      </c>
      <c r="E2723">
        <v>0.55031980000000003</v>
      </c>
      <c r="F2723" t="s">
        <v>42</v>
      </c>
      <c r="G2723">
        <v>0</v>
      </c>
      <c r="H2723">
        <v>0</v>
      </c>
      <c r="I2723">
        <v>0</v>
      </c>
      <c r="J2723">
        <v>-311.84249999999997</v>
      </c>
      <c r="K2723">
        <v>1.1104689999999999</v>
      </c>
      <c r="L2723">
        <v>285.42950000000002</v>
      </c>
      <c r="M2723">
        <v>-0.99990590000000001</v>
      </c>
      <c r="N2723">
        <v>-1.223379E-2</v>
      </c>
      <c r="O2723">
        <v>-6.2244750000000001E-3</v>
      </c>
      <c r="P2723">
        <v>-0.98329129999999998</v>
      </c>
      <c r="Q2723">
        <v>0.137817</v>
      </c>
      <c r="R2723">
        <v>-0.11893139999999899</v>
      </c>
      <c r="S2723">
        <v>-3.0493769999999998</v>
      </c>
      <c r="T2723">
        <v>5.8195950000000003E-2</v>
      </c>
      <c r="U2723">
        <v>5.2398680000000003E-2</v>
      </c>
      <c r="V2723">
        <v>-0.1127721</v>
      </c>
      <c r="W2723">
        <v>0.149871799999999</v>
      </c>
      <c r="X2723">
        <v>0.98225300000000004</v>
      </c>
      <c r="Y2723">
        <v>2.3399980000000001E-2</v>
      </c>
      <c r="Z2723">
        <v>-2.7500300000000001E-4</v>
      </c>
      <c r="AA2723">
        <v>0.99972609999999995</v>
      </c>
      <c r="AB2723">
        <v>32</v>
      </c>
      <c r="AC2723">
        <v>-3.0493769999999998</v>
      </c>
      <c r="AD2723">
        <v>5.8195950000000003E-2</v>
      </c>
      <c r="AE2723">
        <v>5.2398680000000003E-2</v>
      </c>
      <c r="AF2723">
        <v>7.13538733340153E-2</v>
      </c>
      <c r="AG2723">
        <v>5.8195950000000003E-2</v>
      </c>
      <c r="AH2723">
        <v>3.0478819686885599</v>
      </c>
      <c r="AI2723">
        <v>88.906432665538404</v>
      </c>
      <c r="AJ2723">
        <v>88.658895196874298</v>
      </c>
      <c r="AK2723">
        <v>3.0492724769841399</v>
      </c>
      <c r="AL2723">
        <v>81.380502999307495</v>
      </c>
      <c r="AM2723">
        <v>96.549430936776702</v>
      </c>
      <c r="AN2723">
        <v>1.0000000294913201</v>
      </c>
    </row>
    <row r="2724" spans="1:40" x14ac:dyDescent="0.25">
      <c r="A2724" t="str">
        <f>"20190304154812773"</f>
        <v>20190304154812773</v>
      </c>
      <c r="B2724" t="str">
        <f>"1551685692769082"</f>
        <v>1551685692769082</v>
      </c>
      <c r="C2724" t="s">
        <v>40</v>
      </c>
      <c r="D2724">
        <v>4.267226</v>
      </c>
      <c r="E2724">
        <v>0.55011489999999996</v>
      </c>
      <c r="F2724" t="s">
        <v>42</v>
      </c>
      <c r="G2724">
        <v>0</v>
      </c>
      <c r="H2724">
        <v>0</v>
      </c>
      <c r="I2724">
        <v>0</v>
      </c>
      <c r="J2724">
        <v>-312.02839999999998</v>
      </c>
      <c r="K2724">
        <v>1.1104719999999999</v>
      </c>
      <c r="L2724">
        <v>285.42840000000001</v>
      </c>
      <c r="M2724">
        <v>-0.9999055</v>
      </c>
      <c r="N2724">
        <v>-1.2294100000000001E-2</v>
      </c>
      <c r="O2724">
        <v>-6.1711980000000001E-3</v>
      </c>
      <c r="P2724">
        <v>-0.9833018</v>
      </c>
      <c r="Q2724">
        <v>0.1377158</v>
      </c>
      <c r="R2724">
        <v>-0.1189643</v>
      </c>
      <c r="S2724">
        <v>-3.0493160000000001</v>
      </c>
      <c r="T2724">
        <v>5.7713029999999998E-2</v>
      </c>
      <c r="U2724">
        <v>5.282593E-2</v>
      </c>
      <c r="V2724">
        <v>-0.1128571</v>
      </c>
      <c r="W2724">
        <v>0.14982980000000001</v>
      </c>
      <c r="X2724">
        <v>0.98224959999999994</v>
      </c>
      <c r="Y2724">
        <v>2.3487190000000002E-2</v>
      </c>
      <c r="Z2724">
        <v>-2.7046729999999998E-4</v>
      </c>
      <c r="AA2724">
        <v>0.9997241</v>
      </c>
      <c r="AB2724">
        <v>32</v>
      </c>
      <c r="AC2724">
        <v>-3.0493160000000001</v>
      </c>
      <c r="AD2724">
        <v>5.7713029999999998E-2</v>
      </c>
      <c r="AE2724">
        <v>5.282593E-2</v>
      </c>
      <c r="AF2724">
        <v>7.1618629661108907E-2</v>
      </c>
      <c r="AG2724">
        <v>5.7713029999999998E-2</v>
      </c>
      <c r="AH2724">
        <v>3.0478404498251201</v>
      </c>
      <c r="AI2724">
        <v>88.915492545061198</v>
      </c>
      <c r="AJ2724">
        <v>88.653902566610199</v>
      </c>
      <c r="AK2724">
        <v>3.0492280055018002</v>
      </c>
      <c r="AL2724">
        <v>81.382936520803597</v>
      </c>
      <c r="AM2724">
        <v>96.554347007881901</v>
      </c>
      <c r="AN2724">
        <v>0.99999998534430401</v>
      </c>
    </row>
    <row r="2725" spans="1:40" x14ac:dyDescent="0.25">
      <c r="A2725" t="str">
        <f>"20190304154812791"</f>
        <v>20190304154812791</v>
      </c>
      <c r="B2725" t="str">
        <f>"1551685692779819"</f>
        <v>1551685692779819</v>
      </c>
      <c r="C2725" t="s">
        <v>40</v>
      </c>
      <c r="D2725">
        <v>4.2942809999999998</v>
      </c>
      <c r="E2725">
        <v>0.55011489999999996</v>
      </c>
      <c r="F2725" t="s">
        <v>42</v>
      </c>
      <c r="G2725">
        <v>0</v>
      </c>
      <c r="H2725">
        <v>0</v>
      </c>
      <c r="I2725">
        <v>0</v>
      </c>
      <c r="J2725">
        <v>-312.29270000000002</v>
      </c>
      <c r="K2725">
        <v>1.110465</v>
      </c>
      <c r="L2725">
        <v>285.42689999999999</v>
      </c>
      <c r="M2725">
        <v>-0.99990489999999999</v>
      </c>
      <c r="N2725">
        <v>-1.237159E-2</v>
      </c>
      <c r="O2725">
        <v>-6.0957349999999997E-3</v>
      </c>
      <c r="P2725">
        <v>-0.98336120000000005</v>
      </c>
      <c r="Q2725">
        <v>0.1377321</v>
      </c>
      <c r="R2725">
        <v>-0.11845120000000001</v>
      </c>
      <c r="S2725">
        <v>-3.049255</v>
      </c>
      <c r="T2725">
        <v>5.6612009999999997E-2</v>
      </c>
      <c r="U2725">
        <v>5.130005E-2</v>
      </c>
      <c r="V2725">
        <v>-0.112418</v>
      </c>
      <c r="W2725">
        <v>0.14992320000000001</v>
      </c>
      <c r="X2725">
        <v>0.98228570000000004</v>
      </c>
      <c r="Y2725">
        <v>2.2912209999999999E-2</v>
      </c>
      <c r="Z2725">
        <v>-2.5946489999999998E-4</v>
      </c>
      <c r="AA2725">
        <v>0.9997374</v>
      </c>
      <c r="AB2725">
        <v>32</v>
      </c>
      <c r="AC2725">
        <v>-3.049255</v>
      </c>
      <c r="AD2725">
        <v>5.6612009999999997E-2</v>
      </c>
      <c r="AE2725">
        <v>5.130005E-2</v>
      </c>
      <c r="AF2725">
        <v>6.98638949530863E-2</v>
      </c>
      <c r="AG2725">
        <v>5.6612009999999997E-2</v>
      </c>
      <c r="AH2725">
        <v>3.04783533981806</v>
      </c>
      <c r="AI2725">
        <v>88.936161441702694</v>
      </c>
      <c r="AJ2725">
        <v>88.686869531632397</v>
      </c>
      <c r="AK2725">
        <v>3.0491615473992399</v>
      </c>
      <c r="AL2725">
        <v>81.377523951407198</v>
      </c>
      <c r="AM2725">
        <v>96.5288283483833</v>
      </c>
      <c r="AN2725">
        <v>0.99999998452336403</v>
      </c>
    </row>
    <row r="2726" spans="1:40" x14ac:dyDescent="0.25">
      <c r="A2726" t="str">
        <f>"20190304154812813"</f>
        <v>20190304154812813</v>
      </c>
      <c r="B2726" t="str">
        <f>"1551685692809099"</f>
        <v>1551685692809099</v>
      </c>
      <c r="C2726" t="s">
        <v>40</v>
      </c>
      <c r="D2726">
        <v>4.2365059999999897</v>
      </c>
      <c r="E2726">
        <v>0.52203169999999999</v>
      </c>
      <c r="F2726" t="s">
        <v>42</v>
      </c>
      <c r="G2726">
        <v>0</v>
      </c>
      <c r="H2726">
        <v>0</v>
      </c>
      <c r="I2726">
        <v>0</v>
      </c>
      <c r="J2726">
        <v>-312.60300000000001</v>
      </c>
      <c r="K2726">
        <v>1.1104689999999999</v>
      </c>
      <c r="L2726">
        <v>285.42509999999999</v>
      </c>
      <c r="M2726">
        <v>-0.99990449999999997</v>
      </c>
      <c r="N2726">
        <v>-1.2451830000000001E-2</v>
      </c>
      <c r="O2726">
        <v>-6.0083630000000001E-3</v>
      </c>
      <c r="P2726">
        <v>-0.98346639999999996</v>
      </c>
      <c r="Q2726">
        <v>0.13743469999999999</v>
      </c>
      <c r="R2726">
        <v>-0.11792270000000001</v>
      </c>
      <c r="S2726">
        <v>-3.049194</v>
      </c>
      <c r="T2726">
        <v>5.6318159999999999E-2</v>
      </c>
      <c r="U2726">
        <v>5.2459720000000001E-2</v>
      </c>
      <c r="V2726">
        <v>-0.1119749</v>
      </c>
      <c r="W2726">
        <v>0.14970539999999999</v>
      </c>
      <c r="X2726">
        <v>0.98236950000000001</v>
      </c>
      <c r="Y2726">
        <v>2.3205380000000001E-2</v>
      </c>
      <c r="Z2726">
        <v>-2.5552879999999999E-4</v>
      </c>
      <c r="AA2726">
        <v>0.99973069999999997</v>
      </c>
      <c r="AB2726">
        <v>32</v>
      </c>
      <c r="AC2726">
        <v>-3.049194</v>
      </c>
      <c r="AD2726">
        <v>5.6318159999999999E-2</v>
      </c>
      <c r="AE2726">
        <v>5.2459720000000001E-2</v>
      </c>
      <c r="AF2726">
        <v>7.0756725875698798E-2</v>
      </c>
      <c r="AG2726">
        <v>5.6318159999999999E-2</v>
      </c>
      <c r="AH2726">
        <v>3.0477843314198498</v>
      </c>
      <c r="AI2726">
        <v>88.941671585204304</v>
      </c>
      <c r="AJ2726">
        <v>88.670072020762802</v>
      </c>
      <c r="AK2726">
        <v>3.04912570751859</v>
      </c>
      <c r="AL2726">
        <v>81.390145201636201</v>
      </c>
      <c r="AM2726">
        <v>96.502765588945195</v>
      </c>
      <c r="AN2726">
        <v>0.99999995977470901</v>
      </c>
    </row>
    <row r="2727" spans="1:40" x14ac:dyDescent="0.25">
      <c r="A2727" t="str">
        <f>"20190304154812827"</f>
        <v>20190304154812827</v>
      </c>
      <c r="B2727" t="str">
        <f>"1551685692819835"</f>
        <v>1551685692819835</v>
      </c>
      <c r="C2727" t="s">
        <v>40</v>
      </c>
      <c r="D2727">
        <v>4.2283999999999997</v>
      </c>
      <c r="E2727">
        <v>0.52120630000000001</v>
      </c>
      <c r="F2727" t="s">
        <v>62</v>
      </c>
      <c r="G2727">
        <v>-512.82560000000001</v>
      </c>
      <c r="H2727">
        <v>1.44787</v>
      </c>
      <c r="I2727">
        <v>274.37079999999997</v>
      </c>
      <c r="J2727">
        <v>-312.81779999999998</v>
      </c>
      <c r="K2727">
        <v>1.110468</v>
      </c>
      <c r="L2727">
        <v>285.4239</v>
      </c>
      <c r="M2727">
        <v>-0.99990420000000002</v>
      </c>
      <c r="N2727">
        <v>-1.250125E-2</v>
      </c>
      <c r="O2727">
        <v>-5.9473939999999999E-3</v>
      </c>
      <c r="P2727">
        <v>-0.98346020000000001</v>
      </c>
      <c r="Q2727">
        <v>0.1374426</v>
      </c>
      <c r="R2727">
        <v>-0.1179636</v>
      </c>
      <c r="S2727">
        <v>-3.0296630000000002</v>
      </c>
      <c r="T2727">
        <v>5.1065679999999997E-3</v>
      </c>
      <c r="U2727">
        <v>-0.16726679999999999</v>
      </c>
      <c r="V2727">
        <v>-0.1120761</v>
      </c>
      <c r="W2727">
        <v>0.14976199999999901</v>
      </c>
      <c r="X2727">
        <v>0.98234940000000004</v>
      </c>
      <c r="Y2727">
        <v>-4.9187019999999998E-2</v>
      </c>
      <c r="Z2727">
        <v>-3.5058829999999998E-4</v>
      </c>
      <c r="AA2727">
        <v>0.9987895</v>
      </c>
      <c r="AB2727">
        <v>32</v>
      </c>
      <c r="AC2727">
        <v>-200.0078</v>
      </c>
      <c r="AD2727">
        <v>0.33740199999999998</v>
      </c>
      <c r="AE2727">
        <v>-11.053100000000001</v>
      </c>
      <c r="AF2727">
        <v>-9.8632583882078002</v>
      </c>
      <c r="AG2727">
        <v>0.33740199999999998</v>
      </c>
      <c r="AH2727">
        <v>200.06943678425</v>
      </c>
      <c r="AI2727">
        <v>89.903492290451695</v>
      </c>
      <c r="AJ2727">
        <v>92.822349713884506</v>
      </c>
      <c r="AK2727">
        <v>200.31269865215501</v>
      </c>
      <c r="AL2727">
        <v>81.386865860756004</v>
      </c>
      <c r="AM2727">
        <v>96.508724243897305</v>
      </c>
      <c r="AN2727">
        <v>1.00000002625778</v>
      </c>
    </row>
    <row r="2728" spans="1:40" x14ac:dyDescent="0.25">
      <c r="A2728" t="str">
        <f>"20190304154812840"</f>
        <v>20190304154812840</v>
      </c>
      <c r="B2728" t="str">
        <f>"1551685692829595"</f>
        <v>1551685692829595</v>
      </c>
      <c r="C2728" t="s">
        <v>40</v>
      </c>
      <c r="D2728">
        <v>4.225727</v>
      </c>
      <c r="E2728">
        <v>0.52033770000000001</v>
      </c>
      <c r="F2728" t="s">
        <v>62</v>
      </c>
      <c r="G2728">
        <v>-512.82560000000001</v>
      </c>
      <c r="H2728">
        <v>1.3723510000000001</v>
      </c>
      <c r="I2728">
        <v>273.92570000000001</v>
      </c>
      <c r="J2728">
        <v>-312.99239999999998</v>
      </c>
      <c r="K2728">
        <v>1.1104700000000001</v>
      </c>
      <c r="L2728">
        <v>285.42290000000003</v>
      </c>
      <c r="M2728">
        <v>-0.99990409999999996</v>
      </c>
      <c r="N2728">
        <v>-1.253809E-2</v>
      </c>
      <c r="O2728">
        <v>-5.8977930000000001E-3</v>
      </c>
      <c r="P2728">
        <v>-0.98350300000000002</v>
      </c>
      <c r="Q2728">
        <v>0.13725799999999999</v>
      </c>
      <c r="R2728">
        <v>-0.1178231</v>
      </c>
      <c r="S2728">
        <v>-3.0290219999999999</v>
      </c>
      <c r="T2728">
        <v>3.9672850000000001E-3</v>
      </c>
      <c r="U2728">
        <v>-0.17413329999999999</v>
      </c>
      <c r="V2728">
        <v>-0.111984</v>
      </c>
      <c r="W2728">
        <v>0.14961389999999999</v>
      </c>
      <c r="X2728">
        <v>0.98238239999999999</v>
      </c>
      <c r="Y2728">
        <v>-5.1504939999999999E-2</v>
      </c>
      <c r="Z2728">
        <v>-3.710729E-4</v>
      </c>
      <c r="AA2728">
        <v>0.99867269999999997</v>
      </c>
      <c r="AB2728">
        <v>32</v>
      </c>
      <c r="AC2728">
        <v>-199.83320000000001</v>
      </c>
      <c r="AD2728">
        <v>0.26188099999999997</v>
      </c>
      <c r="AE2728">
        <v>-11.497199999999999</v>
      </c>
      <c r="AF2728">
        <v>-10.318314964334601</v>
      </c>
      <c r="AG2728">
        <v>0.26188099999999997</v>
      </c>
      <c r="AH2728">
        <v>199.897195186457</v>
      </c>
      <c r="AI2728">
        <v>89.925037878194303</v>
      </c>
      <c r="AJ2728">
        <v>92.954877230218599</v>
      </c>
      <c r="AK2728">
        <v>200.163495295156</v>
      </c>
      <c r="AL2728">
        <v>81.395447463192795</v>
      </c>
      <c r="AM2728">
        <v>96.503204864694098</v>
      </c>
      <c r="AN2728">
        <v>0.99999995757948401</v>
      </c>
    </row>
    <row r="2729" spans="1:40" x14ac:dyDescent="0.25">
      <c r="A2729" t="str">
        <f>"20190304154812853"</f>
        <v>20190304154812853</v>
      </c>
      <c r="B2729" t="str">
        <f>"1551685692849115"</f>
        <v>1551685692849115</v>
      </c>
      <c r="C2729" t="s">
        <v>40</v>
      </c>
      <c r="D2729">
        <v>4.1965750000000002</v>
      </c>
      <c r="E2729">
        <v>0.51923359999999996</v>
      </c>
      <c r="F2729" t="s">
        <v>48</v>
      </c>
      <c r="G2729">
        <v>-455.29300000000001</v>
      </c>
      <c r="H2729">
        <v>1.216845</v>
      </c>
      <c r="I2729">
        <v>276.93790000000001</v>
      </c>
      <c r="J2729">
        <v>-313.1705</v>
      </c>
      <c r="K2729">
        <v>1.1104769999999999</v>
      </c>
      <c r="L2729">
        <v>285.42189999999999</v>
      </c>
      <c r="M2729">
        <v>-0.99990389999999996</v>
      </c>
      <c r="N2729">
        <v>-1.2573900000000001E-2</v>
      </c>
      <c r="O2729">
        <v>-5.8469940000000003E-3</v>
      </c>
      <c r="P2729">
        <v>-0.98354140000000001</v>
      </c>
      <c r="Q2729">
        <v>0.13700989999999999</v>
      </c>
      <c r="R2729">
        <v>-0.1177918</v>
      </c>
      <c r="S2729">
        <v>-3.0283509999999998</v>
      </c>
      <c r="T2729">
        <v>2.2652150000000001E-3</v>
      </c>
      <c r="U2729">
        <v>-0.1805725</v>
      </c>
      <c r="V2729">
        <v>-0.11200259999999999</v>
      </c>
      <c r="W2729">
        <v>0.14940129999999999</v>
      </c>
      <c r="X2729">
        <v>0.98241270000000003</v>
      </c>
      <c r="Y2729">
        <v>-5.3684280000000001E-2</v>
      </c>
      <c r="Z2729">
        <v>-3.9559220000000002E-4</v>
      </c>
      <c r="AA2729">
        <v>0.9985579</v>
      </c>
      <c r="AB2729">
        <v>32</v>
      </c>
      <c r="AC2729">
        <v>-142.1225</v>
      </c>
      <c r="AD2729">
        <v>0.106368</v>
      </c>
      <c r="AE2729">
        <v>-8.4839999999999804</v>
      </c>
      <c r="AF2729">
        <v>-7.6527956196058602</v>
      </c>
      <c r="AG2729">
        <v>0.106368</v>
      </c>
      <c r="AH2729">
        <v>142.16960066473601</v>
      </c>
      <c r="AI2729">
        <v>89.957194603681003</v>
      </c>
      <c r="AJ2729">
        <v>93.081180000598707</v>
      </c>
      <c r="AK2729">
        <v>142.375461186672</v>
      </c>
      <c r="AL2729">
        <v>81.407767568659693</v>
      </c>
      <c r="AM2729">
        <v>96.504076871489602</v>
      </c>
      <c r="AN2729">
        <v>1.0000000219848599</v>
      </c>
    </row>
    <row r="2730" spans="1:40" x14ac:dyDescent="0.25">
      <c r="A2730" t="str">
        <f>"20190304154812868"</f>
        <v>20190304154812868</v>
      </c>
      <c r="B2730" t="str">
        <f>"1551685692859851"</f>
        <v>1551685692859851</v>
      </c>
      <c r="C2730" t="s">
        <v>40</v>
      </c>
      <c r="D2730">
        <v>4.1787390000000002</v>
      </c>
      <c r="E2730">
        <v>0.51898599999999995</v>
      </c>
      <c r="F2730" t="s">
        <v>62</v>
      </c>
      <c r="G2730">
        <v>-512.82560000000001</v>
      </c>
      <c r="H2730">
        <v>1.1629780000000001</v>
      </c>
      <c r="I2730">
        <v>272.92360000000002</v>
      </c>
      <c r="J2730">
        <v>-313.41669999999999</v>
      </c>
      <c r="K2730">
        <v>1.110476</v>
      </c>
      <c r="L2730">
        <v>285.42059999999998</v>
      </c>
      <c r="M2730">
        <v>-0.99990380000000001</v>
      </c>
      <c r="N2730">
        <v>-1.261776E-2</v>
      </c>
      <c r="O2730">
        <v>-5.7765780000000001E-3</v>
      </c>
      <c r="P2730">
        <v>-0.9836009</v>
      </c>
      <c r="Q2730">
        <v>0.136875</v>
      </c>
      <c r="R2730">
        <v>-0.11745029999999999</v>
      </c>
      <c r="S2730">
        <v>-3.0274049999999999</v>
      </c>
      <c r="T2730">
        <v>7.9727170000000003E-4</v>
      </c>
      <c r="U2730">
        <v>-0.18951419999999999</v>
      </c>
      <c r="V2730">
        <v>-0.1117301</v>
      </c>
      <c r="W2730">
        <v>0.14931029999999901</v>
      </c>
      <c r="X2730">
        <v>0.98245749999999998</v>
      </c>
      <c r="Y2730">
        <v>-5.6711030000000003E-2</v>
      </c>
      <c r="Z2730">
        <v>-4.2502909999999998E-4</v>
      </c>
      <c r="AA2730">
        <v>0.99839060000000002</v>
      </c>
      <c r="AB2730">
        <v>32</v>
      </c>
      <c r="AC2730">
        <v>-199.40889999999999</v>
      </c>
      <c r="AD2730">
        <v>5.2502E-2</v>
      </c>
      <c r="AE2730">
        <v>-12.4969999999999</v>
      </c>
      <c r="AF2730">
        <v>-11.344798012052699</v>
      </c>
      <c r="AG2730">
        <v>5.2502E-2</v>
      </c>
      <c r="AH2730">
        <v>199.477754281915</v>
      </c>
      <c r="AI2730">
        <v>89.984944236830302</v>
      </c>
      <c r="AJ2730">
        <v>93.255047615856896</v>
      </c>
      <c r="AK2730">
        <v>199.800104233582</v>
      </c>
      <c r="AL2730">
        <v>81.413040094423593</v>
      </c>
      <c r="AM2730">
        <v>96.488094344640501</v>
      </c>
      <c r="AN2730">
        <v>0.99999996011917403</v>
      </c>
    </row>
    <row r="2731" spans="1:40" x14ac:dyDescent="0.25">
      <c r="A2731" t="str">
        <f>"20190304154812882"</f>
        <v>20190304154812882</v>
      </c>
      <c r="B2731" t="str">
        <f>"1551685692879371"</f>
        <v>1551685692879371</v>
      </c>
      <c r="C2731" t="s">
        <v>40</v>
      </c>
      <c r="D2731">
        <v>4.1357699999999999</v>
      </c>
      <c r="E2731">
        <v>0.51860689999999998</v>
      </c>
      <c r="F2731" t="s">
        <v>62</v>
      </c>
      <c r="G2731">
        <v>-512.82560000000001</v>
      </c>
      <c r="H2731">
        <v>1.2044060000000001</v>
      </c>
      <c r="I2731">
        <v>272.8698</v>
      </c>
      <c r="J2731">
        <v>-313.59320000000002</v>
      </c>
      <c r="K2731">
        <v>1.1104799999999999</v>
      </c>
      <c r="L2731">
        <v>285.4196</v>
      </c>
      <c r="M2731">
        <v>-0.99990369999999995</v>
      </c>
      <c r="N2731">
        <v>-1.2646050000000001E-2</v>
      </c>
      <c r="O2731">
        <v>-5.7258550000000002E-3</v>
      </c>
      <c r="P2731">
        <v>-0.98361880000000002</v>
      </c>
      <c r="Q2731">
        <v>0.1369686</v>
      </c>
      <c r="R2731">
        <v>-0.1171908</v>
      </c>
      <c r="S2731">
        <v>-3.0270389999999998</v>
      </c>
      <c r="T2731">
        <v>1.4270540000000001E-3</v>
      </c>
      <c r="U2731">
        <v>-0.1905212</v>
      </c>
      <c r="V2731">
        <v>-0.111521</v>
      </c>
      <c r="W2731">
        <v>0.14943149999999999</v>
      </c>
      <c r="X2731">
        <v>0.98246290000000003</v>
      </c>
      <c r="Y2731">
        <v>-5.7100129999999999E-2</v>
      </c>
      <c r="Z2731">
        <v>-4.2301099999999999E-4</v>
      </c>
      <c r="AA2731">
        <v>0.99836840000000004</v>
      </c>
      <c r="AB2731">
        <v>32</v>
      </c>
      <c r="AC2731">
        <v>-199.23240000000001</v>
      </c>
      <c r="AD2731">
        <v>9.3925999999999898E-2</v>
      </c>
      <c r="AE2731">
        <v>-12.549799999999999</v>
      </c>
      <c r="AF2731">
        <v>-11.408724718955799</v>
      </c>
      <c r="AG2731">
        <v>9.3925999999999898E-2</v>
      </c>
      <c r="AH2731">
        <v>199.30095344956499</v>
      </c>
      <c r="AI2731">
        <v>89.973041938624704</v>
      </c>
      <c r="AJ2731">
        <v>93.276247164254599</v>
      </c>
      <c r="AK2731">
        <v>199.627247307857</v>
      </c>
      <c r="AL2731">
        <v>81.406017645839796</v>
      </c>
      <c r="AM2731">
        <v>96.476019997853697</v>
      </c>
      <c r="AN2731">
        <v>1.00000002825482</v>
      </c>
    </row>
    <row r="2732" spans="1:40" x14ac:dyDescent="0.25">
      <c r="A2732" t="str">
        <f>"20190304154812894"</f>
        <v>20190304154812894</v>
      </c>
      <c r="B2732" t="str">
        <f>"1551685692889131"</f>
        <v>1551685692889131</v>
      </c>
      <c r="C2732" t="s">
        <v>40</v>
      </c>
      <c r="D2732">
        <v>4.1656120000000003</v>
      </c>
      <c r="E2732">
        <v>0.51843320000000004</v>
      </c>
      <c r="F2732" t="s">
        <v>62</v>
      </c>
      <c r="G2732">
        <v>-512.82560000000001</v>
      </c>
      <c r="H2732">
        <v>1.2631840000000001</v>
      </c>
      <c r="I2732">
        <v>272.71960000000001</v>
      </c>
      <c r="J2732">
        <v>-313.76870000000002</v>
      </c>
      <c r="K2732">
        <v>1.1104799999999999</v>
      </c>
      <c r="L2732">
        <v>285.41860000000003</v>
      </c>
      <c r="M2732">
        <v>-0.99990369999999995</v>
      </c>
      <c r="N2732">
        <v>-1.267102E-2</v>
      </c>
      <c r="O2732">
        <v>-5.6752299999999999E-3</v>
      </c>
      <c r="P2732">
        <v>-0.98362499999999997</v>
      </c>
      <c r="Q2732">
        <v>0.1370208</v>
      </c>
      <c r="R2732">
        <v>-0.11707819999999999</v>
      </c>
      <c r="S2732">
        <v>-3.0266419999999998</v>
      </c>
      <c r="T2732">
        <v>2.3210050000000001E-3</v>
      </c>
      <c r="U2732">
        <v>-0.1929321</v>
      </c>
      <c r="V2732">
        <v>-0.1114579</v>
      </c>
      <c r="W2732">
        <v>0.14950829999999901</v>
      </c>
      <c r="X2732">
        <v>0.98245839999999995</v>
      </c>
      <c r="Y2732">
        <v>-5.795107E-2</v>
      </c>
      <c r="Z2732">
        <v>-4.2152980000000002E-4</v>
      </c>
      <c r="AA2732">
        <v>0.99831930000000002</v>
      </c>
      <c r="AB2732">
        <v>32</v>
      </c>
      <c r="AC2732">
        <v>-199.05690000000001</v>
      </c>
      <c r="AD2732">
        <v>0.15270400000000001</v>
      </c>
      <c r="AE2732">
        <v>-12.699</v>
      </c>
      <c r="AF2732">
        <v>-11.569004385567</v>
      </c>
      <c r="AG2732">
        <v>0.15270400000000001</v>
      </c>
      <c r="AH2732">
        <v>199.12565263961901</v>
      </c>
      <c r="AI2732">
        <v>89.956135417169094</v>
      </c>
      <c r="AJ2732">
        <v>93.325090469471505</v>
      </c>
      <c r="AK2732">
        <v>199.46150184970301</v>
      </c>
      <c r="AL2732">
        <v>81.401567537818096</v>
      </c>
      <c r="AM2732">
        <v>96.472416279434498</v>
      </c>
      <c r="AN2732">
        <v>1.00000005148592</v>
      </c>
    </row>
    <row r="2733" spans="1:40" x14ac:dyDescent="0.25">
      <c r="A2733" t="str">
        <f>"20190304154812906"</f>
        <v>20190304154812906</v>
      </c>
      <c r="B2733" t="str">
        <f>"1551685692899868"</f>
        <v>1551685692899868</v>
      </c>
      <c r="C2733" t="s">
        <v>40</v>
      </c>
      <c r="D2733">
        <v>4.1466430000000001</v>
      </c>
      <c r="E2733">
        <v>0.51830270000000001</v>
      </c>
      <c r="F2733" t="s">
        <v>62</v>
      </c>
      <c r="G2733">
        <v>-512.82560000000001</v>
      </c>
      <c r="H2733">
        <v>1.279399</v>
      </c>
      <c r="I2733">
        <v>272.65480000000002</v>
      </c>
      <c r="J2733">
        <v>-313.96319999999997</v>
      </c>
      <c r="K2733">
        <v>1.110479</v>
      </c>
      <c r="L2733">
        <v>285.41759999999999</v>
      </c>
      <c r="M2733">
        <v>-0.99990380000000001</v>
      </c>
      <c r="N2733">
        <v>-1.2686100000000001E-2</v>
      </c>
      <c r="O2733">
        <v>-5.6197720000000003E-3</v>
      </c>
      <c r="P2733">
        <v>-0.9836705</v>
      </c>
      <c r="Q2733">
        <v>0.13687530000000001</v>
      </c>
      <c r="R2733">
        <v>-0.1168652</v>
      </c>
      <c r="S2733">
        <v>-3.026459</v>
      </c>
      <c r="T2733">
        <v>2.5694369999999999E-3</v>
      </c>
      <c r="U2733">
        <v>-0.19406129999999999</v>
      </c>
      <c r="V2733">
        <v>-0.11129940000000001</v>
      </c>
      <c r="W2733">
        <v>0.14937819999999999</v>
      </c>
      <c r="X2733">
        <v>0.98249609999999998</v>
      </c>
      <c r="Y2733">
        <v>-5.8381240000000001E-2</v>
      </c>
      <c r="Z2733">
        <v>-4.2194379999999998E-4</v>
      </c>
      <c r="AA2733">
        <v>0.99829429999999997</v>
      </c>
      <c r="AB2733">
        <v>32</v>
      </c>
      <c r="AC2733">
        <v>-198.86240000000001</v>
      </c>
      <c r="AD2733">
        <v>0.16891999999999899</v>
      </c>
      <c r="AE2733">
        <v>-12.762799999999899</v>
      </c>
      <c r="AF2733">
        <v>-11.6449388467829</v>
      </c>
      <c r="AG2733">
        <v>0.16891999999999899</v>
      </c>
      <c r="AH2733">
        <v>198.93084609728899</v>
      </c>
      <c r="AI2733">
        <v>89.951431056672703</v>
      </c>
      <c r="AJ2733">
        <v>93.3501356393229</v>
      </c>
      <c r="AK2733">
        <v>199.271459731932</v>
      </c>
      <c r="AL2733">
        <v>81.409105886511895</v>
      </c>
      <c r="AM2733">
        <v>96.463044135182798</v>
      </c>
      <c r="AN2733">
        <v>0.99999999479540502</v>
      </c>
    </row>
    <row r="2734" spans="1:40" x14ac:dyDescent="0.25">
      <c r="A2734" t="str">
        <f>"20190304154812918"</f>
        <v>20190304154812918</v>
      </c>
      <c r="B2734" t="str">
        <f>"1551685692909628"</f>
        <v>1551685692909628</v>
      </c>
      <c r="C2734" t="s">
        <v>40</v>
      </c>
      <c r="D2734">
        <v>4.1153040000000001</v>
      </c>
      <c r="E2734">
        <v>0.51818609999999998</v>
      </c>
      <c r="F2734" t="s">
        <v>62</v>
      </c>
      <c r="G2734">
        <v>-512.82560000000001</v>
      </c>
      <c r="H2734">
        <v>1.275935</v>
      </c>
      <c r="I2734">
        <v>272.63350000000003</v>
      </c>
      <c r="J2734">
        <v>-314.12599999999998</v>
      </c>
      <c r="K2734">
        <v>1.1103860000000001</v>
      </c>
      <c r="L2734">
        <v>285.41669999999999</v>
      </c>
      <c r="M2734">
        <v>-0.99990800000000002</v>
      </c>
      <c r="N2734">
        <v>-1.2371119999999999E-2</v>
      </c>
      <c r="O2734">
        <v>-5.5739980000000001E-3</v>
      </c>
      <c r="P2734">
        <v>-0.9835488</v>
      </c>
      <c r="Q2734">
        <v>0.13766139999999999</v>
      </c>
      <c r="R2734">
        <v>-0.11696810000000001</v>
      </c>
      <c r="S2734">
        <v>-3.0263059999999999</v>
      </c>
      <c r="T2734">
        <v>2.519131E-3</v>
      </c>
      <c r="U2734">
        <v>-0.19454959999999999</v>
      </c>
      <c r="V2734">
        <v>-0.1114478</v>
      </c>
      <c r="W2734">
        <v>0.1498525</v>
      </c>
      <c r="X2734">
        <v>0.98240700000000003</v>
      </c>
      <c r="Y2734">
        <v>-5.8590549999999998E-2</v>
      </c>
      <c r="Z2734">
        <v>-4.1196750000000002E-4</v>
      </c>
      <c r="AA2734">
        <v>0.998282</v>
      </c>
      <c r="AB2734">
        <v>32</v>
      </c>
      <c r="AC2734">
        <v>-198.6996</v>
      </c>
      <c r="AD2734">
        <v>0.165548999999999</v>
      </c>
      <c r="AE2734">
        <v>-12.7831999999999</v>
      </c>
      <c r="AF2734">
        <v>-11.6753574461817</v>
      </c>
      <c r="AG2734">
        <v>0.165548999999999</v>
      </c>
      <c r="AH2734">
        <v>198.767634332196</v>
      </c>
      <c r="AI2734">
        <v>89.952361782268795</v>
      </c>
      <c r="AJ2734">
        <v>93.361618469275498</v>
      </c>
      <c r="AK2734">
        <v>199.11030570009501</v>
      </c>
      <c r="AL2734">
        <v>81.381620737438197</v>
      </c>
      <c r="AM2734">
        <v>96.472170480070005</v>
      </c>
      <c r="AN2734">
        <v>0.99999994876504295</v>
      </c>
    </row>
    <row r="2735" spans="1:40" x14ac:dyDescent="0.25">
      <c r="A2735" t="str">
        <f>"20190304154812930"</f>
        <v>20190304154812930</v>
      </c>
      <c r="B2735" t="str">
        <f>"1551685692919388"</f>
        <v>1551685692919388</v>
      </c>
      <c r="C2735" t="s">
        <v>40</v>
      </c>
      <c r="D2735">
        <v>4.128279</v>
      </c>
      <c r="E2735">
        <v>0.51810940000000005</v>
      </c>
      <c r="F2735" t="s">
        <v>62</v>
      </c>
      <c r="G2735">
        <v>-512.82560000000001</v>
      </c>
      <c r="H2735">
        <v>1.442067</v>
      </c>
      <c r="I2735">
        <v>272.55239999999998</v>
      </c>
      <c r="J2735">
        <v>-314.3</v>
      </c>
      <c r="K2735">
        <v>1.110231</v>
      </c>
      <c r="L2735">
        <v>285.41579999999999</v>
      </c>
      <c r="M2735">
        <v>-0.999915</v>
      </c>
      <c r="N2735">
        <v>-1.181171E-2</v>
      </c>
      <c r="O2735">
        <v>-5.5256709999999898E-3</v>
      </c>
      <c r="P2735">
        <v>-0.9835161</v>
      </c>
      <c r="Q2735">
        <v>0.13820099999999999</v>
      </c>
      <c r="R2735">
        <v>-0.116604</v>
      </c>
      <c r="S2735">
        <v>-3.0261840000000002</v>
      </c>
      <c r="T2735">
        <v>5.0526859999999998E-3</v>
      </c>
      <c r="U2735">
        <v>-0.19592290000000001</v>
      </c>
      <c r="V2735">
        <v>-0.1111332</v>
      </c>
      <c r="W2735">
        <v>0.14984169999999999</v>
      </c>
      <c r="X2735">
        <v>0.98244430000000005</v>
      </c>
      <c r="Y2735">
        <v>-5.9092789999999999E-2</v>
      </c>
      <c r="Z2735">
        <v>-3.7450880000000001E-4</v>
      </c>
      <c r="AA2735">
        <v>0.99825249999999999</v>
      </c>
      <c r="AB2735">
        <v>32</v>
      </c>
      <c r="AC2735">
        <v>-198.5256</v>
      </c>
      <c r="AD2735">
        <v>0.33183600000000002</v>
      </c>
      <c r="AE2735">
        <v>-12.8634</v>
      </c>
      <c r="AF2735">
        <v>-11.7661072041839</v>
      </c>
      <c r="AG2735">
        <v>0.33183600000000002</v>
      </c>
      <c r="AH2735">
        <v>198.59310009876199</v>
      </c>
      <c r="AI2735">
        <v>89.904430201812005</v>
      </c>
      <c r="AJ2735">
        <v>93.390657241654694</v>
      </c>
      <c r="AK2735">
        <v>198.94162661622099</v>
      </c>
      <c r="AL2735">
        <v>81.382246721125398</v>
      </c>
      <c r="AM2735">
        <v>96.453811939969398</v>
      </c>
      <c r="AN2735">
        <v>0.99999996290180904</v>
      </c>
    </row>
    <row r="2736" spans="1:40" x14ac:dyDescent="0.25">
      <c r="A2736" t="str">
        <f>"20190304154812943"</f>
        <v>20190304154812943</v>
      </c>
      <c r="B2736" t="str">
        <f>"1551685692939884"</f>
        <v>1551685692939884</v>
      </c>
      <c r="C2736" t="s">
        <v>40</v>
      </c>
      <c r="D2736">
        <v>4.1144259999999999</v>
      </c>
      <c r="E2736">
        <v>0.51796940000000002</v>
      </c>
      <c r="F2736" t="s">
        <v>62</v>
      </c>
      <c r="G2736">
        <v>-512.82569999999998</v>
      </c>
      <c r="H2736">
        <v>1.566057</v>
      </c>
      <c r="I2736">
        <v>272.59469999999999</v>
      </c>
      <c r="J2736">
        <v>-314.4923</v>
      </c>
      <c r="K2736">
        <v>1.110042</v>
      </c>
      <c r="L2736">
        <v>285.41480000000001</v>
      </c>
      <c r="M2736">
        <v>-0.99992409999999998</v>
      </c>
      <c r="N2736">
        <v>-1.103439E-2</v>
      </c>
      <c r="O2736">
        <v>-5.4726380000000002E-3</v>
      </c>
      <c r="P2736">
        <v>-0.98344569999999998</v>
      </c>
      <c r="Q2736">
        <v>0.13883619999999999</v>
      </c>
      <c r="R2736">
        <v>-0.1164438</v>
      </c>
      <c r="S2736">
        <v>-3.026154</v>
      </c>
      <c r="T2736">
        <v>6.9494250000000004E-3</v>
      </c>
      <c r="U2736">
        <v>-0.19543460000000001</v>
      </c>
      <c r="V2736">
        <v>-0.11102620000000001</v>
      </c>
      <c r="W2736">
        <v>0.14971099999999901</v>
      </c>
      <c r="X2736">
        <v>0.98247640000000003</v>
      </c>
      <c r="Y2736">
        <v>-5.89861E-2</v>
      </c>
      <c r="Z2736">
        <v>-3.3100829999999998E-4</v>
      </c>
      <c r="AA2736">
        <v>0.9982588</v>
      </c>
      <c r="AB2736">
        <v>32</v>
      </c>
      <c r="AC2736">
        <v>-198.33340000000001</v>
      </c>
      <c r="AD2736">
        <v>0.456015</v>
      </c>
      <c r="AE2736">
        <v>-12.8201</v>
      </c>
      <c r="AF2736">
        <v>-11.7343731872867</v>
      </c>
      <c r="AG2736">
        <v>0.456015</v>
      </c>
      <c r="AH2736">
        <v>198.39954916631001</v>
      </c>
      <c r="AI2736">
        <v>89.868537456788104</v>
      </c>
      <c r="AJ2736">
        <v>93.384824877796703</v>
      </c>
      <c r="AK2736">
        <v>198.746785063743</v>
      </c>
      <c r="AL2736">
        <v>81.389821371763304</v>
      </c>
      <c r="AM2736">
        <v>96.447441618649506</v>
      </c>
      <c r="AN2736">
        <v>1.0000000385821901</v>
      </c>
    </row>
    <row r="2737" spans="1:40" x14ac:dyDescent="0.25">
      <c r="A2737" t="str">
        <f>"20190304154812958"</f>
        <v>20190304154812958</v>
      </c>
      <c r="B2737" t="str">
        <f>"1551685692949643"</f>
        <v>1551685692949643</v>
      </c>
      <c r="C2737" t="s">
        <v>40</v>
      </c>
      <c r="D2737">
        <v>4.1017270000000003</v>
      </c>
      <c r="E2737">
        <v>0.51789949999999996</v>
      </c>
      <c r="F2737" t="s">
        <v>62</v>
      </c>
      <c r="G2737">
        <v>-512.82569999999998</v>
      </c>
      <c r="H2737">
        <v>1.7436990000000001</v>
      </c>
      <c r="I2737">
        <v>272.55900000000003</v>
      </c>
      <c r="J2737">
        <v>-314.71609999999998</v>
      </c>
      <c r="K2737">
        <v>1.1098220000000001</v>
      </c>
      <c r="L2737">
        <v>285.41370000000001</v>
      </c>
      <c r="M2737">
        <v>-0.9999344</v>
      </c>
      <c r="N2737">
        <v>-1.010602E-2</v>
      </c>
      <c r="O2737">
        <v>-5.4115300000000003E-3</v>
      </c>
      <c r="P2737">
        <v>-0.98334089999999996</v>
      </c>
      <c r="Q2737">
        <v>0.1402631</v>
      </c>
      <c r="R2737">
        <v>-0.1156162</v>
      </c>
      <c r="S2737">
        <v>-3.025909</v>
      </c>
      <c r="T2737">
        <v>9.6687079999999998E-3</v>
      </c>
      <c r="U2737">
        <v>-0.19613649999999999</v>
      </c>
      <c r="V2737">
        <v>-0.1102614</v>
      </c>
      <c r="W2737">
        <v>0.150223</v>
      </c>
      <c r="X2737">
        <v>0.98248429999999998</v>
      </c>
      <c r="Y2737">
        <v>-5.9282990000000001E-2</v>
      </c>
      <c r="Z2737">
        <v>-2.7717090000000001E-4</v>
      </c>
      <c r="AA2737">
        <v>0.99824120000000005</v>
      </c>
      <c r="AB2737">
        <v>33</v>
      </c>
      <c r="AC2737">
        <v>-198.1096</v>
      </c>
      <c r="AD2737">
        <v>0.63387700000000002</v>
      </c>
      <c r="AE2737">
        <v>-12.8546999999999</v>
      </c>
      <c r="AF2737">
        <v>-11.7822609640747</v>
      </c>
      <c r="AG2737">
        <v>0.63387700000000002</v>
      </c>
      <c r="AH2737">
        <v>198.17424571071399</v>
      </c>
      <c r="AI2737">
        <v>89.817058295400798</v>
      </c>
      <c r="AJ2737">
        <v>93.402460765471403</v>
      </c>
      <c r="AK2737">
        <v>198.525200255502</v>
      </c>
      <c r="AL2737">
        <v>81.360149725484007</v>
      </c>
      <c r="AM2737">
        <v>96.403347750035707</v>
      </c>
      <c r="AN2737">
        <v>0.99999996290272397</v>
      </c>
    </row>
    <row r="2738" spans="1:40" x14ac:dyDescent="0.25">
      <c r="A2738" t="str">
        <f>"20190304154812973"</f>
        <v>20190304154812973</v>
      </c>
      <c r="B2738" t="str">
        <f>"1551685692969163"</f>
        <v>1551685692969163</v>
      </c>
      <c r="C2738" t="s">
        <v>40</v>
      </c>
      <c r="D2738">
        <v>4.1234299999999999</v>
      </c>
      <c r="E2738">
        <v>0.51772269999999998</v>
      </c>
      <c r="F2738" t="s">
        <v>62</v>
      </c>
      <c r="G2738">
        <v>-512.82579999999996</v>
      </c>
      <c r="H2738">
        <v>2.0123669999999998</v>
      </c>
      <c r="I2738">
        <v>272.7047</v>
      </c>
      <c r="J2738">
        <v>-314.92899999999997</v>
      </c>
      <c r="K2738">
        <v>1.109642</v>
      </c>
      <c r="L2738">
        <v>285.4126</v>
      </c>
      <c r="M2738">
        <v>-0.99994329999999998</v>
      </c>
      <c r="N2738">
        <v>-9.2201379999999993E-3</v>
      </c>
      <c r="O2738">
        <v>-5.3536499999999997E-3</v>
      </c>
      <c r="P2738">
        <v>-0.98324319999999998</v>
      </c>
      <c r="Q2738">
        <v>0.14100550000000001</v>
      </c>
      <c r="R2738">
        <v>-0.11554499999999999</v>
      </c>
      <c r="S2738">
        <v>-3.0260310000000001</v>
      </c>
      <c r="T2738">
        <v>1.378715E-2</v>
      </c>
      <c r="U2738">
        <v>-0.1941223</v>
      </c>
      <c r="V2738">
        <v>-0.1102491</v>
      </c>
      <c r="W2738">
        <v>0.15009249999999999</v>
      </c>
      <c r="X2738">
        <v>0.98250570000000004</v>
      </c>
      <c r="Y2738">
        <v>-5.8676510000000001E-2</v>
      </c>
      <c r="Z2738">
        <v>-2.1093159999999999E-4</v>
      </c>
      <c r="AA2738">
        <v>0.99827699999999997</v>
      </c>
      <c r="AB2738">
        <v>33</v>
      </c>
      <c r="AC2738">
        <v>-197.89680000000001</v>
      </c>
      <c r="AD2738">
        <v>0.902724999999999</v>
      </c>
      <c r="AE2738">
        <v>-12.707899999999899</v>
      </c>
      <c r="AF2738">
        <v>-11.647961398539399</v>
      </c>
      <c r="AG2738">
        <v>0.902724999999999</v>
      </c>
      <c r="AH2738">
        <v>197.95789803318499</v>
      </c>
      <c r="AI2738">
        <v>89.739173474329903</v>
      </c>
      <c r="AJ2738">
        <v>93.367435334623593</v>
      </c>
      <c r="AK2738">
        <v>198.30234318051899</v>
      </c>
      <c r="AL2738">
        <v>81.367713212944594</v>
      </c>
      <c r="AM2738">
        <v>96.4025010707756</v>
      </c>
      <c r="AN2738">
        <v>1.0000000365697701</v>
      </c>
    </row>
    <row r="2739" spans="1:40" x14ac:dyDescent="0.25">
      <c r="A2739" t="str">
        <f>"20190304154812986"</f>
        <v>20190304154812986</v>
      </c>
      <c r="B2739" t="str">
        <f>"1551685692979899"</f>
        <v>1551685692979899</v>
      </c>
      <c r="C2739" t="s">
        <v>40</v>
      </c>
      <c r="D2739">
        <v>4.1015420000000002</v>
      </c>
      <c r="E2739">
        <v>0.51764279999999996</v>
      </c>
      <c r="F2739" t="s">
        <v>62</v>
      </c>
      <c r="G2739">
        <v>-512.82590000000005</v>
      </c>
      <c r="H2739">
        <v>2.160145</v>
      </c>
      <c r="I2739">
        <v>272.63479999999998</v>
      </c>
      <c r="J2739">
        <v>-315.13400000000001</v>
      </c>
      <c r="K2739">
        <v>1.1094900000000001</v>
      </c>
      <c r="L2739">
        <v>285.41149999999999</v>
      </c>
      <c r="M2739">
        <v>-0.99995080000000003</v>
      </c>
      <c r="N2739">
        <v>-8.3854979999999999E-3</v>
      </c>
      <c r="O2739">
        <v>-5.2984919999999897E-3</v>
      </c>
      <c r="P2739">
        <v>-0.98312869999999997</v>
      </c>
      <c r="Q2739">
        <v>0.141823</v>
      </c>
      <c r="R2739">
        <v>-0.1155177</v>
      </c>
      <c r="S2739">
        <v>-3.0258790000000002</v>
      </c>
      <c r="T2739">
        <v>1.6063569999999999E-2</v>
      </c>
      <c r="U2739">
        <v>-0.19537350000000001</v>
      </c>
      <c r="V2739">
        <v>-0.11027770000000001</v>
      </c>
      <c r="W2739">
        <v>0.15008869999999999</v>
      </c>
      <c r="X2739">
        <v>0.98250309999999996</v>
      </c>
      <c r="Y2739">
        <v>-5.914577E-2</v>
      </c>
      <c r="Z2739">
        <v>-1.63898499999999E-4</v>
      </c>
      <c r="AA2739">
        <v>0.99824939999999995</v>
      </c>
      <c r="AB2739">
        <v>33</v>
      </c>
      <c r="AC2739">
        <v>-197.6919</v>
      </c>
      <c r="AD2739">
        <v>1.0506549999999999</v>
      </c>
      <c r="AE2739">
        <v>-12.7767</v>
      </c>
      <c r="AF2739">
        <v>-11.7286849566031</v>
      </c>
      <c r="AG2739">
        <v>1.0506549999999999</v>
      </c>
      <c r="AH2739">
        <v>197.751262142559</v>
      </c>
      <c r="AI2739">
        <v>89.696123645872703</v>
      </c>
      <c r="AJ2739">
        <v>93.394253097947697</v>
      </c>
      <c r="AK2739">
        <v>198.101558816975</v>
      </c>
      <c r="AL2739">
        <v>81.367933680916096</v>
      </c>
      <c r="AM2739">
        <v>96.404164969360906</v>
      </c>
      <c r="AN2739">
        <v>1.00000006524729</v>
      </c>
    </row>
    <row r="2740" spans="1:40" x14ac:dyDescent="0.25">
      <c r="A2740" t="str">
        <f>"20190304154813004"</f>
        <v>20190304154813004</v>
      </c>
      <c r="B2740" t="str">
        <f>"1551685692999419"</f>
        <v>1551685692999419</v>
      </c>
      <c r="C2740" t="s">
        <v>40</v>
      </c>
      <c r="D2740">
        <v>4.102144</v>
      </c>
      <c r="E2740">
        <v>0.5175303</v>
      </c>
      <c r="F2740" t="s">
        <v>62</v>
      </c>
      <c r="G2740">
        <v>-512.82590000000005</v>
      </c>
      <c r="H2740">
        <v>2.3180580000000002</v>
      </c>
      <c r="I2740">
        <v>272.60879999999997</v>
      </c>
      <c r="J2740">
        <v>-315.39850000000001</v>
      </c>
      <c r="K2740">
        <v>1.1093189999999999</v>
      </c>
      <c r="L2740">
        <v>285.41019999999997</v>
      </c>
      <c r="M2740">
        <v>-0.9999595</v>
      </c>
      <c r="N2740">
        <v>-7.3339449999999997E-3</v>
      </c>
      <c r="O2740">
        <v>-5.2294129999999996E-3</v>
      </c>
      <c r="P2740">
        <v>-0.98300929999999997</v>
      </c>
      <c r="Q2740">
        <v>0.14321539999999999</v>
      </c>
      <c r="R2740">
        <v>-0.1148121</v>
      </c>
      <c r="S2740">
        <v>-3.0257869999999998</v>
      </c>
      <c r="T2740">
        <v>1.8499020000000001E-2</v>
      </c>
      <c r="U2740">
        <v>-0.1959534</v>
      </c>
      <c r="V2740">
        <v>-0.109642</v>
      </c>
      <c r="W2740">
        <v>0.150446</v>
      </c>
      <c r="X2740">
        <v>0.98251949999999999</v>
      </c>
      <c r="Y2740">
        <v>-5.9406920000000002E-2</v>
      </c>
      <c r="Z2740">
        <v>-1.069149E-4</v>
      </c>
      <c r="AA2740">
        <v>0.99823390000000001</v>
      </c>
      <c r="AB2740">
        <v>33</v>
      </c>
      <c r="AC2740">
        <v>-197.42740000000001</v>
      </c>
      <c r="AD2740">
        <v>1.208739</v>
      </c>
      <c r="AE2740">
        <v>-12.801399999999999</v>
      </c>
      <c r="AF2740">
        <v>-11.768328560542299</v>
      </c>
      <c r="AG2740">
        <v>1.208739</v>
      </c>
      <c r="AH2740">
        <v>197.48427435943901</v>
      </c>
      <c r="AI2740">
        <v>89.6499359635377</v>
      </c>
      <c r="AJ2740">
        <v>93.410292358354894</v>
      </c>
      <c r="AK2740">
        <v>197.83830070629199</v>
      </c>
      <c r="AL2740">
        <v>81.347225929100603</v>
      </c>
      <c r="AM2740">
        <v>96.367446594573707</v>
      </c>
      <c r="AN2740">
        <v>0.99999996748012399</v>
      </c>
    </row>
    <row r="2741" spans="1:40" x14ac:dyDescent="0.25">
      <c r="A2741" t="str">
        <f>"20190304154813026"</f>
        <v>20190304154813026</v>
      </c>
      <c r="B2741" t="str">
        <f>"1551685693018939"</f>
        <v>1551685693018939</v>
      </c>
      <c r="C2741" t="s">
        <v>40</v>
      </c>
      <c r="D2741">
        <v>4.077915</v>
      </c>
      <c r="E2741">
        <v>0.51750390000000002</v>
      </c>
      <c r="F2741" t="s">
        <v>62</v>
      </c>
      <c r="G2741">
        <v>-512.82600000000002</v>
      </c>
      <c r="H2741">
        <v>2.6607609999999999</v>
      </c>
      <c r="I2741">
        <v>272.69959999999998</v>
      </c>
      <c r="J2741">
        <v>-315.73329999999999</v>
      </c>
      <c r="K2741">
        <v>1.1091340000000001</v>
      </c>
      <c r="L2741">
        <v>285.40839999999997</v>
      </c>
      <c r="M2741">
        <v>-0.99996830000000003</v>
      </c>
      <c r="N2741">
        <v>-6.0809439999999996E-3</v>
      </c>
      <c r="O2741">
        <v>-5.1464279999999998E-3</v>
      </c>
      <c r="P2741">
        <v>-0.98273370000000004</v>
      </c>
      <c r="Q2741">
        <v>0.14495449999999999</v>
      </c>
      <c r="R2741">
        <v>-0.1149908</v>
      </c>
      <c r="S2741">
        <v>-3.025665</v>
      </c>
      <c r="T2741">
        <v>2.3777719999999999E-2</v>
      </c>
      <c r="U2741">
        <v>-0.19479369999999999</v>
      </c>
      <c r="V2741">
        <v>-0.10990279999999999</v>
      </c>
      <c r="W2741">
        <v>0.150952799999999</v>
      </c>
      <c r="X2741">
        <v>0.98241259999999997</v>
      </c>
      <c r="Y2741">
        <v>-5.9110799999999998E-2</v>
      </c>
      <c r="Z2741" s="1">
        <v>-1.955376E-5</v>
      </c>
      <c r="AA2741">
        <v>0.99825140000000001</v>
      </c>
      <c r="AB2741">
        <v>34</v>
      </c>
      <c r="AC2741">
        <v>-197.09270000000001</v>
      </c>
      <c r="AD2741">
        <v>1.5516270000000001</v>
      </c>
      <c r="AE2741">
        <v>-12.708799999999901</v>
      </c>
      <c r="AF2741">
        <v>-11.6935678439727</v>
      </c>
      <c r="AG2741">
        <v>1.5516270000000001</v>
      </c>
      <c r="AH2741">
        <v>197.14332810131901</v>
      </c>
      <c r="AI2741">
        <v>89.549850991682902</v>
      </c>
      <c r="AJ2741">
        <v>93.394525226042504</v>
      </c>
      <c r="AK2741">
        <v>197.495921198725</v>
      </c>
      <c r="AL2741">
        <v>81.317852779785397</v>
      </c>
      <c r="AM2741">
        <v>96.383156454056106</v>
      </c>
      <c r="AN2741">
        <v>0.999999944957218</v>
      </c>
    </row>
    <row r="2742" spans="1:40" x14ac:dyDescent="0.25">
      <c r="A2742" t="str">
        <f>"20190304154813038"</f>
        <v>20190304154813038</v>
      </c>
      <c r="B2742" t="str">
        <f>"1551685693029675"</f>
        <v>1551685693029675</v>
      </c>
      <c r="C2742" t="s">
        <v>40</v>
      </c>
      <c r="D2742">
        <v>4.0813490000000003</v>
      </c>
      <c r="E2742">
        <v>0.51747029999999905</v>
      </c>
      <c r="F2742" t="s">
        <v>62</v>
      </c>
      <c r="G2742">
        <v>-512.82619999999997</v>
      </c>
      <c r="H2742">
        <v>3.046268</v>
      </c>
      <c r="I2742">
        <v>272.68490000000003</v>
      </c>
      <c r="J2742">
        <v>-315.91820000000001</v>
      </c>
      <c r="K2742">
        <v>1.109064</v>
      </c>
      <c r="L2742">
        <v>285.40750000000003</v>
      </c>
      <c r="M2742">
        <v>-0.99997210000000003</v>
      </c>
      <c r="N2742">
        <v>-5.4752480000000003E-3</v>
      </c>
      <c r="O2742">
        <v>-5.1026509999999997E-3</v>
      </c>
      <c r="P2742">
        <v>-0.9826298</v>
      </c>
      <c r="Q2742">
        <v>0.1455273</v>
      </c>
      <c r="R2742">
        <v>-0.1151558</v>
      </c>
      <c r="S2742">
        <v>-3.0254819999999998</v>
      </c>
      <c r="T2742">
        <v>2.973723E-2</v>
      </c>
      <c r="U2742">
        <v>-0.1953125</v>
      </c>
      <c r="V2742">
        <v>-0.11011070000000001</v>
      </c>
      <c r="W2742">
        <v>0.15093010000000001</v>
      </c>
      <c r="X2742">
        <v>0.98239279999999995</v>
      </c>
      <c r="Y2742">
        <v>-5.9328100000000002E-2</v>
      </c>
      <c r="Z2742" s="1">
        <v>5.0658100000000002E-5</v>
      </c>
      <c r="AA2742">
        <v>0.99823859999999998</v>
      </c>
      <c r="AB2742">
        <v>34</v>
      </c>
      <c r="AC2742">
        <v>-196.90799999999999</v>
      </c>
      <c r="AD2742">
        <v>1.9372039999999999</v>
      </c>
      <c r="AE2742">
        <v>-12.7226</v>
      </c>
      <c r="AF2742">
        <v>-11.7165372971265</v>
      </c>
      <c r="AG2742">
        <v>1.9372039999999999</v>
      </c>
      <c r="AH2742">
        <v>196.951373020988</v>
      </c>
      <c r="AI2742">
        <v>89.437454190485298</v>
      </c>
      <c r="AJ2742">
        <v>93.4044844922485</v>
      </c>
      <c r="AK2742">
        <v>197.309080734834</v>
      </c>
      <c r="AL2742">
        <v>81.319168402317402</v>
      </c>
      <c r="AM2742">
        <v>96.395259170690196</v>
      </c>
      <c r="AN2742">
        <v>0.99999993741616799</v>
      </c>
    </row>
    <row r="2743" spans="1:40" x14ac:dyDescent="0.25">
      <c r="A2743" t="str">
        <f>"20190304154813051"</f>
        <v>20190304154813051</v>
      </c>
      <c r="B2743" t="str">
        <f>"1551685693039435"</f>
        <v>1551685693039435</v>
      </c>
      <c r="C2743" t="s">
        <v>40</v>
      </c>
      <c r="D2743">
        <v>4.0672009999999998</v>
      </c>
      <c r="E2743">
        <v>0.517455</v>
      </c>
      <c r="F2743" t="s">
        <v>62</v>
      </c>
      <c r="G2743">
        <v>-512.82619999999997</v>
      </c>
      <c r="H2743">
        <v>3.1893530000000001</v>
      </c>
      <c r="I2743">
        <v>272.64960000000002</v>
      </c>
      <c r="J2743">
        <v>-316.1139</v>
      </c>
      <c r="K2743">
        <v>1.1090100000000001</v>
      </c>
      <c r="L2743">
        <v>285.40649999999999</v>
      </c>
      <c r="M2743">
        <v>-0.99997530000000001</v>
      </c>
      <c r="N2743">
        <v>-4.8912620000000004E-3</v>
      </c>
      <c r="O2743">
        <v>-5.0573170000000004E-3</v>
      </c>
      <c r="P2743">
        <v>-0.98255309999999996</v>
      </c>
      <c r="Q2743">
        <v>0.14604539999999999</v>
      </c>
      <c r="R2743">
        <v>-0.1151538</v>
      </c>
      <c r="S2743">
        <v>-3.0253299999999999</v>
      </c>
      <c r="T2743">
        <v>3.1963110000000003E-2</v>
      </c>
      <c r="U2743">
        <v>-0.19601440000000001</v>
      </c>
      <c r="V2743">
        <v>-0.110152399999999</v>
      </c>
      <c r="W2743">
        <v>0.15087449999999999</v>
      </c>
      <c r="X2743">
        <v>0.98239670000000001</v>
      </c>
      <c r="Y2743">
        <v>-5.9606729999999997E-2</v>
      </c>
      <c r="Z2743" s="1">
        <v>9.0524550000000001E-5</v>
      </c>
      <c r="AA2743">
        <v>0.9982219</v>
      </c>
      <c r="AB2743">
        <v>34</v>
      </c>
      <c r="AC2743">
        <v>-196.7123</v>
      </c>
      <c r="AD2743">
        <v>2.0803430000000001</v>
      </c>
      <c r="AE2743">
        <v>-12.7568999999999</v>
      </c>
      <c r="AF2743">
        <v>-11.7605787239384</v>
      </c>
      <c r="AG2743">
        <v>2.0803430000000001</v>
      </c>
      <c r="AH2743">
        <v>196.752387657155</v>
      </c>
      <c r="AI2743">
        <v>89.395290231008303</v>
      </c>
      <c r="AJ2743">
        <v>93.420699210170895</v>
      </c>
      <c r="AK2743">
        <v>197.11453799177499</v>
      </c>
      <c r="AL2743">
        <v>81.322391244604205</v>
      </c>
      <c r="AM2743">
        <v>96.397635853205003</v>
      </c>
      <c r="AN2743">
        <v>0.99999997107344896</v>
      </c>
    </row>
    <row r="2744" spans="1:40" x14ac:dyDescent="0.25">
      <c r="A2744" t="str">
        <f>"20190304154813062"</f>
        <v>20190304154813062</v>
      </c>
      <c r="B2744" t="str">
        <f>"1551685693058955"</f>
        <v>1551685693058955</v>
      </c>
      <c r="C2744" t="s">
        <v>40</v>
      </c>
      <c r="D2744">
        <v>4.1447219999999998</v>
      </c>
      <c r="E2744">
        <v>0.51750129999999905</v>
      </c>
      <c r="F2744" t="s">
        <v>62</v>
      </c>
      <c r="G2744">
        <v>-512.82619999999997</v>
      </c>
      <c r="H2744">
        <v>3.3266789999999999</v>
      </c>
      <c r="I2744">
        <v>272.67070000000001</v>
      </c>
      <c r="J2744">
        <v>-316.29239999999999</v>
      </c>
      <c r="K2744">
        <v>1.109024</v>
      </c>
      <c r="L2744">
        <v>285.40570000000002</v>
      </c>
      <c r="M2744">
        <v>-0.99997689999999995</v>
      </c>
      <c r="N2744">
        <v>-4.5755450000000003E-3</v>
      </c>
      <c r="O2744">
        <v>-5.018677E-3</v>
      </c>
      <c r="P2744">
        <v>-0.98243179999999997</v>
      </c>
      <c r="Q2744">
        <v>0.146585299999999</v>
      </c>
      <c r="R2744">
        <v>-0.11550059999999999</v>
      </c>
      <c r="S2744">
        <v>-3.0252080000000001</v>
      </c>
      <c r="T2744">
        <v>3.4106369999999997E-2</v>
      </c>
      <c r="U2744">
        <v>-0.1958618</v>
      </c>
      <c r="V2744">
        <v>-0.1105368</v>
      </c>
      <c r="W2744">
        <v>0.15110499999999999</v>
      </c>
      <c r="X2744">
        <v>0.98231809999999997</v>
      </c>
      <c r="Y2744">
        <v>-5.9597329999999997E-2</v>
      </c>
      <c r="Z2744">
        <v>1.196424E-4</v>
      </c>
      <c r="AA2744">
        <v>0.99822250000000001</v>
      </c>
      <c r="AB2744">
        <v>34</v>
      </c>
      <c r="AC2744">
        <v>-196.53380000000001</v>
      </c>
      <c r="AD2744">
        <v>2.2176550000000002</v>
      </c>
      <c r="AE2744">
        <v>-12.734999999999999</v>
      </c>
      <c r="AF2744">
        <v>-11.7470001598022</v>
      </c>
      <c r="AG2744">
        <v>2.2176550000000002</v>
      </c>
      <c r="AH2744">
        <v>196.570314741739</v>
      </c>
      <c r="AI2744">
        <v>89.354782374106605</v>
      </c>
      <c r="AJ2744">
        <v>93.419916350336607</v>
      </c>
      <c r="AK2744">
        <v>196.93348786867</v>
      </c>
      <c r="AL2744">
        <v>81.309031456045105</v>
      </c>
      <c r="AM2744">
        <v>96.420285069374003</v>
      </c>
      <c r="AN2744">
        <v>0.99999997738342405</v>
      </c>
    </row>
    <row r="2745" spans="1:40" x14ac:dyDescent="0.25">
      <c r="A2745" t="str">
        <f>"20190304154813076"</f>
        <v>20190304154813076</v>
      </c>
      <c r="B2745" t="str">
        <f>"1551685693069692"</f>
        <v>1551685693069692</v>
      </c>
      <c r="C2745" t="s">
        <v>40</v>
      </c>
      <c r="D2745">
        <v>4.1710510000000003</v>
      </c>
      <c r="E2745">
        <v>0.53553039999999996</v>
      </c>
      <c r="F2745" t="s">
        <v>62</v>
      </c>
      <c r="G2745">
        <v>-512.82629999999995</v>
      </c>
      <c r="H2745">
        <v>3.4897290000000001</v>
      </c>
      <c r="I2745">
        <v>272.6112</v>
      </c>
      <c r="J2745">
        <v>-316.51010000000002</v>
      </c>
      <c r="K2745">
        <v>1.1090629999999999</v>
      </c>
      <c r="L2745">
        <v>285.40460000000002</v>
      </c>
      <c r="M2745">
        <v>-0.99997840000000005</v>
      </c>
      <c r="N2745">
        <v>-4.3258699999999999E-3</v>
      </c>
      <c r="O2745">
        <v>-4.9723520000000002E-3</v>
      </c>
      <c r="P2745">
        <v>-0.98238270000000005</v>
      </c>
      <c r="Q2745">
        <v>0.1467348</v>
      </c>
      <c r="R2745">
        <v>-0.115730399999999</v>
      </c>
      <c r="S2745">
        <v>-3.0250240000000002</v>
      </c>
      <c r="T2745">
        <v>3.6644700000000002E-2</v>
      </c>
      <c r="U2745">
        <v>-0.19692989999999999</v>
      </c>
      <c r="V2745">
        <v>-0.1108106</v>
      </c>
      <c r="W2745">
        <v>0.15101029999999999</v>
      </c>
      <c r="X2745">
        <v>0.9823018</v>
      </c>
      <c r="Y2745">
        <v>-5.9997929999999998E-2</v>
      </c>
      <c r="Z2745">
        <v>1.5144019999999999E-4</v>
      </c>
      <c r="AA2745">
        <v>0.99819849999999999</v>
      </c>
      <c r="AB2745">
        <v>34</v>
      </c>
      <c r="AC2745">
        <v>-196.31619999999899</v>
      </c>
      <c r="AD2745">
        <v>2.3806660000000002</v>
      </c>
      <c r="AE2745">
        <v>-12.7934</v>
      </c>
      <c r="AF2745">
        <v>-11.8153493971183</v>
      </c>
      <c r="AG2745">
        <v>2.3806660000000002</v>
      </c>
      <c r="AH2745">
        <v>196.34863465967601</v>
      </c>
      <c r="AI2745">
        <v>89.306594747924393</v>
      </c>
      <c r="AJ2745">
        <v>93.443641494232097</v>
      </c>
      <c r="AK2745">
        <v>196.718215691121</v>
      </c>
      <c r="AL2745">
        <v>81.314520226196805</v>
      </c>
      <c r="AM2745">
        <v>96.436160759410598</v>
      </c>
      <c r="AN2745">
        <v>0.99999996303084404</v>
      </c>
    </row>
    <row r="2746" spans="1:40" x14ac:dyDescent="0.25">
      <c r="A2746" t="str">
        <f>"20190304154813092"</f>
        <v>20190304154813092</v>
      </c>
      <c r="B2746" t="str">
        <f>"1551685693089211"</f>
        <v>1551685693089211</v>
      </c>
      <c r="C2746" t="s">
        <v>40</v>
      </c>
      <c r="D2746">
        <v>4.1104399999999996</v>
      </c>
      <c r="E2746">
        <v>0.54306189999999999</v>
      </c>
      <c r="F2746" t="s">
        <v>42</v>
      </c>
      <c r="G2746">
        <v>0</v>
      </c>
      <c r="H2746">
        <v>0</v>
      </c>
      <c r="I2746">
        <v>0</v>
      </c>
      <c r="J2746">
        <v>-316.74079999999998</v>
      </c>
      <c r="K2746">
        <v>1.109162</v>
      </c>
      <c r="L2746">
        <v>285.40350000000001</v>
      </c>
      <c r="M2746">
        <v>-0.99997879999999995</v>
      </c>
      <c r="N2746">
        <v>-4.2849910000000001E-3</v>
      </c>
      <c r="O2746">
        <v>-4.9245620000000004E-3</v>
      </c>
      <c r="P2746">
        <v>-0.98250360000000003</v>
      </c>
      <c r="Q2746">
        <v>0.14595429999999901</v>
      </c>
      <c r="R2746">
        <v>-0.1156918</v>
      </c>
      <c r="S2746">
        <v>-3.040222</v>
      </c>
      <c r="T2746">
        <v>4.7200680000000002E-2</v>
      </c>
      <c r="U2746">
        <v>-5.5114749999999997E-2</v>
      </c>
      <c r="V2746">
        <v>-0.1108166</v>
      </c>
      <c r="W2746">
        <v>0.15019099999999999</v>
      </c>
      <c r="X2746">
        <v>0.98242680000000004</v>
      </c>
      <c r="Y2746">
        <v>-1.3201350000000001E-2</v>
      </c>
      <c r="Z2746" s="1">
        <v>-2.3366550000000001E-5</v>
      </c>
      <c r="AA2746">
        <v>0.99991289999999999</v>
      </c>
      <c r="AB2746">
        <v>34</v>
      </c>
      <c r="AC2746">
        <v>-3.040222</v>
      </c>
      <c r="AD2746">
        <v>4.7200680000000002E-2</v>
      </c>
      <c r="AE2746">
        <v>-5.5114749999999997E-2</v>
      </c>
      <c r="AF2746">
        <v>-4.0132513799466599E-2</v>
      </c>
      <c r="AG2746">
        <v>4.7200680000000002E-2</v>
      </c>
      <c r="AH2746">
        <v>3.0397241039091698</v>
      </c>
      <c r="AI2746">
        <v>89.110463081981607</v>
      </c>
      <c r="AJ2746">
        <v>90.756414066708203</v>
      </c>
      <c r="AK2746">
        <v>3.0403554316465602</v>
      </c>
      <c r="AL2746">
        <v>81.362004869836596</v>
      </c>
      <c r="AM2746">
        <v>96.435694246579004</v>
      </c>
      <c r="AN2746">
        <v>1.00000003633739</v>
      </c>
    </row>
    <row r="2747" spans="1:40" x14ac:dyDescent="0.25">
      <c r="A2747" t="str">
        <f>"20190304154813105"</f>
        <v>20190304154813105</v>
      </c>
      <c r="B2747" t="str">
        <f>"1551685693098973"</f>
        <v>1551685693098973</v>
      </c>
      <c r="C2747" t="s">
        <v>40</v>
      </c>
      <c r="D2747">
        <v>4.0988720000000001</v>
      </c>
      <c r="E2747">
        <v>0.54494880000000001</v>
      </c>
      <c r="F2747" t="s">
        <v>42</v>
      </c>
      <c r="G2747">
        <v>0</v>
      </c>
      <c r="H2747">
        <v>0</v>
      </c>
      <c r="I2747">
        <v>0</v>
      </c>
      <c r="J2747">
        <v>-316.9538</v>
      </c>
      <c r="K2747">
        <v>1.1092869999999999</v>
      </c>
      <c r="L2747">
        <v>285.40249999999997</v>
      </c>
      <c r="M2747">
        <v>-0.99997840000000005</v>
      </c>
      <c r="N2747">
        <v>-4.4552560000000003E-3</v>
      </c>
      <c r="O2747">
        <v>-4.8775709999999998E-3</v>
      </c>
      <c r="P2747">
        <v>-0.9824986</v>
      </c>
      <c r="Q2747">
        <v>0.14558979999999999</v>
      </c>
      <c r="R2747">
        <v>-0.1161918</v>
      </c>
      <c r="S2747">
        <v>-3.047882</v>
      </c>
      <c r="T2747">
        <v>4.094648E-2</v>
      </c>
      <c r="U2747">
        <v>5.1269530000000001E-3</v>
      </c>
      <c r="V2747">
        <v>-0.1113619</v>
      </c>
      <c r="W2747">
        <v>0.1499953</v>
      </c>
      <c r="X2747">
        <v>0.98239500000000002</v>
      </c>
      <c r="Y2747">
        <v>6.5585499999999998E-3</v>
      </c>
      <c r="Z2747">
        <v>-1.166963E-4</v>
      </c>
      <c r="AA2747">
        <v>0.99997849999999999</v>
      </c>
      <c r="AB2747">
        <v>34</v>
      </c>
      <c r="AC2747">
        <v>-3.047882</v>
      </c>
      <c r="AD2747">
        <v>4.094648E-2</v>
      </c>
      <c r="AE2747">
        <v>5.1269530000000001E-3</v>
      </c>
      <c r="AF2747">
        <v>1.9989689343240202E-2</v>
      </c>
      <c r="AG2747">
        <v>4.094648E-2</v>
      </c>
      <c r="AH2747">
        <v>3.04727075643493</v>
      </c>
      <c r="AI2747">
        <v>89.230173808747395</v>
      </c>
      <c r="AJ2747">
        <v>89.624152726609694</v>
      </c>
      <c r="AK2747">
        <v>3.0476114032021702</v>
      </c>
      <c r="AL2747">
        <v>81.373345807867807</v>
      </c>
      <c r="AM2747">
        <v>96.467302568892904</v>
      </c>
      <c r="AN2747">
        <v>0.99999999940934903</v>
      </c>
    </row>
    <row r="2748" spans="1:40" x14ac:dyDescent="0.25">
      <c r="A2748" t="str">
        <f>"20190304154813118"</f>
        <v>20190304154813118</v>
      </c>
      <c r="B2748" t="str">
        <f>"1551685693109707"</f>
        <v>1551685693109707</v>
      </c>
      <c r="C2748" t="s">
        <v>40</v>
      </c>
      <c r="D2748">
        <v>4.0771550000000003</v>
      </c>
      <c r="E2748">
        <v>0.54626330000000001</v>
      </c>
      <c r="F2748" t="s">
        <v>42</v>
      </c>
      <c r="G2748">
        <v>0</v>
      </c>
      <c r="H2748">
        <v>0</v>
      </c>
      <c r="I2748">
        <v>0</v>
      </c>
      <c r="J2748">
        <v>-317.14699999999999</v>
      </c>
      <c r="K2748">
        <v>1.1093930000000001</v>
      </c>
      <c r="L2748">
        <v>285.40159999999997</v>
      </c>
      <c r="M2748">
        <v>-0.99997760000000002</v>
      </c>
      <c r="N2748">
        <v>-4.6522439999999998E-3</v>
      </c>
      <c r="O2748">
        <v>-4.8326829999999999E-3</v>
      </c>
      <c r="P2748">
        <v>-0.98257950000000005</v>
      </c>
      <c r="Q2748">
        <v>0.14523910000000001</v>
      </c>
      <c r="R2748">
        <v>-0.11594649999999999</v>
      </c>
      <c r="S2748">
        <v>-3.0498050000000001</v>
      </c>
      <c r="T2748">
        <v>3.9557809999999999E-2</v>
      </c>
      <c r="U2748">
        <v>1.8920900000000001E-2</v>
      </c>
      <c r="V2748">
        <v>-0.11115940000000001</v>
      </c>
      <c r="W2748">
        <v>0.14983879999999999</v>
      </c>
      <c r="X2748">
        <v>0.98244180000000003</v>
      </c>
      <c r="Y2748">
        <v>1.1035079999999999E-2</v>
      </c>
      <c r="Z2748">
        <v>-1.3105319999999999E-4</v>
      </c>
      <c r="AA2748">
        <v>0.99993909999999997</v>
      </c>
      <c r="AB2748">
        <v>34</v>
      </c>
      <c r="AC2748">
        <v>-3.0498050000000001</v>
      </c>
      <c r="AD2748">
        <v>3.9557809999999999E-2</v>
      </c>
      <c r="AE2748">
        <v>1.8920900000000001E-2</v>
      </c>
      <c r="AF2748">
        <v>3.36539162592892E-2</v>
      </c>
      <c r="AG2748">
        <v>3.9557809999999999E-2</v>
      </c>
      <c r="AH2748">
        <v>3.0491649842720201</v>
      </c>
      <c r="AI2748">
        <v>89.256770160023194</v>
      </c>
      <c r="AJ2748">
        <v>89.367646852764906</v>
      </c>
      <c r="AK2748">
        <v>3.0496072710633002</v>
      </c>
      <c r="AL2748">
        <v>81.382414961918698</v>
      </c>
      <c r="AM2748">
        <v>96.455336892796893</v>
      </c>
      <c r="AN2748">
        <v>0.99999998429051995</v>
      </c>
    </row>
    <row r="2749" spans="1:40" x14ac:dyDescent="0.25">
      <c r="A2749" t="str">
        <f>"20190304154813131"</f>
        <v>20190304154813131</v>
      </c>
      <c r="B2749" t="str">
        <f>"1551685693119467"</f>
        <v>1551685693119467</v>
      </c>
      <c r="C2749" t="s">
        <v>40</v>
      </c>
      <c r="D2749">
        <v>4.133591</v>
      </c>
      <c r="E2749">
        <v>0.54701580000000005</v>
      </c>
      <c r="F2749" t="s">
        <v>42</v>
      </c>
      <c r="G2749">
        <v>0</v>
      </c>
      <c r="H2749">
        <v>0</v>
      </c>
      <c r="I2749">
        <v>0</v>
      </c>
      <c r="J2749">
        <v>-317.34469999999999</v>
      </c>
      <c r="K2749">
        <v>1.1095029999999999</v>
      </c>
      <c r="L2749">
        <v>285.40069999999997</v>
      </c>
      <c r="M2749">
        <v>-0.99997659999999999</v>
      </c>
      <c r="N2749">
        <v>-4.8917329999999997E-3</v>
      </c>
      <c r="O2749">
        <v>-4.7849360000000001E-3</v>
      </c>
      <c r="P2749">
        <v>-0.98253290000000004</v>
      </c>
      <c r="Q2749">
        <v>0.14529320000000001</v>
      </c>
      <c r="R2749">
        <v>-0.1162714</v>
      </c>
      <c r="S2749">
        <v>-3.050751</v>
      </c>
      <c r="T2749">
        <v>4.0382500000000002E-2</v>
      </c>
      <c r="U2749">
        <v>3.0029299999999998E-2</v>
      </c>
      <c r="V2749">
        <v>-0.11153109999999999</v>
      </c>
      <c r="W2749">
        <v>0.15012829999999999</v>
      </c>
      <c r="X2749">
        <v>0.98235550000000005</v>
      </c>
      <c r="Y2749">
        <v>1.4625829999999999E-2</v>
      </c>
      <c r="Z2749">
        <v>-1.4775730000000001E-4</v>
      </c>
      <c r="AA2749">
        <v>0.99989300000000003</v>
      </c>
      <c r="AB2749">
        <v>34</v>
      </c>
      <c r="AC2749">
        <v>-3.050751</v>
      </c>
      <c r="AD2749">
        <v>4.0382500000000002E-2</v>
      </c>
      <c r="AE2749">
        <v>3.0029299999999998E-2</v>
      </c>
      <c r="AF2749">
        <v>4.4618961797477097E-2</v>
      </c>
      <c r="AG2749">
        <v>4.0382500000000002E-2</v>
      </c>
      <c r="AH2749">
        <v>3.0500380219611398</v>
      </c>
      <c r="AI2749">
        <v>89.2415294106044</v>
      </c>
      <c r="AJ2749">
        <v>89.161880660503698</v>
      </c>
      <c r="AK2749">
        <v>3.0506316613886302</v>
      </c>
      <c r="AL2749">
        <v>81.365638289881701</v>
      </c>
      <c r="AM2749">
        <v>96.477303584768293</v>
      </c>
      <c r="AN2749">
        <v>1.00000001055417</v>
      </c>
    </row>
    <row r="2750" spans="1:40" x14ac:dyDescent="0.25">
      <c r="A2750" t="str">
        <f>"20190304154813144"</f>
        <v>20190304154813144</v>
      </c>
      <c r="B2750" t="str">
        <f>"1551685693138988"</f>
        <v>1551685693138988</v>
      </c>
      <c r="C2750" t="s">
        <v>40</v>
      </c>
      <c r="D2750">
        <v>4.0933619999999999</v>
      </c>
      <c r="E2750">
        <v>0.54794259999999995</v>
      </c>
      <c r="F2750" t="s">
        <v>42</v>
      </c>
      <c r="G2750">
        <v>0</v>
      </c>
      <c r="H2750">
        <v>0</v>
      </c>
      <c r="I2750">
        <v>0</v>
      </c>
      <c r="J2750">
        <v>-317.55009999999999</v>
      </c>
      <c r="K2750">
        <v>1.1095999999999999</v>
      </c>
      <c r="L2750">
        <v>285.39980000000003</v>
      </c>
      <c r="M2750">
        <v>-0.99997539999999996</v>
      </c>
      <c r="N2750">
        <v>-5.1660250000000003E-3</v>
      </c>
      <c r="O2750">
        <v>-4.7311100000000002E-3</v>
      </c>
      <c r="P2750">
        <v>-0.98261359999999998</v>
      </c>
      <c r="Q2750">
        <v>0.1447387</v>
      </c>
      <c r="R2750">
        <v>-0.1162812</v>
      </c>
      <c r="S2750">
        <v>-3.0512700000000001</v>
      </c>
      <c r="T2750">
        <v>4.1762830000000001E-2</v>
      </c>
      <c r="U2750">
        <v>3.515625E-2</v>
      </c>
      <c r="V2750">
        <v>-0.1115936</v>
      </c>
      <c r="W2750">
        <v>0.14984349999999999</v>
      </c>
      <c r="X2750">
        <v>0.98239189999999998</v>
      </c>
      <c r="Y2750">
        <v>1.625002E-2</v>
      </c>
      <c r="Z2750">
        <v>-1.5841020000000001E-4</v>
      </c>
      <c r="AA2750">
        <v>0.99986799999999998</v>
      </c>
      <c r="AB2750">
        <v>34</v>
      </c>
      <c r="AC2750">
        <v>-3.0512700000000001</v>
      </c>
      <c r="AD2750">
        <v>4.1762830000000001E-2</v>
      </c>
      <c r="AE2750">
        <v>3.515625E-2</v>
      </c>
      <c r="AF2750">
        <v>4.9582656772678202E-2</v>
      </c>
      <c r="AG2750">
        <v>4.1762830000000001E-2</v>
      </c>
      <c r="AH2750">
        <v>3.0504981309383798</v>
      </c>
      <c r="AI2750">
        <v>89.215744984315094</v>
      </c>
      <c r="AJ2750">
        <v>89.068799025676199</v>
      </c>
      <c r="AK2750">
        <v>3.0511868872097598</v>
      </c>
      <c r="AL2750">
        <v>81.382142955647794</v>
      </c>
      <c r="AM2750">
        <v>96.480664384494602</v>
      </c>
      <c r="AN2750">
        <v>1.0000000256193999</v>
      </c>
    </row>
    <row r="2751" spans="1:40" x14ac:dyDescent="0.25">
      <c r="A2751" t="str">
        <f>"20190304154813161"</f>
        <v>20190304154813161</v>
      </c>
      <c r="B2751" t="str">
        <f>"1551685693149723"</f>
        <v>1551685693149723</v>
      </c>
      <c r="C2751" t="s">
        <v>40</v>
      </c>
      <c r="D2751">
        <v>4.2770380000000001</v>
      </c>
      <c r="E2751">
        <v>0.54789350000000003</v>
      </c>
      <c r="F2751" t="s">
        <v>42</v>
      </c>
      <c r="G2751">
        <v>0</v>
      </c>
      <c r="H2751">
        <v>0</v>
      </c>
      <c r="I2751">
        <v>0</v>
      </c>
      <c r="J2751">
        <v>-317.80079999999998</v>
      </c>
      <c r="K2751">
        <v>1.1097030000000001</v>
      </c>
      <c r="L2751">
        <v>285.39870000000002</v>
      </c>
      <c r="M2751">
        <v>-0.99997409999999998</v>
      </c>
      <c r="N2751">
        <v>-5.5101450000000001E-3</v>
      </c>
      <c r="O2751">
        <v>-4.6646300000000003E-3</v>
      </c>
      <c r="P2751">
        <v>-0.98266739999999997</v>
      </c>
      <c r="Q2751">
        <v>0.1441347</v>
      </c>
      <c r="R2751">
        <v>-0.11657770000000001</v>
      </c>
      <c r="S2751">
        <v>-3.0524290000000001</v>
      </c>
      <c r="T2751">
        <v>3.8554909999999998E-2</v>
      </c>
      <c r="U2751">
        <v>4.2388919999999997E-2</v>
      </c>
      <c r="V2751">
        <v>-0.1119556</v>
      </c>
      <c r="W2751">
        <v>0.14957809999999999</v>
      </c>
      <c r="X2751">
        <v>0.98239109999999996</v>
      </c>
      <c r="Y2751">
        <v>1.854811E-2</v>
      </c>
      <c r="Z2751">
        <v>-1.506376E-4</v>
      </c>
      <c r="AA2751">
        <v>0.99982800000000005</v>
      </c>
      <c r="AB2751">
        <v>34</v>
      </c>
      <c r="AC2751">
        <v>-3.0524290000000001</v>
      </c>
      <c r="AD2751">
        <v>3.8554909999999998E-2</v>
      </c>
      <c r="AE2751">
        <v>4.2388919999999997E-2</v>
      </c>
      <c r="AF2751">
        <v>5.6618093493689903E-2</v>
      </c>
      <c r="AG2751">
        <v>3.8554909999999998E-2</v>
      </c>
      <c r="AH2751">
        <v>3.0517112840286198</v>
      </c>
      <c r="AI2751">
        <v>89.276295864897605</v>
      </c>
      <c r="AJ2751">
        <v>88.937119087314599</v>
      </c>
      <c r="AK2751">
        <v>3.0524799509028</v>
      </c>
      <c r="AL2751">
        <v>81.397522094305202</v>
      </c>
      <c r="AM2751">
        <v>96.501512640537698</v>
      </c>
      <c r="AN2751">
        <v>0.99999996886508902</v>
      </c>
    </row>
    <row r="2752" spans="1:40" x14ac:dyDescent="0.25">
      <c r="A2752" t="str">
        <f>"20190304154813183"</f>
        <v>20190304154813183</v>
      </c>
      <c r="B2752" t="str">
        <f>"1551685693179004"</f>
        <v>1551685693179004</v>
      </c>
      <c r="C2752" t="s">
        <v>40</v>
      </c>
      <c r="D2752">
        <v>4.0872339999999996</v>
      </c>
      <c r="E2752">
        <v>0.54897790000000002</v>
      </c>
      <c r="F2752" t="s">
        <v>42</v>
      </c>
      <c r="G2752">
        <v>0</v>
      </c>
      <c r="H2752">
        <v>0</v>
      </c>
      <c r="I2752">
        <v>0</v>
      </c>
      <c r="J2752">
        <v>-318.14210000000003</v>
      </c>
      <c r="K2752">
        <v>1.109809</v>
      </c>
      <c r="L2752">
        <v>285.3972</v>
      </c>
      <c r="M2752">
        <v>-0.99997159999999996</v>
      </c>
      <c r="N2752">
        <v>-5.9904600000000004E-3</v>
      </c>
      <c r="O2752">
        <v>-4.571772E-3</v>
      </c>
      <c r="P2752">
        <v>-0.98265590000000003</v>
      </c>
      <c r="Q2752">
        <v>0.143923</v>
      </c>
      <c r="R2752">
        <v>-0.1169367</v>
      </c>
      <c r="S2752">
        <v>-3.0521850000000001</v>
      </c>
      <c r="T2752">
        <v>3.8380980000000002E-2</v>
      </c>
      <c r="U2752">
        <v>4.1259770000000001E-2</v>
      </c>
      <c r="V2752">
        <v>-0.11240550000000001</v>
      </c>
      <c r="W2752">
        <v>0.14983829999999901</v>
      </c>
      <c r="X2752">
        <v>0.98230010000000001</v>
      </c>
      <c r="Y2752">
        <v>1.8086629999999999E-2</v>
      </c>
      <c r="Z2752">
        <v>-1.44401E-4</v>
      </c>
      <c r="AA2752">
        <v>0.99983639999999996</v>
      </c>
      <c r="AB2752">
        <v>34</v>
      </c>
      <c r="AC2752">
        <v>-3.0521850000000001</v>
      </c>
      <c r="AD2752">
        <v>3.8380980000000002E-2</v>
      </c>
      <c r="AE2752">
        <v>4.1259770000000001E-2</v>
      </c>
      <c r="AF2752">
        <v>5.5204755327188403E-2</v>
      </c>
      <c r="AG2752">
        <v>3.8380980000000002E-2</v>
      </c>
      <c r="AH2752">
        <v>3.0514820296252401</v>
      </c>
      <c r="AI2752">
        <v>89.279500101319698</v>
      </c>
      <c r="AJ2752">
        <v>88.963567717342897</v>
      </c>
      <c r="AK2752">
        <v>3.05222267237537</v>
      </c>
      <c r="AL2752">
        <v>81.382444069150097</v>
      </c>
      <c r="AM2752">
        <v>96.528013788072101</v>
      </c>
      <c r="AN2752">
        <v>0.99999999951857499</v>
      </c>
    </row>
    <row r="2753" spans="1:40" x14ac:dyDescent="0.25">
      <c r="A2753" t="str">
        <f>"20190304154813205"</f>
        <v>20190304154813205</v>
      </c>
      <c r="B2753" t="str">
        <f>"1551685693199500"</f>
        <v>1551685693199500</v>
      </c>
      <c r="C2753" t="s">
        <v>40</v>
      </c>
      <c r="D2753">
        <v>4.2996850000000002</v>
      </c>
      <c r="E2753">
        <v>0.54934530000000004</v>
      </c>
      <c r="F2753" t="s">
        <v>42</v>
      </c>
      <c r="G2753">
        <v>0</v>
      </c>
      <c r="H2753">
        <v>0</v>
      </c>
      <c r="I2753">
        <v>0</v>
      </c>
      <c r="J2753">
        <v>-318.48680000000002</v>
      </c>
      <c r="K2753">
        <v>1.109899</v>
      </c>
      <c r="L2753">
        <v>285.39569999999998</v>
      </c>
      <c r="M2753">
        <v>-0.9999692</v>
      </c>
      <c r="N2753">
        <v>-6.4723799999999998E-3</v>
      </c>
      <c r="O2753">
        <v>-4.4762959999999899E-3</v>
      </c>
      <c r="P2753">
        <v>-0.9827108</v>
      </c>
      <c r="Q2753">
        <v>0.14324300000000001</v>
      </c>
      <c r="R2753">
        <v>-0.1173081</v>
      </c>
      <c r="S2753">
        <v>-3.0530400000000002</v>
      </c>
      <c r="T2753">
        <v>3.9082770000000003E-2</v>
      </c>
      <c r="U2753">
        <v>4.8858640000000002E-2</v>
      </c>
      <c r="V2753">
        <v>-0.11287129999999999</v>
      </c>
      <c r="W2753">
        <v>0.14963189999999901</v>
      </c>
      <c r="X2753">
        <v>0.98227819999999999</v>
      </c>
      <c r="Y2753">
        <v>2.0475230000000001E-2</v>
      </c>
      <c r="Z2753">
        <v>-1.5103800000000001E-4</v>
      </c>
      <c r="AA2753">
        <v>0.99979039999999997</v>
      </c>
      <c r="AB2753">
        <v>35</v>
      </c>
      <c r="AC2753">
        <v>-3.0530400000000002</v>
      </c>
      <c r="AD2753">
        <v>3.9082770000000003E-2</v>
      </c>
      <c r="AE2753">
        <v>4.8858640000000002E-2</v>
      </c>
      <c r="AF2753">
        <v>6.2514503452803294E-2</v>
      </c>
      <c r="AG2753">
        <v>3.9082770000000003E-2</v>
      </c>
      <c r="AH2753">
        <v>3.0522906430924199</v>
      </c>
      <c r="AI2753">
        <v>89.266555440497996</v>
      </c>
      <c r="AJ2753">
        <v>88.826679068573398</v>
      </c>
      <c r="AK2753">
        <v>3.0531809143845901</v>
      </c>
      <c r="AL2753">
        <v>81.394405190409998</v>
      </c>
      <c r="AM2753">
        <v>96.554975318167294</v>
      </c>
      <c r="AN2753">
        <v>1.0000000490282599</v>
      </c>
    </row>
    <row r="2754" spans="1:40" x14ac:dyDescent="0.25">
      <c r="A2754" t="str">
        <f>"20190304154813219"</f>
        <v>20190304154813219</v>
      </c>
      <c r="B2754" t="str">
        <f>"1551685693209260"</f>
        <v>1551685693209260</v>
      </c>
      <c r="C2754" t="s">
        <v>40</v>
      </c>
      <c r="D2754">
        <v>4.1445569999999998</v>
      </c>
      <c r="E2754">
        <v>0.55011180000000004</v>
      </c>
      <c r="F2754" t="s">
        <v>42</v>
      </c>
      <c r="G2754">
        <v>0</v>
      </c>
      <c r="H2754">
        <v>0</v>
      </c>
      <c r="I2754">
        <v>0</v>
      </c>
      <c r="J2754">
        <v>-318.69850000000002</v>
      </c>
      <c r="K2754">
        <v>1.1099330000000001</v>
      </c>
      <c r="L2754">
        <v>285.39479999999998</v>
      </c>
      <c r="M2754">
        <v>-0.99996750000000001</v>
      </c>
      <c r="N2754">
        <v>-6.7578680000000002E-3</v>
      </c>
      <c r="O2754">
        <v>-4.4174790000000002E-3</v>
      </c>
      <c r="P2754">
        <v>-0.98273449999999996</v>
      </c>
      <c r="Q2754">
        <v>0.1431934</v>
      </c>
      <c r="R2754">
        <v>-0.1171698</v>
      </c>
      <c r="S2754">
        <v>-3.0533139999999999</v>
      </c>
      <c r="T2754">
        <v>3.774023E-2</v>
      </c>
      <c r="U2754">
        <v>5.0628659999999999E-2</v>
      </c>
      <c r="V2754">
        <v>-0.1127905</v>
      </c>
      <c r="W2754">
        <v>0.14986240000000001</v>
      </c>
      <c r="X2754">
        <v>0.98225229999999997</v>
      </c>
      <c r="Y2754">
        <v>2.0994539999999999E-2</v>
      </c>
      <c r="Z2754">
        <v>-1.432362E-4</v>
      </c>
      <c r="AA2754">
        <v>0.99977959999999999</v>
      </c>
      <c r="AB2754">
        <v>35</v>
      </c>
      <c r="AC2754">
        <v>-3.0533139999999999</v>
      </c>
      <c r="AD2754">
        <v>3.774023E-2</v>
      </c>
      <c r="AE2754">
        <v>5.0628659999999999E-2</v>
      </c>
      <c r="AF2754">
        <v>6.4106631711667403E-2</v>
      </c>
      <c r="AG2754">
        <v>3.774023E-2</v>
      </c>
      <c r="AH2754">
        <v>3.0525943042224402</v>
      </c>
      <c r="AI2754">
        <v>89.291825602384506</v>
      </c>
      <c r="AJ2754">
        <v>88.796925093976</v>
      </c>
      <c r="AK2754">
        <v>3.05350060935988</v>
      </c>
      <c r="AL2754">
        <v>81.381047548051797</v>
      </c>
      <c r="AM2754">
        <v>96.550494888918706</v>
      </c>
      <c r="AN2754">
        <v>1.0000000083396401</v>
      </c>
    </row>
    <row r="2755" spans="1:40" x14ac:dyDescent="0.25">
      <c r="A2755" t="str">
        <f>"20190304154813229"</f>
        <v>20190304154813229</v>
      </c>
      <c r="B2755" t="str">
        <f>"1551685693219996"</f>
        <v>1551685693219996</v>
      </c>
      <c r="C2755" t="s">
        <v>40</v>
      </c>
      <c r="D2755">
        <v>4.1726390000000002</v>
      </c>
      <c r="E2755">
        <v>0.55024799999999996</v>
      </c>
      <c r="F2755" t="s">
        <v>42</v>
      </c>
      <c r="G2755">
        <v>0</v>
      </c>
      <c r="H2755">
        <v>0</v>
      </c>
      <c r="I2755">
        <v>0</v>
      </c>
      <c r="J2755">
        <v>-318.87700000000001</v>
      </c>
      <c r="K2755">
        <v>1.109961</v>
      </c>
      <c r="L2755">
        <v>285.39409999999998</v>
      </c>
      <c r="M2755">
        <v>-0.99996609999999997</v>
      </c>
      <c r="N2755">
        <v>-6.9924080000000003E-3</v>
      </c>
      <c r="O2755">
        <v>-4.3684229999999998E-3</v>
      </c>
      <c r="P2755">
        <v>-0.98271660000000005</v>
      </c>
      <c r="Q2755">
        <v>0.14316029999999999</v>
      </c>
      <c r="R2755">
        <v>-0.117360199999999</v>
      </c>
      <c r="S2755">
        <v>-3.0534669999999999</v>
      </c>
      <c r="T2755">
        <v>4.1243549999999997E-2</v>
      </c>
      <c r="U2755">
        <v>5.7128909999999998E-2</v>
      </c>
      <c r="V2755">
        <v>-0.1130293</v>
      </c>
      <c r="W2755">
        <v>0.1500599</v>
      </c>
      <c r="X2755">
        <v>0.98219469999999998</v>
      </c>
      <c r="Y2755">
        <v>2.3071910000000001E-2</v>
      </c>
      <c r="Z2755">
        <v>-1.6466150000000001E-4</v>
      </c>
      <c r="AA2755">
        <v>0.99973380000000001</v>
      </c>
      <c r="AB2755">
        <v>35</v>
      </c>
      <c r="AC2755">
        <v>-3.0534669999999999</v>
      </c>
      <c r="AD2755">
        <v>4.1243549999999997E-2</v>
      </c>
      <c r="AE2755">
        <v>5.7128909999999998E-2</v>
      </c>
      <c r="AF2755">
        <v>7.0454675844347101E-2</v>
      </c>
      <c r="AG2755">
        <v>4.1243549999999997E-2</v>
      </c>
      <c r="AH2755">
        <v>3.0526315599385798</v>
      </c>
      <c r="AI2755">
        <v>89.226140297084001</v>
      </c>
      <c r="AJ2755">
        <v>88.677849275650104</v>
      </c>
      <c r="AK2755">
        <v>3.0537230281245198</v>
      </c>
      <c r="AL2755">
        <v>81.369602242475906</v>
      </c>
      <c r="AM2755">
        <v>96.564624274800593</v>
      </c>
      <c r="AN2755">
        <v>1.0000000124772901</v>
      </c>
    </row>
    <row r="2756" spans="1:40" x14ac:dyDescent="0.25">
      <c r="A2756" t="str">
        <f>"20190304154813242"</f>
        <v>20190304154813242</v>
      </c>
      <c r="B2756" t="str">
        <f>"1551685693239516"</f>
        <v>1551685693239516</v>
      </c>
      <c r="C2756" t="s">
        <v>40</v>
      </c>
      <c r="D2756">
        <v>4.13645</v>
      </c>
      <c r="E2756">
        <v>0.55050299999999996</v>
      </c>
      <c r="F2756" t="s">
        <v>42</v>
      </c>
      <c r="G2756">
        <v>0</v>
      </c>
      <c r="H2756">
        <v>0</v>
      </c>
      <c r="I2756">
        <v>0</v>
      </c>
      <c r="J2756">
        <v>-319.06380000000001</v>
      </c>
      <c r="K2756">
        <v>1.1099840000000001</v>
      </c>
      <c r="L2756">
        <v>285.39330000000001</v>
      </c>
      <c r="M2756">
        <v>-0.99996470000000004</v>
      </c>
      <c r="N2756">
        <v>-7.222951E-3</v>
      </c>
      <c r="O2756">
        <v>-4.3175899999999996E-3</v>
      </c>
      <c r="P2756">
        <v>-0.9827089</v>
      </c>
      <c r="Q2756">
        <v>0.14305860000000001</v>
      </c>
      <c r="R2756">
        <v>-0.11754870000000001</v>
      </c>
      <c r="S2756">
        <v>-3.0536189999999999</v>
      </c>
      <c r="T2756">
        <v>4.1410210000000003E-2</v>
      </c>
      <c r="U2756">
        <v>5.7708740000000001E-2</v>
      </c>
      <c r="V2756">
        <v>-0.1132673</v>
      </c>
      <c r="W2756">
        <v>0.15018489999999901</v>
      </c>
      <c r="X2756">
        <v>0.98214820000000003</v>
      </c>
      <c r="Y2756">
        <v>2.320993E-2</v>
      </c>
      <c r="Z2756">
        <v>-1.632459E-4</v>
      </c>
      <c r="AA2756">
        <v>0.99973060000000002</v>
      </c>
      <c r="AB2756">
        <v>35</v>
      </c>
      <c r="AC2756">
        <v>-3.0536189999999999</v>
      </c>
      <c r="AD2756">
        <v>4.1410210000000003E-2</v>
      </c>
      <c r="AE2756">
        <v>5.7708740000000001E-2</v>
      </c>
      <c r="AF2756">
        <v>7.0879789216115693E-2</v>
      </c>
      <c r="AG2756">
        <v>4.1410210000000003E-2</v>
      </c>
      <c r="AH2756">
        <v>3.0527801568121</v>
      </c>
      <c r="AI2756">
        <v>89.223053908537295</v>
      </c>
      <c r="AJ2756">
        <v>88.669939187751993</v>
      </c>
      <c r="AK2756">
        <v>3.0538836644242502</v>
      </c>
      <c r="AL2756">
        <v>81.362358381760203</v>
      </c>
      <c r="AM2756">
        <v>96.578634759030805</v>
      </c>
      <c r="AN2756">
        <v>1.0000000361002599</v>
      </c>
    </row>
    <row r="2757" spans="1:40" x14ac:dyDescent="0.25">
      <c r="A2757" t="str">
        <f>"20190304154813255"</f>
        <v>20190304154813255</v>
      </c>
      <c r="B2757" t="str">
        <f>"1551685693249277"</f>
        <v>1551685693249277</v>
      </c>
      <c r="C2757" t="s">
        <v>40</v>
      </c>
      <c r="D2757">
        <v>4.1461319999999997</v>
      </c>
      <c r="E2757">
        <v>0.55058660000000004</v>
      </c>
      <c r="F2757" t="s">
        <v>42</v>
      </c>
      <c r="G2757">
        <v>0</v>
      </c>
      <c r="H2757">
        <v>0</v>
      </c>
      <c r="I2757">
        <v>0</v>
      </c>
      <c r="J2757">
        <v>-319.24990000000003</v>
      </c>
      <c r="K2757">
        <v>1.109998</v>
      </c>
      <c r="L2757">
        <v>285.39249999999998</v>
      </c>
      <c r="M2757">
        <v>-0.9999633</v>
      </c>
      <c r="N2757">
        <v>-7.4465130000000001E-3</v>
      </c>
      <c r="O2757">
        <v>-4.2669960000000003E-3</v>
      </c>
      <c r="P2757">
        <v>-0.98278840000000001</v>
      </c>
      <c r="Q2757">
        <v>0.14269960000000001</v>
      </c>
      <c r="R2757">
        <v>-0.1173189</v>
      </c>
      <c r="S2757">
        <v>-3.053925</v>
      </c>
      <c r="T2757">
        <v>4.047096E-2</v>
      </c>
      <c r="U2757">
        <v>5.9143069999999999E-2</v>
      </c>
      <c r="V2757">
        <v>-0.1130866</v>
      </c>
      <c r="W2757">
        <v>0.15004579999999901</v>
      </c>
      <c r="X2757">
        <v>0.98219029999999996</v>
      </c>
      <c r="Y2757">
        <v>2.3626939999999999E-2</v>
      </c>
      <c r="Z2757">
        <v>-1.5686030000000001E-4</v>
      </c>
      <c r="AA2757">
        <v>0.99972079999999997</v>
      </c>
      <c r="AB2757">
        <v>35</v>
      </c>
      <c r="AC2757">
        <v>-3.053925</v>
      </c>
      <c r="AD2757">
        <v>4.047096E-2</v>
      </c>
      <c r="AE2757">
        <v>5.9143069999999999E-2</v>
      </c>
      <c r="AF2757">
        <v>7.2161308817416295E-2</v>
      </c>
      <c r="AG2757">
        <v>4.047096E-2</v>
      </c>
      <c r="AH2757">
        <v>3.0531088449427499</v>
      </c>
      <c r="AI2757">
        <v>89.240763358554702</v>
      </c>
      <c r="AJ2757">
        <v>88.646046041949106</v>
      </c>
      <c r="AK2757">
        <v>3.0542296528193802</v>
      </c>
      <c r="AL2757">
        <v>81.370419719450396</v>
      </c>
      <c r="AM2757">
        <v>96.567952295173896</v>
      </c>
      <c r="AN2757">
        <v>1.0000000533056399</v>
      </c>
    </row>
    <row r="2758" spans="1:40" x14ac:dyDescent="0.25">
      <c r="A2758" t="str">
        <f>"20190304154813270"</f>
        <v>20190304154813270</v>
      </c>
      <c r="B2758" t="str">
        <f>"1551685693260011"</f>
        <v>1551685693260011</v>
      </c>
      <c r="C2758" t="s">
        <v>40</v>
      </c>
      <c r="D2758">
        <v>4.1716069999999998</v>
      </c>
      <c r="E2758">
        <v>0.55072900000000002</v>
      </c>
      <c r="F2758" t="s">
        <v>42</v>
      </c>
      <c r="G2758">
        <v>0</v>
      </c>
      <c r="H2758">
        <v>0</v>
      </c>
      <c r="I2758">
        <v>0</v>
      </c>
      <c r="J2758">
        <v>-319.50630000000001</v>
      </c>
      <c r="K2758">
        <v>1.110017</v>
      </c>
      <c r="L2758">
        <v>285.39150000000001</v>
      </c>
      <c r="M2758">
        <v>-0.9999614</v>
      </c>
      <c r="N2758">
        <v>-7.7351709999999999E-3</v>
      </c>
      <c r="O2758">
        <v>-4.1977079999999996E-3</v>
      </c>
      <c r="P2758">
        <v>-0.98277630000000005</v>
      </c>
      <c r="Q2758">
        <v>0.14257220000000001</v>
      </c>
      <c r="R2758">
        <v>-0.1175754</v>
      </c>
      <c r="S2758">
        <v>-3.0541689999999999</v>
      </c>
      <c r="T2758">
        <v>3.9072280000000001E-2</v>
      </c>
      <c r="U2758">
        <v>6.0668949999999999E-2</v>
      </c>
      <c r="V2758">
        <v>-0.11341130000000001</v>
      </c>
      <c r="W2758">
        <v>0.15020229999999901</v>
      </c>
      <c r="X2758">
        <v>0.98212889999999997</v>
      </c>
      <c r="Y2758">
        <v>2.405556E-2</v>
      </c>
      <c r="Z2758">
        <v>-1.4696159999999999E-4</v>
      </c>
      <c r="AA2758">
        <v>0.9997106</v>
      </c>
      <c r="AB2758">
        <v>35</v>
      </c>
      <c r="AC2758">
        <v>-3.0541689999999999</v>
      </c>
      <c r="AD2758">
        <v>3.9072280000000001E-2</v>
      </c>
      <c r="AE2758">
        <v>6.0668949999999999E-2</v>
      </c>
      <c r="AF2758">
        <v>7.3477286225903396E-2</v>
      </c>
      <c r="AG2758">
        <v>3.9072280000000001E-2</v>
      </c>
      <c r="AH2758">
        <v>3.0533878812627999</v>
      </c>
      <c r="AI2758">
        <v>89.267074200142204</v>
      </c>
      <c r="AJ2758">
        <v>88.6214898992705</v>
      </c>
      <c r="AK2758">
        <v>3.0545217478515498</v>
      </c>
      <c r="AL2758">
        <v>81.361349813522807</v>
      </c>
      <c r="AM2758">
        <v>96.587053219526595</v>
      </c>
      <c r="AN2758">
        <v>1.00000001505409</v>
      </c>
    </row>
    <row r="2759" spans="1:40" x14ac:dyDescent="0.25">
      <c r="A2759" t="str">
        <f>"20190304154813284"</f>
        <v>20190304154813284</v>
      </c>
      <c r="B2759" t="str">
        <f>"1551685693279532"</f>
        <v>1551685693279532</v>
      </c>
      <c r="C2759" t="s">
        <v>40</v>
      </c>
      <c r="D2759">
        <v>4.2262760000000004</v>
      </c>
      <c r="E2759">
        <v>0.55109659999999905</v>
      </c>
      <c r="F2759" t="s">
        <v>42</v>
      </c>
      <c r="G2759">
        <v>0</v>
      </c>
      <c r="H2759">
        <v>0</v>
      </c>
      <c r="I2759">
        <v>0</v>
      </c>
      <c r="J2759">
        <v>-319.70370000000003</v>
      </c>
      <c r="K2759">
        <v>1.1100239999999999</v>
      </c>
      <c r="L2759">
        <v>285.39069999999998</v>
      </c>
      <c r="M2759">
        <v>-0.99995990000000001</v>
      </c>
      <c r="N2759">
        <v>-7.9386679999999994E-3</v>
      </c>
      <c r="O2759">
        <v>-4.1444699999999999E-3</v>
      </c>
      <c r="P2759">
        <v>-0.98283469999999995</v>
      </c>
      <c r="Q2759">
        <v>0.1424096</v>
      </c>
      <c r="R2759">
        <v>-0.1172839</v>
      </c>
      <c r="S2759">
        <v>-3.0542600000000002</v>
      </c>
      <c r="T2759">
        <v>3.9298060000000003E-2</v>
      </c>
      <c r="U2759">
        <v>6.14624E-2</v>
      </c>
      <c r="V2759">
        <v>-0.1131713</v>
      </c>
      <c r="W2759">
        <v>0.15024000000000001</v>
      </c>
      <c r="X2759">
        <v>0.98215079999999999</v>
      </c>
      <c r="Y2759">
        <v>2.4261350000000001E-2</v>
      </c>
      <c r="Z2759">
        <v>-1.4595910000000001E-4</v>
      </c>
      <c r="AA2759">
        <v>0.99970559999999997</v>
      </c>
      <c r="AB2759">
        <v>35</v>
      </c>
      <c r="AC2759">
        <v>-3.0542600000000002</v>
      </c>
      <c r="AD2759">
        <v>3.9298060000000003E-2</v>
      </c>
      <c r="AE2759">
        <v>6.14624E-2</v>
      </c>
      <c r="AF2759">
        <v>7.4108296249585204E-2</v>
      </c>
      <c r="AG2759">
        <v>3.9298060000000003E-2</v>
      </c>
      <c r="AH2759">
        <v>3.0534737310346398</v>
      </c>
      <c r="AI2759">
        <v>89.262863828995904</v>
      </c>
      <c r="AJ2759">
        <v>88.609695198517699</v>
      </c>
      <c r="AK2759">
        <v>3.0546257059108601</v>
      </c>
      <c r="AL2759">
        <v>81.359164815762895</v>
      </c>
      <c r="AM2759">
        <v>96.573090585486298</v>
      </c>
      <c r="AN2759">
        <v>0.99999999734216505</v>
      </c>
    </row>
    <row r="2760" spans="1:40" x14ac:dyDescent="0.25">
      <c r="A2760" t="str">
        <f>"20190304154813296"</f>
        <v>20190304154813296</v>
      </c>
      <c r="B2760" t="str">
        <f>"1551685693289292"</f>
        <v>1551685693289292</v>
      </c>
      <c r="C2760" t="s">
        <v>40</v>
      </c>
      <c r="D2760">
        <v>4.1608090000000004</v>
      </c>
      <c r="E2760">
        <v>0.55115890000000001</v>
      </c>
      <c r="F2760" t="s">
        <v>42</v>
      </c>
      <c r="G2760">
        <v>0</v>
      </c>
      <c r="H2760">
        <v>0</v>
      </c>
      <c r="I2760">
        <v>0</v>
      </c>
      <c r="J2760">
        <v>-319.88729999999998</v>
      </c>
      <c r="K2760">
        <v>1.1100319999999999</v>
      </c>
      <c r="L2760">
        <v>285.39</v>
      </c>
      <c r="M2760">
        <v>-0.99995869999999998</v>
      </c>
      <c r="N2760">
        <v>-8.1208759999999904E-3</v>
      </c>
      <c r="O2760">
        <v>-4.0951030000000001E-3</v>
      </c>
      <c r="P2760">
        <v>-0.98277049999999999</v>
      </c>
      <c r="Q2760">
        <v>0.14264769999999999</v>
      </c>
      <c r="R2760">
        <v>-0.1175327</v>
      </c>
      <c r="S2760">
        <v>-3.0546880000000001</v>
      </c>
      <c r="T2760">
        <v>3.7906410000000001E-2</v>
      </c>
      <c r="U2760">
        <v>6.536865E-2</v>
      </c>
      <c r="V2760">
        <v>-0.1134684</v>
      </c>
      <c r="W2760">
        <v>0.1506567</v>
      </c>
      <c r="X2760">
        <v>0.9820527</v>
      </c>
      <c r="Y2760">
        <v>2.5487139999999998E-2</v>
      </c>
      <c r="Z2760">
        <v>-1.3867029999999999E-4</v>
      </c>
      <c r="AA2760">
        <v>0.99967519999999999</v>
      </c>
      <c r="AB2760">
        <v>35</v>
      </c>
      <c r="AC2760">
        <v>-3.0546880000000001</v>
      </c>
      <c r="AD2760">
        <v>3.7906410000000001E-2</v>
      </c>
      <c r="AE2760">
        <v>6.536865E-2</v>
      </c>
      <c r="AF2760">
        <v>7.7865790556334705E-2</v>
      </c>
      <c r="AG2760">
        <v>3.7906410000000001E-2</v>
      </c>
      <c r="AH2760">
        <v>3.0539246270874201</v>
      </c>
      <c r="AI2760">
        <v>89.289091730663898</v>
      </c>
      <c r="AJ2760">
        <v>88.539448311541094</v>
      </c>
      <c r="AK2760">
        <v>3.0551523047450702</v>
      </c>
      <c r="AL2760">
        <v>81.335014916155203</v>
      </c>
      <c r="AM2760">
        <v>96.590847345912593</v>
      </c>
      <c r="AN2760">
        <v>1.0000000123153601</v>
      </c>
    </row>
    <row r="2761" spans="1:40" x14ac:dyDescent="0.25">
      <c r="A2761" t="str">
        <f>"20190304154813306"</f>
        <v>20190304154813306</v>
      </c>
      <c r="B2761" t="str">
        <f>"1551685693300028"</f>
        <v>1551685693300028</v>
      </c>
      <c r="C2761" t="s">
        <v>40</v>
      </c>
      <c r="D2761">
        <v>4.1873529999999999</v>
      </c>
      <c r="E2761">
        <v>0.55125999999999997</v>
      </c>
      <c r="F2761" t="s">
        <v>42</v>
      </c>
      <c r="G2761">
        <v>0</v>
      </c>
      <c r="H2761">
        <v>0</v>
      </c>
      <c r="I2761">
        <v>0</v>
      </c>
      <c r="J2761">
        <v>-320.07319999999999</v>
      </c>
      <c r="K2761">
        <v>1.1100399999999999</v>
      </c>
      <c r="L2761">
        <v>285.38929999999999</v>
      </c>
      <c r="M2761">
        <v>-0.9999574</v>
      </c>
      <c r="N2761">
        <v>-8.2930720000000003E-3</v>
      </c>
      <c r="O2761">
        <v>-4.0451159999999996E-3</v>
      </c>
      <c r="P2761">
        <v>-0.98270959999999996</v>
      </c>
      <c r="Q2761">
        <v>0.1427525</v>
      </c>
      <c r="R2761">
        <v>-0.11791409999999999</v>
      </c>
      <c r="S2761">
        <v>-3.0546570000000002</v>
      </c>
      <c r="T2761">
        <v>3.8996580000000003E-2</v>
      </c>
      <c r="U2761">
        <v>6.5216060000000006E-2</v>
      </c>
      <c r="V2761">
        <v>-0.1138991</v>
      </c>
      <c r="W2761">
        <v>0.1509306</v>
      </c>
      <c r="X2761">
        <v>0.98196079999999997</v>
      </c>
      <c r="Y2761">
        <v>2.5387389999999999E-2</v>
      </c>
      <c r="Z2761">
        <v>-1.4191520000000001E-4</v>
      </c>
      <c r="AA2761">
        <v>0.9996777</v>
      </c>
      <c r="AB2761">
        <v>35</v>
      </c>
      <c r="AC2761">
        <v>-3.0546570000000002</v>
      </c>
      <c r="AD2761">
        <v>3.8996580000000003E-2</v>
      </c>
      <c r="AE2761">
        <v>6.5216060000000006E-2</v>
      </c>
      <c r="AF2761">
        <v>7.7559758852721497E-2</v>
      </c>
      <c r="AG2761">
        <v>3.8996580000000003E-2</v>
      </c>
      <c r="AH2761">
        <v>3.05387070493674</v>
      </c>
      <c r="AI2761">
        <v>89.268633775391294</v>
      </c>
      <c r="AJ2761">
        <v>88.545160490424706</v>
      </c>
      <c r="AK2761">
        <v>3.0551043405939202</v>
      </c>
      <c r="AL2761">
        <v>81.319140248689493</v>
      </c>
      <c r="AM2761">
        <v>96.616256996458404</v>
      </c>
      <c r="AN2761">
        <v>1.0000000318669</v>
      </c>
    </row>
    <row r="2762" spans="1:40" x14ac:dyDescent="0.25">
      <c r="A2762" t="str">
        <f>"20190304154813319"</f>
        <v>20190304154813319</v>
      </c>
      <c r="B2762" t="str">
        <f>"1551685693309787"</f>
        <v>1551685693309787</v>
      </c>
      <c r="C2762" t="s">
        <v>40</v>
      </c>
      <c r="D2762">
        <v>4.1926909999999999</v>
      </c>
      <c r="E2762">
        <v>0.55132959999999998</v>
      </c>
      <c r="F2762" t="s">
        <v>42</v>
      </c>
      <c r="G2762">
        <v>0</v>
      </c>
      <c r="H2762">
        <v>0</v>
      </c>
      <c r="I2762">
        <v>0</v>
      </c>
      <c r="J2762">
        <v>-320.25670000000002</v>
      </c>
      <c r="K2762">
        <v>1.1100410000000001</v>
      </c>
      <c r="L2762">
        <v>285.3886</v>
      </c>
      <c r="M2762">
        <v>-0.99995630000000002</v>
      </c>
      <c r="N2762">
        <v>-8.4518419999999993E-3</v>
      </c>
      <c r="O2762">
        <v>-3.9955679999999997E-3</v>
      </c>
      <c r="P2762">
        <v>-0.98279179999999999</v>
      </c>
      <c r="Q2762">
        <v>0.14237359999999999</v>
      </c>
      <c r="R2762">
        <v>-0.11768729999999999</v>
      </c>
      <c r="S2762">
        <v>-3.0547789999999999</v>
      </c>
      <c r="T2762">
        <v>4.0014510000000003E-2</v>
      </c>
      <c r="U2762">
        <v>6.4788819999999997E-2</v>
      </c>
      <c r="V2762">
        <v>-0.1137209</v>
      </c>
      <c r="W2762">
        <v>0.15070810000000001</v>
      </c>
      <c r="X2762">
        <v>0.98201559999999999</v>
      </c>
      <c r="Y2762">
        <v>2.5197190000000001E-2</v>
      </c>
      <c r="Z2762">
        <v>-1.4460060000000001E-4</v>
      </c>
      <c r="AA2762">
        <v>0.99968250000000003</v>
      </c>
      <c r="AB2762">
        <v>35</v>
      </c>
      <c r="AC2762">
        <v>-3.0547789999999999</v>
      </c>
      <c r="AD2762">
        <v>4.0014510000000003E-2</v>
      </c>
      <c r="AE2762">
        <v>6.4788819999999997E-2</v>
      </c>
      <c r="AF2762">
        <v>7.6981113238269103E-2</v>
      </c>
      <c r="AG2762">
        <v>4.0014510000000003E-2</v>
      </c>
      <c r="AH2762">
        <v>3.0539719612106402</v>
      </c>
      <c r="AI2762">
        <v>89.249566303865393</v>
      </c>
      <c r="AJ2762">
        <v>88.556057770928703</v>
      </c>
      <c r="AK2762">
        <v>3.0552040836361001</v>
      </c>
      <c r="AL2762">
        <v>81.332035849221</v>
      </c>
      <c r="AM2762">
        <v>96.605631762928894</v>
      </c>
      <c r="AN2762">
        <v>1.00000000657289</v>
      </c>
    </row>
    <row r="2763" spans="1:40" x14ac:dyDescent="0.25">
      <c r="A2763" t="str">
        <f>"20190304154813331"</f>
        <v>20190304154813331</v>
      </c>
      <c r="B2763" t="str">
        <f>"1551685693319547"</f>
        <v>1551685693319547</v>
      </c>
      <c r="C2763" t="s">
        <v>40</v>
      </c>
      <c r="D2763">
        <v>4.1554250000000001</v>
      </c>
      <c r="E2763">
        <v>0.5514384</v>
      </c>
      <c r="F2763" t="s">
        <v>42</v>
      </c>
      <c r="G2763">
        <v>0</v>
      </c>
      <c r="H2763">
        <v>0</v>
      </c>
      <c r="I2763">
        <v>0</v>
      </c>
      <c r="J2763">
        <v>-320.44499999999999</v>
      </c>
      <c r="K2763">
        <v>1.1100350000000001</v>
      </c>
      <c r="L2763">
        <v>285.3879</v>
      </c>
      <c r="M2763">
        <v>-0.99995520000000004</v>
      </c>
      <c r="N2763">
        <v>-8.6085609999999903E-3</v>
      </c>
      <c r="O2763">
        <v>-3.9447120000000004E-3</v>
      </c>
      <c r="P2763">
        <v>-0.98281189999999996</v>
      </c>
      <c r="Q2763">
        <v>0.14230029999999999</v>
      </c>
      <c r="R2763">
        <v>-0.1176084</v>
      </c>
      <c r="S2763">
        <v>-3.0547789999999999</v>
      </c>
      <c r="T2763">
        <v>3.918481E-2</v>
      </c>
      <c r="U2763">
        <v>6.5948489999999999E-2</v>
      </c>
      <c r="V2763">
        <v>-0.1136918</v>
      </c>
      <c r="W2763">
        <v>0.1507887</v>
      </c>
      <c r="X2763">
        <v>0.98200659999999895</v>
      </c>
      <c r="Y2763">
        <v>2.552577E-2</v>
      </c>
      <c r="Z2763">
        <v>-1.383473E-4</v>
      </c>
      <c r="AA2763">
        <v>0.99967410000000001</v>
      </c>
      <c r="AB2763">
        <v>35</v>
      </c>
      <c r="AC2763">
        <v>-3.0547789999999999</v>
      </c>
      <c r="AD2763">
        <v>3.918481E-2</v>
      </c>
      <c r="AE2763">
        <v>6.5948489999999999E-2</v>
      </c>
      <c r="AF2763">
        <v>7.7985820402734204E-2</v>
      </c>
      <c r="AG2763">
        <v>3.918481E-2</v>
      </c>
      <c r="AH2763">
        <v>3.05399279840963</v>
      </c>
      <c r="AI2763">
        <v>89.265135945166193</v>
      </c>
      <c r="AJ2763">
        <v>88.537230492171105</v>
      </c>
      <c r="AK2763">
        <v>3.0552396387610101</v>
      </c>
      <c r="AL2763">
        <v>81.327364454565597</v>
      </c>
      <c r="AM2763">
        <v>96.604016372970406</v>
      </c>
      <c r="AN2763">
        <v>1.0000000099392401</v>
      </c>
    </row>
    <row r="2764" spans="1:40" x14ac:dyDescent="0.25">
      <c r="A2764" t="str">
        <f>"20190304154813343"</f>
        <v>20190304154813343</v>
      </c>
      <c r="B2764" t="str">
        <f>"1551685693340043"</f>
        <v>1551685693340043</v>
      </c>
      <c r="C2764" t="s">
        <v>40</v>
      </c>
      <c r="D2764">
        <v>4.1772239999999998</v>
      </c>
      <c r="E2764">
        <v>0.5515388</v>
      </c>
      <c r="F2764" t="s">
        <v>42</v>
      </c>
      <c r="G2764">
        <v>0</v>
      </c>
      <c r="H2764">
        <v>0</v>
      </c>
      <c r="I2764">
        <v>0</v>
      </c>
      <c r="J2764">
        <v>-320.6327</v>
      </c>
      <c r="K2764">
        <v>1.110033</v>
      </c>
      <c r="L2764">
        <v>285.38720000000001</v>
      </c>
      <c r="M2764">
        <v>-0.99995409999999996</v>
      </c>
      <c r="N2764">
        <v>-8.7485069999999904E-3</v>
      </c>
      <c r="O2764">
        <v>-3.8934429999999999E-3</v>
      </c>
      <c r="P2764">
        <v>-0.98283129999999996</v>
      </c>
      <c r="Q2764">
        <v>0.1421124</v>
      </c>
      <c r="R2764">
        <v>-0.1176722</v>
      </c>
      <c r="S2764">
        <v>-3.0548099999999998</v>
      </c>
      <c r="T2764">
        <v>3.9047119999999998E-2</v>
      </c>
      <c r="U2764">
        <v>6.6955570000000006E-2</v>
      </c>
      <c r="V2764">
        <v>-0.113806</v>
      </c>
      <c r="W2764">
        <v>0.15073879999999901</v>
      </c>
      <c r="X2764">
        <v>0.98200100000000001</v>
      </c>
      <c r="Y2764">
        <v>2.580375E-2</v>
      </c>
      <c r="Z2764">
        <v>-1.3581309999999999E-4</v>
      </c>
      <c r="AA2764">
        <v>0.99966699999999997</v>
      </c>
      <c r="AB2764">
        <v>35</v>
      </c>
      <c r="AC2764">
        <v>-3.0548099999999998</v>
      </c>
      <c r="AD2764">
        <v>3.9047119999999998E-2</v>
      </c>
      <c r="AE2764">
        <v>6.6955570000000006E-2</v>
      </c>
      <c r="AF2764">
        <v>7.8836372452140799E-2</v>
      </c>
      <c r="AG2764">
        <v>3.9047119999999998E-2</v>
      </c>
      <c r="AH2764">
        <v>3.0540274069618998</v>
      </c>
      <c r="AI2764">
        <v>89.267731398106505</v>
      </c>
      <c r="AJ2764">
        <v>88.521300596828894</v>
      </c>
      <c r="AK2764">
        <v>3.0552942990285201</v>
      </c>
      <c r="AL2764">
        <v>81.330256289959806</v>
      </c>
      <c r="AM2764">
        <v>96.610628589563802</v>
      </c>
      <c r="AN2764">
        <v>0.99999997773121896</v>
      </c>
    </row>
    <row r="2765" spans="1:40" x14ac:dyDescent="0.25">
      <c r="A2765" t="str">
        <f>"20190304154813355"</f>
        <v>20190304154813355</v>
      </c>
      <c r="B2765" t="str">
        <f>"1551685693349804"</f>
        <v>1551685693349804</v>
      </c>
      <c r="C2765" t="s">
        <v>40</v>
      </c>
      <c r="D2765">
        <v>4.1867029999999996</v>
      </c>
      <c r="E2765">
        <v>0.55164749999999996</v>
      </c>
      <c r="F2765" t="s">
        <v>42</v>
      </c>
      <c r="G2765">
        <v>0</v>
      </c>
      <c r="H2765">
        <v>0</v>
      </c>
      <c r="I2765">
        <v>0</v>
      </c>
      <c r="J2765">
        <v>-320.82249999999999</v>
      </c>
      <c r="K2765">
        <v>1.1100369999999999</v>
      </c>
      <c r="L2765">
        <v>285.38650000000001</v>
      </c>
      <c r="M2765">
        <v>-0.99995330000000004</v>
      </c>
      <c r="N2765">
        <v>-8.8845629999999998E-3</v>
      </c>
      <c r="O2765">
        <v>-3.8421670000000001E-3</v>
      </c>
      <c r="P2765">
        <v>-0.98292959999999996</v>
      </c>
      <c r="Q2765">
        <v>0.14148759999999999</v>
      </c>
      <c r="R2765">
        <v>-0.11760470000000001</v>
      </c>
      <c r="S2765">
        <v>-3.0548709999999999</v>
      </c>
      <c r="T2765">
        <v>3.8806319999999998E-2</v>
      </c>
      <c r="U2765">
        <v>6.7657469999999997E-2</v>
      </c>
      <c r="V2765">
        <v>-0.1137884</v>
      </c>
      <c r="W2765">
        <v>0.15024799999999999</v>
      </c>
      <c r="X2765">
        <v>0.98207829999999996</v>
      </c>
      <c r="Y2765">
        <v>2.5981669999999998E-2</v>
      </c>
      <c r="Z2765">
        <v>-1.3249099999999999E-4</v>
      </c>
      <c r="AA2765">
        <v>0.99966239999999995</v>
      </c>
      <c r="AB2765">
        <v>35</v>
      </c>
      <c r="AC2765">
        <v>-3.0548709999999999</v>
      </c>
      <c r="AD2765">
        <v>3.8806319999999998E-2</v>
      </c>
      <c r="AE2765">
        <v>6.7657469999999997E-2</v>
      </c>
      <c r="AF2765">
        <v>7.9381953150495496E-2</v>
      </c>
      <c r="AG2765">
        <v>3.8806319999999998E-2</v>
      </c>
      <c r="AH2765">
        <v>3.05409589452815</v>
      </c>
      <c r="AI2765">
        <v>89.272266415966797</v>
      </c>
      <c r="AJ2765">
        <v>88.511105342507093</v>
      </c>
      <c r="AK2765">
        <v>3.0553738163981898</v>
      </c>
      <c r="AL2765">
        <v>81.358701422494306</v>
      </c>
      <c r="AM2765">
        <v>96.609099663884805</v>
      </c>
      <c r="AN2765">
        <v>1.00000002440472</v>
      </c>
    </row>
    <row r="2766" spans="1:40" x14ac:dyDescent="0.25">
      <c r="A2766" t="str">
        <f>"20190304154813371"</f>
        <v>20190304154813371</v>
      </c>
      <c r="B2766" t="str">
        <f>"1551685693359563"</f>
        <v>1551685693359563</v>
      </c>
      <c r="C2766" t="s">
        <v>40</v>
      </c>
      <c r="D2766">
        <v>4.156282</v>
      </c>
      <c r="E2766">
        <v>0.55170489999999905</v>
      </c>
      <c r="F2766" t="s">
        <v>42</v>
      </c>
      <c r="G2766">
        <v>0</v>
      </c>
      <c r="H2766">
        <v>0</v>
      </c>
      <c r="I2766">
        <v>0</v>
      </c>
      <c r="J2766">
        <v>-321.06639999999999</v>
      </c>
      <c r="K2766">
        <v>1.1100410000000001</v>
      </c>
      <c r="L2766">
        <v>285.38560000000001</v>
      </c>
      <c r="M2766">
        <v>-0.99995210000000001</v>
      </c>
      <c r="N2766">
        <v>-9.0464470000000009E-3</v>
      </c>
      <c r="O2766">
        <v>-3.7757519999999998E-3</v>
      </c>
      <c r="P2766">
        <v>-0.98287659999999999</v>
      </c>
      <c r="Q2766">
        <v>0.14144109999999999</v>
      </c>
      <c r="R2766">
        <v>-0.1181041</v>
      </c>
      <c r="S2766">
        <v>-3.0549620000000002</v>
      </c>
      <c r="T2766">
        <v>3.7358879999999997E-2</v>
      </c>
      <c r="U2766">
        <v>6.8969730000000007E-2</v>
      </c>
      <c r="V2766">
        <v>-0.114353</v>
      </c>
      <c r="W2766">
        <v>0.15036070000000001</v>
      </c>
      <c r="X2766">
        <v>0.98199550000000002</v>
      </c>
      <c r="Y2766">
        <v>2.634396E-2</v>
      </c>
      <c r="Z2766">
        <v>-1.221913E-4</v>
      </c>
      <c r="AA2766">
        <v>0.99965289999999996</v>
      </c>
      <c r="AB2766">
        <v>35</v>
      </c>
      <c r="AC2766">
        <v>-3.0549620000000002</v>
      </c>
      <c r="AD2766">
        <v>3.7358879999999997E-2</v>
      </c>
      <c r="AE2766">
        <v>6.8969730000000007E-2</v>
      </c>
      <c r="AF2766">
        <v>8.0492456294808695E-2</v>
      </c>
      <c r="AG2766">
        <v>3.7358879999999997E-2</v>
      </c>
      <c r="AH2766">
        <v>3.05422328317136</v>
      </c>
      <c r="AI2766">
        <v>89.299443310448893</v>
      </c>
      <c r="AJ2766">
        <v>88.490349163769906</v>
      </c>
      <c r="AK2766">
        <v>3.0555121640898899</v>
      </c>
      <c r="AL2766">
        <v>81.352170259554597</v>
      </c>
      <c r="AM2766">
        <v>96.642155712467201</v>
      </c>
      <c r="AN2766">
        <v>1.00000005536686</v>
      </c>
    </row>
    <row r="2767" spans="1:40" x14ac:dyDescent="0.25">
      <c r="A2767" t="str">
        <f>"20190304154813386"</f>
        <v>20190304154813386</v>
      </c>
      <c r="B2767" t="str">
        <f>"1551685693380060"</f>
        <v>1551685693380060</v>
      </c>
      <c r="C2767" t="s">
        <v>40</v>
      </c>
      <c r="D2767">
        <v>4.2832309999999998</v>
      </c>
      <c r="E2767">
        <v>0.55166819999999905</v>
      </c>
      <c r="F2767" t="s">
        <v>42</v>
      </c>
      <c r="G2767">
        <v>0</v>
      </c>
      <c r="H2767">
        <v>0</v>
      </c>
      <c r="I2767">
        <v>0</v>
      </c>
      <c r="J2767">
        <v>-321.29239999999999</v>
      </c>
      <c r="K2767">
        <v>1.110036</v>
      </c>
      <c r="L2767">
        <v>285.38479999999998</v>
      </c>
      <c r="M2767">
        <v>-0.99995089999999998</v>
      </c>
      <c r="N2767">
        <v>-9.179932E-3</v>
      </c>
      <c r="O2767">
        <v>-3.714349E-3</v>
      </c>
      <c r="P2767">
        <v>-0.98296779999999995</v>
      </c>
      <c r="Q2767">
        <v>0.14121929999999999</v>
      </c>
      <c r="R2767">
        <v>-0.1176083</v>
      </c>
      <c r="S2767">
        <v>-3.0549930000000001</v>
      </c>
      <c r="T2767">
        <v>3.771687E-2</v>
      </c>
      <c r="U2767">
        <v>6.7779539999999999E-2</v>
      </c>
      <c r="V2767">
        <v>-0.1139173</v>
      </c>
      <c r="W2767">
        <v>0.15027070000000001</v>
      </c>
      <c r="X2767">
        <v>0.98205989999999999</v>
      </c>
      <c r="Y2767">
        <v>2.5893099999999999E-2</v>
      </c>
      <c r="Z2767">
        <v>-1.20887E-4</v>
      </c>
      <c r="AA2767">
        <v>0.99966469999999996</v>
      </c>
      <c r="AB2767">
        <v>35</v>
      </c>
      <c r="AC2767">
        <v>-3.0549930000000001</v>
      </c>
      <c r="AD2767">
        <v>3.771687E-2</v>
      </c>
      <c r="AE2767">
        <v>6.7779539999999999E-2</v>
      </c>
      <c r="AF2767">
        <v>7.9114808497573796E-2</v>
      </c>
      <c r="AG2767">
        <v>3.771687E-2</v>
      </c>
      <c r="AH2767">
        <v>3.0542548467089099</v>
      </c>
      <c r="AI2767">
        <v>89.2927299064973</v>
      </c>
      <c r="AJ2767">
        <v>88.516190877464894</v>
      </c>
      <c r="AK2767">
        <v>3.05551213119029</v>
      </c>
      <c r="AL2767">
        <v>81.3573860156271</v>
      </c>
      <c r="AM2767">
        <v>96.616643003104102</v>
      </c>
      <c r="AN2767">
        <v>1.00000004085289</v>
      </c>
    </row>
    <row r="2768" spans="1:40" x14ac:dyDescent="0.25">
      <c r="A2768" t="str">
        <f>"20190304154813399"</f>
        <v>20190304154813399</v>
      </c>
      <c r="B2768" t="str">
        <f>"1551685693389820"</f>
        <v>1551685693389820</v>
      </c>
      <c r="C2768" t="s">
        <v>40</v>
      </c>
      <c r="D2768">
        <v>4.2310470000000002</v>
      </c>
      <c r="E2768">
        <v>0.53703449999999997</v>
      </c>
      <c r="F2768" t="s">
        <v>42</v>
      </c>
      <c r="G2768">
        <v>0</v>
      </c>
      <c r="H2768">
        <v>0</v>
      </c>
      <c r="I2768">
        <v>0</v>
      </c>
      <c r="J2768">
        <v>-321.50670000000002</v>
      </c>
      <c r="K2768">
        <v>1.1100319999999999</v>
      </c>
      <c r="L2768">
        <v>285.38409999999999</v>
      </c>
      <c r="M2768">
        <v>-0.99995020000000001</v>
      </c>
      <c r="N2768">
        <v>-9.2977700000000003E-3</v>
      </c>
      <c r="O2768">
        <v>-3.6567000000000001E-3</v>
      </c>
      <c r="P2768">
        <v>-0.98292239999999997</v>
      </c>
      <c r="Q2768">
        <v>0.1412706</v>
      </c>
      <c r="R2768">
        <v>-0.11792610000000001</v>
      </c>
      <c r="S2768">
        <v>-3.054932</v>
      </c>
      <c r="T2768">
        <v>3.714025E-2</v>
      </c>
      <c r="U2768">
        <v>6.9274899999999903E-2</v>
      </c>
      <c r="V2768">
        <v>-0.1142913</v>
      </c>
      <c r="W2768">
        <v>0.15043709999999999</v>
      </c>
      <c r="X2768">
        <v>0.9819909</v>
      </c>
      <c r="Y2768">
        <v>2.6325060000000001E-2</v>
      </c>
      <c r="Z2768">
        <v>-1.1603729999999999E-4</v>
      </c>
      <c r="AA2768">
        <v>0.99965349999999997</v>
      </c>
      <c r="AB2768">
        <v>35</v>
      </c>
      <c r="AC2768">
        <v>-3.054932</v>
      </c>
      <c r="AD2768">
        <v>3.714025E-2</v>
      </c>
      <c r="AE2768">
        <v>6.9274899999999903E-2</v>
      </c>
      <c r="AF2768">
        <v>8.0434005927754196E-2</v>
      </c>
      <c r="AG2768">
        <v>3.714025E-2</v>
      </c>
      <c r="AH2768">
        <v>3.0542070528947001</v>
      </c>
      <c r="AI2768">
        <v>89.303538623624803</v>
      </c>
      <c r="AJ2768">
        <v>88.491436891550507</v>
      </c>
      <c r="AK2768">
        <v>3.0554917361091598</v>
      </c>
      <c r="AL2768">
        <v>81.347741797497207</v>
      </c>
      <c r="AM2768">
        <v>96.638634705949499</v>
      </c>
      <c r="AN2768">
        <v>0.99999997499745397</v>
      </c>
    </row>
    <row r="2769" spans="1:40" x14ac:dyDescent="0.25">
      <c r="A2769" t="str">
        <f>"20190304154813417"</f>
        <v>20190304154813417</v>
      </c>
      <c r="B2769" t="str">
        <f>"1551685693409339"</f>
        <v>1551685693409339</v>
      </c>
      <c r="C2769" t="s">
        <v>40</v>
      </c>
      <c r="D2769">
        <v>4.2552149999999997</v>
      </c>
      <c r="E2769">
        <v>0.53634700000000002</v>
      </c>
      <c r="F2769" t="s">
        <v>60</v>
      </c>
      <c r="G2769">
        <v>-355.9699</v>
      </c>
      <c r="H2769" s="1">
        <v>1.6400819999999999E-6</v>
      </c>
      <c r="I2769">
        <v>284.89</v>
      </c>
      <c r="J2769">
        <v>-321.76900000000001</v>
      </c>
      <c r="K2769">
        <v>1.1100179999999999</v>
      </c>
      <c r="L2769">
        <v>285.38319999999999</v>
      </c>
      <c r="M2769">
        <v>-0.99994919999999998</v>
      </c>
      <c r="N2769">
        <v>-9.4301690000000004E-3</v>
      </c>
      <c r="O2769">
        <v>-3.5855370000000002E-3</v>
      </c>
      <c r="P2769">
        <v>-0.98301419999999995</v>
      </c>
      <c r="Q2769">
        <v>0.140877799999999</v>
      </c>
      <c r="R2769">
        <v>-0.1176306</v>
      </c>
      <c r="S2769">
        <v>-3.0610050000000002</v>
      </c>
      <c r="T2769">
        <v>-9.8592280000000004E-2</v>
      </c>
      <c r="U2769">
        <v>-4.3884279999999998E-2</v>
      </c>
      <c r="V2769">
        <v>-0.114066</v>
      </c>
      <c r="W2769">
        <v>0.15017539999999999</v>
      </c>
      <c r="X2769">
        <v>0.98205719999999996</v>
      </c>
      <c r="Y2769">
        <v>-1.07434E-2</v>
      </c>
      <c r="Z2769">
        <v>-1.4199579999999999E-4</v>
      </c>
      <c r="AA2769">
        <v>0.99994229999999995</v>
      </c>
      <c r="AB2769">
        <v>35</v>
      </c>
      <c r="AC2769">
        <v>-34.200899999999898</v>
      </c>
      <c r="AD2769">
        <v>-1.110016359918</v>
      </c>
      <c r="AE2769">
        <v>-0.49320000000000103</v>
      </c>
      <c r="AF2769">
        <v>-0.37017294507415199</v>
      </c>
      <c r="AG2769">
        <v>-1.110016359918</v>
      </c>
      <c r="AH2769">
        <v>34.166465925586401</v>
      </c>
      <c r="AI2769">
        <v>91.8606888417535</v>
      </c>
      <c r="AJ2769">
        <v>90.620740748175194</v>
      </c>
      <c r="AK2769">
        <v>34.186496722723803</v>
      </c>
      <c r="AL2769">
        <v>81.362908826849306</v>
      </c>
      <c r="AM2769">
        <v>96.625221245208607</v>
      </c>
      <c r="AN2769">
        <v>1.0000000235964901</v>
      </c>
    </row>
    <row r="2770" spans="1:40" x14ac:dyDescent="0.25">
      <c r="A2770" t="str">
        <f>"20190304154813438"</f>
        <v>20190304154813438</v>
      </c>
      <c r="B2770" t="str">
        <f>"1551685693429835"</f>
        <v>1551685693429835</v>
      </c>
      <c r="C2770" t="s">
        <v>40</v>
      </c>
      <c r="D2770">
        <v>4.2580349999999996</v>
      </c>
      <c r="E2770">
        <v>0.53626830000000003</v>
      </c>
      <c r="F2770" t="s">
        <v>60</v>
      </c>
      <c r="G2770">
        <v>-354.07979999999998</v>
      </c>
      <c r="H2770" s="1">
        <v>6.3429329999999995E-7</v>
      </c>
      <c r="I2770">
        <v>284.87459999999999</v>
      </c>
      <c r="J2770">
        <v>-322.1087</v>
      </c>
      <c r="K2770">
        <v>1.1100080000000001</v>
      </c>
      <c r="L2770">
        <v>285.38209999999998</v>
      </c>
      <c r="M2770">
        <v>-0.99994810000000001</v>
      </c>
      <c r="N2770">
        <v>-9.5816630000000007E-3</v>
      </c>
      <c r="O2770">
        <v>-3.4931340000000002E-3</v>
      </c>
      <c r="P2770">
        <v>-0.98308949999999995</v>
      </c>
      <c r="Q2770">
        <v>0.1401867</v>
      </c>
      <c r="R2770">
        <v>-0.11782529999999999</v>
      </c>
      <c r="S2770">
        <v>-3.0611570000000001</v>
      </c>
      <c r="T2770">
        <v>-0.1051641</v>
      </c>
      <c r="U2770">
        <v>-4.8187260000000003E-2</v>
      </c>
      <c r="V2770">
        <v>-0.1143517</v>
      </c>
      <c r="W2770">
        <v>0.14963319999999999</v>
      </c>
      <c r="X2770">
        <v>0.9821067</v>
      </c>
      <c r="Y2770">
        <v>-1.223845E-2</v>
      </c>
      <c r="Z2770">
        <v>-1.8230770000000001E-4</v>
      </c>
      <c r="AA2770">
        <v>0.99992510000000001</v>
      </c>
      <c r="AB2770">
        <v>35</v>
      </c>
      <c r="AC2770">
        <v>-31.9710999999999</v>
      </c>
      <c r="AD2770">
        <v>-1.11000736570669</v>
      </c>
      <c r="AE2770">
        <v>-0.50749999999999296</v>
      </c>
      <c r="AF2770">
        <v>-0.39533602812114299</v>
      </c>
      <c r="AG2770">
        <v>-1.11000736570669</v>
      </c>
      <c r="AH2770">
        <v>31.9341935164503</v>
      </c>
      <c r="AI2770">
        <v>91.990602185419405</v>
      </c>
      <c r="AJ2770">
        <v>90.709268854659001</v>
      </c>
      <c r="AK2770">
        <v>31.955924684996202</v>
      </c>
      <c r="AL2770">
        <v>81.394329328693502</v>
      </c>
      <c r="AM2770">
        <v>96.641335539589704</v>
      </c>
      <c r="AN2770">
        <v>0.999999988010009</v>
      </c>
    </row>
    <row r="2771" spans="1:40" x14ac:dyDescent="0.25">
      <c r="A2771" t="str">
        <f>"20190304154813451"</f>
        <v>20190304154813451</v>
      </c>
      <c r="B2771" t="str">
        <f>"1551685693439595"</f>
        <v>1551685693439595</v>
      </c>
      <c r="C2771" t="s">
        <v>40</v>
      </c>
      <c r="D2771">
        <v>4.2529859999999999</v>
      </c>
      <c r="E2771">
        <v>0.53604529999999995</v>
      </c>
      <c r="F2771" t="s">
        <v>60</v>
      </c>
      <c r="G2771">
        <v>-352.76429999999999</v>
      </c>
      <c r="H2771" s="1">
        <v>-6.5749819999999999E-8</v>
      </c>
      <c r="I2771">
        <v>284.8879</v>
      </c>
      <c r="J2771">
        <v>-322.31310000000002</v>
      </c>
      <c r="K2771">
        <v>1.1099939999999999</v>
      </c>
      <c r="L2771">
        <v>285.38150000000002</v>
      </c>
      <c r="M2771">
        <v>-0.99994749999999999</v>
      </c>
      <c r="N2771">
        <v>-9.6653120000000006E-3</v>
      </c>
      <c r="O2771">
        <v>-3.4376150000000002E-3</v>
      </c>
      <c r="P2771">
        <v>-0.98305810000000005</v>
      </c>
      <c r="Q2771">
        <v>0.14052149999999999</v>
      </c>
      <c r="R2771">
        <v>-0.11768919999999999</v>
      </c>
      <c r="S2771">
        <v>-3.061493</v>
      </c>
      <c r="T2771">
        <v>-0.1108533</v>
      </c>
      <c r="U2771">
        <v>-4.9346920000000002E-2</v>
      </c>
      <c r="V2771">
        <v>-0.11427</v>
      </c>
      <c r="W2771">
        <v>0.15004999999999999</v>
      </c>
      <c r="X2771">
        <v>0.98205260000000005</v>
      </c>
      <c r="Y2771">
        <v>-1.266976E-2</v>
      </c>
      <c r="Z2771">
        <v>-1.9934250000000001E-4</v>
      </c>
      <c r="AA2771">
        <v>0.99991969999999997</v>
      </c>
      <c r="AB2771">
        <v>35</v>
      </c>
      <c r="AC2771">
        <v>-30.451199999999901</v>
      </c>
      <c r="AD2771">
        <v>-1.10999406574982</v>
      </c>
      <c r="AE2771">
        <v>-0.49360000000001403</v>
      </c>
      <c r="AF2771">
        <v>-0.388396770157239</v>
      </c>
      <c r="AG2771">
        <v>-1.10999406574982</v>
      </c>
      <c r="AH2771">
        <v>30.412318195247799</v>
      </c>
      <c r="AI2771">
        <v>92.090093183910099</v>
      </c>
      <c r="AJ2771">
        <v>90.731686609309193</v>
      </c>
      <c r="AK2771">
        <v>30.4350461949061</v>
      </c>
      <c r="AL2771">
        <v>81.370175617072903</v>
      </c>
      <c r="AM2771">
        <v>96.636995239274299</v>
      </c>
      <c r="AN2771">
        <v>0.999999972283379</v>
      </c>
    </row>
    <row r="2772" spans="1:40" x14ac:dyDescent="0.25">
      <c r="A2772" t="str">
        <f>"20190304154813463"</f>
        <v>20190304154813463</v>
      </c>
      <c r="B2772" t="str">
        <f>"1551685693460092"</f>
        <v>1551685693460092</v>
      </c>
      <c r="C2772" t="s">
        <v>40</v>
      </c>
      <c r="D2772">
        <v>4.2790330000000001</v>
      </c>
      <c r="E2772">
        <v>0.53581060000000003</v>
      </c>
      <c r="F2772" t="s">
        <v>60</v>
      </c>
      <c r="G2772">
        <v>-353.07339999999999</v>
      </c>
      <c r="H2772" s="1">
        <v>9.8714679999999998E-8</v>
      </c>
      <c r="I2772">
        <v>284.87279999999998</v>
      </c>
      <c r="J2772">
        <v>-322.4871</v>
      </c>
      <c r="K2772">
        <v>1.1099909999999999</v>
      </c>
      <c r="L2772">
        <v>285.3809</v>
      </c>
      <c r="M2772">
        <v>-0.99994709999999998</v>
      </c>
      <c r="N2772">
        <v>-9.7282549999999999E-3</v>
      </c>
      <c r="O2772">
        <v>-3.39011E-3</v>
      </c>
      <c r="P2772">
        <v>-0.98306079999999996</v>
      </c>
      <c r="Q2772">
        <v>0.140432</v>
      </c>
      <c r="R2772">
        <v>-0.1177745</v>
      </c>
      <c r="S2772">
        <v>-3.0614319999999999</v>
      </c>
      <c r="T2772">
        <v>-0.1104728</v>
      </c>
      <c r="U2772">
        <v>-5.0628659999999999E-2</v>
      </c>
      <c r="V2772">
        <v>-0.11440160000000001</v>
      </c>
      <c r="W2772">
        <v>0.15002270000000001</v>
      </c>
      <c r="X2772">
        <v>0.98204150000000001</v>
      </c>
      <c r="Y2772">
        <v>-1.313574E-2</v>
      </c>
      <c r="Z2772">
        <v>-2.115234E-4</v>
      </c>
      <c r="AA2772">
        <v>0.99991370000000002</v>
      </c>
      <c r="AB2772">
        <v>35</v>
      </c>
      <c r="AC2772">
        <v>-30.586299999999898</v>
      </c>
      <c r="AD2772">
        <v>-1.10999090128532</v>
      </c>
      <c r="AE2772">
        <v>-0.50810000000001299</v>
      </c>
      <c r="AF2772">
        <v>-0.40386952045997598</v>
      </c>
      <c r="AG2772">
        <v>-1.10999090128532</v>
      </c>
      <c r="AH2772">
        <v>30.547626768282701</v>
      </c>
      <c r="AI2772">
        <v>92.080825337186297</v>
      </c>
      <c r="AJ2772">
        <v>90.757462144788093</v>
      </c>
      <c r="AK2772">
        <v>30.570454552799799</v>
      </c>
      <c r="AL2772">
        <v>81.371758133950095</v>
      </c>
      <c r="AM2772">
        <v>96.644644913180102</v>
      </c>
      <c r="AN2772">
        <v>1.00000002216004</v>
      </c>
    </row>
    <row r="2773" spans="1:40" x14ac:dyDescent="0.25">
      <c r="A2773" t="str">
        <f>"20190304154813476"</f>
        <v>20190304154813476</v>
      </c>
      <c r="B2773" t="str">
        <f>"1551685693469852"</f>
        <v>1551685693469852</v>
      </c>
      <c r="C2773" t="s">
        <v>40</v>
      </c>
      <c r="D2773">
        <v>4.2858999999999998</v>
      </c>
      <c r="E2773">
        <v>0.53570689999999999</v>
      </c>
      <c r="F2773" t="s">
        <v>60</v>
      </c>
      <c r="G2773">
        <v>-352.7484</v>
      </c>
      <c r="H2773" s="1">
        <v>-7.4259390000000002E-8</v>
      </c>
      <c r="I2773">
        <v>284.85840000000002</v>
      </c>
      <c r="J2773">
        <v>-322.70580000000001</v>
      </c>
      <c r="K2773">
        <v>1.1099840000000001</v>
      </c>
      <c r="L2773">
        <v>285.3802</v>
      </c>
      <c r="M2773">
        <v>-0.99994640000000001</v>
      </c>
      <c r="N2773">
        <v>-9.8040079999999995E-3</v>
      </c>
      <c r="O2773">
        <v>-3.3305069999999999E-3</v>
      </c>
      <c r="P2773">
        <v>-0.98309069999999998</v>
      </c>
      <c r="Q2773">
        <v>0.14039760000000001</v>
      </c>
      <c r="R2773">
        <v>-0.1175644</v>
      </c>
      <c r="S2773">
        <v>-3.061401</v>
      </c>
      <c r="T2773">
        <v>-0.1122929</v>
      </c>
      <c r="U2773">
        <v>-5.2856449999999999E-2</v>
      </c>
      <c r="V2773">
        <v>-0.11425009999999999</v>
      </c>
      <c r="W2773">
        <v>0.15006269999999999</v>
      </c>
      <c r="X2773">
        <v>0.98205299999999995</v>
      </c>
      <c r="Y2773">
        <v>-1.3921940000000001E-2</v>
      </c>
      <c r="Z2773">
        <v>-2.340368E-4</v>
      </c>
      <c r="AA2773">
        <v>0.99990310000000004</v>
      </c>
      <c r="AB2773">
        <v>35</v>
      </c>
      <c r="AC2773">
        <v>-30.0426</v>
      </c>
      <c r="AD2773">
        <v>-1.1099840742593801</v>
      </c>
      <c r="AE2773">
        <v>-0.52179999999998405</v>
      </c>
      <c r="AF2773">
        <v>-0.42116046298951498</v>
      </c>
      <c r="AG2773">
        <v>-1.1099840742593801</v>
      </c>
      <c r="AH2773">
        <v>30.0032268180403</v>
      </c>
      <c r="AI2773">
        <v>92.118510659938806</v>
      </c>
      <c r="AJ2773">
        <v>90.804217907544796</v>
      </c>
      <c r="AK2773">
        <v>30.0267057846089</v>
      </c>
      <c r="AL2773">
        <v>81.369439842708204</v>
      </c>
      <c r="AM2773">
        <v>96.635847043916201</v>
      </c>
      <c r="AN2773">
        <v>0.99999999704514997</v>
      </c>
    </row>
    <row r="2774" spans="1:40" x14ac:dyDescent="0.25">
      <c r="A2774" t="str">
        <f>"20190304154813488"</f>
        <v>20190304154813488</v>
      </c>
      <c r="B2774" t="str">
        <f>"1551685693479612"</f>
        <v>1551685693479612</v>
      </c>
      <c r="C2774" t="s">
        <v>40</v>
      </c>
      <c r="D2774">
        <v>4.276567</v>
      </c>
      <c r="E2774">
        <v>0.53574769999999905</v>
      </c>
      <c r="F2774" t="s">
        <v>60</v>
      </c>
      <c r="G2774">
        <v>-352.7423</v>
      </c>
      <c r="H2774" s="1">
        <v>-7.7490089999999997E-8</v>
      </c>
      <c r="I2774">
        <v>284.86070000000001</v>
      </c>
      <c r="J2774">
        <v>-322.90039999999999</v>
      </c>
      <c r="K2774">
        <v>1.109977</v>
      </c>
      <c r="L2774">
        <v>285.37959999999998</v>
      </c>
      <c r="M2774">
        <v>-0.99994609999999995</v>
      </c>
      <c r="N2774">
        <v>-9.8661180000000001E-3</v>
      </c>
      <c r="O2774">
        <v>-3.2781099999999999E-3</v>
      </c>
      <c r="P2774">
        <v>-0.98311090000000001</v>
      </c>
      <c r="Q2774">
        <v>0.1405382</v>
      </c>
      <c r="R2774">
        <v>-0.1172279</v>
      </c>
      <c r="S2774">
        <v>-3.0614319999999999</v>
      </c>
      <c r="T2774">
        <v>-0.1131339</v>
      </c>
      <c r="U2774">
        <v>-5.2948000000000002E-2</v>
      </c>
      <c r="V2774">
        <v>-0.1139651</v>
      </c>
      <c r="W2774">
        <v>0.1502645</v>
      </c>
      <c r="X2774">
        <v>0.98205520000000002</v>
      </c>
      <c r="Y2774">
        <v>-1.400381E-2</v>
      </c>
      <c r="Z2774">
        <v>-2.390061E-4</v>
      </c>
      <c r="AA2774">
        <v>0.99990190000000001</v>
      </c>
      <c r="AB2774">
        <v>35</v>
      </c>
      <c r="AC2774">
        <v>-29.841899999999999</v>
      </c>
      <c r="AD2774">
        <v>-1.1099770774900899</v>
      </c>
      <c r="AE2774">
        <v>-0.51889999999997305</v>
      </c>
      <c r="AF2774">
        <v>-0.42048587260678399</v>
      </c>
      <c r="AG2774">
        <v>-1.1099770774900899</v>
      </c>
      <c r="AH2774">
        <v>29.802222213136499</v>
      </c>
      <c r="AI2774">
        <v>92.132770462331905</v>
      </c>
      <c r="AJ2774">
        <v>90.808344666239407</v>
      </c>
      <c r="AK2774">
        <v>29.825849632873499</v>
      </c>
      <c r="AL2774">
        <v>81.357744450294902</v>
      </c>
      <c r="AM2774">
        <v>96.619426128949698</v>
      </c>
      <c r="AN2774">
        <v>0.99999993991264802</v>
      </c>
    </row>
    <row r="2775" spans="1:40" x14ac:dyDescent="0.25">
      <c r="A2775" t="str">
        <f>"20190304154813506"</f>
        <v>20190304154813506</v>
      </c>
      <c r="B2775" t="str">
        <f>"1551685693499438"</f>
        <v>1551685693499438</v>
      </c>
      <c r="C2775" t="s">
        <v>40</v>
      </c>
      <c r="D2775">
        <v>4.276662</v>
      </c>
      <c r="E2775">
        <v>0.5360395</v>
      </c>
      <c r="F2775" t="s">
        <v>60</v>
      </c>
      <c r="G2775">
        <v>-353.26199999999898</v>
      </c>
      <c r="H2775" s="1">
        <v>1.990777E-7</v>
      </c>
      <c r="I2775">
        <v>284.86779999999999</v>
      </c>
      <c r="J2775">
        <v>-323.16109999999998</v>
      </c>
      <c r="K2775">
        <v>1.1099870000000001</v>
      </c>
      <c r="L2775">
        <v>285.37880000000001</v>
      </c>
      <c r="M2775">
        <v>-0.99994550000000004</v>
      </c>
      <c r="N2775">
        <v>-9.9407790000000003E-3</v>
      </c>
      <c r="O2775">
        <v>-3.207419E-3</v>
      </c>
      <c r="P2775">
        <v>-0.98320450000000004</v>
      </c>
      <c r="Q2775">
        <v>0.140379</v>
      </c>
      <c r="R2775">
        <v>-0.11662980000000001</v>
      </c>
      <c r="S2775">
        <v>-3.0613709999999998</v>
      </c>
      <c r="T2775">
        <v>-0.1119194</v>
      </c>
      <c r="U2775">
        <v>-5.160522E-2</v>
      </c>
      <c r="V2775">
        <v>-0.113436</v>
      </c>
      <c r="W2775">
        <v>0.1501797</v>
      </c>
      <c r="X2775">
        <v>0.98212949999999999</v>
      </c>
      <c r="Y2775">
        <v>-1.3636850000000001E-2</v>
      </c>
      <c r="Z2775">
        <v>-2.3165180000000001E-4</v>
      </c>
      <c r="AA2775">
        <v>0.99990699999999999</v>
      </c>
      <c r="AB2775">
        <v>35</v>
      </c>
      <c r="AC2775">
        <v>-30.1008999999999</v>
      </c>
      <c r="AD2775">
        <v>-1.1099868009223</v>
      </c>
      <c r="AE2775">
        <v>-0.51100000000002399</v>
      </c>
      <c r="AF2775">
        <v>-0.41388376821279399</v>
      </c>
      <c r="AG2775">
        <v>-1.1099868009223</v>
      </c>
      <c r="AH2775">
        <v>30.061518195658799</v>
      </c>
      <c r="AI2775">
        <v>92.114419548677105</v>
      </c>
      <c r="AJ2775">
        <v>90.788792328735695</v>
      </c>
      <c r="AK2775">
        <v>30.084850784069602</v>
      </c>
      <c r="AL2775">
        <v>81.362659524268395</v>
      </c>
      <c r="AM2775">
        <v>96.588471221514297</v>
      </c>
      <c r="AN2775">
        <v>1.0000000115791601</v>
      </c>
    </row>
    <row r="2776" spans="1:40" x14ac:dyDescent="0.25">
      <c r="A2776" t="str">
        <f>"20190304154813518"</f>
        <v>20190304154813518</v>
      </c>
      <c r="B2776" t="str">
        <f>"1551685693509197"</f>
        <v>1551685693509197</v>
      </c>
      <c r="C2776" t="s">
        <v>40</v>
      </c>
      <c r="D2776">
        <v>4.2960279999999997</v>
      </c>
      <c r="E2776">
        <v>0.53614340000000005</v>
      </c>
      <c r="F2776" t="s">
        <v>60</v>
      </c>
      <c r="G2776">
        <v>-353.94970000000001</v>
      </c>
      <c r="H2776" s="1">
        <v>5.6506840000000004E-7</v>
      </c>
      <c r="I2776">
        <v>284.90030000000002</v>
      </c>
      <c r="J2776">
        <v>-323.36950000000002</v>
      </c>
      <c r="K2776">
        <v>1.1099840000000001</v>
      </c>
      <c r="L2776">
        <v>285.37819999999999</v>
      </c>
      <c r="M2776">
        <v>-0.99994519999999998</v>
      </c>
      <c r="N2776">
        <v>-9.9953790000000004E-3</v>
      </c>
      <c r="O2776">
        <v>-3.1510589999999999E-3</v>
      </c>
      <c r="P2776">
        <v>-0.98327109999999995</v>
      </c>
      <c r="Q2776">
        <v>0.14028409999999999</v>
      </c>
      <c r="R2776">
        <v>-0.1161836</v>
      </c>
      <c r="S2776">
        <v>-3.0613709999999998</v>
      </c>
      <c r="T2776">
        <v>-0.11036799999999999</v>
      </c>
      <c r="U2776">
        <v>-4.7576899999999998E-2</v>
      </c>
      <c r="V2776">
        <v>-0.1130448</v>
      </c>
      <c r="W2776">
        <v>0.15013859999999901</v>
      </c>
      <c r="X2776">
        <v>0.98218090000000002</v>
      </c>
      <c r="Y2776">
        <v>-1.2379060000000001E-2</v>
      </c>
      <c r="Z2776">
        <v>-2.028864E-4</v>
      </c>
      <c r="AA2776">
        <v>0.99992329999999996</v>
      </c>
      <c r="AB2776">
        <v>35</v>
      </c>
      <c r="AC2776">
        <v>-30.580199999999898</v>
      </c>
      <c r="AD2776">
        <v>-1.1099834349316</v>
      </c>
      <c r="AE2776">
        <v>-0.47789999999997601</v>
      </c>
      <c r="AF2776">
        <v>-0.38103092273042999</v>
      </c>
      <c r="AG2776">
        <v>-1.1099834349316</v>
      </c>
      <c r="AH2776">
        <v>30.5413256008673</v>
      </c>
      <c r="AI2776">
        <v>92.081260183082193</v>
      </c>
      <c r="AJ2776">
        <v>90.714780080274593</v>
      </c>
      <c r="AK2776">
        <v>30.563864566643002</v>
      </c>
      <c r="AL2776">
        <v>81.365041487580299</v>
      </c>
      <c r="AM2776">
        <v>96.565608081905197</v>
      </c>
      <c r="AN2776">
        <v>1.0000000231709001</v>
      </c>
    </row>
    <row r="2777" spans="1:40" x14ac:dyDescent="0.25">
      <c r="A2777" t="str">
        <f>"20190304154813530"</f>
        <v>20190304154813530</v>
      </c>
      <c r="B2777" t="str">
        <f>"1551685693519934"</f>
        <v>1551685693519934</v>
      </c>
      <c r="C2777" t="s">
        <v>40</v>
      </c>
      <c r="D2777">
        <v>4.175643</v>
      </c>
      <c r="E2777">
        <v>0.53614340000000005</v>
      </c>
      <c r="F2777" t="s">
        <v>60</v>
      </c>
      <c r="G2777">
        <v>-354.34620000000001</v>
      </c>
      <c r="H2777" s="1">
        <v>7.7604509999999998E-7</v>
      </c>
      <c r="I2777">
        <v>284.92020000000002</v>
      </c>
      <c r="J2777">
        <v>-323.55799999999999</v>
      </c>
      <c r="K2777">
        <v>1.1099859999999999</v>
      </c>
      <c r="L2777">
        <v>285.37759999999997</v>
      </c>
      <c r="M2777">
        <v>-0.99994479999999997</v>
      </c>
      <c r="N2777">
        <v>-1.004207E-2</v>
      </c>
      <c r="O2777">
        <v>-3.0997870000000001E-3</v>
      </c>
      <c r="P2777">
        <v>-0.98324789999999995</v>
      </c>
      <c r="Q2777">
        <v>0.14053599999999999</v>
      </c>
      <c r="R2777">
        <v>-0.1160764</v>
      </c>
      <c r="S2777">
        <v>-3.0613709999999998</v>
      </c>
      <c r="T2777">
        <v>-0.1096975</v>
      </c>
      <c r="U2777">
        <v>-4.5257569999999997E-2</v>
      </c>
      <c r="V2777">
        <v>-0.11298809999999999</v>
      </c>
      <c r="W2777">
        <v>0.15043609999999999</v>
      </c>
      <c r="X2777">
        <v>0.98214190000000001</v>
      </c>
      <c r="Y2777">
        <v>-1.1673579999999999E-2</v>
      </c>
      <c r="Z2777">
        <v>-1.87801E-4</v>
      </c>
      <c r="AA2777">
        <v>0.99993189999999998</v>
      </c>
      <c r="AB2777">
        <v>35</v>
      </c>
      <c r="AC2777">
        <v>-30.7882</v>
      </c>
      <c r="AD2777">
        <v>-1.1099852239549</v>
      </c>
      <c r="AE2777">
        <v>-0.45739999999995001</v>
      </c>
      <c r="AF2777">
        <v>-0.36148638562139601</v>
      </c>
      <c r="AG2777">
        <v>-1.1099852239549</v>
      </c>
      <c r="AH2777">
        <v>30.7495115739022</v>
      </c>
      <c r="AI2777">
        <v>92.067202866330106</v>
      </c>
      <c r="AJ2777">
        <v>90.673529079048095</v>
      </c>
      <c r="AK2777">
        <v>30.771662315155002</v>
      </c>
      <c r="AL2777">
        <v>81.347800156785198</v>
      </c>
      <c r="AM2777">
        <v>96.562602006174302</v>
      </c>
      <c r="AN2777">
        <v>1.00000002133021</v>
      </c>
    </row>
    <row r="2778" spans="1:40" x14ac:dyDescent="0.25">
      <c r="A2778" t="str">
        <f>"20190304154813543"</f>
        <v>20190304154813543</v>
      </c>
      <c r="B2778" t="str">
        <f>"1551685693539454"</f>
        <v>1551685693539454</v>
      </c>
      <c r="C2778" t="s">
        <v>40</v>
      </c>
      <c r="D2778">
        <v>4.322864</v>
      </c>
      <c r="E2778">
        <v>0.5362962</v>
      </c>
      <c r="F2778" t="s">
        <v>60</v>
      </c>
      <c r="G2778">
        <v>-354.75279999999998</v>
      </c>
      <c r="H2778" s="1">
        <v>9.9241409999999992E-7</v>
      </c>
      <c r="I2778">
        <v>284.91930000000002</v>
      </c>
      <c r="J2778">
        <v>-323.7527</v>
      </c>
      <c r="K2778">
        <v>1.1099920000000001</v>
      </c>
      <c r="L2778">
        <v>285.37709999999998</v>
      </c>
      <c r="M2778">
        <v>-0.99994459999999996</v>
      </c>
      <c r="N2778">
        <v>-1.008479E-2</v>
      </c>
      <c r="O2778">
        <v>-3.0471859999999999E-3</v>
      </c>
      <c r="P2778">
        <v>-0.98328459999999995</v>
      </c>
      <c r="Q2778">
        <v>0.1402426</v>
      </c>
      <c r="R2778">
        <v>-0.116118</v>
      </c>
      <c r="S2778">
        <v>-3.06134</v>
      </c>
      <c r="T2778">
        <v>-0.1089299</v>
      </c>
      <c r="U2778">
        <v>-4.4982910000000001E-2</v>
      </c>
      <c r="V2778">
        <v>-0.1130819</v>
      </c>
      <c r="W2778">
        <v>0.15018489999999901</v>
      </c>
      <c r="X2778">
        <v>0.98216950000000003</v>
      </c>
      <c r="Y2778">
        <v>-1.163673E-2</v>
      </c>
      <c r="Z2778">
        <v>-1.8799760000000001E-4</v>
      </c>
      <c r="AA2778">
        <v>0.9999323</v>
      </c>
      <c r="AB2778">
        <v>35</v>
      </c>
      <c r="AC2778">
        <v>-31.0000999999999</v>
      </c>
      <c r="AD2778">
        <v>-1.1099910075858901</v>
      </c>
      <c r="AE2778">
        <v>-0.45779999999996301</v>
      </c>
      <c r="AF2778">
        <v>-0.36286489091287799</v>
      </c>
      <c r="AG2778">
        <v>-1.1099910075858901</v>
      </c>
      <c r="AH2778">
        <v>30.961664677129299</v>
      </c>
      <c r="AI2778">
        <v>92.053061859218204</v>
      </c>
      <c r="AJ2778">
        <v>90.671465025738698</v>
      </c>
      <c r="AK2778">
        <v>30.983680067819201</v>
      </c>
      <c r="AL2778">
        <v>81.362357837020099</v>
      </c>
      <c r="AM2778">
        <v>96.567819581545095</v>
      </c>
      <c r="AN2778">
        <v>0.99999997351293402</v>
      </c>
    </row>
    <row r="2779" spans="1:40" x14ac:dyDescent="0.25">
      <c r="A2779" t="str">
        <f>"20190304154813556"</f>
        <v>20190304154813556</v>
      </c>
      <c r="B2779" t="str">
        <f>"1551685693549214"</f>
        <v>1551685693549214</v>
      </c>
      <c r="C2779" t="s">
        <v>40</v>
      </c>
      <c r="D2779">
        <v>4.300694</v>
      </c>
      <c r="E2779">
        <v>0.5362555</v>
      </c>
      <c r="F2779" t="s">
        <v>60</v>
      </c>
      <c r="G2779">
        <v>-355.13350000000003</v>
      </c>
      <c r="H2779" s="1">
        <v>1.1950260000000001E-6</v>
      </c>
      <c r="I2779">
        <v>284.92790000000002</v>
      </c>
      <c r="J2779">
        <v>-323.94330000000002</v>
      </c>
      <c r="K2779">
        <v>1.10999</v>
      </c>
      <c r="L2779">
        <v>285.37650000000002</v>
      </c>
      <c r="M2779">
        <v>-0.99994430000000001</v>
      </c>
      <c r="N2779">
        <v>-1.012468E-2</v>
      </c>
      <c r="O2779">
        <v>-2.9954069999999998E-3</v>
      </c>
      <c r="P2779">
        <v>-0.98327330000000002</v>
      </c>
      <c r="Q2779">
        <v>0.1403459</v>
      </c>
      <c r="R2779">
        <v>-0.1160907</v>
      </c>
      <c r="S2779">
        <v>-3.0612789999999999</v>
      </c>
      <c r="T2779">
        <v>-0.10828260000000001</v>
      </c>
      <c r="U2779">
        <v>-4.3823239999999999E-2</v>
      </c>
      <c r="V2779">
        <v>-0.1131052</v>
      </c>
      <c r="W2779">
        <v>0.15032770000000001</v>
      </c>
      <c r="X2779">
        <v>0.98214500000000005</v>
      </c>
      <c r="Y2779">
        <v>-1.131041E-2</v>
      </c>
      <c r="Z2779">
        <v>-1.8165259999999999E-4</v>
      </c>
      <c r="AA2779">
        <v>0.99993600000000005</v>
      </c>
      <c r="AB2779">
        <v>35</v>
      </c>
      <c r="AC2779">
        <v>-31.190200000000001</v>
      </c>
      <c r="AD2779">
        <v>-1.1099888049740001</v>
      </c>
      <c r="AE2779">
        <v>-0.448599999999998</v>
      </c>
      <c r="AF2779">
        <v>-0.354716707532648</v>
      </c>
      <c r="AG2779">
        <v>-1.1099888049740001</v>
      </c>
      <c r="AH2779">
        <v>31.151958463774001</v>
      </c>
      <c r="AI2779">
        <v>92.040535030842193</v>
      </c>
      <c r="AJ2779">
        <v>90.652379271440793</v>
      </c>
      <c r="AK2779">
        <v>31.173745607778201</v>
      </c>
      <c r="AL2779">
        <v>81.354082296196097</v>
      </c>
      <c r="AM2779">
        <v>96.569323461036404</v>
      </c>
      <c r="AN2779">
        <v>1.00000000233966</v>
      </c>
    </row>
    <row r="2780" spans="1:40" x14ac:dyDescent="0.25">
      <c r="A2780" t="str">
        <f>"20190304154813567"</f>
        <v>20190304154813567</v>
      </c>
      <c r="B2780" t="str">
        <f>"1551685693559950"</f>
        <v>1551685693559950</v>
      </c>
      <c r="C2780" t="s">
        <v>40</v>
      </c>
      <c r="D2780">
        <v>4.3192890000000004</v>
      </c>
      <c r="E2780">
        <v>0.53624729999999998</v>
      </c>
      <c r="F2780" t="s">
        <v>60</v>
      </c>
      <c r="G2780">
        <v>-355.53980000000001</v>
      </c>
      <c r="H2780" s="1">
        <v>1.4112029999999901E-6</v>
      </c>
      <c r="I2780">
        <v>284.92140000000001</v>
      </c>
      <c r="J2780">
        <v>-324.12909999999999</v>
      </c>
      <c r="K2780">
        <v>1.10999</v>
      </c>
      <c r="L2780">
        <v>285.37599999999998</v>
      </c>
      <c r="M2780">
        <v>-0.9999441</v>
      </c>
      <c r="N2780">
        <v>-1.016038E-2</v>
      </c>
      <c r="O2780">
        <v>-2.9448019999999998E-3</v>
      </c>
      <c r="P2780">
        <v>-0.98326530000000001</v>
      </c>
      <c r="Q2780">
        <v>0.1403325</v>
      </c>
      <c r="R2780">
        <v>-0.1161736</v>
      </c>
      <c r="S2780">
        <v>-3.061188</v>
      </c>
      <c r="T2780">
        <v>-0.10753989999999999</v>
      </c>
      <c r="U2780">
        <v>-4.4097900000000002E-2</v>
      </c>
      <c r="V2780">
        <v>-0.1132378</v>
      </c>
      <c r="W2780">
        <v>0.15034890000000001</v>
      </c>
      <c r="X2780">
        <v>0.98212650000000001</v>
      </c>
      <c r="Y2780">
        <v>-1.1451090000000001E-2</v>
      </c>
      <c r="Z2780">
        <v>-1.8576789999999999E-4</v>
      </c>
      <c r="AA2780">
        <v>0.9999344</v>
      </c>
      <c r="AB2780">
        <v>35</v>
      </c>
      <c r="AC2780">
        <v>-31.410699999999999</v>
      </c>
      <c r="AD2780">
        <v>-1.109988588797</v>
      </c>
      <c r="AE2780">
        <v>-0.45459999999996997</v>
      </c>
      <c r="AF2780">
        <v>-0.361643452450086</v>
      </c>
      <c r="AG2780">
        <v>-1.109988588797</v>
      </c>
      <c r="AH2780">
        <v>31.372733502497098</v>
      </c>
      <c r="AI2780">
        <v>92.026183808177905</v>
      </c>
      <c r="AJ2780">
        <v>90.660437376478001</v>
      </c>
      <c r="AK2780">
        <v>31.3944464527194</v>
      </c>
      <c r="AL2780">
        <v>81.352853872643294</v>
      </c>
      <c r="AM2780">
        <v>96.577080437714002</v>
      </c>
      <c r="AN2780">
        <v>1.00000002654114</v>
      </c>
    </row>
    <row r="2781" spans="1:40" x14ac:dyDescent="0.25">
      <c r="A2781" t="str">
        <f>"20190304154813584"</f>
        <v>20190304154813584</v>
      </c>
      <c r="B2781" t="str">
        <f>"1551685693579469"</f>
        <v>1551685693579469</v>
      </c>
      <c r="C2781" t="s">
        <v>40</v>
      </c>
      <c r="D2781">
        <v>4.3034780000000001</v>
      </c>
      <c r="E2781">
        <v>0.53620230000000002</v>
      </c>
      <c r="F2781" t="s">
        <v>60</v>
      </c>
      <c r="G2781">
        <v>-355.80470000000003</v>
      </c>
      <c r="H2781" s="1">
        <v>1.5521999999999999E-6</v>
      </c>
      <c r="I2781">
        <v>284.9153</v>
      </c>
      <c r="J2781">
        <v>-324.37990000000002</v>
      </c>
      <c r="K2781">
        <v>1.1099939999999999</v>
      </c>
      <c r="L2781">
        <v>285.37540000000001</v>
      </c>
      <c r="M2781">
        <v>-0.99994400000000006</v>
      </c>
      <c r="N2781">
        <v>-1.02045E-2</v>
      </c>
      <c r="O2781">
        <v>-2.8767150000000002E-3</v>
      </c>
      <c r="P2781">
        <v>-0.98338000000000003</v>
      </c>
      <c r="Q2781">
        <v>0.13967449999999901</v>
      </c>
      <c r="R2781">
        <v>-0.1159965</v>
      </c>
      <c r="S2781">
        <v>-3.061096</v>
      </c>
      <c r="T2781">
        <v>-0.107268</v>
      </c>
      <c r="U2781">
        <v>-4.4525149999999999E-2</v>
      </c>
      <c r="V2781">
        <v>-0.11312709999999999</v>
      </c>
      <c r="W2781">
        <v>0.14973510000000001</v>
      </c>
      <c r="X2781">
        <v>0.98223300000000002</v>
      </c>
      <c r="Y2781">
        <v>-1.1658979999999999E-2</v>
      </c>
      <c r="Z2781">
        <v>-1.9229929999999999E-4</v>
      </c>
      <c r="AA2781">
        <v>0.99993200000000004</v>
      </c>
      <c r="AB2781">
        <v>35</v>
      </c>
      <c r="AC2781">
        <v>-31.424800000000001</v>
      </c>
      <c r="AD2781">
        <v>-1.1099924478000001</v>
      </c>
      <c r="AE2781">
        <v>-0.460100000000011</v>
      </c>
      <c r="AF2781">
        <v>-0.36923263717457799</v>
      </c>
      <c r="AG2781">
        <v>-1.1099924478000001</v>
      </c>
      <c r="AH2781">
        <v>31.386842001802599</v>
      </c>
      <c r="AI2781">
        <v>92.025275249800401</v>
      </c>
      <c r="AJ2781">
        <v>90.673992494880693</v>
      </c>
      <c r="AK2781">
        <v>31.4086336350477</v>
      </c>
      <c r="AL2781">
        <v>81.388424497880706</v>
      </c>
      <c r="AM2781">
        <v>96.570000801501195</v>
      </c>
      <c r="AN2781">
        <v>1.0000000036077099</v>
      </c>
    </row>
    <row r="2782" spans="1:40" x14ac:dyDescent="0.25">
      <c r="A2782" t="str">
        <f>"20190304154813599"</f>
        <v>20190304154813599</v>
      </c>
      <c r="B2782" t="str">
        <f>"1551685693589229"</f>
        <v>1551685693589229</v>
      </c>
      <c r="C2782" t="s">
        <v>40</v>
      </c>
      <c r="D2782">
        <v>4.3155910000000004</v>
      </c>
      <c r="E2782">
        <v>0.53619300000000003</v>
      </c>
      <c r="F2782" t="s">
        <v>60</v>
      </c>
      <c r="G2782">
        <v>-355.83850000000001</v>
      </c>
      <c r="H2782" s="1">
        <v>1.5701800000000001E-6</v>
      </c>
      <c r="I2782">
        <v>284.91930000000002</v>
      </c>
      <c r="J2782">
        <v>-324.63119999999998</v>
      </c>
      <c r="K2782">
        <v>1.1099939999999999</v>
      </c>
      <c r="L2782">
        <v>285.37470000000002</v>
      </c>
      <c r="M2782">
        <v>-0.99994360000000004</v>
      </c>
      <c r="N2782">
        <v>-1.024474E-2</v>
      </c>
      <c r="O2782">
        <v>-2.8083689999999998E-3</v>
      </c>
      <c r="P2782">
        <v>-0.98330910000000005</v>
      </c>
      <c r="Q2782">
        <v>0.13990159999999999</v>
      </c>
      <c r="R2782">
        <v>-0.11632389999999999</v>
      </c>
      <c r="S2782">
        <v>-3.0608219999999999</v>
      </c>
      <c r="T2782">
        <v>-0.10799880000000001</v>
      </c>
      <c r="U2782">
        <v>-4.4372559999999998E-2</v>
      </c>
      <c r="V2782">
        <v>-0.113522</v>
      </c>
      <c r="W2782">
        <v>0.150001</v>
      </c>
      <c r="X2782">
        <v>0.98214690000000004</v>
      </c>
      <c r="Y2782">
        <v>-1.167865E-2</v>
      </c>
      <c r="Z2782">
        <v>-1.955219E-4</v>
      </c>
      <c r="AA2782">
        <v>0.99993180000000004</v>
      </c>
      <c r="AB2782">
        <v>35</v>
      </c>
      <c r="AC2782">
        <v>-31.2073</v>
      </c>
      <c r="AD2782">
        <v>-1.1099924298199999</v>
      </c>
      <c r="AE2782">
        <v>-0.45539999999999697</v>
      </c>
      <c r="AF2782">
        <v>-0.367287433075832</v>
      </c>
      <c r="AG2782">
        <v>-1.1099924298199999</v>
      </c>
      <c r="AH2782">
        <v>31.169032119890801</v>
      </c>
      <c r="AI2782">
        <v>92.039415500286694</v>
      </c>
      <c r="AJ2782">
        <v>90.675126701151697</v>
      </c>
      <c r="AK2782">
        <v>31.190952959849401</v>
      </c>
      <c r="AL2782">
        <v>81.373015827435097</v>
      </c>
      <c r="AM2782">
        <v>96.593306436393405</v>
      </c>
      <c r="AN2782">
        <v>1.0000000388323</v>
      </c>
    </row>
    <row r="2783" spans="1:40" x14ac:dyDescent="0.25">
      <c r="A2783" t="str">
        <f>"20190304154813618"</f>
        <v>20190304154813618</v>
      </c>
      <c r="B2783" t="str">
        <f>"1551685693609725"</f>
        <v>1551685693609725</v>
      </c>
      <c r="C2783" t="s">
        <v>40</v>
      </c>
      <c r="D2783">
        <v>4.3560559999999997</v>
      </c>
      <c r="E2783">
        <v>0.53604600000000002</v>
      </c>
      <c r="F2783" t="s">
        <v>60</v>
      </c>
      <c r="G2783">
        <v>-356.42500000000001</v>
      </c>
      <c r="H2783" s="1">
        <v>1.8822979999999999E-6</v>
      </c>
      <c r="I2783">
        <v>284.90300000000002</v>
      </c>
      <c r="J2783">
        <v>-324.92410000000001</v>
      </c>
      <c r="K2783">
        <v>1.1099969999999999</v>
      </c>
      <c r="L2783">
        <v>285.37400000000002</v>
      </c>
      <c r="M2783">
        <v>-0.99994340000000004</v>
      </c>
      <c r="N2783">
        <v>-1.0286729999999999E-2</v>
      </c>
      <c r="O2783">
        <v>-2.7289469999999998E-3</v>
      </c>
      <c r="P2783">
        <v>-0.98338020000000004</v>
      </c>
      <c r="Q2783">
        <v>0.13947109999999999</v>
      </c>
      <c r="R2783">
        <v>-0.1162392</v>
      </c>
      <c r="S2783">
        <v>-3.0607600000000001</v>
      </c>
      <c r="T2783">
        <v>-0.1068578</v>
      </c>
      <c r="U2783">
        <v>-4.5410159999999998E-2</v>
      </c>
      <c r="V2783">
        <v>-0.1135157</v>
      </c>
      <c r="W2783">
        <v>0.149613</v>
      </c>
      <c r="X2783">
        <v>0.98220680000000005</v>
      </c>
      <c r="Y2783">
        <v>-1.209704E-2</v>
      </c>
      <c r="Z2783">
        <v>-2.0616680000000001E-4</v>
      </c>
      <c r="AA2783">
        <v>0.9999268</v>
      </c>
      <c r="AB2783">
        <v>35</v>
      </c>
      <c r="AC2783">
        <v>-31.500900000000001</v>
      </c>
      <c r="AD2783">
        <v>-1.109995117702</v>
      </c>
      <c r="AE2783">
        <v>-0.47100000000000303</v>
      </c>
      <c r="AF2783">
        <v>-0.38455204469867799</v>
      </c>
      <c r="AG2783">
        <v>-1.109995117702</v>
      </c>
      <c r="AH2783">
        <v>31.463011045396801</v>
      </c>
      <c r="AI2783">
        <v>92.020370072316396</v>
      </c>
      <c r="AJ2783">
        <v>90.700254406053006</v>
      </c>
      <c r="AK2783">
        <v>31.484933436155799</v>
      </c>
      <c r="AL2783">
        <v>81.395500252430296</v>
      </c>
      <c r="AM2783">
        <v>96.592545224647196</v>
      </c>
      <c r="AN2783">
        <v>1.0000000309408601</v>
      </c>
    </row>
    <row r="2784" spans="1:40" x14ac:dyDescent="0.25">
      <c r="A2784" t="str">
        <f>"20190304154813631"</f>
        <v>20190304154813631</v>
      </c>
      <c r="B2784" t="str">
        <f>"1551685693619485"</f>
        <v>1551685693619485</v>
      </c>
      <c r="C2784" t="s">
        <v>40</v>
      </c>
      <c r="D2784">
        <v>4.3400629999999998</v>
      </c>
      <c r="E2784">
        <v>0.53591319999999998</v>
      </c>
      <c r="F2784" t="s">
        <v>60</v>
      </c>
      <c r="G2784">
        <v>-356.43540000000002</v>
      </c>
      <c r="H2784" s="1">
        <v>1.8878139999999999E-6</v>
      </c>
      <c r="I2784">
        <v>284.89479999999998</v>
      </c>
      <c r="J2784">
        <v>-325.1259</v>
      </c>
      <c r="K2784">
        <v>1.109993</v>
      </c>
      <c r="L2784">
        <v>285.3734</v>
      </c>
      <c r="M2784">
        <v>-0.99994340000000004</v>
      </c>
      <c r="N2784">
        <v>-1.0313320000000001E-2</v>
      </c>
      <c r="O2784">
        <v>-2.674362E-3</v>
      </c>
      <c r="P2784">
        <v>-0.98340360000000004</v>
      </c>
      <c r="Q2784">
        <v>0.13927999999999999</v>
      </c>
      <c r="R2784">
        <v>-0.1162715</v>
      </c>
      <c r="S2784">
        <v>-3.060486</v>
      </c>
      <c r="T2784">
        <v>-0.107806399999999</v>
      </c>
      <c r="U2784">
        <v>-4.653931E-2</v>
      </c>
      <c r="V2784">
        <v>-0.11360140000000001</v>
      </c>
      <c r="W2784">
        <v>0.149448</v>
      </c>
      <c r="X2784">
        <v>0.98222200000000004</v>
      </c>
      <c r="Y2784">
        <v>-1.2521289999999999E-2</v>
      </c>
      <c r="Z2784">
        <v>-2.184562E-4</v>
      </c>
      <c r="AA2784">
        <v>0.99992159999999997</v>
      </c>
      <c r="AB2784">
        <v>35</v>
      </c>
      <c r="AC2784">
        <v>-31.3095</v>
      </c>
      <c r="AD2784">
        <v>-1.109991112186</v>
      </c>
      <c r="AE2784">
        <v>-0.478600000000028</v>
      </c>
      <c r="AF2784">
        <v>-0.39436536511555498</v>
      </c>
      <c r="AG2784">
        <v>-1.109991112186</v>
      </c>
      <c r="AH2784">
        <v>31.271373497678201</v>
      </c>
      <c r="AI2784">
        <v>92.032723838952606</v>
      </c>
      <c r="AJ2784">
        <v>90.722522573866698</v>
      </c>
      <c r="AK2784">
        <v>31.2935521272614</v>
      </c>
      <c r="AL2784">
        <v>81.405061457927303</v>
      </c>
      <c r="AM2784">
        <v>96.597377285194895</v>
      </c>
      <c r="AN2784">
        <v>1.0000000200349799</v>
      </c>
    </row>
    <row r="2785" spans="1:40" x14ac:dyDescent="0.25">
      <c r="A2785" t="str">
        <f>"20190304154813650"</f>
        <v>20190304154813650</v>
      </c>
      <c r="B2785" t="str">
        <f>"1551685693639982"</f>
        <v>1551685693639982</v>
      </c>
      <c r="C2785" t="s">
        <v>40</v>
      </c>
      <c r="D2785">
        <v>4.3317360000000003</v>
      </c>
      <c r="E2785">
        <v>0.53148130000000005</v>
      </c>
      <c r="F2785" t="s">
        <v>60</v>
      </c>
      <c r="G2785">
        <v>-356.38569999999999</v>
      </c>
      <c r="H2785" s="1">
        <v>1.8613789999999999E-6</v>
      </c>
      <c r="I2785">
        <v>284.88529999999997</v>
      </c>
      <c r="J2785">
        <v>-325.41989999999998</v>
      </c>
      <c r="K2785">
        <v>1.1099889999999999</v>
      </c>
      <c r="L2785">
        <v>285.37270000000001</v>
      </c>
      <c r="M2785">
        <v>-0.99994309999999997</v>
      </c>
      <c r="N2785">
        <v>-1.034785E-2</v>
      </c>
      <c r="O2785">
        <v>-2.5950190000000001E-3</v>
      </c>
      <c r="P2785">
        <v>-0.98348579999999997</v>
      </c>
      <c r="Q2785">
        <v>0.13898559999999999</v>
      </c>
      <c r="R2785">
        <v>-0.1159251</v>
      </c>
      <c r="S2785">
        <v>-3.060333</v>
      </c>
      <c r="T2785">
        <v>-0.108667899999999</v>
      </c>
      <c r="U2785">
        <v>-4.7790529999999998E-2</v>
      </c>
      <c r="V2785">
        <v>-0.1133329</v>
      </c>
      <c r="W2785">
        <v>0.1491886</v>
      </c>
      <c r="X2785">
        <v>0.98229239999999995</v>
      </c>
      <c r="Y2785">
        <v>-1.300956E-2</v>
      </c>
      <c r="Z2785">
        <v>-2.329679E-4</v>
      </c>
      <c r="AA2785">
        <v>0.99991540000000001</v>
      </c>
      <c r="AB2785">
        <v>35</v>
      </c>
      <c r="AC2785">
        <v>-30.965800000000002</v>
      </c>
      <c r="AD2785">
        <v>-1.1099871386209901</v>
      </c>
      <c r="AE2785">
        <v>-0.48740000000003603</v>
      </c>
      <c r="AF2785">
        <v>-0.40651501329406298</v>
      </c>
      <c r="AG2785">
        <v>-1.1099871386209901</v>
      </c>
      <c r="AH2785">
        <v>30.927231868364402</v>
      </c>
      <c r="AI2785">
        <v>92.055302156814705</v>
      </c>
      <c r="AJ2785">
        <v>90.753066211590095</v>
      </c>
      <c r="AK2785">
        <v>30.949814166542499</v>
      </c>
      <c r="AL2785">
        <v>81.420092076498605</v>
      </c>
      <c r="AM2785">
        <v>96.581453604182002</v>
      </c>
      <c r="AN2785">
        <v>0.99999997184506395</v>
      </c>
    </row>
    <row r="2786" spans="1:40" x14ac:dyDescent="0.25">
      <c r="A2786" t="str">
        <f>"20190304154813664"</f>
        <v>20190304154813664</v>
      </c>
      <c r="B2786" t="str">
        <f>"1551685693659502"</f>
        <v>1551685693659502</v>
      </c>
      <c r="C2786" t="s">
        <v>40</v>
      </c>
      <c r="D2786">
        <v>4.3293670000000004</v>
      </c>
      <c r="E2786">
        <v>0.53166869999999999</v>
      </c>
      <c r="F2786" t="s">
        <v>60</v>
      </c>
      <c r="G2786">
        <v>-355.52670000000001</v>
      </c>
      <c r="H2786" s="1">
        <v>1.4042700000000001E-6</v>
      </c>
      <c r="I2786">
        <v>284.5693</v>
      </c>
      <c r="J2786">
        <v>-325.63709999999998</v>
      </c>
      <c r="K2786">
        <v>1.1099939999999999</v>
      </c>
      <c r="L2786">
        <v>285.37220000000002</v>
      </c>
      <c r="M2786">
        <v>-0.99994309999999997</v>
      </c>
      <c r="N2786">
        <v>-1.037073E-2</v>
      </c>
      <c r="O2786">
        <v>-2.5361250000000002E-3</v>
      </c>
      <c r="P2786">
        <v>-0.98345400000000005</v>
      </c>
      <c r="Q2786">
        <v>0.13914570000000001</v>
      </c>
      <c r="R2786">
        <v>-0.11600489999999999</v>
      </c>
      <c r="S2786">
        <v>-3.0566409999999999</v>
      </c>
      <c r="T2786">
        <v>-0.112693</v>
      </c>
      <c r="U2786">
        <v>-8.1573489999999999E-2</v>
      </c>
      <c r="V2786">
        <v>-0.11347069999999999</v>
      </c>
      <c r="W2786">
        <v>0.14937059999999999</v>
      </c>
      <c r="X2786">
        <v>0.98224880000000003</v>
      </c>
      <c r="Y2786">
        <v>-2.412226E-2</v>
      </c>
      <c r="Z2786">
        <v>-5.0244349999999896E-4</v>
      </c>
      <c r="AA2786">
        <v>0.99970890000000001</v>
      </c>
      <c r="AB2786">
        <v>35</v>
      </c>
      <c r="AC2786">
        <v>-29.889600000000002</v>
      </c>
      <c r="AD2786">
        <v>-1.1099925957300001</v>
      </c>
      <c r="AE2786">
        <v>-0.80290000000002204</v>
      </c>
      <c r="AF2786">
        <v>-0.72608894924868805</v>
      </c>
      <c r="AG2786">
        <v>-1.1099925957300001</v>
      </c>
      <c r="AH2786">
        <v>29.850402824949601</v>
      </c>
      <c r="AI2786">
        <v>92.128943534355301</v>
      </c>
      <c r="AJ2786">
        <v>91.393402650270602</v>
      </c>
      <c r="AK2786">
        <v>29.879856718808998</v>
      </c>
      <c r="AL2786">
        <v>81.409545805358405</v>
      </c>
      <c r="AM2786">
        <v>96.589675491857605</v>
      </c>
      <c r="AN2786">
        <v>0.99999994050214303</v>
      </c>
    </row>
    <row r="2787" spans="1:40" x14ac:dyDescent="0.25">
      <c r="A2787" t="str">
        <f>"20190304154813676"</f>
        <v>20190304154813676</v>
      </c>
      <c r="B2787" t="str">
        <f>"1551685693669262"</f>
        <v>1551685693669262</v>
      </c>
      <c r="C2787" t="s">
        <v>40</v>
      </c>
      <c r="D2787">
        <v>4.1990889999999998</v>
      </c>
      <c r="E2787">
        <v>0.53166869999999999</v>
      </c>
      <c r="F2787" t="s">
        <v>60</v>
      </c>
      <c r="G2787">
        <v>-355.56029999999998</v>
      </c>
      <c r="H2787" s="1">
        <v>1.4221129999999901E-6</v>
      </c>
      <c r="I2787">
        <v>284.58539999999999</v>
      </c>
      <c r="J2787">
        <v>-325.82780000000002</v>
      </c>
      <c r="K2787">
        <v>1.1099909999999999</v>
      </c>
      <c r="L2787">
        <v>285.37180000000001</v>
      </c>
      <c r="M2787">
        <v>-0.99994289999999997</v>
      </c>
      <c r="N2787">
        <v>-1.038976E-2</v>
      </c>
      <c r="O2787">
        <v>-2.484006E-3</v>
      </c>
      <c r="P2787">
        <v>-0.98343219999999998</v>
      </c>
      <c r="Q2787">
        <v>0.139372</v>
      </c>
      <c r="R2787">
        <v>-0.1159167</v>
      </c>
      <c r="S2787">
        <v>-3.0570369999999998</v>
      </c>
      <c r="T2787">
        <v>-0.1133999</v>
      </c>
      <c r="U2787">
        <v>-8.0383300000000005E-2</v>
      </c>
      <c r="V2787">
        <v>-0.113433199999999</v>
      </c>
      <c r="W2787">
        <v>0.14961529999999901</v>
      </c>
      <c r="X2787">
        <v>0.98221590000000003</v>
      </c>
      <c r="Y2787">
        <v>-2.3782020000000001E-2</v>
      </c>
      <c r="Z2787">
        <v>-4.9819280000000001E-4</v>
      </c>
      <c r="AA2787">
        <v>0.99971710000000003</v>
      </c>
      <c r="AB2787">
        <v>35</v>
      </c>
      <c r="AC2787">
        <v>-29.732499999999899</v>
      </c>
      <c r="AD2787">
        <v>-1.1099895778869999</v>
      </c>
      <c r="AE2787">
        <v>-0.78640000000001398</v>
      </c>
      <c r="AF2787">
        <v>-0.71154687316716903</v>
      </c>
      <c r="AG2787">
        <v>-1.1099895778869999</v>
      </c>
      <c r="AH2787">
        <v>29.693007036851998</v>
      </c>
      <c r="AI2787">
        <v>92.140230909212903</v>
      </c>
      <c r="AJ2787">
        <v>91.372741792082493</v>
      </c>
      <c r="AK2787">
        <v>29.722265100531502</v>
      </c>
      <c r="AL2787">
        <v>81.395366283552804</v>
      </c>
      <c r="AM2787">
        <v>96.587735582398693</v>
      </c>
      <c r="AN2787">
        <v>0.999999951534568</v>
      </c>
    </row>
    <row r="2788" spans="1:40" x14ac:dyDescent="0.25">
      <c r="A2788" t="str">
        <f>"20190304154813687"</f>
        <v>20190304154813687</v>
      </c>
      <c r="B2788" t="str">
        <f>"1551685693679998"</f>
        <v>1551685693679998</v>
      </c>
      <c r="C2788" t="s">
        <v>40</v>
      </c>
      <c r="D2788">
        <v>4.2135850000000001</v>
      </c>
      <c r="E2788">
        <v>0.53166869999999999</v>
      </c>
      <c r="F2788" t="s">
        <v>60</v>
      </c>
      <c r="G2788">
        <v>-355.94600000000003</v>
      </c>
      <c r="H2788" s="1">
        <v>1.6273530000000001E-6</v>
      </c>
      <c r="I2788">
        <v>284.5829</v>
      </c>
      <c r="J2788">
        <v>-326.02089999999998</v>
      </c>
      <c r="K2788">
        <v>1.1099920000000001</v>
      </c>
      <c r="L2788">
        <v>285.37139999999999</v>
      </c>
      <c r="M2788">
        <v>-0.99994300000000003</v>
      </c>
      <c r="N2788">
        <v>-1.0407619999999999E-2</v>
      </c>
      <c r="O2788">
        <v>-2.4314029999999999E-3</v>
      </c>
      <c r="P2788">
        <v>-0.98350199999999999</v>
      </c>
      <c r="Q2788">
        <v>0.13935220000000001</v>
      </c>
      <c r="R2788">
        <v>-0.11534899999999999</v>
      </c>
      <c r="S2788">
        <v>-3.0570979999999999</v>
      </c>
      <c r="T2788">
        <v>-0.1126678</v>
      </c>
      <c r="U2788">
        <v>-8.0078129999999997E-2</v>
      </c>
      <c r="V2788">
        <v>-0.11291710000000001</v>
      </c>
      <c r="W2788">
        <v>0.14961350000000001</v>
      </c>
      <c r="X2788">
        <v>0.98227569999999997</v>
      </c>
      <c r="Y2788">
        <v>-2.373459E-2</v>
      </c>
      <c r="Z2788">
        <v>-4.9646230000000003E-4</v>
      </c>
      <c r="AA2788">
        <v>0.9997182</v>
      </c>
      <c r="AB2788">
        <v>35</v>
      </c>
      <c r="AC2788">
        <v>-29.925099999999901</v>
      </c>
      <c r="AD2788">
        <v>-1.109990372647</v>
      </c>
      <c r="AE2788">
        <v>-0.78849999999999898</v>
      </c>
      <c r="AF2788">
        <v>-0.71475105949837503</v>
      </c>
      <c r="AG2788">
        <v>-1.109990372647</v>
      </c>
      <c r="AH2788">
        <v>29.8858392641162</v>
      </c>
      <c r="AI2788">
        <v>92.126438158780999</v>
      </c>
      <c r="AJ2788">
        <v>91.370027239883598</v>
      </c>
      <c r="AK2788">
        <v>29.914985144990698</v>
      </c>
      <c r="AL2788">
        <v>81.395471104092394</v>
      </c>
      <c r="AM2788">
        <v>96.557628524944903</v>
      </c>
      <c r="AN2788">
        <v>1.00000001083257</v>
      </c>
    </row>
    <row r="2789" spans="1:40" x14ac:dyDescent="0.25">
      <c r="A2789" t="str">
        <f>"20190304154813698"</f>
        <v>20190304154813698</v>
      </c>
      <c r="B2789" t="str">
        <f>"1551685693689757"</f>
        <v>1551685693689757</v>
      </c>
      <c r="C2789" t="s">
        <v>40</v>
      </c>
      <c r="D2789">
        <v>4.1915019999999998</v>
      </c>
      <c r="E2789">
        <v>0.53166869999999999</v>
      </c>
      <c r="F2789" t="s">
        <v>60</v>
      </c>
      <c r="G2789">
        <v>-356.11900000000003</v>
      </c>
      <c r="H2789" s="1">
        <v>1.7194349999999999E-6</v>
      </c>
      <c r="I2789">
        <v>284.60129999999998</v>
      </c>
      <c r="J2789">
        <v>-326.19189999999998</v>
      </c>
      <c r="K2789">
        <v>1.1099969999999999</v>
      </c>
      <c r="L2789">
        <v>285.37099999999998</v>
      </c>
      <c r="M2789">
        <v>-0.99994300000000003</v>
      </c>
      <c r="N2789">
        <v>-1.04222E-2</v>
      </c>
      <c r="O2789">
        <v>-2.3839109999999998E-3</v>
      </c>
      <c r="P2789">
        <v>-0.98349770000000003</v>
      </c>
      <c r="Q2789">
        <v>0.13933970000000001</v>
      </c>
      <c r="R2789">
        <v>-0.11539969999999999</v>
      </c>
      <c r="S2789">
        <v>-3.0570979999999999</v>
      </c>
      <c r="T2789">
        <v>-0.112743</v>
      </c>
      <c r="U2789">
        <v>-7.8216549999999996E-2</v>
      </c>
      <c r="V2789">
        <v>-0.113015</v>
      </c>
      <c r="W2789">
        <v>0.14961529999999901</v>
      </c>
      <c r="X2789">
        <v>0.98226420000000003</v>
      </c>
      <c r="Y2789">
        <v>-2.3174159999999999E-2</v>
      </c>
      <c r="Z2789">
        <v>-4.849093E-4</v>
      </c>
      <c r="AA2789">
        <v>0.99973129999999999</v>
      </c>
      <c r="AB2789">
        <v>35</v>
      </c>
      <c r="AC2789">
        <v>-29.927099999999999</v>
      </c>
      <c r="AD2789">
        <v>-1.109995280565</v>
      </c>
      <c r="AE2789">
        <v>-0.76970000000000005</v>
      </c>
      <c r="AF2789">
        <v>-0.69739166190785296</v>
      </c>
      <c r="AG2789">
        <v>-1.109995280565</v>
      </c>
      <c r="AH2789">
        <v>29.887761550430302</v>
      </c>
      <c r="AI2789">
        <v>92.126340122631404</v>
      </c>
      <c r="AJ2789">
        <v>91.336679209373202</v>
      </c>
      <c r="AK2789">
        <v>29.916496037276001</v>
      </c>
      <c r="AL2789">
        <v>81.395367080107704</v>
      </c>
      <c r="AM2789">
        <v>96.563340624872595</v>
      </c>
      <c r="AN2789">
        <v>1.00000004341036</v>
      </c>
    </row>
    <row r="2790" spans="1:40" x14ac:dyDescent="0.25">
      <c r="A2790" t="str">
        <f>"20190304154813712"</f>
        <v>20190304154813712</v>
      </c>
      <c r="B2790" t="str">
        <f>"1551685693709278"</f>
        <v>1551685693709278</v>
      </c>
      <c r="C2790" t="s">
        <v>40</v>
      </c>
      <c r="D2790">
        <v>4.2091430000000001</v>
      </c>
      <c r="E2790">
        <v>0.53166869999999999</v>
      </c>
      <c r="F2790" t="s">
        <v>60</v>
      </c>
      <c r="G2790">
        <v>-356.26889999999997</v>
      </c>
      <c r="H2790" s="1">
        <v>1.799189E-6</v>
      </c>
      <c r="I2790">
        <v>284.59820000000002</v>
      </c>
      <c r="J2790">
        <v>-326.39400000000001</v>
      </c>
      <c r="K2790">
        <v>1.1099969999999999</v>
      </c>
      <c r="L2790">
        <v>285.37060000000002</v>
      </c>
      <c r="M2790">
        <v>-0.99994289999999997</v>
      </c>
      <c r="N2790">
        <v>-1.043871E-2</v>
      </c>
      <c r="O2790">
        <v>-2.3276080000000001E-3</v>
      </c>
      <c r="P2790">
        <v>-0.98344920000000002</v>
      </c>
      <c r="Q2790">
        <v>0.1397187</v>
      </c>
      <c r="R2790">
        <v>-0.115354</v>
      </c>
      <c r="S2790">
        <v>-3.0570680000000001</v>
      </c>
      <c r="T2790">
        <v>-0.112821699999999</v>
      </c>
      <c r="U2790">
        <v>-7.8552250000000004E-2</v>
      </c>
      <c r="V2790">
        <v>-0.113024</v>
      </c>
      <c r="W2790">
        <v>0.1500099</v>
      </c>
      <c r="X2790">
        <v>0.98220289999999999</v>
      </c>
      <c r="Y2790">
        <v>-2.3340219999999998E-2</v>
      </c>
      <c r="Z2790">
        <v>-4.9079910000000002E-4</v>
      </c>
      <c r="AA2790">
        <v>0.99972749999999999</v>
      </c>
      <c r="AB2790">
        <v>35</v>
      </c>
      <c r="AC2790">
        <v>-29.874899999999901</v>
      </c>
      <c r="AD2790">
        <v>-1.1099952008109999</v>
      </c>
      <c r="AE2790">
        <v>-0.77240000000000397</v>
      </c>
      <c r="AF2790">
        <v>-0.70188877451145804</v>
      </c>
      <c r="AG2790">
        <v>-1.1099952008109999</v>
      </c>
      <c r="AH2790">
        <v>29.8354573464003</v>
      </c>
      <c r="AI2790">
        <v>92.130054652101506</v>
      </c>
      <c r="AJ2790">
        <v>91.347653147722497</v>
      </c>
      <c r="AK2790">
        <v>29.864347511145802</v>
      </c>
      <c r="AL2790">
        <v>81.372499423610606</v>
      </c>
      <c r="AM2790">
        <v>96.564264818488297</v>
      </c>
      <c r="AN2790">
        <v>0.99999996572120897</v>
      </c>
    </row>
    <row r="2791" spans="1:40" x14ac:dyDescent="0.25">
      <c r="A2791" t="str">
        <f>"20190304154813727"</f>
        <v>20190304154813727</v>
      </c>
      <c r="B2791" t="str">
        <f>"1551685693720014"</f>
        <v>1551685693720014</v>
      </c>
      <c r="C2791" t="s">
        <v>40</v>
      </c>
      <c r="D2791">
        <v>4.2915359999999998</v>
      </c>
      <c r="E2791">
        <v>0.53166869999999999</v>
      </c>
      <c r="F2791" t="s">
        <v>60</v>
      </c>
      <c r="G2791">
        <v>-356.791</v>
      </c>
      <c r="H2791" s="1">
        <v>2.0770729999999999E-6</v>
      </c>
      <c r="I2791">
        <v>284.59109999999998</v>
      </c>
      <c r="J2791">
        <v>-326.65199999999999</v>
      </c>
      <c r="K2791">
        <v>1.1099969999999999</v>
      </c>
      <c r="L2791">
        <v>285.37009999999998</v>
      </c>
      <c r="M2791">
        <v>-0.99994289999999997</v>
      </c>
      <c r="N2791">
        <v>-1.045751E-2</v>
      </c>
      <c r="O2791">
        <v>-2.253428E-3</v>
      </c>
      <c r="P2791">
        <v>-0.98349089999999995</v>
      </c>
      <c r="Q2791">
        <v>0.13974110000000001</v>
      </c>
      <c r="R2791">
        <v>-0.1149719</v>
      </c>
      <c r="S2791">
        <v>-3.057159</v>
      </c>
      <c r="T2791">
        <v>-0.1116369</v>
      </c>
      <c r="U2791">
        <v>-7.8399659999999996E-2</v>
      </c>
      <c r="V2791">
        <v>-0.1127147</v>
      </c>
      <c r="W2791">
        <v>0.1500514</v>
      </c>
      <c r="X2791">
        <v>0.9822322</v>
      </c>
      <c r="Y2791">
        <v>-2.3364050000000001E-2</v>
      </c>
      <c r="Z2791">
        <v>-4.8992630000000001E-4</v>
      </c>
      <c r="AA2791">
        <v>0.99972689999999997</v>
      </c>
      <c r="AB2791">
        <v>35</v>
      </c>
      <c r="AC2791">
        <v>-30.138999999999999</v>
      </c>
      <c r="AD2791">
        <v>-1.1099949229270001</v>
      </c>
      <c r="AE2791">
        <v>-0.77899999999999603</v>
      </c>
      <c r="AF2791">
        <v>-0.71011569948231601</v>
      </c>
      <c r="AG2791">
        <v>-1.1099949229270001</v>
      </c>
      <c r="AH2791">
        <v>30.099879093178799</v>
      </c>
      <c r="AI2791">
        <v>92.111355696219107</v>
      </c>
      <c r="AJ2791">
        <v>91.351470099439197</v>
      </c>
      <c r="AK2791">
        <v>30.128708476460801</v>
      </c>
      <c r="AL2791">
        <v>81.370095251334703</v>
      </c>
      <c r="AM2791">
        <v>96.546263695173593</v>
      </c>
      <c r="AN2791">
        <v>1.0000000604774399</v>
      </c>
    </row>
    <row r="2792" spans="1:40" x14ac:dyDescent="0.25">
      <c r="A2792" t="str">
        <f>"20190304154813739"</f>
        <v>20190304154813739</v>
      </c>
      <c r="B2792" t="str">
        <f>"1551685693729774"</f>
        <v>1551685693729774</v>
      </c>
      <c r="C2792" t="s">
        <v>40</v>
      </c>
      <c r="D2792">
        <v>4.1958989999999998</v>
      </c>
      <c r="E2792">
        <v>0.54987909999999995</v>
      </c>
      <c r="F2792" t="s">
        <v>60</v>
      </c>
      <c r="G2792">
        <v>-357.08789999999999</v>
      </c>
      <c r="H2792" s="1">
        <v>2.2350179999999999E-6</v>
      </c>
      <c r="I2792">
        <v>284.60289999999998</v>
      </c>
      <c r="J2792">
        <v>-326.83510000000001</v>
      </c>
      <c r="K2792">
        <v>1.109998</v>
      </c>
      <c r="L2792">
        <v>285.36970000000002</v>
      </c>
      <c r="M2792">
        <v>-0.99994269999999996</v>
      </c>
      <c r="N2792">
        <v>-1.0469849999999999E-2</v>
      </c>
      <c r="O2792">
        <v>-2.199477E-3</v>
      </c>
      <c r="P2792">
        <v>-0.98344050000000005</v>
      </c>
      <c r="Q2792">
        <v>0.13977339999999999</v>
      </c>
      <c r="R2792">
        <v>-0.11536</v>
      </c>
      <c r="S2792">
        <v>-3.0571899999999999</v>
      </c>
      <c r="T2792">
        <v>-0.1114956</v>
      </c>
      <c r="U2792">
        <v>-7.7056879999999994E-2</v>
      </c>
      <c r="V2792">
        <v>-0.11315550000000001</v>
      </c>
      <c r="W2792">
        <v>0.1500957</v>
      </c>
      <c r="X2792">
        <v>0.98217469999999996</v>
      </c>
      <c r="Y2792">
        <v>-2.2979260000000001E-2</v>
      </c>
      <c r="Z2792">
        <v>-4.8203420000000001E-4</v>
      </c>
      <c r="AA2792">
        <v>0.99973579999999995</v>
      </c>
      <c r="AB2792">
        <v>35</v>
      </c>
      <c r="AC2792">
        <v>-30.252799999999901</v>
      </c>
      <c r="AD2792">
        <v>-1.109995764982</v>
      </c>
      <c r="AE2792">
        <v>-0.766800000000046</v>
      </c>
      <c r="AF2792">
        <v>-0.69931333990391997</v>
      </c>
      <c r="AG2792">
        <v>-1.109995764982</v>
      </c>
      <c r="AH2792">
        <v>30.213765630573199</v>
      </c>
      <c r="AI2792">
        <v>92.1034279080028</v>
      </c>
      <c r="AJ2792">
        <v>91.325903919564198</v>
      </c>
      <c r="AK2792">
        <v>30.242234760758901</v>
      </c>
      <c r="AL2792">
        <v>81.367527567852903</v>
      </c>
      <c r="AM2792">
        <v>96.572022409518496</v>
      </c>
      <c r="AN2792">
        <v>1.0000000138294101</v>
      </c>
    </row>
    <row r="2793" spans="1:40" x14ac:dyDescent="0.25">
      <c r="A2793" t="str">
        <f>"20190304154813753"</f>
        <v>20190304154813753</v>
      </c>
      <c r="B2793" t="str">
        <f>"1551685693749294"</f>
        <v>1551685693749294</v>
      </c>
      <c r="C2793" t="s">
        <v>40</v>
      </c>
      <c r="D2793">
        <v>4.3956879999999998</v>
      </c>
      <c r="E2793">
        <v>0.5487185</v>
      </c>
      <c r="F2793" t="s">
        <v>42</v>
      </c>
      <c r="G2793">
        <v>0</v>
      </c>
      <c r="H2793">
        <v>0</v>
      </c>
      <c r="I2793">
        <v>0</v>
      </c>
      <c r="J2793">
        <v>-327.0428</v>
      </c>
      <c r="K2793">
        <v>1.1099969999999999</v>
      </c>
      <c r="L2793">
        <v>285.36930000000001</v>
      </c>
      <c r="M2793">
        <v>-0.99994280000000002</v>
      </c>
      <c r="N2793">
        <v>-1.048321E-2</v>
      </c>
      <c r="O2793">
        <v>-2.1376569999999998E-3</v>
      </c>
      <c r="P2793">
        <v>-0.98348150000000001</v>
      </c>
      <c r="Q2793">
        <v>0.139824799999999</v>
      </c>
      <c r="R2793">
        <v>-0.1149477</v>
      </c>
      <c r="S2793">
        <v>-3.0541689999999999</v>
      </c>
      <c r="T2793">
        <v>2.5411010000000001E-2</v>
      </c>
      <c r="U2793">
        <v>6.167603E-2</v>
      </c>
      <c r="V2793">
        <v>-0.1128041</v>
      </c>
      <c r="W2793">
        <v>0.150161299999999</v>
      </c>
      <c r="X2793">
        <v>0.98220510000000005</v>
      </c>
      <c r="Y2793">
        <v>2.2327050000000001E-2</v>
      </c>
      <c r="Z2793" s="1">
        <v>-1.60168399999999E-5</v>
      </c>
      <c r="AA2793">
        <v>0.99975069999999999</v>
      </c>
      <c r="AB2793">
        <v>35</v>
      </c>
      <c r="AC2793">
        <v>-3.0541689999999999</v>
      </c>
      <c r="AD2793">
        <v>2.5411010000000001E-2</v>
      </c>
      <c r="AE2793">
        <v>6.167603E-2</v>
      </c>
      <c r="AF2793">
        <v>6.8200294173175496E-2</v>
      </c>
      <c r="AG2793">
        <v>2.5411010000000001E-2</v>
      </c>
      <c r="AH2793">
        <v>3.0538188597696698</v>
      </c>
      <c r="AI2793">
        <v>89.523368223985401</v>
      </c>
      <c r="AJ2793">
        <v>88.720638076391296</v>
      </c>
      <c r="AK2793">
        <v>3.05468601133397</v>
      </c>
      <c r="AL2793">
        <v>81.363725929643095</v>
      </c>
      <c r="AM2793">
        <v>96.551589951104305</v>
      </c>
      <c r="AN2793">
        <v>1.0000000197302501</v>
      </c>
    </row>
    <row r="2794" spans="1:40" x14ac:dyDescent="0.25">
      <c r="A2794" t="str">
        <f>"20190304154813764"</f>
        <v>20190304154813764</v>
      </c>
      <c r="B2794" t="str">
        <f>"1551685693760032"</f>
        <v>1551685693760032</v>
      </c>
      <c r="C2794" t="s">
        <v>40</v>
      </c>
      <c r="D2794">
        <v>4.2317869999999997</v>
      </c>
      <c r="E2794">
        <v>0.5491935</v>
      </c>
      <c r="F2794" t="s">
        <v>42</v>
      </c>
      <c r="G2794">
        <v>0</v>
      </c>
      <c r="H2794">
        <v>0</v>
      </c>
      <c r="I2794">
        <v>0</v>
      </c>
      <c r="J2794">
        <v>-327.23419999999999</v>
      </c>
      <c r="K2794">
        <v>1.109993</v>
      </c>
      <c r="L2794">
        <v>285.36900000000003</v>
      </c>
      <c r="M2794">
        <v>-0.99994280000000002</v>
      </c>
      <c r="N2794">
        <v>-1.049428E-2</v>
      </c>
      <c r="O2794">
        <v>-2.0773689999999999E-3</v>
      </c>
      <c r="P2794">
        <v>-0.98352419999999996</v>
      </c>
      <c r="Q2794">
        <v>0.1394753</v>
      </c>
      <c r="R2794">
        <v>-0.115007399999999</v>
      </c>
      <c r="S2794">
        <v>-3.0543209999999998</v>
      </c>
      <c r="T2794">
        <v>1.6592740000000002E-2</v>
      </c>
      <c r="U2794">
        <v>5.386353E-2</v>
      </c>
      <c r="V2794">
        <v>-0.11292190000000001</v>
      </c>
      <c r="W2794">
        <v>0.1498237</v>
      </c>
      <c r="X2794">
        <v>0.98224310000000004</v>
      </c>
      <c r="Y2794">
        <v>1.9709580000000001E-2</v>
      </c>
      <c r="Z2794" s="1">
        <v>1.68136999999999E-5</v>
      </c>
      <c r="AA2794">
        <v>0.99980570000000002</v>
      </c>
      <c r="AB2794">
        <v>35</v>
      </c>
      <c r="AC2794">
        <v>-3.0543209999999998</v>
      </c>
      <c r="AD2794">
        <v>1.6592740000000002E-2</v>
      </c>
      <c r="AE2794">
        <v>5.386353E-2</v>
      </c>
      <c r="AF2794">
        <v>6.0206938476160703E-2</v>
      </c>
      <c r="AG2794">
        <v>1.6592740000000002E-2</v>
      </c>
      <c r="AH2794">
        <v>3.0541124016300598</v>
      </c>
      <c r="AI2794">
        <v>89.688780298561895</v>
      </c>
      <c r="AJ2794">
        <v>88.870651677740398</v>
      </c>
      <c r="AK2794">
        <v>3.0547508501106799</v>
      </c>
      <c r="AL2794">
        <v>81.383290160166496</v>
      </c>
      <c r="AM2794">
        <v>96.558120611956696</v>
      </c>
      <c r="AN2794">
        <v>1.0000000020394499</v>
      </c>
    </row>
    <row r="2795" spans="1:40" x14ac:dyDescent="0.25">
      <c r="A2795" t="str">
        <f>"20190304154813776"</f>
        <v>20190304154813776</v>
      </c>
      <c r="B2795" t="str">
        <f>"1551685693769790"</f>
        <v>1551685693769790</v>
      </c>
      <c r="C2795" t="s">
        <v>40</v>
      </c>
      <c r="D2795">
        <v>4.208075</v>
      </c>
      <c r="E2795">
        <v>0.54946759999999994</v>
      </c>
      <c r="F2795" t="s">
        <v>42</v>
      </c>
      <c r="G2795">
        <v>0</v>
      </c>
      <c r="H2795">
        <v>0</v>
      </c>
      <c r="I2795">
        <v>0</v>
      </c>
      <c r="J2795">
        <v>-327.42079999999999</v>
      </c>
      <c r="K2795">
        <v>1.110001</v>
      </c>
      <c r="L2795">
        <v>285.36860000000001</v>
      </c>
      <c r="M2795">
        <v>-0.99994289999999997</v>
      </c>
      <c r="N2795">
        <v>-1.0504619999999999E-2</v>
      </c>
      <c r="O2795">
        <v>-2.0169519999999998E-3</v>
      </c>
      <c r="P2795">
        <v>-0.98363250000000002</v>
      </c>
      <c r="Q2795">
        <v>0.1389301</v>
      </c>
      <c r="R2795">
        <v>-0.1147421</v>
      </c>
      <c r="S2795">
        <v>-3.0550229999999998</v>
      </c>
      <c r="T2795">
        <v>1.361477E-2</v>
      </c>
      <c r="U2795">
        <v>5.7281489999999997E-2</v>
      </c>
      <c r="V2795">
        <v>-0.1127147</v>
      </c>
      <c r="W2795">
        <v>0.14929000000000001</v>
      </c>
      <c r="X2795">
        <v>0.98234809999999995</v>
      </c>
      <c r="Y2795">
        <v>2.076337E-2</v>
      </c>
      <c r="Z2795" s="1">
        <v>3.263226E-5</v>
      </c>
      <c r="AA2795">
        <v>0.99978440000000002</v>
      </c>
      <c r="AB2795">
        <v>35</v>
      </c>
      <c r="AC2795">
        <v>-3.0550229999999998</v>
      </c>
      <c r="AD2795">
        <v>1.361477E-2</v>
      </c>
      <c r="AE2795">
        <v>5.7281489999999997E-2</v>
      </c>
      <c r="AF2795">
        <v>6.3442287991922905E-2</v>
      </c>
      <c r="AG2795">
        <v>1.361477E-2</v>
      </c>
      <c r="AH2795">
        <v>3.0548405953233702</v>
      </c>
      <c r="AI2795">
        <v>89.744701726193796</v>
      </c>
      <c r="AJ2795">
        <v>88.810264307824994</v>
      </c>
      <c r="AK2795">
        <v>3.0555296347283898</v>
      </c>
      <c r="AL2795">
        <v>81.414216283379403</v>
      </c>
      <c r="AM2795">
        <v>96.545498052583298</v>
      </c>
      <c r="AN2795">
        <v>0.99999994863484798</v>
      </c>
    </row>
    <row r="2796" spans="1:40" x14ac:dyDescent="0.25">
      <c r="A2796" t="str">
        <f>"20190304154813788"</f>
        <v>20190304154813788</v>
      </c>
      <c r="B2796" t="str">
        <f>"1551685693779550"</f>
        <v>1551685693779550</v>
      </c>
      <c r="C2796" t="s">
        <v>40</v>
      </c>
      <c r="D2796">
        <v>4.1963670000000004</v>
      </c>
      <c r="E2796">
        <v>0.54973159999999999</v>
      </c>
      <c r="F2796" t="s">
        <v>42</v>
      </c>
      <c r="G2796">
        <v>0</v>
      </c>
      <c r="H2796">
        <v>0</v>
      </c>
      <c r="I2796">
        <v>0</v>
      </c>
      <c r="J2796">
        <v>-327.60539999999997</v>
      </c>
      <c r="K2796">
        <v>1.1099969999999999</v>
      </c>
      <c r="L2796">
        <v>285.36829999999998</v>
      </c>
      <c r="M2796">
        <v>-0.99994280000000002</v>
      </c>
      <c r="N2796">
        <v>-1.0514280000000001E-2</v>
      </c>
      <c r="O2796">
        <v>-1.9550919999999999E-3</v>
      </c>
      <c r="P2796">
        <v>-0.98368829999999996</v>
      </c>
      <c r="Q2796">
        <v>0.1387592</v>
      </c>
      <c r="R2796">
        <v>-0.1144699</v>
      </c>
      <c r="S2796">
        <v>-3.0550839999999999</v>
      </c>
      <c r="T2796">
        <v>1.294053E-2</v>
      </c>
      <c r="U2796">
        <v>6.0180659999999997E-2</v>
      </c>
      <c r="V2796">
        <v>-0.1125019</v>
      </c>
      <c r="W2796">
        <v>0.14913019999999999</v>
      </c>
      <c r="X2796">
        <v>0.98239679999999996</v>
      </c>
      <c r="Y2796">
        <v>2.164957E-2</v>
      </c>
      <c r="Z2796" s="1">
        <v>3.9146970000000001E-5</v>
      </c>
      <c r="AA2796">
        <v>0.99976560000000003</v>
      </c>
      <c r="AB2796">
        <v>35</v>
      </c>
      <c r="AC2796">
        <v>-3.0550839999999999</v>
      </c>
      <c r="AD2796">
        <v>1.294053E-2</v>
      </c>
      <c r="AE2796">
        <v>6.0180659999999997E-2</v>
      </c>
      <c r="AF2796">
        <v>6.6152659099087199E-2</v>
      </c>
      <c r="AG2796">
        <v>1.294053E-2</v>
      </c>
      <c r="AH2796">
        <v>3.0549057070496199</v>
      </c>
      <c r="AI2796">
        <v>89.757354361555798</v>
      </c>
      <c r="AJ2796">
        <v>88.759478604094198</v>
      </c>
      <c r="AK2796">
        <v>3.0556492780728099</v>
      </c>
      <c r="AL2796">
        <v>81.423476105020001</v>
      </c>
      <c r="AM2796">
        <v>96.532926330392598</v>
      </c>
      <c r="AN2796">
        <v>0.99999998335294404</v>
      </c>
    </row>
    <row r="2797" spans="1:40" x14ac:dyDescent="0.25">
      <c r="A2797" t="str">
        <f>"20190304154813801"</f>
        <v>20190304154813801</v>
      </c>
      <c r="B2797" t="str">
        <f>"1551685693800046"</f>
        <v>1551685693800046</v>
      </c>
      <c r="C2797" t="s">
        <v>40</v>
      </c>
      <c r="D2797">
        <v>4.2137560000000001</v>
      </c>
      <c r="E2797">
        <v>0.55021059999999999</v>
      </c>
      <c r="F2797" t="s">
        <v>42</v>
      </c>
      <c r="G2797">
        <v>0</v>
      </c>
      <c r="H2797">
        <v>0</v>
      </c>
      <c r="I2797">
        <v>0</v>
      </c>
      <c r="J2797">
        <v>-327.81330000000003</v>
      </c>
      <c r="K2797">
        <v>1.1099939999999999</v>
      </c>
      <c r="L2797">
        <v>285.36790000000002</v>
      </c>
      <c r="M2797">
        <v>-0.99994280000000002</v>
      </c>
      <c r="N2797">
        <v>-1.052432E-2</v>
      </c>
      <c r="O2797">
        <v>-1.881895E-3</v>
      </c>
      <c r="P2797">
        <v>-0.98371010000000003</v>
      </c>
      <c r="Q2797">
        <v>0.13869389999999901</v>
      </c>
      <c r="R2797">
        <v>-0.1143618</v>
      </c>
      <c r="S2797">
        <v>-3.0553889999999999</v>
      </c>
      <c r="T2797">
        <v>1.198769E-2</v>
      </c>
      <c r="U2797">
        <v>6.3385010000000006E-2</v>
      </c>
      <c r="V2797">
        <v>-0.11246490000000001</v>
      </c>
      <c r="W2797">
        <v>0.14907599999999999</v>
      </c>
      <c r="X2797">
        <v>0.98240930000000004</v>
      </c>
      <c r="Y2797">
        <v>2.2622509999999998E-2</v>
      </c>
      <c r="Z2797" s="1">
        <v>4.7497870000000003E-5</v>
      </c>
      <c r="AA2797">
        <v>0.99974410000000002</v>
      </c>
      <c r="AB2797">
        <v>35</v>
      </c>
      <c r="AC2797">
        <v>-3.0553889999999999</v>
      </c>
      <c r="AD2797">
        <v>1.198769E-2</v>
      </c>
      <c r="AE2797">
        <v>6.3385010000000006E-2</v>
      </c>
      <c r="AF2797">
        <v>6.91340740014737E-2</v>
      </c>
      <c r="AG2797">
        <v>1.198769E-2</v>
      </c>
      <c r="AH2797">
        <v>3.05521728815414</v>
      </c>
      <c r="AI2797">
        <v>89.775248475117095</v>
      </c>
      <c r="AJ2797">
        <v>88.703720743278694</v>
      </c>
      <c r="AK2797">
        <v>3.0560228897597499</v>
      </c>
      <c r="AL2797">
        <v>81.4266169599004</v>
      </c>
      <c r="AM2797">
        <v>96.530713945650803</v>
      </c>
      <c r="AN2797">
        <v>1.0000000201172401</v>
      </c>
    </row>
    <row r="2798" spans="1:40" x14ac:dyDescent="0.25">
      <c r="A2798" t="str">
        <f>"20190304154813816"</f>
        <v>20190304154813816</v>
      </c>
      <c r="B2798" t="str">
        <f>"1551685693809806"</f>
        <v>1551685693809806</v>
      </c>
      <c r="C2798" t="s">
        <v>40</v>
      </c>
      <c r="D2798">
        <v>4.2043910000000002</v>
      </c>
      <c r="E2798">
        <v>0.55029309999999998</v>
      </c>
      <c r="F2798" t="s">
        <v>42</v>
      </c>
      <c r="G2798">
        <v>0</v>
      </c>
      <c r="H2798">
        <v>0</v>
      </c>
      <c r="I2798">
        <v>0</v>
      </c>
      <c r="J2798">
        <v>-328.04500000000002</v>
      </c>
      <c r="K2798">
        <v>1.109996</v>
      </c>
      <c r="L2798">
        <v>285.36759999999998</v>
      </c>
      <c r="M2798">
        <v>-0.99994280000000002</v>
      </c>
      <c r="N2798">
        <v>-1.053486E-2</v>
      </c>
      <c r="O2798">
        <v>-1.7964089999999999E-3</v>
      </c>
      <c r="P2798">
        <v>-0.9837572</v>
      </c>
      <c r="Q2798">
        <v>0.1384175</v>
      </c>
      <c r="R2798">
        <v>-0.1142922</v>
      </c>
      <c r="S2798">
        <v>-3.055847</v>
      </c>
      <c r="T2798">
        <v>1.1900539999999999E-2</v>
      </c>
      <c r="U2798">
        <v>6.7687990000000003E-2</v>
      </c>
      <c r="V2798">
        <v>-0.11247649999999999</v>
      </c>
      <c r="W2798">
        <v>0.1488119</v>
      </c>
      <c r="X2798">
        <v>0.98244799999999999</v>
      </c>
      <c r="Y2798">
        <v>2.394104E-2</v>
      </c>
      <c r="Z2798" s="1">
        <v>5.3596669999999898E-5</v>
      </c>
      <c r="AA2798">
        <v>0.99971339999999997</v>
      </c>
      <c r="AB2798">
        <v>35</v>
      </c>
      <c r="AC2798">
        <v>-3.055847</v>
      </c>
      <c r="AD2798">
        <v>1.1900539999999999E-2</v>
      </c>
      <c r="AE2798">
        <v>6.7687990000000003E-2</v>
      </c>
      <c r="AF2798">
        <v>7.3176627734763994E-2</v>
      </c>
      <c r="AG2798">
        <v>1.1900539999999999E-2</v>
      </c>
      <c r="AH2798">
        <v>3.0556741471053899</v>
      </c>
      <c r="AI2798">
        <v>89.776922602565406</v>
      </c>
      <c r="AJ2798">
        <v>88.628155195766297</v>
      </c>
      <c r="AK2798">
        <v>3.0565733976116398</v>
      </c>
      <c r="AL2798">
        <v>81.441919365942496</v>
      </c>
      <c r="AM2798">
        <v>96.531126667640805</v>
      </c>
      <c r="AN2798">
        <v>1.00000000866893</v>
      </c>
    </row>
    <row r="2799" spans="1:40" x14ac:dyDescent="0.25">
      <c r="A2799" t="str">
        <f>"20190304154813831"</f>
        <v>20190304154813831</v>
      </c>
      <c r="B2799" t="str">
        <f>"1551685693819566"</f>
        <v>1551685693819566</v>
      </c>
      <c r="C2799" t="s">
        <v>40</v>
      </c>
      <c r="D2799">
        <v>4.2126229999999998</v>
      </c>
      <c r="E2799">
        <v>0.55035840000000003</v>
      </c>
      <c r="F2799" t="s">
        <v>42</v>
      </c>
      <c r="G2799">
        <v>0</v>
      </c>
      <c r="H2799">
        <v>0</v>
      </c>
      <c r="I2799">
        <v>0</v>
      </c>
      <c r="J2799">
        <v>-328.27839999999998</v>
      </c>
      <c r="K2799">
        <v>1.10999</v>
      </c>
      <c r="L2799">
        <v>285.36720000000003</v>
      </c>
      <c r="M2799">
        <v>-0.99994300000000003</v>
      </c>
      <c r="N2799">
        <v>-1.0544710000000001E-2</v>
      </c>
      <c r="O2799">
        <v>-1.7049509999999999E-3</v>
      </c>
      <c r="P2799">
        <v>-0.98378810000000005</v>
      </c>
      <c r="Q2799">
        <v>0.1384513</v>
      </c>
      <c r="R2799">
        <v>-0.1139843</v>
      </c>
      <c r="S2799">
        <v>-3.0560610000000001</v>
      </c>
      <c r="T2799">
        <v>1.0194780000000001E-2</v>
      </c>
      <c r="U2799">
        <v>6.8908689999999995E-2</v>
      </c>
      <c r="V2799">
        <v>-0.1122565</v>
      </c>
      <c r="W2799">
        <v>0.1488572</v>
      </c>
      <c r="X2799">
        <v>0.98246630000000001</v>
      </c>
      <c r="Y2799">
        <v>2.4247189999999998E-2</v>
      </c>
      <c r="Z2799" s="1">
        <v>6.3757669999999999E-5</v>
      </c>
      <c r="AA2799">
        <v>0.99970599999999998</v>
      </c>
      <c r="AB2799">
        <v>35</v>
      </c>
      <c r="AC2799">
        <v>-3.0560610000000001</v>
      </c>
      <c r="AD2799">
        <v>1.0194780000000001E-2</v>
      </c>
      <c r="AE2799">
        <v>6.8908689999999995E-2</v>
      </c>
      <c r="AF2799">
        <v>7.4118489131272003E-2</v>
      </c>
      <c r="AG2799">
        <v>1.0194780000000001E-2</v>
      </c>
      <c r="AH2799">
        <v>3.05590507529879</v>
      </c>
      <c r="AI2799">
        <v>89.808912922626007</v>
      </c>
      <c r="AJ2799">
        <v>88.610609925438197</v>
      </c>
      <c r="AK2799">
        <v>3.0568207852615901</v>
      </c>
      <c r="AL2799">
        <v>81.439294637839694</v>
      </c>
      <c r="AM2799">
        <v>96.518341698332605</v>
      </c>
      <c r="AN2799">
        <v>1.00000000920989</v>
      </c>
    </row>
    <row r="2800" spans="1:40" x14ac:dyDescent="0.25">
      <c r="A2800" t="str">
        <f>"20190304154813844"</f>
        <v>20190304154813844</v>
      </c>
      <c r="B2800" t="str">
        <f>"1551685693840062"</f>
        <v>1551685693840062</v>
      </c>
      <c r="C2800" t="s">
        <v>40</v>
      </c>
      <c r="D2800">
        <v>4.338438</v>
      </c>
      <c r="E2800">
        <v>0.54664239999999997</v>
      </c>
      <c r="F2800" t="s">
        <v>42</v>
      </c>
      <c r="G2800">
        <v>0</v>
      </c>
      <c r="H2800">
        <v>0</v>
      </c>
      <c r="I2800">
        <v>0</v>
      </c>
      <c r="J2800">
        <v>-328.49790000000002</v>
      </c>
      <c r="K2800">
        <v>1.1099870000000001</v>
      </c>
      <c r="L2800">
        <v>285.36689999999999</v>
      </c>
      <c r="M2800">
        <v>-0.99994289999999997</v>
      </c>
      <c r="N2800">
        <v>-1.0553109999999999E-2</v>
      </c>
      <c r="O2800">
        <v>-1.61217E-3</v>
      </c>
      <c r="P2800">
        <v>-0.98381130000000006</v>
      </c>
      <c r="Q2800">
        <v>0.13824710000000001</v>
      </c>
      <c r="R2800">
        <v>-0.1140304</v>
      </c>
      <c r="S2800">
        <v>-3.056305</v>
      </c>
      <c r="T2800">
        <v>9.2078449999999992E-3</v>
      </c>
      <c r="U2800">
        <v>7.0281979999999994E-2</v>
      </c>
      <c r="V2800">
        <v>-0.1123919</v>
      </c>
      <c r="W2800">
        <v>0.1486634</v>
      </c>
      <c r="X2800">
        <v>0.98248020000000003</v>
      </c>
      <c r="Y2800">
        <v>2.4601600000000001E-2</v>
      </c>
      <c r="Z2800" s="1">
        <v>7.0909779999999995E-5</v>
      </c>
      <c r="AA2800">
        <v>0.99969730000000001</v>
      </c>
      <c r="AB2800">
        <v>35</v>
      </c>
      <c r="AC2800">
        <v>-3.056305</v>
      </c>
      <c r="AD2800">
        <v>9.2078449999999992E-3</v>
      </c>
      <c r="AE2800">
        <v>7.0281979999999994E-2</v>
      </c>
      <c r="AF2800">
        <v>7.5208764568380798E-2</v>
      </c>
      <c r="AG2800">
        <v>9.2078449999999992E-3</v>
      </c>
      <c r="AH2800">
        <v>3.05615999007874</v>
      </c>
      <c r="AI2800">
        <v>89.827427429097398</v>
      </c>
      <c r="AJ2800">
        <v>88.590297873262102</v>
      </c>
      <c r="AK2800">
        <v>3.0570991196942798</v>
      </c>
      <c r="AL2800">
        <v>81.450523804482302</v>
      </c>
      <c r="AM2800">
        <v>96.526044582374396</v>
      </c>
      <c r="AN2800">
        <v>1.0000000445385999</v>
      </c>
    </row>
    <row r="2801" spans="1:40" x14ac:dyDescent="0.25">
      <c r="A2801" t="str">
        <f>"20190304154813858"</f>
        <v>20190304154813858</v>
      </c>
      <c r="B2801" t="str">
        <f>"1551685693849823"</f>
        <v>1551685693849823</v>
      </c>
      <c r="C2801" t="s">
        <v>40</v>
      </c>
      <c r="D2801">
        <v>4.3408899999999999</v>
      </c>
      <c r="E2801">
        <v>0.54512380000000005</v>
      </c>
      <c r="F2801" t="s">
        <v>54</v>
      </c>
      <c r="G2801">
        <v>-501.88959999999997</v>
      </c>
      <c r="H2801">
        <v>7.9981730000000001E-2</v>
      </c>
      <c r="I2801">
        <v>287.72820000000002</v>
      </c>
      <c r="J2801">
        <v>-328.70830000000001</v>
      </c>
      <c r="K2801">
        <v>1.109979</v>
      </c>
      <c r="L2801">
        <v>285.36669999999998</v>
      </c>
      <c r="M2801">
        <v>-0.99994329999999998</v>
      </c>
      <c r="N2801">
        <v>-1.0560659999999999E-2</v>
      </c>
      <c r="O2801">
        <v>-1.5199829999999999E-3</v>
      </c>
      <c r="P2801">
        <v>-0.98384210000000005</v>
      </c>
      <c r="Q2801">
        <v>0.138159</v>
      </c>
      <c r="R2801">
        <v>-0.1138738</v>
      </c>
      <c r="S2801">
        <v>-3.056702</v>
      </c>
      <c r="T2801">
        <v>-1.8157840000000001E-2</v>
      </c>
      <c r="U2801">
        <v>4.162598E-2</v>
      </c>
      <c r="V2801">
        <v>-0.11232350000000001</v>
      </c>
      <c r="W2801">
        <v>0.1485842</v>
      </c>
      <c r="X2801">
        <v>0.98250000000000004</v>
      </c>
      <c r="Y2801">
        <v>1.5135829999999999E-2</v>
      </c>
      <c r="Z2801">
        <v>1.1786049999999999E-4</v>
      </c>
      <c r="AA2801">
        <v>0.99988540000000004</v>
      </c>
      <c r="AB2801">
        <v>35</v>
      </c>
      <c r="AC2801">
        <v>-173.181299999999</v>
      </c>
      <c r="AD2801">
        <v>-1.02999727</v>
      </c>
      <c r="AE2801">
        <v>2.3615000000000301</v>
      </c>
      <c r="AF2801">
        <v>2.62465170150191</v>
      </c>
      <c r="AG2801">
        <v>-1.02999727</v>
      </c>
      <c r="AH2801">
        <v>173.17138585571101</v>
      </c>
      <c r="AI2801">
        <v>90.340743497605004</v>
      </c>
      <c r="AJ2801">
        <v>89.131669755796196</v>
      </c>
      <c r="AK2801">
        <v>173.19433758099001</v>
      </c>
      <c r="AL2801">
        <v>81.455112568437599</v>
      </c>
      <c r="AM2801">
        <v>96.521976856184907</v>
      </c>
      <c r="AN2801">
        <v>1.00000004157094</v>
      </c>
    </row>
    <row r="2802" spans="1:40" x14ac:dyDescent="0.25">
      <c r="A2802" t="str">
        <f>"20190304154813874"</f>
        <v>20190304154813874</v>
      </c>
      <c r="B2802" t="str">
        <f>"1551685693869342"</f>
        <v>1551685693869342</v>
      </c>
      <c r="C2802" t="s">
        <v>40</v>
      </c>
      <c r="D2802">
        <v>4.2202669999999998</v>
      </c>
      <c r="E2802">
        <v>0.54378680000000001</v>
      </c>
      <c r="F2802" t="s">
        <v>60</v>
      </c>
      <c r="G2802">
        <v>-444.54759999999999</v>
      </c>
      <c r="H2802" s="1">
        <v>7.9982360000000001E-7</v>
      </c>
      <c r="I2802">
        <v>286.52429999999998</v>
      </c>
      <c r="J2802">
        <v>-328.95650000000001</v>
      </c>
      <c r="K2802">
        <v>1.1099589999999999</v>
      </c>
      <c r="L2802">
        <v>285.3664</v>
      </c>
      <c r="M2802">
        <v>-0.99994320000000003</v>
      </c>
      <c r="N2802">
        <v>-1.0568940000000001E-2</v>
      </c>
      <c r="O2802">
        <v>-1.4057329999999999E-3</v>
      </c>
      <c r="P2802">
        <v>-0.98380860000000003</v>
      </c>
      <c r="Q2802">
        <v>0.13792479999999999</v>
      </c>
      <c r="R2802">
        <v>-0.1144445</v>
      </c>
      <c r="S2802">
        <v>-3.056915</v>
      </c>
      <c r="T2802">
        <v>-2.929151E-2</v>
      </c>
      <c r="U2802">
        <v>3.0548100000000002E-2</v>
      </c>
      <c r="V2802">
        <v>-0.1130038</v>
      </c>
      <c r="W2802">
        <v>0.14836060000000001</v>
      </c>
      <c r="X2802">
        <v>0.98245570000000004</v>
      </c>
      <c r="Y2802">
        <v>1.1397249999999999E-2</v>
      </c>
      <c r="Z2802">
        <v>1.134484E-4</v>
      </c>
      <c r="AA2802">
        <v>0.99993500000000002</v>
      </c>
      <c r="AB2802">
        <v>35</v>
      </c>
      <c r="AC2802">
        <v>-115.591099999999</v>
      </c>
      <c r="AD2802">
        <v>-1.1099582001763999</v>
      </c>
      <c r="AE2802">
        <v>1.1578999999999799</v>
      </c>
      <c r="AF2802">
        <v>1.3202764223168499</v>
      </c>
      <c r="AG2802">
        <v>-1.1099582001763999</v>
      </c>
      <c r="AH2802">
        <v>115.578701879281</v>
      </c>
      <c r="AI2802">
        <v>90.550186286902004</v>
      </c>
      <c r="AJ2802">
        <v>89.345528410682604</v>
      </c>
      <c r="AK2802">
        <v>115.59157177379799</v>
      </c>
      <c r="AL2802">
        <v>81.468066826558996</v>
      </c>
      <c r="AM2802">
        <v>96.561427816668996</v>
      </c>
      <c r="AN2802">
        <v>0.99999996445464401</v>
      </c>
    </row>
    <row r="2803" spans="1:40" x14ac:dyDescent="0.25">
      <c r="A2803" t="str">
        <f>"20190304154813887"</f>
        <v>20190304154813887</v>
      </c>
      <c r="B2803" t="str">
        <f>"1551685693879102"</f>
        <v>1551685693879102</v>
      </c>
      <c r="C2803" t="s">
        <v>40</v>
      </c>
      <c r="D2803">
        <v>4.3103689999999997</v>
      </c>
      <c r="E2803">
        <v>0.52542009999999995</v>
      </c>
      <c r="F2803" t="s">
        <v>61</v>
      </c>
      <c r="G2803">
        <v>-415.35759999999999</v>
      </c>
      <c r="H2803" s="1">
        <v>3.0458850000000001E-6</v>
      </c>
      <c r="I2803">
        <v>285.87700000000001</v>
      </c>
      <c r="J2803">
        <v>-329.16719999999998</v>
      </c>
      <c r="K2803">
        <v>1.109953</v>
      </c>
      <c r="L2803">
        <v>285.36619999999999</v>
      </c>
      <c r="M2803">
        <v>-0.99994340000000004</v>
      </c>
      <c r="N2803">
        <v>-1.057554E-2</v>
      </c>
      <c r="O2803">
        <v>-1.3038870000000001E-3</v>
      </c>
      <c r="P2803">
        <v>-0.9838829</v>
      </c>
      <c r="Q2803">
        <v>0.13740849999999999</v>
      </c>
      <c r="R2803">
        <v>-0.11442720000000001</v>
      </c>
      <c r="S2803">
        <v>-3.0569760000000001</v>
      </c>
      <c r="T2803">
        <v>-3.9271590000000002E-2</v>
      </c>
      <c r="U2803">
        <v>1.8066410000000001E-2</v>
      </c>
      <c r="V2803">
        <v>-0.11308509999999999</v>
      </c>
      <c r="W2803">
        <v>0.1478527</v>
      </c>
      <c r="X2803">
        <v>0.98252300000000004</v>
      </c>
      <c r="Y2803">
        <v>7.2126350000000002E-3</v>
      </c>
      <c r="Z2803" s="1">
        <v>8.7429590000000007E-5</v>
      </c>
      <c r="AA2803">
        <v>0.99997400000000003</v>
      </c>
      <c r="AB2803">
        <v>35</v>
      </c>
      <c r="AC2803">
        <v>-86.190399999999997</v>
      </c>
      <c r="AD2803">
        <v>-1.109949954115</v>
      </c>
      <c r="AE2803">
        <v>0.51080000000001702</v>
      </c>
      <c r="AF2803">
        <v>0.623085044762548</v>
      </c>
      <c r="AG2803">
        <v>-1.109949954115</v>
      </c>
      <c r="AH2803">
        <v>86.175369850134103</v>
      </c>
      <c r="AI2803">
        <v>90.737916988406894</v>
      </c>
      <c r="AJ2803">
        <v>89.585734052547906</v>
      </c>
      <c r="AK2803">
        <v>86.184770073842202</v>
      </c>
      <c r="AL2803">
        <v>81.4974926311518</v>
      </c>
      <c r="AM2803">
        <v>96.565661361771703</v>
      </c>
      <c r="AN2803">
        <v>1.00000005313414</v>
      </c>
    </row>
    <row r="2804" spans="1:40" x14ac:dyDescent="0.25">
      <c r="A2804" t="str">
        <f>"20190304154813899"</f>
        <v>20190304154813899</v>
      </c>
      <c r="B2804" t="str">
        <f>"1551685693889448"</f>
        <v>1551685693889448</v>
      </c>
      <c r="C2804" t="s">
        <v>40</v>
      </c>
      <c r="D2804">
        <v>4.3161620000000003</v>
      </c>
      <c r="E2804">
        <v>0.5257655</v>
      </c>
      <c r="F2804" t="s">
        <v>60</v>
      </c>
      <c r="G2804">
        <v>-346.66520000000003</v>
      </c>
      <c r="H2804" s="1">
        <v>2.0101079999999998E-6</v>
      </c>
      <c r="I2804">
        <v>284.66520000000003</v>
      </c>
      <c r="J2804">
        <v>-329.35019999999997</v>
      </c>
      <c r="K2804">
        <v>1.1099479999999999</v>
      </c>
      <c r="L2804">
        <v>285.36610000000002</v>
      </c>
      <c r="M2804">
        <v>-0.99994340000000004</v>
      </c>
      <c r="N2804">
        <v>-1.058107E-2</v>
      </c>
      <c r="O2804">
        <v>-1.2124239999999999E-3</v>
      </c>
      <c r="P2804">
        <v>-0.98387950000000002</v>
      </c>
      <c r="Q2804">
        <v>0.13720250000000001</v>
      </c>
      <c r="R2804">
        <v>-0.1147031</v>
      </c>
      <c r="S2804">
        <v>-3.0620120000000002</v>
      </c>
      <c r="T2804">
        <v>-0.19423280000000001</v>
      </c>
      <c r="U2804">
        <v>-0.1226807</v>
      </c>
      <c r="V2804">
        <v>-0.1134492</v>
      </c>
      <c r="W2804">
        <v>0.1476537</v>
      </c>
      <c r="X2804">
        <v>0.98251089999999996</v>
      </c>
      <c r="Y2804">
        <v>-3.8732669999999997E-2</v>
      </c>
      <c r="Z2804">
        <v>-1.3680000000000001E-3</v>
      </c>
      <c r="AA2804">
        <v>0.99924869999999999</v>
      </c>
      <c r="AB2804">
        <v>35</v>
      </c>
      <c r="AC2804">
        <v>-17.315000000000001</v>
      </c>
      <c r="AD2804">
        <v>-1.1099459898920001</v>
      </c>
      <c r="AE2804">
        <v>-0.70089999999998998</v>
      </c>
      <c r="AF2804">
        <v>-0.67712728167035496</v>
      </c>
      <c r="AG2804">
        <v>-1.1099459898920001</v>
      </c>
      <c r="AH2804">
        <v>17.2450892807264</v>
      </c>
      <c r="AI2804">
        <v>93.679821879022995</v>
      </c>
      <c r="AJ2804">
        <v>92.248559878857407</v>
      </c>
      <c r="AK2804">
        <v>17.294033241447298</v>
      </c>
      <c r="AL2804">
        <v>81.509020588988605</v>
      </c>
      <c r="AM2804">
        <v>96.586695761706594</v>
      </c>
      <c r="AN2804">
        <v>1.0000000023615601</v>
      </c>
    </row>
    <row r="2805" spans="1:40" x14ac:dyDescent="0.25">
      <c r="A2805" t="str">
        <f>"20190304154813910"</f>
        <v>20190304154813910</v>
      </c>
      <c r="B2805" t="str">
        <f>"1551685693899207"</f>
        <v>1551685693899207</v>
      </c>
      <c r="C2805" t="s">
        <v>40</v>
      </c>
      <c r="D2805">
        <v>4.2524940000000004</v>
      </c>
      <c r="E2805">
        <v>0.52589580000000002</v>
      </c>
      <c r="F2805" t="s">
        <v>60</v>
      </c>
      <c r="G2805">
        <v>-347.68799999999999</v>
      </c>
      <c r="H2805" s="1">
        <v>2.5543799999999999E-6</v>
      </c>
      <c r="I2805">
        <v>284.64</v>
      </c>
      <c r="J2805">
        <v>-329.54809999999998</v>
      </c>
      <c r="K2805">
        <v>1.109939</v>
      </c>
      <c r="L2805">
        <v>285.36590000000001</v>
      </c>
      <c r="M2805">
        <v>-0.99994340000000004</v>
      </c>
      <c r="N2805">
        <v>-1.058689E-2</v>
      </c>
      <c r="O2805">
        <v>-1.1117849999999999E-3</v>
      </c>
      <c r="P2805">
        <v>-0.98387709999999995</v>
      </c>
      <c r="Q2805">
        <v>0.13698949999999999</v>
      </c>
      <c r="R2805">
        <v>-0.1149786</v>
      </c>
      <c r="S2805">
        <v>-3.0608520000000001</v>
      </c>
      <c r="T2805">
        <v>-0.1852666</v>
      </c>
      <c r="U2805">
        <v>-0.1211853</v>
      </c>
      <c r="V2805">
        <v>-0.1138219</v>
      </c>
      <c r="W2805">
        <v>0.14744760000000001</v>
      </c>
      <c r="X2805">
        <v>0.98249869999999995</v>
      </c>
      <c r="Y2805">
        <v>-3.8369E-2</v>
      </c>
      <c r="Z2805">
        <v>-1.3076400000000001E-3</v>
      </c>
      <c r="AA2805">
        <v>0.99926280000000001</v>
      </c>
      <c r="AB2805">
        <v>35</v>
      </c>
      <c r="AC2805">
        <v>-18.139900000000001</v>
      </c>
      <c r="AD2805">
        <v>-1.10993644562</v>
      </c>
      <c r="AE2805">
        <v>-0.72590000000002397</v>
      </c>
      <c r="AF2805">
        <v>-0.70310260286492299</v>
      </c>
      <c r="AG2805">
        <v>-1.10993644562</v>
      </c>
      <c r="AH2805">
        <v>18.0731396866137</v>
      </c>
      <c r="AI2805">
        <v>93.511676149368199</v>
      </c>
      <c r="AJ2805">
        <v>92.227864539672197</v>
      </c>
      <c r="AK2805">
        <v>18.120835806201701</v>
      </c>
      <c r="AL2805">
        <v>81.520959548729294</v>
      </c>
      <c r="AM2805">
        <v>96.6082244427445</v>
      </c>
      <c r="AN2805">
        <v>0.999999957583529</v>
      </c>
    </row>
    <row r="2806" spans="1:40" x14ac:dyDescent="0.25">
      <c r="A2806" t="str">
        <f>"20190304154813923"</f>
        <v>20190304154813923</v>
      </c>
      <c r="B2806" t="str">
        <f>"1551685693919703"</f>
        <v>1551685693919703</v>
      </c>
      <c r="C2806" t="s">
        <v>40</v>
      </c>
      <c r="D2806">
        <v>4.2903890000000002</v>
      </c>
      <c r="E2806">
        <v>0.52553490000000003</v>
      </c>
      <c r="F2806" t="s">
        <v>60</v>
      </c>
      <c r="G2806">
        <v>-347.44009999999997</v>
      </c>
      <c r="H2806" s="1">
        <v>2.4224770000000001E-6</v>
      </c>
      <c r="I2806">
        <v>284.65899999999999</v>
      </c>
      <c r="J2806">
        <v>-329.74400000000003</v>
      </c>
      <c r="K2806">
        <v>1.1099319999999999</v>
      </c>
      <c r="L2806">
        <v>285.36579999999998</v>
      </c>
      <c r="M2806">
        <v>-0.99994340000000004</v>
      </c>
      <c r="N2806">
        <v>-1.0592249999999999E-2</v>
      </c>
      <c r="O2806">
        <v>-1.008889E-3</v>
      </c>
      <c r="P2806">
        <v>-0.98386759999999995</v>
      </c>
      <c r="Q2806">
        <v>0.13733299999999901</v>
      </c>
      <c r="R2806">
        <v>-0.1146489</v>
      </c>
      <c r="S2806">
        <v>-3.061493</v>
      </c>
      <c r="T2806">
        <v>-0.18992039999999999</v>
      </c>
      <c r="U2806">
        <v>-0.1209717</v>
      </c>
      <c r="V2806">
        <v>-0.113592</v>
      </c>
      <c r="W2806">
        <v>0.1477976</v>
      </c>
      <c r="X2806">
        <v>0.98247280000000003</v>
      </c>
      <c r="Y2806">
        <v>-3.8390000000000001E-2</v>
      </c>
      <c r="Z2806">
        <v>-1.340964E-3</v>
      </c>
      <c r="AA2806">
        <v>0.99926190000000004</v>
      </c>
      <c r="AB2806">
        <v>35</v>
      </c>
      <c r="AC2806">
        <v>-17.696099999999898</v>
      </c>
      <c r="AD2806">
        <v>-1.10992957752299</v>
      </c>
      <c r="AE2806">
        <v>-0.70679999999998699</v>
      </c>
      <c r="AF2806">
        <v>-0.68624982280109803</v>
      </c>
      <c r="AG2806">
        <v>-1.10992957752299</v>
      </c>
      <c r="AH2806">
        <v>17.627567499052201</v>
      </c>
      <c r="AI2806">
        <v>93.600184194709897</v>
      </c>
      <c r="AJ2806">
        <v>92.229426875705101</v>
      </c>
      <c r="AK2806">
        <v>17.675803190237101</v>
      </c>
      <c r="AL2806">
        <v>81.500684567471396</v>
      </c>
      <c r="AM2806">
        <v>96.595167029245005</v>
      </c>
      <c r="AN2806">
        <v>1.00000003788479</v>
      </c>
    </row>
    <row r="2807" spans="1:40" x14ac:dyDescent="0.25">
      <c r="A2807" t="str">
        <f>"20190304154813937"</f>
        <v>20190304154813937</v>
      </c>
      <c r="B2807" t="str">
        <f>"1551685693929463"</f>
        <v>1551685693929463</v>
      </c>
      <c r="C2807" t="s">
        <v>40</v>
      </c>
      <c r="D2807">
        <v>4.2759980000000004</v>
      </c>
      <c r="E2807">
        <v>0.52545149999999996</v>
      </c>
      <c r="F2807" t="s">
        <v>60</v>
      </c>
      <c r="G2807">
        <v>-348.3965</v>
      </c>
      <c r="H2807" s="1">
        <v>2.9314180000000001E-6</v>
      </c>
      <c r="I2807">
        <v>284.61840000000001</v>
      </c>
      <c r="J2807">
        <v>-329.96769999999998</v>
      </c>
      <c r="K2807">
        <v>1.1099330000000001</v>
      </c>
      <c r="L2807">
        <v>285.3657</v>
      </c>
      <c r="M2807">
        <v>-0.99994340000000004</v>
      </c>
      <c r="N2807">
        <v>-1.0598150000000001E-2</v>
      </c>
      <c r="O2807">
        <v>-8.9025949999999997E-4</v>
      </c>
      <c r="P2807">
        <v>-0.98387519999999995</v>
      </c>
      <c r="Q2807">
        <v>0.1373577</v>
      </c>
      <c r="R2807">
        <v>-0.1145549</v>
      </c>
      <c r="S2807">
        <v>-3.0602719999999999</v>
      </c>
      <c r="T2807">
        <v>-0.1821035</v>
      </c>
      <c r="U2807">
        <v>-0.1226196</v>
      </c>
      <c r="V2807">
        <v>-0.11361350000000001</v>
      </c>
      <c r="W2807">
        <v>0.14782919999999999</v>
      </c>
      <c r="X2807">
        <v>0.98246549999999999</v>
      </c>
      <c r="Y2807">
        <v>-3.906623E-2</v>
      </c>
      <c r="Z2807">
        <v>-1.3246759999999999E-3</v>
      </c>
      <c r="AA2807">
        <v>0.99923569999999995</v>
      </c>
      <c r="AB2807">
        <v>35</v>
      </c>
      <c r="AC2807">
        <v>-18.428799999999999</v>
      </c>
      <c r="AD2807">
        <v>-1.1099300685819999</v>
      </c>
      <c r="AE2807">
        <v>-0.74729999999999497</v>
      </c>
      <c r="AF2807">
        <v>-0.72825502170301104</v>
      </c>
      <c r="AG2807">
        <v>-1.1099300685819999</v>
      </c>
      <c r="AH2807">
        <v>18.362957327592198</v>
      </c>
      <c r="AI2807">
        <v>93.456265734826601</v>
      </c>
      <c r="AJ2807">
        <v>92.271098445448899</v>
      </c>
      <c r="AK2807">
        <v>18.4108799884403</v>
      </c>
      <c r="AL2807">
        <v>81.498853409255403</v>
      </c>
      <c r="AM2807">
        <v>96.596452903140403</v>
      </c>
      <c r="AN2807">
        <v>0.999999979222569</v>
      </c>
    </row>
    <row r="2808" spans="1:40" x14ac:dyDescent="0.25">
      <c r="A2808" t="str">
        <f>"20190304154813951"</f>
        <v>20190304154813951</v>
      </c>
      <c r="B2808" t="str">
        <f>"1551685693939223"</f>
        <v>1551685693939223</v>
      </c>
      <c r="C2808" t="s">
        <v>40</v>
      </c>
      <c r="D2808">
        <v>4.2755739999999998</v>
      </c>
      <c r="E2808">
        <v>0.52545149999999996</v>
      </c>
      <c r="F2808" t="s">
        <v>60</v>
      </c>
      <c r="G2808">
        <v>-348.87389999999999</v>
      </c>
      <c r="H2808" s="1">
        <v>3.1854449999999998E-6</v>
      </c>
      <c r="I2808">
        <v>284.6028</v>
      </c>
      <c r="J2808">
        <v>-330.19220000000001</v>
      </c>
      <c r="K2808">
        <v>1.109928</v>
      </c>
      <c r="L2808">
        <v>285.3655</v>
      </c>
      <c r="M2808">
        <v>-0.99994340000000004</v>
      </c>
      <c r="N2808">
        <v>-1.060379E-2</v>
      </c>
      <c r="O2808">
        <v>-7.6984949999999905E-4</v>
      </c>
      <c r="P2808">
        <v>-0.98388240000000005</v>
      </c>
      <c r="Q2808">
        <v>0.13774339999999999</v>
      </c>
      <c r="R2808">
        <v>-0.1140282</v>
      </c>
      <c r="S2808">
        <v>-3.0598749999999999</v>
      </c>
      <c r="T2808">
        <v>-0.1796365</v>
      </c>
      <c r="U2808">
        <v>-0.1234741</v>
      </c>
      <c r="V2808">
        <v>-0.113203399999999</v>
      </c>
      <c r="W2808">
        <v>0.14822099999999999</v>
      </c>
      <c r="X2808">
        <v>0.98245380000000004</v>
      </c>
      <c r="Y2808">
        <v>-3.9471310000000003E-2</v>
      </c>
      <c r="Z2808">
        <v>-1.32975E-3</v>
      </c>
      <c r="AA2808">
        <v>0.99921979999999999</v>
      </c>
      <c r="AB2808">
        <v>36</v>
      </c>
      <c r="AC2808">
        <v>-18.6816999999999</v>
      </c>
      <c r="AD2808">
        <v>-1.109924814555</v>
      </c>
      <c r="AE2808">
        <v>-0.76269999999999505</v>
      </c>
      <c r="AF2808">
        <v>-0.74568908762567698</v>
      </c>
      <c r="AG2808">
        <v>-1.109924814555</v>
      </c>
      <c r="AH2808">
        <v>18.616677219709601</v>
      </c>
      <c r="AI2808">
        <v>93.409203728576102</v>
      </c>
      <c r="AJ2808">
        <v>92.293750374870498</v>
      </c>
      <c r="AK2808">
        <v>18.664636508976599</v>
      </c>
      <c r="AL2808">
        <v>81.476154802968907</v>
      </c>
      <c r="AM2808">
        <v>96.572928620696899</v>
      </c>
      <c r="AN2808">
        <v>0.99999997187349898</v>
      </c>
    </row>
    <row r="2809" spans="1:40" x14ac:dyDescent="0.25">
      <c r="A2809" t="str">
        <f>"20190304154813965"</f>
        <v>20190304154813965</v>
      </c>
      <c r="B2809" t="str">
        <f>"1551685693959719"</f>
        <v>1551685693959719</v>
      </c>
      <c r="C2809" t="s">
        <v>40</v>
      </c>
      <c r="D2809">
        <v>4.1830879999999997</v>
      </c>
      <c r="E2809">
        <v>0.53784239999999905</v>
      </c>
      <c r="F2809" t="s">
        <v>60</v>
      </c>
      <c r="G2809">
        <v>-349.22430000000003</v>
      </c>
      <c r="H2809" s="1">
        <v>3.371936E-6</v>
      </c>
      <c r="I2809">
        <v>284.6069</v>
      </c>
      <c r="J2809">
        <v>-330.41030000000001</v>
      </c>
      <c r="K2809">
        <v>1.109928</v>
      </c>
      <c r="L2809">
        <v>285.3655</v>
      </c>
      <c r="M2809">
        <v>-0.99994360000000004</v>
      </c>
      <c r="N2809">
        <v>-1.0608869999999999E-2</v>
      </c>
      <c r="O2809">
        <v>-6.5123760000000003E-4</v>
      </c>
      <c r="P2809">
        <v>-0.98383549999999997</v>
      </c>
      <c r="Q2809">
        <v>0.1381452</v>
      </c>
      <c r="R2809">
        <v>-0.1139463</v>
      </c>
      <c r="S2809">
        <v>-3.0599980000000002</v>
      </c>
      <c r="T2809">
        <v>-0.17845420000000001</v>
      </c>
      <c r="U2809">
        <v>-0.1219788</v>
      </c>
      <c r="V2809">
        <v>-0.11323759999999999</v>
      </c>
      <c r="W2809">
        <v>0.1486275</v>
      </c>
      <c r="X2809">
        <v>0.98238840000000005</v>
      </c>
      <c r="Y2809">
        <v>-3.9102270000000001E-2</v>
      </c>
      <c r="Z2809">
        <v>-1.3154529999999901E-3</v>
      </c>
      <c r="AA2809">
        <v>0.99923430000000002</v>
      </c>
      <c r="AB2809">
        <v>36</v>
      </c>
      <c r="AC2809">
        <v>-18.814</v>
      </c>
      <c r="AD2809">
        <v>-1.1099246280640001</v>
      </c>
      <c r="AE2809">
        <v>-0.75860000000000105</v>
      </c>
      <c r="AF2809">
        <v>-0.74376240398823501</v>
      </c>
      <c r="AG2809">
        <v>-1.1099246280640001</v>
      </c>
      <c r="AH2809">
        <v>18.749341446923601</v>
      </c>
      <c r="AI2809">
        <v>93.385188948765304</v>
      </c>
      <c r="AJ2809">
        <v>92.271659253036503</v>
      </c>
      <c r="AK2809">
        <v>18.7968859092909</v>
      </c>
      <c r="AL2809">
        <v>81.4526028283926</v>
      </c>
      <c r="AM2809">
        <v>96.575330864945499</v>
      </c>
      <c r="AN2809">
        <v>0.999999928132282</v>
      </c>
    </row>
    <row r="2810" spans="1:40" x14ac:dyDescent="0.25">
      <c r="A2810" t="str">
        <f>"20190304154813977"</f>
        <v>20190304154813977</v>
      </c>
      <c r="B2810" t="str">
        <f>"1551685693969479"</f>
        <v>1551685693969479</v>
      </c>
      <c r="C2810" t="s">
        <v>40</v>
      </c>
      <c r="D2810">
        <v>4.1533160000000002</v>
      </c>
      <c r="E2810">
        <v>0.55431169999999996</v>
      </c>
      <c r="F2810" t="s">
        <v>60</v>
      </c>
      <c r="G2810">
        <v>-358.27109999999999</v>
      </c>
      <c r="H2810" s="1">
        <v>2.8646800000000002E-6</v>
      </c>
      <c r="I2810">
        <v>285.13740000000001</v>
      </c>
      <c r="J2810">
        <v>-330.60059999999999</v>
      </c>
      <c r="K2810">
        <v>1.109931</v>
      </c>
      <c r="L2810">
        <v>285.36540000000002</v>
      </c>
      <c r="M2810">
        <v>-0.99994349999999999</v>
      </c>
      <c r="N2810">
        <v>-1.061315E-2</v>
      </c>
      <c r="O2810">
        <v>-5.4752879999999998E-4</v>
      </c>
      <c r="P2810">
        <v>-0.98385489999999998</v>
      </c>
      <c r="Q2810">
        <v>0.13810059999999999</v>
      </c>
      <c r="R2810">
        <v>-0.1138318</v>
      </c>
      <c r="S2810">
        <v>-3.0635680000000001</v>
      </c>
      <c r="T2810">
        <v>-0.12204719999999999</v>
      </c>
      <c r="U2810">
        <v>-2.5085449999999999E-2</v>
      </c>
      <c r="V2810">
        <v>-0.1132247</v>
      </c>
      <c r="W2810">
        <v>0.14858750000000001</v>
      </c>
      <c r="X2810">
        <v>0.98239600000000005</v>
      </c>
      <c r="Y2810">
        <v>-7.6330599999999997E-3</v>
      </c>
      <c r="Z2810">
        <v>-1.7651439999999901E-4</v>
      </c>
      <c r="AA2810">
        <v>0.9999709</v>
      </c>
      <c r="AB2810">
        <v>36</v>
      </c>
      <c r="AC2810">
        <v>-27.670500000000001</v>
      </c>
      <c r="AD2810">
        <v>-1.1099281353199999</v>
      </c>
      <c r="AE2810">
        <v>-0.228000000000008</v>
      </c>
      <c r="AF2810">
        <v>-0.21250681639648999</v>
      </c>
      <c r="AG2810">
        <v>-1.1099281353199999</v>
      </c>
      <c r="AH2810">
        <v>27.626173234997601</v>
      </c>
      <c r="AI2810">
        <v>92.300649269959706</v>
      </c>
      <c r="AJ2810">
        <v>90.440723492699902</v>
      </c>
      <c r="AK2810">
        <v>27.649277517191798</v>
      </c>
      <c r="AL2810">
        <v>81.454920920244703</v>
      </c>
      <c r="AM2810">
        <v>96.574537946288103</v>
      </c>
      <c r="AN2810">
        <v>0.99999998933116996</v>
      </c>
    </row>
    <row r="2811" spans="1:40" x14ac:dyDescent="0.25">
      <c r="A2811" t="str">
        <f>"20190304154813988"</f>
        <v>20190304154813988</v>
      </c>
      <c r="B2811" t="str">
        <f>"1551685693979239"</f>
        <v>1551685693979239</v>
      </c>
      <c r="C2811" t="s">
        <v>40</v>
      </c>
      <c r="D2811">
        <v>4.2276470000000002</v>
      </c>
      <c r="E2811">
        <v>0.55510869999999901</v>
      </c>
      <c r="F2811" t="s">
        <v>60</v>
      </c>
      <c r="G2811">
        <v>-441.60160000000002</v>
      </c>
      <c r="H2811" s="1">
        <v>-8.8082070000000002E-7</v>
      </c>
      <c r="I2811">
        <v>289.1071</v>
      </c>
      <c r="J2811">
        <v>-330.79399999999998</v>
      </c>
      <c r="K2811">
        <v>1.1099300000000001</v>
      </c>
      <c r="L2811">
        <v>285.36540000000002</v>
      </c>
      <c r="M2811">
        <v>-0.99994360000000004</v>
      </c>
      <c r="N2811">
        <v>-1.061732E-2</v>
      </c>
      <c r="O2811">
        <v>-4.4179620000000001E-4</v>
      </c>
      <c r="P2811">
        <v>-0.9838867</v>
      </c>
      <c r="Q2811">
        <v>0.13833909999999999</v>
      </c>
      <c r="R2811">
        <v>-0.11326609999999999</v>
      </c>
      <c r="S2811">
        <v>-3.0654910000000002</v>
      </c>
      <c r="T2811">
        <v>-3.0652760000000001E-2</v>
      </c>
      <c r="U2811">
        <v>0.10333249999999999</v>
      </c>
      <c r="V2811">
        <v>-0.1127624</v>
      </c>
      <c r="W2811">
        <v>0.14883080000000001</v>
      </c>
      <c r="X2811">
        <v>0.98241230000000002</v>
      </c>
      <c r="Y2811">
        <v>3.4127240000000003E-2</v>
      </c>
      <c r="Z2811">
        <v>3.5153410000000001E-4</v>
      </c>
      <c r="AA2811">
        <v>0.99941740000000001</v>
      </c>
      <c r="AB2811">
        <v>36</v>
      </c>
      <c r="AC2811">
        <v>-110.807599999999</v>
      </c>
      <c r="AD2811">
        <v>-1.10993088082069</v>
      </c>
      <c r="AE2811">
        <v>3.7416999999999798</v>
      </c>
      <c r="AF2811">
        <v>3.79027690324288</v>
      </c>
      <c r="AG2811">
        <v>-1.10993088082069</v>
      </c>
      <c r="AH2811">
        <v>110.794832076576</v>
      </c>
      <c r="AI2811">
        <v>90.573628301896093</v>
      </c>
      <c r="AJ2811">
        <v>88.040682880146505</v>
      </c>
      <c r="AK2811">
        <v>110.865201756188</v>
      </c>
      <c r="AL2811">
        <v>81.440823745169993</v>
      </c>
      <c r="AM2811">
        <v>96.547819797174</v>
      </c>
      <c r="AN2811">
        <v>0.99999994653684299</v>
      </c>
    </row>
    <row r="2812" spans="1:40" x14ac:dyDescent="0.25">
      <c r="A2812" t="str">
        <f>"20190304154814003"</f>
        <v>20190304154814003</v>
      </c>
      <c r="B2812" t="str">
        <f>"1551685693999734"</f>
        <v>1551685693999734</v>
      </c>
      <c r="C2812" t="s">
        <v>40</v>
      </c>
      <c r="D2812">
        <v>4.1969839999999996</v>
      </c>
      <c r="E2812">
        <v>0.55445489999999997</v>
      </c>
      <c r="F2812" t="s">
        <v>60</v>
      </c>
      <c r="G2812">
        <v>-463.78269999999998</v>
      </c>
      <c r="H2812">
        <v>8.0000879999999996E-2</v>
      </c>
      <c r="I2812">
        <v>290.2047</v>
      </c>
      <c r="J2812">
        <v>-331.01130000000001</v>
      </c>
      <c r="K2812">
        <v>1.1099349999999999</v>
      </c>
      <c r="L2812">
        <v>285.3655</v>
      </c>
      <c r="M2812">
        <v>-0.99994369999999999</v>
      </c>
      <c r="N2812">
        <v>-1.0621770000000001E-2</v>
      </c>
      <c r="O2812">
        <v>-3.2295289999999998E-4</v>
      </c>
      <c r="P2812">
        <v>-0.9838673</v>
      </c>
      <c r="Q2812">
        <v>0.13861219999999999</v>
      </c>
      <c r="R2812">
        <v>-0.1131023</v>
      </c>
      <c r="S2812">
        <v>-3.0653380000000001</v>
      </c>
      <c r="T2812">
        <v>-2.373946E-2</v>
      </c>
      <c r="U2812">
        <v>0.11154169999999999</v>
      </c>
      <c r="V2812">
        <v>-0.112715</v>
      </c>
      <c r="W2812">
        <v>0.14910799999999999</v>
      </c>
      <c r="X2812">
        <v>0.98237569999999996</v>
      </c>
      <c r="Y2812">
        <v>3.668416E-2</v>
      </c>
      <c r="Z2812">
        <v>3.3597390000000003E-4</v>
      </c>
      <c r="AA2812">
        <v>0.99932679999999996</v>
      </c>
      <c r="AB2812">
        <v>36</v>
      </c>
      <c r="AC2812">
        <v>-132.77139999999901</v>
      </c>
      <c r="AD2812">
        <v>-1.0299341200000001</v>
      </c>
      <c r="AE2812">
        <v>4.8391999999999999</v>
      </c>
      <c r="AF2812">
        <v>4.8817877006482799</v>
      </c>
      <c r="AG2812">
        <v>-1.0299341200000001</v>
      </c>
      <c r="AH2812">
        <v>132.761851923227</v>
      </c>
      <c r="AI2812">
        <v>90.444177615138202</v>
      </c>
      <c r="AJ2812">
        <v>87.894124963272006</v>
      </c>
      <c r="AK2812">
        <v>132.85556797338501</v>
      </c>
      <c r="AL2812">
        <v>81.424762091403394</v>
      </c>
      <c r="AM2812">
        <v>96.545333021317205</v>
      </c>
      <c r="AN2812">
        <v>0.99999994141974302</v>
      </c>
    </row>
    <row r="2813" spans="1:40" x14ac:dyDescent="0.25">
      <c r="A2813" t="str">
        <f>"20190304154814021"</f>
        <v>20190304154814021</v>
      </c>
      <c r="B2813" t="str">
        <f>"1551685694009494"</f>
        <v>1551685694009494</v>
      </c>
      <c r="C2813" t="s">
        <v>40</v>
      </c>
      <c r="D2813">
        <v>4.211748</v>
      </c>
      <c r="E2813">
        <v>0.55403040000000003</v>
      </c>
      <c r="F2813" t="s">
        <v>60</v>
      </c>
      <c r="G2813">
        <v>-467.0881</v>
      </c>
      <c r="H2813">
        <v>8.0000390000000005E-2</v>
      </c>
      <c r="I2813">
        <v>290.09719999999999</v>
      </c>
      <c r="J2813">
        <v>-331.2903</v>
      </c>
      <c r="K2813">
        <v>1.1099380000000001</v>
      </c>
      <c r="L2813">
        <v>285.3655</v>
      </c>
      <c r="M2813">
        <v>-0.99994369999999999</v>
      </c>
      <c r="N2813">
        <v>-1.062717E-2</v>
      </c>
      <c r="O2813">
        <v>-1.703764E-4</v>
      </c>
      <c r="P2813">
        <v>-0.98393010000000003</v>
      </c>
      <c r="Q2813">
        <v>0.13867950000000001</v>
      </c>
      <c r="R2813">
        <v>-0.1124737</v>
      </c>
      <c r="S2813">
        <v>-3.0647280000000001</v>
      </c>
      <c r="T2813">
        <v>-2.319622E-2</v>
      </c>
      <c r="U2813">
        <v>0.10656740000000001</v>
      </c>
      <c r="V2813">
        <v>-0.1122355</v>
      </c>
      <c r="W2813">
        <v>0.1491816</v>
      </c>
      <c r="X2813">
        <v>0.9824195</v>
      </c>
      <c r="Y2813">
        <v>3.491909E-2</v>
      </c>
      <c r="Z2813">
        <v>3.1719769999999999E-4</v>
      </c>
      <c r="AA2813">
        <v>0.99939009999999995</v>
      </c>
      <c r="AB2813">
        <v>36</v>
      </c>
      <c r="AC2813">
        <v>-135.7978</v>
      </c>
      <c r="AD2813">
        <v>-1.0299376099999999</v>
      </c>
      <c r="AE2813">
        <v>4.7316999999999796</v>
      </c>
      <c r="AF2813">
        <v>4.7545648120042001</v>
      </c>
      <c r="AG2813">
        <v>-1.0299376099999999</v>
      </c>
      <c r="AH2813">
        <v>135.789190376243</v>
      </c>
      <c r="AI2813">
        <v>90.434304143951493</v>
      </c>
      <c r="AJ2813">
        <v>87.994647066523896</v>
      </c>
      <c r="AK2813">
        <v>135.87630728374799</v>
      </c>
      <c r="AL2813">
        <v>81.420498064335703</v>
      </c>
      <c r="AM2813">
        <v>96.517440582165506</v>
      </c>
      <c r="AN2813">
        <v>1.0000000156095299</v>
      </c>
    </row>
    <row r="2814" spans="1:40" x14ac:dyDescent="0.25">
      <c r="A2814" t="str">
        <f>"20190304154814040"</f>
        <v>20190304154814040</v>
      </c>
      <c r="B2814" t="str">
        <f>"1551685694029991"</f>
        <v>1551685694029991</v>
      </c>
      <c r="C2814" t="s">
        <v>40</v>
      </c>
      <c r="D2814">
        <v>4.1939960000000003</v>
      </c>
      <c r="E2814">
        <v>0.55374709999999905</v>
      </c>
      <c r="F2814" t="s">
        <v>60</v>
      </c>
      <c r="G2814">
        <v>-464.94779999999997</v>
      </c>
      <c r="H2814">
        <v>8.0001240000000001E-2</v>
      </c>
      <c r="I2814">
        <v>289.94580000000002</v>
      </c>
      <c r="J2814">
        <v>-331.61070000000001</v>
      </c>
      <c r="K2814">
        <v>1.1099490000000001</v>
      </c>
      <c r="L2814">
        <v>285.36559999999997</v>
      </c>
      <c r="M2814">
        <v>-0.99994360000000004</v>
      </c>
      <c r="N2814">
        <v>-1.063295E-2</v>
      </c>
      <c r="O2814" s="1">
        <v>4.6092569999999999E-6</v>
      </c>
      <c r="P2814">
        <v>-0.98397539999999994</v>
      </c>
      <c r="Q2814">
        <v>0.138483299999999</v>
      </c>
      <c r="R2814">
        <v>-0.1123166</v>
      </c>
      <c r="S2814">
        <v>-3.0643310000000001</v>
      </c>
      <c r="T2814">
        <v>-2.3613100000000001E-2</v>
      </c>
      <c r="U2814">
        <v>0.10501099999999999</v>
      </c>
      <c r="V2814">
        <v>-0.11225</v>
      </c>
      <c r="W2814">
        <v>0.1489916</v>
      </c>
      <c r="X2814">
        <v>0.98244670000000001</v>
      </c>
      <c r="Y2814">
        <v>3.4241679999999997E-2</v>
      </c>
      <c r="Z2814">
        <v>3.1401250000000002E-4</v>
      </c>
      <c r="AA2814">
        <v>0.99941349999999995</v>
      </c>
      <c r="AB2814">
        <v>36</v>
      </c>
      <c r="AC2814">
        <v>-133.337099999999</v>
      </c>
      <c r="AD2814">
        <v>-1.02994776</v>
      </c>
      <c r="AE2814">
        <v>4.5802000000000396</v>
      </c>
      <c r="AF2814">
        <v>4.5793124721688798</v>
      </c>
      <c r="AG2814">
        <v>-1.02994776</v>
      </c>
      <c r="AH2814">
        <v>133.329175241569</v>
      </c>
      <c r="AI2814">
        <v>90.442331638378604</v>
      </c>
      <c r="AJ2814">
        <v>88.03289729654</v>
      </c>
      <c r="AK2814">
        <v>133.41176809301001</v>
      </c>
      <c r="AL2814">
        <v>81.431507500613506</v>
      </c>
      <c r="AM2814">
        <v>96.5180964297831</v>
      </c>
      <c r="AN2814">
        <v>1.00000003885572</v>
      </c>
    </row>
    <row r="2815" spans="1:40" x14ac:dyDescent="0.25">
      <c r="A2815" t="str">
        <f>"20190304154814055"</f>
        <v>20190304154814055</v>
      </c>
      <c r="B2815" t="str">
        <f>"1551685694049511"</f>
        <v>1551685694049511</v>
      </c>
      <c r="C2815" t="s">
        <v>40</v>
      </c>
      <c r="D2815">
        <v>4.1930360000000002</v>
      </c>
      <c r="E2815">
        <v>0.55350889999999997</v>
      </c>
      <c r="F2815" t="s">
        <v>60</v>
      </c>
      <c r="G2815">
        <v>-457.92880000000002</v>
      </c>
      <c r="H2815">
        <v>7.1371129999999996E-3</v>
      </c>
      <c r="I2815">
        <v>289.61630000000002</v>
      </c>
      <c r="J2815">
        <v>-331.82940000000002</v>
      </c>
      <c r="K2815">
        <v>1.1099460000000001</v>
      </c>
      <c r="L2815">
        <v>285.3657</v>
      </c>
      <c r="M2815">
        <v>-0.99994349999999999</v>
      </c>
      <c r="N2815">
        <v>-1.063675E-2</v>
      </c>
      <c r="O2815">
        <v>1.2357009999999999E-4</v>
      </c>
      <c r="P2815">
        <v>-0.98402999999999996</v>
      </c>
      <c r="Q2815">
        <v>0.13848640000000001</v>
      </c>
      <c r="R2815">
        <v>-0.1118343</v>
      </c>
      <c r="S2815">
        <v>-3.064362</v>
      </c>
      <c r="T2815">
        <v>-2.675319E-2</v>
      </c>
      <c r="U2815">
        <v>0.1031189</v>
      </c>
      <c r="V2815">
        <v>-0.1118849</v>
      </c>
      <c r="W2815">
        <v>0.14899860000000001</v>
      </c>
      <c r="X2815">
        <v>0.98248729999999995</v>
      </c>
      <c r="Y2815">
        <v>3.3505640000000003E-2</v>
      </c>
      <c r="Z2815">
        <v>3.247093E-4</v>
      </c>
      <c r="AA2815">
        <v>0.99943850000000001</v>
      </c>
      <c r="AB2815">
        <v>36</v>
      </c>
      <c r="AC2815">
        <v>-126.0994</v>
      </c>
      <c r="AD2815">
        <v>-1.1028088869999999</v>
      </c>
      <c r="AE2815">
        <v>4.2506000000000199</v>
      </c>
      <c r="AF2815">
        <v>4.23469345016911</v>
      </c>
      <c r="AG2815">
        <v>-1.1028088869999999</v>
      </c>
      <c r="AH2815">
        <v>126.090291283407</v>
      </c>
      <c r="AI2815">
        <v>90.500824299850095</v>
      </c>
      <c r="AJ2815">
        <v>88.076466486717607</v>
      </c>
      <c r="AK2815">
        <v>126.166201385286</v>
      </c>
      <c r="AL2815">
        <v>81.431102034953796</v>
      </c>
      <c r="AM2815">
        <v>96.496811297138393</v>
      </c>
      <c r="AN2815">
        <v>1.00000005415562</v>
      </c>
    </row>
    <row r="2816" spans="1:40" x14ac:dyDescent="0.25">
      <c r="A2816" t="str">
        <f>"20190304154814067"</f>
        <v>20190304154814067</v>
      </c>
      <c r="B2816" t="str">
        <f>"1551685694059271"</f>
        <v>1551685694059271</v>
      </c>
      <c r="C2816" t="s">
        <v>40</v>
      </c>
      <c r="D2816">
        <v>4.1980729999999999</v>
      </c>
      <c r="E2816">
        <v>0.55346139999999999</v>
      </c>
      <c r="F2816" t="s">
        <v>60</v>
      </c>
      <c r="G2816">
        <v>-449.54989999999998</v>
      </c>
      <c r="H2816" s="1">
        <v>3.339801E-6</v>
      </c>
      <c r="I2816">
        <v>289.31529999999998</v>
      </c>
      <c r="J2816">
        <v>-332.02140000000003</v>
      </c>
      <c r="K2816">
        <v>1.109939</v>
      </c>
      <c r="L2816">
        <v>285.36579999999998</v>
      </c>
      <c r="M2816">
        <v>-0.99994340000000004</v>
      </c>
      <c r="N2816">
        <v>-1.063996E-2</v>
      </c>
      <c r="O2816">
        <v>2.2792799999999999E-4</v>
      </c>
      <c r="P2816">
        <v>-0.98405670000000001</v>
      </c>
      <c r="Q2816">
        <v>0.13820589999999999</v>
      </c>
      <c r="R2816">
        <v>-0.1119455</v>
      </c>
      <c r="S2816">
        <v>-3.0644529999999999</v>
      </c>
      <c r="T2816">
        <v>-2.889359E-2</v>
      </c>
      <c r="U2816">
        <v>0.10281369999999999</v>
      </c>
      <c r="V2816">
        <v>-0.11209810000000001</v>
      </c>
      <c r="W2816">
        <v>0.1487223</v>
      </c>
      <c r="X2816">
        <v>0.98250479999999996</v>
      </c>
      <c r="Y2816">
        <v>3.33006E-2</v>
      </c>
      <c r="Z2816">
        <v>3.3443969999999998E-4</v>
      </c>
      <c r="AA2816">
        <v>0.99944529999999998</v>
      </c>
      <c r="AB2816">
        <v>36</v>
      </c>
      <c r="AC2816">
        <v>-117.528499999999</v>
      </c>
      <c r="AD2816">
        <v>-1.109935660199</v>
      </c>
      <c r="AE2816">
        <v>3.9495</v>
      </c>
      <c r="AF2816">
        <v>3.92236091068547</v>
      </c>
      <c r="AG2816">
        <v>-1.109935660199</v>
      </c>
      <c r="AH2816">
        <v>117.51892767663099</v>
      </c>
      <c r="AI2816">
        <v>90.540826488574794</v>
      </c>
      <c r="AJ2816">
        <v>88.0883817127215</v>
      </c>
      <c r="AK2816">
        <v>117.589605129657</v>
      </c>
      <c r="AL2816">
        <v>81.4471107131031</v>
      </c>
      <c r="AM2816">
        <v>96.508970078778006</v>
      </c>
      <c r="AN2816">
        <v>0.99999999428196995</v>
      </c>
    </row>
    <row r="2817" spans="1:40" x14ac:dyDescent="0.25">
      <c r="A2817" t="str">
        <f>"20190304154814078"</f>
        <v>20190304154814078</v>
      </c>
      <c r="B2817" t="str">
        <f>"1551685694070008"</f>
        <v>1551685694070008</v>
      </c>
      <c r="C2817" t="s">
        <v>40</v>
      </c>
      <c r="D2817">
        <v>4.219411</v>
      </c>
      <c r="E2817">
        <v>0.55353989999999997</v>
      </c>
      <c r="F2817" t="s">
        <v>60</v>
      </c>
      <c r="G2817">
        <v>-444.76839999999999</v>
      </c>
      <c r="H2817" s="1">
        <v>8.0356130000000003E-7</v>
      </c>
      <c r="I2817">
        <v>289.12720000000002</v>
      </c>
      <c r="J2817">
        <v>-332.21359999999999</v>
      </c>
      <c r="K2817">
        <v>1.109936</v>
      </c>
      <c r="L2817">
        <v>285.36599999999999</v>
      </c>
      <c r="M2817">
        <v>-0.99994329999999998</v>
      </c>
      <c r="N2817">
        <v>-1.0643100000000001E-2</v>
      </c>
      <c r="O2817">
        <v>3.3240450000000002E-4</v>
      </c>
      <c r="P2817">
        <v>-0.98401499999999997</v>
      </c>
      <c r="Q2817">
        <v>0.13832729999999999</v>
      </c>
      <c r="R2817">
        <v>-0.1121606</v>
      </c>
      <c r="S2817">
        <v>-3.0644840000000002</v>
      </c>
      <c r="T2817">
        <v>-3.016829E-2</v>
      </c>
      <c r="U2817">
        <v>0.1022339</v>
      </c>
      <c r="V2817">
        <v>-0.1124159</v>
      </c>
      <c r="W2817">
        <v>0.14884629999999999</v>
      </c>
      <c r="X2817">
        <v>0.98244969999999998</v>
      </c>
      <c r="Y2817">
        <v>3.3006779999999999E-2</v>
      </c>
      <c r="Z2817">
        <v>3.3839379999999999E-4</v>
      </c>
      <c r="AA2817">
        <v>0.99945510000000004</v>
      </c>
      <c r="AB2817">
        <v>36</v>
      </c>
      <c r="AC2817">
        <v>-112.5548</v>
      </c>
      <c r="AD2817">
        <v>-1.1099351964386901</v>
      </c>
      <c r="AE2817">
        <v>3.7612000000000299</v>
      </c>
      <c r="AF2817">
        <v>3.7234222704978199</v>
      </c>
      <c r="AG2817">
        <v>-1.1099351964386901</v>
      </c>
      <c r="AH2817">
        <v>112.54511185187999</v>
      </c>
      <c r="AI2817">
        <v>90.564731494086502</v>
      </c>
      <c r="AJ2817">
        <v>88.105127854931197</v>
      </c>
      <c r="AK2817">
        <v>112.612157564345</v>
      </c>
      <c r="AL2817">
        <v>81.439925982991994</v>
      </c>
      <c r="AM2817">
        <v>96.527627012863505</v>
      </c>
      <c r="AN2817">
        <v>0.99999998431329395</v>
      </c>
    </row>
    <row r="2818" spans="1:40" x14ac:dyDescent="0.25">
      <c r="A2818" t="str">
        <f>"20190304154814090"</f>
        <v>20190304154814090</v>
      </c>
      <c r="B2818" t="str">
        <f>"1551685694079767"</f>
        <v>1551685694079767</v>
      </c>
      <c r="C2818" t="s">
        <v>40</v>
      </c>
      <c r="D2818">
        <v>4.2195839999999896</v>
      </c>
      <c r="E2818">
        <v>0.55353619999999903</v>
      </c>
      <c r="F2818" t="s">
        <v>60</v>
      </c>
      <c r="G2818">
        <v>-442.32490000000001</v>
      </c>
      <c r="H2818" s="1">
        <v>-4.9285889999999996E-7</v>
      </c>
      <c r="I2818">
        <v>289.03800000000001</v>
      </c>
      <c r="J2818">
        <v>-332.41489999999999</v>
      </c>
      <c r="K2818">
        <v>1.109934</v>
      </c>
      <c r="L2818">
        <v>285.36610000000002</v>
      </c>
      <c r="M2818">
        <v>-0.99994329999999998</v>
      </c>
      <c r="N2818">
        <v>-1.0646320000000001E-2</v>
      </c>
      <c r="O2818">
        <v>4.4146959999999999E-4</v>
      </c>
      <c r="P2818">
        <v>-0.98412100000000002</v>
      </c>
      <c r="Q2818">
        <v>0.13792939999999901</v>
      </c>
      <c r="R2818">
        <v>-0.11172029999999999</v>
      </c>
      <c r="S2818">
        <v>-3.0647280000000001</v>
      </c>
      <c r="T2818">
        <v>-3.0892849999999999E-2</v>
      </c>
      <c r="U2818">
        <v>0.1022034</v>
      </c>
      <c r="V2818">
        <v>-0.112083</v>
      </c>
      <c r="W2818">
        <v>0.14845259999999999</v>
      </c>
      <c r="X2818">
        <v>0.98254730000000001</v>
      </c>
      <c r="Y2818">
        <v>3.2885060000000001E-2</v>
      </c>
      <c r="Z2818">
        <v>3.4105780000000003E-4</v>
      </c>
      <c r="AA2818">
        <v>0.99945910000000004</v>
      </c>
      <c r="AB2818">
        <v>36</v>
      </c>
      <c r="AC2818">
        <v>-109.91</v>
      </c>
      <c r="AD2818">
        <v>-1.1099344928588999</v>
      </c>
      <c r="AE2818">
        <v>3.6718999999999902</v>
      </c>
      <c r="AF2818">
        <v>3.62300590507681</v>
      </c>
      <c r="AG2818">
        <v>-1.1099344928588999</v>
      </c>
      <c r="AH2818">
        <v>109.90041512707</v>
      </c>
      <c r="AI2818">
        <v>90.578322429711804</v>
      </c>
      <c r="AJ2818">
        <v>88.111856104874306</v>
      </c>
      <c r="AK2818">
        <v>109.96571907403199</v>
      </c>
      <c r="AL2818">
        <v>81.462736766918596</v>
      </c>
      <c r="AM2818">
        <v>96.507821728383206</v>
      </c>
      <c r="AN2818">
        <v>0.99999998503652399</v>
      </c>
    </row>
    <row r="2819" spans="1:40" x14ac:dyDescent="0.25">
      <c r="A2819" t="str">
        <f>"20190304154814103"</f>
        <v>20190304154814103</v>
      </c>
      <c r="B2819" t="str">
        <f>"1551685694099288"</f>
        <v>1551685694099288</v>
      </c>
      <c r="C2819" t="s">
        <v>40</v>
      </c>
      <c r="D2819">
        <v>4.2333400000000001</v>
      </c>
      <c r="E2819">
        <v>0.55346070000000003</v>
      </c>
      <c r="F2819" t="s">
        <v>61</v>
      </c>
      <c r="G2819">
        <v>-433.98910000000001</v>
      </c>
      <c r="H2819" s="1">
        <v>3.6206819999999998E-6</v>
      </c>
      <c r="I2819">
        <v>288.79480000000001</v>
      </c>
      <c r="J2819">
        <v>-332.6062</v>
      </c>
      <c r="K2819">
        <v>1.109931</v>
      </c>
      <c r="L2819">
        <v>285.36630000000002</v>
      </c>
      <c r="M2819">
        <v>-0.99994320000000003</v>
      </c>
      <c r="N2819">
        <v>-1.0649240000000001E-2</v>
      </c>
      <c r="O2819">
        <v>5.4528930000000001E-4</v>
      </c>
      <c r="P2819">
        <v>-0.98415589999999997</v>
      </c>
      <c r="Q2819">
        <v>0.1378065</v>
      </c>
      <c r="R2819">
        <v>-0.111565899999999</v>
      </c>
      <c r="S2819">
        <v>-3.064819</v>
      </c>
      <c r="T2819">
        <v>-3.3490180000000001E-2</v>
      </c>
      <c r="U2819">
        <v>0.10345459999999999</v>
      </c>
      <c r="V2819">
        <v>-0.1120307</v>
      </c>
      <c r="W2819">
        <v>0.148333299999999</v>
      </c>
      <c r="X2819">
        <v>0.98257130000000004</v>
      </c>
      <c r="Y2819">
        <v>3.3187389999999997E-2</v>
      </c>
      <c r="Z2819">
        <v>3.5789189999999997E-4</v>
      </c>
      <c r="AA2819">
        <v>0.99944909999999998</v>
      </c>
      <c r="AB2819">
        <v>36</v>
      </c>
      <c r="AC2819">
        <v>-101.38290000000001</v>
      </c>
      <c r="AD2819">
        <v>-1.109927379318</v>
      </c>
      <c r="AE2819">
        <v>3.4284999999999801</v>
      </c>
      <c r="AF2819">
        <v>3.3728095580022002</v>
      </c>
      <c r="AG2819">
        <v>-1.109927379318</v>
      </c>
      <c r="AH2819">
        <v>101.372618320529</v>
      </c>
      <c r="AI2819">
        <v>90.626958727946203</v>
      </c>
      <c r="AJ2819">
        <v>88.094391801743896</v>
      </c>
      <c r="AK2819">
        <v>101.43478460696601</v>
      </c>
      <c r="AL2819">
        <v>81.469648829921198</v>
      </c>
      <c r="AM2819">
        <v>96.504653567718904</v>
      </c>
      <c r="AN2819">
        <v>1.00000000260753</v>
      </c>
    </row>
    <row r="2820" spans="1:40" x14ac:dyDescent="0.25">
      <c r="A2820" t="str">
        <f>"20190304154814115"</f>
        <v>20190304154814115</v>
      </c>
      <c r="B2820" t="str">
        <f>"1551685694110023"</f>
        <v>1551685694110023</v>
      </c>
      <c r="C2820" t="s">
        <v>40</v>
      </c>
      <c r="D2820">
        <v>4.2089689999999997</v>
      </c>
      <c r="E2820">
        <v>0.55345919999999904</v>
      </c>
      <c r="F2820" t="s">
        <v>61</v>
      </c>
      <c r="G2820">
        <v>-429.13080000000002</v>
      </c>
      <c r="H2820" s="1">
        <v>1.9953120000000001E-6</v>
      </c>
      <c r="I2820">
        <v>288.61579999999998</v>
      </c>
      <c r="J2820">
        <v>-332.81020000000001</v>
      </c>
      <c r="K2820">
        <v>1.109926</v>
      </c>
      <c r="L2820">
        <v>285.36649999999997</v>
      </c>
      <c r="M2820">
        <v>-0.99994309999999997</v>
      </c>
      <c r="N2820">
        <v>-1.06523E-2</v>
      </c>
      <c r="O2820">
        <v>6.5584319999999999E-4</v>
      </c>
      <c r="P2820">
        <v>-0.98412670000000002</v>
      </c>
      <c r="Q2820">
        <v>0.13791249999999999</v>
      </c>
      <c r="R2820">
        <v>-0.11169270000000001</v>
      </c>
      <c r="S2820">
        <v>-3.064972</v>
      </c>
      <c r="T2820">
        <v>-3.5243869999999997E-2</v>
      </c>
      <c r="U2820">
        <v>0.1031799</v>
      </c>
      <c r="V2820">
        <v>-0.1122659</v>
      </c>
      <c r="W2820">
        <v>0.14844170000000001</v>
      </c>
      <c r="X2820">
        <v>0.98252810000000002</v>
      </c>
      <c r="Y2820">
        <v>3.2985460000000001E-2</v>
      </c>
      <c r="Z2820">
        <v>3.6478550000000002E-4</v>
      </c>
      <c r="AA2820">
        <v>0.99945569999999895</v>
      </c>
      <c r="AB2820">
        <v>36</v>
      </c>
      <c r="AC2820">
        <v>-96.320599999999999</v>
      </c>
      <c r="AD2820">
        <v>-1.1099240046879999</v>
      </c>
      <c r="AE2820">
        <v>3.2492999999999999</v>
      </c>
      <c r="AF2820">
        <v>3.1857019777893401</v>
      </c>
      <c r="AG2820">
        <v>-1.1099240046879999</v>
      </c>
      <c r="AH2820">
        <v>96.309936482518907</v>
      </c>
      <c r="AI2820">
        <v>90.659915179828999</v>
      </c>
      <c r="AJ2820">
        <v>88.105483618323305</v>
      </c>
      <c r="AK2820">
        <v>96.369001725940393</v>
      </c>
      <c r="AL2820">
        <v>81.463368579592597</v>
      </c>
      <c r="AM2820">
        <v>96.518476323418</v>
      </c>
      <c r="AN2820">
        <v>1.0000000189456499</v>
      </c>
    </row>
    <row r="2821" spans="1:40" x14ac:dyDescent="0.25">
      <c r="A2821" t="str">
        <f>"20190304154814130"</f>
        <v>20190304154814130</v>
      </c>
      <c r="B2821" t="str">
        <f>"1551685694119784"</f>
        <v>1551685694119784</v>
      </c>
      <c r="C2821" t="s">
        <v>40</v>
      </c>
      <c r="D2821">
        <v>4.2333780000000001</v>
      </c>
      <c r="E2821">
        <v>0.55346799999999996</v>
      </c>
      <c r="F2821" t="s">
        <v>61</v>
      </c>
      <c r="G2821">
        <v>-428.23399999999998</v>
      </c>
      <c r="H2821" s="1">
        <v>2.1592649999999999E-6</v>
      </c>
      <c r="I2821">
        <v>288.5598</v>
      </c>
      <c r="J2821">
        <v>-333.04539999999997</v>
      </c>
      <c r="K2821">
        <v>1.1099250000000001</v>
      </c>
      <c r="L2821">
        <v>285.36680000000001</v>
      </c>
      <c r="M2821">
        <v>-0.99994300000000003</v>
      </c>
      <c r="N2821">
        <v>-1.065573E-2</v>
      </c>
      <c r="O2821">
        <v>7.8338189999999997E-4</v>
      </c>
      <c r="P2821">
        <v>-0.98418459999999997</v>
      </c>
      <c r="Q2821">
        <v>0.1379417</v>
      </c>
      <c r="R2821">
        <v>-0.1111439</v>
      </c>
      <c r="S2821">
        <v>-3.0650330000000001</v>
      </c>
      <c r="T2821">
        <v>-3.5650969999999997E-2</v>
      </c>
      <c r="U2821">
        <v>0.1025696</v>
      </c>
      <c r="V2821">
        <v>-0.1118427</v>
      </c>
      <c r="W2821">
        <v>0.14847469999999999</v>
      </c>
      <c r="X2821">
        <v>0.98257139999999998</v>
      </c>
      <c r="Y2821">
        <v>3.2658479999999997E-2</v>
      </c>
      <c r="Z2821">
        <v>3.6317530000000003E-4</v>
      </c>
      <c r="AA2821">
        <v>0.99946650000000004</v>
      </c>
      <c r="AB2821">
        <v>36</v>
      </c>
      <c r="AC2821">
        <v>-95.188599999999994</v>
      </c>
      <c r="AD2821">
        <v>-1.1099228407349999</v>
      </c>
      <c r="AE2821">
        <v>3.1929999999999801</v>
      </c>
      <c r="AF2821">
        <v>3.11800231445583</v>
      </c>
      <c r="AG2821">
        <v>-1.1099228407349999</v>
      </c>
      <c r="AH2821">
        <v>95.178146257063602</v>
      </c>
      <c r="AI2821">
        <v>90.667767992197696</v>
      </c>
      <c r="AJ2821">
        <v>88.123681610422096</v>
      </c>
      <c r="AK2821">
        <v>95.235672896642697</v>
      </c>
      <c r="AL2821">
        <v>81.461456822507699</v>
      </c>
      <c r="AM2821">
        <v>96.493830694510606</v>
      </c>
      <c r="AN2821">
        <v>1.00000004109066</v>
      </c>
    </row>
    <row r="2822" spans="1:40" x14ac:dyDescent="0.25">
      <c r="A2822" t="str">
        <f>"20190304154814145"</f>
        <v>20190304154814145</v>
      </c>
      <c r="B2822" t="str">
        <f>"1551685694139304"</f>
        <v>1551685694139304</v>
      </c>
      <c r="C2822" t="s">
        <v>40</v>
      </c>
      <c r="D2822">
        <v>4.2939639999999999</v>
      </c>
      <c r="E2822">
        <v>0.55268309999999998</v>
      </c>
      <c r="F2822" t="s">
        <v>61</v>
      </c>
      <c r="G2822">
        <v>-426.74529999999999</v>
      </c>
      <c r="H2822" s="1">
        <v>2.4243600000000002E-6</v>
      </c>
      <c r="I2822">
        <v>288.54820000000001</v>
      </c>
      <c r="J2822">
        <v>-333.2704</v>
      </c>
      <c r="K2822">
        <v>1.109917</v>
      </c>
      <c r="L2822">
        <v>285.36709999999999</v>
      </c>
      <c r="M2822">
        <v>-0.99994289999999997</v>
      </c>
      <c r="N2822">
        <v>-1.0658859999999999E-2</v>
      </c>
      <c r="O2822">
        <v>9.0573509999999999E-4</v>
      </c>
      <c r="P2822">
        <v>-0.98418099999999997</v>
      </c>
      <c r="Q2822">
        <v>0.1379532</v>
      </c>
      <c r="R2822">
        <v>-0.11116239999999999</v>
      </c>
      <c r="S2822">
        <v>-3.0650330000000001</v>
      </c>
      <c r="T2822">
        <v>-3.6306860000000003E-2</v>
      </c>
      <c r="U2822">
        <v>0.1040649</v>
      </c>
      <c r="V2822">
        <v>-0.1119812</v>
      </c>
      <c r="W2822">
        <v>0.14848939999999999</v>
      </c>
      <c r="X2822">
        <v>0.98255340000000002</v>
      </c>
      <c r="Y2822">
        <v>3.3023080000000003E-2</v>
      </c>
      <c r="Z2822">
        <v>3.7051210000000001E-4</v>
      </c>
      <c r="AA2822">
        <v>0.99945450000000002</v>
      </c>
      <c r="AB2822">
        <v>36</v>
      </c>
      <c r="AC2822">
        <v>-93.474900000000005</v>
      </c>
      <c r="AD2822">
        <v>-1.10991457564</v>
      </c>
      <c r="AE2822">
        <v>3.18110000000001</v>
      </c>
      <c r="AF2822">
        <v>3.0959943972255499</v>
      </c>
      <c r="AG2822">
        <v>-1.10991457564</v>
      </c>
      <c r="AH2822">
        <v>93.464580700624197</v>
      </c>
      <c r="AI2822">
        <v>90.679996377711205</v>
      </c>
      <c r="AJ2822">
        <v>88.1027831701645</v>
      </c>
      <c r="AK2822">
        <v>93.522430128907402</v>
      </c>
      <c r="AL2822">
        <v>81.460605102454807</v>
      </c>
      <c r="AM2822">
        <v>96.501921580484293</v>
      </c>
      <c r="AN2822">
        <v>1.0000000374586699</v>
      </c>
    </row>
    <row r="2823" spans="1:40" x14ac:dyDescent="0.25">
      <c r="A2823" t="str">
        <f>"20190304154814158"</f>
        <v>20190304154814158</v>
      </c>
      <c r="B2823" t="str">
        <f>"1551685694150040"</f>
        <v>1551685694150040</v>
      </c>
      <c r="C2823" t="s">
        <v>40</v>
      </c>
      <c r="D2823">
        <v>4.2940899999999997</v>
      </c>
      <c r="E2823">
        <v>0.55237809999999998</v>
      </c>
      <c r="F2823" t="s">
        <v>61</v>
      </c>
      <c r="G2823">
        <v>-417.51440000000002</v>
      </c>
      <c r="H2823" s="1">
        <v>3.2377969999999999E-6</v>
      </c>
      <c r="I2823">
        <v>288.05799999999999</v>
      </c>
      <c r="J2823">
        <v>-333.48059999999998</v>
      </c>
      <c r="K2823">
        <v>1.1099159999999999</v>
      </c>
      <c r="L2823">
        <v>285.36739999999998</v>
      </c>
      <c r="M2823">
        <v>-0.99994269999999996</v>
      </c>
      <c r="N2823">
        <v>-1.066172E-2</v>
      </c>
      <c r="O2823">
        <v>1.020101E-3</v>
      </c>
      <c r="P2823">
        <v>-0.98416610000000004</v>
      </c>
      <c r="Q2823">
        <v>0.1381878</v>
      </c>
      <c r="R2823">
        <v>-0.11100119999999999</v>
      </c>
      <c r="S2823">
        <v>-3.0649410000000001</v>
      </c>
      <c r="T2823">
        <v>-4.0380600000000003E-2</v>
      </c>
      <c r="U2823">
        <v>9.7900390000000004E-2</v>
      </c>
      <c r="V2823">
        <v>-0.11193259999999999</v>
      </c>
      <c r="W2823">
        <v>0.14872659999999999</v>
      </c>
      <c r="X2823">
        <v>0.98252300000000004</v>
      </c>
      <c r="Y2823">
        <v>3.0901229999999998E-2</v>
      </c>
      <c r="Z2823">
        <v>3.6572859999999999E-4</v>
      </c>
      <c r="AA2823">
        <v>0.99952240000000003</v>
      </c>
      <c r="AB2823">
        <v>36</v>
      </c>
      <c r="AC2823">
        <v>-84.033799999999999</v>
      </c>
      <c r="AD2823">
        <v>-1.1099127622029901</v>
      </c>
      <c r="AE2823">
        <v>2.6906000000000101</v>
      </c>
      <c r="AF2823">
        <v>2.6044168950149</v>
      </c>
      <c r="AG2823">
        <v>-1.1099127622029901</v>
      </c>
      <c r="AH2823">
        <v>84.021858552783399</v>
      </c>
      <c r="AI2823">
        <v>90.756459048174193</v>
      </c>
      <c r="AJ2823">
        <v>88.224577091773099</v>
      </c>
      <c r="AK2823">
        <v>84.069540312569103</v>
      </c>
      <c r="AL2823">
        <v>81.446861421614202</v>
      </c>
      <c r="AM2823">
        <v>96.499323252535305</v>
      </c>
      <c r="AN2823">
        <v>0.99999997700965904</v>
      </c>
    </row>
    <row r="2824" spans="1:40" x14ac:dyDescent="0.25">
      <c r="A2824" t="str">
        <f>"20190304154814171"</f>
        <v>20190304154814171</v>
      </c>
      <c r="B2824" t="str">
        <f>"1551685694169559"</f>
        <v>1551685694169559</v>
      </c>
      <c r="C2824" t="s">
        <v>40</v>
      </c>
      <c r="D2824">
        <v>4.3097289999999999</v>
      </c>
      <c r="E2824">
        <v>0.55181349999999996</v>
      </c>
      <c r="F2824" t="s">
        <v>61</v>
      </c>
      <c r="G2824">
        <v>-416.3064</v>
      </c>
      <c r="H2824" s="1">
        <v>3.0312669999999998E-6</v>
      </c>
      <c r="I2824">
        <v>287.96929999999998</v>
      </c>
      <c r="J2824">
        <v>-333.70159999999998</v>
      </c>
      <c r="K2824">
        <v>1.109917</v>
      </c>
      <c r="L2824">
        <v>285.36770000000001</v>
      </c>
      <c r="M2824">
        <v>-0.99994260000000001</v>
      </c>
      <c r="N2824">
        <v>-1.0664669999999999E-2</v>
      </c>
      <c r="O2824">
        <v>1.1400679999999999E-3</v>
      </c>
      <c r="P2824">
        <v>-0.98421069999999999</v>
      </c>
      <c r="Q2824">
        <v>0.13805990000000001</v>
      </c>
      <c r="R2824">
        <v>-0.1107663</v>
      </c>
      <c r="S2824">
        <v>-3.06488</v>
      </c>
      <c r="T2824">
        <v>-4.1071179999999999E-2</v>
      </c>
      <c r="U2824">
        <v>9.6282960000000001E-2</v>
      </c>
      <c r="V2824">
        <v>-0.11181580000000001</v>
      </c>
      <c r="W2824">
        <v>0.1486016</v>
      </c>
      <c r="X2824">
        <v>0.98255519999999996</v>
      </c>
      <c r="Y2824">
        <v>3.0254960000000001E-2</v>
      </c>
      <c r="Z2824">
        <v>3.609277E-4</v>
      </c>
      <c r="AA2824">
        <v>0.99954219999999905</v>
      </c>
      <c r="AB2824">
        <v>36</v>
      </c>
      <c r="AC2824">
        <v>-82.604799999999997</v>
      </c>
      <c r="AD2824">
        <v>-1.109913968733</v>
      </c>
      <c r="AE2824">
        <v>2.6015999999999599</v>
      </c>
      <c r="AF2824">
        <v>2.5069657217126702</v>
      </c>
      <c r="AG2824">
        <v>-1.109913968733</v>
      </c>
      <c r="AH2824">
        <v>82.592816133311899</v>
      </c>
      <c r="AI2824">
        <v>90.769561951895696</v>
      </c>
      <c r="AJ2824">
        <v>88.261416987642093</v>
      </c>
      <c r="AK2824">
        <v>82.638308689002699</v>
      </c>
      <c r="AL2824">
        <v>81.454103769462094</v>
      </c>
      <c r="AM2824">
        <v>96.492388286762704</v>
      </c>
      <c r="AN2824">
        <v>0.99999996484961895</v>
      </c>
    </row>
    <row r="2825" spans="1:40" x14ac:dyDescent="0.25">
      <c r="A2825" t="str">
        <f>"20190304154814187"</f>
        <v>20190304154814187</v>
      </c>
      <c r="B2825" t="str">
        <f>"1551685694179319"</f>
        <v>1551685694179319</v>
      </c>
      <c r="C2825" t="s">
        <v>40</v>
      </c>
      <c r="D2825">
        <v>4.2964260000000003</v>
      </c>
      <c r="E2825">
        <v>0.55157019999999901</v>
      </c>
      <c r="F2825" t="s">
        <v>61</v>
      </c>
      <c r="G2825">
        <v>-411.44119999999998</v>
      </c>
      <c r="H2825" s="1">
        <v>2.1907180000000001E-6</v>
      </c>
      <c r="I2825">
        <v>287.71249999999998</v>
      </c>
      <c r="J2825">
        <v>-333.95909999999998</v>
      </c>
      <c r="K2825">
        <v>1.1099110000000001</v>
      </c>
      <c r="L2825">
        <v>285.3682</v>
      </c>
      <c r="M2825">
        <v>-0.99994229999999995</v>
      </c>
      <c r="N2825">
        <v>-1.0668E-2</v>
      </c>
      <c r="O2825">
        <v>1.280062E-3</v>
      </c>
      <c r="P2825">
        <v>-0.98418530000000004</v>
      </c>
      <c r="Q2825">
        <v>0.13855290000000001</v>
      </c>
      <c r="R2825">
        <v>-0.11037520000000001</v>
      </c>
      <c r="S2825">
        <v>-3.0646969999999998</v>
      </c>
      <c r="T2825">
        <v>-4.3755769999999999E-2</v>
      </c>
      <c r="U2825">
        <v>9.2437740000000004E-2</v>
      </c>
      <c r="V2825">
        <v>-0.1115618</v>
      </c>
      <c r="W2825">
        <v>0.14909720000000001</v>
      </c>
      <c r="X2825">
        <v>0.98250899999999997</v>
      </c>
      <c r="Y2825">
        <v>2.8863690000000001E-2</v>
      </c>
      <c r="Z2825">
        <v>3.5538539999999997E-4</v>
      </c>
      <c r="AA2825">
        <v>0.99958329999999995</v>
      </c>
      <c r="AB2825">
        <v>36</v>
      </c>
      <c r="AC2825">
        <v>-77.482100000000003</v>
      </c>
      <c r="AD2825">
        <v>-1.109908809282</v>
      </c>
      <c r="AE2825">
        <v>2.3442999999999699</v>
      </c>
      <c r="AF2825">
        <v>2.2446503702609499</v>
      </c>
      <c r="AG2825">
        <v>-1.109908809282</v>
      </c>
      <c r="AH2825">
        <v>77.469155603577505</v>
      </c>
      <c r="AI2825">
        <v>90.8204822575984</v>
      </c>
      <c r="AJ2825">
        <v>88.340332753697794</v>
      </c>
      <c r="AK2825">
        <v>77.509615034400298</v>
      </c>
      <c r="AL2825">
        <v>81.425388151117403</v>
      </c>
      <c r="AM2825">
        <v>96.478067728558102</v>
      </c>
      <c r="AN2825">
        <v>0.99999997267403895</v>
      </c>
    </row>
    <row r="2826" spans="1:40" x14ac:dyDescent="0.25">
      <c r="A2826" t="str">
        <f>"20190304154814202"</f>
        <v>20190304154814202</v>
      </c>
      <c r="B2826" t="str">
        <f>"1551685694199815"</f>
        <v>1551685694199815</v>
      </c>
      <c r="C2826" t="s">
        <v>40</v>
      </c>
      <c r="D2826">
        <v>4.3165370000000003</v>
      </c>
      <c r="E2826">
        <v>0.55109919999999901</v>
      </c>
      <c r="F2826" t="s">
        <v>61</v>
      </c>
      <c r="G2826">
        <v>-412.05759999999998</v>
      </c>
      <c r="H2826" s="1">
        <v>2.300906E-6</v>
      </c>
      <c r="I2826">
        <v>287.7029</v>
      </c>
      <c r="J2826">
        <v>-334.20010000000002</v>
      </c>
      <c r="K2826">
        <v>1.10991</v>
      </c>
      <c r="L2826">
        <v>285.36860000000001</v>
      </c>
      <c r="M2826">
        <v>-0.99994209999999994</v>
      </c>
      <c r="N2826">
        <v>-1.067096E-2</v>
      </c>
      <c r="O2826">
        <v>1.4105809999999999E-3</v>
      </c>
      <c r="P2826">
        <v>-0.98425370000000001</v>
      </c>
      <c r="Q2826">
        <v>0.1384068</v>
      </c>
      <c r="R2826">
        <v>-0.109947699999999</v>
      </c>
      <c r="S2826">
        <v>-3.0646059999999999</v>
      </c>
      <c r="T2826">
        <v>-4.3553109999999999E-2</v>
      </c>
      <c r="U2826">
        <v>9.1613769999999997E-2</v>
      </c>
      <c r="V2826">
        <v>-0.111263</v>
      </c>
      <c r="W2826">
        <v>0.148954799999999</v>
      </c>
      <c r="X2826">
        <v>0.98256449999999995</v>
      </c>
      <c r="Y2826">
        <v>2.846572E-2</v>
      </c>
      <c r="Z2826">
        <v>3.4915519999999999E-4</v>
      </c>
      <c r="AA2826">
        <v>0.99959469999999995</v>
      </c>
      <c r="AB2826">
        <v>36</v>
      </c>
      <c r="AC2826">
        <v>-77.857499999999902</v>
      </c>
      <c r="AD2826">
        <v>-1.109907699094</v>
      </c>
      <c r="AE2826">
        <v>2.3342999999999798</v>
      </c>
      <c r="AF2826">
        <v>2.2240155521283498</v>
      </c>
      <c r="AG2826">
        <v>-1.109907699094</v>
      </c>
      <c r="AH2826">
        <v>77.844909772787602</v>
      </c>
      <c r="AI2826">
        <v>90.816531048597994</v>
      </c>
      <c r="AJ2826">
        <v>88.363514685735097</v>
      </c>
      <c r="AK2826">
        <v>77.884582028859001</v>
      </c>
      <c r="AL2826">
        <v>81.433639375584093</v>
      </c>
      <c r="AM2826">
        <v>96.460502331597695</v>
      </c>
      <c r="AN2826">
        <v>0.99999999213614399</v>
      </c>
    </row>
    <row r="2827" spans="1:40" x14ac:dyDescent="0.25">
      <c r="A2827" t="str">
        <f>"20190304154814221"</f>
        <v>20190304154814221</v>
      </c>
      <c r="B2827" t="str">
        <f>"1551685694209575"</f>
        <v>1551685694209575</v>
      </c>
      <c r="C2827" t="s">
        <v>40</v>
      </c>
      <c r="D2827">
        <v>4.3006699999999896</v>
      </c>
      <c r="E2827">
        <v>0.55083159999999998</v>
      </c>
      <c r="F2827" t="s">
        <v>61</v>
      </c>
      <c r="G2827">
        <v>-407.80849999999998</v>
      </c>
      <c r="H2827" s="1">
        <v>4.3405729999999999E-6</v>
      </c>
      <c r="I2827">
        <v>287.51490000000001</v>
      </c>
      <c r="J2827">
        <v>-334.48430000000002</v>
      </c>
      <c r="K2827">
        <v>1.109907</v>
      </c>
      <c r="L2827">
        <v>285.3691</v>
      </c>
      <c r="M2827">
        <v>-0.99994190000000005</v>
      </c>
      <c r="N2827">
        <v>-1.0674400000000001E-2</v>
      </c>
      <c r="O2827">
        <v>1.5645819999999999E-3</v>
      </c>
      <c r="P2827">
        <v>-0.98428329999999997</v>
      </c>
      <c r="Q2827">
        <v>0.13856930000000001</v>
      </c>
      <c r="R2827">
        <v>-0.1094784</v>
      </c>
      <c r="S2827">
        <v>-3.0644840000000002</v>
      </c>
      <c r="T2827">
        <v>-4.6207900000000003E-2</v>
      </c>
      <c r="U2827">
        <v>8.9355470000000006E-2</v>
      </c>
      <c r="V2827">
        <v>-0.1109449</v>
      </c>
      <c r="W2827">
        <v>0.14912120000000001</v>
      </c>
      <c r="X2827">
        <v>0.98257519999999998</v>
      </c>
      <c r="Y2827">
        <v>2.7576650000000001E-2</v>
      </c>
      <c r="Z2827">
        <v>3.4819609999999998E-4</v>
      </c>
      <c r="AA2827">
        <v>0.99961960000000005</v>
      </c>
      <c r="AB2827">
        <v>36</v>
      </c>
      <c r="AC2827">
        <v>-73.324199999999905</v>
      </c>
      <c r="AD2827">
        <v>-1.1099026594270001</v>
      </c>
      <c r="AE2827">
        <v>2.1457999999999999</v>
      </c>
      <c r="AF2827">
        <v>2.0306042576551202</v>
      </c>
      <c r="AG2827">
        <v>-1.1099026594270001</v>
      </c>
      <c r="AH2827">
        <v>73.3106846754999</v>
      </c>
      <c r="AI2827">
        <v>90.867042850706994</v>
      </c>
      <c r="AJ2827">
        <v>88.413392069509598</v>
      </c>
      <c r="AK2827">
        <v>73.347199845360095</v>
      </c>
      <c r="AL2827">
        <v>81.423997425762707</v>
      </c>
      <c r="AM2827">
        <v>96.442117742687401</v>
      </c>
      <c r="AN2827">
        <v>0.999999963390244</v>
      </c>
    </row>
    <row r="2828" spans="1:40" x14ac:dyDescent="0.25">
      <c r="A2828" t="str">
        <f>"20190304154814235"</f>
        <v>20190304154814235</v>
      </c>
      <c r="B2828" t="str">
        <f>"1551685694230071"</f>
        <v>1551685694230071</v>
      </c>
      <c r="C2828" t="s">
        <v>40</v>
      </c>
      <c r="D2828">
        <v>4.3215269999999997</v>
      </c>
      <c r="E2828">
        <v>0.55032769999999898</v>
      </c>
      <c r="F2828" t="s">
        <v>61</v>
      </c>
      <c r="G2828">
        <v>-406.93900000000002</v>
      </c>
      <c r="H2828" s="1">
        <v>4.7365420000000002E-6</v>
      </c>
      <c r="I2828">
        <v>287.46460000000002</v>
      </c>
      <c r="J2828">
        <v>-334.73090000000002</v>
      </c>
      <c r="K2828">
        <v>1.1099060000000001</v>
      </c>
      <c r="L2828">
        <v>285.36970000000002</v>
      </c>
      <c r="M2828">
        <v>-0.99994159999999999</v>
      </c>
      <c r="N2828">
        <v>-1.067738E-2</v>
      </c>
      <c r="O2828">
        <v>1.6983199999999999E-3</v>
      </c>
      <c r="P2828">
        <v>-0.98431250000000003</v>
      </c>
      <c r="Q2828">
        <v>0.13852039999999999</v>
      </c>
      <c r="R2828">
        <v>-0.10927580000000001</v>
      </c>
      <c r="S2828">
        <v>-3.0643310000000001</v>
      </c>
      <c r="T2828">
        <v>-4.6941160000000003E-2</v>
      </c>
      <c r="U2828">
        <v>8.8623049999999995E-2</v>
      </c>
      <c r="V2828">
        <v>-0.110874</v>
      </c>
      <c r="W2828">
        <v>0.14907500000000001</v>
      </c>
      <c r="X2828">
        <v>0.98259030000000003</v>
      </c>
      <c r="Y2828">
        <v>2.720562E-2</v>
      </c>
      <c r="Z2828">
        <v>3.4573250000000002E-4</v>
      </c>
      <c r="AA2828">
        <v>0.99962980000000001</v>
      </c>
      <c r="AB2828">
        <v>36</v>
      </c>
      <c r="AC2828">
        <v>-72.208100000000002</v>
      </c>
      <c r="AD2828">
        <v>-1.1099012634579899</v>
      </c>
      <c r="AE2828">
        <v>2.0948999999999902</v>
      </c>
      <c r="AF2828">
        <v>1.9717920618932501</v>
      </c>
      <c r="AG2828">
        <v>-1.1099012634579899</v>
      </c>
      <c r="AH2828">
        <v>72.194511274697604</v>
      </c>
      <c r="AI2828">
        <v>90.880454036286494</v>
      </c>
      <c r="AJ2828">
        <v>88.435514248886093</v>
      </c>
      <c r="AK2828">
        <v>72.229961255301902</v>
      </c>
      <c r="AL2828">
        <v>81.426675148984003</v>
      </c>
      <c r="AM2828">
        <v>96.4379373390436</v>
      </c>
      <c r="AN2828">
        <v>1.00000004857754</v>
      </c>
    </row>
    <row r="2829" spans="1:40" x14ac:dyDescent="0.25">
      <c r="A2829" t="str">
        <f>"20190304154814247"</f>
        <v>20190304154814247</v>
      </c>
      <c r="B2829" t="str">
        <f>"1551685694239831"</f>
        <v>1551685694239831</v>
      </c>
      <c r="C2829" t="s">
        <v>40</v>
      </c>
      <c r="D2829">
        <v>4.3159489999999998</v>
      </c>
      <c r="E2829">
        <v>0.55001990000000001</v>
      </c>
      <c r="F2829" t="s">
        <v>61</v>
      </c>
      <c r="G2829">
        <v>-403.60829999999999</v>
      </c>
      <c r="H2829" s="1">
        <v>6.2511259999999996E-6</v>
      </c>
      <c r="I2829">
        <v>287.28289999999998</v>
      </c>
      <c r="J2829">
        <v>-334.92840000000001</v>
      </c>
      <c r="K2829">
        <v>1.109912</v>
      </c>
      <c r="L2829">
        <v>285.37009999999998</v>
      </c>
      <c r="M2829">
        <v>-0.99994139999999998</v>
      </c>
      <c r="N2829">
        <v>-1.067971E-2</v>
      </c>
      <c r="O2829">
        <v>1.805238E-3</v>
      </c>
      <c r="P2829">
        <v>-0.98436250000000003</v>
      </c>
      <c r="Q2829">
        <v>0.1382844</v>
      </c>
      <c r="R2829">
        <v>-0.1091236</v>
      </c>
      <c r="S2829">
        <v>-3.064209</v>
      </c>
      <c r="T2829">
        <v>-4.9377079999999997E-2</v>
      </c>
      <c r="U2829">
        <v>8.5113530000000007E-2</v>
      </c>
      <c r="V2829">
        <v>-0.1108278</v>
      </c>
      <c r="W2829">
        <v>0.1488421</v>
      </c>
      <c r="X2829">
        <v>0.98263080000000003</v>
      </c>
      <c r="Y2829">
        <v>2.5955700000000002E-2</v>
      </c>
      <c r="Z2829">
        <v>3.3791209999999998E-4</v>
      </c>
      <c r="AA2829">
        <v>0.99966310000000003</v>
      </c>
      <c r="AB2829">
        <v>36</v>
      </c>
      <c r="AC2829">
        <v>-68.679899999999904</v>
      </c>
      <c r="AD2829">
        <v>-1.1099057488740001</v>
      </c>
      <c r="AE2829">
        <v>1.9128000000000001</v>
      </c>
      <c r="AF2829">
        <v>1.7883395662586501</v>
      </c>
      <c r="AG2829">
        <v>-1.1099057488740001</v>
      </c>
      <c r="AH2829">
        <v>68.665322339555601</v>
      </c>
      <c r="AI2829">
        <v>90.925734042480798</v>
      </c>
      <c r="AJ2829">
        <v>88.508109361987295</v>
      </c>
      <c r="AK2829">
        <v>68.697573036976294</v>
      </c>
      <c r="AL2829">
        <v>81.440169734785599</v>
      </c>
      <c r="AM2829">
        <v>96.435014217919701</v>
      </c>
      <c r="AN2829">
        <v>1.0000000305469401</v>
      </c>
    </row>
    <row r="2830" spans="1:40" x14ac:dyDescent="0.25">
      <c r="A2830" t="str">
        <f>"20190304154814260"</f>
        <v>20190304154814260</v>
      </c>
      <c r="B2830" t="str">
        <f>"1551685694249591"</f>
        <v>1551685694249591</v>
      </c>
      <c r="C2830" t="s">
        <v>40</v>
      </c>
      <c r="D2830">
        <v>4.3242629999999904</v>
      </c>
      <c r="E2830">
        <v>0.55001990000000001</v>
      </c>
      <c r="F2830" t="s">
        <v>61</v>
      </c>
      <c r="G2830">
        <v>-400.85539999999997</v>
      </c>
      <c r="H2830" s="1">
        <v>7.4970359999999997E-6</v>
      </c>
      <c r="I2830">
        <v>287.16129999999998</v>
      </c>
      <c r="J2830">
        <v>-335.11970000000002</v>
      </c>
      <c r="K2830">
        <v>1.1099110000000001</v>
      </c>
      <c r="L2830">
        <v>285.37049999999999</v>
      </c>
      <c r="M2830">
        <v>-0.99994119999999997</v>
      </c>
      <c r="N2830">
        <v>-1.0681950000000001E-2</v>
      </c>
      <c r="O2830">
        <v>1.908819E-3</v>
      </c>
      <c r="P2830">
        <v>-0.98441829999999997</v>
      </c>
      <c r="Q2830">
        <v>0.13809669999999999</v>
      </c>
      <c r="R2830">
        <v>-0.10885839999999899</v>
      </c>
      <c r="S2830">
        <v>-3.0641479999999999</v>
      </c>
      <c r="T2830">
        <v>-5.1586029999999998E-2</v>
      </c>
      <c r="U2830">
        <v>8.3251950000000005E-2</v>
      </c>
      <c r="V2830">
        <v>-0.1106641</v>
      </c>
      <c r="W2830">
        <v>0.14865629999999999</v>
      </c>
      <c r="X2830">
        <v>0.98267729999999998</v>
      </c>
      <c r="Y2830">
        <v>2.5245589999999998E-2</v>
      </c>
      <c r="Z2830">
        <v>3.3559459999999997E-4</v>
      </c>
      <c r="AA2830">
        <v>0.99968120000000005</v>
      </c>
      <c r="AB2830">
        <v>36</v>
      </c>
      <c r="AC2830">
        <v>-65.735699999999895</v>
      </c>
      <c r="AD2830">
        <v>-1.1099035029639901</v>
      </c>
      <c r="AE2830">
        <v>1.79079999999999</v>
      </c>
      <c r="AF2830">
        <v>1.6648377729439501</v>
      </c>
      <c r="AG2830">
        <v>-1.1099035029639901</v>
      </c>
      <c r="AH2830">
        <v>65.720277046948198</v>
      </c>
      <c r="AI2830">
        <v>90.967225880434498</v>
      </c>
      <c r="AJ2830">
        <v>88.548883450313795</v>
      </c>
      <c r="AK2830">
        <v>65.750729164958599</v>
      </c>
      <c r="AL2830">
        <v>81.450934423641897</v>
      </c>
      <c r="AM2830">
        <v>96.425287315857801</v>
      </c>
      <c r="AN2830">
        <v>0.99999995724689394</v>
      </c>
    </row>
    <row r="2831" spans="1:40" x14ac:dyDescent="0.25">
      <c r="A2831" t="str">
        <f>"20190304154814272"</f>
        <v>20190304154814272</v>
      </c>
      <c r="B2831" t="str">
        <f>"1551685694259351"</f>
        <v>1551685694259351</v>
      </c>
      <c r="C2831" t="s">
        <v>40</v>
      </c>
      <c r="D2831">
        <v>4.3699949999999896</v>
      </c>
      <c r="E2831">
        <v>0.55000419999999905</v>
      </c>
      <c r="F2831" t="s">
        <v>61</v>
      </c>
      <c r="G2831">
        <v>-400.21080000000001</v>
      </c>
      <c r="H2831" s="1">
        <v>7.7848159999999992E-6</v>
      </c>
      <c r="I2831">
        <v>287.15199999999999</v>
      </c>
      <c r="J2831">
        <v>-335.30680000000001</v>
      </c>
      <c r="K2831">
        <v>1.1099110000000001</v>
      </c>
      <c r="L2831">
        <v>285.37099999999998</v>
      </c>
      <c r="M2831">
        <v>-0.99994110000000003</v>
      </c>
      <c r="N2831">
        <v>-1.068412E-2</v>
      </c>
      <c r="O2831">
        <v>2.0101939999999999E-3</v>
      </c>
      <c r="P2831">
        <v>-0.98440919999999998</v>
      </c>
      <c r="Q2831">
        <v>0.13814709999999999</v>
      </c>
      <c r="R2831">
        <v>-0.108878</v>
      </c>
      <c r="S2831">
        <v>-3.0640869999999998</v>
      </c>
      <c r="T2831">
        <v>-5.2247410000000001E-2</v>
      </c>
      <c r="U2831">
        <v>8.3862300000000001E-2</v>
      </c>
      <c r="V2831">
        <v>-0.1107831</v>
      </c>
      <c r="W2831">
        <v>0.14870910000000001</v>
      </c>
      <c r="X2831">
        <v>0.98265590000000003</v>
      </c>
      <c r="Y2831">
        <v>2.5343620000000001E-2</v>
      </c>
      <c r="Z2831">
        <v>3.3865570000000001E-4</v>
      </c>
      <c r="AA2831">
        <v>0.99967870000000003</v>
      </c>
      <c r="AB2831">
        <v>36</v>
      </c>
      <c r="AC2831">
        <v>-64.903999999999996</v>
      </c>
      <c r="AD2831">
        <v>-1.109903215184</v>
      </c>
      <c r="AE2831">
        <v>1.7809999999999999</v>
      </c>
      <c r="AF2831">
        <v>1.65003718506688</v>
      </c>
      <c r="AG2831">
        <v>-1.109903215184</v>
      </c>
      <c r="AH2831">
        <v>64.8884879119082</v>
      </c>
      <c r="AI2831">
        <v>90.979619449197699</v>
      </c>
      <c r="AJ2831">
        <v>88.543350286645406</v>
      </c>
      <c r="AK2831">
        <v>64.918952327906794</v>
      </c>
      <c r="AL2831">
        <v>81.4478751813472</v>
      </c>
      <c r="AM2831">
        <v>96.432277624781193</v>
      </c>
      <c r="AN2831">
        <v>0.99999995473661396</v>
      </c>
    </row>
    <row r="2832" spans="1:40" x14ac:dyDescent="0.25">
      <c r="A2832" t="str">
        <f>"20190304154814287"</f>
        <v>20190304154814287</v>
      </c>
      <c r="B2832" t="str">
        <f>"1551685694279847"</f>
        <v>1551685694279847</v>
      </c>
      <c r="C2832" t="s">
        <v>40</v>
      </c>
      <c r="D2832">
        <v>4.2012609999999997</v>
      </c>
      <c r="E2832">
        <v>0.55038710000000002</v>
      </c>
      <c r="F2832" t="s">
        <v>61</v>
      </c>
      <c r="G2832">
        <v>-400.66410000000002</v>
      </c>
      <c r="H2832" s="1">
        <v>7.5835310000000001E-6</v>
      </c>
      <c r="I2832">
        <v>287.1533</v>
      </c>
      <c r="J2832">
        <v>-335.56380000000001</v>
      </c>
      <c r="K2832">
        <v>1.1099159999999999</v>
      </c>
      <c r="L2832">
        <v>285.3716</v>
      </c>
      <c r="M2832">
        <v>-0.99994059999999996</v>
      </c>
      <c r="N2832">
        <v>-1.068707E-2</v>
      </c>
      <c r="O2832">
        <v>2.1482789999999999E-3</v>
      </c>
      <c r="P2832">
        <v>-0.98442940000000001</v>
      </c>
      <c r="Q2832">
        <v>0.13788989999999901</v>
      </c>
      <c r="R2832">
        <v>-0.10902050000000001</v>
      </c>
      <c r="S2832">
        <v>-3.0640559999999999</v>
      </c>
      <c r="T2832">
        <v>-5.203402E-2</v>
      </c>
      <c r="U2832">
        <v>8.3557129999999993E-2</v>
      </c>
      <c r="V2832">
        <v>-0.11106149999999999</v>
      </c>
      <c r="W2832">
        <v>0.14845539999999999</v>
      </c>
      <c r="X2832">
        <v>0.98266290000000001</v>
      </c>
      <c r="Y2832">
        <v>2.5106449999999999E-2</v>
      </c>
      <c r="Z2832">
        <v>3.3380870000000002E-4</v>
      </c>
      <c r="AA2832">
        <v>0.99968480000000004</v>
      </c>
      <c r="AB2832">
        <v>36</v>
      </c>
      <c r="AC2832">
        <v>-65.100300000000004</v>
      </c>
      <c r="AD2832">
        <v>-1.1099084164689901</v>
      </c>
      <c r="AE2832">
        <v>1.7817000000000001</v>
      </c>
      <c r="AF2832">
        <v>1.6413575505592599</v>
      </c>
      <c r="AG2832">
        <v>-1.1099084164689901</v>
      </c>
      <c r="AH2832">
        <v>65.0850730967706</v>
      </c>
      <c r="AI2832">
        <v>90.976670916670997</v>
      </c>
      <c r="AJ2832">
        <v>88.555384099864597</v>
      </c>
      <c r="AK2832">
        <v>65.115226263245802</v>
      </c>
      <c r="AL2832">
        <v>81.462574831600094</v>
      </c>
      <c r="AM2832">
        <v>96.448260530177393</v>
      </c>
      <c r="AN2832">
        <v>1.0000000188039</v>
      </c>
    </row>
    <row r="2833" spans="1:40" x14ac:dyDescent="0.25">
      <c r="A2833" t="str">
        <f>"20190304154814300"</f>
        <v>20190304154814300</v>
      </c>
      <c r="B2833" t="str">
        <f>"1551685694289607"</f>
        <v>1551685694289607</v>
      </c>
      <c r="C2833" t="s">
        <v>40</v>
      </c>
      <c r="D2833">
        <v>4.2011539999999998</v>
      </c>
      <c r="E2833">
        <v>0.55050710000000003</v>
      </c>
      <c r="F2833" t="s">
        <v>61</v>
      </c>
      <c r="G2833">
        <v>-405.34980000000002</v>
      </c>
      <c r="H2833" s="1">
        <v>5.4691550000000003E-6</v>
      </c>
      <c r="I2833">
        <v>287.3297</v>
      </c>
      <c r="J2833">
        <v>-335.76199999999898</v>
      </c>
      <c r="K2833">
        <v>1.1099159999999999</v>
      </c>
      <c r="L2833">
        <v>285.37209999999999</v>
      </c>
      <c r="M2833">
        <v>-0.99994039999999995</v>
      </c>
      <c r="N2833">
        <v>-1.0689300000000001E-2</v>
      </c>
      <c r="O2833">
        <v>2.254476E-3</v>
      </c>
      <c r="P2833">
        <v>-0.98446120000000004</v>
      </c>
      <c r="Q2833">
        <v>0.13782559999999999</v>
      </c>
      <c r="R2833">
        <v>-0.10881300000000001</v>
      </c>
      <c r="S2833">
        <v>-3.0637819999999998</v>
      </c>
      <c r="T2833">
        <v>-4.872787E-2</v>
      </c>
      <c r="U2833">
        <v>8.5968020000000006E-2</v>
      </c>
      <c r="V2833">
        <v>-0.110959</v>
      </c>
      <c r="W2833">
        <v>0.1483932</v>
      </c>
      <c r="X2833">
        <v>0.9826838</v>
      </c>
      <c r="Y2833">
        <v>2.5789200000000002E-2</v>
      </c>
      <c r="Z2833">
        <v>3.3115629999999998E-4</v>
      </c>
      <c r="AA2833">
        <v>0.99966730000000004</v>
      </c>
      <c r="AB2833">
        <v>36</v>
      </c>
      <c r="AC2833">
        <v>-69.587800000000001</v>
      </c>
      <c r="AD2833">
        <v>-1.1099105308449999</v>
      </c>
      <c r="AE2833">
        <v>1.95760000000001</v>
      </c>
      <c r="AF2833">
        <v>1.80024443517883</v>
      </c>
      <c r="AG2833">
        <v>-1.1099105308449999</v>
      </c>
      <c r="AH2833">
        <v>69.574351329423706</v>
      </c>
      <c r="AI2833">
        <v>90.913648802398697</v>
      </c>
      <c r="AJ2833">
        <v>88.517795769335905</v>
      </c>
      <c r="AK2833">
        <v>69.606487803386301</v>
      </c>
      <c r="AL2833">
        <v>81.466177919791903</v>
      </c>
      <c r="AM2833">
        <v>96.4422235425818</v>
      </c>
      <c r="AN2833">
        <v>0.999999946134838</v>
      </c>
    </row>
    <row r="2834" spans="1:40" x14ac:dyDescent="0.25">
      <c r="A2834" t="str">
        <f>"20190304154814312"</f>
        <v>20190304154814312</v>
      </c>
      <c r="B2834" t="str">
        <f>"1551685694309128"</f>
        <v>1551685694309128</v>
      </c>
      <c r="C2834" t="s">
        <v>40</v>
      </c>
      <c r="D2834">
        <v>4.2987380000000002</v>
      </c>
      <c r="E2834">
        <v>0.55011730000000003</v>
      </c>
      <c r="F2834" t="s">
        <v>61</v>
      </c>
      <c r="G2834">
        <v>-406.22739999999999</v>
      </c>
      <c r="H2834" s="1">
        <v>5.0666370000000003E-6</v>
      </c>
      <c r="I2834">
        <v>287.39429999999999</v>
      </c>
      <c r="J2834">
        <v>-335.95819999999998</v>
      </c>
      <c r="K2834">
        <v>1.109918</v>
      </c>
      <c r="L2834">
        <v>285.37270000000001</v>
      </c>
      <c r="M2834">
        <v>-0.99994019999999995</v>
      </c>
      <c r="N2834">
        <v>-1.069149E-2</v>
      </c>
      <c r="O2834">
        <v>2.359538E-3</v>
      </c>
      <c r="P2834">
        <v>-0.98441330000000005</v>
      </c>
      <c r="Q2834">
        <v>0.13789960000000001</v>
      </c>
      <c r="R2834">
        <v>-0.10915270000000001</v>
      </c>
      <c r="S2834">
        <v>-3.0637819999999998</v>
      </c>
      <c r="T2834">
        <v>-4.825807E-2</v>
      </c>
      <c r="U2834">
        <v>8.7921139999999995E-2</v>
      </c>
      <c r="V2834">
        <v>-0.111402399999999</v>
      </c>
      <c r="W2834">
        <v>0.14846860000000001</v>
      </c>
      <c r="X2834">
        <v>0.98262229999999995</v>
      </c>
      <c r="Y2834">
        <v>2.6320900000000001E-2</v>
      </c>
      <c r="Z2834">
        <v>3.3605609999999998E-4</v>
      </c>
      <c r="AA2834">
        <v>0.99965349999999997</v>
      </c>
      <c r="AB2834">
        <v>36</v>
      </c>
      <c r="AC2834">
        <v>-70.269199999999998</v>
      </c>
      <c r="AD2834">
        <v>-1.109912933363</v>
      </c>
      <c r="AE2834">
        <v>2.0215999999999701</v>
      </c>
      <c r="AF2834">
        <v>1.8553195750017799</v>
      </c>
      <c r="AG2834">
        <v>-1.109912933363</v>
      </c>
      <c r="AH2834">
        <v>70.256261158708</v>
      </c>
      <c r="AI2834">
        <v>90.904771742840794</v>
      </c>
      <c r="AJ2834">
        <v>88.487290968257895</v>
      </c>
      <c r="AK2834">
        <v>70.289518062408206</v>
      </c>
      <c r="AL2834">
        <v>81.461809909166007</v>
      </c>
      <c r="AM2834">
        <v>96.468150783482599</v>
      </c>
      <c r="AN2834">
        <v>1.0000000021844999</v>
      </c>
    </row>
    <row r="2835" spans="1:40" x14ac:dyDescent="0.25">
      <c r="A2835" t="str">
        <f>"20190304154814324"</f>
        <v>20190304154814324</v>
      </c>
      <c r="B2835" t="str">
        <f>"1551685694319863"</f>
        <v>1551685694319863</v>
      </c>
      <c r="C2835" t="s">
        <v>40</v>
      </c>
      <c r="D2835">
        <v>4.3097750000000001</v>
      </c>
      <c r="E2835">
        <v>0.54991599999999996</v>
      </c>
      <c r="F2835" t="s">
        <v>61</v>
      </c>
      <c r="G2835">
        <v>-404.4572</v>
      </c>
      <c r="H2835" s="1">
        <v>5.88249699999999E-6</v>
      </c>
      <c r="I2835">
        <v>287.24489999999997</v>
      </c>
      <c r="J2835">
        <v>-336.15440000000001</v>
      </c>
      <c r="K2835">
        <v>1.109917</v>
      </c>
      <c r="L2835">
        <v>285.3732</v>
      </c>
      <c r="M2835">
        <v>-0.99993989999999999</v>
      </c>
      <c r="N2835">
        <v>-1.0693660000000001E-2</v>
      </c>
      <c r="O2835">
        <v>2.4635859999999998E-3</v>
      </c>
      <c r="P2835">
        <v>-0.98440059999999996</v>
      </c>
      <c r="Q2835">
        <v>0.13796949999999999</v>
      </c>
      <c r="R2835">
        <v>-0.1091797</v>
      </c>
      <c r="S2835">
        <v>-3.0637509999999999</v>
      </c>
      <c r="T2835">
        <v>-4.964292E-2</v>
      </c>
      <c r="U2835">
        <v>8.3740229999999999E-2</v>
      </c>
      <c r="V2835">
        <v>-0.1115319</v>
      </c>
      <c r="W2835">
        <v>0.14854029999999999</v>
      </c>
      <c r="X2835">
        <v>0.98259680000000005</v>
      </c>
      <c r="Y2835">
        <v>2.485412E-2</v>
      </c>
      <c r="Z2835">
        <v>3.2067489999999999E-4</v>
      </c>
      <c r="AA2835">
        <v>0.999691</v>
      </c>
      <c r="AB2835">
        <v>36</v>
      </c>
      <c r="AC2835">
        <v>-68.302799999999905</v>
      </c>
      <c r="AD2835">
        <v>-1.1099111175030001</v>
      </c>
      <c r="AE2835">
        <v>1.8716999999999699</v>
      </c>
      <c r="AF2835">
        <v>1.7029655503760499</v>
      </c>
      <c r="AG2835">
        <v>-1.1099111175030001</v>
      </c>
      <c r="AH2835">
        <v>68.289185282099396</v>
      </c>
      <c r="AI2835">
        <v>90.930862834690203</v>
      </c>
      <c r="AJ2835">
        <v>88.571479223307804</v>
      </c>
      <c r="AK2835">
        <v>68.319432234521898</v>
      </c>
      <c r="AL2835">
        <v>81.457655964932002</v>
      </c>
      <c r="AM2835">
        <v>96.4757724972484</v>
      </c>
      <c r="AN2835">
        <v>1.00000002840596</v>
      </c>
    </row>
    <row r="2836" spans="1:40" x14ac:dyDescent="0.25">
      <c r="A2836" t="str">
        <f>"20190304154814336"</f>
        <v>20190304154814336</v>
      </c>
      <c r="B2836" t="str">
        <f>"1551685694329623"</f>
        <v>1551685694329623</v>
      </c>
      <c r="C2836" t="s">
        <v>40</v>
      </c>
      <c r="D2836">
        <v>4.274559</v>
      </c>
      <c r="E2836">
        <v>0.54972509999999997</v>
      </c>
      <c r="F2836" t="s">
        <v>61</v>
      </c>
      <c r="G2836">
        <v>-403.91120000000001</v>
      </c>
      <c r="H2836" s="1">
        <v>6.1362529999999998E-6</v>
      </c>
      <c r="I2836">
        <v>287.18880000000001</v>
      </c>
      <c r="J2836">
        <v>-336.34320000000002</v>
      </c>
      <c r="K2836">
        <v>1.109918</v>
      </c>
      <c r="L2836">
        <v>285.37380000000002</v>
      </c>
      <c r="M2836">
        <v>-0.99993969999999999</v>
      </c>
      <c r="N2836">
        <v>-1.0695720000000001E-2</v>
      </c>
      <c r="O2836">
        <v>2.5635810000000001E-3</v>
      </c>
      <c r="P2836">
        <v>-0.98441509999999999</v>
      </c>
      <c r="Q2836">
        <v>0.13787929999999901</v>
      </c>
      <c r="R2836">
        <v>-0.10916439999999999</v>
      </c>
      <c r="S2836">
        <v>-3.0636899999999998</v>
      </c>
      <c r="T2836">
        <v>-5.0185680000000003E-2</v>
      </c>
      <c r="U2836">
        <v>8.2092289999999998E-2</v>
      </c>
      <c r="V2836">
        <v>-0.11161500000000001</v>
      </c>
      <c r="W2836">
        <v>0.1484521</v>
      </c>
      <c r="X2836">
        <v>0.98260069999999999</v>
      </c>
      <c r="Y2836">
        <v>2.4217389999999998E-2</v>
      </c>
      <c r="Z2836">
        <v>3.1328580000000001E-4</v>
      </c>
      <c r="AA2836">
        <v>0.99970669999999995</v>
      </c>
      <c r="AB2836">
        <v>36</v>
      </c>
      <c r="AC2836">
        <v>-67.567999999999898</v>
      </c>
      <c r="AD2836">
        <v>-1.109911863747</v>
      </c>
      <c r="AE2836">
        <v>1.81499999999999</v>
      </c>
      <c r="AF2836">
        <v>1.64132555373056</v>
      </c>
      <c r="AG2836">
        <v>-1.109911863747</v>
      </c>
      <c r="AH2836">
        <v>67.554215907549207</v>
      </c>
      <c r="AI2836">
        <v>90.941004001279794</v>
      </c>
      <c r="AJ2836">
        <v>88.608191543883095</v>
      </c>
      <c r="AK2836">
        <v>67.583266721892002</v>
      </c>
      <c r="AL2836">
        <v>81.462766164928993</v>
      </c>
      <c r="AM2836">
        <v>96.480530921128903</v>
      </c>
      <c r="AN2836">
        <v>1.0000000349299401</v>
      </c>
    </row>
    <row r="2837" spans="1:40" x14ac:dyDescent="0.25">
      <c r="A2837" t="str">
        <f>"20190304154814348"</f>
        <v>20190304154814348</v>
      </c>
      <c r="B2837" t="str">
        <f>"1551685694339383"</f>
        <v>1551685694339383</v>
      </c>
      <c r="C2837" t="s">
        <v>40</v>
      </c>
      <c r="D2837">
        <v>4.3026739999999997</v>
      </c>
      <c r="E2837">
        <v>0.54950639999999995</v>
      </c>
      <c r="F2837" t="s">
        <v>61</v>
      </c>
      <c r="G2837">
        <v>-402.77949999999998</v>
      </c>
      <c r="H2837" s="1">
        <v>6.6525369999999998E-6</v>
      </c>
      <c r="I2837">
        <v>287.1189</v>
      </c>
      <c r="J2837">
        <v>-336.54539999999997</v>
      </c>
      <c r="K2837">
        <v>1.109917</v>
      </c>
      <c r="L2837">
        <v>285.37439999999998</v>
      </c>
      <c r="M2837">
        <v>-0.99993940000000003</v>
      </c>
      <c r="N2837">
        <v>-1.069789E-2</v>
      </c>
      <c r="O2837">
        <v>2.6701310000000001E-3</v>
      </c>
      <c r="P2837">
        <v>-0.98441679999999998</v>
      </c>
      <c r="Q2837">
        <v>0.13811619999999999</v>
      </c>
      <c r="R2837">
        <v>-0.1088479</v>
      </c>
      <c r="S2837">
        <v>-3.0636290000000002</v>
      </c>
      <c r="T2837">
        <v>-5.1182150000000003E-2</v>
      </c>
      <c r="U2837">
        <v>8.0474850000000001E-2</v>
      </c>
      <c r="V2837">
        <v>-0.1114038</v>
      </c>
      <c r="W2837">
        <v>0.14869070000000001</v>
      </c>
      <c r="X2837">
        <v>0.98258849999999998</v>
      </c>
      <c r="Y2837">
        <v>2.3583960000000001E-2</v>
      </c>
      <c r="Z2837">
        <v>3.0710589999999999E-4</v>
      </c>
      <c r="AA2837">
        <v>0.99972179999999999</v>
      </c>
      <c r="AB2837">
        <v>36</v>
      </c>
      <c r="AC2837">
        <v>-66.234099999999998</v>
      </c>
      <c r="AD2837">
        <v>-1.1099103474629901</v>
      </c>
      <c r="AE2837">
        <v>1.7445000000000099</v>
      </c>
      <c r="AF2837">
        <v>1.56719019184269</v>
      </c>
      <c r="AG2837">
        <v>-1.1099103474629901</v>
      </c>
      <c r="AH2837">
        <v>66.219939842064903</v>
      </c>
      <c r="AI2837">
        <v>90.959974107784205</v>
      </c>
      <c r="AJ2837">
        <v>88.644265985482406</v>
      </c>
      <c r="AK2837">
        <v>66.2477804817905</v>
      </c>
      <c r="AL2837">
        <v>81.448941197704201</v>
      </c>
      <c r="AM2837">
        <v>96.468451994763299</v>
      </c>
      <c r="AN2837">
        <v>0.999999945626588</v>
      </c>
    </row>
    <row r="2838" spans="1:40" x14ac:dyDescent="0.25">
      <c r="A2838" t="str">
        <f>"20190304154814359"</f>
        <v>20190304154814359</v>
      </c>
      <c r="B2838" t="str">
        <f>"1551685694350121"</f>
        <v>1551685694350121</v>
      </c>
      <c r="C2838" t="s">
        <v>40</v>
      </c>
      <c r="D2838">
        <v>4.3018910000000004</v>
      </c>
      <c r="E2838">
        <v>0.54933359999999998</v>
      </c>
      <c r="F2838" t="s">
        <v>61</v>
      </c>
      <c r="G2838">
        <v>-402.65039999999999</v>
      </c>
      <c r="H2838" s="1">
        <v>6.7145909999999996E-6</v>
      </c>
      <c r="I2838">
        <v>287.09570000000002</v>
      </c>
      <c r="J2838">
        <v>-336.72980000000001</v>
      </c>
      <c r="K2838">
        <v>1.109917</v>
      </c>
      <c r="L2838">
        <v>285.375</v>
      </c>
      <c r="M2838">
        <v>-0.99993909999999997</v>
      </c>
      <c r="N2838">
        <v>-1.069987E-2</v>
      </c>
      <c r="O2838">
        <v>2.766733E-3</v>
      </c>
      <c r="P2838">
        <v>-0.98441179999999995</v>
      </c>
      <c r="Q2838">
        <v>0.13818759999999999</v>
      </c>
      <c r="R2838">
        <v>-0.1088026</v>
      </c>
      <c r="S2838">
        <v>-3.0635680000000001</v>
      </c>
      <c r="T2838">
        <v>-5.1437620000000003E-2</v>
      </c>
      <c r="U2838">
        <v>7.9772949999999995E-2</v>
      </c>
      <c r="V2838">
        <v>-0.1114537</v>
      </c>
      <c r="W2838">
        <v>0.1487638</v>
      </c>
      <c r="X2838">
        <v>0.9825718</v>
      </c>
      <c r="Y2838">
        <v>2.3259040000000002E-2</v>
      </c>
      <c r="Z2838">
        <v>3.0284430000000002E-4</v>
      </c>
      <c r="AA2838">
        <v>0.99972950000000005</v>
      </c>
      <c r="AB2838">
        <v>36</v>
      </c>
      <c r="AC2838">
        <v>-65.920599999999894</v>
      </c>
      <c r="AD2838">
        <v>-1.1099102854089999</v>
      </c>
      <c r="AE2838">
        <v>1.7207000000000201</v>
      </c>
      <c r="AF2838">
        <v>1.53786263677122</v>
      </c>
      <c r="AG2838">
        <v>-1.1099102854089999</v>
      </c>
      <c r="AH2838">
        <v>65.906437745130603</v>
      </c>
      <c r="AI2838">
        <v>90.9645471032795</v>
      </c>
      <c r="AJ2838">
        <v>88.663301265280893</v>
      </c>
      <c r="AK2838">
        <v>65.933720193721896</v>
      </c>
      <c r="AL2838">
        <v>81.444705970348494</v>
      </c>
      <c r="AM2838">
        <v>96.471433826984395</v>
      </c>
      <c r="AN2838">
        <v>0.999999968794684</v>
      </c>
    </row>
    <row r="2839" spans="1:40" x14ac:dyDescent="0.25">
      <c r="A2839" t="str">
        <f>"20190304154814372"</f>
        <v>20190304154814372</v>
      </c>
      <c r="B2839" t="str">
        <f>"1551685694369639"</f>
        <v>1551685694369639</v>
      </c>
      <c r="C2839" t="s">
        <v>40</v>
      </c>
      <c r="D2839">
        <v>4.2950999999999997</v>
      </c>
      <c r="E2839">
        <v>0.54900899999999997</v>
      </c>
      <c r="F2839" t="s">
        <v>61</v>
      </c>
      <c r="G2839">
        <v>-402.1164</v>
      </c>
      <c r="H2839" s="1">
        <v>6.9614449999999997E-6</v>
      </c>
      <c r="I2839">
        <v>287.04700000000003</v>
      </c>
      <c r="J2839">
        <v>-336.9264</v>
      </c>
      <c r="K2839">
        <v>1.1099190000000001</v>
      </c>
      <c r="L2839">
        <v>285.37560000000002</v>
      </c>
      <c r="M2839">
        <v>-0.99993849999999995</v>
      </c>
      <c r="N2839">
        <v>-1.070198E-2</v>
      </c>
      <c r="O2839">
        <v>2.8695930000000001E-3</v>
      </c>
      <c r="P2839">
        <v>-0.98440700000000003</v>
      </c>
      <c r="Q2839">
        <v>0.13835829999999999</v>
      </c>
      <c r="R2839">
        <v>-0.1086261</v>
      </c>
      <c r="S2839">
        <v>-3.063507</v>
      </c>
      <c r="T2839">
        <v>-5.200171E-2</v>
      </c>
      <c r="U2839">
        <v>7.8338619999999998E-2</v>
      </c>
      <c r="V2839">
        <v>-0.11137859999999999</v>
      </c>
      <c r="W2839">
        <v>0.1489364</v>
      </c>
      <c r="X2839">
        <v>0.98255420000000004</v>
      </c>
      <c r="Y2839">
        <v>2.2689000000000001E-2</v>
      </c>
      <c r="Z2839">
        <v>2.9597640000000001E-4</v>
      </c>
      <c r="AA2839">
        <v>0.99974249999999998</v>
      </c>
      <c r="AB2839">
        <v>36</v>
      </c>
      <c r="AC2839">
        <v>-65.19</v>
      </c>
      <c r="AD2839">
        <v>-1.1099120385549901</v>
      </c>
      <c r="AE2839">
        <v>1.6714</v>
      </c>
      <c r="AF2839">
        <v>1.48388375222709</v>
      </c>
      <c r="AG2839">
        <v>-1.1099120385549901</v>
      </c>
      <c r="AH2839">
        <v>65.175647504969902</v>
      </c>
      <c r="AI2839">
        <v>90.975374401963705</v>
      </c>
      <c r="AJ2839">
        <v>88.695746128744503</v>
      </c>
      <c r="AK2839">
        <v>65.201984965302501</v>
      </c>
      <c r="AL2839">
        <v>81.434705576907206</v>
      </c>
      <c r="AM2839">
        <v>96.467225045098104</v>
      </c>
      <c r="AN2839">
        <v>0.99999999986027999</v>
      </c>
    </row>
    <row r="2840" spans="1:40" x14ac:dyDescent="0.25">
      <c r="A2840" t="str">
        <f>"20190304154814387"</f>
        <v>20190304154814387</v>
      </c>
      <c r="B2840" t="str">
        <f>"1551685694379402"</f>
        <v>1551685694379402</v>
      </c>
      <c r="C2840" t="s">
        <v>40</v>
      </c>
      <c r="D2840">
        <v>4.2272449999999999</v>
      </c>
      <c r="E2840">
        <v>0.54915849999999999</v>
      </c>
      <c r="F2840" t="s">
        <v>61</v>
      </c>
      <c r="G2840">
        <v>-401.20229999999998</v>
      </c>
      <c r="H2840" s="1">
        <v>7.3816690000000002E-6</v>
      </c>
      <c r="I2840">
        <v>286.97519999999997</v>
      </c>
      <c r="J2840">
        <v>-337.17919999999998</v>
      </c>
      <c r="K2840">
        <v>1.109912</v>
      </c>
      <c r="L2840">
        <v>285.37650000000002</v>
      </c>
      <c r="M2840">
        <v>-0.9999382</v>
      </c>
      <c r="N2840">
        <v>-1.070466E-2</v>
      </c>
      <c r="O2840">
        <v>3.0000460000000001E-3</v>
      </c>
      <c r="P2840">
        <v>-0.98429009999999995</v>
      </c>
      <c r="Q2840">
        <v>0.13921939999999999</v>
      </c>
      <c r="R2840">
        <v>-0.108588</v>
      </c>
      <c r="S2840">
        <v>-3.0633240000000002</v>
      </c>
      <c r="T2840">
        <v>-5.289721E-2</v>
      </c>
      <c r="U2840">
        <v>7.6232910000000001E-2</v>
      </c>
      <c r="V2840">
        <v>-0.111467899999999</v>
      </c>
      <c r="W2840">
        <v>0.1497983</v>
      </c>
      <c r="X2840">
        <v>0.98241310000000004</v>
      </c>
      <c r="Y2840">
        <v>2.1873360000000001E-2</v>
      </c>
      <c r="Z2840">
        <v>2.8623720000000002E-4</v>
      </c>
      <c r="AA2840">
        <v>0.99976069999999995</v>
      </c>
      <c r="AB2840">
        <v>36</v>
      </c>
      <c r="AC2840">
        <v>-64.023099999999999</v>
      </c>
      <c r="AD2840">
        <v>-1.109904618331</v>
      </c>
      <c r="AE2840">
        <v>1.59869999999995</v>
      </c>
      <c r="AF2840">
        <v>1.4061872055249101</v>
      </c>
      <c r="AG2840">
        <v>-1.109904618331</v>
      </c>
      <c r="AH2840">
        <v>64.008383403011294</v>
      </c>
      <c r="AI2840">
        <v>90.993169000375801</v>
      </c>
      <c r="AJ2840">
        <v>88.741483068360495</v>
      </c>
      <c r="AK2840">
        <v>64.033447483215099</v>
      </c>
      <c r="AL2840">
        <v>81.384762597976604</v>
      </c>
      <c r="AM2840">
        <v>96.473287998517705</v>
      </c>
      <c r="AN2840">
        <v>1.00000006123245</v>
      </c>
    </row>
    <row r="2841" spans="1:40" x14ac:dyDescent="0.25">
      <c r="A2841" t="str">
        <f>"20190304154814410"</f>
        <v>20190304154814410</v>
      </c>
      <c r="B2841" t="str">
        <f>"1551685694399895"</f>
        <v>1551685694399895</v>
      </c>
      <c r="C2841" t="s">
        <v>40</v>
      </c>
      <c r="D2841">
        <v>4.3116580000000004</v>
      </c>
      <c r="E2841">
        <v>0.54886230000000003</v>
      </c>
      <c r="F2841" t="s">
        <v>61</v>
      </c>
      <c r="G2841">
        <v>-405.61149999999998</v>
      </c>
      <c r="H2841" s="1">
        <v>5.3987980000000002E-6</v>
      </c>
      <c r="I2841">
        <v>287.1087</v>
      </c>
      <c r="J2841">
        <v>-337.541</v>
      </c>
      <c r="K2841">
        <v>1.1099110000000001</v>
      </c>
      <c r="L2841">
        <v>285.3777</v>
      </c>
      <c r="M2841">
        <v>-0.99993770000000004</v>
      </c>
      <c r="N2841">
        <v>-1.0708469999999999E-2</v>
      </c>
      <c r="O2841">
        <v>3.1860349999999998E-3</v>
      </c>
      <c r="P2841">
        <v>-0.98423179999999999</v>
      </c>
      <c r="Q2841">
        <v>0.13959299999999999</v>
      </c>
      <c r="R2841">
        <v>-0.1086366</v>
      </c>
      <c r="S2841">
        <v>-3.0634769999999998</v>
      </c>
      <c r="T2841">
        <v>-4.9686670000000002E-2</v>
      </c>
      <c r="U2841">
        <v>7.7545169999999997E-2</v>
      </c>
      <c r="V2841">
        <v>-0.1116999</v>
      </c>
      <c r="W2841">
        <v>0.1501749</v>
      </c>
      <c r="X2841">
        <v>0.98232920000000001</v>
      </c>
      <c r="Y2841">
        <v>2.211459E-2</v>
      </c>
      <c r="Z2841">
        <v>2.8019079999999999E-4</v>
      </c>
      <c r="AA2841">
        <v>0.99975539999999996</v>
      </c>
      <c r="AB2841">
        <v>36</v>
      </c>
      <c r="AC2841">
        <v>-68.070499999999896</v>
      </c>
      <c r="AD2841">
        <v>-1.1099056012019901</v>
      </c>
      <c r="AE2841">
        <v>1.7309999999999901</v>
      </c>
      <c r="AF2841">
        <v>1.5137016329810999</v>
      </c>
      <c r="AG2841">
        <v>-1.1099056012019901</v>
      </c>
      <c r="AH2841">
        <v>68.057587668682203</v>
      </c>
      <c r="AI2841">
        <v>90.934084688530703</v>
      </c>
      <c r="AJ2841">
        <v>88.725867002690507</v>
      </c>
      <c r="AK2841">
        <v>68.083466585931404</v>
      </c>
      <c r="AL2841">
        <v>81.362937708614496</v>
      </c>
      <c r="AM2841">
        <v>96.487195546019706</v>
      </c>
      <c r="AN2841">
        <v>1.00000001271133</v>
      </c>
    </row>
    <row r="2842" spans="1:40" x14ac:dyDescent="0.25">
      <c r="A2842" t="str">
        <f>"20190304154814424"</f>
        <v>20190304154814424</v>
      </c>
      <c r="B2842" t="str">
        <f>"1551685694419415"</f>
        <v>1551685694419415</v>
      </c>
      <c r="C2842" t="s">
        <v>40</v>
      </c>
      <c r="D2842">
        <v>4.1897659999999997</v>
      </c>
      <c r="E2842">
        <v>0.54907220000000001</v>
      </c>
      <c r="F2842" t="s">
        <v>61</v>
      </c>
      <c r="G2842">
        <v>-405.41180000000003</v>
      </c>
      <c r="H2842" s="1">
        <v>5.5021430000000004E-6</v>
      </c>
      <c r="I2842">
        <v>287.03699999999998</v>
      </c>
      <c r="J2842">
        <v>-337.75990000000002</v>
      </c>
      <c r="K2842">
        <v>1.109912</v>
      </c>
      <c r="L2842">
        <v>285.37849999999997</v>
      </c>
      <c r="M2842">
        <v>-0.99993719999999997</v>
      </c>
      <c r="N2842">
        <v>-1.071075E-2</v>
      </c>
      <c r="O2842">
        <v>3.2968730000000001E-3</v>
      </c>
      <c r="P2842">
        <v>-0.98420439999999998</v>
      </c>
      <c r="Q2842">
        <v>0.1399735</v>
      </c>
      <c r="R2842">
        <v>-0.1083929</v>
      </c>
      <c r="S2842">
        <v>-3.0634160000000001</v>
      </c>
      <c r="T2842">
        <v>-5.0096630000000003E-2</v>
      </c>
      <c r="U2842">
        <v>7.4890139999999994E-2</v>
      </c>
      <c r="V2842">
        <v>-0.111565</v>
      </c>
      <c r="W2842">
        <v>0.15055679999999999</v>
      </c>
      <c r="X2842">
        <v>0.98228599999999999</v>
      </c>
      <c r="Y2842">
        <v>2.1138480000000001E-2</v>
      </c>
      <c r="Z2842">
        <v>2.674458E-4</v>
      </c>
      <c r="AA2842">
        <v>0.99977649999999996</v>
      </c>
      <c r="AB2842">
        <v>36</v>
      </c>
      <c r="AC2842">
        <v>-67.651899999999998</v>
      </c>
      <c r="AD2842">
        <v>-1.1099064978569999</v>
      </c>
      <c r="AE2842">
        <v>1.65850000000006</v>
      </c>
      <c r="AF2842">
        <v>1.4350524388677799</v>
      </c>
      <c r="AG2842">
        <v>-1.1099064978569999</v>
      </c>
      <c r="AH2842">
        <v>67.638805646385606</v>
      </c>
      <c r="AI2842">
        <v>90.939888669523995</v>
      </c>
      <c r="AJ2842">
        <v>88.784571762028804</v>
      </c>
      <c r="AK2842">
        <v>67.663131003566505</v>
      </c>
      <c r="AL2842">
        <v>81.340804196386202</v>
      </c>
      <c r="AM2842">
        <v>96.479710159215998</v>
      </c>
      <c r="AN2842">
        <v>0.99999994252361801</v>
      </c>
    </row>
    <row r="2843" spans="1:40" x14ac:dyDescent="0.25">
      <c r="A2843" t="str">
        <f>"20190304154814443"</f>
        <v>20190304154814443</v>
      </c>
      <c r="B2843" t="str">
        <f>"1551685694439911"</f>
        <v>1551685694439911</v>
      </c>
      <c r="C2843" t="s">
        <v>40</v>
      </c>
      <c r="D2843">
        <v>4.2148269999999997</v>
      </c>
      <c r="E2843">
        <v>0.54924680000000003</v>
      </c>
      <c r="F2843" t="s">
        <v>61</v>
      </c>
      <c r="G2843">
        <v>-408.42430000000002</v>
      </c>
      <c r="H2843" s="1">
        <v>4.1406370000000002E-6</v>
      </c>
      <c r="I2843">
        <v>287.16090000000003</v>
      </c>
      <c r="J2843">
        <v>-338.07229999999998</v>
      </c>
      <c r="K2843">
        <v>1.109915</v>
      </c>
      <c r="L2843">
        <v>285.37970000000001</v>
      </c>
      <c r="M2843">
        <v>-0.99993659999999995</v>
      </c>
      <c r="N2843">
        <v>-1.071399E-2</v>
      </c>
      <c r="O2843">
        <v>3.4523380000000001E-3</v>
      </c>
      <c r="P2843">
        <v>-0.98422259999999995</v>
      </c>
      <c r="Q2843">
        <v>0.13990339999999901</v>
      </c>
      <c r="R2843">
        <v>-0.1083182</v>
      </c>
      <c r="S2843">
        <v>-3.0634769999999998</v>
      </c>
      <c r="T2843">
        <v>-4.8117279999999998E-2</v>
      </c>
      <c r="U2843">
        <v>7.7270510000000001E-2</v>
      </c>
      <c r="V2843">
        <v>-0.1116448</v>
      </c>
      <c r="W2843">
        <v>0.1504894</v>
      </c>
      <c r="X2843">
        <v>0.98228729999999997</v>
      </c>
      <c r="Y2843">
        <v>2.1759069999999998E-2</v>
      </c>
      <c r="Z2843">
        <v>2.7021249999999999E-4</v>
      </c>
      <c r="AA2843">
        <v>0.99976319999999996</v>
      </c>
      <c r="AB2843">
        <v>36</v>
      </c>
      <c r="AC2843">
        <v>-70.352000000000004</v>
      </c>
      <c r="AD2843">
        <v>-1.109910859363</v>
      </c>
      <c r="AE2843">
        <v>1.7812000000000101</v>
      </c>
      <c r="AF2843">
        <v>1.53791400901451</v>
      </c>
      <c r="AG2843">
        <v>-1.109910859363</v>
      </c>
      <c r="AH2843">
        <v>70.340233953785599</v>
      </c>
      <c r="AI2843">
        <v>90.903789149978707</v>
      </c>
      <c r="AJ2843">
        <v>88.747488594980396</v>
      </c>
      <c r="AK2843">
        <v>70.365798469769004</v>
      </c>
      <c r="AL2843">
        <v>81.344710767512893</v>
      </c>
      <c r="AM2843">
        <v>96.484296985571802</v>
      </c>
      <c r="AN2843">
        <v>0.99999998031034398</v>
      </c>
    </row>
    <row r="2844" spans="1:40" x14ac:dyDescent="0.25">
      <c r="A2844" t="str">
        <f>"20190304154814455"</f>
        <v>20190304154814455</v>
      </c>
      <c r="B2844" t="str">
        <f>"1551685694449672"</f>
        <v>1551685694449672</v>
      </c>
      <c r="C2844" t="s">
        <v>40</v>
      </c>
      <c r="D2844">
        <v>4.228898</v>
      </c>
      <c r="E2844">
        <v>0.54931540000000001</v>
      </c>
      <c r="F2844" t="s">
        <v>61</v>
      </c>
      <c r="G2844">
        <v>-409.28359999999998</v>
      </c>
      <c r="H2844" s="1">
        <v>3.7517980000000002E-6</v>
      </c>
      <c r="I2844">
        <v>287.1986</v>
      </c>
      <c r="J2844">
        <v>-338.27210000000002</v>
      </c>
      <c r="K2844">
        <v>1.1099139999999901</v>
      </c>
      <c r="L2844">
        <v>285.38049999999998</v>
      </c>
      <c r="M2844">
        <v>-0.9999363</v>
      </c>
      <c r="N2844">
        <v>-1.071605E-2</v>
      </c>
      <c r="O2844">
        <v>3.5497559999999998E-3</v>
      </c>
      <c r="P2844">
        <v>-0.98427920000000002</v>
      </c>
      <c r="Q2844">
        <v>0.13977709999999999</v>
      </c>
      <c r="R2844">
        <v>-0.10796889999999899</v>
      </c>
      <c r="S2844">
        <v>-3.0634769999999998</v>
      </c>
      <c r="T2844">
        <v>-4.7747850000000001E-2</v>
      </c>
      <c r="U2844">
        <v>7.8247070000000002E-2</v>
      </c>
      <c r="V2844">
        <v>-0.1113912</v>
      </c>
      <c r="W2844">
        <v>0.1503649</v>
      </c>
      <c r="X2844">
        <v>0.98233519999999996</v>
      </c>
      <c r="Y2844">
        <v>2.198017E-2</v>
      </c>
      <c r="Z2844">
        <v>2.7178E-4</v>
      </c>
      <c r="AA2844">
        <v>0.99975840000000005</v>
      </c>
      <c r="AB2844">
        <v>36</v>
      </c>
      <c r="AC2844">
        <v>-71.011499999999899</v>
      </c>
      <c r="AD2844">
        <v>-1.10991024820199</v>
      </c>
      <c r="AE2844">
        <v>1.81810000000001</v>
      </c>
      <c r="AF2844">
        <v>1.5656183505660899</v>
      </c>
      <c r="AG2844">
        <v>-1.10991024820199</v>
      </c>
      <c r="AH2844">
        <v>71.000172953920398</v>
      </c>
      <c r="AI2844">
        <v>90.8953857340897</v>
      </c>
      <c r="AJ2844">
        <v>88.736780698800601</v>
      </c>
      <c r="AK2844">
        <v>71.026105208333803</v>
      </c>
      <c r="AL2844">
        <v>81.351926575504805</v>
      </c>
      <c r="AM2844">
        <v>96.469380197440202</v>
      </c>
      <c r="AN2844">
        <v>1.0000000238742399</v>
      </c>
    </row>
    <row r="2845" spans="1:40" x14ac:dyDescent="0.25">
      <c r="A2845" t="str">
        <f>"20190304154814467"</f>
        <v>20190304154814467</v>
      </c>
      <c r="B2845" t="str">
        <f>"1551685694459431"</f>
        <v>1551685694459431</v>
      </c>
      <c r="C2845" t="s">
        <v>40</v>
      </c>
      <c r="D2845">
        <v>4.2102849999999998</v>
      </c>
      <c r="E2845">
        <v>0.54939930000000003</v>
      </c>
      <c r="F2845" t="s">
        <v>61</v>
      </c>
      <c r="G2845">
        <v>-409.57060000000001</v>
      </c>
      <c r="H2845" s="1">
        <v>3.614237E-6</v>
      </c>
      <c r="I2845">
        <v>287.2484</v>
      </c>
      <c r="J2845">
        <v>-338.45659999999998</v>
      </c>
      <c r="K2845">
        <v>1.1099139999999901</v>
      </c>
      <c r="L2845">
        <v>285.38119999999998</v>
      </c>
      <c r="M2845">
        <v>-0.99993600000000005</v>
      </c>
      <c r="N2845">
        <v>-1.071795E-2</v>
      </c>
      <c r="O2845">
        <v>3.6377520000000002E-3</v>
      </c>
      <c r="P2845">
        <v>-0.98427500000000001</v>
      </c>
      <c r="Q2845">
        <v>0.13970779999999999</v>
      </c>
      <c r="R2845">
        <v>-0.1080955</v>
      </c>
      <c r="S2845">
        <v>-3.0634769999999998</v>
      </c>
      <c r="T2845">
        <v>-4.768944E-2</v>
      </c>
      <c r="U2845">
        <v>8.0261230000000003E-2</v>
      </c>
      <c r="V2845">
        <v>-0.1116055</v>
      </c>
      <c r="W2845">
        <v>0.15029699999999999</v>
      </c>
      <c r="X2845">
        <v>0.98232129999999995</v>
      </c>
      <c r="Y2845">
        <v>2.2548950000000002E-2</v>
      </c>
      <c r="Z2845">
        <v>2.7871409999999998E-4</v>
      </c>
      <c r="AA2845">
        <v>0.99974569999999996</v>
      </c>
      <c r="AB2845">
        <v>36</v>
      </c>
      <c r="AC2845">
        <v>-71.114000000000004</v>
      </c>
      <c r="AD2845">
        <v>-1.1099103857629999</v>
      </c>
      <c r="AE2845">
        <v>1.86720000000002</v>
      </c>
      <c r="AF2845">
        <v>1.6080862532922</v>
      </c>
      <c r="AG2845">
        <v>-1.1099103857629999</v>
      </c>
      <c r="AH2845">
        <v>71.103013913969406</v>
      </c>
      <c r="AI2845">
        <v>90.894079717945402</v>
      </c>
      <c r="AJ2845">
        <v>88.704403006565499</v>
      </c>
      <c r="AK2845">
        <v>71.129856109179499</v>
      </c>
      <c r="AL2845">
        <v>81.355861959428296</v>
      </c>
      <c r="AM2845">
        <v>96.481811436811398</v>
      </c>
      <c r="AN2845">
        <v>1.0000000561364599</v>
      </c>
    </row>
    <row r="2846" spans="1:40" x14ac:dyDescent="0.25">
      <c r="A2846" t="str">
        <f>"20190304154814478"</f>
        <v>20190304154814478</v>
      </c>
      <c r="B2846" t="str">
        <f>"1551685694469191"</f>
        <v>1551685694469191</v>
      </c>
      <c r="C2846" t="s">
        <v>40</v>
      </c>
      <c r="D2846">
        <v>4.2475649999999998</v>
      </c>
      <c r="E2846">
        <v>0.54946569999999995</v>
      </c>
      <c r="F2846" t="s">
        <v>61</v>
      </c>
      <c r="G2846">
        <v>-410.0575</v>
      </c>
      <c r="H2846" s="1">
        <v>1.9843490000000001E-6</v>
      </c>
      <c r="I2846">
        <v>287.26560000000001</v>
      </c>
      <c r="J2846">
        <v>-338.65179999999998</v>
      </c>
      <c r="K2846">
        <v>1.1099239999999999</v>
      </c>
      <c r="L2846">
        <v>285.38200000000001</v>
      </c>
      <c r="M2846">
        <v>-0.99993560000000004</v>
      </c>
      <c r="N2846">
        <v>-1.0719950000000001E-2</v>
      </c>
      <c r="O2846">
        <v>3.7283609999999999E-3</v>
      </c>
      <c r="P2846">
        <v>-0.98434529999999998</v>
      </c>
      <c r="Q2846">
        <v>0.1393877</v>
      </c>
      <c r="R2846">
        <v>-0.107867</v>
      </c>
      <c r="S2846">
        <v>-3.0635379999999999</v>
      </c>
      <c r="T2846">
        <v>-4.7489049999999998E-2</v>
      </c>
      <c r="U2846">
        <v>8.0627439999999995E-2</v>
      </c>
      <c r="V2846">
        <v>-0.1114681</v>
      </c>
      <c r="W2846">
        <v>0.14997829999999901</v>
      </c>
      <c r="X2846">
        <v>0.98238550000000002</v>
      </c>
      <c r="Y2846">
        <v>2.257729E-2</v>
      </c>
      <c r="Z2846">
        <v>2.7818059999999998E-4</v>
      </c>
      <c r="AA2846">
        <v>0.99974510000000005</v>
      </c>
      <c r="AB2846">
        <v>36</v>
      </c>
      <c r="AC2846">
        <v>-71.405699999999996</v>
      </c>
      <c r="AD2846">
        <v>-1.1099220156509999</v>
      </c>
      <c r="AE2846">
        <v>1.8835999999999999</v>
      </c>
      <c r="AF2846">
        <v>1.61695497969507</v>
      </c>
      <c r="AG2846">
        <v>-1.1099220156509999</v>
      </c>
      <c r="AH2846">
        <v>71.394988874011403</v>
      </c>
      <c r="AI2846">
        <v>90.890432593869704</v>
      </c>
      <c r="AJ2846">
        <v>88.702585963409703</v>
      </c>
      <c r="AK2846">
        <v>71.421921751010004</v>
      </c>
      <c r="AL2846">
        <v>81.374330543995995</v>
      </c>
      <c r="AM2846">
        <v>96.473479837360202</v>
      </c>
      <c r="AN2846">
        <v>0.99999994919937296</v>
      </c>
    </row>
    <row r="2847" spans="1:40" x14ac:dyDescent="0.25">
      <c r="A2847" t="str">
        <f>"20190304154814490"</f>
        <v>20190304154814490</v>
      </c>
      <c r="B2847" t="str">
        <f>"1551685694479929"</f>
        <v>1551685694479929</v>
      </c>
      <c r="C2847" t="s">
        <v>40</v>
      </c>
      <c r="D2847">
        <v>4.2037170000000001</v>
      </c>
      <c r="E2847">
        <v>0.54950769999999904</v>
      </c>
      <c r="F2847" t="s">
        <v>61</v>
      </c>
      <c r="G2847">
        <v>-409.1397</v>
      </c>
      <c r="H2847" s="1">
        <v>3.8015369999999999E-6</v>
      </c>
      <c r="I2847">
        <v>287.26659999999998</v>
      </c>
      <c r="J2847">
        <v>-338.85109999999997</v>
      </c>
      <c r="K2847">
        <v>1.1099270000000001</v>
      </c>
      <c r="L2847">
        <v>285.38279999999997</v>
      </c>
      <c r="M2847">
        <v>-0.99993540000000003</v>
      </c>
      <c r="N2847">
        <v>-1.0721980000000001E-2</v>
      </c>
      <c r="O2847">
        <v>3.819383E-3</v>
      </c>
      <c r="P2847">
        <v>-0.98433289999999996</v>
      </c>
      <c r="Q2847">
        <v>0.13953260000000001</v>
      </c>
      <c r="R2847">
        <v>-0.1077949</v>
      </c>
      <c r="S2847">
        <v>-3.0634769999999998</v>
      </c>
      <c r="T2847">
        <v>-4.8238280000000001E-2</v>
      </c>
      <c r="U2847">
        <v>8.1909179999999998E-2</v>
      </c>
      <c r="V2847">
        <v>-0.11148669999999999</v>
      </c>
      <c r="W2847">
        <v>0.15012400000000001</v>
      </c>
      <c r="X2847">
        <v>0.98236120000000005</v>
      </c>
      <c r="Y2847">
        <v>2.2904629999999999E-2</v>
      </c>
      <c r="Z2847">
        <v>2.8393679999999999E-4</v>
      </c>
      <c r="AA2847">
        <v>0.9997376</v>
      </c>
      <c r="AB2847">
        <v>36</v>
      </c>
      <c r="AC2847">
        <v>-70.288600000000002</v>
      </c>
      <c r="AD2847">
        <v>-1.109923198463</v>
      </c>
      <c r="AE2847">
        <v>1.8837999999999999</v>
      </c>
      <c r="AF2847">
        <v>1.6149093943464801</v>
      </c>
      <c r="AG2847">
        <v>-1.109923198463</v>
      </c>
      <c r="AH2847">
        <v>70.277771177142697</v>
      </c>
      <c r="AI2847">
        <v>90.904579757892094</v>
      </c>
      <c r="AJ2847">
        <v>88.683634805570804</v>
      </c>
      <c r="AK2847">
        <v>70.305085047137695</v>
      </c>
      <c r="AL2847">
        <v>81.365887511180702</v>
      </c>
      <c r="AM2847">
        <v>96.474709652463304</v>
      </c>
      <c r="AN2847">
        <v>1.00000001345916</v>
      </c>
    </row>
    <row r="2848" spans="1:40" x14ac:dyDescent="0.25">
      <c r="A2848" t="str">
        <f>"20190304154814503"</f>
        <v>20190304154814503</v>
      </c>
      <c r="B2848" t="str">
        <f>"1551685694499447"</f>
        <v>1551685694499447</v>
      </c>
      <c r="C2848" t="s">
        <v>40</v>
      </c>
      <c r="D2848">
        <v>4.2288259999999998</v>
      </c>
      <c r="E2848">
        <v>0.5496065</v>
      </c>
      <c r="F2848" t="s">
        <v>61</v>
      </c>
      <c r="G2848">
        <v>-410.24639999999999</v>
      </c>
      <c r="H2848" s="1">
        <v>2.0146939999999998E-6</v>
      </c>
      <c r="I2848">
        <v>287.30160000000001</v>
      </c>
      <c r="J2848">
        <v>-339.04669999999999</v>
      </c>
      <c r="K2848">
        <v>1.109931</v>
      </c>
      <c r="L2848">
        <v>285.3836</v>
      </c>
      <c r="M2848">
        <v>-0.99993500000000002</v>
      </c>
      <c r="N2848">
        <v>-1.072381E-2</v>
      </c>
      <c r="O2848">
        <v>3.9027599999999999E-3</v>
      </c>
      <c r="P2848">
        <v>-0.98430910000000005</v>
      </c>
      <c r="Q2848">
        <v>0.1396636</v>
      </c>
      <c r="R2848">
        <v>-0.10784340000000001</v>
      </c>
      <c r="S2848">
        <v>-3.0634769999999998</v>
      </c>
      <c r="T2848">
        <v>-4.7625420000000002E-2</v>
      </c>
      <c r="U2848">
        <v>8.2336430000000002E-2</v>
      </c>
      <c r="V2848">
        <v>-0.11161840000000001</v>
      </c>
      <c r="W2848">
        <v>0.15025559999999999</v>
      </c>
      <c r="X2848">
        <v>0.98232609999999998</v>
      </c>
      <c r="Y2848">
        <v>2.2960669999999999E-2</v>
      </c>
      <c r="Z2848">
        <v>2.827722E-4</v>
      </c>
      <c r="AA2848">
        <v>0.99973630000000002</v>
      </c>
      <c r="AB2848">
        <v>36</v>
      </c>
      <c r="AC2848">
        <v>-71.199700000000007</v>
      </c>
      <c r="AD2848">
        <v>-1.1099289853059999</v>
      </c>
      <c r="AE2848">
        <v>1.9179999999999999</v>
      </c>
      <c r="AF2848">
        <v>1.63969592095387</v>
      </c>
      <c r="AG2848">
        <v>-1.1099289853059999</v>
      </c>
      <c r="AH2848">
        <v>71.189356043397396</v>
      </c>
      <c r="AI2848">
        <v>90.8930019843054</v>
      </c>
      <c r="AJ2848">
        <v>88.680546461439206</v>
      </c>
      <c r="AK2848">
        <v>71.216886754050194</v>
      </c>
      <c r="AL2848">
        <v>81.358260671832099</v>
      </c>
      <c r="AM2848">
        <v>96.4825228580181</v>
      </c>
      <c r="AN2848">
        <v>0.99999998964556502</v>
      </c>
    </row>
    <row r="2849" spans="1:40" x14ac:dyDescent="0.25">
      <c r="A2849" t="str">
        <f>"20190304154814517"</f>
        <v>20190304154814517</v>
      </c>
      <c r="B2849" t="str">
        <f>"1551685694509207"</f>
        <v>1551685694509207</v>
      </c>
      <c r="C2849" t="s">
        <v>40</v>
      </c>
      <c r="D2849">
        <v>4.2229749999999999</v>
      </c>
      <c r="E2849">
        <v>0.5496624</v>
      </c>
      <c r="F2849" t="s">
        <v>61</v>
      </c>
      <c r="G2849">
        <v>-412.29230000000001</v>
      </c>
      <c r="H2849" s="1">
        <v>2.3720930000000001E-6</v>
      </c>
      <c r="I2849">
        <v>287.36470000000003</v>
      </c>
      <c r="J2849">
        <v>-339.25189999999998</v>
      </c>
      <c r="K2849">
        <v>1.109942</v>
      </c>
      <c r="L2849">
        <v>285.3845</v>
      </c>
      <c r="M2849">
        <v>-0.99993460000000001</v>
      </c>
      <c r="N2849">
        <v>-1.0725760000000001E-2</v>
      </c>
      <c r="O2849">
        <v>3.986959E-3</v>
      </c>
      <c r="P2849">
        <v>-0.9843035</v>
      </c>
      <c r="Q2849">
        <v>0.13974639999999999</v>
      </c>
      <c r="R2849">
        <v>-0.1077858</v>
      </c>
      <c r="S2849">
        <v>-3.0634459999999999</v>
      </c>
      <c r="T2849">
        <v>-4.6421999999999998E-2</v>
      </c>
      <c r="U2849">
        <v>8.2855219999999993E-2</v>
      </c>
      <c r="V2849">
        <v>-0.11164549999999999</v>
      </c>
      <c r="W2849">
        <v>0.15033850000000001</v>
      </c>
      <c r="X2849">
        <v>0.98231040000000003</v>
      </c>
      <c r="Y2849">
        <v>2.30461E-2</v>
      </c>
      <c r="Z2849">
        <v>2.8056009999999999E-4</v>
      </c>
      <c r="AA2849">
        <v>0.99973429999999996</v>
      </c>
      <c r="AB2849">
        <v>36</v>
      </c>
      <c r="AC2849">
        <v>-73.040400000000005</v>
      </c>
      <c r="AD2849">
        <v>-1.109939627907</v>
      </c>
      <c r="AE2849">
        <v>1.9802000000000199</v>
      </c>
      <c r="AF2849">
        <v>1.6885688004442501</v>
      </c>
      <c r="AG2849">
        <v>-1.109939627907</v>
      </c>
      <c r="AH2849">
        <v>73.030862518800305</v>
      </c>
      <c r="AI2849">
        <v>90.870494612392406</v>
      </c>
      <c r="AJ2849">
        <v>88.675482835950206</v>
      </c>
      <c r="AK2849">
        <v>73.0588126841064</v>
      </c>
      <c r="AL2849">
        <v>81.353456822144807</v>
      </c>
      <c r="AM2849">
        <v>96.484186108164394</v>
      </c>
      <c r="AN2849">
        <v>1.0000000521003201</v>
      </c>
    </row>
    <row r="2850" spans="1:40" x14ac:dyDescent="0.25">
      <c r="A2850" t="str">
        <f>"20190304154814527"</f>
        <v>20190304154814527</v>
      </c>
      <c r="B2850" t="str">
        <f>"1551685694519943"</f>
        <v>1551685694519943</v>
      </c>
      <c r="C2850" t="s">
        <v>40</v>
      </c>
      <c r="D2850">
        <v>4.4272769999999904</v>
      </c>
      <c r="E2850">
        <v>0.54962900000000003</v>
      </c>
      <c r="F2850" t="s">
        <v>61</v>
      </c>
      <c r="G2850">
        <v>-413.0718</v>
      </c>
      <c r="H2850" s="1">
        <v>2.507586E-6</v>
      </c>
      <c r="I2850">
        <v>287.3965</v>
      </c>
      <c r="J2850">
        <v>-339.45409999999998</v>
      </c>
      <c r="K2850">
        <v>1.1099479999999999</v>
      </c>
      <c r="L2850">
        <v>285.3854</v>
      </c>
      <c r="M2850">
        <v>-0.9999344</v>
      </c>
      <c r="N2850">
        <v>-1.072773E-2</v>
      </c>
      <c r="O2850">
        <v>4.0632730000000001E-3</v>
      </c>
      <c r="P2850">
        <v>-0.98431349999999995</v>
      </c>
      <c r="Q2850">
        <v>0.13978099999999999</v>
      </c>
      <c r="R2850">
        <v>-0.1076521</v>
      </c>
      <c r="S2850">
        <v>-3.063507</v>
      </c>
      <c r="T2850">
        <v>-4.6062230000000003E-2</v>
      </c>
      <c r="U2850">
        <v>8.3496089999999995E-2</v>
      </c>
      <c r="V2850">
        <v>-0.1115897</v>
      </c>
      <c r="W2850">
        <v>0.15037339999999999</v>
      </c>
      <c r="X2850">
        <v>0.98231139999999995</v>
      </c>
      <c r="Y2850">
        <v>2.3178279999999999E-2</v>
      </c>
      <c r="Z2850">
        <v>2.8107760000000001E-4</v>
      </c>
      <c r="AA2850">
        <v>0.99973129999999999</v>
      </c>
      <c r="AB2850">
        <v>36</v>
      </c>
      <c r="AC2850">
        <v>-73.617699999999999</v>
      </c>
      <c r="AD2850">
        <v>-1.109945492414</v>
      </c>
      <c r="AE2850">
        <v>2.0110999999999901</v>
      </c>
      <c r="AF2850">
        <v>1.71154864898612</v>
      </c>
      <c r="AG2850">
        <v>-1.109945492414</v>
      </c>
      <c r="AH2850">
        <v>73.608544062573401</v>
      </c>
      <c r="AI2850">
        <v>90.863665935967205</v>
      </c>
      <c r="AJ2850">
        <v>88.667996386825607</v>
      </c>
      <c r="AK2850">
        <v>73.636805585154093</v>
      </c>
      <c r="AL2850">
        <v>81.351434219126702</v>
      </c>
      <c r="AM2850">
        <v>96.480966374453104</v>
      </c>
      <c r="AN2850">
        <v>1.0000000535718001</v>
      </c>
    </row>
    <row r="2851" spans="1:40" x14ac:dyDescent="0.25">
      <c r="A2851" t="str">
        <f>"20190304154814544"</f>
        <v>20190304154814544</v>
      </c>
      <c r="B2851" t="str">
        <f>"1551685694539464"</f>
        <v>1551685694539464</v>
      </c>
      <c r="C2851" t="s">
        <v>40</v>
      </c>
      <c r="D2851">
        <v>4.2231610000000002</v>
      </c>
      <c r="E2851">
        <v>0.51473329999999995</v>
      </c>
      <c r="F2851" t="s">
        <v>61</v>
      </c>
      <c r="G2851">
        <v>-415.23099999999999</v>
      </c>
      <c r="H2851" s="1">
        <v>2.8857210000000001E-6</v>
      </c>
      <c r="I2851">
        <v>287.45229999999998</v>
      </c>
      <c r="J2851">
        <v>-339.70139999999998</v>
      </c>
      <c r="K2851">
        <v>1.1099589999999999</v>
      </c>
      <c r="L2851">
        <v>285.38639999999998</v>
      </c>
      <c r="M2851">
        <v>-0.99993390000000004</v>
      </c>
      <c r="N2851">
        <v>-1.073029E-2</v>
      </c>
      <c r="O2851">
        <v>4.1478900000000004E-3</v>
      </c>
      <c r="P2851">
        <v>-0.9842651</v>
      </c>
      <c r="Q2851">
        <v>0.1396887</v>
      </c>
      <c r="R2851">
        <v>-0.1082115</v>
      </c>
      <c r="S2851">
        <v>-3.0633240000000002</v>
      </c>
      <c r="T2851">
        <v>-4.4870140000000003E-2</v>
      </c>
      <c r="U2851">
        <v>8.3557129999999993E-2</v>
      </c>
      <c r="V2851">
        <v>-0.1122358</v>
      </c>
      <c r="W2851">
        <v>0.15028059999999999</v>
      </c>
      <c r="X2851">
        <v>0.98225189999999996</v>
      </c>
      <c r="Y2851">
        <v>2.3115400000000001E-2</v>
      </c>
      <c r="Z2851">
        <v>2.770672E-4</v>
      </c>
      <c r="AA2851">
        <v>0.99973279999999998</v>
      </c>
      <c r="AB2851">
        <v>36</v>
      </c>
      <c r="AC2851">
        <v>-75.529600000000002</v>
      </c>
      <c r="AD2851">
        <v>-1.109956114279</v>
      </c>
      <c r="AE2851">
        <v>2.0658999999999899</v>
      </c>
      <c r="AF2851">
        <v>1.7521976141378199</v>
      </c>
      <c r="AG2851">
        <v>-1.109956114279</v>
      </c>
      <c r="AH2851">
        <v>75.521222280301103</v>
      </c>
      <c r="AI2851">
        <v>90.841804647795399</v>
      </c>
      <c r="AJ2851">
        <v>88.6708965129733</v>
      </c>
      <c r="AK2851">
        <v>75.549700289049895</v>
      </c>
      <c r="AL2851">
        <v>81.356811605317603</v>
      </c>
      <c r="AM2851">
        <v>96.518560345503204</v>
      </c>
      <c r="AN2851">
        <v>0.99999996429580396</v>
      </c>
    </row>
    <row r="2852" spans="1:40" x14ac:dyDescent="0.25">
      <c r="A2852" t="str">
        <f>"20190304154814556"</f>
        <v>20190304154814556</v>
      </c>
      <c r="B2852" t="str">
        <f>"1551685694549223"</f>
        <v>1551685694549223</v>
      </c>
      <c r="C2852" t="s">
        <v>40</v>
      </c>
      <c r="D2852">
        <v>4.2107260000000002</v>
      </c>
      <c r="E2852">
        <v>0.51571699999999998</v>
      </c>
      <c r="F2852" t="s">
        <v>54</v>
      </c>
      <c r="G2852">
        <v>-500.00420000000003</v>
      </c>
      <c r="H2852">
        <v>8.0001760000000005E-2</v>
      </c>
      <c r="I2852">
        <v>275.02140000000003</v>
      </c>
      <c r="J2852">
        <v>-339.90039999999999</v>
      </c>
      <c r="K2852">
        <v>1.1099650000000001</v>
      </c>
      <c r="L2852">
        <v>285.38729999999998</v>
      </c>
      <c r="M2852">
        <v>-0.99993359999999998</v>
      </c>
      <c r="N2852">
        <v>-1.073239E-2</v>
      </c>
      <c r="O2852">
        <v>4.2100530000000001E-3</v>
      </c>
      <c r="P2852">
        <v>-0.98426689999999994</v>
      </c>
      <c r="Q2852">
        <v>0.13955519999999999</v>
      </c>
      <c r="R2852">
        <v>-0.108367</v>
      </c>
      <c r="S2852">
        <v>-3.0291440000000001</v>
      </c>
      <c r="T2852">
        <v>-1.9462469999999999E-2</v>
      </c>
      <c r="U2852">
        <v>-0.1958618</v>
      </c>
      <c r="V2852">
        <v>-0.1124559</v>
      </c>
      <c r="W2852">
        <v>0.15014620000000001</v>
      </c>
      <c r="X2852">
        <v>0.98224730000000005</v>
      </c>
      <c r="Y2852">
        <v>-6.8721519999999994E-2</v>
      </c>
      <c r="Z2852">
        <v>-5.7160149999999999E-4</v>
      </c>
      <c r="AA2852">
        <v>0.99763570000000001</v>
      </c>
      <c r="AB2852">
        <v>36</v>
      </c>
      <c r="AC2852">
        <v>-160.10380000000001</v>
      </c>
      <c r="AD2852">
        <v>-1.0299632399999901</v>
      </c>
      <c r="AE2852">
        <v>-10.3658999999999</v>
      </c>
      <c r="AF2852">
        <v>-11.0394374349413</v>
      </c>
      <c r="AG2852">
        <v>-1.0299632399999901</v>
      </c>
      <c r="AH2852">
        <v>160.052141382011</v>
      </c>
      <c r="AI2852">
        <v>90.367829275735701</v>
      </c>
      <c r="AJ2852">
        <v>93.945670323156506</v>
      </c>
      <c r="AK2852">
        <v>160.43571287005599</v>
      </c>
      <c r="AL2852">
        <v>81.364600711277703</v>
      </c>
      <c r="AM2852">
        <v>96.531263546417804</v>
      </c>
      <c r="AN2852">
        <v>0.999999984588269</v>
      </c>
    </row>
    <row r="2853" spans="1:40" x14ac:dyDescent="0.25">
      <c r="A2853" t="str">
        <f>"20190304154814567"</f>
        <v>20190304154814567</v>
      </c>
      <c r="B2853" t="str">
        <f>"1551685694559960"</f>
        <v>1551685694559960</v>
      </c>
      <c r="C2853" t="s">
        <v>40</v>
      </c>
      <c r="D2853">
        <v>4.204593</v>
      </c>
      <c r="E2853">
        <v>0.51636959999999998</v>
      </c>
      <c r="F2853" t="s">
        <v>62</v>
      </c>
      <c r="G2853">
        <v>-512.82539999999995</v>
      </c>
      <c r="H2853">
        <v>0.88279089999999905</v>
      </c>
      <c r="I2853">
        <v>274.60539999999997</v>
      </c>
      <c r="J2853">
        <v>-340.0883</v>
      </c>
      <c r="K2853">
        <v>1.109977</v>
      </c>
      <c r="L2853">
        <v>285.38819999999998</v>
      </c>
      <c r="M2853">
        <v>-0.99993339999999997</v>
      </c>
      <c r="N2853">
        <v>-1.073439E-2</v>
      </c>
      <c r="O2853">
        <v>4.2620180000000002E-3</v>
      </c>
      <c r="P2853">
        <v>-0.98431860000000004</v>
      </c>
      <c r="Q2853">
        <v>0.13902239999999999</v>
      </c>
      <c r="R2853">
        <v>-0.1085811</v>
      </c>
      <c r="S2853">
        <v>-3.027771</v>
      </c>
      <c r="T2853">
        <v>-3.9762259999999898E-3</v>
      </c>
      <c r="U2853">
        <v>-0.1887817</v>
      </c>
      <c r="V2853">
        <v>-0.11272459999999999</v>
      </c>
      <c r="W2853">
        <v>0.14961389999999999</v>
      </c>
      <c r="X2853">
        <v>0.98229770000000005</v>
      </c>
      <c r="Y2853">
        <v>-6.6481960000000007E-2</v>
      </c>
      <c r="Z2853">
        <v>-3.60677E-4</v>
      </c>
      <c r="AA2853">
        <v>0.99778750000000005</v>
      </c>
      <c r="AB2853">
        <v>36</v>
      </c>
      <c r="AC2853">
        <v>-172.737099999999</v>
      </c>
      <c r="AD2853">
        <v>-0.2271861</v>
      </c>
      <c r="AE2853">
        <v>-10.7828</v>
      </c>
      <c r="AF2853">
        <v>-11.5189331830989</v>
      </c>
      <c r="AG2853">
        <v>-0.2271861</v>
      </c>
      <c r="AH2853">
        <v>172.68927425810699</v>
      </c>
      <c r="AI2853">
        <v>90.075209856495803</v>
      </c>
      <c r="AJ2853">
        <v>93.816160749818394</v>
      </c>
      <c r="AK2853">
        <v>173.073172037126</v>
      </c>
      <c r="AL2853">
        <v>81.395447509943494</v>
      </c>
      <c r="AM2853">
        <v>96.546400921690704</v>
      </c>
      <c r="AN2853">
        <v>0.99999996297182903</v>
      </c>
    </row>
    <row r="2854" spans="1:40" x14ac:dyDescent="0.25">
      <c r="A2854" t="str">
        <f>"20190304154814579"</f>
        <v>20190304154814579</v>
      </c>
      <c r="B2854" t="str">
        <f>"1551685694569719"</f>
        <v>1551685694569719</v>
      </c>
      <c r="C2854" t="s">
        <v>40</v>
      </c>
      <c r="D2854">
        <v>4.2083539999999999</v>
      </c>
      <c r="E2854">
        <v>0.51697669999999996</v>
      </c>
      <c r="F2854" t="s">
        <v>62</v>
      </c>
      <c r="G2854">
        <v>-512.82560000000001</v>
      </c>
      <c r="H2854">
        <v>1.3372170000000001</v>
      </c>
      <c r="I2854">
        <v>274.8587</v>
      </c>
      <c r="J2854">
        <v>-340.28089999999997</v>
      </c>
      <c r="K2854">
        <v>1.1099840000000001</v>
      </c>
      <c r="L2854">
        <v>285.38900000000001</v>
      </c>
      <c r="M2854">
        <v>-0.99993310000000002</v>
      </c>
      <c r="N2854">
        <v>-1.073643E-2</v>
      </c>
      <c r="O2854">
        <v>4.3084909999999898E-3</v>
      </c>
      <c r="P2854">
        <v>-0.98434630000000001</v>
      </c>
      <c r="Q2854">
        <v>0.13882069999999999</v>
      </c>
      <c r="R2854">
        <v>-0.1085853</v>
      </c>
      <c r="S2854">
        <v>-3.0269170000000001</v>
      </c>
      <c r="T2854">
        <v>3.9833780000000001E-3</v>
      </c>
      <c r="U2854">
        <v>-0.18450929999999999</v>
      </c>
      <c r="V2854">
        <v>-0.11277860000000001</v>
      </c>
      <c r="W2854">
        <v>0.14941170000000001</v>
      </c>
      <c r="X2854">
        <v>0.98232229999999998</v>
      </c>
      <c r="Y2854">
        <v>-6.5143549999999995E-2</v>
      </c>
      <c r="Z2854">
        <v>-2.5533419999999998E-4</v>
      </c>
      <c r="AA2854">
        <v>0.99787590000000004</v>
      </c>
      <c r="AB2854">
        <v>36</v>
      </c>
      <c r="AC2854">
        <v>-172.54470000000001</v>
      </c>
      <c r="AD2854">
        <v>0.22723299999999999</v>
      </c>
      <c r="AE2854">
        <v>-10.5303</v>
      </c>
      <c r="AF2854">
        <v>-11.2736328938713</v>
      </c>
      <c r="AG2854">
        <v>0.22723299999999999</v>
      </c>
      <c r="AH2854">
        <v>172.49742794647401</v>
      </c>
      <c r="AI2854">
        <v>89.924684280450407</v>
      </c>
      <c r="AJ2854">
        <v>93.739268932627198</v>
      </c>
      <c r="AK2854">
        <v>172.86558096281399</v>
      </c>
      <c r="AL2854">
        <v>81.407164607337904</v>
      </c>
      <c r="AM2854">
        <v>96.549347100008504</v>
      </c>
      <c r="AN2854">
        <v>0.99999998489606901</v>
      </c>
    </row>
    <row r="2855" spans="1:40" x14ac:dyDescent="0.25">
      <c r="A2855" t="str">
        <f>"20190304154814590"</f>
        <v>20190304154814590</v>
      </c>
      <c r="B2855" t="str">
        <f>"1551685694579480"</f>
        <v>1551685694579480</v>
      </c>
      <c r="C2855" t="s">
        <v>40</v>
      </c>
      <c r="D2855">
        <v>4.1907620000000003</v>
      </c>
      <c r="E2855">
        <v>0.51711459999999998</v>
      </c>
      <c r="F2855" t="s">
        <v>62</v>
      </c>
      <c r="G2855">
        <v>-512.82569999999998</v>
      </c>
      <c r="H2855">
        <v>1.578918</v>
      </c>
      <c r="I2855">
        <v>275.13850000000002</v>
      </c>
      <c r="J2855">
        <v>-340.46370000000002</v>
      </c>
      <c r="K2855">
        <v>1.1099939999999999</v>
      </c>
      <c r="L2855">
        <v>285.38990000000001</v>
      </c>
      <c r="M2855">
        <v>-0.99993290000000001</v>
      </c>
      <c r="N2855">
        <v>-1.0738370000000001E-2</v>
      </c>
      <c r="O2855">
        <v>4.3488880000000004E-3</v>
      </c>
      <c r="P2855">
        <v>-0.98435090000000003</v>
      </c>
      <c r="Q2855">
        <v>0.1385854</v>
      </c>
      <c r="R2855">
        <v>-0.108846</v>
      </c>
      <c r="S2855">
        <v>-3.0267029999999999</v>
      </c>
      <c r="T2855">
        <v>8.2272290000000008E-3</v>
      </c>
      <c r="U2855">
        <v>-0.17980960000000001</v>
      </c>
      <c r="V2855">
        <v>-0.1130825</v>
      </c>
      <c r="W2855">
        <v>0.1491759</v>
      </c>
      <c r="X2855">
        <v>0.98232319999999995</v>
      </c>
      <c r="Y2855">
        <v>-6.3644399999999907E-2</v>
      </c>
      <c r="Z2855">
        <v>-1.971349E-4</v>
      </c>
      <c r="AA2855">
        <v>0.99797259999999999</v>
      </c>
      <c r="AB2855">
        <v>36</v>
      </c>
      <c r="AC2855">
        <v>-172.361999999999</v>
      </c>
      <c r="AD2855">
        <v>0.46892399999999901</v>
      </c>
      <c r="AE2855">
        <v>-10.251399999999901</v>
      </c>
      <c r="AF2855">
        <v>-11.000848154880901</v>
      </c>
      <c r="AG2855">
        <v>0.46892399999999901</v>
      </c>
      <c r="AH2855">
        <v>172.31451422112701</v>
      </c>
      <c r="AI2855">
        <v>89.844396656625605</v>
      </c>
      <c r="AJ2855">
        <v>93.652901446180095</v>
      </c>
      <c r="AK2855">
        <v>172.66595020764001</v>
      </c>
      <c r="AL2855">
        <v>81.420828082347697</v>
      </c>
      <c r="AM2855">
        <v>96.566835457131404</v>
      </c>
      <c r="AN2855">
        <v>0.99999998510264898</v>
      </c>
    </row>
    <row r="2856" spans="1:40" x14ac:dyDescent="0.25">
      <c r="A2856" t="str">
        <f>"20190304154814603"</f>
        <v>20190304154814603</v>
      </c>
      <c r="B2856" t="str">
        <f>"1551685694599976"</f>
        <v>1551685694599976</v>
      </c>
      <c r="C2856" t="s">
        <v>40</v>
      </c>
      <c r="D2856">
        <v>4.2100519999999904</v>
      </c>
      <c r="E2856">
        <v>0.5177332</v>
      </c>
      <c r="F2856" t="s">
        <v>62</v>
      </c>
      <c r="G2856">
        <v>-512.82569999999998</v>
      </c>
      <c r="H2856">
        <v>1.5854950000000001</v>
      </c>
      <c r="I2856">
        <v>275.16390000000001</v>
      </c>
      <c r="J2856">
        <v>-340.6825</v>
      </c>
      <c r="K2856">
        <v>1.1100080000000001</v>
      </c>
      <c r="L2856">
        <v>285.39080000000001</v>
      </c>
      <c r="M2856">
        <v>-0.99993270000000001</v>
      </c>
      <c r="N2856">
        <v>-1.0740670000000001E-2</v>
      </c>
      <c r="O2856">
        <v>4.38574E-3</v>
      </c>
      <c r="P2856">
        <v>-0.98425830000000003</v>
      </c>
      <c r="Q2856">
        <v>0.13905529999999999</v>
      </c>
      <c r="R2856">
        <v>-0.1090843</v>
      </c>
      <c r="S2856">
        <v>-3.0266419999999998</v>
      </c>
      <c r="T2856">
        <v>8.3510879999999996E-3</v>
      </c>
      <c r="U2856">
        <v>-0.17956539999999999</v>
      </c>
      <c r="V2856">
        <v>-0.11336060000000001</v>
      </c>
      <c r="W2856">
        <v>0.14964359999999999</v>
      </c>
      <c r="X2856">
        <v>0.98221999999999998</v>
      </c>
      <c r="Y2856">
        <v>-6.3602160000000005E-2</v>
      </c>
      <c r="Z2856">
        <v>-1.950501E-4</v>
      </c>
      <c r="AA2856">
        <v>0.99797530000000001</v>
      </c>
      <c r="AB2856">
        <v>36</v>
      </c>
      <c r="AC2856">
        <v>-172.14319999999901</v>
      </c>
      <c r="AD2856">
        <v>0.47548699999999999</v>
      </c>
      <c r="AE2856">
        <v>-10.226900000000001</v>
      </c>
      <c r="AF2856">
        <v>-10.981737010651999</v>
      </c>
      <c r="AG2856">
        <v>0.47548699999999999</v>
      </c>
      <c r="AH2856">
        <v>172.095380738301</v>
      </c>
      <c r="AI2856">
        <v>89.8420176585566</v>
      </c>
      <c r="AJ2856">
        <v>93.651203329595504</v>
      </c>
      <c r="AK2856">
        <v>172.446063182432</v>
      </c>
      <c r="AL2856">
        <v>81.393726602192999</v>
      </c>
      <c r="AM2856">
        <v>96.583529057907597</v>
      </c>
      <c r="AN2856">
        <v>0.99999998052665895</v>
      </c>
    </row>
    <row r="2857" spans="1:40" x14ac:dyDescent="0.25">
      <c r="A2857" t="str">
        <f>"20190304154814618"</f>
        <v>20190304154814618</v>
      </c>
      <c r="B2857" t="str">
        <f>"1551685694609736"</f>
        <v>1551685694609736</v>
      </c>
      <c r="C2857" t="s">
        <v>40</v>
      </c>
      <c r="D2857">
        <v>4.1993689999999999</v>
      </c>
      <c r="E2857">
        <v>0.5181422</v>
      </c>
      <c r="F2857" t="s">
        <v>62</v>
      </c>
      <c r="G2857">
        <v>-512.82569999999998</v>
      </c>
      <c r="H2857">
        <v>1.720523</v>
      </c>
      <c r="I2857">
        <v>275.42559999999997</v>
      </c>
      <c r="J2857">
        <v>-340.90129999999999</v>
      </c>
      <c r="K2857">
        <v>1.110017</v>
      </c>
      <c r="L2857">
        <v>285.39179999999999</v>
      </c>
      <c r="M2857">
        <v>-0.99993259999999995</v>
      </c>
      <c r="N2857">
        <v>-1.0742949999999999E-2</v>
      </c>
      <c r="O2857">
        <v>4.4165740000000004E-3</v>
      </c>
      <c r="P2857">
        <v>-0.98417540000000003</v>
      </c>
      <c r="Q2857">
        <v>0.13967499999999999</v>
      </c>
      <c r="R2857">
        <v>-0.1090412</v>
      </c>
      <c r="S2857">
        <v>-3.0270389999999998</v>
      </c>
      <c r="T2857">
        <v>1.073694E-2</v>
      </c>
      <c r="U2857">
        <v>-0.1752319</v>
      </c>
      <c r="V2857">
        <v>-0.1133512</v>
      </c>
      <c r="W2857">
        <v>0.15026120000000001</v>
      </c>
      <c r="X2857">
        <v>0.98212679999999997</v>
      </c>
      <c r="Y2857">
        <v>-6.2201369999999999E-2</v>
      </c>
      <c r="Z2857">
        <v>-1.6111850000000001E-4</v>
      </c>
      <c r="AA2857">
        <v>0.99806360000000005</v>
      </c>
      <c r="AB2857">
        <v>36</v>
      </c>
      <c r="AC2857">
        <v>-171.92439999999999</v>
      </c>
      <c r="AD2857">
        <v>0.61050599999999999</v>
      </c>
      <c r="AE2857">
        <v>-9.9662000000000095</v>
      </c>
      <c r="AF2857">
        <v>-10.7253286064379</v>
      </c>
      <c r="AG2857">
        <v>0.61050599999999999</v>
      </c>
      <c r="AH2857">
        <v>171.87654395810901</v>
      </c>
      <c r="AI2857">
        <v>89.796881152694297</v>
      </c>
      <c r="AJ2857">
        <v>93.570704181308201</v>
      </c>
      <c r="AK2857">
        <v>172.211938477784</v>
      </c>
      <c r="AL2857">
        <v>81.357936108029904</v>
      </c>
      <c r="AM2857">
        <v>96.583607151359899</v>
      </c>
      <c r="AN2857">
        <v>0.99999998702255899</v>
      </c>
    </row>
    <row r="2858" spans="1:40" x14ac:dyDescent="0.25">
      <c r="A2858" t="str">
        <f>"20190304154814630"</f>
        <v>20190304154814630</v>
      </c>
      <c r="B2858" t="str">
        <f>"1551685694619495"</f>
        <v>1551685694619495</v>
      </c>
      <c r="C2858" t="s">
        <v>40</v>
      </c>
      <c r="D2858">
        <v>4.1893050000000001</v>
      </c>
      <c r="E2858">
        <v>0.51857520000000001</v>
      </c>
      <c r="F2858" t="s">
        <v>62</v>
      </c>
      <c r="G2858">
        <v>-511.95929999999998</v>
      </c>
      <c r="H2858">
        <v>1.9240569999999999</v>
      </c>
      <c r="I2858">
        <v>275.68299999999999</v>
      </c>
      <c r="J2858">
        <v>-341.1216</v>
      </c>
      <c r="K2858">
        <v>1.1100289999999999</v>
      </c>
      <c r="L2858">
        <v>285.39280000000002</v>
      </c>
      <c r="M2858">
        <v>-0.9999325</v>
      </c>
      <c r="N2858">
        <v>-1.074523E-2</v>
      </c>
      <c r="O2858">
        <v>4.4410919999999998E-3</v>
      </c>
      <c r="P2858">
        <v>-0.98407719999999999</v>
      </c>
      <c r="Q2858">
        <v>0.14028779999999999</v>
      </c>
      <c r="R2858">
        <v>-0.10914069999999999</v>
      </c>
      <c r="S2858">
        <v>-3.027161</v>
      </c>
      <c r="T2858">
        <v>1.440716E-2</v>
      </c>
      <c r="U2858">
        <v>-0.17181399999999999</v>
      </c>
      <c r="V2858">
        <v>-0.1134787</v>
      </c>
      <c r="W2858">
        <v>0.15087210000000001</v>
      </c>
      <c r="X2858">
        <v>0.98201839999999996</v>
      </c>
      <c r="Y2858">
        <v>-6.1100260000000003E-2</v>
      </c>
      <c r="Z2858">
        <v>-1.144587E-4</v>
      </c>
      <c r="AA2858">
        <v>0.99813160000000001</v>
      </c>
      <c r="AB2858">
        <v>36</v>
      </c>
      <c r="AC2858">
        <v>-170.83769999999899</v>
      </c>
      <c r="AD2858">
        <v>0.81402799999999897</v>
      </c>
      <c r="AE2858">
        <v>-9.7098000000000297</v>
      </c>
      <c r="AF2858">
        <v>-10.4682169992801</v>
      </c>
      <c r="AG2858">
        <v>0.81402799999999897</v>
      </c>
      <c r="AH2858">
        <v>170.78902526803199</v>
      </c>
      <c r="AI2858">
        <v>89.727425969835295</v>
      </c>
      <c r="AJ2858">
        <v>93.507457446394795</v>
      </c>
      <c r="AK2858">
        <v>171.111476414451</v>
      </c>
      <c r="AL2858">
        <v>81.3225303542158</v>
      </c>
      <c r="AM2858">
        <v>96.591668560284504</v>
      </c>
      <c r="AN2858">
        <v>0.99999997192532897</v>
      </c>
    </row>
    <row r="2859" spans="1:40" x14ac:dyDescent="0.25">
      <c r="A2859" t="str">
        <f>"20190304154814644"</f>
        <v>20190304154814644</v>
      </c>
      <c r="B2859" t="str">
        <f>"1551685694639992"</f>
        <v>1551685694639992</v>
      </c>
      <c r="C2859" t="s">
        <v>40</v>
      </c>
      <c r="D2859">
        <v>4.2011750000000001</v>
      </c>
      <c r="E2859">
        <v>0.51909819999999995</v>
      </c>
      <c r="F2859" t="s">
        <v>62</v>
      </c>
      <c r="G2859">
        <v>-511.95929999999998</v>
      </c>
      <c r="H2859">
        <v>2.1360890000000001</v>
      </c>
      <c r="I2859">
        <v>275.88279999999997</v>
      </c>
      <c r="J2859">
        <v>-341.34269999999998</v>
      </c>
      <c r="K2859">
        <v>1.1100429999999999</v>
      </c>
      <c r="L2859">
        <v>285.3938</v>
      </c>
      <c r="M2859">
        <v>-0.9999325</v>
      </c>
      <c r="N2859">
        <v>-1.0747369999999999E-2</v>
      </c>
      <c r="O2859">
        <v>4.4566249999999996E-3</v>
      </c>
      <c r="P2859">
        <v>-0.98391759999999995</v>
      </c>
      <c r="Q2859">
        <v>0.1410005</v>
      </c>
      <c r="R2859">
        <v>-0.10966099999999999</v>
      </c>
      <c r="S2859">
        <v>-3.0272519999999998</v>
      </c>
      <c r="T2859">
        <v>1.8183230000000002E-2</v>
      </c>
      <c r="U2859">
        <v>-0.1685181</v>
      </c>
      <c r="V2859">
        <v>-0.1140173</v>
      </c>
      <c r="W2859">
        <v>0.15158199999999999</v>
      </c>
      <c r="X2859">
        <v>0.98184669999999996</v>
      </c>
      <c r="Y2859">
        <v>-6.0030630000000001E-2</v>
      </c>
      <c r="Z2859" s="1">
        <v>-6.8088469999999995E-5</v>
      </c>
      <c r="AA2859">
        <v>0.99819650000000004</v>
      </c>
      <c r="AB2859">
        <v>36</v>
      </c>
      <c r="AC2859">
        <v>-170.61660000000001</v>
      </c>
      <c r="AD2859">
        <v>1.026046</v>
      </c>
      <c r="AE2859">
        <v>-9.5110000000000205</v>
      </c>
      <c r="AF2859">
        <v>-10.2709532178897</v>
      </c>
      <c r="AG2859">
        <v>1.026046</v>
      </c>
      <c r="AH2859">
        <v>170.566366583888</v>
      </c>
      <c r="AI2859">
        <v>89.655963213837893</v>
      </c>
      <c r="AJ2859">
        <v>93.446004836876895</v>
      </c>
      <c r="AK2859">
        <v>170.87840899314199</v>
      </c>
      <c r="AL2859">
        <v>81.281383044456106</v>
      </c>
      <c r="AM2859">
        <v>96.623824942793505</v>
      </c>
      <c r="AN2859">
        <v>0.99999999486208901</v>
      </c>
    </row>
    <row r="2860" spans="1:40" x14ac:dyDescent="0.25">
      <c r="A2860" t="str">
        <f>"20190304154814657"</f>
        <v>20190304154814657</v>
      </c>
      <c r="B2860" t="str">
        <f>"1551685694649751"</f>
        <v>1551685694649751</v>
      </c>
      <c r="C2860" t="s">
        <v>40</v>
      </c>
      <c r="D2860">
        <v>4.2120550000000003</v>
      </c>
      <c r="E2860">
        <v>0.51906869999999905</v>
      </c>
      <c r="F2860" t="s">
        <v>62</v>
      </c>
      <c r="G2860">
        <v>-511.95940000000002</v>
      </c>
      <c r="H2860">
        <v>2.3617689999999998</v>
      </c>
      <c r="I2860">
        <v>276.06670000000003</v>
      </c>
      <c r="J2860">
        <v>-341.55079999999998</v>
      </c>
      <c r="K2860">
        <v>1.110052</v>
      </c>
      <c r="L2860">
        <v>285.39479999999998</v>
      </c>
      <c r="M2860">
        <v>-0.9999323</v>
      </c>
      <c r="N2860">
        <v>-1.0749369999999999E-2</v>
      </c>
      <c r="O2860">
        <v>4.468245E-3</v>
      </c>
      <c r="P2860">
        <v>-0.98384640000000001</v>
      </c>
      <c r="Q2860">
        <v>0.1412861</v>
      </c>
      <c r="R2860">
        <v>-0.109930399999999</v>
      </c>
      <c r="S2860">
        <v>-3.027374</v>
      </c>
      <c r="T2860">
        <v>2.2211669999999999E-2</v>
      </c>
      <c r="U2860">
        <v>-0.165496799999999</v>
      </c>
      <c r="V2860">
        <v>-0.11430070000000001</v>
      </c>
      <c r="W2860">
        <v>0.15186720000000001</v>
      </c>
      <c r="X2860">
        <v>0.98176969999999997</v>
      </c>
      <c r="Y2860">
        <v>-5.9046590000000003E-2</v>
      </c>
      <c r="Z2860" s="1">
        <v>-2.0401790000000001E-5</v>
      </c>
      <c r="AA2860">
        <v>0.99825529999999996</v>
      </c>
      <c r="AB2860">
        <v>36</v>
      </c>
      <c r="AC2860">
        <v>-170.40860000000001</v>
      </c>
      <c r="AD2860">
        <v>1.25171699999999</v>
      </c>
      <c r="AE2860">
        <v>-9.3280999999999494</v>
      </c>
      <c r="AF2860">
        <v>-10.0889354753298</v>
      </c>
      <c r="AG2860">
        <v>1.25171699999999</v>
      </c>
      <c r="AH2860">
        <v>170.35605198078699</v>
      </c>
      <c r="AI2860">
        <v>89.579754418857604</v>
      </c>
      <c r="AJ2860">
        <v>93.389248741367595</v>
      </c>
      <c r="AK2860">
        <v>170.65912768133401</v>
      </c>
      <c r="AL2860">
        <v>81.264851114673107</v>
      </c>
      <c r="AM2860">
        <v>96.640658329800004</v>
      </c>
      <c r="AN2860">
        <v>1.0000000201471999</v>
      </c>
    </row>
    <row r="2861" spans="1:40" x14ac:dyDescent="0.25">
      <c r="A2861" t="str">
        <f>"20190304154814678"</f>
        <v>20190304154814678</v>
      </c>
      <c r="B2861" t="str">
        <f>"1551685694669271"</f>
        <v>1551685694669271</v>
      </c>
      <c r="C2861" t="s">
        <v>40</v>
      </c>
      <c r="D2861">
        <v>4.1820649999999997</v>
      </c>
      <c r="E2861">
        <v>0.51905310000000005</v>
      </c>
      <c r="F2861" t="s">
        <v>62</v>
      </c>
      <c r="G2861">
        <v>-511.95940000000002</v>
      </c>
      <c r="H2861">
        <v>2.345386</v>
      </c>
      <c r="I2861">
        <v>276.03140000000002</v>
      </c>
      <c r="J2861">
        <v>-341.88810000000001</v>
      </c>
      <c r="K2861">
        <v>1.1100639999999999</v>
      </c>
      <c r="L2861">
        <v>285.3963</v>
      </c>
      <c r="M2861">
        <v>-0.99993220000000005</v>
      </c>
      <c r="N2861">
        <v>-1.0752640000000001E-2</v>
      </c>
      <c r="O2861">
        <v>4.4790460000000004E-3</v>
      </c>
      <c r="P2861">
        <v>-0.98378120000000002</v>
      </c>
      <c r="Q2861">
        <v>0.14164789999999999</v>
      </c>
      <c r="R2861">
        <v>-0.1100492</v>
      </c>
      <c r="S2861">
        <v>-3.0275270000000001</v>
      </c>
      <c r="T2861">
        <v>2.1948700000000002E-2</v>
      </c>
      <c r="U2861">
        <v>-0.16635129999999901</v>
      </c>
      <c r="V2861">
        <v>-0.1144342</v>
      </c>
      <c r="W2861">
        <v>0.15222820000000001</v>
      </c>
      <c r="X2861">
        <v>0.98169819999999997</v>
      </c>
      <c r="Y2861">
        <v>-5.9335560000000002E-2</v>
      </c>
      <c r="Z2861" s="1">
        <v>-2.3765079999999999E-5</v>
      </c>
      <c r="AA2861">
        <v>0.99823810000000002</v>
      </c>
      <c r="AB2861">
        <v>36</v>
      </c>
      <c r="AC2861">
        <v>-170.07130000000001</v>
      </c>
      <c r="AD2861">
        <v>1.235322</v>
      </c>
      <c r="AE2861">
        <v>-9.3648999999999702</v>
      </c>
      <c r="AF2861">
        <v>-10.126074605382399</v>
      </c>
      <c r="AG2861">
        <v>1.235322</v>
      </c>
      <c r="AH2861">
        <v>170.01870264381699</v>
      </c>
      <c r="AI2861">
        <v>89.584443970762194</v>
      </c>
      <c r="AJ2861">
        <v>93.408429624843606</v>
      </c>
      <c r="AK2861">
        <v>170.324462882007</v>
      </c>
      <c r="AL2861">
        <v>81.243923698650903</v>
      </c>
      <c r="AM2861">
        <v>96.6488249224805</v>
      </c>
      <c r="AN2861">
        <v>0.99999998344405905</v>
      </c>
    </row>
    <row r="2862" spans="1:40" x14ac:dyDescent="0.25">
      <c r="A2862" t="str">
        <f>"20190304154814689"</f>
        <v>20190304154814689</v>
      </c>
      <c r="B2862" t="str">
        <f>"1551685694680007"</f>
        <v>1551685694680007</v>
      </c>
      <c r="C2862" t="s">
        <v>40</v>
      </c>
      <c r="D2862">
        <v>4.222391</v>
      </c>
      <c r="E2862">
        <v>0.51898029999999995</v>
      </c>
      <c r="F2862" t="s">
        <v>62</v>
      </c>
      <c r="G2862">
        <v>-511.95940000000002</v>
      </c>
      <c r="H2862">
        <v>2.3073860000000002</v>
      </c>
      <c r="I2862">
        <v>276.0301</v>
      </c>
      <c r="J2862">
        <v>-342.0881</v>
      </c>
      <c r="K2862">
        <v>1.11007099999999</v>
      </c>
      <c r="L2862">
        <v>285.3972</v>
      </c>
      <c r="M2862">
        <v>-0.99993220000000005</v>
      </c>
      <c r="N2862">
        <v>-1.0754619999999999E-2</v>
      </c>
      <c r="O2862">
        <v>4.4824790000000002E-3</v>
      </c>
      <c r="P2862">
        <v>-0.98374130000000004</v>
      </c>
      <c r="Q2862">
        <v>0.14173250000000001</v>
      </c>
      <c r="R2862">
        <v>-0.1102958</v>
      </c>
      <c r="S2862">
        <v>-3.0278019999999999</v>
      </c>
      <c r="T2862">
        <v>2.131748E-2</v>
      </c>
      <c r="U2862">
        <v>-0.16674800000000001</v>
      </c>
      <c r="V2862">
        <v>-0.11468589999999999</v>
      </c>
      <c r="W2862">
        <v>0.15231249999999999</v>
      </c>
      <c r="X2862">
        <v>0.98165579999999997</v>
      </c>
      <c r="Y2862">
        <v>-5.9464459999999997E-2</v>
      </c>
      <c r="Z2862" s="1">
        <v>-3.1131669999999997E-5</v>
      </c>
      <c r="AA2862">
        <v>0.99823039999999996</v>
      </c>
      <c r="AB2862">
        <v>36</v>
      </c>
      <c r="AC2862">
        <v>-169.87129999999999</v>
      </c>
      <c r="AD2862">
        <v>1.1973149999999999</v>
      </c>
      <c r="AE2862">
        <v>-9.36709999999999</v>
      </c>
      <c r="AF2862">
        <v>-10.1279927692439</v>
      </c>
      <c r="AG2862">
        <v>1.1973149999999999</v>
      </c>
      <c r="AH2862">
        <v>169.81919201062601</v>
      </c>
      <c r="AI2862">
        <v>89.596757673642898</v>
      </c>
      <c r="AJ2862">
        <v>93.413069413626502</v>
      </c>
      <c r="AK2862">
        <v>170.125153272186</v>
      </c>
      <c r="AL2862">
        <v>81.239037100474903</v>
      </c>
      <c r="AM2862">
        <v>96.663602981131703</v>
      </c>
      <c r="AN2862">
        <v>1.00000003149434</v>
      </c>
    </row>
    <row r="2863" spans="1:40" x14ac:dyDescent="0.25">
      <c r="A2863" t="str">
        <f>"20190304154814701"</f>
        <v>20190304154814701</v>
      </c>
      <c r="B2863" t="str">
        <f>"1551685694689768"</f>
        <v>1551685694689768</v>
      </c>
      <c r="C2863" t="s">
        <v>40</v>
      </c>
      <c r="D2863">
        <v>4.1605349999999897</v>
      </c>
      <c r="E2863">
        <v>0.51889890000000005</v>
      </c>
      <c r="F2863" t="s">
        <v>62</v>
      </c>
      <c r="G2863">
        <v>-511.95940000000002</v>
      </c>
      <c r="H2863">
        <v>2.2899769999999999</v>
      </c>
      <c r="I2863">
        <v>275.97500000000002</v>
      </c>
      <c r="J2863">
        <v>-342.26130000000001</v>
      </c>
      <c r="K2863">
        <v>1.1100760000000001</v>
      </c>
      <c r="L2863">
        <v>285.39789999999999</v>
      </c>
      <c r="M2863">
        <v>-0.99993220000000005</v>
      </c>
      <c r="N2863">
        <v>-1.075633E-2</v>
      </c>
      <c r="O2863">
        <v>4.4832559999999997E-3</v>
      </c>
      <c r="P2863">
        <v>-0.98363849999999997</v>
      </c>
      <c r="Q2863">
        <v>0.1421162</v>
      </c>
      <c r="R2863">
        <v>-0.110719</v>
      </c>
      <c r="S2863">
        <v>-3.0277400000000001</v>
      </c>
      <c r="T2863">
        <v>2.103174E-2</v>
      </c>
      <c r="U2863">
        <v>-0.16793820000000001</v>
      </c>
      <c r="V2863">
        <v>-0.11511109999999999</v>
      </c>
      <c r="W2863">
        <v>0.15269569999999999</v>
      </c>
      <c r="X2863">
        <v>0.98154649999999999</v>
      </c>
      <c r="Y2863">
        <v>-5.9857569999999999E-2</v>
      </c>
      <c r="Z2863" s="1">
        <v>-3.5140839999999997E-5</v>
      </c>
      <c r="AA2863">
        <v>0.99820690000000001</v>
      </c>
      <c r="AB2863">
        <v>36</v>
      </c>
      <c r="AC2863">
        <v>-169.69810000000001</v>
      </c>
      <c r="AD2863">
        <v>1.1799010000000001</v>
      </c>
      <c r="AE2863">
        <v>-9.4228999999999701</v>
      </c>
      <c r="AF2863">
        <v>-10.183158478545201</v>
      </c>
      <c r="AG2863">
        <v>1.1799010000000001</v>
      </c>
      <c r="AH2863">
        <v>169.64597059745799</v>
      </c>
      <c r="AI2863">
        <v>89.602225740942004</v>
      </c>
      <c r="AJ2863">
        <v>93.435111155571605</v>
      </c>
      <c r="AK2863">
        <v>169.95541833940601</v>
      </c>
      <c r="AL2863">
        <v>81.216821546705205</v>
      </c>
      <c r="AM2863">
        <v>96.688823009274998</v>
      </c>
      <c r="AN2863">
        <v>1.0000000369019699</v>
      </c>
    </row>
    <row r="2864" spans="1:40" x14ac:dyDescent="0.25">
      <c r="A2864" t="str">
        <f>"20190304154814713"</f>
        <v>20190304154814713</v>
      </c>
      <c r="B2864" t="str">
        <f>"1551685694709288"</f>
        <v>1551685694709288</v>
      </c>
      <c r="C2864" t="s">
        <v>40</v>
      </c>
      <c r="D2864">
        <v>4.1780759999999999</v>
      </c>
      <c r="E2864">
        <v>0.51877150000000005</v>
      </c>
      <c r="F2864" t="s">
        <v>62</v>
      </c>
      <c r="G2864">
        <v>-511.95940000000002</v>
      </c>
      <c r="H2864">
        <v>2.3368470000000001</v>
      </c>
      <c r="I2864">
        <v>275.87889999999999</v>
      </c>
      <c r="J2864">
        <v>-342.45710000000003</v>
      </c>
      <c r="K2864">
        <v>1.110085</v>
      </c>
      <c r="L2864">
        <v>285.39879999999999</v>
      </c>
      <c r="M2864">
        <v>-0.99993220000000005</v>
      </c>
      <c r="N2864">
        <v>-1.075826E-2</v>
      </c>
      <c r="O2864">
        <v>4.483908E-3</v>
      </c>
      <c r="P2864">
        <v>-0.98363199999999995</v>
      </c>
      <c r="Q2864">
        <v>0.14199059999999999</v>
      </c>
      <c r="R2864">
        <v>-0.11093649999999999</v>
      </c>
      <c r="S2864">
        <v>-3.0276179999999999</v>
      </c>
      <c r="T2864">
        <v>2.188849E-2</v>
      </c>
      <c r="U2864">
        <v>-0.16983029999999999</v>
      </c>
      <c r="V2864">
        <v>-0.1153305</v>
      </c>
      <c r="W2864">
        <v>0.15257079999999901</v>
      </c>
      <c r="X2864">
        <v>0.98154010000000003</v>
      </c>
      <c r="Y2864">
        <v>-6.0482269999999998E-2</v>
      </c>
      <c r="Z2864" s="1">
        <v>-2.6556430000000001E-5</v>
      </c>
      <c r="AA2864">
        <v>0.99816919999999998</v>
      </c>
      <c r="AB2864">
        <v>36</v>
      </c>
      <c r="AC2864">
        <v>-169.50229999999999</v>
      </c>
      <c r="AD2864">
        <v>1.2267619999999999</v>
      </c>
      <c r="AE2864">
        <v>-9.5198999999999998</v>
      </c>
      <c r="AF2864">
        <v>-10.2793441546432</v>
      </c>
      <c r="AG2864">
        <v>1.2267619999999999</v>
      </c>
      <c r="AH2864">
        <v>169.44905910264001</v>
      </c>
      <c r="AI2864">
        <v>89.585963544197</v>
      </c>
      <c r="AJ2864">
        <v>93.471498521687593</v>
      </c>
      <c r="AK2864">
        <v>169.76499489595699</v>
      </c>
      <c r="AL2864">
        <v>81.224062047168502</v>
      </c>
      <c r="AM2864">
        <v>96.701499257899997</v>
      </c>
      <c r="AN2864">
        <v>0.99999997057544898</v>
      </c>
    </row>
    <row r="2865" spans="1:40" x14ac:dyDescent="0.25">
      <c r="A2865" t="str">
        <f>"20190304154814725"</f>
        <v>20190304154814725</v>
      </c>
      <c r="B2865" t="str">
        <f>"1551685694719048"</f>
        <v>1551685694719048</v>
      </c>
      <c r="C2865" t="s">
        <v>40</v>
      </c>
      <c r="D2865">
        <v>4.1778579999999996</v>
      </c>
      <c r="E2865">
        <v>0.51865519999999998</v>
      </c>
      <c r="F2865" t="s">
        <v>62</v>
      </c>
      <c r="G2865">
        <v>-511.95940000000002</v>
      </c>
      <c r="H2865">
        <v>2.2673899999999998</v>
      </c>
      <c r="I2865">
        <v>275.79660000000001</v>
      </c>
      <c r="J2865">
        <v>-342.66829999999999</v>
      </c>
      <c r="K2865">
        <v>1.110087</v>
      </c>
      <c r="L2865">
        <v>285.3997</v>
      </c>
      <c r="M2865">
        <v>-0.99993220000000005</v>
      </c>
      <c r="N2865">
        <v>-1.076033E-2</v>
      </c>
      <c r="O2865">
        <v>4.4829589999999999E-3</v>
      </c>
      <c r="P2865">
        <v>-0.98358760000000001</v>
      </c>
      <c r="Q2865">
        <v>0.142100799999999</v>
      </c>
      <c r="R2865">
        <v>-0.1111905</v>
      </c>
      <c r="S2865">
        <v>-3.0275569999999998</v>
      </c>
      <c r="T2865">
        <v>2.067256E-2</v>
      </c>
      <c r="U2865">
        <v>-0.17150879999999999</v>
      </c>
      <c r="V2865">
        <v>-0.11558499999999999</v>
      </c>
      <c r="W2865">
        <v>0.1526815</v>
      </c>
      <c r="X2865">
        <v>0.98149299999999995</v>
      </c>
      <c r="Y2865">
        <v>-6.1034169999999999E-2</v>
      </c>
      <c r="Z2865" s="1">
        <v>-4.1654569999999997E-5</v>
      </c>
      <c r="AA2865">
        <v>0.99813569999999996</v>
      </c>
      <c r="AB2865">
        <v>36</v>
      </c>
      <c r="AC2865">
        <v>-169.2911</v>
      </c>
      <c r="AD2865">
        <v>1.157303</v>
      </c>
      <c r="AE2865">
        <v>-9.60309999999998</v>
      </c>
      <c r="AF2865">
        <v>-10.361489710633199</v>
      </c>
      <c r="AG2865">
        <v>1.157303</v>
      </c>
      <c r="AH2865">
        <v>169.23846219607199</v>
      </c>
      <c r="AI2865">
        <v>89.608932735801901</v>
      </c>
      <c r="AJ2865">
        <v>93.503515188192793</v>
      </c>
      <c r="AK2865">
        <v>169.5593020325</v>
      </c>
      <c r="AL2865">
        <v>81.217644657905595</v>
      </c>
      <c r="AM2865">
        <v>96.716471873708798</v>
      </c>
      <c r="AN2865">
        <v>1.0000000208581199</v>
      </c>
    </row>
    <row r="2866" spans="1:40" x14ac:dyDescent="0.25">
      <c r="A2866" t="str">
        <f>"20190304154814737"</f>
        <v>20190304154814737</v>
      </c>
      <c r="B2866" t="str">
        <f>"1551685694729784"</f>
        <v>1551685694729784</v>
      </c>
      <c r="C2866" t="s">
        <v>40</v>
      </c>
      <c r="D2866">
        <v>4.164955</v>
      </c>
      <c r="E2866">
        <v>0.51859829999999996</v>
      </c>
      <c r="F2866" t="s">
        <v>62</v>
      </c>
      <c r="G2866">
        <v>-511.95940000000002</v>
      </c>
      <c r="H2866">
        <v>2.230972</v>
      </c>
      <c r="I2866">
        <v>275.73630000000003</v>
      </c>
      <c r="J2866">
        <v>-342.84649999999999</v>
      </c>
      <c r="K2866">
        <v>1.1100909999999999</v>
      </c>
      <c r="L2866">
        <v>285.4006</v>
      </c>
      <c r="M2866">
        <v>-0.99993220000000005</v>
      </c>
      <c r="N2866">
        <v>-1.076207E-2</v>
      </c>
      <c r="O2866">
        <v>4.4820820000000001E-3</v>
      </c>
      <c r="P2866">
        <v>-0.98350280000000001</v>
      </c>
      <c r="Q2866">
        <v>0.14232529999999999</v>
      </c>
      <c r="R2866">
        <v>-0.11165079999999999</v>
      </c>
      <c r="S2866">
        <v>-3.0276179999999999</v>
      </c>
      <c r="T2866">
        <v>2.0047430000000001E-2</v>
      </c>
      <c r="U2866">
        <v>-0.172821</v>
      </c>
      <c r="V2866">
        <v>-0.1160451</v>
      </c>
      <c r="W2866">
        <v>0.15290629999999999</v>
      </c>
      <c r="X2866">
        <v>0.98140369999999999</v>
      </c>
      <c r="Y2866">
        <v>-6.1463400000000001E-2</v>
      </c>
      <c r="Z2866" s="1">
        <v>-4.9839790000000003E-5</v>
      </c>
      <c r="AA2866">
        <v>0.99810929999999998</v>
      </c>
      <c r="AB2866">
        <v>36</v>
      </c>
      <c r="AC2866">
        <v>-169.1129</v>
      </c>
      <c r="AD2866">
        <v>1.120881</v>
      </c>
      <c r="AE2866">
        <v>-9.6642999999999599</v>
      </c>
      <c r="AF2866">
        <v>-10.4217682368936</v>
      </c>
      <c r="AG2866">
        <v>1.120881</v>
      </c>
      <c r="AH2866">
        <v>169.060479723425</v>
      </c>
      <c r="AI2866">
        <v>89.6208508562801</v>
      </c>
      <c r="AJ2866">
        <v>93.527546316881995</v>
      </c>
      <c r="AK2866">
        <v>169.38510982879899</v>
      </c>
      <c r="AL2866">
        <v>81.204611455251495</v>
      </c>
      <c r="AM2866">
        <v>96.743569804508496</v>
      </c>
      <c r="AN2866">
        <v>1.00000001209369</v>
      </c>
    </row>
    <row r="2867" spans="1:40" x14ac:dyDescent="0.25">
      <c r="A2867" t="str">
        <f>"20190304154814748"</f>
        <v>20190304154814748</v>
      </c>
      <c r="B2867" t="str">
        <f>"1551685694739543"</f>
        <v>1551685694739543</v>
      </c>
      <c r="C2867" t="s">
        <v>40</v>
      </c>
      <c r="D2867">
        <v>4.1680320000000002</v>
      </c>
      <c r="E2867">
        <v>0.51858439999999995</v>
      </c>
      <c r="F2867" t="s">
        <v>62</v>
      </c>
      <c r="G2867">
        <v>-511.95940000000002</v>
      </c>
      <c r="H2867">
        <v>2.237695</v>
      </c>
      <c r="I2867">
        <v>275.64319999999998</v>
      </c>
      <c r="J2867">
        <v>-343.0428</v>
      </c>
      <c r="K2867">
        <v>1.110096</v>
      </c>
      <c r="L2867">
        <v>285.4015</v>
      </c>
      <c r="M2867">
        <v>-0.99993209999999999</v>
      </c>
      <c r="N2867">
        <v>-1.0763969999999999E-2</v>
      </c>
      <c r="O2867">
        <v>4.4810259999999999E-3</v>
      </c>
      <c r="P2867">
        <v>-0.98353710000000005</v>
      </c>
      <c r="Q2867">
        <v>0.1418461</v>
      </c>
      <c r="R2867">
        <v>-0.11195869999999999</v>
      </c>
      <c r="S2867">
        <v>-3.0275569999999998</v>
      </c>
      <c r="T2867">
        <v>2.0188330000000001E-2</v>
      </c>
      <c r="U2867">
        <v>-0.17468259999999999</v>
      </c>
      <c r="V2867">
        <v>-0.1163529</v>
      </c>
      <c r="W2867">
        <v>0.15242890000000001</v>
      </c>
      <c r="X2867">
        <v>0.98144149999999997</v>
      </c>
      <c r="Y2867">
        <v>-6.2075190000000002E-2</v>
      </c>
      <c r="Z2867" s="1">
        <v>-4.953414E-5</v>
      </c>
      <c r="AA2867">
        <v>0.9980715</v>
      </c>
      <c r="AB2867">
        <v>37</v>
      </c>
      <c r="AC2867">
        <v>-168.91659999999999</v>
      </c>
      <c r="AD2867">
        <v>1.127599</v>
      </c>
      <c r="AE2867">
        <v>-9.7583000000000197</v>
      </c>
      <c r="AF2867">
        <v>-10.514698493349901</v>
      </c>
      <c r="AG2867">
        <v>1.127599</v>
      </c>
      <c r="AH2867">
        <v>168.86367430693301</v>
      </c>
      <c r="AI2867">
        <v>89.618148634023697</v>
      </c>
      <c r="AJ2867">
        <v>93.563057871190793</v>
      </c>
      <c r="AK2867">
        <v>169.19447645933599</v>
      </c>
      <c r="AL2867">
        <v>81.232288732685006</v>
      </c>
      <c r="AM2867">
        <v>96.761033186757501</v>
      </c>
      <c r="AN2867">
        <v>0.99999999240793402</v>
      </c>
    </row>
    <row r="2868" spans="1:40" x14ac:dyDescent="0.25">
      <c r="A2868" t="str">
        <f>"20190304154814761"</f>
        <v>20190304154814761</v>
      </c>
      <c r="B2868" t="str">
        <f>"1551685694749304"</f>
        <v>1551685694749304</v>
      </c>
      <c r="C2868" t="s">
        <v>40</v>
      </c>
      <c r="D2868">
        <v>4.1770750000000003</v>
      </c>
      <c r="E2868">
        <v>0.5185708</v>
      </c>
      <c r="F2868" t="s">
        <v>62</v>
      </c>
      <c r="G2868">
        <v>-511.95929999999998</v>
      </c>
      <c r="H2868">
        <v>2.1445940000000001</v>
      </c>
      <c r="I2868">
        <v>275.60770000000002</v>
      </c>
      <c r="J2868">
        <v>-343.2362</v>
      </c>
      <c r="K2868">
        <v>1.110098</v>
      </c>
      <c r="L2868">
        <v>285.40230000000003</v>
      </c>
      <c r="M2868">
        <v>-0.99993209999999999</v>
      </c>
      <c r="N2868">
        <v>-1.0765830000000001E-2</v>
      </c>
      <c r="O2868">
        <v>4.4798549999999996E-3</v>
      </c>
      <c r="P2868">
        <v>-0.98353170000000001</v>
      </c>
      <c r="Q2868">
        <v>0.1418016</v>
      </c>
      <c r="R2868">
        <v>-0.1120617</v>
      </c>
      <c r="S2868">
        <v>-3.0275569999999998</v>
      </c>
      <c r="T2868">
        <v>1.854312E-2</v>
      </c>
      <c r="U2868">
        <v>-0.1755371</v>
      </c>
      <c r="V2868">
        <v>-0.11645519999999999</v>
      </c>
      <c r="W2868">
        <v>0.1523851</v>
      </c>
      <c r="X2868">
        <v>0.98143619999999998</v>
      </c>
      <c r="Y2868">
        <v>-6.2354840000000002E-2</v>
      </c>
      <c r="Z2868" s="1">
        <v>-6.9543949999999993E-5</v>
      </c>
      <c r="AA2868">
        <v>0.998054</v>
      </c>
      <c r="AB2868">
        <v>37</v>
      </c>
      <c r="AC2868">
        <v>-168.72309999999999</v>
      </c>
      <c r="AD2868">
        <v>1.0344959999999901</v>
      </c>
      <c r="AE2868">
        <v>-9.7946000000000009</v>
      </c>
      <c r="AF2868">
        <v>-10.550005191116499</v>
      </c>
      <c r="AG2868">
        <v>1.0344959999999901</v>
      </c>
      <c r="AH2868">
        <v>168.67120622552099</v>
      </c>
      <c r="AI2868">
        <v>89.649282689102407</v>
      </c>
      <c r="AJ2868">
        <v>93.579059849368605</v>
      </c>
      <c r="AK2868">
        <v>169.00398989692201</v>
      </c>
      <c r="AL2868">
        <v>81.234828226050098</v>
      </c>
      <c r="AM2868">
        <v>96.766958737577696</v>
      </c>
      <c r="AN2868">
        <v>1.0000000234897399</v>
      </c>
    </row>
    <row r="2869" spans="1:40" x14ac:dyDescent="0.25">
      <c r="A2869" t="str">
        <f>"20190304154814772"</f>
        <v>20190304154814772</v>
      </c>
      <c r="B2869" t="str">
        <f>"1551685694769799"</f>
        <v>1551685694769799</v>
      </c>
      <c r="C2869" t="s">
        <v>40</v>
      </c>
      <c r="D2869">
        <v>4.1582679999999996</v>
      </c>
      <c r="E2869">
        <v>0.51861999999999997</v>
      </c>
      <c r="F2869" t="s">
        <v>62</v>
      </c>
      <c r="G2869">
        <v>-511.95929999999998</v>
      </c>
      <c r="H2869">
        <v>2.127046</v>
      </c>
      <c r="I2869">
        <v>275.59089999999998</v>
      </c>
      <c r="J2869">
        <v>-343.43310000000002</v>
      </c>
      <c r="K2869">
        <v>1.110101</v>
      </c>
      <c r="L2869">
        <v>285.40320000000003</v>
      </c>
      <c r="M2869">
        <v>-0.99993209999999999</v>
      </c>
      <c r="N2869">
        <v>-1.076772E-2</v>
      </c>
      <c r="O2869">
        <v>4.4788049999999998E-3</v>
      </c>
      <c r="P2869">
        <v>-0.98349010000000003</v>
      </c>
      <c r="Q2869">
        <v>0.1418856</v>
      </c>
      <c r="R2869">
        <v>-0.112319</v>
      </c>
      <c r="S2869">
        <v>-3.0275569999999998</v>
      </c>
      <c r="T2869">
        <v>1.8249390000000001E-2</v>
      </c>
      <c r="U2869">
        <v>-0.17605589999999999</v>
      </c>
      <c r="V2869">
        <v>-0.1167125</v>
      </c>
      <c r="W2869">
        <v>0.15246989999999999</v>
      </c>
      <c r="X2869">
        <v>0.98139240000000005</v>
      </c>
      <c r="Y2869">
        <v>-6.2524250000000003E-2</v>
      </c>
      <c r="Z2869" s="1">
        <v>-7.3474019999999996E-5</v>
      </c>
      <c r="AA2869">
        <v>0.99804340000000002</v>
      </c>
      <c r="AB2869">
        <v>37</v>
      </c>
      <c r="AC2869">
        <v>-168.52619999999899</v>
      </c>
      <c r="AD2869">
        <v>1.016945</v>
      </c>
      <c r="AE2869">
        <v>-9.8123000000000502</v>
      </c>
      <c r="AF2869">
        <v>-10.5666577747114</v>
      </c>
      <c r="AG2869">
        <v>1.016945</v>
      </c>
      <c r="AH2869">
        <v>168.47444559790699</v>
      </c>
      <c r="AI2869">
        <v>89.654833785263804</v>
      </c>
      <c r="AJ2869">
        <v>93.588870087383299</v>
      </c>
      <c r="AK2869">
        <v>168.80855207359301</v>
      </c>
      <c r="AL2869">
        <v>81.229911539915406</v>
      </c>
      <c r="AM2869">
        <v>96.782070633453401</v>
      </c>
      <c r="AN2869">
        <v>0.99999996042000905</v>
      </c>
    </row>
    <row r="2870" spans="1:40" x14ac:dyDescent="0.25">
      <c r="A2870" t="str">
        <f>"20190304154814784"</f>
        <v>20190304154814784</v>
      </c>
      <c r="B2870" t="str">
        <f>"1551685694779560"</f>
        <v>1551685694779560</v>
      </c>
      <c r="C2870" t="s">
        <v>40</v>
      </c>
      <c r="D2870">
        <v>4.171036</v>
      </c>
      <c r="E2870">
        <v>0.51858820000000005</v>
      </c>
      <c r="F2870" t="s">
        <v>62</v>
      </c>
      <c r="G2870">
        <v>-511.95929999999998</v>
      </c>
      <c r="H2870">
        <v>2.1236130000000002</v>
      </c>
      <c r="I2870">
        <v>275.58120000000002</v>
      </c>
      <c r="J2870">
        <v>-343.62670000000003</v>
      </c>
      <c r="K2870">
        <v>1.110104</v>
      </c>
      <c r="L2870">
        <v>285.40410000000003</v>
      </c>
      <c r="M2870">
        <v>-0.99993209999999999</v>
      </c>
      <c r="N2870">
        <v>-1.0769559999999999E-2</v>
      </c>
      <c r="O2870">
        <v>4.4780559999999898E-3</v>
      </c>
      <c r="P2870">
        <v>-0.98347890000000004</v>
      </c>
      <c r="Q2870">
        <v>0.14190510000000001</v>
      </c>
      <c r="R2870">
        <v>-0.1123942</v>
      </c>
      <c r="S2870">
        <v>-3.0275880000000002</v>
      </c>
      <c r="T2870">
        <v>1.8209220000000002E-2</v>
      </c>
      <c r="U2870">
        <v>-0.17645259999999999</v>
      </c>
      <c r="V2870">
        <v>-0.1167874</v>
      </c>
      <c r="W2870">
        <v>0.15249070000000001</v>
      </c>
      <c r="X2870">
        <v>0.98138029999999998</v>
      </c>
      <c r="Y2870">
        <v>-6.2653260000000002E-2</v>
      </c>
      <c r="Z2870" s="1">
        <v>-7.4321809999999998E-5</v>
      </c>
      <c r="AA2870">
        <v>0.99803540000000002</v>
      </c>
      <c r="AB2870">
        <v>37</v>
      </c>
      <c r="AC2870">
        <v>-168.33259999999899</v>
      </c>
      <c r="AD2870">
        <v>1.013509</v>
      </c>
      <c r="AE2870">
        <v>-9.8229000000000006</v>
      </c>
      <c r="AF2870">
        <v>-10.5762658375555</v>
      </c>
      <c r="AG2870">
        <v>1.013509</v>
      </c>
      <c r="AH2870">
        <v>168.28084233935701</v>
      </c>
      <c r="AI2870">
        <v>89.655607015668195</v>
      </c>
      <c r="AJ2870">
        <v>93.596246656957803</v>
      </c>
      <c r="AK2870">
        <v>168.615914130319</v>
      </c>
      <c r="AL2870">
        <v>81.228706052901998</v>
      </c>
      <c r="AM2870">
        <v>96.786465325830505</v>
      </c>
      <c r="AN2870">
        <v>1.0000000018066699</v>
      </c>
    </row>
    <row r="2871" spans="1:40" x14ac:dyDescent="0.25">
      <c r="A2871" t="str">
        <f>"20190304154814796"</f>
        <v>20190304154814796</v>
      </c>
      <c r="B2871" t="str">
        <f>"1551685694789322"</f>
        <v>1551685694789322</v>
      </c>
      <c r="C2871" t="s">
        <v>40</v>
      </c>
      <c r="D2871">
        <v>4.1755879999999896</v>
      </c>
      <c r="E2871">
        <v>0.51856689999999905</v>
      </c>
      <c r="F2871" t="s">
        <v>62</v>
      </c>
      <c r="G2871">
        <v>-511.95929999999998</v>
      </c>
      <c r="H2871">
        <v>2.1297730000000001</v>
      </c>
      <c r="I2871">
        <v>275.5763</v>
      </c>
      <c r="J2871">
        <v>-343.81459999999998</v>
      </c>
      <c r="K2871">
        <v>1.110107</v>
      </c>
      <c r="L2871">
        <v>285.4049</v>
      </c>
      <c r="M2871">
        <v>-0.99993209999999999</v>
      </c>
      <c r="N2871">
        <v>-1.0771340000000001E-2</v>
      </c>
      <c r="O2871">
        <v>4.4775479999999996E-3</v>
      </c>
      <c r="P2871">
        <v>-0.98346540000000005</v>
      </c>
      <c r="Q2871">
        <v>0.1417331</v>
      </c>
      <c r="R2871">
        <v>-0.1127291</v>
      </c>
      <c r="S2871">
        <v>-3.0275569999999998</v>
      </c>
      <c r="T2871">
        <v>1.8340829999999999E-2</v>
      </c>
      <c r="U2871">
        <v>-0.17675779999999999</v>
      </c>
      <c r="V2871">
        <v>-0.1171219</v>
      </c>
      <c r="W2871">
        <v>0.1523196</v>
      </c>
      <c r="X2871">
        <v>0.98136699999999999</v>
      </c>
      <c r="Y2871">
        <v>-6.2753599999999896E-2</v>
      </c>
      <c r="Z2871" s="1">
        <v>-7.3059869999999905E-5</v>
      </c>
      <c r="AA2871">
        <v>0.9980291</v>
      </c>
      <c r="AB2871">
        <v>37</v>
      </c>
      <c r="AC2871">
        <v>-168.1447</v>
      </c>
      <c r="AD2871">
        <v>1.019666</v>
      </c>
      <c r="AE2871">
        <v>-9.8285999999999891</v>
      </c>
      <c r="AF2871">
        <v>-10.581033214935101</v>
      </c>
      <c r="AG2871">
        <v>1.019666</v>
      </c>
      <c r="AH2871">
        <v>168.092843181859</v>
      </c>
      <c r="AI2871">
        <v>89.653129537846098</v>
      </c>
      <c r="AJ2871">
        <v>93.601876802117701</v>
      </c>
      <c r="AK2871">
        <v>168.42862557062</v>
      </c>
      <c r="AL2871">
        <v>81.238625169778601</v>
      </c>
      <c r="AM2871">
        <v>96.805812284081895</v>
      </c>
      <c r="AN2871">
        <v>0.99999999434638498</v>
      </c>
    </row>
    <row r="2872" spans="1:40" x14ac:dyDescent="0.25">
      <c r="A2872" t="str">
        <f>"20190304154814808"</f>
        <v>20190304154814808</v>
      </c>
      <c r="B2872" t="str">
        <f>"1551685694799080"</f>
        <v>1551685694799080</v>
      </c>
      <c r="C2872" t="s">
        <v>40</v>
      </c>
      <c r="D2872">
        <v>4.1557300000000001</v>
      </c>
      <c r="E2872">
        <v>0.51868179999999997</v>
      </c>
      <c r="F2872" t="s">
        <v>62</v>
      </c>
      <c r="G2872">
        <v>-512.82590000000005</v>
      </c>
      <c r="H2872">
        <v>2.095653</v>
      </c>
      <c r="I2872">
        <v>275.46409999999997</v>
      </c>
      <c r="J2872">
        <v>-344.03739999999999</v>
      </c>
      <c r="K2872">
        <v>1.1101110000000001</v>
      </c>
      <c r="L2872">
        <v>285.40589999999997</v>
      </c>
      <c r="M2872">
        <v>-0.99993209999999999</v>
      </c>
      <c r="N2872">
        <v>-1.077346E-2</v>
      </c>
      <c r="O2872">
        <v>4.4771569999999998E-3</v>
      </c>
      <c r="P2872">
        <v>-0.98342350000000001</v>
      </c>
      <c r="Q2872">
        <v>0.1417668</v>
      </c>
      <c r="R2872">
        <v>-0.11305179999999999</v>
      </c>
      <c r="S2872">
        <v>-3.0274960000000002</v>
      </c>
      <c r="T2872">
        <v>1.7655489999999999E-2</v>
      </c>
      <c r="U2872">
        <v>-0.17807010000000001</v>
      </c>
      <c r="V2872">
        <v>-0.11744499999999999</v>
      </c>
      <c r="W2872">
        <v>0.1523545</v>
      </c>
      <c r="X2872">
        <v>0.98132299999999995</v>
      </c>
      <c r="Y2872">
        <v>-6.318551E-2</v>
      </c>
      <c r="Z2872" s="1">
        <v>-8.2306209999999995E-5</v>
      </c>
      <c r="AA2872">
        <v>0.99800180000000005</v>
      </c>
      <c r="AB2872">
        <v>37</v>
      </c>
      <c r="AC2872">
        <v>-168.7885</v>
      </c>
      <c r="AD2872">
        <v>0.98554200000000003</v>
      </c>
      <c r="AE2872">
        <v>-9.9418000000000006</v>
      </c>
      <c r="AF2872">
        <v>-10.697073266669801</v>
      </c>
      <c r="AG2872">
        <v>0.98554200000000003</v>
      </c>
      <c r="AH2872">
        <v>168.73656170476099</v>
      </c>
      <c r="AI2872">
        <v>89.666025965854899</v>
      </c>
      <c r="AJ2872">
        <v>93.627418110711403</v>
      </c>
      <c r="AK2872">
        <v>169.07816513509599</v>
      </c>
      <c r="AL2872">
        <v>81.236602212742397</v>
      </c>
      <c r="AM2872">
        <v>96.824713510076904</v>
      </c>
      <c r="AN2872">
        <v>1.00000002601212</v>
      </c>
    </row>
    <row r="2873" spans="1:40" x14ac:dyDescent="0.25">
      <c r="A2873" t="str">
        <f>"20190304154814823"</f>
        <v>20190304154814823</v>
      </c>
      <c r="B2873" t="str">
        <f>"1551685694819575"</f>
        <v>1551685694819575</v>
      </c>
      <c r="C2873" t="s">
        <v>40</v>
      </c>
      <c r="D2873">
        <v>4.1768429999999999</v>
      </c>
      <c r="E2873">
        <v>0.51895979999999997</v>
      </c>
      <c r="F2873" t="s">
        <v>62</v>
      </c>
      <c r="G2873">
        <v>-511.95940000000002</v>
      </c>
      <c r="H2873">
        <v>2.1502439999999998</v>
      </c>
      <c r="I2873">
        <v>275.54590000000002</v>
      </c>
      <c r="J2873">
        <v>-344.25889999999998</v>
      </c>
      <c r="K2873">
        <v>1.1101110000000001</v>
      </c>
      <c r="L2873">
        <v>285.40690000000001</v>
      </c>
      <c r="M2873">
        <v>-0.99993189999999998</v>
      </c>
      <c r="N2873">
        <v>-1.0777729999999999E-2</v>
      </c>
      <c r="O2873">
        <v>4.4771150000000003E-3</v>
      </c>
      <c r="P2873">
        <v>-0.98328610000000005</v>
      </c>
      <c r="Q2873">
        <v>0.14237839999999999</v>
      </c>
      <c r="R2873">
        <v>-0.11347550000000001</v>
      </c>
      <c r="S2873">
        <v>-3.0274350000000001</v>
      </c>
      <c r="T2873">
        <v>1.8753769999999999E-2</v>
      </c>
      <c r="U2873">
        <v>-0.177764899999999</v>
      </c>
      <c r="V2873">
        <v>-0.1178684</v>
      </c>
      <c r="W2873">
        <v>0.15296899999999999</v>
      </c>
      <c r="X2873">
        <v>0.98117659999999995</v>
      </c>
      <c r="Y2873">
        <v>-6.3086370000000003E-2</v>
      </c>
      <c r="Z2873" s="1">
        <v>-6.9115429999999994E-5</v>
      </c>
      <c r="AA2873">
        <v>0.99800809999999995</v>
      </c>
      <c r="AB2873">
        <v>37</v>
      </c>
      <c r="AC2873">
        <v>-167.70050000000001</v>
      </c>
      <c r="AD2873">
        <v>1.04013299999999</v>
      </c>
      <c r="AE2873">
        <v>-9.86099999999999</v>
      </c>
      <c r="AF2873">
        <v>-10.611352390213399</v>
      </c>
      <c r="AG2873">
        <v>1.04013299999999</v>
      </c>
      <c r="AH2873">
        <v>167.64824064929601</v>
      </c>
      <c r="AI2873">
        <v>89.645236657150903</v>
      </c>
      <c r="AJ2873">
        <v>93.621724428848793</v>
      </c>
      <c r="AK2873">
        <v>167.986949698514</v>
      </c>
      <c r="AL2873">
        <v>81.200976115589398</v>
      </c>
      <c r="AM2873">
        <v>96.850096158646096</v>
      </c>
      <c r="AN2873">
        <v>0.99999999753355895</v>
      </c>
    </row>
    <row r="2874" spans="1:40" x14ac:dyDescent="0.25">
      <c r="A2874" t="str">
        <f>"20190304154814845"</f>
        <v>20190304154814845</v>
      </c>
      <c r="B2874" t="str">
        <f>"1551685694839095"</f>
        <v>1551685694839095</v>
      </c>
      <c r="C2874" t="s">
        <v>40</v>
      </c>
      <c r="D2874">
        <v>4.1328040000000001</v>
      </c>
      <c r="E2874">
        <v>0.51906509999999995</v>
      </c>
      <c r="F2874" t="s">
        <v>62</v>
      </c>
      <c r="G2874">
        <v>-511.95940000000002</v>
      </c>
      <c r="H2874">
        <v>2.3758569999999999</v>
      </c>
      <c r="I2874">
        <v>275.60660000000001</v>
      </c>
      <c r="J2874">
        <v>-344.63119999999998</v>
      </c>
      <c r="K2874">
        <v>1.110114</v>
      </c>
      <c r="L2874">
        <v>285.40859999999998</v>
      </c>
      <c r="M2874">
        <v>-0.99993180000000004</v>
      </c>
      <c r="N2874">
        <v>-1.078786E-2</v>
      </c>
      <c r="O2874">
        <v>4.4772129999999999E-3</v>
      </c>
      <c r="P2874">
        <v>-0.98329299999999997</v>
      </c>
      <c r="Q2874">
        <v>0.14231289999999999</v>
      </c>
      <c r="R2874">
        <v>-0.1134993</v>
      </c>
      <c r="S2874">
        <v>-3.0272519999999998</v>
      </c>
      <c r="T2874">
        <v>2.2850039999999999E-2</v>
      </c>
      <c r="U2874">
        <v>-0.1769104</v>
      </c>
      <c r="V2874">
        <v>-0.11789280000000001</v>
      </c>
      <c r="W2874">
        <v>0.1529124</v>
      </c>
      <c r="X2874">
        <v>0.98118249999999996</v>
      </c>
      <c r="Y2874">
        <v>-6.2809009999999998E-2</v>
      </c>
      <c r="Z2874" s="1">
        <v>-2.0221689999999999E-5</v>
      </c>
      <c r="AA2874">
        <v>0.99802550000000001</v>
      </c>
      <c r="AB2874">
        <v>37</v>
      </c>
      <c r="AC2874">
        <v>-167.32820000000001</v>
      </c>
      <c r="AD2874">
        <v>1.2657429999999901</v>
      </c>
      <c r="AE2874">
        <v>-9.8019999999999605</v>
      </c>
      <c r="AF2874">
        <v>-10.5505076817429</v>
      </c>
      <c r="AG2874">
        <v>1.2657429999999901</v>
      </c>
      <c r="AH2874">
        <v>167.273095775359</v>
      </c>
      <c r="AI2874">
        <v>89.567315179951393</v>
      </c>
      <c r="AJ2874">
        <v>93.609067230925803</v>
      </c>
      <c r="AK2874">
        <v>167.61027381386</v>
      </c>
      <c r="AL2874">
        <v>81.204257740952897</v>
      </c>
      <c r="AM2874">
        <v>96.851459914820296</v>
      </c>
      <c r="AN2874">
        <v>1.00000000633592</v>
      </c>
    </row>
    <row r="2875" spans="1:40" x14ac:dyDescent="0.25">
      <c r="A2875" t="str">
        <f>"20190304154814858"</f>
        <v>20190304154814858</v>
      </c>
      <c r="B2875" t="str">
        <f>"1551685694849832"</f>
        <v>1551685694849832</v>
      </c>
      <c r="C2875" t="s">
        <v>40</v>
      </c>
      <c r="D2875">
        <v>4.1254089999999897</v>
      </c>
      <c r="E2875">
        <v>0.51907499999999995</v>
      </c>
      <c r="F2875" t="s">
        <v>62</v>
      </c>
      <c r="G2875">
        <v>-511.95940000000002</v>
      </c>
      <c r="H2875">
        <v>2.4059460000000001</v>
      </c>
      <c r="I2875">
        <v>275.67720000000003</v>
      </c>
      <c r="J2875">
        <v>-344.83690000000001</v>
      </c>
      <c r="K2875">
        <v>1.110114</v>
      </c>
      <c r="L2875">
        <v>285.40949999999998</v>
      </c>
      <c r="M2875">
        <v>-0.99993180000000004</v>
      </c>
      <c r="N2875">
        <v>-1.079461E-2</v>
      </c>
      <c r="O2875">
        <v>4.4771660000000003E-3</v>
      </c>
      <c r="P2875">
        <v>-0.98322399999999999</v>
      </c>
      <c r="Q2875">
        <v>0.14274020000000001</v>
      </c>
      <c r="R2875">
        <v>-0.11355999999999999</v>
      </c>
      <c r="S2875">
        <v>-3.0272519999999998</v>
      </c>
      <c r="T2875">
        <v>2.3445250000000001E-2</v>
      </c>
      <c r="U2875">
        <v>-0.17605589999999999</v>
      </c>
      <c r="V2875">
        <v>-0.11795410000000001</v>
      </c>
      <c r="W2875">
        <v>0.1533455</v>
      </c>
      <c r="X2875">
        <v>0.98110750000000002</v>
      </c>
      <c r="Y2875">
        <v>-6.2528159999999999E-2</v>
      </c>
      <c r="Z2875" s="1">
        <v>-1.2920010000000001E-5</v>
      </c>
      <c r="AA2875">
        <v>0.99804320000000002</v>
      </c>
      <c r="AB2875">
        <v>37</v>
      </c>
      <c r="AC2875">
        <v>-167.1225</v>
      </c>
      <c r="AD2875">
        <v>1.2958319999999901</v>
      </c>
      <c r="AE2875">
        <v>-9.7322999999999507</v>
      </c>
      <c r="AF2875">
        <v>-10.4798532217032</v>
      </c>
      <c r="AG2875">
        <v>1.2958319999999901</v>
      </c>
      <c r="AH2875">
        <v>167.06723881917199</v>
      </c>
      <c r="AI2875">
        <v>89.556474495399797</v>
      </c>
      <c r="AJ2875">
        <v>93.589367110934703</v>
      </c>
      <c r="AK2875">
        <v>167.40062362722199</v>
      </c>
      <c r="AL2875">
        <v>81.179146456455896</v>
      </c>
      <c r="AM2875">
        <v>96.855507573406101</v>
      </c>
      <c r="AN2875">
        <v>0.99999996931665402</v>
      </c>
    </row>
    <row r="2876" spans="1:40" x14ac:dyDescent="0.25">
      <c r="A2876" t="str">
        <f>"20190304154814871"</f>
        <v>20190304154814871</v>
      </c>
      <c r="B2876" t="str">
        <f>"1551685694859592"</f>
        <v>1551685694859592</v>
      </c>
      <c r="C2876" t="s">
        <v>40</v>
      </c>
      <c r="D2876">
        <v>4.1224879999999997</v>
      </c>
      <c r="E2876">
        <v>0.51904289999999997</v>
      </c>
      <c r="F2876" t="s">
        <v>62</v>
      </c>
      <c r="G2876">
        <v>-511.95940000000002</v>
      </c>
      <c r="H2876">
        <v>2.4926409999999999</v>
      </c>
      <c r="I2876">
        <v>275.67989999999998</v>
      </c>
      <c r="J2876">
        <v>-345.0489</v>
      </c>
      <c r="K2876">
        <v>1.110115</v>
      </c>
      <c r="L2876">
        <v>285.41050000000001</v>
      </c>
      <c r="M2876">
        <v>-0.99993180000000004</v>
      </c>
      <c r="N2876">
        <v>-1.08019E-2</v>
      </c>
      <c r="O2876">
        <v>4.4771170000000001E-3</v>
      </c>
      <c r="P2876">
        <v>-0.98323740000000004</v>
      </c>
      <c r="Q2876">
        <v>0.1427329</v>
      </c>
      <c r="R2876">
        <v>-0.11345330000000001</v>
      </c>
      <c r="S2876">
        <v>-3.0272220000000001</v>
      </c>
      <c r="T2876">
        <v>2.5044199999999999E-2</v>
      </c>
      <c r="U2876">
        <v>-0.17623900000000001</v>
      </c>
      <c r="V2876">
        <v>-0.1178474</v>
      </c>
      <c r="W2876">
        <v>0.15334500000000001</v>
      </c>
      <c r="X2876">
        <v>0.9811204</v>
      </c>
      <c r="Y2876">
        <v>-6.2588740000000004E-2</v>
      </c>
      <c r="Z2876" s="1">
        <v>5.6691929999999999E-6</v>
      </c>
      <c r="AA2876">
        <v>0.99803940000000002</v>
      </c>
      <c r="AB2876">
        <v>37</v>
      </c>
      <c r="AC2876">
        <v>-166.91050000000001</v>
      </c>
      <c r="AD2876">
        <v>1.3825259999999999</v>
      </c>
      <c r="AE2876">
        <v>-9.7306000000000292</v>
      </c>
      <c r="AF2876">
        <v>-10.4771073931626</v>
      </c>
      <c r="AG2876">
        <v>1.3825259999999999</v>
      </c>
      <c r="AH2876">
        <v>166.85385054904799</v>
      </c>
      <c r="AI2876">
        <v>89.526199722033397</v>
      </c>
      <c r="AJ2876">
        <v>93.593006321355404</v>
      </c>
      <c r="AK2876">
        <v>167.188183196398</v>
      </c>
      <c r="AL2876">
        <v>81.179175444449598</v>
      </c>
      <c r="AM2876">
        <v>96.849275893673607</v>
      </c>
      <c r="AN2876">
        <v>0.99999996900395904</v>
      </c>
    </row>
    <row r="2877" spans="1:40" x14ac:dyDescent="0.25">
      <c r="A2877" t="str">
        <f>"20190304154814890"</f>
        <v>20190304154814890</v>
      </c>
      <c r="B2877" t="str">
        <f>"1551685694879112"</f>
        <v>1551685694879112</v>
      </c>
      <c r="C2877" t="s">
        <v>40</v>
      </c>
      <c r="D2877">
        <v>4.10067</v>
      </c>
      <c r="E2877">
        <v>0.51908620000000005</v>
      </c>
      <c r="F2877" t="s">
        <v>62</v>
      </c>
      <c r="G2877">
        <v>-511.95940000000002</v>
      </c>
      <c r="H2877">
        <v>2.5013480000000001</v>
      </c>
      <c r="I2877">
        <v>275.70819999999998</v>
      </c>
      <c r="J2877">
        <v>-345.23919999999998</v>
      </c>
      <c r="K2877">
        <v>1.110117</v>
      </c>
      <c r="L2877">
        <v>285.41129999999998</v>
      </c>
      <c r="M2877">
        <v>-0.99993160000000003</v>
      </c>
      <c r="N2877">
        <v>-1.0808369999999999E-2</v>
      </c>
      <c r="O2877">
        <v>4.4772550000000003E-3</v>
      </c>
      <c r="P2877">
        <v>-0.98318850000000002</v>
      </c>
      <c r="Q2877">
        <v>0.14296909999999999</v>
      </c>
      <c r="R2877">
        <v>-0.113580399999999</v>
      </c>
      <c r="S2877">
        <v>-3.027161</v>
      </c>
      <c r="T2877">
        <v>2.5233390000000001E-2</v>
      </c>
      <c r="U2877">
        <v>-0.17596439999999999</v>
      </c>
      <c r="V2877">
        <v>-0.11797439999999999</v>
      </c>
      <c r="W2877">
        <v>0.15358720000000001</v>
      </c>
      <c r="X2877">
        <v>0.98106729999999998</v>
      </c>
      <c r="Y2877">
        <v>-6.2499779999999998E-2</v>
      </c>
      <c r="Z2877" s="1">
        <v>7.8498849999999998E-6</v>
      </c>
      <c r="AA2877">
        <v>0.99804499999999996</v>
      </c>
      <c r="AB2877">
        <v>37</v>
      </c>
      <c r="AC2877">
        <v>-166.72020000000001</v>
      </c>
      <c r="AD2877">
        <v>1.3912309999999899</v>
      </c>
      <c r="AE2877">
        <v>-9.7030999999999992</v>
      </c>
      <c r="AF2877">
        <v>-10.4487700268966</v>
      </c>
      <c r="AG2877">
        <v>1.3912309999999899</v>
      </c>
      <c r="AH2877">
        <v>166.663516697918</v>
      </c>
      <c r="AI2877">
        <v>89.522669195497798</v>
      </c>
      <c r="AJ2877">
        <v>93.587395246483695</v>
      </c>
      <c r="AK2877">
        <v>166.99652725996299</v>
      </c>
      <c r="AL2877">
        <v>81.165132475137895</v>
      </c>
      <c r="AM2877">
        <v>96.856954463400697</v>
      </c>
      <c r="AN2877">
        <v>1.00000001709424</v>
      </c>
    </row>
    <row r="2878" spans="1:40" x14ac:dyDescent="0.25">
      <c r="A2878" t="str">
        <f>"20190304154814902"</f>
        <v>20190304154814902</v>
      </c>
      <c r="B2878" t="str">
        <f>"1551685694899796"</f>
        <v>1551685694899796</v>
      </c>
      <c r="C2878" t="s">
        <v>40</v>
      </c>
      <c r="D2878">
        <v>4.0957339999999904</v>
      </c>
      <c r="E2878">
        <v>0.51922950000000001</v>
      </c>
      <c r="F2878" t="s">
        <v>62</v>
      </c>
      <c r="G2878">
        <v>-511.95949999999999</v>
      </c>
      <c r="H2878">
        <v>2.6227689999999999</v>
      </c>
      <c r="I2878">
        <v>275.71429999999998</v>
      </c>
      <c r="J2878">
        <v>-345.55700000000002</v>
      </c>
      <c r="K2878">
        <v>1.11012</v>
      </c>
      <c r="L2878">
        <v>285.41269999999997</v>
      </c>
      <c r="M2878">
        <v>-0.99993149999999997</v>
      </c>
      <c r="N2878">
        <v>-1.0818940000000001E-2</v>
      </c>
      <c r="O2878">
        <v>4.477188E-3</v>
      </c>
      <c r="P2878">
        <v>-0.98319199999999995</v>
      </c>
      <c r="Q2878">
        <v>0.14315559999999999</v>
      </c>
      <c r="R2878">
        <v>-0.113314</v>
      </c>
      <c r="S2878">
        <v>-3.0269469999999998</v>
      </c>
      <c r="T2878">
        <v>2.7464869999999999E-2</v>
      </c>
      <c r="U2878">
        <v>-0.17605589999999999</v>
      </c>
      <c r="V2878">
        <v>-0.1177083</v>
      </c>
      <c r="W2878">
        <v>0.1537837</v>
      </c>
      <c r="X2878">
        <v>0.98106850000000001</v>
      </c>
      <c r="Y2878">
        <v>-6.253367E-2</v>
      </c>
      <c r="Z2878" s="1">
        <v>3.3869869999999997E-5</v>
      </c>
      <c r="AA2878">
        <v>0.99804289999999996</v>
      </c>
      <c r="AB2878">
        <v>37</v>
      </c>
      <c r="AC2878">
        <v>-166.4025</v>
      </c>
      <c r="AD2878">
        <v>1.5126489999999999</v>
      </c>
      <c r="AE2878">
        <v>-9.6983999999999906</v>
      </c>
      <c r="AF2878">
        <v>-10.442501649517199</v>
      </c>
      <c r="AG2878">
        <v>1.5126489999999999</v>
      </c>
      <c r="AH2878">
        <v>166.34370886618001</v>
      </c>
      <c r="AI2878">
        <v>89.480017871415498</v>
      </c>
      <c r="AJ2878">
        <v>93.592123597978102</v>
      </c>
      <c r="AK2878">
        <v>166.67802322758001</v>
      </c>
      <c r="AL2878">
        <v>81.153738660532198</v>
      </c>
      <c r="AM2878">
        <v>96.841626568391703</v>
      </c>
      <c r="AN2878">
        <v>1.00000003598341</v>
      </c>
    </row>
    <row r="2879" spans="1:40" x14ac:dyDescent="0.25">
      <c r="A2879" t="str">
        <f>"20190304154814914"</f>
        <v>20190304154814914</v>
      </c>
      <c r="B2879" t="str">
        <f>"1551685694909557"</f>
        <v>1551685694909557</v>
      </c>
      <c r="C2879" t="s">
        <v>40</v>
      </c>
      <c r="D2879">
        <v>4.1071540000000004</v>
      </c>
      <c r="E2879">
        <v>0.51923199999999903</v>
      </c>
      <c r="F2879" t="s">
        <v>62</v>
      </c>
      <c r="G2879">
        <v>-511.95949999999999</v>
      </c>
      <c r="H2879">
        <v>2.7460399999999998</v>
      </c>
      <c r="I2879">
        <v>275.84480000000002</v>
      </c>
      <c r="J2879">
        <v>-345.75369999999998</v>
      </c>
      <c r="K2879">
        <v>1.1101240000000001</v>
      </c>
      <c r="L2879">
        <v>285.41359999999997</v>
      </c>
      <c r="M2879">
        <v>-0.99993129999999997</v>
      </c>
      <c r="N2879">
        <v>-1.082528E-2</v>
      </c>
      <c r="O2879">
        <v>4.4771489999999997E-3</v>
      </c>
      <c r="P2879">
        <v>-0.98312869999999997</v>
      </c>
      <c r="Q2879">
        <v>0.14342739999999901</v>
      </c>
      <c r="R2879">
        <v>-0.1135195</v>
      </c>
      <c r="S2879">
        <v>-3.0268860000000002</v>
      </c>
      <c r="T2879">
        <v>2.9759049999999999E-2</v>
      </c>
      <c r="U2879">
        <v>-0.17404169999999999</v>
      </c>
      <c r="V2879">
        <v>-0.11791359999999999</v>
      </c>
      <c r="W2879">
        <v>0.15406069999999999</v>
      </c>
      <c r="X2879">
        <v>0.98100039999999999</v>
      </c>
      <c r="Y2879">
        <v>-6.1872610000000001E-2</v>
      </c>
      <c r="Z2879" s="1">
        <v>6.1119959999999995E-5</v>
      </c>
      <c r="AA2879">
        <v>0.99808410000000003</v>
      </c>
      <c r="AB2879">
        <v>37</v>
      </c>
      <c r="AC2879">
        <v>-166.20580000000001</v>
      </c>
      <c r="AD2879">
        <v>1.6359159999999999</v>
      </c>
      <c r="AE2879">
        <v>-9.5687999999999498</v>
      </c>
      <c r="AF2879">
        <v>-10.3118801782521</v>
      </c>
      <c r="AG2879">
        <v>1.6359159999999999</v>
      </c>
      <c r="AH2879">
        <v>166.145247741519</v>
      </c>
      <c r="AI2879">
        <v>89.436950135933003</v>
      </c>
      <c r="AJ2879">
        <v>93.551532913672702</v>
      </c>
      <c r="AK2879">
        <v>166.47298411772499</v>
      </c>
      <c r="AL2879">
        <v>81.137676445039901</v>
      </c>
      <c r="AM2879">
        <v>96.853917172084095</v>
      </c>
      <c r="AN2879">
        <v>1.0000000505747999</v>
      </c>
    </row>
    <row r="2880" spans="1:40" x14ac:dyDescent="0.25">
      <c r="A2880" t="str">
        <f>"20190304154814926"</f>
        <v>20190304154814926</v>
      </c>
      <c r="B2880" t="str">
        <f>"1551685694919317"</f>
        <v>1551685694919317</v>
      </c>
      <c r="C2880" t="s">
        <v>40</v>
      </c>
      <c r="D2880">
        <v>4.3023769999999999</v>
      </c>
      <c r="E2880">
        <v>0.51923199999999903</v>
      </c>
      <c r="F2880" t="s">
        <v>62</v>
      </c>
      <c r="G2880">
        <v>-511.95949999999999</v>
      </c>
      <c r="H2880">
        <v>2.7846989999999998</v>
      </c>
      <c r="I2880">
        <v>275.83199999999999</v>
      </c>
      <c r="J2880">
        <v>-345.9554</v>
      </c>
      <c r="K2880">
        <v>1.1101240000000001</v>
      </c>
      <c r="L2880">
        <v>285.41449999999998</v>
      </c>
      <c r="M2880">
        <v>-0.99993129999999997</v>
      </c>
      <c r="N2880">
        <v>-1.083158E-2</v>
      </c>
      <c r="O2880">
        <v>4.4769329999999998E-3</v>
      </c>
      <c r="P2880">
        <v>-0.98309919999999995</v>
      </c>
      <c r="Q2880">
        <v>0.14358889999999999</v>
      </c>
      <c r="R2880">
        <v>-0.1135723</v>
      </c>
      <c r="S2880">
        <v>-3.0269469999999998</v>
      </c>
      <c r="T2880">
        <v>3.0498859999999999E-2</v>
      </c>
      <c r="U2880">
        <v>-0.1744995</v>
      </c>
      <c r="V2880">
        <v>-0.11796619999999999</v>
      </c>
      <c r="W2880">
        <v>0.15422839999999999</v>
      </c>
      <c r="X2880">
        <v>0.98096760000000005</v>
      </c>
      <c r="Y2880">
        <v>-6.2021600000000003E-2</v>
      </c>
      <c r="Z2880" s="1">
        <v>6.9528000000000002E-5</v>
      </c>
      <c r="AA2880">
        <v>0.99807480000000004</v>
      </c>
      <c r="AB2880">
        <v>37</v>
      </c>
      <c r="AC2880">
        <v>-166.00409999999999</v>
      </c>
      <c r="AD2880">
        <v>1.6745749999999999</v>
      </c>
      <c r="AE2880">
        <v>-9.58249999999998</v>
      </c>
      <c r="AF2880">
        <v>-10.324589674590101</v>
      </c>
      <c r="AG2880">
        <v>1.6745749999999999</v>
      </c>
      <c r="AH2880">
        <v>165.942703429067</v>
      </c>
      <c r="AI2880">
        <v>89.422947370781998</v>
      </c>
      <c r="AJ2880">
        <v>93.560228048342694</v>
      </c>
      <c r="AK2880">
        <v>166.27201260202099</v>
      </c>
      <c r="AL2880">
        <v>81.127950619882498</v>
      </c>
      <c r="AM2880">
        <v>96.857172616319303</v>
      </c>
      <c r="AN2880">
        <v>0.99999992797937698</v>
      </c>
    </row>
    <row r="2881" spans="1:40" x14ac:dyDescent="0.25">
      <c r="A2881" t="str">
        <f>"20190304154814938"</f>
        <v>20190304154814938</v>
      </c>
      <c r="B2881" t="str">
        <f>"1551685694929077"</f>
        <v>1551685694929077</v>
      </c>
      <c r="C2881" t="s">
        <v>40</v>
      </c>
      <c r="D2881">
        <v>4.1477050000000002</v>
      </c>
      <c r="E2881">
        <v>0.56012340000000005</v>
      </c>
      <c r="F2881" t="s">
        <v>62</v>
      </c>
      <c r="G2881">
        <v>-511.95960000000002</v>
      </c>
      <c r="H2881">
        <v>2.811496</v>
      </c>
      <c r="I2881">
        <v>275.84449999999998</v>
      </c>
      <c r="J2881">
        <v>-346.15870000000001</v>
      </c>
      <c r="K2881">
        <v>1.1101259999999999</v>
      </c>
      <c r="L2881">
        <v>285.41539999999998</v>
      </c>
      <c r="M2881">
        <v>-0.99993129999999997</v>
      </c>
      <c r="N2881">
        <v>-1.0839100000000001E-2</v>
      </c>
      <c r="O2881">
        <v>4.4768890000000004E-3</v>
      </c>
      <c r="P2881">
        <v>-0.98305299999999995</v>
      </c>
      <c r="Q2881">
        <v>0.14379939999999999</v>
      </c>
      <c r="R2881">
        <v>-0.1137041</v>
      </c>
      <c r="S2881">
        <v>-3.0269170000000001</v>
      </c>
      <c r="T2881">
        <v>3.1024220000000002E-2</v>
      </c>
      <c r="U2881">
        <v>-0.1744995</v>
      </c>
      <c r="V2881">
        <v>-0.1180983</v>
      </c>
      <c r="W2881">
        <v>0.15444559999999999</v>
      </c>
      <c r="X2881">
        <v>0.98091759999999995</v>
      </c>
      <c r="Y2881">
        <v>-6.2022059999999997E-2</v>
      </c>
      <c r="Z2881" s="1">
        <v>7.5484389999999998E-5</v>
      </c>
      <c r="AA2881">
        <v>0.99807480000000004</v>
      </c>
      <c r="AB2881">
        <v>37</v>
      </c>
      <c r="AC2881">
        <v>-165.80090000000001</v>
      </c>
      <c r="AD2881">
        <v>1.70137</v>
      </c>
      <c r="AE2881">
        <v>-9.5708999999999893</v>
      </c>
      <c r="AF2881">
        <v>-10.3120376189665</v>
      </c>
      <c r="AG2881">
        <v>1.70137</v>
      </c>
      <c r="AH2881">
        <v>165.73899371982401</v>
      </c>
      <c r="AI2881">
        <v>89.412994021989505</v>
      </c>
      <c r="AJ2881">
        <v>93.560270169100306</v>
      </c>
      <c r="AK2881">
        <v>166.06819930074499</v>
      </c>
      <c r="AL2881">
        <v>81.115355658375705</v>
      </c>
      <c r="AM2881">
        <v>96.865124703900605</v>
      </c>
      <c r="AN2881">
        <v>0.999999994906005</v>
      </c>
    </row>
    <row r="2882" spans="1:40" x14ac:dyDescent="0.25">
      <c r="A2882" t="str">
        <f>"20190304154814951"</f>
        <v>20190304154814951</v>
      </c>
      <c r="B2882" t="str">
        <f>"1551685694939812"</f>
        <v>1551685694939812</v>
      </c>
      <c r="C2882" t="s">
        <v>40</v>
      </c>
      <c r="D2882">
        <v>4.2747039999999998</v>
      </c>
      <c r="E2882">
        <v>0.56077889999999997</v>
      </c>
      <c r="F2882" t="s">
        <v>63</v>
      </c>
      <c r="G2882">
        <v>-537.25260000000003</v>
      </c>
      <c r="H2882">
        <v>9.985576</v>
      </c>
      <c r="I2882">
        <v>294.55</v>
      </c>
      <c r="J2882">
        <v>-346.36599999999999</v>
      </c>
      <c r="K2882">
        <v>1.1101299999999901</v>
      </c>
      <c r="L2882">
        <v>285.41629999999998</v>
      </c>
      <c r="M2882">
        <v>-0.99993109999999996</v>
      </c>
      <c r="N2882">
        <v>-1.0847580000000001E-2</v>
      </c>
      <c r="O2882">
        <v>4.4766609999999998E-3</v>
      </c>
      <c r="P2882">
        <v>-0.98308059999999997</v>
      </c>
      <c r="Q2882">
        <v>0.14365</v>
      </c>
      <c r="R2882">
        <v>-0.1136542</v>
      </c>
      <c r="S2882">
        <v>-3.0478209999999999</v>
      </c>
      <c r="T2882">
        <v>0.14155879999999901</v>
      </c>
      <c r="U2882">
        <v>0.14569089999999901</v>
      </c>
      <c r="V2882">
        <v>-0.118048</v>
      </c>
      <c r="W2882">
        <v>0.15430469999999999</v>
      </c>
      <c r="X2882">
        <v>0.98094579999999998</v>
      </c>
      <c r="Y2882">
        <v>4.3246550000000002E-2</v>
      </c>
      <c r="Z2882">
        <v>-5.1221199999999995E-4</v>
      </c>
      <c r="AA2882">
        <v>0.99906430000000002</v>
      </c>
      <c r="AB2882">
        <v>37</v>
      </c>
      <c r="AC2882">
        <v>-190.88659999999999</v>
      </c>
      <c r="AD2882">
        <v>8.8754460000000002</v>
      </c>
      <c r="AE2882">
        <v>9.1337000000000295</v>
      </c>
      <c r="AF2882">
        <v>8.2612047014417893</v>
      </c>
      <c r="AG2882">
        <v>8.8754460000000002</v>
      </c>
      <c r="AH2882">
        <v>190.51465091715701</v>
      </c>
      <c r="AI2882">
        <v>87.335208615357701</v>
      </c>
      <c r="AJ2882">
        <v>87.517063258479098</v>
      </c>
      <c r="AK2882">
        <v>190.900113302492</v>
      </c>
      <c r="AL2882">
        <v>81.123526331421601</v>
      </c>
      <c r="AM2882">
        <v>96.862033229799906</v>
      </c>
      <c r="AN2882">
        <v>0.99999996664186397</v>
      </c>
    </row>
    <row r="2883" spans="1:40" x14ac:dyDescent="0.25">
      <c r="A2883" t="str">
        <f>"20190304154814963"</f>
        <v>20190304154814963</v>
      </c>
      <c r="B2883" t="str">
        <f>"1551685694959333"</f>
        <v>1551685694959333</v>
      </c>
      <c r="C2883" t="s">
        <v>40</v>
      </c>
      <c r="D2883">
        <v>4.2392969999999996</v>
      </c>
      <c r="E2883">
        <v>0.55959709999999996</v>
      </c>
      <c r="F2883" t="s">
        <v>63</v>
      </c>
      <c r="G2883">
        <v>-511.5335</v>
      </c>
      <c r="H2883">
        <v>5.4367679999999998</v>
      </c>
      <c r="I2883">
        <v>293.69319999999999</v>
      </c>
      <c r="J2883">
        <v>-346.55489999999998</v>
      </c>
      <c r="K2883">
        <v>1.110131</v>
      </c>
      <c r="L2883">
        <v>285.41719999999998</v>
      </c>
      <c r="M2883">
        <v>-0.99993109999999996</v>
      </c>
      <c r="N2883">
        <v>-1.0856849999999999E-2</v>
      </c>
      <c r="O2883">
        <v>4.47643E-3</v>
      </c>
      <c r="P2883">
        <v>-0.9830409</v>
      </c>
      <c r="Q2883">
        <v>0.1436905</v>
      </c>
      <c r="R2883">
        <v>-0.1139464</v>
      </c>
      <c r="S2883">
        <v>-3.057709</v>
      </c>
      <c r="T2883">
        <v>8.0099580000000004E-2</v>
      </c>
      <c r="U2883">
        <v>0.153228799999999</v>
      </c>
      <c r="V2883">
        <v>-0.1183404</v>
      </c>
      <c r="W2883">
        <v>0.1543542</v>
      </c>
      <c r="X2883">
        <v>0.98090279999999996</v>
      </c>
      <c r="Y2883">
        <v>4.5571849999999997E-2</v>
      </c>
      <c r="Z2883">
        <v>-1.8312459999999999E-4</v>
      </c>
      <c r="AA2883">
        <v>0.99896099999999999</v>
      </c>
      <c r="AB2883">
        <v>37</v>
      </c>
      <c r="AC2883">
        <v>-164.9786</v>
      </c>
      <c r="AD2883">
        <v>4.3266369999999998</v>
      </c>
      <c r="AE2883">
        <v>8.2759999999999998</v>
      </c>
      <c r="AF2883">
        <v>7.5321909891193801</v>
      </c>
      <c r="AG2883">
        <v>4.3266369999999998</v>
      </c>
      <c r="AH2883">
        <v>164.900866129267</v>
      </c>
      <c r="AI2883">
        <v>88.498593989592706</v>
      </c>
      <c r="AJ2883">
        <v>87.384713601008798</v>
      </c>
      <c r="AK2883">
        <v>165.12949263837999</v>
      </c>
      <c r="AL2883">
        <v>81.120655974637899</v>
      </c>
      <c r="AM2883">
        <v>96.879166199236295</v>
      </c>
      <c r="AN2883">
        <v>0.99999998618881902</v>
      </c>
    </row>
    <row r="2884" spans="1:40" x14ac:dyDescent="0.25">
      <c r="A2884" t="str">
        <f>"20190304154814976"</f>
        <v>20190304154814976</v>
      </c>
      <c r="B2884" t="str">
        <f>"1551685694969093"</f>
        <v>1551685694969093</v>
      </c>
      <c r="C2884" t="s">
        <v>40</v>
      </c>
      <c r="D2884">
        <v>4.2755330000000002</v>
      </c>
      <c r="E2884">
        <v>0.55930749999999996</v>
      </c>
      <c r="F2884" t="s">
        <v>63</v>
      </c>
      <c r="G2884">
        <v>-539.65970000000004</v>
      </c>
      <c r="H2884">
        <v>2.6554869999999999</v>
      </c>
      <c r="I2884">
        <v>294.55</v>
      </c>
      <c r="J2884">
        <v>-346.7749</v>
      </c>
      <c r="K2884">
        <v>1.1101350000000001</v>
      </c>
      <c r="L2884">
        <v>285.41820000000001</v>
      </c>
      <c r="M2884">
        <v>-0.99993100000000001</v>
      </c>
      <c r="N2884">
        <v>-1.086778E-2</v>
      </c>
      <c r="O2884">
        <v>4.4762489999999999E-3</v>
      </c>
      <c r="P2884">
        <v>-0.98304219999999998</v>
      </c>
      <c r="Q2884">
        <v>0.1435669</v>
      </c>
      <c r="R2884">
        <v>-0.11409229999999999</v>
      </c>
      <c r="S2884">
        <v>-3.0650019999999998</v>
      </c>
      <c r="T2884">
        <v>2.4529579999999999E-2</v>
      </c>
      <c r="U2884">
        <v>0.14495849999999999</v>
      </c>
      <c r="V2884">
        <v>-0.1184856</v>
      </c>
      <c r="W2884">
        <v>0.15424109999999999</v>
      </c>
      <c r="X2884">
        <v>0.98090310000000003</v>
      </c>
      <c r="Y2884">
        <v>4.2771240000000002E-2</v>
      </c>
      <c r="Z2884">
        <v>1.4591920000000001E-4</v>
      </c>
      <c r="AA2884">
        <v>0.99908490000000005</v>
      </c>
      <c r="AB2884">
        <v>37</v>
      </c>
      <c r="AC2884">
        <v>-192.88480000000001</v>
      </c>
      <c r="AD2884">
        <v>1.5453519999999901</v>
      </c>
      <c r="AE2884">
        <v>9.1317999999999895</v>
      </c>
      <c r="AF2884">
        <v>8.2677276742399908</v>
      </c>
      <c r="AG2884">
        <v>1.5453519999999901</v>
      </c>
      <c r="AH2884">
        <v>192.911390940449</v>
      </c>
      <c r="AI2884">
        <v>89.541452404168695</v>
      </c>
      <c r="AJ2884">
        <v>87.545939677264798</v>
      </c>
      <c r="AK2884">
        <v>193.094661211226</v>
      </c>
      <c r="AL2884">
        <v>81.127215000585096</v>
      </c>
      <c r="AM2884">
        <v>96.887523607247601</v>
      </c>
      <c r="AN2884">
        <v>1.0000000229630801</v>
      </c>
    </row>
    <row r="2885" spans="1:40" x14ac:dyDescent="0.25">
      <c r="A2885" t="str">
        <f>"20190304154814989"</f>
        <v>20190304154814989</v>
      </c>
      <c r="B2885" t="str">
        <f>"1551685694979828"</f>
        <v>1551685694979828</v>
      </c>
      <c r="C2885" t="s">
        <v>40</v>
      </c>
      <c r="D2885">
        <v>4.2325059999999999</v>
      </c>
      <c r="E2885">
        <v>0.55946450000000003</v>
      </c>
      <c r="F2885" t="s">
        <v>63</v>
      </c>
      <c r="G2885">
        <v>-542.99570000000006</v>
      </c>
      <c r="H2885">
        <v>1.7041299999999999</v>
      </c>
      <c r="I2885">
        <v>294.55</v>
      </c>
      <c r="J2885">
        <v>-346.99779999999998</v>
      </c>
      <c r="K2885">
        <v>1.1101399999999999</v>
      </c>
      <c r="L2885">
        <v>285.41910000000001</v>
      </c>
      <c r="M2885">
        <v>-0.99993089999999996</v>
      </c>
      <c r="N2885">
        <v>-1.0879099999999999E-2</v>
      </c>
      <c r="O2885">
        <v>4.4760069999999997E-3</v>
      </c>
      <c r="P2885">
        <v>-0.98295580000000005</v>
      </c>
      <c r="Q2885">
        <v>0.1439135</v>
      </c>
      <c r="R2885">
        <v>-0.11439820000000001</v>
      </c>
      <c r="S2885">
        <v>-3.0669249999999999</v>
      </c>
      <c r="T2885">
        <v>9.2854500000000006E-3</v>
      </c>
      <c r="U2885">
        <v>0.14273069999999999</v>
      </c>
      <c r="V2885">
        <v>-0.11879140000000001</v>
      </c>
      <c r="W2885">
        <v>0.15459779999999901</v>
      </c>
      <c r="X2885">
        <v>0.98080990000000001</v>
      </c>
      <c r="Y2885">
        <v>4.2017430000000001E-2</v>
      </c>
      <c r="Z2885">
        <v>2.2732819999999999E-4</v>
      </c>
      <c r="AA2885">
        <v>0.99911680000000003</v>
      </c>
      <c r="AB2885">
        <v>37</v>
      </c>
      <c r="AC2885">
        <v>-195.99789999999999</v>
      </c>
      <c r="AD2885">
        <v>0.59399000000000002</v>
      </c>
      <c r="AE2885">
        <v>9.1308999999999898</v>
      </c>
      <c r="AF2885">
        <v>8.2533930750698001</v>
      </c>
      <c r="AG2885">
        <v>0.59399000000000002</v>
      </c>
      <c r="AH2885">
        <v>196.03501218769199</v>
      </c>
      <c r="AI2885">
        <v>89.826546833630999</v>
      </c>
      <c r="AJ2885">
        <v>87.589178188255801</v>
      </c>
      <c r="AK2885">
        <v>196.20957500794901</v>
      </c>
      <c r="AL2885">
        <v>81.106528990571903</v>
      </c>
      <c r="AM2885">
        <v>96.905778053070804</v>
      </c>
      <c r="AN2885">
        <v>0.99999996820840398</v>
      </c>
    </row>
    <row r="2886" spans="1:40" x14ac:dyDescent="0.25">
      <c r="A2886" t="str">
        <f>"20190304154815002"</f>
        <v>20190304154815002</v>
      </c>
      <c r="B2886" t="str">
        <f>"1551685694989589"</f>
        <v>1551685694989589</v>
      </c>
      <c r="C2886" t="s">
        <v>40</v>
      </c>
      <c r="D2886">
        <v>4.2497030000000002</v>
      </c>
      <c r="E2886">
        <v>0.55932119999999996</v>
      </c>
      <c r="F2886" t="s">
        <v>63</v>
      </c>
      <c r="G2886">
        <v>-542.44839999999999</v>
      </c>
      <c r="H2886">
        <v>1.3087519999999999</v>
      </c>
      <c r="I2886">
        <v>294.55</v>
      </c>
      <c r="J2886">
        <v>-347.1848</v>
      </c>
      <c r="K2886">
        <v>1.110144</v>
      </c>
      <c r="L2886">
        <v>285.42</v>
      </c>
      <c r="M2886">
        <v>-0.99993080000000001</v>
      </c>
      <c r="N2886">
        <v>-1.088825E-2</v>
      </c>
      <c r="O2886">
        <v>4.4757770000000002E-3</v>
      </c>
      <c r="P2886">
        <v>-0.98295290000000002</v>
      </c>
      <c r="Q2886">
        <v>0.1438574</v>
      </c>
      <c r="R2886">
        <v>-0.1144931</v>
      </c>
      <c r="S2886">
        <v>-3.0682680000000002</v>
      </c>
      <c r="T2886">
        <v>3.1192300000000002E-3</v>
      </c>
      <c r="U2886">
        <v>0.1433411</v>
      </c>
      <c r="V2886">
        <v>-0.1188858</v>
      </c>
      <c r="W2886">
        <v>0.1545502</v>
      </c>
      <c r="X2886">
        <v>0.98080599999999996</v>
      </c>
      <c r="Y2886">
        <v>4.2195259999999998E-2</v>
      </c>
      <c r="Z2886">
        <v>2.616683E-4</v>
      </c>
      <c r="AA2886">
        <v>0.99910929999999998</v>
      </c>
      <c r="AB2886">
        <v>37</v>
      </c>
      <c r="AC2886">
        <v>-195.2636</v>
      </c>
      <c r="AD2886">
        <v>0.19860800000000001</v>
      </c>
      <c r="AE2886">
        <v>9.1299999999999901</v>
      </c>
      <c r="AF2886">
        <v>8.2558919612061494</v>
      </c>
      <c r="AG2886">
        <v>0.19860800000000001</v>
      </c>
      <c r="AH2886">
        <v>195.302308595499</v>
      </c>
      <c r="AI2886">
        <v>89.941786440089899</v>
      </c>
      <c r="AJ2886">
        <v>87.579412598528705</v>
      </c>
      <c r="AK2886">
        <v>195.476829675397</v>
      </c>
      <c r="AL2886">
        <v>81.109289765195399</v>
      </c>
      <c r="AM2886">
        <v>96.911240028924894</v>
      </c>
      <c r="AN2886">
        <v>1.0000000036988399</v>
      </c>
    </row>
    <row r="2887" spans="1:40" x14ac:dyDescent="0.25">
      <c r="A2887" t="str">
        <f>"20190304154815015"</f>
        <v>20190304154815015</v>
      </c>
      <c r="B2887" t="str">
        <f>"1551685695009109"</f>
        <v>1551685695009109</v>
      </c>
      <c r="C2887" t="s">
        <v>40</v>
      </c>
      <c r="D2887">
        <v>4.2225929999999998</v>
      </c>
      <c r="E2887">
        <v>0.5592608</v>
      </c>
      <c r="F2887" t="s">
        <v>63</v>
      </c>
      <c r="G2887">
        <v>-544.55460000000005</v>
      </c>
      <c r="H2887">
        <v>0.93126889999999996</v>
      </c>
      <c r="I2887">
        <v>294.55</v>
      </c>
      <c r="J2887">
        <v>-347.41820000000001</v>
      </c>
      <c r="K2887">
        <v>1.1101479999999999</v>
      </c>
      <c r="L2887">
        <v>285.42099999999999</v>
      </c>
      <c r="M2887">
        <v>-0.99993069999999895</v>
      </c>
      <c r="N2887">
        <v>-1.089942E-2</v>
      </c>
      <c r="O2887">
        <v>4.4755359999999996E-3</v>
      </c>
      <c r="P2887">
        <v>-0.982989</v>
      </c>
      <c r="Q2887">
        <v>0.14369119999999999</v>
      </c>
      <c r="R2887">
        <v>-0.11439199999999999</v>
      </c>
      <c r="S2887">
        <v>-3.069</v>
      </c>
      <c r="T2887">
        <v>-2.7800799999999999E-3</v>
      </c>
      <c r="U2887">
        <v>0.14196779999999901</v>
      </c>
      <c r="V2887">
        <v>-0.1187844</v>
      </c>
      <c r="W2887">
        <v>0.1543957</v>
      </c>
      <c r="X2887">
        <v>0.98084260000000001</v>
      </c>
      <c r="Y2887">
        <v>4.1737740000000002E-2</v>
      </c>
      <c r="Z2887">
        <v>2.9118729999999998E-4</v>
      </c>
      <c r="AA2887">
        <v>0.99912860000000003</v>
      </c>
      <c r="AB2887">
        <v>37</v>
      </c>
      <c r="AC2887">
        <v>-197.13640000000001</v>
      </c>
      <c r="AD2887">
        <v>-0.17887909999999899</v>
      </c>
      <c r="AE2887">
        <v>9.1290000000000102</v>
      </c>
      <c r="AF2887">
        <v>8.2465584204634901</v>
      </c>
      <c r="AG2887">
        <v>-0.17887909999999899</v>
      </c>
      <c r="AH2887">
        <v>197.175122986628</v>
      </c>
      <c r="AI2887">
        <v>90.051933846567195</v>
      </c>
      <c r="AJ2887">
        <v>87.605084360595995</v>
      </c>
      <c r="AK2887">
        <v>197.34757877487701</v>
      </c>
      <c r="AL2887">
        <v>81.118249347522493</v>
      </c>
      <c r="AM2887">
        <v>96.905147053435599</v>
      </c>
      <c r="AN2887">
        <v>0.99999998591830497</v>
      </c>
    </row>
    <row r="2888" spans="1:40" x14ac:dyDescent="0.25">
      <c r="A2888" t="str">
        <f>"20190304154815029"</f>
        <v>20190304154815029</v>
      </c>
      <c r="B2888" t="str">
        <f>"1551685695019845"</f>
        <v>1551685695019845</v>
      </c>
      <c r="C2888" t="s">
        <v>40</v>
      </c>
      <c r="D2888">
        <v>4.1957639999999996</v>
      </c>
      <c r="E2888">
        <v>0.55962619999999996</v>
      </c>
      <c r="F2888" t="s">
        <v>63</v>
      </c>
      <c r="G2888">
        <v>-544.70169999999996</v>
      </c>
      <c r="H2888">
        <v>0.45338230000000002</v>
      </c>
      <c r="I2888">
        <v>294.55</v>
      </c>
      <c r="J2888">
        <v>-347.65890000000002</v>
      </c>
      <c r="K2888">
        <v>1.1101479999999999</v>
      </c>
      <c r="L2888">
        <v>285.42200000000003</v>
      </c>
      <c r="M2888">
        <v>-0.9999306</v>
      </c>
      <c r="N2888">
        <v>-1.0910410000000001E-2</v>
      </c>
      <c r="O2888">
        <v>4.4752960000000001E-3</v>
      </c>
      <c r="P2888">
        <v>-0.98296559999999999</v>
      </c>
      <c r="Q2888">
        <v>0.14381169999999999</v>
      </c>
      <c r="R2888">
        <v>-0.1144421</v>
      </c>
      <c r="S2888">
        <v>-3.0699770000000002</v>
      </c>
      <c r="T2888">
        <v>-1.021874E-2</v>
      </c>
      <c r="U2888">
        <v>0.142059299999999</v>
      </c>
      <c r="V2888">
        <v>-0.1188343</v>
      </c>
      <c r="W2888">
        <v>0.15452669999999999</v>
      </c>
      <c r="X2888">
        <v>0.98081589999999996</v>
      </c>
      <c r="Y2888">
        <v>4.175218E-2</v>
      </c>
      <c r="Z2888">
        <v>3.312651E-4</v>
      </c>
      <c r="AA2888">
        <v>0.99912789999999996</v>
      </c>
      <c r="AB2888">
        <v>37</v>
      </c>
      <c r="AC2888">
        <v>-197.0428</v>
      </c>
      <c r="AD2888">
        <v>-0.65676569999999901</v>
      </c>
      <c r="AE2888">
        <v>9.1279999999999806</v>
      </c>
      <c r="AF2888">
        <v>8.2459399412914998</v>
      </c>
      <c r="AG2888">
        <v>-0.65676569999999901</v>
      </c>
      <c r="AH2888">
        <v>197.07949467740201</v>
      </c>
      <c r="AI2888">
        <v>90.190770068690398</v>
      </c>
      <c r="AJ2888">
        <v>87.6041031293461</v>
      </c>
      <c r="AK2888">
        <v>197.25302048130999</v>
      </c>
      <c r="AL2888">
        <v>81.110652203303204</v>
      </c>
      <c r="AM2888">
        <v>96.908206039003005</v>
      </c>
      <c r="AN2888">
        <v>0.99999996078109399</v>
      </c>
    </row>
    <row r="2889" spans="1:40" x14ac:dyDescent="0.25">
      <c r="A2889" t="str">
        <f>"20190304154815044"</f>
        <v>20190304154815044</v>
      </c>
      <c r="B2889" t="str">
        <f>"1551685695039365"</f>
        <v>1551685695039365</v>
      </c>
      <c r="C2889" t="s">
        <v>40</v>
      </c>
      <c r="D2889">
        <v>4.2145609999999998</v>
      </c>
      <c r="E2889">
        <v>0.55965450000000005</v>
      </c>
      <c r="F2889" t="s">
        <v>63</v>
      </c>
      <c r="G2889">
        <v>-540.77059999999994</v>
      </c>
      <c r="H2889">
        <v>0.36742900000000001</v>
      </c>
      <c r="I2889">
        <v>294.55</v>
      </c>
      <c r="J2889">
        <v>-347.88600000000002</v>
      </c>
      <c r="K2889">
        <v>1.11015</v>
      </c>
      <c r="L2889">
        <v>285.42309999999998</v>
      </c>
      <c r="M2889">
        <v>-0.99993030000000005</v>
      </c>
      <c r="N2889">
        <v>-1.092248E-2</v>
      </c>
      <c r="O2889">
        <v>4.4752280000000004E-3</v>
      </c>
      <c r="P2889">
        <v>-0.9829812</v>
      </c>
      <c r="Q2889">
        <v>0.14354049999999999</v>
      </c>
      <c r="R2889">
        <v>-0.1146475</v>
      </c>
      <c r="S2889">
        <v>-3.0706180000000001</v>
      </c>
      <c r="T2889">
        <v>-1.18084E-2</v>
      </c>
      <c r="U2889">
        <v>0.14514160000000001</v>
      </c>
      <c r="V2889">
        <v>-0.1190399</v>
      </c>
      <c r="W2889">
        <v>0.15426709999999999</v>
      </c>
      <c r="X2889">
        <v>0.98083189999999998</v>
      </c>
      <c r="Y2889">
        <v>4.2743089999999997E-2</v>
      </c>
      <c r="Z2889">
        <v>3.4736809999999898E-4</v>
      </c>
      <c r="AA2889">
        <v>0.99908600000000003</v>
      </c>
      <c r="AB2889">
        <v>37</v>
      </c>
      <c r="AC2889">
        <v>-192.88460000000001</v>
      </c>
      <c r="AD2889">
        <v>-0.74272099999999996</v>
      </c>
      <c r="AE2889">
        <v>9.1269000000000293</v>
      </c>
      <c r="AF2889">
        <v>8.2634322578780299</v>
      </c>
      <c r="AG2889">
        <v>-0.74272099999999996</v>
      </c>
      <c r="AH2889">
        <v>192.92066157776799</v>
      </c>
      <c r="AI2889">
        <v>90.220378599143999</v>
      </c>
      <c r="AJ2889">
        <v>87.547330825187998</v>
      </c>
      <c r="AK2889">
        <v>193.098983971351</v>
      </c>
      <c r="AL2889">
        <v>81.12570729171</v>
      </c>
      <c r="AM2889">
        <v>96.919930618772497</v>
      </c>
      <c r="AN2889">
        <v>1.00000002599601</v>
      </c>
    </row>
    <row r="2890" spans="1:40" x14ac:dyDescent="0.25">
      <c r="A2890" t="str">
        <f>"20190304154815058"</f>
        <v>20190304154815058</v>
      </c>
      <c r="B2890" t="str">
        <f>"1551685695049125"</f>
        <v>1551685695049125</v>
      </c>
      <c r="C2890" t="s">
        <v>40</v>
      </c>
      <c r="D2890">
        <v>4.1621389999999998</v>
      </c>
      <c r="E2890">
        <v>0.56001519999999905</v>
      </c>
      <c r="F2890" t="s">
        <v>63</v>
      </c>
      <c r="G2890">
        <v>-541.34929999999997</v>
      </c>
      <c r="H2890">
        <v>1.7430660000000001E-2</v>
      </c>
      <c r="I2890">
        <v>294.55</v>
      </c>
      <c r="J2890">
        <v>-348.12150000000003</v>
      </c>
      <c r="K2890">
        <v>1.1101479999999999</v>
      </c>
      <c r="L2890">
        <v>285.42410000000001</v>
      </c>
      <c r="M2890">
        <v>-0.99993019999999999</v>
      </c>
      <c r="N2890">
        <v>-1.093599E-2</v>
      </c>
      <c r="O2890">
        <v>4.4748549999999998E-3</v>
      </c>
      <c r="P2890">
        <v>-0.98290480000000002</v>
      </c>
      <c r="Q2890">
        <v>0.14393069999999999</v>
      </c>
      <c r="R2890">
        <v>-0.11481470000000001</v>
      </c>
      <c r="S2890">
        <v>-3.0713810000000001</v>
      </c>
      <c r="T2890">
        <v>-1.7346380000000002E-2</v>
      </c>
      <c r="U2890">
        <v>0.14489749999999901</v>
      </c>
      <c r="V2890">
        <v>-0.119206199999999</v>
      </c>
      <c r="W2890">
        <v>0.154669899999999</v>
      </c>
      <c r="X2890">
        <v>0.98074819999999996</v>
      </c>
      <c r="Y2890">
        <v>4.2651679999999997E-2</v>
      </c>
      <c r="Z2890">
        <v>3.7739149999999999E-4</v>
      </c>
      <c r="AA2890">
        <v>0.99909000000000003</v>
      </c>
      <c r="AB2890">
        <v>37</v>
      </c>
      <c r="AC2890">
        <v>-193.2278</v>
      </c>
      <c r="AD2890">
        <v>-1.0927173400000001</v>
      </c>
      <c r="AE2890">
        <v>9.1258999999999997</v>
      </c>
      <c r="AF2890">
        <v>8.2608269405120893</v>
      </c>
      <c r="AG2890">
        <v>-1.0927173400000001</v>
      </c>
      <c r="AH2890">
        <v>193.260537963221</v>
      </c>
      <c r="AI2890">
        <v>90.323657948778603</v>
      </c>
      <c r="AJ2890">
        <v>87.552409929288899</v>
      </c>
      <c r="AK2890">
        <v>193.44009622299001</v>
      </c>
      <c r="AL2890">
        <v>81.102347632935704</v>
      </c>
      <c r="AM2890">
        <v>96.930089539927394</v>
      </c>
      <c r="AN2890">
        <v>0.99999996394384405</v>
      </c>
    </row>
    <row r="2891" spans="1:40" x14ac:dyDescent="0.25">
      <c r="A2891" t="str">
        <f>"20190304154815073"</f>
        <v>20190304154815073</v>
      </c>
      <c r="B2891" t="str">
        <f>"1551685695069621"</f>
        <v>1551685695069621</v>
      </c>
      <c r="C2891" t="s">
        <v>40</v>
      </c>
      <c r="D2891">
        <v>4.2188350000000003</v>
      </c>
      <c r="E2891">
        <v>0.56013409999999997</v>
      </c>
      <c r="F2891" t="s">
        <v>63</v>
      </c>
      <c r="G2891">
        <v>-538.38490000000002</v>
      </c>
      <c r="H2891">
        <v>7.4277819999999994E-2</v>
      </c>
      <c r="I2891">
        <v>294.55</v>
      </c>
      <c r="J2891">
        <v>-348.35559999999998</v>
      </c>
      <c r="K2891">
        <v>1.1101510000000001</v>
      </c>
      <c r="L2891">
        <v>285.42509999999999</v>
      </c>
      <c r="M2891">
        <v>-0.99993010000000004</v>
      </c>
      <c r="N2891">
        <v>-1.095031E-2</v>
      </c>
      <c r="O2891">
        <v>4.4745979999999998E-3</v>
      </c>
      <c r="P2891">
        <v>-0.98290469999999996</v>
      </c>
      <c r="Q2891">
        <v>0.144019799999999</v>
      </c>
      <c r="R2891">
        <v>-0.1147036</v>
      </c>
      <c r="S2891">
        <v>-3.0718380000000001</v>
      </c>
      <c r="T2891">
        <v>-1.6722919999999999E-2</v>
      </c>
      <c r="U2891">
        <v>0.14733889999999999</v>
      </c>
      <c r="V2891">
        <v>-0.1190949</v>
      </c>
      <c r="W2891">
        <v>0.15477299999999999</v>
      </c>
      <c r="X2891">
        <v>0.98074550000000005</v>
      </c>
      <c r="Y2891">
        <v>4.3437240000000002E-2</v>
      </c>
      <c r="Z2891">
        <v>3.8076970000000001E-4</v>
      </c>
      <c r="AA2891">
        <v>0.9990561</v>
      </c>
      <c r="AB2891">
        <v>37</v>
      </c>
      <c r="AC2891">
        <v>-190.02930000000001</v>
      </c>
      <c r="AD2891">
        <v>-1.0358731800000001</v>
      </c>
      <c r="AE2891">
        <v>9.1249000000000198</v>
      </c>
      <c r="AF2891">
        <v>8.2742076866099197</v>
      </c>
      <c r="AG2891">
        <v>-1.0358731800000001</v>
      </c>
      <c r="AH2891">
        <v>190.062595411616</v>
      </c>
      <c r="AI2891">
        <v>90.311973080698706</v>
      </c>
      <c r="AJ2891">
        <v>87.507252676989395</v>
      </c>
      <c r="AK2891">
        <v>190.24543547924</v>
      </c>
      <c r="AL2891">
        <v>81.096368816931403</v>
      </c>
      <c r="AM2891">
        <v>96.923700791082894</v>
      </c>
      <c r="AN2891">
        <v>1.00000000625263</v>
      </c>
    </row>
    <row r="2892" spans="1:40" x14ac:dyDescent="0.25">
      <c r="A2892" t="str">
        <f>"20190304154815086"</f>
        <v>20190304154815086</v>
      </c>
      <c r="B2892" t="str">
        <f>"1551685695079381"</f>
        <v>1551685695079381</v>
      </c>
      <c r="C2892" t="s">
        <v>40</v>
      </c>
      <c r="D2892">
        <v>4.1734059999999999</v>
      </c>
      <c r="E2892">
        <v>0.56043240000000005</v>
      </c>
      <c r="F2892" t="s">
        <v>54</v>
      </c>
      <c r="G2892">
        <v>-503.38839999999999</v>
      </c>
      <c r="H2892">
        <v>8.0004270000000002E-2</v>
      </c>
      <c r="I2892">
        <v>292.9366</v>
      </c>
      <c r="J2892">
        <v>-348.58609999999999</v>
      </c>
      <c r="K2892">
        <v>1.110152</v>
      </c>
      <c r="L2892">
        <v>285.42619999999999</v>
      </c>
      <c r="M2892">
        <v>-0.99992999999999999</v>
      </c>
      <c r="N2892">
        <v>-1.096455E-2</v>
      </c>
      <c r="O2892">
        <v>4.4743400000000003E-3</v>
      </c>
      <c r="P2892">
        <v>-0.98283889999999996</v>
      </c>
      <c r="Q2892">
        <v>0.1445681</v>
      </c>
      <c r="R2892">
        <v>-0.1145767</v>
      </c>
      <c r="S2892">
        <v>-3.0725099999999999</v>
      </c>
      <c r="T2892">
        <v>-2.0415900000000001E-2</v>
      </c>
      <c r="U2892">
        <v>0.14886469999999999</v>
      </c>
      <c r="V2892">
        <v>-0.1189673</v>
      </c>
      <c r="W2892">
        <v>0.1553351</v>
      </c>
      <c r="X2892">
        <v>0.98067210000000005</v>
      </c>
      <c r="Y2892">
        <v>4.3921389999999998E-2</v>
      </c>
      <c r="Z2892">
        <v>4.0610130000000001E-4</v>
      </c>
      <c r="AA2892">
        <v>0.99903489999999995</v>
      </c>
      <c r="AB2892">
        <v>37</v>
      </c>
      <c r="AC2892">
        <v>-154.8023</v>
      </c>
      <c r="AD2892">
        <v>-1.0301477299999999</v>
      </c>
      <c r="AE2892">
        <v>7.5103999999999997</v>
      </c>
      <c r="AF2892">
        <v>6.8173439475901203</v>
      </c>
      <c r="AG2892">
        <v>-1.0301477299999999</v>
      </c>
      <c r="AH2892">
        <v>154.82751611681201</v>
      </c>
      <c r="AI2892">
        <v>90.380843897594602</v>
      </c>
      <c r="AJ2892">
        <v>87.478788634820702</v>
      </c>
      <c r="AK2892">
        <v>154.98095731330099</v>
      </c>
      <c r="AL2892">
        <v>81.063768442726499</v>
      </c>
      <c r="AM2892">
        <v>96.916867180329703</v>
      </c>
      <c r="AN2892">
        <v>0.99999998973985504</v>
      </c>
    </row>
    <row r="2893" spans="1:40" x14ac:dyDescent="0.25">
      <c r="A2893" t="str">
        <f>"20190304154815101"</f>
        <v>20190304154815101</v>
      </c>
      <c r="B2893" t="str">
        <f>"1551685695099877"</f>
        <v>1551685695099877</v>
      </c>
      <c r="C2893" t="s">
        <v>40</v>
      </c>
      <c r="D2893">
        <v>4.1767329999999996</v>
      </c>
      <c r="E2893">
        <v>0.56109969999999998</v>
      </c>
      <c r="F2893" t="s">
        <v>45</v>
      </c>
      <c r="G2893">
        <v>-532.65449999999998</v>
      </c>
      <c r="H2893">
        <v>-0.05</v>
      </c>
      <c r="I2893">
        <v>294.49869999999999</v>
      </c>
      <c r="J2893">
        <v>-348.84300000000002</v>
      </c>
      <c r="K2893">
        <v>1.11015</v>
      </c>
      <c r="L2893">
        <v>285.4273</v>
      </c>
      <c r="M2893">
        <v>-0.99992970000000003</v>
      </c>
      <c r="N2893">
        <v>-1.097973E-2</v>
      </c>
      <c r="O2893">
        <v>4.4740769999999999E-3</v>
      </c>
      <c r="P2893">
        <v>-0.98289439999999995</v>
      </c>
      <c r="Q2893">
        <v>0.14452200000000001</v>
      </c>
      <c r="R2893">
        <v>-0.1141577</v>
      </c>
      <c r="S2893">
        <v>-3.0728759999999999</v>
      </c>
      <c r="T2893">
        <v>-1.9367809999999999E-2</v>
      </c>
      <c r="U2893">
        <v>0.1514587</v>
      </c>
      <c r="V2893">
        <v>-0.1185484</v>
      </c>
      <c r="W2893">
        <v>0.15530389999999999</v>
      </c>
      <c r="X2893">
        <v>0.98072780000000004</v>
      </c>
      <c r="Y2893">
        <v>4.4757360000000003E-2</v>
      </c>
      <c r="Z2893">
        <v>4.0775369999999998E-4</v>
      </c>
      <c r="AA2893">
        <v>0.99899780000000005</v>
      </c>
      <c r="AB2893">
        <v>37</v>
      </c>
      <c r="AC2893">
        <v>-183.8115</v>
      </c>
      <c r="AD2893">
        <v>-1.16015</v>
      </c>
      <c r="AE2893">
        <v>9.0713999999999793</v>
      </c>
      <c r="AF2893">
        <v>8.2485450099962403</v>
      </c>
      <c r="AG2893">
        <v>-1.16015</v>
      </c>
      <c r="AH2893">
        <v>183.84294275233299</v>
      </c>
      <c r="AI2893">
        <v>90.361199686983497</v>
      </c>
      <c r="AJ2893">
        <v>87.431013341942602</v>
      </c>
      <c r="AK2893">
        <v>184.03155175850199</v>
      </c>
      <c r="AL2893">
        <v>81.065578314151395</v>
      </c>
      <c r="AM2893">
        <v>96.892358961521893</v>
      </c>
      <c r="AN2893">
        <v>1.0000000210953</v>
      </c>
    </row>
    <row r="2894" spans="1:40" x14ac:dyDescent="0.25">
      <c r="A2894" t="str">
        <f>"20190304154815116"</f>
        <v>20190304154815116</v>
      </c>
      <c r="B2894" t="str">
        <f>"1551685695109637"</f>
        <v>1551685695109637</v>
      </c>
      <c r="C2894" t="s">
        <v>40</v>
      </c>
      <c r="D2894">
        <v>4.2069710000000002</v>
      </c>
      <c r="E2894">
        <v>0.56116060000000001</v>
      </c>
      <c r="F2894" t="s">
        <v>63</v>
      </c>
      <c r="G2894">
        <v>-510.95359999999999</v>
      </c>
      <c r="H2894">
        <v>5.0772070000000002E-2</v>
      </c>
      <c r="I2894">
        <v>293.72989999999999</v>
      </c>
      <c r="J2894">
        <v>-349.06290000000001</v>
      </c>
      <c r="K2894">
        <v>1.1101540000000001</v>
      </c>
      <c r="L2894">
        <v>285.42829999999998</v>
      </c>
      <c r="M2894">
        <v>-0.99992959999999997</v>
      </c>
      <c r="N2894">
        <v>-1.099289E-2</v>
      </c>
      <c r="O2894">
        <v>4.4738249999999999E-3</v>
      </c>
      <c r="P2894">
        <v>-0.98301079999999996</v>
      </c>
      <c r="Q2894">
        <v>0.14399489999999901</v>
      </c>
      <c r="R2894">
        <v>-0.1138209</v>
      </c>
      <c r="S2894">
        <v>-3.0734560000000002</v>
      </c>
      <c r="T2894">
        <v>-2.0083190000000001E-2</v>
      </c>
      <c r="U2894">
        <v>0.15740970000000001</v>
      </c>
      <c r="V2894">
        <v>-0.118211999999999</v>
      </c>
      <c r="W2894">
        <v>0.1547914</v>
      </c>
      <c r="X2894">
        <v>0.98084939999999998</v>
      </c>
      <c r="Y2894">
        <v>4.6677440000000001E-2</v>
      </c>
      <c r="Z2894">
        <v>4.290842E-4</v>
      </c>
      <c r="AA2894">
        <v>0.99890999999999996</v>
      </c>
      <c r="AB2894">
        <v>37</v>
      </c>
      <c r="AC2894">
        <v>-161.89069999999899</v>
      </c>
      <c r="AD2894">
        <v>-1.05938193</v>
      </c>
      <c r="AE2894">
        <v>8.3016000000000005</v>
      </c>
      <c r="AF2894">
        <v>7.5768789052783996</v>
      </c>
      <c r="AG2894">
        <v>-1.05938193</v>
      </c>
      <c r="AH2894">
        <v>161.91930638050999</v>
      </c>
      <c r="AI2894">
        <v>90.374451357284997</v>
      </c>
      <c r="AJ2894">
        <v>87.320846149448002</v>
      </c>
      <c r="AK2894">
        <v>162.099948065273</v>
      </c>
      <c r="AL2894">
        <v>81.095301658128506</v>
      </c>
      <c r="AM2894">
        <v>96.8721442136452</v>
      </c>
      <c r="AN2894">
        <v>0.999999999969159</v>
      </c>
    </row>
    <row r="2895" spans="1:40" x14ac:dyDescent="0.25">
      <c r="A2895" t="str">
        <f>"20190304154815129"</f>
        <v>20190304154815129</v>
      </c>
      <c r="B2895" t="str">
        <f>"1551685695119397"</f>
        <v>1551685695119397</v>
      </c>
      <c r="C2895" t="s">
        <v>40</v>
      </c>
      <c r="D2895">
        <v>4.225498</v>
      </c>
      <c r="E2895">
        <v>0.56124609999999997</v>
      </c>
      <c r="F2895" t="s">
        <v>54</v>
      </c>
      <c r="G2895">
        <v>-498.0557</v>
      </c>
      <c r="H2895" s="1">
        <v>3.9913689999999998E-6</v>
      </c>
      <c r="I2895">
        <v>293.14440000000002</v>
      </c>
      <c r="J2895">
        <v>-349.29270000000002</v>
      </c>
      <c r="K2895">
        <v>1.1101529999999999</v>
      </c>
      <c r="L2895">
        <v>285.42930000000001</v>
      </c>
      <c r="M2895">
        <v>-0.99992939999999997</v>
      </c>
      <c r="N2895">
        <v>-1.1007980000000001E-2</v>
      </c>
      <c r="O2895">
        <v>4.4737420000000002E-3</v>
      </c>
      <c r="P2895">
        <v>-0.98301119999999997</v>
      </c>
      <c r="Q2895">
        <v>0.14404049999999999</v>
      </c>
      <c r="R2895">
        <v>-0.1137604</v>
      </c>
      <c r="S2895">
        <v>-3.073639</v>
      </c>
      <c r="T2895">
        <v>-2.2901769999999998E-2</v>
      </c>
      <c r="U2895">
        <v>0.15917970000000001</v>
      </c>
      <c r="V2895">
        <v>-0.11815100000000001</v>
      </c>
      <c r="W2895">
        <v>0.15485119999999999</v>
      </c>
      <c r="X2895">
        <v>0.98084729999999998</v>
      </c>
      <c r="Y2895">
        <v>4.7247600000000001E-2</v>
      </c>
      <c r="Z2895">
        <v>4.520498E-4</v>
      </c>
      <c r="AA2895">
        <v>0.99888310000000002</v>
      </c>
      <c r="AB2895">
        <v>37</v>
      </c>
      <c r="AC2895">
        <v>-148.76299999999901</v>
      </c>
      <c r="AD2895">
        <v>-1.110149008631</v>
      </c>
      <c r="AE2895">
        <v>7.7150999999999996</v>
      </c>
      <c r="AF2895">
        <v>7.0490636692467996</v>
      </c>
      <c r="AG2895">
        <v>-1.110149008631</v>
      </c>
      <c r="AH2895">
        <v>148.78776489377901</v>
      </c>
      <c r="AI2895">
        <v>90.427013687768493</v>
      </c>
      <c r="AJ2895">
        <v>87.287546946686305</v>
      </c>
      <c r="AK2895">
        <v>148.95878863471299</v>
      </c>
      <c r="AL2895">
        <v>81.091833459163496</v>
      </c>
      <c r="AM2895">
        <v>96.868646487395196</v>
      </c>
      <c r="AN2895">
        <v>0.99999998942986501</v>
      </c>
    </row>
    <row r="2896" spans="1:40" x14ac:dyDescent="0.25">
      <c r="A2896" t="str">
        <f>"20190304154815142"</f>
        <v>20190304154815142</v>
      </c>
      <c r="B2896" t="str">
        <f>"1551685695139893"</f>
        <v>1551685695139893</v>
      </c>
      <c r="C2896" t="s">
        <v>40</v>
      </c>
      <c r="D2896">
        <v>4.1526940000000003</v>
      </c>
      <c r="E2896">
        <v>0.56153030000000004</v>
      </c>
      <c r="F2896" t="s">
        <v>54</v>
      </c>
      <c r="G2896">
        <v>-494.43369999999999</v>
      </c>
      <c r="H2896" s="1">
        <v>4.7574420000000003E-6</v>
      </c>
      <c r="I2896">
        <v>293.00450000000001</v>
      </c>
      <c r="J2896">
        <v>-349.50619999999998</v>
      </c>
      <c r="K2896">
        <v>1.1101529999999999</v>
      </c>
      <c r="L2896">
        <v>285.43020000000001</v>
      </c>
      <c r="M2896">
        <v>-0.99992930000000002</v>
      </c>
      <c r="N2896">
        <v>-1.102318E-2</v>
      </c>
      <c r="O2896">
        <v>4.4730000000000004E-3</v>
      </c>
      <c r="P2896">
        <v>-0.9829968</v>
      </c>
      <c r="Q2896">
        <v>0.1439839</v>
      </c>
      <c r="R2896">
        <v>-0.1139574</v>
      </c>
      <c r="S2896">
        <v>-3.0738530000000002</v>
      </c>
      <c r="T2896">
        <v>-2.3511170000000001E-2</v>
      </c>
      <c r="U2896">
        <v>0.16043089999999999</v>
      </c>
      <c r="V2896">
        <v>-0.1183478</v>
      </c>
      <c r="W2896">
        <v>0.1548098</v>
      </c>
      <c r="X2896">
        <v>0.98083010000000004</v>
      </c>
      <c r="Y2896">
        <v>4.7650100000000001E-2</v>
      </c>
      <c r="Z2896">
        <v>4.6001780000000001E-4</v>
      </c>
      <c r="AA2896">
        <v>0.99886399999999997</v>
      </c>
      <c r="AB2896">
        <v>37</v>
      </c>
      <c r="AC2896">
        <v>-144.92750000000001</v>
      </c>
      <c r="AD2896">
        <v>-1.110148242558</v>
      </c>
      <c r="AE2896">
        <v>7.5742999999999903</v>
      </c>
      <c r="AF2896">
        <v>6.9255189070697396</v>
      </c>
      <c r="AG2896">
        <v>-1.110148242558</v>
      </c>
      <c r="AH2896">
        <v>144.95144988133401</v>
      </c>
      <c r="AI2896">
        <v>90.438306027743195</v>
      </c>
      <c r="AJ2896">
        <v>87.264591125612995</v>
      </c>
      <c r="AK2896">
        <v>145.121046247447</v>
      </c>
      <c r="AL2896">
        <v>81.094234377845297</v>
      </c>
      <c r="AM2896">
        <v>96.880097275178898</v>
      </c>
      <c r="AN2896">
        <v>0.99999998050344396</v>
      </c>
    </row>
    <row r="2897" spans="1:40" x14ac:dyDescent="0.25">
      <c r="A2897" t="str">
        <f>"20190304154815159"</f>
        <v>20190304154815159</v>
      </c>
      <c r="B2897" t="str">
        <f>"1551685695149653"</f>
        <v>1551685695149653</v>
      </c>
      <c r="C2897" t="s">
        <v>40</v>
      </c>
      <c r="D2897">
        <v>4.1692559999999999</v>
      </c>
      <c r="E2897">
        <v>0.56165830000000005</v>
      </c>
      <c r="F2897" t="s">
        <v>54</v>
      </c>
      <c r="G2897">
        <v>-492.87099999999998</v>
      </c>
      <c r="H2897" s="1">
        <v>5.0856120000000004E-6</v>
      </c>
      <c r="I2897">
        <v>292.99160000000001</v>
      </c>
      <c r="J2897">
        <v>-349.79230000000001</v>
      </c>
      <c r="K2897">
        <v>1.110161</v>
      </c>
      <c r="L2897">
        <v>285.43150000000003</v>
      </c>
      <c r="M2897">
        <v>-0.99992910000000002</v>
      </c>
      <c r="N2897">
        <v>-1.1043900000000001E-2</v>
      </c>
      <c r="O2897">
        <v>4.4697089999999997E-3</v>
      </c>
      <c r="P2897">
        <v>-0.98298640000000004</v>
      </c>
      <c r="Q2897">
        <v>0.1441992</v>
      </c>
      <c r="R2897">
        <v>-0.113776</v>
      </c>
      <c r="S2897">
        <v>-3.0741879999999999</v>
      </c>
      <c r="T2897">
        <v>-2.380502E-2</v>
      </c>
      <c r="U2897">
        <v>0.162139899999999</v>
      </c>
      <c r="V2897">
        <v>-0.1181633</v>
      </c>
      <c r="W2897">
        <v>0.1550444</v>
      </c>
      <c r="X2897">
        <v>0.98081529999999995</v>
      </c>
      <c r="Y2897">
        <v>4.8201359999999999E-2</v>
      </c>
      <c r="Z2897">
        <v>4.6760630000000002E-4</v>
      </c>
      <c r="AA2897">
        <v>0.99883750000000004</v>
      </c>
      <c r="AB2897">
        <v>37</v>
      </c>
      <c r="AC2897">
        <v>-143.078699999999</v>
      </c>
      <c r="AD2897">
        <v>-1.110155914388</v>
      </c>
      <c r="AE2897">
        <v>7.5600999999999701</v>
      </c>
      <c r="AF2897">
        <v>6.9200499149698</v>
      </c>
      <c r="AG2897">
        <v>-1.110155914388</v>
      </c>
      <c r="AH2897">
        <v>143.10247288051701</v>
      </c>
      <c r="AI2897">
        <v>90.443959739931799</v>
      </c>
      <c r="AJ2897">
        <v>87.231487165964793</v>
      </c>
      <c r="AK2897">
        <v>143.27399373751999</v>
      </c>
      <c r="AL2897">
        <v>81.080628613180394</v>
      </c>
      <c r="AM2897">
        <v>96.869576686574405</v>
      </c>
      <c r="AN2897">
        <v>0.99999999207616996</v>
      </c>
    </row>
    <row r="2898" spans="1:40" x14ac:dyDescent="0.25">
      <c r="A2898" t="str">
        <f>"20190304154815174"</f>
        <v>20190304154815174</v>
      </c>
      <c r="B2898" t="str">
        <f>"1551685695169173"</f>
        <v>1551685695169173</v>
      </c>
      <c r="C2898" t="s">
        <v>40</v>
      </c>
      <c r="D2898">
        <v>4.202839</v>
      </c>
      <c r="E2898">
        <v>0.56184609999999902</v>
      </c>
      <c r="F2898" t="s">
        <v>54</v>
      </c>
      <c r="G2898">
        <v>-496.00130000000001</v>
      </c>
      <c r="H2898" s="1">
        <v>4.46566E-6</v>
      </c>
      <c r="I2898">
        <v>293.21530000000001</v>
      </c>
      <c r="J2898">
        <v>-350.03129999999999</v>
      </c>
      <c r="K2898">
        <v>1.11016</v>
      </c>
      <c r="L2898">
        <v>285.43259999999998</v>
      </c>
      <c r="M2898">
        <v>-0.99992890000000001</v>
      </c>
      <c r="N2898">
        <v>-1.1061059999999999E-2</v>
      </c>
      <c r="O2898">
        <v>4.4636779999999996E-3</v>
      </c>
      <c r="P2898">
        <v>-0.98296689999999998</v>
      </c>
      <c r="Q2898">
        <v>0.14420820000000001</v>
      </c>
      <c r="R2898">
        <v>-0.1139299</v>
      </c>
      <c r="S2898">
        <v>-3.0742799999999999</v>
      </c>
      <c r="T2898">
        <v>-2.3342849999999998E-2</v>
      </c>
      <c r="U2898">
        <v>0.1636658</v>
      </c>
      <c r="V2898">
        <v>-0.1183125</v>
      </c>
      <c r="W2898">
        <v>0.15506979999999901</v>
      </c>
      <c r="X2898">
        <v>0.98079329999999998</v>
      </c>
      <c r="Y2898">
        <v>4.8700239999999999E-2</v>
      </c>
      <c r="Z2898">
        <v>4.69777E-4</v>
      </c>
      <c r="AA2898">
        <v>0.99881330000000002</v>
      </c>
      <c r="AB2898">
        <v>37</v>
      </c>
      <c r="AC2898">
        <v>-145.97</v>
      </c>
      <c r="AD2898">
        <v>-1.11015553434</v>
      </c>
      <c r="AE2898">
        <v>7.7827000000000304</v>
      </c>
      <c r="AF2898">
        <v>7.1306082656594301</v>
      </c>
      <c r="AG2898">
        <v>-1.11015553434</v>
      </c>
      <c r="AH2898">
        <v>145.994866579849</v>
      </c>
      <c r="AI2898">
        <v>90.435154158899905</v>
      </c>
      <c r="AJ2898">
        <v>87.203810205933806</v>
      </c>
      <c r="AK2898">
        <v>146.17311342109599</v>
      </c>
      <c r="AL2898">
        <v>81.079155500259404</v>
      </c>
      <c r="AM2898">
        <v>96.878320383857798</v>
      </c>
      <c r="AN2898">
        <v>0.99999999392659</v>
      </c>
    </row>
    <row r="2899" spans="1:40" x14ac:dyDescent="0.25">
      <c r="A2899" t="str">
        <f>"20190304154815187"</f>
        <v>20190304154815187</v>
      </c>
      <c r="B2899" t="str">
        <f>"1551685695179909"</f>
        <v>1551685695179909</v>
      </c>
      <c r="C2899" t="s">
        <v>40</v>
      </c>
      <c r="D2899">
        <v>4.218655</v>
      </c>
      <c r="E2899">
        <v>0.56195569999999995</v>
      </c>
      <c r="F2899" t="s">
        <v>54</v>
      </c>
      <c r="G2899">
        <v>-496.59519999999998</v>
      </c>
      <c r="H2899" s="1">
        <v>4.3529829999999998E-6</v>
      </c>
      <c r="I2899">
        <v>293.28699999999998</v>
      </c>
      <c r="J2899">
        <v>-350.26740000000001</v>
      </c>
      <c r="K2899">
        <v>1.1101700000000001</v>
      </c>
      <c r="L2899">
        <v>285.43369999999999</v>
      </c>
      <c r="M2899">
        <v>-0.9999287</v>
      </c>
      <c r="N2899">
        <v>-1.107727E-2</v>
      </c>
      <c r="O2899">
        <v>4.4522620000000002E-3</v>
      </c>
      <c r="P2899">
        <v>-0.98297659999999998</v>
      </c>
      <c r="Q2899">
        <v>0.14409359999999999</v>
      </c>
      <c r="R2899">
        <v>-0.113992899999999</v>
      </c>
      <c r="S2899">
        <v>-3.0744929999999999</v>
      </c>
      <c r="T2899">
        <v>-2.3287889999999999E-2</v>
      </c>
      <c r="U2899">
        <v>0.16476440000000001</v>
      </c>
      <c r="V2899">
        <v>-0.11836579999999999</v>
      </c>
      <c r="W2899">
        <v>0.15496989999999999</v>
      </c>
      <c r="X2899">
        <v>0.98080270000000003</v>
      </c>
      <c r="Y2899">
        <v>4.9063839999999997E-2</v>
      </c>
      <c r="Z2899">
        <v>4.7323059999999998E-4</v>
      </c>
      <c r="AA2899">
        <v>0.99879549999999995</v>
      </c>
      <c r="AB2899">
        <v>37</v>
      </c>
      <c r="AC2899">
        <v>-146.327799999999</v>
      </c>
      <c r="AD2899">
        <v>-1.110165647017</v>
      </c>
      <c r="AE2899">
        <v>7.8533000000000399</v>
      </c>
      <c r="AF2899">
        <v>7.2012791377309098</v>
      </c>
      <c r="AG2899">
        <v>-1.110165647017</v>
      </c>
      <c r="AH2899">
        <v>146.35291670881799</v>
      </c>
      <c r="AI2899">
        <v>90.434085841630093</v>
      </c>
      <c r="AJ2899">
        <v>87.183039418433395</v>
      </c>
      <c r="AK2899">
        <v>146.534184128351</v>
      </c>
      <c r="AL2899">
        <v>81.084949752887894</v>
      </c>
      <c r="AM2899">
        <v>96.881324055060006</v>
      </c>
      <c r="AN2899">
        <v>1.0000000344214599</v>
      </c>
    </row>
    <row r="2900" spans="1:40" x14ac:dyDescent="0.25">
      <c r="A2900" t="str">
        <f>"20190304154815202"</f>
        <v>20190304154815202</v>
      </c>
      <c r="B2900" t="str">
        <f>"1551685695199429"</f>
        <v>1551685695199429</v>
      </c>
      <c r="C2900" t="s">
        <v>40</v>
      </c>
      <c r="D2900">
        <v>4.2004289999999997</v>
      </c>
      <c r="E2900">
        <v>0.56221899999999903</v>
      </c>
      <c r="F2900" t="s">
        <v>54</v>
      </c>
      <c r="G2900">
        <v>-490.25029999999998</v>
      </c>
      <c r="H2900" s="1">
        <v>5.539305E-6</v>
      </c>
      <c r="I2900">
        <v>292.95999999999998</v>
      </c>
      <c r="J2900">
        <v>-350.49979999999999</v>
      </c>
      <c r="K2900">
        <v>1.110155</v>
      </c>
      <c r="L2900">
        <v>285.43459999999999</v>
      </c>
      <c r="M2900">
        <v>-0.9999287</v>
      </c>
      <c r="N2900">
        <v>-1.109227E-2</v>
      </c>
      <c r="O2900">
        <v>4.435769E-3</v>
      </c>
      <c r="P2900">
        <v>-0.98288200000000003</v>
      </c>
      <c r="Q2900">
        <v>0.14432700000000001</v>
      </c>
      <c r="R2900">
        <v>-0.1145109</v>
      </c>
      <c r="S2900">
        <v>-3.0746769999999999</v>
      </c>
      <c r="T2900">
        <v>-2.4384380000000001E-2</v>
      </c>
      <c r="U2900">
        <v>0.16531370000000001</v>
      </c>
      <c r="V2900">
        <v>-0.1188695</v>
      </c>
      <c r="W2900">
        <v>0.15521489999999999</v>
      </c>
      <c r="X2900">
        <v>0.98070299999999999</v>
      </c>
      <c r="Y2900">
        <v>4.9254819999999998E-2</v>
      </c>
      <c r="Z2900">
        <v>4.8257749999999999E-4</v>
      </c>
      <c r="AA2900">
        <v>0.99878619999999996</v>
      </c>
      <c r="AB2900">
        <v>37</v>
      </c>
      <c r="AC2900">
        <v>-139.75049999999999</v>
      </c>
      <c r="AD2900">
        <v>-1.110149460695</v>
      </c>
      <c r="AE2900">
        <v>7.5253999999999897</v>
      </c>
      <c r="AF2900">
        <v>6.9049524480031401</v>
      </c>
      <c r="AG2900">
        <v>-1.110149460695</v>
      </c>
      <c r="AH2900">
        <v>139.77371317980399</v>
      </c>
      <c r="AI2900">
        <v>90.454506585655295</v>
      </c>
      <c r="AJ2900">
        <v>87.171833958907001</v>
      </c>
      <c r="AK2900">
        <v>139.94856803913501</v>
      </c>
      <c r="AL2900">
        <v>81.070740031699202</v>
      </c>
      <c r="AM2900">
        <v>96.911020364353206</v>
      </c>
      <c r="AN2900">
        <v>0.99999999871062994</v>
      </c>
    </row>
    <row r="2901" spans="1:40" x14ac:dyDescent="0.25">
      <c r="A2901" t="str">
        <f>"20190304154815216"</f>
        <v>20190304154815216</v>
      </c>
      <c r="B2901" t="str">
        <f>"1551685695209189"</f>
        <v>1551685695209189</v>
      </c>
      <c r="C2901" t="s">
        <v>40</v>
      </c>
      <c r="D2901">
        <v>4.2139610000000003</v>
      </c>
      <c r="E2901">
        <v>0.5623068</v>
      </c>
      <c r="F2901" t="s">
        <v>54</v>
      </c>
      <c r="G2901">
        <v>-491.53859999999997</v>
      </c>
      <c r="H2901" s="1">
        <v>5.3387390000000003E-6</v>
      </c>
      <c r="I2901">
        <v>293.03910000000002</v>
      </c>
      <c r="J2901">
        <v>-350.72620000000001</v>
      </c>
      <c r="K2901">
        <v>1.110166</v>
      </c>
      <c r="L2901">
        <v>285.43560000000002</v>
      </c>
      <c r="M2901">
        <v>-0.99992859999999995</v>
      </c>
      <c r="N2901">
        <v>-1.110624E-2</v>
      </c>
      <c r="O2901">
        <v>4.4153969999999997E-3</v>
      </c>
      <c r="P2901">
        <v>-0.98292480000000004</v>
      </c>
      <c r="Q2901">
        <v>0.14417179999999999</v>
      </c>
      <c r="R2901">
        <v>-0.1143414</v>
      </c>
      <c r="S2901">
        <v>-3.0751040000000001</v>
      </c>
      <c r="T2901">
        <v>-2.420485E-2</v>
      </c>
      <c r="U2901">
        <v>0.165802</v>
      </c>
      <c r="V2901">
        <v>-0.11868239999999899</v>
      </c>
      <c r="W2901">
        <v>0.15507219999999999</v>
      </c>
      <c r="X2901">
        <v>0.98074819999999996</v>
      </c>
      <c r="Y2901">
        <v>4.9425879999999998E-2</v>
      </c>
      <c r="Z2901">
        <v>4.8334119999999999E-4</v>
      </c>
      <c r="AA2901">
        <v>0.99877769999999999</v>
      </c>
      <c r="AB2901">
        <v>37</v>
      </c>
      <c r="AC2901">
        <v>-140.812399999999</v>
      </c>
      <c r="AD2901">
        <v>-1.110160661261</v>
      </c>
      <c r="AE2901">
        <v>7.6034999999999897</v>
      </c>
      <c r="AF2901">
        <v>6.9812122208722904</v>
      </c>
      <c r="AG2901">
        <v>-1.110160661261</v>
      </c>
      <c r="AH2901">
        <v>140.835873262744</v>
      </c>
      <c r="AI2901">
        <v>90.451079706755294</v>
      </c>
      <c r="AJ2901">
        <v>87.162179980328602</v>
      </c>
      <c r="AK2901">
        <v>141.01316597554401</v>
      </c>
      <c r="AL2901">
        <v>81.079016051331294</v>
      </c>
      <c r="AM2901">
        <v>96.899932463053503</v>
      </c>
      <c r="AN2901">
        <v>0.99999996554291903</v>
      </c>
    </row>
    <row r="2902" spans="1:40" x14ac:dyDescent="0.25">
      <c r="A2902" t="str">
        <f>"20190304154815229"</f>
        <v>20190304154815229</v>
      </c>
      <c r="B2902" t="str">
        <f>"1551685695219925"</f>
        <v>1551685695219925</v>
      </c>
      <c r="C2902" t="s">
        <v>40</v>
      </c>
      <c r="D2902">
        <v>4.224545</v>
      </c>
      <c r="E2902">
        <v>0.56243319999999997</v>
      </c>
      <c r="F2902" t="s">
        <v>54</v>
      </c>
      <c r="G2902">
        <v>-478.49740000000003</v>
      </c>
      <c r="H2902">
        <v>8.0001329999999996E-2</v>
      </c>
      <c r="I2902">
        <v>292.38159999999999</v>
      </c>
      <c r="J2902">
        <v>-350.9633</v>
      </c>
      <c r="K2902">
        <v>1.110174</v>
      </c>
      <c r="L2902">
        <v>285.4366</v>
      </c>
      <c r="M2902">
        <v>-0.9999285</v>
      </c>
      <c r="N2902">
        <v>-1.1120069999999999E-2</v>
      </c>
      <c r="O2902">
        <v>4.3874919999999998E-3</v>
      </c>
      <c r="P2902">
        <v>-0.98291030000000001</v>
      </c>
      <c r="Q2902">
        <v>0.144014</v>
      </c>
      <c r="R2902">
        <v>-0.114663</v>
      </c>
      <c r="S2902">
        <v>-3.0751949999999999</v>
      </c>
      <c r="T2902">
        <v>-2.479398E-2</v>
      </c>
      <c r="U2902">
        <v>0.1671753</v>
      </c>
      <c r="V2902">
        <v>-0.11897969999999999</v>
      </c>
      <c r="W2902">
        <v>0.1549257</v>
      </c>
      <c r="X2902">
        <v>0.98073540000000003</v>
      </c>
      <c r="Y2902">
        <v>4.989669E-2</v>
      </c>
      <c r="Z2902">
        <v>4.9205750000000002E-4</v>
      </c>
      <c r="AA2902">
        <v>0.99875429999999998</v>
      </c>
      <c r="AB2902">
        <v>37</v>
      </c>
      <c r="AC2902">
        <v>-127.5341</v>
      </c>
      <c r="AD2902">
        <v>-1.03017267</v>
      </c>
      <c r="AE2902">
        <v>6.9449999999999896</v>
      </c>
      <c r="AF2902">
        <v>6.3849283055639203</v>
      </c>
      <c r="AG2902">
        <v>-1.03017267</v>
      </c>
      <c r="AH2902">
        <v>127.555047230539</v>
      </c>
      <c r="AI2902">
        <v>90.462149172792607</v>
      </c>
      <c r="AJ2902">
        <v>87.134379496640605</v>
      </c>
      <c r="AK2902">
        <v>127.718904783835</v>
      </c>
      <c r="AL2902">
        <v>81.087513174487995</v>
      </c>
      <c r="AM2902">
        <v>96.917138983905005</v>
      </c>
      <c r="AN2902">
        <v>1.00000003317286</v>
      </c>
    </row>
    <row r="2903" spans="1:40" x14ac:dyDescent="0.25">
      <c r="A2903" t="str">
        <f>"20190304154815248"</f>
        <v>20190304154815248</v>
      </c>
      <c r="B2903" t="str">
        <f>"1551685695239445"</f>
        <v>1551685695239445</v>
      </c>
      <c r="C2903" t="s">
        <v>40</v>
      </c>
      <c r="D2903">
        <v>4.2277170000000002</v>
      </c>
      <c r="E2903">
        <v>0.56255500000000003</v>
      </c>
      <c r="F2903" t="s">
        <v>54</v>
      </c>
      <c r="G2903">
        <v>-476.94060000000002</v>
      </c>
      <c r="H2903">
        <v>8.0001409999999995E-2</v>
      </c>
      <c r="I2903">
        <v>292.28719999999998</v>
      </c>
      <c r="J2903">
        <v>-351.25990000000002</v>
      </c>
      <c r="K2903">
        <v>1.1101760000000001</v>
      </c>
      <c r="L2903">
        <v>285.43790000000001</v>
      </c>
      <c r="M2903">
        <v>-0.9999287</v>
      </c>
      <c r="N2903">
        <v>-1.113598E-2</v>
      </c>
      <c r="O2903">
        <v>4.3411170000000002E-3</v>
      </c>
      <c r="P2903">
        <v>-0.98287049999999998</v>
      </c>
      <c r="Q2903">
        <v>0.14412659999999999</v>
      </c>
      <c r="R2903">
        <v>-0.1148623</v>
      </c>
      <c r="S2903">
        <v>-3.075348</v>
      </c>
      <c r="T2903">
        <v>-2.5148509999999999E-2</v>
      </c>
      <c r="U2903">
        <v>0.16723629999999901</v>
      </c>
      <c r="V2903">
        <v>-0.1191378</v>
      </c>
      <c r="W2903">
        <v>0.15504999999999999</v>
      </c>
      <c r="X2903">
        <v>0.98069660000000003</v>
      </c>
      <c r="Y2903">
        <v>4.9959999999999997E-2</v>
      </c>
      <c r="Z2903">
        <v>4.9535910000000005E-4</v>
      </c>
      <c r="AA2903">
        <v>0.9987511</v>
      </c>
      <c r="AB2903">
        <v>37</v>
      </c>
      <c r="AC2903">
        <v>-125.6807</v>
      </c>
      <c r="AD2903">
        <v>-1.0301745899999999</v>
      </c>
      <c r="AE2903">
        <v>6.8492999999999702</v>
      </c>
      <c r="AF2903">
        <v>6.3031848308309204</v>
      </c>
      <c r="AG2903">
        <v>-1.0301745899999999</v>
      </c>
      <c r="AH2903">
        <v>125.70083061719301</v>
      </c>
      <c r="AI2903">
        <v>90.468964856262204</v>
      </c>
      <c r="AJ2903">
        <v>87.1293455468752</v>
      </c>
      <c r="AK2903">
        <v>125.862981915056</v>
      </c>
      <c r="AL2903">
        <v>81.0803045260825</v>
      </c>
      <c r="AM2903">
        <v>96.926512604987295</v>
      </c>
      <c r="AN2903">
        <v>1.0000000695701901</v>
      </c>
    </row>
    <row r="2904" spans="1:40" x14ac:dyDescent="0.25">
      <c r="A2904" t="str">
        <f>"20190304154815262"</f>
        <v>20190304154815262</v>
      </c>
      <c r="B2904" t="str">
        <f>"1551685695259941"</f>
        <v>1551685695259941</v>
      </c>
      <c r="C2904" t="s">
        <v>40</v>
      </c>
      <c r="D2904">
        <v>4.1349619999999998</v>
      </c>
      <c r="E2904">
        <v>0.56226790000000004</v>
      </c>
      <c r="F2904" t="s">
        <v>54</v>
      </c>
      <c r="G2904">
        <v>-475.19319999999999</v>
      </c>
      <c r="H2904">
        <v>8.0001340000000004E-2</v>
      </c>
      <c r="I2904">
        <v>292.18650000000002</v>
      </c>
      <c r="J2904">
        <v>-351.50479999999999</v>
      </c>
      <c r="K2904">
        <v>1.110187</v>
      </c>
      <c r="L2904">
        <v>285.43889999999999</v>
      </c>
      <c r="M2904">
        <v>-0.9999287</v>
      </c>
      <c r="N2904">
        <v>-1.1150230000000001E-2</v>
      </c>
      <c r="O2904">
        <v>4.2946599999999996E-3</v>
      </c>
      <c r="P2904">
        <v>-0.98274510000000004</v>
      </c>
      <c r="Q2904">
        <v>0.1447116</v>
      </c>
      <c r="R2904">
        <v>-0.1151977</v>
      </c>
      <c r="S2904">
        <v>-3.075653</v>
      </c>
      <c r="T2904">
        <v>-2.5565859999999999E-2</v>
      </c>
      <c r="U2904">
        <v>0.1674805</v>
      </c>
      <c r="V2904">
        <v>-0.11943040000000001</v>
      </c>
      <c r="W2904">
        <v>0.15564500000000001</v>
      </c>
      <c r="X2904">
        <v>0.98056670000000001</v>
      </c>
      <c r="Y2904">
        <v>5.0079970000000001E-2</v>
      </c>
      <c r="Z2904">
        <v>4.9959519999999999E-4</v>
      </c>
      <c r="AA2904">
        <v>0.99874510000000005</v>
      </c>
      <c r="AB2904">
        <v>37</v>
      </c>
      <c r="AC2904">
        <v>-123.6884</v>
      </c>
      <c r="AD2904">
        <v>-1.0301856599999999</v>
      </c>
      <c r="AE2904">
        <v>6.7476000000000296</v>
      </c>
      <c r="AF2904">
        <v>6.2158752466573102</v>
      </c>
      <c r="AG2904">
        <v>-1.0301856599999999</v>
      </c>
      <c r="AH2904">
        <v>123.70768347373701</v>
      </c>
      <c r="AI2904">
        <v>90.476523038124299</v>
      </c>
      <c r="AJ2904">
        <v>87.123508084567703</v>
      </c>
      <c r="AK2904">
        <v>123.86803194535</v>
      </c>
      <c r="AL2904">
        <v>81.045794135287196</v>
      </c>
      <c r="AM2904">
        <v>96.944268954574397</v>
      </c>
      <c r="AN2904">
        <v>1.00000001980902</v>
      </c>
    </row>
    <row r="2905" spans="1:40" x14ac:dyDescent="0.25">
      <c r="A2905" t="str">
        <f>"20190304154815276"</f>
        <v>20190304154815276</v>
      </c>
      <c r="B2905" t="str">
        <f>"1551685695269701"</f>
        <v>1551685695269701</v>
      </c>
      <c r="C2905" t="s">
        <v>40</v>
      </c>
      <c r="D2905">
        <v>4.1269269999999896</v>
      </c>
      <c r="E2905">
        <v>0.56226790000000004</v>
      </c>
      <c r="F2905" t="s">
        <v>54</v>
      </c>
      <c r="G2905">
        <v>-499.95780000000002</v>
      </c>
      <c r="H2905">
        <v>1.8843840000000001E-2</v>
      </c>
      <c r="I2905">
        <v>293.3691</v>
      </c>
      <c r="J2905">
        <v>-351.72620000000001</v>
      </c>
      <c r="K2905">
        <v>1.1101890000000001</v>
      </c>
      <c r="L2905">
        <v>285.43979999999999</v>
      </c>
      <c r="M2905">
        <v>-0.9999287</v>
      </c>
      <c r="N2905">
        <v>-1.1163879999999999E-2</v>
      </c>
      <c r="O2905">
        <v>4.2480440000000003E-3</v>
      </c>
      <c r="P2905">
        <v>-0.9826471</v>
      </c>
      <c r="Q2905">
        <v>0.14501739999999999</v>
      </c>
      <c r="R2905">
        <v>-0.1156474</v>
      </c>
      <c r="S2905">
        <v>-3.075256</v>
      </c>
      <c r="T2905">
        <v>-2.2607559999999999E-2</v>
      </c>
      <c r="U2905">
        <v>0.16427610000000001</v>
      </c>
      <c r="V2905">
        <v>-0.11983729999999999</v>
      </c>
      <c r="W2905">
        <v>0.1559606</v>
      </c>
      <c r="X2905">
        <v>0.98046690000000003</v>
      </c>
      <c r="Y2905">
        <v>4.9096569999999999E-2</v>
      </c>
      <c r="Z2905">
        <v>4.7079009999999999E-4</v>
      </c>
      <c r="AA2905">
        <v>0.99879390000000001</v>
      </c>
      <c r="AB2905">
        <v>37</v>
      </c>
      <c r="AC2905">
        <v>-148.23159999999999</v>
      </c>
      <c r="AD2905">
        <v>-1.0913451599999999</v>
      </c>
      <c r="AE2905">
        <v>7.9293000000000102</v>
      </c>
      <c r="AF2905">
        <v>7.2991003467663198</v>
      </c>
      <c r="AG2905">
        <v>-1.0913451599999999</v>
      </c>
      <c r="AH2905">
        <v>148.255935111469</v>
      </c>
      <c r="AI2905">
        <v>90.421249248704498</v>
      </c>
      <c r="AJ2905">
        <v>87.181426587127802</v>
      </c>
      <c r="AK2905">
        <v>148.43951696198201</v>
      </c>
      <c r="AL2905">
        <v>81.027487989731</v>
      </c>
      <c r="AM2905">
        <v>96.968398189169207</v>
      </c>
      <c r="AN2905">
        <v>1.00000001460963</v>
      </c>
    </row>
    <row r="2906" spans="1:40" x14ac:dyDescent="0.25">
      <c r="A2906" t="str">
        <f>"20190304154815291"</f>
        <v>20190304154815291</v>
      </c>
      <c r="B2906" t="str">
        <f>"1551685695279461"</f>
        <v>1551685695279461</v>
      </c>
      <c r="C2906" t="s">
        <v>40</v>
      </c>
      <c r="D2906">
        <v>4.2062660000000003</v>
      </c>
      <c r="E2906">
        <v>0.53854760000000002</v>
      </c>
      <c r="F2906" t="s">
        <v>54</v>
      </c>
      <c r="G2906">
        <v>-499.96269999999998</v>
      </c>
      <c r="H2906">
        <v>5.4946429999999997E-2</v>
      </c>
      <c r="I2906">
        <v>293.29050000000001</v>
      </c>
      <c r="J2906">
        <v>-351.9776</v>
      </c>
      <c r="K2906">
        <v>1.1101989999999999</v>
      </c>
      <c r="L2906">
        <v>285.4409</v>
      </c>
      <c r="M2906">
        <v>-0.99992879999999995</v>
      </c>
      <c r="N2906">
        <v>-1.1180270000000001E-2</v>
      </c>
      <c r="O2906">
        <v>4.1899600000000004E-3</v>
      </c>
      <c r="P2906">
        <v>-0.98245629999999995</v>
      </c>
      <c r="Q2906">
        <v>0.1462398</v>
      </c>
      <c r="R2906">
        <v>-0.11572929999999999</v>
      </c>
      <c r="S2906">
        <v>-3.075348</v>
      </c>
      <c r="T2906">
        <v>-2.1892310000000002E-2</v>
      </c>
      <c r="U2906">
        <v>0.1628723</v>
      </c>
      <c r="V2906">
        <v>-0.1198645</v>
      </c>
      <c r="W2906">
        <v>0.15719449999999999</v>
      </c>
      <c r="X2906">
        <v>0.98026650000000004</v>
      </c>
      <c r="Y2906">
        <v>4.869855E-2</v>
      </c>
      <c r="Z2906">
        <v>4.6266020000000001E-4</v>
      </c>
      <c r="AA2906">
        <v>0.99881339999999996</v>
      </c>
      <c r="AB2906">
        <v>37</v>
      </c>
      <c r="AC2906">
        <v>-147.98509999999999</v>
      </c>
      <c r="AD2906">
        <v>-1.0552525699999999</v>
      </c>
      <c r="AE2906">
        <v>7.8495999999999997</v>
      </c>
      <c r="AF2906">
        <v>7.2290741764885196</v>
      </c>
      <c r="AG2906">
        <v>-1.0552525699999999</v>
      </c>
      <c r="AH2906">
        <v>148.00918749228899</v>
      </c>
      <c r="AI2906">
        <v>90.408005142817501</v>
      </c>
      <c r="AJ2906">
        <v>87.203777976149198</v>
      </c>
      <c r="AK2906">
        <v>148.189381041838</v>
      </c>
      <c r="AL2906">
        <v>80.9559077889473</v>
      </c>
      <c r="AM2906">
        <v>96.9713751599879</v>
      </c>
      <c r="AN2906">
        <v>1.00000001010637</v>
      </c>
    </row>
    <row r="2907" spans="1:40" x14ac:dyDescent="0.25">
      <c r="A2907" t="str">
        <f>"20190304154815303"</f>
        <v>20190304154815303</v>
      </c>
      <c r="B2907" t="str">
        <f>"1551685695299957"</f>
        <v>1551685695299957</v>
      </c>
      <c r="C2907" t="s">
        <v>40</v>
      </c>
      <c r="D2907">
        <v>4.1436699999999904</v>
      </c>
      <c r="E2907">
        <v>0.53804700000000005</v>
      </c>
      <c r="F2907" t="s">
        <v>42</v>
      </c>
      <c r="G2907">
        <v>0</v>
      </c>
      <c r="H2907">
        <v>0</v>
      </c>
      <c r="I2907">
        <v>0</v>
      </c>
      <c r="J2907">
        <v>-352.16969999999998</v>
      </c>
      <c r="K2907">
        <v>1.1102000000000001</v>
      </c>
      <c r="L2907">
        <v>285.44170000000003</v>
      </c>
      <c r="M2907">
        <v>-0.99992890000000001</v>
      </c>
      <c r="N2907">
        <v>-1.119268E-2</v>
      </c>
      <c r="O2907">
        <v>4.141062E-3</v>
      </c>
      <c r="P2907">
        <v>-0.98236939999999995</v>
      </c>
      <c r="Q2907">
        <v>0.14662410000000001</v>
      </c>
      <c r="R2907">
        <v>-0.11598260000000001</v>
      </c>
      <c r="S2907">
        <v>-3.0530089999999999</v>
      </c>
      <c r="T2907">
        <v>-1.6764879999999999E-2</v>
      </c>
      <c r="U2907">
        <v>-2.581787E-2</v>
      </c>
      <c r="V2907">
        <v>-0.12007139999999999</v>
      </c>
      <c r="W2907">
        <v>0.1575886</v>
      </c>
      <c r="X2907">
        <v>0.98017790000000005</v>
      </c>
      <c r="Y2907">
        <v>-1.2596690000000001E-2</v>
      </c>
      <c r="Z2907" s="1">
        <v>-8.1474090000000006E-5</v>
      </c>
      <c r="AA2907">
        <v>0.9999207</v>
      </c>
      <c r="AB2907">
        <v>37</v>
      </c>
      <c r="AC2907">
        <v>-3.0530089999999999</v>
      </c>
      <c r="AD2907">
        <v>-1.6764879999999999E-2</v>
      </c>
      <c r="AE2907">
        <v>-2.581787E-2</v>
      </c>
      <c r="AF2907">
        <v>-3.8459979057796502E-2</v>
      </c>
      <c r="AG2907">
        <v>-1.6764879999999999E-2</v>
      </c>
      <c r="AH2907">
        <v>3.0527838524079698</v>
      </c>
      <c r="AI2907">
        <v>90.314621355763094</v>
      </c>
      <c r="AJ2907">
        <v>90.721792964877693</v>
      </c>
      <c r="AK2907">
        <v>3.0530721381443602</v>
      </c>
      <c r="AL2907">
        <v>80.933042551624098</v>
      </c>
      <c r="AM2907">
        <v>96.983914841511094</v>
      </c>
      <c r="AN2907">
        <v>1.00000001179816</v>
      </c>
    </row>
    <row r="2908" spans="1:40" x14ac:dyDescent="0.25">
      <c r="A2908" t="str">
        <f>"20190304154815315"</f>
        <v>20190304154815315</v>
      </c>
      <c r="B2908" t="str">
        <f>"1551685695309717"</f>
        <v>1551685695309717</v>
      </c>
      <c r="C2908" t="s">
        <v>40</v>
      </c>
      <c r="D2908">
        <v>4.1206269999999998</v>
      </c>
      <c r="E2908">
        <v>0.53820659999999998</v>
      </c>
      <c r="F2908" t="s">
        <v>54</v>
      </c>
      <c r="G2908">
        <v>-486.31279999999998</v>
      </c>
      <c r="H2908" s="1">
        <v>3.2813280000000002E-6</v>
      </c>
      <c r="I2908">
        <v>284.11059999999998</v>
      </c>
      <c r="J2908">
        <v>-352.37490000000003</v>
      </c>
      <c r="K2908">
        <v>1.110204</v>
      </c>
      <c r="L2908">
        <v>285.44240000000002</v>
      </c>
      <c r="M2908">
        <v>-0.99992890000000001</v>
      </c>
      <c r="N2908">
        <v>-1.1205669999999999E-2</v>
      </c>
      <c r="O2908">
        <v>4.0875720000000003E-3</v>
      </c>
      <c r="P2908">
        <v>-0.98226080000000004</v>
      </c>
      <c r="Q2908">
        <v>0.1472272</v>
      </c>
      <c r="R2908">
        <v>-0.1161396</v>
      </c>
      <c r="S2908">
        <v>-3.0540470000000002</v>
      </c>
      <c r="T2908">
        <v>-2.5275949999999998E-2</v>
      </c>
      <c r="U2908">
        <v>-3.0303960000000001E-2</v>
      </c>
      <c r="V2908">
        <v>-0.1201777</v>
      </c>
      <c r="W2908">
        <v>0.15820119999999999</v>
      </c>
      <c r="X2908">
        <v>0.9800662</v>
      </c>
      <c r="Y2908">
        <v>-1.400847E-2</v>
      </c>
      <c r="Z2908">
        <v>-1.244847E-4</v>
      </c>
      <c r="AA2908">
        <v>0.99990190000000001</v>
      </c>
      <c r="AB2908">
        <v>37</v>
      </c>
      <c r="AC2908">
        <v>-133.93789999999899</v>
      </c>
      <c r="AD2908">
        <v>-1.110200718672</v>
      </c>
      <c r="AE2908">
        <v>-1.3318000000000401</v>
      </c>
      <c r="AF2908">
        <v>-1.8791749380919001</v>
      </c>
      <c r="AG2908">
        <v>-1.110200718672</v>
      </c>
      <c r="AH2908">
        <v>133.92213637757101</v>
      </c>
      <c r="AI2908">
        <v>90.474918481983295</v>
      </c>
      <c r="AJ2908">
        <v>90.803912857614606</v>
      </c>
      <c r="AK2908">
        <v>133.93992106917301</v>
      </c>
      <c r="AL2908">
        <v>80.897497421312295</v>
      </c>
      <c r="AM2908">
        <v>96.990825391087199</v>
      </c>
      <c r="AN2908">
        <v>1.0000000278205801</v>
      </c>
    </row>
    <row r="2909" spans="1:40" x14ac:dyDescent="0.25">
      <c r="A2909" t="str">
        <f>"20190304154815327"</f>
        <v>20190304154815327</v>
      </c>
      <c r="B2909" t="str">
        <f>"1551685695319477"</f>
        <v>1551685695319477</v>
      </c>
      <c r="C2909" t="s">
        <v>40</v>
      </c>
      <c r="D2909">
        <v>4.1090429999999998</v>
      </c>
      <c r="E2909">
        <v>0.53850849999999995</v>
      </c>
      <c r="F2909" t="s">
        <v>54</v>
      </c>
      <c r="G2909">
        <v>-484.34339999999997</v>
      </c>
      <c r="H2909" s="1">
        <v>2.9379919999999999E-6</v>
      </c>
      <c r="I2909">
        <v>284.17930000000001</v>
      </c>
      <c r="J2909">
        <v>-352.57830000000001</v>
      </c>
      <c r="K2909">
        <v>1.1102099999999999</v>
      </c>
      <c r="L2909">
        <v>285.44319999999999</v>
      </c>
      <c r="M2909">
        <v>-0.99992899999999996</v>
      </c>
      <c r="N2909">
        <v>-1.1217980000000001E-2</v>
      </c>
      <c r="O2909">
        <v>4.0320740000000001E-3</v>
      </c>
      <c r="P2909">
        <v>-0.98223289999999996</v>
      </c>
      <c r="Q2909">
        <v>0.147503</v>
      </c>
      <c r="R2909">
        <v>-0.1160234</v>
      </c>
      <c r="S2909">
        <v>-3.054535</v>
      </c>
      <c r="T2909">
        <v>-2.569664E-2</v>
      </c>
      <c r="U2909">
        <v>-2.9235839999999999E-2</v>
      </c>
      <c r="V2909">
        <v>-0.1200085</v>
      </c>
      <c r="W2909">
        <v>0.15848789999999999</v>
      </c>
      <c r="X2909">
        <v>0.98004060000000004</v>
      </c>
      <c r="Y2909">
        <v>-1.3601780000000001E-2</v>
      </c>
      <c r="Z2909">
        <v>-1.2219729999999999E-4</v>
      </c>
      <c r="AA2909">
        <v>0.99990749999999995</v>
      </c>
      <c r="AB2909">
        <v>37</v>
      </c>
      <c r="AC2909">
        <v>-131.76509999999899</v>
      </c>
      <c r="AD2909">
        <v>-1.110207062008</v>
      </c>
      <c r="AE2909">
        <v>-1.26389999999997</v>
      </c>
      <c r="AF2909">
        <v>-1.7950823388075701</v>
      </c>
      <c r="AG2909">
        <v>-1.110207062008</v>
      </c>
      <c r="AH2909">
        <v>131.749580051061</v>
      </c>
      <c r="AI2909">
        <v>90.482755014640205</v>
      </c>
      <c r="AJ2909">
        <v>90.780604220387403</v>
      </c>
      <c r="AK2909">
        <v>131.76648558702101</v>
      </c>
      <c r="AL2909">
        <v>80.880860725244005</v>
      </c>
      <c r="AM2909">
        <v>96.981260649045197</v>
      </c>
      <c r="AN2909">
        <v>1.0000000160835001</v>
      </c>
    </row>
    <row r="2910" spans="1:40" x14ac:dyDescent="0.25">
      <c r="A2910" t="str">
        <f>"20190304154815338"</f>
        <v>20190304154815338</v>
      </c>
      <c r="B2910" t="str">
        <f>"1551685695329237"</f>
        <v>1551685695329237</v>
      </c>
      <c r="C2910" t="s">
        <v>40</v>
      </c>
      <c r="D2910">
        <v>4.1224559999999997</v>
      </c>
      <c r="E2910">
        <v>0.53859190000000001</v>
      </c>
      <c r="F2910" t="s">
        <v>54</v>
      </c>
      <c r="G2910">
        <v>-481.48270000000002</v>
      </c>
      <c r="H2910" s="1">
        <v>2.4427669999999999E-6</v>
      </c>
      <c r="I2910">
        <v>284.31909999999999</v>
      </c>
      <c r="J2910">
        <v>-352.774</v>
      </c>
      <c r="K2910">
        <v>1.110209</v>
      </c>
      <c r="L2910">
        <v>285.44400000000002</v>
      </c>
      <c r="M2910">
        <v>-0.99992910000000002</v>
      </c>
      <c r="N2910">
        <v>-1.12292E-2</v>
      </c>
      <c r="O2910">
        <v>3.9773090000000001E-3</v>
      </c>
      <c r="P2910">
        <v>-0.98214120000000005</v>
      </c>
      <c r="Q2910">
        <v>0.14790590000000001</v>
      </c>
      <c r="R2910">
        <v>-0.11628860000000001</v>
      </c>
      <c r="S2910">
        <v>-3.0550839999999999</v>
      </c>
      <c r="T2910">
        <v>-2.6312350000000002E-2</v>
      </c>
      <c r="U2910">
        <v>-2.6641850000000002E-2</v>
      </c>
      <c r="V2910">
        <v>-0.1202206</v>
      </c>
      <c r="W2910">
        <v>0.15889990000000001</v>
      </c>
      <c r="X2910">
        <v>0.97994789999999998</v>
      </c>
      <c r="Y2910">
        <v>-1.269641E-2</v>
      </c>
      <c r="Z2910">
        <v>-1.155559E-4</v>
      </c>
      <c r="AA2910">
        <v>0.99991940000000001</v>
      </c>
      <c r="AB2910">
        <v>37</v>
      </c>
      <c r="AC2910">
        <v>-128.70869999999999</v>
      </c>
      <c r="AD2910">
        <v>-1.110206557233</v>
      </c>
      <c r="AE2910">
        <v>-1.12490000000002</v>
      </c>
      <c r="AF2910">
        <v>-1.6367158522035901</v>
      </c>
      <c r="AG2910">
        <v>-1.110206557233</v>
      </c>
      <c r="AH2910">
        <v>128.69363300020001</v>
      </c>
      <c r="AI2910">
        <v>90.494223586756604</v>
      </c>
      <c r="AJ2910">
        <v>90.728644089822495</v>
      </c>
      <c r="AK2910">
        <v>128.708828648896</v>
      </c>
      <c r="AL2910">
        <v>80.856952004718295</v>
      </c>
      <c r="AM2910">
        <v>96.994132083099402</v>
      </c>
      <c r="AN2910">
        <v>1.00000002879938</v>
      </c>
    </row>
    <row r="2911" spans="1:40" x14ac:dyDescent="0.25">
      <c r="A2911" t="str">
        <f>"20190304154815352"</f>
        <v>20190304154815352</v>
      </c>
      <c r="B2911" t="str">
        <f>"1551685695349732"</f>
        <v>1551685695349732</v>
      </c>
      <c r="C2911" t="s">
        <v>40</v>
      </c>
      <c r="D2911">
        <v>4.1500459999999997</v>
      </c>
      <c r="E2911">
        <v>0.53882469999999905</v>
      </c>
      <c r="F2911" t="s">
        <v>54</v>
      </c>
      <c r="G2911">
        <v>-478.28570000000002</v>
      </c>
      <c r="H2911" s="1">
        <v>2.9148879999999999E-6</v>
      </c>
      <c r="I2911">
        <v>284.33210000000003</v>
      </c>
      <c r="J2911">
        <v>-352.98160000000001</v>
      </c>
      <c r="K2911">
        <v>1.110215</v>
      </c>
      <c r="L2911">
        <v>285.44479999999999</v>
      </c>
      <c r="M2911">
        <v>-0.99992910000000002</v>
      </c>
      <c r="N2911">
        <v>-1.1240750000000001E-2</v>
      </c>
      <c r="O2911">
        <v>3.9183120000000002E-3</v>
      </c>
      <c r="P2911">
        <v>-0.98209800000000003</v>
      </c>
      <c r="Q2911">
        <v>0.14833270000000001</v>
      </c>
      <c r="R2911">
        <v>-0.1161079</v>
      </c>
      <c r="S2911">
        <v>-3.0554199999999998</v>
      </c>
      <c r="T2911">
        <v>-2.702653E-2</v>
      </c>
      <c r="U2911">
        <v>-2.7069090000000001E-2</v>
      </c>
      <c r="V2911">
        <v>-0.1199831</v>
      </c>
      <c r="W2911">
        <v>0.1593367</v>
      </c>
      <c r="X2911">
        <v>0.9799061</v>
      </c>
      <c r="Y2911">
        <v>-1.277621E-2</v>
      </c>
      <c r="Z2911">
        <v>-1.1892989999999999E-4</v>
      </c>
      <c r="AA2911">
        <v>0.99991839999999999</v>
      </c>
      <c r="AB2911">
        <v>37</v>
      </c>
      <c r="AC2911">
        <v>-125.30410000000001</v>
      </c>
      <c r="AD2911">
        <v>-1.1102120851120001</v>
      </c>
      <c r="AE2911">
        <v>-1.1126999999999601</v>
      </c>
      <c r="AF2911">
        <v>-1.6035771847392799</v>
      </c>
      <c r="AG2911">
        <v>-1.1102120851120001</v>
      </c>
      <c r="AH2911">
        <v>125.28894311466399</v>
      </c>
      <c r="AI2911">
        <v>90.507655274958395</v>
      </c>
      <c r="AJ2911">
        <v>90.733290472423704</v>
      </c>
      <c r="AK2911">
        <v>125.304123226057</v>
      </c>
      <c r="AL2911">
        <v>80.8316024046797</v>
      </c>
      <c r="AM2911">
        <v>96.980746211584901</v>
      </c>
      <c r="AN2911">
        <v>1.00000004653485</v>
      </c>
    </row>
    <row r="2912" spans="1:40" x14ac:dyDescent="0.25">
      <c r="A2912" t="str">
        <f>"20190304154815364"</f>
        <v>20190304154815364</v>
      </c>
      <c r="B2912" t="str">
        <f>"1551685695359493"</f>
        <v>1551685695359493</v>
      </c>
      <c r="C2912" t="s">
        <v>40</v>
      </c>
      <c r="D2912">
        <v>4.1242279999999996</v>
      </c>
      <c r="E2912">
        <v>0.53870850000000003</v>
      </c>
      <c r="F2912" t="s">
        <v>54</v>
      </c>
      <c r="G2912">
        <v>-478.84530000000001</v>
      </c>
      <c r="H2912" s="1">
        <v>2.6737849999999999E-6</v>
      </c>
      <c r="I2912">
        <v>284.4128</v>
      </c>
      <c r="J2912">
        <v>-353.18709999999999</v>
      </c>
      <c r="K2912">
        <v>1.1102190000000001</v>
      </c>
      <c r="L2912">
        <v>285.44560000000001</v>
      </c>
      <c r="M2912">
        <v>-0.99992919999999996</v>
      </c>
      <c r="N2912">
        <v>-1.1251250000000001E-2</v>
      </c>
      <c r="O2912">
        <v>3.85915E-3</v>
      </c>
      <c r="P2912">
        <v>-0.98210189999999997</v>
      </c>
      <c r="Q2912">
        <v>0.14860029999999999</v>
      </c>
      <c r="R2912">
        <v>-0.1157324</v>
      </c>
      <c r="S2912">
        <v>-3.0557560000000001</v>
      </c>
      <c r="T2912">
        <v>-2.695405E-2</v>
      </c>
      <c r="U2912">
        <v>-2.505493E-2</v>
      </c>
      <c r="V2912">
        <v>-0.1195505</v>
      </c>
      <c r="W2912">
        <v>0.15961449999999999</v>
      </c>
      <c r="X2912">
        <v>0.9799137</v>
      </c>
      <c r="Y2912">
        <v>-1.2057109999999999E-2</v>
      </c>
      <c r="Z2912">
        <v>-1.116279E-4</v>
      </c>
      <c r="AA2912">
        <v>0.99992729999999996</v>
      </c>
      <c r="AB2912">
        <v>37</v>
      </c>
      <c r="AC2912">
        <v>-125.65819999999999</v>
      </c>
      <c r="AD2912">
        <v>-1.110216326215</v>
      </c>
      <c r="AE2912">
        <v>-1.0327999999999999</v>
      </c>
      <c r="AF2912">
        <v>-1.5176384144956101</v>
      </c>
      <c r="AG2912">
        <v>-1.110216326215</v>
      </c>
      <c r="AH2912">
        <v>125.643470999253</v>
      </c>
      <c r="AI2912">
        <v>90.506229367155896</v>
      </c>
      <c r="AJ2912">
        <v>90.692037928954605</v>
      </c>
      <c r="AK2912">
        <v>125.657541004861</v>
      </c>
      <c r="AL2912">
        <v>80.815478722593099</v>
      </c>
      <c r="AM2912">
        <v>96.955770671389303</v>
      </c>
      <c r="AN2912">
        <v>0.99999998505409404</v>
      </c>
    </row>
    <row r="2913" spans="1:40" x14ac:dyDescent="0.25">
      <c r="A2913" t="str">
        <f>"20190304154815377"</f>
        <v>20190304154815377</v>
      </c>
      <c r="B2913" t="str">
        <f>"1551685695369253"</f>
        <v>1551685695369253</v>
      </c>
      <c r="C2913" t="s">
        <v>40</v>
      </c>
      <c r="D2913">
        <v>4.0737730000000001</v>
      </c>
      <c r="E2913">
        <v>0.53867589999999999</v>
      </c>
      <c r="F2913" t="s">
        <v>54</v>
      </c>
      <c r="G2913">
        <v>-475.34199999999998</v>
      </c>
      <c r="H2913" s="1">
        <v>4.2305189999999999E-6</v>
      </c>
      <c r="I2913">
        <v>284.44889999999998</v>
      </c>
      <c r="J2913">
        <v>-353.39960000000002</v>
      </c>
      <c r="K2913">
        <v>1.11022</v>
      </c>
      <c r="L2913">
        <v>285.44630000000001</v>
      </c>
      <c r="M2913">
        <v>-0.99992939999999997</v>
      </c>
      <c r="N2913">
        <v>-1.1261729999999999E-2</v>
      </c>
      <c r="O2913">
        <v>3.797487E-3</v>
      </c>
      <c r="P2913">
        <v>-0.98207809999999995</v>
      </c>
      <c r="Q2913">
        <v>0.1486856</v>
      </c>
      <c r="R2913">
        <v>-0.11582340000000001</v>
      </c>
      <c r="S2913">
        <v>-3.0559080000000001</v>
      </c>
      <c r="T2913">
        <v>-2.7773860000000001E-2</v>
      </c>
      <c r="U2913">
        <v>-2.4932860000000001E-2</v>
      </c>
      <c r="V2913">
        <v>-0.1195823</v>
      </c>
      <c r="W2913">
        <v>0.15970909999999999</v>
      </c>
      <c r="X2913">
        <v>0.97989440000000005</v>
      </c>
      <c r="Y2913">
        <v>-1.195506E-2</v>
      </c>
      <c r="Z2913">
        <v>-1.1339440000000001E-4</v>
      </c>
      <c r="AA2913">
        <v>0.9999285</v>
      </c>
      <c r="AB2913">
        <v>37</v>
      </c>
      <c r="AC2913">
        <v>-121.942399999999</v>
      </c>
      <c r="AD2913">
        <v>-1.110215769481</v>
      </c>
      <c r="AE2913">
        <v>-0.99740000000002704</v>
      </c>
      <c r="AF2913">
        <v>-1.4603757985004699</v>
      </c>
      <c r="AG2913">
        <v>-1.110215769481</v>
      </c>
      <c r="AH2913">
        <v>121.92762679307199</v>
      </c>
      <c r="AI2913">
        <v>90.521656656780095</v>
      </c>
      <c r="AJ2913">
        <v>90.686221581565803</v>
      </c>
      <c r="AK2913">
        <v>121.94142631574501</v>
      </c>
      <c r="AL2913">
        <v>80.809988051929594</v>
      </c>
      <c r="AM2913">
        <v>96.957738442057007</v>
      </c>
      <c r="AN2913">
        <v>0.99999997912372895</v>
      </c>
    </row>
    <row r="2914" spans="1:40" x14ac:dyDescent="0.25">
      <c r="A2914" t="str">
        <f>"20190304154815388"</f>
        <v>20190304154815388</v>
      </c>
      <c r="B2914" t="str">
        <f>"1551685695379989"</f>
        <v>1551685695379989</v>
      </c>
      <c r="C2914" t="s">
        <v>40</v>
      </c>
      <c r="D2914">
        <v>4.1167680000000004</v>
      </c>
      <c r="E2914">
        <v>0.53870039999999997</v>
      </c>
      <c r="F2914" t="s">
        <v>54</v>
      </c>
      <c r="G2914">
        <v>-471.8193</v>
      </c>
      <c r="H2914" s="1">
        <v>5.7935809999999996E-6</v>
      </c>
      <c r="I2914">
        <v>284.45890000000003</v>
      </c>
      <c r="J2914">
        <v>-353.60680000000002</v>
      </c>
      <c r="K2914">
        <v>1.110225</v>
      </c>
      <c r="L2914">
        <v>285.44709999999998</v>
      </c>
      <c r="M2914">
        <v>-0.99992950000000003</v>
      </c>
      <c r="N2914">
        <v>-1.1271450000000001E-2</v>
      </c>
      <c r="O2914">
        <v>3.7371459999999998E-3</v>
      </c>
      <c r="P2914">
        <v>-0.98203910000000005</v>
      </c>
      <c r="Q2914">
        <v>0.14900439999999901</v>
      </c>
      <c r="R2914">
        <v>-0.1157464</v>
      </c>
      <c r="S2914">
        <v>-3.056152</v>
      </c>
      <c r="T2914">
        <v>-2.8652190000000001E-2</v>
      </c>
      <c r="U2914">
        <v>-2.548218E-2</v>
      </c>
      <c r="V2914">
        <v>-0.1194465</v>
      </c>
      <c r="W2914">
        <v>0.16003619999999999</v>
      </c>
      <c r="X2914">
        <v>0.9798576</v>
      </c>
      <c r="Y2914">
        <v>-1.207372E-2</v>
      </c>
      <c r="Z2914">
        <v>-1.1755729999999999E-4</v>
      </c>
      <c r="AA2914">
        <v>0.99992709999999996</v>
      </c>
      <c r="AB2914">
        <v>37</v>
      </c>
      <c r="AC2914">
        <v>-118.212499999999</v>
      </c>
      <c r="AD2914">
        <v>-1.110219206419</v>
      </c>
      <c r="AE2914">
        <v>-0.98819999999994901</v>
      </c>
      <c r="AF2914">
        <v>-1.4298724194390899</v>
      </c>
      <c r="AG2914">
        <v>-1.110219206419</v>
      </c>
      <c r="AH2914">
        <v>118.197556290641</v>
      </c>
      <c r="AI2914">
        <v>90.538118998288994</v>
      </c>
      <c r="AJ2914">
        <v>90.693090968465398</v>
      </c>
      <c r="AK2914">
        <v>118.211418377843</v>
      </c>
      <c r="AL2914">
        <v>80.791002446905495</v>
      </c>
      <c r="AM2914">
        <v>96.950172878892104</v>
      </c>
      <c r="AN2914">
        <v>0.99999998397522405</v>
      </c>
    </row>
    <row r="2915" spans="1:40" x14ac:dyDescent="0.25">
      <c r="A2915" t="str">
        <f>"20190304154815403"</f>
        <v>20190304154815403</v>
      </c>
      <c r="B2915" t="str">
        <f>"1551685695399509"</f>
        <v>1551685695399509</v>
      </c>
      <c r="C2915" t="s">
        <v>40</v>
      </c>
      <c r="D2915">
        <v>4.0917690000000002</v>
      </c>
      <c r="E2915">
        <v>0.53874129999999998</v>
      </c>
      <c r="F2915" t="s">
        <v>54</v>
      </c>
      <c r="G2915">
        <v>-474.86660000000001</v>
      </c>
      <c r="H2915" s="1">
        <v>4.4418130000000001E-6</v>
      </c>
      <c r="I2915">
        <v>284.45420000000001</v>
      </c>
      <c r="J2915">
        <v>-353.8349</v>
      </c>
      <c r="K2915">
        <v>1.110225</v>
      </c>
      <c r="L2915">
        <v>285.4479</v>
      </c>
      <c r="M2915">
        <v>-0.99992959999999997</v>
      </c>
      <c r="N2915">
        <v>-1.1281360000000001E-2</v>
      </c>
      <c r="O2915">
        <v>3.6713190000000001E-3</v>
      </c>
      <c r="P2915">
        <v>-0.98194890000000001</v>
      </c>
      <c r="Q2915">
        <v>0.14959059999999999</v>
      </c>
      <c r="R2915">
        <v>-0.11575589999999999</v>
      </c>
      <c r="S2915">
        <v>-3.056152</v>
      </c>
      <c r="T2915">
        <v>-2.7981280000000001E-2</v>
      </c>
      <c r="U2915">
        <v>-2.502441E-2</v>
      </c>
      <c r="V2915">
        <v>-0.11939139999999999</v>
      </c>
      <c r="W2915">
        <v>0.16063060000000001</v>
      </c>
      <c r="X2915">
        <v>0.9797671</v>
      </c>
      <c r="Y2915">
        <v>-1.1858189999999999E-2</v>
      </c>
      <c r="Z2915">
        <v>-1.133719E-4</v>
      </c>
      <c r="AA2915">
        <v>0.99992970000000003</v>
      </c>
      <c r="AB2915">
        <v>37</v>
      </c>
      <c r="AC2915">
        <v>-121.0317</v>
      </c>
      <c r="AD2915">
        <v>-1.1102205581869999</v>
      </c>
      <c r="AE2915">
        <v>-0.99369999999998904</v>
      </c>
      <c r="AF2915">
        <v>-1.43794658546607</v>
      </c>
      <c r="AG2915">
        <v>-1.1102205581869999</v>
      </c>
      <c r="AH2915">
        <v>121.017053698678</v>
      </c>
      <c r="AI2915">
        <v>90.525584421672505</v>
      </c>
      <c r="AJ2915">
        <v>90.680766808971896</v>
      </c>
      <c r="AK2915">
        <v>121.030688529725</v>
      </c>
      <c r="AL2915">
        <v>80.756499925002203</v>
      </c>
      <c r="AM2915">
        <v>96.947633554982801</v>
      </c>
      <c r="AN2915">
        <v>1.0000000331463601</v>
      </c>
    </row>
    <row r="2916" spans="1:40" x14ac:dyDescent="0.25">
      <c r="A2916" t="str">
        <f>"20190304154815417"</f>
        <v>20190304154815417</v>
      </c>
      <c r="B2916" t="str">
        <f>"1551685695410245"</f>
        <v>1551685695410245</v>
      </c>
      <c r="C2916" t="s">
        <v>40</v>
      </c>
      <c r="D2916">
        <v>4.0588189999999997</v>
      </c>
      <c r="E2916">
        <v>0.53876259999999998</v>
      </c>
      <c r="F2916" t="s">
        <v>54</v>
      </c>
      <c r="G2916">
        <v>-477.94400000000002</v>
      </c>
      <c r="H2916" s="1">
        <v>3.0756670000000002E-6</v>
      </c>
      <c r="I2916">
        <v>284.43799999999999</v>
      </c>
      <c r="J2916">
        <v>-354.04379999999998</v>
      </c>
      <c r="K2916">
        <v>1.110231</v>
      </c>
      <c r="L2916">
        <v>285.4486</v>
      </c>
      <c r="M2916">
        <v>-0.99992990000000004</v>
      </c>
      <c r="N2916">
        <v>-1.129003E-2</v>
      </c>
      <c r="O2916">
        <v>3.6108080000000001E-3</v>
      </c>
      <c r="P2916">
        <v>-0.98200019999999999</v>
      </c>
      <c r="Q2916">
        <v>0.1494597</v>
      </c>
      <c r="R2916">
        <v>-0.1154893</v>
      </c>
      <c r="S2916">
        <v>-3.0564269999999998</v>
      </c>
      <c r="T2916">
        <v>-2.734137E-2</v>
      </c>
      <c r="U2916">
        <v>-2.4871830000000001E-2</v>
      </c>
      <c r="V2916">
        <v>-0.1190667</v>
      </c>
      <c r="W2916">
        <v>0.16050880000000001</v>
      </c>
      <c r="X2916">
        <v>0.97982659999999999</v>
      </c>
      <c r="Y2916">
        <v>-1.174707E-2</v>
      </c>
      <c r="Z2916">
        <v>-1.1039119999999999E-4</v>
      </c>
      <c r="AA2916">
        <v>0.99993100000000001</v>
      </c>
      <c r="AB2916">
        <v>37</v>
      </c>
      <c r="AC2916">
        <v>-123.9002</v>
      </c>
      <c r="AD2916">
        <v>-1.110227924333</v>
      </c>
      <c r="AE2916">
        <v>-1.0106000000000099</v>
      </c>
      <c r="AF2916">
        <v>-1.4578846400765499</v>
      </c>
      <c r="AG2916">
        <v>-1.110227924333</v>
      </c>
      <c r="AH2916">
        <v>123.885796318817</v>
      </c>
      <c r="AI2916">
        <v>90.5134185645706</v>
      </c>
      <c r="AJ2916">
        <v>90.674224033564101</v>
      </c>
      <c r="AK2916">
        <v>123.899348518122</v>
      </c>
      <c r="AL2916">
        <v>80.763570542410605</v>
      </c>
      <c r="AM2916">
        <v>96.928505848752295</v>
      </c>
      <c r="AN2916">
        <v>1.0000000599969401</v>
      </c>
    </row>
    <row r="2917" spans="1:40" x14ac:dyDescent="0.25">
      <c r="A2917" t="str">
        <f>"20190304154815429"</f>
        <v>20190304154815429</v>
      </c>
      <c r="B2917" t="str">
        <f>"1551685695420005"</f>
        <v>1551685695420005</v>
      </c>
      <c r="C2917" t="s">
        <v>40</v>
      </c>
      <c r="D2917">
        <v>4.260472</v>
      </c>
      <c r="E2917">
        <v>0.53876259999999998</v>
      </c>
      <c r="F2917" t="s">
        <v>54</v>
      </c>
      <c r="G2917">
        <v>-476.28890000000001</v>
      </c>
      <c r="H2917" s="1">
        <v>3.8143539999999999E-6</v>
      </c>
      <c r="I2917">
        <v>284.49169999999998</v>
      </c>
      <c r="J2917">
        <v>-354.27629999999999</v>
      </c>
      <c r="K2917">
        <v>1.110231</v>
      </c>
      <c r="L2917">
        <v>285.44940000000003</v>
      </c>
      <c r="M2917">
        <v>-0.99992999999999999</v>
      </c>
      <c r="N2917">
        <v>-1.129907E-2</v>
      </c>
      <c r="O2917">
        <v>3.5437400000000001E-3</v>
      </c>
      <c r="P2917">
        <v>-0.98190310000000003</v>
      </c>
      <c r="Q2917">
        <v>0.1499828</v>
      </c>
      <c r="R2917">
        <v>-0.11563809999999999</v>
      </c>
      <c r="S2917">
        <v>-3.0563959999999999</v>
      </c>
      <c r="T2917">
        <v>-2.7758120000000001E-2</v>
      </c>
      <c r="U2917">
        <v>-2.3925780000000001E-2</v>
      </c>
      <c r="V2917">
        <v>-0.1191502</v>
      </c>
      <c r="W2917">
        <v>0.16103919999999999</v>
      </c>
      <c r="X2917">
        <v>0.97972939999999997</v>
      </c>
      <c r="Y2917">
        <v>-1.137061E-2</v>
      </c>
      <c r="Z2917">
        <v>-1.080179E-4</v>
      </c>
      <c r="AA2917">
        <v>0.99993529999999997</v>
      </c>
      <c r="AB2917">
        <v>37</v>
      </c>
      <c r="AC2917">
        <v>-122.01260000000001</v>
      </c>
      <c r="AD2917">
        <v>-1.110227185646</v>
      </c>
      <c r="AE2917">
        <v>-0.95770000000004496</v>
      </c>
      <c r="AF2917">
        <v>-1.3899873905653499</v>
      </c>
      <c r="AG2917">
        <v>-1.110227185646</v>
      </c>
      <c r="AH2917">
        <v>121.99833925267799</v>
      </c>
      <c r="AI2917">
        <v>90.521363229140903</v>
      </c>
      <c r="AJ2917">
        <v>90.652770896111605</v>
      </c>
      <c r="AK2917">
        <v>122.011308696207</v>
      </c>
      <c r="AL2917">
        <v>80.732780185994898</v>
      </c>
      <c r="AM2917">
        <v>96.933998611391004</v>
      </c>
      <c r="AN2917">
        <v>1.00000004566051</v>
      </c>
    </row>
    <row r="2918" spans="1:40" x14ac:dyDescent="0.25">
      <c r="A2918" t="str">
        <f>"20190304154815444"</f>
        <v>20190304154815444</v>
      </c>
      <c r="B2918" t="str">
        <f>"1551685695439525"</f>
        <v>1551685695439525</v>
      </c>
      <c r="C2918" t="s">
        <v>40</v>
      </c>
      <c r="D2918">
        <v>4.144698</v>
      </c>
      <c r="E2918">
        <v>0.5392441</v>
      </c>
      <c r="F2918" t="s">
        <v>54</v>
      </c>
      <c r="G2918">
        <v>-483.48669999999998</v>
      </c>
      <c r="H2918" s="1">
        <v>2.806034E-6</v>
      </c>
      <c r="I2918">
        <v>284.4083</v>
      </c>
      <c r="J2918">
        <v>-354.50310000000002</v>
      </c>
      <c r="K2918">
        <v>1.1102350000000001</v>
      </c>
      <c r="L2918">
        <v>285.45010000000002</v>
      </c>
      <c r="M2918">
        <v>-0.99993010000000004</v>
      </c>
      <c r="N2918">
        <v>-1.130718E-2</v>
      </c>
      <c r="O2918">
        <v>3.4788839999999998E-3</v>
      </c>
      <c r="P2918">
        <v>-0.98190250000000001</v>
      </c>
      <c r="Q2918">
        <v>0.15003810000000001</v>
      </c>
      <c r="R2918">
        <v>-0.11556900000000001</v>
      </c>
      <c r="S2918">
        <v>-3.0563959999999999</v>
      </c>
      <c r="T2918">
        <v>-2.626181E-2</v>
      </c>
      <c r="U2918">
        <v>-2.4627690000000001E-2</v>
      </c>
      <c r="V2918">
        <v>-0.1190177</v>
      </c>
      <c r="W2918">
        <v>0.16110179999999999</v>
      </c>
      <c r="X2918">
        <v>0.97973520000000003</v>
      </c>
      <c r="Y2918">
        <v>-1.1535439999999999E-2</v>
      </c>
      <c r="Z2918">
        <v>-1.053333E-4</v>
      </c>
      <c r="AA2918">
        <v>0.99993350000000003</v>
      </c>
      <c r="AB2918">
        <v>37</v>
      </c>
      <c r="AC2918">
        <v>-128.983599999999</v>
      </c>
      <c r="AD2918">
        <v>-1.110232193966</v>
      </c>
      <c r="AE2918">
        <v>-1.04180000000002</v>
      </c>
      <c r="AF2918">
        <v>-1.49043091039892</v>
      </c>
      <c r="AG2918">
        <v>-1.110232193966</v>
      </c>
      <c r="AH2918">
        <v>128.96964012813299</v>
      </c>
      <c r="AI2918">
        <v>90.493184292798404</v>
      </c>
      <c r="AJ2918">
        <v>90.662106209496898</v>
      </c>
      <c r="AK2918">
        <v>128.98303018073099</v>
      </c>
      <c r="AL2918">
        <v>80.729145895584296</v>
      </c>
      <c r="AM2918">
        <v>96.926322055533603</v>
      </c>
      <c r="AN2918">
        <v>1.00000003249778</v>
      </c>
    </row>
    <row r="2919" spans="1:40" x14ac:dyDescent="0.25">
      <c r="A2919" t="str">
        <f>"20190304154815459"</f>
        <v>20190304154815459</v>
      </c>
      <c r="B2919" t="str">
        <f>"1551685695450261"</f>
        <v>1551685695450261</v>
      </c>
      <c r="C2919" t="s">
        <v>40</v>
      </c>
      <c r="D2919">
        <v>4.0658469999999998</v>
      </c>
      <c r="E2919">
        <v>0.53925239999999997</v>
      </c>
      <c r="F2919" t="s">
        <v>54</v>
      </c>
      <c r="G2919">
        <v>-485.31799999999998</v>
      </c>
      <c r="H2919" s="1">
        <v>3.1449059999999999E-6</v>
      </c>
      <c r="I2919">
        <v>284.5686</v>
      </c>
      <c r="J2919">
        <v>-354.76179999999999</v>
      </c>
      <c r="K2919">
        <v>1.110239</v>
      </c>
      <c r="L2919">
        <v>285.45100000000002</v>
      </c>
      <c r="M2919">
        <v>-0.99993030000000005</v>
      </c>
      <c r="N2919">
        <v>-1.131589E-2</v>
      </c>
      <c r="O2919">
        <v>3.4047859999999999E-3</v>
      </c>
      <c r="P2919">
        <v>-0.98190449999999996</v>
      </c>
      <c r="Q2919">
        <v>0.1502848</v>
      </c>
      <c r="R2919">
        <v>-0.11523170000000001</v>
      </c>
      <c r="S2919">
        <v>-3.056854</v>
      </c>
      <c r="T2919">
        <v>-2.594364E-2</v>
      </c>
      <c r="U2919">
        <v>-2.0599369999999999E-2</v>
      </c>
      <c r="V2919">
        <v>-0.11860850000000001</v>
      </c>
      <c r="W2919">
        <v>0.16135679999999999</v>
      </c>
      <c r="X2919">
        <v>0.97974280000000002</v>
      </c>
      <c r="Y2919">
        <v>-1.014262E-2</v>
      </c>
      <c r="Z2919" s="1">
        <v>-9.0796970000000003E-5</v>
      </c>
      <c r="AA2919">
        <v>0.99994859999999997</v>
      </c>
      <c r="AB2919">
        <v>37</v>
      </c>
      <c r="AC2919">
        <v>-130.55619999999999</v>
      </c>
      <c r="AD2919">
        <v>-1.1102358550939999</v>
      </c>
      <c r="AE2919">
        <v>-0.88239999999996099</v>
      </c>
      <c r="AF2919">
        <v>-1.3268432666686201</v>
      </c>
      <c r="AG2919">
        <v>-1.1102358550939999</v>
      </c>
      <c r="AH2919">
        <v>130.54299864495101</v>
      </c>
      <c r="AI2919">
        <v>90.487249492430607</v>
      </c>
      <c r="AJ2919">
        <v>90.582336106161407</v>
      </c>
      <c r="AK2919">
        <v>130.55446232099399</v>
      </c>
      <c r="AL2919">
        <v>80.714341238611496</v>
      </c>
      <c r="AM2919">
        <v>96.902685482597803</v>
      </c>
      <c r="AN2919">
        <v>0.99999997366516402</v>
      </c>
    </row>
    <row r="2920" spans="1:40" x14ac:dyDescent="0.25">
      <c r="A2920" t="str">
        <f>"20190304154815470"</f>
        <v>20190304154815470</v>
      </c>
      <c r="B2920" t="str">
        <f>"1551685695460021"</f>
        <v>1551685695460021</v>
      </c>
      <c r="C2920" t="s">
        <v>40</v>
      </c>
      <c r="D2920">
        <v>4.0703899999999997</v>
      </c>
      <c r="E2920">
        <v>0.53933500000000001</v>
      </c>
      <c r="F2920" t="s">
        <v>54</v>
      </c>
      <c r="G2920">
        <v>-489.4323</v>
      </c>
      <c r="H2920" s="1">
        <v>3.8759130000000002E-6</v>
      </c>
      <c r="I2920">
        <v>284.58249999999998</v>
      </c>
      <c r="J2920">
        <v>-354.96190000000001</v>
      </c>
      <c r="K2920">
        <v>1.1102399999999999</v>
      </c>
      <c r="L2920">
        <v>285.45159999999998</v>
      </c>
      <c r="M2920">
        <v>-0.9999304</v>
      </c>
      <c r="N2920">
        <v>-1.1322280000000001E-2</v>
      </c>
      <c r="O2920">
        <v>3.3475179999999998E-3</v>
      </c>
      <c r="P2920">
        <v>-0.98189780000000004</v>
      </c>
      <c r="Q2920">
        <v>0.15048789999999901</v>
      </c>
      <c r="R2920">
        <v>-0.11502279999999999</v>
      </c>
      <c r="S2920">
        <v>-3.0568240000000002</v>
      </c>
      <c r="T2920">
        <v>-2.5200719999999999E-2</v>
      </c>
      <c r="U2920">
        <v>-1.971436E-2</v>
      </c>
      <c r="V2920">
        <v>-0.1183433</v>
      </c>
      <c r="W2920">
        <v>0.16156579999999901</v>
      </c>
      <c r="X2920">
        <v>0.97974039999999996</v>
      </c>
      <c r="Y2920">
        <v>-9.7959799999999993E-3</v>
      </c>
      <c r="Z2920" s="1">
        <v>-8.5533330000000005E-5</v>
      </c>
      <c r="AA2920">
        <v>0.99995199999999995</v>
      </c>
      <c r="AB2920">
        <v>37</v>
      </c>
      <c r="AC2920">
        <v>-134.47039999999899</v>
      </c>
      <c r="AD2920">
        <v>-1.11023612408699</v>
      </c>
      <c r="AE2920">
        <v>-0.86910000000000298</v>
      </c>
      <c r="AF2920">
        <v>-1.31917610259248</v>
      </c>
      <c r="AG2920">
        <v>-1.11023612408699</v>
      </c>
      <c r="AH2920">
        <v>134.45757170542299</v>
      </c>
      <c r="AI2920">
        <v>90.473066236417495</v>
      </c>
      <c r="AJ2920">
        <v>90.562116340056406</v>
      </c>
      <c r="AK2920">
        <v>134.46862622470701</v>
      </c>
      <c r="AL2920">
        <v>80.7022069685069</v>
      </c>
      <c r="AM2920">
        <v>96.887416701768103</v>
      </c>
      <c r="AN2920">
        <v>0.99999994788834301</v>
      </c>
    </row>
    <row r="2921" spans="1:40" x14ac:dyDescent="0.25">
      <c r="A2921" t="str">
        <f>"20190304154815483"</f>
        <v>20190304154815483</v>
      </c>
      <c r="B2921" t="str">
        <f>"1551685695479541"</f>
        <v>1551685695479541</v>
      </c>
      <c r="C2921" t="s">
        <v>40</v>
      </c>
      <c r="D2921">
        <v>4.0894779999999997</v>
      </c>
      <c r="E2921">
        <v>0.53930659999999997</v>
      </c>
      <c r="F2921" t="s">
        <v>54</v>
      </c>
      <c r="G2921">
        <v>-491.91180000000003</v>
      </c>
      <c r="H2921" s="1">
        <v>3.6258340000000002E-6</v>
      </c>
      <c r="I2921">
        <v>284.62040000000002</v>
      </c>
      <c r="J2921">
        <v>-355.16250000000002</v>
      </c>
      <c r="K2921">
        <v>1.1102369999999999</v>
      </c>
      <c r="L2921">
        <v>285.45229999999998</v>
      </c>
      <c r="M2921">
        <v>-0.9999304</v>
      </c>
      <c r="N2921">
        <v>-1.1328029999999999E-2</v>
      </c>
      <c r="O2921">
        <v>3.2906110000000001E-3</v>
      </c>
      <c r="P2921">
        <v>-0.98185979999999995</v>
      </c>
      <c r="Q2921">
        <v>0.1507955</v>
      </c>
      <c r="R2921">
        <v>-0.114944699999999</v>
      </c>
      <c r="S2921">
        <v>-3.0569459999999999</v>
      </c>
      <c r="T2921">
        <v>-2.47823E-2</v>
      </c>
      <c r="U2921">
        <v>-1.8554689999999999E-2</v>
      </c>
      <c r="V2921">
        <v>-0.1182101</v>
      </c>
      <c r="W2921">
        <v>0.16187869999999999</v>
      </c>
      <c r="X2921">
        <v>0.97970489999999999</v>
      </c>
      <c r="Y2921">
        <v>-9.3595450000000004E-3</v>
      </c>
      <c r="Z2921" s="1">
        <v>-8.0353029999999997E-5</v>
      </c>
      <c r="AA2921">
        <v>0.99995619999999996</v>
      </c>
      <c r="AB2921">
        <v>37</v>
      </c>
      <c r="AC2921">
        <v>-136.74930000000001</v>
      </c>
      <c r="AD2921">
        <v>-1.110233374166</v>
      </c>
      <c r="AE2921">
        <v>-0.831899999999961</v>
      </c>
      <c r="AF2921">
        <v>-1.2818286434608801</v>
      </c>
      <c r="AG2921">
        <v>-1.110233374166</v>
      </c>
      <c r="AH2921">
        <v>136.73680934864899</v>
      </c>
      <c r="AI2921">
        <v>90.465181938636704</v>
      </c>
      <c r="AJ2921">
        <v>90.537099120538898</v>
      </c>
      <c r="AK2921">
        <v>136.74732441135799</v>
      </c>
      <c r="AL2921">
        <v>80.6840406152415</v>
      </c>
      <c r="AM2921">
        <v>96.879985884692005</v>
      </c>
      <c r="AN2921">
        <v>1.0000000161698499</v>
      </c>
    </row>
    <row r="2922" spans="1:40" x14ac:dyDescent="0.25">
      <c r="A2922" t="str">
        <f>"20190304154815496"</f>
        <v>20190304154815496</v>
      </c>
      <c r="B2922" t="str">
        <f>"1551685695489302"</f>
        <v>1551685695489302</v>
      </c>
      <c r="C2922" t="s">
        <v>40</v>
      </c>
      <c r="D2922">
        <v>4.0372960000000004</v>
      </c>
      <c r="E2922">
        <v>0.53931470000000004</v>
      </c>
      <c r="F2922" t="s">
        <v>54</v>
      </c>
      <c r="G2922">
        <v>-495.8143</v>
      </c>
      <c r="H2922" s="1">
        <v>2.9313260000000001E-6</v>
      </c>
      <c r="I2922">
        <v>284.59440000000001</v>
      </c>
      <c r="J2922">
        <v>-355.36779999999999</v>
      </c>
      <c r="K2922">
        <v>1.1102369999999999</v>
      </c>
      <c r="L2922">
        <v>285.4529</v>
      </c>
      <c r="M2922">
        <v>-0.9999306</v>
      </c>
      <c r="N2922">
        <v>-1.133374E-2</v>
      </c>
      <c r="O2922">
        <v>3.2321569999999998E-3</v>
      </c>
      <c r="P2922">
        <v>-0.98185500000000003</v>
      </c>
      <c r="Q2922">
        <v>0.15099939999999901</v>
      </c>
      <c r="R2922">
        <v>-0.1147164</v>
      </c>
      <c r="S2922">
        <v>-3.056915</v>
      </c>
      <c r="T2922">
        <v>-2.4129749999999998E-2</v>
      </c>
      <c r="U2922">
        <v>-1.8646240000000001E-2</v>
      </c>
      <c r="V2922">
        <v>-0.11792519999999999</v>
      </c>
      <c r="W2922">
        <v>0.1620876</v>
      </c>
      <c r="X2922">
        <v>0.97970469999999998</v>
      </c>
      <c r="Y2922">
        <v>-9.3311230000000002E-3</v>
      </c>
      <c r="Z2922" s="1">
        <v>-7.8588080000000006E-5</v>
      </c>
      <c r="AA2922">
        <v>0.99995650000000003</v>
      </c>
      <c r="AB2922">
        <v>37</v>
      </c>
      <c r="AC2922">
        <v>-140.44649999999999</v>
      </c>
      <c r="AD2922">
        <v>-1.110234068674</v>
      </c>
      <c r="AE2922">
        <v>-0.85849999999999205</v>
      </c>
      <c r="AF2922">
        <v>-1.3123877801342401</v>
      </c>
      <c r="AG2922">
        <v>-1.110234068674</v>
      </c>
      <c r="AH2922">
        <v>140.43421596779601</v>
      </c>
      <c r="AI2922">
        <v>90.452935372033394</v>
      </c>
      <c r="AJ2922">
        <v>90.535425725856598</v>
      </c>
      <c r="AK2922">
        <v>140.444736447694</v>
      </c>
      <c r="AL2922">
        <v>80.671911387914093</v>
      </c>
      <c r="AM2922">
        <v>96.863564076038699</v>
      </c>
      <c r="AN2922">
        <v>1.0000000210354401</v>
      </c>
    </row>
    <row r="2923" spans="1:40" x14ac:dyDescent="0.25">
      <c r="A2923" t="str">
        <f>"20190304154815507"</f>
        <v>20190304154815507</v>
      </c>
      <c r="B2923" t="str">
        <f>"1551685695500083"</f>
        <v>1551685695500083</v>
      </c>
      <c r="C2923" t="s">
        <v>40</v>
      </c>
      <c r="D2923">
        <v>4.0761529999999997</v>
      </c>
      <c r="E2923">
        <v>0.53934389999999999</v>
      </c>
      <c r="F2923" t="s">
        <v>54</v>
      </c>
      <c r="G2923">
        <v>-497.59280000000001</v>
      </c>
      <c r="H2923" s="1">
        <v>2.6177890000000001E-6</v>
      </c>
      <c r="I2923">
        <v>284.61669999999998</v>
      </c>
      <c r="J2923">
        <v>-355.57569999999998</v>
      </c>
      <c r="K2923">
        <v>1.1102379999999901</v>
      </c>
      <c r="L2923">
        <v>285.45359999999999</v>
      </c>
      <c r="M2923">
        <v>-0.99993069999999895</v>
      </c>
      <c r="N2923">
        <v>-1.1339200000000001E-2</v>
      </c>
      <c r="O2923">
        <v>3.1726940000000002E-3</v>
      </c>
      <c r="P2923">
        <v>-0.98182919999999996</v>
      </c>
      <c r="Q2923">
        <v>0.15109529999999999</v>
      </c>
      <c r="R2923">
        <v>-0.11481230000000001</v>
      </c>
      <c r="S2923">
        <v>-3.057007</v>
      </c>
      <c r="T2923">
        <v>-2.3863550000000001E-2</v>
      </c>
      <c r="U2923">
        <v>-1.7974850000000001E-2</v>
      </c>
      <c r="V2923">
        <v>-0.1179625</v>
      </c>
      <c r="W2923">
        <v>0.16218879999999999</v>
      </c>
      <c r="X2923">
        <v>0.97968350000000004</v>
      </c>
      <c r="Y2923">
        <v>-9.0519009999999994E-3</v>
      </c>
      <c r="Z2923" s="1">
        <v>-7.5443430000000006E-5</v>
      </c>
      <c r="AA2923">
        <v>0.99995909999999999</v>
      </c>
      <c r="AB2923">
        <v>37</v>
      </c>
      <c r="AC2923">
        <v>-142.0171</v>
      </c>
      <c r="AD2923">
        <v>-1.1102353822109901</v>
      </c>
      <c r="AE2923">
        <v>-0.83690000000001397</v>
      </c>
      <c r="AF2923">
        <v>-1.2874228690315599</v>
      </c>
      <c r="AG2923">
        <v>-1.1102353822109901</v>
      </c>
      <c r="AH2923">
        <v>142.005051378948</v>
      </c>
      <c r="AI2923">
        <v>90.447926965228504</v>
      </c>
      <c r="AJ2923">
        <v>90.519431353101695</v>
      </c>
      <c r="AK2923">
        <v>142.01522699128199</v>
      </c>
      <c r="AL2923">
        <v>80.666035662672797</v>
      </c>
      <c r="AM2923">
        <v>96.865861470694099</v>
      </c>
      <c r="AN2923">
        <v>1.00000005921196</v>
      </c>
    </row>
    <row r="2924" spans="1:40" x14ac:dyDescent="0.25">
      <c r="A2924" t="str">
        <f>"20190304154815519"</f>
        <v>20190304154815519</v>
      </c>
      <c r="B2924" t="str">
        <f>"1551685695509842"</f>
        <v>1551685695509842</v>
      </c>
      <c r="C2924" t="s">
        <v>40</v>
      </c>
      <c r="D2924">
        <v>4.066535</v>
      </c>
      <c r="E2924">
        <v>0.53939749999999997</v>
      </c>
      <c r="F2924" t="s">
        <v>54</v>
      </c>
      <c r="G2924">
        <v>-498.26069999999999</v>
      </c>
      <c r="H2924" s="1">
        <v>2.4976509999999999E-6</v>
      </c>
      <c r="I2924">
        <v>284.59750000000003</v>
      </c>
      <c r="J2924">
        <v>-355.76249999999999</v>
      </c>
      <c r="K2924">
        <v>1.110236</v>
      </c>
      <c r="L2924">
        <v>285.45409999999998</v>
      </c>
      <c r="M2924">
        <v>-0.99993089999999996</v>
      </c>
      <c r="N2924">
        <v>-1.1343799999999999E-2</v>
      </c>
      <c r="O2924">
        <v>3.1194349999999998E-3</v>
      </c>
      <c r="P2924">
        <v>-0.98182199999999997</v>
      </c>
      <c r="Q2924">
        <v>0.15142369999999999</v>
      </c>
      <c r="R2924">
        <v>-0.114441</v>
      </c>
      <c r="S2924">
        <v>-3.0570369999999998</v>
      </c>
      <c r="T2924">
        <v>-2.37869E-2</v>
      </c>
      <c r="U2924">
        <v>-1.8341059999999999E-2</v>
      </c>
      <c r="V2924">
        <v>-0.1175392</v>
      </c>
      <c r="W2924">
        <v>0.16252139999999901</v>
      </c>
      <c r="X2924">
        <v>0.97967919999999997</v>
      </c>
      <c r="Y2924">
        <v>-9.1183659999999993E-3</v>
      </c>
      <c r="Z2924" s="1">
        <v>-7.6081380000000005E-5</v>
      </c>
      <c r="AA2924">
        <v>0.99995840000000003</v>
      </c>
      <c r="AB2924">
        <v>37</v>
      </c>
      <c r="AC2924">
        <v>-142.4982</v>
      </c>
      <c r="AD2924">
        <v>-1.110233502349</v>
      </c>
      <c r="AE2924">
        <v>-0.85659999999995695</v>
      </c>
      <c r="AF2924">
        <v>-1.30105928378038</v>
      </c>
      <c r="AG2924">
        <v>-1.110233502349</v>
      </c>
      <c r="AH2924">
        <v>142.48618529220599</v>
      </c>
      <c r="AI2924">
        <v>90.446413488820994</v>
      </c>
      <c r="AJ2924">
        <v>90.523160431385605</v>
      </c>
      <c r="AK2924">
        <v>142.496450386719</v>
      </c>
      <c r="AL2924">
        <v>80.646722312394104</v>
      </c>
      <c r="AM2924">
        <v>96.841487494172299</v>
      </c>
      <c r="AN2924">
        <v>1.0000000019536199</v>
      </c>
    </row>
    <row r="2925" spans="1:40" x14ac:dyDescent="0.25">
      <c r="A2925" t="str">
        <f>"20190304154815530"</f>
        <v>20190304154815530</v>
      </c>
      <c r="B2925" t="str">
        <f>"1551685695519603"</f>
        <v>1551685695519603</v>
      </c>
      <c r="C2925" t="s">
        <v>40</v>
      </c>
      <c r="D2925">
        <v>4.0567359999999999</v>
      </c>
      <c r="E2925">
        <v>0.53944579999999998</v>
      </c>
      <c r="F2925" t="s">
        <v>54</v>
      </c>
      <c r="G2925">
        <v>-499.95780000000002</v>
      </c>
      <c r="H2925">
        <v>8.9786439999999992E-3</v>
      </c>
      <c r="I2925">
        <v>284.6567</v>
      </c>
      <c r="J2925">
        <v>-355.95890000000003</v>
      </c>
      <c r="K2925">
        <v>1.1102369999999999</v>
      </c>
      <c r="L2925">
        <v>285.4547</v>
      </c>
      <c r="M2925">
        <v>-0.99993089999999996</v>
      </c>
      <c r="N2925">
        <v>-1.1348479999999999E-2</v>
      </c>
      <c r="O2925">
        <v>3.0635530000000001E-3</v>
      </c>
      <c r="P2925">
        <v>-0.98188529999999996</v>
      </c>
      <c r="Q2925">
        <v>0.15127270000000001</v>
      </c>
      <c r="R2925">
        <v>-0.1140959</v>
      </c>
      <c r="S2925">
        <v>-3.057159</v>
      </c>
      <c r="T2925">
        <v>-2.334833E-2</v>
      </c>
      <c r="U2925">
        <v>-1.690674E-2</v>
      </c>
      <c r="V2925">
        <v>-0.1171394</v>
      </c>
      <c r="W2925">
        <v>0.16237650000000001</v>
      </c>
      <c r="X2925">
        <v>0.97975109999999999</v>
      </c>
      <c r="Y2925">
        <v>-8.5931619999999997E-3</v>
      </c>
      <c r="Z2925" s="1">
        <v>-7.0205680000000003E-5</v>
      </c>
      <c r="AA2925">
        <v>0.99996309999999999</v>
      </c>
      <c r="AB2925">
        <v>37</v>
      </c>
      <c r="AC2925">
        <v>-143.99889999999999</v>
      </c>
      <c r="AD2925">
        <v>-1.101258356</v>
      </c>
      <c r="AE2925">
        <v>-0.79800000000000104</v>
      </c>
      <c r="AF2925">
        <v>-1.2391004625464299</v>
      </c>
      <c r="AG2925">
        <v>-1.101258356</v>
      </c>
      <c r="AH2925">
        <v>143.987358153733</v>
      </c>
      <c r="AI2925">
        <v>90.438190479707401</v>
      </c>
      <c r="AJ2925">
        <v>90.493053524472998</v>
      </c>
      <c r="AK2925">
        <v>143.99690082781001</v>
      </c>
      <c r="AL2925">
        <v>80.6551361429933</v>
      </c>
      <c r="AM2925">
        <v>96.817940518925894</v>
      </c>
      <c r="AN2925">
        <v>0.99999999236791004</v>
      </c>
    </row>
    <row r="2926" spans="1:40" x14ac:dyDescent="0.25">
      <c r="A2926" t="str">
        <f>"20190304154815543"</f>
        <v>20190304154815543</v>
      </c>
      <c r="B2926" t="str">
        <f>"1551685695540099"</f>
        <v>1551685695540099</v>
      </c>
      <c r="C2926" t="s">
        <v>40</v>
      </c>
      <c r="D2926">
        <v>4.0574510000000004</v>
      </c>
      <c r="E2926">
        <v>0.53939680000000001</v>
      </c>
      <c r="F2926" t="s">
        <v>54</v>
      </c>
      <c r="G2926">
        <v>-495.4785</v>
      </c>
      <c r="H2926" s="1">
        <v>3.0043620000000002E-6</v>
      </c>
      <c r="I2926">
        <v>284.74860000000001</v>
      </c>
      <c r="J2926">
        <v>-356.15120000000002</v>
      </c>
      <c r="K2926">
        <v>1.1102369999999999</v>
      </c>
      <c r="L2926">
        <v>285.45519999999999</v>
      </c>
      <c r="M2926">
        <v>-0.99993109999999996</v>
      </c>
      <c r="N2926">
        <v>-1.1352640000000001E-2</v>
      </c>
      <c r="O2926">
        <v>3.0086290000000001E-3</v>
      </c>
      <c r="P2926">
        <v>-0.98185699999999998</v>
      </c>
      <c r="Q2926">
        <v>0.1514539</v>
      </c>
      <c r="R2926">
        <v>-0.11410149999999999</v>
      </c>
      <c r="S2926">
        <v>-3.057312</v>
      </c>
      <c r="T2926">
        <v>-2.432871E-2</v>
      </c>
      <c r="U2926">
        <v>-1.5472410000000001E-2</v>
      </c>
      <c r="V2926">
        <v>-0.1170914</v>
      </c>
      <c r="W2926">
        <v>0.16256099999999901</v>
      </c>
      <c r="X2926">
        <v>0.97972630000000005</v>
      </c>
      <c r="Y2926">
        <v>-8.068848E-3</v>
      </c>
      <c r="Z2926" s="1">
        <v>-6.7692139999999998E-5</v>
      </c>
      <c r="AA2926">
        <v>0.99996750000000001</v>
      </c>
      <c r="AB2926">
        <v>37</v>
      </c>
      <c r="AC2926">
        <v>-139.32729999999901</v>
      </c>
      <c r="AD2926">
        <v>-1.1102339956380001</v>
      </c>
      <c r="AE2926">
        <v>-0.70659999999998002</v>
      </c>
      <c r="AF2926">
        <v>-1.1257364634296201</v>
      </c>
      <c r="AG2926">
        <v>-1.1102339956380001</v>
      </c>
      <c r="AH2926">
        <v>139.31569732802399</v>
      </c>
      <c r="AI2926">
        <v>90.456576684287697</v>
      </c>
      <c r="AJ2926">
        <v>90.462966813290805</v>
      </c>
      <c r="AK2926">
        <v>139.32466911535701</v>
      </c>
      <c r="AL2926">
        <v>80.644423262475698</v>
      </c>
      <c r="AM2926">
        <v>96.8153439174379</v>
      </c>
      <c r="AN2926">
        <v>1.0000000487933201</v>
      </c>
    </row>
    <row r="2927" spans="1:40" x14ac:dyDescent="0.25">
      <c r="A2927" t="str">
        <f>"20190304154815555"</f>
        <v>20190304154815555</v>
      </c>
      <c r="B2927" t="str">
        <f>"1551685695549859"</f>
        <v>1551685695549859</v>
      </c>
      <c r="C2927" t="s">
        <v>40</v>
      </c>
      <c r="D2927">
        <v>4.0592860000000002</v>
      </c>
      <c r="E2927">
        <v>0.53935459999999902</v>
      </c>
      <c r="F2927" t="s">
        <v>54</v>
      </c>
      <c r="G2927">
        <v>-496.63929999999999</v>
      </c>
      <c r="H2927" s="1">
        <v>2.7948840000000001E-6</v>
      </c>
      <c r="I2927">
        <v>284.70780000000002</v>
      </c>
      <c r="J2927">
        <v>-356.3646</v>
      </c>
      <c r="K2927">
        <v>1.110233</v>
      </c>
      <c r="L2927">
        <v>285.45580000000001</v>
      </c>
      <c r="M2927">
        <v>-0.99993120000000002</v>
      </c>
      <c r="N2927">
        <v>-1.135712E-2</v>
      </c>
      <c r="O2927">
        <v>2.9478619999999999E-3</v>
      </c>
      <c r="P2927">
        <v>-0.98183359999999997</v>
      </c>
      <c r="Q2927">
        <v>0.15181529999999999</v>
      </c>
      <c r="R2927">
        <v>-0.1138189</v>
      </c>
      <c r="S2927">
        <v>-3.0572810000000001</v>
      </c>
      <c r="T2927">
        <v>-2.416074E-2</v>
      </c>
      <c r="U2927">
        <v>-1.6265870000000002E-2</v>
      </c>
      <c r="V2927">
        <v>-0.1167498</v>
      </c>
      <c r="W2927">
        <v>0.1629265</v>
      </c>
      <c r="X2927">
        <v>0.97970630000000003</v>
      </c>
      <c r="Y2927">
        <v>-8.2676350000000006E-3</v>
      </c>
      <c r="Z2927" s="1">
        <v>-6.9434680000000007E-5</v>
      </c>
      <c r="AA2927">
        <v>0.99996580000000002</v>
      </c>
      <c r="AB2927">
        <v>37</v>
      </c>
      <c r="AC2927">
        <v>-140.2747</v>
      </c>
      <c r="AD2927">
        <v>-1.110230205116</v>
      </c>
      <c r="AE2927">
        <v>-0.74799999999999001</v>
      </c>
      <c r="AF2927">
        <v>-1.1614611072101999</v>
      </c>
      <c r="AG2927">
        <v>-1.110230205116</v>
      </c>
      <c r="AH2927">
        <v>140.263099144373</v>
      </c>
      <c r="AI2927">
        <v>90.453490592965593</v>
      </c>
      <c r="AJ2927">
        <v>90.474431970936294</v>
      </c>
      <c r="AK2927">
        <v>140.27230155877601</v>
      </c>
      <c r="AL2927">
        <v>80.6231982100838</v>
      </c>
      <c r="AM2927">
        <v>96.795784619201399</v>
      </c>
      <c r="AN2927">
        <v>0.99999999723098998</v>
      </c>
    </row>
    <row r="2928" spans="1:40" x14ac:dyDescent="0.25">
      <c r="A2928" t="str">
        <f>"20190304154815568"</f>
        <v>20190304154815568</v>
      </c>
      <c r="B2928" t="str">
        <f>"1551685695559618"</f>
        <v>1551685695559618</v>
      </c>
      <c r="C2928" t="s">
        <v>40</v>
      </c>
      <c r="D2928">
        <v>4.0576720000000002</v>
      </c>
      <c r="E2928">
        <v>0.53933500000000001</v>
      </c>
      <c r="F2928" t="s">
        <v>54</v>
      </c>
      <c r="G2928">
        <v>-499.95780000000002</v>
      </c>
      <c r="H2928">
        <v>4.4121960000000002E-3</v>
      </c>
      <c r="I2928">
        <v>284.71190000000001</v>
      </c>
      <c r="J2928">
        <v>-356.58300000000003</v>
      </c>
      <c r="K2928">
        <v>1.110231</v>
      </c>
      <c r="L2928">
        <v>285.45639999999997</v>
      </c>
      <c r="M2928">
        <v>-0.99993140000000003</v>
      </c>
      <c r="N2928">
        <v>-1.1361420000000001E-2</v>
      </c>
      <c r="O2928">
        <v>2.885192E-3</v>
      </c>
      <c r="P2928">
        <v>-0.98181320000000005</v>
      </c>
      <c r="Q2928">
        <v>0.1521352</v>
      </c>
      <c r="R2928">
        <v>-0.11356960000000001</v>
      </c>
      <c r="S2928">
        <v>-3.057312</v>
      </c>
      <c r="T2928">
        <v>-2.3544550000000001E-2</v>
      </c>
      <c r="U2928">
        <v>-1.5838620000000001E-2</v>
      </c>
      <c r="V2928">
        <v>-0.116438899999999</v>
      </c>
      <c r="W2928">
        <v>0.16325020000000001</v>
      </c>
      <c r="X2928">
        <v>0.97968940000000004</v>
      </c>
      <c r="Y2928">
        <v>-8.0652099999999997E-3</v>
      </c>
      <c r="Z2928" s="1">
        <v>-6.6311909999999897E-5</v>
      </c>
      <c r="AA2928">
        <v>0.99996750000000001</v>
      </c>
      <c r="AB2928">
        <v>37</v>
      </c>
      <c r="AC2928">
        <v>-143.37479999999999</v>
      </c>
      <c r="AD2928">
        <v>-1.1058188040000001</v>
      </c>
      <c r="AE2928">
        <v>-0.74449999999995897</v>
      </c>
      <c r="AF2928">
        <v>-1.15811849285408</v>
      </c>
      <c r="AG2928">
        <v>-1.1058188040000001</v>
      </c>
      <c r="AH2928">
        <v>143.363526967626</v>
      </c>
      <c r="AI2928">
        <v>90.441921513353407</v>
      </c>
      <c r="AJ2928">
        <v>90.462836398412094</v>
      </c>
      <c r="AK2928">
        <v>143.372469247997</v>
      </c>
      <c r="AL2928">
        <v>80.604399747820807</v>
      </c>
      <c r="AM2928">
        <v>96.777972132681498</v>
      </c>
      <c r="AN2928">
        <v>0.999999982852804</v>
      </c>
    </row>
    <row r="2929" spans="1:40" x14ac:dyDescent="0.25">
      <c r="A2929" t="str">
        <f>"20190304154815582"</f>
        <v>20190304154815582</v>
      </c>
      <c r="B2929" t="str">
        <f>"1551685695569378"</f>
        <v>1551685695569378</v>
      </c>
      <c r="C2929" t="s">
        <v>40</v>
      </c>
      <c r="D2929">
        <v>4.0531160000000002</v>
      </c>
      <c r="E2929">
        <v>0.53927999999999998</v>
      </c>
      <c r="F2929" t="s">
        <v>54</v>
      </c>
      <c r="G2929">
        <v>-499.95780000000002</v>
      </c>
      <c r="H2929">
        <v>4.0406200000000003E-2</v>
      </c>
      <c r="I2929">
        <v>284.74950000000001</v>
      </c>
      <c r="J2929">
        <v>-356.79950000000002</v>
      </c>
      <c r="K2929">
        <v>1.1102299999999901</v>
      </c>
      <c r="L2929">
        <v>285.45699999999999</v>
      </c>
      <c r="M2929">
        <v>-0.99993160000000003</v>
      </c>
      <c r="N2929">
        <v>-1.136538E-2</v>
      </c>
      <c r="O2929">
        <v>2.8234169999999999E-3</v>
      </c>
      <c r="P2929">
        <v>-0.98179989999999995</v>
      </c>
      <c r="Q2929">
        <v>0.15242349999999999</v>
      </c>
      <c r="R2929">
        <v>-0.113299</v>
      </c>
      <c r="S2929">
        <v>-3.0573429999999999</v>
      </c>
      <c r="T2929">
        <v>-2.2813079999999999E-2</v>
      </c>
      <c r="U2929">
        <v>-1.5075679999999999E-2</v>
      </c>
      <c r="V2929">
        <v>-0.11610760000000001</v>
      </c>
      <c r="W2929">
        <v>0.163542299999999</v>
      </c>
      <c r="X2929">
        <v>0.97968</v>
      </c>
      <c r="Y2929">
        <v>-7.7538950000000002E-3</v>
      </c>
      <c r="Z2929" s="1">
        <v>-6.1971320000000002E-5</v>
      </c>
      <c r="AA2929">
        <v>0.99997000000000003</v>
      </c>
      <c r="AB2929">
        <v>37</v>
      </c>
      <c r="AC2929">
        <v>-143.1583</v>
      </c>
      <c r="AD2929">
        <v>-1.06982379999999</v>
      </c>
      <c r="AE2929">
        <v>-0.70749999999998103</v>
      </c>
      <c r="AF2929">
        <v>-1.11165671507206</v>
      </c>
      <c r="AG2929">
        <v>-1.06982379999999</v>
      </c>
      <c r="AH2929">
        <v>143.14773760103</v>
      </c>
      <c r="AI2929">
        <v>90.428182801033699</v>
      </c>
      <c r="AJ2929">
        <v>90.444938626053002</v>
      </c>
      <c r="AK2929">
        <v>143.156051509912</v>
      </c>
      <c r="AL2929">
        <v>80.587435639790996</v>
      </c>
      <c r="AM2929">
        <v>96.758929892743893</v>
      </c>
      <c r="AN2929">
        <v>0.99999998053352401</v>
      </c>
    </row>
    <row r="2930" spans="1:40" x14ac:dyDescent="0.25">
      <c r="A2930" t="str">
        <f>"20190304154815593"</f>
        <v>20190304154815593</v>
      </c>
      <c r="B2930" t="str">
        <f>"1551685695589874"</f>
        <v>1551685695589874</v>
      </c>
      <c r="C2930" t="s">
        <v>40</v>
      </c>
      <c r="D2930">
        <v>4.0728710000000001</v>
      </c>
      <c r="E2930">
        <v>0.53913040000000001</v>
      </c>
      <c r="F2930" t="s">
        <v>54</v>
      </c>
      <c r="G2930">
        <v>-499.971</v>
      </c>
      <c r="H2930">
        <v>6.3228519999999996E-2</v>
      </c>
      <c r="I2930">
        <v>284.76389999999998</v>
      </c>
      <c r="J2930">
        <v>-356.99869999999999</v>
      </c>
      <c r="K2930">
        <v>1.1102289999999999</v>
      </c>
      <c r="L2930">
        <v>285.45749999999998</v>
      </c>
      <c r="M2930">
        <v>-0.99993160000000003</v>
      </c>
      <c r="N2930">
        <v>-1.1368899999999999E-2</v>
      </c>
      <c r="O2930">
        <v>2.7668300000000001E-3</v>
      </c>
      <c r="P2930">
        <v>-0.98175639999999997</v>
      </c>
      <c r="Q2930">
        <v>0.1526815</v>
      </c>
      <c r="R2930">
        <v>-0.1133261</v>
      </c>
      <c r="S2930">
        <v>-3.057404</v>
      </c>
      <c r="T2930">
        <v>-2.235854E-2</v>
      </c>
      <c r="U2930">
        <v>-1.480103E-2</v>
      </c>
      <c r="V2930">
        <v>-0.1160786</v>
      </c>
      <c r="W2930">
        <v>0.16380339999999999</v>
      </c>
      <c r="X2930">
        <v>0.97963979999999995</v>
      </c>
      <c r="Y2930">
        <v>-7.6074030000000004E-3</v>
      </c>
      <c r="Z2930" s="1">
        <v>-5.9839010000000002E-5</v>
      </c>
      <c r="AA2930">
        <v>0.99997100000000005</v>
      </c>
      <c r="AB2930">
        <v>37</v>
      </c>
      <c r="AC2930">
        <v>-142.97229999999999</v>
      </c>
      <c r="AD2930">
        <v>-1.0470004799999999</v>
      </c>
      <c r="AE2930">
        <v>-0.69360000000000299</v>
      </c>
      <c r="AF2930">
        <v>-1.0891445316120201</v>
      </c>
      <c r="AG2930">
        <v>-1.0470004799999999</v>
      </c>
      <c r="AH2930">
        <v>142.962166914097</v>
      </c>
      <c r="AI2930">
        <v>90.419592796938304</v>
      </c>
      <c r="AJ2930">
        <v>90.4364943469227</v>
      </c>
      <c r="AK2930">
        <v>142.970149382974</v>
      </c>
      <c r="AL2930">
        <v>80.572271080523706</v>
      </c>
      <c r="AM2930">
        <v>96.757532061586801</v>
      </c>
      <c r="AN2930">
        <v>0.99999996648677902</v>
      </c>
    </row>
    <row r="2931" spans="1:40" x14ac:dyDescent="0.25">
      <c r="A2931" t="str">
        <f>"20190304154815605"</f>
        <v>20190304154815605</v>
      </c>
      <c r="B2931" t="str">
        <f>"1551685695599634"</f>
        <v>1551685695599634</v>
      </c>
      <c r="C2931" t="s">
        <v>40</v>
      </c>
      <c r="D2931">
        <v>4.0893560000000004</v>
      </c>
      <c r="E2931">
        <v>0.53906639999999995</v>
      </c>
      <c r="F2931" t="s">
        <v>54</v>
      </c>
      <c r="G2931">
        <v>-499.95780000000002</v>
      </c>
      <c r="H2931">
        <v>4.1274060000000001E-2</v>
      </c>
      <c r="I2931">
        <v>284.70839999999998</v>
      </c>
      <c r="J2931">
        <v>-357.19369999999998</v>
      </c>
      <c r="K2931">
        <v>1.1102270000000001</v>
      </c>
      <c r="L2931">
        <v>285.45800000000003</v>
      </c>
      <c r="M2931">
        <v>-0.99993169999999998</v>
      </c>
      <c r="N2931">
        <v>-1.137211E-2</v>
      </c>
      <c r="O2931">
        <v>2.7107260000000001E-3</v>
      </c>
      <c r="P2931">
        <v>-0.98174660000000002</v>
      </c>
      <c r="Q2931">
        <v>0.15287010000000001</v>
      </c>
      <c r="R2931">
        <v>-0.1131568</v>
      </c>
      <c r="S2931">
        <v>-3.0574650000000001</v>
      </c>
      <c r="T2931">
        <v>-2.2861719999999999E-2</v>
      </c>
      <c r="U2931">
        <v>-1.6021730000000001E-2</v>
      </c>
      <c r="V2931">
        <v>-0.1158549</v>
      </c>
      <c r="W2931">
        <v>0.16399530000000001</v>
      </c>
      <c r="X2931">
        <v>0.97963420000000001</v>
      </c>
      <c r="Y2931">
        <v>-7.950393E-3</v>
      </c>
      <c r="Z2931" s="1">
        <v>-6.4374010000000005E-5</v>
      </c>
      <c r="AA2931">
        <v>0.99996839999999998</v>
      </c>
      <c r="AB2931">
        <v>37</v>
      </c>
      <c r="AC2931">
        <v>-142.76410000000001</v>
      </c>
      <c r="AD2931">
        <v>-1.06895294</v>
      </c>
      <c r="AE2931">
        <v>-0.74959999999998606</v>
      </c>
      <c r="AF2931">
        <v>-1.1365528975227599</v>
      </c>
      <c r="AG2931">
        <v>-1.06895294</v>
      </c>
      <c r="AH2931">
        <v>142.75354029889999</v>
      </c>
      <c r="AI2931">
        <v>90.429014973647398</v>
      </c>
      <c r="AJ2931">
        <v>90.456158973057299</v>
      </c>
      <c r="AK2931">
        <v>142.76206667300099</v>
      </c>
      <c r="AL2931">
        <v>80.561125530243004</v>
      </c>
      <c r="AM2931">
        <v>96.744667620062401</v>
      </c>
      <c r="AN2931">
        <v>0.99999999104286996</v>
      </c>
    </row>
    <row r="2932" spans="1:40" x14ac:dyDescent="0.25">
      <c r="A2932" t="str">
        <f>"20190304154815618"</f>
        <v>20190304154815618</v>
      </c>
      <c r="B2932" t="str">
        <f>"1551685695609394"</f>
        <v>1551685695609394</v>
      </c>
      <c r="C2932" t="s">
        <v>40</v>
      </c>
      <c r="D2932">
        <v>4.0786239999999996</v>
      </c>
      <c r="E2932">
        <v>0.53906639999999995</v>
      </c>
      <c r="F2932" t="s">
        <v>54</v>
      </c>
      <c r="G2932">
        <v>-499.96210000000002</v>
      </c>
      <c r="H2932">
        <v>5.4305150000000003E-2</v>
      </c>
      <c r="I2932">
        <v>284.69839999999999</v>
      </c>
      <c r="J2932">
        <v>-357.4015</v>
      </c>
      <c r="K2932">
        <v>1.1102320000000001</v>
      </c>
      <c r="L2932">
        <v>285.45850000000002</v>
      </c>
      <c r="M2932">
        <v>-0.99993189999999998</v>
      </c>
      <c r="N2932">
        <v>-1.1375379999999999E-2</v>
      </c>
      <c r="O2932">
        <v>2.6509250000000002E-3</v>
      </c>
      <c r="P2932">
        <v>-0.98180330000000005</v>
      </c>
      <c r="Q2932">
        <v>0.15256539999999999</v>
      </c>
      <c r="R2932">
        <v>-0.1130767</v>
      </c>
      <c r="S2932">
        <v>-3.0574340000000002</v>
      </c>
      <c r="T2932">
        <v>-2.261293E-2</v>
      </c>
      <c r="U2932">
        <v>-1.6265870000000002E-2</v>
      </c>
      <c r="V2932">
        <v>-0.115715899999999</v>
      </c>
      <c r="W2932">
        <v>0.16369420000000001</v>
      </c>
      <c r="X2932">
        <v>0.97970100000000004</v>
      </c>
      <c r="Y2932">
        <v>-7.970497E-3</v>
      </c>
      <c r="Z2932" s="1">
        <v>-6.4261280000000006E-5</v>
      </c>
      <c r="AA2932">
        <v>0.99996819999999997</v>
      </c>
      <c r="AB2932">
        <v>37</v>
      </c>
      <c r="AC2932">
        <v>-142.56059999999999</v>
      </c>
      <c r="AD2932">
        <v>-1.0559268500000001</v>
      </c>
      <c r="AE2932">
        <v>-0.76010000000002198</v>
      </c>
      <c r="AF2932">
        <v>-1.13797676774314</v>
      </c>
      <c r="AG2932">
        <v>-1.0559268500000001</v>
      </c>
      <c r="AH2932">
        <v>142.550263604496</v>
      </c>
      <c r="AI2932">
        <v>90.424391483860006</v>
      </c>
      <c r="AJ2932">
        <v>90.457381693514506</v>
      </c>
      <c r="AK2932">
        <v>142.55871641659701</v>
      </c>
      <c r="AL2932">
        <v>80.578613754182598</v>
      </c>
      <c r="AM2932">
        <v>96.736194830907095</v>
      </c>
      <c r="AN2932">
        <v>1.0000000050137201</v>
      </c>
    </row>
    <row r="2933" spans="1:40" x14ac:dyDescent="0.25">
      <c r="A2933" t="str">
        <f>"20190304154815630"</f>
        <v>20190304154815630</v>
      </c>
      <c r="B2933" t="str">
        <f>"1551685695620131"</f>
        <v>1551685695620131</v>
      </c>
      <c r="C2933" t="s">
        <v>40</v>
      </c>
      <c r="D2933">
        <v>4.0836969999999999</v>
      </c>
      <c r="E2933">
        <v>0.53899629999999998</v>
      </c>
      <c r="F2933" t="s">
        <v>54</v>
      </c>
      <c r="G2933">
        <v>-499.95780000000002</v>
      </c>
      <c r="H2933">
        <v>1.208504E-2</v>
      </c>
      <c r="I2933">
        <v>284.71719999999999</v>
      </c>
      <c r="J2933">
        <v>-357.6266</v>
      </c>
      <c r="K2933">
        <v>1.110231</v>
      </c>
      <c r="L2933">
        <v>285.459</v>
      </c>
      <c r="M2933">
        <v>-0.99993189999999998</v>
      </c>
      <c r="N2933">
        <v>-1.137876E-2</v>
      </c>
      <c r="O2933">
        <v>2.586769E-3</v>
      </c>
      <c r="P2933">
        <v>-0.98181949999999996</v>
      </c>
      <c r="Q2933">
        <v>0.15253029999999901</v>
      </c>
      <c r="R2933">
        <v>-0.1129829</v>
      </c>
      <c r="S2933">
        <v>-3.0574340000000002</v>
      </c>
      <c r="T2933">
        <v>-2.3552179999999999E-2</v>
      </c>
      <c r="U2933">
        <v>-1.5899659999999999E-2</v>
      </c>
      <c r="V2933">
        <v>-0.1155591</v>
      </c>
      <c r="W2933">
        <v>0.16366269999999999</v>
      </c>
      <c r="X2933">
        <v>0.97972479999999995</v>
      </c>
      <c r="Y2933">
        <v>-7.78655199999999E-3</v>
      </c>
      <c r="Z2933" s="1">
        <v>-6.4785209999999998E-5</v>
      </c>
      <c r="AA2933">
        <v>0.99996969999999996</v>
      </c>
      <c r="AB2933">
        <v>37</v>
      </c>
      <c r="AC2933">
        <v>-142.3312</v>
      </c>
      <c r="AD2933">
        <v>-1.0981459600000001</v>
      </c>
      <c r="AE2933">
        <v>-0.74180000000001201</v>
      </c>
      <c r="AF2933">
        <v>-1.10993322620709</v>
      </c>
      <c r="AG2933">
        <v>-1.0981459600000001</v>
      </c>
      <c r="AH2933">
        <v>142.32033296458201</v>
      </c>
      <c r="AI2933">
        <v>90.442072932467696</v>
      </c>
      <c r="AJ2933">
        <v>90.446831445748899</v>
      </c>
      <c r="AK2933">
        <v>142.32889745749301</v>
      </c>
      <c r="AL2933">
        <v>80.580443523048103</v>
      </c>
      <c r="AM2933">
        <v>96.726988788268798</v>
      </c>
      <c r="AN2933">
        <v>1.0000000343495601</v>
      </c>
    </row>
    <row r="2934" spans="1:40" x14ac:dyDescent="0.25">
      <c r="A2934" t="str">
        <f>"20190304154815644"</f>
        <v>20190304154815644</v>
      </c>
      <c r="B2934" t="str">
        <f>"1551685695639651"</f>
        <v>1551685695639651</v>
      </c>
      <c r="C2934" t="s">
        <v>40</v>
      </c>
      <c r="D2934">
        <v>4.0806069999999997</v>
      </c>
      <c r="E2934">
        <v>0.53886009999999995</v>
      </c>
      <c r="F2934" t="s">
        <v>54</v>
      </c>
      <c r="G2934">
        <v>-499.05119999999999</v>
      </c>
      <c r="H2934" s="1">
        <v>2.3674509999999999E-6</v>
      </c>
      <c r="I2934">
        <v>284.71230000000003</v>
      </c>
      <c r="J2934">
        <v>-357.84390000000002</v>
      </c>
      <c r="K2934">
        <v>1.110231</v>
      </c>
      <c r="L2934">
        <v>285.45949999999999</v>
      </c>
      <c r="M2934">
        <v>-0.99993209999999999</v>
      </c>
      <c r="N2934">
        <v>-1.1381789999999999E-2</v>
      </c>
      <c r="O2934">
        <v>2.5241109999999999E-3</v>
      </c>
      <c r="P2934">
        <v>-0.98178620000000005</v>
      </c>
      <c r="Q2934">
        <v>0.1525434</v>
      </c>
      <c r="R2934">
        <v>-0.1132552</v>
      </c>
      <c r="S2934">
        <v>-3.0574340000000002</v>
      </c>
      <c r="T2934">
        <v>-2.400184E-2</v>
      </c>
      <c r="U2934">
        <v>-1.61438E-2</v>
      </c>
      <c r="V2934">
        <v>-0.1157704</v>
      </c>
      <c r="W2934">
        <v>0.16367870000000001</v>
      </c>
      <c r="X2934">
        <v>0.97969720000000005</v>
      </c>
      <c r="Y2934">
        <v>-7.8037230000000003E-3</v>
      </c>
      <c r="Z2934" s="1">
        <v>-6.6128619999999895E-5</v>
      </c>
      <c r="AA2934">
        <v>0.99996949999999996</v>
      </c>
      <c r="AB2934">
        <v>37</v>
      </c>
      <c r="AC2934">
        <v>-141.20729999999901</v>
      </c>
      <c r="AD2934">
        <v>-1.1102286325489901</v>
      </c>
      <c r="AE2934">
        <v>-0.747199999999963</v>
      </c>
      <c r="AF2934">
        <v>-1.10357536754414</v>
      </c>
      <c r="AG2934">
        <v>-1.1102286325489901</v>
      </c>
      <c r="AH2934">
        <v>141.196235841716</v>
      </c>
      <c r="AI2934">
        <v>90.450494738006995</v>
      </c>
      <c r="AJ2934">
        <v>90.447808846064007</v>
      </c>
      <c r="AK2934">
        <v>141.20491316550499</v>
      </c>
      <c r="AL2934">
        <v>80.579514436992</v>
      </c>
      <c r="AM2934">
        <v>96.739364175832904</v>
      </c>
      <c r="AN2934">
        <v>1.00000005301884</v>
      </c>
    </row>
    <row r="2935" spans="1:40" x14ac:dyDescent="0.25">
      <c r="A2935" t="str">
        <f>"20190304154815661"</f>
        <v>20190304154815661</v>
      </c>
      <c r="B2935" t="str">
        <f>"1551685695649410"</f>
        <v>1551685695649410</v>
      </c>
      <c r="C2935" t="s">
        <v>40</v>
      </c>
      <c r="D2935">
        <v>4.124708</v>
      </c>
      <c r="E2935">
        <v>0.53878680000000001</v>
      </c>
      <c r="F2935" t="s">
        <v>54</v>
      </c>
      <c r="G2935">
        <v>-497.85950000000003</v>
      </c>
      <c r="H2935" s="1">
        <v>2.5713459999999998E-6</v>
      </c>
      <c r="I2935">
        <v>284.6266</v>
      </c>
      <c r="J2935">
        <v>-358.11869999999999</v>
      </c>
      <c r="K2935">
        <v>1.1102350000000001</v>
      </c>
      <c r="L2935">
        <v>285.46010000000001</v>
      </c>
      <c r="M2935">
        <v>-0.99993240000000005</v>
      </c>
      <c r="N2935">
        <v>-1.138545E-2</v>
      </c>
      <c r="O2935">
        <v>2.444997E-3</v>
      </c>
      <c r="P2935">
        <v>-0.98181130000000005</v>
      </c>
      <c r="Q2935">
        <v>0.15229619999999999</v>
      </c>
      <c r="R2935">
        <v>-0.1133706</v>
      </c>
      <c r="S2935">
        <v>-3.057312</v>
      </c>
      <c r="T2935">
        <v>-2.4242400000000001E-2</v>
      </c>
      <c r="U2935">
        <v>-1.818848E-2</v>
      </c>
      <c r="V2935">
        <v>-0.1158078</v>
      </c>
      <c r="W2935">
        <v>0.1634351</v>
      </c>
      <c r="X2935">
        <v>0.97973339999999998</v>
      </c>
      <c r="Y2935">
        <v>-8.3935039999999995E-3</v>
      </c>
      <c r="Z2935" s="1">
        <v>-7.2610769999999997E-5</v>
      </c>
      <c r="AA2935">
        <v>0.99996479999999999</v>
      </c>
      <c r="AB2935">
        <v>37</v>
      </c>
      <c r="AC2935">
        <v>-139.74080000000001</v>
      </c>
      <c r="AD2935">
        <v>-1.110232428654</v>
      </c>
      <c r="AE2935">
        <v>-0.83350000000001501</v>
      </c>
      <c r="AF2935">
        <v>-1.17511124900604</v>
      </c>
      <c r="AG2935">
        <v>-1.110232428654</v>
      </c>
      <c r="AH2935">
        <v>139.72952451697199</v>
      </c>
      <c r="AI2935">
        <v>90.455222651133397</v>
      </c>
      <c r="AJ2935">
        <v>90.481840384240201</v>
      </c>
      <c r="AK2935">
        <v>139.738876209279</v>
      </c>
      <c r="AL2935">
        <v>80.593661764324807</v>
      </c>
      <c r="AM2935">
        <v>96.741274514787804</v>
      </c>
      <c r="AN2935">
        <v>1.0000000067642001</v>
      </c>
    </row>
    <row r="2936" spans="1:40" x14ac:dyDescent="0.25">
      <c r="A2936" t="str">
        <f>"20190304154815675"</f>
        <v>20190304154815675</v>
      </c>
      <c r="B2936" t="str">
        <f>"1551685695669906"</f>
        <v>1551685695669906</v>
      </c>
      <c r="C2936" t="s">
        <v>40</v>
      </c>
      <c r="D2936">
        <v>4.1222079999999997</v>
      </c>
      <c r="E2936">
        <v>0.53871659999999999</v>
      </c>
      <c r="F2936" t="s">
        <v>54</v>
      </c>
      <c r="G2936">
        <v>-491.94909999999999</v>
      </c>
      <c r="H2936" s="1">
        <v>3.6199919999999998E-6</v>
      </c>
      <c r="I2936">
        <v>284.62920000000003</v>
      </c>
      <c r="J2936">
        <v>-358.35789999999997</v>
      </c>
      <c r="K2936">
        <v>1.1102369999999999</v>
      </c>
      <c r="L2936">
        <v>285.46069999999997</v>
      </c>
      <c r="M2936">
        <v>-0.99993240000000005</v>
      </c>
      <c r="N2936">
        <v>-1.1388479999999999E-2</v>
      </c>
      <c r="O2936">
        <v>2.3764350000000001E-3</v>
      </c>
      <c r="P2936">
        <v>-0.98180829999999997</v>
      </c>
      <c r="Q2936">
        <v>0.15209449999999999</v>
      </c>
      <c r="R2936">
        <v>-0.1136664</v>
      </c>
      <c r="S2936">
        <v>-3.0572810000000001</v>
      </c>
      <c r="T2936">
        <v>-2.5362610000000001E-2</v>
      </c>
      <c r="U2936">
        <v>-1.8981930000000001E-2</v>
      </c>
      <c r="V2936">
        <v>-0.116036</v>
      </c>
      <c r="W2936">
        <v>0.16323650000000001</v>
      </c>
      <c r="X2936">
        <v>0.97973949999999999</v>
      </c>
      <c r="Y2936">
        <v>-8.5844579999999997E-3</v>
      </c>
      <c r="Z2936" s="1">
        <v>-7.7141729999999996E-5</v>
      </c>
      <c r="AA2936">
        <v>0.99996320000000005</v>
      </c>
      <c r="AB2936">
        <v>37</v>
      </c>
      <c r="AC2936">
        <v>-133.59119999999999</v>
      </c>
      <c r="AD2936">
        <v>-1.110233380008</v>
      </c>
      <c r="AE2936">
        <v>-0.83149999999994795</v>
      </c>
      <c r="AF2936">
        <v>-1.14890967190538</v>
      </c>
      <c r="AG2936">
        <v>-1.110233380008</v>
      </c>
      <c r="AH2936">
        <v>133.579620958091</v>
      </c>
      <c r="AI2936">
        <v>90.476179444316898</v>
      </c>
      <c r="AJ2936">
        <v>90.492785139059606</v>
      </c>
      <c r="AK2936">
        <v>133.58917526094501</v>
      </c>
      <c r="AL2936">
        <v>80.605195516670904</v>
      </c>
      <c r="AM2936">
        <v>96.754393961077696</v>
      </c>
      <c r="AN2936">
        <v>0.99999999804424999</v>
      </c>
    </row>
    <row r="2937" spans="1:40" x14ac:dyDescent="0.25">
      <c r="A2937" t="str">
        <f>"20190304154815687"</f>
        <v>20190304154815687</v>
      </c>
      <c r="B2937" t="str">
        <f>"1551685695679667"</f>
        <v>1551685695679667</v>
      </c>
      <c r="C2937" t="s">
        <v>40</v>
      </c>
      <c r="D2937">
        <v>4.1295900000000003</v>
      </c>
      <c r="E2937">
        <v>0.53864160000000005</v>
      </c>
      <c r="F2937" t="s">
        <v>54</v>
      </c>
      <c r="G2937">
        <v>-483.762</v>
      </c>
      <c r="H2937" s="1">
        <v>2.8734439999999998E-6</v>
      </c>
      <c r="I2937">
        <v>284.62079999999997</v>
      </c>
      <c r="J2937">
        <v>-358.56819999999999</v>
      </c>
      <c r="K2937">
        <v>1.1102379999999901</v>
      </c>
      <c r="L2937">
        <v>285.46109999999999</v>
      </c>
      <c r="M2937">
        <v>-0.99993259999999995</v>
      </c>
      <c r="N2937">
        <v>-1.1391E-2</v>
      </c>
      <c r="O2937">
        <v>2.3159819999999998E-3</v>
      </c>
      <c r="P2937">
        <v>-0.9818095</v>
      </c>
      <c r="Q2937">
        <v>0.1522067</v>
      </c>
      <c r="R2937">
        <v>-0.1135066</v>
      </c>
      <c r="S2937">
        <v>-3.0574340000000002</v>
      </c>
      <c r="T2937">
        <v>-2.706826E-2</v>
      </c>
      <c r="U2937">
        <v>-2.0477289999999999E-2</v>
      </c>
      <c r="V2937">
        <v>-0.1158174</v>
      </c>
      <c r="W2937">
        <v>0.16335179999999999</v>
      </c>
      <c r="X2937">
        <v>0.97974620000000001</v>
      </c>
      <c r="Y2937">
        <v>-9.0126400000000006E-3</v>
      </c>
      <c r="Z2937" s="1">
        <v>-8.5351780000000004E-5</v>
      </c>
      <c r="AA2937">
        <v>0.99995940000000005</v>
      </c>
      <c r="AB2937">
        <v>37</v>
      </c>
      <c r="AC2937">
        <v>-125.193799999999</v>
      </c>
      <c r="AD2937">
        <v>-1.11023512655599</v>
      </c>
      <c r="AE2937">
        <v>-0.84030000000001304</v>
      </c>
      <c r="AF2937">
        <v>-1.13017422223777</v>
      </c>
      <c r="AG2937">
        <v>-1.11023512655599</v>
      </c>
      <c r="AH2937">
        <v>125.181673640574</v>
      </c>
      <c r="AI2937">
        <v>90.508121718150903</v>
      </c>
      <c r="AJ2937">
        <v>90.517267838702907</v>
      </c>
      <c r="AK2937">
        <v>125.191698332055</v>
      </c>
      <c r="AL2937">
        <v>80.598499913864202</v>
      </c>
      <c r="AM2937">
        <v>96.741740927001899</v>
      </c>
      <c r="AN2937">
        <v>1.0000000485602101</v>
      </c>
    </row>
    <row r="2938" spans="1:40" x14ac:dyDescent="0.25">
      <c r="A2938" t="str">
        <f>"20190304154815699"</f>
        <v>20190304154815699</v>
      </c>
      <c r="B2938" t="str">
        <f>"1551685695689427"</f>
        <v>1551685695689427</v>
      </c>
      <c r="C2938" t="s">
        <v>40</v>
      </c>
      <c r="D2938">
        <v>4.1361270000000001</v>
      </c>
      <c r="E2938">
        <v>0.5385974</v>
      </c>
      <c r="F2938" t="s">
        <v>54</v>
      </c>
      <c r="G2938">
        <v>-484.14359999999999</v>
      </c>
      <c r="H2938" s="1">
        <v>2.9409800000000002E-6</v>
      </c>
      <c r="I2938">
        <v>284.61880000000002</v>
      </c>
      <c r="J2938">
        <v>-358.76089999999999</v>
      </c>
      <c r="K2938">
        <v>1.1102399999999999</v>
      </c>
      <c r="L2938">
        <v>285.4615</v>
      </c>
      <c r="M2938">
        <v>-0.99993259999999995</v>
      </c>
      <c r="N2938">
        <v>-1.13945E-2</v>
      </c>
      <c r="O2938">
        <v>2.2605310000000001E-3</v>
      </c>
      <c r="P2938">
        <v>-0.98181649999999998</v>
      </c>
      <c r="Q2938">
        <v>0.15199509999999999</v>
      </c>
      <c r="R2938">
        <v>-0.1137281</v>
      </c>
      <c r="S2938">
        <v>-3.057404</v>
      </c>
      <c r="T2938">
        <v>-2.7031059999999999E-2</v>
      </c>
      <c r="U2938">
        <v>-2.0507810000000001E-2</v>
      </c>
      <c r="V2938">
        <v>-0.11598410000000001</v>
      </c>
      <c r="W2938">
        <v>0.16314339999999999</v>
      </c>
      <c r="X2938">
        <v>0.9797612</v>
      </c>
      <c r="Y2938">
        <v>-8.9672409999999904E-3</v>
      </c>
      <c r="Z2938" s="1">
        <v>-8.4959319999999898E-5</v>
      </c>
      <c r="AA2938">
        <v>0.99995979999999995</v>
      </c>
      <c r="AB2938">
        <v>37</v>
      </c>
      <c r="AC2938">
        <v>-125.3827</v>
      </c>
      <c r="AD2938">
        <v>-1.1102370590199999</v>
      </c>
      <c r="AE2938">
        <v>-0.84269999999997902</v>
      </c>
      <c r="AF2938">
        <v>-1.12605941986059</v>
      </c>
      <c r="AG2938">
        <v>-1.1102370590199999</v>
      </c>
      <c r="AH2938">
        <v>125.370645009131</v>
      </c>
      <c r="AI2938">
        <v>90.507356960709402</v>
      </c>
      <c r="AJ2938">
        <v>90.514607844139206</v>
      </c>
      <c r="AK2938">
        <v>125.380617585613</v>
      </c>
      <c r="AL2938">
        <v>80.610602674806103</v>
      </c>
      <c r="AM2938">
        <v>96.751252631586794</v>
      </c>
      <c r="AN2938">
        <v>1.0000000447209001</v>
      </c>
    </row>
    <row r="2939" spans="1:40" x14ac:dyDescent="0.25">
      <c r="A2939" t="str">
        <f>"20190304154815717"</f>
        <v>20190304154815717</v>
      </c>
      <c r="B2939" t="str">
        <f>"1551685695710266"</f>
        <v>1551685695710266</v>
      </c>
      <c r="C2939" t="s">
        <v>40</v>
      </c>
      <c r="D2939">
        <v>4.1196229999999998</v>
      </c>
      <c r="E2939">
        <v>0.53847219999999996</v>
      </c>
      <c r="F2939" t="s">
        <v>54</v>
      </c>
      <c r="G2939">
        <v>-480.51080000000002</v>
      </c>
      <c r="H2939" s="1">
        <v>2.2955560000000002E-6</v>
      </c>
      <c r="I2939">
        <v>284.60719999999998</v>
      </c>
      <c r="J2939">
        <v>-359.04840000000002</v>
      </c>
      <c r="K2939">
        <v>1.110244</v>
      </c>
      <c r="L2939">
        <v>285.46210000000002</v>
      </c>
      <c r="M2939">
        <v>-0.99993279999999995</v>
      </c>
      <c r="N2939">
        <v>-1.1401420000000001E-2</v>
      </c>
      <c r="O2939">
        <v>2.1778219999999998E-3</v>
      </c>
      <c r="P2939">
        <v>-0.98171129999999995</v>
      </c>
      <c r="Q2939">
        <v>0.15261920000000001</v>
      </c>
      <c r="R2939">
        <v>-0.1138019</v>
      </c>
      <c r="S2939">
        <v>-3.0573730000000001</v>
      </c>
      <c r="T2939">
        <v>-2.7880189999999999E-2</v>
      </c>
      <c r="U2939">
        <v>-2.1453860000000002E-2</v>
      </c>
      <c r="V2939">
        <v>-0.11597639999999999</v>
      </c>
      <c r="W2939">
        <v>0.16377329999999901</v>
      </c>
      <c r="X2939">
        <v>0.979657</v>
      </c>
      <c r="Y2939">
        <v>-9.1939429999999996E-3</v>
      </c>
      <c r="Z2939" s="1">
        <v>-8.9363269999999997E-5</v>
      </c>
      <c r="AA2939">
        <v>0.99995769999999995</v>
      </c>
      <c r="AB2939">
        <v>37</v>
      </c>
      <c r="AC2939">
        <v>-121.4624</v>
      </c>
      <c r="AD2939">
        <v>-1.1102417044440001</v>
      </c>
      <c r="AE2939">
        <v>-0.85490000000004296</v>
      </c>
      <c r="AF2939">
        <v>-1.1193450913091001</v>
      </c>
      <c r="AG2939">
        <v>-1.1102417044440001</v>
      </c>
      <c r="AH2939">
        <v>121.450103211014</v>
      </c>
      <c r="AI2939">
        <v>90.523735171882706</v>
      </c>
      <c r="AJ2939">
        <v>90.528051702089599</v>
      </c>
      <c r="AK2939">
        <v>121.460335665771</v>
      </c>
      <c r="AL2939">
        <v>80.574019881177605</v>
      </c>
      <c r="AM2939">
        <v>96.751519976711904</v>
      </c>
      <c r="AN2939">
        <v>1.0000000283994199</v>
      </c>
    </row>
    <row r="2940" spans="1:40" x14ac:dyDescent="0.25">
      <c r="A2940" t="str">
        <f>"20190304154815728"</f>
        <v>20190304154815728</v>
      </c>
      <c r="B2940" t="str">
        <f>"1551685695720027"</f>
        <v>1551685695720027</v>
      </c>
      <c r="C2940" t="s">
        <v>40</v>
      </c>
      <c r="D2940">
        <v>4.1628080000000001</v>
      </c>
      <c r="E2940">
        <v>0.53844650000000005</v>
      </c>
      <c r="F2940" t="s">
        <v>54</v>
      </c>
      <c r="G2940">
        <v>-485.70069999999998</v>
      </c>
      <c r="H2940" s="1">
        <v>3.207683E-6</v>
      </c>
      <c r="I2940">
        <v>284.5102</v>
      </c>
      <c r="J2940">
        <v>-359.2602</v>
      </c>
      <c r="K2940">
        <v>1.1102449999999999</v>
      </c>
      <c r="L2940">
        <v>285.46249999999998</v>
      </c>
      <c r="M2940">
        <v>-0.99993279999999995</v>
      </c>
      <c r="N2940">
        <v>-1.1408E-2</v>
      </c>
      <c r="O2940">
        <v>2.1171660000000002E-3</v>
      </c>
      <c r="P2940">
        <v>-0.98166439999999999</v>
      </c>
      <c r="Q2940">
        <v>0.15289249999999999</v>
      </c>
      <c r="R2940">
        <v>-0.1138388</v>
      </c>
      <c r="S2940">
        <v>-3.057404</v>
      </c>
      <c r="T2940">
        <v>-2.6801350000000002E-2</v>
      </c>
      <c r="U2940">
        <v>-2.2979739999999999E-2</v>
      </c>
      <c r="V2940">
        <v>-0.11595370000000001</v>
      </c>
      <c r="W2940">
        <v>0.1640527</v>
      </c>
      <c r="X2940">
        <v>0.97961290000000001</v>
      </c>
      <c r="Y2940">
        <v>-9.6322519999999991E-3</v>
      </c>
      <c r="Z2940" s="1">
        <v>-9.1569730000000001E-5</v>
      </c>
      <c r="AA2940">
        <v>0.9999536</v>
      </c>
      <c r="AB2940">
        <v>37</v>
      </c>
      <c r="AC2940">
        <v>-126.4405</v>
      </c>
      <c r="AD2940">
        <v>-1.110241792317</v>
      </c>
      <c r="AE2940">
        <v>-0.95229999999997905</v>
      </c>
      <c r="AF2940">
        <v>-1.2199167312693</v>
      </c>
      <c r="AG2940">
        <v>-1.110241792317</v>
      </c>
      <c r="AH2940">
        <v>126.428453008422</v>
      </c>
      <c r="AI2940">
        <v>90.503111218006893</v>
      </c>
      <c r="AJ2940">
        <v>90.552833711903205</v>
      </c>
      <c r="AK2940">
        <v>126.439212919772</v>
      </c>
      <c r="AL2940">
        <v>80.557791602110896</v>
      </c>
      <c r="AM2940">
        <v>96.750511775758696</v>
      </c>
      <c r="AN2940">
        <v>0.999999991383695</v>
      </c>
    </row>
    <row r="2941" spans="1:40" x14ac:dyDescent="0.25">
      <c r="A2941" t="str">
        <f>"20190304154815741"</f>
        <v>20190304154815741</v>
      </c>
      <c r="B2941" t="str">
        <f>"1551685695729787"</f>
        <v>1551685695729787</v>
      </c>
      <c r="C2941" t="s">
        <v>40</v>
      </c>
      <c r="D2941">
        <v>4.292103</v>
      </c>
      <c r="E2941">
        <v>0.53844650000000005</v>
      </c>
      <c r="F2941" t="s">
        <v>54</v>
      </c>
      <c r="G2941">
        <v>-489.33890000000002</v>
      </c>
      <c r="H2941" s="1">
        <v>3.8496819999999997E-6</v>
      </c>
      <c r="I2941">
        <v>284.47179999999997</v>
      </c>
      <c r="J2941">
        <v>-359.46570000000003</v>
      </c>
      <c r="K2941">
        <v>1.1102479999999999</v>
      </c>
      <c r="L2941">
        <v>285.46289999999999</v>
      </c>
      <c r="M2941">
        <v>-0.99993279999999995</v>
      </c>
      <c r="N2941">
        <v>-1.141496E-2</v>
      </c>
      <c r="O2941">
        <v>2.057999E-3</v>
      </c>
      <c r="P2941">
        <v>-0.98164220000000002</v>
      </c>
      <c r="Q2941">
        <v>0.15276479999999901</v>
      </c>
      <c r="R2941">
        <v>-0.1142006</v>
      </c>
      <c r="S2941">
        <v>-3.057404</v>
      </c>
      <c r="T2941">
        <v>-2.609539E-2</v>
      </c>
      <c r="U2941">
        <v>-2.3284909999999999E-2</v>
      </c>
      <c r="V2941">
        <v>-0.11625779999999999</v>
      </c>
      <c r="W2941">
        <v>0.16393139999999901</v>
      </c>
      <c r="X2941">
        <v>0.97959719999999995</v>
      </c>
      <c r="Y2941">
        <v>-9.6729160000000002E-3</v>
      </c>
      <c r="Z2941" s="1">
        <v>-9.0563730000000004E-5</v>
      </c>
      <c r="AA2941">
        <v>0.99995319999999999</v>
      </c>
      <c r="AB2941">
        <v>37</v>
      </c>
      <c r="AC2941">
        <v>-129.8732</v>
      </c>
      <c r="AD2941">
        <v>-1.1102441503179901</v>
      </c>
      <c r="AE2941">
        <v>-0.99110000000001697</v>
      </c>
      <c r="AF2941">
        <v>-1.25830226160541</v>
      </c>
      <c r="AG2941">
        <v>-1.1102441503179901</v>
      </c>
      <c r="AH2941">
        <v>129.86139541420201</v>
      </c>
      <c r="AI2941">
        <v>90.489812759569503</v>
      </c>
      <c r="AJ2941">
        <v>90.555154613442696</v>
      </c>
      <c r="AK2941">
        <v>129.872237162446</v>
      </c>
      <c r="AL2941">
        <v>80.564837302854599</v>
      </c>
      <c r="AM2941">
        <v>96.768159106720006</v>
      </c>
      <c r="AN2941">
        <v>1.00000002710731</v>
      </c>
    </row>
    <row r="2942" spans="1:40" x14ac:dyDescent="0.25">
      <c r="A2942" t="str">
        <f>"20190304154815754"</f>
        <v>20190304154815754</v>
      </c>
      <c r="B2942" t="str">
        <f>"1551685695749307"</f>
        <v>1551685695749307</v>
      </c>
      <c r="C2942" t="s">
        <v>40</v>
      </c>
      <c r="D2942">
        <v>4.1549630000000004</v>
      </c>
      <c r="E2942">
        <v>0.54410139999999996</v>
      </c>
      <c r="F2942" t="s">
        <v>54</v>
      </c>
      <c r="G2942">
        <v>-487.53230000000002</v>
      </c>
      <c r="H2942" s="1">
        <v>3.525893E-6</v>
      </c>
      <c r="I2942">
        <v>284.43380000000002</v>
      </c>
      <c r="J2942">
        <v>-359.6782</v>
      </c>
      <c r="K2942">
        <v>1.110249</v>
      </c>
      <c r="L2942">
        <v>285.4633</v>
      </c>
      <c r="M2942">
        <v>-0.99993270000000001</v>
      </c>
      <c r="N2942">
        <v>-1.142231E-2</v>
      </c>
      <c r="O2942">
        <v>1.996982E-3</v>
      </c>
      <c r="P2942">
        <v>-0.98162649999999996</v>
      </c>
      <c r="Q2942">
        <v>0.1530137</v>
      </c>
      <c r="R2942">
        <v>-0.1140009</v>
      </c>
      <c r="S2942">
        <v>-3.057404</v>
      </c>
      <c r="T2942">
        <v>-2.650547E-2</v>
      </c>
      <c r="U2942">
        <v>-2.4566649999999999E-2</v>
      </c>
      <c r="V2942">
        <v>-0.1159983</v>
      </c>
      <c r="W2942">
        <v>0.16418720000000001</v>
      </c>
      <c r="X2942">
        <v>0.97958509999999999</v>
      </c>
      <c r="Y2942">
        <v>-1.003103E-2</v>
      </c>
      <c r="Z2942" s="1">
        <v>-9.5274549999999994E-5</v>
      </c>
      <c r="AA2942">
        <v>0.99994970000000005</v>
      </c>
      <c r="AB2942">
        <v>37</v>
      </c>
      <c r="AC2942">
        <v>-127.8541</v>
      </c>
      <c r="AD2942">
        <v>-1.110245474107</v>
      </c>
      <c r="AE2942">
        <v>-1.0294999999999801</v>
      </c>
      <c r="AF2942">
        <v>-1.28474008695433</v>
      </c>
      <c r="AG2942">
        <v>-1.110245474107</v>
      </c>
      <c r="AH2942">
        <v>127.84214949986399</v>
      </c>
      <c r="AI2942">
        <v>90.497547712799104</v>
      </c>
      <c r="AJ2942">
        <v>90.575770254212401</v>
      </c>
      <c r="AK2942">
        <v>127.85342541695699</v>
      </c>
      <c r="AL2942">
        <v>80.549979520834</v>
      </c>
      <c r="AM2942">
        <v>96.753274170288904</v>
      </c>
      <c r="AN2942">
        <v>1.00000000519437</v>
      </c>
    </row>
    <row r="2943" spans="1:40" x14ac:dyDescent="0.25">
      <c r="A2943" t="str">
        <f>"20190304154815766"</f>
        <v>20190304154815766</v>
      </c>
      <c r="B2943" t="str">
        <f>"1551685695760043"</f>
        <v>1551685695760043</v>
      </c>
      <c r="C2943" t="s">
        <v>40</v>
      </c>
      <c r="D2943">
        <v>4.1563699999999999</v>
      </c>
      <c r="E2943">
        <v>0.53623809999999905</v>
      </c>
      <c r="F2943" t="s">
        <v>42</v>
      </c>
      <c r="G2943">
        <v>0</v>
      </c>
      <c r="H2943">
        <v>0</v>
      </c>
      <c r="I2943">
        <v>0</v>
      </c>
      <c r="J2943">
        <v>-359.9049</v>
      </c>
      <c r="K2943">
        <v>1.110252</v>
      </c>
      <c r="L2943">
        <v>285.46359999999999</v>
      </c>
      <c r="M2943">
        <v>-0.99993290000000001</v>
      </c>
      <c r="N2943">
        <v>-1.1430030000000001E-2</v>
      </c>
      <c r="O2943">
        <v>1.9319669999999999E-3</v>
      </c>
      <c r="P2943">
        <v>-0.98156569999999999</v>
      </c>
      <c r="Q2943">
        <v>0.1532695</v>
      </c>
      <c r="R2943">
        <v>-0.1141829</v>
      </c>
      <c r="S2943">
        <v>-3.0545650000000002</v>
      </c>
      <c r="T2943">
        <v>2.4781350000000001E-2</v>
      </c>
      <c r="U2943">
        <v>1.986694E-2</v>
      </c>
      <c r="V2943">
        <v>-0.11611639999999999</v>
      </c>
      <c r="W2943">
        <v>0.1644497</v>
      </c>
      <c r="X2943">
        <v>0.97952709999999998</v>
      </c>
      <c r="Y2943">
        <v>4.5722459999999899E-3</v>
      </c>
      <c r="Z2943" s="1">
        <v>4.5340329999999897E-5</v>
      </c>
      <c r="AA2943">
        <v>0.99998960000000003</v>
      </c>
      <c r="AB2943">
        <v>37</v>
      </c>
      <c r="AC2943">
        <v>-3.0545650000000002</v>
      </c>
      <c r="AD2943">
        <v>2.4781350000000001E-2</v>
      </c>
      <c r="AE2943">
        <v>1.986694E-2</v>
      </c>
      <c r="AF2943">
        <v>1.3964280073719301E-2</v>
      </c>
      <c r="AG2943">
        <v>2.4781350000000001E-2</v>
      </c>
      <c r="AH2943">
        <v>3.0543966546671499</v>
      </c>
      <c r="AI2943">
        <v>89.535155078138203</v>
      </c>
      <c r="AJ2943">
        <v>89.738053426522995</v>
      </c>
      <c r="AK2943">
        <v>3.0545291029007502</v>
      </c>
      <c r="AL2943">
        <v>80.534732371755794</v>
      </c>
      <c r="AM2943">
        <v>96.7604827783925</v>
      </c>
      <c r="AN2943">
        <v>1.0000000309067201</v>
      </c>
    </row>
    <row r="2944" spans="1:40" x14ac:dyDescent="0.25">
      <c r="A2944" t="str">
        <f>"20190304154815778"</f>
        <v>20190304154815778</v>
      </c>
      <c r="B2944" t="str">
        <f>"1551685695769803"</f>
        <v>1551685695769803</v>
      </c>
      <c r="C2944" t="s">
        <v>40</v>
      </c>
      <c r="D2944">
        <v>4.1902999999999997</v>
      </c>
      <c r="E2944">
        <v>0.53590819999999995</v>
      </c>
      <c r="F2944" t="s">
        <v>60</v>
      </c>
      <c r="G2944">
        <v>-444.96120000000002</v>
      </c>
      <c r="H2944" s="1">
        <v>1.116393E-6</v>
      </c>
      <c r="I2944">
        <v>284.31760000000003</v>
      </c>
      <c r="J2944">
        <v>-360.09120000000001</v>
      </c>
      <c r="K2944">
        <v>1.1102540000000001</v>
      </c>
      <c r="L2944">
        <v>285.464</v>
      </c>
      <c r="M2944">
        <v>-0.99993290000000001</v>
      </c>
      <c r="N2944">
        <v>-1.1436150000000001E-2</v>
      </c>
      <c r="O2944">
        <v>1.878706E-3</v>
      </c>
      <c r="P2944">
        <v>-0.98153690000000005</v>
      </c>
      <c r="Q2944">
        <v>0.15345210000000001</v>
      </c>
      <c r="R2944">
        <v>-0.11418449999999999</v>
      </c>
      <c r="S2944">
        <v>-3.0577700000000001</v>
      </c>
      <c r="T2944">
        <v>-3.9913419999999998E-2</v>
      </c>
      <c r="U2944">
        <v>-4.1198730000000003E-2</v>
      </c>
      <c r="V2944">
        <v>-0.1160655</v>
      </c>
      <c r="W2944">
        <v>0.16463829999999999</v>
      </c>
      <c r="X2944">
        <v>0.97950139999999997</v>
      </c>
      <c r="Y2944">
        <v>-1.534841E-2</v>
      </c>
      <c r="Z2944">
        <v>-1.9097689999999999E-4</v>
      </c>
      <c r="AA2944">
        <v>0.99988220000000005</v>
      </c>
      <c r="AB2944">
        <v>37</v>
      </c>
      <c r="AC2944">
        <v>-84.87</v>
      </c>
      <c r="AD2944">
        <v>-1.110252883607</v>
      </c>
      <c r="AE2944">
        <v>-1.1463999999999701</v>
      </c>
      <c r="AF2944">
        <v>-1.30563077631179</v>
      </c>
      <c r="AG2944">
        <v>-1.110252883607</v>
      </c>
      <c r="AH2944">
        <v>84.853177730092298</v>
      </c>
      <c r="AI2944">
        <v>90.749549380494003</v>
      </c>
      <c r="AJ2944">
        <v>90.881537170407</v>
      </c>
      <c r="AK2944">
        <v>84.870484292740102</v>
      </c>
      <c r="AL2944">
        <v>80.523776590574002</v>
      </c>
      <c r="AM2944">
        <v>96.757722373844999</v>
      </c>
      <c r="AN2944">
        <v>0.99999998135954904</v>
      </c>
    </row>
    <row r="2945" spans="1:40" x14ac:dyDescent="0.25">
      <c r="A2945" t="str">
        <f>"20190304154815792"</f>
        <v>20190304154815792</v>
      </c>
      <c r="B2945" t="str">
        <f>"1551685695789323"</f>
        <v>1551685695789323</v>
      </c>
      <c r="C2945" t="s">
        <v>40</v>
      </c>
      <c r="D2945">
        <v>4.130954</v>
      </c>
      <c r="E2945">
        <v>0.52916719999999995</v>
      </c>
      <c r="F2945" t="s">
        <v>60</v>
      </c>
      <c r="G2945">
        <v>-441.65820000000002</v>
      </c>
      <c r="H2945" s="1">
        <v>-6.3973599999999897E-7</v>
      </c>
      <c r="I2945">
        <v>284.28199999999998</v>
      </c>
      <c r="J2945">
        <v>-360.30669999999998</v>
      </c>
      <c r="K2945">
        <v>1.11025</v>
      </c>
      <c r="L2945">
        <v>285.46429999999998</v>
      </c>
      <c r="M2945">
        <v>-0.99993290000000001</v>
      </c>
      <c r="N2945">
        <v>-1.1443099999999999E-2</v>
      </c>
      <c r="O2945">
        <v>1.816977E-3</v>
      </c>
      <c r="P2945">
        <v>-0.98149560000000002</v>
      </c>
      <c r="Q2945">
        <v>0.1538899</v>
      </c>
      <c r="R2945">
        <v>-0.11394990000000001</v>
      </c>
      <c r="S2945">
        <v>-3.0577999999999999</v>
      </c>
      <c r="T2945">
        <v>-4.1621449999999997E-2</v>
      </c>
      <c r="U2945">
        <v>-4.431152E-2</v>
      </c>
      <c r="V2945">
        <v>-0.1157705</v>
      </c>
      <c r="W2945">
        <v>0.16508229999999999</v>
      </c>
      <c r="X2945">
        <v>0.97946160000000004</v>
      </c>
      <c r="Y2945">
        <v>-1.630388E-2</v>
      </c>
      <c r="Z2945">
        <v>-2.0818740000000001E-4</v>
      </c>
      <c r="AA2945">
        <v>0.99986710000000001</v>
      </c>
      <c r="AB2945">
        <v>37</v>
      </c>
      <c r="AC2945">
        <v>-81.351500000000001</v>
      </c>
      <c r="AD2945">
        <v>-1.1102506397359999</v>
      </c>
      <c r="AE2945">
        <v>-1.1822999999999899</v>
      </c>
      <c r="AF2945">
        <v>-1.32987388239807</v>
      </c>
      <c r="AG2945">
        <v>-1.1102506397359999</v>
      </c>
      <c r="AH2945">
        <v>81.334071559737595</v>
      </c>
      <c r="AI2945">
        <v>90.7819628836438</v>
      </c>
      <c r="AJ2945">
        <v>90.936746065866501</v>
      </c>
      <c r="AK2945">
        <v>81.352519429398299</v>
      </c>
      <c r="AL2945">
        <v>80.497984526894896</v>
      </c>
      <c r="AM2945">
        <v>96.740976117419606</v>
      </c>
      <c r="AN2945">
        <v>1.0000000001590501</v>
      </c>
    </row>
    <row r="2946" spans="1:40" x14ac:dyDescent="0.25">
      <c r="A2946" t="str">
        <f>"20190304154815804"</f>
        <v>20190304154815804</v>
      </c>
      <c r="B2946" t="str">
        <f>"1551685695800059"</f>
        <v>1551685695800059</v>
      </c>
      <c r="C2946" t="s">
        <v>40</v>
      </c>
      <c r="D2946">
        <v>4.0823530000000003</v>
      </c>
      <c r="E2946">
        <v>0.52770050000000002</v>
      </c>
      <c r="F2946" t="s">
        <v>60</v>
      </c>
      <c r="G2946">
        <v>-457.87529999999998</v>
      </c>
      <c r="H2946" s="1">
        <v>2.753316E-6</v>
      </c>
      <c r="I2946">
        <v>282.34589999999997</v>
      </c>
      <c r="J2946">
        <v>-360.54059999999998</v>
      </c>
      <c r="K2946">
        <v>1.11025</v>
      </c>
      <c r="L2946">
        <v>285.46469999999999</v>
      </c>
      <c r="M2946">
        <v>-0.99993290000000001</v>
      </c>
      <c r="N2946">
        <v>-1.1452789999999999E-2</v>
      </c>
      <c r="O2946">
        <v>1.749925E-3</v>
      </c>
      <c r="P2946">
        <v>-0.98160510000000001</v>
      </c>
      <c r="Q2946">
        <v>0.15332970000000001</v>
      </c>
      <c r="R2946">
        <v>-0.1137611</v>
      </c>
      <c r="S2946">
        <v>-3.0506899999999999</v>
      </c>
      <c r="T2946">
        <v>-3.4714219999999997E-2</v>
      </c>
      <c r="U2946">
        <v>-9.7503660000000006E-2</v>
      </c>
      <c r="V2946">
        <v>-0.11551599999999999</v>
      </c>
      <c r="W2946">
        <v>0.1645334</v>
      </c>
      <c r="X2946">
        <v>0.97958400000000001</v>
      </c>
      <c r="Y2946">
        <v>-3.3689599999999903E-2</v>
      </c>
      <c r="Z2946">
        <v>-3.8448239999999998E-4</v>
      </c>
      <c r="AA2946">
        <v>0.99943230000000005</v>
      </c>
      <c r="AB2946">
        <v>37</v>
      </c>
      <c r="AC2946">
        <v>-97.334699999999998</v>
      </c>
      <c r="AD2946">
        <v>-1.1102472466840001</v>
      </c>
      <c r="AE2946">
        <v>-3.1188000000000198</v>
      </c>
      <c r="AF2946">
        <v>-3.2887073696734301</v>
      </c>
      <c r="AG2946">
        <v>-1.1102472466840001</v>
      </c>
      <c r="AH2946">
        <v>97.316444263160605</v>
      </c>
      <c r="AI2946">
        <v>90.653265071108095</v>
      </c>
      <c r="AJ2946">
        <v>91.935514313632595</v>
      </c>
      <c r="AK2946">
        <v>97.378326999065706</v>
      </c>
      <c r="AL2946">
        <v>80.529870188955002</v>
      </c>
      <c r="AM2946">
        <v>96.725460498072394</v>
      </c>
      <c r="AN2946">
        <v>0.99999999951377905</v>
      </c>
    </row>
    <row r="2947" spans="1:40" x14ac:dyDescent="0.25">
      <c r="A2947" t="str">
        <f>"20190304154815818"</f>
        <v>20190304154815818</v>
      </c>
      <c r="B2947" t="str">
        <f>"1551685695809819"</f>
        <v>1551685695809819</v>
      </c>
      <c r="C2947" t="s">
        <v>40</v>
      </c>
      <c r="D2947">
        <v>4.0854710000000001</v>
      </c>
      <c r="E2947">
        <v>0.52706960000000003</v>
      </c>
      <c r="F2947" t="s">
        <v>62</v>
      </c>
      <c r="G2947">
        <v>-551.06179999999995</v>
      </c>
      <c r="H2947">
        <v>-3.9774660000000003E-2</v>
      </c>
      <c r="I2947">
        <v>278.66849999999999</v>
      </c>
      <c r="J2947">
        <v>-360.75279999999998</v>
      </c>
      <c r="K2947">
        <v>1.1102510000000001</v>
      </c>
      <c r="L2947">
        <v>285.46499999999997</v>
      </c>
      <c r="M2947">
        <v>-0.99993290000000001</v>
      </c>
      <c r="N2947">
        <v>-1.1462480000000001E-2</v>
      </c>
      <c r="O2947">
        <v>1.689072E-3</v>
      </c>
      <c r="P2947">
        <v>-0.9815642</v>
      </c>
      <c r="Q2947">
        <v>0.15348879999999901</v>
      </c>
      <c r="R2947">
        <v>-0.1138999</v>
      </c>
      <c r="S2947">
        <v>-3.0465089999999999</v>
      </c>
      <c r="T2947">
        <v>-1.838803E-2</v>
      </c>
      <c r="U2947">
        <v>-0.10867309999999999</v>
      </c>
      <c r="V2947">
        <v>-0.1155954</v>
      </c>
      <c r="W2947">
        <v>0.16470129999999999</v>
      </c>
      <c r="X2947">
        <v>0.97954640000000004</v>
      </c>
      <c r="Y2947">
        <v>-3.7334739999999998E-2</v>
      </c>
      <c r="Z2947">
        <v>-3.1752640000000002E-4</v>
      </c>
      <c r="AA2947">
        <v>0.99930269999999999</v>
      </c>
      <c r="AB2947">
        <v>37</v>
      </c>
      <c r="AC2947">
        <v>-190.309</v>
      </c>
      <c r="AD2947">
        <v>-1.1500256600000001</v>
      </c>
      <c r="AE2947">
        <v>-6.7964999999999796</v>
      </c>
      <c r="AF2947">
        <v>-7.1176974320381703</v>
      </c>
      <c r="AG2947">
        <v>-1.1500256600000001</v>
      </c>
      <c r="AH2947">
        <v>190.29030795911501</v>
      </c>
      <c r="AI2947">
        <v>90.346022721775299</v>
      </c>
      <c r="AJ2947">
        <v>92.142116416982901</v>
      </c>
      <c r="AK2947">
        <v>190.426850729953</v>
      </c>
      <c r="AL2947">
        <v>80.520117006791097</v>
      </c>
      <c r="AM2947">
        <v>96.7302968224094</v>
      </c>
      <c r="AN2947">
        <v>0.99999998223790498</v>
      </c>
    </row>
    <row r="2948" spans="1:40" x14ac:dyDescent="0.25">
      <c r="A2948" t="str">
        <f>"20190304154815840"</f>
        <v>20190304154815840</v>
      </c>
      <c r="B2948" t="str">
        <f>"1551685695829339"</f>
        <v>1551685695829339</v>
      </c>
      <c r="C2948" t="s">
        <v>40</v>
      </c>
      <c r="D2948">
        <v>4.0996629999999996</v>
      </c>
      <c r="E2948">
        <v>0.52574549999999998</v>
      </c>
      <c r="F2948" t="s">
        <v>62</v>
      </c>
      <c r="G2948">
        <v>-551.06209999999999</v>
      </c>
      <c r="H2948">
        <v>0.92573340000000004</v>
      </c>
      <c r="I2948">
        <v>278.30329999999998</v>
      </c>
      <c r="J2948">
        <v>-361.10860000000002</v>
      </c>
      <c r="K2948">
        <v>1.1102510000000001</v>
      </c>
      <c r="L2948">
        <v>285.46550000000002</v>
      </c>
      <c r="M2948">
        <v>-0.99993290000000001</v>
      </c>
      <c r="N2948">
        <v>-1.1480219999999999E-2</v>
      </c>
      <c r="O2948">
        <v>1.5868670000000001E-3</v>
      </c>
      <c r="P2948">
        <v>-0.98158630000000002</v>
      </c>
      <c r="Q2948">
        <v>0.15365500000000001</v>
      </c>
      <c r="R2948">
        <v>-0.1134833</v>
      </c>
      <c r="S2948">
        <v>-3.0435180000000002</v>
      </c>
      <c r="T2948">
        <v>-2.9495950000000002E-3</v>
      </c>
      <c r="U2948">
        <v>-0.1145325</v>
      </c>
      <c r="V2948">
        <v>-0.1150789</v>
      </c>
      <c r="W2948">
        <v>0.16488520000000001</v>
      </c>
      <c r="X2948">
        <v>0.97957629999999996</v>
      </c>
      <c r="Y2948">
        <v>-3.9190469999999998E-2</v>
      </c>
      <c r="Z2948">
        <v>-2.2735480000000001E-4</v>
      </c>
      <c r="AA2948">
        <v>0.9992318</v>
      </c>
      <c r="AB2948">
        <v>37</v>
      </c>
      <c r="AC2948">
        <v>-189.95349999999999</v>
      </c>
      <c r="AD2948">
        <v>-0.1845176</v>
      </c>
      <c r="AE2948">
        <v>-7.1622000000000403</v>
      </c>
      <c r="AF2948">
        <v>-7.4636347369542504</v>
      </c>
      <c r="AG2948">
        <v>-0.1845176</v>
      </c>
      <c r="AH2948">
        <v>189.941715624057</v>
      </c>
      <c r="AI2948">
        <v>90.055616660762198</v>
      </c>
      <c r="AJ2948">
        <v>92.250242274096806</v>
      </c>
      <c r="AK2948">
        <v>190.088387926357</v>
      </c>
      <c r="AL2948">
        <v>80.509434477292999</v>
      </c>
      <c r="AM2948">
        <v>96.7002960831379</v>
      </c>
      <c r="AN2948">
        <v>1.00000000496296</v>
      </c>
    </row>
    <row r="2949" spans="1:40" x14ac:dyDescent="0.25">
      <c r="A2949" t="str">
        <f>"20190304154815854"</f>
        <v>20190304154815854</v>
      </c>
      <c r="B2949" t="str">
        <f>"1551685695849835"</f>
        <v>1551685695849835</v>
      </c>
      <c r="C2949" t="s">
        <v>40</v>
      </c>
      <c r="D2949">
        <v>4.1076579999999998</v>
      </c>
      <c r="E2949">
        <v>0.52316859999999998</v>
      </c>
      <c r="F2949" t="s">
        <v>62</v>
      </c>
      <c r="G2949">
        <v>-512.83140000000003</v>
      </c>
      <c r="H2949">
        <v>1.7586459999999999</v>
      </c>
      <c r="I2949">
        <v>279.27539999999999</v>
      </c>
      <c r="J2949">
        <v>-361.34559999999999</v>
      </c>
      <c r="K2949">
        <v>1.1102540000000001</v>
      </c>
      <c r="L2949">
        <v>285.4658</v>
      </c>
      <c r="M2949">
        <v>-0.99993299999999996</v>
      </c>
      <c r="N2949">
        <v>-1.14921E-2</v>
      </c>
      <c r="O2949">
        <v>1.51843299999999E-3</v>
      </c>
      <c r="P2949">
        <v>-0.98156200000000005</v>
      </c>
      <c r="Q2949">
        <v>0.1537239</v>
      </c>
      <c r="R2949">
        <v>-0.1136025</v>
      </c>
      <c r="S2949">
        <v>-3.039917</v>
      </c>
      <c r="T2949">
        <v>1.299286E-2</v>
      </c>
      <c r="U2949">
        <v>-0.12402340000000001</v>
      </c>
      <c r="V2949">
        <v>-0.1151306</v>
      </c>
      <c r="W2949">
        <v>0.16496559999999999</v>
      </c>
      <c r="X2949">
        <v>0.97955669999999995</v>
      </c>
      <c r="Y2949">
        <v>-4.2282069999999998E-2</v>
      </c>
      <c r="Z2949">
        <v>-1.288114E-4</v>
      </c>
      <c r="AA2949">
        <v>0.99910569999999999</v>
      </c>
      <c r="AB2949">
        <v>37</v>
      </c>
      <c r="AC2949">
        <v>-151.48580000000001</v>
      </c>
      <c r="AD2949">
        <v>0.64839199999999897</v>
      </c>
      <c r="AE2949">
        <v>-6.1904000000000101</v>
      </c>
      <c r="AF2949">
        <v>-6.4203116219737204</v>
      </c>
      <c r="AG2949">
        <v>0.64839199999999897</v>
      </c>
      <c r="AH2949">
        <v>151.473454608959</v>
      </c>
      <c r="AI2949">
        <v>89.754963186418294</v>
      </c>
      <c r="AJ2949">
        <v>92.427070183739403</v>
      </c>
      <c r="AK2949">
        <v>151.610844812241</v>
      </c>
      <c r="AL2949">
        <v>80.504764047874403</v>
      </c>
      <c r="AM2949">
        <v>96.703411756784504</v>
      </c>
      <c r="AN2949">
        <v>1.0000000163773</v>
      </c>
    </row>
    <row r="2950" spans="1:40" x14ac:dyDescent="0.25">
      <c r="A2950" t="str">
        <f>"20190304154815868"</f>
        <v>20190304154815868</v>
      </c>
      <c r="B2950" t="str">
        <f>"1551685695859597"</f>
        <v>1551685695859597</v>
      </c>
      <c r="C2950" t="s">
        <v>40</v>
      </c>
      <c r="D2950">
        <v>4.1133940000000004</v>
      </c>
      <c r="E2950">
        <v>0.52245900000000001</v>
      </c>
      <c r="F2950" t="s">
        <v>62</v>
      </c>
      <c r="G2950">
        <v>-511.95920000000001</v>
      </c>
      <c r="H2950">
        <v>1.7422010000000001</v>
      </c>
      <c r="I2950">
        <v>278.27969999999999</v>
      </c>
      <c r="J2950">
        <v>-361.59320000000002</v>
      </c>
      <c r="K2950">
        <v>1.1102529999999999</v>
      </c>
      <c r="L2950">
        <v>285.46609999999998</v>
      </c>
      <c r="M2950">
        <v>-0.99993279999999995</v>
      </c>
      <c r="N2950">
        <v>-1.150399E-2</v>
      </c>
      <c r="O2950">
        <v>1.4477330000000001E-3</v>
      </c>
      <c r="P2950">
        <v>-0.98154209999999997</v>
      </c>
      <c r="Q2950">
        <v>0.15374679999999999</v>
      </c>
      <c r="R2950">
        <v>-0.1137435</v>
      </c>
      <c r="S2950">
        <v>-3.0375369999999999</v>
      </c>
      <c r="T2950">
        <v>1.274657E-2</v>
      </c>
      <c r="U2950">
        <v>-0.144928</v>
      </c>
      <c r="V2950">
        <v>-0.11520229999999999</v>
      </c>
      <c r="W2950">
        <v>0.16500039999999999</v>
      </c>
      <c r="X2950">
        <v>0.97954240000000004</v>
      </c>
      <c r="Y2950">
        <v>-4.9104839999999997E-2</v>
      </c>
      <c r="Z2950">
        <v>-1.569299E-4</v>
      </c>
      <c r="AA2950">
        <v>0.99879359999999995</v>
      </c>
      <c r="AB2950">
        <v>37</v>
      </c>
      <c r="AC2950">
        <v>-150.36600000000001</v>
      </c>
      <c r="AD2950">
        <v>0.63194799999999896</v>
      </c>
      <c r="AE2950">
        <v>-7.1863999999999901</v>
      </c>
      <c r="AF2950">
        <v>-7.4039662118397596</v>
      </c>
      <c r="AG2950">
        <v>0.63194799999999896</v>
      </c>
      <c r="AH2950">
        <v>150.35278810137601</v>
      </c>
      <c r="AI2950">
        <v>89.759472907557495</v>
      </c>
      <c r="AJ2950">
        <v>92.819193549273393</v>
      </c>
      <c r="AK2950">
        <v>150.53630447104101</v>
      </c>
      <c r="AL2950">
        <v>80.502742368114696</v>
      </c>
      <c r="AM2950">
        <v>96.707645449248503</v>
      </c>
      <c r="AN2950">
        <v>1.0000000076616</v>
      </c>
    </row>
    <row r="2951" spans="1:40" x14ac:dyDescent="0.25">
      <c r="A2951" t="str">
        <f>"20190304154815883"</f>
        <v>20190304154815883</v>
      </c>
      <c r="B2951" t="str">
        <f>"1551685695880091"</f>
        <v>1551685695880091</v>
      </c>
      <c r="C2951" t="s">
        <v>40</v>
      </c>
      <c r="D2951">
        <v>4.062341</v>
      </c>
      <c r="E2951">
        <v>0.52092369999999999</v>
      </c>
      <c r="F2951" t="s">
        <v>62</v>
      </c>
      <c r="G2951">
        <v>-511.95920000000001</v>
      </c>
      <c r="H2951">
        <v>1.7051419999999999</v>
      </c>
      <c r="I2951">
        <v>277.99149999999997</v>
      </c>
      <c r="J2951">
        <v>-361.84829999999999</v>
      </c>
      <c r="K2951">
        <v>1.110258</v>
      </c>
      <c r="L2951">
        <v>285.46640000000002</v>
      </c>
      <c r="M2951">
        <v>-0.99993270000000001</v>
      </c>
      <c r="N2951">
        <v>-1.151549E-2</v>
      </c>
      <c r="O2951">
        <v>1.3745910000000001E-3</v>
      </c>
      <c r="P2951">
        <v>-0.98157490000000003</v>
      </c>
      <c r="Q2951">
        <v>0.1530792</v>
      </c>
      <c r="R2951">
        <v>-0.1143586</v>
      </c>
      <c r="S2951">
        <v>-3.0370789999999999</v>
      </c>
      <c r="T2951">
        <v>1.2017130000000001E-2</v>
      </c>
      <c r="U2951">
        <v>-0.15097049999999901</v>
      </c>
      <c r="V2951">
        <v>-0.1157453</v>
      </c>
      <c r="W2951">
        <v>0.1643443</v>
      </c>
      <c r="X2951">
        <v>0.97958869999999998</v>
      </c>
      <c r="Y2951">
        <v>-5.1021339999999998E-2</v>
      </c>
      <c r="Z2951">
        <v>-1.7182349999999999E-4</v>
      </c>
      <c r="AA2951">
        <v>0.99869750000000002</v>
      </c>
      <c r="AB2951">
        <v>37</v>
      </c>
      <c r="AC2951">
        <v>-150.11089999999999</v>
      </c>
      <c r="AD2951">
        <v>0.59488399999999997</v>
      </c>
      <c r="AE2951">
        <v>-7.4749000000000398</v>
      </c>
      <c r="AF2951">
        <v>-7.6811273876718102</v>
      </c>
      <c r="AG2951">
        <v>0.59488399999999997</v>
      </c>
      <c r="AH2951">
        <v>150.098131079501</v>
      </c>
      <c r="AI2951">
        <v>89.7732175462463</v>
      </c>
      <c r="AJ2951">
        <v>92.929500910916204</v>
      </c>
      <c r="AK2951">
        <v>150.29571703304899</v>
      </c>
      <c r="AL2951">
        <v>80.540854562568796</v>
      </c>
      <c r="AM2951">
        <v>96.738655894426003</v>
      </c>
      <c r="AN2951">
        <v>1.0000000222911301</v>
      </c>
    </row>
    <row r="2952" spans="1:40" x14ac:dyDescent="0.25">
      <c r="A2952" t="str">
        <f>"20190304154815906"</f>
        <v>20190304154815906</v>
      </c>
      <c r="B2952" t="str">
        <f>"1551685695899611"</f>
        <v>1551685695899611</v>
      </c>
      <c r="C2952" t="s">
        <v>40</v>
      </c>
      <c r="D2952">
        <v>4.1076290000000002</v>
      </c>
      <c r="E2952">
        <v>0.52073080000000005</v>
      </c>
      <c r="F2952" t="s">
        <v>62</v>
      </c>
      <c r="G2952">
        <v>-511.95909999999998</v>
      </c>
      <c r="H2952">
        <v>1.535857</v>
      </c>
      <c r="I2952">
        <v>277.31470000000002</v>
      </c>
      <c r="J2952">
        <v>-362.22820000000002</v>
      </c>
      <c r="K2952">
        <v>1.1102590000000001</v>
      </c>
      <c r="L2952">
        <v>285.46690000000001</v>
      </c>
      <c r="M2952">
        <v>-0.99993279999999995</v>
      </c>
      <c r="N2952">
        <v>-1.153148E-2</v>
      </c>
      <c r="O2952">
        <v>1.266135E-3</v>
      </c>
      <c r="P2952">
        <v>-0.98146630000000001</v>
      </c>
      <c r="Q2952">
        <v>0.1531071</v>
      </c>
      <c r="R2952">
        <v>-0.1152492</v>
      </c>
      <c r="S2952">
        <v>-3.0357669999999999</v>
      </c>
      <c r="T2952">
        <v>8.6086989999999992E-3</v>
      </c>
      <c r="U2952">
        <v>-0.164856</v>
      </c>
      <c r="V2952">
        <v>-0.1165296</v>
      </c>
      <c r="W2952">
        <v>0.16438620000000001</v>
      </c>
      <c r="X2952">
        <v>0.97948869999999999</v>
      </c>
      <c r="Y2952">
        <v>-5.5489520000000001E-2</v>
      </c>
      <c r="Z2952">
        <v>-2.2338530000000001E-4</v>
      </c>
      <c r="AA2952">
        <v>0.99845919999999999</v>
      </c>
      <c r="AB2952">
        <v>37</v>
      </c>
      <c r="AC2952">
        <v>-149.730899999999</v>
      </c>
      <c r="AD2952">
        <v>0.42559799999999898</v>
      </c>
      <c r="AE2952">
        <v>-8.1521999999999899</v>
      </c>
      <c r="AF2952">
        <v>-8.3417183899781193</v>
      </c>
      <c r="AG2952">
        <v>0.42559799999999898</v>
      </c>
      <c r="AH2952">
        <v>149.71925143753</v>
      </c>
      <c r="AI2952">
        <v>89.837381345347197</v>
      </c>
      <c r="AJ2952">
        <v>93.1889795022865</v>
      </c>
      <c r="AK2952">
        <v>149.95205783972901</v>
      </c>
      <c r="AL2952">
        <v>80.538420956256601</v>
      </c>
      <c r="AM2952">
        <v>96.784579595394007</v>
      </c>
      <c r="AN2952">
        <v>1.00000004192714</v>
      </c>
    </row>
    <row r="2953" spans="1:40" x14ac:dyDescent="0.25">
      <c r="A2953" t="str">
        <f>"20190304154815918"</f>
        <v>20190304154815918</v>
      </c>
      <c r="B2953" t="str">
        <f>"1551685695909370"</f>
        <v>1551685695909370</v>
      </c>
      <c r="C2953" t="s">
        <v>40</v>
      </c>
      <c r="D2953">
        <v>4.1032070000000003</v>
      </c>
      <c r="E2953">
        <v>0.52058769999999999</v>
      </c>
      <c r="F2953" t="s">
        <v>62</v>
      </c>
      <c r="G2953">
        <v>-511.95920000000001</v>
      </c>
      <c r="H2953">
        <v>1.8090170000000001</v>
      </c>
      <c r="I2953">
        <v>277.11270000000002</v>
      </c>
      <c r="J2953">
        <v>-362.4282</v>
      </c>
      <c r="K2953">
        <v>1.110269</v>
      </c>
      <c r="L2953">
        <v>285.46710000000002</v>
      </c>
      <c r="M2953">
        <v>-0.99993279999999995</v>
      </c>
      <c r="N2953">
        <v>-1.153935E-2</v>
      </c>
      <c r="O2953">
        <v>1.208988E-3</v>
      </c>
      <c r="P2953">
        <v>-0.98151290000000002</v>
      </c>
      <c r="Q2953">
        <v>0.15272189999999999</v>
      </c>
      <c r="R2953">
        <v>-0.1153636</v>
      </c>
      <c r="S2953">
        <v>-3.0345759999999999</v>
      </c>
      <c r="T2953">
        <v>1.416326E-2</v>
      </c>
      <c r="U2953">
        <v>-0.1693115</v>
      </c>
      <c r="V2953">
        <v>-0.1165875</v>
      </c>
      <c r="W2953">
        <v>0.1640094</v>
      </c>
      <c r="X2953">
        <v>0.97954490000000005</v>
      </c>
      <c r="Y2953">
        <v>-5.6915390000000003E-2</v>
      </c>
      <c r="Z2953">
        <v>-1.7635179999999999E-4</v>
      </c>
      <c r="AA2953">
        <v>0.99837900000000002</v>
      </c>
      <c r="AB2953">
        <v>37</v>
      </c>
      <c r="AC2953">
        <v>-149.53100000000001</v>
      </c>
      <c r="AD2953">
        <v>0.69874799999999904</v>
      </c>
      <c r="AE2953">
        <v>-8.3543999999999894</v>
      </c>
      <c r="AF2953">
        <v>-8.5350013026363101</v>
      </c>
      <c r="AG2953">
        <v>0.69874799999999904</v>
      </c>
      <c r="AH2953">
        <v>149.51753491638701</v>
      </c>
      <c r="AI2953">
        <v>89.732673816511905</v>
      </c>
      <c r="AJ2953">
        <v>93.267104597677502</v>
      </c>
      <c r="AK2953">
        <v>149.76257123686301</v>
      </c>
      <c r="AL2953">
        <v>80.560306368445694</v>
      </c>
      <c r="AM2953">
        <v>96.787533385309104</v>
      </c>
      <c r="AN2953">
        <v>0.99999996978030903</v>
      </c>
    </row>
    <row r="2954" spans="1:40" x14ac:dyDescent="0.25">
      <c r="A2954" t="str">
        <f>"20190304154815930"</f>
        <v>20190304154815930</v>
      </c>
      <c r="B2954" t="str">
        <f>"1551685695920107"</f>
        <v>1551685695920107</v>
      </c>
      <c r="C2954" t="s">
        <v>40</v>
      </c>
      <c r="D2954">
        <v>4.1040020000000004</v>
      </c>
      <c r="E2954">
        <v>0.52053139999999998</v>
      </c>
      <c r="F2954" t="s">
        <v>62</v>
      </c>
      <c r="G2954">
        <v>-511.95920000000001</v>
      </c>
      <c r="H2954">
        <v>1.8565590000000001</v>
      </c>
      <c r="I2954">
        <v>277.04610000000002</v>
      </c>
      <c r="J2954">
        <v>-362.64019999999999</v>
      </c>
      <c r="K2954">
        <v>1.110269</v>
      </c>
      <c r="L2954">
        <v>285.46730000000002</v>
      </c>
      <c r="M2954">
        <v>-0.99993279999999995</v>
      </c>
      <c r="N2954">
        <v>-1.1547460000000001E-2</v>
      </c>
      <c r="O2954">
        <v>1.1484430000000001E-3</v>
      </c>
      <c r="P2954">
        <v>-0.98143539999999996</v>
      </c>
      <c r="Q2954">
        <v>0.15296660000000001</v>
      </c>
      <c r="R2954">
        <v>-0.1156968</v>
      </c>
      <c r="S2954">
        <v>-3.0340880000000001</v>
      </c>
      <c r="T2954">
        <v>1.5144350000000001E-2</v>
      </c>
      <c r="U2954">
        <v>-0.17086789999999999</v>
      </c>
      <c r="V2954">
        <v>-0.1168618</v>
      </c>
      <c r="W2954">
        <v>0.16426109999999999</v>
      </c>
      <c r="X2954">
        <v>0.97947010000000001</v>
      </c>
      <c r="Y2954">
        <v>-5.7374420000000002E-2</v>
      </c>
      <c r="Z2954">
        <v>-1.6948089999999999E-4</v>
      </c>
      <c r="AA2954">
        <v>0.99835269999999998</v>
      </c>
      <c r="AB2954">
        <v>37</v>
      </c>
      <c r="AC2954">
        <v>-149.31899999999999</v>
      </c>
      <c r="AD2954">
        <v>0.74629000000000001</v>
      </c>
      <c r="AE2954">
        <v>-8.42119999999999</v>
      </c>
      <c r="AF2954">
        <v>-8.5924762616294998</v>
      </c>
      <c r="AG2954">
        <v>0.74629000000000001</v>
      </c>
      <c r="AH2954">
        <v>149.305511841353</v>
      </c>
      <c r="AI2954">
        <v>89.7140877161399</v>
      </c>
      <c r="AJ2954">
        <v>93.293717628478404</v>
      </c>
      <c r="AK2954">
        <v>149.55441639510099</v>
      </c>
      <c r="AL2954">
        <v>80.545687350158104</v>
      </c>
      <c r="AM2954">
        <v>96.803867859805706</v>
      </c>
      <c r="AN2954">
        <v>1.0000000330332199</v>
      </c>
    </row>
    <row r="2955" spans="1:40" x14ac:dyDescent="0.25">
      <c r="A2955" t="str">
        <f>"20190304154815944"</f>
        <v>20190304154815944</v>
      </c>
      <c r="B2955" t="str">
        <f>"1551685695939627"</f>
        <v>1551685695939627</v>
      </c>
      <c r="C2955" t="s">
        <v>40</v>
      </c>
      <c r="D2955">
        <v>4.1160629999999996</v>
      </c>
      <c r="E2955">
        <v>0.52033390000000002</v>
      </c>
      <c r="F2955" t="s">
        <v>62</v>
      </c>
      <c r="G2955">
        <v>-511.95929999999998</v>
      </c>
      <c r="H2955">
        <v>1.9975719999999999</v>
      </c>
      <c r="I2955">
        <v>276.99540000000002</v>
      </c>
      <c r="J2955">
        <v>-362.85160000000002</v>
      </c>
      <c r="K2955">
        <v>1.1102730000000001</v>
      </c>
      <c r="L2955">
        <v>285.4674</v>
      </c>
      <c r="M2955">
        <v>-0.99993259999999995</v>
      </c>
      <c r="N2955">
        <v>-1.15549E-2</v>
      </c>
      <c r="O2955">
        <v>1.0884359999999999E-3</v>
      </c>
      <c r="P2955">
        <v>-0.98138029999999998</v>
      </c>
      <c r="Q2955">
        <v>0.15297459999999999</v>
      </c>
      <c r="R2955">
        <v>-0.11615449999999999</v>
      </c>
      <c r="S2955">
        <v>-3.0336609999999999</v>
      </c>
      <c r="T2955">
        <v>1.8028619999999999E-2</v>
      </c>
      <c r="U2955">
        <v>-0.1721191</v>
      </c>
      <c r="V2955">
        <v>-0.1172599</v>
      </c>
      <c r="W2955">
        <v>0.16427610000000001</v>
      </c>
      <c r="X2955">
        <v>0.97941990000000001</v>
      </c>
      <c r="Y2955">
        <v>-5.773288E-2</v>
      </c>
      <c r="Z2955">
        <v>-1.4338559999999901E-4</v>
      </c>
      <c r="AA2955">
        <v>0.99833209999999994</v>
      </c>
      <c r="AB2955">
        <v>37</v>
      </c>
      <c r="AC2955">
        <v>-149.107699999999</v>
      </c>
      <c r="AD2955">
        <v>0.88729899999999995</v>
      </c>
      <c r="AE2955">
        <v>-8.47199999999998</v>
      </c>
      <c r="AF2955">
        <v>-8.6339952570079497</v>
      </c>
      <c r="AG2955">
        <v>0.88729899999999995</v>
      </c>
      <c r="AH2955">
        <v>149.09312725114299</v>
      </c>
      <c r="AI2955">
        <v>89.659589546320603</v>
      </c>
      <c r="AJ2955">
        <v>93.314301687053899</v>
      </c>
      <c r="AK2955">
        <v>149.345551547875</v>
      </c>
      <c r="AL2955">
        <v>80.544815102771807</v>
      </c>
      <c r="AM2955">
        <v>96.827174057374293</v>
      </c>
      <c r="AN2955">
        <v>0.99999993084761196</v>
      </c>
    </row>
    <row r="2956" spans="1:40" x14ac:dyDescent="0.25">
      <c r="A2956" t="str">
        <f>"20190304154815957"</f>
        <v>20190304154815957</v>
      </c>
      <c r="B2956" t="str">
        <f>"1551685695949387"</f>
        <v>1551685695949387</v>
      </c>
      <c r="C2956" t="s">
        <v>40</v>
      </c>
      <c r="D2956">
        <v>4.1173640000000002</v>
      </c>
      <c r="E2956">
        <v>0.5199935</v>
      </c>
      <c r="F2956" t="s">
        <v>62</v>
      </c>
      <c r="G2956">
        <v>-511.95929999999998</v>
      </c>
      <c r="H2956">
        <v>2.1541519999999998</v>
      </c>
      <c r="I2956">
        <v>276.85849999999999</v>
      </c>
      <c r="J2956">
        <v>-363.07</v>
      </c>
      <c r="K2956">
        <v>1.110274</v>
      </c>
      <c r="L2956">
        <v>285.46769999999998</v>
      </c>
      <c r="M2956">
        <v>-0.99993270000000001</v>
      </c>
      <c r="N2956">
        <v>-1.1562299999999999E-2</v>
      </c>
      <c r="O2956">
        <v>1.026225E-3</v>
      </c>
      <c r="P2956">
        <v>-0.98133369999999998</v>
      </c>
      <c r="Q2956">
        <v>0.1532066</v>
      </c>
      <c r="R2956">
        <v>-0.1162415</v>
      </c>
      <c r="S2956">
        <v>-3.0329280000000001</v>
      </c>
      <c r="T2956">
        <v>2.1234630000000001E-2</v>
      </c>
      <c r="U2956">
        <v>-0.17510990000000001</v>
      </c>
      <c r="V2956">
        <v>-0.117286</v>
      </c>
      <c r="W2956">
        <v>0.16451459999999901</v>
      </c>
      <c r="X2956">
        <v>0.97937680000000005</v>
      </c>
      <c r="Y2956">
        <v>-5.8665559999999999E-2</v>
      </c>
      <c r="Z2956">
        <v>-1.152144E-4</v>
      </c>
      <c r="AA2956">
        <v>0.99827770000000005</v>
      </c>
      <c r="AB2956">
        <v>37</v>
      </c>
      <c r="AC2956">
        <v>-148.88929999999999</v>
      </c>
      <c r="AD2956">
        <v>1.0438780000000001</v>
      </c>
      <c r="AE2956">
        <v>-8.60919999999998</v>
      </c>
      <c r="AF2956">
        <v>-8.7615703466064296</v>
      </c>
      <c r="AG2956">
        <v>1.0438780000000001</v>
      </c>
      <c r="AH2956">
        <v>148.873092470665</v>
      </c>
      <c r="AI2956">
        <v>89.598950244061598</v>
      </c>
      <c r="AJ2956">
        <v>93.368121223572402</v>
      </c>
      <c r="AK2956">
        <v>149.13434365697501</v>
      </c>
      <c r="AL2956">
        <v>80.530962119732905</v>
      </c>
      <c r="AM2956">
        <v>96.828976994617804</v>
      </c>
      <c r="AN2956">
        <v>0.99999998789369904</v>
      </c>
    </row>
    <row r="2957" spans="1:40" x14ac:dyDescent="0.25">
      <c r="A2957" t="str">
        <f>"20190304154815967"</f>
        <v>20190304154815967</v>
      </c>
      <c r="B2957" t="str">
        <f>"1551685695960123"</f>
        <v>1551685695960123</v>
      </c>
      <c r="C2957" t="s">
        <v>40</v>
      </c>
      <c r="D2957">
        <v>4.1033970000000002</v>
      </c>
      <c r="E2957">
        <v>0.51992399999999905</v>
      </c>
      <c r="F2957" t="s">
        <v>62</v>
      </c>
      <c r="G2957">
        <v>-511.95929999999998</v>
      </c>
      <c r="H2957">
        <v>2.1480399999999999</v>
      </c>
      <c r="I2957">
        <v>276.71910000000003</v>
      </c>
      <c r="J2957">
        <v>-363.27199999999999</v>
      </c>
      <c r="K2957">
        <v>1.110277</v>
      </c>
      <c r="L2957">
        <v>285.46780000000001</v>
      </c>
      <c r="M2957">
        <v>-0.99993279999999995</v>
      </c>
      <c r="N2957">
        <v>-1.1568749999999999E-2</v>
      </c>
      <c r="O2957">
        <v>9.6872760000000005E-4</v>
      </c>
      <c r="P2957">
        <v>-0.98132319999999995</v>
      </c>
      <c r="Q2957">
        <v>0.1531169</v>
      </c>
      <c r="R2957">
        <v>-0.116449499999999</v>
      </c>
      <c r="S2957">
        <v>-3.0326230000000001</v>
      </c>
      <c r="T2957">
        <v>2.1139140000000001E-2</v>
      </c>
      <c r="U2957">
        <v>-0.17819209999999999</v>
      </c>
      <c r="V2957">
        <v>-0.117438</v>
      </c>
      <c r="W2957">
        <v>0.16443079999999999</v>
      </c>
      <c r="X2957">
        <v>0.97937269999999998</v>
      </c>
      <c r="Y2957">
        <v>-5.9625129999999998E-2</v>
      </c>
      <c r="Z2957">
        <v>-1.196268E-4</v>
      </c>
      <c r="AA2957">
        <v>0.99822089999999997</v>
      </c>
      <c r="AB2957">
        <v>38</v>
      </c>
      <c r="AC2957">
        <v>-148.68729999999999</v>
      </c>
      <c r="AD2957">
        <v>1.037763</v>
      </c>
      <c r="AE2957">
        <v>-8.7486999999999799</v>
      </c>
      <c r="AF2957">
        <v>-8.8923113176969899</v>
      </c>
      <c r="AG2957">
        <v>1.037763</v>
      </c>
      <c r="AH2957">
        <v>148.67153723949201</v>
      </c>
      <c r="AI2957">
        <v>89.600781638923095</v>
      </c>
      <c r="AJ2957">
        <v>93.422885497347295</v>
      </c>
      <c r="AK2957">
        <v>148.940847781153</v>
      </c>
      <c r="AL2957">
        <v>80.535830185358094</v>
      </c>
      <c r="AM2957">
        <v>96.837771809283595</v>
      </c>
      <c r="AN2957">
        <v>1.0000000286689601</v>
      </c>
    </row>
    <row r="2958" spans="1:40" x14ac:dyDescent="0.25">
      <c r="A2958" t="str">
        <f>"20190304154815979"</f>
        <v>20190304154815979</v>
      </c>
      <c r="B2958" t="str">
        <f>"1551685695969884"</f>
        <v>1551685695969884</v>
      </c>
      <c r="C2958" t="s">
        <v>40</v>
      </c>
      <c r="D2958">
        <v>4.1162299999999998</v>
      </c>
      <c r="E2958">
        <v>0.51982640000000002</v>
      </c>
      <c r="F2958" t="s">
        <v>62</v>
      </c>
      <c r="G2958">
        <v>-511.95940000000002</v>
      </c>
      <c r="H2958">
        <v>2.1884830000000002</v>
      </c>
      <c r="I2958">
        <v>276.67660000000001</v>
      </c>
      <c r="J2958">
        <v>-363.46289999999999</v>
      </c>
      <c r="K2958">
        <v>1.110274</v>
      </c>
      <c r="L2958">
        <v>285.46800000000002</v>
      </c>
      <c r="M2958">
        <v>-0.99993259999999995</v>
      </c>
      <c r="N2958">
        <v>-1.157443E-2</v>
      </c>
      <c r="O2958">
        <v>9.1439590000000001E-4</v>
      </c>
      <c r="P2958">
        <v>-0.98125799999999996</v>
      </c>
      <c r="Q2958">
        <v>0.15363940000000001</v>
      </c>
      <c r="R2958">
        <v>-0.11630839999999899</v>
      </c>
      <c r="S2958">
        <v>-3.0323790000000002</v>
      </c>
      <c r="T2958">
        <v>2.1990900000000001E-2</v>
      </c>
      <c r="U2958">
        <v>-0.1792908</v>
      </c>
      <c r="V2958">
        <v>-0.117244</v>
      </c>
      <c r="W2958">
        <v>0.16495860000000001</v>
      </c>
      <c r="X2958">
        <v>0.97930720000000004</v>
      </c>
      <c r="Y2958">
        <v>-5.9935990000000001E-2</v>
      </c>
      <c r="Z2958">
        <v>-1.128381E-4</v>
      </c>
      <c r="AA2958">
        <v>0.99820220000000004</v>
      </c>
      <c r="AB2958">
        <v>38</v>
      </c>
      <c r="AC2958">
        <v>-148.4965</v>
      </c>
      <c r="AD2958">
        <v>1.078209</v>
      </c>
      <c r="AE2958">
        <v>-8.7914000000000101</v>
      </c>
      <c r="AF2958">
        <v>-8.9267210397462495</v>
      </c>
      <c r="AG2958">
        <v>1.078209</v>
      </c>
      <c r="AH2958">
        <v>148.48059803086599</v>
      </c>
      <c r="AI2958">
        <v>89.584697243096301</v>
      </c>
      <c r="AJ2958">
        <v>93.4405070916212</v>
      </c>
      <c r="AK2958">
        <v>148.752602917639</v>
      </c>
      <c r="AL2958">
        <v>80.505170950322096</v>
      </c>
      <c r="AM2958">
        <v>96.827035215177403</v>
      </c>
      <c r="AN2958">
        <v>1.00000004361089</v>
      </c>
    </row>
    <row r="2959" spans="1:40" x14ac:dyDescent="0.25">
      <c r="A2959" t="str">
        <f>"20190304154815992"</f>
        <v>20190304154815992</v>
      </c>
      <c r="B2959" t="str">
        <f>"1551685695989403"</f>
        <v>1551685695989403</v>
      </c>
      <c r="C2959" t="s">
        <v>40</v>
      </c>
      <c r="D2959">
        <v>4.1158519999999896</v>
      </c>
      <c r="E2959">
        <v>0.51971880000000004</v>
      </c>
      <c r="F2959" t="s">
        <v>62</v>
      </c>
      <c r="G2959">
        <v>-511.95940000000002</v>
      </c>
      <c r="H2959">
        <v>2.2715450000000001</v>
      </c>
      <c r="I2959">
        <v>276.68040000000002</v>
      </c>
      <c r="J2959">
        <v>-363.67360000000002</v>
      </c>
      <c r="K2959">
        <v>1.1102749999999999</v>
      </c>
      <c r="L2959">
        <v>285.46809999999999</v>
      </c>
      <c r="M2959">
        <v>-0.99993279999999995</v>
      </c>
      <c r="N2959">
        <v>-1.1580500000000001E-2</v>
      </c>
      <c r="O2959">
        <v>8.5422149999999904E-4</v>
      </c>
      <c r="P2959">
        <v>-0.98115220000000003</v>
      </c>
      <c r="Q2959">
        <v>0.15415190000000001</v>
      </c>
      <c r="R2959">
        <v>-0.1165244</v>
      </c>
      <c r="S2959">
        <v>-3.0323180000000001</v>
      </c>
      <c r="T2959">
        <v>2.3714900000000001E-2</v>
      </c>
      <c r="U2959">
        <v>-0.1794434</v>
      </c>
      <c r="V2959">
        <v>-0.1174004</v>
      </c>
      <c r="W2959">
        <v>0.16547590000000001</v>
      </c>
      <c r="X2959">
        <v>0.97920110000000005</v>
      </c>
      <c r="Y2959">
        <v>-5.9927109999999999E-2</v>
      </c>
      <c r="Z2959" s="1">
        <v>-9.6618950000000001E-5</v>
      </c>
      <c r="AA2959">
        <v>0.9982027</v>
      </c>
      <c r="AB2959">
        <v>38</v>
      </c>
      <c r="AC2959">
        <v>-148.28579999999999</v>
      </c>
      <c r="AD2959">
        <v>1.16127</v>
      </c>
      <c r="AE2959">
        <v>-8.7876999999999708</v>
      </c>
      <c r="AF2959">
        <v>-8.9138294135994496</v>
      </c>
      <c r="AG2959">
        <v>1.16127</v>
      </c>
      <c r="AH2959">
        <v>148.269177340798</v>
      </c>
      <c r="AI2959">
        <v>89.552067382580503</v>
      </c>
      <c r="AJ2959">
        <v>93.440437431046902</v>
      </c>
      <c r="AK2959">
        <v>148.541421334739</v>
      </c>
      <c r="AL2959">
        <v>80.475118048485797</v>
      </c>
      <c r="AM2959">
        <v>96.836789852062694</v>
      </c>
      <c r="AN2959">
        <v>0.999999960821089</v>
      </c>
    </row>
    <row r="2960" spans="1:40" x14ac:dyDescent="0.25">
      <c r="A2960" t="str">
        <f>"20190304154816006"</f>
        <v>20190304154816006</v>
      </c>
      <c r="B2960" t="str">
        <f>"1551685696000139"</f>
        <v>1551685696000139</v>
      </c>
      <c r="C2960" t="s">
        <v>40</v>
      </c>
      <c r="D2960">
        <v>4.093756</v>
      </c>
      <c r="E2960">
        <v>0.51965479999999997</v>
      </c>
      <c r="F2960" t="s">
        <v>62</v>
      </c>
      <c r="G2960">
        <v>-511.95940000000002</v>
      </c>
      <c r="H2960">
        <v>2.3982329999999998</v>
      </c>
      <c r="I2960">
        <v>276.60390000000001</v>
      </c>
      <c r="J2960">
        <v>-363.92090000000002</v>
      </c>
      <c r="K2960">
        <v>1.110279</v>
      </c>
      <c r="L2960">
        <v>285.4683</v>
      </c>
      <c r="M2960">
        <v>-0.99993270000000001</v>
      </c>
      <c r="N2960">
        <v>-1.158697E-2</v>
      </c>
      <c r="O2960">
        <v>7.8390990000000004E-4</v>
      </c>
      <c r="P2960">
        <v>-0.98093580000000002</v>
      </c>
      <c r="Q2960">
        <v>0.1552888</v>
      </c>
      <c r="R2960">
        <v>-0.11683780000000001</v>
      </c>
      <c r="S2960">
        <v>-3.031952</v>
      </c>
      <c r="T2960">
        <v>2.633607E-2</v>
      </c>
      <c r="U2960">
        <v>-0.18124390000000001</v>
      </c>
      <c r="V2960">
        <v>-0.1176451</v>
      </c>
      <c r="W2960">
        <v>0.16661619999999999</v>
      </c>
      <c r="X2960">
        <v>0.97897840000000003</v>
      </c>
      <c r="Y2960">
        <v>-6.0454590000000002E-2</v>
      </c>
      <c r="Z2960" s="1">
        <v>-7.2365919999999999E-5</v>
      </c>
      <c r="AA2960">
        <v>0.99817100000000003</v>
      </c>
      <c r="AB2960">
        <v>38</v>
      </c>
      <c r="AC2960">
        <v>-148.0385</v>
      </c>
      <c r="AD2960">
        <v>1.287954</v>
      </c>
      <c r="AE2960">
        <v>-8.8643999999999892</v>
      </c>
      <c r="AF2960">
        <v>-8.9797766256162692</v>
      </c>
      <c r="AG2960">
        <v>1.287954</v>
      </c>
      <c r="AH2960">
        <v>148.02034118879999</v>
      </c>
      <c r="AI2960">
        <v>89.502385582542203</v>
      </c>
      <c r="AJ2960">
        <v>93.471641159507996</v>
      </c>
      <c r="AK2960">
        <v>148.29806680938501</v>
      </c>
      <c r="AL2960">
        <v>80.408864475071795</v>
      </c>
      <c r="AM2960">
        <v>96.852448253316695</v>
      </c>
      <c r="AN2960">
        <v>1.0000000176615</v>
      </c>
    </row>
    <row r="2961" spans="1:40" x14ac:dyDescent="0.25">
      <c r="A2961" t="str">
        <f>"20190304154816019"</f>
        <v>20190304154816019</v>
      </c>
      <c r="B2961" t="str">
        <f>"1551685696009899"</f>
        <v>1551685696009899</v>
      </c>
      <c r="C2961" t="s">
        <v>40</v>
      </c>
      <c r="D2961">
        <v>4.1055970000000004</v>
      </c>
      <c r="E2961">
        <v>0.51961869999999999</v>
      </c>
      <c r="F2961" t="s">
        <v>62</v>
      </c>
      <c r="G2961">
        <v>-511.95949999999999</v>
      </c>
      <c r="H2961">
        <v>2.5978469999999998</v>
      </c>
      <c r="I2961">
        <v>276.55860000000001</v>
      </c>
      <c r="J2961">
        <v>-364.11360000000002</v>
      </c>
      <c r="K2961">
        <v>1.1102810000000001</v>
      </c>
      <c r="L2961">
        <v>285.46839999999997</v>
      </c>
      <c r="M2961">
        <v>-0.99993270000000001</v>
      </c>
      <c r="N2961">
        <v>-1.159169E-2</v>
      </c>
      <c r="O2961">
        <v>7.289881E-4</v>
      </c>
      <c r="P2961">
        <v>-0.98085710000000004</v>
      </c>
      <c r="Q2961">
        <v>0.15575890000000001</v>
      </c>
      <c r="R2961">
        <v>-0.1168719</v>
      </c>
      <c r="S2961">
        <v>-3.0317379999999998</v>
      </c>
      <c r="T2961">
        <v>3.046608E-2</v>
      </c>
      <c r="U2961">
        <v>-0.1824646</v>
      </c>
      <c r="V2961">
        <v>-0.1176252</v>
      </c>
      <c r="W2961">
        <v>0.16709009999999999</v>
      </c>
      <c r="X2961">
        <v>0.97889999999999999</v>
      </c>
      <c r="Y2961">
        <v>-6.0804120000000003E-2</v>
      </c>
      <c r="Z2961" s="1">
        <v>-3.1751000000000001E-5</v>
      </c>
      <c r="AA2961">
        <v>0.99814970000000003</v>
      </c>
      <c r="AB2961">
        <v>38</v>
      </c>
      <c r="AC2961">
        <v>-147.84589999999901</v>
      </c>
      <c r="AD2961">
        <v>1.4875659999999999</v>
      </c>
      <c r="AE2961">
        <v>-8.9097999999999598</v>
      </c>
      <c r="AF2961">
        <v>-9.0166732526815903</v>
      </c>
      <c r="AG2961">
        <v>1.4875659999999999</v>
      </c>
      <c r="AH2961">
        <v>147.82445416991399</v>
      </c>
      <c r="AI2961">
        <v>89.424518201359007</v>
      </c>
      <c r="AJ2961">
        <v>93.490478366041003</v>
      </c>
      <c r="AK2961">
        <v>148.10665920134301</v>
      </c>
      <c r="AL2961">
        <v>80.381325788432406</v>
      </c>
      <c r="AM2961">
        <v>96.851843664587307</v>
      </c>
      <c r="AN2961">
        <v>0.99999999959652497</v>
      </c>
    </row>
    <row r="2962" spans="1:40" x14ac:dyDescent="0.25">
      <c r="A2962" t="str">
        <f>"20190304154816040"</f>
        <v>20190304154816040</v>
      </c>
      <c r="B2962" t="str">
        <f>"1551685696029418"</f>
        <v>1551685696029418</v>
      </c>
      <c r="C2962" t="s">
        <v>40</v>
      </c>
      <c r="D2962">
        <v>4.0857089999999996</v>
      </c>
      <c r="E2962">
        <v>0.51927670000000004</v>
      </c>
      <c r="F2962" t="s">
        <v>62</v>
      </c>
      <c r="G2962">
        <v>-511.95949999999999</v>
      </c>
      <c r="H2962">
        <v>2.6904379999999999</v>
      </c>
      <c r="I2962">
        <v>276.55650000000003</v>
      </c>
      <c r="J2962">
        <v>-364.47230000000002</v>
      </c>
      <c r="K2962">
        <v>1.110282</v>
      </c>
      <c r="L2962">
        <v>285.46859999999998</v>
      </c>
      <c r="M2962">
        <v>-0.9999325</v>
      </c>
      <c r="N2962">
        <v>-1.160141E-2</v>
      </c>
      <c r="O2962">
        <v>6.2659269999999995E-4</v>
      </c>
      <c r="P2962">
        <v>-0.98072280000000001</v>
      </c>
      <c r="Q2962">
        <v>0.15648139999999999</v>
      </c>
      <c r="R2962">
        <v>-0.117031</v>
      </c>
      <c r="S2962">
        <v>-3.0316160000000001</v>
      </c>
      <c r="T2962">
        <v>3.2403109999999999E-2</v>
      </c>
      <c r="U2962">
        <v>-0.18273929999999999</v>
      </c>
      <c r="V2962">
        <v>-0.1176842</v>
      </c>
      <c r="W2962">
        <v>0.16782059999999999</v>
      </c>
      <c r="X2962">
        <v>0.97876790000000002</v>
      </c>
      <c r="Y2962">
        <v>-6.0794260000000003E-2</v>
      </c>
      <c r="Z2962" s="1">
        <v>-1.443387E-5</v>
      </c>
      <c r="AA2962">
        <v>0.99815030000000005</v>
      </c>
      <c r="AB2962">
        <v>38</v>
      </c>
      <c r="AC2962">
        <v>-147.48719999999901</v>
      </c>
      <c r="AD2962">
        <v>1.5801559999999999</v>
      </c>
      <c r="AE2962">
        <v>-8.9120999999999508</v>
      </c>
      <c r="AF2962">
        <v>-9.0034891531122607</v>
      </c>
      <c r="AG2962">
        <v>1.5801559999999999</v>
      </c>
      <c r="AH2962">
        <v>147.464721014628</v>
      </c>
      <c r="AI2962">
        <v>89.387212439282493</v>
      </c>
      <c r="AJ2962">
        <v>93.493868609822101</v>
      </c>
      <c r="AK2962">
        <v>147.74777038533099</v>
      </c>
      <c r="AL2962">
        <v>80.338871401965406</v>
      </c>
      <c r="AM2962">
        <v>96.856164221211799</v>
      </c>
      <c r="AN2962">
        <v>0.99999996339220398</v>
      </c>
    </row>
    <row r="2963" spans="1:40" x14ac:dyDescent="0.25">
      <c r="A2963" t="str">
        <f>"20190304154816054"</f>
        <v>20190304154816054</v>
      </c>
      <c r="B2963" t="str">
        <f>"1551685696049915"</f>
        <v>1551685696049915</v>
      </c>
      <c r="C2963" t="s">
        <v>40</v>
      </c>
      <c r="D2963">
        <v>4.1004940000000003</v>
      </c>
      <c r="E2963">
        <v>0.51893219999999995</v>
      </c>
      <c r="F2963" t="s">
        <v>62</v>
      </c>
      <c r="G2963">
        <v>-511.95949999999999</v>
      </c>
      <c r="H2963">
        <v>2.7257159999999998</v>
      </c>
      <c r="I2963">
        <v>276.40559999999999</v>
      </c>
      <c r="J2963">
        <v>-364.70830000000001</v>
      </c>
      <c r="K2963">
        <v>1.1102860000000001</v>
      </c>
      <c r="L2963">
        <v>285.46859999999998</v>
      </c>
      <c r="M2963">
        <v>-0.99993259999999995</v>
      </c>
      <c r="N2963">
        <v>-1.1609390000000001E-2</v>
      </c>
      <c r="O2963">
        <v>5.5895489999999897E-4</v>
      </c>
      <c r="P2963">
        <v>-0.98068809999999995</v>
      </c>
      <c r="Q2963">
        <v>0.15655939999999999</v>
      </c>
      <c r="R2963">
        <v>-0.1172192</v>
      </c>
      <c r="S2963">
        <v>-3.0314329999999998</v>
      </c>
      <c r="T2963">
        <v>3.3205030000000003E-2</v>
      </c>
      <c r="U2963">
        <v>-0.18627930000000001</v>
      </c>
      <c r="V2963">
        <v>-0.1178061</v>
      </c>
      <c r="W2963">
        <v>0.16790620000000001</v>
      </c>
      <c r="X2963">
        <v>0.97873860000000001</v>
      </c>
      <c r="Y2963">
        <v>-6.1891580000000002E-2</v>
      </c>
      <c r="Z2963" s="1">
        <v>-8.3746850000000003E-6</v>
      </c>
      <c r="AA2963">
        <v>0.9980829</v>
      </c>
      <c r="AB2963">
        <v>38</v>
      </c>
      <c r="AC2963">
        <v>-147.25119999999899</v>
      </c>
      <c r="AD2963">
        <v>1.6154299999999899</v>
      </c>
      <c r="AE2963">
        <v>-9.0629999999999793</v>
      </c>
      <c r="AF2963">
        <v>-9.1442145141408808</v>
      </c>
      <c r="AG2963">
        <v>1.6154299999999899</v>
      </c>
      <c r="AH2963">
        <v>147.228458260324</v>
      </c>
      <c r="AI2963">
        <v>89.372569522059194</v>
      </c>
      <c r="AJ2963">
        <v>93.554019205840703</v>
      </c>
      <c r="AK2963">
        <v>147.52099916580499</v>
      </c>
      <c r="AL2963">
        <v>80.333896724407793</v>
      </c>
      <c r="AM2963">
        <v>96.863401789795603</v>
      </c>
      <c r="AN2963">
        <v>1.0000000081628</v>
      </c>
    </row>
    <row r="2964" spans="1:40" x14ac:dyDescent="0.25">
      <c r="A2964" t="str">
        <f>"20190304154816068"</f>
        <v>20190304154816068</v>
      </c>
      <c r="B2964" t="str">
        <f>"1551685696059675"</f>
        <v>1551685696059675</v>
      </c>
      <c r="C2964" t="s">
        <v>40</v>
      </c>
      <c r="D2964">
        <v>4.0883279999999997</v>
      </c>
      <c r="E2964">
        <v>0.51887709999999998</v>
      </c>
      <c r="F2964" t="s">
        <v>62</v>
      </c>
      <c r="G2964">
        <v>-511.95949999999999</v>
      </c>
      <c r="H2964">
        <v>2.6919360000000001</v>
      </c>
      <c r="I2964">
        <v>276.26229999999998</v>
      </c>
      <c r="J2964">
        <v>-364.95490000000001</v>
      </c>
      <c r="K2964">
        <v>1.110287</v>
      </c>
      <c r="L2964">
        <v>285.46870000000001</v>
      </c>
      <c r="M2964">
        <v>-0.9999323</v>
      </c>
      <c r="N2964">
        <v>-1.1619279999999999E-2</v>
      </c>
      <c r="O2964">
        <v>4.8815069999999999E-4</v>
      </c>
      <c r="P2964">
        <v>-0.98062850000000001</v>
      </c>
      <c r="Q2964">
        <v>0.1567027</v>
      </c>
      <c r="R2964">
        <v>-0.1175248</v>
      </c>
      <c r="S2964">
        <v>-3.0312190000000001</v>
      </c>
      <c r="T2964">
        <v>3.2560470000000001E-2</v>
      </c>
      <c r="U2964">
        <v>-0.18951419999999999</v>
      </c>
      <c r="V2964">
        <v>-0.11804190000000001</v>
      </c>
      <c r="W2964">
        <v>0.1680585</v>
      </c>
      <c r="X2964">
        <v>0.97868409999999995</v>
      </c>
      <c r="Y2964">
        <v>-6.2886360000000002E-2</v>
      </c>
      <c r="Z2964" s="1">
        <v>-1.7395999999999899E-5</v>
      </c>
      <c r="AA2964">
        <v>0.99802069999999998</v>
      </c>
      <c r="AB2964">
        <v>38</v>
      </c>
      <c r="AC2964">
        <v>-147.00459999999899</v>
      </c>
      <c r="AD2964">
        <v>1.5816490000000001</v>
      </c>
      <c r="AE2964">
        <v>-9.2064000000000306</v>
      </c>
      <c r="AF2964">
        <v>-9.2770944307504895</v>
      </c>
      <c r="AG2964">
        <v>1.5816490000000001</v>
      </c>
      <c r="AH2964">
        <v>146.983139778538</v>
      </c>
      <c r="AI2964">
        <v>89.3847024410139</v>
      </c>
      <c r="AJ2964">
        <v>93.611531272520395</v>
      </c>
      <c r="AK2964">
        <v>147.28411140986501</v>
      </c>
      <c r="AL2964">
        <v>80.325045283835294</v>
      </c>
      <c r="AM2964">
        <v>96.877387395529297</v>
      </c>
      <c r="AN2964">
        <v>1.0000000585853299</v>
      </c>
    </row>
    <row r="2965" spans="1:40" x14ac:dyDescent="0.25">
      <c r="A2965" t="str">
        <f>"20190304154816083"</f>
        <v>20190304154816083</v>
      </c>
      <c r="B2965" t="str">
        <f>"1551685696080172"</f>
        <v>1551685696080172</v>
      </c>
      <c r="C2965" t="s">
        <v>40</v>
      </c>
      <c r="D2965">
        <v>4.0669559999999896</v>
      </c>
      <c r="E2965">
        <v>0.51850549999999995</v>
      </c>
      <c r="F2965" t="s">
        <v>62</v>
      </c>
      <c r="G2965">
        <v>-511.95949999999999</v>
      </c>
      <c r="H2965">
        <v>2.7272080000000001</v>
      </c>
      <c r="I2965">
        <v>276.20620000000002</v>
      </c>
      <c r="J2965">
        <v>-365.17469999999997</v>
      </c>
      <c r="K2965">
        <v>1.1102920000000001</v>
      </c>
      <c r="L2965">
        <v>285.46879999999999</v>
      </c>
      <c r="M2965">
        <v>-0.99993240000000005</v>
      </c>
      <c r="N2965">
        <v>-1.162841E-2</v>
      </c>
      <c r="O2965">
        <v>4.2503659999999999E-4</v>
      </c>
      <c r="P2965">
        <v>-0.98066350000000002</v>
      </c>
      <c r="Q2965">
        <v>0.15650059999999999</v>
      </c>
      <c r="R2965">
        <v>-0.117503</v>
      </c>
      <c r="S2965">
        <v>-3.0310359999999998</v>
      </c>
      <c r="T2965">
        <v>3.3340330000000001E-2</v>
      </c>
      <c r="U2965">
        <v>-0.19097900000000001</v>
      </c>
      <c r="V2965">
        <v>-0.1179581</v>
      </c>
      <c r="W2965">
        <v>0.16786579999999901</v>
      </c>
      <c r="X2965">
        <v>0.97872720000000002</v>
      </c>
      <c r="Y2965">
        <v>-6.3307470000000005E-2</v>
      </c>
      <c r="Z2965" s="1">
        <v>-1.102645E-5</v>
      </c>
      <c r="AA2965">
        <v>0.9979941</v>
      </c>
      <c r="AB2965">
        <v>38</v>
      </c>
      <c r="AC2965">
        <v>-146.78479999999999</v>
      </c>
      <c r="AD2965">
        <v>1.616916</v>
      </c>
      <c r="AE2965">
        <v>-9.26259999999996</v>
      </c>
      <c r="AF2965">
        <v>-9.3238653943547796</v>
      </c>
      <c r="AG2965">
        <v>1.616916</v>
      </c>
      <c r="AH2965">
        <v>146.76311156757899</v>
      </c>
      <c r="AI2965">
        <v>89.370057334262</v>
      </c>
      <c r="AJ2965">
        <v>93.635117520608802</v>
      </c>
      <c r="AK2965">
        <v>147.06787480697699</v>
      </c>
      <c r="AL2965">
        <v>80.336244586181706</v>
      </c>
      <c r="AM2965">
        <v>96.872251980245693</v>
      </c>
      <c r="AN2965">
        <v>0.99999998609254404</v>
      </c>
    </row>
    <row r="2966" spans="1:40" x14ac:dyDescent="0.25">
      <c r="A2966" t="str">
        <f>"20190304154816096"</f>
        <v>20190304154816096</v>
      </c>
      <c r="B2966" t="str">
        <f>"1551685696089931"</f>
        <v>1551685696089931</v>
      </c>
      <c r="C2966" t="s">
        <v>40</v>
      </c>
      <c r="D2966">
        <v>4.0815349999999997</v>
      </c>
      <c r="E2966">
        <v>0.51848159999999999</v>
      </c>
      <c r="F2966" t="s">
        <v>62</v>
      </c>
      <c r="G2966">
        <v>-511.95949999999999</v>
      </c>
      <c r="H2966">
        <v>2.6291350000000002</v>
      </c>
      <c r="I2966">
        <v>276.09269999999998</v>
      </c>
      <c r="J2966">
        <v>-365.41759999999999</v>
      </c>
      <c r="K2966">
        <v>1.110293</v>
      </c>
      <c r="L2966">
        <v>285.46879999999999</v>
      </c>
      <c r="M2966">
        <v>-0.9999323</v>
      </c>
      <c r="N2966">
        <v>-1.163842E-2</v>
      </c>
      <c r="O2966">
        <v>3.5536010000000002E-4</v>
      </c>
      <c r="P2966">
        <v>-0.98066739999999997</v>
      </c>
      <c r="Q2966">
        <v>0.15636929999999999</v>
      </c>
      <c r="R2966">
        <v>-0.11764579999999999</v>
      </c>
      <c r="S2966">
        <v>-3.0309140000000001</v>
      </c>
      <c r="T2966">
        <v>3.1363729999999999E-2</v>
      </c>
      <c r="U2966">
        <v>-0.19360350000000001</v>
      </c>
      <c r="V2966">
        <v>-0.1180329</v>
      </c>
      <c r="W2966">
        <v>0.16774449999999999</v>
      </c>
      <c r="X2966">
        <v>0.97873900000000003</v>
      </c>
      <c r="Y2966">
        <v>-6.4101379999999999E-2</v>
      </c>
      <c r="Z2966" s="1">
        <v>-3.429322E-5</v>
      </c>
      <c r="AA2966">
        <v>0.99794340000000004</v>
      </c>
      <c r="AB2966">
        <v>38</v>
      </c>
      <c r="AC2966">
        <v>-146.5419</v>
      </c>
      <c r="AD2966">
        <v>1.51884199999999</v>
      </c>
      <c r="AE2966">
        <v>-9.3760999999999992</v>
      </c>
      <c r="AF2966">
        <v>-9.4271694986213497</v>
      </c>
      <c r="AG2966">
        <v>1.51884199999999</v>
      </c>
      <c r="AH2966">
        <v>146.52288271914799</v>
      </c>
      <c r="AI2966">
        <v>89.407324121683104</v>
      </c>
      <c r="AJ2966">
        <v>93.681292334942697</v>
      </c>
      <c r="AK2966">
        <v>146.833693565564</v>
      </c>
      <c r="AL2966">
        <v>80.343294729666994</v>
      </c>
      <c r="AM2966">
        <v>96.8764860091255</v>
      </c>
      <c r="AN2966">
        <v>1.00000000644183</v>
      </c>
    </row>
    <row r="2967" spans="1:40" x14ac:dyDescent="0.25">
      <c r="A2967" t="str">
        <f>"20190304154816109"</f>
        <v>20190304154816109</v>
      </c>
      <c r="B2967" t="str">
        <f>"1551685696099691"</f>
        <v>1551685696099691</v>
      </c>
      <c r="C2967" t="s">
        <v>40</v>
      </c>
      <c r="D2967">
        <v>4.113499</v>
      </c>
      <c r="E2967">
        <v>0.5182563</v>
      </c>
      <c r="F2967" t="s">
        <v>62</v>
      </c>
      <c r="G2967">
        <v>-511.95949999999999</v>
      </c>
      <c r="H2967">
        <v>2.621524</v>
      </c>
      <c r="I2967">
        <v>276.07409999999999</v>
      </c>
      <c r="J2967">
        <v>-365.63810000000001</v>
      </c>
      <c r="K2967">
        <v>1.1102939999999999</v>
      </c>
      <c r="L2967">
        <v>285.46879999999999</v>
      </c>
      <c r="M2967">
        <v>-0.99993220000000005</v>
      </c>
      <c r="N2967">
        <v>-1.16472E-2</v>
      </c>
      <c r="O2967">
        <v>2.9230679999999999E-4</v>
      </c>
      <c r="P2967">
        <v>-0.98066169999999997</v>
      </c>
      <c r="Q2967">
        <v>0.15635850000000001</v>
      </c>
      <c r="R2967">
        <v>-0.1177074</v>
      </c>
      <c r="S2967">
        <v>-3.0308839999999999</v>
      </c>
      <c r="T2967">
        <v>3.1257989999999999E-2</v>
      </c>
      <c r="U2967">
        <v>-0.19430539999999999</v>
      </c>
      <c r="V2967">
        <v>-0.1180325</v>
      </c>
      <c r="W2967">
        <v>0.16774259999999999</v>
      </c>
      <c r="X2967">
        <v>0.97873940000000004</v>
      </c>
      <c r="Y2967">
        <v>-6.4269270000000003E-2</v>
      </c>
      <c r="Z2967" s="1">
        <v>-3.7200170000000001E-5</v>
      </c>
      <c r="AA2967">
        <v>0.99793259999999995</v>
      </c>
      <c r="AB2967">
        <v>38</v>
      </c>
      <c r="AC2967">
        <v>-146.32139999999899</v>
      </c>
      <c r="AD2967">
        <v>1.5112300000000001</v>
      </c>
      <c r="AE2967">
        <v>-9.3947000000000003</v>
      </c>
      <c r="AF2967">
        <v>-9.4364707739533795</v>
      </c>
      <c r="AG2967">
        <v>1.5112300000000001</v>
      </c>
      <c r="AH2967">
        <v>146.303105233286</v>
      </c>
      <c r="AI2967">
        <v>89.409414505777093</v>
      </c>
      <c r="AJ2967">
        <v>93.690434680186996</v>
      </c>
      <c r="AK2967">
        <v>146.61490169039001</v>
      </c>
      <c r="AL2967">
        <v>80.343405405601999</v>
      </c>
      <c r="AM2967">
        <v>96.876460145209904</v>
      </c>
      <c r="AN2967">
        <v>1.00000003201168</v>
      </c>
    </row>
    <row r="2968" spans="1:40" x14ac:dyDescent="0.25">
      <c r="A2968" t="str">
        <f>"20190304154816124"</f>
        <v>20190304154816124</v>
      </c>
      <c r="B2968" t="str">
        <f>"1551685696120187"</f>
        <v>1551685696120187</v>
      </c>
      <c r="C2968" t="s">
        <v>40</v>
      </c>
      <c r="D2968">
        <v>4.0604930000000001</v>
      </c>
      <c r="E2968">
        <v>0.51800930000000001</v>
      </c>
      <c r="F2968" t="s">
        <v>62</v>
      </c>
      <c r="G2968">
        <v>-511.95949999999999</v>
      </c>
      <c r="H2968">
        <v>2.5626799999999998</v>
      </c>
      <c r="I2968">
        <v>276.00099999999998</v>
      </c>
      <c r="J2968">
        <v>-365.86590000000001</v>
      </c>
      <c r="K2968">
        <v>1.1102970000000001</v>
      </c>
      <c r="L2968">
        <v>285.46879999999999</v>
      </c>
      <c r="M2968">
        <v>-0.99993209999999999</v>
      </c>
      <c r="N2968">
        <v>-1.165573E-2</v>
      </c>
      <c r="O2968">
        <v>2.2699260000000001E-4</v>
      </c>
      <c r="P2968">
        <v>-0.98068829999999996</v>
      </c>
      <c r="Q2968">
        <v>0.15618119999999999</v>
      </c>
      <c r="R2968">
        <v>-0.11772150000000001</v>
      </c>
      <c r="S2968">
        <v>-3.0307620000000002</v>
      </c>
      <c r="T2968">
        <v>3.0084969999999999E-2</v>
      </c>
      <c r="U2968">
        <v>-0.196106</v>
      </c>
      <c r="V2968">
        <v>-0.1179823</v>
      </c>
      <c r="W2968">
        <v>0.16757379999999999</v>
      </c>
      <c r="X2968">
        <v>0.97877429999999999</v>
      </c>
      <c r="Y2968">
        <v>-6.4797190000000005E-2</v>
      </c>
      <c r="Z2968" s="1">
        <v>-5.1879149999999999E-5</v>
      </c>
      <c r="AA2968">
        <v>0.99789850000000002</v>
      </c>
      <c r="AB2968">
        <v>38</v>
      </c>
      <c r="AC2968">
        <v>-146.09359999999899</v>
      </c>
      <c r="AD2968">
        <v>1.452383</v>
      </c>
      <c r="AE2968">
        <v>-9.4678000000000093</v>
      </c>
      <c r="AF2968">
        <v>-9.5000291880212799</v>
      </c>
      <c r="AG2968">
        <v>1.452383</v>
      </c>
      <c r="AH2968">
        <v>146.07707018286101</v>
      </c>
      <c r="AI2968">
        <v>89.4315516515274</v>
      </c>
      <c r="AJ2968">
        <v>93.720954532353204</v>
      </c>
      <c r="AK2968">
        <v>146.39286322823401</v>
      </c>
      <c r="AL2968">
        <v>80.353215153787005</v>
      </c>
      <c r="AM2968">
        <v>96.873320782129994</v>
      </c>
      <c r="AN2968">
        <v>0.99999996595010898</v>
      </c>
    </row>
    <row r="2969" spans="1:40" x14ac:dyDescent="0.25">
      <c r="A2969" t="str">
        <f>"20190304154816137"</f>
        <v>20190304154816137</v>
      </c>
      <c r="B2969" t="str">
        <f>"1551685696129948"</f>
        <v>1551685696129948</v>
      </c>
      <c r="C2969" t="s">
        <v>40</v>
      </c>
      <c r="D2969">
        <v>4.0584579999999999</v>
      </c>
      <c r="E2969">
        <v>0.51796520000000001</v>
      </c>
      <c r="F2969" t="s">
        <v>62</v>
      </c>
      <c r="G2969">
        <v>-511.95940000000002</v>
      </c>
      <c r="H2969">
        <v>2.5068890000000001</v>
      </c>
      <c r="I2969">
        <v>275.9126</v>
      </c>
      <c r="J2969">
        <v>-366.10059999999999</v>
      </c>
      <c r="K2969">
        <v>1.1102959999999999</v>
      </c>
      <c r="L2969">
        <v>285.46879999999999</v>
      </c>
      <c r="M2969">
        <v>-0.99993200000000004</v>
      </c>
      <c r="N2969">
        <v>-1.166418E-2</v>
      </c>
      <c r="O2969">
        <v>1.597116E-4</v>
      </c>
      <c r="P2969">
        <v>-0.98062749999999999</v>
      </c>
      <c r="Q2969">
        <v>0.1565057</v>
      </c>
      <c r="R2969">
        <v>-0.1177962</v>
      </c>
      <c r="S2969">
        <v>-3.0307010000000001</v>
      </c>
      <c r="T2969">
        <v>2.8973820000000001E-2</v>
      </c>
      <c r="U2969">
        <v>-0.19824220000000001</v>
      </c>
      <c r="V2969">
        <v>-0.1179914</v>
      </c>
      <c r="W2969">
        <v>0.16790569999999999</v>
      </c>
      <c r="X2969">
        <v>0.97871640000000004</v>
      </c>
      <c r="Y2969">
        <v>-6.5431859999999994E-2</v>
      </c>
      <c r="Z2969" s="1">
        <v>-6.6209990000000004E-5</v>
      </c>
      <c r="AA2969">
        <v>0.99785699999999999</v>
      </c>
      <c r="AB2969">
        <v>38</v>
      </c>
      <c r="AC2969">
        <v>-145.8588</v>
      </c>
      <c r="AD2969">
        <v>1.396593</v>
      </c>
      <c r="AE2969">
        <v>-9.5561999999999898</v>
      </c>
      <c r="AF2969">
        <v>-9.5786223899133294</v>
      </c>
      <c r="AG2969">
        <v>1.396593</v>
      </c>
      <c r="AH2969">
        <v>145.843957979327</v>
      </c>
      <c r="AI2969">
        <v>89.452535219668107</v>
      </c>
      <c r="AJ2969">
        <v>93.757629573171698</v>
      </c>
      <c r="AK2969">
        <v>146.16484036173699</v>
      </c>
      <c r="AL2969">
        <v>80.333926125792004</v>
      </c>
      <c r="AM2969">
        <v>96.874248610299205</v>
      </c>
      <c r="AN2969">
        <v>1.0000000430977001</v>
      </c>
    </row>
    <row r="2970" spans="1:40" x14ac:dyDescent="0.25">
      <c r="A2970" t="str">
        <f>"20190304154816149"</f>
        <v>20190304154816149</v>
      </c>
      <c r="B2970" t="str">
        <f>"1551685696139708"</f>
        <v>1551685696139708</v>
      </c>
      <c r="C2970" t="s">
        <v>40</v>
      </c>
      <c r="D2970">
        <v>4.0714670000000002</v>
      </c>
      <c r="E2970">
        <v>0.51774900000000001</v>
      </c>
      <c r="F2970" t="s">
        <v>62</v>
      </c>
      <c r="G2970">
        <v>-511.95949999999999</v>
      </c>
      <c r="H2970">
        <v>2.5615190000000001</v>
      </c>
      <c r="I2970">
        <v>275.88619999999997</v>
      </c>
      <c r="J2970">
        <v>-366.31389999999999</v>
      </c>
      <c r="K2970">
        <v>1.1102970000000001</v>
      </c>
      <c r="L2970">
        <v>285.46879999999999</v>
      </c>
      <c r="M2970">
        <v>-0.99993189999999998</v>
      </c>
      <c r="N2970">
        <v>-1.167151E-2</v>
      </c>
      <c r="O2970" s="1">
        <v>9.8634469999999997E-5</v>
      </c>
      <c r="P2970">
        <v>-0.98063049999999996</v>
      </c>
      <c r="Q2970">
        <v>0.15651039999999999</v>
      </c>
      <c r="R2970">
        <v>-0.1177653</v>
      </c>
      <c r="S2970">
        <v>-3.0305179999999998</v>
      </c>
      <c r="T2970">
        <v>3.015375E-2</v>
      </c>
      <c r="U2970">
        <v>-0.19909669999999999</v>
      </c>
      <c r="V2970">
        <v>-0.11790059999999999</v>
      </c>
      <c r="W2970">
        <v>0.16791789999999901</v>
      </c>
      <c r="X2970">
        <v>0.97872519999999996</v>
      </c>
      <c r="Y2970">
        <v>-6.5654909999999997E-2</v>
      </c>
      <c r="Z2970" s="1">
        <v>-5.516503E-5</v>
      </c>
      <c r="AA2970">
        <v>0.99784240000000002</v>
      </c>
      <c r="AB2970">
        <v>38</v>
      </c>
      <c r="AC2970">
        <v>-145.6456</v>
      </c>
      <c r="AD2970">
        <v>1.45122199999999</v>
      </c>
      <c r="AE2970">
        <v>-9.58260000000001</v>
      </c>
      <c r="AF2970">
        <v>-9.5960179973949504</v>
      </c>
      <c r="AG2970">
        <v>1.45122199999999</v>
      </c>
      <c r="AH2970">
        <v>145.63025782653</v>
      </c>
      <c r="AI2970">
        <v>89.430295347674203</v>
      </c>
      <c r="AJ2970">
        <v>93.769942221981694</v>
      </c>
      <c r="AK2970">
        <v>145.95328568182799</v>
      </c>
      <c r="AL2970">
        <v>80.3332165791671</v>
      </c>
      <c r="AM2970">
        <v>96.868947940048898</v>
      </c>
      <c r="AN2970">
        <v>0.99999999486790403</v>
      </c>
    </row>
    <row r="2971" spans="1:40" x14ac:dyDescent="0.25">
      <c r="A2971" t="str">
        <f>"20190304154816164"</f>
        <v>20190304154816164</v>
      </c>
      <c r="B2971" t="str">
        <f>"1551685696160204"</f>
        <v>1551685696160204</v>
      </c>
      <c r="C2971" t="s">
        <v>40</v>
      </c>
      <c r="D2971">
        <v>4.0371699999999997</v>
      </c>
      <c r="E2971">
        <v>0.51751590000000003</v>
      </c>
      <c r="F2971" t="s">
        <v>62</v>
      </c>
      <c r="G2971">
        <v>-511.95949999999999</v>
      </c>
      <c r="H2971">
        <v>2.5187059999999999</v>
      </c>
      <c r="I2971">
        <v>275.8297</v>
      </c>
      <c r="J2971">
        <v>-366.53980000000001</v>
      </c>
      <c r="K2971">
        <v>1.1103019999999999</v>
      </c>
      <c r="L2971">
        <v>285.46879999999999</v>
      </c>
      <c r="M2971">
        <v>-0.99993189999999998</v>
      </c>
      <c r="N2971">
        <v>-1.1678880000000001E-2</v>
      </c>
      <c r="O2971" s="1">
        <v>3.3507070000000001E-5</v>
      </c>
      <c r="P2971">
        <v>-0.98067249999999995</v>
      </c>
      <c r="Q2971">
        <v>0.15632279999999901</v>
      </c>
      <c r="R2971">
        <v>-0.117664</v>
      </c>
      <c r="S2971">
        <v>-3.0304869999999999</v>
      </c>
      <c r="T2971">
        <v>2.9306769999999999E-2</v>
      </c>
      <c r="U2971">
        <v>-0.2005615</v>
      </c>
      <c r="V2971">
        <v>-0.1177358</v>
      </c>
      <c r="W2971">
        <v>0.16773829999999901</v>
      </c>
      <c r="X2971">
        <v>0.97877590000000003</v>
      </c>
      <c r="Y2971">
        <v>-6.6070909999999997E-2</v>
      </c>
      <c r="Z2971" s="1">
        <v>-6.6417440000000002E-5</v>
      </c>
      <c r="AA2971">
        <v>0.99781500000000001</v>
      </c>
      <c r="AB2971">
        <v>38</v>
      </c>
      <c r="AC2971">
        <v>-145.41969999999901</v>
      </c>
      <c r="AD2971">
        <v>1.408404</v>
      </c>
      <c r="AE2971">
        <v>-9.6390999999999796</v>
      </c>
      <c r="AF2971">
        <v>-9.6430723403568397</v>
      </c>
      <c r="AG2971">
        <v>1.408404</v>
      </c>
      <c r="AH2971">
        <v>145.405797356107</v>
      </c>
      <c r="AI2971">
        <v>89.446265360684507</v>
      </c>
      <c r="AJ2971">
        <v>93.794205519852497</v>
      </c>
      <c r="AK2971">
        <v>145.73200866918</v>
      </c>
      <c r="AL2971">
        <v>80.343655583024201</v>
      </c>
      <c r="AM2971">
        <v>96.859086223201899</v>
      </c>
      <c r="AN2971">
        <v>1.0000000591546601</v>
      </c>
    </row>
    <row r="2972" spans="1:40" x14ac:dyDescent="0.25">
      <c r="A2972" t="str">
        <f>"20190304154816177"</f>
        <v>20190304154816177</v>
      </c>
      <c r="B2972" t="str">
        <f>"1551685696169964"</f>
        <v>1551685696169964</v>
      </c>
      <c r="C2972" t="s">
        <v>40</v>
      </c>
      <c r="D2972">
        <v>4.0339140000000002</v>
      </c>
      <c r="E2972">
        <v>0.51731799999999994</v>
      </c>
      <c r="F2972" t="s">
        <v>62</v>
      </c>
      <c r="G2972">
        <v>-511.95940000000002</v>
      </c>
      <c r="H2972">
        <v>2.453265</v>
      </c>
      <c r="I2972">
        <v>275.77260000000001</v>
      </c>
      <c r="J2972">
        <v>-366.7681</v>
      </c>
      <c r="K2972">
        <v>1.1103050000000001</v>
      </c>
      <c r="L2972">
        <v>285.46859999999998</v>
      </c>
      <c r="M2972">
        <v>-0.99993180000000004</v>
      </c>
      <c r="N2972">
        <v>-1.1686E-2</v>
      </c>
      <c r="O2972" s="1">
        <v>-3.2096479999999999E-5</v>
      </c>
      <c r="P2972">
        <v>-0.98068900000000003</v>
      </c>
      <c r="Q2972">
        <v>0.1562404</v>
      </c>
      <c r="R2972">
        <v>-0.11763709999999999</v>
      </c>
      <c r="S2972">
        <v>-3.0303960000000001</v>
      </c>
      <c r="T2972">
        <v>2.7987600000000001E-2</v>
      </c>
      <c r="U2972">
        <v>-0.20205690000000001</v>
      </c>
      <c r="V2972">
        <v>-0.117644</v>
      </c>
      <c r="W2972">
        <v>0.16766320000000001</v>
      </c>
      <c r="X2972">
        <v>0.9787998</v>
      </c>
      <c r="Y2972">
        <v>-6.6497769999999998E-2</v>
      </c>
      <c r="Z2972" s="1">
        <v>-8.2932060000000002E-5</v>
      </c>
      <c r="AA2972">
        <v>0.99778659999999997</v>
      </c>
      <c r="AB2972">
        <v>38</v>
      </c>
      <c r="AC2972">
        <v>-145.19130000000001</v>
      </c>
      <c r="AD2972">
        <v>1.3429599999999999</v>
      </c>
      <c r="AE2972">
        <v>-9.6959999999999695</v>
      </c>
      <c r="AF2972">
        <v>-9.6905141573659908</v>
      </c>
      <c r="AG2972">
        <v>1.3429599999999999</v>
      </c>
      <c r="AH2972">
        <v>145.179245502691</v>
      </c>
      <c r="AI2972">
        <v>89.471185300737105</v>
      </c>
      <c r="AJ2972">
        <v>93.818749559974606</v>
      </c>
      <c r="AK2972">
        <v>145.50849779626699</v>
      </c>
      <c r="AL2972">
        <v>80.348020258329797</v>
      </c>
      <c r="AM2972">
        <v>96.853623242627194</v>
      </c>
      <c r="AN2972">
        <v>1.0000000539251299</v>
      </c>
    </row>
    <row r="2973" spans="1:40" x14ac:dyDescent="0.25">
      <c r="A2973" t="str">
        <f>"20190304154816190"</f>
        <v>20190304154816190</v>
      </c>
      <c r="B2973" t="str">
        <f>"1551685696179723"</f>
        <v>1551685696179723</v>
      </c>
      <c r="C2973" t="s">
        <v>40</v>
      </c>
      <c r="D2973">
        <v>4.0216510000000003</v>
      </c>
      <c r="E2973">
        <v>0.51712170000000002</v>
      </c>
      <c r="F2973" t="s">
        <v>62</v>
      </c>
      <c r="G2973">
        <v>-511.95940000000002</v>
      </c>
      <c r="H2973">
        <v>2.3901680000000001</v>
      </c>
      <c r="I2973">
        <v>275.70139999999998</v>
      </c>
      <c r="J2973">
        <v>-366.99869999999999</v>
      </c>
      <c r="K2973">
        <v>1.1103050000000001</v>
      </c>
      <c r="L2973">
        <v>285.46859999999998</v>
      </c>
      <c r="M2973">
        <v>-0.99993180000000004</v>
      </c>
      <c r="N2973">
        <v>-1.169278E-2</v>
      </c>
      <c r="O2973" s="1">
        <v>-9.8236270000000005E-5</v>
      </c>
      <c r="P2973">
        <v>-0.98069139999999999</v>
      </c>
      <c r="Q2973">
        <v>0.15619630000000001</v>
      </c>
      <c r="R2973">
        <v>-0.1176749</v>
      </c>
      <c r="S2973">
        <v>-3.0303960000000001</v>
      </c>
      <c r="T2973">
        <v>2.6714439999999999E-2</v>
      </c>
      <c r="U2973">
        <v>-0.20385739999999999</v>
      </c>
      <c r="V2973">
        <v>-0.1176167</v>
      </c>
      <c r="W2973">
        <v>0.167626</v>
      </c>
      <c r="X2973">
        <v>0.97880940000000005</v>
      </c>
      <c r="Y2973">
        <v>-6.7022059999999994E-2</v>
      </c>
      <c r="Z2973" s="1">
        <v>-9.9225549999999997E-5</v>
      </c>
      <c r="AA2973">
        <v>0.99775150000000001</v>
      </c>
      <c r="AB2973">
        <v>38</v>
      </c>
      <c r="AC2973">
        <v>-144.9607</v>
      </c>
      <c r="AD2973">
        <v>1.279863</v>
      </c>
      <c r="AE2973">
        <v>-9.7672000000000008</v>
      </c>
      <c r="AF2973">
        <v>-9.7522018166497499</v>
      </c>
      <c r="AG2973">
        <v>1.279863</v>
      </c>
      <c r="AH2973">
        <v>144.950410771256</v>
      </c>
      <c r="AI2973">
        <v>89.495251864868493</v>
      </c>
      <c r="AJ2973">
        <v>93.849034998240001</v>
      </c>
      <c r="AK2973">
        <v>145.283739875897</v>
      </c>
      <c r="AL2973">
        <v>80.350181760488297</v>
      </c>
      <c r="AM2973">
        <v>96.851981375715397</v>
      </c>
      <c r="AN2973">
        <v>1.00000000276162</v>
      </c>
    </row>
    <row r="2974" spans="1:40" x14ac:dyDescent="0.25">
      <c r="A2974" t="str">
        <f>"20190304154816208"</f>
        <v>20190304154816208</v>
      </c>
      <c r="B2974" t="str">
        <f>"1551685696199243"</f>
        <v>1551685696199243</v>
      </c>
      <c r="C2974" t="s">
        <v>40</v>
      </c>
      <c r="D2974">
        <v>4.0049729999999997</v>
      </c>
      <c r="E2974">
        <v>0.51692340000000003</v>
      </c>
      <c r="F2974" t="s">
        <v>62</v>
      </c>
      <c r="G2974">
        <v>-511.95940000000002</v>
      </c>
      <c r="H2974">
        <v>2.3364790000000002</v>
      </c>
      <c r="I2974">
        <v>275.62920000000003</v>
      </c>
      <c r="J2974">
        <v>-367.28579999999999</v>
      </c>
      <c r="K2974">
        <v>1.1103050000000001</v>
      </c>
      <c r="L2974">
        <v>285.46850000000001</v>
      </c>
      <c r="M2974">
        <v>-0.99993169999999998</v>
      </c>
      <c r="N2974">
        <v>-1.1700530000000001E-2</v>
      </c>
      <c r="O2974">
        <v>-1.805345E-4</v>
      </c>
      <c r="P2974">
        <v>-0.98072680000000001</v>
      </c>
      <c r="Q2974">
        <v>0.15612379999999901</v>
      </c>
      <c r="R2974">
        <v>-0.11747589999999999</v>
      </c>
      <c r="S2974">
        <v>-3.0303339999999999</v>
      </c>
      <c r="T2974">
        <v>2.5634170000000001E-2</v>
      </c>
      <c r="U2974">
        <v>-0.2056885</v>
      </c>
      <c r="V2974">
        <v>-0.117336999999999</v>
      </c>
      <c r="W2974">
        <v>0.16756109999999999</v>
      </c>
      <c r="X2974">
        <v>0.97885409999999995</v>
      </c>
      <c r="Y2974">
        <v>-6.7541499999999893E-2</v>
      </c>
      <c r="Z2974">
        <v>-1.138962E-4</v>
      </c>
      <c r="AA2974">
        <v>0.99771650000000001</v>
      </c>
      <c r="AB2974">
        <v>38</v>
      </c>
      <c r="AC2974">
        <v>-144.67359999999999</v>
      </c>
      <c r="AD2974">
        <v>1.2261740000000001</v>
      </c>
      <c r="AE2974">
        <v>-9.8392999999999802</v>
      </c>
      <c r="AF2974">
        <v>-9.8124778629036609</v>
      </c>
      <c r="AG2974">
        <v>1.2261740000000001</v>
      </c>
      <c r="AH2974">
        <v>144.665030179257</v>
      </c>
      <c r="AI2974">
        <v>89.515488523510598</v>
      </c>
      <c r="AJ2974">
        <v>93.880369258041995</v>
      </c>
      <c r="AK2974">
        <v>145.002617842761</v>
      </c>
      <c r="AL2974">
        <v>80.353953786805704</v>
      </c>
      <c r="AM2974">
        <v>96.835532087412801</v>
      </c>
      <c r="AN2974">
        <v>1.0000000214445</v>
      </c>
    </row>
    <row r="2975" spans="1:40" x14ac:dyDescent="0.25">
      <c r="A2975" t="str">
        <f>"20190304154816219"</f>
        <v>20190304154816219</v>
      </c>
      <c r="B2975" t="str">
        <f>"1551685696209979"</f>
        <v>1551685696209979</v>
      </c>
      <c r="C2975" t="s">
        <v>40</v>
      </c>
      <c r="D2975">
        <v>3.983692</v>
      </c>
      <c r="E2975">
        <v>0.51688440000000002</v>
      </c>
      <c r="F2975" t="s">
        <v>62</v>
      </c>
      <c r="G2975">
        <v>-511.95940000000002</v>
      </c>
      <c r="H2975">
        <v>2.2906</v>
      </c>
      <c r="I2975">
        <v>275.60899999999998</v>
      </c>
      <c r="J2975">
        <v>-367.495</v>
      </c>
      <c r="K2975">
        <v>1.110301</v>
      </c>
      <c r="L2975">
        <v>285.46839999999997</v>
      </c>
      <c r="M2975">
        <v>-0.99993149999999997</v>
      </c>
      <c r="N2975">
        <v>-1.1705780000000001E-2</v>
      </c>
      <c r="O2975">
        <v>-2.4040579999999999E-4</v>
      </c>
      <c r="P2975">
        <v>-0.98071989999999998</v>
      </c>
      <c r="Q2975">
        <v>0.15628449999999999</v>
      </c>
      <c r="R2975">
        <v>-0.1173183</v>
      </c>
      <c r="S2975">
        <v>-3.0302730000000002</v>
      </c>
      <c r="T2975">
        <v>2.4723530000000001E-2</v>
      </c>
      <c r="U2975">
        <v>-0.20651249999999999</v>
      </c>
      <c r="V2975">
        <v>-0.1171213</v>
      </c>
      <c r="W2975">
        <v>0.16772709999999999</v>
      </c>
      <c r="X2975">
        <v>0.97885149999999999</v>
      </c>
      <c r="Y2975">
        <v>-6.7753209999999994E-2</v>
      </c>
      <c r="Z2975">
        <v>-1.25723E-4</v>
      </c>
      <c r="AA2975">
        <v>0.99770210000000004</v>
      </c>
      <c r="AB2975">
        <v>38</v>
      </c>
      <c r="AC2975">
        <v>-144.46440000000001</v>
      </c>
      <c r="AD2975">
        <v>1.180299</v>
      </c>
      <c r="AE2975">
        <v>-9.8593999999999298</v>
      </c>
      <c r="AF2975">
        <v>-9.8240145277203492</v>
      </c>
      <c r="AG2975">
        <v>1.180299</v>
      </c>
      <c r="AH2975">
        <v>144.457168186556</v>
      </c>
      <c r="AI2975">
        <v>89.532949338179804</v>
      </c>
      <c r="AJ2975">
        <v>93.890490421838706</v>
      </c>
      <c r="AK2975">
        <v>144.79564153540301</v>
      </c>
      <c r="AL2975">
        <v>80.3443061265897</v>
      </c>
      <c r="AM2975">
        <v>96.823102886466799</v>
      </c>
      <c r="AN2975">
        <v>1.0000000190201701</v>
      </c>
    </row>
    <row r="2976" spans="1:40" x14ac:dyDescent="0.25">
      <c r="A2976" t="str">
        <f>"20190304154816233"</f>
        <v>20190304154816233</v>
      </c>
      <c r="B2976" t="str">
        <f>"1551685696229499"</f>
        <v>1551685696229499</v>
      </c>
      <c r="C2976" t="s">
        <v>40</v>
      </c>
      <c r="D2976">
        <v>3.9791949999999998</v>
      </c>
      <c r="E2976">
        <v>0.51654109999999998</v>
      </c>
      <c r="F2976" t="s">
        <v>62</v>
      </c>
      <c r="G2976">
        <v>-511.95940000000002</v>
      </c>
      <c r="H2976">
        <v>2.3157160000000001</v>
      </c>
      <c r="I2976">
        <v>275.62450000000001</v>
      </c>
      <c r="J2976">
        <v>-367.71289999999999</v>
      </c>
      <c r="K2976">
        <v>1.110303</v>
      </c>
      <c r="L2976">
        <v>285.4683</v>
      </c>
      <c r="M2976">
        <v>-0.99993129999999997</v>
      </c>
      <c r="N2976">
        <v>-1.1711010000000001E-2</v>
      </c>
      <c r="O2976">
        <v>-3.0301820000000002E-4</v>
      </c>
      <c r="P2976">
        <v>-0.980765</v>
      </c>
      <c r="Q2976">
        <v>0.15608259999999999</v>
      </c>
      <c r="R2976">
        <v>-0.1172093</v>
      </c>
      <c r="S2976">
        <v>-3.030243</v>
      </c>
      <c r="T2976">
        <v>2.5286079999999999E-2</v>
      </c>
      <c r="U2976">
        <v>-0.2064819</v>
      </c>
      <c r="V2976">
        <v>-0.1169502</v>
      </c>
      <c r="W2976">
        <v>0.1675315</v>
      </c>
      <c r="X2976">
        <v>0.97890540000000004</v>
      </c>
      <c r="Y2976">
        <v>-6.7681420000000006E-2</v>
      </c>
      <c r="Z2976">
        <v>-1.207945E-4</v>
      </c>
      <c r="AA2976">
        <v>0.99770689999999995</v>
      </c>
      <c r="AB2976">
        <v>38</v>
      </c>
      <c r="AC2976">
        <v>-144.2465</v>
      </c>
      <c r="AD2976">
        <v>1.2054129999999901</v>
      </c>
      <c r="AE2976">
        <v>-9.8437999999999803</v>
      </c>
      <c r="AF2976">
        <v>-9.7994060817038804</v>
      </c>
      <c r="AG2976">
        <v>1.2054129999999901</v>
      </c>
      <c r="AH2976">
        <v>144.23945043954501</v>
      </c>
      <c r="AI2976">
        <v>89.522289910000296</v>
      </c>
      <c r="AJ2976">
        <v>93.886614615552702</v>
      </c>
      <c r="AK2976">
        <v>144.57697065285601</v>
      </c>
      <c r="AL2976">
        <v>80.355673533644094</v>
      </c>
      <c r="AM2976">
        <v>96.812857308103702</v>
      </c>
      <c r="AN2976">
        <v>0.99999996746072395</v>
      </c>
    </row>
    <row r="2977" spans="1:40" x14ac:dyDescent="0.25">
      <c r="A2977" t="str">
        <f>"20190304154816253"</f>
        <v>20190304154816253</v>
      </c>
      <c r="B2977" t="str">
        <f>"1551685696249995"</f>
        <v>1551685696249995</v>
      </c>
      <c r="C2977" t="s">
        <v>40</v>
      </c>
      <c r="D2977">
        <v>4.0036639999999997</v>
      </c>
      <c r="E2977">
        <v>0.51637849999999996</v>
      </c>
      <c r="F2977" t="s">
        <v>62</v>
      </c>
      <c r="G2977">
        <v>-511.95940000000002</v>
      </c>
      <c r="H2977">
        <v>2.219007</v>
      </c>
      <c r="I2977">
        <v>275.52859999999998</v>
      </c>
      <c r="J2977">
        <v>-368.05020000000002</v>
      </c>
      <c r="K2977">
        <v>1.1103019999999999</v>
      </c>
      <c r="L2977">
        <v>285.46809999999999</v>
      </c>
      <c r="M2977">
        <v>-0.99993140000000003</v>
      </c>
      <c r="N2977">
        <v>-1.1718370000000001E-2</v>
      </c>
      <c r="O2977">
        <v>-3.9950039999999998E-4</v>
      </c>
      <c r="P2977">
        <v>-0.98073849999999996</v>
      </c>
      <c r="Q2977">
        <v>0.1562607</v>
      </c>
      <c r="R2977">
        <v>-0.1171963</v>
      </c>
      <c r="S2977">
        <v>-3.030151</v>
      </c>
      <c r="T2977">
        <v>2.3291949999999999E-2</v>
      </c>
      <c r="U2977">
        <v>-0.2088013</v>
      </c>
      <c r="V2977">
        <v>-0.1168429</v>
      </c>
      <c r="W2977">
        <v>0.16771629999999901</v>
      </c>
      <c r="X2977">
        <v>0.97888660000000005</v>
      </c>
      <c r="Y2977">
        <v>-6.8347389999999994E-2</v>
      </c>
      <c r="Z2977">
        <v>-1.4631910000000001E-4</v>
      </c>
      <c r="AA2977">
        <v>0.99766160000000004</v>
      </c>
      <c r="AB2977">
        <v>38</v>
      </c>
      <c r="AC2977">
        <v>-143.9092</v>
      </c>
      <c r="AD2977">
        <v>1.1087049999999901</v>
      </c>
      <c r="AE2977">
        <v>-9.9395000000000095</v>
      </c>
      <c r="AF2977">
        <v>-9.8814197603040501</v>
      </c>
      <c r="AG2977">
        <v>1.1087049999999901</v>
      </c>
      <c r="AH2977">
        <v>143.90465875947601</v>
      </c>
      <c r="AI2977">
        <v>89.559613728542502</v>
      </c>
      <c r="AJ2977">
        <v>93.928130792995802</v>
      </c>
      <c r="AK2977">
        <v>144.247781597977</v>
      </c>
      <c r="AL2977">
        <v>80.344933608760698</v>
      </c>
      <c r="AM2977">
        <v>96.806794787691501</v>
      </c>
      <c r="AN2977">
        <v>0.99999999811282902</v>
      </c>
    </row>
    <row r="2978" spans="1:40" x14ac:dyDescent="0.25">
      <c r="A2978" t="str">
        <f>"20190304154816266"</f>
        <v>20190304154816266</v>
      </c>
      <c r="B2978" t="str">
        <f>"1551685696259756"</f>
        <v>1551685696259756</v>
      </c>
      <c r="C2978" t="s">
        <v>40</v>
      </c>
      <c r="D2978">
        <v>4.0995920000000003</v>
      </c>
      <c r="E2978">
        <v>0.51637849999999996</v>
      </c>
      <c r="F2978" t="s">
        <v>62</v>
      </c>
      <c r="G2978">
        <v>-512.82590000000005</v>
      </c>
      <c r="H2978">
        <v>2.2147420000000002</v>
      </c>
      <c r="I2978">
        <v>275.42899999999997</v>
      </c>
      <c r="J2978">
        <v>-368.27719999999999</v>
      </c>
      <c r="K2978">
        <v>1.110303</v>
      </c>
      <c r="L2978">
        <v>285.46800000000002</v>
      </c>
      <c r="M2978">
        <v>-0.99993120000000002</v>
      </c>
      <c r="N2978">
        <v>-1.172289E-2</v>
      </c>
      <c r="O2978">
        <v>-4.6425649999999998E-4</v>
      </c>
      <c r="P2978">
        <v>-0.9807205</v>
      </c>
      <c r="Q2978">
        <v>0.15629179999999901</v>
      </c>
      <c r="R2978">
        <v>-0.1173032</v>
      </c>
      <c r="S2978">
        <v>-3.03009</v>
      </c>
      <c r="T2978">
        <v>2.311707E-2</v>
      </c>
      <c r="U2978">
        <v>-0.21011350000000001</v>
      </c>
      <c r="V2978">
        <v>-0.1168865</v>
      </c>
      <c r="W2978">
        <v>0.16775199999999901</v>
      </c>
      <c r="X2978">
        <v>0.9788753</v>
      </c>
      <c r="Y2978">
        <v>-6.8714199999999906E-2</v>
      </c>
      <c r="Z2978">
        <v>-1.504337E-4</v>
      </c>
      <c r="AA2978">
        <v>0.99763639999999998</v>
      </c>
      <c r="AB2978">
        <v>38</v>
      </c>
      <c r="AC2978">
        <v>-144.5487</v>
      </c>
      <c r="AD2978">
        <v>1.10443899999999</v>
      </c>
      <c r="AE2978">
        <v>-10.0389999999999</v>
      </c>
      <c r="AF2978">
        <v>-9.9713073157707797</v>
      </c>
      <c r="AG2978">
        <v>1.10443899999999</v>
      </c>
      <c r="AH2978">
        <v>144.54494755847301</v>
      </c>
      <c r="AI2978">
        <v>89.563260846774099</v>
      </c>
      <c r="AJ2978">
        <v>93.946247557770405</v>
      </c>
      <c r="AK2978">
        <v>144.892679662473</v>
      </c>
      <c r="AL2978">
        <v>80.342858968459296</v>
      </c>
      <c r="AM2978">
        <v>96.809388770412298</v>
      </c>
      <c r="AN2978">
        <v>1.00000002016816</v>
      </c>
    </row>
    <row r="2979" spans="1:40" x14ac:dyDescent="0.25">
      <c r="A2979" t="str">
        <f>"20190304154816287"</f>
        <v>20190304154816287</v>
      </c>
      <c r="B2979" t="str">
        <f>"1551685696279276"</f>
        <v>1551685696279276</v>
      </c>
      <c r="C2979" t="s">
        <v>40</v>
      </c>
      <c r="D2979">
        <v>4.1271690000000003</v>
      </c>
      <c r="E2979">
        <v>0.55008159999999995</v>
      </c>
      <c r="F2979" t="s">
        <v>62</v>
      </c>
      <c r="G2979">
        <v>-512.82590000000005</v>
      </c>
      <c r="H2979">
        <v>2.2171099999999999</v>
      </c>
      <c r="I2979">
        <v>275.43020000000001</v>
      </c>
      <c r="J2979">
        <v>-368.6123</v>
      </c>
      <c r="K2979">
        <v>1.110304</v>
      </c>
      <c r="L2979">
        <v>285.46780000000001</v>
      </c>
      <c r="M2979">
        <v>-0.99993109999999996</v>
      </c>
      <c r="N2979">
        <v>-1.172898E-2</v>
      </c>
      <c r="O2979">
        <v>-5.5978050000000002E-4</v>
      </c>
      <c r="P2979">
        <v>-0.98069879999999998</v>
      </c>
      <c r="Q2979">
        <v>0.1564596</v>
      </c>
      <c r="R2979">
        <v>-0.1172615</v>
      </c>
      <c r="S2979">
        <v>-3.0301209999999998</v>
      </c>
      <c r="T2979">
        <v>2.3203250000000002E-2</v>
      </c>
      <c r="U2979">
        <v>-0.21041869999999999</v>
      </c>
      <c r="V2979">
        <v>-0.1167509</v>
      </c>
      <c r="W2979">
        <v>0.1679254</v>
      </c>
      <c r="X2979">
        <v>0.97886169999999995</v>
      </c>
      <c r="Y2979">
        <v>-6.8718199999999993E-2</v>
      </c>
      <c r="Z2979">
        <v>-1.515461E-4</v>
      </c>
      <c r="AA2979">
        <v>0.99763610000000003</v>
      </c>
      <c r="AB2979">
        <v>38</v>
      </c>
      <c r="AC2979">
        <v>-144.21360000000001</v>
      </c>
      <c r="AD2979">
        <v>1.10680599999999</v>
      </c>
      <c r="AE2979">
        <v>-10.0375999999999</v>
      </c>
      <c r="AF2979">
        <v>-9.9562812978469601</v>
      </c>
      <c r="AG2979">
        <v>1.10680599999999</v>
      </c>
      <c r="AH2979">
        <v>144.21074328150101</v>
      </c>
      <c r="AI2979">
        <v>89.561312294567799</v>
      </c>
      <c r="AJ2979">
        <v>93.949422316422499</v>
      </c>
      <c r="AK2979">
        <v>144.55826173071699</v>
      </c>
      <c r="AL2979">
        <v>80.332780430035896</v>
      </c>
      <c r="AM2979">
        <v>96.801656860877202</v>
      </c>
      <c r="AN2979">
        <v>0.99999997017142905</v>
      </c>
    </row>
    <row r="2980" spans="1:40" x14ac:dyDescent="0.25">
      <c r="A2980" t="str">
        <f>"20190304154816298"</f>
        <v>20190304154816298</v>
      </c>
      <c r="B2980" t="str">
        <f>"1551685696290012"</f>
        <v>1551685696290012</v>
      </c>
      <c r="C2980" t="s">
        <v>40</v>
      </c>
      <c r="D2980">
        <v>3.9680230000000001</v>
      </c>
      <c r="E2980">
        <v>0.55353140000000001</v>
      </c>
      <c r="F2980" t="s">
        <v>42</v>
      </c>
      <c r="G2980">
        <v>0</v>
      </c>
      <c r="H2980">
        <v>0</v>
      </c>
      <c r="I2980">
        <v>0</v>
      </c>
      <c r="J2980">
        <v>-368.81119999999999</v>
      </c>
      <c r="K2980">
        <v>1.110304</v>
      </c>
      <c r="L2980">
        <v>285.4676</v>
      </c>
      <c r="M2980">
        <v>-0.99993109999999996</v>
      </c>
      <c r="N2980">
        <v>-1.173224E-2</v>
      </c>
      <c r="O2980">
        <v>-6.1654310000000003E-4</v>
      </c>
      <c r="P2980">
        <v>-0.98064660000000003</v>
      </c>
      <c r="Q2980">
        <v>0.15670609999999999</v>
      </c>
      <c r="R2980">
        <v>-0.11737</v>
      </c>
      <c r="S2980">
        <v>-3.0575260000000002</v>
      </c>
      <c r="T2980">
        <v>5.1876310000000002E-2</v>
      </c>
      <c r="U2980">
        <v>5.6060789999999999E-2</v>
      </c>
      <c r="V2980">
        <v>-0.1168037</v>
      </c>
      <c r="W2980">
        <v>0.16817460000000001</v>
      </c>
      <c r="X2980">
        <v>0.97881260000000003</v>
      </c>
      <c r="Y2980">
        <v>1.894765E-2</v>
      </c>
      <c r="Z2980" s="1">
        <v>-6.7241560000000001E-5</v>
      </c>
      <c r="AA2980">
        <v>0.9998205</v>
      </c>
      <c r="AB2980">
        <v>38</v>
      </c>
      <c r="AC2980">
        <v>-3.0575260000000002</v>
      </c>
      <c r="AD2980">
        <v>5.1876310000000002E-2</v>
      </c>
      <c r="AE2980">
        <v>5.6060789999999999E-2</v>
      </c>
      <c r="AF2980">
        <v>5.7929334867502999E-2</v>
      </c>
      <c r="AG2980">
        <v>5.1876310000000002E-2</v>
      </c>
      <c r="AH2980">
        <v>3.0566112386719402</v>
      </c>
      <c r="AI2980">
        <v>89.027853216663601</v>
      </c>
      <c r="AJ2980">
        <v>88.914252145692501</v>
      </c>
      <c r="AK2980">
        <v>3.0576002393630501</v>
      </c>
      <c r="AL2980">
        <v>80.318296169156397</v>
      </c>
      <c r="AM2980">
        <v>96.805042180848105</v>
      </c>
      <c r="AN2980">
        <v>0.99999995316880397</v>
      </c>
    </row>
    <row r="2981" spans="1:40" x14ac:dyDescent="0.25">
      <c r="A2981" t="str">
        <f>"20190304154816311"</f>
        <v>20190304154816311</v>
      </c>
      <c r="B2981" t="str">
        <f>"1551685696299772"</f>
        <v>1551685696299772</v>
      </c>
      <c r="C2981" t="s">
        <v>40</v>
      </c>
      <c r="D2981">
        <v>3.9336319999999998</v>
      </c>
      <c r="E2981">
        <v>0.55523219999999995</v>
      </c>
      <c r="F2981" t="s">
        <v>42</v>
      </c>
      <c r="G2981">
        <v>0</v>
      </c>
      <c r="H2981">
        <v>0</v>
      </c>
      <c r="I2981">
        <v>0</v>
      </c>
      <c r="J2981">
        <v>-369.03050000000002</v>
      </c>
      <c r="K2981">
        <v>1.1103050000000001</v>
      </c>
      <c r="L2981">
        <v>285.4674</v>
      </c>
      <c r="M2981">
        <v>-0.99993089999999996</v>
      </c>
      <c r="N2981">
        <v>-1.173563E-2</v>
      </c>
      <c r="O2981">
        <v>-6.7902700000000002E-4</v>
      </c>
      <c r="P2981">
        <v>-0.9806281</v>
      </c>
      <c r="Q2981">
        <v>0.15665850000000001</v>
      </c>
      <c r="R2981">
        <v>-0.1175865</v>
      </c>
      <c r="S2981">
        <v>-3.0581969999999998</v>
      </c>
      <c r="T2981">
        <v>6.8197129999999995E-2</v>
      </c>
      <c r="U2981">
        <v>8.2427979999999998E-2</v>
      </c>
      <c r="V2981">
        <v>-0.1169596</v>
      </c>
      <c r="W2981">
        <v>0.1681299</v>
      </c>
      <c r="X2981">
        <v>0.9788017</v>
      </c>
      <c r="Y2981">
        <v>2.7618520000000001E-2</v>
      </c>
      <c r="Z2981">
        <v>-1.6884809999999999E-4</v>
      </c>
      <c r="AA2981">
        <v>0.99961849999999997</v>
      </c>
      <c r="AB2981">
        <v>38</v>
      </c>
      <c r="AC2981">
        <v>-3.0581969999999998</v>
      </c>
      <c r="AD2981">
        <v>6.8197129999999995E-2</v>
      </c>
      <c r="AE2981">
        <v>8.2427979999999998E-2</v>
      </c>
      <c r="AF2981">
        <v>8.4462731188914605E-2</v>
      </c>
      <c r="AG2981">
        <v>6.8197129999999995E-2</v>
      </c>
      <c r="AH2981">
        <v>3.05662142591363</v>
      </c>
      <c r="AI2981">
        <v>88.722357523120607</v>
      </c>
      <c r="AJ2981">
        <v>88.417165167342802</v>
      </c>
      <c r="AK2981">
        <v>3.0585485680064699</v>
      </c>
      <c r="AL2981">
        <v>80.320894641259301</v>
      </c>
      <c r="AM2981">
        <v>96.814114815944905</v>
      </c>
      <c r="AN2981">
        <v>0.99999998961452896</v>
      </c>
    </row>
    <row r="2982" spans="1:40" x14ac:dyDescent="0.25">
      <c r="A2982" t="str">
        <f>"20190304154816324"</f>
        <v>20190304154816324</v>
      </c>
      <c r="B2982" t="str">
        <f>"1551685696319291"</f>
        <v>1551685696319291</v>
      </c>
      <c r="C2982" t="s">
        <v>40</v>
      </c>
      <c r="D2982">
        <v>3.933252</v>
      </c>
      <c r="E2982">
        <v>0.55634899999999998</v>
      </c>
      <c r="F2982" t="s">
        <v>42</v>
      </c>
      <c r="G2982">
        <v>0</v>
      </c>
      <c r="H2982">
        <v>0</v>
      </c>
      <c r="I2982">
        <v>0</v>
      </c>
      <c r="J2982">
        <v>-369.2509</v>
      </c>
      <c r="K2982">
        <v>1.110306</v>
      </c>
      <c r="L2982">
        <v>285.46719999999999</v>
      </c>
      <c r="M2982">
        <v>-0.99993080000000001</v>
      </c>
      <c r="N2982">
        <v>-1.1738820000000001E-2</v>
      </c>
      <c r="O2982">
        <v>-7.4163149999999895E-4</v>
      </c>
      <c r="P2982">
        <v>-0.98065789999999997</v>
      </c>
      <c r="Q2982">
        <v>0.15651180000000001</v>
      </c>
      <c r="R2982">
        <v>-0.1175337</v>
      </c>
      <c r="S2982">
        <v>-3.0586850000000001</v>
      </c>
      <c r="T2982">
        <v>7.4756030000000001E-2</v>
      </c>
      <c r="U2982">
        <v>9.5001219999999997E-2</v>
      </c>
      <c r="V2982">
        <v>-0.1168453</v>
      </c>
      <c r="W2982">
        <v>0.167987</v>
      </c>
      <c r="X2982">
        <v>0.97883989999999998</v>
      </c>
      <c r="Y2982">
        <v>3.178044E-2</v>
      </c>
      <c r="Z2982">
        <v>-2.284373E-4</v>
      </c>
      <c r="AA2982">
        <v>0.99949489999999996</v>
      </c>
      <c r="AB2982">
        <v>38</v>
      </c>
      <c r="AC2982">
        <v>-3.0586850000000001</v>
      </c>
      <c r="AD2982">
        <v>7.4756030000000001E-2</v>
      </c>
      <c r="AE2982">
        <v>9.5001219999999997E-2</v>
      </c>
      <c r="AF2982">
        <v>9.7211754689845803E-2</v>
      </c>
      <c r="AG2982">
        <v>7.4756030000000001E-2</v>
      </c>
      <c r="AH2982">
        <v>3.0567895094032398</v>
      </c>
      <c r="AI2982">
        <v>88.599776529857905</v>
      </c>
      <c r="AJ2982">
        <v>88.178498492514606</v>
      </c>
      <c r="AK2982">
        <v>3.0592483871155198</v>
      </c>
      <c r="AL2982">
        <v>80.3292004712725</v>
      </c>
      <c r="AM2982">
        <v>96.807254998382206</v>
      </c>
      <c r="AN2982">
        <v>1.0000000030665499</v>
      </c>
    </row>
    <row r="2983" spans="1:40" x14ac:dyDescent="0.25">
      <c r="A2983" t="str">
        <f>"20190304154816336"</f>
        <v>20190304154816336</v>
      </c>
      <c r="B2983" t="str">
        <f>"1551685696330028"</f>
        <v>1551685696330028</v>
      </c>
      <c r="C2983" t="s">
        <v>40</v>
      </c>
      <c r="D2983">
        <v>3.9269780000000001</v>
      </c>
      <c r="E2983">
        <v>0.55656159999999999</v>
      </c>
      <c r="F2983" t="s">
        <v>42</v>
      </c>
      <c r="G2983">
        <v>0</v>
      </c>
      <c r="H2983">
        <v>0</v>
      </c>
      <c r="I2983">
        <v>0</v>
      </c>
      <c r="J2983">
        <v>-369.46350000000001</v>
      </c>
      <c r="K2983">
        <v>1.1103050000000001</v>
      </c>
      <c r="L2983">
        <v>285.46699999999998</v>
      </c>
      <c r="M2983">
        <v>-0.99993089999999996</v>
      </c>
      <c r="N2983">
        <v>-1.174184E-2</v>
      </c>
      <c r="O2983">
        <v>-8.0220819999999996E-4</v>
      </c>
      <c r="P2983">
        <v>-0.98065449999999998</v>
      </c>
      <c r="Q2983">
        <v>0.15645000000000001</v>
      </c>
      <c r="R2983">
        <v>-0.1176466</v>
      </c>
      <c r="S2983">
        <v>-3.0596619999999999</v>
      </c>
      <c r="T2983">
        <v>7.4820040000000004E-2</v>
      </c>
      <c r="U2983">
        <v>0.1040039</v>
      </c>
      <c r="V2983">
        <v>-0.1168988</v>
      </c>
      <c r="W2983">
        <v>0.16792779999999999</v>
      </c>
      <c r="X2983">
        <v>0.97884369999999998</v>
      </c>
      <c r="Y2983">
        <v>3.4768220000000002E-2</v>
      </c>
      <c r="Z2983">
        <v>-2.497396E-4</v>
      </c>
      <c r="AA2983">
        <v>0.99939540000000004</v>
      </c>
      <c r="AB2983">
        <v>38</v>
      </c>
      <c r="AC2983">
        <v>-3.0596619999999999</v>
      </c>
      <c r="AD2983">
        <v>7.4820040000000004E-2</v>
      </c>
      <c r="AE2983">
        <v>0.1040039</v>
      </c>
      <c r="AF2983">
        <v>0.10639497232678299</v>
      </c>
      <c r="AG2983">
        <v>7.4820040000000004E-2</v>
      </c>
      <c r="AH2983">
        <v>3.0577512033481198</v>
      </c>
      <c r="AI2983">
        <v>88.599158069278502</v>
      </c>
      <c r="AJ2983">
        <v>88.007187598739904</v>
      </c>
      <c r="AK2983">
        <v>3.0605163535094699</v>
      </c>
      <c r="AL2983">
        <v>80.332641545141499</v>
      </c>
      <c r="AM2983">
        <v>96.810316380529798</v>
      </c>
      <c r="AN2983">
        <v>1.00000003224198</v>
      </c>
    </row>
    <row r="2984" spans="1:40" x14ac:dyDescent="0.25">
      <c r="A2984" t="str">
        <f>"20190304154816348"</f>
        <v>20190304154816348</v>
      </c>
      <c r="B2984" t="str">
        <f>"1551685696339788"</f>
        <v>1551685696339788</v>
      </c>
      <c r="C2984" t="s">
        <v>40</v>
      </c>
      <c r="D2984">
        <v>3.9363290000000002</v>
      </c>
      <c r="E2984">
        <v>0.5562009</v>
      </c>
      <c r="F2984" t="s">
        <v>42</v>
      </c>
      <c r="G2984">
        <v>0</v>
      </c>
      <c r="H2984">
        <v>0</v>
      </c>
      <c r="I2984">
        <v>0</v>
      </c>
      <c r="J2984">
        <v>-369.66230000000002</v>
      </c>
      <c r="K2984">
        <v>1.1103080000000001</v>
      </c>
      <c r="L2984">
        <v>285.46679999999998</v>
      </c>
      <c r="M2984">
        <v>-0.99993069999999895</v>
      </c>
      <c r="N2984">
        <v>-1.1744610000000001E-2</v>
      </c>
      <c r="O2984">
        <v>-8.5849149999999905E-4</v>
      </c>
      <c r="P2984">
        <v>-0.98070069999999998</v>
      </c>
      <c r="Q2984">
        <v>0.15620249999999999</v>
      </c>
      <c r="R2984">
        <v>-0.1175872</v>
      </c>
      <c r="S2984">
        <v>-3.0599370000000001</v>
      </c>
      <c r="T2984">
        <v>7.4448819999999999E-2</v>
      </c>
      <c r="U2984">
        <v>0.1052551</v>
      </c>
      <c r="V2984">
        <v>-0.1167842</v>
      </c>
      <c r="W2984">
        <v>0.16768379999999999</v>
      </c>
      <c r="X2984">
        <v>0.97889919999999997</v>
      </c>
      <c r="Y2984">
        <v>3.5229570000000002E-2</v>
      </c>
      <c r="Z2984">
        <v>-2.5237399999999998E-4</v>
      </c>
      <c r="AA2984">
        <v>0.99937920000000002</v>
      </c>
      <c r="AB2984">
        <v>38</v>
      </c>
      <c r="AC2984">
        <v>-3.0599370000000001</v>
      </c>
      <c r="AD2984">
        <v>7.4448819999999999E-2</v>
      </c>
      <c r="AE2984">
        <v>0.1052551</v>
      </c>
      <c r="AF2984">
        <v>0.107818423686097</v>
      </c>
      <c r="AG2984">
        <v>7.4448819999999999E-2</v>
      </c>
      <c r="AH2984">
        <v>3.0580374159882999</v>
      </c>
      <c r="AI2984">
        <v>88.606258540897102</v>
      </c>
      <c r="AJ2984">
        <v>87.980736673514102</v>
      </c>
      <c r="AK2984">
        <v>3.0608430663576902</v>
      </c>
      <c r="AL2984">
        <v>80.346822733153203</v>
      </c>
      <c r="AM2984">
        <v>96.803320474205094</v>
      </c>
      <c r="AN2984">
        <v>1.0000000249563501</v>
      </c>
    </row>
    <row r="2985" spans="1:40" x14ac:dyDescent="0.25">
      <c r="A2985" t="str">
        <f>"20190304154816361"</f>
        <v>20190304154816361</v>
      </c>
      <c r="B2985" t="str">
        <f>"1551685696349548"</f>
        <v>1551685696349548</v>
      </c>
      <c r="C2985" t="s">
        <v>40</v>
      </c>
      <c r="D2985">
        <v>3.8738999999999999</v>
      </c>
      <c r="E2985">
        <v>0.55692200000000003</v>
      </c>
      <c r="F2985" t="s">
        <v>42</v>
      </c>
      <c r="G2985">
        <v>0</v>
      </c>
      <c r="H2985">
        <v>0</v>
      </c>
      <c r="I2985">
        <v>0</v>
      </c>
      <c r="J2985">
        <v>-369.86959999999999</v>
      </c>
      <c r="K2985">
        <v>1.1103069999999999</v>
      </c>
      <c r="L2985">
        <v>285.46660000000003</v>
      </c>
      <c r="M2985">
        <v>-0.9999306</v>
      </c>
      <c r="N2985">
        <v>-1.174735E-2</v>
      </c>
      <c r="O2985">
        <v>-9.1787040000000002E-4</v>
      </c>
      <c r="P2985">
        <v>-0.98070489999999999</v>
      </c>
      <c r="Q2985">
        <v>0.1561642</v>
      </c>
      <c r="R2985">
        <v>-0.1176045</v>
      </c>
      <c r="S2985">
        <v>-3.0599980000000002</v>
      </c>
      <c r="T2985">
        <v>7.1267720000000007E-2</v>
      </c>
      <c r="U2985">
        <v>0.10253909999999999</v>
      </c>
      <c r="V2985">
        <v>-0.116742899999999</v>
      </c>
      <c r="W2985">
        <v>0.16764860000000001</v>
      </c>
      <c r="X2985">
        <v>0.97891010000000001</v>
      </c>
      <c r="Y2985">
        <v>3.4402950000000002E-2</v>
      </c>
      <c r="Z2985">
        <v>-2.3045499999999999E-4</v>
      </c>
      <c r="AA2985">
        <v>0.99940799999999996</v>
      </c>
      <c r="AB2985">
        <v>38</v>
      </c>
      <c r="AC2985">
        <v>-3.0599980000000002</v>
      </c>
      <c r="AD2985">
        <v>7.1267720000000007E-2</v>
      </c>
      <c r="AE2985">
        <v>0.10253909999999999</v>
      </c>
      <c r="AF2985">
        <v>0.105290883300401</v>
      </c>
      <c r="AG2985">
        <v>7.1267720000000007E-2</v>
      </c>
      <c r="AH2985">
        <v>3.0582455642103099</v>
      </c>
      <c r="AI2985">
        <v>88.665841576797604</v>
      </c>
      <c r="AJ2985">
        <v>88.028169672575203</v>
      </c>
      <c r="AK2985">
        <v>3.0608873205383098</v>
      </c>
      <c r="AL2985">
        <v>80.348867977487799</v>
      </c>
      <c r="AM2985">
        <v>96.800862043835195</v>
      </c>
      <c r="AN2985">
        <v>0.99999997083218894</v>
      </c>
    </row>
    <row r="2986" spans="1:40" x14ac:dyDescent="0.25">
      <c r="A2986" t="str">
        <f>"20190304154816375"</f>
        <v>20190304154816375</v>
      </c>
      <c r="B2986" t="str">
        <f>"1551685696370043"</f>
        <v>1551685696370043</v>
      </c>
      <c r="C2986" t="s">
        <v>40</v>
      </c>
      <c r="D2986">
        <v>3.890371</v>
      </c>
      <c r="E2986">
        <v>0.55695309999999998</v>
      </c>
      <c r="F2986" t="s">
        <v>42</v>
      </c>
      <c r="G2986">
        <v>0</v>
      </c>
      <c r="H2986">
        <v>0</v>
      </c>
      <c r="I2986">
        <v>0</v>
      </c>
      <c r="J2986">
        <v>-370.10730000000001</v>
      </c>
      <c r="K2986">
        <v>1.110311</v>
      </c>
      <c r="L2986">
        <v>285.46620000000001</v>
      </c>
      <c r="M2986">
        <v>-0.9999306</v>
      </c>
      <c r="N2986">
        <v>-1.175035E-2</v>
      </c>
      <c r="O2986">
        <v>-9.8607110000000007E-4</v>
      </c>
      <c r="P2986">
        <v>-0.98077309999999995</v>
      </c>
      <c r="Q2986">
        <v>0.155829299999999</v>
      </c>
      <c r="R2986">
        <v>-0.11747929999999999</v>
      </c>
      <c r="S2986">
        <v>-3.059631</v>
      </c>
      <c r="T2986">
        <v>7.7560309999999993E-2</v>
      </c>
      <c r="U2986">
        <v>0.10800170000000001</v>
      </c>
      <c r="V2986">
        <v>-0.1165508</v>
      </c>
      <c r="W2986">
        <v>0.16731760000000001</v>
      </c>
      <c r="X2986">
        <v>0.97898969999999996</v>
      </c>
      <c r="Y2986">
        <v>3.6255549999999998E-2</v>
      </c>
      <c r="Z2986">
        <v>-2.8278020000000001E-4</v>
      </c>
      <c r="AA2986">
        <v>0.99934250000000002</v>
      </c>
      <c r="AB2986">
        <v>38</v>
      </c>
      <c r="AC2986">
        <v>-3.059631</v>
      </c>
      <c r="AD2986">
        <v>7.7560309999999993E-2</v>
      </c>
      <c r="AE2986">
        <v>0.10800170000000001</v>
      </c>
      <c r="AF2986">
        <v>0.11094766283523499</v>
      </c>
      <c r="AG2986">
        <v>7.7560309999999993E-2</v>
      </c>
      <c r="AH2986">
        <v>3.0575606631183501</v>
      </c>
      <c r="AI2986">
        <v>88.5478604513834</v>
      </c>
      <c r="AJ2986">
        <v>87.921858069244095</v>
      </c>
      <c r="AK2986">
        <v>3.0605558636013499</v>
      </c>
      <c r="AL2986">
        <v>80.368105373928401</v>
      </c>
      <c r="AM2986">
        <v>96.789228899787602</v>
      </c>
      <c r="AN2986">
        <v>1.00000005047824</v>
      </c>
    </row>
    <row r="2987" spans="1:40" x14ac:dyDescent="0.25">
      <c r="A2987" t="str">
        <f>"20190304154816386"</f>
        <v>20190304154816386</v>
      </c>
      <c r="B2987" t="str">
        <f>"1551685696379804"</f>
        <v>1551685696379804</v>
      </c>
      <c r="C2987" t="s">
        <v>40</v>
      </c>
      <c r="D2987">
        <v>3.4358420000000001</v>
      </c>
      <c r="E2987">
        <v>0.56162040000000002</v>
      </c>
      <c r="F2987" t="s">
        <v>42</v>
      </c>
      <c r="G2987">
        <v>0</v>
      </c>
      <c r="H2987">
        <v>0</v>
      </c>
      <c r="I2987">
        <v>0</v>
      </c>
      <c r="J2987">
        <v>-370.3109</v>
      </c>
      <c r="K2987">
        <v>1.110311</v>
      </c>
      <c r="L2987">
        <v>285.46600000000001</v>
      </c>
      <c r="M2987">
        <v>-0.9999304</v>
      </c>
      <c r="N2987">
        <v>-1.175267E-2</v>
      </c>
      <c r="O2987">
        <v>-1.0442559999999999E-3</v>
      </c>
      <c r="P2987">
        <v>-0.98077490000000001</v>
      </c>
      <c r="Q2987">
        <v>0.155859</v>
      </c>
      <c r="R2987">
        <v>-0.1174243</v>
      </c>
      <c r="S2987">
        <v>-3.0595400000000001</v>
      </c>
      <c r="T2987">
        <v>7.7446699999999993E-2</v>
      </c>
      <c r="U2987">
        <v>0.1087341</v>
      </c>
      <c r="V2987">
        <v>-0.116439</v>
      </c>
      <c r="W2987">
        <v>0.16734959999999999</v>
      </c>
      <c r="X2987">
        <v>0.97899749999999996</v>
      </c>
      <c r="Y2987">
        <v>3.6553629999999997E-2</v>
      </c>
      <c r="Z2987">
        <v>-2.862168E-4</v>
      </c>
      <c r="AA2987">
        <v>0.99933170000000004</v>
      </c>
      <c r="AB2987">
        <v>38</v>
      </c>
      <c r="AC2987">
        <v>-3.0595400000000001</v>
      </c>
      <c r="AD2987">
        <v>7.7446699999999993E-2</v>
      </c>
      <c r="AE2987">
        <v>0.1087341</v>
      </c>
      <c r="AF2987">
        <v>0.111857621174919</v>
      </c>
      <c r="AG2987">
        <v>7.7446699999999993E-2</v>
      </c>
      <c r="AH2987">
        <v>3.0574681537858002</v>
      </c>
      <c r="AI2987">
        <v>88.549958530702995</v>
      </c>
      <c r="AJ2987">
        <v>87.904765585085997</v>
      </c>
      <c r="AK2987">
        <v>3.06049369059473</v>
      </c>
      <c r="AL2987">
        <v>80.366245364222394</v>
      </c>
      <c r="AM2987">
        <v>96.782723577190097</v>
      </c>
      <c r="AN2987">
        <v>1.0000000171737</v>
      </c>
    </row>
    <row r="2988" spans="1:40" x14ac:dyDescent="0.25">
      <c r="A2988" t="str">
        <f>"20190304154816398"</f>
        <v>20190304154816398</v>
      </c>
      <c r="B2988" t="str">
        <f>"1551685696389564"</f>
        <v>1551685696389564</v>
      </c>
      <c r="C2988" t="s">
        <v>40</v>
      </c>
      <c r="D2988">
        <v>3.592679</v>
      </c>
      <c r="E2988">
        <v>0.56162040000000002</v>
      </c>
      <c r="F2988" t="s">
        <v>63</v>
      </c>
      <c r="G2988">
        <v>-523.61279999999999</v>
      </c>
      <c r="H2988">
        <v>5.522723</v>
      </c>
      <c r="I2988">
        <v>292.75510000000003</v>
      </c>
      <c r="J2988">
        <v>-370.49590000000001</v>
      </c>
      <c r="K2988">
        <v>1.1103130000000001</v>
      </c>
      <c r="L2988">
        <v>285.4658</v>
      </c>
      <c r="M2988">
        <v>-0.9999304</v>
      </c>
      <c r="N2988">
        <v>-1.175466E-2</v>
      </c>
      <c r="O2988">
        <v>-1.097432E-3</v>
      </c>
      <c r="P2988">
        <v>-0.98079309999999997</v>
      </c>
      <c r="Q2988">
        <v>0.15588540000000001</v>
      </c>
      <c r="R2988">
        <v>-0.1172381</v>
      </c>
      <c r="S2988">
        <v>-3.062195</v>
      </c>
      <c r="T2988">
        <v>8.8139179999999998E-2</v>
      </c>
      <c r="U2988">
        <v>0.14559939999999999</v>
      </c>
      <c r="V2988">
        <v>-0.11619989999999999</v>
      </c>
      <c r="W2988">
        <v>0.16737869999999999</v>
      </c>
      <c r="X2988">
        <v>0.97902089999999997</v>
      </c>
      <c r="Y2988">
        <v>4.8577219999999997E-2</v>
      </c>
      <c r="Z2988">
        <v>-4.5730240000000001E-4</v>
      </c>
      <c r="AA2988">
        <v>0.99881940000000002</v>
      </c>
      <c r="AB2988">
        <v>38</v>
      </c>
      <c r="AC2988">
        <v>-153.11689999999999</v>
      </c>
      <c r="AD2988">
        <v>4.4124099999999897</v>
      </c>
      <c r="AE2988">
        <v>7.2893000000000203</v>
      </c>
      <c r="AF2988">
        <v>7.45116887349901</v>
      </c>
      <c r="AG2988">
        <v>4.4124099999999897</v>
      </c>
      <c r="AH2988">
        <v>152.98205339030699</v>
      </c>
      <c r="AI2988">
        <v>88.349850170432006</v>
      </c>
      <c r="AJ2988">
        <v>87.211546021272497</v>
      </c>
      <c r="AK2988">
        <v>153.22694912809601</v>
      </c>
      <c r="AL2988">
        <v>80.364553883772999</v>
      </c>
      <c r="AM2988">
        <v>96.768764769236896</v>
      </c>
      <c r="AN2988">
        <v>0.99999998430525405</v>
      </c>
    </row>
    <row r="2989" spans="1:40" x14ac:dyDescent="0.25">
      <c r="A2989" t="str">
        <f>"20190304154816447"</f>
        <v>20190304154816447</v>
      </c>
      <c r="B2989" t="str">
        <f>"1551685696439339"</f>
        <v>1551685696439339</v>
      </c>
      <c r="C2989" t="s">
        <v>40</v>
      </c>
      <c r="D2989">
        <v>3.747592</v>
      </c>
      <c r="E2989">
        <v>0.64581919999999904</v>
      </c>
      <c r="F2989" t="s">
        <v>63</v>
      </c>
      <c r="G2989">
        <v>-524.15549999999996</v>
      </c>
      <c r="H2989">
        <v>5.5209780000000004</v>
      </c>
      <c r="I2989">
        <v>292.78710000000001</v>
      </c>
      <c r="J2989">
        <v>-371.3227</v>
      </c>
      <c r="K2989">
        <v>1.110312</v>
      </c>
      <c r="L2989">
        <v>285.46460000000002</v>
      </c>
      <c r="M2989">
        <v>-0.99992999999999999</v>
      </c>
      <c r="N2989">
        <v>-1.1762369999999999E-2</v>
      </c>
      <c r="O2989">
        <v>-1.3345760000000001E-3</v>
      </c>
      <c r="P2989">
        <v>-0.98070119999999905</v>
      </c>
      <c r="Q2989">
        <v>0.156329</v>
      </c>
      <c r="R2989">
        <v>-0.1174168</v>
      </c>
      <c r="S2989">
        <v>-3.0622250000000002</v>
      </c>
      <c r="T2989">
        <v>8.7900160000000005E-2</v>
      </c>
      <c r="U2989">
        <v>0.14590449999999999</v>
      </c>
      <c r="V2989">
        <v>-0.116146</v>
      </c>
      <c r="W2989">
        <v>0.16782859999999999</v>
      </c>
      <c r="X2989">
        <v>0.97895030000000005</v>
      </c>
      <c r="Y2989">
        <v>4.891276E-2</v>
      </c>
      <c r="Z2989">
        <v>-4.6756130000000001E-4</v>
      </c>
      <c r="AA2989">
        <v>0.998803</v>
      </c>
      <c r="AB2989">
        <v>38</v>
      </c>
      <c r="AC2989">
        <v>-152.832799999999</v>
      </c>
      <c r="AD2989">
        <v>4.4106659999999902</v>
      </c>
      <c r="AE2989">
        <v>7.32249999999999</v>
      </c>
      <c r="AF2989">
        <v>7.52022556560763</v>
      </c>
      <c r="AG2989">
        <v>4.4106659999999902</v>
      </c>
      <c r="AH2989">
        <v>152.696006703103</v>
      </c>
      <c r="AI2989">
        <v>88.347457583721607</v>
      </c>
      <c r="AJ2989">
        <v>87.180480793125199</v>
      </c>
      <c r="AK2989">
        <v>152.944690101341</v>
      </c>
      <c r="AL2989">
        <v>80.338406906289507</v>
      </c>
      <c r="AM2989">
        <v>96.766137552131497</v>
      </c>
      <c r="AN2989">
        <v>1.00000001108202</v>
      </c>
    </row>
    <row r="2990" spans="1:40" x14ac:dyDescent="0.25">
      <c r="A2990" t="str">
        <f>"20190304154816461"</f>
        <v>20190304154816461</v>
      </c>
      <c r="B2990" t="str">
        <f>"1551685696450076"</f>
        <v>1551685696450076</v>
      </c>
      <c r="C2990" t="s">
        <v>40</v>
      </c>
      <c r="D2990">
        <v>3.9479660000000001</v>
      </c>
      <c r="E2990">
        <v>0.63872899999999999</v>
      </c>
      <c r="F2990" t="s">
        <v>60</v>
      </c>
      <c r="G2990">
        <v>-381.04969999999997</v>
      </c>
      <c r="H2990" s="1">
        <v>-9.7820879999999996E-7</v>
      </c>
      <c r="I2990">
        <v>287.9572</v>
      </c>
      <c r="J2990">
        <v>-371.54790000000003</v>
      </c>
      <c r="K2990">
        <v>1.110314</v>
      </c>
      <c r="L2990">
        <v>285.46420000000001</v>
      </c>
      <c r="M2990">
        <v>-0.99992979999999998</v>
      </c>
      <c r="N2990">
        <v>-1.176409E-2</v>
      </c>
      <c r="O2990">
        <v>-1.3994329999999901E-3</v>
      </c>
      <c r="P2990">
        <v>-0.98073750000000004</v>
      </c>
      <c r="Q2990">
        <v>0.15612110000000001</v>
      </c>
      <c r="R2990">
        <v>-0.1173898</v>
      </c>
      <c r="S2990">
        <v>-3.2161870000000001</v>
      </c>
      <c r="T2990">
        <v>-0.36711969999999999</v>
      </c>
      <c r="U2990">
        <v>0.82415769999999899</v>
      </c>
      <c r="V2990">
        <v>-0.1160559</v>
      </c>
      <c r="W2990">
        <v>0.1676232</v>
      </c>
      <c r="X2990">
        <v>0.97899619999999998</v>
      </c>
      <c r="Y2990">
        <v>0.2479055</v>
      </c>
      <c r="Z2990">
        <v>1.550789E-2</v>
      </c>
      <c r="AA2990">
        <v>0.96866010000000002</v>
      </c>
      <c r="AB2990">
        <v>38</v>
      </c>
      <c r="AC2990">
        <v>-9.5017999999999407</v>
      </c>
      <c r="AD2990">
        <v>-1.1103149782088</v>
      </c>
      <c r="AE2990">
        <v>2.4929999999999901</v>
      </c>
      <c r="AF2990">
        <v>2.47468101266031</v>
      </c>
      <c r="AG2990">
        <v>-1.1103149782088</v>
      </c>
      <c r="AH2990">
        <v>9.3784893844728696</v>
      </c>
      <c r="AI2990">
        <v>96.530307809465697</v>
      </c>
      <c r="AJ2990">
        <v>75.218405593253493</v>
      </c>
      <c r="AK2990">
        <v>9.7628330212047896</v>
      </c>
      <c r="AL2990">
        <v>80.350344798980501</v>
      </c>
      <c r="AM2990">
        <v>96.760623291834193</v>
      </c>
      <c r="AN2990">
        <v>1.0000000343587401</v>
      </c>
    </row>
    <row r="2991" spans="1:40" x14ac:dyDescent="0.25">
      <c r="A2991" t="str">
        <f>"20190304154816490"</f>
        <v>20190304154816490</v>
      </c>
      <c r="B2991" t="str">
        <f>"1551685696479356"</f>
        <v>1551685696479356</v>
      </c>
      <c r="C2991" t="s">
        <v>40</v>
      </c>
      <c r="D2991">
        <v>3.7471239999999999</v>
      </c>
      <c r="E2991">
        <v>0.62583350000000004</v>
      </c>
      <c r="F2991" t="s">
        <v>60</v>
      </c>
      <c r="G2991">
        <v>-384.08550000000002</v>
      </c>
      <c r="H2991" s="1">
        <v>6.3730070000000002E-7</v>
      </c>
      <c r="I2991">
        <v>288.46859999999998</v>
      </c>
      <c r="J2991">
        <v>-372.04390000000001</v>
      </c>
      <c r="K2991">
        <v>1.110312</v>
      </c>
      <c r="L2991">
        <v>285.46339999999998</v>
      </c>
      <c r="M2991">
        <v>-0.99992970000000003</v>
      </c>
      <c r="N2991">
        <v>-1.176752E-2</v>
      </c>
      <c r="O2991">
        <v>-1.5417860000000001E-3</v>
      </c>
      <c r="P2991">
        <v>-0.98073509999999997</v>
      </c>
      <c r="Q2991">
        <v>0.15634039999999999</v>
      </c>
      <c r="R2991">
        <v>-0.11711920000000001</v>
      </c>
      <c r="S2991">
        <v>-3.1955870000000002</v>
      </c>
      <c r="T2991">
        <v>-0.28299629999999998</v>
      </c>
      <c r="U2991">
        <v>0.76577759999999995</v>
      </c>
      <c r="V2991">
        <v>-0.11564530000000001</v>
      </c>
      <c r="W2991">
        <v>0.167846</v>
      </c>
      <c r="X2991">
        <v>0.97900659999999895</v>
      </c>
      <c r="Y2991">
        <v>0.23354810000000001</v>
      </c>
      <c r="Z2991">
        <v>1.169068E-2</v>
      </c>
      <c r="AA2991">
        <v>0.972275</v>
      </c>
      <c r="AB2991">
        <v>38</v>
      </c>
      <c r="AC2991">
        <v>-12.041600000000001</v>
      </c>
      <c r="AD2991">
        <v>-1.1103113626993</v>
      </c>
      <c r="AE2991">
        <v>3.0051999999999999</v>
      </c>
      <c r="AF2991">
        <v>2.9997547179385902</v>
      </c>
      <c r="AG2991">
        <v>-1.1103113626993</v>
      </c>
      <c r="AH2991">
        <v>11.9413790583405</v>
      </c>
      <c r="AI2991">
        <v>95.152900659916497</v>
      </c>
      <c r="AJ2991">
        <v>75.898701888229795</v>
      </c>
      <c r="AK2991">
        <v>12.362356308766801</v>
      </c>
      <c r="AL2991">
        <v>80.337395691369494</v>
      </c>
      <c r="AM2991">
        <v>96.736853867834299</v>
      </c>
      <c r="AN2991">
        <v>1.00000001898582</v>
      </c>
    </row>
    <row r="2992" spans="1:40" x14ac:dyDescent="0.25">
      <c r="A2992" t="str">
        <f>"20190304154816508"</f>
        <v>20190304154816508</v>
      </c>
      <c r="B2992" t="str">
        <f>"1551685696499851"</f>
        <v>1551685696499851</v>
      </c>
      <c r="C2992" t="s">
        <v>40</v>
      </c>
      <c r="D2992">
        <v>3.9238409999999999</v>
      </c>
      <c r="E2992">
        <v>0.61498710000000001</v>
      </c>
      <c r="F2992" t="s">
        <v>61</v>
      </c>
      <c r="G2992">
        <v>-400.24119999999999</v>
      </c>
      <c r="H2992">
        <v>7.9999290000000001E-2</v>
      </c>
      <c r="I2992">
        <v>291.35640000000001</v>
      </c>
      <c r="J2992">
        <v>-372.36360000000002</v>
      </c>
      <c r="K2992">
        <v>1.1103130000000001</v>
      </c>
      <c r="L2992">
        <v>285.46280000000002</v>
      </c>
      <c r="M2992">
        <v>-0.99992939999999997</v>
      </c>
      <c r="N2992">
        <v>-1.176959E-2</v>
      </c>
      <c r="O2992">
        <v>-1.6333459999999999E-3</v>
      </c>
      <c r="P2992">
        <v>-0.98080469999999997</v>
      </c>
      <c r="Q2992">
        <v>0.1558417</v>
      </c>
      <c r="R2992">
        <v>-0.1171987</v>
      </c>
      <c r="S2992">
        <v>-3.1560969999999999</v>
      </c>
      <c r="T2992">
        <v>-0.1153221</v>
      </c>
      <c r="U2992">
        <v>0.6596069</v>
      </c>
      <c r="V2992">
        <v>-0.1156346</v>
      </c>
      <c r="W2992">
        <v>0.1673501</v>
      </c>
      <c r="X2992">
        <v>0.97909270000000004</v>
      </c>
      <c r="Y2992">
        <v>0.20599690000000001</v>
      </c>
      <c r="Z2992">
        <v>4.987862E-3</v>
      </c>
      <c r="AA2992">
        <v>0.97853990000000002</v>
      </c>
      <c r="AB2992">
        <v>38</v>
      </c>
      <c r="AC2992">
        <v>-27.877599999999902</v>
      </c>
      <c r="AD2992">
        <v>-1.0303137099999999</v>
      </c>
      <c r="AE2992">
        <v>5.8935999999999904</v>
      </c>
      <c r="AF2992">
        <v>5.9313738342262896</v>
      </c>
      <c r="AG2992">
        <v>-1.0303137099999999</v>
      </c>
      <c r="AH2992">
        <v>27.831546330009601</v>
      </c>
      <c r="AI2992">
        <v>92.073575961839296</v>
      </c>
      <c r="AJ2992">
        <v>77.969284407136698</v>
      </c>
      <c r="AK2992">
        <v>28.475212255957398</v>
      </c>
      <c r="AL2992">
        <v>80.366215808272699</v>
      </c>
      <c r="AM2992">
        <v>96.735649341614007</v>
      </c>
      <c r="AN2992">
        <v>0.999999965940229</v>
      </c>
    </row>
    <row r="2993" spans="1:40" x14ac:dyDescent="0.25">
      <c r="A2993" t="str">
        <f>"20190304154816521"</f>
        <v>20190304154816521</v>
      </c>
      <c r="B2993" t="str">
        <f>"1551685696509612"</f>
        <v>1551685696509612</v>
      </c>
      <c r="C2993" t="s">
        <v>40</v>
      </c>
      <c r="D2993">
        <v>3.856598</v>
      </c>
      <c r="E2993">
        <v>0.61144200000000004</v>
      </c>
      <c r="F2993" t="s">
        <v>45</v>
      </c>
      <c r="G2993">
        <v>-446.37430000000001</v>
      </c>
      <c r="H2993">
        <v>-0.05</v>
      </c>
      <c r="I2993">
        <v>298.97190000000001</v>
      </c>
      <c r="J2993">
        <v>-372.57080000000002</v>
      </c>
      <c r="K2993">
        <v>1.1103130000000001</v>
      </c>
      <c r="L2993">
        <v>285.4624</v>
      </c>
      <c r="M2993">
        <v>-0.99992939999999997</v>
      </c>
      <c r="N2993">
        <v>-1.1770890000000001E-2</v>
      </c>
      <c r="O2993">
        <v>-1.6928379999999999E-3</v>
      </c>
      <c r="P2993">
        <v>-0.98078940000000003</v>
      </c>
      <c r="Q2993">
        <v>0.15588779999999999</v>
      </c>
      <c r="R2993">
        <v>-0.1172673</v>
      </c>
      <c r="S2993">
        <v>-3.1348569999999998</v>
      </c>
      <c r="T2993">
        <v>-4.9147129999999997E-2</v>
      </c>
      <c r="U2993">
        <v>0.57220459999999995</v>
      </c>
      <c r="V2993">
        <v>-0.11564530000000001</v>
      </c>
      <c r="W2993">
        <v>0.1673975</v>
      </c>
      <c r="X2993">
        <v>0.97908340000000005</v>
      </c>
      <c r="Y2993">
        <v>0.18118989999999999</v>
      </c>
      <c r="Z2993">
        <v>2.4904229999999999E-3</v>
      </c>
      <c r="AA2993">
        <v>0.98344500000000001</v>
      </c>
      <c r="AB2993">
        <v>38</v>
      </c>
      <c r="AC2993">
        <v>-73.8034999999999</v>
      </c>
      <c r="AD2993">
        <v>-1.1603129999999999</v>
      </c>
      <c r="AE2993">
        <v>13.509499999999999</v>
      </c>
      <c r="AF2993">
        <v>13.6311666610125</v>
      </c>
      <c r="AG2993">
        <v>-1.1603129999999999</v>
      </c>
      <c r="AH2993">
        <v>73.762882339876001</v>
      </c>
      <c r="AI2993">
        <v>90.886203612029206</v>
      </c>
      <c r="AJ2993">
        <v>79.530022930071496</v>
      </c>
      <c r="AK2993">
        <v>75.020782733084403</v>
      </c>
      <c r="AL2993">
        <v>80.363461765097199</v>
      </c>
      <c r="AM2993">
        <v>96.736330280730698</v>
      </c>
      <c r="AN2993">
        <v>1.0000000312869399</v>
      </c>
    </row>
    <row r="2994" spans="1:40" x14ac:dyDescent="0.25">
      <c r="A2994" t="str">
        <f>"20190304154816534"</f>
        <v>20190304154816534</v>
      </c>
      <c r="B2994" t="str">
        <f>"1551685696530108"</f>
        <v>1551685696530108</v>
      </c>
      <c r="C2994" t="s">
        <v>40</v>
      </c>
      <c r="D2994">
        <v>3.9194360000000001</v>
      </c>
      <c r="E2994">
        <v>0.60511590000000004</v>
      </c>
      <c r="F2994" t="s">
        <v>64</v>
      </c>
      <c r="G2994">
        <v>-455.35770000000002</v>
      </c>
      <c r="H2994">
        <v>0.4760375</v>
      </c>
      <c r="I2994">
        <v>299.85730000000001</v>
      </c>
      <c r="J2994">
        <v>-372.78339999999997</v>
      </c>
      <c r="K2994">
        <v>1.110314</v>
      </c>
      <c r="L2994">
        <v>285.46199999999999</v>
      </c>
      <c r="M2994">
        <v>-0.99992919999999996</v>
      </c>
      <c r="N2994">
        <v>-1.17722E-2</v>
      </c>
      <c r="O2994">
        <v>-1.7534040000000001E-3</v>
      </c>
      <c r="P2994">
        <v>-0.98076730000000001</v>
      </c>
      <c r="Q2994">
        <v>0.1558223</v>
      </c>
      <c r="R2994">
        <v>-0.11753769999999999</v>
      </c>
      <c r="S2994">
        <v>-3.1275940000000002</v>
      </c>
      <c r="T2994">
        <v>-2.3961779999999998E-2</v>
      </c>
      <c r="U2994">
        <v>0.54382319999999995</v>
      </c>
      <c r="V2994">
        <v>-0.11585620000000001</v>
      </c>
      <c r="W2994">
        <v>0.16733310000000001</v>
      </c>
      <c r="X2994">
        <v>0.97906939999999998</v>
      </c>
      <c r="Y2994">
        <v>0.17302329999999999</v>
      </c>
      <c r="Z2994">
        <v>1.6767920000000001E-3</v>
      </c>
      <c r="AA2994">
        <v>0.98491629999999997</v>
      </c>
      <c r="AB2994">
        <v>38</v>
      </c>
      <c r="AC2994">
        <v>-82.574299999999994</v>
      </c>
      <c r="AD2994">
        <v>-0.63427650000000002</v>
      </c>
      <c r="AE2994">
        <v>14.395300000000001</v>
      </c>
      <c r="AF2994">
        <v>14.539241461658699</v>
      </c>
      <c r="AG2994">
        <v>-0.63427650000000002</v>
      </c>
      <c r="AH2994">
        <v>82.544203891295993</v>
      </c>
      <c r="AI2994">
        <v>90.433582558606801</v>
      </c>
      <c r="AJ2994">
        <v>80.010454190864706</v>
      </c>
      <c r="AK2994">
        <v>83.817286075168994</v>
      </c>
      <c r="AL2994">
        <v>80.367203687912806</v>
      </c>
      <c r="AM2994">
        <v>96.748597596747999</v>
      </c>
      <c r="AN2994">
        <v>0.999999957725204</v>
      </c>
    </row>
    <row r="2995" spans="1:40" x14ac:dyDescent="0.25">
      <c r="A2995" t="str">
        <f>"20190304154816546"</f>
        <v>20190304154816546</v>
      </c>
      <c r="B2995" t="str">
        <f>"1551685696539868"</f>
        <v>1551685696539868</v>
      </c>
      <c r="C2995" t="s">
        <v>40</v>
      </c>
      <c r="D2995">
        <v>3.8970500000000001</v>
      </c>
      <c r="E2995">
        <v>0.60256690000000002</v>
      </c>
      <c r="F2995" t="s">
        <v>63</v>
      </c>
      <c r="G2995">
        <v>-511.82060000000001</v>
      </c>
      <c r="H2995">
        <v>1.508537</v>
      </c>
      <c r="I2995">
        <v>307.40609999999998</v>
      </c>
      <c r="J2995">
        <v>-372.9982</v>
      </c>
      <c r="K2995">
        <v>1.1103149999999999</v>
      </c>
      <c r="L2995">
        <v>285.4615</v>
      </c>
      <c r="M2995">
        <v>-0.99992910000000002</v>
      </c>
      <c r="N2995">
        <v>-1.177341E-2</v>
      </c>
      <c r="O2995">
        <v>-1.814448E-3</v>
      </c>
      <c r="P2995">
        <v>-0.98072179999999998</v>
      </c>
      <c r="Q2995">
        <v>0.15618899999999999</v>
      </c>
      <c r="R2995">
        <v>-0.1174308</v>
      </c>
      <c r="S2995">
        <v>-3.1163639999999999</v>
      </c>
      <c r="T2995">
        <v>8.9277030000000004E-3</v>
      </c>
      <c r="U2995">
        <v>0.49185180000000001</v>
      </c>
      <c r="V2995">
        <v>-0.11568929999999999</v>
      </c>
      <c r="W2995">
        <v>0.16770019999999999</v>
      </c>
      <c r="X2995">
        <v>0.97902639999999996</v>
      </c>
      <c r="Y2995">
        <v>0.1576929</v>
      </c>
      <c r="Z2995">
        <v>6.8314350000000005E-4</v>
      </c>
      <c r="AA2995">
        <v>0.98748800000000003</v>
      </c>
      <c r="AB2995">
        <v>38</v>
      </c>
      <c r="AC2995">
        <v>-138.82239999999999</v>
      </c>
      <c r="AD2995">
        <v>0.39822200000000002</v>
      </c>
      <c r="AE2995">
        <v>21.944599999999902</v>
      </c>
      <c r="AF2995">
        <v>22.196289149106299</v>
      </c>
      <c r="AG2995">
        <v>0.39822200000000002</v>
      </c>
      <c r="AH2995">
        <v>138.78123720887399</v>
      </c>
      <c r="AI2995">
        <v>89.837657881395202</v>
      </c>
      <c r="AJ2995">
        <v>80.913228794514396</v>
      </c>
      <c r="AK2995">
        <v>140.54559983855</v>
      </c>
      <c r="AL2995">
        <v>80.345869649602804</v>
      </c>
      <c r="AM2995">
        <v>96.739258446438399</v>
      </c>
      <c r="AN2995">
        <v>1.00000003155574</v>
      </c>
    </row>
    <row r="2996" spans="1:40" x14ac:dyDescent="0.25">
      <c r="A2996" t="str">
        <f>"20190304154816559"</f>
        <v>20190304154816559</v>
      </c>
      <c r="B2996" t="str">
        <f>"1551685696549628"</f>
        <v>1551685696549628</v>
      </c>
      <c r="C2996" t="s">
        <v>40</v>
      </c>
      <c r="D2996">
        <v>3.9462350000000002</v>
      </c>
      <c r="E2996">
        <v>0.60042759999999995</v>
      </c>
      <c r="F2996" t="s">
        <v>63</v>
      </c>
      <c r="G2996">
        <v>-511.82080000000002</v>
      </c>
      <c r="H2996">
        <v>2.014688</v>
      </c>
      <c r="I2996">
        <v>306.50659999999999</v>
      </c>
      <c r="J2996">
        <v>-373.21690000000001</v>
      </c>
      <c r="K2996">
        <v>1.110317</v>
      </c>
      <c r="L2996">
        <v>285.46109999999999</v>
      </c>
      <c r="M2996">
        <v>-0.99992899999999996</v>
      </c>
      <c r="N2996">
        <v>-1.1774669999999999E-2</v>
      </c>
      <c r="O2996">
        <v>-1.876801E-3</v>
      </c>
      <c r="P2996">
        <v>-0.98073790000000005</v>
      </c>
      <c r="Q2996">
        <v>0.156187299999999</v>
      </c>
      <c r="R2996">
        <v>-0.1172962</v>
      </c>
      <c r="S2996">
        <v>-3.1122130000000001</v>
      </c>
      <c r="T2996">
        <v>2.0276780000000001E-2</v>
      </c>
      <c r="U2996">
        <v>0.47180179999999999</v>
      </c>
      <c r="V2996">
        <v>-0.1154941</v>
      </c>
      <c r="W2996">
        <v>0.1677003</v>
      </c>
      <c r="X2996">
        <v>0.97904939999999996</v>
      </c>
      <c r="Y2996">
        <v>0.15174209999999999</v>
      </c>
      <c r="Z2996">
        <v>3.7281880000000002E-4</v>
      </c>
      <c r="AA2996">
        <v>0.98842010000000002</v>
      </c>
      <c r="AB2996">
        <v>38</v>
      </c>
      <c r="AC2996">
        <v>-138.60390000000001</v>
      </c>
      <c r="AD2996">
        <v>0.90437099999999904</v>
      </c>
      <c r="AE2996">
        <v>21.045500000000001</v>
      </c>
      <c r="AF2996">
        <v>21.3047262975068</v>
      </c>
      <c r="AG2996">
        <v>0.90437099999999904</v>
      </c>
      <c r="AH2996">
        <v>138.558388887641</v>
      </c>
      <c r="AI2996">
        <v>89.630379254721902</v>
      </c>
      <c r="AJ2996">
        <v>81.258664595681907</v>
      </c>
      <c r="AK2996">
        <v>140.18964434171301</v>
      </c>
      <c r="AL2996">
        <v>80.345863556450297</v>
      </c>
      <c r="AM2996">
        <v>96.727835165288596</v>
      </c>
      <c r="AN2996">
        <v>1.0000000026976299</v>
      </c>
    </row>
    <row r="2997" spans="1:40" x14ac:dyDescent="0.25">
      <c r="A2997" t="str">
        <f>"20190304154816573"</f>
        <v>20190304154816573</v>
      </c>
      <c r="B2997" t="str">
        <f>"1551685696570123"</f>
        <v>1551685696570123</v>
      </c>
      <c r="C2997" t="s">
        <v>40</v>
      </c>
      <c r="D2997">
        <v>3.9782039999999999</v>
      </c>
      <c r="E2997">
        <v>0.59673259999999995</v>
      </c>
      <c r="F2997" t="s">
        <v>63</v>
      </c>
      <c r="G2997">
        <v>-511.82089999999999</v>
      </c>
      <c r="H2997">
        <v>2.380836</v>
      </c>
      <c r="I2997">
        <v>305.74209999999999</v>
      </c>
      <c r="J2997">
        <v>-373.43209999999999</v>
      </c>
      <c r="K2997">
        <v>1.110317</v>
      </c>
      <c r="L2997">
        <v>285.46069999999997</v>
      </c>
      <c r="M2997">
        <v>-0.99992890000000001</v>
      </c>
      <c r="N2997">
        <v>-1.177605E-2</v>
      </c>
      <c r="O2997">
        <v>-1.938321E-3</v>
      </c>
      <c r="P2997">
        <v>-0.980684</v>
      </c>
      <c r="Q2997">
        <v>0.15643180000000001</v>
      </c>
      <c r="R2997">
        <v>-0.11742279999999999</v>
      </c>
      <c r="S2997">
        <v>-3.1088260000000001</v>
      </c>
      <c r="T2997">
        <v>2.8499130000000001E-2</v>
      </c>
      <c r="U2997">
        <v>0.45489499999999999</v>
      </c>
      <c r="V2997">
        <v>-0.1155602</v>
      </c>
      <c r="W2997">
        <v>0.1679457</v>
      </c>
      <c r="X2997">
        <v>0.97899959999999997</v>
      </c>
      <c r="Y2997">
        <v>0.1467012</v>
      </c>
      <c r="Z2997">
        <v>1.591586E-4</v>
      </c>
      <c r="AA2997">
        <v>0.98918090000000003</v>
      </c>
      <c r="AB2997">
        <v>38</v>
      </c>
      <c r="AC2997">
        <v>-138.3888</v>
      </c>
      <c r="AD2997">
        <v>1.270519</v>
      </c>
      <c r="AE2997">
        <v>20.281400000000001</v>
      </c>
      <c r="AF2997">
        <v>20.5479268753386</v>
      </c>
      <c r="AG2997">
        <v>1.270519</v>
      </c>
      <c r="AH2997">
        <v>138.33781050390101</v>
      </c>
      <c r="AI2997">
        <v>89.479510191374104</v>
      </c>
      <c r="AJ2997">
        <v>81.5513755845259</v>
      </c>
      <c r="AK2997">
        <v>139.86129318870499</v>
      </c>
      <c r="AL2997">
        <v>80.331601518202703</v>
      </c>
      <c r="AM2997">
        <v>96.731989622116998</v>
      </c>
      <c r="AN2997">
        <v>1.0000000673863401</v>
      </c>
    </row>
    <row r="2998" spans="1:40" x14ac:dyDescent="0.25">
      <c r="A2998" t="str">
        <f>"20190304154816586"</f>
        <v>20190304154816586</v>
      </c>
      <c r="B2998" t="str">
        <f>"1551685696579885"</f>
        <v>1551685696579885</v>
      </c>
      <c r="C2998" t="s">
        <v>40</v>
      </c>
      <c r="D2998">
        <v>4.0248520000000001</v>
      </c>
      <c r="E2998">
        <v>0.59525600000000001</v>
      </c>
      <c r="F2998" t="s">
        <v>63</v>
      </c>
      <c r="G2998">
        <v>-511.8211</v>
      </c>
      <c r="H2998">
        <v>2.8850229999999999</v>
      </c>
      <c r="I2998">
        <v>304.40410000000003</v>
      </c>
      <c r="J2998">
        <v>-373.67189999999999</v>
      </c>
      <c r="K2998">
        <v>1.1103209999999999</v>
      </c>
      <c r="L2998">
        <v>285.46010000000001</v>
      </c>
      <c r="M2998">
        <v>-0.99992859999999995</v>
      </c>
      <c r="N2998">
        <v>-1.177986E-2</v>
      </c>
      <c r="O2998">
        <v>-2.0061749999999998E-3</v>
      </c>
      <c r="P2998">
        <v>-0.98062729999999998</v>
      </c>
      <c r="Q2998">
        <v>0.15642249999999999</v>
      </c>
      <c r="R2998">
        <v>-0.11790779999999999</v>
      </c>
      <c r="S2998">
        <v>-3.103577</v>
      </c>
      <c r="T2998">
        <v>3.980231E-2</v>
      </c>
      <c r="U2998">
        <v>0.42483520000000002</v>
      </c>
      <c r="V2998">
        <v>-0.115979</v>
      </c>
      <c r="W2998">
        <v>0.16793959999999999</v>
      </c>
      <c r="X2998">
        <v>0.97895100000000002</v>
      </c>
      <c r="Y2998">
        <v>0.13760710000000001</v>
      </c>
      <c r="Z2998">
        <v>-1.130934E-4</v>
      </c>
      <c r="AA2998">
        <v>0.99048689999999995</v>
      </c>
      <c r="AB2998">
        <v>38</v>
      </c>
      <c r="AC2998">
        <v>-138.14920000000001</v>
      </c>
      <c r="AD2998">
        <v>1.774702</v>
      </c>
      <c r="AE2998">
        <v>18.943999999999999</v>
      </c>
      <c r="AF2998">
        <v>19.2180196255417</v>
      </c>
      <c r="AG2998">
        <v>1.774702</v>
      </c>
      <c r="AH2998">
        <v>138.088546643494</v>
      </c>
      <c r="AI2998">
        <v>89.270708257689705</v>
      </c>
      <c r="AJ2998">
        <v>82.076939937988399</v>
      </c>
      <c r="AK2998">
        <v>139.43073032738801</v>
      </c>
      <c r="AL2998">
        <v>80.331954902932793</v>
      </c>
      <c r="AM2998">
        <v>96.756494108936295</v>
      </c>
      <c r="AN2998">
        <v>0.99999994904507805</v>
      </c>
    </row>
    <row r="2999" spans="1:40" x14ac:dyDescent="0.25">
      <c r="A2999" t="str">
        <f>"20190304154816599"</f>
        <v>20190304154816599</v>
      </c>
      <c r="B2999" t="str">
        <f>"1551685696589644"</f>
        <v>1551685696589644</v>
      </c>
      <c r="C2999" t="s">
        <v>40</v>
      </c>
      <c r="D2999">
        <v>3.9742609999999998</v>
      </c>
      <c r="E2999">
        <v>0.59395710000000002</v>
      </c>
      <c r="F2999" t="s">
        <v>63</v>
      </c>
      <c r="G2999">
        <v>-511.82119999999998</v>
      </c>
      <c r="H2999">
        <v>3.0667300000000002</v>
      </c>
      <c r="I2999">
        <v>303.78809999999999</v>
      </c>
      <c r="J2999">
        <v>-373.88720000000001</v>
      </c>
      <c r="K2999">
        <v>1.11032</v>
      </c>
      <c r="L2999">
        <v>285.4597</v>
      </c>
      <c r="M2999">
        <v>-0.99992840000000005</v>
      </c>
      <c r="N2999">
        <v>-1.178589E-2</v>
      </c>
      <c r="O2999">
        <v>-2.067485E-3</v>
      </c>
      <c r="P2999">
        <v>-0.98059280000000004</v>
      </c>
      <c r="Q2999">
        <v>0.15624460000000001</v>
      </c>
      <c r="R2999">
        <v>-0.1184287</v>
      </c>
      <c r="S2999">
        <v>-3.101715</v>
      </c>
      <c r="T2999">
        <v>4.3927069999999999E-2</v>
      </c>
      <c r="U2999">
        <v>0.411499</v>
      </c>
      <c r="V2999">
        <v>-0.11644</v>
      </c>
      <c r="W2999">
        <v>0.16776659999999999</v>
      </c>
      <c r="X2999">
        <v>0.97892599999999996</v>
      </c>
      <c r="Y2999">
        <v>0.1335625</v>
      </c>
      <c r="Z2999">
        <v>-2.0446350000000001E-4</v>
      </c>
      <c r="AA2999">
        <v>0.99104029999999999</v>
      </c>
      <c r="AB2999">
        <v>38</v>
      </c>
      <c r="AC2999">
        <v>-137.933999999999</v>
      </c>
      <c r="AD2999">
        <v>1.95641</v>
      </c>
      <c r="AE2999">
        <v>18.328399999999899</v>
      </c>
      <c r="AF2999">
        <v>18.609878196872099</v>
      </c>
      <c r="AG2999">
        <v>1.95641</v>
      </c>
      <c r="AH2999">
        <v>137.86855415661699</v>
      </c>
      <c r="AI2999">
        <v>89.194310371549804</v>
      </c>
      <c r="AJ2999">
        <v>82.312522233702794</v>
      </c>
      <c r="AK2999">
        <v>139.132646534976</v>
      </c>
      <c r="AL2999">
        <v>80.342010321237595</v>
      </c>
      <c r="AM2999">
        <v>96.783272078826002</v>
      </c>
      <c r="AN2999">
        <v>1.0000000095757799</v>
      </c>
    </row>
    <row r="3000" spans="1:40" x14ac:dyDescent="0.25">
      <c r="A3000" t="str">
        <f>"20190304154816613"</f>
        <v>20190304154816613</v>
      </c>
      <c r="B3000" t="str">
        <f>"1551685696610140"</f>
        <v>1551685696610140</v>
      </c>
      <c r="C3000" t="s">
        <v>40</v>
      </c>
      <c r="D3000">
        <v>4.0705309999999999</v>
      </c>
      <c r="E3000">
        <v>0.59145839999999905</v>
      </c>
      <c r="F3000" t="s">
        <v>63</v>
      </c>
      <c r="G3000">
        <v>-511.82119999999998</v>
      </c>
      <c r="H3000">
        <v>3.2107890000000001</v>
      </c>
      <c r="I3000">
        <v>303.23660000000001</v>
      </c>
      <c r="J3000">
        <v>-374.1121</v>
      </c>
      <c r="K3000">
        <v>1.110322</v>
      </c>
      <c r="L3000">
        <v>285.45909999999998</v>
      </c>
      <c r="M3000">
        <v>-0.99992820000000004</v>
      </c>
      <c r="N3000">
        <v>-1.179477E-2</v>
      </c>
      <c r="O3000">
        <v>-2.1320309999999999E-3</v>
      </c>
      <c r="P3000">
        <v>-0.9805526</v>
      </c>
      <c r="Q3000">
        <v>0.156193</v>
      </c>
      <c r="R3000">
        <v>-0.1188303</v>
      </c>
      <c r="S3000">
        <v>-3.1000670000000001</v>
      </c>
      <c r="T3000">
        <v>4.7209979999999999E-2</v>
      </c>
      <c r="U3000">
        <v>0.39953610000000001</v>
      </c>
      <c r="V3000">
        <v>-0.1167783</v>
      </c>
      <c r="W3000">
        <v>0.16772379999999901</v>
      </c>
      <c r="X3000">
        <v>0.97889300000000001</v>
      </c>
      <c r="Y3000">
        <v>0.12993299999999999</v>
      </c>
      <c r="Z3000">
        <v>-2.7314139999999999E-4</v>
      </c>
      <c r="AA3000">
        <v>0.99152269999999998</v>
      </c>
      <c r="AB3000">
        <v>38</v>
      </c>
      <c r="AC3000">
        <v>-137.70909999999901</v>
      </c>
      <c r="AD3000">
        <v>2.1004669999999899</v>
      </c>
      <c r="AE3000">
        <v>17.7775</v>
      </c>
      <c r="AF3000">
        <v>18.0669456686533</v>
      </c>
      <c r="AG3000">
        <v>2.1004669999999899</v>
      </c>
      <c r="AH3000">
        <v>137.63938501744701</v>
      </c>
      <c r="AI3000">
        <v>89.133131817756293</v>
      </c>
      <c r="AJ3000">
        <v>82.521942753252404</v>
      </c>
      <c r="AK3000">
        <v>138.835970826703</v>
      </c>
      <c r="AL3000">
        <v>80.344497489987006</v>
      </c>
      <c r="AM3000">
        <v>96.803022672277294</v>
      </c>
      <c r="AN3000">
        <v>0.99999997494316395</v>
      </c>
    </row>
    <row r="3001" spans="1:40" x14ac:dyDescent="0.25">
      <c r="A3001" t="str">
        <f>"20190304154816625"</f>
        <v>20190304154816625</v>
      </c>
      <c r="B3001" t="str">
        <f>"1551685696619900"</f>
        <v>1551685696619900</v>
      </c>
      <c r="C3001" t="s">
        <v>40</v>
      </c>
      <c r="D3001">
        <v>4.056057</v>
      </c>
      <c r="E3001">
        <v>0.59051109999999996</v>
      </c>
      <c r="F3001" t="s">
        <v>63</v>
      </c>
      <c r="G3001">
        <v>-511.82130000000001</v>
      </c>
      <c r="H3001">
        <v>3.4008509999999998</v>
      </c>
      <c r="I3001">
        <v>302.27109999999999</v>
      </c>
      <c r="J3001">
        <v>-374.34010000000001</v>
      </c>
      <c r="K3001">
        <v>1.1103270000000001</v>
      </c>
      <c r="L3001">
        <v>285.45859999999999</v>
      </c>
      <c r="M3001">
        <v>-0.99992780000000003</v>
      </c>
      <c r="N3001">
        <v>-1.181335E-2</v>
      </c>
      <c r="O3001">
        <v>-2.1972379999999998E-3</v>
      </c>
      <c r="P3001">
        <v>-0.98054889999999995</v>
      </c>
      <c r="Q3001">
        <v>0.15612029999999999</v>
      </c>
      <c r="R3001">
        <v>-0.1189559</v>
      </c>
      <c r="S3001">
        <v>-3.0971679999999999</v>
      </c>
      <c r="T3001">
        <v>5.151737E-2</v>
      </c>
      <c r="U3001">
        <v>0.37811280000000003</v>
      </c>
      <c r="V3001">
        <v>-0.1168401</v>
      </c>
      <c r="W3001">
        <v>0.16766829999999999</v>
      </c>
      <c r="X3001">
        <v>0.97889519999999997</v>
      </c>
      <c r="Y3001">
        <v>0.12335889999999999</v>
      </c>
      <c r="Z3001">
        <v>-3.529874E-4</v>
      </c>
      <c r="AA3001">
        <v>0.99236210000000002</v>
      </c>
      <c r="AB3001">
        <v>38</v>
      </c>
      <c r="AC3001">
        <v>-137.4812</v>
      </c>
      <c r="AD3001">
        <v>2.290524</v>
      </c>
      <c r="AE3001">
        <v>16.8125</v>
      </c>
      <c r="AF3001">
        <v>17.109880082677101</v>
      </c>
      <c r="AG3001">
        <v>2.290524</v>
      </c>
      <c r="AH3001">
        <v>137.40634561705599</v>
      </c>
      <c r="AI3001">
        <v>89.052301959267098</v>
      </c>
      <c r="AJ3001">
        <v>82.902046900203601</v>
      </c>
      <c r="AK3001">
        <v>138.486455339402</v>
      </c>
      <c r="AL3001">
        <v>80.347723720076701</v>
      </c>
      <c r="AM3001">
        <v>96.806573963361899</v>
      </c>
      <c r="AN3001">
        <v>1.0000000401879601</v>
      </c>
    </row>
    <row r="3002" spans="1:40" x14ac:dyDescent="0.25">
      <c r="A3002" t="str">
        <f>"20190304154816639"</f>
        <v>20190304154816639</v>
      </c>
      <c r="B3002" t="str">
        <f>"1551685696629660"</f>
        <v>1551685696629660</v>
      </c>
      <c r="C3002" t="s">
        <v>40</v>
      </c>
      <c r="D3002">
        <v>4.1661260000000002</v>
      </c>
      <c r="E3002">
        <v>0.58915969999999995</v>
      </c>
      <c r="F3002" t="s">
        <v>63</v>
      </c>
      <c r="G3002">
        <v>-511.82130000000001</v>
      </c>
      <c r="H3002">
        <v>3.4492129999999999</v>
      </c>
      <c r="I3002">
        <v>301.89789999999999</v>
      </c>
      <c r="J3002">
        <v>-374.56459999999998</v>
      </c>
      <c r="K3002">
        <v>1.1103339999999999</v>
      </c>
      <c r="L3002">
        <v>285.45800000000003</v>
      </c>
      <c r="M3002">
        <v>-0.99992749999999997</v>
      </c>
      <c r="N3002">
        <v>-1.183733E-2</v>
      </c>
      <c r="O3002">
        <v>-2.2629590000000002E-3</v>
      </c>
      <c r="P3002">
        <v>-0.98047980000000001</v>
      </c>
      <c r="Q3002">
        <v>0.1563909</v>
      </c>
      <c r="R3002">
        <v>-0.11917030000000001</v>
      </c>
      <c r="S3002">
        <v>-3.0960390000000002</v>
      </c>
      <c r="T3002">
        <v>5.2672980000000001E-2</v>
      </c>
      <c r="U3002">
        <v>0.3702087</v>
      </c>
      <c r="V3002">
        <v>-0.1169905</v>
      </c>
      <c r="W3002">
        <v>0.1679621</v>
      </c>
      <c r="X3002">
        <v>0.9788268</v>
      </c>
      <c r="Y3002">
        <v>0.12096989999999901</v>
      </c>
      <c r="Z3002">
        <v>-3.717956E-4</v>
      </c>
      <c r="AA3002">
        <v>0.99265610000000004</v>
      </c>
      <c r="AB3002">
        <v>38</v>
      </c>
      <c r="AC3002">
        <v>-137.2567</v>
      </c>
      <c r="AD3002">
        <v>2.3388789999999999</v>
      </c>
      <c r="AE3002">
        <v>16.439900000000002</v>
      </c>
      <c r="AF3002">
        <v>16.7456922698886</v>
      </c>
      <c r="AG3002">
        <v>2.3388789999999999</v>
      </c>
      <c r="AH3002">
        <v>137.17987382777801</v>
      </c>
      <c r="AI3002">
        <v>89.030413376911596</v>
      </c>
      <c r="AJ3002">
        <v>83.040277035269</v>
      </c>
      <c r="AK3002">
        <v>138.217966805982</v>
      </c>
      <c r="AL3002">
        <v>80.330647418169505</v>
      </c>
      <c r="AM3002">
        <v>96.815724993416495</v>
      </c>
      <c r="AN3002">
        <v>0.99999997426244902</v>
      </c>
    </row>
    <row r="3003" spans="1:40" x14ac:dyDescent="0.25">
      <c r="A3003" t="str">
        <f>"20190304154816656"</f>
        <v>20190304154816656</v>
      </c>
      <c r="B3003" t="str">
        <f>"1551685696650156"</f>
        <v>1551685696650156</v>
      </c>
      <c r="C3003" t="s">
        <v>40</v>
      </c>
      <c r="D3003">
        <v>4.1386250000000002</v>
      </c>
      <c r="E3003">
        <v>0.58668710000000002</v>
      </c>
      <c r="F3003" t="s">
        <v>63</v>
      </c>
      <c r="G3003">
        <v>-511.82130000000001</v>
      </c>
      <c r="H3003">
        <v>3.4578660000000001</v>
      </c>
      <c r="I3003">
        <v>301.37419999999997</v>
      </c>
      <c r="J3003">
        <v>-374.83510000000001</v>
      </c>
      <c r="K3003">
        <v>1.1103459999999901</v>
      </c>
      <c r="L3003">
        <v>285.45729999999998</v>
      </c>
      <c r="M3003">
        <v>-0.9999268</v>
      </c>
      <c r="N3003">
        <v>-1.187506E-2</v>
      </c>
      <c r="O3003">
        <v>-2.3427190000000001E-3</v>
      </c>
      <c r="P3003">
        <v>-0.98040000000000005</v>
      </c>
      <c r="Q3003">
        <v>0.15678029999999901</v>
      </c>
      <c r="R3003">
        <v>-0.11931509999999999</v>
      </c>
      <c r="S3003">
        <v>-3.0949399999999998</v>
      </c>
      <c r="T3003">
        <v>5.2935360000000001E-2</v>
      </c>
      <c r="U3003">
        <v>0.3588867</v>
      </c>
      <c r="V3003">
        <v>-0.117058</v>
      </c>
      <c r="W3003">
        <v>0.16838649999999999</v>
      </c>
      <c r="X3003">
        <v>0.9787458</v>
      </c>
      <c r="Y3003">
        <v>0.11750819999999999</v>
      </c>
      <c r="Z3003">
        <v>-3.6907280000000002E-4</v>
      </c>
      <c r="AA3003">
        <v>0.99307190000000001</v>
      </c>
      <c r="AB3003">
        <v>38</v>
      </c>
      <c r="AC3003">
        <v>-136.9862</v>
      </c>
      <c r="AD3003">
        <v>2.3475199999999998</v>
      </c>
      <c r="AE3003">
        <v>15.916899999999901</v>
      </c>
      <c r="AF3003">
        <v>16.233095373325</v>
      </c>
      <c r="AG3003">
        <v>2.3475199999999998</v>
      </c>
      <c r="AH3003">
        <v>136.90886165255199</v>
      </c>
      <c r="AI3003">
        <v>89.024500842307503</v>
      </c>
      <c r="AJ3003">
        <v>83.238087810010498</v>
      </c>
      <c r="AK3003">
        <v>137.88785528300701</v>
      </c>
      <c r="AL3003">
        <v>80.305979661917405</v>
      </c>
      <c r="AM3003">
        <v>96.820179505586694</v>
      </c>
      <c r="AN3003">
        <v>0.99999996488194398</v>
      </c>
    </row>
    <row r="3004" spans="1:40" x14ac:dyDescent="0.25">
      <c r="A3004" t="str">
        <f>"20190304154816677"</f>
        <v>20190304154816677</v>
      </c>
      <c r="B3004" t="str">
        <f>"1551685696669676"</f>
        <v>1551685696669676</v>
      </c>
      <c r="C3004" t="s">
        <v>40</v>
      </c>
      <c r="D3004">
        <v>4.1393440000000004</v>
      </c>
      <c r="E3004">
        <v>0.58455900000000005</v>
      </c>
      <c r="F3004" t="s">
        <v>63</v>
      </c>
      <c r="G3004">
        <v>-511.82130000000001</v>
      </c>
      <c r="H3004">
        <v>3.401329</v>
      </c>
      <c r="I3004">
        <v>300.46429999999998</v>
      </c>
      <c r="J3004">
        <v>-375.20699999999999</v>
      </c>
      <c r="K3004">
        <v>1.110366</v>
      </c>
      <c r="L3004">
        <v>285.45639999999997</v>
      </c>
      <c r="M3004">
        <v>-0.99992570000000003</v>
      </c>
      <c r="N3004">
        <v>-1.195062E-2</v>
      </c>
      <c r="O3004">
        <v>-2.4491980000000001E-3</v>
      </c>
      <c r="P3004">
        <v>-0.98037030000000003</v>
      </c>
      <c r="Q3004">
        <v>0.1571688</v>
      </c>
      <c r="R3004">
        <v>-0.119048</v>
      </c>
      <c r="S3004">
        <v>-3.0929570000000002</v>
      </c>
      <c r="T3004">
        <v>5.1729079999999997E-2</v>
      </c>
      <c r="U3004">
        <v>0.33883669999999999</v>
      </c>
      <c r="V3004">
        <v>-0.1166884</v>
      </c>
      <c r="W3004">
        <v>0.1688481</v>
      </c>
      <c r="X3004">
        <v>0.97871050000000004</v>
      </c>
      <c r="Y3004">
        <v>0.1113287</v>
      </c>
      <c r="Z3004">
        <v>-3.309079E-4</v>
      </c>
      <c r="AA3004">
        <v>0.99378359999999999</v>
      </c>
      <c r="AB3004">
        <v>38</v>
      </c>
      <c r="AC3004">
        <v>-136.61429999999999</v>
      </c>
      <c r="AD3004">
        <v>2.2909630000000001</v>
      </c>
      <c r="AE3004">
        <v>15.007899999999999</v>
      </c>
      <c r="AF3004">
        <v>15.3382123556175</v>
      </c>
      <c r="AG3004">
        <v>2.2909630000000001</v>
      </c>
      <c r="AH3004">
        <v>136.53919078130301</v>
      </c>
      <c r="AI3004">
        <v>89.044743409281907</v>
      </c>
      <c r="AJ3004">
        <v>83.590514960512095</v>
      </c>
      <c r="AK3004">
        <v>137.41710187944801</v>
      </c>
      <c r="AL3004">
        <v>80.279148605275495</v>
      </c>
      <c r="AM3004">
        <v>96.799090222663494</v>
      </c>
      <c r="AN3004">
        <v>1.0000000531891999</v>
      </c>
    </row>
    <row r="3005" spans="1:40" x14ac:dyDescent="0.25">
      <c r="A3005" t="str">
        <f>"20190304154816698"</f>
        <v>20190304154816698</v>
      </c>
      <c r="B3005" t="str">
        <f>"1551685696689196"</f>
        <v>1551685696689196</v>
      </c>
      <c r="C3005" t="s">
        <v>40</v>
      </c>
      <c r="D3005">
        <v>4.1386379999999896</v>
      </c>
      <c r="E3005">
        <v>0.58303669999999996</v>
      </c>
      <c r="F3005" t="s">
        <v>63</v>
      </c>
      <c r="G3005">
        <v>-511.82119999999998</v>
      </c>
      <c r="H3005">
        <v>3.2146680000000001</v>
      </c>
      <c r="I3005">
        <v>299.71839999999997</v>
      </c>
      <c r="J3005">
        <v>-375.56799999999998</v>
      </c>
      <c r="K3005">
        <v>1.1103879999999999</v>
      </c>
      <c r="L3005">
        <v>285.4554</v>
      </c>
      <c r="M3005">
        <v>-0.99992420000000004</v>
      </c>
      <c r="N3005">
        <v>-1.204743E-2</v>
      </c>
      <c r="O3005">
        <v>-2.5443530000000001E-3</v>
      </c>
      <c r="P3005">
        <v>-0.98031230000000003</v>
      </c>
      <c r="Q3005">
        <v>0.15755920000000001</v>
      </c>
      <c r="R3005">
        <v>-0.11901</v>
      </c>
      <c r="S3005">
        <v>-3.0916139999999999</v>
      </c>
      <c r="T3005">
        <v>4.76228E-2</v>
      </c>
      <c r="U3005">
        <v>0.32275389999999998</v>
      </c>
      <c r="V3005">
        <v>-0.1165586</v>
      </c>
      <c r="W3005">
        <v>0.16933219999999999</v>
      </c>
      <c r="X3005">
        <v>0.97864229999999997</v>
      </c>
      <c r="Y3005">
        <v>0.1063592</v>
      </c>
      <c r="Z3005">
        <v>-2.4411060000000001E-4</v>
      </c>
      <c r="AA3005">
        <v>0.99432770000000004</v>
      </c>
      <c r="AB3005">
        <v>38</v>
      </c>
      <c r="AC3005">
        <v>-136.253199999999</v>
      </c>
      <c r="AD3005">
        <v>2.1042799999999899</v>
      </c>
      <c r="AE3005">
        <v>14.2629999999999</v>
      </c>
      <c r="AF3005">
        <v>14.6062091994571</v>
      </c>
      <c r="AG3005">
        <v>2.1042799999999899</v>
      </c>
      <c r="AH3005">
        <v>136.184336384587</v>
      </c>
      <c r="AI3005">
        <v>89.119800348898195</v>
      </c>
      <c r="AJ3005">
        <v>83.878244693096903</v>
      </c>
      <c r="AK3005">
        <v>136.981541887975</v>
      </c>
      <c r="AL3005">
        <v>80.251006224745495</v>
      </c>
      <c r="AM3005">
        <v>96.792066716344294</v>
      </c>
      <c r="AN3005">
        <v>1.0000000262700399</v>
      </c>
    </row>
    <row r="3006" spans="1:40" x14ac:dyDescent="0.25">
      <c r="A3006" t="str">
        <f>"20190304154816710"</f>
        <v>20190304154816710</v>
      </c>
      <c r="B3006" t="str">
        <f>"1551685696699932"</f>
        <v>1551685696699932</v>
      </c>
      <c r="C3006" t="s">
        <v>40</v>
      </c>
      <c r="D3006">
        <v>4.1498699999999999</v>
      </c>
      <c r="E3006">
        <v>0.58240550000000002</v>
      </c>
      <c r="F3006" t="s">
        <v>63</v>
      </c>
      <c r="G3006">
        <v>-511.82119999999998</v>
      </c>
      <c r="H3006">
        <v>3.11206</v>
      </c>
      <c r="I3006">
        <v>299.16460000000001</v>
      </c>
      <c r="J3006">
        <v>-375.76729999999998</v>
      </c>
      <c r="K3006">
        <v>1.1104000000000001</v>
      </c>
      <c r="L3006">
        <v>285.45479999999998</v>
      </c>
      <c r="M3006">
        <v>-0.99992329999999996</v>
      </c>
      <c r="N3006">
        <v>-1.210874E-2</v>
      </c>
      <c r="O3006">
        <v>-2.5958690000000002E-3</v>
      </c>
      <c r="P3006">
        <v>-0.98021409999999998</v>
      </c>
      <c r="Q3006">
        <v>0.15824279999999999</v>
      </c>
      <c r="R3006">
        <v>-0.11891110000000001</v>
      </c>
      <c r="S3006">
        <v>-3.0906980000000002</v>
      </c>
      <c r="T3006">
        <v>4.5406820000000001E-2</v>
      </c>
      <c r="U3006">
        <v>0.31097409999999998</v>
      </c>
      <c r="V3006">
        <v>-0.1164096</v>
      </c>
      <c r="W3006">
        <v>0.1700747</v>
      </c>
      <c r="X3006">
        <v>0.97853120000000005</v>
      </c>
      <c r="Y3006">
        <v>0.10269060000000001</v>
      </c>
      <c r="Z3006">
        <v>-1.9846649999999999E-4</v>
      </c>
      <c r="AA3006">
        <v>0.99471330000000002</v>
      </c>
      <c r="AB3006">
        <v>38</v>
      </c>
      <c r="AC3006">
        <v>-136.0539</v>
      </c>
      <c r="AD3006">
        <v>2.00165999999999</v>
      </c>
      <c r="AE3006">
        <v>13.7098</v>
      </c>
      <c r="AF3006">
        <v>14.0599451117918</v>
      </c>
      <c r="AG3006">
        <v>2.00165999999999</v>
      </c>
      <c r="AH3006">
        <v>135.98871112715099</v>
      </c>
      <c r="AI3006">
        <v>89.161177334923195</v>
      </c>
      <c r="AJ3006">
        <v>84.097132386567196</v>
      </c>
      <c r="AK3006">
        <v>136.72826428111301</v>
      </c>
      <c r="AL3006">
        <v>80.207837245353105</v>
      </c>
      <c r="AM3006">
        <v>96.784228193298006</v>
      </c>
      <c r="AN3006">
        <v>0.99999995396284302</v>
      </c>
    </row>
    <row r="3007" spans="1:40" x14ac:dyDescent="0.25">
      <c r="A3007" t="str">
        <f>"20190304154816723"</f>
        <v>20190304154816723</v>
      </c>
      <c r="B3007" t="str">
        <f>"1551685696719452"</f>
        <v>1551685696719452</v>
      </c>
      <c r="C3007" t="s">
        <v>40</v>
      </c>
      <c r="D3007">
        <v>4.1262100000000004</v>
      </c>
      <c r="E3007">
        <v>0.58175310000000002</v>
      </c>
      <c r="F3007" t="s">
        <v>63</v>
      </c>
      <c r="G3007">
        <v>-511.82119999999998</v>
      </c>
      <c r="H3007">
        <v>3.146191</v>
      </c>
      <c r="I3007">
        <v>298.94709999999998</v>
      </c>
      <c r="J3007">
        <v>-375.97070000000002</v>
      </c>
      <c r="K3007">
        <v>1.110414</v>
      </c>
      <c r="L3007">
        <v>285.45420000000001</v>
      </c>
      <c r="M3007">
        <v>-0.99992230000000004</v>
      </c>
      <c r="N3007">
        <v>-1.2180649999999999E-2</v>
      </c>
      <c r="O3007">
        <v>-2.651231E-3</v>
      </c>
      <c r="P3007">
        <v>-0.98012770000000005</v>
      </c>
      <c r="Q3007">
        <v>0.15870310000000001</v>
      </c>
      <c r="R3007">
        <v>-0.11900860000000001</v>
      </c>
      <c r="S3007">
        <v>-3.090271</v>
      </c>
      <c r="T3007">
        <v>4.6241999999999998E-2</v>
      </c>
      <c r="U3007">
        <v>0.30645749999999999</v>
      </c>
      <c r="V3007">
        <v>-0.116451399999999</v>
      </c>
      <c r="W3007">
        <v>0.17060520000000001</v>
      </c>
      <c r="X3007">
        <v>0.97843389999999997</v>
      </c>
      <c r="Y3007">
        <v>0.1013196</v>
      </c>
      <c r="Z3007">
        <v>-2.0934090000000001E-4</v>
      </c>
      <c r="AA3007">
        <v>0.99485389999999996</v>
      </c>
      <c r="AB3007">
        <v>38</v>
      </c>
      <c r="AC3007">
        <v>-135.85049999999899</v>
      </c>
      <c r="AD3007">
        <v>2.0357769999999999</v>
      </c>
      <c r="AE3007">
        <v>13.492899999999899</v>
      </c>
      <c r="AF3007">
        <v>13.849970542945901</v>
      </c>
      <c r="AG3007">
        <v>2.0357769999999999</v>
      </c>
      <c r="AH3007">
        <v>135.78405283598499</v>
      </c>
      <c r="AI3007">
        <v>89.145475854501996</v>
      </c>
      <c r="AJ3007">
        <v>84.175973672530205</v>
      </c>
      <c r="AK3007">
        <v>136.503754807696</v>
      </c>
      <c r="AL3007">
        <v>80.176991281800795</v>
      </c>
      <c r="AM3007">
        <v>96.787310134473898</v>
      </c>
      <c r="AN3007">
        <v>0.99999997974910404</v>
      </c>
    </row>
    <row r="3008" spans="1:40" x14ac:dyDescent="0.25">
      <c r="A3008" t="str">
        <f>"20190304154816743"</f>
        <v>20190304154816743</v>
      </c>
      <c r="B3008" t="str">
        <f>"1551685696739948"</f>
        <v>1551685696739948</v>
      </c>
      <c r="C3008" t="s">
        <v>40</v>
      </c>
      <c r="D3008">
        <v>4.1232829999999998</v>
      </c>
      <c r="E3008">
        <v>0.58094449999999997</v>
      </c>
      <c r="F3008" t="s">
        <v>63</v>
      </c>
      <c r="G3008">
        <v>-511.82119999999998</v>
      </c>
      <c r="H3008">
        <v>3.2301220000000002</v>
      </c>
      <c r="I3008">
        <v>298.67070000000001</v>
      </c>
      <c r="J3008">
        <v>-376.31990000000002</v>
      </c>
      <c r="K3008">
        <v>1.110436</v>
      </c>
      <c r="L3008">
        <v>285.45319999999998</v>
      </c>
      <c r="M3008">
        <v>-0.99992040000000004</v>
      </c>
      <c r="N3008">
        <v>-1.2313070000000001E-2</v>
      </c>
      <c r="O3008">
        <v>-2.749727E-3</v>
      </c>
      <c r="P3008">
        <v>-0.98004820000000004</v>
      </c>
      <c r="Q3008">
        <v>0.1593193</v>
      </c>
      <c r="R3008">
        <v>-0.11883970000000001</v>
      </c>
      <c r="S3008">
        <v>-3.0895079999999999</v>
      </c>
      <c r="T3008">
        <v>4.8208239999999999E-2</v>
      </c>
      <c r="U3008">
        <v>0.30056759999999999</v>
      </c>
      <c r="V3008">
        <v>-0.1161847</v>
      </c>
      <c r="W3008">
        <v>0.17135120000000001</v>
      </c>
      <c r="X3008">
        <v>0.97833530000000002</v>
      </c>
      <c r="Y3008">
        <v>9.9562529999999996E-2</v>
      </c>
      <c r="Z3008">
        <v>-2.3704729999999999E-4</v>
      </c>
      <c r="AA3008">
        <v>0.99503129999999995</v>
      </c>
      <c r="AB3008">
        <v>38</v>
      </c>
      <c r="AC3008">
        <v>-135.50129999999899</v>
      </c>
      <c r="AD3008">
        <v>2.1196860000000002</v>
      </c>
      <c r="AE3008">
        <v>13.217499999999999</v>
      </c>
      <c r="AF3008">
        <v>13.5867763425849</v>
      </c>
      <c r="AG3008">
        <v>2.1196860000000002</v>
      </c>
      <c r="AH3008">
        <v>135.431610953513</v>
      </c>
      <c r="AI3008">
        <v>89.107795400751897</v>
      </c>
      <c r="AJ3008">
        <v>84.271138244676493</v>
      </c>
      <c r="AK3008">
        <v>136.12793543422899</v>
      </c>
      <c r="AL3008">
        <v>80.133610416075996</v>
      </c>
      <c r="AM3008">
        <v>96.772586342646804</v>
      </c>
      <c r="AN3008">
        <v>1.0000000387407999</v>
      </c>
    </row>
    <row r="3009" spans="1:40" x14ac:dyDescent="0.25">
      <c r="A3009" t="str">
        <f>"20190304154816755"</f>
        <v>20190304154816755</v>
      </c>
      <c r="B3009" t="str">
        <f>"1551685696749708"</f>
        <v>1551685696749708</v>
      </c>
      <c r="C3009" t="s">
        <v>40</v>
      </c>
      <c r="D3009">
        <v>4.1151939999999998</v>
      </c>
      <c r="E3009">
        <v>0.58069009999999999</v>
      </c>
      <c r="F3009" t="s">
        <v>63</v>
      </c>
      <c r="G3009">
        <v>-511.82130000000001</v>
      </c>
      <c r="H3009">
        <v>3.3282989999999999</v>
      </c>
      <c r="I3009">
        <v>298.3639</v>
      </c>
      <c r="J3009">
        <v>-376.52629999999999</v>
      </c>
      <c r="K3009">
        <v>1.110449</v>
      </c>
      <c r="L3009">
        <v>285.45260000000002</v>
      </c>
      <c r="M3009">
        <v>-0.99991929999999996</v>
      </c>
      <c r="N3009">
        <v>-1.2396020000000001E-2</v>
      </c>
      <c r="O3009">
        <v>-2.809803E-3</v>
      </c>
      <c r="P3009">
        <v>-0.97998490000000005</v>
      </c>
      <c r="Q3009">
        <v>0.15950829999999999</v>
      </c>
      <c r="R3009">
        <v>-0.1191094</v>
      </c>
      <c r="S3009">
        <v>-3.088562</v>
      </c>
      <c r="T3009">
        <v>5.0554990000000001E-2</v>
      </c>
      <c r="U3009">
        <v>0.29428100000000001</v>
      </c>
      <c r="V3009">
        <v>-0.1163942</v>
      </c>
      <c r="W3009">
        <v>0.17162179999999999</v>
      </c>
      <c r="X3009">
        <v>0.97826290000000005</v>
      </c>
      <c r="Y3009">
        <v>9.7644069999999999E-2</v>
      </c>
      <c r="Z3009">
        <v>-2.7131840000000002E-4</v>
      </c>
      <c r="AA3009">
        <v>0.99522140000000003</v>
      </c>
      <c r="AB3009">
        <v>38</v>
      </c>
      <c r="AC3009">
        <v>-135.29499999999999</v>
      </c>
      <c r="AD3009">
        <v>2.2178499999999999</v>
      </c>
      <c r="AE3009">
        <v>12.911299999999899</v>
      </c>
      <c r="AF3009">
        <v>13.287891997279401</v>
      </c>
      <c r="AG3009">
        <v>2.2178499999999999</v>
      </c>
      <c r="AH3009">
        <v>135.22217580680501</v>
      </c>
      <c r="AI3009">
        <v>89.064849500736599</v>
      </c>
      <c r="AJ3009">
        <v>84.387728055481702</v>
      </c>
      <c r="AK3009">
        <v>135.89158826903301</v>
      </c>
      <c r="AL3009">
        <v>80.117872434276904</v>
      </c>
      <c r="AM3009">
        <v>96.785182128238901</v>
      </c>
      <c r="AN3009">
        <v>0.99999997677264396</v>
      </c>
    </row>
    <row r="3010" spans="1:40" x14ac:dyDescent="0.25">
      <c r="A3010" t="str">
        <f>"20190304154816767"</f>
        <v>20190304154816767</v>
      </c>
      <c r="B3010" t="str">
        <f>"1551685696759469"</f>
        <v>1551685696759469</v>
      </c>
      <c r="C3010" t="s">
        <v>40</v>
      </c>
      <c r="D3010">
        <v>4.2225489999999999</v>
      </c>
      <c r="E3010">
        <v>0.58013019999999904</v>
      </c>
      <c r="F3010" t="s">
        <v>63</v>
      </c>
      <c r="G3010">
        <v>-511.82130000000001</v>
      </c>
      <c r="H3010">
        <v>3.3842460000000001</v>
      </c>
      <c r="I3010">
        <v>298.22320000000002</v>
      </c>
      <c r="J3010">
        <v>-376.7149</v>
      </c>
      <c r="K3010">
        <v>1.110457</v>
      </c>
      <c r="L3010">
        <v>285.452</v>
      </c>
      <c r="M3010">
        <v>-0.99991810000000003</v>
      </c>
      <c r="N3010">
        <v>-1.2474259999999999E-2</v>
      </c>
      <c r="O3010">
        <v>-2.8656879999999999E-3</v>
      </c>
      <c r="P3010">
        <v>-0.97994009999999998</v>
      </c>
      <c r="Q3010">
        <v>0.15986120000000001</v>
      </c>
      <c r="R3010">
        <v>-0.1190041</v>
      </c>
      <c r="S3010">
        <v>-3.088257</v>
      </c>
      <c r="T3010">
        <v>5.190384E-2</v>
      </c>
      <c r="U3010">
        <v>0.29150389999999998</v>
      </c>
      <c r="V3010">
        <v>-0.1162333</v>
      </c>
      <c r="W3010">
        <v>0.17205109999999901</v>
      </c>
      <c r="X3010">
        <v>0.97820660000000004</v>
      </c>
      <c r="Y3010">
        <v>9.6821550000000006E-2</v>
      </c>
      <c r="Z3010">
        <v>-2.9022740000000003E-4</v>
      </c>
      <c r="AA3010">
        <v>0.99530169999999996</v>
      </c>
      <c r="AB3010">
        <v>38</v>
      </c>
      <c r="AC3010">
        <v>-135.10640000000001</v>
      </c>
      <c r="AD3010">
        <v>2.2737889999999998</v>
      </c>
      <c r="AE3010">
        <v>12.7712</v>
      </c>
      <c r="AF3010">
        <v>13.1546575875408</v>
      </c>
      <c r="AG3010">
        <v>2.2737889999999998</v>
      </c>
      <c r="AH3010">
        <v>135.031337006917</v>
      </c>
      <c r="AI3010">
        <v>89.039833728389198</v>
      </c>
      <c r="AJ3010">
        <v>84.435843498092495</v>
      </c>
      <c r="AK3010">
        <v>135.689635221477</v>
      </c>
      <c r="AL3010">
        <v>80.092903760327602</v>
      </c>
      <c r="AM3010">
        <v>96.776276112324695</v>
      </c>
      <c r="AN3010">
        <v>0.99999995666182895</v>
      </c>
    </row>
    <row r="3011" spans="1:40" x14ac:dyDescent="0.25">
      <c r="A3011" t="str">
        <f>"20190304154816778"</f>
        <v>20190304154816778</v>
      </c>
      <c r="B3011" t="str">
        <f>"1551685696769228"</f>
        <v>1551685696769228</v>
      </c>
      <c r="C3011" t="s">
        <v>40</v>
      </c>
      <c r="D3011">
        <v>4.2610979999999996</v>
      </c>
      <c r="E3011">
        <v>0.57965259999999996</v>
      </c>
      <c r="F3011" t="s">
        <v>63</v>
      </c>
      <c r="G3011">
        <v>-511.82130000000001</v>
      </c>
      <c r="H3011">
        <v>3.3653369999999998</v>
      </c>
      <c r="I3011">
        <v>298.03649999999999</v>
      </c>
      <c r="J3011">
        <v>-376.91759999999999</v>
      </c>
      <c r="K3011">
        <v>1.110471</v>
      </c>
      <c r="L3011">
        <v>285.45139999999998</v>
      </c>
      <c r="M3011">
        <v>-0.99991699999999994</v>
      </c>
      <c r="N3011">
        <v>-1.255763E-2</v>
      </c>
      <c r="O3011">
        <v>-2.9255499999999999E-3</v>
      </c>
      <c r="P3011">
        <v>-0.97988050000000004</v>
      </c>
      <c r="Q3011">
        <v>0.16005069999999999</v>
      </c>
      <c r="R3011">
        <v>-0.11924</v>
      </c>
      <c r="S3011">
        <v>-3.087952</v>
      </c>
      <c r="T3011">
        <v>5.1538830000000001E-2</v>
      </c>
      <c r="U3011">
        <v>0.2876282</v>
      </c>
      <c r="V3011">
        <v>-0.1164101</v>
      </c>
      <c r="W3011">
        <v>0.17232220000000001</v>
      </c>
      <c r="X3011">
        <v>0.9781379</v>
      </c>
      <c r="Y3011">
        <v>9.565216E-2</v>
      </c>
      <c r="Z3011">
        <v>-2.7991479999999998E-4</v>
      </c>
      <c r="AA3011">
        <v>0.99541480000000004</v>
      </c>
      <c r="AB3011">
        <v>38</v>
      </c>
      <c r="AC3011">
        <v>-134.90369999999999</v>
      </c>
      <c r="AD3011">
        <v>2.2548659999999998</v>
      </c>
      <c r="AE3011">
        <v>12.585100000000001</v>
      </c>
      <c r="AF3011">
        <v>12.976150738995299</v>
      </c>
      <c r="AG3011">
        <v>2.2548659999999998</v>
      </c>
      <c r="AH3011">
        <v>134.82895797808899</v>
      </c>
      <c r="AI3011">
        <v>89.046286293628697</v>
      </c>
      <c r="AJ3011">
        <v>84.502695263083694</v>
      </c>
      <c r="AK3011">
        <v>135.470708339981</v>
      </c>
      <c r="AL3011">
        <v>80.077135813838893</v>
      </c>
      <c r="AM3011">
        <v>96.786959505711295</v>
      </c>
      <c r="AN3011">
        <v>1.0000000017056301</v>
      </c>
    </row>
    <row r="3012" spans="1:40" x14ac:dyDescent="0.25">
      <c r="A3012" t="str">
        <f>"20190304154816792"</f>
        <v>20190304154816792</v>
      </c>
      <c r="B3012" t="str">
        <f>"1551685696789723"</f>
        <v>1551685696789723</v>
      </c>
      <c r="C3012" t="s">
        <v>40</v>
      </c>
      <c r="D3012">
        <v>4.2026640000000004</v>
      </c>
      <c r="E3012">
        <v>0.57882210000000001</v>
      </c>
      <c r="F3012" t="s">
        <v>63</v>
      </c>
      <c r="G3012">
        <v>-511.82130000000001</v>
      </c>
      <c r="H3012">
        <v>3.315242</v>
      </c>
      <c r="I3012">
        <v>297.82029999999997</v>
      </c>
      <c r="J3012">
        <v>-377.14800000000002</v>
      </c>
      <c r="K3012">
        <v>1.110484</v>
      </c>
      <c r="L3012">
        <v>285.45060000000001</v>
      </c>
      <c r="M3012">
        <v>-0.99991569999999996</v>
      </c>
      <c r="N3012">
        <v>-1.265144E-2</v>
      </c>
      <c r="O3012">
        <v>-2.993356E-3</v>
      </c>
      <c r="P3012">
        <v>-0.97983399999999998</v>
      </c>
      <c r="Q3012">
        <v>0.16011249999999999</v>
      </c>
      <c r="R3012">
        <v>-0.1195399</v>
      </c>
      <c r="S3012">
        <v>-3.087799</v>
      </c>
      <c r="T3012">
        <v>5.0466780000000003E-2</v>
      </c>
      <c r="U3012">
        <v>0.28311160000000002</v>
      </c>
      <c r="V3012">
        <v>-0.11664289999999899</v>
      </c>
      <c r="W3012">
        <v>0.17247570000000001</v>
      </c>
      <c r="X3012">
        <v>0.97808309999999998</v>
      </c>
      <c r="Y3012">
        <v>9.4280849999999999E-2</v>
      </c>
      <c r="Z3012">
        <v>-2.5772749999999997E-4</v>
      </c>
      <c r="AA3012">
        <v>0.99554560000000003</v>
      </c>
      <c r="AB3012">
        <v>38</v>
      </c>
      <c r="AC3012">
        <v>-134.67329999999899</v>
      </c>
      <c r="AD3012">
        <v>2.204758</v>
      </c>
      <c r="AE3012">
        <v>12.3696999999999</v>
      </c>
      <c r="AF3012">
        <v>12.7694081241382</v>
      </c>
      <c r="AG3012">
        <v>2.204758</v>
      </c>
      <c r="AH3012">
        <v>134.59989370656501</v>
      </c>
      <c r="AI3012">
        <v>89.065768027596903</v>
      </c>
      <c r="AJ3012">
        <v>84.580604771954597</v>
      </c>
      <c r="AK3012">
        <v>135.22222497614001</v>
      </c>
      <c r="AL3012">
        <v>80.068207127011306</v>
      </c>
      <c r="AM3012">
        <v>96.8007827071131</v>
      </c>
      <c r="AN3012">
        <v>0.99999999185825394</v>
      </c>
    </row>
    <row r="3013" spans="1:40" x14ac:dyDescent="0.25">
      <c r="A3013" t="str">
        <f>"20190304154816805"</f>
        <v>20190304154816805</v>
      </c>
      <c r="B3013" t="str">
        <f>"1551685696799484"</f>
        <v>1551685696799484</v>
      </c>
      <c r="C3013" t="s">
        <v>40</v>
      </c>
      <c r="D3013">
        <v>4.2455759999999998</v>
      </c>
      <c r="E3013">
        <v>0.57860739999999999</v>
      </c>
      <c r="F3013" t="s">
        <v>63</v>
      </c>
      <c r="G3013">
        <v>-510.9547</v>
      </c>
      <c r="H3013">
        <v>3.260173</v>
      </c>
      <c r="I3013">
        <v>297.40219999999999</v>
      </c>
      <c r="J3013">
        <v>-377.37270000000001</v>
      </c>
      <c r="K3013">
        <v>1.110493</v>
      </c>
      <c r="L3013">
        <v>285.44990000000001</v>
      </c>
      <c r="M3013">
        <v>-0.99991430000000003</v>
      </c>
      <c r="N3013">
        <v>-1.2738009999999999E-2</v>
      </c>
      <c r="O3013">
        <v>-3.0573280000000002E-3</v>
      </c>
      <c r="P3013">
        <v>-0.97977749999999997</v>
      </c>
      <c r="Q3013">
        <v>0.16045229999999999</v>
      </c>
      <c r="R3013">
        <v>-0.11954670000000001</v>
      </c>
      <c r="S3013">
        <v>-3.0873110000000001</v>
      </c>
      <c r="T3013">
        <v>4.9601550000000001E-2</v>
      </c>
      <c r="U3013">
        <v>0.27575680000000002</v>
      </c>
      <c r="V3013">
        <v>-0.11658739999999999</v>
      </c>
      <c r="W3013">
        <v>0.1728999</v>
      </c>
      <c r="X3013">
        <v>0.97801479999999996</v>
      </c>
      <c r="Y3013">
        <v>9.2006640000000001E-2</v>
      </c>
      <c r="Z3013">
        <v>-2.38283E-4</v>
      </c>
      <c r="AA3013">
        <v>0.99575840000000004</v>
      </c>
      <c r="AB3013">
        <v>38</v>
      </c>
      <c r="AC3013">
        <v>-133.58199999999999</v>
      </c>
      <c r="AD3013">
        <v>2.14968</v>
      </c>
      <c r="AE3013">
        <v>11.9522999999999</v>
      </c>
      <c r="AF3013">
        <v>12.3575063899501</v>
      </c>
      <c r="AG3013">
        <v>2.14968</v>
      </c>
      <c r="AH3013">
        <v>133.51052972477399</v>
      </c>
      <c r="AI3013">
        <v>89.081474247345199</v>
      </c>
      <c r="AJ3013">
        <v>84.711867461472906</v>
      </c>
      <c r="AK3013">
        <v>134.09843636549201</v>
      </c>
      <c r="AL3013">
        <v>80.043531357797903</v>
      </c>
      <c r="AM3013">
        <v>96.798047373283296</v>
      </c>
      <c r="AN3013">
        <v>0.99999997313890399</v>
      </c>
    </row>
    <row r="3014" spans="1:40" x14ac:dyDescent="0.25">
      <c r="A3014" t="str">
        <f>"20190304154816819"</f>
        <v>20190304154816819</v>
      </c>
      <c r="B3014" t="str">
        <f>"1551685696809244"</f>
        <v>1551685696809244</v>
      </c>
      <c r="C3014" t="s">
        <v>40</v>
      </c>
      <c r="D3014">
        <v>4.2670599999999999</v>
      </c>
      <c r="E3014">
        <v>0.57841909999999996</v>
      </c>
      <c r="F3014" t="s">
        <v>63</v>
      </c>
      <c r="G3014">
        <v>-510.9547</v>
      </c>
      <c r="H3014">
        <v>3.2380610000000001</v>
      </c>
      <c r="I3014">
        <v>297.31139999999999</v>
      </c>
      <c r="J3014">
        <v>-377.58159999999998</v>
      </c>
      <c r="K3014">
        <v>1.1105100000000001</v>
      </c>
      <c r="L3014">
        <v>285.44920000000002</v>
      </c>
      <c r="M3014">
        <v>-0.99991300000000005</v>
      </c>
      <c r="N3014">
        <v>-1.281524E-2</v>
      </c>
      <c r="O3014">
        <v>-3.1160060000000002E-3</v>
      </c>
      <c r="P3014">
        <v>-0.97974309999999998</v>
      </c>
      <c r="Q3014">
        <v>0.16074330000000001</v>
      </c>
      <c r="R3014">
        <v>-0.119436899999999</v>
      </c>
      <c r="S3014">
        <v>-3.0872799999999998</v>
      </c>
      <c r="T3014">
        <v>4.917324E-2</v>
      </c>
      <c r="U3014">
        <v>0.27413939999999998</v>
      </c>
      <c r="V3014">
        <v>-0.11642039999999999</v>
      </c>
      <c r="W3014">
        <v>0.17326569999999999</v>
      </c>
      <c r="X3014">
        <v>0.97797000000000001</v>
      </c>
      <c r="Y3014">
        <v>9.1548539999999998E-2</v>
      </c>
      <c r="Z3014">
        <v>-2.291913E-4</v>
      </c>
      <c r="AA3014">
        <v>0.99580060000000004</v>
      </c>
      <c r="AB3014">
        <v>38</v>
      </c>
      <c r="AC3014">
        <v>-133.37309999999999</v>
      </c>
      <c r="AD3014">
        <v>2.127551</v>
      </c>
      <c r="AE3014">
        <v>11.8621999999999</v>
      </c>
      <c r="AF3014">
        <v>12.2746689966114</v>
      </c>
      <c r="AG3014">
        <v>2.127551</v>
      </c>
      <c r="AH3014">
        <v>133.301832598565</v>
      </c>
      <c r="AI3014">
        <v>89.0894653268751</v>
      </c>
      <c r="AJ3014">
        <v>84.738939208279703</v>
      </c>
      <c r="AK3014">
        <v>133.88268202560801</v>
      </c>
      <c r="AL3014">
        <v>80.022251826500707</v>
      </c>
      <c r="AM3014">
        <v>96.788708842710903</v>
      </c>
      <c r="AN3014">
        <v>1.0000000166163201</v>
      </c>
    </row>
    <row r="3015" spans="1:40" x14ac:dyDescent="0.25">
      <c r="A3015" t="str">
        <f>"20190304154816832"</f>
        <v>20190304154816832</v>
      </c>
      <c r="B3015" t="str">
        <f>"1551685696829740"</f>
        <v>1551685696829740</v>
      </c>
      <c r="C3015" t="s">
        <v>40</v>
      </c>
      <c r="D3015">
        <v>4.2635630000000004</v>
      </c>
      <c r="E3015">
        <v>0.57796510000000001</v>
      </c>
      <c r="F3015" t="s">
        <v>63</v>
      </c>
      <c r="G3015">
        <v>-510.9547</v>
      </c>
      <c r="H3015">
        <v>3.239455</v>
      </c>
      <c r="I3015">
        <v>297.22269999999997</v>
      </c>
      <c r="J3015">
        <v>-377.82049999999998</v>
      </c>
      <c r="K3015">
        <v>1.110522</v>
      </c>
      <c r="L3015">
        <v>285.44839999999999</v>
      </c>
      <c r="M3015">
        <v>-0.99991169999999996</v>
      </c>
      <c r="N3015">
        <v>-1.2899880000000001E-2</v>
      </c>
      <c r="O3015">
        <v>-3.1822539999999998E-3</v>
      </c>
      <c r="P3015">
        <v>-0.97966010000000003</v>
      </c>
      <c r="Q3015">
        <v>0.1613057</v>
      </c>
      <c r="R3015">
        <v>-0.1193591</v>
      </c>
      <c r="S3015">
        <v>-3.087189</v>
      </c>
      <c r="T3015">
        <v>4.9280640000000001E-2</v>
      </c>
      <c r="U3015">
        <v>0.27252199999999999</v>
      </c>
      <c r="V3015">
        <v>-0.1162782</v>
      </c>
      <c r="W3015">
        <v>0.1739096</v>
      </c>
      <c r="X3015">
        <v>0.97787259999999998</v>
      </c>
      <c r="Y3015">
        <v>9.1099429999999995E-2</v>
      </c>
      <c r="Z3015">
        <v>-2.2855790000000001E-4</v>
      </c>
      <c r="AA3015">
        <v>0.9958418</v>
      </c>
      <c r="AB3015">
        <v>38</v>
      </c>
      <c r="AC3015">
        <v>-133.13419999999999</v>
      </c>
      <c r="AD3015">
        <v>2.128933</v>
      </c>
      <c r="AE3015">
        <v>11.774299999999901</v>
      </c>
      <c r="AF3015">
        <v>12.194848357646499</v>
      </c>
      <c r="AG3015">
        <v>2.128933</v>
      </c>
      <c r="AH3015">
        <v>133.06229278409</v>
      </c>
      <c r="AI3015">
        <v>89.087197938118607</v>
      </c>
      <c r="AJ3015">
        <v>84.763603610618503</v>
      </c>
      <c r="AK3015">
        <v>133.636897760848</v>
      </c>
      <c r="AL3015">
        <v>79.984790134021907</v>
      </c>
      <c r="AM3015">
        <v>96.781163196893601</v>
      </c>
      <c r="AN3015">
        <v>0.99999999529907901</v>
      </c>
    </row>
    <row r="3016" spans="1:40" x14ac:dyDescent="0.25">
      <c r="A3016" t="str">
        <f>"20190304154816845"</f>
        <v>20190304154816845</v>
      </c>
      <c r="B3016" t="str">
        <f>"1551685696839500"</f>
        <v>1551685696839500</v>
      </c>
      <c r="C3016" t="s">
        <v>40</v>
      </c>
      <c r="D3016">
        <v>4.1982229999999996</v>
      </c>
      <c r="E3016">
        <v>0.57771539999999999</v>
      </c>
      <c r="F3016" t="s">
        <v>63</v>
      </c>
      <c r="G3016">
        <v>-510.9547</v>
      </c>
      <c r="H3016">
        <v>3.2619099999999999</v>
      </c>
      <c r="I3016">
        <v>297.04939999999999</v>
      </c>
      <c r="J3016">
        <v>-378.03129999999999</v>
      </c>
      <c r="K3016">
        <v>1.1105339999999999</v>
      </c>
      <c r="L3016">
        <v>285.4477</v>
      </c>
      <c r="M3016">
        <v>-0.99991070000000004</v>
      </c>
      <c r="N3016">
        <v>-1.2968489999999999E-2</v>
      </c>
      <c r="O3016">
        <v>-3.240054E-3</v>
      </c>
      <c r="P3016">
        <v>-0.97962000000000005</v>
      </c>
      <c r="Q3016">
        <v>0.1614014</v>
      </c>
      <c r="R3016">
        <v>-0.1195596</v>
      </c>
      <c r="S3016">
        <v>-3.0868530000000001</v>
      </c>
      <c r="T3016">
        <v>4.9884079999999997E-2</v>
      </c>
      <c r="U3016">
        <v>0.2689819</v>
      </c>
      <c r="V3016">
        <v>-0.1164227</v>
      </c>
      <c r="W3016">
        <v>0.17407149999999999</v>
      </c>
      <c r="X3016">
        <v>0.97782659999999999</v>
      </c>
      <c r="Y3016">
        <v>9.0032989999999993E-2</v>
      </c>
      <c r="Z3016">
        <v>-2.353135E-4</v>
      </c>
      <c r="AA3016">
        <v>0.99593880000000001</v>
      </c>
      <c r="AB3016">
        <v>38</v>
      </c>
      <c r="AC3016">
        <v>-132.92339999999999</v>
      </c>
      <c r="AD3016">
        <v>2.151376</v>
      </c>
      <c r="AE3016">
        <v>11.6016999999999</v>
      </c>
      <c r="AF3016">
        <v>12.0292269737583</v>
      </c>
      <c r="AG3016">
        <v>2.151376</v>
      </c>
      <c r="AH3016">
        <v>132.85057086841701</v>
      </c>
      <c r="AI3016">
        <v>89.076015267883406</v>
      </c>
      <c r="AJ3016">
        <v>84.826145283345895</v>
      </c>
      <c r="AK3016">
        <v>133.41141218180601</v>
      </c>
      <c r="AL3016">
        <v>79.975370275462694</v>
      </c>
      <c r="AM3016">
        <v>96.7898280100368</v>
      </c>
      <c r="AN3016">
        <v>0.99999999592754996</v>
      </c>
    </row>
    <row r="3017" spans="1:40" x14ac:dyDescent="0.25">
      <c r="A3017" t="str">
        <f>"20190304154816867"</f>
        <v>20190304154816867</v>
      </c>
      <c r="B3017" t="str">
        <f>"1551685696859996"</f>
        <v>1551685696859996</v>
      </c>
      <c r="C3017" t="s">
        <v>40</v>
      </c>
      <c r="D3017">
        <v>4.2671700000000001</v>
      </c>
      <c r="E3017">
        <v>0.57723259999999998</v>
      </c>
      <c r="F3017" t="s">
        <v>63</v>
      </c>
      <c r="G3017">
        <v>-510.9547</v>
      </c>
      <c r="H3017">
        <v>3.2608350000000002</v>
      </c>
      <c r="I3017">
        <v>296.91660000000002</v>
      </c>
      <c r="J3017">
        <v>-378.39940000000001</v>
      </c>
      <c r="K3017">
        <v>1.1105449999999999</v>
      </c>
      <c r="L3017">
        <v>285.44639999999998</v>
      </c>
      <c r="M3017">
        <v>-0.99990889999999999</v>
      </c>
      <c r="N3017">
        <v>-1.3080410000000001E-2</v>
      </c>
      <c r="O3017">
        <v>-3.3408240000000001E-3</v>
      </c>
      <c r="P3017">
        <v>-0.97945409999999999</v>
      </c>
      <c r="Q3017">
        <v>0.1623494</v>
      </c>
      <c r="R3017">
        <v>-0.1196358</v>
      </c>
      <c r="S3017">
        <v>-3.0867</v>
      </c>
      <c r="T3017">
        <v>4.9935460000000001E-2</v>
      </c>
      <c r="U3017">
        <v>0.26632689999999998</v>
      </c>
      <c r="V3017">
        <v>-0.116401</v>
      </c>
      <c r="W3017">
        <v>0.17512649999999999</v>
      </c>
      <c r="X3017">
        <v>0.97764079999999998</v>
      </c>
      <c r="Y3017">
        <v>8.9287340000000007E-2</v>
      </c>
      <c r="Z3017">
        <v>-2.333282E-4</v>
      </c>
      <c r="AA3017">
        <v>0.9960059</v>
      </c>
      <c r="AB3017">
        <v>38</v>
      </c>
      <c r="AC3017">
        <v>-132.55529999999999</v>
      </c>
      <c r="AD3017">
        <v>2.15029</v>
      </c>
      <c r="AE3017">
        <v>11.4702</v>
      </c>
      <c r="AF3017">
        <v>11.9099070068972</v>
      </c>
      <c r="AG3017">
        <v>2.15029</v>
      </c>
      <c r="AH3017">
        <v>132.48163377935401</v>
      </c>
      <c r="AI3017">
        <v>89.073856486609301</v>
      </c>
      <c r="AJ3017">
        <v>84.863001348904504</v>
      </c>
      <c r="AK3017">
        <v>133.03327749418099</v>
      </c>
      <c r="AL3017">
        <v>79.913980382130106</v>
      </c>
      <c r="AM3017">
        <v>96.789852387727393</v>
      </c>
      <c r="AN3017">
        <v>1.00000000881394</v>
      </c>
    </row>
    <row r="3018" spans="1:40" x14ac:dyDescent="0.25">
      <c r="A3018" t="str">
        <f>"20190304154816881"</f>
        <v>20190304154816881</v>
      </c>
      <c r="B3018" t="str">
        <f>"1551685696869756"</f>
        <v>1551685696869756</v>
      </c>
      <c r="C3018" t="s">
        <v>40</v>
      </c>
      <c r="D3018">
        <v>4.2997110000000003</v>
      </c>
      <c r="E3018">
        <v>0.57711849999999998</v>
      </c>
      <c r="F3018" t="s">
        <v>48</v>
      </c>
      <c r="G3018">
        <v>-476.33030000000002</v>
      </c>
      <c r="H3018">
        <v>2.7673580000000002</v>
      </c>
      <c r="I3018">
        <v>293.76060000000001</v>
      </c>
      <c r="J3018">
        <v>-378.63470000000001</v>
      </c>
      <c r="K3018">
        <v>1.1105510000000001</v>
      </c>
      <c r="L3018">
        <v>285.44549999999998</v>
      </c>
      <c r="M3018">
        <v>-0.99990789999999996</v>
      </c>
      <c r="N3018">
        <v>-1.314515E-2</v>
      </c>
      <c r="O3018">
        <v>-3.4057499999999999E-3</v>
      </c>
      <c r="P3018">
        <v>-0.97942640000000003</v>
      </c>
      <c r="Q3018">
        <v>0.16266</v>
      </c>
      <c r="R3018">
        <v>-0.1194397</v>
      </c>
      <c r="S3018">
        <v>-3.0863040000000002</v>
      </c>
      <c r="T3018">
        <v>5.2214620000000003E-2</v>
      </c>
      <c r="U3018">
        <v>0.26202389999999998</v>
      </c>
      <c r="V3018">
        <v>-0.11614240000000001</v>
      </c>
      <c r="W3018">
        <v>0.1755002</v>
      </c>
      <c r="X3018">
        <v>0.97760449999999999</v>
      </c>
      <c r="Y3018">
        <v>8.7983679999999995E-2</v>
      </c>
      <c r="Z3018">
        <v>-2.6571759999999999E-4</v>
      </c>
      <c r="AA3018">
        <v>0.9961219</v>
      </c>
      <c r="AB3018">
        <v>38</v>
      </c>
      <c r="AC3018">
        <v>-97.695599999999999</v>
      </c>
      <c r="AD3018">
        <v>1.6568069999999999</v>
      </c>
      <c r="AE3018">
        <v>8.3151000000000295</v>
      </c>
      <c r="AF3018">
        <v>8.6453387286792793</v>
      </c>
      <c r="AG3018">
        <v>1.6568069999999999</v>
      </c>
      <c r="AH3018">
        <v>97.638832424698904</v>
      </c>
      <c r="AI3018">
        <v>89.031644518159396</v>
      </c>
      <c r="AJ3018">
        <v>84.939995038888199</v>
      </c>
      <c r="AK3018">
        <v>98.034833036157494</v>
      </c>
      <c r="AL3018">
        <v>79.892231708920093</v>
      </c>
      <c r="AM3018">
        <v>96.7751574365316</v>
      </c>
      <c r="AN3018">
        <v>0.99999996784902401</v>
      </c>
    </row>
    <row r="3019" spans="1:40" x14ac:dyDescent="0.25">
      <c r="A3019" t="str">
        <f>"20190304154816900"</f>
        <v>20190304154816900</v>
      </c>
      <c r="B3019" t="str">
        <f>"1551685696889276"</f>
        <v>1551685696889276</v>
      </c>
      <c r="C3019" t="s">
        <v>40</v>
      </c>
      <c r="D3019">
        <v>4.2096419999999997</v>
      </c>
      <c r="E3019">
        <v>0.57679729999999996</v>
      </c>
      <c r="F3019" t="s">
        <v>48</v>
      </c>
      <c r="G3019">
        <v>-476.3374</v>
      </c>
      <c r="H3019">
        <v>2.780961</v>
      </c>
      <c r="I3019">
        <v>293.72919999999999</v>
      </c>
      <c r="J3019">
        <v>-378.94400000000002</v>
      </c>
      <c r="K3019">
        <v>1.1105560000000001</v>
      </c>
      <c r="L3019">
        <v>285.44439999999997</v>
      </c>
      <c r="M3019">
        <v>-0.99990650000000003</v>
      </c>
      <c r="N3019">
        <v>-1.3223550000000001E-2</v>
      </c>
      <c r="O3019">
        <v>-3.4918639999999999E-3</v>
      </c>
      <c r="P3019">
        <v>-0.97940819999999995</v>
      </c>
      <c r="Q3019">
        <v>0.16317300000000001</v>
      </c>
      <c r="R3019">
        <v>-0.1188874</v>
      </c>
      <c r="S3019">
        <v>-3.0861510000000001</v>
      </c>
      <c r="T3019">
        <v>5.2763459999999998E-2</v>
      </c>
      <c r="U3019">
        <v>0.26165769999999999</v>
      </c>
      <c r="V3019">
        <v>-0.11550530000000001</v>
      </c>
      <c r="W3019">
        <v>0.17608979999999999</v>
      </c>
      <c r="X3019">
        <v>0.97757400000000005</v>
      </c>
      <c r="Y3019">
        <v>8.7956099999999995E-2</v>
      </c>
      <c r="Z3019">
        <v>-2.7354039999999999E-4</v>
      </c>
      <c r="AA3019">
        <v>0.99612429999999996</v>
      </c>
      <c r="AB3019">
        <v>38</v>
      </c>
      <c r="AC3019">
        <v>-97.3934</v>
      </c>
      <c r="AD3019">
        <v>1.6704049999999999</v>
      </c>
      <c r="AE3019">
        <v>8.2848000000000095</v>
      </c>
      <c r="AF3019">
        <v>8.6223455836233693</v>
      </c>
      <c r="AG3019">
        <v>1.6704049999999999</v>
      </c>
      <c r="AH3019">
        <v>97.335447649941599</v>
      </c>
      <c r="AI3019">
        <v>89.020659393855297</v>
      </c>
      <c r="AJ3019">
        <v>84.937734852898402</v>
      </c>
      <c r="AK3019">
        <v>97.730877748242705</v>
      </c>
      <c r="AL3019">
        <v>79.857916124592094</v>
      </c>
      <c r="AM3019">
        <v>96.738543235200297</v>
      </c>
      <c r="AN3019">
        <v>1.0000000087340599</v>
      </c>
    </row>
    <row r="3020" spans="1:40" x14ac:dyDescent="0.25">
      <c r="A3020" t="str">
        <f>"20190304154816911"</f>
        <v>20190304154816911</v>
      </c>
      <c r="B3020" t="str">
        <f>"1551685696900012"</f>
        <v>1551685696900012</v>
      </c>
      <c r="C3020" t="s">
        <v>40</v>
      </c>
      <c r="D3020">
        <v>4.2801980000000004</v>
      </c>
      <c r="E3020">
        <v>0.57665819999999901</v>
      </c>
      <c r="F3020" t="s">
        <v>48</v>
      </c>
      <c r="G3020">
        <v>-476.36329999999998</v>
      </c>
      <c r="H3020">
        <v>2.8044190000000002</v>
      </c>
      <c r="I3020">
        <v>293.6705</v>
      </c>
      <c r="J3020">
        <v>-379.14699999999999</v>
      </c>
      <c r="K3020">
        <v>1.1105609999999999</v>
      </c>
      <c r="L3020">
        <v>285.4436</v>
      </c>
      <c r="M3020">
        <v>-0.99990579999999996</v>
      </c>
      <c r="N3020">
        <v>-1.3271700000000001E-2</v>
      </c>
      <c r="O3020">
        <v>-3.5488080000000001E-3</v>
      </c>
      <c r="P3020">
        <v>-0.97935939999999999</v>
      </c>
      <c r="Q3020">
        <v>0.16349149999999901</v>
      </c>
      <c r="R3020">
        <v>-0.1188536</v>
      </c>
      <c r="S3020">
        <v>-3.0857239999999999</v>
      </c>
      <c r="T3020">
        <v>5.3652520000000002E-2</v>
      </c>
      <c r="U3020">
        <v>0.26055909999999999</v>
      </c>
      <c r="V3020">
        <v>-0.11541609999999999</v>
      </c>
      <c r="W3020">
        <v>0.176455</v>
      </c>
      <c r="X3020">
        <v>0.97751869999999996</v>
      </c>
      <c r="Y3020">
        <v>8.7672020000000003E-2</v>
      </c>
      <c r="Z3020">
        <v>-2.8653469999999999E-4</v>
      </c>
      <c r="AA3020">
        <v>0.99614939999999996</v>
      </c>
      <c r="AB3020">
        <v>38</v>
      </c>
      <c r="AC3020">
        <v>-97.216300000000004</v>
      </c>
      <c r="AD3020">
        <v>1.6938579999999901</v>
      </c>
      <c r="AE3020">
        <v>8.2269000000000005</v>
      </c>
      <c r="AF3020">
        <v>8.5692975124484594</v>
      </c>
      <c r="AG3020">
        <v>1.6938579999999901</v>
      </c>
      <c r="AH3020">
        <v>97.157204020302402</v>
      </c>
      <c r="AI3020">
        <v>89.005056884514303</v>
      </c>
      <c r="AJ3020">
        <v>84.959536724421596</v>
      </c>
      <c r="AK3020">
        <v>97.549086658070195</v>
      </c>
      <c r="AL3020">
        <v>79.836659024715502</v>
      </c>
      <c r="AM3020">
        <v>96.733764556719507</v>
      </c>
      <c r="AN3020">
        <v>1.0000000260069399</v>
      </c>
    </row>
    <row r="3021" spans="1:40" x14ac:dyDescent="0.25">
      <c r="A3021" t="str">
        <f>"20190304154816933"</f>
        <v>20190304154816933</v>
      </c>
      <c r="B3021" t="str">
        <f>"1551685696929292"</f>
        <v>1551685696929292</v>
      </c>
      <c r="C3021" t="s">
        <v>40</v>
      </c>
      <c r="D3021">
        <v>4.3101859999999999</v>
      </c>
      <c r="E3021">
        <v>0.57643659999999997</v>
      </c>
      <c r="F3021" t="s">
        <v>63</v>
      </c>
      <c r="G3021">
        <v>-510.9547</v>
      </c>
      <c r="H3021">
        <v>3.4305659999999998</v>
      </c>
      <c r="I3021">
        <v>296.53199999999998</v>
      </c>
      <c r="J3021">
        <v>-379.50909999999999</v>
      </c>
      <c r="K3021">
        <v>1.110565</v>
      </c>
      <c r="L3021">
        <v>285.44220000000001</v>
      </c>
      <c r="M3021">
        <v>-0.99990429999999997</v>
      </c>
      <c r="N3021">
        <v>-1.334743E-2</v>
      </c>
      <c r="O3021">
        <v>-3.6511109999999999E-3</v>
      </c>
      <c r="P3021">
        <v>-0.97917089999999996</v>
      </c>
      <c r="Q3021">
        <v>0.16481799999999999</v>
      </c>
      <c r="R3021">
        <v>-0.11857280000000001</v>
      </c>
      <c r="S3021">
        <v>-3.0856629999999998</v>
      </c>
      <c r="T3021">
        <v>5.4314019999999998E-2</v>
      </c>
      <c r="U3021">
        <v>0.25958249999999999</v>
      </c>
      <c r="V3021">
        <v>-0.1150357</v>
      </c>
      <c r="W3021">
        <v>0.17785300000000001</v>
      </c>
      <c r="X3021">
        <v>0.97731009999999996</v>
      </c>
      <c r="Y3021">
        <v>8.746234E-2</v>
      </c>
      <c r="Z3021">
        <v>-2.9636970000000002E-4</v>
      </c>
      <c r="AA3021">
        <v>0.99616780000000005</v>
      </c>
      <c r="AB3021">
        <v>37</v>
      </c>
      <c r="AC3021">
        <v>-131.44560000000001</v>
      </c>
      <c r="AD3021">
        <v>2.320001</v>
      </c>
      <c r="AE3021">
        <v>11.089799999999901</v>
      </c>
      <c r="AF3021">
        <v>11.566113682517701</v>
      </c>
      <c r="AG3021">
        <v>2.320001</v>
      </c>
      <c r="AH3021">
        <v>131.36359701588901</v>
      </c>
      <c r="AI3021">
        <v>88.992107773384404</v>
      </c>
      <c r="AJ3021">
        <v>84.9682788668364</v>
      </c>
      <c r="AK3021">
        <v>131.89219844748101</v>
      </c>
      <c r="AL3021">
        <v>79.755271622676204</v>
      </c>
      <c r="AM3021">
        <v>96.713193052951198</v>
      </c>
      <c r="AN3021">
        <v>0.99999996672274905</v>
      </c>
    </row>
    <row r="3022" spans="1:40" x14ac:dyDescent="0.25">
      <c r="A3022" t="str">
        <f>"20190304154816945"</f>
        <v>20190304154816945</v>
      </c>
      <c r="B3022" t="str">
        <f>"1551685696940029"</f>
        <v>1551685696940029</v>
      </c>
      <c r="C3022" t="s">
        <v>40</v>
      </c>
      <c r="D3022">
        <v>4.3361470000000004</v>
      </c>
      <c r="E3022">
        <v>0.57637289999999997</v>
      </c>
      <c r="F3022" t="s">
        <v>63</v>
      </c>
      <c r="G3022">
        <v>-510.95479999999998</v>
      </c>
      <c r="H3022">
        <v>3.5033439999999998</v>
      </c>
      <c r="I3022">
        <v>296.46350000000001</v>
      </c>
      <c r="J3022">
        <v>-379.72620000000001</v>
      </c>
      <c r="K3022">
        <v>1.110568</v>
      </c>
      <c r="L3022">
        <v>285.44139999999999</v>
      </c>
      <c r="M3022">
        <v>-0.99990349999999995</v>
      </c>
      <c r="N3022">
        <v>-1.338834E-2</v>
      </c>
      <c r="O3022">
        <v>-3.7123E-3</v>
      </c>
      <c r="P3022">
        <v>-0.97905940000000002</v>
      </c>
      <c r="Q3022">
        <v>0.16562180000000001</v>
      </c>
      <c r="R3022">
        <v>-0.1183748</v>
      </c>
      <c r="S3022">
        <v>-3.0857239999999999</v>
      </c>
      <c r="T3022">
        <v>5.6173090000000002E-2</v>
      </c>
      <c r="U3022">
        <v>0.25872800000000001</v>
      </c>
      <c r="V3022">
        <v>-0.1147779</v>
      </c>
      <c r="W3022">
        <v>0.1786952</v>
      </c>
      <c r="X3022">
        <v>0.97718680000000002</v>
      </c>
      <c r="Y3022">
        <v>8.7247080000000005E-2</v>
      </c>
      <c r="Z3022">
        <v>-3.2463179999999998E-4</v>
      </c>
      <c r="AA3022">
        <v>0.99618669999999998</v>
      </c>
      <c r="AB3022">
        <v>37</v>
      </c>
      <c r="AC3022">
        <v>-131.22859999999901</v>
      </c>
      <c r="AD3022">
        <v>2.392776</v>
      </c>
      <c r="AE3022">
        <v>11.0221</v>
      </c>
      <c r="AF3022">
        <v>11.5054292600159</v>
      </c>
      <c r="AG3022">
        <v>2.392776</v>
      </c>
      <c r="AH3022">
        <v>131.143479280977</v>
      </c>
      <c r="AI3022">
        <v>88.958725554005397</v>
      </c>
      <c r="AJ3022">
        <v>84.986185925062401</v>
      </c>
      <c r="AK3022">
        <v>131.66895016427901</v>
      </c>
      <c r="AL3022">
        <v>79.706231791604495</v>
      </c>
      <c r="AM3022">
        <v>96.699122850145798</v>
      </c>
      <c r="AN3022">
        <v>0.99999999146284402</v>
      </c>
    </row>
    <row r="3023" spans="1:40" x14ac:dyDescent="0.25">
      <c r="A3023" t="str">
        <f>"20190304154816958"</f>
        <v>20190304154816958</v>
      </c>
      <c r="B3023" t="str">
        <f>"1551685696949789"</f>
        <v>1551685696949789</v>
      </c>
      <c r="C3023" t="s">
        <v>40</v>
      </c>
      <c r="D3023">
        <v>4.2550549999999996</v>
      </c>
      <c r="E3023">
        <v>0.57624319999999996</v>
      </c>
      <c r="F3023" t="s">
        <v>63</v>
      </c>
      <c r="G3023">
        <v>-510.95479999999998</v>
      </c>
      <c r="H3023">
        <v>3.5900029999999998</v>
      </c>
      <c r="I3023">
        <v>296.44740000000002</v>
      </c>
      <c r="J3023">
        <v>-379.92860000000002</v>
      </c>
      <c r="K3023">
        <v>1.1105719999999999</v>
      </c>
      <c r="L3023">
        <v>285.44060000000002</v>
      </c>
      <c r="M3023">
        <v>-0.99990279999999998</v>
      </c>
      <c r="N3023">
        <v>-1.342395E-2</v>
      </c>
      <c r="O3023">
        <v>-3.7696380000000001E-3</v>
      </c>
      <c r="P3023">
        <v>-0.97899849999999999</v>
      </c>
      <c r="Q3023">
        <v>0.166038299999999</v>
      </c>
      <c r="R3023">
        <v>-0.1182933</v>
      </c>
      <c r="S3023">
        <v>-3.0856319999999999</v>
      </c>
      <c r="T3023">
        <v>5.8301930000000002E-2</v>
      </c>
      <c r="U3023">
        <v>0.25878909999999999</v>
      </c>
      <c r="V3023">
        <v>-0.1146416</v>
      </c>
      <c r="W3023">
        <v>0.1791461</v>
      </c>
      <c r="X3023">
        <v>0.97712030000000005</v>
      </c>
      <c r="Y3023">
        <v>8.7325440000000004E-2</v>
      </c>
      <c r="Z3023">
        <v>-3.5788339999999897E-4</v>
      </c>
      <c r="AA3023">
        <v>0.99617979999999995</v>
      </c>
      <c r="AB3023">
        <v>37</v>
      </c>
      <c r="AC3023">
        <v>-131.02619999999899</v>
      </c>
      <c r="AD3023">
        <v>2.4794309999999999</v>
      </c>
      <c r="AE3023">
        <v>11.006799999999901</v>
      </c>
      <c r="AF3023">
        <v>11.496599699550501</v>
      </c>
      <c r="AG3023">
        <v>2.4794309999999999</v>
      </c>
      <c r="AH3023">
        <v>130.93721520853899</v>
      </c>
      <c r="AI3023">
        <v>88.919331653076597</v>
      </c>
      <c r="AJ3023">
        <v>84.982162144913303</v>
      </c>
      <c r="AK3023">
        <v>131.46434387050601</v>
      </c>
      <c r="AL3023">
        <v>79.679974028450701</v>
      </c>
      <c r="AM3023">
        <v>96.691691003542502</v>
      </c>
      <c r="AN3023">
        <v>1.00000005113392</v>
      </c>
    </row>
    <row r="3024" spans="1:40" x14ac:dyDescent="0.25">
      <c r="A3024" t="str">
        <f>"20190304154816970"</f>
        <v>20190304154816970</v>
      </c>
      <c r="B3024" t="str">
        <f>"1551685696959548"</f>
        <v>1551685696959548</v>
      </c>
      <c r="C3024" t="s">
        <v>40</v>
      </c>
      <c r="D3024">
        <v>4.229609</v>
      </c>
      <c r="E3024">
        <v>0.57612280000000005</v>
      </c>
      <c r="F3024" t="s">
        <v>63</v>
      </c>
      <c r="G3024">
        <v>-510.95479999999998</v>
      </c>
      <c r="H3024">
        <v>3.636641</v>
      </c>
      <c r="I3024">
        <v>296.39260000000002</v>
      </c>
      <c r="J3024">
        <v>-380.13589999999999</v>
      </c>
      <c r="K3024">
        <v>1.110574</v>
      </c>
      <c r="L3024">
        <v>285.43979999999999</v>
      </c>
      <c r="M3024">
        <v>-0.99990210000000002</v>
      </c>
      <c r="N3024">
        <v>-1.3458410000000001E-2</v>
      </c>
      <c r="O3024">
        <v>-3.8283979999999998E-3</v>
      </c>
      <c r="P3024">
        <v>-0.97895069999999995</v>
      </c>
      <c r="Q3024">
        <v>0.16648579999999999</v>
      </c>
      <c r="R3024">
        <v>-0.11806030000000001</v>
      </c>
      <c r="S3024">
        <v>-3.08548</v>
      </c>
      <c r="T3024">
        <v>5.948722E-2</v>
      </c>
      <c r="U3024">
        <v>0.25790410000000002</v>
      </c>
      <c r="V3024">
        <v>-0.11435090000000001</v>
      </c>
      <c r="W3024">
        <v>0.17962690000000001</v>
      </c>
      <c r="X3024">
        <v>0.97706599999999999</v>
      </c>
      <c r="Y3024">
        <v>8.7103879999999995E-2</v>
      </c>
      <c r="Z3024">
        <v>-3.7603289999999998E-4</v>
      </c>
      <c r="AA3024">
        <v>0.99619919999999995</v>
      </c>
      <c r="AB3024">
        <v>37</v>
      </c>
      <c r="AC3024">
        <v>-130.81890000000001</v>
      </c>
      <c r="AD3024">
        <v>2.5260669999999998</v>
      </c>
      <c r="AE3024">
        <v>10.9528</v>
      </c>
      <c r="AF3024">
        <v>11.449352581627799</v>
      </c>
      <c r="AG3024">
        <v>2.5260669999999998</v>
      </c>
      <c r="AH3024">
        <v>130.7276015464</v>
      </c>
      <c r="AI3024">
        <v>88.8972240510261</v>
      </c>
      <c r="AJ3024">
        <v>84.9947068921322</v>
      </c>
      <c r="AK3024">
        <v>131.25233138920299</v>
      </c>
      <c r="AL3024">
        <v>79.651971034639203</v>
      </c>
      <c r="AM3024">
        <v>96.675243599958506</v>
      </c>
      <c r="AN3024">
        <v>0.99999995994520896</v>
      </c>
    </row>
    <row r="3025" spans="1:40" x14ac:dyDescent="0.25">
      <c r="A3025" t="str">
        <f>"20190304154816982"</f>
        <v>20190304154816982</v>
      </c>
      <c r="B3025" t="str">
        <f>"1551685696980044"</f>
        <v>1551685696980044</v>
      </c>
      <c r="C3025" t="s">
        <v>40</v>
      </c>
      <c r="D3025">
        <v>4.2607179999999998</v>
      </c>
      <c r="E3025">
        <v>0.57602889999999995</v>
      </c>
      <c r="F3025" t="s">
        <v>63</v>
      </c>
      <c r="G3025">
        <v>-510.95479999999998</v>
      </c>
      <c r="H3025">
        <v>3.6899929999999999</v>
      </c>
      <c r="I3025">
        <v>296.37</v>
      </c>
      <c r="J3025">
        <v>-380.32839999999999</v>
      </c>
      <c r="K3025">
        <v>1.110576</v>
      </c>
      <c r="L3025">
        <v>285.43900000000002</v>
      </c>
      <c r="M3025">
        <v>-0.9999015</v>
      </c>
      <c r="N3025">
        <v>-1.3486720000000001E-2</v>
      </c>
      <c r="O3025">
        <v>-3.8824720000000001E-3</v>
      </c>
      <c r="P3025">
        <v>-0.97883419999999999</v>
      </c>
      <c r="Q3025">
        <v>0.16722799999999999</v>
      </c>
      <c r="R3025">
        <v>-0.1179757</v>
      </c>
      <c r="S3025">
        <v>-3.0852659999999998</v>
      </c>
      <c r="T3025">
        <v>6.0835599999999997E-2</v>
      </c>
      <c r="U3025">
        <v>0.25778200000000001</v>
      </c>
      <c r="V3025">
        <v>-0.11421439999999999</v>
      </c>
      <c r="W3025">
        <v>0.18039469999999999</v>
      </c>
      <c r="X3025">
        <v>0.97694049999999999</v>
      </c>
      <c r="Y3025">
        <v>8.7123779999999998E-2</v>
      </c>
      <c r="Z3025">
        <v>-3.974874E-4</v>
      </c>
      <c r="AA3025">
        <v>0.99619740000000001</v>
      </c>
      <c r="AB3025">
        <v>37</v>
      </c>
      <c r="AC3025">
        <v>-130.62639999999999</v>
      </c>
      <c r="AD3025">
        <v>2.5794169999999998</v>
      </c>
      <c r="AE3025">
        <v>10.9309999999999</v>
      </c>
      <c r="AF3025">
        <v>11.4336897962473</v>
      </c>
      <c r="AG3025">
        <v>2.5794169999999998</v>
      </c>
      <c r="AH3025">
        <v>130.53242821746201</v>
      </c>
      <c r="AI3025">
        <v>88.872257403990901</v>
      </c>
      <c r="AJ3025">
        <v>84.994083623319099</v>
      </c>
      <c r="AK3025">
        <v>131.05761126605199</v>
      </c>
      <c r="AL3025">
        <v>79.607248765053598</v>
      </c>
      <c r="AM3025">
        <v>96.668195971624698</v>
      </c>
      <c r="AN3025">
        <v>0.99999995874784897</v>
      </c>
    </row>
    <row r="3026" spans="1:40" x14ac:dyDescent="0.25">
      <c r="A3026" t="str">
        <f>"20190304154816995"</f>
        <v>20190304154816995</v>
      </c>
      <c r="B3026" t="str">
        <f>"1551685696989804"</f>
        <v>1551685696989804</v>
      </c>
      <c r="C3026" t="s">
        <v>40</v>
      </c>
      <c r="D3026">
        <v>4.2600910000000001</v>
      </c>
      <c r="E3026">
        <v>0.57599529999999999</v>
      </c>
      <c r="F3026" t="s">
        <v>63</v>
      </c>
      <c r="G3026">
        <v>-510.95490000000001</v>
      </c>
      <c r="H3026">
        <v>3.7370999999999999</v>
      </c>
      <c r="I3026">
        <v>296.32859999999999</v>
      </c>
      <c r="J3026">
        <v>-380.5421</v>
      </c>
      <c r="K3026">
        <v>1.110579</v>
      </c>
      <c r="L3026">
        <v>285.43810000000002</v>
      </c>
      <c r="M3026">
        <v>-0.99990089999999998</v>
      </c>
      <c r="N3026">
        <v>-1.351687E-2</v>
      </c>
      <c r="O3026">
        <v>-3.9427569999999999E-3</v>
      </c>
      <c r="P3026">
        <v>-0.97877029999999998</v>
      </c>
      <c r="Q3026">
        <v>0.1677409</v>
      </c>
      <c r="R3026">
        <v>-0.1177778</v>
      </c>
      <c r="S3026">
        <v>-3.0852659999999998</v>
      </c>
      <c r="T3026">
        <v>6.2037830000000002E-2</v>
      </c>
      <c r="U3026">
        <v>0.25720209999999999</v>
      </c>
      <c r="V3026">
        <v>-0.1139578</v>
      </c>
      <c r="W3026">
        <v>0.1809364</v>
      </c>
      <c r="X3026">
        <v>0.97687040000000003</v>
      </c>
      <c r="Y3026">
        <v>8.6997430000000001E-2</v>
      </c>
      <c r="Z3026">
        <v>-4.1636009999999998E-4</v>
      </c>
      <c r="AA3026">
        <v>0.99620839999999999</v>
      </c>
      <c r="AB3026">
        <v>37</v>
      </c>
      <c r="AC3026">
        <v>-130.4128</v>
      </c>
      <c r="AD3026">
        <v>2.6265209999999999</v>
      </c>
      <c r="AE3026">
        <v>10.8904999999999</v>
      </c>
      <c r="AF3026">
        <v>11.400056190856899</v>
      </c>
      <c r="AG3026">
        <v>2.6265209999999999</v>
      </c>
      <c r="AH3026">
        <v>130.31635054697099</v>
      </c>
      <c r="AI3026">
        <v>88.849753796049896</v>
      </c>
      <c r="AJ3026">
        <v>85.000500534778396</v>
      </c>
      <c r="AK3026">
        <v>130.84040321551799</v>
      </c>
      <c r="AL3026">
        <v>79.575693535676095</v>
      </c>
      <c r="AM3026">
        <v>96.653822480006497</v>
      </c>
      <c r="AN3026">
        <v>1.0000000697109701</v>
      </c>
    </row>
    <row r="3027" spans="1:40" x14ac:dyDescent="0.25">
      <c r="A3027" t="str">
        <f>"20190304154817007"</f>
        <v>20190304154817007</v>
      </c>
      <c r="B3027" t="str">
        <f>"1551685696999565"</f>
        <v>1551685696999565</v>
      </c>
      <c r="C3027" t="s">
        <v>40</v>
      </c>
      <c r="D3027">
        <v>4.2277269999999998</v>
      </c>
      <c r="E3027">
        <v>0.57593349999999999</v>
      </c>
      <c r="F3027" t="s">
        <v>63</v>
      </c>
      <c r="G3027">
        <v>-510.95490000000001</v>
      </c>
      <c r="H3027">
        <v>3.8017089999999998</v>
      </c>
      <c r="I3027">
        <v>296.32190000000003</v>
      </c>
      <c r="J3027">
        <v>-380.7568</v>
      </c>
      <c r="K3027">
        <v>1.110579</v>
      </c>
      <c r="L3027">
        <v>285.43709999999999</v>
      </c>
      <c r="M3027">
        <v>-0.99990029999999996</v>
      </c>
      <c r="N3027">
        <v>-1.3544499999999999E-2</v>
      </c>
      <c r="O3027">
        <v>-4.0030229999999997E-3</v>
      </c>
      <c r="P3027">
        <v>-0.97860400000000003</v>
      </c>
      <c r="Q3027">
        <v>0.16855439999999999</v>
      </c>
      <c r="R3027">
        <v>-0.1180008</v>
      </c>
      <c r="S3027">
        <v>-3.0851440000000001</v>
      </c>
      <c r="T3027">
        <v>6.3665390000000002E-2</v>
      </c>
      <c r="U3027">
        <v>0.25747680000000001</v>
      </c>
      <c r="V3027">
        <v>-0.114122</v>
      </c>
      <c r="W3027">
        <v>0.18177489999999999</v>
      </c>
      <c r="X3027">
        <v>0.97669550000000005</v>
      </c>
      <c r="Y3027">
        <v>8.7148110000000001E-2</v>
      </c>
      <c r="Z3027">
        <v>-4.428565E-4</v>
      </c>
      <c r="AA3027">
        <v>0.99619530000000001</v>
      </c>
      <c r="AB3027">
        <v>37</v>
      </c>
      <c r="AC3027">
        <v>-130.19810000000001</v>
      </c>
      <c r="AD3027">
        <v>2.6911299999999998</v>
      </c>
      <c r="AE3027">
        <v>10.8848</v>
      </c>
      <c r="AF3027">
        <v>11.401109483271901</v>
      </c>
      <c r="AG3027">
        <v>2.6911299999999998</v>
      </c>
      <c r="AH3027">
        <v>130.09828464820001</v>
      </c>
      <c r="AI3027">
        <v>88.819508132326604</v>
      </c>
      <c r="AJ3027">
        <v>84.991702798725498</v>
      </c>
      <c r="AK3027">
        <v>130.62461922061499</v>
      </c>
      <c r="AL3027">
        <v>79.526840431113101</v>
      </c>
      <c r="AM3027">
        <v>96.664506206713696</v>
      </c>
      <c r="AN3027">
        <v>1.0000000224371199</v>
      </c>
    </row>
    <row r="3028" spans="1:40" x14ac:dyDescent="0.25">
      <c r="A3028" t="str">
        <f>"20190304154817021"</f>
        <v>20190304154817021</v>
      </c>
      <c r="B3028" t="str">
        <f>"1551685697009324"</f>
        <v>1551685697009324</v>
      </c>
      <c r="C3028" t="s">
        <v>40</v>
      </c>
      <c r="D3028">
        <v>4.2020650000000002</v>
      </c>
      <c r="E3028">
        <v>0.57589230000000002</v>
      </c>
      <c r="F3028" t="s">
        <v>63</v>
      </c>
      <c r="G3028">
        <v>-510.95490000000001</v>
      </c>
      <c r="H3028">
        <v>3.8925010000000002</v>
      </c>
      <c r="I3028">
        <v>296.25420000000003</v>
      </c>
      <c r="J3028">
        <v>-380.96769999999998</v>
      </c>
      <c r="K3028">
        <v>1.110587</v>
      </c>
      <c r="L3028">
        <v>285.43619999999999</v>
      </c>
      <c r="M3028">
        <v>-0.99989969999999995</v>
      </c>
      <c r="N3028">
        <v>-1.356915E-2</v>
      </c>
      <c r="O3028">
        <v>-4.0625549999999998E-3</v>
      </c>
      <c r="P3028">
        <v>-0.97857050000000001</v>
      </c>
      <c r="Q3028">
        <v>0.16900309999999999</v>
      </c>
      <c r="R3028">
        <v>-0.11763510000000001</v>
      </c>
      <c r="S3028">
        <v>-3.0851139999999999</v>
      </c>
      <c r="T3028">
        <v>6.5921069999999998E-2</v>
      </c>
      <c r="U3028">
        <v>0.25631710000000002</v>
      </c>
      <c r="V3028">
        <v>-0.1136988</v>
      </c>
      <c r="W3028">
        <v>0.18224750000000001</v>
      </c>
      <c r="X3028">
        <v>0.97665679999999999</v>
      </c>
      <c r="Y3028">
        <v>8.6835350000000006E-2</v>
      </c>
      <c r="Z3028">
        <v>-4.774914E-4</v>
      </c>
      <c r="AA3028">
        <v>0.99622259999999996</v>
      </c>
      <c r="AB3028">
        <v>37</v>
      </c>
      <c r="AC3028">
        <v>-129.9872</v>
      </c>
      <c r="AD3028">
        <v>2.781914</v>
      </c>
      <c r="AE3028">
        <v>10.818</v>
      </c>
      <c r="AF3028">
        <v>11.3408808312013</v>
      </c>
      <c r="AG3028">
        <v>2.781914</v>
      </c>
      <c r="AH3028">
        <v>129.88309425485201</v>
      </c>
      <c r="AI3028">
        <v>88.777641666664906</v>
      </c>
      <c r="AJ3028">
        <v>85.009814137445105</v>
      </c>
      <c r="AK3028">
        <v>130.40695072251901</v>
      </c>
      <c r="AL3028">
        <v>79.499302615734294</v>
      </c>
      <c r="AM3028">
        <v>96.640273991028906</v>
      </c>
      <c r="AN3028">
        <v>1.0000000366819599</v>
      </c>
    </row>
    <row r="3029" spans="1:40" x14ac:dyDescent="0.25">
      <c r="A3029" t="str">
        <f>"20190304154817033"</f>
        <v>20190304154817033</v>
      </c>
      <c r="B3029" t="str">
        <f>"1551685697029820"</f>
        <v>1551685697029820</v>
      </c>
      <c r="C3029" t="s">
        <v>40</v>
      </c>
      <c r="D3029">
        <v>4.2484330000000003</v>
      </c>
      <c r="E3029">
        <v>0.57594080000000003</v>
      </c>
      <c r="F3029" t="s">
        <v>63</v>
      </c>
      <c r="G3029">
        <v>-510.95490000000001</v>
      </c>
      <c r="H3029">
        <v>3.949681</v>
      </c>
      <c r="I3029">
        <v>296.26339999999999</v>
      </c>
      <c r="J3029">
        <v>-381.1893</v>
      </c>
      <c r="K3029">
        <v>1.110592</v>
      </c>
      <c r="L3029">
        <v>285.43529999999998</v>
      </c>
      <c r="M3029">
        <v>-0.99989919999999999</v>
      </c>
      <c r="N3029">
        <v>-1.359343E-2</v>
      </c>
      <c r="O3029">
        <v>-4.1247080000000004E-3</v>
      </c>
      <c r="P3029">
        <v>-0.9784138</v>
      </c>
      <c r="Q3029">
        <v>0.1699427</v>
      </c>
      <c r="R3029">
        <v>-0.1175866</v>
      </c>
      <c r="S3029">
        <v>-3.0849609999999998</v>
      </c>
      <c r="T3029">
        <v>6.7381620000000003E-2</v>
      </c>
      <c r="U3029">
        <v>0.25695800000000002</v>
      </c>
      <c r="V3029">
        <v>-0.1135897</v>
      </c>
      <c r="W3029">
        <v>0.1832085</v>
      </c>
      <c r="X3029">
        <v>0.97648970000000002</v>
      </c>
      <c r="Y3029">
        <v>8.7106149999999993E-2</v>
      </c>
      <c r="Z3029">
        <v>-5.0230629999999999E-4</v>
      </c>
      <c r="AA3029">
        <v>0.9961989</v>
      </c>
      <c r="AB3029">
        <v>37</v>
      </c>
      <c r="AC3029">
        <v>-129.76560000000001</v>
      </c>
      <c r="AD3029">
        <v>2.8390889999999902</v>
      </c>
      <c r="AE3029">
        <v>10.828099999999999</v>
      </c>
      <c r="AF3029">
        <v>11.357903356803799</v>
      </c>
      <c r="AG3029">
        <v>2.8390889999999902</v>
      </c>
      <c r="AH3029">
        <v>129.65819433885699</v>
      </c>
      <c r="AI3029">
        <v>88.750394657362094</v>
      </c>
      <c r="AJ3029">
        <v>84.993737146733395</v>
      </c>
      <c r="AK3029">
        <v>130.185674151287</v>
      </c>
      <c r="AL3029">
        <v>79.443298645829103</v>
      </c>
      <c r="AM3029">
        <v>96.635084220851098</v>
      </c>
      <c r="AN3029">
        <v>1.0000000543122101</v>
      </c>
    </row>
    <row r="3030" spans="1:40" x14ac:dyDescent="0.25">
      <c r="A3030" t="str">
        <f>"20190304154817046"</f>
        <v>20190304154817046</v>
      </c>
      <c r="B3030" t="str">
        <f>"1551685697039579"</f>
        <v>1551685697039579</v>
      </c>
      <c r="C3030" t="s">
        <v>40</v>
      </c>
      <c r="D3030">
        <v>4.2821910000000001</v>
      </c>
      <c r="E3030">
        <v>0.57601230000000003</v>
      </c>
      <c r="F3030" t="s">
        <v>63</v>
      </c>
      <c r="G3030">
        <v>-510.95499999999998</v>
      </c>
      <c r="H3030">
        <v>4.0254190000000003</v>
      </c>
      <c r="I3030">
        <v>296.2602</v>
      </c>
      <c r="J3030">
        <v>-381.40469999999999</v>
      </c>
      <c r="K3030">
        <v>1.110598</v>
      </c>
      <c r="L3030">
        <v>285.43439999999998</v>
      </c>
      <c r="M3030">
        <v>-0.99989870000000003</v>
      </c>
      <c r="N3030">
        <v>-1.3614370000000001E-2</v>
      </c>
      <c r="O3030">
        <v>-4.1851689999999999E-3</v>
      </c>
      <c r="P3030">
        <v>-0.97835810000000001</v>
      </c>
      <c r="Q3030">
        <v>0.17023740000000001</v>
      </c>
      <c r="R3030">
        <v>-0.117621699999999</v>
      </c>
      <c r="S3030">
        <v>-3.085083</v>
      </c>
      <c r="T3030">
        <v>6.9299819999999998E-2</v>
      </c>
      <c r="U3030">
        <v>0.25735469999999999</v>
      </c>
      <c r="V3030">
        <v>-0.1135661</v>
      </c>
      <c r="W3030">
        <v>0.18352309999999999</v>
      </c>
      <c r="X3030">
        <v>0.97643329999999995</v>
      </c>
      <c r="Y3030">
        <v>8.7289389999999994E-2</v>
      </c>
      <c r="Z3030">
        <v>-5.3398949999999997E-4</v>
      </c>
      <c r="AA3030">
        <v>0.99618289999999998</v>
      </c>
      <c r="AB3030">
        <v>37</v>
      </c>
      <c r="AC3030">
        <v>-129.55029999999999</v>
      </c>
      <c r="AD3030">
        <v>2.9148209999999999</v>
      </c>
      <c r="AE3030">
        <v>10.825799999999999</v>
      </c>
      <c r="AF3030">
        <v>11.3622332469534</v>
      </c>
      <c r="AG3030">
        <v>2.9148209999999999</v>
      </c>
      <c r="AH3030">
        <v>129.43878195280001</v>
      </c>
      <c r="AI3030">
        <v>88.714919109337004</v>
      </c>
      <c r="AJ3030">
        <v>84.983392272173006</v>
      </c>
      <c r="AK3030">
        <v>129.96920711939799</v>
      </c>
      <c r="AL3030">
        <v>79.424961794781794</v>
      </c>
      <c r="AM3030">
        <v>96.634097724728704</v>
      </c>
      <c r="AN3030">
        <v>0.99999998832585402</v>
      </c>
    </row>
    <row r="3031" spans="1:40" x14ac:dyDescent="0.25">
      <c r="A3031" t="str">
        <f>"20190304154817068"</f>
        <v>20190304154817068</v>
      </c>
      <c r="B3031" t="str">
        <f>"1551685697060076"</f>
        <v>1551685697060076</v>
      </c>
      <c r="C3031" t="s">
        <v>40</v>
      </c>
      <c r="D3031">
        <v>4.2878790000000002</v>
      </c>
      <c r="E3031">
        <v>0.57627349999999999</v>
      </c>
      <c r="F3031" t="s">
        <v>63</v>
      </c>
      <c r="G3031">
        <v>-510.95499999999998</v>
      </c>
      <c r="H3031">
        <v>4.0634790000000001</v>
      </c>
      <c r="I3031">
        <v>296.26530000000002</v>
      </c>
      <c r="J3031">
        <v>-381.76549999999997</v>
      </c>
      <c r="K3031">
        <v>1.110606</v>
      </c>
      <c r="L3031">
        <v>285.43270000000001</v>
      </c>
      <c r="M3031">
        <v>-0.9998977</v>
      </c>
      <c r="N3031">
        <v>-1.3645869999999999E-2</v>
      </c>
      <c r="O3031">
        <v>-4.2867060000000004E-3</v>
      </c>
      <c r="P3031">
        <v>-0.97826020000000002</v>
      </c>
      <c r="Q3031">
        <v>0.17113680000000001</v>
      </c>
      <c r="R3031">
        <v>-0.11712839999999999</v>
      </c>
      <c r="S3031">
        <v>-3.085175</v>
      </c>
      <c r="T3031">
        <v>7.0323350000000007E-2</v>
      </c>
      <c r="U3031">
        <v>0.25793460000000001</v>
      </c>
      <c r="V3031">
        <v>-0.1129739</v>
      </c>
      <c r="W3031">
        <v>0.184452</v>
      </c>
      <c r="X3031">
        <v>0.97632699999999994</v>
      </c>
      <c r="Y3031">
        <v>8.7573479999999995E-2</v>
      </c>
      <c r="Z3031">
        <v>-5.5351429999999995E-4</v>
      </c>
      <c r="AA3031">
        <v>0.99615790000000004</v>
      </c>
      <c r="AB3031">
        <v>37</v>
      </c>
      <c r="AC3031">
        <v>-129.18950000000001</v>
      </c>
      <c r="AD3031">
        <v>2.9528729999999999</v>
      </c>
      <c r="AE3031">
        <v>10.832599999999999</v>
      </c>
      <c r="AF3031">
        <v>11.380445355324699</v>
      </c>
      <c r="AG3031">
        <v>2.9528729999999999</v>
      </c>
      <c r="AH3031">
        <v>129.074909412951</v>
      </c>
      <c r="AI3031">
        <v>88.694524063117797</v>
      </c>
      <c r="AJ3031">
        <v>84.961300509883102</v>
      </c>
      <c r="AK3031">
        <v>129.60928298312999</v>
      </c>
      <c r="AL3031">
        <v>79.370815798113995</v>
      </c>
      <c r="AM3031">
        <v>96.600521875235401</v>
      </c>
      <c r="AN3031">
        <v>1.0000000266571001</v>
      </c>
    </row>
    <row r="3032" spans="1:40" x14ac:dyDescent="0.25">
      <c r="A3032" t="str">
        <f>"20190304154817089"</f>
        <v>20190304154817089</v>
      </c>
      <c r="B3032" t="str">
        <f>"1551685697079596"</f>
        <v>1551685697079596</v>
      </c>
      <c r="C3032" t="s">
        <v>40</v>
      </c>
      <c r="D3032">
        <v>4.2641619999999998</v>
      </c>
      <c r="E3032">
        <v>0.59278920000000002</v>
      </c>
      <c r="F3032" t="s">
        <v>63</v>
      </c>
      <c r="G3032">
        <v>-510.95499999999998</v>
      </c>
      <c r="H3032">
        <v>4.2028589999999904</v>
      </c>
      <c r="I3032">
        <v>296.40629999999999</v>
      </c>
      <c r="J3032">
        <v>-382.11680000000001</v>
      </c>
      <c r="K3032">
        <v>1.110617</v>
      </c>
      <c r="L3032">
        <v>285.43110000000001</v>
      </c>
      <c r="M3032">
        <v>-0.99989700000000004</v>
      </c>
      <c r="N3032">
        <v>-1.367225E-2</v>
      </c>
      <c r="O3032">
        <v>-4.3853490000000002E-3</v>
      </c>
      <c r="P3032">
        <v>-0.97813870000000003</v>
      </c>
      <c r="Q3032">
        <v>0.1723557</v>
      </c>
      <c r="R3032">
        <v>-0.116356</v>
      </c>
      <c r="S3032">
        <v>-3.0851139999999999</v>
      </c>
      <c r="T3032">
        <v>7.3846579999999995E-2</v>
      </c>
      <c r="U3032">
        <v>0.26205440000000002</v>
      </c>
      <c r="V3032">
        <v>-0.11210539999999899</v>
      </c>
      <c r="W3032">
        <v>0.1856952</v>
      </c>
      <c r="X3032">
        <v>0.97619140000000004</v>
      </c>
      <c r="Y3032">
        <v>8.8992160000000001E-2</v>
      </c>
      <c r="Z3032">
        <v>-6.1809799999999998E-4</v>
      </c>
      <c r="AA3032">
        <v>0.99603209999999998</v>
      </c>
      <c r="AB3032">
        <v>37</v>
      </c>
      <c r="AC3032">
        <v>-128.83819999999901</v>
      </c>
      <c r="AD3032">
        <v>3.0922419999999899</v>
      </c>
      <c r="AE3032">
        <v>10.9751999999999</v>
      </c>
      <c r="AF3032">
        <v>11.5335516853389</v>
      </c>
      <c r="AG3032">
        <v>3.0922419999999899</v>
      </c>
      <c r="AH3032">
        <v>128.71521452992999</v>
      </c>
      <c r="AI3032">
        <v>88.6292860752271</v>
      </c>
      <c r="AJ3032">
        <v>84.879675230652097</v>
      </c>
      <c r="AK3032">
        <v>129.26790485867301</v>
      </c>
      <c r="AL3032">
        <v>79.298333115287406</v>
      </c>
      <c r="AM3032">
        <v>96.5511242149976</v>
      </c>
      <c r="AN3032">
        <v>0.99999998872307905</v>
      </c>
    </row>
    <row r="3033" spans="1:40" x14ac:dyDescent="0.25">
      <c r="A3033" t="str">
        <f>"20190304154817103"</f>
        <v>20190304154817103</v>
      </c>
      <c r="B3033" t="str">
        <f>"1551685697100093"</f>
        <v>1551685697100093</v>
      </c>
      <c r="C3033" t="s">
        <v>40</v>
      </c>
      <c r="D3033">
        <v>4.2670360000000001</v>
      </c>
      <c r="E3033">
        <v>0.59258849999999996</v>
      </c>
      <c r="F3033" t="s">
        <v>63</v>
      </c>
      <c r="G3033">
        <v>-511.82159999999999</v>
      </c>
      <c r="H3033">
        <v>4.4724659999999998</v>
      </c>
      <c r="I3033">
        <v>301.97449999999998</v>
      </c>
      <c r="J3033">
        <v>-382.35750000000002</v>
      </c>
      <c r="K3033">
        <v>1.1106210000000001</v>
      </c>
      <c r="L3033">
        <v>285.43</v>
      </c>
      <c r="M3033">
        <v>-0.99989640000000002</v>
      </c>
      <c r="N3033">
        <v>-1.368781E-2</v>
      </c>
      <c r="O3033">
        <v>-4.4532800000000004E-3</v>
      </c>
      <c r="P3033">
        <v>-0.97810819999999998</v>
      </c>
      <c r="Q3033">
        <v>0.172759</v>
      </c>
      <c r="R3033">
        <v>-0.1160125</v>
      </c>
      <c r="S3033">
        <v>-3.099945</v>
      </c>
      <c r="T3033">
        <v>8.0350160000000004E-2</v>
      </c>
      <c r="U3033">
        <v>0.39538570000000001</v>
      </c>
      <c r="V3033">
        <v>-0.11169610000000001</v>
      </c>
      <c r="W3033">
        <v>0.18611359999999999</v>
      </c>
      <c r="X3033">
        <v>0.97615859999999999</v>
      </c>
      <c r="Y3033">
        <v>0.13091410000000001</v>
      </c>
      <c r="Z3033">
        <v>-9.6546839999999995E-4</v>
      </c>
      <c r="AA3033">
        <v>0.99139330000000003</v>
      </c>
      <c r="AB3033">
        <v>37</v>
      </c>
      <c r="AC3033">
        <v>-129.46409999999901</v>
      </c>
      <c r="AD3033">
        <v>3.3618450000000002</v>
      </c>
      <c r="AE3033">
        <v>16.5444999999999</v>
      </c>
      <c r="AF3033">
        <v>17.109578121342601</v>
      </c>
      <c r="AG3033">
        <v>3.3618450000000002</v>
      </c>
      <c r="AH3033">
        <v>129.303342871361</v>
      </c>
      <c r="AI3033">
        <v>88.523527683649206</v>
      </c>
      <c r="AJ3033">
        <v>82.462340178495396</v>
      </c>
      <c r="AK3033">
        <v>130.47372970450101</v>
      </c>
      <c r="AL3033">
        <v>79.273934850320202</v>
      </c>
      <c r="AM3033">
        <v>96.527630101465704</v>
      </c>
      <c r="AN3033">
        <v>0.99999995160706301</v>
      </c>
    </row>
    <row r="3034" spans="1:40" x14ac:dyDescent="0.25">
      <c r="A3034" t="str">
        <f>"20190304154817118"</f>
        <v>20190304154817118</v>
      </c>
      <c r="B3034" t="str">
        <f>"1551685697109710"</f>
        <v>1551685697109710</v>
      </c>
      <c r="C3034" t="s">
        <v>40</v>
      </c>
      <c r="D3034">
        <v>4.3289090000000003</v>
      </c>
      <c r="E3034">
        <v>0.59270780000000001</v>
      </c>
      <c r="F3034" t="s">
        <v>63</v>
      </c>
      <c r="G3034">
        <v>-511.82159999999999</v>
      </c>
      <c r="H3034">
        <v>4.415756</v>
      </c>
      <c r="I3034">
        <v>301.93209999999999</v>
      </c>
      <c r="J3034">
        <v>-382.58150000000001</v>
      </c>
      <c r="K3034">
        <v>1.1106229999999999</v>
      </c>
      <c r="L3034">
        <v>285.4289</v>
      </c>
      <c r="M3034">
        <v>-0.99989589999999995</v>
      </c>
      <c r="N3034">
        <v>-1.3701140000000001E-2</v>
      </c>
      <c r="O3034">
        <v>-4.5163089999999996E-3</v>
      </c>
      <c r="P3034">
        <v>-0.9780084</v>
      </c>
      <c r="Q3034">
        <v>0.17338339999999999</v>
      </c>
      <c r="R3034">
        <v>-0.1159216</v>
      </c>
      <c r="S3034">
        <v>-3.100006</v>
      </c>
      <c r="T3034">
        <v>7.9143169999999999E-2</v>
      </c>
      <c r="U3034">
        <v>0.39514159999999998</v>
      </c>
      <c r="V3034">
        <v>-0.1115432</v>
      </c>
      <c r="W3034">
        <v>0.18674979999999999</v>
      </c>
      <c r="X3034">
        <v>0.97605459999999999</v>
      </c>
      <c r="Y3034">
        <v>0.1308983</v>
      </c>
      <c r="Z3034">
        <v>-9.3990749999999998E-4</v>
      </c>
      <c r="AA3034">
        <v>0.99139540000000004</v>
      </c>
      <c r="AB3034">
        <v>37</v>
      </c>
      <c r="AC3034">
        <v>-129.24009999999899</v>
      </c>
      <c r="AD3034">
        <v>3.3051330000000001</v>
      </c>
      <c r="AE3034">
        <v>16.5031999999999</v>
      </c>
      <c r="AF3034">
        <v>17.0757861692551</v>
      </c>
      <c r="AG3034">
        <v>3.3051330000000001</v>
      </c>
      <c r="AH3034">
        <v>129.08117541948599</v>
      </c>
      <c r="AI3034">
        <v>88.545920267230102</v>
      </c>
      <c r="AJ3034">
        <v>82.464257217481105</v>
      </c>
      <c r="AK3034">
        <v>130.24767262842701</v>
      </c>
      <c r="AL3034">
        <v>79.236833081282498</v>
      </c>
      <c r="AM3034">
        <v>96.519460043951895</v>
      </c>
      <c r="AN3034">
        <v>0.99999997772371896</v>
      </c>
    </row>
    <row r="3035" spans="1:40" x14ac:dyDescent="0.25">
      <c r="A3035" t="str">
        <f>"20190304154817131"</f>
        <v>20190304154817131</v>
      </c>
      <c r="B3035" t="str">
        <f>"1551685697119470"</f>
        <v>1551685697119470</v>
      </c>
      <c r="C3035" t="s">
        <v>40</v>
      </c>
      <c r="D3035">
        <v>4.3074629999999896</v>
      </c>
      <c r="E3035">
        <v>0.59268769999999904</v>
      </c>
      <c r="F3035" t="s">
        <v>63</v>
      </c>
      <c r="G3035">
        <v>-511.82159999999999</v>
      </c>
      <c r="H3035">
        <v>4.4230359999999997</v>
      </c>
      <c r="I3035">
        <v>301.94299999999998</v>
      </c>
      <c r="J3035">
        <v>-382.8125</v>
      </c>
      <c r="K3035">
        <v>1.1106259999999999</v>
      </c>
      <c r="L3035">
        <v>285.42790000000002</v>
      </c>
      <c r="M3035">
        <v>-0.99989550000000005</v>
      </c>
      <c r="N3035">
        <v>-1.371382E-2</v>
      </c>
      <c r="O3035">
        <v>-4.5813620000000003E-3</v>
      </c>
      <c r="P3035">
        <v>-0.97792069999999998</v>
      </c>
      <c r="Q3035">
        <v>0.17401549999999999</v>
      </c>
      <c r="R3035">
        <v>-0.1157145</v>
      </c>
      <c r="S3035">
        <v>-3.1002809999999998</v>
      </c>
      <c r="T3035">
        <v>7.946193E-2</v>
      </c>
      <c r="U3035">
        <v>0.39614870000000002</v>
      </c>
      <c r="V3035">
        <v>-0.11127330000000001</v>
      </c>
      <c r="W3035">
        <v>0.18739339999999999</v>
      </c>
      <c r="X3035">
        <v>0.975962</v>
      </c>
      <c r="Y3035">
        <v>0.1312683</v>
      </c>
      <c r="Z3035">
        <v>-9.5080209999999997E-4</v>
      </c>
      <c r="AA3035">
        <v>0.99134639999999996</v>
      </c>
      <c r="AB3035">
        <v>37</v>
      </c>
      <c r="AC3035">
        <v>-129.00909999999999</v>
      </c>
      <c r="AD3035">
        <v>3.3124099999999999</v>
      </c>
      <c r="AE3035">
        <v>16.515099999999901</v>
      </c>
      <c r="AF3035">
        <v>17.094931548159</v>
      </c>
      <c r="AG3035">
        <v>3.3124099999999999</v>
      </c>
      <c r="AH3035">
        <v>128.848503824055</v>
      </c>
      <c r="AI3035">
        <v>88.540163390286494</v>
      </c>
      <c r="AJ3035">
        <v>82.442439779295398</v>
      </c>
      <c r="AK3035">
        <v>130.01978957967</v>
      </c>
      <c r="AL3035">
        <v>79.199294299651797</v>
      </c>
      <c r="AM3035">
        <v>96.504432092076897</v>
      </c>
      <c r="AN3035">
        <v>0.99999992955022199</v>
      </c>
    </row>
    <row r="3036" spans="1:40" x14ac:dyDescent="0.25">
      <c r="A3036" t="str">
        <f>"20190304154817146"</f>
        <v>20190304154817146</v>
      </c>
      <c r="B3036" t="str">
        <f>"1551685697139966"</f>
        <v>1551685697139966</v>
      </c>
      <c r="C3036" t="s">
        <v>40</v>
      </c>
      <c r="D3036">
        <v>4.3178799999999997</v>
      </c>
      <c r="E3036">
        <v>0.59279630000000005</v>
      </c>
      <c r="F3036" t="s">
        <v>63</v>
      </c>
      <c r="G3036">
        <v>-511.82159999999999</v>
      </c>
      <c r="H3036">
        <v>4.4833319999999999</v>
      </c>
      <c r="I3036">
        <v>301.94049999999999</v>
      </c>
      <c r="J3036">
        <v>-383.05540000000002</v>
      </c>
      <c r="K3036">
        <v>1.1106240000000001</v>
      </c>
      <c r="L3036">
        <v>285.42660000000001</v>
      </c>
      <c r="M3036">
        <v>-0.99989519999999998</v>
      </c>
      <c r="N3036">
        <v>-1.372544E-2</v>
      </c>
      <c r="O3036">
        <v>-4.6499799999999997E-3</v>
      </c>
      <c r="P3036">
        <v>-0.97777780000000003</v>
      </c>
      <c r="Q3036">
        <v>0.17485419999999999</v>
      </c>
      <c r="R3036">
        <v>-0.11565739999999899</v>
      </c>
      <c r="S3036">
        <v>-3.10025</v>
      </c>
      <c r="T3036">
        <v>8.1052299999999994E-2</v>
      </c>
      <c r="U3036">
        <v>0.39682010000000001</v>
      </c>
      <c r="V3036">
        <v>-0.11114980000000001</v>
      </c>
      <c r="W3036">
        <v>0.18824109999999999</v>
      </c>
      <c r="X3036">
        <v>0.97581300000000004</v>
      </c>
      <c r="Y3036">
        <v>0.13154739999999901</v>
      </c>
      <c r="Z3036">
        <v>-9.9035289999999999E-4</v>
      </c>
      <c r="AA3036">
        <v>0.99130940000000001</v>
      </c>
      <c r="AB3036">
        <v>37</v>
      </c>
      <c r="AC3036">
        <v>-128.766199999999</v>
      </c>
      <c r="AD3036">
        <v>3.3727079999999998</v>
      </c>
      <c r="AE3036">
        <v>16.5138999999999</v>
      </c>
      <c r="AF3036">
        <v>17.1009957234116</v>
      </c>
      <c r="AG3036">
        <v>3.3727079999999998</v>
      </c>
      <c r="AH3036">
        <v>128.60121225923899</v>
      </c>
      <c r="AI3036">
        <v>88.510802599277696</v>
      </c>
      <c r="AJ3036">
        <v>82.425420706739601</v>
      </c>
      <c r="AK3036">
        <v>129.777081984961</v>
      </c>
      <c r="AL3036">
        <v>79.149845433564593</v>
      </c>
      <c r="AM3036">
        <v>96.498258321605903</v>
      </c>
      <c r="AN3036">
        <v>1.0000000003691201</v>
      </c>
    </row>
    <row r="3037" spans="1:40" x14ac:dyDescent="0.25">
      <c r="A3037" t="str">
        <f>"20190304154817160"</f>
        <v>20190304154817160</v>
      </c>
      <c r="B3037" t="str">
        <f>"1551685697149726"</f>
        <v>1551685697149726</v>
      </c>
      <c r="C3037" t="s">
        <v>40</v>
      </c>
      <c r="D3037">
        <v>4.3025679999999999</v>
      </c>
      <c r="E3037">
        <v>0.59320059999999997</v>
      </c>
      <c r="F3037" t="s">
        <v>63</v>
      </c>
      <c r="G3037">
        <v>-511.82170000000002</v>
      </c>
      <c r="H3037">
        <v>4.5285960000000003</v>
      </c>
      <c r="I3037">
        <v>301.9622</v>
      </c>
      <c r="J3037">
        <v>-383.28809999999999</v>
      </c>
      <c r="K3037">
        <v>1.1106259999999999</v>
      </c>
      <c r="L3037">
        <v>285.4255</v>
      </c>
      <c r="M3037">
        <v>-0.99989459999999997</v>
      </c>
      <c r="N3037">
        <v>-1.3735529999999999E-2</v>
      </c>
      <c r="O3037">
        <v>-4.7154900000000001E-3</v>
      </c>
      <c r="P3037">
        <v>-0.97770939999999995</v>
      </c>
      <c r="Q3037">
        <v>0.1750902</v>
      </c>
      <c r="R3037">
        <v>-0.1158802</v>
      </c>
      <c r="S3037">
        <v>-3.1005859999999998</v>
      </c>
      <c r="T3037">
        <v>8.2304000000000002E-2</v>
      </c>
      <c r="U3037">
        <v>0.39816279999999998</v>
      </c>
      <c r="V3037">
        <v>-0.1113087</v>
      </c>
      <c r="W3037">
        <v>0.1884865</v>
      </c>
      <c r="X3037">
        <v>0.97574749999999999</v>
      </c>
      <c r="Y3037">
        <v>0.13202</v>
      </c>
      <c r="Z3037">
        <v>-1.02337E-3</v>
      </c>
      <c r="AA3037">
        <v>0.99124650000000003</v>
      </c>
      <c r="AB3037">
        <v>37</v>
      </c>
      <c r="AC3037">
        <v>-128.53360000000001</v>
      </c>
      <c r="AD3037">
        <v>3.41797</v>
      </c>
      <c r="AE3037">
        <v>16.5366999999999</v>
      </c>
      <c r="AF3037">
        <v>17.130755634049802</v>
      </c>
      <c r="AG3037">
        <v>3.41797</v>
      </c>
      <c r="AH3037">
        <v>128.36489125409</v>
      </c>
      <c r="AI3037">
        <v>88.488143806725404</v>
      </c>
      <c r="AJ3037">
        <v>82.398586862416806</v>
      </c>
      <c r="AK3037">
        <v>129.54802435463401</v>
      </c>
      <c r="AL3037">
        <v>79.135528608507599</v>
      </c>
      <c r="AM3037">
        <v>96.507901702810798</v>
      </c>
      <c r="AN3037">
        <v>0.99999998556709402</v>
      </c>
    </row>
    <row r="3038" spans="1:40" x14ac:dyDescent="0.25">
      <c r="A3038" t="str">
        <f>"20190304154817179"</f>
        <v>20190304154817179</v>
      </c>
      <c r="B3038" t="str">
        <f>"1551685697169247"</f>
        <v>1551685697169247</v>
      </c>
      <c r="C3038" t="s">
        <v>40</v>
      </c>
      <c r="D3038">
        <v>4.2731459999999997</v>
      </c>
      <c r="E3038">
        <v>0.59334069999999905</v>
      </c>
      <c r="F3038" t="s">
        <v>63</v>
      </c>
      <c r="G3038">
        <v>-511.82170000000002</v>
      </c>
      <c r="H3038">
        <v>4.5586669999999998</v>
      </c>
      <c r="I3038">
        <v>302.04509999999999</v>
      </c>
      <c r="J3038">
        <v>-383.60930000000002</v>
      </c>
      <c r="K3038">
        <v>1.1106290000000001</v>
      </c>
      <c r="L3038">
        <v>285.4239</v>
      </c>
      <c r="M3038">
        <v>-0.99989410000000001</v>
      </c>
      <c r="N3038">
        <v>-1.3747759999999999E-2</v>
      </c>
      <c r="O3038">
        <v>-4.8054489999999998E-3</v>
      </c>
      <c r="P3038">
        <v>-0.97778500000000002</v>
      </c>
      <c r="Q3038">
        <v>0.17486380000000001</v>
      </c>
      <c r="R3038">
        <v>-0.1155829</v>
      </c>
      <c r="S3038">
        <v>-3.1010439999999999</v>
      </c>
      <c r="T3038">
        <v>8.3190559999999997E-2</v>
      </c>
      <c r="U3038">
        <v>0.40097050000000001</v>
      </c>
      <c r="V3038">
        <v>-0.11092299999999999</v>
      </c>
      <c r="W3038">
        <v>0.188273</v>
      </c>
      <c r="X3038">
        <v>0.97583260000000005</v>
      </c>
      <c r="Y3038">
        <v>0.13297239999999999</v>
      </c>
      <c r="Z3038">
        <v>-1.052084E-3</v>
      </c>
      <c r="AA3038">
        <v>0.99111919999999998</v>
      </c>
      <c r="AB3038">
        <v>37</v>
      </c>
      <c r="AC3038">
        <v>-128.2124</v>
      </c>
      <c r="AD3038">
        <v>3.4480379999999902</v>
      </c>
      <c r="AE3038">
        <v>16.621199999999899</v>
      </c>
      <c r="AF3038">
        <v>17.224932438569802</v>
      </c>
      <c r="AG3038">
        <v>3.4480379999999902</v>
      </c>
      <c r="AH3038">
        <v>128.03996610047699</v>
      </c>
      <c r="AI3038">
        <v>88.471197768962895</v>
      </c>
      <c r="AJ3038">
        <v>82.338125810327</v>
      </c>
      <c r="AK3038">
        <v>129.23939098654901</v>
      </c>
      <c r="AL3038">
        <v>79.147983856964203</v>
      </c>
      <c r="AM3038">
        <v>96.484982619074998</v>
      </c>
      <c r="AN3038">
        <v>0.99999994884037802</v>
      </c>
    </row>
    <row r="3039" spans="1:40" x14ac:dyDescent="0.25">
      <c r="A3039" t="str">
        <f>"20190304154817194"</f>
        <v>20190304154817194</v>
      </c>
      <c r="B3039" t="str">
        <f>"1551685697189741"</f>
        <v>1551685697189741</v>
      </c>
      <c r="C3039" t="s">
        <v>40</v>
      </c>
      <c r="D3039">
        <v>4.2860649999999998</v>
      </c>
      <c r="E3039">
        <v>0.59352320000000003</v>
      </c>
      <c r="F3039" t="s">
        <v>63</v>
      </c>
      <c r="G3039">
        <v>-511.82159999999999</v>
      </c>
      <c r="H3039">
        <v>4.4187969999999996</v>
      </c>
      <c r="I3039">
        <v>302.07659999999998</v>
      </c>
      <c r="J3039">
        <v>-383.84629999999999</v>
      </c>
      <c r="K3039">
        <v>1.1106290000000001</v>
      </c>
      <c r="L3039">
        <v>285.42270000000002</v>
      </c>
      <c r="M3039">
        <v>-0.99989349999999999</v>
      </c>
      <c r="N3039">
        <v>-1.3755750000000001E-2</v>
      </c>
      <c r="O3039">
        <v>-4.8715390000000003E-3</v>
      </c>
      <c r="P3039">
        <v>-0.97774450000000002</v>
      </c>
      <c r="Q3039">
        <v>0.17506140000000001</v>
      </c>
      <c r="R3039">
        <v>-0.1156256</v>
      </c>
      <c r="S3039">
        <v>-3.1014710000000001</v>
      </c>
      <c r="T3039">
        <v>8.0026979999999998E-2</v>
      </c>
      <c r="U3039">
        <v>0.40283200000000002</v>
      </c>
      <c r="V3039">
        <v>-0.11090129999999999</v>
      </c>
      <c r="W3039">
        <v>0.18847810000000001</v>
      </c>
      <c r="X3039">
        <v>0.97579550000000004</v>
      </c>
      <c r="Y3039">
        <v>0.13360820000000001</v>
      </c>
      <c r="Z3039">
        <v>-9.8522850000000006E-4</v>
      </c>
      <c r="AA3039">
        <v>0.99103370000000002</v>
      </c>
      <c r="AB3039">
        <v>37</v>
      </c>
      <c r="AC3039">
        <v>-127.9753</v>
      </c>
      <c r="AD3039">
        <v>3.3081680000000002</v>
      </c>
      <c r="AE3039">
        <v>16.653899999999901</v>
      </c>
      <c r="AF3039">
        <v>17.2658526697127</v>
      </c>
      <c r="AG3039">
        <v>3.3081680000000002</v>
      </c>
      <c r="AH3039">
        <v>127.808660624937</v>
      </c>
      <c r="AI3039">
        <v>88.5306422791232</v>
      </c>
      <c r="AJ3039">
        <v>82.306408410291695</v>
      </c>
      <c r="AK3039">
        <v>129.01204352566799</v>
      </c>
      <c r="AL3039">
        <v>79.136018562439702</v>
      </c>
      <c r="AM3039">
        <v>96.483969171891403</v>
      </c>
      <c r="AN3039">
        <v>0.99999997517077399</v>
      </c>
    </row>
    <row r="3040" spans="1:40" x14ac:dyDescent="0.25">
      <c r="A3040" t="str">
        <f>"20190304154817212"</f>
        <v>20190304154817212</v>
      </c>
      <c r="B3040" t="str">
        <f>"1551685697209261"</f>
        <v>1551685697209261</v>
      </c>
      <c r="C3040" t="s">
        <v>40</v>
      </c>
      <c r="D3040">
        <v>4.3155659999999996</v>
      </c>
      <c r="E3040">
        <v>0.59358829999999996</v>
      </c>
      <c r="F3040" t="s">
        <v>63</v>
      </c>
      <c r="G3040">
        <v>-511.82159999999999</v>
      </c>
      <c r="H3040">
        <v>4.3443940000000003</v>
      </c>
      <c r="I3040">
        <v>302.0967</v>
      </c>
      <c r="J3040">
        <v>-384.15519999999998</v>
      </c>
      <c r="K3040">
        <v>1.1106279999999999</v>
      </c>
      <c r="L3040">
        <v>285.42099999999999</v>
      </c>
      <c r="M3040">
        <v>-0.99989309999999998</v>
      </c>
      <c r="N3040">
        <v>-1.3764709999999999E-2</v>
      </c>
      <c r="O3040">
        <v>-4.9573070000000002E-3</v>
      </c>
      <c r="P3040">
        <v>-0.97782500000000006</v>
      </c>
      <c r="Q3040">
        <v>0.17458589999999999</v>
      </c>
      <c r="R3040">
        <v>-0.1156652</v>
      </c>
      <c r="S3040">
        <v>-3.1020810000000001</v>
      </c>
      <c r="T3040">
        <v>7.8387499999999999E-2</v>
      </c>
      <c r="U3040">
        <v>0.4041748</v>
      </c>
      <c r="V3040">
        <v>-0.1108565</v>
      </c>
      <c r="W3040">
        <v>0.1880126</v>
      </c>
      <c r="X3040">
        <v>0.97589040000000005</v>
      </c>
      <c r="Y3040">
        <v>0.1340914</v>
      </c>
      <c r="Z3040">
        <v>-9.5260699999999995E-4</v>
      </c>
      <c r="AA3040">
        <v>0.99096850000000003</v>
      </c>
      <c r="AB3040">
        <v>37</v>
      </c>
      <c r="AC3040">
        <v>-127.6664</v>
      </c>
      <c r="AD3040">
        <v>3.2337660000000001</v>
      </c>
      <c r="AE3040">
        <v>16.675699999999999</v>
      </c>
      <c r="AF3040">
        <v>17.297524570971401</v>
      </c>
      <c r="AG3040">
        <v>3.2337660000000001</v>
      </c>
      <c r="AH3040">
        <v>127.501723878061</v>
      </c>
      <c r="AI3040">
        <v>88.560328219842404</v>
      </c>
      <c r="AJ3040">
        <v>82.274134402884997</v>
      </c>
      <c r="AK3040">
        <v>128.710338320989</v>
      </c>
      <c r="AL3040">
        <v>79.163175385854004</v>
      </c>
      <c r="AM3040">
        <v>96.480747266203807</v>
      </c>
      <c r="AN3040">
        <v>0.999999987081585</v>
      </c>
    </row>
    <row r="3041" spans="1:40" x14ac:dyDescent="0.25">
      <c r="A3041" t="str">
        <f>"20190304154817225"</f>
        <v>20190304154817225</v>
      </c>
      <c r="B3041" t="str">
        <f>"1551685697219998"</f>
        <v>1551685697219998</v>
      </c>
      <c r="C3041" t="s">
        <v>40</v>
      </c>
      <c r="D3041">
        <v>4.3237269999999999</v>
      </c>
      <c r="E3041">
        <v>0.59362859999999995</v>
      </c>
      <c r="F3041" t="s">
        <v>63</v>
      </c>
      <c r="G3041">
        <v>-511.82159999999999</v>
      </c>
      <c r="H3041">
        <v>4.2334490000000002</v>
      </c>
      <c r="I3041">
        <v>302.09210000000002</v>
      </c>
      <c r="J3041">
        <v>-384.37920000000003</v>
      </c>
      <c r="K3041">
        <v>1.1106290000000001</v>
      </c>
      <c r="L3041">
        <v>285.41989999999998</v>
      </c>
      <c r="M3041">
        <v>-0.99989269999999997</v>
      </c>
      <c r="N3041">
        <v>-1.377023E-2</v>
      </c>
      <c r="O3041">
        <v>-5.0186090000000003E-3</v>
      </c>
      <c r="P3041">
        <v>-0.97779269999999996</v>
      </c>
      <c r="Q3041">
        <v>0.17448079999999999</v>
      </c>
      <c r="R3041">
        <v>-0.11609460000000001</v>
      </c>
      <c r="S3041">
        <v>-3.1023860000000001</v>
      </c>
      <c r="T3041">
        <v>7.5888869999999997E-2</v>
      </c>
      <c r="U3041">
        <v>0.4051208</v>
      </c>
      <c r="V3041">
        <v>-0.1112258</v>
      </c>
      <c r="W3041">
        <v>0.18791279999999999</v>
      </c>
      <c r="X3041">
        <v>0.97586759999999995</v>
      </c>
      <c r="Y3041">
        <v>0.1344388</v>
      </c>
      <c r="Z3041">
        <v>-8.9848259999999905E-4</v>
      </c>
      <c r="AA3041">
        <v>0.99092150000000001</v>
      </c>
      <c r="AB3041">
        <v>37</v>
      </c>
      <c r="AC3041">
        <v>-127.442399999999</v>
      </c>
      <c r="AD3041">
        <v>3.1228199999999999</v>
      </c>
      <c r="AE3041">
        <v>16.6722</v>
      </c>
      <c r="AF3041">
        <v>17.301420574533299</v>
      </c>
      <c r="AG3041">
        <v>3.1228199999999999</v>
      </c>
      <c r="AH3041">
        <v>127.281976981715</v>
      </c>
      <c r="AI3041">
        <v>88.607351432039493</v>
      </c>
      <c r="AJ3041">
        <v>82.259235561784394</v>
      </c>
      <c r="AK3041">
        <v>128.49043864437201</v>
      </c>
      <c r="AL3041">
        <v>79.168997259678093</v>
      </c>
      <c r="AM3041">
        <v>96.5023028299549</v>
      </c>
      <c r="AN3041">
        <v>0.99999998585961902</v>
      </c>
    </row>
    <row r="3042" spans="1:40" x14ac:dyDescent="0.25">
      <c r="A3042" t="str">
        <f>"20190304154817238"</f>
        <v>20190304154817238</v>
      </c>
      <c r="B3042" t="str">
        <f>"1551685697229757"</f>
        <v>1551685697229757</v>
      </c>
      <c r="C3042" t="s">
        <v>40</v>
      </c>
      <c r="D3042">
        <v>4.3132619999999999</v>
      </c>
      <c r="E3042">
        <v>0.59384700000000001</v>
      </c>
      <c r="F3042" t="s">
        <v>63</v>
      </c>
      <c r="G3042">
        <v>-511.82150000000001</v>
      </c>
      <c r="H3042">
        <v>4.2137510000000002</v>
      </c>
      <c r="I3042">
        <v>302.01530000000002</v>
      </c>
      <c r="J3042">
        <v>-384.57960000000003</v>
      </c>
      <c r="K3042">
        <v>1.1106279999999999</v>
      </c>
      <c r="L3042">
        <v>285.41879999999998</v>
      </c>
      <c r="M3042">
        <v>-0.99989220000000001</v>
      </c>
      <c r="N3042">
        <v>-1.377476E-2</v>
      </c>
      <c r="O3042">
        <v>-5.0729909999999998E-3</v>
      </c>
      <c r="P3042">
        <v>-0.97771140000000001</v>
      </c>
      <c r="Q3042">
        <v>0.17475679999999999</v>
      </c>
      <c r="R3042">
        <v>-0.1163631</v>
      </c>
      <c r="S3042">
        <v>-3.1026310000000001</v>
      </c>
      <c r="T3042">
        <v>7.5548649999999995E-2</v>
      </c>
      <c r="U3042">
        <v>0.4040222</v>
      </c>
      <c r="V3042">
        <v>-0.1114417</v>
      </c>
      <c r="W3042">
        <v>0.188192</v>
      </c>
      <c r="X3042">
        <v>0.97578920000000002</v>
      </c>
      <c r="Y3042">
        <v>0.13413800000000001</v>
      </c>
      <c r="Z3042">
        <v>-8.9074049999999995E-4</v>
      </c>
      <c r="AA3042">
        <v>0.99096229999999996</v>
      </c>
      <c r="AB3042">
        <v>37</v>
      </c>
      <c r="AC3042">
        <v>-127.2419</v>
      </c>
      <c r="AD3042">
        <v>3.1031230000000001</v>
      </c>
      <c r="AE3042">
        <v>16.596499999999999</v>
      </c>
      <c r="AF3042">
        <v>17.231767468247799</v>
      </c>
      <c r="AG3042">
        <v>3.1031230000000001</v>
      </c>
      <c r="AH3042">
        <v>127.081742409504</v>
      </c>
      <c r="AI3042">
        <v>88.613890755186603</v>
      </c>
      <c r="AJ3042">
        <v>82.278021564608594</v>
      </c>
      <c r="AK3042">
        <v>128.28223741527199</v>
      </c>
      <c r="AL3042">
        <v>79.152710089053201</v>
      </c>
      <c r="AM3042">
        <v>96.515334956782198</v>
      </c>
      <c r="AN3042">
        <v>1.00000002209976</v>
      </c>
    </row>
    <row r="3043" spans="1:40" x14ac:dyDescent="0.25">
      <c r="A3043" t="str">
        <f>"20190304154817250"</f>
        <v>20190304154817250</v>
      </c>
      <c r="B3043" t="str">
        <f>"1551685697239518"</f>
        <v>1551685697239518</v>
      </c>
      <c r="C3043" t="s">
        <v>40</v>
      </c>
      <c r="D3043">
        <v>4.3002129999999896</v>
      </c>
      <c r="E3043">
        <v>0.59372740000000002</v>
      </c>
      <c r="F3043" t="s">
        <v>63</v>
      </c>
      <c r="G3043">
        <v>-511.82159999999999</v>
      </c>
      <c r="H3043">
        <v>4.2448449999999998</v>
      </c>
      <c r="I3043">
        <v>302.03890000000001</v>
      </c>
      <c r="J3043">
        <v>-384.79129999999998</v>
      </c>
      <c r="K3043">
        <v>1.110633</v>
      </c>
      <c r="L3043">
        <v>285.41770000000002</v>
      </c>
      <c r="M3043">
        <v>-0.999892</v>
      </c>
      <c r="N3043">
        <v>-1.377915E-2</v>
      </c>
      <c r="O3043">
        <v>-5.1298749999999999E-3</v>
      </c>
      <c r="P3043">
        <v>-0.97768679999999997</v>
      </c>
      <c r="Q3043">
        <v>0.17473669999999999</v>
      </c>
      <c r="R3043">
        <v>-0.1166013</v>
      </c>
      <c r="S3043">
        <v>-3.1029659999999999</v>
      </c>
      <c r="T3043">
        <v>7.6434139999999998E-2</v>
      </c>
      <c r="U3043">
        <v>0.405304</v>
      </c>
      <c r="V3043">
        <v>-0.111624</v>
      </c>
      <c r="W3043">
        <v>0.1881765</v>
      </c>
      <c r="X3043">
        <v>0.97577139999999996</v>
      </c>
      <c r="Y3043">
        <v>0.13458239999999999</v>
      </c>
      <c r="Z3043">
        <v>-9.1524629999999998E-4</v>
      </c>
      <c r="AA3043">
        <v>0.99090199999999995</v>
      </c>
      <c r="AB3043">
        <v>37</v>
      </c>
      <c r="AC3043">
        <v>-127.0303</v>
      </c>
      <c r="AD3043">
        <v>3.1342120000000002</v>
      </c>
      <c r="AE3043">
        <v>16.621199999999899</v>
      </c>
      <c r="AF3043">
        <v>17.262360970482099</v>
      </c>
      <c r="AG3043">
        <v>3.1342120000000002</v>
      </c>
      <c r="AH3043">
        <v>126.867424327149</v>
      </c>
      <c r="AI3043">
        <v>88.597733192704894</v>
      </c>
      <c r="AJ3043">
        <v>82.251568651008597</v>
      </c>
      <c r="AK3043">
        <v>128.07480527621701</v>
      </c>
      <c r="AL3043">
        <v>79.153614841590894</v>
      </c>
      <c r="AM3043">
        <v>96.526019110931102</v>
      </c>
      <c r="AN3043">
        <v>1.0000000687931001</v>
      </c>
    </row>
    <row r="3044" spans="1:40" x14ac:dyDescent="0.25">
      <c r="A3044" t="str">
        <f>"20190304154817265"</f>
        <v>20190304154817265</v>
      </c>
      <c r="B3044" t="str">
        <f>"1551685697260013"</f>
        <v>1551685697260013</v>
      </c>
      <c r="C3044" t="s">
        <v>40</v>
      </c>
      <c r="D3044">
        <v>4.2786650000000002</v>
      </c>
      <c r="E3044">
        <v>0.59374300000000002</v>
      </c>
      <c r="F3044" t="s">
        <v>63</v>
      </c>
      <c r="G3044">
        <v>-511.82150000000001</v>
      </c>
      <c r="H3044">
        <v>4.2158819999999997</v>
      </c>
      <c r="I3044">
        <v>301.93830000000003</v>
      </c>
      <c r="J3044">
        <v>-385.03629999999998</v>
      </c>
      <c r="K3044">
        <v>1.110633</v>
      </c>
      <c r="L3044">
        <v>285.41640000000001</v>
      </c>
      <c r="M3044">
        <v>-0.99989150000000004</v>
      </c>
      <c r="N3044">
        <v>-1.3783399999999999E-2</v>
      </c>
      <c r="O3044">
        <v>-5.1948599999999999E-3</v>
      </c>
      <c r="P3044">
        <v>-0.97760729999999996</v>
      </c>
      <c r="Q3044">
        <v>0.1749822</v>
      </c>
      <c r="R3044">
        <v>-0.116898</v>
      </c>
      <c r="S3044">
        <v>-3.1030880000000001</v>
      </c>
      <c r="T3044">
        <v>7.5856919999999994E-2</v>
      </c>
      <c r="U3044">
        <v>0.40356449999999999</v>
      </c>
      <c r="V3044">
        <v>-0.1118572</v>
      </c>
      <c r="W3044">
        <v>0.1884247</v>
      </c>
      <c r="X3044">
        <v>0.97569669999999997</v>
      </c>
      <c r="Y3044">
        <v>0.13409599999999999</v>
      </c>
      <c r="Z3044">
        <v>-9.0152440000000004E-4</v>
      </c>
      <c r="AA3044">
        <v>0.99096790000000001</v>
      </c>
      <c r="AB3044">
        <v>37</v>
      </c>
      <c r="AC3044">
        <v>-126.7852</v>
      </c>
      <c r="AD3044">
        <v>3.1052490000000001</v>
      </c>
      <c r="AE3044">
        <v>16.521899999999999</v>
      </c>
      <c r="AF3044">
        <v>17.170243073950001</v>
      </c>
      <c r="AG3044">
        <v>3.1052490000000001</v>
      </c>
      <c r="AH3044">
        <v>126.622963076879</v>
      </c>
      <c r="AI3044">
        <v>88.607918875643506</v>
      </c>
      <c r="AJ3044">
        <v>82.277717552074094</v>
      </c>
      <c r="AK3044">
        <v>127.819539182941</v>
      </c>
      <c r="AL3044">
        <v>79.139133982001695</v>
      </c>
      <c r="AM3044">
        <v>96.540031342479594</v>
      </c>
      <c r="AN3044">
        <v>0.99999997557640896</v>
      </c>
    </row>
    <row r="3045" spans="1:40" x14ac:dyDescent="0.25">
      <c r="A3045" t="str">
        <f>"20190304154817280"</f>
        <v>20190304154817280</v>
      </c>
      <c r="B3045" t="str">
        <f>"1551685697269774"</f>
        <v>1551685697269774</v>
      </c>
      <c r="C3045" t="s">
        <v>40</v>
      </c>
      <c r="D3045">
        <v>4.3222990000000001</v>
      </c>
      <c r="E3045">
        <v>0.59375259999999996</v>
      </c>
      <c r="F3045" t="s">
        <v>63</v>
      </c>
      <c r="G3045">
        <v>-511.82150000000001</v>
      </c>
      <c r="H3045">
        <v>4.2196239999999996</v>
      </c>
      <c r="I3045">
        <v>301.87779999999998</v>
      </c>
      <c r="J3045">
        <v>-385.27850000000001</v>
      </c>
      <c r="K3045">
        <v>1.1106370000000001</v>
      </c>
      <c r="L3045">
        <v>285.4151</v>
      </c>
      <c r="M3045">
        <v>-0.99989119999999998</v>
      </c>
      <c r="N3045">
        <v>-1.378714E-2</v>
      </c>
      <c r="O3045">
        <v>-5.2582940000000002E-3</v>
      </c>
      <c r="P3045">
        <v>-0.97756480000000001</v>
      </c>
      <c r="Q3045">
        <v>0.17486179999999901</v>
      </c>
      <c r="R3045">
        <v>-0.11743389999999999</v>
      </c>
      <c r="S3045">
        <v>-3.1033019999999998</v>
      </c>
      <c r="T3045">
        <v>7.6100349999999997E-2</v>
      </c>
      <c r="U3045">
        <v>0.40292359999999999</v>
      </c>
      <c r="V3045">
        <v>-0.1123306</v>
      </c>
      <c r="W3045">
        <v>0.18830759999999999</v>
      </c>
      <c r="X3045">
        <v>0.97566489999999995</v>
      </c>
      <c r="Y3045">
        <v>0.1339487</v>
      </c>
      <c r="Z3045">
        <v>-9.0848990000000004E-4</v>
      </c>
      <c r="AA3045">
        <v>0.99098779999999997</v>
      </c>
      <c r="AB3045">
        <v>37</v>
      </c>
      <c r="AC3045">
        <v>-126.542999999999</v>
      </c>
      <c r="AD3045">
        <v>3.1089869999999902</v>
      </c>
      <c r="AE3045">
        <v>16.462699999999899</v>
      </c>
      <c r="AF3045">
        <v>17.117775245259899</v>
      </c>
      <c r="AG3045">
        <v>3.1089869999999902</v>
      </c>
      <c r="AH3045">
        <v>126.379660978397</v>
      </c>
      <c r="AI3045">
        <v>88.603533012089599</v>
      </c>
      <c r="AJ3045">
        <v>82.286387872396304</v>
      </c>
      <c r="AK3045">
        <v>127.57155928547699</v>
      </c>
      <c r="AL3045">
        <v>79.145965402304796</v>
      </c>
      <c r="AM3045">
        <v>96.567680827266102</v>
      </c>
      <c r="AN3045">
        <v>0.99999995650306395</v>
      </c>
    </row>
    <row r="3046" spans="1:40" x14ac:dyDescent="0.25">
      <c r="A3046" t="str">
        <f>"20190304154817302"</f>
        <v>20190304154817302</v>
      </c>
      <c r="B3046" t="str">
        <f>"1551685697300030"</f>
        <v>1551685697300030</v>
      </c>
      <c r="C3046" t="s">
        <v>40</v>
      </c>
      <c r="D3046">
        <v>4.291982</v>
      </c>
      <c r="E3046">
        <v>0.59401990000000005</v>
      </c>
      <c r="F3046" t="s">
        <v>63</v>
      </c>
      <c r="G3046">
        <v>-511.82150000000001</v>
      </c>
      <c r="H3046">
        <v>4.1646130000000001</v>
      </c>
      <c r="I3046">
        <v>301.77719999999999</v>
      </c>
      <c r="J3046">
        <v>-385.63679999999999</v>
      </c>
      <c r="K3046">
        <v>1.110638</v>
      </c>
      <c r="L3046">
        <v>285.41309999999999</v>
      </c>
      <c r="M3046">
        <v>-0.99989070000000002</v>
      </c>
      <c r="N3046">
        <v>-1.379176E-2</v>
      </c>
      <c r="O3046">
        <v>-5.3515330000000003E-3</v>
      </c>
      <c r="P3046">
        <v>-0.97748990000000002</v>
      </c>
      <c r="Q3046">
        <v>0.17471199999999901</v>
      </c>
      <c r="R3046">
        <v>-0.11827749999999999</v>
      </c>
      <c r="S3046">
        <v>-3.1036679999999999</v>
      </c>
      <c r="T3046">
        <v>7.4905630000000001E-2</v>
      </c>
      <c r="U3046">
        <v>0.4013062</v>
      </c>
      <c r="V3046">
        <v>-0.1130833</v>
      </c>
      <c r="W3046">
        <v>0.18816150000000001</v>
      </c>
      <c r="X3046">
        <v>0.97560619999999998</v>
      </c>
      <c r="Y3046">
        <v>0.1335192</v>
      </c>
      <c r="Z3046">
        <v>-8.8175069999999996E-4</v>
      </c>
      <c r="AA3046">
        <v>0.99104579999999998</v>
      </c>
      <c r="AB3046">
        <v>37</v>
      </c>
      <c r="AC3046">
        <v>-126.18470000000001</v>
      </c>
      <c r="AD3046">
        <v>3.0539749999999999</v>
      </c>
      <c r="AE3046">
        <v>16.364100000000001</v>
      </c>
      <c r="AF3046">
        <v>17.0294012512012</v>
      </c>
      <c r="AG3046">
        <v>3.0539749999999999</v>
      </c>
      <c r="AH3046">
        <v>126.02271364927</v>
      </c>
      <c r="AI3046">
        <v>88.624291349013205</v>
      </c>
      <c r="AJ3046">
        <v>82.304258674611901</v>
      </c>
      <c r="AK3046">
        <v>127.20476259087501</v>
      </c>
      <c r="AL3046">
        <v>79.154489375906394</v>
      </c>
      <c r="AM3046">
        <v>96.611695202906304</v>
      </c>
      <c r="AN3046">
        <v>1.0000000201497801</v>
      </c>
    </row>
    <row r="3047" spans="1:40" x14ac:dyDescent="0.25">
      <c r="A3047" t="str">
        <f>"20190304154817315"</f>
        <v>20190304154817315</v>
      </c>
      <c r="B3047" t="str">
        <f>"1551685697309324"</f>
        <v>1551685697309324</v>
      </c>
      <c r="C3047" t="s">
        <v>40</v>
      </c>
      <c r="D3047">
        <v>4.3009849999999998</v>
      </c>
      <c r="E3047">
        <v>0.59422019999999998</v>
      </c>
      <c r="F3047" t="s">
        <v>63</v>
      </c>
      <c r="G3047">
        <v>-511.82150000000001</v>
      </c>
      <c r="H3047">
        <v>4.0968619999999998</v>
      </c>
      <c r="I3047">
        <v>301.70839999999998</v>
      </c>
      <c r="J3047">
        <v>-385.84660000000002</v>
      </c>
      <c r="K3047">
        <v>1.1106419999999999</v>
      </c>
      <c r="L3047">
        <v>285.4119</v>
      </c>
      <c r="M3047">
        <v>-0.99989030000000001</v>
      </c>
      <c r="N3047">
        <v>-1.379404E-2</v>
      </c>
      <c r="O3047">
        <v>-5.405661E-3</v>
      </c>
      <c r="P3047">
        <v>-0.97752240000000001</v>
      </c>
      <c r="Q3047">
        <v>0.17460619999999999</v>
      </c>
      <c r="R3047">
        <v>-0.1181648</v>
      </c>
      <c r="S3047">
        <v>-3.104492</v>
      </c>
      <c r="T3047">
        <v>7.3471430000000004E-2</v>
      </c>
      <c r="U3047">
        <v>0.40090940000000003</v>
      </c>
      <c r="V3047">
        <v>-0.1129172</v>
      </c>
      <c r="W3047">
        <v>0.18805849999999999</v>
      </c>
      <c r="X3047">
        <v>0.97564530000000005</v>
      </c>
      <c r="Y3047">
        <v>0.133415899999999</v>
      </c>
      <c r="Z3047">
        <v>-8.4953769999999995E-4</v>
      </c>
      <c r="AA3047">
        <v>0.99105980000000005</v>
      </c>
      <c r="AB3047">
        <v>37</v>
      </c>
      <c r="AC3047">
        <v>-125.97490000000001</v>
      </c>
      <c r="AD3047">
        <v>2.9862199999999999</v>
      </c>
      <c r="AE3047">
        <v>16.296499999999899</v>
      </c>
      <c r="AF3047">
        <v>16.967926507812699</v>
      </c>
      <c r="AG3047">
        <v>2.9862199999999999</v>
      </c>
      <c r="AH3047">
        <v>125.81542261189</v>
      </c>
      <c r="AI3047">
        <v>88.652538254872198</v>
      </c>
      <c r="AJ3047">
        <v>82.319225091592898</v>
      </c>
      <c r="AK3047">
        <v>126.989561015351</v>
      </c>
      <c r="AL3047">
        <v>79.160498134365398</v>
      </c>
      <c r="AM3047">
        <v>96.601807302298596</v>
      </c>
      <c r="AN3047">
        <v>1.00000002244509</v>
      </c>
    </row>
    <row r="3048" spans="1:40" x14ac:dyDescent="0.25">
      <c r="A3048" t="str">
        <f>"20190304154817326"</f>
        <v>20190304154817326</v>
      </c>
      <c r="B3048" t="str">
        <f>"1551685697320059"</f>
        <v>1551685697320059</v>
      </c>
      <c r="C3048" t="s">
        <v>40</v>
      </c>
      <c r="D3048">
        <v>4.2440680000000004</v>
      </c>
      <c r="E3048">
        <v>0.59428549999999902</v>
      </c>
      <c r="F3048" t="s">
        <v>63</v>
      </c>
      <c r="G3048">
        <v>-511.82150000000001</v>
      </c>
      <c r="H3048">
        <v>4.0827749999999998</v>
      </c>
      <c r="I3048">
        <v>301.7516</v>
      </c>
      <c r="J3048">
        <v>-386.0523</v>
      </c>
      <c r="K3048">
        <v>1.110644</v>
      </c>
      <c r="L3048">
        <v>285.41070000000002</v>
      </c>
      <c r="M3048">
        <v>-0.9998901</v>
      </c>
      <c r="N3048">
        <v>-1.379592E-2</v>
      </c>
      <c r="O3048">
        <v>-5.4581179999999997E-3</v>
      </c>
      <c r="P3048">
        <v>-0.97747689999999998</v>
      </c>
      <c r="Q3048">
        <v>0.174558399999999</v>
      </c>
      <c r="R3048">
        <v>-0.1186128</v>
      </c>
      <c r="S3048">
        <v>-3.1045530000000001</v>
      </c>
      <c r="T3048">
        <v>7.3247909999999999E-2</v>
      </c>
      <c r="U3048">
        <v>0.40267940000000002</v>
      </c>
      <c r="V3048">
        <v>-0.1133136</v>
      </c>
      <c r="W3048">
        <v>0.18801209999999999</v>
      </c>
      <c r="X3048">
        <v>0.97560829999999998</v>
      </c>
      <c r="Y3048">
        <v>0.13402120000000001</v>
      </c>
      <c r="Z3048">
        <v>-8.4899409999999998E-4</v>
      </c>
      <c r="AA3048">
        <v>0.99097809999999997</v>
      </c>
      <c r="AB3048">
        <v>37</v>
      </c>
      <c r="AC3048">
        <v>-125.7692</v>
      </c>
      <c r="AD3048">
        <v>2.9721310000000001</v>
      </c>
      <c r="AE3048">
        <v>16.340899999999898</v>
      </c>
      <c r="AF3048">
        <v>17.017838994463698</v>
      </c>
      <c r="AG3048">
        <v>2.9721310000000001</v>
      </c>
      <c r="AH3048">
        <v>125.60914479098901</v>
      </c>
      <c r="AI3048">
        <v>88.656801979749901</v>
      </c>
      <c r="AJ3048">
        <v>82.284404451277396</v>
      </c>
      <c r="AK3048">
        <v>126.791552012925</v>
      </c>
      <c r="AL3048">
        <v>79.1632051163255</v>
      </c>
      <c r="AM3048">
        <v>96.625026550879198</v>
      </c>
      <c r="AN3048">
        <v>1.00000003836012</v>
      </c>
    </row>
    <row r="3049" spans="1:40" x14ac:dyDescent="0.25">
      <c r="A3049" t="str">
        <f>"20190304154817340"</f>
        <v>20190304154817340</v>
      </c>
      <c r="B3049" t="str">
        <f>"1551685697329819"</f>
        <v>1551685697329819</v>
      </c>
      <c r="C3049" t="s">
        <v>40</v>
      </c>
      <c r="D3049">
        <v>4.325952</v>
      </c>
      <c r="E3049">
        <v>0.59456409999999904</v>
      </c>
      <c r="F3049" t="s">
        <v>63</v>
      </c>
      <c r="G3049">
        <v>-511.82150000000001</v>
      </c>
      <c r="H3049">
        <v>4.0682900000000002</v>
      </c>
      <c r="I3049">
        <v>301.69369999999998</v>
      </c>
      <c r="J3049">
        <v>-386.2679</v>
      </c>
      <c r="K3049">
        <v>1.110646</v>
      </c>
      <c r="L3049">
        <v>285.40949999999998</v>
      </c>
      <c r="M3049">
        <v>-0.99988969999999999</v>
      </c>
      <c r="N3049">
        <v>-1.379758E-2</v>
      </c>
      <c r="O3049">
        <v>-5.5117569999999999E-3</v>
      </c>
      <c r="P3049">
        <v>-0.97740780000000005</v>
      </c>
      <c r="Q3049">
        <v>0.1747504</v>
      </c>
      <c r="R3049">
        <v>-0.1188979</v>
      </c>
      <c r="S3049">
        <v>-3.1048580000000001</v>
      </c>
      <c r="T3049">
        <v>7.3017360000000003E-2</v>
      </c>
      <c r="U3049">
        <v>0.40197749999999999</v>
      </c>
      <c r="V3049">
        <v>-0.1135466</v>
      </c>
      <c r="W3049">
        <v>0.18820509999999999</v>
      </c>
      <c r="X3049">
        <v>0.97554399999999997</v>
      </c>
      <c r="Y3049">
        <v>0.13384179999999901</v>
      </c>
      <c r="Z3049">
        <v>-8.445436E-4</v>
      </c>
      <c r="AA3049">
        <v>0.99100239999999995</v>
      </c>
      <c r="AB3049">
        <v>37</v>
      </c>
      <c r="AC3049">
        <v>-125.5536</v>
      </c>
      <c r="AD3049">
        <v>2.9576439999999899</v>
      </c>
      <c r="AE3049">
        <v>16.284199999999998</v>
      </c>
      <c r="AF3049">
        <v>16.966779845688801</v>
      </c>
      <c r="AG3049">
        <v>2.9576439999999899</v>
      </c>
      <c r="AH3049">
        <v>125.393496720223</v>
      </c>
      <c r="AI3049">
        <v>88.661017821845604</v>
      </c>
      <c r="AJ3049">
        <v>82.294205281002704</v>
      </c>
      <c r="AK3049">
        <v>126.570724482747</v>
      </c>
      <c r="AL3049">
        <v>79.151946087651993</v>
      </c>
      <c r="AM3049">
        <v>96.638961382074001</v>
      </c>
      <c r="AN3049">
        <v>1.0000000429867799</v>
      </c>
    </row>
    <row r="3050" spans="1:40" x14ac:dyDescent="0.25">
      <c r="A3050" t="str">
        <f>"20190304154817354"</f>
        <v>20190304154817354</v>
      </c>
      <c r="B3050" t="str">
        <f>"1551685697349339"</f>
        <v>1551685697349339</v>
      </c>
      <c r="C3050" t="s">
        <v>40</v>
      </c>
      <c r="D3050">
        <v>4.2984460000000002</v>
      </c>
      <c r="E3050">
        <v>0.59506759999999903</v>
      </c>
      <c r="F3050" t="s">
        <v>63</v>
      </c>
      <c r="G3050">
        <v>-511.82150000000001</v>
      </c>
      <c r="H3050">
        <v>4.0790980000000001</v>
      </c>
      <c r="I3050">
        <v>301.71170000000001</v>
      </c>
      <c r="J3050">
        <v>-386.50009999999997</v>
      </c>
      <c r="K3050">
        <v>1.1106480000000001</v>
      </c>
      <c r="L3050">
        <v>285.40820000000002</v>
      </c>
      <c r="M3050">
        <v>-0.99988940000000004</v>
      </c>
      <c r="N3050">
        <v>-1.379913E-2</v>
      </c>
      <c r="O3050">
        <v>-5.5690799999999997E-3</v>
      </c>
      <c r="P3050">
        <v>-0.97732739999999996</v>
      </c>
      <c r="Q3050">
        <v>0.17523720000000001</v>
      </c>
      <c r="R3050">
        <v>-0.11884210000000001</v>
      </c>
      <c r="S3050">
        <v>-3.105286</v>
      </c>
      <c r="T3050">
        <v>7.3420050000000001E-2</v>
      </c>
      <c r="U3050">
        <v>0.40319820000000001</v>
      </c>
      <c r="V3050">
        <v>-0.11343490000000001</v>
      </c>
      <c r="W3050">
        <v>0.1886931</v>
      </c>
      <c r="X3050">
        <v>0.97546270000000002</v>
      </c>
      <c r="Y3050">
        <v>0.13426399999999999</v>
      </c>
      <c r="Z3050">
        <v>-8.5768009999999905E-4</v>
      </c>
      <c r="AA3050">
        <v>0.99094519999999997</v>
      </c>
      <c r="AB3050">
        <v>37</v>
      </c>
      <c r="AC3050">
        <v>-125.3214</v>
      </c>
      <c r="AD3050">
        <v>2.9684499999999998</v>
      </c>
      <c r="AE3050">
        <v>16.3034999999999</v>
      </c>
      <c r="AF3050">
        <v>16.991863614931599</v>
      </c>
      <c r="AG3050">
        <v>2.9684499999999998</v>
      </c>
      <c r="AH3050">
        <v>125.15959877051201</v>
      </c>
      <c r="AI3050">
        <v>88.653698217760706</v>
      </c>
      <c r="AJ3050">
        <v>82.268702833844301</v>
      </c>
      <c r="AK3050">
        <v>126.34263052868</v>
      </c>
      <c r="AL3050">
        <v>79.123475397847599</v>
      </c>
      <c r="AM3050">
        <v>96.633036465180396</v>
      </c>
      <c r="AN3050">
        <v>1.0000000208084501</v>
      </c>
    </row>
    <row r="3051" spans="1:40" x14ac:dyDescent="0.25">
      <c r="A3051" t="str">
        <f>"20190304154817368"</f>
        <v>20190304154817368</v>
      </c>
      <c r="B3051" t="str">
        <f>"1551685697360075"</f>
        <v>1551685697360075</v>
      </c>
      <c r="C3051" t="s">
        <v>40</v>
      </c>
      <c r="D3051">
        <v>4.2765459999999997</v>
      </c>
      <c r="E3051">
        <v>0.59530969999999905</v>
      </c>
      <c r="F3051" t="s">
        <v>63</v>
      </c>
      <c r="G3051">
        <v>-511.82150000000001</v>
      </c>
      <c r="H3051">
        <v>4.1411920000000002</v>
      </c>
      <c r="I3051">
        <v>301.85300000000001</v>
      </c>
      <c r="J3051">
        <v>-386.7534</v>
      </c>
      <c r="K3051">
        <v>1.1106469999999999</v>
      </c>
      <c r="L3051">
        <v>285.4067</v>
      </c>
      <c r="M3051">
        <v>-0.99988900000000003</v>
      </c>
      <c r="N3051">
        <v>-1.380048E-2</v>
      </c>
      <c r="O3051">
        <v>-5.6291249999999996E-3</v>
      </c>
      <c r="P3051">
        <v>-0.977186</v>
      </c>
      <c r="Q3051">
        <v>0.17580509999999999</v>
      </c>
      <c r="R3051">
        <v>-0.1191643</v>
      </c>
      <c r="S3051">
        <v>-3.1056819999999998</v>
      </c>
      <c r="T3051">
        <v>7.5104240000000003E-2</v>
      </c>
      <c r="U3051">
        <v>0.4075317</v>
      </c>
      <c r="V3051">
        <v>-0.11369799999999999</v>
      </c>
      <c r="W3051">
        <v>0.18926100000000001</v>
      </c>
      <c r="X3051">
        <v>0.97532200000000002</v>
      </c>
      <c r="Y3051">
        <v>0.13566520000000001</v>
      </c>
      <c r="Z3051">
        <v>-9.0580130000000002E-4</v>
      </c>
      <c r="AA3051">
        <v>0.99075429999999998</v>
      </c>
      <c r="AB3051">
        <v>37</v>
      </c>
      <c r="AC3051">
        <v>-125.0681</v>
      </c>
      <c r="AD3051">
        <v>3.030545</v>
      </c>
      <c r="AE3051">
        <v>16.446300000000001</v>
      </c>
      <c r="AF3051">
        <v>17.1402375384015</v>
      </c>
      <c r="AG3051">
        <v>3.030545</v>
      </c>
      <c r="AH3051">
        <v>124.901441795952</v>
      </c>
      <c r="AI3051">
        <v>88.622977683548896</v>
      </c>
      <c r="AJ3051">
        <v>82.186101143776895</v>
      </c>
      <c r="AK3051">
        <v>126.108453755398</v>
      </c>
      <c r="AL3051">
        <v>79.090339653198598</v>
      </c>
      <c r="AM3051">
        <v>96.649234007501803</v>
      </c>
      <c r="AN3051">
        <v>0.99999998250449895</v>
      </c>
    </row>
    <row r="3052" spans="1:40" x14ac:dyDescent="0.25">
      <c r="A3052" t="str">
        <f>"20190304154817379"</f>
        <v>20190304154817379</v>
      </c>
      <c r="B3052" t="str">
        <f>"1551685697369835"</f>
        <v>1551685697369835</v>
      </c>
      <c r="C3052" t="s">
        <v>40</v>
      </c>
      <c r="D3052">
        <v>4.2535860000000003</v>
      </c>
      <c r="E3052">
        <v>0.59544869999999905</v>
      </c>
      <c r="F3052" t="s">
        <v>63</v>
      </c>
      <c r="G3052">
        <v>-511.82150000000001</v>
      </c>
      <c r="H3052">
        <v>4.2043220000000003</v>
      </c>
      <c r="I3052">
        <v>301.85449999999997</v>
      </c>
      <c r="J3052">
        <v>-386.92540000000002</v>
      </c>
      <c r="K3052">
        <v>1.110646</v>
      </c>
      <c r="L3052">
        <v>285.40570000000002</v>
      </c>
      <c r="M3052">
        <v>-0.99988880000000002</v>
      </c>
      <c r="N3052">
        <v>-1.380117E-2</v>
      </c>
      <c r="O3052">
        <v>-5.6679549999999997E-3</v>
      </c>
      <c r="P3052">
        <v>-0.97704089999999999</v>
      </c>
      <c r="Q3052">
        <v>0.17656959999999999</v>
      </c>
      <c r="R3052">
        <v>-0.119225</v>
      </c>
      <c r="S3052">
        <v>-3.1060490000000001</v>
      </c>
      <c r="T3052">
        <v>7.6833009999999993E-2</v>
      </c>
      <c r="U3052">
        <v>0.4084778</v>
      </c>
      <c r="V3052">
        <v>-0.1137209</v>
      </c>
      <c r="W3052">
        <v>0.19002459999999999</v>
      </c>
      <c r="X3052">
        <v>0.97517089999999995</v>
      </c>
      <c r="Y3052">
        <v>0.13598379999999999</v>
      </c>
      <c r="Z3052">
        <v>-9.4939190000000004E-4</v>
      </c>
      <c r="AA3052">
        <v>0.9907106</v>
      </c>
      <c r="AB3052">
        <v>37</v>
      </c>
      <c r="AC3052">
        <v>-124.8961</v>
      </c>
      <c r="AD3052">
        <v>3.0936759999999999</v>
      </c>
      <c r="AE3052">
        <v>16.448799999999899</v>
      </c>
      <c r="AF3052">
        <v>17.1461678406821</v>
      </c>
      <c r="AG3052">
        <v>3.0936759999999999</v>
      </c>
      <c r="AH3052">
        <v>124.72563242978499</v>
      </c>
      <c r="AI3052">
        <v>88.592368625263802</v>
      </c>
      <c r="AJ3052">
        <v>82.172549542508605</v>
      </c>
      <c r="AK3052">
        <v>125.93667173553401</v>
      </c>
      <c r="AL3052">
        <v>79.045780591093802</v>
      </c>
      <c r="AM3052">
        <v>96.651582491824797</v>
      </c>
      <c r="AN3052">
        <v>1.0000000379543801</v>
      </c>
    </row>
    <row r="3053" spans="1:40" x14ac:dyDescent="0.25">
      <c r="A3053" t="str">
        <f>"20190304154817393"</f>
        <v>20190304154817393</v>
      </c>
      <c r="B3053" t="str">
        <f>"1551685697389355"</f>
        <v>1551685697389355</v>
      </c>
      <c r="C3053" t="s">
        <v>40</v>
      </c>
      <c r="D3053">
        <v>4.3710559999999896</v>
      </c>
      <c r="E3053">
        <v>0.59553159999999905</v>
      </c>
      <c r="F3053" t="s">
        <v>63</v>
      </c>
      <c r="G3053">
        <v>-511.82159999999999</v>
      </c>
      <c r="H3053">
        <v>4.300173</v>
      </c>
      <c r="I3053">
        <v>301.8784</v>
      </c>
      <c r="J3053">
        <v>-387.13889999999998</v>
      </c>
      <c r="K3053">
        <v>1.110646</v>
      </c>
      <c r="L3053">
        <v>285.40440000000001</v>
      </c>
      <c r="M3053">
        <v>-0.99988849999999996</v>
      </c>
      <c r="N3053">
        <v>-1.380193E-2</v>
      </c>
      <c r="O3053">
        <v>-5.7147609999999996E-3</v>
      </c>
      <c r="P3053">
        <v>-0.97696709999999998</v>
      </c>
      <c r="Q3053">
        <v>0.1769116</v>
      </c>
      <c r="R3053">
        <v>-0.11932180000000001</v>
      </c>
      <c r="S3053">
        <v>-3.1061100000000001</v>
      </c>
      <c r="T3053">
        <v>7.9324130000000007E-2</v>
      </c>
      <c r="U3053">
        <v>0.40966799999999998</v>
      </c>
      <c r="V3053">
        <v>-0.113770899999999</v>
      </c>
      <c r="W3053">
        <v>0.19036729999999999</v>
      </c>
      <c r="X3053">
        <v>0.97509820000000003</v>
      </c>
      <c r="Y3053">
        <v>0.13639860000000001</v>
      </c>
      <c r="Z3053">
        <v>-1.0122550000000001E-3</v>
      </c>
      <c r="AA3053">
        <v>0.99065349999999996</v>
      </c>
      <c r="AB3053">
        <v>37</v>
      </c>
      <c r="AC3053">
        <v>-124.6827</v>
      </c>
      <c r="AD3053">
        <v>3.189527</v>
      </c>
      <c r="AE3053">
        <v>16.473999999999901</v>
      </c>
      <c r="AF3053">
        <v>17.175284009555099</v>
      </c>
      <c r="AG3053">
        <v>3.189527</v>
      </c>
      <c r="AH3053">
        <v>124.506431246223</v>
      </c>
      <c r="AI3053">
        <v>88.546314096528604</v>
      </c>
      <c r="AJ3053">
        <v>82.145791126628396</v>
      </c>
      <c r="AK3053">
        <v>125.725951517429</v>
      </c>
      <c r="AL3053">
        <v>79.025779968846294</v>
      </c>
      <c r="AM3053">
        <v>96.654972474944003</v>
      </c>
      <c r="AN3053">
        <v>1.00000001311967</v>
      </c>
    </row>
    <row r="3054" spans="1:40" x14ac:dyDescent="0.25">
      <c r="A3054" t="str">
        <f>"20190304154817405"</f>
        <v>20190304154817405</v>
      </c>
      <c r="B3054" t="str">
        <f>"1551685697400091"</f>
        <v>1551685697400091</v>
      </c>
      <c r="C3054" t="s">
        <v>40</v>
      </c>
      <c r="D3054">
        <v>4.3284539999999998</v>
      </c>
      <c r="E3054">
        <v>0.59559319999999905</v>
      </c>
      <c r="F3054" t="s">
        <v>63</v>
      </c>
      <c r="G3054">
        <v>-511.82159999999999</v>
      </c>
      <c r="H3054">
        <v>4.3291339999999998</v>
      </c>
      <c r="I3054">
        <v>301.8639</v>
      </c>
      <c r="J3054">
        <v>-387.36160000000001</v>
      </c>
      <c r="K3054">
        <v>1.110644</v>
      </c>
      <c r="L3054">
        <v>285.40320000000003</v>
      </c>
      <c r="M3054">
        <v>-0.9998882</v>
      </c>
      <c r="N3054">
        <v>-1.3802460000000001E-2</v>
      </c>
      <c r="O3054">
        <v>-5.7596339999999996E-3</v>
      </c>
      <c r="P3054">
        <v>-0.9768791</v>
      </c>
      <c r="Q3054">
        <v>0.1771818</v>
      </c>
      <c r="R3054">
        <v>-0.1196407</v>
      </c>
      <c r="S3054">
        <v>-3.106293</v>
      </c>
      <c r="T3054">
        <v>8.0186129999999994E-2</v>
      </c>
      <c r="U3054">
        <v>0.4100647</v>
      </c>
      <c r="V3054">
        <v>-0.114044699999999</v>
      </c>
      <c r="W3054">
        <v>0.1906378</v>
      </c>
      <c r="X3054">
        <v>0.97501340000000003</v>
      </c>
      <c r="Y3054">
        <v>0.13655900000000001</v>
      </c>
      <c r="Z3054">
        <v>-1.0352180000000001E-3</v>
      </c>
      <c r="AA3054">
        <v>0.99063140000000005</v>
      </c>
      <c r="AB3054">
        <v>37</v>
      </c>
      <c r="AC3054">
        <v>-124.459999999999</v>
      </c>
      <c r="AD3054">
        <v>3.2184900000000001</v>
      </c>
      <c r="AE3054">
        <v>16.4606999999999</v>
      </c>
      <c r="AF3054">
        <v>17.1660572690127</v>
      </c>
      <c r="AG3054">
        <v>3.2184900000000001</v>
      </c>
      <c r="AH3054">
        <v>124.281437763714</v>
      </c>
      <c r="AI3054">
        <v>88.530499921281503</v>
      </c>
      <c r="AJ3054">
        <v>82.1359241633766</v>
      </c>
      <c r="AK3054">
        <v>125.502621377639</v>
      </c>
      <c r="AL3054">
        <v>79.0099927171497</v>
      </c>
      <c r="AM3054">
        <v>96.671419052871499</v>
      </c>
      <c r="AN3054">
        <v>1.00000004728324</v>
      </c>
    </row>
    <row r="3055" spans="1:40" x14ac:dyDescent="0.25">
      <c r="A3055" t="str">
        <f>"20190304154817418"</f>
        <v>20190304154817418</v>
      </c>
      <c r="B3055" t="str">
        <f>"1551685697409851"</f>
        <v>1551685697409851</v>
      </c>
      <c r="C3055" t="s">
        <v>40</v>
      </c>
      <c r="D3055">
        <v>4.3011799999999996</v>
      </c>
      <c r="E3055">
        <v>0.595777</v>
      </c>
      <c r="F3055" t="s">
        <v>63</v>
      </c>
      <c r="G3055">
        <v>-511.82159999999999</v>
      </c>
      <c r="H3055">
        <v>4.3521999999999998</v>
      </c>
      <c r="I3055">
        <v>301.82229999999998</v>
      </c>
      <c r="J3055">
        <v>-387.55360000000002</v>
      </c>
      <c r="K3055">
        <v>1.1106419999999999</v>
      </c>
      <c r="L3055">
        <v>285.40199999999999</v>
      </c>
      <c r="M3055">
        <v>-0.999888</v>
      </c>
      <c r="N3055">
        <v>-1.3802790000000001E-2</v>
      </c>
      <c r="O3055">
        <v>-5.7959259999999999E-3</v>
      </c>
      <c r="P3055">
        <v>-0.97678759999999998</v>
      </c>
      <c r="Q3055">
        <v>0.17772009999999999</v>
      </c>
      <c r="R3055">
        <v>-0.1195894</v>
      </c>
      <c r="S3055">
        <v>-3.106506</v>
      </c>
      <c r="T3055">
        <v>8.0910919999999997E-2</v>
      </c>
      <c r="U3055">
        <v>0.40982059999999998</v>
      </c>
      <c r="V3055">
        <v>-0.11395669999999999</v>
      </c>
      <c r="W3055">
        <v>0.1911766</v>
      </c>
      <c r="X3055">
        <v>0.97491810000000001</v>
      </c>
      <c r="Y3055">
        <v>0.13650889999999999</v>
      </c>
      <c r="Z3055">
        <v>-1.0534100000000001E-3</v>
      </c>
      <c r="AA3055">
        <v>0.99063829999999997</v>
      </c>
      <c r="AB3055">
        <v>37</v>
      </c>
      <c r="AC3055">
        <v>-124.26799999999901</v>
      </c>
      <c r="AD3055">
        <v>3.2415579999999999</v>
      </c>
      <c r="AE3055">
        <v>16.420299999999902</v>
      </c>
      <c r="AF3055">
        <v>17.128885701938099</v>
      </c>
      <c r="AG3055">
        <v>3.2415579999999999</v>
      </c>
      <c r="AH3055">
        <v>124.087747246992</v>
      </c>
      <c r="AI3055">
        <v>88.517646162932294</v>
      </c>
      <c r="AJ3055">
        <v>82.140644782022505</v>
      </c>
      <c r="AK3055">
        <v>125.30632641846501</v>
      </c>
      <c r="AL3055">
        <v>78.978542383947499</v>
      </c>
      <c r="AM3055">
        <v>96.666963332787603</v>
      </c>
      <c r="AN3055">
        <v>0.99999996178502903</v>
      </c>
    </row>
    <row r="3056" spans="1:40" x14ac:dyDescent="0.25">
      <c r="A3056" t="str">
        <f>"20190304154817437"</f>
        <v>20190304154817437</v>
      </c>
      <c r="B3056" t="str">
        <f>"1551685697429374"</f>
        <v>1551685697429374</v>
      </c>
      <c r="C3056" t="s">
        <v>40</v>
      </c>
      <c r="D3056">
        <v>4.3577629999999896</v>
      </c>
      <c r="E3056">
        <v>0.59605269999999899</v>
      </c>
      <c r="F3056" t="s">
        <v>63</v>
      </c>
      <c r="G3056">
        <v>-511.82159999999999</v>
      </c>
      <c r="H3056">
        <v>4.4006919999999896</v>
      </c>
      <c r="I3056">
        <v>301.84890000000001</v>
      </c>
      <c r="J3056">
        <v>-387.8528</v>
      </c>
      <c r="K3056">
        <v>1.1106370000000001</v>
      </c>
      <c r="L3056">
        <v>285.40019999999998</v>
      </c>
      <c r="M3056">
        <v>-0.99988779999999999</v>
      </c>
      <c r="N3056">
        <v>-1.3803050000000001E-2</v>
      </c>
      <c r="O3056">
        <v>-5.8467049999999998E-3</v>
      </c>
      <c r="P3056">
        <v>-0.97671200000000002</v>
      </c>
      <c r="Q3056">
        <v>0.17812649999999999</v>
      </c>
      <c r="R3056">
        <v>-0.1196039</v>
      </c>
      <c r="S3056">
        <v>-3.1066280000000002</v>
      </c>
      <c r="T3056">
        <v>8.225143E-2</v>
      </c>
      <c r="U3056">
        <v>0.41116330000000001</v>
      </c>
      <c r="V3056">
        <v>-0.1139182</v>
      </c>
      <c r="W3056">
        <v>0.1915838</v>
      </c>
      <c r="X3056">
        <v>0.97484269999999995</v>
      </c>
      <c r="Y3056">
        <v>0.1369737</v>
      </c>
      <c r="Z3056">
        <v>-1.0899690000000001E-3</v>
      </c>
      <c r="AA3056">
        <v>0.99057410000000001</v>
      </c>
      <c r="AB3056">
        <v>37</v>
      </c>
      <c r="AC3056">
        <v>-123.9688</v>
      </c>
      <c r="AD3056">
        <v>3.2900550000000002</v>
      </c>
      <c r="AE3056">
        <v>16.448699999999999</v>
      </c>
      <c r="AF3056">
        <v>17.161418415329202</v>
      </c>
      <c r="AG3056">
        <v>3.2900550000000002</v>
      </c>
      <c r="AH3056">
        <v>123.78482279799699</v>
      </c>
      <c r="AI3056">
        <v>88.491921518281103</v>
      </c>
      <c r="AJ3056">
        <v>82.106877867968194</v>
      </c>
      <c r="AK3056">
        <v>125.012083812168</v>
      </c>
      <c r="AL3056">
        <v>78.954772591123898</v>
      </c>
      <c r="AM3056">
        <v>96.665242032525001</v>
      </c>
      <c r="AN3056">
        <v>0.99999999922848404</v>
      </c>
    </row>
    <row r="3057" spans="1:40" x14ac:dyDescent="0.25">
      <c r="A3057" t="str">
        <f>"20190304154817448"</f>
        <v>20190304154817448</v>
      </c>
      <c r="B3057" t="str">
        <f>"1551685697440107"</f>
        <v>1551685697440107</v>
      </c>
      <c r="C3057" t="s">
        <v>40</v>
      </c>
      <c r="D3057">
        <v>4.3260040000000002</v>
      </c>
      <c r="E3057">
        <v>0.59605269999999899</v>
      </c>
      <c r="F3057" t="s">
        <v>63</v>
      </c>
      <c r="G3057">
        <v>-511.82159999999999</v>
      </c>
      <c r="H3057">
        <v>4.4403980000000001</v>
      </c>
      <c r="I3057">
        <v>301.89010000000002</v>
      </c>
      <c r="J3057">
        <v>-388.06110000000001</v>
      </c>
      <c r="K3057">
        <v>1.1106339999999999</v>
      </c>
      <c r="L3057">
        <v>285.399</v>
      </c>
      <c r="M3057">
        <v>-0.99988750000000004</v>
      </c>
      <c r="N3057">
        <v>-1.3803070000000001E-2</v>
      </c>
      <c r="O3057">
        <v>-5.8768819999999999E-3</v>
      </c>
      <c r="P3057">
        <v>-0.97672740000000002</v>
      </c>
      <c r="Q3057">
        <v>0.17809559999999999</v>
      </c>
      <c r="R3057">
        <v>-0.1195229</v>
      </c>
      <c r="S3057">
        <v>-3.106903</v>
      </c>
      <c r="T3057">
        <v>8.3452460000000006E-2</v>
      </c>
      <c r="U3057">
        <v>0.413269</v>
      </c>
      <c r="V3057">
        <v>-0.1138055</v>
      </c>
      <c r="W3057">
        <v>0.19155520000000001</v>
      </c>
      <c r="X3057">
        <v>0.97486150000000005</v>
      </c>
      <c r="Y3057">
        <v>0.13765069999999999</v>
      </c>
      <c r="Z3057">
        <v>-1.123834E-3</v>
      </c>
      <c r="AA3057">
        <v>0.99048020000000003</v>
      </c>
      <c r="AB3057">
        <v>37</v>
      </c>
      <c r="AC3057">
        <v>-123.760499999999</v>
      </c>
      <c r="AD3057">
        <v>3.3297639999999999</v>
      </c>
      <c r="AE3057">
        <v>16.491099999999999</v>
      </c>
      <c r="AF3057">
        <v>17.205972620666799</v>
      </c>
      <c r="AG3057">
        <v>3.3297639999999999</v>
      </c>
      <c r="AH3057">
        <v>123.573545809994</v>
      </c>
      <c r="AI3057">
        <v>88.471244669714096</v>
      </c>
      <c r="AJ3057">
        <v>82.073287304044101</v>
      </c>
      <c r="AK3057">
        <v>124.810071893952</v>
      </c>
      <c r="AL3057">
        <v>78.956442352705196</v>
      </c>
      <c r="AM3057">
        <v>96.658580049357397</v>
      </c>
      <c r="AN3057">
        <v>1.0000000153297699</v>
      </c>
    </row>
    <row r="3058" spans="1:40" x14ac:dyDescent="0.25">
      <c r="A3058" t="str">
        <f>"20190304154817462"</f>
        <v>20190304154817462</v>
      </c>
      <c r="B3058" t="str">
        <f>"1551685697459628"</f>
        <v>1551685697459628</v>
      </c>
      <c r="C3058" t="s">
        <v>40</v>
      </c>
      <c r="D3058">
        <v>4.2303420000000003</v>
      </c>
      <c r="E3058">
        <v>0.59639949999999997</v>
      </c>
      <c r="F3058" t="s">
        <v>63</v>
      </c>
      <c r="G3058">
        <v>-511.82159999999999</v>
      </c>
      <c r="H3058">
        <v>4.429049</v>
      </c>
      <c r="I3058">
        <v>301.86829999999998</v>
      </c>
      <c r="J3058">
        <v>-388.27629999999999</v>
      </c>
      <c r="K3058">
        <v>1.1106279999999999</v>
      </c>
      <c r="L3058">
        <v>285.39760000000001</v>
      </c>
      <c r="M3058">
        <v>-0.99988730000000003</v>
      </c>
      <c r="N3058">
        <v>-1.380293E-2</v>
      </c>
      <c r="O3058">
        <v>-5.9023969999999898E-3</v>
      </c>
      <c r="P3058">
        <v>-0.97671249999999998</v>
      </c>
      <c r="Q3058">
        <v>0.17796189999999901</v>
      </c>
      <c r="R3058">
        <v>-0.1198424</v>
      </c>
      <c r="S3058">
        <v>-3.1069339999999999</v>
      </c>
      <c r="T3058">
        <v>8.3308939999999998E-2</v>
      </c>
      <c r="U3058">
        <v>0.41345209999999999</v>
      </c>
      <c r="V3058">
        <v>-0.114096699999999</v>
      </c>
      <c r="W3058">
        <v>0.1914228</v>
      </c>
      <c r="X3058">
        <v>0.97485350000000004</v>
      </c>
      <c r="Y3058">
        <v>0.1377321</v>
      </c>
      <c r="Z3058">
        <v>-1.121932E-3</v>
      </c>
      <c r="AA3058">
        <v>0.99046889999999999</v>
      </c>
      <c r="AB3058">
        <v>37</v>
      </c>
      <c r="AC3058">
        <v>-123.5453</v>
      </c>
      <c r="AD3058">
        <v>3.3184209999999998</v>
      </c>
      <c r="AE3058">
        <v>16.470699999999901</v>
      </c>
      <c r="AF3058">
        <v>17.187512420925501</v>
      </c>
      <c r="AG3058">
        <v>3.3184209999999998</v>
      </c>
      <c r="AH3058">
        <v>123.358477969886</v>
      </c>
      <c r="AI3058">
        <v>88.4738144349934</v>
      </c>
      <c r="AJ3058">
        <v>82.068054370333996</v>
      </c>
      <c r="AK3058">
        <v>124.594287943708</v>
      </c>
      <c r="AL3058">
        <v>78.9641716820298</v>
      </c>
      <c r="AM3058">
        <v>96.675518416836098</v>
      </c>
      <c r="AN3058">
        <v>1.0000000458864799</v>
      </c>
    </row>
    <row r="3059" spans="1:40" x14ac:dyDescent="0.25">
      <c r="A3059" t="str">
        <f>"20190304154817478"</f>
        <v>20190304154817478</v>
      </c>
      <c r="B3059" t="str">
        <f>"1551685697469387"</f>
        <v>1551685697469387</v>
      </c>
      <c r="C3059" t="s">
        <v>40</v>
      </c>
      <c r="D3059">
        <v>4.2778830000000001</v>
      </c>
      <c r="E3059">
        <v>0.59639419999999899</v>
      </c>
      <c r="F3059" t="s">
        <v>63</v>
      </c>
      <c r="G3059">
        <v>-511.82159999999999</v>
      </c>
      <c r="H3059">
        <v>4.3468070000000001</v>
      </c>
      <c r="I3059">
        <v>301.91469999999998</v>
      </c>
      <c r="J3059">
        <v>-388.52820000000003</v>
      </c>
      <c r="K3059">
        <v>1.1106199999999999</v>
      </c>
      <c r="L3059">
        <v>285.39609999999999</v>
      </c>
      <c r="M3059">
        <v>-0.99988719999999998</v>
      </c>
      <c r="N3059">
        <v>-1.38026E-2</v>
      </c>
      <c r="O3059">
        <v>-5.9277649999999998E-3</v>
      </c>
      <c r="P3059">
        <v>-0.97672979999999998</v>
      </c>
      <c r="Q3059">
        <v>0.1777609</v>
      </c>
      <c r="R3059">
        <v>-0.1200005</v>
      </c>
      <c r="S3059">
        <v>-3.1076350000000001</v>
      </c>
      <c r="T3059">
        <v>8.1404329999999997E-2</v>
      </c>
      <c r="U3059">
        <v>0.41546630000000001</v>
      </c>
      <c r="V3059">
        <v>-0.1142262</v>
      </c>
      <c r="W3059">
        <v>0.19122439999999999</v>
      </c>
      <c r="X3059">
        <v>0.9748772</v>
      </c>
      <c r="Y3059">
        <v>0.13836039999999999</v>
      </c>
      <c r="Z3059">
        <v>-1.0806329999999999E-3</v>
      </c>
      <c r="AA3059">
        <v>0.99038139999999997</v>
      </c>
      <c r="AB3059">
        <v>37</v>
      </c>
      <c r="AC3059">
        <v>-123.293399999999</v>
      </c>
      <c r="AD3059">
        <v>3.2361869999999899</v>
      </c>
      <c r="AE3059">
        <v>16.5185999999999</v>
      </c>
      <c r="AF3059">
        <v>17.237567225105099</v>
      </c>
      <c r="AG3059">
        <v>3.2361869999999899</v>
      </c>
      <c r="AH3059">
        <v>123.10998472152301</v>
      </c>
      <c r="AI3059">
        <v>88.508755280556201</v>
      </c>
      <c r="AJ3059">
        <v>82.029399387432207</v>
      </c>
      <c r="AK3059">
        <v>124.353025569435</v>
      </c>
      <c r="AL3059">
        <v>78.975752322005405</v>
      </c>
      <c r="AM3059">
        <v>96.682865648443794</v>
      </c>
      <c r="AN3059">
        <v>0.99999997550081898</v>
      </c>
    </row>
    <row r="3060" spans="1:40" x14ac:dyDescent="0.25">
      <c r="A3060" t="str">
        <f>"20190304154817492"</f>
        <v>20190304154817492</v>
      </c>
      <c r="B3060" t="str">
        <f>"1551685697480123"</f>
        <v>1551685697480123</v>
      </c>
      <c r="C3060" t="s">
        <v>40</v>
      </c>
      <c r="D3060">
        <v>4.2536459999999998</v>
      </c>
      <c r="E3060">
        <v>0.59631309999999904</v>
      </c>
      <c r="F3060" t="s">
        <v>63</v>
      </c>
      <c r="G3060">
        <v>-511.82159999999999</v>
      </c>
      <c r="H3060">
        <v>4.333253</v>
      </c>
      <c r="I3060">
        <v>301.8648</v>
      </c>
      <c r="J3060">
        <v>-388.7672</v>
      </c>
      <c r="K3060">
        <v>1.110614</v>
      </c>
      <c r="L3060">
        <v>285.3947</v>
      </c>
      <c r="M3060">
        <v>-0.99988699999999997</v>
      </c>
      <c r="N3060">
        <v>-1.3802099999999999E-2</v>
      </c>
      <c r="O3060">
        <v>-5.9465789999999996E-3</v>
      </c>
      <c r="P3060">
        <v>-0.97674550000000004</v>
      </c>
      <c r="Q3060">
        <v>0.177570799999999</v>
      </c>
      <c r="R3060">
        <v>-0.120155</v>
      </c>
      <c r="S3060">
        <v>-3.107666</v>
      </c>
      <c r="T3060">
        <v>8.1230040000000003E-2</v>
      </c>
      <c r="U3060">
        <v>0.41510010000000003</v>
      </c>
      <c r="V3060">
        <v>-0.1143583</v>
      </c>
      <c r="W3060">
        <v>0.19103619999999999</v>
      </c>
      <c r="X3060">
        <v>0.97489859999999995</v>
      </c>
      <c r="Y3060">
        <v>0.1382632</v>
      </c>
      <c r="Z3060">
        <v>-1.076636E-3</v>
      </c>
      <c r="AA3060">
        <v>0.99039489999999997</v>
      </c>
      <c r="AB3060">
        <v>37</v>
      </c>
      <c r="AC3060">
        <v>-123.0544</v>
      </c>
      <c r="AD3060">
        <v>3.222639</v>
      </c>
      <c r="AE3060">
        <v>16.470099999999999</v>
      </c>
      <c r="AF3060">
        <v>17.190048898198601</v>
      </c>
      <c r="AG3060">
        <v>3.222639</v>
      </c>
      <c r="AH3060">
        <v>122.871485469863</v>
      </c>
      <c r="AI3060">
        <v>88.512090802478298</v>
      </c>
      <c r="AJ3060">
        <v>82.0358590703283</v>
      </c>
      <c r="AK3060">
        <v>124.10997189919</v>
      </c>
      <c r="AL3060">
        <v>78.9867377981262</v>
      </c>
      <c r="AM3060">
        <v>96.690378673308103</v>
      </c>
      <c r="AN3060">
        <v>0.99999996538564395</v>
      </c>
    </row>
    <row r="3061" spans="1:40" x14ac:dyDescent="0.25">
      <c r="A3061" t="str">
        <f>"20190304154817514"</f>
        <v>20190304154817514</v>
      </c>
      <c r="B3061" t="str">
        <f>"1551685697509911"</f>
        <v>1551685697509911</v>
      </c>
      <c r="C3061" t="s">
        <v>40</v>
      </c>
      <c r="D3061">
        <v>4.2549349999999997</v>
      </c>
      <c r="E3061">
        <v>0.55440999999999996</v>
      </c>
      <c r="F3061" t="s">
        <v>63</v>
      </c>
      <c r="G3061">
        <v>-511.82159999999999</v>
      </c>
      <c r="H3061">
        <v>4.2997030000000001</v>
      </c>
      <c r="I3061">
        <v>301.79950000000002</v>
      </c>
      <c r="J3061">
        <v>-389.12959999999998</v>
      </c>
      <c r="K3061">
        <v>1.1106049999999901</v>
      </c>
      <c r="L3061">
        <v>285.39249999999998</v>
      </c>
      <c r="M3061">
        <v>-0.99988699999999997</v>
      </c>
      <c r="N3061">
        <v>-1.380089E-2</v>
      </c>
      <c r="O3061">
        <v>-5.9649739999999996E-3</v>
      </c>
      <c r="P3061">
        <v>-0.97676549999999995</v>
      </c>
      <c r="Q3061">
        <v>0.17744480000000001</v>
      </c>
      <c r="R3061">
        <v>-0.1201779</v>
      </c>
      <c r="S3061">
        <v>-3.107758</v>
      </c>
      <c r="T3061">
        <v>8.0543039999999996E-2</v>
      </c>
      <c r="U3061">
        <v>0.41430660000000002</v>
      </c>
      <c r="V3061">
        <v>-0.1143579</v>
      </c>
      <c r="W3061">
        <v>0.19091259999999999</v>
      </c>
      <c r="X3061">
        <v>0.97492290000000004</v>
      </c>
      <c r="Y3061">
        <v>0.13802979999999901</v>
      </c>
      <c r="Z3061">
        <v>-1.059527E-3</v>
      </c>
      <c r="AA3061">
        <v>0.99042750000000002</v>
      </c>
      <c r="AB3061">
        <v>37</v>
      </c>
      <c r="AC3061">
        <v>-122.69199999999999</v>
      </c>
      <c r="AD3061">
        <v>3.189098</v>
      </c>
      <c r="AE3061">
        <v>16.407</v>
      </c>
      <c r="AF3061">
        <v>17.127264078328299</v>
      </c>
      <c r="AG3061">
        <v>3.189098</v>
      </c>
      <c r="AH3061">
        <v>122.510623539058</v>
      </c>
      <c r="AI3061">
        <v>88.523214468368593</v>
      </c>
      <c r="AJ3061">
        <v>82.041500849124404</v>
      </c>
      <c r="AK3061">
        <v>123.74314688414501</v>
      </c>
      <c r="AL3061">
        <v>78.993952787688002</v>
      </c>
      <c r="AM3061">
        <v>96.690190238187697</v>
      </c>
      <c r="AN3061">
        <v>1.00000000553779</v>
      </c>
    </row>
    <row r="3062" spans="1:40" x14ac:dyDescent="0.25">
      <c r="A3062" t="str">
        <f>"20190304154817527"</f>
        <v>20190304154817527</v>
      </c>
      <c r="B3062" t="str">
        <f>"1551685697519672"</f>
        <v>1551685697519672</v>
      </c>
      <c r="C3062" t="s">
        <v>40</v>
      </c>
      <c r="D3062">
        <v>4.1791700000000001</v>
      </c>
      <c r="E3062">
        <v>0.55094019999999899</v>
      </c>
      <c r="F3062" t="s">
        <v>42</v>
      </c>
      <c r="G3062">
        <v>0</v>
      </c>
      <c r="H3062">
        <v>0</v>
      </c>
      <c r="I3062">
        <v>0</v>
      </c>
      <c r="J3062">
        <v>-389.3528</v>
      </c>
      <c r="K3062">
        <v>1.1106</v>
      </c>
      <c r="L3062">
        <v>285.39120000000003</v>
      </c>
      <c r="M3062">
        <v>-0.99988690000000002</v>
      </c>
      <c r="N3062">
        <v>-1.3800140000000001E-2</v>
      </c>
      <c r="O3062">
        <v>-5.9716659999999996E-3</v>
      </c>
      <c r="P3062">
        <v>-0.97679229999999995</v>
      </c>
      <c r="Q3062">
        <v>0.1774095</v>
      </c>
      <c r="R3062">
        <v>-0.12001299999999999</v>
      </c>
      <c r="S3062">
        <v>-3.0816650000000001</v>
      </c>
      <c r="T3062" s="1">
        <v>-3.0636789999999997E-5</v>
      </c>
      <c r="U3062">
        <v>8.3618159999999997E-2</v>
      </c>
      <c r="V3062">
        <v>-0.1141839</v>
      </c>
      <c r="W3062">
        <v>0.19087799999999999</v>
      </c>
      <c r="X3062">
        <v>0.97495010000000004</v>
      </c>
      <c r="Y3062">
        <v>3.3093079999999997E-2</v>
      </c>
      <c r="Z3062">
        <v>1.46224E-4</v>
      </c>
      <c r="AA3062">
        <v>0.99945229999999996</v>
      </c>
      <c r="AB3062">
        <v>37</v>
      </c>
      <c r="AC3062">
        <v>-3.0816650000000001</v>
      </c>
      <c r="AD3062" s="1">
        <v>-3.0636789999999997E-5</v>
      </c>
      <c r="AE3062">
        <v>8.3618159999999997E-2</v>
      </c>
      <c r="AF3062">
        <v>0.10202109619967099</v>
      </c>
      <c r="AG3062" s="1">
        <v>-3.0636789999999997E-5</v>
      </c>
      <c r="AH3062">
        <v>3.0811106541245401</v>
      </c>
      <c r="AI3062">
        <v>90.000569404176801</v>
      </c>
      <c r="AJ3062">
        <v>88.103526935336404</v>
      </c>
      <c r="AK3062">
        <v>3.08279924224205</v>
      </c>
      <c r="AL3062">
        <v>78.995972696791995</v>
      </c>
      <c r="AM3062">
        <v>96.679918235475</v>
      </c>
      <c r="AN3062">
        <v>1.0000000356965999</v>
      </c>
    </row>
    <row r="3063" spans="1:40" x14ac:dyDescent="0.25">
      <c r="A3063" t="str">
        <f>"20190304154817541"</f>
        <v>20190304154817541</v>
      </c>
      <c r="B3063" t="str">
        <f>"1551685697529432"</f>
        <v>1551685697529432</v>
      </c>
      <c r="C3063" t="s">
        <v>40</v>
      </c>
      <c r="D3063">
        <v>4.4262509999999997</v>
      </c>
      <c r="E3063">
        <v>0.54920970000000002</v>
      </c>
      <c r="F3063" t="s">
        <v>42</v>
      </c>
      <c r="G3063">
        <v>0</v>
      </c>
      <c r="H3063">
        <v>0</v>
      </c>
      <c r="I3063">
        <v>0</v>
      </c>
      <c r="J3063">
        <v>-389.5729</v>
      </c>
      <c r="K3063">
        <v>1.1105959999999999</v>
      </c>
      <c r="L3063">
        <v>285.38990000000001</v>
      </c>
      <c r="M3063">
        <v>-0.99988710000000003</v>
      </c>
      <c r="N3063">
        <v>-1.379944E-2</v>
      </c>
      <c r="O3063">
        <v>-5.9759909999999999E-3</v>
      </c>
      <c r="P3063">
        <v>-0.97679530000000003</v>
      </c>
      <c r="Q3063">
        <v>0.17738779999999901</v>
      </c>
      <c r="R3063">
        <v>-0.12002</v>
      </c>
      <c r="S3063">
        <v>-3.0768430000000002</v>
      </c>
      <c r="T3063">
        <v>7.6562169999999999E-3</v>
      </c>
      <c r="U3063">
        <v>5.6060789999999999E-2</v>
      </c>
      <c r="V3063">
        <v>-0.1141848</v>
      </c>
      <c r="W3063">
        <v>0.19085740000000001</v>
      </c>
      <c r="X3063">
        <v>0.97495399999999999</v>
      </c>
      <c r="Y3063">
        <v>2.4192000000000002E-2</v>
      </c>
      <c r="Z3063" s="1">
        <v>3.9512260000000002E-5</v>
      </c>
      <c r="AA3063">
        <v>0.99970729999999997</v>
      </c>
      <c r="AB3063">
        <v>37</v>
      </c>
      <c r="AC3063">
        <v>-3.0768430000000002</v>
      </c>
      <c r="AD3063">
        <v>7.6562169999999999E-3</v>
      </c>
      <c r="AE3063">
        <v>5.6060789999999999E-2</v>
      </c>
      <c r="AF3063">
        <v>7.4448261745245298E-2</v>
      </c>
      <c r="AG3063">
        <v>7.6562169999999999E-3</v>
      </c>
      <c r="AH3063">
        <v>3.0764339552342901</v>
      </c>
      <c r="AI3063">
        <v>89.857451961259997</v>
      </c>
      <c r="AJ3063">
        <v>88.613739517754496</v>
      </c>
      <c r="AK3063">
        <v>3.0773441540156199</v>
      </c>
      <c r="AL3063">
        <v>78.997174796463199</v>
      </c>
      <c r="AM3063">
        <v>96.679943931260297</v>
      </c>
      <c r="AN3063">
        <v>1.0000000089009</v>
      </c>
    </row>
    <row r="3064" spans="1:40" x14ac:dyDescent="0.25">
      <c r="A3064" t="str">
        <f>"20190304154817558"</f>
        <v>20190304154817558</v>
      </c>
      <c r="B3064" t="str">
        <f>"1551685697549927"</f>
        <v>1551685697549927</v>
      </c>
      <c r="C3064" t="s">
        <v>40</v>
      </c>
      <c r="D3064">
        <v>4.2651919999999999</v>
      </c>
      <c r="E3064">
        <v>0.54812780000000005</v>
      </c>
      <c r="F3064" t="s">
        <v>42</v>
      </c>
      <c r="G3064">
        <v>0</v>
      </c>
      <c r="H3064">
        <v>0</v>
      </c>
      <c r="I3064">
        <v>0</v>
      </c>
      <c r="J3064">
        <v>-389.86509999999998</v>
      </c>
      <c r="K3064">
        <v>1.110595</v>
      </c>
      <c r="L3064">
        <v>285.38810000000001</v>
      </c>
      <c r="M3064">
        <v>-0.99988699999999997</v>
      </c>
      <c r="N3064">
        <v>-1.379851E-2</v>
      </c>
      <c r="O3064">
        <v>-5.9788740000000003E-3</v>
      </c>
      <c r="P3064">
        <v>-0.97688399999999997</v>
      </c>
      <c r="Q3064">
        <v>0.17701539999999999</v>
      </c>
      <c r="R3064">
        <v>-0.119848</v>
      </c>
      <c r="S3064">
        <v>-3.0744929999999999</v>
      </c>
      <c r="T3064">
        <v>1.0644560000000001E-2</v>
      </c>
      <c r="U3064">
        <v>4.1992189999999999E-2</v>
      </c>
      <c r="V3064">
        <v>-0.1140062</v>
      </c>
      <c r="W3064">
        <v>0.1904872</v>
      </c>
      <c r="X3064">
        <v>0.97504729999999995</v>
      </c>
      <c r="Y3064">
        <v>1.9635079999999999E-2</v>
      </c>
      <c r="Z3064" s="1">
        <v>-1.7069980000000001E-6</v>
      </c>
      <c r="AA3064">
        <v>0.99980720000000001</v>
      </c>
      <c r="AB3064">
        <v>37</v>
      </c>
      <c r="AC3064">
        <v>-3.0744929999999999</v>
      </c>
      <c r="AD3064">
        <v>1.0644560000000001E-2</v>
      </c>
      <c r="AE3064">
        <v>4.1992189999999999E-2</v>
      </c>
      <c r="AF3064">
        <v>6.0374470743698998E-2</v>
      </c>
      <c r="AG3064">
        <v>1.0644560000000001E-2</v>
      </c>
      <c r="AH3064">
        <v>3.07415010451848</v>
      </c>
      <c r="AI3064">
        <v>89.801646529544001</v>
      </c>
      <c r="AJ3064">
        <v>88.874889773084305</v>
      </c>
      <c r="AK3064">
        <v>3.0747613319550702</v>
      </c>
      <c r="AL3064">
        <v>79.018782143014306</v>
      </c>
      <c r="AM3064">
        <v>96.668957377588399</v>
      </c>
      <c r="AN3064">
        <v>1.0000000121197801</v>
      </c>
    </row>
    <row r="3065" spans="1:40" x14ac:dyDescent="0.25">
      <c r="A3065" t="str">
        <f>"20190304154817581"</f>
        <v>20190304154817581</v>
      </c>
      <c r="B3065" t="str">
        <f>"1551685697569447"</f>
        <v>1551685697569447</v>
      </c>
      <c r="C3065" t="s">
        <v>40</v>
      </c>
      <c r="D3065">
        <v>4.2480960000000003</v>
      </c>
      <c r="E3065">
        <v>0.54706529999999998</v>
      </c>
      <c r="F3065" t="s">
        <v>42</v>
      </c>
      <c r="G3065">
        <v>0</v>
      </c>
      <c r="H3065">
        <v>0</v>
      </c>
      <c r="I3065">
        <v>0</v>
      </c>
      <c r="J3065">
        <v>-390.22829999999999</v>
      </c>
      <c r="K3065">
        <v>1.110589</v>
      </c>
      <c r="L3065">
        <v>285.38600000000002</v>
      </c>
      <c r="M3065">
        <v>-0.99988699999999997</v>
      </c>
      <c r="N3065">
        <v>-1.3797240000000001E-2</v>
      </c>
      <c r="O3065">
        <v>-5.9794969999999899E-3</v>
      </c>
      <c r="P3065">
        <v>-0.97692659999999998</v>
      </c>
      <c r="Q3065">
        <v>0.1771211</v>
      </c>
      <c r="R3065">
        <v>-0.1193443</v>
      </c>
      <c r="S3065">
        <v>-3.072327</v>
      </c>
      <c r="T3065">
        <v>1.5458939999999999E-2</v>
      </c>
      <c r="U3065">
        <v>3.3660889999999999E-2</v>
      </c>
      <c r="V3065">
        <v>-0.1134994</v>
      </c>
      <c r="W3065">
        <v>0.19059290000000001</v>
      </c>
      <c r="X3065">
        <v>0.97508570000000006</v>
      </c>
      <c r="Y3065">
        <v>1.6934319999999999E-2</v>
      </c>
      <c r="Z3065" s="1">
        <v>-3.835682E-5</v>
      </c>
      <c r="AA3065">
        <v>0.99985659999999998</v>
      </c>
      <c r="AB3065">
        <v>37</v>
      </c>
      <c r="AC3065">
        <v>-3.072327</v>
      </c>
      <c r="AD3065">
        <v>1.5458939999999999E-2</v>
      </c>
      <c r="AE3065">
        <v>3.3660889999999999E-2</v>
      </c>
      <c r="AF3065">
        <v>5.2031688662273597E-2</v>
      </c>
      <c r="AG3065">
        <v>1.5458939999999999E-2</v>
      </c>
      <c r="AH3065">
        <v>3.0719930036242098</v>
      </c>
      <c r="AI3065">
        <v>89.711718899471606</v>
      </c>
      <c r="AJ3065">
        <v>89.029649114376795</v>
      </c>
      <c r="AK3065">
        <v>3.07247250431424</v>
      </c>
      <c r="AL3065">
        <v>79.012612207676398</v>
      </c>
      <c r="AM3065">
        <v>96.639317515988495</v>
      </c>
      <c r="AN3065">
        <v>0.999999944837628</v>
      </c>
    </row>
    <row r="3066" spans="1:40" x14ac:dyDescent="0.25">
      <c r="A3066" t="str">
        <f>"20190304154817592"</f>
        <v>20190304154817592</v>
      </c>
      <c r="B3066" t="str">
        <f>"1551685697589943"</f>
        <v>1551685697589943</v>
      </c>
      <c r="C3066" t="s">
        <v>40</v>
      </c>
      <c r="D3066">
        <v>4.2833809999999897</v>
      </c>
      <c r="E3066">
        <v>0.5453498</v>
      </c>
      <c r="F3066" t="s">
        <v>42</v>
      </c>
      <c r="G3066">
        <v>0</v>
      </c>
      <c r="H3066">
        <v>0</v>
      </c>
      <c r="I3066">
        <v>0</v>
      </c>
      <c r="J3066">
        <v>-390.4212</v>
      </c>
      <c r="K3066">
        <v>1.110589</v>
      </c>
      <c r="L3066">
        <v>285.38479999999998</v>
      </c>
      <c r="M3066">
        <v>-0.99988699999999997</v>
      </c>
      <c r="N3066">
        <v>-1.37965E-2</v>
      </c>
      <c r="O3066">
        <v>-5.9790980000000004E-3</v>
      </c>
      <c r="P3066">
        <v>-0.97693629999999998</v>
      </c>
      <c r="Q3066">
        <v>0.1771585</v>
      </c>
      <c r="R3066">
        <v>-0.1192064</v>
      </c>
      <c r="S3066">
        <v>-3.0706180000000001</v>
      </c>
      <c r="T3066">
        <v>1.923704E-2</v>
      </c>
      <c r="U3066">
        <v>2.6611329999999999E-2</v>
      </c>
      <c r="V3066">
        <v>-0.1133609</v>
      </c>
      <c r="W3066">
        <v>0.19063079999999999</v>
      </c>
      <c r="X3066">
        <v>0.97509440000000003</v>
      </c>
      <c r="Y3066">
        <v>1.4644539999999999E-2</v>
      </c>
      <c r="Z3066" s="1">
        <v>-6.4792139999999995E-5</v>
      </c>
      <c r="AA3066">
        <v>0.99989280000000003</v>
      </c>
      <c r="AB3066">
        <v>37</v>
      </c>
      <c r="AC3066">
        <v>-3.0706180000000001</v>
      </c>
      <c r="AD3066">
        <v>1.923704E-2</v>
      </c>
      <c r="AE3066">
        <v>2.6611329999999999E-2</v>
      </c>
      <c r="AF3066">
        <v>4.4970361866667301E-2</v>
      </c>
      <c r="AG3066">
        <v>1.923704E-2</v>
      </c>
      <c r="AH3066">
        <v>3.07028347999236</v>
      </c>
      <c r="AI3066">
        <v>89.641053153346505</v>
      </c>
      <c r="AJ3066">
        <v>89.160850220567895</v>
      </c>
      <c r="AK3066">
        <v>3.0706730605305999</v>
      </c>
      <c r="AL3066">
        <v>79.0104001113599</v>
      </c>
      <c r="AM3066">
        <v>96.631229312008998</v>
      </c>
      <c r="AN3066">
        <v>0.99999994223440303</v>
      </c>
    </row>
    <row r="3067" spans="1:40" x14ac:dyDescent="0.25">
      <c r="A3067" t="str">
        <f>"20190304154817604"</f>
        <v>20190304154817604</v>
      </c>
      <c r="B3067" t="str">
        <f>"1551685697599703"</f>
        <v>1551685697599703</v>
      </c>
      <c r="C3067" t="s">
        <v>40</v>
      </c>
      <c r="D3067">
        <v>4.2799959999999997</v>
      </c>
      <c r="E3067">
        <v>0.54510119999999995</v>
      </c>
      <c r="F3067" t="s">
        <v>42</v>
      </c>
      <c r="G3067">
        <v>0</v>
      </c>
      <c r="H3067">
        <v>0</v>
      </c>
      <c r="I3067">
        <v>0</v>
      </c>
      <c r="J3067">
        <v>-390.6225</v>
      </c>
      <c r="K3067">
        <v>1.1105879999999999</v>
      </c>
      <c r="L3067">
        <v>285.3836</v>
      </c>
      <c r="M3067">
        <v>-0.99988699999999997</v>
      </c>
      <c r="N3067">
        <v>-1.379563E-2</v>
      </c>
      <c r="O3067">
        <v>-5.9784670000000003E-3</v>
      </c>
      <c r="P3067">
        <v>-0.97696499999999997</v>
      </c>
      <c r="Q3067">
        <v>0.17734150000000001</v>
      </c>
      <c r="R3067">
        <v>-0.1186996</v>
      </c>
      <c r="S3067">
        <v>-3.0704349999999998</v>
      </c>
      <c r="T3067">
        <v>1.1487249999999999E-2</v>
      </c>
      <c r="U3067">
        <v>1.3488770000000001E-2</v>
      </c>
      <c r="V3067">
        <v>-0.1128537</v>
      </c>
      <c r="W3067">
        <v>0.19081390000000001</v>
      </c>
      <c r="X3067">
        <v>0.97511749999999997</v>
      </c>
      <c r="Y3067">
        <v>1.037125E-2</v>
      </c>
      <c r="Z3067" s="1">
        <v>-5.2704180000000001E-5</v>
      </c>
      <c r="AA3067">
        <v>0.99994620000000001</v>
      </c>
      <c r="AB3067">
        <v>37</v>
      </c>
      <c r="AC3067">
        <v>-3.0704349999999998</v>
      </c>
      <c r="AD3067">
        <v>1.1487249999999999E-2</v>
      </c>
      <c r="AE3067">
        <v>1.3488770000000001E-2</v>
      </c>
      <c r="AF3067">
        <v>3.1846323841478799E-2</v>
      </c>
      <c r="AG3067">
        <v>1.1487249999999999E-2</v>
      </c>
      <c r="AH3067">
        <v>3.0702564940920598</v>
      </c>
      <c r="AI3067">
        <v>89.785642512077203</v>
      </c>
      <c r="AJ3067">
        <v>89.405719190281303</v>
      </c>
      <c r="AK3067">
        <v>3.0704431414324</v>
      </c>
      <c r="AL3067">
        <v>78.999713953424006</v>
      </c>
      <c r="AM3067">
        <v>96.601667301791295</v>
      </c>
      <c r="AN3067">
        <v>1.00000002042157</v>
      </c>
    </row>
    <row r="3068" spans="1:40" x14ac:dyDescent="0.25">
      <c r="A3068" t="str">
        <f>"20190304154817617"</f>
        <v>20190304154817617</v>
      </c>
      <c r="B3068" t="str">
        <f>"1551685697609463"</f>
        <v>1551685697609463</v>
      </c>
      <c r="C3068" t="s">
        <v>40</v>
      </c>
      <c r="D3068">
        <v>4.2217469999999997</v>
      </c>
      <c r="E3068">
        <v>0.54473139999999998</v>
      </c>
      <c r="F3068" t="s">
        <v>42</v>
      </c>
      <c r="G3068">
        <v>0</v>
      </c>
      <c r="H3068">
        <v>0</v>
      </c>
      <c r="I3068">
        <v>0</v>
      </c>
      <c r="J3068">
        <v>-390.81720000000001</v>
      </c>
      <c r="K3068">
        <v>1.110587</v>
      </c>
      <c r="L3068">
        <v>285.38249999999999</v>
      </c>
      <c r="M3068">
        <v>-0.99988719999999998</v>
      </c>
      <c r="N3068">
        <v>-1.379477E-2</v>
      </c>
      <c r="O3068">
        <v>-5.9777199999999997E-3</v>
      </c>
      <c r="P3068">
        <v>-0.97697659999999997</v>
      </c>
      <c r="Q3068">
        <v>0.17746819999999999</v>
      </c>
      <c r="R3068">
        <v>-0.1184153</v>
      </c>
      <c r="S3068">
        <v>-3.070465</v>
      </c>
      <c r="T3068">
        <v>1.025152E-2</v>
      </c>
      <c r="U3068">
        <v>1.306152E-2</v>
      </c>
      <c r="V3068">
        <v>-0.11256910000000001</v>
      </c>
      <c r="W3068">
        <v>0.19093969999999999</v>
      </c>
      <c r="X3068">
        <v>0.97512569999999998</v>
      </c>
      <c r="Y3068">
        <v>1.023134E-2</v>
      </c>
      <c r="Z3068" s="1">
        <v>-4.8928940000000001E-5</v>
      </c>
      <c r="AA3068">
        <v>0.99994769999999999</v>
      </c>
      <c r="AB3068">
        <v>37</v>
      </c>
      <c r="AC3068">
        <v>-3.070465</v>
      </c>
      <c r="AD3068">
        <v>1.025152E-2</v>
      </c>
      <c r="AE3068">
        <v>1.306152E-2</v>
      </c>
      <c r="AF3068">
        <v>3.1417058996646902E-2</v>
      </c>
      <c r="AG3068">
        <v>1.025152E-2</v>
      </c>
      <c r="AH3068">
        <v>3.0702978201020601</v>
      </c>
      <c r="AI3068">
        <v>89.808703932448395</v>
      </c>
      <c r="AJ3068">
        <v>89.413736982862503</v>
      </c>
      <c r="AK3068">
        <v>3.0704756682608298</v>
      </c>
      <c r="AL3068">
        <v>78.992370366451794</v>
      </c>
      <c r="AM3068">
        <v>96.585110411143006</v>
      </c>
      <c r="AN3068">
        <v>0.99999995105569295</v>
      </c>
    </row>
    <row r="3069" spans="1:40" x14ac:dyDescent="0.25">
      <c r="A3069" t="str">
        <f>"20190304154817628"</f>
        <v>20190304154817628</v>
      </c>
      <c r="B3069" t="str">
        <f>"1551685697620200"</f>
        <v>1551685697620200</v>
      </c>
      <c r="C3069" t="s">
        <v>40</v>
      </c>
      <c r="D3069">
        <v>4.253539</v>
      </c>
      <c r="E3069">
        <v>0.544543</v>
      </c>
      <c r="F3069" t="s">
        <v>42</v>
      </c>
      <c r="G3069">
        <v>0</v>
      </c>
      <c r="H3069">
        <v>0</v>
      </c>
      <c r="I3069">
        <v>0</v>
      </c>
      <c r="J3069">
        <v>-391.02249999999998</v>
      </c>
      <c r="K3069">
        <v>1.1105879999999999</v>
      </c>
      <c r="L3069">
        <v>285.38130000000001</v>
      </c>
      <c r="M3069">
        <v>-0.99988699999999997</v>
      </c>
      <c r="N3069">
        <v>-1.379381E-2</v>
      </c>
      <c r="O3069">
        <v>-5.9769740000000003E-3</v>
      </c>
      <c r="P3069">
        <v>-0.97699800000000003</v>
      </c>
      <c r="Q3069">
        <v>0.1776257</v>
      </c>
      <c r="R3069">
        <v>-0.1180001</v>
      </c>
      <c r="S3069">
        <v>-3.0705870000000002</v>
      </c>
      <c r="T3069">
        <v>8.2224610000000004E-3</v>
      </c>
      <c r="U3069">
        <v>1.1047360000000001E-2</v>
      </c>
      <c r="V3069">
        <v>-0.11215410000000001</v>
      </c>
      <c r="W3069">
        <v>0.19109699999999999</v>
      </c>
      <c r="X3069">
        <v>0.97514270000000003</v>
      </c>
      <c r="Y3069">
        <v>9.5745499999999994E-3</v>
      </c>
      <c r="Z3069" s="1">
        <v>-4.5235000000000003E-5</v>
      </c>
      <c r="AA3069">
        <v>0.99995420000000002</v>
      </c>
      <c r="AB3069">
        <v>37</v>
      </c>
      <c r="AC3069">
        <v>-3.0705870000000002</v>
      </c>
      <c r="AD3069">
        <v>8.2224610000000004E-3</v>
      </c>
      <c r="AE3069">
        <v>1.1047360000000001E-2</v>
      </c>
      <c r="AF3069">
        <v>2.9401516649363399E-2</v>
      </c>
      <c r="AG3069">
        <v>8.2224610000000004E-3</v>
      </c>
      <c r="AH3069">
        <v>3.0704440889349001</v>
      </c>
      <c r="AI3069">
        <v>89.846572816359995</v>
      </c>
      <c r="AJ3069">
        <v>89.451372087855901</v>
      </c>
      <c r="AK3069">
        <v>3.0705958642129101</v>
      </c>
      <c r="AL3069">
        <v>78.983188610006707</v>
      </c>
      <c r="AM3069">
        <v>96.560932255884794</v>
      </c>
      <c r="AN3069">
        <v>0.99999994545954796</v>
      </c>
    </row>
    <row r="3070" spans="1:40" x14ac:dyDescent="0.25">
      <c r="A3070" t="str">
        <f>"20190304154817642"</f>
        <v>20190304154817642</v>
      </c>
      <c r="B3070" t="str">
        <f>"1551685697629959"</f>
        <v>1551685697629959</v>
      </c>
      <c r="C3070" t="s">
        <v>40</v>
      </c>
      <c r="D3070">
        <v>4.2546470000000003</v>
      </c>
      <c r="E3070">
        <v>0.54413469999999997</v>
      </c>
      <c r="F3070" t="s">
        <v>42</v>
      </c>
      <c r="G3070">
        <v>0</v>
      </c>
      <c r="H3070">
        <v>0</v>
      </c>
      <c r="I3070">
        <v>0</v>
      </c>
      <c r="J3070">
        <v>-391.22919999999999</v>
      </c>
      <c r="K3070">
        <v>1.110587</v>
      </c>
      <c r="L3070">
        <v>285.38</v>
      </c>
      <c r="M3070">
        <v>-0.99988690000000002</v>
      </c>
      <c r="N3070">
        <v>-1.3792779999999999E-2</v>
      </c>
      <c r="O3070">
        <v>-5.9763510000000004E-3</v>
      </c>
      <c r="P3070">
        <v>-0.97690909999999997</v>
      </c>
      <c r="Q3070">
        <v>0.17811859999999999</v>
      </c>
      <c r="R3070">
        <v>-0.1179933</v>
      </c>
      <c r="S3070">
        <v>-3.0706180000000001</v>
      </c>
      <c r="T3070">
        <v>7.1699619999999898E-3</v>
      </c>
      <c r="U3070">
        <v>1.083374E-2</v>
      </c>
      <c r="V3070">
        <v>-0.11214739999999999</v>
      </c>
      <c r="W3070">
        <v>0.19158800000000001</v>
      </c>
      <c r="X3070">
        <v>0.9750472</v>
      </c>
      <c r="Y3070">
        <v>9.5043439999999996E-3</v>
      </c>
      <c r="Z3070" s="1">
        <v>-4.1936220000000001E-5</v>
      </c>
      <c r="AA3070">
        <v>0.99995480000000003</v>
      </c>
      <c r="AB3070">
        <v>37</v>
      </c>
      <c r="AC3070">
        <v>-3.0706180000000001</v>
      </c>
      <c r="AD3070">
        <v>7.1699619999999898E-3</v>
      </c>
      <c r="AE3070">
        <v>1.083374E-2</v>
      </c>
      <c r="AF3070">
        <v>2.91862262321292E-2</v>
      </c>
      <c r="AG3070">
        <v>7.1699619999999898E-3</v>
      </c>
      <c r="AH3070">
        <v>3.0704816593126498</v>
      </c>
      <c r="AI3070">
        <v>89.866213414305406</v>
      </c>
      <c r="AJ3070">
        <v>89.455395795495505</v>
      </c>
      <c r="AK3070">
        <v>3.0706287408822499</v>
      </c>
      <c r="AL3070">
        <v>78.954527657785206</v>
      </c>
      <c r="AM3070">
        <v>96.561180690997801</v>
      </c>
      <c r="AN3070">
        <v>1.0000000216492899</v>
      </c>
    </row>
    <row r="3071" spans="1:40" x14ac:dyDescent="0.25">
      <c r="A3071" t="str">
        <f>"20190304154817654"</f>
        <v>20190304154817654</v>
      </c>
      <c r="B3071" t="str">
        <f>"1551685697649479"</f>
        <v>1551685697649479</v>
      </c>
      <c r="C3071" t="s">
        <v>40</v>
      </c>
      <c r="D3071">
        <v>4.2686190000000002</v>
      </c>
      <c r="E3071">
        <v>0.54456369999999998</v>
      </c>
      <c r="F3071" t="s">
        <v>42</v>
      </c>
      <c r="G3071">
        <v>0</v>
      </c>
      <c r="H3071">
        <v>0</v>
      </c>
      <c r="I3071">
        <v>0</v>
      </c>
      <c r="J3071">
        <v>-391.42349999999999</v>
      </c>
      <c r="K3071">
        <v>1.1105860000000001</v>
      </c>
      <c r="L3071">
        <v>285.37880000000001</v>
      </c>
      <c r="M3071">
        <v>-0.99988719999999998</v>
      </c>
      <c r="N3071">
        <v>-1.379178E-2</v>
      </c>
      <c r="O3071">
        <v>-5.9760869999999997E-3</v>
      </c>
      <c r="P3071">
        <v>-0.97694859999999994</v>
      </c>
      <c r="Q3071">
        <v>0.17815129999999901</v>
      </c>
      <c r="R3071">
        <v>-0.11761820000000001</v>
      </c>
      <c r="S3071">
        <v>-3.0707089999999999</v>
      </c>
      <c r="T3071">
        <v>6.2990190000000003E-3</v>
      </c>
      <c r="U3071">
        <v>7.8125E-3</v>
      </c>
      <c r="V3071">
        <v>-0.11177239999999999</v>
      </c>
      <c r="W3071">
        <v>0.19162029999999999</v>
      </c>
      <c r="X3071">
        <v>0.9750839</v>
      </c>
      <c r="Y3071">
        <v>8.5201369999999901E-3</v>
      </c>
      <c r="Z3071" s="1">
        <v>-4.4665339999999997E-5</v>
      </c>
      <c r="AA3071">
        <v>0.99996370000000001</v>
      </c>
      <c r="AB3071">
        <v>37</v>
      </c>
      <c r="AC3071">
        <v>-3.0707089999999999</v>
      </c>
      <c r="AD3071">
        <v>6.2990190000000003E-3</v>
      </c>
      <c r="AE3071">
        <v>7.8125E-3</v>
      </c>
      <c r="AF3071">
        <v>2.61648169198321E-2</v>
      </c>
      <c r="AG3071">
        <v>6.2990190000000003E-3</v>
      </c>
      <c r="AH3071">
        <v>3.0705945426599301</v>
      </c>
      <c r="AI3071">
        <v>89.882467844350202</v>
      </c>
      <c r="AJ3071">
        <v>89.511789238708403</v>
      </c>
      <c r="AK3071">
        <v>3.0707124776992298</v>
      </c>
      <c r="AL3071">
        <v>78.952641942725506</v>
      </c>
      <c r="AM3071">
        <v>96.539187678352704</v>
      </c>
      <c r="AN3071">
        <v>1.0000000104065201</v>
      </c>
    </row>
    <row r="3072" spans="1:40" x14ac:dyDescent="0.25">
      <c r="A3072" t="str">
        <f>"20190304154817668"</f>
        <v>20190304154817668</v>
      </c>
      <c r="B3072" t="str">
        <f>"1551685697660215"</f>
        <v>1551685697660215</v>
      </c>
      <c r="C3072" t="s">
        <v>40</v>
      </c>
      <c r="D3072">
        <v>4.2515070000000001</v>
      </c>
      <c r="E3072">
        <v>0.54489480000000001</v>
      </c>
      <c r="F3072" t="s">
        <v>42</v>
      </c>
      <c r="G3072">
        <v>0</v>
      </c>
      <c r="H3072">
        <v>0</v>
      </c>
      <c r="I3072">
        <v>0</v>
      </c>
      <c r="J3072">
        <v>-391.64699999999999</v>
      </c>
      <c r="K3072">
        <v>1.110587</v>
      </c>
      <c r="L3072">
        <v>285.3775</v>
      </c>
      <c r="M3072">
        <v>-0.99988710000000003</v>
      </c>
      <c r="N3072">
        <v>-1.3790470000000001E-2</v>
      </c>
      <c r="O3072">
        <v>-5.9759430000000001E-3</v>
      </c>
      <c r="P3072">
        <v>-0.97694289999999995</v>
      </c>
      <c r="Q3072">
        <v>0.1781594</v>
      </c>
      <c r="R3072">
        <v>-0.1176523</v>
      </c>
      <c r="S3072">
        <v>-3.0699770000000002</v>
      </c>
      <c r="T3072">
        <v>1.232624E-2</v>
      </c>
      <c r="U3072">
        <v>1.2207030000000001E-2</v>
      </c>
      <c r="V3072">
        <v>-0.11180610000000001</v>
      </c>
      <c r="W3072">
        <v>0.19162779999999999</v>
      </c>
      <c r="X3072">
        <v>0.97507849999999996</v>
      </c>
      <c r="Y3072">
        <v>9.9518750000000007E-3</v>
      </c>
      <c r="Z3072" s="1">
        <v>-5.7762410000000002E-5</v>
      </c>
      <c r="AA3072">
        <v>0.99995049999999996</v>
      </c>
      <c r="AB3072">
        <v>37</v>
      </c>
      <c r="AC3072">
        <v>-3.0699770000000002</v>
      </c>
      <c r="AD3072">
        <v>1.232624E-2</v>
      </c>
      <c r="AE3072">
        <v>1.2207030000000001E-2</v>
      </c>
      <c r="AF3072">
        <v>3.05540708091483E-2</v>
      </c>
      <c r="AG3072">
        <v>1.232624E-2</v>
      </c>
      <c r="AH3072">
        <v>3.0697997289448899</v>
      </c>
      <c r="AI3072">
        <v>89.769951522069604</v>
      </c>
      <c r="AJ3072">
        <v>89.429747327436502</v>
      </c>
      <c r="AK3072">
        <v>3.0699765248720801</v>
      </c>
      <c r="AL3072">
        <v>78.952203428705204</v>
      </c>
      <c r="AM3072">
        <v>96.541178106659501</v>
      </c>
      <c r="AN3072">
        <v>0.99999994944614801</v>
      </c>
    </row>
    <row r="3073" spans="1:40" x14ac:dyDescent="0.25">
      <c r="A3073" t="str">
        <f>"20190304154817682"</f>
        <v>20190304154817682</v>
      </c>
      <c r="B3073" t="str">
        <f>"1551685697669975"</f>
        <v>1551685697669975</v>
      </c>
      <c r="C3073" t="s">
        <v>40</v>
      </c>
      <c r="D3073">
        <v>4.2852129999999997</v>
      </c>
      <c r="E3073">
        <v>0.54482059999999999</v>
      </c>
      <c r="F3073" t="s">
        <v>42</v>
      </c>
      <c r="G3073">
        <v>0</v>
      </c>
      <c r="H3073">
        <v>0</v>
      </c>
      <c r="I3073">
        <v>0</v>
      </c>
      <c r="J3073">
        <v>-391.87169999999998</v>
      </c>
      <c r="K3073">
        <v>1.110584</v>
      </c>
      <c r="L3073">
        <v>285.37610000000001</v>
      </c>
      <c r="M3073">
        <v>-0.99988710000000003</v>
      </c>
      <c r="N3073">
        <v>-1.378913E-2</v>
      </c>
      <c r="O3073">
        <v>-5.97592E-3</v>
      </c>
      <c r="P3073">
        <v>-0.97686669999999998</v>
      </c>
      <c r="Q3073">
        <v>0.178535</v>
      </c>
      <c r="R3073">
        <v>-0.117716</v>
      </c>
      <c r="S3073">
        <v>-3.0698240000000001</v>
      </c>
      <c r="T3073">
        <v>1.470876E-2</v>
      </c>
      <c r="U3073">
        <v>1.4251710000000001E-2</v>
      </c>
      <c r="V3073">
        <v>-0.111869899999999</v>
      </c>
      <c r="W3073">
        <v>0.19200120000000001</v>
      </c>
      <c r="X3073">
        <v>0.97499780000000003</v>
      </c>
      <c r="Y3073">
        <v>1.0618010000000001E-2</v>
      </c>
      <c r="Z3073" s="1">
        <v>-6.3264819999999999E-5</v>
      </c>
      <c r="AA3073">
        <v>0.99994360000000004</v>
      </c>
      <c r="AB3073">
        <v>37</v>
      </c>
      <c r="AC3073">
        <v>-3.0698240000000001</v>
      </c>
      <c r="AD3073">
        <v>1.470876E-2</v>
      </c>
      <c r="AE3073">
        <v>1.4251710000000001E-2</v>
      </c>
      <c r="AF3073">
        <v>3.2597473489726601E-2</v>
      </c>
      <c r="AG3073">
        <v>1.470876E-2</v>
      </c>
      <c r="AH3073">
        <v>3.0696135304943799</v>
      </c>
      <c r="AI3073">
        <v>89.725471660371895</v>
      </c>
      <c r="AJ3073">
        <v>89.391575704212499</v>
      </c>
      <c r="AK3073">
        <v>3.0698218465397602</v>
      </c>
      <c r="AL3073">
        <v>78.930405222315898</v>
      </c>
      <c r="AM3073">
        <v>96.545415343294295</v>
      </c>
      <c r="AN3073">
        <v>1.0000000226661401</v>
      </c>
    </row>
    <row r="3074" spans="1:40" x14ac:dyDescent="0.25">
      <c r="A3074" t="str">
        <f>"20190304154817697"</f>
        <v>20190304154817697</v>
      </c>
      <c r="B3074" t="str">
        <f>"1551685697689495"</f>
        <v>1551685697689495</v>
      </c>
      <c r="C3074" t="s">
        <v>40</v>
      </c>
      <c r="D3074">
        <v>4.2383860000000002</v>
      </c>
      <c r="E3074">
        <v>0.54437150000000001</v>
      </c>
      <c r="F3074" t="s">
        <v>42</v>
      </c>
      <c r="G3074">
        <v>0</v>
      </c>
      <c r="H3074">
        <v>0</v>
      </c>
      <c r="I3074">
        <v>0</v>
      </c>
      <c r="J3074">
        <v>-392.11219999999997</v>
      </c>
      <c r="K3074">
        <v>1.110584</v>
      </c>
      <c r="L3074">
        <v>285.37470000000002</v>
      </c>
      <c r="M3074">
        <v>-0.99988719999999998</v>
      </c>
      <c r="N3074">
        <v>-1.378768E-2</v>
      </c>
      <c r="O3074">
        <v>-5.9760179999999996E-3</v>
      </c>
      <c r="P3074">
        <v>-0.97691209999999995</v>
      </c>
      <c r="Q3074">
        <v>0.17827709999999999</v>
      </c>
      <c r="R3074">
        <v>-0.1177295</v>
      </c>
      <c r="S3074">
        <v>-3.069855</v>
      </c>
      <c r="T3074">
        <v>1.527858E-2</v>
      </c>
      <c r="U3074">
        <v>1.351929E-2</v>
      </c>
      <c r="V3074">
        <v>-0.1118831</v>
      </c>
      <c r="W3074">
        <v>0.19174289999999999</v>
      </c>
      <c r="X3074">
        <v>0.97504710000000006</v>
      </c>
      <c r="Y3074">
        <v>1.037947E-2</v>
      </c>
      <c r="Z3074" s="1">
        <v>-6.6410739999999994E-5</v>
      </c>
      <c r="AA3074">
        <v>0.99994609999999995</v>
      </c>
      <c r="AB3074">
        <v>37</v>
      </c>
      <c r="AC3074">
        <v>-3.069855</v>
      </c>
      <c r="AD3074">
        <v>1.527858E-2</v>
      </c>
      <c r="AE3074">
        <v>1.351929E-2</v>
      </c>
      <c r="AF3074">
        <v>3.1865509902571601E-2</v>
      </c>
      <c r="AG3074">
        <v>1.527858E-2</v>
      </c>
      <c r="AH3074">
        <v>3.0696433390278299</v>
      </c>
      <c r="AI3074">
        <v>89.7148386105264</v>
      </c>
      <c r="AJ3074">
        <v>89.405242417596497</v>
      </c>
      <c r="AK3074">
        <v>3.0698467509903602</v>
      </c>
      <c r="AL3074">
        <v>78.945484733247199</v>
      </c>
      <c r="AM3074">
        <v>96.545852848111295</v>
      </c>
      <c r="AN3074">
        <v>1.00000000749221</v>
      </c>
    </row>
    <row r="3075" spans="1:40" x14ac:dyDescent="0.25">
      <c r="A3075" t="str">
        <f>"20190304154817715"</f>
        <v>20190304154817715</v>
      </c>
      <c r="B3075" t="str">
        <f>"1551685697709991"</f>
        <v>1551685697709991</v>
      </c>
      <c r="C3075" t="s">
        <v>40</v>
      </c>
      <c r="D3075">
        <v>4.2339409999999997</v>
      </c>
      <c r="E3075">
        <v>0.54402910000000004</v>
      </c>
      <c r="F3075" t="s">
        <v>42</v>
      </c>
      <c r="G3075">
        <v>0</v>
      </c>
      <c r="H3075">
        <v>0</v>
      </c>
      <c r="I3075">
        <v>0</v>
      </c>
      <c r="J3075">
        <v>-392.42559999999997</v>
      </c>
      <c r="K3075">
        <v>1.110581</v>
      </c>
      <c r="L3075">
        <v>285.37279999999998</v>
      </c>
      <c r="M3075">
        <v>-0.99988719999999998</v>
      </c>
      <c r="N3075">
        <v>-1.3785789999999999E-2</v>
      </c>
      <c r="O3075">
        <v>-5.9759929999999998E-3</v>
      </c>
      <c r="P3075">
        <v>-0.97686550000000005</v>
      </c>
      <c r="Q3075">
        <v>0.1782224</v>
      </c>
      <c r="R3075">
        <v>-0.11819830000000001</v>
      </c>
      <c r="S3075">
        <v>-3.0699160000000001</v>
      </c>
      <c r="T3075">
        <v>1.173651E-2</v>
      </c>
      <c r="U3075">
        <v>9.9487299999999994E-3</v>
      </c>
      <c r="V3075">
        <v>-0.1123516</v>
      </c>
      <c r="W3075">
        <v>0.19168579999999999</v>
      </c>
      <c r="X3075">
        <v>0.97500439999999999</v>
      </c>
      <c r="Y3075">
        <v>9.2164220000000002E-3</v>
      </c>
      <c r="Z3075" s="1">
        <v>-5.9319739999999997E-5</v>
      </c>
      <c r="AA3075">
        <v>0.99995750000000005</v>
      </c>
      <c r="AB3075">
        <v>36</v>
      </c>
      <c r="AC3075">
        <v>-3.0699160000000001</v>
      </c>
      <c r="AD3075">
        <v>1.173651E-2</v>
      </c>
      <c r="AE3075">
        <v>9.9487299999999994E-3</v>
      </c>
      <c r="AF3075">
        <v>2.8295677232562402E-2</v>
      </c>
      <c r="AG3075">
        <v>1.173651E-2</v>
      </c>
      <c r="AH3075">
        <v>3.06975684601244</v>
      </c>
      <c r="AI3075">
        <v>89.780953123729006</v>
      </c>
      <c r="AJ3075">
        <v>89.471887497073098</v>
      </c>
      <c r="AK3075">
        <v>3.0699096867265099</v>
      </c>
      <c r="AL3075">
        <v>78.948817555844997</v>
      </c>
      <c r="AM3075">
        <v>96.573308968755896</v>
      </c>
      <c r="AN3075">
        <v>0.99999995398177799</v>
      </c>
    </row>
    <row r="3076" spans="1:40" x14ac:dyDescent="0.25">
      <c r="A3076" t="str">
        <f>"20190304154817729"</f>
        <v>20190304154817729</v>
      </c>
      <c r="B3076" t="str">
        <f>"1551685697719753"</f>
        <v>1551685697719753</v>
      </c>
      <c r="C3076" t="s">
        <v>40</v>
      </c>
      <c r="D3076">
        <v>4.2409129999999999</v>
      </c>
      <c r="E3076">
        <v>0.54378780000000004</v>
      </c>
      <c r="F3076" t="s">
        <v>42</v>
      </c>
      <c r="G3076">
        <v>0</v>
      </c>
      <c r="H3076">
        <v>0</v>
      </c>
      <c r="I3076">
        <v>0</v>
      </c>
      <c r="J3076">
        <v>-392.66019999999997</v>
      </c>
      <c r="K3076">
        <v>1.1105799999999999</v>
      </c>
      <c r="L3076">
        <v>285.37139999999999</v>
      </c>
      <c r="M3076">
        <v>-0.99988719999999998</v>
      </c>
      <c r="N3076">
        <v>-1.3784360000000001E-2</v>
      </c>
      <c r="O3076">
        <v>-5.9763350000000002E-3</v>
      </c>
      <c r="P3076">
        <v>-0.97683889999999995</v>
      </c>
      <c r="Q3076">
        <v>0.17814530000000001</v>
      </c>
      <c r="R3076">
        <v>-0.1185335</v>
      </c>
      <c r="S3076">
        <v>-3.0700989999999999</v>
      </c>
      <c r="T3076">
        <v>8.7923999999999902E-3</v>
      </c>
      <c r="U3076">
        <v>5.7067869999999996E-3</v>
      </c>
      <c r="V3076">
        <v>-0.1126863</v>
      </c>
      <c r="W3076">
        <v>0.19160669999999999</v>
      </c>
      <c r="X3076">
        <v>0.9749814</v>
      </c>
      <c r="Y3076">
        <v>7.8349769999999999E-3</v>
      </c>
      <c r="Z3076" s="1">
        <v>-5.6715380000000001E-5</v>
      </c>
      <c r="AA3076">
        <v>0.99996929999999995</v>
      </c>
      <c r="AB3076">
        <v>36</v>
      </c>
      <c r="AC3076">
        <v>-3.0700989999999999</v>
      </c>
      <c r="AD3076">
        <v>8.7923999999999902E-3</v>
      </c>
      <c r="AE3076">
        <v>5.7067869999999996E-3</v>
      </c>
      <c r="AF3076">
        <v>2.4056169985969801E-2</v>
      </c>
      <c r="AG3076">
        <v>8.7923999999999902E-3</v>
      </c>
      <c r="AH3076">
        <v>3.0699848741013498</v>
      </c>
      <c r="AI3076">
        <v>89.835911058251995</v>
      </c>
      <c r="AJ3076">
        <v>89.551043780778997</v>
      </c>
      <c r="AK3076">
        <v>3.0700917140735702</v>
      </c>
      <c r="AL3076">
        <v>78.953436095924104</v>
      </c>
      <c r="AM3076">
        <v>96.592873144715</v>
      </c>
      <c r="AN3076">
        <v>1.00000003001926</v>
      </c>
    </row>
    <row r="3077" spans="1:40" x14ac:dyDescent="0.25">
      <c r="A3077" t="str">
        <f>"20190304154817743"</f>
        <v>20190304154817743</v>
      </c>
      <c r="B3077" t="str">
        <f>"1551685697740248"</f>
        <v>1551685697740248</v>
      </c>
      <c r="C3077" t="s">
        <v>40</v>
      </c>
      <c r="D3077">
        <v>4.20451</v>
      </c>
      <c r="E3077">
        <v>0.54357119999999903</v>
      </c>
      <c r="F3077" t="s">
        <v>42</v>
      </c>
      <c r="G3077">
        <v>0</v>
      </c>
      <c r="H3077">
        <v>0</v>
      </c>
      <c r="I3077">
        <v>0</v>
      </c>
      <c r="J3077">
        <v>-392.8648</v>
      </c>
      <c r="K3077">
        <v>1.1105780000000001</v>
      </c>
      <c r="L3077">
        <v>285.37020000000001</v>
      </c>
      <c r="M3077">
        <v>-0.99988730000000003</v>
      </c>
      <c r="N3077">
        <v>-1.378308E-2</v>
      </c>
      <c r="O3077">
        <v>-5.9764409999999999E-3</v>
      </c>
      <c r="P3077">
        <v>-0.97684870000000001</v>
      </c>
      <c r="Q3077">
        <v>0.17789160000000001</v>
      </c>
      <c r="R3077">
        <v>-0.118834</v>
      </c>
      <c r="S3077">
        <v>-3.0700989999999999</v>
      </c>
      <c r="T3077">
        <v>7.3491329999999999E-3</v>
      </c>
      <c r="U3077">
        <v>2.6245119999999999E-3</v>
      </c>
      <c r="V3077">
        <v>-0.11298619999999999</v>
      </c>
      <c r="W3077">
        <v>0.1913521</v>
      </c>
      <c r="X3077">
        <v>0.97499669999999905</v>
      </c>
      <c r="Y3077">
        <v>6.8311650000000002E-3</v>
      </c>
      <c r="Z3077" s="1">
        <v>-5.7780330000000002E-5</v>
      </c>
      <c r="AA3077">
        <v>0.99997670000000005</v>
      </c>
      <c r="AB3077">
        <v>36</v>
      </c>
      <c r="AC3077">
        <v>-3.0700989999999999</v>
      </c>
      <c r="AD3077">
        <v>7.3491329999999999E-3</v>
      </c>
      <c r="AE3077">
        <v>2.6245119999999999E-3</v>
      </c>
      <c r="AF3077">
        <v>2.0974350771193601E-2</v>
      </c>
      <c r="AG3077">
        <v>7.3491329999999999E-3</v>
      </c>
      <c r="AH3077">
        <v>3.0700108820476002</v>
      </c>
      <c r="AI3077">
        <v>89.862846195298303</v>
      </c>
      <c r="AJ3077">
        <v>89.608560644812997</v>
      </c>
      <c r="AK3077">
        <v>3.0700913258463198</v>
      </c>
      <c r="AL3077">
        <v>78.968298677515193</v>
      </c>
      <c r="AM3077">
        <v>96.610161330282494</v>
      </c>
      <c r="AN3077">
        <v>1.0000000362878601</v>
      </c>
    </row>
    <row r="3078" spans="1:40" x14ac:dyDescent="0.25">
      <c r="A3078" t="str">
        <f>"20190304154817756"</f>
        <v>20190304154817756</v>
      </c>
      <c r="B3078" t="str">
        <f>"1551685697750007"</f>
        <v>1551685697750007</v>
      </c>
      <c r="C3078" t="s">
        <v>40</v>
      </c>
      <c r="D3078">
        <v>4.2404580000000003</v>
      </c>
      <c r="E3078">
        <v>0.54342159999999995</v>
      </c>
      <c r="F3078" t="s">
        <v>42</v>
      </c>
      <c r="G3078">
        <v>0</v>
      </c>
      <c r="H3078">
        <v>0</v>
      </c>
      <c r="I3078">
        <v>0</v>
      </c>
      <c r="J3078">
        <v>-393.09030000000001</v>
      </c>
      <c r="K3078">
        <v>1.1105830000000001</v>
      </c>
      <c r="L3078">
        <v>285.36880000000002</v>
      </c>
      <c r="M3078">
        <v>-0.99988719999999998</v>
      </c>
      <c r="N3078">
        <v>-1.378164E-2</v>
      </c>
      <c r="O3078">
        <v>-5.9764270000000003E-3</v>
      </c>
      <c r="P3078">
        <v>-0.97690949999999999</v>
      </c>
      <c r="Q3078">
        <v>0.17762890000000001</v>
      </c>
      <c r="R3078">
        <v>-0.11872679999999999</v>
      </c>
      <c r="S3078">
        <v>-3.0703130000000001</v>
      </c>
      <c r="T3078">
        <v>4.5884849999999998E-3</v>
      </c>
      <c r="U3078">
        <v>3.6621089999999999E-4</v>
      </c>
      <c r="V3078">
        <v>-0.1128792</v>
      </c>
      <c r="W3078">
        <v>0.19108910000000001</v>
      </c>
      <c r="X3078">
        <v>0.97506060000000006</v>
      </c>
      <c r="Y3078">
        <v>6.0956269999999898E-3</v>
      </c>
      <c r="Z3078" s="1">
        <v>-5.3849510000000001E-5</v>
      </c>
      <c r="AA3078">
        <v>0.99998140000000002</v>
      </c>
      <c r="AB3078">
        <v>36</v>
      </c>
      <c r="AC3078">
        <v>-3.0703130000000001</v>
      </c>
      <c r="AD3078">
        <v>4.5884849999999998E-3</v>
      </c>
      <c r="AE3078">
        <v>3.6621089999999999E-4</v>
      </c>
      <c r="AF3078">
        <v>1.8717406320466302E-2</v>
      </c>
      <c r="AG3078">
        <v>4.5884849999999998E-3</v>
      </c>
      <c r="AH3078">
        <v>3.0702491108266599</v>
      </c>
      <c r="AI3078">
        <v>89.914373155298506</v>
      </c>
      <c r="AJ3078">
        <v>89.650707463377003</v>
      </c>
      <c r="AK3078">
        <v>3.0703095931885902</v>
      </c>
      <c r="AL3078">
        <v>78.983649971412603</v>
      </c>
      <c r="AM3078">
        <v>96.603527743886403</v>
      </c>
      <c r="AN3078">
        <v>0.99999996580190398</v>
      </c>
    </row>
    <row r="3079" spans="1:40" x14ac:dyDescent="0.25">
      <c r="A3079" t="str">
        <f>"20190304154817768"</f>
        <v>20190304154817768</v>
      </c>
      <c r="B3079" t="str">
        <f>"1551685697759767"</f>
        <v>1551685697759767</v>
      </c>
      <c r="C3079" t="s">
        <v>40</v>
      </c>
      <c r="D3079">
        <v>4.2205560000000002</v>
      </c>
      <c r="E3079">
        <v>0.54325049999999997</v>
      </c>
      <c r="F3079" t="s">
        <v>42</v>
      </c>
      <c r="G3079">
        <v>0</v>
      </c>
      <c r="H3079">
        <v>0</v>
      </c>
      <c r="I3079">
        <v>0</v>
      </c>
      <c r="J3079">
        <v>-393.29090000000002</v>
      </c>
      <c r="K3079">
        <v>1.1105830000000001</v>
      </c>
      <c r="L3079">
        <v>285.36759999999998</v>
      </c>
      <c r="M3079">
        <v>-0.99988730000000003</v>
      </c>
      <c r="N3079">
        <v>-1.378033E-2</v>
      </c>
      <c r="O3079">
        <v>-5.9766530000000002E-3</v>
      </c>
      <c r="P3079">
        <v>-0.97689490000000001</v>
      </c>
      <c r="Q3079">
        <v>0.1776799</v>
      </c>
      <c r="R3079">
        <v>-0.118772</v>
      </c>
      <c r="S3079">
        <v>-3.0703740000000002</v>
      </c>
      <c r="T3079">
        <v>2.9376749999999998E-3</v>
      </c>
      <c r="U3079">
        <v>-5.7983399999999999E-4</v>
      </c>
      <c r="V3079">
        <v>-0.1129236</v>
      </c>
      <c r="W3079">
        <v>0.19113820000000001</v>
      </c>
      <c r="X3079">
        <v>0.97504590000000002</v>
      </c>
      <c r="Y3079">
        <v>5.7877619999999897E-3</v>
      </c>
      <c r="Z3079" s="1">
        <v>-5.0970990000000003E-5</v>
      </c>
      <c r="AA3079">
        <v>0.99998330000000002</v>
      </c>
      <c r="AB3079">
        <v>36</v>
      </c>
      <c r="AC3079">
        <v>-3.0703740000000002</v>
      </c>
      <c r="AD3079">
        <v>2.9376749999999998E-3</v>
      </c>
      <c r="AE3079">
        <v>-5.7983399999999999E-4</v>
      </c>
      <c r="AF3079">
        <v>1.7772460561452999E-2</v>
      </c>
      <c r="AG3079">
        <v>2.9376749999999998E-3</v>
      </c>
      <c r="AH3079">
        <v>3.0703198067764701</v>
      </c>
      <c r="AI3079">
        <v>89.945180463747803</v>
      </c>
      <c r="AJ3079">
        <v>89.668348682548199</v>
      </c>
      <c r="AK3079">
        <v>3.0703726493982302</v>
      </c>
      <c r="AL3079">
        <v>78.980784626608198</v>
      </c>
      <c r="AM3079">
        <v>96.606200941653398</v>
      </c>
      <c r="AN3079">
        <v>1.0000000290215001</v>
      </c>
    </row>
    <row r="3080" spans="1:40" x14ac:dyDescent="0.25">
      <c r="A3080" t="str">
        <f>"20190304154817782"</f>
        <v>20190304154817782</v>
      </c>
      <c r="B3080" t="str">
        <f>"1551685697769527"</f>
        <v>1551685697769527</v>
      </c>
      <c r="C3080" t="s">
        <v>40</v>
      </c>
      <c r="D3080">
        <v>4.3748630000000004</v>
      </c>
      <c r="E3080">
        <v>0.54336629999999997</v>
      </c>
      <c r="F3080" t="s">
        <v>42</v>
      </c>
      <c r="G3080">
        <v>0</v>
      </c>
      <c r="H3080">
        <v>0</v>
      </c>
      <c r="I3080">
        <v>0</v>
      </c>
      <c r="J3080">
        <v>-393.5016</v>
      </c>
      <c r="K3080">
        <v>1.1105849999999999</v>
      </c>
      <c r="L3080">
        <v>285.3664</v>
      </c>
      <c r="M3080">
        <v>-0.99988719999999998</v>
      </c>
      <c r="N3080">
        <v>-1.377893E-2</v>
      </c>
      <c r="O3080">
        <v>-5.9766410000000004E-3</v>
      </c>
      <c r="P3080">
        <v>-0.97684689999999996</v>
      </c>
      <c r="Q3080">
        <v>0.1780332</v>
      </c>
      <c r="R3080">
        <v>-0.118635199999999</v>
      </c>
      <c r="S3080">
        <v>-3.0703130000000001</v>
      </c>
      <c r="T3080">
        <v>2.1709199999999998E-3</v>
      </c>
      <c r="U3080">
        <v>-2.1362299999999998E-3</v>
      </c>
      <c r="V3080">
        <v>-0.1127874</v>
      </c>
      <c r="W3080">
        <v>0.19148970000000001</v>
      </c>
      <c r="X3080">
        <v>0.97499270000000005</v>
      </c>
      <c r="Y3080">
        <v>5.2808480000000003E-3</v>
      </c>
      <c r="Z3080" s="1">
        <v>-5.2064790000000003E-5</v>
      </c>
      <c r="AA3080">
        <v>0.99998609999999999</v>
      </c>
      <c r="AB3080">
        <v>36</v>
      </c>
      <c r="AC3080">
        <v>-3.0703130000000001</v>
      </c>
      <c r="AD3080">
        <v>2.1709199999999998E-3</v>
      </c>
      <c r="AE3080">
        <v>-2.1362299999999998E-3</v>
      </c>
      <c r="AF3080">
        <v>1.6215700905822101E-2</v>
      </c>
      <c r="AG3080">
        <v>2.1709199999999998E-3</v>
      </c>
      <c r="AH3080">
        <v>3.0702693866681301</v>
      </c>
      <c r="AI3080">
        <v>89.959487985423493</v>
      </c>
      <c r="AJ3080">
        <v>89.697393789259706</v>
      </c>
      <c r="AK3080">
        <v>3.07031297566893</v>
      </c>
      <c r="AL3080">
        <v>78.960266216747101</v>
      </c>
      <c r="AM3080">
        <v>96.598660198095402</v>
      </c>
      <c r="AN3080">
        <v>1.00000003392906</v>
      </c>
    </row>
    <row r="3081" spans="1:40" x14ac:dyDescent="0.25">
      <c r="A3081" t="str">
        <f>"20190304154817804"</f>
        <v>20190304154817804</v>
      </c>
      <c r="B3081" t="str">
        <f>"1551685697799783"</f>
        <v>1551685697799783</v>
      </c>
      <c r="C3081" t="s">
        <v>40</v>
      </c>
      <c r="D3081">
        <v>4.1907319999999997</v>
      </c>
      <c r="E3081">
        <v>0.54314629999999997</v>
      </c>
      <c r="F3081" t="s">
        <v>42</v>
      </c>
      <c r="G3081">
        <v>0</v>
      </c>
      <c r="H3081">
        <v>0</v>
      </c>
      <c r="I3081">
        <v>0</v>
      </c>
      <c r="J3081">
        <v>-393.86869999999999</v>
      </c>
      <c r="K3081">
        <v>1.1105860000000001</v>
      </c>
      <c r="L3081">
        <v>285.36419999999998</v>
      </c>
      <c r="M3081">
        <v>-0.99988730000000003</v>
      </c>
      <c r="N3081">
        <v>-1.3776439999999999E-2</v>
      </c>
      <c r="O3081">
        <v>-5.9766219999999896E-3</v>
      </c>
      <c r="P3081">
        <v>-0.97676030000000003</v>
      </c>
      <c r="Q3081">
        <v>0.17831929999999999</v>
      </c>
      <c r="R3081">
        <v>-0.11891839999999999</v>
      </c>
      <c r="S3081">
        <v>-3.0703429999999998</v>
      </c>
      <c r="T3081">
        <v>3.792644E-3</v>
      </c>
      <c r="U3081">
        <v>-8.8500979999999905E-4</v>
      </c>
      <c r="V3081">
        <v>-0.113070699999999</v>
      </c>
      <c r="W3081">
        <v>0.19177240000000001</v>
      </c>
      <c r="X3081">
        <v>0.97490429999999995</v>
      </c>
      <c r="Y3081">
        <v>5.6883209999999997E-3</v>
      </c>
      <c r="Z3081" s="1">
        <v>-5.4052219999999999E-5</v>
      </c>
      <c r="AA3081">
        <v>0.99998379999999998</v>
      </c>
      <c r="AB3081">
        <v>36</v>
      </c>
      <c r="AC3081">
        <v>-3.0703429999999998</v>
      </c>
      <c r="AD3081">
        <v>3.792644E-3</v>
      </c>
      <c r="AE3081">
        <v>-8.8500979999999905E-4</v>
      </c>
      <c r="AF3081">
        <v>1.74669993503009E-2</v>
      </c>
      <c r="AG3081">
        <v>3.792644E-3</v>
      </c>
      <c r="AH3081">
        <v>3.0702887578522402</v>
      </c>
      <c r="AI3081">
        <v>89.929225266879101</v>
      </c>
      <c r="AJ3081">
        <v>89.674045464189305</v>
      </c>
      <c r="AK3081">
        <v>3.07034078512608</v>
      </c>
      <c r="AL3081">
        <v>78.943762636281605</v>
      </c>
      <c r="AM3081">
        <v>96.615682540829795</v>
      </c>
      <c r="AN3081">
        <v>1.00000001537936</v>
      </c>
    </row>
    <row r="3082" spans="1:40" x14ac:dyDescent="0.25">
      <c r="A3082" t="str">
        <f>"20190304154817817"</f>
        <v>20190304154817817</v>
      </c>
      <c r="B3082" t="str">
        <f>"1551685697809543"</f>
        <v>1551685697809543</v>
      </c>
      <c r="C3082" t="s">
        <v>40</v>
      </c>
      <c r="D3082">
        <v>4.1936549999999997</v>
      </c>
      <c r="E3082">
        <v>0.54295099999999996</v>
      </c>
      <c r="F3082" t="s">
        <v>42</v>
      </c>
      <c r="G3082">
        <v>0</v>
      </c>
      <c r="H3082">
        <v>0</v>
      </c>
      <c r="I3082">
        <v>0</v>
      </c>
      <c r="J3082">
        <v>-394.06709999999998</v>
      </c>
      <c r="K3082">
        <v>1.1105879999999999</v>
      </c>
      <c r="L3082">
        <v>285.363</v>
      </c>
      <c r="M3082">
        <v>-0.99988730000000003</v>
      </c>
      <c r="N3082">
        <v>-1.377508E-2</v>
      </c>
      <c r="O3082">
        <v>-5.9767300000000004E-3</v>
      </c>
      <c r="P3082">
        <v>-0.97679050000000001</v>
      </c>
      <c r="Q3082">
        <v>0.17822550000000001</v>
      </c>
      <c r="R3082">
        <v>-0.11881029999999999</v>
      </c>
      <c r="S3082">
        <v>-3.0701900000000002</v>
      </c>
      <c r="T3082">
        <v>4.1487219999999997E-3</v>
      </c>
      <c r="U3082">
        <v>-3.6010740000000001E-3</v>
      </c>
      <c r="V3082">
        <v>-0.1129622</v>
      </c>
      <c r="W3082">
        <v>0.19167790000000001</v>
      </c>
      <c r="X3082">
        <v>0.97493549999999995</v>
      </c>
      <c r="Y3082">
        <v>4.8037549999999998E-3</v>
      </c>
      <c r="Z3082" s="1">
        <v>-6.0568220000000002E-5</v>
      </c>
      <c r="AA3082">
        <v>0.9999884</v>
      </c>
      <c r="AB3082">
        <v>36</v>
      </c>
      <c r="AC3082">
        <v>-3.0701900000000002</v>
      </c>
      <c r="AD3082">
        <v>4.1487219999999997E-3</v>
      </c>
      <c r="AE3082">
        <v>-3.6010740000000001E-3</v>
      </c>
      <c r="AF3082">
        <v>1.4750400479303601E-2</v>
      </c>
      <c r="AG3082">
        <v>4.1487219999999997E-3</v>
      </c>
      <c r="AH3082">
        <v>3.0701510721502698</v>
      </c>
      <c r="AI3082">
        <v>89.922576652641297</v>
      </c>
      <c r="AJ3082">
        <v>89.724727164518299</v>
      </c>
      <c r="AK3082">
        <v>3.0701893088267398</v>
      </c>
      <c r="AL3082">
        <v>78.949279847459295</v>
      </c>
      <c r="AM3082">
        <v>96.609180837429705</v>
      </c>
      <c r="AN3082">
        <v>1.00000005256874</v>
      </c>
    </row>
    <row r="3083" spans="1:40" x14ac:dyDescent="0.25">
      <c r="A3083" t="str">
        <f>"20190304154817830"</f>
        <v>20190304154817830</v>
      </c>
      <c r="B3083" t="str">
        <f>"1551685697820281"</f>
        <v>1551685697820281</v>
      </c>
      <c r="C3083" t="s">
        <v>40</v>
      </c>
      <c r="D3083">
        <v>4.1883359999999996</v>
      </c>
      <c r="E3083">
        <v>0.54282959999999902</v>
      </c>
      <c r="F3083" t="s">
        <v>42</v>
      </c>
      <c r="G3083">
        <v>0</v>
      </c>
      <c r="H3083">
        <v>0</v>
      </c>
      <c r="I3083">
        <v>0</v>
      </c>
      <c r="J3083">
        <v>-394.286</v>
      </c>
      <c r="K3083">
        <v>1.11059</v>
      </c>
      <c r="L3083">
        <v>285.36169999999998</v>
      </c>
      <c r="M3083">
        <v>-0.99988730000000003</v>
      </c>
      <c r="N3083">
        <v>-1.3773580000000001E-2</v>
      </c>
      <c r="O3083">
        <v>-5.9773099999999996E-3</v>
      </c>
      <c r="P3083">
        <v>-0.97686059999999997</v>
      </c>
      <c r="Q3083">
        <v>0.17785490000000001</v>
      </c>
      <c r="R3083">
        <v>-0.1187912</v>
      </c>
      <c r="S3083">
        <v>-3.0702509999999998</v>
      </c>
      <c r="T3083">
        <v>2.5355820000000002E-3</v>
      </c>
      <c r="U3083">
        <v>-4.6691889999999998E-3</v>
      </c>
      <c r="V3083">
        <v>-0.11294220000000001</v>
      </c>
      <c r="W3083">
        <v>0.1913067</v>
      </c>
      <c r="X3083">
        <v>0.97501070000000001</v>
      </c>
      <c r="Y3083">
        <v>4.4565029999999997E-3</v>
      </c>
      <c r="Z3083" s="1">
        <v>-5.8417220000000002E-5</v>
      </c>
      <c r="AA3083">
        <v>0.99999000000000005</v>
      </c>
      <c r="AB3083">
        <v>36</v>
      </c>
      <c r="AC3083">
        <v>-3.0702509999999998</v>
      </c>
      <c r="AD3083">
        <v>2.5355820000000002E-3</v>
      </c>
      <c r="AE3083">
        <v>-4.6691889999999998E-3</v>
      </c>
      <c r="AF3083">
        <v>1.3684467643208799E-2</v>
      </c>
      <c r="AG3083">
        <v>2.5355820000000002E-3</v>
      </c>
      <c r="AH3083">
        <v>3.0702219596200502</v>
      </c>
      <c r="AI3083">
        <v>89.952682029818504</v>
      </c>
      <c r="AJ3083">
        <v>89.744625287981293</v>
      </c>
      <c r="AK3083">
        <v>3.0702535034039098</v>
      </c>
      <c r="AL3083">
        <v>78.970948790560499</v>
      </c>
      <c r="AM3083">
        <v>96.607515877032299</v>
      </c>
      <c r="AN3083">
        <v>1.0000000295600999</v>
      </c>
    </row>
    <row r="3084" spans="1:40" x14ac:dyDescent="0.25">
      <c r="A3084" t="str">
        <f>"20190304154817842"</f>
        <v>20190304154817842</v>
      </c>
      <c r="B3084" t="str">
        <f>"1551685697830042"</f>
        <v>1551685697830042</v>
      </c>
      <c r="C3084" t="s">
        <v>40</v>
      </c>
      <c r="D3084">
        <v>4.2162220000000001</v>
      </c>
      <c r="E3084">
        <v>0.54254519999999995</v>
      </c>
      <c r="F3084" t="s">
        <v>42</v>
      </c>
      <c r="G3084">
        <v>0</v>
      </c>
      <c r="H3084">
        <v>0</v>
      </c>
      <c r="I3084">
        <v>0</v>
      </c>
      <c r="J3084">
        <v>-394.4821</v>
      </c>
      <c r="K3084">
        <v>1.110589</v>
      </c>
      <c r="L3084">
        <v>285.3605</v>
      </c>
      <c r="M3084">
        <v>-0.99988730000000003</v>
      </c>
      <c r="N3084">
        <v>-1.377221E-2</v>
      </c>
      <c r="O3084">
        <v>-5.9770630000000003E-3</v>
      </c>
      <c r="P3084">
        <v>-0.97679320000000003</v>
      </c>
      <c r="Q3084">
        <v>0.17819409999999999</v>
      </c>
      <c r="R3084">
        <v>-0.1188376</v>
      </c>
      <c r="S3084">
        <v>-3.0702210000000001</v>
      </c>
      <c r="T3084">
        <v>1.1100769999999999E-3</v>
      </c>
      <c r="U3084">
        <v>-5.3710939999999999E-3</v>
      </c>
      <c r="V3084">
        <v>-0.11298900000000001</v>
      </c>
      <c r="W3084">
        <v>0.19164320000000001</v>
      </c>
      <c r="X3084">
        <v>0.97493920000000001</v>
      </c>
      <c r="Y3084">
        <v>4.2276529999999996E-3</v>
      </c>
      <c r="Z3084" s="1">
        <v>-5.6133530000000003E-5</v>
      </c>
      <c r="AA3084">
        <v>0.99999110000000002</v>
      </c>
      <c r="AB3084">
        <v>36</v>
      </c>
      <c r="AC3084">
        <v>-3.0702210000000001</v>
      </c>
      <c r="AD3084">
        <v>1.1100769999999999E-3</v>
      </c>
      <c r="AE3084">
        <v>-5.3710939999999999E-3</v>
      </c>
      <c r="AF3084">
        <v>1.2981645087194999E-2</v>
      </c>
      <c r="AG3084">
        <v>1.1100769999999999E-3</v>
      </c>
      <c r="AH3084">
        <v>3.0701978519048501</v>
      </c>
      <c r="AI3084">
        <v>89.979284020514697</v>
      </c>
      <c r="AJ3084">
        <v>89.757739052020298</v>
      </c>
      <c r="AK3084">
        <v>3.07022549745475</v>
      </c>
      <c r="AL3084">
        <v>78.951305390518996</v>
      </c>
      <c r="AM3084">
        <v>96.610710105390694</v>
      </c>
      <c r="AN3084">
        <v>1.00000003696193</v>
      </c>
    </row>
    <row r="3085" spans="1:40" x14ac:dyDescent="0.25">
      <c r="A3085" t="str">
        <f>"20190304154817855"</f>
        <v>20190304154817855</v>
      </c>
      <c r="B3085" t="str">
        <f>"1551685697849559"</f>
        <v>1551685697849559</v>
      </c>
      <c r="C3085" t="s">
        <v>40</v>
      </c>
      <c r="D3085">
        <v>4.1421679999999999</v>
      </c>
      <c r="E3085">
        <v>0.51426700000000003</v>
      </c>
      <c r="F3085" t="s">
        <v>42</v>
      </c>
      <c r="G3085">
        <v>0</v>
      </c>
      <c r="H3085">
        <v>0</v>
      </c>
      <c r="I3085">
        <v>0</v>
      </c>
      <c r="J3085">
        <v>-394.69600000000003</v>
      </c>
      <c r="K3085">
        <v>1.11059</v>
      </c>
      <c r="L3085">
        <v>285.35919999999999</v>
      </c>
      <c r="M3085">
        <v>-0.99988750000000004</v>
      </c>
      <c r="N3085">
        <v>-1.377072E-2</v>
      </c>
      <c r="O3085">
        <v>-5.9770530000000004E-3</v>
      </c>
      <c r="P3085">
        <v>-0.9767344</v>
      </c>
      <c r="Q3085">
        <v>0.17848710000000001</v>
      </c>
      <c r="R3085">
        <v>-0.11888070000000001</v>
      </c>
      <c r="S3085">
        <v>-3.0701290000000001</v>
      </c>
      <c r="T3085">
        <v>7.8856949999999999E-4</v>
      </c>
      <c r="U3085">
        <v>-7.9650880000000004E-3</v>
      </c>
      <c r="V3085">
        <v>-0.1130331</v>
      </c>
      <c r="W3085">
        <v>0.19193479999999999</v>
      </c>
      <c r="X3085">
        <v>0.97487670000000004</v>
      </c>
      <c r="Y3085">
        <v>3.3826899999999998E-3</v>
      </c>
      <c r="Z3085" s="1">
        <v>-6.0989980000000003E-5</v>
      </c>
      <c r="AA3085">
        <v>0.9999943</v>
      </c>
      <c r="AB3085">
        <v>36</v>
      </c>
      <c r="AC3085">
        <v>-3.0701290000000001</v>
      </c>
      <c r="AD3085">
        <v>7.8856949999999999E-4</v>
      </c>
      <c r="AE3085">
        <v>-7.9650880000000004E-3</v>
      </c>
      <c r="AF3085">
        <v>1.0387114127487501E-2</v>
      </c>
      <c r="AG3085">
        <v>7.8856949999999999E-4</v>
      </c>
      <c r="AH3085">
        <v>3.0701215584149599</v>
      </c>
      <c r="AI3085">
        <v>89.985283499769594</v>
      </c>
      <c r="AJ3085">
        <v>89.806152453986499</v>
      </c>
      <c r="AK3085">
        <v>3.0701392309512801</v>
      </c>
      <c r="AL3085">
        <v>78.934281671464305</v>
      </c>
      <c r="AM3085">
        <v>96.613687662558306</v>
      </c>
      <c r="AN3085">
        <v>1.0000000146747701</v>
      </c>
    </row>
    <row r="3086" spans="1:40" x14ac:dyDescent="0.25">
      <c r="A3086" t="str">
        <f>"20190304154817869"</f>
        <v>20190304154817869</v>
      </c>
      <c r="B3086" t="str">
        <f>"1551685697860295"</f>
        <v>1551685697860295</v>
      </c>
      <c r="C3086" t="s">
        <v>40</v>
      </c>
      <c r="D3086">
        <v>4.090611</v>
      </c>
      <c r="E3086">
        <v>0.51078979999999996</v>
      </c>
      <c r="F3086" t="s">
        <v>62</v>
      </c>
      <c r="G3086">
        <v>-511.95870000000002</v>
      </c>
      <c r="H3086">
        <v>0.36329359999999999</v>
      </c>
      <c r="I3086">
        <v>276.42439999999999</v>
      </c>
      <c r="J3086">
        <v>-394.91410000000002</v>
      </c>
      <c r="K3086">
        <v>1.1105929999999999</v>
      </c>
      <c r="L3086">
        <v>285.35789999999997</v>
      </c>
      <c r="M3086">
        <v>-0.99988730000000003</v>
      </c>
      <c r="N3086">
        <v>-1.3769170000000001E-2</v>
      </c>
      <c r="O3086">
        <v>-5.9770419999999897E-3</v>
      </c>
      <c r="P3086">
        <v>-0.97680739999999999</v>
      </c>
      <c r="Q3086">
        <v>0.17824909999999999</v>
      </c>
      <c r="R3086">
        <v>-0.1186372</v>
      </c>
      <c r="S3086">
        <v>-3.046783</v>
      </c>
      <c r="T3086">
        <v>-1.9414540000000001E-2</v>
      </c>
      <c r="U3086">
        <v>-0.2321472</v>
      </c>
      <c r="V3086">
        <v>-0.1127893</v>
      </c>
      <c r="W3086">
        <v>0.19169559999999999</v>
      </c>
      <c r="X3086">
        <v>0.97495200000000004</v>
      </c>
      <c r="Y3086">
        <v>-7.0007959999999994E-2</v>
      </c>
      <c r="Z3086">
        <v>-7.4959789999999896E-4</v>
      </c>
      <c r="AA3086">
        <v>0.99754609999999999</v>
      </c>
      <c r="AB3086">
        <v>36</v>
      </c>
      <c r="AC3086">
        <v>-117.0446</v>
      </c>
      <c r="AD3086">
        <v>-0.74729939999999995</v>
      </c>
      <c r="AE3086">
        <v>-8.9334999999999791</v>
      </c>
      <c r="AF3086">
        <v>-8.2333598637455498</v>
      </c>
      <c r="AG3086">
        <v>-0.74729939999999995</v>
      </c>
      <c r="AH3086">
        <v>117.09116427756</v>
      </c>
      <c r="AI3086">
        <v>90.364767616758897</v>
      </c>
      <c r="AJ3086">
        <v>94.022178797453606</v>
      </c>
      <c r="AK3086">
        <v>117.382653841672</v>
      </c>
      <c r="AL3086">
        <v>78.948246139218696</v>
      </c>
      <c r="AM3086">
        <v>96.599043418109005</v>
      </c>
      <c r="AN3086">
        <v>1.0000000157789199</v>
      </c>
    </row>
    <row r="3087" spans="1:40" x14ac:dyDescent="0.25">
      <c r="A3087" t="str">
        <f>"20190304154817883"</f>
        <v>20190304154817883</v>
      </c>
      <c r="B3087" t="str">
        <f>"1551685697870055"</f>
        <v>1551685697870055</v>
      </c>
      <c r="C3087" t="s">
        <v>40</v>
      </c>
      <c r="D3087">
        <v>4.0892720000000002</v>
      </c>
      <c r="E3087">
        <v>0.51210199999999995</v>
      </c>
      <c r="F3087" t="s">
        <v>62</v>
      </c>
      <c r="G3087">
        <v>-512.82529999999997</v>
      </c>
      <c r="H3087">
        <v>0.22208030000000001</v>
      </c>
      <c r="I3087">
        <v>275.31549999999999</v>
      </c>
      <c r="J3087">
        <v>-395.13720000000001</v>
      </c>
      <c r="K3087">
        <v>1.11059</v>
      </c>
      <c r="L3087">
        <v>285.35649999999998</v>
      </c>
      <c r="M3087">
        <v>-0.99988750000000004</v>
      </c>
      <c r="N3087">
        <v>-1.376758E-2</v>
      </c>
      <c r="O3087">
        <v>-5.9773869999999998E-3</v>
      </c>
      <c r="P3087">
        <v>-0.97686899999999999</v>
      </c>
      <c r="Q3087">
        <v>0.17805170000000001</v>
      </c>
      <c r="R3087">
        <v>-0.11842759999999999</v>
      </c>
      <c r="S3087">
        <v>-3.0439150000000001</v>
      </c>
      <c r="T3087">
        <v>-2.2935150000000001E-2</v>
      </c>
      <c r="U3087">
        <v>-0.2592468</v>
      </c>
      <c r="V3087">
        <v>-0.1125785</v>
      </c>
      <c r="W3087">
        <v>0.19149769999999999</v>
      </c>
      <c r="X3087">
        <v>0.97501519999999997</v>
      </c>
      <c r="Y3087">
        <v>-7.8897549999999997E-2</v>
      </c>
      <c r="Z3087">
        <v>-8.7804159999999997E-4</v>
      </c>
      <c r="AA3087">
        <v>0.9968823</v>
      </c>
      <c r="AB3087">
        <v>36</v>
      </c>
      <c r="AC3087">
        <v>-117.688099999999</v>
      </c>
      <c r="AD3087">
        <v>-0.88850969999999996</v>
      </c>
      <c r="AE3087">
        <v>-10.040999999999899</v>
      </c>
      <c r="AF3087">
        <v>-9.3367583590686394</v>
      </c>
      <c r="AG3087">
        <v>-0.88850969999999996</v>
      </c>
      <c r="AH3087">
        <v>117.739359353555</v>
      </c>
      <c r="AI3087">
        <v>90.431016290175506</v>
      </c>
      <c r="AJ3087">
        <v>94.534080191247497</v>
      </c>
      <c r="AK3087">
        <v>118.112324704614</v>
      </c>
      <c r="AL3087">
        <v>78.959798426251695</v>
      </c>
      <c r="AM3087">
        <v>96.586395270894101</v>
      </c>
      <c r="AN3087">
        <v>0.99999996399928903</v>
      </c>
    </row>
    <row r="3088" spans="1:40" x14ac:dyDescent="0.25">
      <c r="A3088" t="str">
        <f>"20190304154817906"</f>
        <v>20190304154817906</v>
      </c>
      <c r="B3088" t="str">
        <f>"1551685697900311"</f>
        <v>1551685697900311</v>
      </c>
      <c r="C3088" t="s">
        <v>40</v>
      </c>
      <c r="D3088">
        <v>4.0213210000000004</v>
      </c>
      <c r="E3088">
        <v>0.50969889999999995</v>
      </c>
      <c r="F3088" t="s">
        <v>62</v>
      </c>
      <c r="G3088">
        <v>-511.95890000000003</v>
      </c>
      <c r="H3088">
        <v>0.81066179999999999</v>
      </c>
      <c r="I3088">
        <v>275.82850000000002</v>
      </c>
      <c r="J3088">
        <v>-395.51060000000001</v>
      </c>
      <c r="K3088">
        <v>1.110589</v>
      </c>
      <c r="L3088">
        <v>285.35430000000002</v>
      </c>
      <c r="M3088">
        <v>-0.99988739999999998</v>
      </c>
      <c r="N3088">
        <v>-1.376492E-2</v>
      </c>
      <c r="O3088">
        <v>-5.9774850000000003E-3</v>
      </c>
      <c r="P3088">
        <v>-0.97697129999999999</v>
      </c>
      <c r="Q3088">
        <v>0.1774105</v>
      </c>
      <c r="R3088">
        <v>-0.11854430000000001</v>
      </c>
      <c r="S3088">
        <v>-3.042389</v>
      </c>
      <c r="T3088">
        <v>-7.8089240000000001E-3</v>
      </c>
      <c r="U3088">
        <v>-0.24813840000000001</v>
      </c>
      <c r="V3088">
        <v>-0.11269469999999999</v>
      </c>
      <c r="W3088">
        <v>0.19085550000000001</v>
      </c>
      <c r="X3088">
        <v>0.97512770000000004</v>
      </c>
      <c r="Y3088">
        <v>-7.5329530000000006E-2</v>
      </c>
      <c r="Z3088">
        <v>-6.8269299999999995E-4</v>
      </c>
      <c r="AA3088">
        <v>0.99715849999999995</v>
      </c>
      <c r="AB3088">
        <v>36</v>
      </c>
      <c r="AC3088">
        <v>-116.4483</v>
      </c>
      <c r="AD3088">
        <v>-0.2999272</v>
      </c>
      <c r="AE3088">
        <v>-9.5258000000000003</v>
      </c>
      <c r="AF3088">
        <v>-8.8294376891052302</v>
      </c>
      <c r="AG3088">
        <v>-0.2999272</v>
      </c>
      <c r="AH3088">
        <v>116.502397218906</v>
      </c>
      <c r="AI3088">
        <v>90.147081820341</v>
      </c>
      <c r="AJ3088">
        <v>94.334024723192698</v>
      </c>
      <c r="AK3088">
        <v>116.836884090526</v>
      </c>
      <c r="AL3088">
        <v>78.997285311544005</v>
      </c>
      <c r="AM3088">
        <v>96.592379767086399</v>
      </c>
      <c r="AN3088">
        <v>0.99999997429781395</v>
      </c>
    </row>
    <row r="3089" spans="1:40" x14ac:dyDescent="0.25">
      <c r="A3089" t="str">
        <f>"20190304154817918"</f>
        <v>20190304154817918</v>
      </c>
      <c r="B3089" t="str">
        <f>"1551685697910071"</f>
        <v>1551685697910071</v>
      </c>
      <c r="C3089" t="s">
        <v>40</v>
      </c>
      <c r="D3089">
        <v>4.0202280000000004</v>
      </c>
      <c r="E3089">
        <v>0.50941809999999998</v>
      </c>
      <c r="F3089" t="s">
        <v>62</v>
      </c>
      <c r="G3089">
        <v>-512.82529999999997</v>
      </c>
      <c r="H3089">
        <v>0.37673640000000003</v>
      </c>
      <c r="I3089">
        <v>275.04629999999997</v>
      </c>
      <c r="J3089">
        <v>-395.7133</v>
      </c>
      <c r="K3089">
        <v>1.110589</v>
      </c>
      <c r="L3089">
        <v>285.35309999999998</v>
      </c>
      <c r="M3089">
        <v>-0.99988750000000004</v>
      </c>
      <c r="N3089">
        <v>-1.376348E-2</v>
      </c>
      <c r="O3089">
        <v>-5.977713E-3</v>
      </c>
      <c r="P3089">
        <v>-0.9769428</v>
      </c>
      <c r="Q3089">
        <v>0.17775650000000001</v>
      </c>
      <c r="R3089">
        <v>-0.11826150000000001</v>
      </c>
      <c r="S3089">
        <v>-3.0418090000000002</v>
      </c>
      <c r="T3089">
        <v>-1.902568E-2</v>
      </c>
      <c r="U3089">
        <v>-0.26727289999999998</v>
      </c>
      <c r="V3089">
        <v>-0.11241130000000001</v>
      </c>
      <c r="W3089">
        <v>0.19119949999999999</v>
      </c>
      <c r="X3089">
        <v>0.97509310000000005</v>
      </c>
      <c r="Y3089">
        <v>-8.1567360000000005E-2</v>
      </c>
      <c r="Z3089">
        <v>-8.6185889999999897E-4</v>
      </c>
      <c r="AA3089">
        <v>0.99666739999999998</v>
      </c>
      <c r="AB3089">
        <v>36</v>
      </c>
      <c r="AC3089">
        <v>-117.111999999999</v>
      </c>
      <c r="AD3089">
        <v>-0.73385259999999997</v>
      </c>
      <c r="AE3089">
        <v>-10.306800000000001</v>
      </c>
      <c r="AF3089">
        <v>-9.6061133446199491</v>
      </c>
      <c r="AG3089">
        <v>-0.73385259999999997</v>
      </c>
      <c r="AH3089">
        <v>117.166958825093</v>
      </c>
      <c r="AI3089">
        <v>90.357656346775997</v>
      </c>
      <c r="AJ3089">
        <v>94.686999693651003</v>
      </c>
      <c r="AK3089">
        <v>117.562375756656</v>
      </c>
      <c r="AL3089">
        <v>78.977206652804398</v>
      </c>
      <c r="AM3089">
        <v>96.576178200147197</v>
      </c>
      <c r="AN3089">
        <v>1.00000005141777</v>
      </c>
    </row>
    <row r="3090" spans="1:40" x14ac:dyDescent="0.25">
      <c r="A3090" t="str">
        <f>"20190304154817938"</f>
        <v>20190304154817938</v>
      </c>
      <c r="B3090" t="str">
        <f>"1551685697929595"</f>
        <v>1551685697929595</v>
      </c>
      <c r="C3090" t="s">
        <v>40</v>
      </c>
      <c r="D3090">
        <v>3.9958269999999998</v>
      </c>
      <c r="E3090">
        <v>0.50882039999999995</v>
      </c>
      <c r="F3090" t="s">
        <v>62</v>
      </c>
      <c r="G3090">
        <v>-512.82529999999997</v>
      </c>
      <c r="H3090">
        <v>0.3556803</v>
      </c>
      <c r="I3090">
        <v>275.00650000000002</v>
      </c>
      <c r="J3090">
        <v>-396.04309999999998</v>
      </c>
      <c r="K3090">
        <v>1.1105879999999999</v>
      </c>
      <c r="L3090">
        <v>285.35120000000001</v>
      </c>
      <c r="M3090">
        <v>-0.99988759999999999</v>
      </c>
      <c r="N3090">
        <v>-1.376112E-2</v>
      </c>
      <c r="O3090">
        <v>-5.9778139999999997E-3</v>
      </c>
      <c r="P3090">
        <v>-0.97697900000000004</v>
      </c>
      <c r="Q3090">
        <v>0.17766699999999999</v>
      </c>
      <c r="R3090">
        <v>-0.11809699999999999</v>
      </c>
      <c r="S3090">
        <v>-3.0418090000000002</v>
      </c>
      <c r="T3090">
        <v>-1.9605520000000001E-2</v>
      </c>
      <c r="U3090">
        <v>-0.26873780000000003</v>
      </c>
      <c r="V3090">
        <v>-0.1122464</v>
      </c>
      <c r="W3090">
        <v>0.19110869999999999</v>
      </c>
      <c r="X3090">
        <v>0.97512980000000005</v>
      </c>
      <c r="Y3090">
        <v>-8.2043309999999994E-2</v>
      </c>
      <c r="Z3090">
        <v>-8.7318970000000004E-4</v>
      </c>
      <c r="AA3090">
        <v>0.99662839999999997</v>
      </c>
      <c r="AB3090">
        <v>36</v>
      </c>
      <c r="AC3090">
        <v>-116.7822</v>
      </c>
      <c r="AD3090">
        <v>-0.75490769999999996</v>
      </c>
      <c r="AE3090">
        <v>-10.3446999999999</v>
      </c>
      <c r="AF3090">
        <v>-9.6459469338469894</v>
      </c>
      <c r="AG3090">
        <v>-0.75490769999999996</v>
      </c>
      <c r="AH3090">
        <v>116.83711337707901</v>
      </c>
      <c r="AI3090">
        <v>90.368939043266394</v>
      </c>
      <c r="AJ3090">
        <v>94.719574769151905</v>
      </c>
      <c r="AK3090">
        <v>117.237047217057</v>
      </c>
      <c r="AL3090">
        <v>78.982505804634798</v>
      </c>
      <c r="AM3090">
        <v>96.566370710333402</v>
      </c>
      <c r="AN3090">
        <v>0.99999995818834397</v>
      </c>
    </row>
    <row r="3091" spans="1:40" x14ac:dyDescent="0.25">
      <c r="A3091" t="str">
        <f>"20190304154817951"</f>
        <v>20190304154817951</v>
      </c>
      <c r="B3091" t="str">
        <f>"1551685697940328"</f>
        <v>1551685697940328</v>
      </c>
      <c r="C3091" t="s">
        <v>40</v>
      </c>
      <c r="D3091">
        <v>3.9756269999999998</v>
      </c>
      <c r="E3091">
        <v>0.50954529999999998</v>
      </c>
      <c r="F3091" t="s">
        <v>62</v>
      </c>
      <c r="G3091">
        <v>-512.82529999999997</v>
      </c>
      <c r="H3091">
        <v>0.29171760000000002</v>
      </c>
      <c r="I3091">
        <v>274.8698</v>
      </c>
      <c r="J3091">
        <v>-396.24939999999998</v>
      </c>
      <c r="K3091">
        <v>1.110589</v>
      </c>
      <c r="L3091">
        <v>285.34989999999999</v>
      </c>
      <c r="M3091">
        <v>-0.99988759999999999</v>
      </c>
      <c r="N3091">
        <v>-1.375964E-2</v>
      </c>
      <c r="O3091">
        <v>-5.9780409999999999E-3</v>
      </c>
      <c r="P3091">
        <v>-0.97696139999999998</v>
      </c>
      <c r="Q3091">
        <v>0.1776076</v>
      </c>
      <c r="R3091">
        <v>-0.11833059999999999</v>
      </c>
      <c r="S3091">
        <v>-3.0415040000000002</v>
      </c>
      <c r="T3091">
        <v>-2.132475E-2</v>
      </c>
      <c r="U3091">
        <v>-0.27297969999999999</v>
      </c>
      <c r="V3091">
        <v>-0.1124802</v>
      </c>
      <c r="W3091">
        <v>0.19104740000000001</v>
      </c>
      <c r="X3091">
        <v>0.97511490000000001</v>
      </c>
      <c r="Y3091">
        <v>-8.3430039999999997E-2</v>
      </c>
      <c r="Z3091">
        <v>-9.0734289999999998E-4</v>
      </c>
      <c r="AA3091">
        <v>0.99651319999999999</v>
      </c>
      <c r="AB3091">
        <v>36</v>
      </c>
      <c r="AC3091">
        <v>-116.5759</v>
      </c>
      <c r="AD3091">
        <v>-0.81887140000000003</v>
      </c>
      <c r="AE3091">
        <v>-10.480099999999901</v>
      </c>
      <c r="AF3091">
        <v>-9.7824724922330297</v>
      </c>
      <c r="AG3091">
        <v>-0.81887140000000003</v>
      </c>
      <c r="AH3091">
        <v>116.630764322606</v>
      </c>
      <c r="AI3091">
        <v>90.400862860278707</v>
      </c>
      <c r="AJ3091">
        <v>94.794494234159302</v>
      </c>
      <c r="AK3091">
        <v>117.043165135373</v>
      </c>
      <c r="AL3091">
        <v>78.986084277930203</v>
      </c>
      <c r="AM3091">
        <v>96.580027765257995</v>
      </c>
      <c r="AN3091">
        <v>0.99999998632040399</v>
      </c>
    </row>
    <row r="3092" spans="1:40" x14ac:dyDescent="0.25">
      <c r="A3092" t="str">
        <f>"20190304154817962"</f>
        <v>20190304154817962</v>
      </c>
      <c r="B3092" t="str">
        <f>"1551685697959848"</f>
        <v>1551685697959848</v>
      </c>
      <c r="C3092" t="s">
        <v>40</v>
      </c>
      <c r="D3092">
        <v>4.012213</v>
      </c>
      <c r="E3092">
        <v>0.50977109999999903</v>
      </c>
      <c r="F3092" t="s">
        <v>62</v>
      </c>
      <c r="G3092">
        <v>-512.82529999999997</v>
      </c>
      <c r="H3092">
        <v>0.42536040000000003</v>
      </c>
      <c r="I3092">
        <v>275.0684</v>
      </c>
      <c r="J3092">
        <v>-396.43770000000001</v>
      </c>
      <c r="K3092">
        <v>1.110589</v>
      </c>
      <c r="L3092">
        <v>285.34879999999998</v>
      </c>
      <c r="M3092">
        <v>-0.99988750000000004</v>
      </c>
      <c r="N3092">
        <v>-1.3758299999999999E-2</v>
      </c>
      <c r="O3092">
        <v>-5.9781510000000001E-3</v>
      </c>
      <c r="P3092">
        <v>-0.97693739999999996</v>
      </c>
      <c r="Q3092">
        <v>0.17777379999999901</v>
      </c>
      <c r="R3092">
        <v>-0.1182793</v>
      </c>
      <c r="S3092">
        <v>-3.041534</v>
      </c>
      <c r="T3092">
        <v>-1.7875909999999998E-2</v>
      </c>
      <c r="U3092">
        <v>-0.26824949999999997</v>
      </c>
      <c r="V3092">
        <v>-0.11242870000000001</v>
      </c>
      <c r="W3092">
        <v>0.19121170000000001</v>
      </c>
      <c r="X3092">
        <v>0.97508870000000003</v>
      </c>
      <c r="Y3092">
        <v>-8.1892729999999997E-2</v>
      </c>
      <c r="Z3092">
        <v>-8.5170720000000001E-4</v>
      </c>
      <c r="AA3092">
        <v>0.99664079999999999</v>
      </c>
      <c r="AB3092">
        <v>36</v>
      </c>
      <c r="AC3092">
        <v>-116.387599999999</v>
      </c>
      <c r="AD3092">
        <v>-0.68522859999999997</v>
      </c>
      <c r="AE3092">
        <v>-10.280399999999901</v>
      </c>
      <c r="AF3092">
        <v>-9.5840381337270806</v>
      </c>
      <c r="AG3092">
        <v>-0.68522859999999997</v>
      </c>
      <c r="AH3092">
        <v>116.44297850428001</v>
      </c>
      <c r="AI3092">
        <v>90.336026669802607</v>
      </c>
      <c r="AJ3092">
        <v>94.705221065574406</v>
      </c>
      <c r="AK3092">
        <v>116.838737446667</v>
      </c>
      <c r="AL3092">
        <v>78.976494487538503</v>
      </c>
      <c r="AM3092">
        <v>96.577216618964101</v>
      </c>
      <c r="AN3092">
        <v>1.0000000498341299</v>
      </c>
    </row>
    <row r="3093" spans="1:40" x14ac:dyDescent="0.25">
      <c r="A3093" t="str">
        <f>"20190304154817975"</f>
        <v>20190304154817975</v>
      </c>
      <c r="B3093" t="str">
        <f>"1551685697969608"</f>
        <v>1551685697969608</v>
      </c>
      <c r="C3093" t="s">
        <v>40</v>
      </c>
      <c r="D3093">
        <v>3.9981179999999998</v>
      </c>
      <c r="E3093">
        <v>0.50955220000000001</v>
      </c>
      <c r="F3093" t="s">
        <v>62</v>
      </c>
      <c r="G3093">
        <v>-512.82529999999997</v>
      </c>
      <c r="H3093">
        <v>0.57880580000000004</v>
      </c>
      <c r="I3093">
        <v>275.15249999999997</v>
      </c>
      <c r="J3093">
        <v>-396.63260000000002</v>
      </c>
      <c r="K3093">
        <v>1.1105879999999999</v>
      </c>
      <c r="L3093">
        <v>285.34769999999997</v>
      </c>
      <c r="M3093">
        <v>-0.99988750000000004</v>
      </c>
      <c r="N3093">
        <v>-1.3756900000000001E-2</v>
      </c>
      <c r="O3093">
        <v>-5.9781410000000002E-3</v>
      </c>
      <c r="P3093">
        <v>-0.97699460000000005</v>
      </c>
      <c r="Q3093">
        <v>0.17737839999999999</v>
      </c>
      <c r="R3093">
        <v>-0.118399</v>
      </c>
      <c r="S3093">
        <v>-3.041077</v>
      </c>
      <c r="T3093">
        <v>-1.389277E-2</v>
      </c>
      <c r="U3093">
        <v>-0.2664185</v>
      </c>
      <c r="V3093">
        <v>-0.1125486</v>
      </c>
      <c r="W3093">
        <v>0.1908157</v>
      </c>
      <c r="X3093">
        <v>0.97515240000000003</v>
      </c>
      <c r="Y3093">
        <v>-8.1311750000000002E-2</v>
      </c>
      <c r="Z3093">
        <v>-8.0061909999999995E-4</v>
      </c>
      <c r="AA3093">
        <v>0.99668840000000003</v>
      </c>
      <c r="AB3093">
        <v>36</v>
      </c>
      <c r="AC3093">
        <v>-116.19269999999899</v>
      </c>
      <c r="AD3093">
        <v>-0.53178219999999898</v>
      </c>
      <c r="AE3093">
        <v>-10.1952</v>
      </c>
      <c r="AF3093">
        <v>-9.5001382305244402</v>
      </c>
      <c r="AG3093">
        <v>-0.53178219999999898</v>
      </c>
      <c r="AH3093">
        <v>116.249161041913</v>
      </c>
      <c r="AI3093">
        <v>90.261227077284204</v>
      </c>
      <c r="AJ3093">
        <v>94.671955542418203</v>
      </c>
      <c r="AK3093">
        <v>116.637913482949</v>
      </c>
      <c r="AL3093">
        <v>78.9996087854161</v>
      </c>
      <c r="AM3093">
        <v>96.583743036821701</v>
      </c>
      <c r="AN3093">
        <v>1.0000000109770999</v>
      </c>
    </row>
    <row r="3094" spans="1:40" x14ac:dyDescent="0.25">
      <c r="A3094" t="str">
        <f>"20190304154817987"</f>
        <v>20190304154817987</v>
      </c>
      <c r="B3094" t="str">
        <f>"1551685697980344"</f>
        <v>1551685697980344</v>
      </c>
      <c r="C3094" t="s">
        <v>40</v>
      </c>
      <c r="D3094">
        <v>3.9722849999999998</v>
      </c>
      <c r="E3094">
        <v>0.50934609999999902</v>
      </c>
      <c r="F3094" t="s">
        <v>62</v>
      </c>
      <c r="G3094">
        <v>-512.82529999999997</v>
      </c>
      <c r="H3094">
        <v>0.52927609999999903</v>
      </c>
      <c r="I3094">
        <v>275.09550000000002</v>
      </c>
      <c r="J3094">
        <v>-396.82870000000003</v>
      </c>
      <c r="K3094">
        <v>1.110592</v>
      </c>
      <c r="L3094">
        <v>285.34649999999999</v>
      </c>
      <c r="M3094">
        <v>-0.99988759999999999</v>
      </c>
      <c r="N3094">
        <v>-1.375548E-2</v>
      </c>
      <c r="O3094">
        <v>-5.9782500000000001E-3</v>
      </c>
      <c r="P3094">
        <v>-0.97706729999999997</v>
      </c>
      <c r="Q3094">
        <v>0.17696199999999901</v>
      </c>
      <c r="R3094">
        <v>-0.1184246</v>
      </c>
      <c r="S3094">
        <v>-3.0408940000000002</v>
      </c>
      <c r="T3094">
        <v>-1.521146E-2</v>
      </c>
      <c r="U3094">
        <v>-0.26831050000000001</v>
      </c>
      <c r="V3094">
        <v>-0.1125733</v>
      </c>
      <c r="W3094">
        <v>0.19039909999999999</v>
      </c>
      <c r="X3094">
        <v>0.97523099999999996</v>
      </c>
      <c r="Y3094">
        <v>-8.1931779999999996E-2</v>
      </c>
      <c r="Z3094">
        <v>-8.2140299999999996E-4</v>
      </c>
      <c r="AA3094">
        <v>0.99663760000000001</v>
      </c>
      <c r="AB3094">
        <v>36</v>
      </c>
      <c r="AC3094">
        <v>-115.99659999999901</v>
      </c>
      <c r="AD3094">
        <v>-0.5813159</v>
      </c>
      <c r="AE3094">
        <v>-10.2509999999999</v>
      </c>
      <c r="AF3094">
        <v>-9.55705638372695</v>
      </c>
      <c r="AG3094">
        <v>-0.5813159</v>
      </c>
      <c r="AH3094">
        <v>116.052923507984</v>
      </c>
      <c r="AI3094">
        <v>90.286027304247696</v>
      </c>
      <c r="AJ3094">
        <v>94.707732984739494</v>
      </c>
      <c r="AK3094">
        <v>116.447225427003</v>
      </c>
      <c r="AL3094">
        <v>79.023924252349602</v>
      </c>
      <c r="AM3094">
        <v>96.584649141152994</v>
      </c>
      <c r="AN3094">
        <v>1.0000000342573401</v>
      </c>
    </row>
    <row r="3095" spans="1:40" x14ac:dyDescent="0.25">
      <c r="A3095" t="str">
        <f>"20190304154817998"</f>
        <v>20190304154817998</v>
      </c>
      <c r="B3095" t="str">
        <f>"1551685697990104"</f>
        <v>1551685697990104</v>
      </c>
      <c r="C3095" t="s">
        <v>40</v>
      </c>
      <c r="D3095">
        <v>3.9980259999999999</v>
      </c>
      <c r="E3095">
        <v>0.50891640000000005</v>
      </c>
      <c r="F3095" t="s">
        <v>62</v>
      </c>
      <c r="G3095">
        <v>-512.82529999999997</v>
      </c>
      <c r="H3095">
        <v>0.47888229999999998</v>
      </c>
      <c r="I3095">
        <v>275.03870000000001</v>
      </c>
      <c r="J3095">
        <v>-397.01780000000002</v>
      </c>
      <c r="K3095">
        <v>1.1105929999999999</v>
      </c>
      <c r="L3095">
        <v>285.34539999999998</v>
      </c>
      <c r="M3095">
        <v>-0.99988759999999999</v>
      </c>
      <c r="N3095">
        <v>-1.37541E-2</v>
      </c>
      <c r="O3095">
        <v>-5.9782409999999996E-3</v>
      </c>
      <c r="P3095">
        <v>-0.97709749999999995</v>
      </c>
      <c r="Q3095">
        <v>0.17673759999999999</v>
      </c>
      <c r="R3095">
        <v>-0.1185099</v>
      </c>
      <c r="S3095">
        <v>-3.04068</v>
      </c>
      <c r="T3095">
        <v>-1.6557220000000001E-2</v>
      </c>
      <c r="U3095">
        <v>-0.27020260000000001</v>
      </c>
      <c r="V3095">
        <v>-0.1126583</v>
      </c>
      <c r="W3095">
        <v>0.19017400000000001</v>
      </c>
      <c r="X3095">
        <v>0.9752651</v>
      </c>
      <c r="Y3095">
        <v>-8.2552749999999994E-2</v>
      </c>
      <c r="Z3095">
        <v>-8.4278130000000001E-4</v>
      </c>
      <c r="AA3095">
        <v>0.99658630000000004</v>
      </c>
      <c r="AB3095">
        <v>36</v>
      </c>
      <c r="AC3095">
        <v>-115.807499999999</v>
      </c>
      <c r="AD3095">
        <v>-0.63171069999999996</v>
      </c>
      <c r="AE3095">
        <v>-10.3066999999999</v>
      </c>
      <c r="AF3095">
        <v>-9.6138413769390905</v>
      </c>
      <c r="AG3095">
        <v>-0.63171069999999996</v>
      </c>
      <c r="AH3095">
        <v>115.86363145371701</v>
      </c>
      <c r="AI3095">
        <v>90.311314632956197</v>
      </c>
      <c r="AJ3095">
        <v>94.743279469099093</v>
      </c>
      <c r="AK3095">
        <v>116.263520065721</v>
      </c>
      <c r="AL3095">
        <v>79.037061511439603</v>
      </c>
      <c r="AM3095">
        <v>96.589348882299007</v>
      </c>
      <c r="AN3095">
        <v>1.0000000290564399</v>
      </c>
    </row>
    <row r="3096" spans="1:40" x14ac:dyDescent="0.25">
      <c r="A3096" t="str">
        <f>"20190304154818010"</f>
        <v>20190304154818010</v>
      </c>
      <c r="B3096" t="str">
        <f>"1551685697999864"</f>
        <v>1551685697999864</v>
      </c>
      <c r="C3096" t="s">
        <v>40</v>
      </c>
      <c r="D3096">
        <v>3.9901230000000001</v>
      </c>
      <c r="E3096">
        <v>0.50851740000000001</v>
      </c>
      <c r="F3096" t="s">
        <v>62</v>
      </c>
      <c r="G3096">
        <v>-512.82529999999997</v>
      </c>
      <c r="H3096">
        <v>0.42992249999999999</v>
      </c>
      <c r="I3096">
        <v>274.9126</v>
      </c>
      <c r="J3096">
        <v>-397.22070000000002</v>
      </c>
      <c r="K3096">
        <v>1.1105929999999999</v>
      </c>
      <c r="L3096">
        <v>285.3442</v>
      </c>
      <c r="M3096">
        <v>-0.99988759999999999</v>
      </c>
      <c r="N3096">
        <v>-1.375262E-2</v>
      </c>
      <c r="O3096">
        <v>-5.9784699999999996E-3</v>
      </c>
      <c r="P3096">
        <v>-0.97706899999999997</v>
      </c>
      <c r="Q3096">
        <v>0.17673179999999999</v>
      </c>
      <c r="R3096">
        <v>-0.118753399999999</v>
      </c>
      <c r="S3096">
        <v>-3.0403440000000002</v>
      </c>
      <c r="T3096">
        <v>-1.78678E-2</v>
      </c>
      <c r="U3096">
        <v>-0.27389530000000001</v>
      </c>
      <c r="V3096">
        <v>-0.11290169999999999</v>
      </c>
      <c r="W3096">
        <v>0.19016649999999999</v>
      </c>
      <c r="X3096">
        <v>0.97523839999999995</v>
      </c>
      <c r="Y3096">
        <v>-8.3762409999999995E-2</v>
      </c>
      <c r="Z3096">
        <v>-8.6981949999999895E-4</v>
      </c>
      <c r="AA3096">
        <v>0.99648539999999997</v>
      </c>
      <c r="AB3096">
        <v>36</v>
      </c>
      <c r="AC3096">
        <v>-115.604599999999</v>
      </c>
      <c r="AD3096">
        <v>-0.68067049999999996</v>
      </c>
      <c r="AE3096">
        <v>-10.4316</v>
      </c>
      <c r="AF3096">
        <v>-9.7398746381267998</v>
      </c>
      <c r="AG3096">
        <v>-0.68067049999999996</v>
      </c>
      <c r="AH3096">
        <v>115.660927217832</v>
      </c>
      <c r="AI3096">
        <v>90.335995502895798</v>
      </c>
      <c r="AJ3096">
        <v>94.813554377726902</v>
      </c>
      <c r="AK3096">
        <v>116.07229882786299</v>
      </c>
      <c r="AL3096">
        <v>79.037499052642204</v>
      </c>
      <c r="AM3096">
        <v>96.6036388643913</v>
      </c>
      <c r="AN3096">
        <v>1.00000001420985</v>
      </c>
    </row>
    <row r="3097" spans="1:40" x14ac:dyDescent="0.25">
      <c r="A3097" t="str">
        <f>"20190304154818025"</f>
        <v>20190304154818025</v>
      </c>
      <c r="B3097" t="str">
        <f>"1551685698019384"</f>
        <v>1551685698019384</v>
      </c>
      <c r="C3097" t="s">
        <v>40</v>
      </c>
      <c r="D3097">
        <v>3.9782489999999999</v>
      </c>
      <c r="E3097">
        <v>0.50788929999999999</v>
      </c>
      <c r="F3097" t="s">
        <v>62</v>
      </c>
      <c r="G3097">
        <v>-512.82529999999997</v>
      </c>
      <c r="H3097">
        <v>0.38782060000000002</v>
      </c>
      <c r="I3097">
        <v>274.78140000000002</v>
      </c>
      <c r="J3097">
        <v>-397.43680000000001</v>
      </c>
      <c r="K3097">
        <v>1.1105959999999999</v>
      </c>
      <c r="L3097">
        <v>285.34289999999999</v>
      </c>
      <c r="M3097">
        <v>-0.99988770000000005</v>
      </c>
      <c r="N3097">
        <v>-1.3751040000000001E-2</v>
      </c>
      <c r="O3097">
        <v>-5.978578E-3</v>
      </c>
      <c r="P3097">
        <v>-0.97707299999999997</v>
      </c>
      <c r="Q3097">
        <v>0.17663239999999999</v>
      </c>
      <c r="R3097">
        <v>-0.11886910000000001</v>
      </c>
      <c r="S3097">
        <v>-3.0400700000000001</v>
      </c>
      <c r="T3097">
        <v>-1.9004699999999999E-2</v>
      </c>
      <c r="U3097">
        <v>-0.27777099999999999</v>
      </c>
      <c r="V3097">
        <v>-0.1130174</v>
      </c>
      <c r="W3097">
        <v>0.1900654</v>
      </c>
      <c r="X3097">
        <v>0.97524469999999996</v>
      </c>
      <c r="Y3097">
        <v>-8.5029800000000003E-2</v>
      </c>
      <c r="Z3097">
        <v>-8.9586600000000005E-4</v>
      </c>
      <c r="AA3097">
        <v>0.99637799999999999</v>
      </c>
      <c r="AB3097">
        <v>36</v>
      </c>
      <c r="AC3097">
        <v>-115.388499999999</v>
      </c>
      <c r="AD3097">
        <v>-0.72277539999999996</v>
      </c>
      <c r="AE3097">
        <v>-10.561499999999899</v>
      </c>
      <c r="AF3097">
        <v>-9.8710028378303107</v>
      </c>
      <c r="AG3097">
        <v>-0.72277539999999996</v>
      </c>
      <c r="AH3097">
        <v>115.445094178551</v>
      </c>
      <c r="AI3097">
        <v>90.357407046172696</v>
      </c>
      <c r="AJ3097">
        <v>94.887124488284101</v>
      </c>
      <c r="AK3097">
        <v>115.86858448776201</v>
      </c>
      <c r="AL3097">
        <v>79.043399185301297</v>
      </c>
      <c r="AM3097">
        <v>96.6103039897164</v>
      </c>
      <c r="AN3097">
        <v>1.000000006929</v>
      </c>
    </row>
    <row r="3098" spans="1:40" x14ac:dyDescent="0.25">
      <c r="A3098" t="str">
        <f>"20190304154818038"</f>
        <v>20190304154818038</v>
      </c>
      <c r="B3098" t="str">
        <f>"1551685698030120"</f>
        <v>1551685698030120</v>
      </c>
      <c r="C3098" t="s">
        <v>40</v>
      </c>
      <c r="D3098">
        <v>4.0026529999999996</v>
      </c>
      <c r="E3098">
        <v>0.50764010000000004</v>
      </c>
      <c r="F3098" t="s">
        <v>62</v>
      </c>
      <c r="G3098">
        <v>-512.82529999999997</v>
      </c>
      <c r="H3098">
        <v>0.30936039999999998</v>
      </c>
      <c r="I3098">
        <v>274.5949</v>
      </c>
      <c r="J3098">
        <v>-397.66109999999998</v>
      </c>
      <c r="K3098">
        <v>1.110598</v>
      </c>
      <c r="L3098">
        <v>285.34160000000003</v>
      </c>
      <c r="M3098">
        <v>-0.99988770000000005</v>
      </c>
      <c r="N3098">
        <v>-1.374939E-2</v>
      </c>
      <c r="O3098">
        <v>-5.9788050000000002E-3</v>
      </c>
      <c r="P3098">
        <v>-0.9770356</v>
      </c>
      <c r="Q3098">
        <v>0.1768795</v>
      </c>
      <c r="R3098">
        <v>-0.1188068</v>
      </c>
      <c r="S3098">
        <v>-3.0397639999999999</v>
      </c>
      <c r="T3098">
        <v>-2.1105410000000002E-2</v>
      </c>
      <c r="U3098">
        <v>-0.28314210000000001</v>
      </c>
      <c r="V3098">
        <v>-0.11295570000000001</v>
      </c>
      <c r="W3098">
        <v>0.19031020000000001</v>
      </c>
      <c r="X3098">
        <v>0.97520410000000002</v>
      </c>
      <c r="Y3098">
        <v>-8.6783250000000006E-2</v>
      </c>
      <c r="Z3098">
        <v>-9.391852E-4</v>
      </c>
      <c r="AA3098">
        <v>0.99622679999999997</v>
      </c>
      <c r="AB3098">
        <v>36</v>
      </c>
      <c r="AC3098">
        <v>-115.16419999999999</v>
      </c>
      <c r="AD3098">
        <v>-0.801237599999999</v>
      </c>
      <c r="AE3098">
        <v>-10.746700000000001</v>
      </c>
      <c r="AF3098">
        <v>-10.057415945185401</v>
      </c>
      <c r="AG3098">
        <v>-0.801237599999999</v>
      </c>
      <c r="AH3098">
        <v>115.220870661813</v>
      </c>
      <c r="AI3098">
        <v>90.396915110162695</v>
      </c>
      <c r="AJ3098">
        <v>94.988598147932095</v>
      </c>
      <c r="AK3098">
        <v>115.66175959777</v>
      </c>
      <c r="AL3098">
        <v>79.029112330195005</v>
      </c>
      <c r="AM3098">
        <v>96.606999736361502</v>
      </c>
      <c r="AN3098">
        <v>0.99999999952166996</v>
      </c>
    </row>
    <row r="3099" spans="1:40" x14ac:dyDescent="0.25">
      <c r="A3099" t="str">
        <f>"20190304154818050"</f>
        <v>20190304154818050</v>
      </c>
      <c r="B3099" t="str">
        <f>"1551685698039880"</f>
        <v>1551685698039880</v>
      </c>
      <c r="C3099" t="s">
        <v>40</v>
      </c>
      <c r="D3099">
        <v>3.9751449999999999</v>
      </c>
      <c r="E3099">
        <v>0.50739179999999995</v>
      </c>
      <c r="F3099" t="s">
        <v>62</v>
      </c>
      <c r="G3099">
        <v>-512.82529999999997</v>
      </c>
      <c r="H3099">
        <v>0.30977969999999999</v>
      </c>
      <c r="I3099">
        <v>274.54129999999998</v>
      </c>
      <c r="J3099">
        <v>-397.86009999999999</v>
      </c>
      <c r="K3099">
        <v>1.110598</v>
      </c>
      <c r="L3099">
        <v>285.34030000000001</v>
      </c>
      <c r="M3099">
        <v>-0.99988759999999999</v>
      </c>
      <c r="N3099">
        <v>-1.374793E-2</v>
      </c>
      <c r="O3099">
        <v>-5.9787950000000003E-3</v>
      </c>
      <c r="P3099">
        <v>-0.97702690000000003</v>
      </c>
      <c r="Q3099">
        <v>0.17703039999999901</v>
      </c>
      <c r="R3099">
        <v>-0.1186537</v>
      </c>
      <c r="S3099">
        <v>-3.0396730000000001</v>
      </c>
      <c r="T3099">
        <v>-2.113485E-2</v>
      </c>
      <c r="U3099">
        <v>-0.2850647</v>
      </c>
      <c r="V3099">
        <v>-0.1128021</v>
      </c>
      <c r="W3099">
        <v>0.19045999999999999</v>
      </c>
      <c r="X3099">
        <v>0.97519270000000002</v>
      </c>
      <c r="Y3099">
        <v>-8.7410619999999994E-2</v>
      </c>
      <c r="Z3099">
        <v>-9.4598849999999999E-4</v>
      </c>
      <c r="AA3099">
        <v>0.9961719</v>
      </c>
      <c r="AB3099">
        <v>36</v>
      </c>
      <c r="AC3099">
        <v>-114.965199999999</v>
      </c>
      <c r="AD3099">
        <v>-0.80081829999999998</v>
      </c>
      <c r="AE3099">
        <v>-10.798999999999999</v>
      </c>
      <c r="AF3099">
        <v>-10.110902303676699</v>
      </c>
      <c r="AG3099">
        <v>-0.80081829999999998</v>
      </c>
      <c r="AH3099">
        <v>115.022183683305</v>
      </c>
      <c r="AI3099">
        <v>90.397371376194201</v>
      </c>
      <c r="AJ3099">
        <v>95.023611587538298</v>
      </c>
      <c r="AK3099">
        <v>115.468499577244</v>
      </c>
      <c r="AL3099">
        <v>79.020370225713606</v>
      </c>
      <c r="AM3099">
        <v>96.598171097016902</v>
      </c>
      <c r="AN3099">
        <v>1.00000006374884</v>
      </c>
    </row>
    <row r="3100" spans="1:40" x14ac:dyDescent="0.25">
      <c r="A3100" t="str">
        <f>"20190304154818064"</f>
        <v>20190304154818064</v>
      </c>
      <c r="B3100" t="str">
        <f>"1551685698059400"</f>
        <v>1551685698059400</v>
      </c>
      <c r="C3100" t="s">
        <v>40</v>
      </c>
      <c r="D3100">
        <v>3.981878</v>
      </c>
      <c r="E3100">
        <v>0.50698849999999995</v>
      </c>
      <c r="F3100" t="s">
        <v>62</v>
      </c>
      <c r="G3100">
        <v>-512.82529999999997</v>
      </c>
      <c r="H3100">
        <v>0.31146560000000001</v>
      </c>
      <c r="I3100">
        <v>274.50630000000001</v>
      </c>
      <c r="J3100">
        <v>-398.05939999999998</v>
      </c>
      <c r="K3100">
        <v>1.1106</v>
      </c>
      <c r="L3100">
        <v>285.33920000000001</v>
      </c>
      <c r="M3100">
        <v>-0.99988770000000005</v>
      </c>
      <c r="N3100">
        <v>-1.374646E-2</v>
      </c>
      <c r="O3100">
        <v>-5.9789029999999998E-3</v>
      </c>
      <c r="P3100">
        <v>-0.97703289999999998</v>
      </c>
      <c r="Q3100">
        <v>0.17710680000000001</v>
      </c>
      <c r="R3100">
        <v>-0.118492</v>
      </c>
      <c r="S3100">
        <v>-3.0395509999999999</v>
      </c>
      <c r="T3100">
        <v>-2.1126030000000001E-2</v>
      </c>
      <c r="U3100">
        <v>-0.28643800000000003</v>
      </c>
      <c r="V3100">
        <v>-0.11264</v>
      </c>
      <c r="W3100">
        <v>0.19053439999999999</v>
      </c>
      <c r="X3100">
        <v>0.97519679999999997</v>
      </c>
      <c r="Y3100">
        <v>-8.7860339999999995E-2</v>
      </c>
      <c r="Z3100">
        <v>-9.5048020000000003E-4</v>
      </c>
      <c r="AA3100">
        <v>0.99613240000000003</v>
      </c>
      <c r="AB3100">
        <v>36</v>
      </c>
      <c r="AC3100">
        <v>-114.7659</v>
      </c>
      <c r="AD3100">
        <v>-0.79913440000000002</v>
      </c>
      <c r="AE3100">
        <v>-10.832899999999899</v>
      </c>
      <c r="AF3100">
        <v>-10.1459797658319</v>
      </c>
      <c r="AG3100">
        <v>-0.79913440000000002</v>
      </c>
      <c r="AH3100">
        <v>114.82310516746099</v>
      </c>
      <c r="AI3100">
        <v>90.397207420270107</v>
      </c>
      <c r="AJ3100">
        <v>95.049644986232593</v>
      </c>
      <c r="AK3100">
        <v>115.27326230091499</v>
      </c>
      <c r="AL3100">
        <v>79.016026781375601</v>
      </c>
      <c r="AM3100">
        <v>96.588745299638305</v>
      </c>
      <c r="AN3100">
        <v>0.99999996295679905</v>
      </c>
    </row>
    <row r="3101" spans="1:40" x14ac:dyDescent="0.25">
      <c r="A3101" t="str">
        <f>"20190304154818077"</f>
        <v>20190304154818077</v>
      </c>
      <c r="B3101" t="str">
        <f>"1551685698070136"</f>
        <v>1551685698070136</v>
      </c>
      <c r="C3101" t="s">
        <v>40</v>
      </c>
      <c r="D3101">
        <v>3.9777119999999999</v>
      </c>
      <c r="E3101">
        <v>0.50681769999999904</v>
      </c>
      <c r="F3101" t="s">
        <v>62</v>
      </c>
      <c r="G3101">
        <v>-512.82529999999997</v>
      </c>
      <c r="H3101">
        <v>0.29821019999999998</v>
      </c>
      <c r="I3101">
        <v>274.4255</v>
      </c>
      <c r="J3101">
        <v>-398.28699999999998</v>
      </c>
      <c r="K3101">
        <v>1.110595</v>
      </c>
      <c r="L3101">
        <v>285.33780000000002</v>
      </c>
      <c r="M3101">
        <v>-0.99988779999999999</v>
      </c>
      <c r="N3101">
        <v>-1.374479E-2</v>
      </c>
      <c r="O3101">
        <v>-5.97913E-3</v>
      </c>
      <c r="P3101">
        <v>-0.97696919999999998</v>
      </c>
      <c r="Q3101">
        <v>0.177369</v>
      </c>
      <c r="R3101">
        <v>-0.11862399999999999</v>
      </c>
      <c r="S3101">
        <v>-3.0393979999999998</v>
      </c>
      <c r="T3101">
        <v>-2.1512750000000001E-2</v>
      </c>
      <c r="U3101">
        <v>-0.28903200000000001</v>
      </c>
      <c r="V3101">
        <v>-0.11277230000000001</v>
      </c>
      <c r="W3101">
        <v>0.1907942</v>
      </c>
      <c r="X3101">
        <v>0.97513070000000002</v>
      </c>
      <c r="Y3101">
        <v>-8.8707129999999995E-2</v>
      </c>
      <c r="Z3101">
        <v>-9.6406309999999995E-4</v>
      </c>
      <c r="AA3101">
        <v>0.99605730000000003</v>
      </c>
      <c r="AB3101">
        <v>36</v>
      </c>
      <c r="AC3101">
        <v>-114.53830000000001</v>
      </c>
      <c r="AD3101">
        <v>-0.81238480000000002</v>
      </c>
      <c r="AE3101">
        <v>-10.9123</v>
      </c>
      <c r="AF3101">
        <v>-10.226691077143499</v>
      </c>
      <c r="AG3101">
        <v>-0.81238480000000002</v>
      </c>
      <c r="AH3101">
        <v>114.595791407736</v>
      </c>
      <c r="AI3101">
        <v>90.404562866911405</v>
      </c>
      <c r="AJ3101">
        <v>95.099647401872005</v>
      </c>
      <c r="AK3101">
        <v>115.05407679789499</v>
      </c>
      <c r="AL3101">
        <v>79.000863023624007</v>
      </c>
      <c r="AM3101">
        <v>96.596859073094606</v>
      </c>
      <c r="AN3101">
        <v>0.99999995024170796</v>
      </c>
    </row>
    <row r="3102" spans="1:40" x14ac:dyDescent="0.25">
      <c r="A3102" t="str">
        <f>"20190304154818095"</f>
        <v>20190304154818095</v>
      </c>
      <c r="B3102" t="str">
        <f>"1551685698089655"</f>
        <v>1551685698089655</v>
      </c>
      <c r="C3102" t="s">
        <v>40</v>
      </c>
      <c r="D3102">
        <v>3.954688</v>
      </c>
      <c r="E3102">
        <v>0.50650790000000001</v>
      </c>
      <c r="F3102" t="s">
        <v>62</v>
      </c>
      <c r="G3102">
        <v>-512.82529999999997</v>
      </c>
      <c r="H3102">
        <v>0.32689200000000002</v>
      </c>
      <c r="I3102">
        <v>274.38049999999998</v>
      </c>
      <c r="J3102">
        <v>-398.57190000000003</v>
      </c>
      <c r="K3102">
        <v>1.1106</v>
      </c>
      <c r="L3102">
        <v>285.33609999999999</v>
      </c>
      <c r="M3102">
        <v>-0.99988770000000005</v>
      </c>
      <c r="N3102">
        <v>-1.374269E-2</v>
      </c>
      <c r="O3102">
        <v>-5.9791159999999996E-3</v>
      </c>
      <c r="P3102">
        <v>-0.97692690000000004</v>
      </c>
      <c r="Q3102">
        <v>0.17759420000000001</v>
      </c>
      <c r="R3102">
        <v>-0.1186343</v>
      </c>
      <c r="S3102">
        <v>-3.0391539999999999</v>
      </c>
      <c r="T3102">
        <v>-2.0792600000000001E-2</v>
      </c>
      <c r="U3102">
        <v>-0.29074100000000003</v>
      </c>
      <c r="V3102">
        <v>-0.1127831</v>
      </c>
      <c r="W3102">
        <v>0.19101699999999999</v>
      </c>
      <c r="X3102">
        <v>0.97508589999999995</v>
      </c>
      <c r="Y3102">
        <v>-8.9269979999999999E-2</v>
      </c>
      <c r="Z3102">
        <v>-9.6071049999999999E-4</v>
      </c>
      <c r="AA3102">
        <v>0.99600699999999998</v>
      </c>
      <c r="AB3102">
        <v>36</v>
      </c>
      <c r="AC3102">
        <v>-114.253399999999</v>
      </c>
      <c r="AD3102">
        <v>-0.78370799999999996</v>
      </c>
      <c r="AE3102">
        <v>-10.9556</v>
      </c>
      <c r="AF3102">
        <v>-10.2717263956604</v>
      </c>
      <c r="AG3102">
        <v>-0.78370799999999996</v>
      </c>
      <c r="AH3102">
        <v>114.311538827955</v>
      </c>
      <c r="AI3102">
        <v>90.391231498067</v>
      </c>
      <c r="AJ3102">
        <v>95.134654119651401</v>
      </c>
      <c r="AK3102">
        <v>114.774781509666</v>
      </c>
      <c r="AL3102">
        <v>78.987859092531096</v>
      </c>
      <c r="AM3102">
        <v>96.597785719846897</v>
      </c>
      <c r="AN3102">
        <v>1.0000000171567001</v>
      </c>
    </row>
    <row r="3103" spans="1:40" x14ac:dyDescent="0.25">
      <c r="A3103" t="str">
        <f>"20190304154818117"</f>
        <v>20190304154818117</v>
      </c>
      <c r="B3103" t="str">
        <f>"1551685698110152"</f>
        <v>1551685698110152</v>
      </c>
      <c r="C3103" t="s">
        <v>40</v>
      </c>
      <c r="D3103">
        <v>3.950717</v>
      </c>
      <c r="E3103">
        <v>0.50617780000000001</v>
      </c>
      <c r="F3103" t="s">
        <v>62</v>
      </c>
      <c r="G3103">
        <v>-512.82529999999997</v>
      </c>
      <c r="H3103">
        <v>0.34401120000000002</v>
      </c>
      <c r="I3103">
        <v>274.31580000000002</v>
      </c>
      <c r="J3103">
        <v>-398.93729999999999</v>
      </c>
      <c r="K3103">
        <v>1.1106</v>
      </c>
      <c r="L3103">
        <v>285.33390000000003</v>
      </c>
      <c r="M3103">
        <v>-0.99988779999999999</v>
      </c>
      <c r="N3103">
        <v>-1.374009E-2</v>
      </c>
      <c r="O3103">
        <v>-5.979336E-3</v>
      </c>
      <c r="P3103">
        <v>-0.97697639999999997</v>
      </c>
      <c r="Q3103">
        <v>0.17762169999999999</v>
      </c>
      <c r="R3103">
        <v>-0.1181859</v>
      </c>
      <c r="S3103">
        <v>-3.0389400000000002</v>
      </c>
      <c r="T3103">
        <v>-2.038777E-2</v>
      </c>
      <c r="U3103">
        <v>-0.29312129999999997</v>
      </c>
      <c r="V3103">
        <v>-0.1123343</v>
      </c>
      <c r="W3103">
        <v>0.19104270000000001</v>
      </c>
      <c r="X3103">
        <v>0.97513260000000002</v>
      </c>
      <c r="Y3103">
        <v>-9.0049519999999994E-2</v>
      </c>
      <c r="Z3103">
        <v>-9.634477E-4</v>
      </c>
      <c r="AA3103">
        <v>0.99593679999999996</v>
      </c>
      <c r="AB3103">
        <v>36</v>
      </c>
      <c r="AC3103">
        <v>-113.887999999999</v>
      </c>
      <c r="AD3103">
        <v>-0.76658879999999996</v>
      </c>
      <c r="AE3103">
        <v>-11.0181</v>
      </c>
      <c r="AF3103">
        <v>-10.336400171057701</v>
      </c>
      <c r="AG3103">
        <v>-0.76658879999999996</v>
      </c>
      <c r="AH3103">
        <v>113.94673608957601</v>
      </c>
      <c r="AI3103">
        <v>90.383881489583899</v>
      </c>
      <c r="AJ3103">
        <v>95.183260634948496</v>
      </c>
      <c r="AK3103">
        <v>114.417164325778</v>
      </c>
      <c r="AL3103">
        <v>78.986358192504099</v>
      </c>
      <c r="AM3103">
        <v>96.571449162489998</v>
      </c>
      <c r="AN3103">
        <v>0.999999947881268</v>
      </c>
    </row>
    <row r="3104" spans="1:40" x14ac:dyDescent="0.25">
      <c r="A3104" t="str">
        <f>"20190304154818132"</f>
        <v>20190304154818132</v>
      </c>
      <c r="B3104" t="str">
        <f>"1551685698119911"</f>
        <v>1551685698119911</v>
      </c>
      <c r="C3104" t="s">
        <v>40</v>
      </c>
      <c r="D3104">
        <v>3.970523</v>
      </c>
      <c r="E3104">
        <v>0.50603999999999905</v>
      </c>
      <c r="F3104" t="s">
        <v>62</v>
      </c>
      <c r="G3104">
        <v>-512.82529999999997</v>
      </c>
      <c r="H3104">
        <v>0.34266029999999997</v>
      </c>
      <c r="I3104">
        <v>274.27140000000003</v>
      </c>
      <c r="J3104">
        <v>-399.16019999999997</v>
      </c>
      <c r="K3104">
        <v>1.1106009999999999</v>
      </c>
      <c r="L3104">
        <v>285.33260000000001</v>
      </c>
      <c r="M3104">
        <v>-0.99988790000000005</v>
      </c>
      <c r="N3104">
        <v>-1.373862E-2</v>
      </c>
      <c r="O3104">
        <v>-5.9796839999999999E-3</v>
      </c>
      <c r="P3104">
        <v>-0.97689369999999998</v>
      </c>
      <c r="Q3104">
        <v>0.1778814</v>
      </c>
      <c r="R3104">
        <v>-0.1184796</v>
      </c>
      <c r="S3104">
        <v>-3.0387270000000002</v>
      </c>
      <c r="T3104">
        <v>-2.0487789999999999E-2</v>
      </c>
      <c r="U3104">
        <v>-0.29516599999999998</v>
      </c>
      <c r="V3104">
        <v>-0.11262759999999999</v>
      </c>
      <c r="W3104">
        <v>0.1913002</v>
      </c>
      <c r="X3104">
        <v>0.97504840000000004</v>
      </c>
      <c r="Y3104">
        <v>-9.0719670000000002E-2</v>
      </c>
      <c r="Z3104">
        <v>-9.7155310000000003E-4</v>
      </c>
      <c r="AA3104">
        <v>0.99587599999999998</v>
      </c>
      <c r="AB3104">
        <v>36</v>
      </c>
      <c r="AC3104">
        <v>-113.6651</v>
      </c>
      <c r="AD3104">
        <v>-0.76794069999999903</v>
      </c>
      <c r="AE3104">
        <v>-11.0611999999999</v>
      </c>
      <c r="AF3104">
        <v>-10.3807873855851</v>
      </c>
      <c r="AG3104">
        <v>-0.76794069999999903</v>
      </c>
      <c r="AH3104">
        <v>113.72407384042199</v>
      </c>
      <c r="AI3104">
        <v>90.385291617750596</v>
      </c>
      <c r="AJ3104">
        <v>95.215532478474699</v>
      </c>
      <c r="AK3104">
        <v>114.199454685761</v>
      </c>
      <c r="AL3104">
        <v>78.9713285894791</v>
      </c>
      <c r="AM3104">
        <v>96.589020217906494</v>
      </c>
      <c r="AN3104">
        <v>1.0000000625721699</v>
      </c>
    </row>
    <row r="3105" spans="1:40" x14ac:dyDescent="0.25">
      <c r="A3105" t="str">
        <f>"20190304154818145"</f>
        <v>20190304154818145</v>
      </c>
      <c r="B3105" t="str">
        <f>"1551685698139432"</f>
        <v>1551685698139432</v>
      </c>
      <c r="C3105" t="s">
        <v>40</v>
      </c>
      <c r="D3105">
        <v>3.989382</v>
      </c>
      <c r="E3105">
        <v>0.50577179999999999</v>
      </c>
      <c r="F3105" t="s">
        <v>62</v>
      </c>
      <c r="G3105">
        <v>-512.82529999999997</v>
      </c>
      <c r="H3105">
        <v>0.36640889999999998</v>
      </c>
      <c r="I3105">
        <v>274.22269999999997</v>
      </c>
      <c r="J3105">
        <v>-399.38369999999998</v>
      </c>
      <c r="K3105">
        <v>1.1106</v>
      </c>
      <c r="L3105">
        <v>285.33120000000002</v>
      </c>
      <c r="M3105">
        <v>-0.99988790000000005</v>
      </c>
      <c r="N3105">
        <v>-1.3737070000000001E-2</v>
      </c>
      <c r="O3105">
        <v>-5.9796729999999996E-3</v>
      </c>
      <c r="P3105">
        <v>-0.97693350000000001</v>
      </c>
      <c r="Q3105">
        <v>0.17777499999999999</v>
      </c>
      <c r="R3105">
        <v>-0.1183099</v>
      </c>
      <c r="S3105">
        <v>-3.0385740000000001</v>
      </c>
      <c r="T3105">
        <v>-1.9892099999999999E-2</v>
      </c>
      <c r="U3105">
        <v>-0.29699710000000001</v>
      </c>
      <c r="V3105">
        <v>-0.112458</v>
      </c>
      <c r="W3105">
        <v>0.19119249999999999</v>
      </c>
      <c r="X3105">
        <v>0.97508899999999998</v>
      </c>
      <c r="Y3105">
        <v>-9.1319139999999993E-2</v>
      </c>
      <c r="Z3105">
        <v>-9.6987769999999998E-4</v>
      </c>
      <c r="AA3105">
        <v>0.99582119999999996</v>
      </c>
      <c r="AB3105">
        <v>36</v>
      </c>
      <c r="AC3105">
        <v>-113.44159999999999</v>
      </c>
      <c r="AD3105">
        <v>-0.74419109999999999</v>
      </c>
      <c r="AE3105">
        <v>-11.108499999999999</v>
      </c>
      <c r="AF3105">
        <v>-10.4294491972571</v>
      </c>
      <c r="AG3105">
        <v>-0.74419109999999999</v>
      </c>
      <c r="AH3105">
        <v>113.501164761792</v>
      </c>
      <c r="AI3105">
        <v>90.374088907659697</v>
      </c>
      <c r="AJ3105">
        <v>95.250078723914697</v>
      </c>
      <c r="AK3105">
        <v>113.98176009009001</v>
      </c>
      <c r="AL3105">
        <v>78.977614306558095</v>
      </c>
      <c r="AM3105">
        <v>96.578913673864193</v>
      </c>
      <c r="AN3105">
        <v>0.99999996587062401</v>
      </c>
    </row>
    <row r="3106" spans="1:40" x14ac:dyDescent="0.25">
      <c r="A3106" t="str">
        <f>"20190304154818161"</f>
        <v>20190304154818161</v>
      </c>
      <c r="B3106" t="str">
        <f>"1551685698150168"</f>
        <v>1551685698150168</v>
      </c>
      <c r="C3106" t="s">
        <v>40</v>
      </c>
      <c r="D3106">
        <v>3.970885</v>
      </c>
      <c r="E3106">
        <v>0.50566469999999997</v>
      </c>
      <c r="F3106" t="s">
        <v>62</v>
      </c>
      <c r="G3106">
        <v>-512.82529999999997</v>
      </c>
      <c r="H3106">
        <v>0.33947430000000001</v>
      </c>
      <c r="I3106">
        <v>274.18209999999999</v>
      </c>
      <c r="J3106">
        <v>-399.63959999999997</v>
      </c>
      <c r="K3106">
        <v>1.1106</v>
      </c>
      <c r="L3106">
        <v>285.3297</v>
      </c>
      <c r="M3106">
        <v>-0.99988779999999999</v>
      </c>
      <c r="N3106">
        <v>-1.3735209999999999E-2</v>
      </c>
      <c r="O3106">
        <v>-5.9796609999999998E-3</v>
      </c>
      <c r="P3106">
        <v>-0.97687610000000002</v>
      </c>
      <c r="Q3106">
        <v>0.1780012</v>
      </c>
      <c r="R3106">
        <v>-0.1184432</v>
      </c>
      <c r="S3106">
        <v>-3.0383909999999998</v>
      </c>
      <c r="T3106">
        <v>-2.065146E-2</v>
      </c>
      <c r="U3106">
        <v>-0.2986145</v>
      </c>
      <c r="V3106">
        <v>-0.1125915</v>
      </c>
      <c r="W3106">
        <v>0.19141620000000001</v>
      </c>
      <c r="X3106">
        <v>0.9750297</v>
      </c>
      <c r="Y3106">
        <v>-9.1849680000000003E-2</v>
      </c>
      <c r="Z3106">
        <v>-9.851495E-4</v>
      </c>
      <c r="AA3106">
        <v>0.9957724</v>
      </c>
      <c r="AB3106">
        <v>36</v>
      </c>
      <c r="AC3106">
        <v>-113.1857</v>
      </c>
      <c r="AD3106">
        <v>-0.77112569999999903</v>
      </c>
      <c r="AE3106">
        <v>-11.147600000000001</v>
      </c>
      <c r="AF3106">
        <v>-10.4700433946981</v>
      </c>
      <c r="AG3106">
        <v>-0.77112569999999903</v>
      </c>
      <c r="AH3106">
        <v>113.24513532101</v>
      </c>
      <c r="AI3106">
        <v>90.388484183124206</v>
      </c>
      <c r="AJ3106">
        <v>95.282246790727598</v>
      </c>
      <c r="AK3106">
        <v>113.730721959398</v>
      </c>
      <c r="AL3106">
        <v>78.964556017742396</v>
      </c>
      <c r="AM3106">
        <v>96.587052052131597</v>
      </c>
      <c r="AN3106">
        <v>0.99999996168838901</v>
      </c>
    </row>
    <row r="3107" spans="1:40" x14ac:dyDescent="0.25">
      <c r="A3107" t="str">
        <f>"20190304154818176"</f>
        <v>20190304154818176</v>
      </c>
      <c r="B3107" t="str">
        <f>"1551685698169688"</f>
        <v>1551685698169688</v>
      </c>
      <c r="C3107" t="s">
        <v>40</v>
      </c>
      <c r="D3107">
        <v>3.969922</v>
      </c>
      <c r="E3107">
        <v>0.50543729999999998</v>
      </c>
      <c r="F3107" t="s">
        <v>62</v>
      </c>
      <c r="G3107">
        <v>-512.82529999999997</v>
      </c>
      <c r="H3107">
        <v>0.36520580000000002</v>
      </c>
      <c r="I3107">
        <v>274.1771</v>
      </c>
      <c r="J3107">
        <v>-399.86189999999999</v>
      </c>
      <c r="K3107">
        <v>1.1105959999999999</v>
      </c>
      <c r="L3107">
        <v>285.32839999999999</v>
      </c>
      <c r="M3107">
        <v>-0.99988779999999999</v>
      </c>
      <c r="N3107">
        <v>-1.3733550000000001E-2</v>
      </c>
      <c r="O3107">
        <v>-5.9796500000000004E-3</v>
      </c>
      <c r="P3107">
        <v>-0.97690679999999996</v>
      </c>
      <c r="Q3107">
        <v>0.17789059999999901</v>
      </c>
      <c r="R3107">
        <v>-0.1183559</v>
      </c>
      <c r="S3107">
        <v>-3.0383300000000002</v>
      </c>
      <c r="T3107">
        <v>-2.0007009999999999E-2</v>
      </c>
      <c r="U3107">
        <v>-0.29937740000000002</v>
      </c>
      <c r="V3107">
        <v>-0.1125043</v>
      </c>
      <c r="W3107">
        <v>0.19130440000000001</v>
      </c>
      <c r="X3107">
        <v>0.97506179999999998</v>
      </c>
      <c r="Y3107">
        <v>-9.2099529999999999E-2</v>
      </c>
      <c r="Z3107">
        <v>-9.7915960000000005E-4</v>
      </c>
      <c r="AA3107">
        <v>0.99574940000000001</v>
      </c>
      <c r="AB3107">
        <v>36</v>
      </c>
      <c r="AC3107">
        <v>-112.963399999999</v>
      </c>
      <c r="AD3107">
        <v>-0.745390199999999</v>
      </c>
      <c r="AE3107">
        <v>-11.1512999999999</v>
      </c>
      <c r="AF3107">
        <v>-10.475103596224001</v>
      </c>
      <c r="AG3107">
        <v>-0.745390199999999</v>
      </c>
      <c r="AH3107">
        <v>113.02319361382</v>
      </c>
      <c r="AI3107">
        <v>90.376248878700594</v>
      </c>
      <c r="AJ3107">
        <v>95.295103974721101</v>
      </c>
      <c r="AK3107">
        <v>113.510024652314</v>
      </c>
      <c r="AL3107">
        <v>78.971083305600999</v>
      </c>
      <c r="AM3107">
        <v>96.5817805012707</v>
      </c>
      <c r="AN3107">
        <v>1.00000005239854</v>
      </c>
    </row>
    <row r="3108" spans="1:40" x14ac:dyDescent="0.25">
      <c r="A3108" t="str">
        <f>"20190304154818190"</f>
        <v>20190304154818190</v>
      </c>
      <c r="B3108" t="str">
        <f>"1551685698179448"</f>
        <v>1551685698179448</v>
      </c>
      <c r="C3108" t="s">
        <v>40</v>
      </c>
      <c r="D3108">
        <v>3.990488</v>
      </c>
      <c r="E3108">
        <v>0.50529690000000005</v>
      </c>
      <c r="F3108" t="s">
        <v>62</v>
      </c>
      <c r="G3108">
        <v>-512.82529999999997</v>
      </c>
      <c r="H3108">
        <v>0.34825790000000001</v>
      </c>
      <c r="I3108">
        <v>274.13799999999998</v>
      </c>
      <c r="J3108">
        <v>-400.10509999999999</v>
      </c>
      <c r="K3108">
        <v>1.1106009999999999</v>
      </c>
      <c r="L3108">
        <v>285.327</v>
      </c>
      <c r="M3108">
        <v>-0.99988779999999999</v>
      </c>
      <c r="N3108">
        <v>-1.3731699999999999E-2</v>
      </c>
      <c r="O3108">
        <v>-5.979636E-3</v>
      </c>
      <c r="P3108">
        <v>-0.97694029999999998</v>
      </c>
      <c r="Q3108">
        <v>0.17769579999999999</v>
      </c>
      <c r="R3108">
        <v>-0.1183709</v>
      </c>
      <c r="S3108">
        <v>-3.0381469999999999</v>
      </c>
      <c r="T3108">
        <v>-2.0500899999999999E-2</v>
      </c>
      <c r="U3108">
        <v>-0.30096440000000002</v>
      </c>
      <c r="V3108">
        <v>-0.1125193</v>
      </c>
      <c r="W3108">
        <v>0.19110820000000001</v>
      </c>
      <c r="X3108">
        <v>0.97509849999999998</v>
      </c>
      <c r="Y3108">
        <v>-9.2620240000000006E-2</v>
      </c>
      <c r="Z3108">
        <v>-9.9092119999999993E-4</v>
      </c>
      <c r="AA3108">
        <v>0.99570099999999995</v>
      </c>
      <c r="AB3108">
        <v>36</v>
      </c>
      <c r="AC3108">
        <v>-112.720199999999</v>
      </c>
      <c r="AD3108">
        <v>-0.76234309999999905</v>
      </c>
      <c r="AE3108">
        <v>-11.189</v>
      </c>
      <c r="AF3108">
        <v>-10.514234347131399</v>
      </c>
      <c r="AG3108">
        <v>-0.76234309999999905</v>
      </c>
      <c r="AH3108">
        <v>112.779988606554</v>
      </c>
      <c r="AI3108">
        <v>90.385616258976995</v>
      </c>
      <c r="AJ3108">
        <v>95.326166504137802</v>
      </c>
      <c r="AK3108">
        <v>113.27160333023799</v>
      </c>
      <c r="AL3108">
        <v>78.982535577807596</v>
      </c>
      <c r="AM3108">
        <v>96.5824047588995</v>
      </c>
      <c r="AN3108">
        <v>1.0000000108409799</v>
      </c>
    </row>
    <row r="3109" spans="1:40" x14ac:dyDescent="0.25">
      <c r="A3109" t="str">
        <f>"20190304154818206"</f>
        <v>20190304154818206</v>
      </c>
      <c r="B3109" t="str">
        <f>"1551685698199943"</f>
        <v>1551685698199943</v>
      </c>
      <c r="C3109" t="s">
        <v>40</v>
      </c>
      <c r="D3109">
        <v>3.9963820000000001</v>
      </c>
      <c r="E3109">
        <v>0.50506790000000001</v>
      </c>
      <c r="F3109" t="s">
        <v>62</v>
      </c>
      <c r="G3109">
        <v>-512.82529999999997</v>
      </c>
      <c r="H3109">
        <v>0.3322753</v>
      </c>
      <c r="I3109">
        <v>274.10340000000002</v>
      </c>
      <c r="J3109">
        <v>-400.35969999999998</v>
      </c>
      <c r="K3109">
        <v>1.1106</v>
      </c>
      <c r="L3109">
        <v>285.3254</v>
      </c>
      <c r="M3109">
        <v>-0.999888</v>
      </c>
      <c r="N3109">
        <v>-1.3729770000000001E-2</v>
      </c>
      <c r="O3109">
        <v>-5.9799809999999997E-3</v>
      </c>
      <c r="P3109">
        <v>-0.97699669999999905</v>
      </c>
      <c r="Q3109">
        <v>0.17756710000000001</v>
      </c>
      <c r="R3109">
        <v>-0.1181015</v>
      </c>
      <c r="S3109">
        <v>-3.0379640000000001</v>
      </c>
      <c r="T3109">
        <v>-2.0974759999999999E-2</v>
      </c>
      <c r="U3109">
        <v>-0.30249019999999999</v>
      </c>
      <c r="V3109">
        <v>-0.1122488</v>
      </c>
      <c r="W3109">
        <v>0.19097810000000001</v>
      </c>
      <c r="X3109">
        <v>0.97515510000000005</v>
      </c>
      <c r="Y3109">
        <v>-9.3120750000000002E-2</v>
      </c>
      <c r="Z3109">
        <v>-1.0022900000000001E-3</v>
      </c>
      <c r="AA3109">
        <v>0.99565429999999999</v>
      </c>
      <c r="AB3109">
        <v>36</v>
      </c>
      <c r="AC3109">
        <v>-112.46559999999999</v>
      </c>
      <c r="AD3109">
        <v>-0.77832469999999998</v>
      </c>
      <c r="AE3109">
        <v>-11.2219999999999</v>
      </c>
      <c r="AF3109">
        <v>-10.548693614774001</v>
      </c>
      <c r="AG3109">
        <v>-0.77832469999999998</v>
      </c>
      <c r="AH3109">
        <v>112.525366197502</v>
      </c>
      <c r="AI3109">
        <v>90.394571909029196</v>
      </c>
      <c r="AJ3109">
        <v>95.355542655061896</v>
      </c>
      <c r="AK3109">
        <v>113.021408433088</v>
      </c>
      <c r="AL3109">
        <v>78.990128932761394</v>
      </c>
      <c r="AM3109">
        <v>96.566341005656398</v>
      </c>
      <c r="AN3109">
        <v>0.99999994841852802</v>
      </c>
    </row>
    <row r="3110" spans="1:40" x14ac:dyDescent="0.25">
      <c r="A3110" t="str">
        <f>"20190304154818220"</f>
        <v>20190304154818220</v>
      </c>
      <c r="B3110" t="str">
        <f>"1551685698209703"</f>
        <v>1551685698209703</v>
      </c>
      <c r="C3110" t="s">
        <v>40</v>
      </c>
      <c r="D3110">
        <v>4.0019650000000002</v>
      </c>
      <c r="E3110">
        <v>0.50494919999999999</v>
      </c>
      <c r="F3110" t="s">
        <v>62</v>
      </c>
      <c r="G3110">
        <v>-512.82529999999997</v>
      </c>
      <c r="H3110">
        <v>0.31107259999999998</v>
      </c>
      <c r="I3110">
        <v>274.09530000000001</v>
      </c>
      <c r="J3110">
        <v>-400.56959999999998</v>
      </c>
      <c r="K3110">
        <v>1.1106009999999999</v>
      </c>
      <c r="L3110">
        <v>285.32420000000002</v>
      </c>
      <c r="M3110">
        <v>-0.99988809999999995</v>
      </c>
      <c r="N3110">
        <v>-1.3728199999999999E-2</v>
      </c>
      <c r="O3110">
        <v>-5.9800890000000001E-3</v>
      </c>
      <c r="P3110">
        <v>-0.97696930000000004</v>
      </c>
      <c r="Q3110">
        <v>0.17753379999999999</v>
      </c>
      <c r="R3110">
        <v>-0.1183773</v>
      </c>
      <c r="S3110">
        <v>-3.037903</v>
      </c>
      <c r="T3110">
        <v>-2.1594519999999999E-2</v>
      </c>
      <c r="U3110">
        <v>-0.30334470000000002</v>
      </c>
      <c r="V3110">
        <v>-0.1125244</v>
      </c>
      <c r="W3110">
        <v>0.190943</v>
      </c>
      <c r="X3110">
        <v>0.97513030000000001</v>
      </c>
      <c r="Y3110">
        <v>-9.3399629999999997E-2</v>
      </c>
      <c r="Z3110">
        <v>-1.013384E-3</v>
      </c>
      <c r="AA3110">
        <v>0.99562819999999996</v>
      </c>
      <c r="AB3110">
        <v>36</v>
      </c>
      <c r="AC3110">
        <v>-112.2557</v>
      </c>
      <c r="AD3110">
        <v>-0.79952840000000003</v>
      </c>
      <c r="AE3110">
        <v>-11.228899999999999</v>
      </c>
      <c r="AF3110">
        <v>-10.5568067586824</v>
      </c>
      <c r="AG3110">
        <v>-0.79952840000000003</v>
      </c>
      <c r="AH3110">
        <v>112.31520740197401</v>
      </c>
      <c r="AI3110">
        <v>90.406069810725697</v>
      </c>
      <c r="AJ3110">
        <v>95.369607830142201</v>
      </c>
      <c r="AK3110">
        <v>112.81308092748399</v>
      </c>
      <c r="AL3110">
        <v>78.992178692179806</v>
      </c>
      <c r="AM3110">
        <v>96.582487706966106</v>
      </c>
      <c r="AN3110">
        <v>1.00000003591122</v>
      </c>
    </row>
    <row r="3111" spans="1:40" x14ac:dyDescent="0.25">
      <c r="A3111" t="str">
        <f>"20190304154818233"</f>
        <v>20190304154818233</v>
      </c>
      <c r="B3111" t="str">
        <f>"1551685698230201"</f>
        <v>1551685698230201</v>
      </c>
      <c r="C3111" t="s">
        <v>40</v>
      </c>
      <c r="D3111">
        <v>4.001512</v>
      </c>
      <c r="E3111">
        <v>0.50475820000000005</v>
      </c>
      <c r="F3111" t="s">
        <v>62</v>
      </c>
      <c r="G3111">
        <v>-512.82529999999997</v>
      </c>
      <c r="H3111">
        <v>0.29798010000000003</v>
      </c>
      <c r="I3111">
        <v>274.0444</v>
      </c>
      <c r="J3111">
        <v>-400.77460000000002</v>
      </c>
      <c r="K3111">
        <v>1.1106009999999999</v>
      </c>
      <c r="L3111">
        <v>285.3229</v>
      </c>
      <c r="M3111">
        <v>-0.99988790000000005</v>
      </c>
      <c r="N3111">
        <v>-1.372667E-2</v>
      </c>
      <c r="O3111">
        <v>-5.9800779999999998E-3</v>
      </c>
      <c r="P3111">
        <v>-0.97697100000000003</v>
      </c>
      <c r="Q3111">
        <v>0.1775553</v>
      </c>
      <c r="R3111">
        <v>-0.118331199999999</v>
      </c>
      <c r="S3111">
        <v>-3.0377200000000002</v>
      </c>
      <c r="T3111">
        <v>-2.1987920000000001E-2</v>
      </c>
      <c r="U3111">
        <v>-0.30523679999999997</v>
      </c>
      <c r="V3111">
        <v>-0.11247840000000001</v>
      </c>
      <c r="W3111">
        <v>0.1909632</v>
      </c>
      <c r="X3111">
        <v>0.97513159999999999</v>
      </c>
      <c r="Y3111">
        <v>-9.40193E-2</v>
      </c>
      <c r="Z3111">
        <v>-1.0250909999999999E-3</v>
      </c>
      <c r="AA3111">
        <v>0.99556979999999995</v>
      </c>
      <c r="AB3111">
        <v>36</v>
      </c>
      <c r="AC3111">
        <v>-112.050699999999</v>
      </c>
      <c r="AD3111">
        <v>-0.81262089999999998</v>
      </c>
      <c r="AE3111">
        <v>-11.278499999999999</v>
      </c>
      <c r="AF3111">
        <v>-10.607610914129699</v>
      </c>
      <c r="AG3111">
        <v>-0.81262089999999998</v>
      </c>
      <c r="AH3111">
        <v>112.110311395171</v>
      </c>
      <c r="AI3111">
        <v>90.413449207769801</v>
      </c>
      <c r="AJ3111">
        <v>95.405098952469601</v>
      </c>
      <c r="AK3111">
        <v>112.61395865146901</v>
      </c>
      <c r="AL3111">
        <v>78.990999062685702</v>
      </c>
      <c r="AM3111">
        <v>96.579811690756898</v>
      </c>
      <c r="AN3111">
        <v>0.99999998576967997</v>
      </c>
    </row>
    <row r="3112" spans="1:40" x14ac:dyDescent="0.25">
      <c r="A3112" t="str">
        <f>"20190304154818250"</f>
        <v>20190304154818250</v>
      </c>
      <c r="B3112" t="str">
        <f>"1551685698239959"</f>
        <v>1551685698239959</v>
      </c>
      <c r="C3112" t="s">
        <v>40</v>
      </c>
      <c r="D3112">
        <v>4.0112209999999999</v>
      </c>
      <c r="E3112">
        <v>0.50464759999999997</v>
      </c>
      <c r="F3112" t="s">
        <v>62</v>
      </c>
      <c r="G3112">
        <v>-512.82529999999997</v>
      </c>
      <c r="H3112">
        <v>0.29076829999999998</v>
      </c>
      <c r="I3112">
        <v>274.0138</v>
      </c>
      <c r="J3112">
        <v>-401.06790000000001</v>
      </c>
      <c r="K3112">
        <v>1.1106039999999999</v>
      </c>
      <c r="L3112">
        <v>285.32119999999998</v>
      </c>
      <c r="M3112">
        <v>-0.99988790000000005</v>
      </c>
      <c r="N3112">
        <v>-1.372452E-2</v>
      </c>
      <c r="O3112">
        <v>-5.9803019999999998E-3</v>
      </c>
      <c r="P3112">
        <v>-0.97696380000000005</v>
      </c>
      <c r="Q3112">
        <v>0.1774347</v>
      </c>
      <c r="R3112">
        <v>-0.1185693</v>
      </c>
      <c r="S3112">
        <v>-3.037598</v>
      </c>
      <c r="T3112">
        <v>-2.2222760000000001E-2</v>
      </c>
      <c r="U3112">
        <v>-0.30657960000000001</v>
      </c>
      <c r="V3112">
        <v>-0.11271639999999999</v>
      </c>
      <c r="W3112">
        <v>0.1908405</v>
      </c>
      <c r="X3112">
        <v>0.9751282</v>
      </c>
      <c r="Y3112">
        <v>-9.4458609999999998E-2</v>
      </c>
      <c r="Z3112">
        <v>-1.0327859999999999E-3</v>
      </c>
      <c r="AA3112">
        <v>0.99552830000000003</v>
      </c>
      <c r="AB3112">
        <v>36</v>
      </c>
      <c r="AC3112">
        <v>-111.757399999999</v>
      </c>
      <c r="AD3112">
        <v>-0.81983569999999995</v>
      </c>
      <c r="AE3112">
        <v>-11.3073999999999</v>
      </c>
      <c r="AF3112">
        <v>-10.6382250918575</v>
      </c>
      <c r="AG3112">
        <v>-0.81983569999999995</v>
      </c>
      <c r="AH3112">
        <v>111.817072769185</v>
      </c>
      <c r="AI3112">
        <v>90.418193187911797</v>
      </c>
      <c r="AJ3112">
        <v>95.434736051501403</v>
      </c>
      <c r="AK3112">
        <v>112.324982645666</v>
      </c>
      <c r="AL3112">
        <v>78.998161626748697</v>
      </c>
      <c r="AM3112">
        <v>96.593634638971395</v>
      </c>
      <c r="AN3112">
        <v>1.0000000448522199</v>
      </c>
    </row>
    <row r="3113" spans="1:40" x14ac:dyDescent="0.25">
      <c r="A3113" t="str">
        <f>"20190304154818263"</f>
        <v>20190304154818263</v>
      </c>
      <c r="B3113" t="str">
        <f>"1551685698259480"</f>
        <v>1551685698259480</v>
      </c>
      <c r="C3113" t="s">
        <v>40</v>
      </c>
      <c r="D3113">
        <v>4.0100290000000003</v>
      </c>
      <c r="E3113">
        <v>0.5044073</v>
      </c>
      <c r="F3113" t="s">
        <v>62</v>
      </c>
      <c r="G3113">
        <v>-512.82529999999997</v>
      </c>
      <c r="H3113">
        <v>0.2780958</v>
      </c>
      <c r="I3113">
        <v>273.97699999999998</v>
      </c>
      <c r="J3113">
        <v>-401.2672</v>
      </c>
      <c r="K3113">
        <v>1.1106049999999901</v>
      </c>
      <c r="L3113">
        <v>285.31990000000002</v>
      </c>
      <c r="M3113">
        <v>-0.99988809999999995</v>
      </c>
      <c r="N3113">
        <v>-1.3723050000000001E-2</v>
      </c>
      <c r="O3113">
        <v>-5.9802910000000004E-3</v>
      </c>
      <c r="P3113">
        <v>-0.9769909</v>
      </c>
      <c r="Q3113">
        <v>0.177190299999999</v>
      </c>
      <c r="R3113">
        <v>-0.1187131</v>
      </c>
      <c r="S3113">
        <v>-3.0374150000000002</v>
      </c>
      <c r="T3113">
        <v>-2.2624249999999999E-2</v>
      </c>
      <c r="U3113">
        <v>-0.30831910000000001</v>
      </c>
      <c r="V3113">
        <v>-0.11286</v>
      </c>
      <c r="W3113">
        <v>0.19059480000000001</v>
      </c>
      <c r="X3113">
        <v>0.97515960000000002</v>
      </c>
      <c r="Y3113">
        <v>-9.5028689999999999E-2</v>
      </c>
      <c r="Z3113">
        <v>-1.0442120000000001E-3</v>
      </c>
      <c r="AA3113">
        <v>0.99547399999999997</v>
      </c>
      <c r="AB3113">
        <v>36</v>
      </c>
      <c r="AC3113">
        <v>-111.558099999999</v>
      </c>
      <c r="AD3113">
        <v>-0.83250919999999895</v>
      </c>
      <c r="AE3113">
        <v>-11.342899999999901</v>
      </c>
      <c r="AF3113">
        <v>-10.6748960966666</v>
      </c>
      <c r="AG3113">
        <v>-0.83250919999999895</v>
      </c>
      <c r="AH3113">
        <v>111.61779258168001</v>
      </c>
      <c r="AI3113">
        <v>90.425395733952399</v>
      </c>
      <c r="AJ3113">
        <v>95.463034839442798</v>
      </c>
      <c r="AK3113">
        <v>112.13018371094201</v>
      </c>
      <c r="AL3113">
        <v>79.012501942414502</v>
      </c>
      <c r="AM3113">
        <v>96.601750073468097</v>
      </c>
      <c r="AN3113">
        <v>1.0000000014296</v>
      </c>
    </row>
    <row r="3114" spans="1:40" x14ac:dyDescent="0.25">
      <c r="A3114" t="str">
        <f>"20190304154818277"</f>
        <v>20190304154818277</v>
      </c>
      <c r="B3114" t="str">
        <f>"1551685698270216"</f>
        <v>1551685698270216</v>
      </c>
      <c r="C3114" t="s">
        <v>40</v>
      </c>
      <c r="D3114">
        <v>4.0286569999999999</v>
      </c>
      <c r="E3114">
        <v>0.50429089999999999</v>
      </c>
      <c r="F3114" t="s">
        <v>62</v>
      </c>
      <c r="G3114">
        <v>-512.82529999999997</v>
      </c>
      <c r="H3114">
        <v>0.24509349999999999</v>
      </c>
      <c r="I3114">
        <v>273.9178</v>
      </c>
      <c r="J3114">
        <v>-401.47519999999997</v>
      </c>
      <c r="K3114">
        <v>1.1106009999999999</v>
      </c>
      <c r="L3114">
        <v>285.31869999999998</v>
      </c>
      <c r="M3114">
        <v>-0.99988809999999995</v>
      </c>
      <c r="N3114">
        <v>-1.3721529999999999E-2</v>
      </c>
      <c r="O3114">
        <v>-5.9803999999999899E-3</v>
      </c>
      <c r="P3114">
        <v>-0.97697140000000005</v>
      </c>
      <c r="Q3114">
        <v>0.17724210000000001</v>
      </c>
      <c r="R3114">
        <v>-0.1187955</v>
      </c>
      <c r="S3114">
        <v>-3.037201</v>
      </c>
      <c r="T3114">
        <v>-2.3561599999999999E-2</v>
      </c>
      <c r="U3114">
        <v>-0.3104248</v>
      </c>
      <c r="V3114">
        <v>-0.1129426</v>
      </c>
      <c r="W3114">
        <v>0.19064490000000001</v>
      </c>
      <c r="X3114">
        <v>0.97514029999999996</v>
      </c>
      <c r="Y3114">
        <v>-9.5718189999999995E-2</v>
      </c>
      <c r="Z3114">
        <v>-1.064359E-3</v>
      </c>
      <c r="AA3114">
        <v>0.99540790000000001</v>
      </c>
      <c r="AB3114">
        <v>36</v>
      </c>
      <c r="AC3114">
        <v>-111.3501</v>
      </c>
      <c r="AD3114">
        <v>-0.86550749999999999</v>
      </c>
      <c r="AE3114">
        <v>-11.400899999999901</v>
      </c>
      <c r="AF3114">
        <v>-10.734073537251801</v>
      </c>
      <c r="AG3114">
        <v>-0.86550749999999999</v>
      </c>
      <c r="AH3114">
        <v>111.40963550792399</v>
      </c>
      <c r="AI3114">
        <v>90.443052917650903</v>
      </c>
      <c r="AJ3114">
        <v>95.503335419142601</v>
      </c>
      <c r="AK3114">
        <v>111.928889577017</v>
      </c>
      <c r="AL3114">
        <v>79.009578422132805</v>
      </c>
      <c r="AM3114">
        <v>96.606668667343598</v>
      </c>
      <c r="AN3114">
        <v>1.0000000567374201</v>
      </c>
    </row>
    <row r="3115" spans="1:40" x14ac:dyDescent="0.25">
      <c r="A3115" t="str">
        <f>"20190304154818296"</f>
        <v>20190304154818296</v>
      </c>
      <c r="B3115" t="str">
        <f>"1551685698289735"</f>
        <v>1551685698289735</v>
      </c>
      <c r="C3115" t="s">
        <v>40</v>
      </c>
      <c r="D3115">
        <v>4.0128750000000002</v>
      </c>
      <c r="E3115">
        <v>0.50409720000000002</v>
      </c>
      <c r="F3115" t="s">
        <v>62</v>
      </c>
      <c r="G3115">
        <v>-512.82529999999997</v>
      </c>
      <c r="H3115">
        <v>0.2422715</v>
      </c>
      <c r="I3115">
        <v>273.89389999999997</v>
      </c>
      <c r="J3115">
        <v>-401.79629999999997</v>
      </c>
      <c r="K3115">
        <v>1.1106020000000001</v>
      </c>
      <c r="L3115">
        <v>285.3168</v>
      </c>
      <c r="M3115">
        <v>-0.9998882</v>
      </c>
      <c r="N3115">
        <v>-1.3719240000000001E-2</v>
      </c>
      <c r="O3115">
        <v>-5.9807419999999998E-3</v>
      </c>
      <c r="P3115">
        <v>-0.97701749999999998</v>
      </c>
      <c r="Q3115">
        <v>0.177063</v>
      </c>
      <c r="R3115">
        <v>-0.11868529999999999</v>
      </c>
      <c r="S3115">
        <v>-3.0371090000000001</v>
      </c>
      <c r="T3115">
        <v>-2.368176E-2</v>
      </c>
      <c r="U3115">
        <v>-0.31161499999999998</v>
      </c>
      <c r="V3115">
        <v>-0.1128318</v>
      </c>
      <c r="W3115">
        <v>0.19046469999999999</v>
      </c>
      <c r="X3115">
        <v>0.97518830000000001</v>
      </c>
      <c r="Y3115">
        <v>-9.6106830000000004E-2</v>
      </c>
      <c r="Z3115">
        <v>-1.070089E-3</v>
      </c>
      <c r="AA3115">
        <v>0.99537039999999999</v>
      </c>
      <c r="AB3115">
        <v>36</v>
      </c>
      <c r="AC3115">
        <v>-111.029</v>
      </c>
      <c r="AD3115">
        <v>-0.86833050000000001</v>
      </c>
      <c r="AE3115">
        <v>-11.4229</v>
      </c>
      <c r="AF3115">
        <v>-10.757946384754501</v>
      </c>
      <c r="AG3115">
        <v>-0.86833050000000001</v>
      </c>
      <c r="AH3115">
        <v>111.088614250836</v>
      </c>
      <c r="AI3115">
        <v>90.445761355372198</v>
      </c>
      <c r="AJ3115">
        <v>95.531339438585604</v>
      </c>
      <c r="AK3115">
        <v>111.61168229377</v>
      </c>
      <c r="AL3115">
        <v>79.020095413904102</v>
      </c>
      <c r="AM3115">
        <v>96.599922540078495</v>
      </c>
      <c r="AN3115">
        <v>1.0000000187471001</v>
      </c>
    </row>
    <row r="3116" spans="1:40" x14ac:dyDescent="0.25">
      <c r="A3116" t="str">
        <f>"20190304154818319"</f>
        <v>20190304154818319</v>
      </c>
      <c r="B3116" t="str">
        <f>"1551685698310232"</f>
        <v>1551685698310232</v>
      </c>
      <c r="C3116" t="s">
        <v>40</v>
      </c>
      <c r="D3116">
        <v>4.0173160000000001</v>
      </c>
      <c r="E3116">
        <v>0.5039228</v>
      </c>
      <c r="F3116" t="s">
        <v>62</v>
      </c>
      <c r="G3116">
        <v>-512.82529999999997</v>
      </c>
      <c r="H3116">
        <v>0.2198176</v>
      </c>
      <c r="I3116">
        <v>273.8775</v>
      </c>
      <c r="J3116">
        <v>-402.15379999999999</v>
      </c>
      <c r="K3116">
        <v>1.1106</v>
      </c>
      <c r="L3116">
        <v>285.31459999999998</v>
      </c>
      <c r="M3116">
        <v>-0.999888</v>
      </c>
      <c r="N3116">
        <v>-1.3716620000000001E-2</v>
      </c>
      <c r="O3116">
        <v>-5.9807239999999998E-3</v>
      </c>
      <c r="P3116">
        <v>-0.97696879999999997</v>
      </c>
      <c r="Q3116">
        <v>0.1772521</v>
      </c>
      <c r="R3116">
        <v>-0.118802</v>
      </c>
      <c r="S3116">
        <v>-3.0369570000000001</v>
      </c>
      <c r="T3116">
        <v>-2.4363280000000001E-2</v>
      </c>
      <c r="U3116">
        <v>-0.31289670000000003</v>
      </c>
      <c r="V3116">
        <v>-0.11294849999999999</v>
      </c>
      <c r="W3116">
        <v>0.19064999999999999</v>
      </c>
      <c r="X3116">
        <v>0.97513850000000002</v>
      </c>
      <c r="Y3116">
        <v>-9.6527249999999995E-2</v>
      </c>
      <c r="Z3116">
        <v>-1.083959E-3</v>
      </c>
      <c r="AA3116">
        <v>0.99532969999999998</v>
      </c>
      <c r="AB3116">
        <v>36</v>
      </c>
      <c r="AC3116">
        <v>-110.671499999999</v>
      </c>
      <c r="AD3116">
        <v>-0.89078239999999997</v>
      </c>
      <c r="AE3116">
        <v>-11.4370999999999</v>
      </c>
      <c r="AF3116">
        <v>-10.774246787730799</v>
      </c>
      <c r="AG3116">
        <v>-0.89078239999999997</v>
      </c>
      <c r="AH3116">
        <v>110.730831031039</v>
      </c>
      <c r="AI3116">
        <v>90.458743837466102</v>
      </c>
      <c r="AJ3116">
        <v>95.557455797538694</v>
      </c>
      <c r="AK3116">
        <v>111.257336063522</v>
      </c>
      <c r="AL3116">
        <v>79.0092794568763</v>
      </c>
      <c r="AM3116">
        <v>96.607022829316406</v>
      </c>
      <c r="AN3116">
        <v>0.99999994016724802</v>
      </c>
    </row>
    <row r="3117" spans="1:40" x14ac:dyDescent="0.25">
      <c r="A3117" t="str">
        <f>"20190304154818331"</f>
        <v>20190304154818331</v>
      </c>
      <c r="B3117" t="str">
        <f>"1551685698319993"</f>
        <v>1551685698319993</v>
      </c>
      <c r="C3117" t="s">
        <v>40</v>
      </c>
      <c r="D3117">
        <v>4.0615249999999996</v>
      </c>
      <c r="E3117">
        <v>0.5039228</v>
      </c>
      <c r="F3117" t="s">
        <v>62</v>
      </c>
      <c r="G3117">
        <v>-512.82529999999997</v>
      </c>
      <c r="H3117">
        <v>0.23304369999999999</v>
      </c>
      <c r="I3117">
        <v>273.84719999999999</v>
      </c>
      <c r="J3117">
        <v>-402.35449999999997</v>
      </c>
      <c r="K3117">
        <v>1.110603</v>
      </c>
      <c r="L3117">
        <v>285.3134</v>
      </c>
      <c r="M3117">
        <v>-0.9998882</v>
      </c>
      <c r="N3117">
        <v>-1.3715120000000001E-2</v>
      </c>
      <c r="O3117">
        <v>-5.9810719999999996E-3</v>
      </c>
      <c r="P3117">
        <v>-0.97698969999999896</v>
      </c>
      <c r="Q3117">
        <v>0.1769502</v>
      </c>
      <c r="R3117">
        <v>-0.1190799</v>
      </c>
      <c r="S3117">
        <v>-3.036835</v>
      </c>
      <c r="T3117">
        <v>-2.407801E-2</v>
      </c>
      <c r="U3117">
        <v>-0.31466670000000002</v>
      </c>
      <c r="V3117">
        <v>-0.1132264</v>
      </c>
      <c r="W3117">
        <v>0.19034709999999999</v>
      </c>
      <c r="X3117">
        <v>0.97516550000000002</v>
      </c>
      <c r="Y3117">
        <v>-9.7105049999999998E-2</v>
      </c>
      <c r="Z3117">
        <v>-1.0861969999999999E-3</v>
      </c>
      <c r="AA3117">
        <v>0.99527350000000003</v>
      </c>
      <c r="AB3117">
        <v>36</v>
      </c>
      <c r="AC3117">
        <v>-110.4708</v>
      </c>
      <c r="AD3117">
        <v>-0.87755930000000004</v>
      </c>
      <c r="AE3117">
        <v>-11.466200000000001</v>
      </c>
      <c r="AF3117">
        <v>-10.804524459722399</v>
      </c>
      <c r="AG3117">
        <v>-0.87755930000000004</v>
      </c>
      <c r="AH3117">
        <v>110.530509678797</v>
      </c>
      <c r="AI3117">
        <v>90.4527337019112</v>
      </c>
      <c r="AJ3117">
        <v>95.583011614959403</v>
      </c>
      <c r="AK3117">
        <v>111.06080059580199</v>
      </c>
      <c r="AL3117">
        <v>79.026958690979797</v>
      </c>
      <c r="AM3117">
        <v>96.622952836297898</v>
      </c>
      <c r="AN3117">
        <v>0.99999999426281005</v>
      </c>
    </row>
    <row r="3118" spans="1:40" x14ac:dyDescent="0.25">
      <c r="A3118" t="str">
        <f>"20190304154818351"</f>
        <v>20190304154818351</v>
      </c>
      <c r="B3118" t="str">
        <f>"1551685698339512"</f>
        <v>1551685698339512</v>
      </c>
      <c r="C3118" t="s">
        <v>40</v>
      </c>
      <c r="D3118">
        <v>4.0262960000000003</v>
      </c>
      <c r="E3118">
        <v>0.4802998</v>
      </c>
      <c r="F3118" t="s">
        <v>62</v>
      </c>
      <c r="G3118">
        <v>-512.8252</v>
      </c>
      <c r="H3118">
        <v>0.2002081</v>
      </c>
      <c r="I3118">
        <v>273.83519999999999</v>
      </c>
      <c r="J3118">
        <v>-402.67169999999999</v>
      </c>
      <c r="K3118">
        <v>1.1106</v>
      </c>
      <c r="L3118">
        <v>285.31150000000002</v>
      </c>
      <c r="M3118">
        <v>-0.9998882</v>
      </c>
      <c r="N3118">
        <v>-1.3712729999999999E-2</v>
      </c>
      <c r="O3118">
        <v>-5.9810549999999999E-3</v>
      </c>
      <c r="P3118">
        <v>-0.97690630000000001</v>
      </c>
      <c r="Q3118">
        <v>0.17716460000000001</v>
      </c>
      <c r="R3118">
        <v>-0.11944630000000001</v>
      </c>
      <c r="S3118">
        <v>-3.0367130000000002</v>
      </c>
      <c r="T3118">
        <v>-2.5023460000000001E-2</v>
      </c>
      <c r="U3118">
        <v>-0.3155212</v>
      </c>
      <c r="V3118">
        <v>-0.11359320000000001</v>
      </c>
      <c r="W3118">
        <v>0.19055830000000001</v>
      </c>
      <c r="X3118">
        <v>0.97508159999999999</v>
      </c>
      <c r="Y3118">
        <v>-9.7385760000000002E-2</v>
      </c>
      <c r="Z3118">
        <v>-1.1023859999999999E-3</v>
      </c>
      <c r="AA3118">
        <v>0.99524610000000002</v>
      </c>
      <c r="AB3118">
        <v>36</v>
      </c>
      <c r="AC3118">
        <v>-110.15349999999999</v>
      </c>
      <c r="AD3118">
        <v>-0.91039190000000003</v>
      </c>
      <c r="AE3118">
        <v>-11.4763</v>
      </c>
      <c r="AF3118">
        <v>-10.8164677703043</v>
      </c>
      <c r="AG3118">
        <v>-0.91039190000000003</v>
      </c>
      <c r="AH3118">
        <v>110.21272880249001</v>
      </c>
      <c r="AI3118">
        <v>90.471007658357607</v>
      </c>
      <c r="AJ3118">
        <v>95.605156945277898</v>
      </c>
      <c r="AK3118">
        <v>110.745972290322</v>
      </c>
      <c r="AL3118">
        <v>79.014632308012096</v>
      </c>
      <c r="AM3118">
        <v>96.6447831308151</v>
      </c>
      <c r="AN3118">
        <v>1.0000000037218399</v>
      </c>
    </row>
    <row r="3119" spans="1:40" x14ac:dyDescent="0.25">
      <c r="A3119" t="str">
        <f>"20190304154818364"</f>
        <v>20190304154818364</v>
      </c>
      <c r="B3119" t="str">
        <f>"1551685698360007"</f>
        <v>1551685698360007</v>
      </c>
      <c r="C3119" t="s">
        <v>40</v>
      </c>
      <c r="D3119">
        <v>4.0270010000000003</v>
      </c>
      <c r="E3119">
        <v>0.4780375</v>
      </c>
      <c r="F3119" t="s">
        <v>60</v>
      </c>
      <c r="G3119">
        <v>-446.05849999999998</v>
      </c>
      <c r="H3119">
        <v>8.0001439999999993E-2</v>
      </c>
      <c r="I3119">
        <v>278.09480000000002</v>
      </c>
      <c r="J3119">
        <v>-402.88420000000002</v>
      </c>
      <c r="K3119">
        <v>1.1106</v>
      </c>
      <c r="L3119">
        <v>285.31020000000001</v>
      </c>
      <c r="M3119">
        <v>-0.9998882</v>
      </c>
      <c r="N3119">
        <v>-1.371113E-2</v>
      </c>
      <c r="O3119">
        <v>-5.9786419999999897E-3</v>
      </c>
      <c r="P3119">
        <v>-0.97685619999999995</v>
      </c>
      <c r="Q3119">
        <v>0.1772358</v>
      </c>
      <c r="R3119">
        <v>-0.1197483</v>
      </c>
      <c r="S3119">
        <v>-3.0225219999999999</v>
      </c>
      <c r="T3119">
        <v>-7.1796180000000001E-2</v>
      </c>
      <c r="U3119">
        <v>-0.50274659999999904</v>
      </c>
      <c r="V3119">
        <v>-0.113897499999999</v>
      </c>
      <c r="W3119">
        <v>0.19062709999999999</v>
      </c>
      <c r="X3119">
        <v>0.97503260000000003</v>
      </c>
      <c r="Y3119">
        <v>-0.15810929999999901</v>
      </c>
      <c r="Z3119">
        <v>-2.896802E-3</v>
      </c>
      <c r="AA3119">
        <v>0.98741730000000005</v>
      </c>
      <c r="AB3119">
        <v>36</v>
      </c>
      <c r="AC3119">
        <v>-43.174299999999903</v>
      </c>
      <c r="AD3119">
        <v>-1.0305985600000001</v>
      </c>
      <c r="AE3119">
        <v>-7.2153999999999803</v>
      </c>
      <c r="AF3119">
        <v>-6.9532687154756303</v>
      </c>
      <c r="AG3119">
        <v>-1.0305985600000001</v>
      </c>
      <c r="AH3119">
        <v>43.192727744786303</v>
      </c>
      <c r="AI3119">
        <v>91.349476901741795</v>
      </c>
      <c r="AJ3119">
        <v>99.145150543334097</v>
      </c>
      <c r="AK3119">
        <v>43.760962161002801</v>
      </c>
      <c r="AL3119">
        <v>79.010616168003807</v>
      </c>
      <c r="AM3119">
        <v>96.6627555534603</v>
      </c>
      <c r="AN3119">
        <v>0.99999995141170805</v>
      </c>
    </row>
    <row r="3120" spans="1:40" x14ac:dyDescent="0.25">
      <c r="A3120" t="str">
        <f>"20190304154818378"</f>
        <v>20190304154818378</v>
      </c>
      <c r="B3120" t="str">
        <f>"1551685698369768"</f>
        <v>1551685698369768</v>
      </c>
      <c r="C3120" t="s">
        <v>40</v>
      </c>
      <c r="D3120">
        <v>4.0247019999999996</v>
      </c>
      <c r="E3120">
        <v>0.47729090000000002</v>
      </c>
      <c r="F3120" t="s">
        <v>60</v>
      </c>
      <c r="G3120">
        <v>-447.40699999999998</v>
      </c>
      <c r="H3120">
        <v>8.0001059999999999E-2</v>
      </c>
      <c r="I3120">
        <v>277.62090000000001</v>
      </c>
      <c r="J3120">
        <v>-403.10050000000001</v>
      </c>
      <c r="K3120">
        <v>1.110595</v>
      </c>
      <c r="L3120">
        <v>285.30889999999999</v>
      </c>
      <c r="M3120">
        <v>-0.9998882</v>
      </c>
      <c r="N3120">
        <v>-1.3709519999999999E-2</v>
      </c>
      <c r="O3120">
        <v>-5.9741890000000004E-3</v>
      </c>
      <c r="P3120">
        <v>-0.97685310000000003</v>
      </c>
      <c r="Q3120">
        <v>0.17715929999999999</v>
      </c>
      <c r="R3120">
        <v>-0.11988799999999999</v>
      </c>
      <c r="S3120">
        <v>-3.0198670000000001</v>
      </c>
      <c r="T3120">
        <v>-6.9902900000000004E-2</v>
      </c>
      <c r="U3120">
        <v>-0.52154540000000005</v>
      </c>
      <c r="V3120">
        <v>-0.11404060000000001</v>
      </c>
      <c r="W3120">
        <v>0.19054989999999999</v>
      </c>
      <c r="X3120">
        <v>0.97503099999999998</v>
      </c>
      <c r="Y3120">
        <v>-0.16422629999999999</v>
      </c>
      <c r="Z3120">
        <v>-2.9648840000000001E-3</v>
      </c>
      <c r="AA3120">
        <v>0.98641820000000002</v>
      </c>
      <c r="AB3120">
        <v>36</v>
      </c>
      <c r="AC3120">
        <v>-44.3064999999999</v>
      </c>
      <c r="AD3120">
        <v>-1.0305939399999999</v>
      </c>
      <c r="AE3120">
        <v>-7.6879999999999802</v>
      </c>
      <c r="AF3120">
        <v>-7.4192456214111804</v>
      </c>
      <c r="AG3120">
        <v>-1.0305939399999999</v>
      </c>
      <c r="AH3120">
        <v>44.328360057159799</v>
      </c>
      <c r="AI3120">
        <v>91.313569926934093</v>
      </c>
      <c r="AJ3120">
        <v>99.501536682863403</v>
      </c>
      <c r="AK3120">
        <v>44.956766285145399</v>
      </c>
      <c r="AL3120">
        <v>79.015122388798204</v>
      </c>
      <c r="AM3120">
        <v>96.671062037585898</v>
      </c>
      <c r="AN3120">
        <v>0.99999998689968495</v>
      </c>
    </row>
    <row r="3121" spans="1:40" x14ac:dyDescent="0.25">
      <c r="A3121" t="str">
        <f>"20190304154818391"</f>
        <v>20190304154818391</v>
      </c>
      <c r="B3121" t="str">
        <f>"1551685698379529"</f>
        <v>1551685698379529</v>
      </c>
      <c r="C3121" t="s">
        <v>40</v>
      </c>
      <c r="D3121">
        <v>4.055688</v>
      </c>
      <c r="E3121">
        <v>0.47660200000000003</v>
      </c>
      <c r="F3121" t="s">
        <v>60</v>
      </c>
      <c r="G3121">
        <v>-447.31310000000002</v>
      </c>
      <c r="H3121">
        <v>8.0001089999999997E-2</v>
      </c>
      <c r="I3121">
        <v>277.57819999999998</v>
      </c>
      <c r="J3121">
        <v>-403.30290000000002</v>
      </c>
      <c r="K3121">
        <v>1.1105940000000001</v>
      </c>
      <c r="L3121">
        <v>285.30770000000001</v>
      </c>
      <c r="M3121">
        <v>-0.99988829999999995</v>
      </c>
      <c r="N3121">
        <v>-1.370801E-2</v>
      </c>
      <c r="O3121">
        <v>-5.968058E-3</v>
      </c>
      <c r="P3121">
        <v>-0.97684009999999999</v>
      </c>
      <c r="Q3121">
        <v>0.1772503</v>
      </c>
      <c r="R3121">
        <v>-0.1198568</v>
      </c>
      <c r="S3121">
        <v>-3.0190429999999999</v>
      </c>
      <c r="T3121">
        <v>-7.0373770000000002E-2</v>
      </c>
      <c r="U3121">
        <v>-0.5278931</v>
      </c>
      <c r="V3121">
        <v>-0.114014</v>
      </c>
      <c r="W3121">
        <v>0.1906397</v>
      </c>
      <c r="X3121">
        <v>0.97501660000000001</v>
      </c>
      <c r="Y3121">
        <v>-0.16628870000000001</v>
      </c>
      <c r="Z3121">
        <v>-3.0150379999999998E-3</v>
      </c>
      <c r="AA3121">
        <v>0.98607250000000002</v>
      </c>
      <c r="AB3121">
        <v>36</v>
      </c>
      <c r="AC3121">
        <v>-44.010199999999998</v>
      </c>
      <c r="AD3121">
        <v>-1.03059291</v>
      </c>
      <c r="AE3121">
        <v>-7.72950000000003</v>
      </c>
      <c r="AF3121">
        <v>-7.4627124121501902</v>
      </c>
      <c r="AG3121">
        <v>-1.03059291</v>
      </c>
      <c r="AH3121">
        <v>44.032127453132503</v>
      </c>
      <c r="AI3121">
        <v>91.321945276310799</v>
      </c>
      <c r="AJ3121">
        <v>99.619272391308201</v>
      </c>
      <c r="AK3121">
        <v>44.671942495726597</v>
      </c>
      <c r="AL3121">
        <v>79.009881616200502</v>
      </c>
      <c r="AM3121">
        <v>96.669617645016501</v>
      </c>
      <c r="AN3121">
        <v>1.00000002884382</v>
      </c>
    </row>
    <row r="3122" spans="1:40" x14ac:dyDescent="0.25">
      <c r="A3122" t="str">
        <f>"20190304154818403"</f>
        <v>20190304154818403</v>
      </c>
      <c r="B3122" t="str">
        <f>"1551685698400024"</f>
        <v>1551685698400024</v>
      </c>
      <c r="C3122" t="s">
        <v>40</v>
      </c>
      <c r="D3122">
        <v>4.0919689999999997</v>
      </c>
      <c r="E3122">
        <v>0.47549469999999999</v>
      </c>
      <c r="F3122" t="s">
        <v>60</v>
      </c>
      <c r="G3122">
        <v>-447.5378</v>
      </c>
      <c r="H3122">
        <v>8.0001030000000001E-2</v>
      </c>
      <c r="I3122">
        <v>277.49279999999999</v>
      </c>
      <c r="J3122">
        <v>-403.50209999999998</v>
      </c>
      <c r="K3122">
        <v>1.110592</v>
      </c>
      <c r="L3122">
        <v>285.30650000000003</v>
      </c>
      <c r="M3122">
        <v>-0.99988829999999995</v>
      </c>
      <c r="N3122">
        <v>-1.370654E-2</v>
      </c>
      <c r="O3122">
        <v>-5.9586869999999998E-3</v>
      </c>
      <c r="P3122">
        <v>-0.97688739999999996</v>
      </c>
      <c r="Q3122">
        <v>0.17691490000000001</v>
      </c>
      <c r="R3122">
        <v>-0.1199684</v>
      </c>
      <c r="S3122">
        <v>-3.0184329999999999</v>
      </c>
      <c r="T3122">
        <v>-7.0323940000000001E-2</v>
      </c>
      <c r="U3122">
        <v>-0.53326419999999997</v>
      </c>
      <c r="V3122">
        <v>-0.1141326</v>
      </c>
      <c r="W3122">
        <v>0.190305</v>
      </c>
      <c r="X3122">
        <v>0.97506809999999999</v>
      </c>
      <c r="Y3122">
        <v>-0.16803290000000001</v>
      </c>
      <c r="Z3122">
        <v>-3.0461849999999999E-3</v>
      </c>
      <c r="AA3122">
        <v>0.98577669999999995</v>
      </c>
      <c r="AB3122">
        <v>36</v>
      </c>
      <c r="AC3122">
        <v>-44.035699999999999</v>
      </c>
      <c r="AD3122">
        <v>-1.03059097</v>
      </c>
      <c r="AE3122">
        <v>-7.8137000000000398</v>
      </c>
      <c r="AF3122">
        <v>-7.5471340718792401</v>
      </c>
      <c r="AG3122">
        <v>-1.03059097</v>
      </c>
      <c r="AH3122">
        <v>44.058086712472402</v>
      </c>
      <c r="AI3122">
        <v>91.320767032934199</v>
      </c>
      <c r="AJ3122">
        <v>99.720401661269094</v>
      </c>
      <c r="AK3122">
        <v>44.7117026650753</v>
      </c>
      <c r="AL3122">
        <v>79.029416058931304</v>
      </c>
      <c r="AM3122">
        <v>96.676143485989698</v>
      </c>
      <c r="AN3122">
        <v>1.0000000215226801</v>
      </c>
    </row>
    <row r="3123" spans="1:40" x14ac:dyDescent="0.25">
      <c r="A3123" t="str">
        <f>"20190304154818416"</f>
        <v>20190304154818416</v>
      </c>
      <c r="B3123" t="str">
        <f>"1551685698409784"</f>
        <v>1551685698409784</v>
      </c>
      <c r="C3123" t="s">
        <v>40</v>
      </c>
      <c r="D3123">
        <v>4.0621609999999997</v>
      </c>
      <c r="E3123">
        <v>0.47516829999999999</v>
      </c>
      <c r="F3123" t="s">
        <v>60</v>
      </c>
      <c r="G3123">
        <v>-446.92939999999999</v>
      </c>
      <c r="H3123">
        <v>8.0001210000000003E-2</v>
      </c>
      <c r="I3123">
        <v>277.49610000000001</v>
      </c>
      <c r="J3123">
        <v>-403.7047</v>
      </c>
      <c r="K3123">
        <v>1.110587</v>
      </c>
      <c r="L3123">
        <v>285.30540000000002</v>
      </c>
      <c r="M3123">
        <v>-0.99988849999999996</v>
      </c>
      <c r="N3123">
        <v>-1.370506E-2</v>
      </c>
      <c r="O3123">
        <v>-5.947524E-3</v>
      </c>
      <c r="P3123">
        <v>-0.97688319999999995</v>
      </c>
      <c r="Q3123">
        <v>0.17698169999999999</v>
      </c>
      <c r="R3123">
        <v>-0.1199045</v>
      </c>
      <c r="S3123">
        <v>-3.0173030000000001</v>
      </c>
      <c r="T3123">
        <v>-7.1604970000000004E-2</v>
      </c>
      <c r="U3123">
        <v>-0.54266359999999902</v>
      </c>
      <c r="V3123">
        <v>-0.1140781</v>
      </c>
      <c r="W3123">
        <v>0.19037100000000001</v>
      </c>
      <c r="X3123">
        <v>0.97506150000000003</v>
      </c>
      <c r="Y3123">
        <v>-0.17107910000000001</v>
      </c>
      <c r="Z3123">
        <v>-3.1364019999999999E-3</v>
      </c>
      <c r="AA3123">
        <v>0.98525229999999997</v>
      </c>
      <c r="AB3123">
        <v>36</v>
      </c>
      <c r="AC3123">
        <v>-43.224699999999899</v>
      </c>
      <c r="AD3123">
        <v>-1.0305857899999999</v>
      </c>
      <c r="AE3123">
        <v>-7.8093000000000004</v>
      </c>
      <c r="AF3123">
        <v>-7.5479026947129002</v>
      </c>
      <c r="AG3123">
        <v>-1.0305857899999999</v>
      </c>
      <c r="AH3123">
        <v>43.246578594429202</v>
      </c>
      <c r="AI3123">
        <v>91.344805306421605</v>
      </c>
      <c r="AJ3123">
        <v>99.9002140283215</v>
      </c>
      <c r="AK3123">
        <v>43.912407156560597</v>
      </c>
      <c r="AL3123">
        <v>79.025563098141603</v>
      </c>
      <c r="AM3123">
        <v>96.673029046547398</v>
      </c>
      <c r="AN3123">
        <v>0.99999992966142703</v>
      </c>
    </row>
    <row r="3124" spans="1:40" x14ac:dyDescent="0.25">
      <c r="A3124" t="str">
        <f>"20190304154818429"</f>
        <v>20190304154818429</v>
      </c>
      <c r="B3124" t="str">
        <f>"1551685698419544"</f>
        <v>1551685698419544</v>
      </c>
      <c r="C3124" t="s">
        <v>40</v>
      </c>
      <c r="D3124">
        <v>4.091704</v>
      </c>
      <c r="E3124">
        <v>0.47482799999999997</v>
      </c>
      <c r="F3124" t="s">
        <v>60</v>
      </c>
      <c r="G3124">
        <v>-446.8272</v>
      </c>
      <c r="H3124">
        <v>8.0001240000000001E-2</v>
      </c>
      <c r="I3124">
        <v>277.51760000000002</v>
      </c>
      <c r="J3124">
        <v>-403.91570000000002</v>
      </c>
      <c r="K3124">
        <v>1.1105849999999999</v>
      </c>
      <c r="L3124">
        <v>285.30410000000001</v>
      </c>
      <c r="M3124">
        <v>-0.99988849999999996</v>
      </c>
      <c r="N3124">
        <v>-1.370355E-2</v>
      </c>
      <c r="O3124">
        <v>-5.9326619999999896E-3</v>
      </c>
      <c r="P3124">
        <v>-0.97699389999999997</v>
      </c>
      <c r="Q3124">
        <v>0.17636109999999999</v>
      </c>
      <c r="R3124">
        <v>-0.1199156</v>
      </c>
      <c r="S3124">
        <v>-3.0171809999999999</v>
      </c>
      <c r="T3124">
        <v>-7.2107669999999999E-2</v>
      </c>
      <c r="U3124">
        <v>-0.54489140000000003</v>
      </c>
      <c r="V3124">
        <v>-0.11410090000000001</v>
      </c>
      <c r="W3124">
        <v>0.1897517</v>
      </c>
      <c r="X3124">
        <v>0.97517960000000004</v>
      </c>
      <c r="Y3124">
        <v>-0.17180409999999999</v>
      </c>
      <c r="Z3124">
        <v>-3.1631900000000002E-3</v>
      </c>
      <c r="AA3124">
        <v>0.9851261</v>
      </c>
      <c r="AB3124">
        <v>36</v>
      </c>
      <c r="AC3124">
        <v>-42.911499999999897</v>
      </c>
      <c r="AD3124">
        <v>-1.0305837599999901</v>
      </c>
      <c r="AE3124">
        <v>-7.7864999999999798</v>
      </c>
      <c r="AF3124">
        <v>-7.5275561794759804</v>
      </c>
      <c r="AG3124">
        <v>-1.0305837599999901</v>
      </c>
      <c r="AH3124">
        <v>42.932969669264899</v>
      </c>
      <c r="AI3124">
        <v>91.354438192966697</v>
      </c>
      <c r="AJ3124">
        <v>99.944743811725701</v>
      </c>
      <c r="AK3124">
        <v>43.6000698341592</v>
      </c>
      <c r="AL3124">
        <v>79.061705809547206</v>
      </c>
      <c r="AM3124">
        <v>96.673549695248994</v>
      </c>
      <c r="AN3124">
        <v>0.99999998764492903</v>
      </c>
    </row>
    <row r="3125" spans="1:40" x14ac:dyDescent="0.25">
      <c r="A3125" t="str">
        <f>"20190304154818441"</f>
        <v>20190304154818441</v>
      </c>
      <c r="B3125" t="str">
        <f>"1551685698430280"</f>
        <v>1551685698430280</v>
      </c>
      <c r="C3125" t="s">
        <v>40</v>
      </c>
      <c r="D3125">
        <v>4.0905610000000001</v>
      </c>
      <c r="E3125">
        <v>0.4745859</v>
      </c>
      <c r="F3125" t="s">
        <v>60</v>
      </c>
      <c r="G3125">
        <v>-445.89679999999998</v>
      </c>
      <c r="H3125">
        <v>8.0001500000000003E-2</v>
      </c>
      <c r="I3125">
        <v>277.68150000000003</v>
      </c>
      <c r="J3125">
        <v>-404.1028</v>
      </c>
      <c r="K3125">
        <v>1.110581</v>
      </c>
      <c r="L3125">
        <v>285.303</v>
      </c>
      <c r="M3125">
        <v>-0.99988869999999996</v>
      </c>
      <c r="N3125">
        <v>-1.3702219999999999E-2</v>
      </c>
      <c r="O3125">
        <v>-5.9172160000000003E-3</v>
      </c>
      <c r="P3125">
        <v>-0.97700849999999995</v>
      </c>
      <c r="Q3125">
        <v>0.17630019999999999</v>
      </c>
      <c r="R3125">
        <v>-0.1198859</v>
      </c>
      <c r="S3125">
        <v>-3.016785</v>
      </c>
      <c r="T3125">
        <v>-7.4058410000000005E-2</v>
      </c>
      <c r="U3125">
        <v>-0.54776000000000002</v>
      </c>
      <c r="V3125">
        <v>-0.11408459999999999</v>
      </c>
      <c r="W3125">
        <v>0.18969040000000001</v>
      </c>
      <c r="X3125">
        <v>0.97519339999999999</v>
      </c>
      <c r="Y3125">
        <v>-0.17274510000000001</v>
      </c>
      <c r="Z3125">
        <v>-3.2326500000000001E-3</v>
      </c>
      <c r="AA3125">
        <v>0.98496130000000004</v>
      </c>
      <c r="AB3125">
        <v>36</v>
      </c>
      <c r="AC3125">
        <v>-41.793999999999897</v>
      </c>
      <c r="AD3125">
        <v>-1.0305795</v>
      </c>
      <c r="AE3125">
        <v>-7.6214999999999602</v>
      </c>
      <c r="AF3125">
        <v>-7.3697023408737898</v>
      </c>
      <c r="AG3125">
        <v>-1.0305795</v>
      </c>
      <c r="AH3125">
        <v>41.813764133612601</v>
      </c>
      <c r="AI3125">
        <v>91.390454320363801</v>
      </c>
      <c r="AJ3125">
        <v>99.995757373348397</v>
      </c>
      <c r="AK3125">
        <v>42.470760267745199</v>
      </c>
      <c r="AL3125">
        <v>79.065282655222902</v>
      </c>
      <c r="AM3125">
        <v>96.672511362968905</v>
      </c>
      <c r="AN3125">
        <v>0.99999995560643895</v>
      </c>
    </row>
    <row r="3126" spans="1:40" x14ac:dyDescent="0.25">
      <c r="A3126" t="str">
        <f>"20190304154818454"</f>
        <v>20190304154818454</v>
      </c>
      <c r="B3126" t="str">
        <f>"1551685698449800"</f>
        <v>1551685698449800</v>
      </c>
      <c r="C3126" t="s">
        <v>40</v>
      </c>
      <c r="D3126">
        <v>4.1132</v>
      </c>
      <c r="E3126">
        <v>0.47391820000000001</v>
      </c>
      <c r="F3126" t="s">
        <v>60</v>
      </c>
      <c r="G3126">
        <v>-445.91669999999999</v>
      </c>
      <c r="H3126">
        <v>8.0001500000000003E-2</v>
      </c>
      <c r="I3126">
        <v>277.68189999999998</v>
      </c>
      <c r="J3126">
        <v>-404.31029999999998</v>
      </c>
      <c r="K3126">
        <v>1.110579</v>
      </c>
      <c r="L3126">
        <v>285.30180000000001</v>
      </c>
      <c r="M3126">
        <v>-0.99988889999999997</v>
      </c>
      <c r="N3126">
        <v>-1.3700749999999999E-2</v>
      </c>
      <c r="O3126">
        <v>-5.8990269999999899E-3</v>
      </c>
      <c r="P3126">
        <v>-0.97709860000000004</v>
      </c>
      <c r="Q3126">
        <v>0.1759588</v>
      </c>
      <c r="R3126">
        <v>-0.11965480000000001</v>
      </c>
      <c r="S3126">
        <v>-3.0165410000000001</v>
      </c>
      <c r="T3126">
        <v>-7.4348090000000006E-2</v>
      </c>
      <c r="U3126">
        <v>-0.54980469999999904</v>
      </c>
      <c r="V3126">
        <v>-0.1138695</v>
      </c>
      <c r="W3126">
        <v>0.18934999999999999</v>
      </c>
      <c r="X3126">
        <v>0.97528479999999995</v>
      </c>
      <c r="Y3126">
        <v>-0.17342249999999901</v>
      </c>
      <c r="Z3126">
        <v>-3.2534339999999999E-3</v>
      </c>
      <c r="AA3126">
        <v>0.9848422</v>
      </c>
      <c r="AB3126">
        <v>36</v>
      </c>
      <c r="AC3126">
        <v>-41.606400000000001</v>
      </c>
      <c r="AD3126">
        <v>-1.0305774999999999</v>
      </c>
      <c r="AE3126">
        <v>-7.6199000000000296</v>
      </c>
      <c r="AF3126">
        <v>-7.3699321303167098</v>
      </c>
      <c r="AG3126">
        <v>-1.0305774999999999</v>
      </c>
      <c r="AH3126">
        <v>41.625919898011603</v>
      </c>
      <c r="AI3126">
        <v>91.396532263872004</v>
      </c>
      <c r="AJ3126">
        <v>100.040255931852</v>
      </c>
      <c r="AK3126">
        <v>42.285874673993199</v>
      </c>
      <c r="AL3126">
        <v>79.085147318957993</v>
      </c>
      <c r="AM3126">
        <v>96.659425298894107</v>
      </c>
      <c r="AN3126">
        <v>1.0000000633206401</v>
      </c>
    </row>
    <row r="3127" spans="1:40" x14ac:dyDescent="0.25">
      <c r="A3127" t="str">
        <f>"20190304154818478"</f>
        <v>20190304154818478</v>
      </c>
      <c r="B3127" t="str">
        <f>"1551685698470296"</f>
        <v>1551685698470296</v>
      </c>
      <c r="C3127" t="s">
        <v>40</v>
      </c>
      <c r="D3127">
        <v>4.1152009999999999</v>
      </c>
      <c r="E3127">
        <v>0.47347519999999998</v>
      </c>
      <c r="F3127" t="s">
        <v>60</v>
      </c>
      <c r="G3127">
        <v>-445.709</v>
      </c>
      <c r="H3127">
        <v>8.0001559999999999E-2</v>
      </c>
      <c r="I3127">
        <v>277.69159999999999</v>
      </c>
      <c r="J3127">
        <v>-404.6848</v>
      </c>
      <c r="K3127">
        <v>1.1105750000000001</v>
      </c>
      <c r="L3127">
        <v>285.29969999999997</v>
      </c>
      <c r="M3127">
        <v>-0.99988920000000003</v>
      </c>
      <c r="N3127">
        <v>-1.369807E-2</v>
      </c>
      <c r="O3127">
        <v>-5.8605469999999998E-3</v>
      </c>
      <c r="P3127">
        <v>-0.97706959999999998</v>
      </c>
      <c r="Q3127">
        <v>0.1761337</v>
      </c>
      <c r="R3127">
        <v>-0.1196359</v>
      </c>
      <c r="S3127">
        <v>-3.01593</v>
      </c>
      <c r="T3127">
        <v>-7.5078489999999998E-2</v>
      </c>
      <c r="U3127">
        <v>-0.55441280000000004</v>
      </c>
      <c r="V3127">
        <v>-0.1138861</v>
      </c>
      <c r="W3127">
        <v>0.1895232</v>
      </c>
      <c r="X3127">
        <v>0.97524920000000004</v>
      </c>
      <c r="Y3127">
        <v>-0.1749493</v>
      </c>
      <c r="Z3127">
        <v>-3.3026829999999998E-3</v>
      </c>
      <c r="AA3127">
        <v>0.98457190000000006</v>
      </c>
      <c r="AB3127">
        <v>36</v>
      </c>
      <c r="AC3127">
        <v>-41.0242</v>
      </c>
      <c r="AD3127">
        <v>-1.03057344</v>
      </c>
      <c r="AE3127">
        <v>-7.6080999999999701</v>
      </c>
      <c r="AF3127">
        <v>-7.3630304647422697</v>
      </c>
      <c r="AG3127">
        <v>-1.03057344</v>
      </c>
      <c r="AH3127">
        <v>41.043047312576199</v>
      </c>
      <c r="AI3127">
        <v>91.415777834413106</v>
      </c>
      <c r="AJ3127">
        <v>100.170546919915</v>
      </c>
      <c r="AK3127">
        <v>41.7110061247907</v>
      </c>
      <c r="AL3127">
        <v>79.075040482414096</v>
      </c>
      <c r="AM3127">
        <v>96.660628337358006</v>
      </c>
      <c r="AN3127">
        <v>1.00000004460604</v>
      </c>
    </row>
    <row r="3128" spans="1:40" x14ac:dyDescent="0.25">
      <c r="A3128" t="str">
        <f>"20190304154818489"</f>
        <v>20190304154818489</v>
      </c>
      <c r="B3128" t="str">
        <f>"1551685698480056"</f>
        <v>1551685698480056</v>
      </c>
      <c r="C3128" t="s">
        <v>40</v>
      </c>
      <c r="D3128">
        <v>4.1226430000000001</v>
      </c>
      <c r="E3128">
        <v>0.47325669999999997</v>
      </c>
      <c r="F3128" t="s">
        <v>60</v>
      </c>
      <c r="G3128">
        <v>-446.44380000000001</v>
      </c>
      <c r="H3128">
        <v>8.0001349999999999E-2</v>
      </c>
      <c r="I3128">
        <v>277.57420000000002</v>
      </c>
      <c r="J3128">
        <v>-404.87830000000002</v>
      </c>
      <c r="K3128">
        <v>1.1105769999999999</v>
      </c>
      <c r="L3128">
        <v>285.29860000000002</v>
      </c>
      <c r="M3128">
        <v>-0.99988929999999998</v>
      </c>
      <c r="N3128">
        <v>-1.3696699999999999E-2</v>
      </c>
      <c r="O3128">
        <v>-5.8394040000000003E-3</v>
      </c>
      <c r="P3128">
        <v>-0.97706269999999995</v>
      </c>
      <c r="Q3128">
        <v>0.176173</v>
      </c>
      <c r="R3128">
        <v>-0.11963269999999999</v>
      </c>
      <c r="S3128">
        <v>-3.0154719999999999</v>
      </c>
      <c r="T3128">
        <v>-7.4419020000000002E-2</v>
      </c>
      <c r="U3128">
        <v>-0.5578613</v>
      </c>
      <c r="V3128">
        <v>-0.1139029</v>
      </c>
      <c r="W3128">
        <v>0.18956200000000001</v>
      </c>
      <c r="X3128">
        <v>0.97523959999999998</v>
      </c>
      <c r="Y3128">
        <v>-0.1760861</v>
      </c>
      <c r="Z3128">
        <v>-3.307061E-3</v>
      </c>
      <c r="AA3128">
        <v>0.98436920000000006</v>
      </c>
      <c r="AB3128">
        <v>36</v>
      </c>
      <c r="AC3128">
        <v>-41.565499999999901</v>
      </c>
      <c r="AD3128">
        <v>-1.0305756500000001</v>
      </c>
      <c r="AE3128">
        <v>-7.7244000000000002</v>
      </c>
      <c r="AF3128">
        <v>-7.4770847540466701</v>
      </c>
      <c r="AG3128">
        <v>-1.0305756500000001</v>
      </c>
      <c r="AH3128">
        <v>41.585190497274603</v>
      </c>
      <c r="AI3128">
        <v>91.397232654570402</v>
      </c>
      <c r="AJ3128">
        <v>100.19296389584299</v>
      </c>
      <c r="AK3128">
        <v>42.264606366133201</v>
      </c>
      <c r="AL3128">
        <v>79.072775316290304</v>
      </c>
      <c r="AM3128">
        <v>96.661667040829897</v>
      </c>
      <c r="AN3128">
        <v>0.99999994994028296</v>
      </c>
    </row>
    <row r="3129" spans="1:40" x14ac:dyDescent="0.25">
      <c r="A3129" t="str">
        <f>"20190304154818504"</f>
        <v>20190304154818504</v>
      </c>
      <c r="B3129" t="str">
        <f>"1551685698499577"</f>
        <v>1551685698499577</v>
      </c>
      <c r="C3129" t="s">
        <v>40</v>
      </c>
      <c r="D3129">
        <v>4.1481409999999999</v>
      </c>
      <c r="E3129">
        <v>0.4729083</v>
      </c>
      <c r="F3129" t="s">
        <v>60</v>
      </c>
      <c r="G3129">
        <v>-446.67520000000002</v>
      </c>
      <c r="H3129">
        <v>8.0001279999999994E-2</v>
      </c>
      <c r="I3129">
        <v>277.53480000000002</v>
      </c>
      <c r="J3129">
        <v>-405.09730000000002</v>
      </c>
      <c r="K3129">
        <v>1.110576</v>
      </c>
      <c r="L3129">
        <v>285.29730000000001</v>
      </c>
      <c r="M3129">
        <v>-0.99988940000000004</v>
      </c>
      <c r="N3129">
        <v>-1.369512E-2</v>
      </c>
      <c r="O3129">
        <v>-5.8135039999999997E-3</v>
      </c>
      <c r="P3129">
        <v>-0.97703419999999996</v>
      </c>
      <c r="Q3129">
        <v>0.17642579999999999</v>
      </c>
      <c r="R3129">
        <v>-0.1194924</v>
      </c>
      <c r="S3129">
        <v>-3.0152589999999999</v>
      </c>
      <c r="T3129">
        <v>-7.4346540000000003E-2</v>
      </c>
      <c r="U3129">
        <v>-0.56008910000000001</v>
      </c>
      <c r="V3129">
        <v>-0.1137875</v>
      </c>
      <c r="W3129">
        <v>0.18981300000000001</v>
      </c>
      <c r="X3129">
        <v>0.97520430000000002</v>
      </c>
      <c r="Y3129">
        <v>-0.17682690000000001</v>
      </c>
      <c r="Z3129">
        <v>-3.3194880000000002E-3</v>
      </c>
      <c r="AA3129">
        <v>0.98423640000000001</v>
      </c>
      <c r="AB3129">
        <v>36</v>
      </c>
      <c r="AC3129">
        <v>-41.5779</v>
      </c>
      <c r="AD3129">
        <v>-1.0305747199999999</v>
      </c>
      <c r="AE3129">
        <v>-7.7624999999999797</v>
      </c>
      <c r="AF3129">
        <v>-7.5161706460836903</v>
      </c>
      <c r="AG3129">
        <v>-1.0305747199999999</v>
      </c>
      <c r="AH3129">
        <v>41.597633046806898</v>
      </c>
      <c r="AI3129">
        <v>91.396597719116201</v>
      </c>
      <c r="AJ3129">
        <v>100.24212154707099</v>
      </c>
      <c r="AK3129">
        <v>42.283779165672399</v>
      </c>
      <c r="AL3129">
        <v>79.058128685545199</v>
      </c>
      <c r="AM3129">
        <v>96.655217117891098</v>
      </c>
      <c r="AN3129">
        <v>0.99999999843186904</v>
      </c>
    </row>
    <row r="3130" spans="1:40" x14ac:dyDescent="0.25">
      <c r="A3130" t="str">
        <f>"20190304154818520"</f>
        <v>20190304154818520</v>
      </c>
      <c r="B3130" t="str">
        <f>"1551685698510313"</f>
        <v>1551685698510313</v>
      </c>
      <c r="C3130" t="s">
        <v>40</v>
      </c>
      <c r="D3130">
        <v>4.1518579999999998</v>
      </c>
      <c r="E3130">
        <v>0.47270450000000003</v>
      </c>
      <c r="F3130" t="s">
        <v>60</v>
      </c>
      <c r="G3130">
        <v>-446.63959999999997</v>
      </c>
      <c r="H3130">
        <v>8.0001290000000003E-2</v>
      </c>
      <c r="I3130">
        <v>277.55090000000001</v>
      </c>
      <c r="J3130">
        <v>-405.35129999999998</v>
      </c>
      <c r="K3130">
        <v>1.1105700000000001</v>
      </c>
      <c r="L3130">
        <v>285.29579999999999</v>
      </c>
      <c r="M3130">
        <v>-0.99988960000000005</v>
      </c>
      <c r="N3130">
        <v>-1.369329E-2</v>
      </c>
      <c r="O3130">
        <v>-5.7828339999999997E-3</v>
      </c>
      <c r="P3130">
        <v>-0.97695860000000001</v>
      </c>
      <c r="Q3130">
        <v>0.17664830000000001</v>
      </c>
      <c r="R3130">
        <v>-0.1197801</v>
      </c>
      <c r="S3130">
        <v>-3.0152589999999999</v>
      </c>
      <c r="T3130">
        <v>-7.480204E-2</v>
      </c>
      <c r="U3130">
        <v>-0.56225590000000003</v>
      </c>
      <c r="V3130">
        <v>-0.11410430000000001</v>
      </c>
      <c r="W3130">
        <v>0.19003310000000001</v>
      </c>
      <c r="X3130">
        <v>0.9751244</v>
      </c>
      <c r="Y3130">
        <v>-0.17753949999999999</v>
      </c>
      <c r="Z3130">
        <v>-3.3456459999999999E-3</v>
      </c>
      <c r="AA3130">
        <v>0.98410799999999998</v>
      </c>
      <c r="AB3130">
        <v>36</v>
      </c>
      <c r="AC3130">
        <v>-41.2882999999999</v>
      </c>
      <c r="AD3130">
        <v>-1.0305687100000001</v>
      </c>
      <c r="AE3130">
        <v>-7.7448999999999701</v>
      </c>
      <c r="AF3130">
        <v>-7.5014700346467702</v>
      </c>
      <c r="AG3130">
        <v>-1.0305687100000001</v>
      </c>
      <c r="AH3130">
        <v>41.307540625683401</v>
      </c>
      <c r="AI3130">
        <v>91.406168440776696</v>
      </c>
      <c r="AJ3130">
        <v>100.292772873272</v>
      </c>
      <c r="AK3130">
        <v>41.995797850370899</v>
      </c>
      <c r="AL3130">
        <v>79.045283927872902</v>
      </c>
      <c r="AM3130">
        <v>96.674121141630394</v>
      </c>
      <c r="AN3130">
        <v>0.99999998292472903</v>
      </c>
    </row>
    <row r="3131" spans="1:40" x14ac:dyDescent="0.25">
      <c r="A3131" t="str">
        <f>"20190304154818535"</f>
        <v>20190304154818535</v>
      </c>
      <c r="B3131" t="str">
        <f>"1551685698529833"</f>
        <v>1551685698529833</v>
      </c>
      <c r="C3131" t="s">
        <v>40</v>
      </c>
      <c r="D3131">
        <v>4.1583550000000002</v>
      </c>
      <c r="E3131">
        <v>0.47230250000000001</v>
      </c>
      <c r="F3131" t="s">
        <v>60</v>
      </c>
      <c r="G3131">
        <v>-447.42790000000002</v>
      </c>
      <c r="H3131">
        <v>8.0001059999999999E-2</v>
      </c>
      <c r="I3131">
        <v>277.41079999999999</v>
      </c>
      <c r="J3131">
        <v>-405.60059999999999</v>
      </c>
      <c r="K3131">
        <v>1.1105700000000001</v>
      </c>
      <c r="L3131">
        <v>285.2944</v>
      </c>
      <c r="M3131">
        <v>-0.99988980000000005</v>
      </c>
      <c r="N3131">
        <v>-1.369156E-2</v>
      </c>
      <c r="O3131">
        <v>-5.7528830000000003E-3</v>
      </c>
      <c r="P3131">
        <v>-0.97694409999999998</v>
      </c>
      <c r="Q3131">
        <v>0.17665410000000001</v>
      </c>
      <c r="R3131">
        <v>-0.119891</v>
      </c>
      <c r="S3131">
        <v>-3.0148320000000002</v>
      </c>
      <c r="T3131">
        <v>-7.3841329999999997E-2</v>
      </c>
      <c r="U3131">
        <v>-0.56497189999999997</v>
      </c>
      <c r="V3131">
        <v>-0.1142442</v>
      </c>
      <c r="W3131">
        <v>0.19003729999999999</v>
      </c>
      <c r="X3131">
        <v>0.97510730000000001</v>
      </c>
      <c r="Y3131">
        <v>-0.178452</v>
      </c>
      <c r="Z3131">
        <v>-3.3371809999999998E-3</v>
      </c>
      <c r="AA3131">
        <v>0.98394289999999995</v>
      </c>
      <c r="AB3131">
        <v>35</v>
      </c>
      <c r="AC3131">
        <v>-41.827300000000001</v>
      </c>
      <c r="AD3131">
        <v>-1.03056894</v>
      </c>
      <c r="AE3131">
        <v>-7.8836000000000004</v>
      </c>
      <c r="AF3131">
        <v>-7.63834153142927</v>
      </c>
      <c r="AG3131">
        <v>-1.03056894</v>
      </c>
      <c r="AH3131">
        <v>41.847432832155398</v>
      </c>
      <c r="AI3131">
        <v>91.387807453806204</v>
      </c>
      <c r="AJ3131">
        <v>100.344227342133</v>
      </c>
      <c r="AK3131">
        <v>42.551309830986497</v>
      </c>
      <c r="AL3131">
        <v>79.045039890872999</v>
      </c>
      <c r="AM3131">
        <v>96.682346257139699</v>
      </c>
      <c r="AN3131">
        <v>1.0000000795691</v>
      </c>
    </row>
    <row r="3132" spans="1:40" x14ac:dyDescent="0.25">
      <c r="A3132" t="str">
        <f>"20190304154818552"</f>
        <v>20190304154818552</v>
      </c>
      <c r="B3132" t="str">
        <f>"1551685698550329"</f>
        <v>1551685698550329</v>
      </c>
      <c r="C3132" t="s">
        <v>40</v>
      </c>
      <c r="D3132">
        <v>4.1716530000000001</v>
      </c>
      <c r="E3132">
        <v>0.4719682</v>
      </c>
      <c r="F3132" t="s">
        <v>60</v>
      </c>
      <c r="G3132">
        <v>-447.85989999999998</v>
      </c>
      <c r="H3132">
        <v>8.0000940000000006E-2</v>
      </c>
      <c r="I3132">
        <v>277.32589999999999</v>
      </c>
      <c r="J3132">
        <v>-405.86509999999998</v>
      </c>
      <c r="K3132">
        <v>1.1105659999999999</v>
      </c>
      <c r="L3132">
        <v>285.29289999999997</v>
      </c>
      <c r="M3132">
        <v>-0.9998899</v>
      </c>
      <c r="N3132">
        <v>-1.368981E-2</v>
      </c>
      <c r="O3132">
        <v>-5.7212629999999999E-3</v>
      </c>
      <c r="P3132">
        <v>-0.97691320000000004</v>
      </c>
      <c r="Q3132">
        <v>0.1768158</v>
      </c>
      <c r="R3132">
        <v>-0.11990430000000001</v>
      </c>
      <c r="S3132">
        <v>-3.014313</v>
      </c>
      <c r="T3132">
        <v>-7.3509450000000004E-2</v>
      </c>
      <c r="U3132">
        <v>-0.5683899</v>
      </c>
      <c r="V3132">
        <v>-0.114288</v>
      </c>
      <c r="W3132">
        <v>0.1901969</v>
      </c>
      <c r="X3132">
        <v>0.97507100000000002</v>
      </c>
      <c r="Y3132">
        <v>-0.17959140000000001</v>
      </c>
      <c r="Z3132">
        <v>-3.350132E-3</v>
      </c>
      <c r="AA3132">
        <v>0.98373560000000004</v>
      </c>
      <c r="AB3132">
        <v>35</v>
      </c>
      <c r="AC3132">
        <v>-41.994799999999998</v>
      </c>
      <c r="AD3132">
        <v>-1.03056506</v>
      </c>
      <c r="AE3132">
        <v>-7.9669999999999801</v>
      </c>
      <c r="AF3132">
        <v>-7.7220948771718101</v>
      </c>
      <c r="AG3132">
        <v>-1.03056506</v>
      </c>
      <c r="AH3132">
        <v>42.015274469838303</v>
      </c>
      <c r="AI3132">
        <v>91.381950895131396</v>
      </c>
      <c r="AJ3132">
        <v>100.414311911811</v>
      </c>
      <c r="AK3132">
        <v>42.731441614001099</v>
      </c>
      <c r="AL3132">
        <v>79.035725070952495</v>
      </c>
      <c r="AM3132">
        <v>96.685131627533906</v>
      </c>
      <c r="AN3132">
        <v>1.0000000313773001</v>
      </c>
    </row>
    <row r="3133" spans="1:40" x14ac:dyDescent="0.25">
      <c r="A3133" t="str">
        <f>"20190304154818565"</f>
        <v>20190304154818565</v>
      </c>
      <c r="B3133" t="str">
        <f>"1551685698560088"</f>
        <v>1551685698560088</v>
      </c>
      <c r="C3133" t="s">
        <v>40</v>
      </c>
      <c r="D3133">
        <v>4.1646289999999997</v>
      </c>
      <c r="E3133">
        <v>0.47181650000000003</v>
      </c>
      <c r="F3133" t="s">
        <v>60</v>
      </c>
      <c r="G3133">
        <v>-448.61290000000002</v>
      </c>
      <c r="H3133">
        <v>8.0000730000000006E-2</v>
      </c>
      <c r="I3133">
        <v>277.18290000000002</v>
      </c>
      <c r="J3133">
        <v>-406.08019999999999</v>
      </c>
      <c r="K3133">
        <v>1.110562</v>
      </c>
      <c r="L3133">
        <v>285.29169999999999</v>
      </c>
      <c r="M3133">
        <v>-0.99989019999999995</v>
      </c>
      <c r="N3133">
        <v>-1.368831E-2</v>
      </c>
      <c r="O3133">
        <v>-5.6953769999999997E-3</v>
      </c>
      <c r="P3133">
        <v>-0.97695710000000002</v>
      </c>
      <c r="Q3133">
        <v>0.17665049999999999</v>
      </c>
      <c r="R3133">
        <v>-0.1197899</v>
      </c>
      <c r="S3133">
        <v>-3.0138240000000001</v>
      </c>
      <c r="T3133">
        <v>-7.2657349999999996E-2</v>
      </c>
      <c r="U3133">
        <v>-0.57177730000000004</v>
      </c>
      <c r="V3133">
        <v>-0.1141988</v>
      </c>
      <c r="W3133">
        <v>0.19003120000000001</v>
      </c>
      <c r="X3133">
        <v>0.97511369999999997</v>
      </c>
      <c r="Y3133">
        <v>-0.18071419999999999</v>
      </c>
      <c r="Z3133">
        <v>-3.3481019999999999E-3</v>
      </c>
      <c r="AA3133">
        <v>0.98352989999999996</v>
      </c>
      <c r="AB3133">
        <v>35</v>
      </c>
      <c r="AC3133">
        <v>-42.532699999999998</v>
      </c>
      <c r="AD3133">
        <v>-1.03056127</v>
      </c>
      <c r="AE3133">
        <v>-8.1087999999999703</v>
      </c>
      <c r="AF3133">
        <v>-7.8619522665181201</v>
      </c>
      <c r="AG3133">
        <v>-1.03056127</v>
      </c>
      <c r="AH3133">
        <v>42.554090330018703</v>
      </c>
      <c r="AI3133">
        <v>91.364221208622794</v>
      </c>
      <c r="AJ3133">
        <v>100.46747706211799</v>
      </c>
      <c r="AK3133">
        <v>43.286521618023599</v>
      </c>
      <c r="AL3133">
        <v>79.045394727046798</v>
      </c>
      <c r="AM3133">
        <v>96.679671286695793</v>
      </c>
      <c r="AN3133">
        <v>0.99999997541128405</v>
      </c>
    </row>
    <row r="3134" spans="1:40" x14ac:dyDescent="0.25">
      <c r="A3134" t="str">
        <f>"20190304154818577"</f>
        <v>20190304154818577</v>
      </c>
      <c r="B3134" t="str">
        <f>"1551685698569848"</f>
        <v>1551685698569848</v>
      </c>
      <c r="C3134" t="s">
        <v>40</v>
      </c>
      <c r="D3134">
        <v>4.173807</v>
      </c>
      <c r="E3134">
        <v>0.47166160000000001</v>
      </c>
      <c r="F3134" t="s">
        <v>60</v>
      </c>
      <c r="G3134">
        <v>-448.60379999999998</v>
      </c>
      <c r="H3134">
        <v>8.0000730000000006E-2</v>
      </c>
      <c r="I3134">
        <v>277.20580000000001</v>
      </c>
      <c r="J3134">
        <v>-406.25900000000001</v>
      </c>
      <c r="K3134">
        <v>1.110562</v>
      </c>
      <c r="L3134">
        <v>285.29070000000002</v>
      </c>
      <c r="M3134">
        <v>-0.99989019999999995</v>
      </c>
      <c r="N3134">
        <v>-1.3687049999999999E-2</v>
      </c>
      <c r="O3134">
        <v>-5.6740230000000003E-3</v>
      </c>
      <c r="P3134">
        <v>-0.97701649999999995</v>
      </c>
      <c r="Q3134">
        <v>0.176363299999999</v>
      </c>
      <c r="R3134">
        <v>-0.1197279</v>
      </c>
      <c r="S3134">
        <v>-3.0137019999999999</v>
      </c>
      <c r="T3134">
        <v>-7.3037149999999995E-2</v>
      </c>
      <c r="U3134">
        <v>-0.57305909999999904</v>
      </c>
      <c r="V3134">
        <v>-0.11415690000000001</v>
      </c>
      <c r="W3134">
        <v>0.1897433</v>
      </c>
      <c r="X3134">
        <v>0.97517469999999995</v>
      </c>
      <c r="Y3134">
        <v>-0.18114540000000001</v>
      </c>
      <c r="Z3134">
        <v>-3.3669770000000002E-3</v>
      </c>
      <c r="AA3134">
        <v>0.98345059999999995</v>
      </c>
      <c r="AB3134">
        <v>35</v>
      </c>
      <c r="AC3134">
        <v>-42.3447999999999</v>
      </c>
      <c r="AD3134">
        <v>-1.03056127</v>
      </c>
      <c r="AE3134">
        <v>-8.0848999999999993</v>
      </c>
      <c r="AF3134">
        <v>-7.84000157991413</v>
      </c>
      <c r="AG3134">
        <v>-1.03056127</v>
      </c>
      <c r="AH3134">
        <v>42.365785448219597</v>
      </c>
      <c r="AI3134">
        <v>91.370208294379196</v>
      </c>
      <c r="AJ3134">
        <v>100.48426660769999</v>
      </c>
      <c r="AK3134">
        <v>43.097418228344701</v>
      </c>
      <c r="AL3134">
        <v>79.062196209482096</v>
      </c>
      <c r="AM3134">
        <v>96.676828712966</v>
      </c>
      <c r="AN3134">
        <v>1.00000000661629</v>
      </c>
    </row>
    <row r="3135" spans="1:40" x14ac:dyDescent="0.25">
      <c r="A3135" t="str">
        <f>"20190304154818589"</f>
        <v>20190304154818589</v>
      </c>
      <c r="B3135" t="str">
        <f>"1551685698579608"</f>
        <v>1551685698579608</v>
      </c>
      <c r="C3135" t="s">
        <v>40</v>
      </c>
      <c r="D3135">
        <v>4.1805830000000004</v>
      </c>
      <c r="E3135">
        <v>0.47149489999999999</v>
      </c>
      <c r="F3135" t="s">
        <v>60</v>
      </c>
      <c r="G3135">
        <v>-448.2978</v>
      </c>
      <c r="H3135">
        <v>8.0000810000000006E-2</v>
      </c>
      <c r="I3135">
        <v>277.28429999999997</v>
      </c>
      <c r="J3135">
        <v>-406.44959999999998</v>
      </c>
      <c r="K3135">
        <v>1.1105609999999999</v>
      </c>
      <c r="L3135">
        <v>285.28969999999998</v>
      </c>
      <c r="M3135">
        <v>-0.99989039999999996</v>
      </c>
      <c r="N3135">
        <v>-1.36857E-2</v>
      </c>
      <c r="O3135">
        <v>-5.6517119999999997E-3</v>
      </c>
      <c r="P3135">
        <v>-0.97706550000000003</v>
      </c>
      <c r="Q3135">
        <v>0.17599289999999901</v>
      </c>
      <c r="R3135">
        <v>-0.11987349999999999</v>
      </c>
      <c r="S3135">
        <v>-3.0135800000000001</v>
      </c>
      <c r="T3135">
        <v>-7.3876499999999998E-2</v>
      </c>
      <c r="U3135">
        <v>-0.57394409999999996</v>
      </c>
      <c r="V3135">
        <v>-0.1143233</v>
      </c>
      <c r="W3135">
        <v>0.1893724</v>
      </c>
      <c r="X3135">
        <v>0.97522730000000002</v>
      </c>
      <c r="Y3135">
        <v>-0.18145169999999999</v>
      </c>
      <c r="Z3135">
        <v>-3.3964099999999999E-3</v>
      </c>
      <c r="AA3135">
        <v>0.98339399999999999</v>
      </c>
      <c r="AB3135">
        <v>35</v>
      </c>
      <c r="AC3135">
        <v>-41.848199999999999</v>
      </c>
      <c r="AD3135">
        <v>-1.0305601900000001</v>
      </c>
      <c r="AE3135">
        <v>-8.0053999999999998</v>
      </c>
      <c r="AF3135">
        <v>-7.764193649548</v>
      </c>
      <c r="AG3135">
        <v>-1.0305601900000001</v>
      </c>
      <c r="AH3135">
        <v>41.8682854119509</v>
      </c>
      <c r="AI3135">
        <v>91.386385648598903</v>
      </c>
      <c r="AJ3135">
        <v>100.50577573627901</v>
      </c>
      <c r="AK3135">
        <v>42.594578066574101</v>
      </c>
      <c r="AL3135">
        <v>79.083839597967497</v>
      </c>
      <c r="AM3135">
        <v>96.686115706751593</v>
      </c>
      <c r="AN3135">
        <v>1.00000000473497</v>
      </c>
    </row>
    <row r="3136" spans="1:40" x14ac:dyDescent="0.25">
      <c r="A3136" t="str">
        <f>"20190304154818608"</f>
        <v>20190304154818608</v>
      </c>
      <c r="B3136" t="str">
        <f>"1551685698600104"</f>
        <v>1551685698600104</v>
      </c>
      <c r="C3136" t="s">
        <v>40</v>
      </c>
      <c r="D3136">
        <v>4.2097259999999999</v>
      </c>
      <c r="E3136">
        <v>0.4450209</v>
      </c>
      <c r="F3136" t="s">
        <v>60</v>
      </c>
      <c r="G3136">
        <v>-447.733</v>
      </c>
      <c r="H3136">
        <v>8.0000970000000005E-2</v>
      </c>
      <c r="I3136">
        <v>277.40679999999998</v>
      </c>
      <c r="J3136">
        <v>-406.75299999999999</v>
      </c>
      <c r="K3136">
        <v>1.11056</v>
      </c>
      <c r="L3136">
        <v>285.28800000000001</v>
      </c>
      <c r="M3136">
        <v>-0.99989070000000002</v>
      </c>
      <c r="N3136">
        <v>-1.3683549999999999E-2</v>
      </c>
      <c r="O3136">
        <v>-5.6159309999999898E-3</v>
      </c>
      <c r="P3136">
        <v>-0.97715989999999997</v>
      </c>
      <c r="Q3136">
        <v>0.17530699999999999</v>
      </c>
      <c r="R3136">
        <v>-0.1201088</v>
      </c>
      <c r="S3136">
        <v>-3.013306</v>
      </c>
      <c r="T3136">
        <v>-7.5221419999999997E-2</v>
      </c>
      <c r="U3136">
        <v>-0.57537839999999996</v>
      </c>
      <c r="V3136">
        <v>-0.1145936</v>
      </c>
      <c r="W3136">
        <v>0.18868599999999999</v>
      </c>
      <c r="X3136">
        <v>0.97532859999999999</v>
      </c>
      <c r="Y3136">
        <v>-0.18195230000000001</v>
      </c>
      <c r="Z3136">
        <v>-3.4440180000000001E-3</v>
      </c>
      <c r="AA3136">
        <v>0.98330130000000004</v>
      </c>
      <c r="AB3136">
        <v>35</v>
      </c>
      <c r="AC3136">
        <v>-40.979999999999897</v>
      </c>
      <c r="AD3136">
        <v>-1.03055903</v>
      </c>
      <c r="AE3136">
        <v>-7.88120000000003</v>
      </c>
      <c r="AF3136">
        <v>-7.6462501872979098</v>
      </c>
      <c r="AG3136">
        <v>-1.03055903</v>
      </c>
      <c r="AH3136">
        <v>40.998614723046401</v>
      </c>
      <c r="AI3136">
        <v>91.415511658556696</v>
      </c>
      <c r="AJ3136">
        <v>100.564306916302</v>
      </c>
      <c r="AK3136">
        <v>41.718264621744098</v>
      </c>
      <c r="AL3136">
        <v>79.123889287346998</v>
      </c>
      <c r="AM3136">
        <v>96.7010906476755</v>
      </c>
      <c r="AN3136">
        <v>0.999999988867459</v>
      </c>
    </row>
    <row r="3137" spans="1:40" x14ac:dyDescent="0.25">
      <c r="A3137" t="str">
        <f>"20190304154818622"</f>
        <v>20190304154818622</v>
      </c>
      <c r="B3137" t="str">
        <f>"1551685698609865"</f>
        <v>1551685698609865</v>
      </c>
      <c r="C3137" t="s">
        <v>40</v>
      </c>
      <c r="D3137">
        <v>4.1125059999999998</v>
      </c>
      <c r="E3137">
        <v>0.43313600000000002</v>
      </c>
      <c r="F3137" t="s">
        <v>61</v>
      </c>
      <c r="G3137">
        <v>-438.95740000000001</v>
      </c>
      <c r="H3137">
        <v>8.0000630000000003E-2</v>
      </c>
      <c r="I3137">
        <v>276.83319999999998</v>
      </c>
      <c r="J3137">
        <v>-406.96210000000002</v>
      </c>
      <c r="K3137">
        <v>1.110557</v>
      </c>
      <c r="L3137">
        <v>285.28680000000003</v>
      </c>
      <c r="M3137">
        <v>-0.99989079999999997</v>
      </c>
      <c r="N3137">
        <v>-1.3682049999999999E-2</v>
      </c>
      <c r="O3137">
        <v>-5.5912419999999997E-3</v>
      </c>
      <c r="P3137">
        <v>-0.97714800000000002</v>
      </c>
      <c r="Q3137">
        <v>0.1753576</v>
      </c>
      <c r="R3137">
        <v>-0.12013219999999999</v>
      </c>
      <c r="S3137">
        <v>-2.9907840000000001</v>
      </c>
      <c r="T3137">
        <v>-9.5706819999999998E-2</v>
      </c>
      <c r="U3137">
        <v>-0.78518679999999996</v>
      </c>
      <c r="V3137">
        <v>-0.1146408</v>
      </c>
      <c r="W3137">
        <v>0.18873519999999999</v>
      </c>
      <c r="X3137">
        <v>0.97531350000000006</v>
      </c>
      <c r="Y3137">
        <v>-0.24834590000000001</v>
      </c>
      <c r="Z3137">
        <v>-5.5337370000000004E-3</v>
      </c>
      <c r="AA3137">
        <v>0.96865559999999995</v>
      </c>
      <c r="AB3137">
        <v>35</v>
      </c>
      <c r="AC3137">
        <v>-31.995299999999901</v>
      </c>
      <c r="AD3137">
        <v>-1.03055637</v>
      </c>
      <c r="AE3137">
        <v>-8.4536000000000495</v>
      </c>
      <c r="AF3137">
        <v>-8.2665410580099703</v>
      </c>
      <c r="AG3137">
        <v>-1.03055637</v>
      </c>
      <c r="AH3137">
        <v>32.011027270730303</v>
      </c>
      <c r="AI3137">
        <v>91.785399647683704</v>
      </c>
      <c r="AJ3137">
        <v>104.47974283664399</v>
      </c>
      <c r="AK3137">
        <v>33.077237103829503</v>
      </c>
      <c r="AL3137">
        <v>79.121018397669701</v>
      </c>
      <c r="AM3137">
        <v>96.703928491183405</v>
      </c>
      <c r="AN3137">
        <v>0.99999995601296399</v>
      </c>
    </row>
    <row r="3138" spans="1:40" x14ac:dyDescent="0.25">
      <c r="A3138" t="str">
        <f>"20190304154818636"</f>
        <v>20190304154818636</v>
      </c>
      <c r="B3138" t="str">
        <f>"1551685698630360"</f>
        <v>1551685698630360</v>
      </c>
      <c r="C3138" t="s">
        <v>40</v>
      </c>
      <c r="D3138">
        <v>3.8237100000000002</v>
      </c>
      <c r="E3138">
        <v>0.42098289999999999</v>
      </c>
      <c r="F3138" t="s">
        <v>45</v>
      </c>
      <c r="G3138">
        <v>-451.40260000000001</v>
      </c>
      <c r="H3138">
        <v>-0.05</v>
      </c>
      <c r="I3138">
        <v>272.14929999999998</v>
      </c>
      <c r="J3138">
        <v>-407.18049999999999</v>
      </c>
      <c r="K3138">
        <v>1.110555</v>
      </c>
      <c r="L3138">
        <v>285.28559999999999</v>
      </c>
      <c r="M3138">
        <v>-0.99989099999999997</v>
      </c>
      <c r="N3138">
        <v>-1.368048E-2</v>
      </c>
      <c r="O3138">
        <v>-5.5654800000000003E-3</v>
      </c>
      <c r="P3138">
        <v>-0.97714380000000001</v>
      </c>
      <c r="Q3138">
        <v>0.1754185</v>
      </c>
      <c r="R3138">
        <v>-0.120077</v>
      </c>
      <c r="S3138">
        <v>-2.9759829999999998</v>
      </c>
      <c r="T3138">
        <v>-7.7717419999999995E-2</v>
      </c>
      <c r="U3138">
        <v>-0.87976069999999995</v>
      </c>
      <c r="V3138">
        <v>-0.1146107</v>
      </c>
      <c r="W3138">
        <v>0.1887942</v>
      </c>
      <c r="X3138">
        <v>0.97530570000000005</v>
      </c>
      <c r="Y3138">
        <v>-0.27801429999999999</v>
      </c>
      <c r="Z3138">
        <v>-5.427945E-3</v>
      </c>
      <c r="AA3138">
        <v>0.96056160000000002</v>
      </c>
      <c r="AB3138">
        <v>35</v>
      </c>
      <c r="AC3138">
        <v>-44.222099999999998</v>
      </c>
      <c r="AD3138">
        <v>-1.160555</v>
      </c>
      <c r="AE3138">
        <v>-13.1363</v>
      </c>
      <c r="AF3138">
        <v>-12.8818035266011</v>
      </c>
      <c r="AG3138">
        <v>-1.160555</v>
      </c>
      <c r="AH3138">
        <v>44.266515825433601</v>
      </c>
      <c r="AI3138">
        <v>91.442014542977006</v>
      </c>
      <c r="AJ3138">
        <v>106.22529112092199</v>
      </c>
      <c r="AK3138">
        <v>46.117373877198901</v>
      </c>
      <c r="AL3138">
        <v>79.117576936741898</v>
      </c>
      <c r="AM3138">
        <v>96.702237440700003</v>
      </c>
      <c r="AN3138">
        <v>1.0000000354803</v>
      </c>
    </row>
    <row r="3139" spans="1:40" x14ac:dyDescent="0.25">
      <c r="A3139" t="str">
        <f>"20190304154818647"</f>
        <v>20190304154818647</v>
      </c>
      <c r="B3139" t="str">
        <f>"1551685698640120"</f>
        <v>1551685698640120</v>
      </c>
      <c r="C3139" t="s">
        <v>40</v>
      </c>
      <c r="D3139">
        <v>3.854454</v>
      </c>
      <c r="E3139">
        <v>0.41733039999999999</v>
      </c>
      <c r="F3139" t="s">
        <v>65</v>
      </c>
      <c r="G3139">
        <v>-453.2706</v>
      </c>
      <c r="H3139">
        <v>0.19532389999999999</v>
      </c>
      <c r="I3139">
        <v>270.08679999999998</v>
      </c>
      <c r="J3139">
        <v>-407.38049999999998</v>
      </c>
      <c r="K3139">
        <v>1.110555</v>
      </c>
      <c r="L3139">
        <v>285.28449999999998</v>
      </c>
      <c r="M3139">
        <v>-0.99989110000000003</v>
      </c>
      <c r="N3139">
        <v>-1.367907E-2</v>
      </c>
      <c r="O3139">
        <v>-5.5421050000000003E-3</v>
      </c>
      <c r="P3139">
        <v>-0.97717069999999995</v>
      </c>
      <c r="Q3139">
        <v>0.17520820000000001</v>
      </c>
      <c r="R3139">
        <v>-0.1201666</v>
      </c>
      <c r="S3139">
        <v>-2.9607540000000001</v>
      </c>
      <c r="T3139">
        <v>-5.8792230000000001E-2</v>
      </c>
      <c r="U3139">
        <v>-0.97634889999999996</v>
      </c>
      <c r="V3139">
        <v>-0.1147229</v>
      </c>
      <c r="W3139">
        <v>0.188583</v>
      </c>
      <c r="X3139">
        <v>0.97533329999999996</v>
      </c>
      <c r="Y3139">
        <v>-0.30781019999999998</v>
      </c>
      <c r="Z3139">
        <v>-5.1037280000000001E-3</v>
      </c>
      <c r="AA3139">
        <v>0.95143409999999995</v>
      </c>
      <c r="AB3139">
        <v>35</v>
      </c>
      <c r="AC3139">
        <v>-45.890099999999997</v>
      </c>
      <c r="AD3139">
        <v>-0.91523109999999996</v>
      </c>
      <c r="AE3139">
        <v>-15.1976999999999</v>
      </c>
      <c r="AF3139">
        <v>-14.937760594012699</v>
      </c>
      <c r="AG3139">
        <v>-0.91523109999999996</v>
      </c>
      <c r="AH3139">
        <v>45.957156963129599</v>
      </c>
      <c r="AI3139">
        <v>91.085024944798704</v>
      </c>
      <c r="AJ3139">
        <v>108.00606114767101</v>
      </c>
      <c r="AK3139">
        <v>48.332541994645602</v>
      </c>
      <c r="AL3139">
        <v>79.129898416464698</v>
      </c>
      <c r="AM3139">
        <v>96.708550814080297</v>
      </c>
      <c r="AN3139">
        <v>0.99999996888114895</v>
      </c>
    </row>
    <row r="3140" spans="1:40" x14ac:dyDescent="0.25">
      <c r="A3140" t="str">
        <f>"20190304154818659"</f>
        <v>20190304154818659</v>
      </c>
      <c r="B3140" t="str">
        <f>"1551685698649880"</f>
        <v>1551685698649880</v>
      </c>
      <c r="C3140" t="s">
        <v>40</v>
      </c>
      <c r="D3140">
        <v>3.874139</v>
      </c>
      <c r="E3140">
        <v>0.41483730000000002</v>
      </c>
      <c r="F3140" t="s">
        <v>65</v>
      </c>
      <c r="G3140">
        <v>-452.04680000000002</v>
      </c>
      <c r="H3140">
        <v>0.33996579999999998</v>
      </c>
      <c r="I3140">
        <v>270.08679999999998</v>
      </c>
      <c r="J3140">
        <v>-407.56459999999998</v>
      </c>
      <c r="K3140">
        <v>1.1105560000000001</v>
      </c>
      <c r="L3140">
        <v>285.28359999999998</v>
      </c>
      <c r="M3140">
        <v>-0.99989130000000004</v>
      </c>
      <c r="N3140">
        <v>-1.3677770000000001E-2</v>
      </c>
      <c r="O3140">
        <v>-5.5205200000000001E-3</v>
      </c>
      <c r="P3140">
        <v>-0.97724460000000002</v>
      </c>
      <c r="Q3140">
        <v>0.17479320000000001</v>
      </c>
      <c r="R3140">
        <v>-0.1201695</v>
      </c>
      <c r="S3140">
        <v>-2.955597</v>
      </c>
      <c r="T3140">
        <v>-5.0989510000000002E-2</v>
      </c>
      <c r="U3140">
        <v>-1.00564599999999</v>
      </c>
      <c r="V3140">
        <v>-0.114747</v>
      </c>
      <c r="W3140">
        <v>0.188168</v>
      </c>
      <c r="X3140">
        <v>0.97541060000000002</v>
      </c>
      <c r="Y3140">
        <v>-0.3168049</v>
      </c>
      <c r="Z3140">
        <v>-4.8648800000000002E-3</v>
      </c>
      <c r="AA3140">
        <v>0.94847820000000005</v>
      </c>
      <c r="AB3140">
        <v>35</v>
      </c>
      <c r="AC3140">
        <v>-44.482199999999999</v>
      </c>
      <c r="AD3140">
        <v>-0.770590199999999</v>
      </c>
      <c r="AE3140">
        <v>-15.1967999999999</v>
      </c>
      <c r="AF3140">
        <v>-14.9469637174612</v>
      </c>
      <c r="AG3140">
        <v>-0.770590199999999</v>
      </c>
      <c r="AH3140">
        <v>44.553450851362904</v>
      </c>
      <c r="AI3140">
        <v>90.939433817865094</v>
      </c>
      <c r="AJ3140">
        <v>108.54577173518101</v>
      </c>
      <c r="AK3140">
        <v>47.0001650677128</v>
      </c>
      <c r="AL3140">
        <v>79.154109458334005</v>
      </c>
      <c r="AM3140">
        <v>96.709420333617103</v>
      </c>
      <c r="AN3140">
        <v>0.99999995441267897</v>
      </c>
    </row>
    <row r="3141" spans="1:40" x14ac:dyDescent="0.25">
      <c r="A3141" t="str">
        <f>"20190304154818673"</f>
        <v>20190304154818673</v>
      </c>
      <c r="B3141" t="str">
        <f>"1551685698670376"</f>
        <v>1551685698670376</v>
      </c>
      <c r="C3141" t="s">
        <v>40</v>
      </c>
      <c r="D3141">
        <v>3.873875</v>
      </c>
      <c r="E3141">
        <v>0.4118927</v>
      </c>
      <c r="F3141" t="s">
        <v>65</v>
      </c>
      <c r="G3141">
        <v>-451.3125</v>
      </c>
      <c r="H3141">
        <v>0.42339520000000003</v>
      </c>
      <c r="I3141">
        <v>270.08670000000001</v>
      </c>
      <c r="J3141">
        <v>-407.7724</v>
      </c>
      <c r="K3141">
        <v>1.110555</v>
      </c>
      <c r="L3141">
        <v>285.2824</v>
      </c>
      <c r="M3141">
        <v>-0.99989139999999999</v>
      </c>
      <c r="N3141">
        <v>-1.3676280000000001E-2</v>
      </c>
      <c r="O3141">
        <v>-5.4958359999999996E-3</v>
      </c>
      <c r="P3141">
        <v>-0.97728959999999998</v>
      </c>
      <c r="Q3141">
        <v>0.17461009999999999</v>
      </c>
      <c r="R3141">
        <v>-0.1200681</v>
      </c>
      <c r="S3141">
        <v>-2.952026</v>
      </c>
      <c r="T3141">
        <v>-4.6367409999999998E-2</v>
      </c>
      <c r="U3141">
        <v>-1.025452</v>
      </c>
      <c r="V3141">
        <v>-0.1146693</v>
      </c>
      <c r="W3141">
        <v>0.18798400000000001</v>
      </c>
      <c r="X3141">
        <v>0.97545530000000003</v>
      </c>
      <c r="Y3141">
        <v>-0.32287100000000002</v>
      </c>
      <c r="Z3141">
        <v>-4.7235799999999998E-3</v>
      </c>
      <c r="AA3141">
        <v>0.94643120000000003</v>
      </c>
      <c r="AB3141">
        <v>35</v>
      </c>
      <c r="AC3141">
        <v>-43.540100000000002</v>
      </c>
      <c r="AD3141">
        <v>-0.68715979999999899</v>
      </c>
      <c r="AE3141">
        <v>-15.195699999999899</v>
      </c>
      <c r="AF3141">
        <v>-14.952838805357</v>
      </c>
      <c r="AG3141">
        <v>-0.68715979999999899</v>
      </c>
      <c r="AH3141">
        <v>43.613279576434699</v>
      </c>
      <c r="AI3141">
        <v>90.853879664036398</v>
      </c>
      <c r="AJ3141">
        <v>108.92430865732599</v>
      </c>
      <c r="AK3141">
        <v>46.110494817795903</v>
      </c>
      <c r="AL3141">
        <v>79.1648443464059</v>
      </c>
      <c r="AM3141">
        <v>96.7046140281454</v>
      </c>
      <c r="AN3141">
        <v>1.00000003745828</v>
      </c>
    </row>
    <row r="3142" spans="1:40" x14ac:dyDescent="0.25">
      <c r="A3142" t="str">
        <f>"20190304154818687"</f>
        <v>20190304154818687</v>
      </c>
      <c r="B3142" t="str">
        <f>"1551685698680136"</f>
        <v>1551685698680136</v>
      </c>
      <c r="C3142" t="s">
        <v>40</v>
      </c>
      <c r="D3142">
        <v>3.7937630000000002</v>
      </c>
      <c r="E3142">
        <v>0.41057480000000002</v>
      </c>
      <c r="F3142" t="s">
        <v>65</v>
      </c>
      <c r="G3142">
        <v>-450.49540000000002</v>
      </c>
      <c r="H3142">
        <v>0.51459690000000002</v>
      </c>
      <c r="I3142">
        <v>270.08670000000001</v>
      </c>
      <c r="J3142">
        <v>-408.00689999999997</v>
      </c>
      <c r="K3142">
        <v>1.1105529999999999</v>
      </c>
      <c r="L3142">
        <v>285.28120000000001</v>
      </c>
      <c r="M3142">
        <v>-0.99989170000000005</v>
      </c>
      <c r="N3142">
        <v>-1.367462E-2</v>
      </c>
      <c r="O3142">
        <v>-5.4688790000000003E-3</v>
      </c>
      <c r="P3142">
        <v>-0.97731290000000004</v>
      </c>
      <c r="Q3142">
        <v>0.17449129999999999</v>
      </c>
      <c r="R3142">
        <v>-0.1200542</v>
      </c>
      <c r="S3142">
        <v>-2.9482729999999999</v>
      </c>
      <c r="T3142">
        <v>-4.1125660000000001E-2</v>
      </c>
      <c r="U3142">
        <v>-1.048645</v>
      </c>
      <c r="V3142">
        <v>-0.1146813</v>
      </c>
      <c r="W3142">
        <v>0.18786369999999999</v>
      </c>
      <c r="X3142">
        <v>0.97547700000000004</v>
      </c>
      <c r="Y3142">
        <v>-0.32989669999999999</v>
      </c>
      <c r="Z3142">
        <v>-4.5539370000000001E-3</v>
      </c>
      <c r="AA3142">
        <v>0.94400609999999996</v>
      </c>
      <c r="AB3142">
        <v>35</v>
      </c>
      <c r="AC3142">
        <v>-42.488500000000002</v>
      </c>
      <c r="AD3142">
        <v>-0.59595609999999999</v>
      </c>
      <c r="AE3142">
        <v>-15.1945</v>
      </c>
      <c r="AF3142">
        <v>-14.959277237132801</v>
      </c>
      <c r="AG3142">
        <v>-0.59595609999999999</v>
      </c>
      <c r="AH3142">
        <v>42.563544794884201</v>
      </c>
      <c r="AI3142">
        <v>90.756803253445995</v>
      </c>
      <c r="AJ3142">
        <v>109.36440780217799</v>
      </c>
      <c r="AK3142">
        <v>45.119734979680899</v>
      </c>
      <c r="AL3142">
        <v>79.171861362668594</v>
      </c>
      <c r="AM3142">
        <v>96.705161464261295</v>
      </c>
      <c r="AN3142">
        <v>0.99999997393818896</v>
      </c>
    </row>
    <row r="3143" spans="1:40" x14ac:dyDescent="0.25">
      <c r="A3143" t="str">
        <f>"20190304154818701"</f>
        <v>20190304154818701</v>
      </c>
      <c r="B3143" t="str">
        <f>"1551685698689896"</f>
        <v>1551685698689896</v>
      </c>
      <c r="C3143" t="s">
        <v>40</v>
      </c>
      <c r="D3143">
        <v>3.8157220000000001</v>
      </c>
      <c r="E3143">
        <v>0.4096456</v>
      </c>
      <c r="F3143" t="s">
        <v>65</v>
      </c>
      <c r="G3143">
        <v>-450.28190000000001</v>
      </c>
      <c r="H3143">
        <v>0.55427740000000003</v>
      </c>
      <c r="I3143">
        <v>270.08670000000001</v>
      </c>
      <c r="J3143">
        <v>-408.21469999999999</v>
      </c>
      <c r="K3143">
        <v>1.110554</v>
      </c>
      <c r="L3143">
        <v>285.2801</v>
      </c>
      <c r="M3143">
        <v>-0.99989170000000005</v>
      </c>
      <c r="N3143">
        <v>-1.367312E-2</v>
      </c>
      <c r="O3143">
        <v>-5.4441940000000003E-3</v>
      </c>
      <c r="P3143">
        <v>-0.97739580000000004</v>
      </c>
      <c r="Q3143">
        <v>0.174270799999999</v>
      </c>
      <c r="R3143">
        <v>-0.1196965</v>
      </c>
      <c r="S3143">
        <v>-2.946472</v>
      </c>
      <c r="T3143">
        <v>-3.8770319999999997E-2</v>
      </c>
      <c r="U3143">
        <v>-1.059021</v>
      </c>
      <c r="V3143">
        <v>-0.11434759999999999</v>
      </c>
      <c r="W3143">
        <v>0.18764259999999999</v>
      </c>
      <c r="X3143">
        <v>0.97555879999999995</v>
      </c>
      <c r="Y3143">
        <v>-0.33305190000000001</v>
      </c>
      <c r="Z3143">
        <v>-4.4736960000000001E-3</v>
      </c>
      <c r="AA3143">
        <v>0.94289789999999996</v>
      </c>
      <c r="AB3143">
        <v>35</v>
      </c>
      <c r="AC3143">
        <v>-42.0672</v>
      </c>
      <c r="AD3143">
        <v>-0.55627660000000001</v>
      </c>
      <c r="AE3143">
        <v>-15.193399999999899</v>
      </c>
      <c r="AF3143">
        <v>-14.961817033049201</v>
      </c>
      <c r="AG3143">
        <v>-0.55627660000000001</v>
      </c>
      <c r="AH3143">
        <v>42.142781193539001</v>
      </c>
      <c r="AI3143">
        <v>90.712672737343496</v>
      </c>
      <c r="AJ3143">
        <v>109.54622632689799</v>
      </c>
      <c r="AK3143">
        <v>44.723365473907002</v>
      </c>
      <c r="AL3143">
        <v>79.184759609662805</v>
      </c>
      <c r="AM3143">
        <v>96.685272120518704</v>
      </c>
      <c r="AN3143">
        <v>1.0000000456089699</v>
      </c>
    </row>
    <row r="3144" spans="1:40" x14ac:dyDescent="0.25">
      <c r="A3144" t="str">
        <f>"20190304154818720"</f>
        <v>20190304154818720</v>
      </c>
      <c r="B3144" t="str">
        <f>"1551685698710392"</f>
        <v>1551685698710392</v>
      </c>
      <c r="C3144" t="s">
        <v>40</v>
      </c>
      <c r="D3144">
        <v>3.7774109999999999</v>
      </c>
      <c r="E3144">
        <v>0.40793659999999998</v>
      </c>
      <c r="F3144" t="s">
        <v>65</v>
      </c>
      <c r="G3144">
        <v>-450.2278</v>
      </c>
      <c r="H3144">
        <v>0.57044510000000004</v>
      </c>
      <c r="I3144">
        <v>270.08670000000001</v>
      </c>
      <c r="J3144">
        <v>-408.51600000000002</v>
      </c>
      <c r="K3144">
        <v>1.110555</v>
      </c>
      <c r="L3144">
        <v>285.27839999999998</v>
      </c>
      <c r="M3144">
        <v>-0.999892</v>
      </c>
      <c r="N3144">
        <v>-1.3670949999999999E-2</v>
      </c>
      <c r="O3144">
        <v>-5.4090129999999998E-3</v>
      </c>
      <c r="P3144">
        <v>-0.97741290000000003</v>
      </c>
      <c r="Q3144">
        <v>0.17456459999999999</v>
      </c>
      <c r="R3144">
        <v>-0.119126</v>
      </c>
      <c r="S3144">
        <v>-2.9456479999999998</v>
      </c>
      <c r="T3144">
        <v>-3.786755E-2</v>
      </c>
      <c r="U3144">
        <v>-1.0652469999999901</v>
      </c>
      <c r="V3144">
        <v>-0.1138117</v>
      </c>
      <c r="W3144">
        <v>0.18793480000000001</v>
      </c>
      <c r="X3144">
        <v>0.97556520000000002</v>
      </c>
      <c r="Y3144">
        <v>-0.3349335</v>
      </c>
      <c r="Z3144">
        <v>-4.4510139999999997E-3</v>
      </c>
      <c r="AA3144">
        <v>0.94223129999999999</v>
      </c>
      <c r="AB3144">
        <v>35</v>
      </c>
      <c r="AC3144">
        <v>-41.711799999999997</v>
      </c>
      <c r="AD3144">
        <v>-0.54010989999999903</v>
      </c>
      <c r="AE3144">
        <v>-15.1916999999999</v>
      </c>
      <c r="AF3144">
        <v>-14.9636219082408</v>
      </c>
      <c r="AG3144">
        <v>-0.54010989999999903</v>
      </c>
      <c r="AH3144">
        <v>41.787183676739502</v>
      </c>
      <c r="AI3144">
        <v>90.697174586524497</v>
      </c>
      <c r="AJ3144">
        <v>109.70199798806399</v>
      </c>
      <c r="AK3144">
        <v>44.388854670405998</v>
      </c>
      <c r="AL3144">
        <v>79.1677143251015</v>
      </c>
      <c r="AM3144">
        <v>96.654179370961899</v>
      </c>
      <c r="AN3144">
        <v>1.0000000257794801</v>
      </c>
    </row>
    <row r="3145" spans="1:40" x14ac:dyDescent="0.25">
      <c r="A3145" t="str">
        <f>"20190304154818742"</f>
        <v>20190304154818742</v>
      </c>
      <c r="B3145" t="str">
        <f>"1551685698739672"</f>
        <v>1551685698739672</v>
      </c>
      <c r="C3145" t="s">
        <v>40</v>
      </c>
      <c r="D3145">
        <v>4.2724909999999996</v>
      </c>
      <c r="E3145">
        <v>0.46747840000000002</v>
      </c>
      <c r="F3145" t="s">
        <v>65</v>
      </c>
      <c r="G3145">
        <v>-450.04239999999999</v>
      </c>
      <c r="H3145">
        <v>0.64019110000000001</v>
      </c>
      <c r="I3145">
        <v>270.08670000000001</v>
      </c>
      <c r="J3145">
        <v>-408.86239999999998</v>
      </c>
      <c r="K3145">
        <v>1.1105560000000001</v>
      </c>
      <c r="L3145">
        <v>285.27659999999997</v>
      </c>
      <c r="M3145">
        <v>-0.99989229999999996</v>
      </c>
      <c r="N3145">
        <v>-1.3668420000000001E-2</v>
      </c>
      <c r="O3145">
        <v>-5.3691779999999996E-3</v>
      </c>
      <c r="P3145">
        <v>-0.97746149999999998</v>
      </c>
      <c r="Q3145">
        <v>0.17461370000000001</v>
      </c>
      <c r="R3145">
        <v>-0.11865589999999999</v>
      </c>
      <c r="S3145">
        <v>-2.9440309999999998</v>
      </c>
      <c r="T3145">
        <v>-3.3345699999999999E-2</v>
      </c>
      <c r="U3145">
        <v>-1.077026</v>
      </c>
      <c r="V3145">
        <v>-0.1133803</v>
      </c>
      <c r="W3145">
        <v>0.1879817</v>
      </c>
      <c r="X3145">
        <v>0.97560639999999998</v>
      </c>
      <c r="Y3145">
        <v>-0.33847189999999999</v>
      </c>
      <c r="Z3145">
        <v>-4.2549199999999997E-3</v>
      </c>
      <c r="AA3145">
        <v>0.94096679999999999</v>
      </c>
      <c r="AB3145">
        <v>35</v>
      </c>
      <c r="AC3145">
        <v>-41.18</v>
      </c>
      <c r="AD3145">
        <v>-0.47036489999999898</v>
      </c>
      <c r="AE3145">
        <v>-15.1898999999999</v>
      </c>
      <c r="AF3145">
        <v>-14.9668388331797</v>
      </c>
      <c r="AG3145">
        <v>-0.47036489999999898</v>
      </c>
      <c r="AH3145">
        <v>41.256233314308503</v>
      </c>
      <c r="AI3145">
        <v>90.614049533284401</v>
      </c>
      <c r="AJ3145">
        <v>109.93963928033</v>
      </c>
      <c r="AK3145">
        <v>43.889683241989701</v>
      </c>
      <c r="AL3145">
        <v>79.164978435154197</v>
      </c>
      <c r="AM3145">
        <v>96.62890435109</v>
      </c>
      <c r="AN3145">
        <v>1.00000002984196</v>
      </c>
    </row>
    <row r="3146" spans="1:40" x14ac:dyDescent="0.25">
      <c r="A3146" t="str">
        <f>"20190304154818766"</f>
        <v>20190304154818766</v>
      </c>
      <c r="B3146" t="str">
        <f>"1551685698760168"</f>
        <v>1551685698760168</v>
      </c>
      <c r="C3146" t="s">
        <v>40</v>
      </c>
      <c r="D3146">
        <v>4.2526390000000003</v>
      </c>
      <c r="E3146">
        <v>0.48271350000000002</v>
      </c>
      <c r="F3146" t="s">
        <v>62</v>
      </c>
      <c r="G3146">
        <v>-512.82569999999998</v>
      </c>
      <c r="H3146">
        <v>1.6744699999999999</v>
      </c>
      <c r="I3146">
        <v>264.27780000000001</v>
      </c>
      <c r="J3146">
        <v>-409.22460000000001</v>
      </c>
      <c r="K3146">
        <v>1.110555</v>
      </c>
      <c r="L3146">
        <v>285.2747</v>
      </c>
      <c r="M3146">
        <v>-0.99989249999999996</v>
      </c>
      <c r="N3146">
        <v>-1.3665709999999999E-2</v>
      </c>
      <c r="O3146">
        <v>-5.3267260000000004E-3</v>
      </c>
      <c r="P3146">
        <v>-0.97743150000000001</v>
      </c>
      <c r="Q3146">
        <v>0.17490530000000001</v>
      </c>
      <c r="R3146">
        <v>-0.1184741</v>
      </c>
      <c r="S3146">
        <v>-2.99295</v>
      </c>
      <c r="T3146">
        <v>1.6236420000000001E-2</v>
      </c>
      <c r="U3146">
        <v>-0.60452269999999997</v>
      </c>
      <c r="V3146">
        <v>-0.11323950000000001</v>
      </c>
      <c r="W3146">
        <v>0.1882702</v>
      </c>
      <c r="X3146">
        <v>0.97556710000000002</v>
      </c>
      <c r="Y3146">
        <v>-0.19276460000000001</v>
      </c>
      <c r="Z3146">
        <v>-9.1339500000000001E-4</v>
      </c>
      <c r="AA3146">
        <v>0.98124460000000002</v>
      </c>
      <c r="AB3146">
        <v>35</v>
      </c>
      <c r="AC3146">
        <v>-103.60109999999899</v>
      </c>
      <c r="AD3146">
        <v>0.56391500000000006</v>
      </c>
      <c r="AE3146">
        <v>-20.996899999999901</v>
      </c>
      <c r="AF3146">
        <v>-20.444114072247402</v>
      </c>
      <c r="AG3146">
        <v>0.56391500000000006</v>
      </c>
      <c r="AH3146">
        <v>103.70853367739301</v>
      </c>
      <c r="AI3146">
        <v>89.694339680190893</v>
      </c>
      <c r="AJ3146">
        <v>101.151758277027</v>
      </c>
      <c r="AK3146">
        <v>105.705911650396</v>
      </c>
      <c r="AL3146">
        <v>79.148147873524394</v>
      </c>
      <c r="AM3146">
        <v>96.621009796647996</v>
      </c>
      <c r="AN3146">
        <v>1.0000000095853501</v>
      </c>
    </row>
    <row r="3147" spans="1:40" x14ac:dyDescent="0.25">
      <c r="A3147" t="str">
        <f>"20190304154818778"</f>
        <v>20190304154818778</v>
      </c>
      <c r="B3147" t="str">
        <f>"1551685698769928"</f>
        <v>1551685698769928</v>
      </c>
      <c r="C3147" t="s">
        <v>40</v>
      </c>
      <c r="D3147">
        <v>4.2600930000000004</v>
      </c>
      <c r="E3147">
        <v>0.55096020000000001</v>
      </c>
      <c r="F3147" t="s">
        <v>62</v>
      </c>
      <c r="G3147">
        <v>-512.82529999999997</v>
      </c>
      <c r="H3147">
        <v>0.43791740000000001</v>
      </c>
      <c r="I3147">
        <v>268.69069999999999</v>
      </c>
      <c r="J3147">
        <v>-409.43189999999998</v>
      </c>
      <c r="K3147">
        <v>1.110555</v>
      </c>
      <c r="L3147">
        <v>285.27370000000002</v>
      </c>
      <c r="M3147">
        <v>-0.99989269999999997</v>
      </c>
      <c r="N3147">
        <v>-1.36642E-2</v>
      </c>
      <c r="O3147">
        <v>-5.3026369999999998E-3</v>
      </c>
      <c r="P3147">
        <v>-0.97742300000000004</v>
      </c>
      <c r="Q3147">
        <v>0.17488299999999901</v>
      </c>
      <c r="R3147">
        <v>-0.1185756</v>
      </c>
      <c r="S3147">
        <v>-3.0142820000000001</v>
      </c>
      <c r="T3147">
        <v>-1.9568200000000001E-2</v>
      </c>
      <c r="U3147">
        <v>-0.48251339999999998</v>
      </c>
      <c r="V3147">
        <v>-0.1133652</v>
      </c>
      <c r="W3147">
        <v>0.18824630000000001</v>
      </c>
      <c r="X3147">
        <v>0.97555709999999995</v>
      </c>
      <c r="Y3147">
        <v>-0.152814899999999</v>
      </c>
      <c r="Z3147">
        <v>-1.581423E-3</v>
      </c>
      <c r="AA3147">
        <v>0.98825350000000001</v>
      </c>
      <c r="AB3147">
        <v>35</v>
      </c>
      <c r="AC3147">
        <v>-103.3934</v>
      </c>
      <c r="AD3147">
        <v>-0.67263759999999995</v>
      </c>
      <c r="AE3147">
        <v>-16.582999999999998</v>
      </c>
      <c r="AF3147">
        <v>-16.0337964422108</v>
      </c>
      <c r="AG3147">
        <v>-0.67263759999999995</v>
      </c>
      <c r="AH3147">
        <v>103.475618372301</v>
      </c>
      <c r="AI3147">
        <v>90.368050673702996</v>
      </c>
      <c r="AJ3147">
        <v>98.808070232400297</v>
      </c>
      <c r="AK3147">
        <v>104.71264807663501</v>
      </c>
      <c r="AL3147">
        <v>79.149542031800195</v>
      </c>
      <c r="AM3147">
        <v>96.628361337057399</v>
      </c>
      <c r="AN3147">
        <v>0.999999996697569</v>
      </c>
    </row>
    <row r="3148" spans="1:40" x14ac:dyDescent="0.25">
      <c r="A3148" t="str">
        <f>"20190304154818791"</f>
        <v>20190304154818791</v>
      </c>
      <c r="B3148" t="str">
        <f>"1551685698779690"</f>
        <v>1551685698779690</v>
      </c>
      <c r="C3148" t="s">
        <v>40</v>
      </c>
      <c r="D3148">
        <v>4.25861</v>
      </c>
      <c r="E3148">
        <v>0.55322519999999997</v>
      </c>
      <c r="F3148" t="s">
        <v>42</v>
      </c>
      <c r="G3148">
        <v>0</v>
      </c>
      <c r="H3148">
        <v>0</v>
      </c>
      <c r="I3148">
        <v>0</v>
      </c>
      <c r="J3148">
        <v>-409.63709999999998</v>
      </c>
      <c r="K3148">
        <v>1.110555</v>
      </c>
      <c r="L3148">
        <v>285.27260000000001</v>
      </c>
      <c r="M3148">
        <v>-0.99989289999999997</v>
      </c>
      <c r="N3148">
        <v>-1.366271E-2</v>
      </c>
      <c r="O3148">
        <v>-5.2790220000000004E-3</v>
      </c>
      <c r="P3148">
        <v>-0.97733369999999997</v>
      </c>
      <c r="Q3148">
        <v>0.1753816</v>
      </c>
      <c r="R3148">
        <v>-0.118576399999999</v>
      </c>
      <c r="S3148">
        <v>-3.0747680000000002</v>
      </c>
      <c r="T3148">
        <v>8.4166529999999996E-3</v>
      </c>
      <c r="U3148">
        <v>5.7434079999999998E-2</v>
      </c>
      <c r="V3148">
        <v>-0.11338910000000001</v>
      </c>
      <c r="W3148">
        <v>0.1887422</v>
      </c>
      <c r="X3148">
        <v>0.97545850000000001</v>
      </c>
      <c r="Y3148">
        <v>2.3953889999999999E-2</v>
      </c>
      <c r="Z3148" s="1">
        <v>4.4305619999999999E-5</v>
      </c>
      <c r="AA3148">
        <v>0.99971310000000002</v>
      </c>
      <c r="AB3148">
        <v>35</v>
      </c>
      <c r="AC3148">
        <v>-3.0747680000000002</v>
      </c>
      <c r="AD3148">
        <v>8.4166529999999996E-3</v>
      </c>
      <c r="AE3148">
        <v>5.7434079999999998E-2</v>
      </c>
      <c r="AF3148">
        <v>7.3666008055299395E-2</v>
      </c>
      <c r="AG3148">
        <v>8.4166529999999996E-3</v>
      </c>
      <c r="AH3148">
        <v>3.07439889541403</v>
      </c>
      <c r="AI3148">
        <v>89.843189146302905</v>
      </c>
      <c r="AJ3148">
        <v>88.627392210047404</v>
      </c>
      <c r="AK3148">
        <v>3.0752928460414202</v>
      </c>
      <c r="AL3148">
        <v>79.120610423355103</v>
      </c>
      <c r="AM3148">
        <v>96.630410482558503</v>
      </c>
      <c r="AN3148">
        <v>0.99999999564094999</v>
      </c>
    </row>
    <row r="3149" spans="1:40" x14ac:dyDescent="0.25">
      <c r="A3149" t="str">
        <f>"20190304154818809"</f>
        <v>20190304154818809</v>
      </c>
      <c r="B3149" t="str">
        <f>"1551685698800185"</f>
        <v>1551685698800185</v>
      </c>
      <c r="C3149" t="s">
        <v>40</v>
      </c>
      <c r="D3149">
        <v>4.1981099999999998</v>
      </c>
      <c r="E3149">
        <v>0.554357199999999</v>
      </c>
      <c r="F3149" t="s">
        <v>42</v>
      </c>
      <c r="G3149">
        <v>0</v>
      </c>
      <c r="H3149">
        <v>0</v>
      </c>
      <c r="I3149">
        <v>0</v>
      </c>
      <c r="J3149">
        <v>-409.91660000000002</v>
      </c>
      <c r="K3149">
        <v>1.110555</v>
      </c>
      <c r="L3149">
        <v>285.27109999999999</v>
      </c>
      <c r="M3149">
        <v>-0.99989300000000003</v>
      </c>
      <c r="N3149">
        <v>-1.36607E-2</v>
      </c>
      <c r="O3149">
        <v>-5.2457559999999999E-3</v>
      </c>
      <c r="P3149">
        <v>-0.97727730000000002</v>
      </c>
      <c r="Q3149">
        <v>0.17555609999999999</v>
      </c>
      <c r="R3149">
        <v>-0.118783</v>
      </c>
      <c r="S3149">
        <v>-3.0775450000000002</v>
      </c>
      <c r="T3149">
        <v>6.6769119999999897E-3</v>
      </c>
      <c r="U3149">
        <v>7.5500490000000003E-2</v>
      </c>
      <c r="V3149">
        <v>-0.11362899999999999</v>
      </c>
      <c r="W3149">
        <v>0.188914</v>
      </c>
      <c r="X3149">
        <v>0.97539730000000002</v>
      </c>
      <c r="Y3149">
        <v>2.9769360000000002E-2</v>
      </c>
      <c r="Z3149" s="1">
        <v>8.805466E-5</v>
      </c>
      <c r="AA3149">
        <v>0.99955680000000002</v>
      </c>
      <c r="AB3149">
        <v>35</v>
      </c>
      <c r="AC3149">
        <v>-3.0775450000000002</v>
      </c>
      <c r="AD3149">
        <v>6.6769119999999897E-3</v>
      </c>
      <c r="AE3149">
        <v>7.5500490000000003E-2</v>
      </c>
      <c r="AF3149">
        <v>9.1644575434557105E-2</v>
      </c>
      <c r="AG3149">
        <v>6.6769119999999897E-3</v>
      </c>
      <c r="AH3149">
        <v>3.07709207875391</v>
      </c>
      <c r="AI3149">
        <v>89.875730490727406</v>
      </c>
      <c r="AJ3149">
        <v>88.2940726027594</v>
      </c>
      <c r="AK3149">
        <v>3.0784637354515798</v>
      </c>
      <c r="AL3149">
        <v>79.110586410618197</v>
      </c>
      <c r="AM3149">
        <v>96.644726461930404</v>
      </c>
      <c r="AN3149">
        <v>0.99999997094214399</v>
      </c>
    </row>
    <row r="3150" spans="1:40" x14ac:dyDescent="0.25">
      <c r="A3150" t="str">
        <f>"20190304154818823"</f>
        <v>20190304154818823</v>
      </c>
      <c r="B3150" t="str">
        <f>"1551685698819704"</f>
        <v>1551685698819704</v>
      </c>
      <c r="C3150" t="s">
        <v>40</v>
      </c>
      <c r="D3150">
        <v>4.195703</v>
      </c>
      <c r="E3150">
        <v>0.55446700000000004</v>
      </c>
      <c r="F3150" t="s">
        <v>42</v>
      </c>
      <c r="G3150">
        <v>0</v>
      </c>
      <c r="H3150">
        <v>0</v>
      </c>
      <c r="I3150">
        <v>0</v>
      </c>
      <c r="J3150">
        <v>-410.13060000000002</v>
      </c>
      <c r="K3150">
        <v>1.110555</v>
      </c>
      <c r="L3150">
        <v>285.27010000000001</v>
      </c>
      <c r="M3150">
        <v>-0.99989309999999998</v>
      </c>
      <c r="N3150">
        <v>-1.365916E-2</v>
      </c>
      <c r="O3150">
        <v>-5.2208300000000001E-3</v>
      </c>
      <c r="P3150">
        <v>-0.97727540000000002</v>
      </c>
      <c r="Q3150">
        <v>0.17573429999999901</v>
      </c>
      <c r="R3150">
        <v>-0.11853379999999999</v>
      </c>
      <c r="S3150">
        <v>-3.0796199999999998</v>
      </c>
      <c r="T3150">
        <v>1.2397770000000001E-3</v>
      </c>
      <c r="U3150">
        <v>8.3465579999999998E-2</v>
      </c>
      <c r="V3150">
        <v>-0.11340409999999999</v>
      </c>
      <c r="W3150">
        <v>0.18909010000000001</v>
      </c>
      <c r="X3150">
        <v>0.97538939999999996</v>
      </c>
      <c r="Y3150">
        <v>3.2311220000000002E-2</v>
      </c>
      <c r="Z3150">
        <v>1.4081719999999999E-4</v>
      </c>
      <c r="AA3150">
        <v>0.99947790000000003</v>
      </c>
      <c r="AB3150">
        <v>35</v>
      </c>
      <c r="AC3150">
        <v>-3.0796199999999998</v>
      </c>
      <c r="AD3150">
        <v>1.2397770000000001E-3</v>
      </c>
      <c r="AE3150">
        <v>8.3465579999999998E-2</v>
      </c>
      <c r="AF3150">
        <v>9.9544098382992996E-2</v>
      </c>
      <c r="AG3150">
        <v>1.2397770000000001E-3</v>
      </c>
      <c r="AH3150">
        <v>3.07914172227076</v>
      </c>
      <c r="AI3150">
        <v>89.976942634900794</v>
      </c>
      <c r="AJ3150">
        <v>88.148357070050395</v>
      </c>
      <c r="AK3150">
        <v>3.0807506082768898</v>
      </c>
      <c r="AL3150">
        <v>79.100311961652494</v>
      </c>
      <c r="AM3150">
        <v>96.631745392565193</v>
      </c>
      <c r="AN3150">
        <v>1.00000001872358</v>
      </c>
    </row>
    <row r="3151" spans="1:40" x14ac:dyDescent="0.25">
      <c r="A3151" t="str">
        <f>"20190304154818843"</f>
        <v>20190304154818843</v>
      </c>
      <c r="B3151" t="str">
        <f>"1551685698840200"</f>
        <v>1551685698840200</v>
      </c>
      <c r="C3151" t="s">
        <v>40</v>
      </c>
      <c r="D3151">
        <v>4.1350499999999997</v>
      </c>
      <c r="E3151">
        <v>0.55454190000000003</v>
      </c>
      <c r="F3151" t="s">
        <v>42</v>
      </c>
      <c r="G3151">
        <v>0</v>
      </c>
      <c r="H3151">
        <v>0</v>
      </c>
      <c r="I3151">
        <v>0</v>
      </c>
      <c r="J3151">
        <v>-410.44569999999999</v>
      </c>
      <c r="K3151">
        <v>1.110554</v>
      </c>
      <c r="L3151">
        <v>285.26839999999999</v>
      </c>
      <c r="M3151">
        <v>-0.99989320000000004</v>
      </c>
      <c r="N3151">
        <v>-1.365689E-2</v>
      </c>
      <c r="O3151">
        <v>-5.1843369999999998E-3</v>
      </c>
      <c r="P3151">
        <v>-0.97723479999999996</v>
      </c>
      <c r="Q3151">
        <v>0.1758033</v>
      </c>
      <c r="R3151">
        <v>-0.1187661</v>
      </c>
      <c r="S3151">
        <v>-3.0785520000000002</v>
      </c>
      <c r="T3151">
        <v>8.3454849999999997E-3</v>
      </c>
      <c r="U3151">
        <v>8.4808350000000005E-2</v>
      </c>
      <c r="V3151">
        <v>-0.11367240000000001</v>
      </c>
      <c r="W3151">
        <v>0.18915660000000001</v>
      </c>
      <c r="X3151">
        <v>0.97534529999999997</v>
      </c>
      <c r="Y3151">
        <v>3.2719959999999999E-2</v>
      </c>
      <c r="Z3151" s="1">
        <v>9.4295249999999995E-5</v>
      </c>
      <c r="AA3151">
        <v>0.99946460000000004</v>
      </c>
      <c r="AB3151">
        <v>35</v>
      </c>
      <c r="AC3151">
        <v>-3.0785520000000002</v>
      </c>
      <c r="AD3151">
        <v>8.3454849999999997E-3</v>
      </c>
      <c r="AE3151">
        <v>8.4808350000000005E-2</v>
      </c>
      <c r="AF3151">
        <v>0.100768211342289</v>
      </c>
      <c r="AG3151">
        <v>8.3454849999999997E-3</v>
      </c>
      <c r="AH3151">
        <v>3.0780483017345701</v>
      </c>
      <c r="AI3151">
        <v>89.844738021805099</v>
      </c>
      <c r="AJ3151">
        <v>88.124937834181907</v>
      </c>
      <c r="AK3151">
        <v>3.0797086270210801</v>
      </c>
      <c r="AL3151">
        <v>79.096432047248996</v>
      </c>
      <c r="AM3151">
        <v>96.647592894919896</v>
      </c>
      <c r="AN3151">
        <v>1.0000000440387</v>
      </c>
    </row>
    <row r="3152" spans="1:40" x14ac:dyDescent="0.25">
      <c r="A3152" t="str">
        <f>"20190304154818854"</f>
        <v>20190304154818854</v>
      </c>
      <c r="B3152" t="str">
        <f>"1551685698849961"</f>
        <v>1551685698849961</v>
      </c>
      <c r="C3152" t="s">
        <v>40</v>
      </c>
      <c r="D3152">
        <v>4.1714699999999896</v>
      </c>
      <c r="E3152">
        <v>0.55449930000000003</v>
      </c>
      <c r="F3152" t="s">
        <v>42</v>
      </c>
      <c r="G3152">
        <v>0</v>
      </c>
      <c r="H3152">
        <v>0</v>
      </c>
      <c r="I3152">
        <v>0</v>
      </c>
      <c r="J3152">
        <v>-410.6241</v>
      </c>
      <c r="K3152">
        <v>1.110554</v>
      </c>
      <c r="L3152">
        <v>285.26749999999998</v>
      </c>
      <c r="M3152">
        <v>-0.99989340000000004</v>
      </c>
      <c r="N3152">
        <v>-1.36556E-2</v>
      </c>
      <c r="O3152">
        <v>-5.1634690000000004E-3</v>
      </c>
      <c r="P3152">
        <v>-0.97723800000000005</v>
      </c>
      <c r="Q3152">
        <v>0.17554049999999999</v>
      </c>
      <c r="R3152">
        <v>-0.11912789999999999</v>
      </c>
      <c r="S3152">
        <v>-3.0779109999999998</v>
      </c>
      <c r="T3152">
        <v>1.257694E-2</v>
      </c>
      <c r="U3152">
        <v>8.4594730000000007E-2</v>
      </c>
      <c r="V3152">
        <v>-0.11405410000000001</v>
      </c>
      <c r="W3152">
        <v>0.18889249999999999</v>
      </c>
      <c r="X3152">
        <v>0.97535190000000005</v>
      </c>
      <c r="Y3152">
        <v>3.2635539999999998E-2</v>
      </c>
      <c r="Z3152" s="1">
        <v>6.4621499999999998E-5</v>
      </c>
      <c r="AA3152">
        <v>0.99946729999999995</v>
      </c>
      <c r="AB3152">
        <v>35</v>
      </c>
      <c r="AC3152">
        <v>-3.0779109999999998</v>
      </c>
      <c r="AD3152">
        <v>1.257694E-2</v>
      </c>
      <c r="AE3152">
        <v>8.4594730000000007E-2</v>
      </c>
      <c r="AF3152">
        <v>0.100486105977888</v>
      </c>
      <c r="AG3152">
        <v>1.257694E-2</v>
      </c>
      <c r="AH3152">
        <v>3.0773817741462999</v>
      </c>
      <c r="AI3152">
        <v>89.765964130813103</v>
      </c>
      <c r="AJ3152">
        <v>88.129778733286003</v>
      </c>
      <c r="AK3152">
        <v>3.07904761586471</v>
      </c>
      <c r="AL3152">
        <v>79.111841413157293</v>
      </c>
      <c r="AM3152">
        <v>96.669669311202099</v>
      </c>
      <c r="AN3152">
        <v>1.00000002155833</v>
      </c>
    </row>
    <row r="3153" spans="1:40" x14ac:dyDescent="0.25">
      <c r="A3153" t="str">
        <f>"20190304154818866"</f>
        <v>20190304154818866</v>
      </c>
      <c r="B3153" t="str">
        <f>"1551685698859721"</f>
        <v>1551685698859721</v>
      </c>
      <c r="C3153" t="s">
        <v>40</v>
      </c>
      <c r="D3153">
        <v>4.1631799999999997</v>
      </c>
      <c r="E3153">
        <v>0.55453269999999899</v>
      </c>
      <c r="F3153" t="s">
        <v>42</v>
      </c>
      <c r="G3153">
        <v>0</v>
      </c>
      <c r="H3153">
        <v>0</v>
      </c>
      <c r="I3153">
        <v>0</v>
      </c>
      <c r="J3153">
        <v>-410.81319999999999</v>
      </c>
      <c r="K3153">
        <v>1.110552</v>
      </c>
      <c r="L3153">
        <v>285.26650000000001</v>
      </c>
      <c r="M3153">
        <v>-0.99989349999999999</v>
      </c>
      <c r="N3153">
        <v>-1.365422E-2</v>
      </c>
      <c r="O3153">
        <v>-5.1411720000000003E-3</v>
      </c>
      <c r="P3153">
        <v>-0.97728999999999999</v>
      </c>
      <c r="Q3153">
        <v>0.175284</v>
      </c>
      <c r="R3153">
        <v>-0.1190795</v>
      </c>
      <c r="S3153">
        <v>-3.077515</v>
      </c>
      <c r="T3153">
        <v>1.4060499999999899E-2</v>
      </c>
      <c r="U3153">
        <v>8.3343509999999996E-2</v>
      </c>
      <c r="V3153">
        <v>-0.1140273</v>
      </c>
      <c r="W3153">
        <v>0.18863540000000001</v>
      </c>
      <c r="X3153">
        <v>0.97540470000000001</v>
      </c>
      <c r="Y3153">
        <v>3.221073E-2</v>
      </c>
      <c r="Z3153" s="1">
        <v>5.2715040000000002E-5</v>
      </c>
      <c r="AA3153">
        <v>0.99948110000000001</v>
      </c>
      <c r="AB3153">
        <v>35</v>
      </c>
      <c r="AC3153">
        <v>-3.077515</v>
      </c>
      <c r="AD3153">
        <v>1.4060499999999899E-2</v>
      </c>
      <c r="AE3153">
        <v>8.3343509999999996E-2</v>
      </c>
      <c r="AF3153">
        <v>9.9163849935995502E-2</v>
      </c>
      <c r="AG3153">
        <v>1.4060499999999899E-2</v>
      </c>
      <c r="AH3153">
        <v>3.0769816157722101</v>
      </c>
      <c r="AI3153">
        <v>89.738320284196405</v>
      </c>
      <c r="AJ3153">
        <v>88.154131229099505</v>
      </c>
      <c r="AK3153">
        <v>3.0786112178374401</v>
      </c>
      <c r="AL3153">
        <v>79.126840864592594</v>
      </c>
      <c r="AM3153">
        <v>96.667758508186097</v>
      </c>
      <c r="AN3153">
        <v>0.99999993403026699</v>
      </c>
    </row>
    <row r="3154" spans="1:40" x14ac:dyDescent="0.25">
      <c r="A3154" t="str">
        <f>"20190304154818879"</f>
        <v>20190304154818879</v>
      </c>
      <c r="B3154" t="str">
        <f>"1551685698869481"</f>
        <v>1551685698869481</v>
      </c>
      <c r="C3154" t="s">
        <v>40</v>
      </c>
      <c r="D3154">
        <v>4.2293099999999999</v>
      </c>
      <c r="E3154">
        <v>0.55448960000000003</v>
      </c>
      <c r="F3154" t="s">
        <v>42</v>
      </c>
      <c r="G3154">
        <v>0</v>
      </c>
      <c r="H3154">
        <v>0</v>
      </c>
      <c r="I3154">
        <v>0</v>
      </c>
      <c r="J3154">
        <v>-411.00630000000001</v>
      </c>
      <c r="K3154">
        <v>1.110552</v>
      </c>
      <c r="L3154">
        <v>285.26560000000001</v>
      </c>
      <c r="M3154">
        <v>-0.9998937</v>
      </c>
      <c r="N3154">
        <v>-1.365281E-2</v>
      </c>
      <c r="O3154">
        <v>-5.1187519999999999E-3</v>
      </c>
      <c r="P3154">
        <v>-0.97730850000000002</v>
      </c>
      <c r="Q3154">
        <v>0.17523159999999999</v>
      </c>
      <c r="R3154">
        <v>-0.119004399999999</v>
      </c>
      <c r="S3154">
        <v>-3.0776059999999998</v>
      </c>
      <c r="T3154">
        <v>1.293945E-2</v>
      </c>
      <c r="U3154">
        <v>8.4075929999999993E-2</v>
      </c>
      <c r="V3154">
        <v>-0.11397450000000001</v>
      </c>
      <c r="W3154">
        <v>0.18858159999999999</v>
      </c>
      <c r="X3154">
        <v>0.97542139999999999</v>
      </c>
      <c r="Y3154">
        <v>3.2425210000000003E-2</v>
      </c>
      <c r="Z3154" s="1">
        <v>6.185524E-5</v>
      </c>
      <c r="AA3154">
        <v>0.99947419999999998</v>
      </c>
      <c r="AB3154">
        <v>35</v>
      </c>
      <c r="AC3154">
        <v>-3.0776059999999998</v>
      </c>
      <c r="AD3154">
        <v>1.293945E-2</v>
      </c>
      <c r="AE3154">
        <v>8.4075929999999993E-2</v>
      </c>
      <c r="AF3154">
        <v>9.9828035190011405E-2</v>
      </c>
      <c r="AG3154">
        <v>1.293945E-2</v>
      </c>
      <c r="AH3154">
        <v>3.0770809165133901</v>
      </c>
      <c r="AI3154">
        <v>89.759193311637205</v>
      </c>
      <c r="AJ3154">
        <v>88.141836428398307</v>
      </c>
      <c r="AK3154">
        <v>3.0787270149766601</v>
      </c>
      <c r="AL3154">
        <v>79.129981066095397</v>
      </c>
      <c r="AM3154">
        <v>96.664585725361306</v>
      </c>
      <c r="AN3154">
        <v>1.00000005704338</v>
      </c>
    </row>
    <row r="3155" spans="1:40" x14ac:dyDescent="0.25">
      <c r="A3155" t="str">
        <f>"20190304154818891"</f>
        <v>20190304154818891</v>
      </c>
      <c r="B3155" t="str">
        <f>"1551685698880217"</f>
        <v>1551685698880217</v>
      </c>
      <c r="C3155" t="s">
        <v>40</v>
      </c>
      <c r="D3155">
        <v>4.2351340000000004</v>
      </c>
      <c r="E3155">
        <v>0.554303199999999</v>
      </c>
      <c r="F3155" t="s">
        <v>42</v>
      </c>
      <c r="G3155">
        <v>0</v>
      </c>
      <c r="H3155">
        <v>0</v>
      </c>
      <c r="I3155">
        <v>0</v>
      </c>
      <c r="J3155">
        <v>-411.21449999999999</v>
      </c>
      <c r="K3155">
        <v>1.110552</v>
      </c>
      <c r="L3155">
        <v>285.26459999999997</v>
      </c>
      <c r="M3155">
        <v>-0.99989380000000005</v>
      </c>
      <c r="N3155">
        <v>-1.365128E-2</v>
      </c>
      <c r="O3155">
        <v>-5.0945410000000002E-3</v>
      </c>
      <c r="P3155">
        <v>-0.97737949999999996</v>
      </c>
      <c r="Q3155">
        <v>0.17497460000000001</v>
      </c>
      <c r="R3155">
        <v>-0.1187978</v>
      </c>
      <c r="S3155">
        <v>-3.0780639999999999</v>
      </c>
      <c r="T3155">
        <v>9.9120140000000002E-3</v>
      </c>
      <c r="U3155">
        <v>8.3953860000000005E-2</v>
      </c>
      <c r="V3155">
        <v>-0.113791</v>
      </c>
      <c r="W3155">
        <v>0.18832450000000001</v>
      </c>
      <c r="X3155">
        <v>0.97549240000000004</v>
      </c>
      <c r="Y3155">
        <v>3.2357339999999998E-2</v>
      </c>
      <c r="Z3155" s="1">
        <v>8.2882149999999994E-5</v>
      </c>
      <c r="AA3155">
        <v>0.99947640000000004</v>
      </c>
      <c r="AB3155">
        <v>35</v>
      </c>
      <c r="AC3155">
        <v>-3.0780639999999999</v>
      </c>
      <c r="AD3155">
        <v>9.9120140000000002E-3</v>
      </c>
      <c r="AE3155">
        <v>8.3953860000000005E-2</v>
      </c>
      <c r="AF3155">
        <v>9.9634523110188597E-2</v>
      </c>
      <c r="AG3155">
        <v>9.9120140000000002E-3</v>
      </c>
      <c r="AH3155">
        <v>3.0775644115957199</v>
      </c>
      <c r="AI3155">
        <v>89.815562845351806</v>
      </c>
      <c r="AJ3155">
        <v>88.145727030173902</v>
      </c>
      <c r="AK3155">
        <v>3.0791927503385401</v>
      </c>
      <c r="AL3155">
        <v>79.144979564904602</v>
      </c>
      <c r="AM3155">
        <v>96.653472017013797</v>
      </c>
      <c r="AN3155">
        <v>0.999999965719504</v>
      </c>
    </row>
    <row r="3156" spans="1:40" x14ac:dyDescent="0.25">
      <c r="A3156" t="str">
        <f>"20190304154818906"</f>
        <v>20190304154818906</v>
      </c>
      <c r="B3156" t="str">
        <f>"1551685698899736"</f>
        <v>1551685698899736</v>
      </c>
      <c r="C3156" t="s">
        <v>40</v>
      </c>
      <c r="D3156">
        <v>4.1842940000000004</v>
      </c>
      <c r="E3156">
        <v>0.55389600000000005</v>
      </c>
      <c r="F3156" t="s">
        <v>42</v>
      </c>
      <c r="G3156">
        <v>0</v>
      </c>
      <c r="H3156">
        <v>0</v>
      </c>
      <c r="I3156">
        <v>0</v>
      </c>
      <c r="J3156">
        <v>-411.4357</v>
      </c>
      <c r="K3156">
        <v>1.1105499999999999</v>
      </c>
      <c r="L3156">
        <v>285.26339999999999</v>
      </c>
      <c r="M3156">
        <v>-0.99989410000000001</v>
      </c>
      <c r="N3156">
        <v>-1.3649649999999999E-2</v>
      </c>
      <c r="O3156">
        <v>-5.0687830000000003E-3</v>
      </c>
      <c r="P3156">
        <v>-0.97742359999999995</v>
      </c>
      <c r="Q3156">
        <v>0.17489939999999901</v>
      </c>
      <c r="R3156">
        <v>-0.11854720000000001</v>
      </c>
      <c r="S3156">
        <v>-3.0783390000000002</v>
      </c>
      <c r="T3156">
        <v>6.6596270000000004E-3</v>
      </c>
      <c r="U3156">
        <v>8.3129880000000003E-2</v>
      </c>
      <c r="V3156">
        <v>-0.11356520000000001</v>
      </c>
      <c r="W3156">
        <v>0.1882482</v>
      </c>
      <c r="X3156">
        <v>0.97553350000000005</v>
      </c>
      <c r="Y3156">
        <v>3.2061779999999998E-2</v>
      </c>
      <c r="Z3156">
        <v>1.0404999999999999E-4</v>
      </c>
      <c r="AA3156">
        <v>0.99948590000000004</v>
      </c>
      <c r="AB3156">
        <v>35</v>
      </c>
      <c r="AC3156">
        <v>-3.0783390000000002</v>
      </c>
      <c r="AD3156">
        <v>6.6596270000000004E-3</v>
      </c>
      <c r="AE3156">
        <v>8.3129880000000003E-2</v>
      </c>
      <c r="AF3156">
        <v>9.8733234591426605E-2</v>
      </c>
      <c r="AG3156">
        <v>6.6596270000000004E-3</v>
      </c>
      <c r="AH3156">
        <v>3.0778636460401598</v>
      </c>
      <c r="AI3156">
        <v>89.876092056622497</v>
      </c>
      <c r="AJ3156">
        <v>88.162667654982002</v>
      </c>
      <c r="AK3156">
        <v>3.0794540467200102</v>
      </c>
      <c r="AL3156">
        <v>79.149431493869997</v>
      </c>
      <c r="AM3156">
        <v>96.640110026619993</v>
      </c>
      <c r="AN3156">
        <v>1.0000000245382601</v>
      </c>
    </row>
    <row r="3157" spans="1:40" x14ac:dyDescent="0.25">
      <c r="A3157" t="str">
        <f>"20190304154818922"</f>
        <v>20190304154818922</v>
      </c>
      <c r="B3157" t="str">
        <f>"1551685698909497"</f>
        <v>1551685698909497</v>
      </c>
      <c r="C3157" t="s">
        <v>40</v>
      </c>
      <c r="D3157">
        <v>4.1930839999999998</v>
      </c>
      <c r="E3157">
        <v>0.55374630000000002</v>
      </c>
      <c r="F3157" t="s">
        <v>42</v>
      </c>
      <c r="G3157">
        <v>0</v>
      </c>
      <c r="H3157">
        <v>0</v>
      </c>
      <c r="I3157">
        <v>0</v>
      </c>
      <c r="J3157">
        <v>-411.6782</v>
      </c>
      <c r="K3157">
        <v>1.110554</v>
      </c>
      <c r="L3157">
        <v>285.26220000000001</v>
      </c>
      <c r="M3157">
        <v>-0.99989430000000001</v>
      </c>
      <c r="N3157">
        <v>-1.3647899999999999E-2</v>
      </c>
      <c r="O3157">
        <v>-5.0404009999999999E-3</v>
      </c>
      <c r="P3157">
        <v>-0.97752459999999997</v>
      </c>
      <c r="Q3157">
        <v>0.1743738</v>
      </c>
      <c r="R3157">
        <v>-0.1184907</v>
      </c>
      <c r="S3157">
        <v>-3.0783689999999999</v>
      </c>
      <c r="T3157">
        <v>3.8511750000000001E-3</v>
      </c>
      <c r="U3157">
        <v>8.0596920000000002E-2</v>
      </c>
      <c r="V3157">
        <v>-0.1135359</v>
      </c>
      <c r="W3157">
        <v>0.18772220000000001</v>
      </c>
      <c r="X3157">
        <v>0.97563829999999996</v>
      </c>
      <c r="Y3157">
        <v>3.1211220000000001E-2</v>
      </c>
      <c r="Z3157">
        <v>1.184236E-4</v>
      </c>
      <c r="AA3157">
        <v>0.99951279999999998</v>
      </c>
      <c r="AB3157">
        <v>35</v>
      </c>
      <c r="AC3157">
        <v>-3.0783689999999999</v>
      </c>
      <c r="AD3157">
        <v>3.8511750000000001E-3</v>
      </c>
      <c r="AE3157">
        <v>8.0596920000000002E-2</v>
      </c>
      <c r="AF3157">
        <v>9.6113402934420403E-2</v>
      </c>
      <c r="AG3157">
        <v>3.8511750000000001E-3</v>
      </c>
      <c r="AH3157">
        <v>3.0779187959435599</v>
      </c>
      <c r="AI3157">
        <v>89.928344940216903</v>
      </c>
      <c r="AJ3157">
        <v>88.2114201795426</v>
      </c>
      <c r="AK3157">
        <v>3.0794214931047001</v>
      </c>
      <c r="AL3157">
        <v>79.180116497386805</v>
      </c>
      <c r="AM3157">
        <v>96.637705446397007</v>
      </c>
      <c r="AN3157">
        <v>1.0000000586942599</v>
      </c>
    </row>
    <row r="3158" spans="1:40" x14ac:dyDescent="0.25">
      <c r="A3158" t="str">
        <f>"20190304154818943"</f>
        <v>20190304154818943</v>
      </c>
      <c r="B3158" t="str">
        <f>"1551685698939752"</f>
        <v>1551685698939752</v>
      </c>
      <c r="C3158" t="s">
        <v>40</v>
      </c>
      <c r="D3158">
        <v>4.1653159999999998</v>
      </c>
      <c r="E3158">
        <v>0.55353730000000001</v>
      </c>
      <c r="F3158" t="s">
        <v>42</v>
      </c>
      <c r="G3158">
        <v>0</v>
      </c>
      <c r="H3158">
        <v>0</v>
      </c>
      <c r="I3158">
        <v>0</v>
      </c>
      <c r="J3158">
        <v>-412.02089999999998</v>
      </c>
      <c r="K3158">
        <v>1.110555</v>
      </c>
      <c r="L3158">
        <v>285.26060000000001</v>
      </c>
      <c r="M3158">
        <v>-0.99989450000000002</v>
      </c>
      <c r="N3158">
        <v>-1.364544E-2</v>
      </c>
      <c r="O3158">
        <v>-5.0003319999999997E-3</v>
      </c>
      <c r="P3158">
        <v>-0.97763690000000003</v>
      </c>
      <c r="Q3158">
        <v>0.17394200000000001</v>
      </c>
      <c r="R3158">
        <v>-0.1181952</v>
      </c>
      <c r="S3158">
        <v>-3.0783079999999998</v>
      </c>
      <c r="T3158">
        <v>1.3844969999999999E-3</v>
      </c>
      <c r="U3158">
        <v>7.9528810000000005E-2</v>
      </c>
      <c r="V3158">
        <v>-0.1132798</v>
      </c>
      <c r="W3158">
        <v>0.18728939999999999</v>
      </c>
      <c r="X3158">
        <v>0.97575120000000004</v>
      </c>
      <c r="Y3158">
        <v>3.0825020000000002E-2</v>
      </c>
      <c r="Z3158">
        <v>1.3295310000000001E-4</v>
      </c>
      <c r="AA3158">
        <v>0.99952479999999999</v>
      </c>
      <c r="AB3158">
        <v>35</v>
      </c>
      <c r="AC3158">
        <v>-3.0783079999999998</v>
      </c>
      <c r="AD3158">
        <v>1.3844969999999999E-3</v>
      </c>
      <c r="AE3158">
        <v>7.9528810000000005E-2</v>
      </c>
      <c r="AF3158">
        <v>9.4921789973409998E-2</v>
      </c>
      <c r="AG3158">
        <v>1.3844969999999999E-3</v>
      </c>
      <c r="AH3158">
        <v>3.0778711790147302</v>
      </c>
      <c r="AI3158">
        <v>89.9742392946401</v>
      </c>
      <c r="AJ3158">
        <v>88.233553526371907</v>
      </c>
      <c r="AK3158">
        <v>3.0793348401323901</v>
      </c>
      <c r="AL3158">
        <v>79.205361433708703</v>
      </c>
      <c r="AM3158">
        <v>96.622106608137301</v>
      </c>
      <c r="AN3158">
        <v>1.0000000183709199</v>
      </c>
    </row>
    <row r="3159" spans="1:40" x14ac:dyDescent="0.25">
      <c r="A3159" t="str">
        <f>"20190304154818958"</f>
        <v>20190304154818958</v>
      </c>
      <c r="B3159" t="str">
        <f>"1551685698949513"</f>
        <v>1551685698949513</v>
      </c>
      <c r="C3159" t="s">
        <v>40</v>
      </c>
      <c r="D3159">
        <v>4.205463</v>
      </c>
      <c r="E3159">
        <v>0.55348129999999995</v>
      </c>
      <c r="F3159" t="s">
        <v>42</v>
      </c>
      <c r="G3159">
        <v>0</v>
      </c>
      <c r="H3159">
        <v>0</v>
      </c>
      <c r="I3159">
        <v>0</v>
      </c>
      <c r="J3159">
        <v>-412.24369999999999</v>
      </c>
      <c r="K3159">
        <v>1.110555</v>
      </c>
      <c r="L3159">
        <v>285.2595</v>
      </c>
      <c r="M3159">
        <v>-0.99989459999999997</v>
      </c>
      <c r="N3159">
        <v>-1.3643850000000001E-2</v>
      </c>
      <c r="O3159">
        <v>-4.9743359999999898E-3</v>
      </c>
      <c r="P3159">
        <v>-0.97765519999999995</v>
      </c>
      <c r="Q3159">
        <v>0.1739491</v>
      </c>
      <c r="R3159">
        <v>-0.1180341</v>
      </c>
      <c r="S3159">
        <v>-3.0783999999999998</v>
      </c>
      <c r="T3159">
        <v>-1.2586120000000001E-3</v>
      </c>
      <c r="U3159">
        <v>7.8887940000000004E-2</v>
      </c>
      <c r="V3159">
        <v>-0.1131438</v>
      </c>
      <c r="W3159">
        <v>0.1872955</v>
      </c>
      <c r="X3159">
        <v>0.97576580000000002</v>
      </c>
      <c r="Y3159">
        <v>3.0590200000000001E-2</v>
      </c>
      <c r="Z3159">
        <v>1.4915379999999999E-4</v>
      </c>
      <c r="AA3159">
        <v>0.99953199999999998</v>
      </c>
      <c r="AB3159">
        <v>35</v>
      </c>
      <c r="AC3159">
        <v>-3.0783999999999998</v>
      </c>
      <c r="AD3159">
        <v>-1.2586120000000001E-3</v>
      </c>
      <c r="AE3159">
        <v>7.8887940000000004E-2</v>
      </c>
      <c r="AF3159">
        <v>9.4201368666980798E-2</v>
      </c>
      <c r="AG3159">
        <v>-1.2586120000000001E-3</v>
      </c>
      <c r="AH3159">
        <v>3.07796894087824</v>
      </c>
      <c r="AI3159">
        <v>90.023417845877702</v>
      </c>
      <c r="AJ3159">
        <v>88.247007450098806</v>
      </c>
      <c r="AK3159">
        <v>3.0794103791105898</v>
      </c>
      <c r="AL3159">
        <v>79.205005543194403</v>
      </c>
      <c r="AM3159">
        <v>96.614128721841297</v>
      </c>
      <c r="AN3159">
        <v>1.00000001012416</v>
      </c>
    </row>
    <row r="3160" spans="1:40" x14ac:dyDescent="0.25">
      <c r="A3160" t="str">
        <f>"20190304154818977"</f>
        <v>20190304154818977</v>
      </c>
      <c r="B3160" t="str">
        <f>"1551685698970008"</f>
        <v>1551685698970008</v>
      </c>
      <c r="C3160" t="s">
        <v>40</v>
      </c>
      <c r="D3160">
        <v>4.1501760000000001</v>
      </c>
      <c r="E3160">
        <v>0.55333549999999998</v>
      </c>
      <c r="F3160" t="s">
        <v>42</v>
      </c>
      <c r="G3160">
        <v>0</v>
      </c>
      <c r="H3160">
        <v>0</v>
      </c>
      <c r="I3160">
        <v>0</v>
      </c>
      <c r="J3160">
        <v>-412.54750000000001</v>
      </c>
      <c r="K3160">
        <v>1.110557</v>
      </c>
      <c r="L3160">
        <v>285.25799999999998</v>
      </c>
      <c r="M3160">
        <v>-0.99989490000000003</v>
      </c>
      <c r="N3160">
        <v>-1.364171E-2</v>
      </c>
      <c r="O3160">
        <v>-4.9388000000000001E-3</v>
      </c>
      <c r="P3160">
        <v>-0.97776370000000001</v>
      </c>
      <c r="Q3160">
        <v>0.17361799999999999</v>
      </c>
      <c r="R3160">
        <v>-0.1176228</v>
      </c>
      <c r="S3160">
        <v>-3.0783689999999999</v>
      </c>
      <c r="T3160">
        <v>-1.5341039999999999E-3</v>
      </c>
      <c r="U3160">
        <v>7.8704830000000003E-2</v>
      </c>
      <c r="V3160">
        <v>-0.1127667</v>
      </c>
      <c r="W3160">
        <v>0.18696289999999999</v>
      </c>
      <c r="X3160">
        <v>0.9758732</v>
      </c>
      <c r="Y3160">
        <v>3.049551E-2</v>
      </c>
      <c r="Z3160">
        <v>1.5074270000000001E-4</v>
      </c>
      <c r="AA3160">
        <v>0.9995349</v>
      </c>
      <c r="AB3160">
        <v>35</v>
      </c>
      <c r="AC3160">
        <v>-3.0783689999999999</v>
      </c>
      <c r="AD3160">
        <v>-1.5341039999999999E-3</v>
      </c>
      <c r="AE3160">
        <v>7.8704830000000003E-2</v>
      </c>
      <c r="AF3160">
        <v>9.3908708027686402E-2</v>
      </c>
      <c r="AG3160">
        <v>-1.5341039999999999E-3</v>
      </c>
      <c r="AH3160">
        <v>3.0779419419531702</v>
      </c>
      <c r="AI3160">
        <v>90.0285440065568</v>
      </c>
      <c r="AJ3160">
        <v>88.252434867901101</v>
      </c>
      <c r="AK3160">
        <v>3.07937457886386</v>
      </c>
      <c r="AL3160">
        <v>79.224404456839594</v>
      </c>
      <c r="AM3160">
        <v>96.591559541267102</v>
      </c>
      <c r="AN3160">
        <v>0.99999997854176903</v>
      </c>
    </row>
    <row r="3161" spans="1:40" x14ac:dyDescent="0.25">
      <c r="A3161" t="str">
        <f>"20190304154818989"</f>
        <v>20190304154818989</v>
      </c>
      <c r="B3161" t="str">
        <f>"1551685698979768"</f>
        <v>1551685698979768</v>
      </c>
      <c r="C3161" t="s">
        <v>40</v>
      </c>
      <c r="D3161">
        <v>4.1338059999999999</v>
      </c>
      <c r="E3161">
        <v>0.5533266</v>
      </c>
      <c r="F3161" t="s">
        <v>42</v>
      </c>
      <c r="G3161">
        <v>0</v>
      </c>
      <c r="H3161">
        <v>0</v>
      </c>
      <c r="I3161">
        <v>0</v>
      </c>
      <c r="J3161">
        <v>-412.74650000000003</v>
      </c>
      <c r="K3161">
        <v>1.1105560000000001</v>
      </c>
      <c r="L3161">
        <v>285.25700000000001</v>
      </c>
      <c r="M3161">
        <v>-0.99989490000000003</v>
      </c>
      <c r="N3161">
        <v>-1.3640309999999999E-2</v>
      </c>
      <c r="O3161">
        <v>-4.9153080000000002E-3</v>
      </c>
      <c r="P3161">
        <v>-0.97772709999999996</v>
      </c>
      <c r="Q3161">
        <v>0.17394689999999999</v>
      </c>
      <c r="R3161">
        <v>-0.1174395</v>
      </c>
      <c r="S3161">
        <v>-3.0781559999999999</v>
      </c>
      <c r="T3161">
        <v>-2.478123E-3</v>
      </c>
      <c r="U3161">
        <v>7.86438E-2</v>
      </c>
      <c r="V3161">
        <v>-0.1126065</v>
      </c>
      <c r="W3161">
        <v>0.18728990000000001</v>
      </c>
      <c r="X3161">
        <v>0.97582899999999995</v>
      </c>
      <c r="Y3161">
        <v>3.0453939999999999E-2</v>
      </c>
      <c r="Z3161">
        <v>1.569203E-4</v>
      </c>
      <c r="AA3161">
        <v>0.99953619999999999</v>
      </c>
      <c r="AB3161">
        <v>35</v>
      </c>
      <c r="AC3161">
        <v>-3.0781559999999999</v>
      </c>
      <c r="AD3161">
        <v>-2.478123E-3</v>
      </c>
      <c r="AE3161">
        <v>7.86438E-2</v>
      </c>
      <c r="AF3161">
        <v>9.3774281375289897E-2</v>
      </c>
      <c r="AG3161">
        <v>-2.478123E-3</v>
      </c>
      <c r="AH3161">
        <v>3.07773022040459</v>
      </c>
      <c r="AI3161">
        <v>90.046111935916002</v>
      </c>
      <c r="AJ3161">
        <v>88.254814920026007</v>
      </c>
      <c r="AK3161">
        <v>3.0791594740338999</v>
      </c>
      <c r="AL3161">
        <v>79.205331892779</v>
      </c>
      <c r="AM3161">
        <v>96.582573118949</v>
      </c>
      <c r="AN3161">
        <v>0.999999983862629</v>
      </c>
    </row>
    <row r="3162" spans="1:40" x14ac:dyDescent="0.25">
      <c r="A3162" t="str">
        <f>"20190304154819002"</f>
        <v>20190304154819002</v>
      </c>
      <c r="B3162" t="str">
        <f>"1551685698989529"</f>
        <v>1551685698989529</v>
      </c>
      <c r="C3162" t="s">
        <v>40</v>
      </c>
      <c r="D3162">
        <v>4.1454779999999998</v>
      </c>
      <c r="E3162">
        <v>0.55329779999999995</v>
      </c>
      <c r="F3162" t="s">
        <v>42</v>
      </c>
      <c r="G3162">
        <v>0</v>
      </c>
      <c r="H3162">
        <v>0</v>
      </c>
      <c r="I3162">
        <v>0</v>
      </c>
      <c r="J3162">
        <v>-412.93110000000001</v>
      </c>
      <c r="K3162">
        <v>1.110557</v>
      </c>
      <c r="L3162">
        <v>285.25619999999998</v>
      </c>
      <c r="M3162">
        <v>-0.99989499999999998</v>
      </c>
      <c r="N3162">
        <v>-1.3638999999999899E-2</v>
      </c>
      <c r="O3162">
        <v>-4.8937240000000003E-3</v>
      </c>
      <c r="P3162">
        <v>-0.97778240000000005</v>
      </c>
      <c r="Q3162">
        <v>0.17384439999999901</v>
      </c>
      <c r="R3162">
        <v>-0.117131399999999</v>
      </c>
      <c r="S3162">
        <v>-3.078217</v>
      </c>
      <c r="T3162">
        <v>-1.96743E-3</v>
      </c>
      <c r="U3162">
        <v>7.9254149999999995E-2</v>
      </c>
      <c r="V3162">
        <v>-0.1123193</v>
      </c>
      <c r="W3162">
        <v>0.18718679999999999</v>
      </c>
      <c r="X3162">
        <v>0.97588189999999997</v>
      </c>
      <c r="Y3162">
        <v>3.0629940000000001E-2</v>
      </c>
      <c r="Z3162">
        <v>1.55103E-4</v>
      </c>
      <c r="AA3162">
        <v>0.99953080000000005</v>
      </c>
      <c r="AB3162">
        <v>35</v>
      </c>
      <c r="AC3162">
        <v>-3.078217</v>
      </c>
      <c r="AD3162">
        <v>-1.96743E-3</v>
      </c>
      <c r="AE3162">
        <v>7.9254149999999995E-2</v>
      </c>
      <c r="AF3162">
        <v>9.4318508160133402E-2</v>
      </c>
      <c r="AG3162">
        <v>-1.96743E-3</v>
      </c>
      <c r="AH3162">
        <v>3.0777909930407499</v>
      </c>
      <c r="AI3162">
        <v>90.036608244996202</v>
      </c>
      <c r="AJ3162">
        <v>88.244727550008506</v>
      </c>
      <c r="AK3162">
        <v>3.07923647169312</v>
      </c>
      <c r="AL3162">
        <v>79.211345649182107</v>
      </c>
      <c r="AM3162">
        <v>96.5655784043729</v>
      </c>
      <c r="AN3162">
        <v>1.0000000029971601</v>
      </c>
    </row>
    <row r="3163" spans="1:40" x14ac:dyDescent="0.25">
      <c r="A3163" t="str">
        <f>"20190304154819015"</f>
        <v>20190304154819015</v>
      </c>
      <c r="B3163" t="str">
        <f>"1551685699010026"</f>
        <v>1551685699010026</v>
      </c>
      <c r="C3163" t="s">
        <v>40</v>
      </c>
      <c r="D3163">
        <v>4.0947079999999998</v>
      </c>
      <c r="E3163">
        <v>0.55341109999999905</v>
      </c>
      <c r="F3163" t="s">
        <v>42</v>
      </c>
      <c r="G3163">
        <v>0</v>
      </c>
      <c r="H3163">
        <v>0</v>
      </c>
      <c r="I3163">
        <v>0</v>
      </c>
      <c r="J3163">
        <v>-413.13029999999998</v>
      </c>
      <c r="K3163">
        <v>1.1105529999999999</v>
      </c>
      <c r="L3163">
        <v>285.2552</v>
      </c>
      <c r="M3163">
        <v>-0.99989519999999998</v>
      </c>
      <c r="N3163">
        <v>-1.363756E-2</v>
      </c>
      <c r="O3163">
        <v>-4.8703510000000002E-3</v>
      </c>
      <c r="P3163">
        <v>-0.97774830000000001</v>
      </c>
      <c r="Q3163">
        <v>0.17417439999999901</v>
      </c>
      <c r="R3163">
        <v>-0.1169272</v>
      </c>
      <c r="S3163">
        <v>-3.078217</v>
      </c>
      <c r="T3163">
        <v>-2.6065110000000002E-3</v>
      </c>
      <c r="U3163">
        <v>7.9895019999999997E-2</v>
      </c>
      <c r="V3163">
        <v>-0.1121381</v>
      </c>
      <c r="W3163">
        <v>0.18751519999999999</v>
      </c>
      <c r="X3163">
        <v>0.97583969999999998</v>
      </c>
      <c r="Y3163">
        <v>3.0814500000000002E-2</v>
      </c>
      <c r="Z3163">
        <v>1.609196E-4</v>
      </c>
      <c r="AA3163">
        <v>0.99952510000000006</v>
      </c>
      <c r="AB3163">
        <v>35</v>
      </c>
      <c r="AC3163">
        <v>-3.078217</v>
      </c>
      <c r="AD3163">
        <v>-2.6065110000000002E-3</v>
      </c>
      <c r="AE3163">
        <v>7.9895019999999997E-2</v>
      </c>
      <c r="AF3163">
        <v>9.4887394971777297E-2</v>
      </c>
      <c r="AG3163">
        <v>-2.6065110000000002E-3</v>
      </c>
      <c r="AH3163">
        <v>3.0777891265973101</v>
      </c>
      <c r="AI3163">
        <v>90.048499463603093</v>
      </c>
      <c r="AJ3163">
        <v>88.234146148868007</v>
      </c>
      <c r="AK3163">
        <v>3.0792525585643</v>
      </c>
      <c r="AL3163">
        <v>79.192190633569894</v>
      </c>
      <c r="AM3163">
        <v>96.555359697045006</v>
      </c>
      <c r="AN3163">
        <v>1.0000000118993699</v>
      </c>
    </row>
    <row r="3164" spans="1:40" x14ac:dyDescent="0.25">
      <c r="A3164" t="str">
        <f>"20190304154819029"</f>
        <v>20190304154819029</v>
      </c>
      <c r="B3164" t="str">
        <f>"1551685699019316"</f>
        <v>1551685699019316</v>
      </c>
      <c r="C3164" t="s">
        <v>40</v>
      </c>
      <c r="D3164">
        <v>4.0901189999999996</v>
      </c>
      <c r="E3164">
        <v>0.55342409999999997</v>
      </c>
      <c r="F3164" t="s">
        <v>42</v>
      </c>
      <c r="G3164">
        <v>0</v>
      </c>
      <c r="H3164">
        <v>0</v>
      </c>
      <c r="I3164">
        <v>0</v>
      </c>
      <c r="J3164">
        <v>-413.35539999999997</v>
      </c>
      <c r="K3164">
        <v>1.1105529999999999</v>
      </c>
      <c r="L3164">
        <v>285.25420000000003</v>
      </c>
      <c r="M3164">
        <v>-0.99989530000000004</v>
      </c>
      <c r="N3164">
        <v>-1.3635929999999999E-2</v>
      </c>
      <c r="O3164">
        <v>-4.8438780000000002E-3</v>
      </c>
      <c r="P3164">
        <v>-0.97775330000000005</v>
      </c>
      <c r="Q3164">
        <v>0.1742532</v>
      </c>
      <c r="R3164">
        <v>-0.1167662</v>
      </c>
      <c r="S3164">
        <v>-3.0783689999999999</v>
      </c>
      <c r="T3164">
        <v>-1.6868110000000001E-3</v>
      </c>
      <c r="U3164">
        <v>8.1451419999999997E-2</v>
      </c>
      <c r="V3164">
        <v>-0.1120029</v>
      </c>
      <c r="W3164">
        <v>0.1875925</v>
      </c>
      <c r="X3164">
        <v>0.97584040000000005</v>
      </c>
      <c r="Y3164">
        <v>3.1291810000000003E-2</v>
      </c>
      <c r="Z3164">
        <v>1.5857809999999999E-4</v>
      </c>
      <c r="AA3164">
        <v>0.99951029999999996</v>
      </c>
      <c r="AB3164">
        <v>35</v>
      </c>
      <c r="AC3164">
        <v>-3.0783689999999999</v>
      </c>
      <c r="AD3164">
        <v>-1.6868110000000001E-3</v>
      </c>
      <c r="AE3164">
        <v>8.1451419999999997E-2</v>
      </c>
      <c r="AF3164">
        <v>9.6363065611162604E-2</v>
      </c>
      <c r="AG3164">
        <v>-1.6868110000000001E-3</v>
      </c>
      <c r="AH3164">
        <v>3.0779373780028201</v>
      </c>
      <c r="AI3164">
        <v>90.031384592685299</v>
      </c>
      <c r="AJ3164">
        <v>88.206788040870705</v>
      </c>
      <c r="AK3164">
        <v>3.0794459223457999</v>
      </c>
      <c r="AL3164">
        <v>79.187681973074007</v>
      </c>
      <c r="AM3164">
        <v>96.547520199945296</v>
      </c>
      <c r="AN3164">
        <v>1.0000000409684</v>
      </c>
    </row>
    <row r="3165" spans="1:40" x14ac:dyDescent="0.25">
      <c r="A3165" t="str">
        <f>"20190304154819041"</f>
        <v>20190304154819041</v>
      </c>
      <c r="B3165" t="str">
        <f>"1551685699030051"</f>
        <v>1551685699030051</v>
      </c>
      <c r="C3165" t="s">
        <v>40</v>
      </c>
      <c r="D3165">
        <v>4.0903070000000001</v>
      </c>
      <c r="E3165">
        <v>0.55340730000000005</v>
      </c>
      <c r="F3165" t="s">
        <v>42</v>
      </c>
      <c r="G3165">
        <v>0</v>
      </c>
      <c r="H3165">
        <v>0</v>
      </c>
      <c r="I3165">
        <v>0</v>
      </c>
      <c r="J3165">
        <v>-413.54899999999998</v>
      </c>
      <c r="K3165">
        <v>1.110552</v>
      </c>
      <c r="L3165">
        <v>285.25319999999999</v>
      </c>
      <c r="M3165">
        <v>-0.99989550000000005</v>
      </c>
      <c r="N3165">
        <v>-1.363455E-2</v>
      </c>
      <c r="O3165">
        <v>-4.8213400000000003E-3</v>
      </c>
      <c r="P3165">
        <v>-0.97777530000000001</v>
      </c>
      <c r="Q3165">
        <v>0.17422570000000001</v>
      </c>
      <c r="R3165">
        <v>-0.1166243</v>
      </c>
      <c r="S3165">
        <v>-3.0783999999999998</v>
      </c>
      <c r="T3165">
        <v>-1.6478300000000001E-3</v>
      </c>
      <c r="U3165">
        <v>8.2061770000000006E-2</v>
      </c>
      <c r="V3165">
        <v>-0.111883</v>
      </c>
      <c r="W3165">
        <v>0.18756390000000001</v>
      </c>
      <c r="X3165">
        <v>0.97585960000000005</v>
      </c>
      <c r="Y3165">
        <v>3.1467050000000003E-2</v>
      </c>
      <c r="Z3165">
        <v>1.598414E-4</v>
      </c>
      <c r="AA3165">
        <v>0.99950479999999997</v>
      </c>
      <c r="AB3165">
        <v>35</v>
      </c>
      <c r="AC3165">
        <v>-3.0783999999999998</v>
      </c>
      <c r="AD3165">
        <v>-1.6478300000000001E-3</v>
      </c>
      <c r="AE3165">
        <v>8.2061770000000006E-2</v>
      </c>
      <c r="AF3165">
        <v>9.6904179948415506E-2</v>
      </c>
      <c r="AG3165">
        <v>-1.6478300000000001E-3</v>
      </c>
      <c r="AH3165">
        <v>3.0779676481923799</v>
      </c>
      <c r="AI3165">
        <v>90.030658846982504</v>
      </c>
      <c r="AJ3165">
        <v>88.196742843256402</v>
      </c>
      <c r="AK3165">
        <v>3.0794931366629399</v>
      </c>
      <c r="AL3165">
        <v>79.189349693509996</v>
      </c>
      <c r="AM3165">
        <v>96.540444222523504</v>
      </c>
      <c r="AN3165">
        <v>0.99999999059218503</v>
      </c>
    </row>
    <row r="3166" spans="1:40" x14ac:dyDescent="0.25">
      <c r="A3166" t="str">
        <f>"20190304154819055"</f>
        <v>20190304154819055</v>
      </c>
      <c r="B3166" t="str">
        <f>"1551685699049571"</f>
        <v>1551685699049571</v>
      </c>
      <c r="C3166" t="s">
        <v>40</v>
      </c>
      <c r="D3166">
        <v>4.0689789999999997</v>
      </c>
      <c r="E3166">
        <v>0.55339729999999998</v>
      </c>
      <c r="F3166" t="s">
        <v>42</v>
      </c>
      <c r="G3166">
        <v>0</v>
      </c>
      <c r="H3166">
        <v>0</v>
      </c>
      <c r="I3166">
        <v>0</v>
      </c>
      <c r="J3166">
        <v>-413.76229999999998</v>
      </c>
      <c r="K3166">
        <v>1.110555</v>
      </c>
      <c r="L3166">
        <v>285.25220000000002</v>
      </c>
      <c r="M3166">
        <v>-0.99989570000000005</v>
      </c>
      <c r="N3166">
        <v>-1.3633019999999999E-2</v>
      </c>
      <c r="O3166">
        <v>-4.7962969999999997E-3</v>
      </c>
      <c r="P3166">
        <v>-0.97770520000000005</v>
      </c>
      <c r="Q3166">
        <v>0.17481369999999999</v>
      </c>
      <c r="R3166">
        <v>-0.1163318</v>
      </c>
      <c r="S3166">
        <v>-3.0783079999999998</v>
      </c>
      <c r="T3166">
        <v>-1.6363860000000001E-3</v>
      </c>
      <c r="U3166">
        <v>8.2397460000000006E-2</v>
      </c>
      <c r="V3166">
        <v>-0.1116148</v>
      </c>
      <c r="W3166">
        <v>0.18814929999999999</v>
      </c>
      <c r="X3166">
        <v>0.97577760000000002</v>
      </c>
      <c r="Y3166">
        <v>3.155173E-2</v>
      </c>
      <c r="Z3166">
        <v>1.6067699999999999E-4</v>
      </c>
      <c r="AA3166">
        <v>0.99950209999999995</v>
      </c>
      <c r="AB3166">
        <v>35</v>
      </c>
      <c r="AC3166">
        <v>-3.0783079999999998</v>
      </c>
      <c r="AD3166">
        <v>-1.6363860000000001E-3</v>
      </c>
      <c r="AE3166">
        <v>8.2397460000000006E-2</v>
      </c>
      <c r="AF3166">
        <v>9.71623342736566E-2</v>
      </c>
      <c r="AG3166">
        <v>-1.6363860000000001E-3</v>
      </c>
      <c r="AH3166">
        <v>3.0778764773071901</v>
      </c>
      <c r="AI3166">
        <v>90.030446745195704</v>
      </c>
      <c r="AJ3166">
        <v>88.191888599363807</v>
      </c>
      <c r="AK3166">
        <v>3.07941013938084</v>
      </c>
      <c r="AL3166">
        <v>79.155200586027902</v>
      </c>
      <c r="AM3166">
        <v>96.525444774012797</v>
      </c>
      <c r="AN3166">
        <v>0.99999997366564397</v>
      </c>
    </row>
    <row r="3167" spans="1:40" x14ac:dyDescent="0.25">
      <c r="A3167" t="str">
        <f>"20190304154819069"</f>
        <v>20190304154819069</v>
      </c>
      <c r="B3167" t="str">
        <f>"1551685699059331"</f>
        <v>1551685699059331</v>
      </c>
      <c r="C3167" t="s">
        <v>40</v>
      </c>
      <c r="D3167">
        <v>4.031955</v>
      </c>
      <c r="E3167">
        <v>0.55338940000000003</v>
      </c>
      <c r="F3167" t="s">
        <v>42</v>
      </c>
      <c r="G3167">
        <v>0</v>
      </c>
      <c r="H3167">
        <v>0</v>
      </c>
      <c r="I3167">
        <v>0</v>
      </c>
      <c r="J3167">
        <v>-413.97379999999998</v>
      </c>
      <c r="K3167">
        <v>1.110554</v>
      </c>
      <c r="L3167">
        <v>285.25119999999998</v>
      </c>
      <c r="M3167">
        <v>-0.9998958</v>
      </c>
      <c r="N3167">
        <v>-1.36315E-2</v>
      </c>
      <c r="O3167">
        <v>-4.7716119999999997E-3</v>
      </c>
      <c r="P3167">
        <v>-0.97773690000000002</v>
      </c>
      <c r="Q3167">
        <v>0.1746925</v>
      </c>
      <c r="R3167">
        <v>-0.11624719999999999</v>
      </c>
      <c r="S3167">
        <v>-3.0781860000000001</v>
      </c>
      <c r="T3167">
        <v>5.1796440000000002E-4</v>
      </c>
      <c r="U3167">
        <v>8.3129880000000003E-2</v>
      </c>
      <c r="V3167">
        <v>-0.1115546</v>
      </c>
      <c r="W3167">
        <v>0.18802659999999999</v>
      </c>
      <c r="X3167">
        <v>0.97580809999999996</v>
      </c>
      <c r="Y3167">
        <v>3.1765870000000002E-2</v>
      </c>
      <c r="Z3167">
        <v>1.480482E-4</v>
      </c>
      <c r="AA3167">
        <v>0.99949529999999998</v>
      </c>
      <c r="AB3167">
        <v>35</v>
      </c>
      <c r="AC3167">
        <v>-3.0781860000000001</v>
      </c>
      <c r="AD3167">
        <v>5.1796440000000002E-4</v>
      </c>
      <c r="AE3167">
        <v>8.3129880000000003E-2</v>
      </c>
      <c r="AF3167">
        <v>9.7818203325836503E-2</v>
      </c>
      <c r="AG3167">
        <v>5.1796440000000002E-4</v>
      </c>
      <c r="AH3167">
        <v>3.0777541633581902</v>
      </c>
      <c r="AI3167">
        <v>89.990362389311599</v>
      </c>
      <c r="AJ3167">
        <v>88.179619304911796</v>
      </c>
      <c r="AK3167">
        <v>3.0793082598625401</v>
      </c>
      <c r="AL3167">
        <v>79.162358157908002</v>
      </c>
      <c r="AM3167">
        <v>96.521753479340902</v>
      </c>
      <c r="AN3167">
        <v>0.99999993955716304</v>
      </c>
    </row>
    <row r="3168" spans="1:40" x14ac:dyDescent="0.25">
      <c r="A3168" t="str">
        <f>"20190304154819088"</f>
        <v>20190304154819088</v>
      </c>
      <c r="B3168" t="str">
        <f>"1551685699079827"</f>
        <v>1551685699079827</v>
      </c>
      <c r="C3168" t="s">
        <v>40</v>
      </c>
      <c r="D3168">
        <v>4.0045529999999996</v>
      </c>
      <c r="E3168">
        <v>0.55331980000000003</v>
      </c>
      <c r="F3168" t="s">
        <v>42</v>
      </c>
      <c r="G3168">
        <v>0</v>
      </c>
      <c r="H3168">
        <v>0</v>
      </c>
      <c r="I3168">
        <v>0</v>
      </c>
      <c r="J3168">
        <v>-414.28089999999997</v>
      </c>
      <c r="K3168">
        <v>1.1105560000000001</v>
      </c>
      <c r="L3168">
        <v>285.24979999999999</v>
      </c>
      <c r="M3168">
        <v>-0.99989600000000001</v>
      </c>
      <c r="N3168">
        <v>-1.3629290000000001E-2</v>
      </c>
      <c r="O3168">
        <v>-4.7358359999999898E-3</v>
      </c>
      <c r="P3168">
        <v>-0.97775520000000005</v>
      </c>
      <c r="Q3168">
        <v>0.174615299999999</v>
      </c>
      <c r="R3168">
        <v>-0.1162079</v>
      </c>
      <c r="S3168">
        <v>-3.0781559999999999</v>
      </c>
      <c r="T3168">
        <v>3.474951E-4</v>
      </c>
      <c r="U3168">
        <v>8.3374019999999993E-2</v>
      </c>
      <c r="V3168">
        <v>-0.11155030000000001</v>
      </c>
      <c r="W3168">
        <v>0.1879479</v>
      </c>
      <c r="X3168">
        <v>0.97582380000000002</v>
      </c>
      <c r="Y3168">
        <v>3.1809589999999999E-2</v>
      </c>
      <c r="Z3168">
        <v>1.4995469999999999E-4</v>
      </c>
      <c r="AA3168">
        <v>0.99949399999999999</v>
      </c>
      <c r="AB3168">
        <v>35</v>
      </c>
      <c r="AC3168">
        <v>-3.0781559999999999</v>
      </c>
      <c r="AD3168">
        <v>3.474951E-4</v>
      </c>
      <c r="AE3168">
        <v>8.3374019999999993E-2</v>
      </c>
      <c r="AF3168">
        <v>9.7952078319500896E-2</v>
      </c>
      <c r="AG3168">
        <v>3.474951E-4</v>
      </c>
      <c r="AH3168">
        <v>3.0777265532197799</v>
      </c>
      <c r="AI3168">
        <v>89.9935342122115</v>
      </c>
      <c r="AJ3168">
        <v>88.177113251124197</v>
      </c>
      <c r="AK3168">
        <v>3.0792848953603</v>
      </c>
      <c r="AL3168">
        <v>79.166949692116404</v>
      </c>
      <c r="AM3168">
        <v>96.521400236087104</v>
      </c>
      <c r="AN3168">
        <v>0.99999998559546999</v>
      </c>
    </row>
    <row r="3169" spans="1:40" x14ac:dyDescent="0.25">
      <c r="A3169" t="str">
        <f>"20190304154819102"</f>
        <v>20190304154819102</v>
      </c>
      <c r="B3169" t="str">
        <f>"1551685699089587"</f>
        <v>1551685699089587</v>
      </c>
      <c r="C3169" t="s">
        <v>40</v>
      </c>
      <c r="D3169">
        <v>3.9975459999999998</v>
      </c>
      <c r="E3169">
        <v>0.55331540000000001</v>
      </c>
      <c r="F3169" t="s">
        <v>42</v>
      </c>
      <c r="G3169">
        <v>0</v>
      </c>
      <c r="H3169">
        <v>0</v>
      </c>
      <c r="I3169">
        <v>0</v>
      </c>
      <c r="J3169">
        <v>-414.49130000000002</v>
      </c>
      <c r="K3169">
        <v>1.110554</v>
      </c>
      <c r="L3169">
        <v>285.24880000000002</v>
      </c>
      <c r="M3169">
        <v>-0.99989600000000001</v>
      </c>
      <c r="N3169">
        <v>-1.3627759999999999E-2</v>
      </c>
      <c r="O3169">
        <v>-4.7111509999999898E-3</v>
      </c>
      <c r="P3169">
        <v>-0.97773869999999896</v>
      </c>
      <c r="Q3169">
        <v>0.1746162</v>
      </c>
      <c r="R3169">
        <v>-0.1163455</v>
      </c>
      <c r="S3169">
        <v>-3.0779719999999999</v>
      </c>
      <c r="T3169">
        <v>7.9393390000000001E-4</v>
      </c>
      <c r="U3169">
        <v>8.3038329999999994E-2</v>
      </c>
      <c r="V3169">
        <v>-0.1117123</v>
      </c>
      <c r="W3169">
        <v>0.18794649999999999</v>
      </c>
      <c r="X3169">
        <v>0.97580549999999999</v>
      </c>
      <c r="Y3169">
        <v>3.1677619999999997E-2</v>
      </c>
      <c r="Z3169">
        <v>1.4640399999999999E-4</v>
      </c>
      <c r="AA3169">
        <v>0.99949809999999994</v>
      </c>
      <c r="AB3169">
        <v>35</v>
      </c>
      <c r="AC3169">
        <v>-3.0779719999999999</v>
      </c>
      <c r="AD3169">
        <v>7.9393390000000001E-4</v>
      </c>
      <c r="AE3169">
        <v>8.3038329999999994E-2</v>
      </c>
      <c r="AF3169">
        <v>9.75395399584192E-2</v>
      </c>
      <c r="AG3169">
        <v>7.9393390000000001E-4</v>
      </c>
      <c r="AH3169">
        <v>3.0775463886862702</v>
      </c>
      <c r="AI3169">
        <v>89.985226467733995</v>
      </c>
      <c r="AJ3169">
        <v>88.184679242457193</v>
      </c>
      <c r="AK3169">
        <v>3.0790918087485202</v>
      </c>
      <c r="AL3169">
        <v>79.167030964039199</v>
      </c>
      <c r="AM3169">
        <v>96.530910661159993</v>
      </c>
      <c r="AN3169">
        <v>0.99999994933189296</v>
      </c>
    </row>
    <row r="3170" spans="1:40" x14ac:dyDescent="0.25">
      <c r="A3170" t="str">
        <f>"20190304154819116"</f>
        <v>20190304154819116</v>
      </c>
      <c r="B3170" t="str">
        <f>"1551685699110083"</f>
        <v>1551685699110083</v>
      </c>
      <c r="C3170" t="s">
        <v>40</v>
      </c>
      <c r="D3170">
        <v>4.0106799999999998</v>
      </c>
      <c r="E3170">
        <v>0.55323409999999995</v>
      </c>
      <c r="F3170" t="s">
        <v>42</v>
      </c>
      <c r="G3170">
        <v>0</v>
      </c>
      <c r="H3170">
        <v>0</v>
      </c>
      <c r="I3170">
        <v>0</v>
      </c>
      <c r="J3170">
        <v>-414.7054</v>
      </c>
      <c r="K3170">
        <v>1.11056</v>
      </c>
      <c r="L3170">
        <v>285.24779999999998</v>
      </c>
      <c r="M3170">
        <v>-0.99989620000000001</v>
      </c>
      <c r="N3170">
        <v>-1.362621E-2</v>
      </c>
      <c r="O3170">
        <v>-4.6861079999999996E-3</v>
      </c>
      <c r="P3170">
        <v>-0.97780449999999997</v>
      </c>
      <c r="Q3170">
        <v>0.1742088</v>
      </c>
      <c r="R3170">
        <v>-0.1164043</v>
      </c>
      <c r="S3170">
        <v>-3.0778810000000001</v>
      </c>
      <c r="T3170">
        <v>1.296878E-3</v>
      </c>
      <c r="U3170">
        <v>8.2519529999999994E-2</v>
      </c>
      <c r="V3170">
        <v>-0.11179509999999999</v>
      </c>
      <c r="W3170">
        <v>0.1875386</v>
      </c>
      <c r="X3170">
        <v>0.97587449999999998</v>
      </c>
      <c r="Y3170">
        <v>3.1485060000000002E-2</v>
      </c>
      <c r="Z3170">
        <v>1.4210859999999999E-4</v>
      </c>
      <c r="AA3170">
        <v>0.99950419999999995</v>
      </c>
      <c r="AB3170">
        <v>35</v>
      </c>
      <c r="AC3170">
        <v>-3.0778810000000001</v>
      </c>
      <c r="AD3170">
        <v>1.296878E-3</v>
      </c>
      <c r="AE3170">
        <v>8.2519529999999994E-2</v>
      </c>
      <c r="AF3170">
        <v>9.6943228237440393E-2</v>
      </c>
      <c r="AG3170">
        <v>1.296878E-3</v>
      </c>
      <c r="AH3170">
        <v>3.0774599217060699</v>
      </c>
      <c r="AI3170">
        <v>89.975866853344101</v>
      </c>
      <c r="AJ3170">
        <v>88.195719258217693</v>
      </c>
      <c r="AK3170">
        <v>3.0789867231121302</v>
      </c>
      <c r="AL3170">
        <v>79.190825078632997</v>
      </c>
      <c r="AM3170">
        <v>96.535251323504596</v>
      </c>
      <c r="AN3170">
        <v>0.99999995531210895</v>
      </c>
    </row>
    <row r="3171" spans="1:40" x14ac:dyDescent="0.25">
      <c r="A3171" t="str">
        <f>"20190304154819134"</f>
        <v>20190304154819134</v>
      </c>
      <c r="B3171" t="str">
        <f>"1551685699130111"</f>
        <v>1551685699130111</v>
      </c>
      <c r="C3171" t="s">
        <v>40</v>
      </c>
      <c r="D3171">
        <v>4.0072650000000003</v>
      </c>
      <c r="E3171">
        <v>0.55316569999999898</v>
      </c>
      <c r="F3171" t="s">
        <v>42</v>
      </c>
      <c r="G3171">
        <v>0</v>
      </c>
      <c r="H3171">
        <v>0</v>
      </c>
      <c r="I3171">
        <v>0</v>
      </c>
      <c r="J3171">
        <v>-414.98439999999999</v>
      </c>
      <c r="K3171">
        <v>1.1105579999999999</v>
      </c>
      <c r="L3171">
        <v>285.2466</v>
      </c>
      <c r="M3171">
        <v>-0.99989640000000002</v>
      </c>
      <c r="N3171">
        <v>-1.3624209999999999E-2</v>
      </c>
      <c r="O3171">
        <v>-4.6534339999999997E-3</v>
      </c>
      <c r="P3171">
        <v>-0.97780049999999996</v>
      </c>
      <c r="Q3171">
        <v>0.17413429999999999</v>
      </c>
      <c r="R3171">
        <v>-0.11654879999999999</v>
      </c>
      <c r="S3171">
        <v>-3.0776370000000002</v>
      </c>
      <c r="T3171">
        <v>1.150727E-3</v>
      </c>
      <c r="U3171">
        <v>8.169556E-2</v>
      </c>
      <c r="V3171">
        <v>-0.1119718</v>
      </c>
      <c r="W3171">
        <v>0.1874623</v>
      </c>
      <c r="X3171">
        <v>0.97586890000000004</v>
      </c>
      <c r="Y3171">
        <v>3.1187119999999999E-2</v>
      </c>
      <c r="Z3171">
        <v>1.4153749999999999E-4</v>
      </c>
      <c r="AA3171">
        <v>0.9995136</v>
      </c>
      <c r="AB3171">
        <v>35</v>
      </c>
      <c r="AC3171">
        <v>-3.0776370000000002</v>
      </c>
      <c r="AD3171">
        <v>1.150727E-3</v>
      </c>
      <c r="AE3171">
        <v>8.169556E-2</v>
      </c>
      <c r="AF3171">
        <v>9.6017571297350002E-2</v>
      </c>
      <c r="AG3171">
        <v>1.150727E-3</v>
      </c>
      <c r="AH3171">
        <v>3.0772230413069099</v>
      </c>
      <c r="AI3171">
        <v>89.978584677119599</v>
      </c>
      <c r="AJ3171">
        <v>88.212798629587496</v>
      </c>
      <c r="AK3171">
        <v>3.0787208941572799</v>
      </c>
      <c r="AL3171">
        <v>79.195275665511801</v>
      </c>
      <c r="AM3171">
        <v>96.545528414091606</v>
      </c>
      <c r="AN3171">
        <v>0.99999995395186803</v>
      </c>
    </row>
    <row r="3172" spans="1:40" x14ac:dyDescent="0.25">
      <c r="A3172" t="str">
        <f>"20190304154819156"</f>
        <v>20190304154819156</v>
      </c>
      <c r="B3172" t="str">
        <f>"1551685699149631"</f>
        <v>1551685699149631</v>
      </c>
      <c r="C3172" t="s">
        <v>40</v>
      </c>
      <c r="D3172">
        <v>3.9554499999999999</v>
      </c>
      <c r="E3172">
        <v>0.5308851</v>
      </c>
      <c r="F3172" t="s">
        <v>42</v>
      </c>
      <c r="G3172">
        <v>0</v>
      </c>
      <c r="H3172">
        <v>0</v>
      </c>
      <c r="I3172">
        <v>0</v>
      </c>
      <c r="J3172">
        <v>-415.33440000000002</v>
      </c>
      <c r="K3172">
        <v>1.110562</v>
      </c>
      <c r="L3172">
        <v>285.245</v>
      </c>
      <c r="M3172">
        <v>-0.99989669999999997</v>
      </c>
      <c r="N3172">
        <v>-1.36217E-2</v>
      </c>
      <c r="O3172">
        <v>-4.6125319999999999E-3</v>
      </c>
      <c r="P3172">
        <v>-0.97790319999999997</v>
      </c>
      <c r="Q3172">
        <v>0.17363809999999999</v>
      </c>
      <c r="R3172">
        <v>-0.1164264</v>
      </c>
      <c r="S3172">
        <v>-3.0773619999999999</v>
      </c>
      <c r="T3172">
        <v>1.9145010000000001E-3</v>
      </c>
      <c r="U3172">
        <v>8.0566410000000005E-2</v>
      </c>
      <c r="V3172">
        <v>-0.111889</v>
      </c>
      <c r="W3172">
        <v>0.18696479999999999</v>
      </c>
      <c r="X3172">
        <v>0.97597389999999995</v>
      </c>
      <c r="Y3172">
        <v>3.078214E-2</v>
      </c>
      <c r="Z3172">
        <v>1.3443330000000001E-4</v>
      </c>
      <c r="AA3172">
        <v>0.99952609999999997</v>
      </c>
      <c r="AB3172">
        <v>35</v>
      </c>
      <c r="AC3172">
        <v>-3.0773619999999999</v>
      </c>
      <c r="AD3172">
        <v>1.9145010000000001E-3</v>
      </c>
      <c r="AE3172">
        <v>8.0566410000000005E-2</v>
      </c>
      <c r="AF3172">
        <v>9.4761262237997301E-2</v>
      </c>
      <c r="AG3172">
        <v>1.9145010000000001E-3</v>
      </c>
      <c r="AH3172">
        <v>3.0769564179590501</v>
      </c>
      <c r="AI3172">
        <v>89.964367116236104</v>
      </c>
      <c r="AJ3172">
        <v>88.236015043030093</v>
      </c>
      <c r="AK3172">
        <v>3.0784158523751199</v>
      </c>
      <c r="AL3172">
        <v>79.224294083309601</v>
      </c>
      <c r="AM3172">
        <v>96.540032550385405</v>
      </c>
      <c r="AN3172">
        <v>1.00000001912062</v>
      </c>
    </row>
    <row r="3173" spans="1:40" x14ac:dyDescent="0.25">
      <c r="A3173" t="str">
        <f>"20190304154819178"</f>
        <v>20190304154819178</v>
      </c>
      <c r="B3173" t="str">
        <f>"1551685699170127"</f>
        <v>1551685699170127</v>
      </c>
      <c r="C3173" t="s">
        <v>40</v>
      </c>
      <c r="D3173">
        <v>3.905081</v>
      </c>
      <c r="E3173">
        <v>0.52884469999999995</v>
      </c>
      <c r="F3173" t="s">
        <v>42</v>
      </c>
      <c r="G3173">
        <v>0</v>
      </c>
      <c r="H3173">
        <v>0</v>
      </c>
      <c r="I3173">
        <v>0</v>
      </c>
      <c r="J3173">
        <v>-415.6832</v>
      </c>
      <c r="K3173">
        <v>1.1105579999999999</v>
      </c>
      <c r="L3173">
        <v>285.24340000000001</v>
      </c>
      <c r="M3173">
        <v>-0.99989689999999998</v>
      </c>
      <c r="N3173">
        <v>-1.361922E-2</v>
      </c>
      <c r="O3173">
        <v>-4.57151E-3</v>
      </c>
      <c r="P3173">
        <v>-0.97786490000000004</v>
      </c>
      <c r="Q3173">
        <v>0.17380100000000001</v>
      </c>
      <c r="R3173">
        <v>-0.116506399999999</v>
      </c>
      <c r="S3173">
        <v>-3.0576479999999999</v>
      </c>
      <c r="T3173">
        <v>-7.0214269999999898E-3</v>
      </c>
      <c r="U3173">
        <v>-9.5397949999999995E-2</v>
      </c>
      <c r="V3173">
        <v>-0.11200930000000001</v>
      </c>
      <c r="W3173">
        <v>0.18712500000000001</v>
      </c>
      <c r="X3173">
        <v>0.97592939999999995</v>
      </c>
      <c r="Y3173">
        <v>-2.6614390000000002E-2</v>
      </c>
      <c r="Z3173">
        <v>-2.6359289999999997E-4</v>
      </c>
      <c r="AA3173">
        <v>0.99964569999999997</v>
      </c>
      <c r="AB3173">
        <v>35</v>
      </c>
      <c r="AC3173">
        <v>-3.0576479999999999</v>
      </c>
      <c r="AD3173">
        <v>-7.0214269999999898E-3</v>
      </c>
      <c r="AE3173">
        <v>-9.5397949999999995E-2</v>
      </c>
      <c r="AF3173">
        <v>-8.1417160459036506E-2</v>
      </c>
      <c r="AG3173">
        <v>-7.0214269999999898E-3</v>
      </c>
      <c r="AH3173">
        <v>3.05803608655226</v>
      </c>
      <c r="AI3173">
        <v>90.131507578532904</v>
      </c>
      <c r="AJ3173">
        <v>91.525082700663404</v>
      </c>
      <c r="AK3173">
        <v>3.0591277778331198</v>
      </c>
      <c r="AL3173">
        <v>79.214950420594803</v>
      </c>
      <c r="AM3173">
        <v>96.547299134535194</v>
      </c>
      <c r="AN3173">
        <v>1.0000000213479201</v>
      </c>
    </row>
    <row r="3174" spans="1:40" x14ac:dyDescent="0.25">
      <c r="A3174" t="str">
        <f>"20190304154819200"</f>
        <v>20190304154819200</v>
      </c>
      <c r="B3174" t="str">
        <f>"1551685699189646"</f>
        <v>1551685699189646</v>
      </c>
      <c r="C3174" t="s">
        <v>40</v>
      </c>
      <c r="D3174">
        <v>3.8952710000000002</v>
      </c>
      <c r="E3174">
        <v>0.52747330000000003</v>
      </c>
      <c r="F3174" t="s">
        <v>42</v>
      </c>
      <c r="G3174">
        <v>0</v>
      </c>
      <c r="H3174">
        <v>0</v>
      </c>
      <c r="I3174">
        <v>0</v>
      </c>
      <c r="J3174">
        <v>-416.01400000000001</v>
      </c>
      <c r="K3174">
        <v>1.1105579999999999</v>
      </c>
      <c r="L3174">
        <v>285.24189999999999</v>
      </c>
      <c r="M3174">
        <v>-0.99989709999999998</v>
      </c>
      <c r="N3174">
        <v>-1.361687E-2</v>
      </c>
      <c r="O3174">
        <v>-4.5327529999999996E-3</v>
      </c>
      <c r="P3174">
        <v>-0.97788850000000005</v>
      </c>
      <c r="Q3174">
        <v>0.17359269999999999</v>
      </c>
      <c r="R3174">
        <v>-0.1166198</v>
      </c>
      <c r="S3174">
        <v>-3.0545040000000001</v>
      </c>
      <c r="T3174">
        <v>4.9936769999999896E-4</v>
      </c>
      <c r="U3174">
        <v>-0.11190799999999999</v>
      </c>
      <c r="V3174">
        <v>-0.1121605</v>
      </c>
      <c r="W3174">
        <v>0.1869142</v>
      </c>
      <c r="X3174">
        <v>0.97595240000000005</v>
      </c>
      <c r="Y3174">
        <v>-3.208242E-2</v>
      </c>
      <c r="Z3174">
        <v>-2.7833890000000003E-4</v>
      </c>
      <c r="AA3174">
        <v>0.99948519999999996</v>
      </c>
      <c r="AB3174">
        <v>35</v>
      </c>
      <c r="AC3174">
        <v>-3.0545040000000001</v>
      </c>
      <c r="AD3174">
        <v>4.9936769999999896E-4</v>
      </c>
      <c r="AE3174">
        <v>-0.11190799999999999</v>
      </c>
      <c r="AF3174">
        <v>-9.8060252816042401E-2</v>
      </c>
      <c r="AG3174">
        <v>4.9936769999999896E-4</v>
      </c>
      <c r="AH3174">
        <v>3.0549798321038799</v>
      </c>
      <c r="AI3174">
        <v>89.990639239915097</v>
      </c>
      <c r="AJ3174">
        <v>91.838477024694697</v>
      </c>
      <c r="AK3174">
        <v>3.05655326096436</v>
      </c>
      <c r="AL3174">
        <v>79.227244973815601</v>
      </c>
      <c r="AM3174">
        <v>96.555907202322501</v>
      </c>
      <c r="AN3174">
        <v>0.99999999149382501</v>
      </c>
    </row>
    <row r="3175" spans="1:40" x14ac:dyDescent="0.25">
      <c r="A3175" t="str">
        <f>"20190304154819212"</f>
        <v>20190304154819212</v>
      </c>
      <c r="B3175" t="str">
        <f>"1551685699210143"</f>
        <v>1551685699210143</v>
      </c>
      <c r="C3175" t="s">
        <v>40</v>
      </c>
      <c r="D3175">
        <v>3.875524</v>
      </c>
      <c r="E3175">
        <v>0.52678800000000003</v>
      </c>
      <c r="F3175" t="s">
        <v>42</v>
      </c>
      <c r="G3175">
        <v>0</v>
      </c>
      <c r="H3175">
        <v>0</v>
      </c>
      <c r="I3175">
        <v>0</v>
      </c>
      <c r="J3175">
        <v>-416.20490000000001</v>
      </c>
      <c r="K3175">
        <v>1.110555</v>
      </c>
      <c r="L3175">
        <v>285.24110000000002</v>
      </c>
      <c r="M3175">
        <v>-0.99989709999999998</v>
      </c>
      <c r="N3175">
        <v>-1.3615520000000001E-2</v>
      </c>
      <c r="O3175">
        <v>-4.5103349999999999E-3</v>
      </c>
      <c r="P3175">
        <v>-0.97788969999999997</v>
      </c>
      <c r="Q3175">
        <v>0.1736654</v>
      </c>
      <c r="R3175">
        <v>-0.11649909999999999</v>
      </c>
      <c r="S3175">
        <v>-3.0527340000000001</v>
      </c>
      <c r="T3175">
        <v>2.6735069999999999E-3</v>
      </c>
      <c r="U3175">
        <v>-0.1228943</v>
      </c>
      <c r="V3175">
        <v>-0.1120617</v>
      </c>
      <c r="W3175">
        <v>0.1869864</v>
      </c>
      <c r="X3175">
        <v>0.97594990000000004</v>
      </c>
      <c r="Y3175">
        <v>-3.5717699999999998E-2</v>
      </c>
      <c r="Z3175">
        <v>-2.929707E-4</v>
      </c>
      <c r="AA3175">
        <v>0.99936190000000003</v>
      </c>
      <c r="AB3175">
        <v>35</v>
      </c>
      <c r="AC3175">
        <v>-3.0527340000000001</v>
      </c>
      <c r="AD3175">
        <v>2.6735069999999999E-3</v>
      </c>
      <c r="AE3175">
        <v>-0.1228943</v>
      </c>
      <c r="AF3175">
        <v>-0.109122836300344</v>
      </c>
      <c r="AG3175">
        <v>2.6735069999999999E-3</v>
      </c>
      <c r="AH3175">
        <v>3.0532549508783702</v>
      </c>
      <c r="AI3175">
        <v>89.949862395043795</v>
      </c>
      <c r="AJ3175">
        <v>92.046870641610397</v>
      </c>
      <c r="AK3175">
        <v>3.05520551454484</v>
      </c>
      <c r="AL3175">
        <v>79.223033772648293</v>
      </c>
      <c r="AM3175">
        <v>96.550199072600904</v>
      </c>
      <c r="AN3175">
        <v>0.99999997285092901</v>
      </c>
    </row>
    <row r="3176" spans="1:40" x14ac:dyDescent="0.25">
      <c r="A3176" t="str">
        <f>"20190304154819233"</f>
        <v>20190304154819233</v>
      </c>
      <c r="B3176" t="str">
        <f>"1551685699230074"</f>
        <v>1551685699230074</v>
      </c>
      <c r="C3176" t="s">
        <v>40</v>
      </c>
      <c r="D3176">
        <v>3.9736009999999999</v>
      </c>
      <c r="E3176">
        <v>0.52585019999999905</v>
      </c>
      <c r="F3176" t="s">
        <v>42</v>
      </c>
      <c r="G3176">
        <v>0</v>
      </c>
      <c r="H3176">
        <v>0</v>
      </c>
      <c r="I3176">
        <v>0</v>
      </c>
      <c r="J3176">
        <v>-416.53390000000002</v>
      </c>
      <c r="K3176">
        <v>1.110552</v>
      </c>
      <c r="L3176">
        <v>285.2396</v>
      </c>
      <c r="M3176">
        <v>-0.99989749999999999</v>
      </c>
      <c r="N3176">
        <v>-1.3613170000000001E-2</v>
      </c>
      <c r="O3176">
        <v>-4.4719360000000001E-3</v>
      </c>
      <c r="P3176">
        <v>-0.9778829</v>
      </c>
      <c r="Q3176">
        <v>0.17364199999999999</v>
      </c>
      <c r="R3176">
        <v>-0.1165924</v>
      </c>
      <c r="S3176">
        <v>-3.0515439999999998</v>
      </c>
      <c r="T3176">
        <v>6.0250759999999999E-3</v>
      </c>
      <c r="U3176">
        <v>-0.12792970000000001</v>
      </c>
      <c r="V3176">
        <v>-0.112193</v>
      </c>
      <c r="W3176">
        <v>0.18696009999999999</v>
      </c>
      <c r="X3176">
        <v>0.97593989999999997</v>
      </c>
      <c r="Y3176">
        <v>-3.7418269999999997E-2</v>
      </c>
      <c r="Z3176">
        <v>-2.8756890000000002E-4</v>
      </c>
      <c r="AA3176">
        <v>0.99929959999999995</v>
      </c>
      <c r="AB3176">
        <v>35</v>
      </c>
      <c r="AC3176">
        <v>-3.0515439999999998</v>
      </c>
      <c r="AD3176">
        <v>6.0250759999999999E-3</v>
      </c>
      <c r="AE3176">
        <v>-0.12792970000000001</v>
      </c>
      <c r="AF3176">
        <v>-0.114280403977363</v>
      </c>
      <c r="AG3176">
        <v>6.0250759999999999E-3</v>
      </c>
      <c r="AH3176">
        <v>3.0520737505320898</v>
      </c>
      <c r="AI3176">
        <v>89.886972181979601</v>
      </c>
      <c r="AJ3176">
        <v>92.144354264932502</v>
      </c>
      <c r="AK3176">
        <v>3.0542184746610799</v>
      </c>
      <c r="AL3176">
        <v>79.224568198416407</v>
      </c>
      <c r="AM3176">
        <v>96.557873580914404</v>
      </c>
      <c r="AN3176">
        <v>1.0000000183265001</v>
      </c>
    </row>
    <row r="3177" spans="1:40" x14ac:dyDescent="0.25">
      <c r="A3177" t="str">
        <f>"20190304154819245"</f>
        <v>20190304154819245</v>
      </c>
      <c r="B3177" t="str">
        <f>"1551685699239835"</f>
        <v>1551685699239835</v>
      </c>
      <c r="C3177" t="s">
        <v>40</v>
      </c>
      <c r="D3177">
        <v>3.9670709999999998</v>
      </c>
      <c r="E3177">
        <v>0.52517009999999997</v>
      </c>
      <c r="F3177" t="s">
        <v>62</v>
      </c>
      <c r="G3177">
        <v>-551.06230000000005</v>
      </c>
      <c r="H3177">
        <v>1.37677</v>
      </c>
      <c r="I3177">
        <v>279.24950000000001</v>
      </c>
      <c r="J3177">
        <v>-416.71960000000001</v>
      </c>
      <c r="K3177">
        <v>1.1105510000000001</v>
      </c>
      <c r="L3177">
        <v>285.23880000000003</v>
      </c>
      <c r="M3177">
        <v>-0.99989760000000005</v>
      </c>
      <c r="N3177">
        <v>-1.361185E-2</v>
      </c>
      <c r="O3177">
        <v>-4.4501130000000003E-3</v>
      </c>
      <c r="P3177">
        <v>-0.97786150000000005</v>
      </c>
      <c r="Q3177">
        <v>0.17365949999999999</v>
      </c>
      <c r="R3177">
        <v>-0.11674569999999999</v>
      </c>
      <c r="S3177">
        <v>-3.0505979999999999</v>
      </c>
      <c r="T3177">
        <v>6.0386659999999998E-3</v>
      </c>
      <c r="U3177">
        <v>-0.1358337</v>
      </c>
      <c r="V3177">
        <v>-0.1123676</v>
      </c>
      <c r="W3177">
        <v>0.18697610000000001</v>
      </c>
      <c r="X3177">
        <v>0.97591669999999997</v>
      </c>
      <c r="Y3177">
        <v>-4.0037280000000001E-2</v>
      </c>
      <c r="Z3177">
        <v>-3.0238219999999998E-4</v>
      </c>
      <c r="AA3177">
        <v>0.99919809999999998</v>
      </c>
      <c r="AB3177">
        <v>35</v>
      </c>
      <c r="AC3177">
        <v>-134.34270000000001</v>
      </c>
      <c r="AD3177">
        <v>0.26621899999999998</v>
      </c>
      <c r="AE3177">
        <v>-5.9893000000000098</v>
      </c>
      <c r="AF3177">
        <v>-5.3913240555317401</v>
      </c>
      <c r="AG3177">
        <v>0.26621899999999998</v>
      </c>
      <c r="AH3177">
        <v>134.367498445232</v>
      </c>
      <c r="AI3177">
        <v>89.886572705344904</v>
      </c>
      <c r="AJ3177">
        <v>92.297687390499803</v>
      </c>
      <c r="AK3177">
        <v>134.47587845430601</v>
      </c>
      <c r="AL3177">
        <v>79.223634509482196</v>
      </c>
      <c r="AM3177">
        <v>96.568144920544597</v>
      </c>
      <c r="AN3177">
        <v>0.999999972419929</v>
      </c>
    </row>
    <row r="3178" spans="1:40" x14ac:dyDescent="0.25">
      <c r="A3178" t="str">
        <f>"20190304154819257"</f>
        <v>20190304154819257</v>
      </c>
      <c r="B3178" t="str">
        <f>"1551685699249595"</f>
        <v>1551685699249595</v>
      </c>
      <c r="C3178" t="s">
        <v>40</v>
      </c>
      <c r="D3178">
        <v>3.9899309999999999</v>
      </c>
      <c r="E3178">
        <v>0.52452549999999998</v>
      </c>
      <c r="F3178" t="s">
        <v>62</v>
      </c>
      <c r="G3178">
        <v>-551.06230000000005</v>
      </c>
      <c r="H3178">
        <v>1.372911</v>
      </c>
      <c r="I3178">
        <v>279.01249999999999</v>
      </c>
      <c r="J3178">
        <v>-416.89580000000001</v>
      </c>
      <c r="K3178">
        <v>1.110554</v>
      </c>
      <c r="L3178">
        <v>285.23809999999997</v>
      </c>
      <c r="M3178">
        <v>-0.99989760000000005</v>
      </c>
      <c r="N3178">
        <v>-1.36106E-2</v>
      </c>
      <c r="O3178">
        <v>-4.4293630000000004E-3</v>
      </c>
      <c r="P3178">
        <v>-0.97783100000000001</v>
      </c>
      <c r="Q3178">
        <v>0.17378360000000001</v>
      </c>
      <c r="R3178">
        <v>-0.116817</v>
      </c>
      <c r="S3178">
        <v>-3.0499879999999999</v>
      </c>
      <c r="T3178">
        <v>5.9582000000000003E-3</v>
      </c>
      <c r="U3178">
        <v>-0.14135739999999999</v>
      </c>
      <c r="V3178">
        <v>-0.112459</v>
      </c>
      <c r="W3178">
        <v>0.1870983</v>
      </c>
      <c r="X3178">
        <v>0.97588280000000005</v>
      </c>
      <c r="Y3178">
        <v>-4.1872720000000002E-2</v>
      </c>
      <c r="Z3178">
        <v>-3.1314929999999997E-4</v>
      </c>
      <c r="AA3178">
        <v>0.99912290000000004</v>
      </c>
      <c r="AB3178">
        <v>35</v>
      </c>
      <c r="AC3178">
        <v>-134.16650000000001</v>
      </c>
      <c r="AD3178">
        <v>0.26235699999999901</v>
      </c>
      <c r="AE3178">
        <v>-6.2255999999999796</v>
      </c>
      <c r="AF3178">
        <v>-5.63119027184492</v>
      </c>
      <c r="AG3178">
        <v>0.26235699999999901</v>
      </c>
      <c r="AH3178">
        <v>134.192249597841</v>
      </c>
      <c r="AI3178">
        <v>89.888080630489199</v>
      </c>
      <c r="AJ3178">
        <v>92.402927526400205</v>
      </c>
      <c r="AK3178">
        <v>134.31060638386799</v>
      </c>
      <c r="AL3178">
        <v>79.216507706546295</v>
      </c>
      <c r="AM3178">
        <v>96.573667070113999</v>
      </c>
      <c r="AN3178">
        <v>1.00000001993986</v>
      </c>
    </row>
    <row r="3179" spans="1:40" x14ac:dyDescent="0.25">
      <c r="A3179" t="str">
        <f>"20190304154819269"</f>
        <v>20190304154819269</v>
      </c>
      <c r="B3179" t="str">
        <f>"1551685699259355"</f>
        <v>1551685699259355</v>
      </c>
      <c r="C3179" t="s">
        <v>40</v>
      </c>
      <c r="D3179">
        <v>3.9803099999999998</v>
      </c>
      <c r="E3179">
        <v>0.52404790000000001</v>
      </c>
      <c r="F3179" t="s">
        <v>62</v>
      </c>
      <c r="G3179">
        <v>-551.06230000000005</v>
      </c>
      <c r="H3179">
        <v>1.378727</v>
      </c>
      <c r="I3179">
        <v>278.79320000000001</v>
      </c>
      <c r="J3179">
        <v>-417.0899</v>
      </c>
      <c r="K3179">
        <v>1.110552</v>
      </c>
      <c r="L3179">
        <v>285.23719999999997</v>
      </c>
      <c r="M3179">
        <v>-0.99989779999999995</v>
      </c>
      <c r="N3179">
        <v>-1.360923E-2</v>
      </c>
      <c r="O3179">
        <v>-4.4067050000000003E-3</v>
      </c>
      <c r="P3179">
        <v>-0.9777806</v>
      </c>
      <c r="Q3179">
        <v>0.17401620000000001</v>
      </c>
      <c r="R3179">
        <v>-0.1168923</v>
      </c>
      <c r="S3179">
        <v>-3.0494379999999999</v>
      </c>
      <c r="T3179">
        <v>6.0970779999999997E-3</v>
      </c>
      <c r="U3179">
        <v>-0.14648439999999999</v>
      </c>
      <c r="V3179">
        <v>-0.1125568</v>
      </c>
      <c r="W3179">
        <v>0.18732879999999999</v>
      </c>
      <c r="X3179">
        <v>0.97582729999999995</v>
      </c>
      <c r="Y3179">
        <v>-4.3579729999999997E-2</v>
      </c>
      <c r="Z3179">
        <v>-3.219311E-4</v>
      </c>
      <c r="AA3179">
        <v>0.99904990000000005</v>
      </c>
      <c r="AB3179">
        <v>35</v>
      </c>
      <c r="AC3179">
        <v>-133.97239999999999</v>
      </c>
      <c r="AD3179">
        <v>0.268175</v>
      </c>
      <c r="AE3179">
        <v>-6.4439999999999502</v>
      </c>
      <c r="AF3179">
        <v>-5.8534825662336196</v>
      </c>
      <c r="AG3179">
        <v>0.268175</v>
      </c>
      <c r="AH3179">
        <v>133.998962700492</v>
      </c>
      <c r="AI3179">
        <v>89.885442127602403</v>
      </c>
      <c r="AJ3179">
        <v>92.501263881310393</v>
      </c>
      <c r="AK3179">
        <v>134.12701883212</v>
      </c>
      <c r="AL3179">
        <v>79.203063279402897</v>
      </c>
      <c r="AM3179">
        <v>96.579704677570305</v>
      </c>
      <c r="AN3179">
        <v>1.0000000159804801</v>
      </c>
    </row>
    <row r="3180" spans="1:40" x14ac:dyDescent="0.25">
      <c r="A3180" t="str">
        <f>"20190304154819283"</f>
        <v>20190304154819283</v>
      </c>
      <c r="B3180" t="str">
        <f>"1551685699279851"</f>
        <v>1551685699279851</v>
      </c>
      <c r="C3180" t="s">
        <v>40</v>
      </c>
      <c r="D3180">
        <v>3.9704259999999998</v>
      </c>
      <c r="E3180">
        <v>0.52328809999999903</v>
      </c>
      <c r="F3180" t="s">
        <v>62</v>
      </c>
      <c r="G3180">
        <v>-551.06230000000005</v>
      </c>
      <c r="H3180">
        <v>1.3789929999999999</v>
      </c>
      <c r="I3180">
        <v>278.61320000000001</v>
      </c>
      <c r="J3180">
        <v>-417.29410000000001</v>
      </c>
      <c r="K3180">
        <v>1.110555</v>
      </c>
      <c r="L3180">
        <v>285.2364</v>
      </c>
      <c r="M3180">
        <v>-0.99989779999999995</v>
      </c>
      <c r="N3180">
        <v>-1.360779E-2</v>
      </c>
      <c r="O3180">
        <v>-4.3827359999999999E-3</v>
      </c>
      <c r="P3180">
        <v>-0.97778739999999997</v>
      </c>
      <c r="Q3180">
        <v>0.1741724</v>
      </c>
      <c r="R3180">
        <v>-0.11659990000000001</v>
      </c>
      <c r="S3180">
        <v>-3.0490719999999998</v>
      </c>
      <c r="T3180">
        <v>6.1112639999999999E-3</v>
      </c>
      <c r="U3180">
        <v>-0.1507568</v>
      </c>
      <c r="V3180">
        <v>-0.1122882</v>
      </c>
      <c r="W3180">
        <v>0.18748380000000001</v>
      </c>
      <c r="X3180">
        <v>0.97582849999999999</v>
      </c>
      <c r="Y3180">
        <v>-4.5005969999999999E-2</v>
      </c>
      <c r="Z3180">
        <v>-3.2972589999999999E-4</v>
      </c>
      <c r="AA3180">
        <v>0.99898670000000001</v>
      </c>
      <c r="AB3180">
        <v>35</v>
      </c>
      <c r="AC3180">
        <v>-133.76820000000001</v>
      </c>
      <c r="AD3180">
        <v>0.26843800000000001</v>
      </c>
      <c r="AE3180">
        <v>-6.62319999999999</v>
      </c>
      <c r="AF3180">
        <v>-6.0367871302478902</v>
      </c>
      <c r="AG3180">
        <v>0.26843800000000001</v>
      </c>
      <c r="AH3180">
        <v>133.79540796893099</v>
      </c>
      <c r="AI3180">
        <v>89.885162633614996</v>
      </c>
      <c r="AJ3180">
        <v>92.583407033385001</v>
      </c>
      <c r="AK3180">
        <v>133.931796267311</v>
      </c>
      <c r="AL3180">
        <v>79.194022492841995</v>
      </c>
      <c r="AM3180">
        <v>96.564132385876803</v>
      </c>
      <c r="AN3180">
        <v>1.00000003826696</v>
      </c>
    </row>
    <row r="3181" spans="1:40" x14ac:dyDescent="0.25">
      <c r="A3181" t="str">
        <f>"20190304154819296"</f>
        <v>20190304154819296</v>
      </c>
      <c r="B3181" t="str">
        <f>"1551685699289611"</f>
        <v>1551685699289611</v>
      </c>
      <c r="C3181" t="s">
        <v>40</v>
      </c>
      <c r="D3181">
        <v>3.9667620000000001</v>
      </c>
      <c r="E3181">
        <v>0.52316799999999997</v>
      </c>
      <c r="F3181" t="s">
        <v>62</v>
      </c>
      <c r="G3181">
        <v>-551.06230000000005</v>
      </c>
      <c r="H3181">
        <v>1.3703459999999901</v>
      </c>
      <c r="I3181">
        <v>278.38679999999999</v>
      </c>
      <c r="J3181">
        <v>-417.50470000000001</v>
      </c>
      <c r="K3181">
        <v>1.110555</v>
      </c>
      <c r="L3181">
        <v>285.2355</v>
      </c>
      <c r="M3181">
        <v>-0.99989799999999995</v>
      </c>
      <c r="N3181">
        <v>-1.360632E-2</v>
      </c>
      <c r="O3181">
        <v>-4.3580509999999999E-3</v>
      </c>
      <c r="P3181">
        <v>-0.97781119999999999</v>
      </c>
      <c r="Q3181">
        <v>0.1739446</v>
      </c>
      <c r="R3181">
        <v>-0.11674130000000001</v>
      </c>
      <c r="S3181">
        <v>-3.048492</v>
      </c>
      <c r="T3181">
        <v>5.9223180000000002E-3</v>
      </c>
      <c r="U3181">
        <v>-0.1560974</v>
      </c>
      <c r="V3181">
        <v>-0.1124537</v>
      </c>
      <c r="W3181">
        <v>0.1872548</v>
      </c>
      <c r="X3181">
        <v>0.97585339999999998</v>
      </c>
      <c r="Y3181">
        <v>-4.6785609999999998E-2</v>
      </c>
      <c r="Z3181">
        <v>-3.4081879999999897E-4</v>
      </c>
      <c r="AA3181">
        <v>0.99890489999999998</v>
      </c>
      <c r="AB3181">
        <v>35</v>
      </c>
      <c r="AC3181">
        <v>-133.55760000000001</v>
      </c>
      <c r="AD3181">
        <v>0.25979099999999899</v>
      </c>
      <c r="AE3181">
        <v>-6.8487</v>
      </c>
      <c r="AF3181">
        <v>-6.2665066236979303</v>
      </c>
      <c r="AG3181">
        <v>0.25979099999999899</v>
      </c>
      <c r="AH3181">
        <v>133.58567708486501</v>
      </c>
      <c r="AI3181">
        <v>89.888696460999896</v>
      </c>
      <c r="AJ3181">
        <v>92.685777186741007</v>
      </c>
      <c r="AK3181">
        <v>133.732829622536</v>
      </c>
      <c r="AL3181">
        <v>79.207379661498905</v>
      </c>
      <c r="AM3181">
        <v>96.573556281334803</v>
      </c>
      <c r="AN3181">
        <v>1.00000002652914</v>
      </c>
    </row>
    <row r="3182" spans="1:40" x14ac:dyDescent="0.25">
      <c r="A3182" t="str">
        <f>"20190304154819309"</f>
        <v>20190304154819309</v>
      </c>
      <c r="B3182" t="str">
        <f>"1551685699299371"</f>
        <v>1551685699299371</v>
      </c>
      <c r="C3182" t="s">
        <v>40</v>
      </c>
      <c r="D3182">
        <v>3.9133209999999998</v>
      </c>
      <c r="E3182">
        <v>0.52305879999999905</v>
      </c>
      <c r="F3182" t="s">
        <v>62</v>
      </c>
      <c r="G3182">
        <v>-551.06230000000005</v>
      </c>
      <c r="H3182">
        <v>1.3132490000000001</v>
      </c>
      <c r="I3182">
        <v>278.33370000000002</v>
      </c>
      <c r="J3182">
        <v>-417.71230000000003</v>
      </c>
      <c r="K3182">
        <v>1.1105510000000001</v>
      </c>
      <c r="L3182">
        <v>285.2346</v>
      </c>
      <c r="M3182">
        <v>-0.99989819999999996</v>
      </c>
      <c r="N3182">
        <v>-1.360487E-2</v>
      </c>
      <c r="O3182">
        <v>-4.3338430000000004E-3</v>
      </c>
      <c r="P3182">
        <v>-0.97787020000000002</v>
      </c>
      <c r="Q3182">
        <v>0.17380909999999999</v>
      </c>
      <c r="R3182">
        <v>-0.1164506</v>
      </c>
      <c r="S3182">
        <v>-3.0484309999999999</v>
      </c>
      <c r="T3182">
        <v>4.6283009999999996E-3</v>
      </c>
      <c r="U3182">
        <v>-0.1575317</v>
      </c>
      <c r="V3182">
        <v>-0.1121863</v>
      </c>
      <c r="W3182">
        <v>0.18711849999999999</v>
      </c>
      <c r="X3182">
        <v>0.97591030000000001</v>
      </c>
      <c r="Y3182">
        <v>-4.7279439999999999E-2</v>
      </c>
      <c r="Z3182">
        <v>-3.5147740000000002E-4</v>
      </c>
      <c r="AA3182">
        <v>0.99888160000000004</v>
      </c>
      <c r="AB3182">
        <v>35</v>
      </c>
      <c r="AC3182">
        <v>-133.35</v>
      </c>
      <c r="AD3182">
        <v>0.20269799999999899</v>
      </c>
      <c r="AE3182">
        <v>-6.9008999999999698</v>
      </c>
      <c r="AF3182">
        <v>-6.3228492373126102</v>
      </c>
      <c r="AG3182">
        <v>0.20269799999999899</v>
      </c>
      <c r="AH3182">
        <v>133.37835028840999</v>
      </c>
      <c r="AI3182">
        <v>89.913024090213199</v>
      </c>
      <c r="AJ3182">
        <v>92.714095396674296</v>
      </c>
      <c r="AK3182">
        <v>133.52828851825601</v>
      </c>
      <c r="AL3182">
        <v>79.215329375382694</v>
      </c>
      <c r="AM3182">
        <v>96.557682525904198</v>
      </c>
      <c r="AN3182">
        <v>1.0000000062980099</v>
      </c>
    </row>
    <row r="3183" spans="1:40" x14ac:dyDescent="0.25">
      <c r="A3183" t="str">
        <f>"20190304154819393"</f>
        <v>20190304154819393</v>
      </c>
      <c r="B3183" t="str">
        <f>"1551685699390139"</f>
        <v>1551685699390139</v>
      </c>
      <c r="C3183" t="s">
        <v>40</v>
      </c>
      <c r="D3183">
        <v>3.7436069999999999</v>
      </c>
      <c r="E3183">
        <v>0.52403739999999999</v>
      </c>
      <c r="F3183" t="s">
        <v>62</v>
      </c>
      <c r="G3183">
        <v>-551.06230000000005</v>
      </c>
      <c r="H3183">
        <v>1.29194599999999</v>
      </c>
      <c r="I3183">
        <v>278.34890000000001</v>
      </c>
      <c r="J3183">
        <v>-418.9932</v>
      </c>
      <c r="K3183">
        <v>1.110562</v>
      </c>
      <c r="L3183">
        <v>285.22919999999999</v>
      </c>
      <c r="M3183">
        <v>-0.99989879999999998</v>
      </c>
      <c r="N3183">
        <v>-1.3595909999999999E-2</v>
      </c>
      <c r="O3183">
        <v>-4.1841869999999998E-3</v>
      </c>
      <c r="P3183">
        <v>-0.97813269999999997</v>
      </c>
      <c r="Q3183">
        <v>0.17196110000000001</v>
      </c>
      <c r="R3183">
        <v>-0.1169866</v>
      </c>
      <c r="S3183">
        <v>-3.0484309999999999</v>
      </c>
      <c r="T3183">
        <v>4.1486020000000004E-3</v>
      </c>
      <c r="U3183">
        <v>-0.15740970000000001</v>
      </c>
      <c r="V3183">
        <v>-0.11286789999999899</v>
      </c>
      <c r="W3183">
        <v>0.1852656</v>
      </c>
      <c r="X3183">
        <v>0.97618519999999998</v>
      </c>
      <c r="Y3183">
        <v>-4.7388989999999999E-2</v>
      </c>
      <c r="Z3183">
        <v>-3.5269629999999999E-4</v>
      </c>
      <c r="AA3183">
        <v>0.99887649999999994</v>
      </c>
      <c r="AB3183">
        <v>34</v>
      </c>
      <c r="AC3183">
        <v>-132.06909999999999</v>
      </c>
      <c r="AD3183">
        <v>0.18138399999999899</v>
      </c>
      <c r="AE3183">
        <v>-6.8802999999999699</v>
      </c>
      <c r="AF3183">
        <v>-6.3275749559011896</v>
      </c>
      <c r="AG3183">
        <v>0.18138399999999899</v>
      </c>
      <c r="AH3183">
        <v>132.096486319478</v>
      </c>
      <c r="AI3183">
        <v>89.921416314835398</v>
      </c>
      <c r="AJ3183">
        <v>92.742438068972405</v>
      </c>
      <c r="AK3183">
        <v>132.24807296490201</v>
      </c>
      <c r="AL3183">
        <v>79.323382424743201</v>
      </c>
      <c r="AM3183">
        <v>96.595332833611906</v>
      </c>
      <c r="AN3183">
        <v>1.0000000250464001</v>
      </c>
    </row>
    <row r="3184" spans="1:40" x14ac:dyDescent="0.25">
      <c r="A3184" t="str">
        <f>"20190304154819405"</f>
        <v>20190304154819405</v>
      </c>
      <c r="B3184" t="str">
        <f>"1551685699399899"</f>
        <v>1551685699399899</v>
      </c>
      <c r="C3184" t="s">
        <v>40</v>
      </c>
      <c r="D3184">
        <v>4.124803</v>
      </c>
      <c r="E3184">
        <v>0.52467450000000004</v>
      </c>
      <c r="F3184" t="s">
        <v>62</v>
      </c>
      <c r="G3184">
        <v>-551.06200000000001</v>
      </c>
      <c r="H3184">
        <v>0.33516230000000002</v>
      </c>
      <c r="I3184">
        <v>278.72710000000001</v>
      </c>
      <c r="J3184">
        <v>-419.1918</v>
      </c>
      <c r="K3184">
        <v>1.110562</v>
      </c>
      <c r="L3184">
        <v>285.22840000000002</v>
      </c>
      <c r="M3184">
        <v>-0.99989899999999998</v>
      </c>
      <c r="N3184">
        <v>-1.3594530000000001E-2</v>
      </c>
      <c r="O3184">
        <v>-4.160698E-3</v>
      </c>
      <c r="P3184">
        <v>-0.97817310000000002</v>
      </c>
      <c r="Q3184">
        <v>0.17159289999999999</v>
      </c>
      <c r="R3184">
        <v>-0.1171905</v>
      </c>
      <c r="S3184">
        <v>-3.052216</v>
      </c>
      <c r="T3184">
        <v>-1.791823E-2</v>
      </c>
      <c r="U3184">
        <v>-0.1502686</v>
      </c>
      <c r="V3184">
        <v>-0.1130946</v>
      </c>
      <c r="W3184">
        <v>0.18489630000000001</v>
      </c>
      <c r="X3184">
        <v>0.97622900000000001</v>
      </c>
      <c r="Y3184">
        <v>-4.5014140000000001E-2</v>
      </c>
      <c r="Z3184">
        <v>-4.7035240000000003E-4</v>
      </c>
      <c r="AA3184">
        <v>0.99898620000000005</v>
      </c>
      <c r="AB3184">
        <v>34</v>
      </c>
      <c r="AC3184">
        <v>-131.87020000000001</v>
      </c>
      <c r="AD3184">
        <v>-0.77539969999999903</v>
      </c>
      <c r="AE3184">
        <v>-6.5013000000000103</v>
      </c>
      <c r="AF3184">
        <v>-5.9523156673783397</v>
      </c>
      <c r="AG3184">
        <v>-0.77539969999999903</v>
      </c>
      <c r="AH3184">
        <v>131.89156174958899</v>
      </c>
      <c r="AI3184">
        <v>90.336499506677697</v>
      </c>
      <c r="AJ3184">
        <v>92.584026639174198</v>
      </c>
      <c r="AK3184">
        <v>132.028085524424</v>
      </c>
      <c r="AL3184">
        <v>79.344913965456897</v>
      </c>
      <c r="AM3184">
        <v>96.608168908148997</v>
      </c>
      <c r="AN3184">
        <v>1.00000004537192</v>
      </c>
    </row>
    <row r="3185" spans="1:40" x14ac:dyDescent="0.25">
      <c r="A3185" t="str">
        <f>"20190304154819418"</f>
        <v>20190304154819418</v>
      </c>
      <c r="B3185" t="str">
        <f>"1551685699409660"</f>
        <v>1551685699409660</v>
      </c>
      <c r="C3185" t="s">
        <v>40</v>
      </c>
      <c r="D3185">
        <v>3.894279</v>
      </c>
      <c r="E3185">
        <v>0.52500950000000002</v>
      </c>
      <c r="F3185" t="s">
        <v>62</v>
      </c>
      <c r="G3185">
        <v>-551.06200000000001</v>
      </c>
      <c r="H3185">
        <v>0.2347233</v>
      </c>
      <c r="I3185">
        <v>278.93299999999999</v>
      </c>
      <c r="J3185">
        <v>-419.38380000000001</v>
      </c>
      <c r="K3185">
        <v>1.110562</v>
      </c>
      <c r="L3185">
        <v>285.22770000000003</v>
      </c>
      <c r="M3185">
        <v>-0.99989899999999998</v>
      </c>
      <c r="N3185">
        <v>-1.359317E-2</v>
      </c>
      <c r="O3185">
        <v>-4.1381600000000001E-3</v>
      </c>
      <c r="P3185">
        <v>-0.97820969999999996</v>
      </c>
      <c r="Q3185">
        <v>0.17148720000000001</v>
      </c>
      <c r="R3185">
        <v>-0.1170388</v>
      </c>
      <c r="S3185">
        <v>-3.05307</v>
      </c>
      <c r="T3185">
        <v>-2.027559E-2</v>
      </c>
      <c r="U3185">
        <v>-0.14575199999999999</v>
      </c>
      <c r="V3185">
        <v>-0.1129652</v>
      </c>
      <c r="W3185">
        <v>0.18478939999999999</v>
      </c>
      <c r="X3185">
        <v>0.97626420000000003</v>
      </c>
      <c r="Y3185">
        <v>-4.3548099999999999E-2</v>
      </c>
      <c r="Z3185">
        <v>-4.6944759999999999E-4</v>
      </c>
      <c r="AA3185">
        <v>0.99905120000000003</v>
      </c>
      <c r="AB3185">
        <v>34</v>
      </c>
      <c r="AC3185">
        <v>-131.6782</v>
      </c>
      <c r="AD3185">
        <v>-0.87583869999999997</v>
      </c>
      <c r="AE3185">
        <v>-6.2947000000000299</v>
      </c>
      <c r="AF3185">
        <v>-5.7494364809457297</v>
      </c>
      <c r="AG3185">
        <v>-0.87583869999999997</v>
      </c>
      <c r="AH3185">
        <v>131.697310140323</v>
      </c>
      <c r="AI3185">
        <v>90.380671185485099</v>
      </c>
      <c r="AJ3185">
        <v>92.499742824337503</v>
      </c>
      <c r="AK3185">
        <v>131.82565991290599</v>
      </c>
      <c r="AL3185">
        <v>79.351146042837399</v>
      </c>
      <c r="AM3185">
        <v>96.600438873057797</v>
      </c>
      <c r="AN3185">
        <v>1.0000000234825099</v>
      </c>
    </row>
    <row r="3186" spans="1:40" x14ac:dyDescent="0.25">
      <c r="A3186" t="str">
        <f>"20190304154819430"</f>
        <v>20190304154819430</v>
      </c>
      <c r="B3186" t="str">
        <f>"1551685699419419"</f>
        <v>1551685699419419</v>
      </c>
      <c r="C3186" t="s">
        <v>40</v>
      </c>
      <c r="D3186">
        <v>3.921306</v>
      </c>
      <c r="E3186">
        <v>0.52556910000000001</v>
      </c>
      <c r="F3186" t="s">
        <v>62</v>
      </c>
      <c r="G3186">
        <v>-551.06200000000001</v>
      </c>
      <c r="H3186">
        <v>0.29116609999999998</v>
      </c>
      <c r="I3186">
        <v>279.07429999999999</v>
      </c>
      <c r="J3186">
        <v>-419.57119999999998</v>
      </c>
      <c r="K3186">
        <v>1.110563</v>
      </c>
      <c r="L3186">
        <v>285.2269</v>
      </c>
      <c r="M3186">
        <v>-0.99989919999999999</v>
      </c>
      <c r="N3186">
        <v>-1.3591850000000001E-2</v>
      </c>
      <c r="O3186">
        <v>-4.1165719999999998E-3</v>
      </c>
      <c r="P3186">
        <v>-0.978244</v>
      </c>
      <c r="Q3186">
        <v>0.17126350000000001</v>
      </c>
      <c r="R3186">
        <v>-0.1170798</v>
      </c>
      <c r="S3186">
        <v>-3.05307</v>
      </c>
      <c r="T3186">
        <v>-1.899648E-2</v>
      </c>
      <c r="U3186">
        <v>-0.14266970000000001</v>
      </c>
      <c r="V3186">
        <v>-0.1130268</v>
      </c>
      <c r="W3186">
        <v>0.18456500000000001</v>
      </c>
      <c r="X3186">
        <v>0.97629949999999999</v>
      </c>
      <c r="Y3186">
        <v>-4.25636E-2</v>
      </c>
      <c r="Z3186">
        <v>-4.5211019999999999E-4</v>
      </c>
      <c r="AA3186">
        <v>0.99909369999999997</v>
      </c>
      <c r="AB3186">
        <v>34</v>
      </c>
      <c r="AC3186">
        <v>-131.49080000000001</v>
      </c>
      <c r="AD3186">
        <v>-0.81939689999999998</v>
      </c>
      <c r="AE3186">
        <v>-6.1525999999999996</v>
      </c>
      <c r="AF3186">
        <v>-5.6109891191886403</v>
      </c>
      <c r="AG3186">
        <v>-0.81939689999999998</v>
      </c>
      <c r="AH3186">
        <v>131.50991988435001</v>
      </c>
      <c r="AI3186">
        <v>90.356662866089295</v>
      </c>
      <c r="AJ3186">
        <v>92.443094277906496</v>
      </c>
      <c r="AK3186">
        <v>131.632114767497</v>
      </c>
      <c r="AL3186">
        <v>79.364228042816094</v>
      </c>
      <c r="AM3186">
        <v>96.603769640725702</v>
      </c>
      <c r="AN3186">
        <v>1.0000000052217399</v>
      </c>
    </row>
    <row r="3187" spans="1:40" x14ac:dyDescent="0.25">
      <c r="A3187" t="str">
        <f>"20190304154819443"</f>
        <v>20190304154819443</v>
      </c>
      <c r="B3187" t="str">
        <f>"1551685699439915"</f>
        <v>1551685699439915</v>
      </c>
      <c r="C3187" t="s">
        <v>40</v>
      </c>
      <c r="D3187">
        <v>3.9573489999999998</v>
      </c>
      <c r="E3187">
        <v>0.52580769999999899</v>
      </c>
      <c r="F3187" t="s">
        <v>62</v>
      </c>
      <c r="G3187">
        <v>-551.06200000000001</v>
      </c>
      <c r="H3187">
        <v>0.44356069999999997</v>
      </c>
      <c r="I3187">
        <v>279.26729999999998</v>
      </c>
      <c r="J3187">
        <v>-419.7645</v>
      </c>
      <c r="K3187">
        <v>1.110563</v>
      </c>
      <c r="L3187">
        <v>285.22609999999997</v>
      </c>
      <c r="M3187">
        <v>-0.99989930000000005</v>
      </c>
      <c r="N3187">
        <v>-1.359052E-2</v>
      </c>
      <c r="O3187">
        <v>-4.0939160000000004E-3</v>
      </c>
      <c r="P3187">
        <v>-0.97819469999999997</v>
      </c>
      <c r="Q3187">
        <v>0.17142850000000001</v>
      </c>
      <c r="R3187">
        <v>-0.1172488</v>
      </c>
      <c r="S3187">
        <v>-3.0528870000000001</v>
      </c>
      <c r="T3187">
        <v>-1.548421E-2</v>
      </c>
      <c r="U3187">
        <v>-0.13836670000000001</v>
      </c>
      <c r="V3187">
        <v>-0.11321879999999999</v>
      </c>
      <c r="W3187">
        <v>0.18472849999999999</v>
      </c>
      <c r="X3187">
        <v>0.97624630000000001</v>
      </c>
      <c r="Y3187">
        <v>-4.1184480000000002E-2</v>
      </c>
      <c r="Z3187">
        <v>-4.1927320000000002E-4</v>
      </c>
      <c r="AA3187">
        <v>0.99915149999999997</v>
      </c>
      <c r="AB3187">
        <v>34</v>
      </c>
      <c r="AC3187">
        <v>-131.29750000000001</v>
      </c>
      <c r="AD3187">
        <v>-0.66700230000000005</v>
      </c>
      <c r="AE3187">
        <v>-5.9587999999999903</v>
      </c>
      <c r="AF3187">
        <v>-5.4210398767607799</v>
      </c>
      <c r="AG3187">
        <v>-0.66700230000000005</v>
      </c>
      <c r="AH3187">
        <v>131.317414612763</v>
      </c>
      <c r="AI3187">
        <v>90.290773058335404</v>
      </c>
      <c r="AJ3187">
        <v>92.363939646400993</v>
      </c>
      <c r="AK3187">
        <v>131.43095505242999</v>
      </c>
      <c r="AL3187">
        <v>79.354695978048994</v>
      </c>
      <c r="AM3187">
        <v>96.615245489987899</v>
      </c>
      <c r="AN3187">
        <v>0.999999976824689</v>
      </c>
    </row>
    <row r="3188" spans="1:40" x14ac:dyDescent="0.25">
      <c r="A3188" t="str">
        <f>"20190304154819469"</f>
        <v>20190304154819469</v>
      </c>
      <c r="B3188" t="str">
        <f>"1551685699459435"</f>
        <v>1551685699459435</v>
      </c>
      <c r="C3188" t="s">
        <v>40</v>
      </c>
      <c r="D3188">
        <v>3.9527809999999999</v>
      </c>
      <c r="E3188">
        <v>0.5260823</v>
      </c>
      <c r="F3188" t="s">
        <v>62</v>
      </c>
      <c r="G3188">
        <v>-552.41959999999995</v>
      </c>
      <c r="H3188">
        <v>0.58937530000000005</v>
      </c>
      <c r="I3188">
        <v>279.27539999999999</v>
      </c>
      <c r="J3188">
        <v>-420.1592</v>
      </c>
      <c r="K3188">
        <v>1.110568</v>
      </c>
      <c r="L3188">
        <v>285.22449999999998</v>
      </c>
      <c r="M3188">
        <v>-0.9998996</v>
      </c>
      <c r="N3188">
        <v>-1.3587800000000001E-2</v>
      </c>
      <c r="O3188">
        <v>-4.0477680000000002E-3</v>
      </c>
      <c r="P3188">
        <v>-0.97809480000000004</v>
      </c>
      <c r="Q3188">
        <v>0.17223429999999901</v>
      </c>
      <c r="R3188">
        <v>-0.1169033</v>
      </c>
      <c r="S3188">
        <v>-3.0525509999999998</v>
      </c>
      <c r="T3188">
        <v>-1.199126E-2</v>
      </c>
      <c r="U3188">
        <v>-0.13693239999999901</v>
      </c>
      <c r="V3188">
        <v>-0.112918</v>
      </c>
      <c r="W3188">
        <v>0.18552979999999999</v>
      </c>
      <c r="X3188">
        <v>0.97612920000000003</v>
      </c>
      <c r="Y3188">
        <v>-4.0767619999999997E-2</v>
      </c>
      <c r="Z3188">
        <v>-3.9624529999999998E-4</v>
      </c>
      <c r="AA3188">
        <v>0.99916859999999996</v>
      </c>
      <c r="AB3188">
        <v>34</v>
      </c>
      <c r="AC3188">
        <v>-132.26039999999901</v>
      </c>
      <c r="AD3188">
        <v>-0.52119269999999995</v>
      </c>
      <c r="AE3188">
        <v>-5.9490999999999801</v>
      </c>
      <c r="AF3188">
        <v>-5.4135585751421997</v>
      </c>
      <c r="AG3188">
        <v>-0.52119269999999995</v>
      </c>
      <c r="AH3188">
        <v>132.28134906891199</v>
      </c>
      <c r="AI3188">
        <v>90.2255572126397</v>
      </c>
      <c r="AJ3188">
        <v>92.343497949304407</v>
      </c>
      <c r="AK3188">
        <v>132.39310242519599</v>
      </c>
      <c r="AL3188">
        <v>79.307977529426694</v>
      </c>
      <c r="AM3188">
        <v>96.598609771069306</v>
      </c>
      <c r="AN3188">
        <v>0.99999999825233998</v>
      </c>
    </row>
    <row r="3189" spans="1:40" x14ac:dyDescent="0.25">
      <c r="A3189" t="str">
        <f>"20190304154819490"</f>
        <v>20190304154819490</v>
      </c>
      <c r="B3189" t="str">
        <f>"1551685699479931"</f>
        <v>1551685699479931</v>
      </c>
      <c r="C3189" t="s">
        <v>40</v>
      </c>
      <c r="D3189">
        <v>3.976972</v>
      </c>
      <c r="E3189">
        <v>0.5266303</v>
      </c>
      <c r="F3189" t="s">
        <v>42</v>
      </c>
      <c r="G3189">
        <v>0</v>
      </c>
      <c r="H3189">
        <v>0</v>
      </c>
      <c r="I3189">
        <v>0</v>
      </c>
      <c r="J3189">
        <v>-420.49079999999998</v>
      </c>
      <c r="K3189">
        <v>1.110568</v>
      </c>
      <c r="L3189">
        <v>285.22329999999999</v>
      </c>
      <c r="M3189">
        <v>-0.99989969999999995</v>
      </c>
      <c r="N3189">
        <v>-1.358552E-2</v>
      </c>
      <c r="O3189">
        <v>-4.0088930000000004E-3</v>
      </c>
      <c r="P3189">
        <v>-0.97806579999999999</v>
      </c>
      <c r="Q3189">
        <v>0.1726626</v>
      </c>
      <c r="R3189">
        <v>-0.1165122</v>
      </c>
      <c r="S3189">
        <v>-3.05246</v>
      </c>
      <c r="T3189">
        <v>-7.0974829999999999E-3</v>
      </c>
      <c r="U3189">
        <v>-0.133606</v>
      </c>
      <c r="V3189">
        <v>-0.1125657</v>
      </c>
      <c r="W3189">
        <v>0.18595519999999999</v>
      </c>
      <c r="X3189">
        <v>0.97608890000000004</v>
      </c>
      <c r="Y3189">
        <v>-3.9721800000000002E-2</v>
      </c>
      <c r="Z3189">
        <v>-3.6124680000000002E-4</v>
      </c>
      <c r="AA3189">
        <v>0.99921070000000001</v>
      </c>
      <c r="AB3189">
        <v>34</v>
      </c>
      <c r="AC3189">
        <v>-3.05246</v>
      </c>
      <c r="AD3189">
        <v>-7.0974829999999999E-3</v>
      </c>
      <c r="AE3189">
        <v>-0.133606</v>
      </c>
      <c r="AF3189">
        <v>-0.121366156631947</v>
      </c>
      <c r="AG3189">
        <v>-7.0974829999999999E-3</v>
      </c>
      <c r="AH3189">
        <v>3.0529546546167299</v>
      </c>
      <c r="AI3189">
        <v>90.133095373616996</v>
      </c>
      <c r="AJ3189">
        <v>92.276518870059803</v>
      </c>
      <c r="AK3189">
        <v>3.0553743209934998</v>
      </c>
      <c r="AL3189">
        <v>79.283171806737101</v>
      </c>
      <c r="AM3189">
        <v>96.578472286118</v>
      </c>
      <c r="AN3189">
        <v>0.99999995696336896</v>
      </c>
    </row>
    <row r="3190" spans="1:40" x14ac:dyDescent="0.25">
      <c r="A3190" t="str">
        <f>"20190304154819514"</f>
        <v>20190304154819514</v>
      </c>
      <c r="B3190" t="str">
        <f>"1551685699510187"</f>
        <v>1551685699510187</v>
      </c>
      <c r="C3190" t="s">
        <v>40</v>
      </c>
      <c r="D3190">
        <v>4.0201269999999996</v>
      </c>
      <c r="E3190">
        <v>0.52731159999999999</v>
      </c>
      <c r="F3190" t="s">
        <v>42</v>
      </c>
      <c r="G3190">
        <v>0</v>
      </c>
      <c r="H3190">
        <v>0</v>
      </c>
      <c r="I3190">
        <v>0</v>
      </c>
      <c r="J3190">
        <v>-420.83609999999999</v>
      </c>
      <c r="K3190">
        <v>1.1105700000000001</v>
      </c>
      <c r="L3190">
        <v>285.22190000000001</v>
      </c>
      <c r="M3190">
        <v>-0.99989989999999995</v>
      </c>
      <c r="N3190">
        <v>-1.358315E-2</v>
      </c>
      <c r="O3190">
        <v>-3.9684739999999996E-3</v>
      </c>
      <c r="P3190">
        <v>-0.97786589999999995</v>
      </c>
      <c r="Q3190">
        <v>0.17362949999999999</v>
      </c>
      <c r="R3190">
        <v>-0.1167521</v>
      </c>
      <c r="S3190">
        <v>-3.0522770000000001</v>
      </c>
      <c r="T3190">
        <v>-1.505494E-3</v>
      </c>
      <c r="U3190">
        <v>-0.12829589999999999</v>
      </c>
      <c r="V3190">
        <v>-0.1128454</v>
      </c>
      <c r="W3190">
        <v>0.186917</v>
      </c>
      <c r="X3190">
        <v>0.97587290000000004</v>
      </c>
      <c r="Y3190">
        <v>-3.8030309999999998E-2</v>
      </c>
      <c r="Z3190">
        <v>-3.197149E-4</v>
      </c>
      <c r="AA3190">
        <v>0.99927650000000001</v>
      </c>
      <c r="AB3190">
        <v>34</v>
      </c>
      <c r="AC3190">
        <v>-3.0522770000000001</v>
      </c>
      <c r="AD3190">
        <v>-1.505494E-3</v>
      </c>
      <c r="AE3190">
        <v>-0.12829589999999999</v>
      </c>
      <c r="AF3190">
        <v>-0.116180862215401</v>
      </c>
      <c r="AG3190">
        <v>-1.505494E-3</v>
      </c>
      <c r="AH3190">
        <v>3.0527614051736802</v>
      </c>
      <c r="AI3190">
        <v>90.028235434741106</v>
      </c>
      <c r="AJ3190">
        <v>92.179489703808102</v>
      </c>
      <c r="AK3190">
        <v>3.0549717602909601</v>
      </c>
      <c r="AL3190">
        <v>79.227081575708397</v>
      </c>
      <c r="AM3190">
        <v>96.596121282683001</v>
      </c>
      <c r="AN3190">
        <v>0.99999998307228399</v>
      </c>
    </row>
    <row r="3191" spans="1:40" x14ac:dyDescent="0.25">
      <c r="A3191" t="str">
        <f>"20190304154819536"</f>
        <v>20190304154819536</v>
      </c>
      <c r="B3191" t="str">
        <f>"1551685699529707"</f>
        <v>1551685699529707</v>
      </c>
      <c r="C3191" t="s">
        <v>40</v>
      </c>
      <c r="D3191">
        <v>3.992686</v>
      </c>
      <c r="E3191">
        <v>0.52772089999999905</v>
      </c>
      <c r="F3191" t="s">
        <v>42</v>
      </c>
      <c r="G3191">
        <v>0</v>
      </c>
      <c r="H3191">
        <v>0</v>
      </c>
      <c r="I3191">
        <v>0</v>
      </c>
      <c r="J3191">
        <v>-421.1848</v>
      </c>
      <c r="K3191">
        <v>1.110568</v>
      </c>
      <c r="L3191">
        <v>285.22059999999999</v>
      </c>
      <c r="M3191">
        <v>-0.99990009999999996</v>
      </c>
      <c r="N3191">
        <v>-1.3580760000000001E-2</v>
      </c>
      <c r="O3191">
        <v>-3.9278059999999998E-3</v>
      </c>
      <c r="P3191">
        <v>-0.97788830000000004</v>
      </c>
      <c r="Q3191">
        <v>0.17369509999999999</v>
      </c>
      <c r="R3191">
        <v>-0.1164681</v>
      </c>
      <c r="S3191">
        <v>-3.0515439999999998</v>
      </c>
      <c r="T3191">
        <v>8.9019540000000001E-3</v>
      </c>
      <c r="U3191">
        <v>-0.12362670000000001</v>
      </c>
      <c r="V3191">
        <v>-0.1126016</v>
      </c>
      <c r="W3191">
        <v>0.18698029999999999</v>
      </c>
      <c r="X3191">
        <v>0.97588900000000001</v>
      </c>
      <c r="Y3191">
        <v>-3.655547E-2</v>
      </c>
      <c r="Z3191">
        <v>-2.5981609999999999E-4</v>
      </c>
      <c r="AA3191">
        <v>0.99933159999999999</v>
      </c>
      <c r="AB3191">
        <v>34</v>
      </c>
      <c r="AC3191">
        <v>-3.0515439999999998</v>
      </c>
      <c r="AD3191">
        <v>8.9019540000000001E-3</v>
      </c>
      <c r="AE3191">
        <v>-0.12362670000000001</v>
      </c>
      <c r="AF3191">
        <v>-0.111637819842793</v>
      </c>
      <c r="AG3191">
        <v>8.9019540000000001E-3</v>
      </c>
      <c r="AH3191">
        <v>3.0519801530349699</v>
      </c>
      <c r="AI3191">
        <v>89.832992993271105</v>
      </c>
      <c r="AJ3191">
        <v>92.094877775748401</v>
      </c>
      <c r="AK3191">
        <v>3.0540342339475601</v>
      </c>
      <c r="AL3191">
        <v>79.223390356204007</v>
      </c>
      <c r="AM3191">
        <v>96.581888052268894</v>
      </c>
      <c r="AN3191">
        <v>1.0000000466158201</v>
      </c>
    </row>
    <row r="3192" spans="1:40" x14ac:dyDescent="0.25">
      <c r="A3192" t="str">
        <f>"20190304154819558"</f>
        <v>20190304154819558</v>
      </c>
      <c r="B3192" t="str">
        <f>"1551685699550203"</f>
        <v>1551685699550203</v>
      </c>
      <c r="C3192" t="s">
        <v>40</v>
      </c>
      <c r="D3192">
        <v>3.9969739999999998</v>
      </c>
      <c r="E3192">
        <v>0.52811379999999997</v>
      </c>
      <c r="F3192" t="s">
        <v>42</v>
      </c>
      <c r="G3192">
        <v>0</v>
      </c>
      <c r="H3192">
        <v>0</v>
      </c>
      <c r="I3192">
        <v>0</v>
      </c>
      <c r="J3192">
        <v>-421.52100000000002</v>
      </c>
      <c r="K3192">
        <v>1.1105640000000001</v>
      </c>
      <c r="L3192">
        <v>285.21940000000001</v>
      </c>
      <c r="M3192">
        <v>-0.99990029999999996</v>
      </c>
      <c r="N3192">
        <v>-1.357849E-2</v>
      </c>
      <c r="O3192">
        <v>-3.8882169999999998E-3</v>
      </c>
      <c r="P3192">
        <v>-0.97795100000000001</v>
      </c>
      <c r="Q3192">
        <v>0.173364299999999</v>
      </c>
      <c r="R3192">
        <v>-0.1164338</v>
      </c>
      <c r="S3192">
        <v>-3.0512999999999999</v>
      </c>
      <c r="T3192">
        <v>1.2468699999999999E-2</v>
      </c>
      <c r="U3192">
        <v>-0.1201782</v>
      </c>
      <c r="V3192">
        <v>-0.1126056</v>
      </c>
      <c r="W3192">
        <v>0.18664819999999999</v>
      </c>
      <c r="X3192">
        <v>0.97595209999999999</v>
      </c>
      <c r="Y3192">
        <v>-3.5470830000000002E-2</v>
      </c>
      <c r="Z3192">
        <v>-2.3713759999999999E-4</v>
      </c>
      <c r="AA3192">
        <v>0.99937069999999995</v>
      </c>
      <c r="AB3192">
        <v>34</v>
      </c>
      <c r="AC3192">
        <v>-3.0512999999999999</v>
      </c>
      <c r="AD3192">
        <v>1.2468699999999999E-2</v>
      </c>
      <c r="AE3192">
        <v>-0.1201782</v>
      </c>
      <c r="AF3192">
        <v>-0.108310275796415</v>
      </c>
      <c r="AG3192">
        <v>1.2468699999999999E-2</v>
      </c>
      <c r="AH3192">
        <v>3.0516933733140199</v>
      </c>
      <c r="AI3192">
        <v>89.766047797696899</v>
      </c>
      <c r="AJ3192">
        <v>92.032680602172803</v>
      </c>
      <c r="AK3192">
        <v>3.05364029136561</v>
      </c>
      <c r="AL3192">
        <v>79.242759159556797</v>
      </c>
      <c r="AM3192">
        <v>96.581697980401898</v>
      </c>
      <c r="AN3192">
        <v>1.0000000366045001</v>
      </c>
    </row>
    <row r="3193" spans="1:40" x14ac:dyDescent="0.25">
      <c r="A3193" t="str">
        <f>"20190304154819579"</f>
        <v>20190304154819579</v>
      </c>
      <c r="B3193" t="str">
        <f>"1551685699569723"</f>
        <v>1551685699569723</v>
      </c>
      <c r="C3193" t="s">
        <v>40</v>
      </c>
      <c r="D3193">
        <v>4.2254959999999997</v>
      </c>
      <c r="E3193">
        <v>0.52763199999999999</v>
      </c>
      <c r="F3193" t="s">
        <v>42</v>
      </c>
      <c r="G3193">
        <v>0</v>
      </c>
      <c r="H3193">
        <v>0</v>
      </c>
      <c r="I3193">
        <v>0</v>
      </c>
      <c r="J3193">
        <v>-421.8578</v>
      </c>
      <c r="K3193">
        <v>1.1105640000000001</v>
      </c>
      <c r="L3193">
        <v>285.21800000000002</v>
      </c>
      <c r="M3193">
        <v>-0.99990049999999997</v>
      </c>
      <c r="N3193">
        <v>-1.357629E-2</v>
      </c>
      <c r="O3193">
        <v>-3.848747E-3</v>
      </c>
      <c r="P3193">
        <v>-0.97803830000000003</v>
      </c>
      <c r="Q3193">
        <v>0.1730034</v>
      </c>
      <c r="R3193">
        <v>-0.11623699999999999</v>
      </c>
      <c r="S3193">
        <v>-3.0512700000000001</v>
      </c>
      <c r="T3193">
        <v>1.3569589999999999E-2</v>
      </c>
      <c r="U3193">
        <v>-0.1173096</v>
      </c>
      <c r="V3193">
        <v>-0.1124473</v>
      </c>
      <c r="W3193">
        <v>0.18628649999999999</v>
      </c>
      <c r="X3193">
        <v>0.9760394</v>
      </c>
      <c r="Y3193">
        <v>-3.4572550000000001E-2</v>
      </c>
      <c r="Z3193">
        <v>-2.2727620000000001E-4</v>
      </c>
      <c r="AA3193">
        <v>0.99940220000000002</v>
      </c>
      <c r="AB3193">
        <v>34</v>
      </c>
      <c r="AC3193">
        <v>-3.0512700000000001</v>
      </c>
      <c r="AD3193">
        <v>1.3569589999999999E-2</v>
      </c>
      <c r="AE3193">
        <v>-0.1173096</v>
      </c>
      <c r="AF3193">
        <v>-0.105561998460024</v>
      </c>
      <c r="AG3193">
        <v>1.3569589999999999E-2</v>
      </c>
      <c r="AH3193">
        <v>3.0516386684855799</v>
      </c>
      <c r="AI3193">
        <v>89.745379300532704</v>
      </c>
      <c r="AJ3193">
        <v>91.981180253637504</v>
      </c>
      <c r="AK3193">
        <v>3.0534940694699402</v>
      </c>
      <c r="AL3193">
        <v>79.263852420047698</v>
      </c>
      <c r="AM3193">
        <v>96.571943771969202</v>
      </c>
      <c r="AN3193">
        <v>0.99999998285594904</v>
      </c>
    </row>
    <row r="3194" spans="1:40" x14ac:dyDescent="0.25">
      <c r="A3194" t="str">
        <f>"20190304154819602"</f>
        <v>20190304154819602</v>
      </c>
      <c r="B3194" t="str">
        <f>"1551685699599980"</f>
        <v>1551685699599980</v>
      </c>
      <c r="C3194" t="s">
        <v>40</v>
      </c>
      <c r="D3194">
        <v>4.0498570000000003</v>
      </c>
      <c r="E3194">
        <v>0.52738859999999999</v>
      </c>
      <c r="F3194" t="s">
        <v>42</v>
      </c>
      <c r="G3194">
        <v>0</v>
      </c>
      <c r="H3194">
        <v>0</v>
      </c>
      <c r="I3194">
        <v>0</v>
      </c>
      <c r="J3194">
        <v>-422.20400000000001</v>
      </c>
      <c r="K3194">
        <v>1.110563</v>
      </c>
      <c r="L3194">
        <v>285.21679999999998</v>
      </c>
      <c r="M3194">
        <v>-0.99990069999999998</v>
      </c>
      <c r="N3194">
        <v>-1.357409E-2</v>
      </c>
      <c r="O3194">
        <v>-3.8083219999999998E-3</v>
      </c>
      <c r="P3194">
        <v>-0.9781204</v>
      </c>
      <c r="Q3194">
        <v>0.17251529999999901</v>
      </c>
      <c r="R3194">
        <v>-0.1162721</v>
      </c>
      <c r="S3194">
        <v>-3.0509339999999998</v>
      </c>
      <c r="T3194">
        <v>1.212382E-2</v>
      </c>
      <c r="U3194">
        <v>-0.120147699999999</v>
      </c>
      <c r="V3194">
        <v>-0.1125216</v>
      </c>
      <c r="W3194">
        <v>0.1857973</v>
      </c>
      <c r="X3194">
        <v>0.97612410000000005</v>
      </c>
      <c r="Y3194">
        <v>-3.5545390000000003E-2</v>
      </c>
      <c r="Z3194">
        <v>-2.3755719999999999E-4</v>
      </c>
      <c r="AA3194">
        <v>0.99936800000000003</v>
      </c>
      <c r="AB3194">
        <v>34</v>
      </c>
      <c r="AC3194">
        <v>-3.0509339999999998</v>
      </c>
      <c r="AD3194">
        <v>1.212382E-2</v>
      </c>
      <c r="AE3194">
        <v>-0.120147699999999</v>
      </c>
      <c r="AF3194">
        <v>-0.108525108818155</v>
      </c>
      <c r="AG3194">
        <v>1.212382E-2</v>
      </c>
      <c r="AH3194">
        <v>3.0513213655491702</v>
      </c>
      <c r="AI3194">
        <v>89.772491636844194</v>
      </c>
      <c r="AJ3194">
        <v>92.036957124406996</v>
      </c>
      <c r="AK3194">
        <v>3.0532747603371999</v>
      </c>
      <c r="AL3194">
        <v>79.292379765095404</v>
      </c>
      <c r="AM3194">
        <v>96.575682550223604</v>
      </c>
      <c r="AN3194">
        <v>1.0000000028773299</v>
      </c>
    </row>
    <row r="3195" spans="1:40" x14ac:dyDescent="0.25">
      <c r="A3195" t="str">
        <f>"20190304154819625"</f>
        <v>20190304154819625</v>
      </c>
      <c r="B3195" t="str">
        <f>"1551685699620475"</f>
        <v>1551685699620475</v>
      </c>
      <c r="C3195" t="s">
        <v>40</v>
      </c>
      <c r="D3195">
        <v>4.0626419999999897</v>
      </c>
      <c r="E3195">
        <v>0.52769519999999903</v>
      </c>
      <c r="F3195" t="s">
        <v>42</v>
      </c>
      <c r="G3195">
        <v>0</v>
      </c>
      <c r="H3195">
        <v>0</v>
      </c>
      <c r="I3195">
        <v>0</v>
      </c>
      <c r="J3195">
        <v>-422.55029999999999</v>
      </c>
      <c r="K3195">
        <v>1.1105609999999999</v>
      </c>
      <c r="L3195">
        <v>285.21550000000002</v>
      </c>
      <c r="M3195">
        <v>-0.99990089999999998</v>
      </c>
      <c r="N3195">
        <v>-1.3571929999999999E-2</v>
      </c>
      <c r="O3195">
        <v>-3.7677779999999998E-3</v>
      </c>
      <c r="P3195">
        <v>-0.97818070000000001</v>
      </c>
      <c r="Q3195">
        <v>0.17249500000000001</v>
      </c>
      <c r="R3195">
        <v>-0.1157933</v>
      </c>
      <c r="S3195">
        <v>-3.0506899999999999</v>
      </c>
      <c r="T3195">
        <v>1.052117E-2</v>
      </c>
      <c r="U3195">
        <v>-0.1222839</v>
      </c>
      <c r="V3195">
        <v>-0.1120823</v>
      </c>
      <c r="W3195">
        <v>0.18577579999999999</v>
      </c>
      <c r="X3195">
        <v>0.97617869999999995</v>
      </c>
      <c r="Y3195">
        <v>-3.6287659999999999E-2</v>
      </c>
      <c r="Z3195">
        <v>-2.4791290000000002E-4</v>
      </c>
      <c r="AA3195">
        <v>0.99934140000000005</v>
      </c>
      <c r="AB3195">
        <v>34</v>
      </c>
      <c r="AC3195">
        <v>-3.0506899999999999</v>
      </c>
      <c r="AD3195">
        <v>1.052117E-2</v>
      </c>
      <c r="AE3195">
        <v>-0.1222839</v>
      </c>
      <c r="AF3195">
        <v>-0.110786336009724</v>
      </c>
      <c r="AG3195">
        <v>1.052117E-2</v>
      </c>
      <c r="AH3195">
        <v>3.0510928910735999</v>
      </c>
      <c r="AI3195">
        <v>89.802556239758303</v>
      </c>
      <c r="AJ3195">
        <v>92.079517820721804</v>
      </c>
      <c r="AK3195">
        <v>3.0531217036378502</v>
      </c>
      <c r="AL3195">
        <v>79.293633117309895</v>
      </c>
      <c r="AM3195">
        <v>96.549870518491502</v>
      </c>
      <c r="AN3195">
        <v>0.99999997208630897</v>
      </c>
    </row>
    <row r="3196" spans="1:40" x14ac:dyDescent="0.25">
      <c r="A3196" t="str">
        <f>"20190304154819646"</f>
        <v>20190304154819646</v>
      </c>
      <c r="B3196" t="str">
        <f>"1551685699640009"</f>
        <v>1551685699640009</v>
      </c>
      <c r="C3196" t="s">
        <v>40</v>
      </c>
      <c r="D3196">
        <v>4.0900679999999996</v>
      </c>
      <c r="E3196">
        <v>0.5279104</v>
      </c>
      <c r="F3196" t="s">
        <v>42</v>
      </c>
      <c r="G3196">
        <v>0</v>
      </c>
      <c r="H3196">
        <v>0</v>
      </c>
      <c r="I3196">
        <v>0</v>
      </c>
      <c r="J3196">
        <v>-422.8888</v>
      </c>
      <c r="K3196">
        <v>1.1105640000000001</v>
      </c>
      <c r="L3196">
        <v>285.21429999999998</v>
      </c>
      <c r="M3196">
        <v>-0.99990109999999999</v>
      </c>
      <c r="N3196">
        <v>-1.356984E-2</v>
      </c>
      <c r="O3196">
        <v>-3.7283059999999998E-3</v>
      </c>
      <c r="P3196">
        <v>-0.97822120000000001</v>
      </c>
      <c r="Q3196">
        <v>0.1723787</v>
      </c>
      <c r="R3196">
        <v>-0.1156263</v>
      </c>
      <c r="S3196">
        <v>-3.0508120000000001</v>
      </c>
      <c r="T3196">
        <v>1.164627E-2</v>
      </c>
      <c r="U3196">
        <v>-0.1184692</v>
      </c>
      <c r="V3196">
        <v>-0.111954</v>
      </c>
      <c r="W3196">
        <v>0.18565719999999999</v>
      </c>
      <c r="X3196">
        <v>0.97621599999999997</v>
      </c>
      <c r="Y3196">
        <v>-3.5077900000000002E-2</v>
      </c>
      <c r="Z3196">
        <v>-2.3597359999999999E-4</v>
      </c>
      <c r="AA3196">
        <v>0.99938459999999996</v>
      </c>
      <c r="AB3196">
        <v>34</v>
      </c>
      <c r="AC3196">
        <v>-3.0508120000000001</v>
      </c>
      <c r="AD3196">
        <v>1.164627E-2</v>
      </c>
      <c r="AE3196">
        <v>-0.1184692</v>
      </c>
      <c r="AF3196">
        <v>-0.107091411553678</v>
      </c>
      <c r="AG3196">
        <v>1.164627E-2</v>
      </c>
      <c r="AH3196">
        <v>3.0511881251366599</v>
      </c>
      <c r="AI3196">
        <v>89.781439810662704</v>
      </c>
      <c r="AJ3196">
        <v>92.010157334776494</v>
      </c>
      <c r="AK3196">
        <v>3.0530891210392799</v>
      </c>
      <c r="AL3196">
        <v>79.300548859208604</v>
      </c>
      <c r="AM3196">
        <v>96.542190145596393</v>
      </c>
      <c r="AN3196">
        <v>0.999999986341919</v>
      </c>
    </row>
    <row r="3197" spans="1:40" x14ac:dyDescent="0.25">
      <c r="A3197" t="str">
        <f>"20190304154819669"</f>
        <v>20190304154819669</v>
      </c>
      <c r="B3197" t="str">
        <f>"1551685699659515"</f>
        <v>1551685699659515</v>
      </c>
      <c r="C3197" t="s">
        <v>40</v>
      </c>
      <c r="D3197">
        <v>4.1007389999999999</v>
      </c>
      <c r="E3197">
        <v>0.52809830000000002</v>
      </c>
      <c r="F3197" t="s">
        <v>42</v>
      </c>
      <c r="G3197">
        <v>0</v>
      </c>
      <c r="H3197">
        <v>0</v>
      </c>
      <c r="I3197">
        <v>0</v>
      </c>
      <c r="J3197">
        <v>-423.22289999999998</v>
      </c>
      <c r="K3197">
        <v>1.110563</v>
      </c>
      <c r="L3197">
        <v>285.2131</v>
      </c>
      <c r="M3197">
        <v>-0.99990120000000005</v>
      </c>
      <c r="N3197">
        <v>-1.356775E-2</v>
      </c>
      <c r="O3197">
        <v>-3.6886010000000001E-3</v>
      </c>
      <c r="P3197">
        <v>-0.97822920000000002</v>
      </c>
      <c r="Q3197">
        <v>0.1725418</v>
      </c>
      <c r="R3197">
        <v>-0.1153145</v>
      </c>
      <c r="S3197">
        <v>-3.0508419999999998</v>
      </c>
      <c r="T3197">
        <v>1.2037040000000001E-2</v>
      </c>
      <c r="U3197">
        <v>-0.11688229999999999</v>
      </c>
      <c r="V3197">
        <v>-0.111681</v>
      </c>
      <c r="W3197">
        <v>0.18581839999999999</v>
      </c>
      <c r="X3197">
        <v>0.97621659999999999</v>
      </c>
      <c r="Y3197">
        <v>-3.4598129999999998E-2</v>
      </c>
      <c r="Z3197">
        <v>-2.3115390000000001E-4</v>
      </c>
      <c r="AA3197">
        <v>0.99940130000000005</v>
      </c>
      <c r="AB3197">
        <v>34</v>
      </c>
      <c r="AC3197">
        <v>-3.0508419999999998</v>
      </c>
      <c r="AD3197">
        <v>1.2037040000000001E-2</v>
      </c>
      <c r="AE3197">
        <v>-0.11688229999999999</v>
      </c>
      <c r="AF3197">
        <v>-0.105625488655657</v>
      </c>
      <c r="AG3197">
        <v>1.2037040000000001E-2</v>
      </c>
      <c r="AH3197">
        <v>3.0512049854534502</v>
      </c>
      <c r="AI3197">
        <v>89.774103952912796</v>
      </c>
      <c r="AJ3197">
        <v>91.982652422219601</v>
      </c>
      <c r="AK3197">
        <v>3.0530564189745499</v>
      </c>
      <c r="AL3197">
        <v>79.291149224768404</v>
      </c>
      <c r="AM3197">
        <v>96.526370828504795</v>
      </c>
      <c r="AN3197">
        <v>0.99999998682755997</v>
      </c>
    </row>
    <row r="3198" spans="1:40" x14ac:dyDescent="0.25">
      <c r="A3198" t="str">
        <f>"20190304154819691"</f>
        <v>20190304154819691</v>
      </c>
      <c r="B3198" t="str">
        <f>"1551685699680011"</f>
        <v>1551685699680011</v>
      </c>
      <c r="C3198" t="s">
        <v>40</v>
      </c>
      <c r="D3198">
        <v>4.1082780000000003</v>
      </c>
      <c r="E3198">
        <v>0.52826340000000005</v>
      </c>
      <c r="F3198" t="s">
        <v>42</v>
      </c>
      <c r="G3198">
        <v>0</v>
      </c>
      <c r="H3198">
        <v>0</v>
      </c>
      <c r="I3198">
        <v>0</v>
      </c>
      <c r="J3198">
        <v>-423.56380000000001</v>
      </c>
      <c r="K3198">
        <v>1.110565</v>
      </c>
      <c r="L3198">
        <v>285.21190000000001</v>
      </c>
      <c r="M3198">
        <v>-0.99990140000000005</v>
      </c>
      <c r="N3198">
        <v>-1.356562E-2</v>
      </c>
      <c r="O3198">
        <v>-3.6488900000000001E-3</v>
      </c>
      <c r="P3198">
        <v>-0.97831279999999998</v>
      </c>
      <c r="Q3198">
        <v>0.1722535</v>
      </c>
      <c r="R3198">
        <v>-0.115034</v>
      </c>
      <c r="S3198">
        <v>-3.0509339999999998</v>
      </c>
      <c r="T3198">
        <v>1.345026E-2</v>
      </c>
      <c r="U3198">
        <v>-0.1141663</v>
      </c>
      <c r="V3198">
        <v>-0.1114386</v>
      </c>
      <c r="W3198">
        <v>0.18552930000000001</v>
      </c>
      <c r="X3198">
        <v>0.97629929999999998</v>
      </c>
      <c r="Y3198">
        <v>-3.3748279999999999E-2</v>
      </c>
      <c r="Z3198">
        <v>-2.2019680000000001E-4</v>
      </c>
      <c r="AA3198">
        <v>0.99943040000000005</v>
      </c>
      <c r="AB3198">
        <v>34</v>
      </c>
      <c r="AC3198">
        <v>-3.0509339999999998</v>
      </c>
      <c r="AD3198">
        <v>1.345026E-2</v>
      </c>
      <c r="AE3198">
        <v>-0.1141663</v>
      </c>
      <c r="AF3198">
        <v>-0.103029993984786</v>
      </c>
      <c r="AG3198">
        <v>1.345026E-2</v>
      </c>
      <c r="AH3198">
        <v>3.0512710840396</v>
      </c>
      <c r="AI3198">
        <v>89.747580868976002</v>
      </c>
      <c r="AJ3198">
        <v>91.9339290627113</v>
      </c>
      <c r="AK3198">
        <v>3.0530396848797698</v>
      </c>
      <c r="AL3198">
        <v>79.308006734336004</v>
      </c>
      <c r="AM3198">
        <v>96.5117804620577</v>
      </c>
      <c r="AN3198">
        <v>1.00000000295447</v>
      </c>
    </row>
    <row r="3199" spans="1:40" x14ac:dyDescent="0.25">
      <c r="A3199" t="str">
        <f>"20190304154819715"</f>
        <v>20190304154819715</v>
      </c>
      <c r="B3199" t="str">
        <f>"1551685699710267"</f>
        <v>1551685699710267</v>
      </c>
      <c r="C3199" t="s">
        <v>40</v>
      </c>
      <c r="D3199">
        <v>4.1538870000000001</v>
      </c>
      <c r="E3199">
        <v>0.52846930000000003</v>
      </c>
      <c r="F3199" t="s">
        <v>42</v>
      </c>
      <c r="G3199">
        <v>0</v>
      </c>
      <c r="H3199">
        <v>0</v>
      </c>
      <c r="I3199">
        <v>0</v>
      </c>
      <c r="J3199">
        <v>-423.916</v>
      </c>
      <c r="K3199">
        <v>1.110568</v>
      </c>
      <c r="L3199">
        <v>285.2106</v>
      </c>
      <c r="M3199">
        <v>-0.9999015</v>
      </c>
      <c r="N3199">
        <v>-1.356339E-2</v>
      </c>
      <c r="O3199">
        <v>-3.607159E-3</v>
      </c>
      <c r="P3199">
        <v>-0.97834869999999996</v>
      </c>
      <c r="Q3199">
        <v>0.17230100000000001</v>
      </c>
      <c r="R3199">
        <v>-0.1146568</v>
      </c>
      <c r="S3199">
        <v>-3.050964</v>
      </c>
      <c r="T3199">
        <v>1.317918E-2</v>
      </c>
      <c r="U3199">
        <v>-0.11230469999999999</v>
      </c>
      <c r="V3199">
        <v>-0.11110299999999999</v>
      </c>
      <c r="W3199">
        <v>0.18557480000000001</v>
      </c>
      <c r="X3199">
        <v>0.97632890000000006</v>
      </c>
      <c r="Y3199">
        <v>-3.3180609999999999E-2</v>
      </c>
      <c r="Z3199">
        <v>-2.1795199999999999E-4</v>
      </c>
      <c r="AA3199">
        <v>0.99944940000000004</v>
      </c>
      <c r="AB3199">
        <v>34</v>
      </c>
      <c r="AC3199">
        <v>-3.050964</v>
      </c>
      <c r="AD3199">
        <v>1.317918E-2</v>
      </c>
      <c r="AE3199">
        <v>-0.11230469999999999</v>
      </c>
      <c r="AF3199">
        <v>-0.10129575688699501</v>
      </c>
      <c r="AG3199">
        <v>1.317918E-2</v>
      </c>
      <c r="AH3199">
        <v>3.05129242661424</v>
      </c>
      <c r="AI3199">
        <v>89.752665151867006</v>
      </c>
      <c r="AJ3199">
        <v>91.901387297659298</v>
      </c>
      <c r="AK3199">
        <v>3.0530018005009798</v>
      </c>
      <c r="AL3199">
        <v>79.305353694588007</v>
      </c>
      <c r="AM3199">
        <v>96.492142608639796</v>
      </c>
      <c r="AN3199">
        <v>1.00000000198962</v>
      </c>
    </row>
    <row r="3200" spans="1:40" x14ac:dyDescent="0.25">
      <c r="A3200" t="str">
        <f>"20190304154819736"</f>
        <v>20190304154819736</v>
      </c>
      <c r="B3200" t="str">
        <f>"1551685699729787"</f>
        <v>1551685699729787</v>
      </c>
      <c r="C3200" t="s">
        <v>40</v>
      </c>
      <c r="D3200">
        <v>4.1571020000000001</v>
      </c>
      <c r="E3200">
        <v>0.52861530000000001</v>
      </c>
      <c r="F3200" t="s">
        <v>42</v>
      </c>
      <c r="G3200">
        <v>0</v>
      </c>
      <c r="H3200">
        <v>0</v>
      </c>
      <c r="I3200">
        <v>0</v>
      </c>
      <c r="J3200">
        <v>-424.25540000000001</v>
      </c>
      <c r="K3200">
        <v>1.1105689999999999</v>
      </c>
      <c r="L3200">
        <v>285.20940000000002</v>
      </c>
      <c r="M3200">
        <v>-0.99990179999999995</v>
      </c>
      <c r="N3200">
        <v>-1.356126E-2</v>
      </c>
      <c r="O3200">
        <v>-3.5670929999999999E-3</v>
      </c>
      <c r="P3200">
        <v>-0.97829960000000005</v>
      </c>
      <c r="Q3200">
        <v>0.17277049999999999</v>
      </c>
      <c r="R3200">
        <v>-0.1143694</v>
      </c>
      <c r="S3200">
        <v>-3.0512079999999999</v>
      </c>
      <c r="T3200">
        <v>1.3275149999999999E-2</v>
      </c>
      <c r="U3200">
        <v>-0.1094055</v>
      </c>
      <c r="V3200">
        <v>-0.1108546</v>
      </c>
      <c r="W3200">
        <v>0.1860415</v>
      </c>
      <c r="X3200">
        <v>0.97626829999999998</v>
      </c>
      <c r="Y3200">
        <v>-3.2269289999999999E-2</v>
      </c>
      <c r="Z3200">
        <v>-2.125839E-4</v>
      </c>
      <c r="AA3200">
        <v>0.99947920000000001</v>
      </c>
      <c r="AB3200">
        <v>34</v>
      </c>
      <c r="AC3200">
        <v>-3.0512079999999999</v>
      </c>
      <c r="AD3200">
        <v>1.3275149999999999E-2</v>
      </c>
      <c r="AE3200">
        <v>-0.1094055</v>
      </c>
      <c r="AF3200">
        <v>-9.8517998996365402E-2</v>
      </c>
      <c r="AG3200">
        <v>1.3275149999999999E-2</v>
      </c>
      <c r="AH3200">
        <v>3.0515211907092401</v>
      </c>
      <c r="AI3200">
        <v>89.750875336704794</v>
      </c>
      <c r="AJ3200">
        <v>91.849145147954701</v>
      </c>
      <c r="AK3200">
        <v>3.0531399579910099</v>
      </c>
      <c r="AL3200">
        <v>79.278139699720498</v>
      </c>
      <c r="AM3200">
        <v>96.478149899203601</v>
      </c>
      <c r="AN3200">
        <v>0.99999998782414901</v>
      </c>
    </row>
    <row r="3201" spans="1:40" x14ac:dyDescent="0.25">
      <c r="A3201" t="str">
        <f>"20190304154819758"</f>
        <v>20190304154819758</v>
      </c>
      <c r="B3201" t="str">
        <f>"1551685699750284"</f>
        <v>1551685699750284</v>
      </c>
      <c r="C3201" t="s">
        <v>40</v>
      </c>
      <c r="D3201">
        <v>4.3880280000000003</v>
      </c>
      <c r="E3201">
        <v>0.52888849999999998</v>
      </c>
      <c r="F3201" t="s">
        <v>42</v>
      </c>
      <c r="G3201">
        <v>0</v>
      </c>
      <c r="H3201">
        <v>0</v>
      </c>
      <c r="I3201">
        <v>0</v>
      </c>
      <c r="J3201">
        <v>-424.58620000000002</v>
      </c>
      <c r="K3201">
        <v>1.1105719999999999</v>
      </c>
      <c r="L3201">
        <v>285.20830000000001</v>
      </c>
      <c r="M3201">
        <v>-0.99990179999999995</v>
      </c>
      <c r="N3201">
        <v>-1.3559150000000001E-2</v>
      </c>
      <c r="O3201">
        <v>-3.5281010000000001E-3</v>
      </c>
      <c r="P3201">
        <v>-0.97820750000000001</v>
      </c>
      <c r="Q3201">
        <v>0.173352799999999</v>
      </c>
      <c r="R3201">
        <v>-0.11427660000000001</v>
      </c>
      <c r="S3201">
        <v>-3.0513919999999999</v>
      </c>
      <c r="T3201">
        <v>1.4842630000000001E-2</v>
      </c>
      <c r="U3201">
        <v>-0.1072693</v>
      </c>
      <c r="V3201">
        <v>-0.1108003</v>
      </c>
      <c r="W3201">
        <v>0.18662049999999999</v>
      </c>
      <c r="X3201">
        <v>0.97616400000000003</v>
      </c>
      <c r="Y3201">
        <v>-3.160731E-2</v>
      </c>
      <c r="Z3201">
        <v>-2.0249069999999999E-4</v>
      </c>
      <c r="AA3201">
        <v>0.99950030000000001</v>
      </c>
      <c r="AB3201">
        <v>34</v>
      </c>
      <c r="AC3201">
        <v>-3.0513919999999999</v>
      </c>
      <c r="AD3201">
        <v>1.4842630000000001E-2</v>
      </c>
      <c r="AE3201">
        <v>-0.1072693</v>
      </c>
      <c r="AF3201">
        <v>-9.6499742401951805E-2</v>
      </c>
      <c r="AG3201">
        <v>1.4842630000000001E-2</v>
      </c>
      <c r="AH3201">
        <v>3.0516793816503598</v>
      </c>
      <c r="AI3201">
        <v>89.721468612075896</v>
      </c>
      <c r="AJ3201">
        <v>91.811194911476406</v>
      </c>
      <c r="AK3201">
        <v>3.0532408277662801</v>
      </c>
      <c r="AL3201">
        <v>79.244374633005407</v>
      </c>
      <c r="AM3201">
        <v>96.475689613624496</v>
      </c>
      <c r="AN3201">
        <v>1.00000003619816</v>
      </c>
    </row>
    <row r="3202" spans="1:40" x14ac:dyDescent="0.25">
      <c r="A3202" t="str">
        <f>"20190304154819780"</f>
        <v>20190304154819780</v>
      </c>
      <c r="B3202" t="str">
        <f>"1551685699769807"</f>
        <v>1551685699769807</v>
      </c>
      <c r="C3202" t="s">
        <v>40</v>
      </c>
      <c r="D3202">
        <v>4.1105539999999996</v>
      </c>
      <c r="E3202">
        <v>0.52903230000000001</v>
      </c>
      <c r="F3202" t="s">
        <v>42</v>
      </c>
      <c r="G3202">
        <v>0</v>
      </c>
      <c r="H3202">
        <v>0</v>
      </c>
      <c r="I3202">
        <v>0</v>
      </c>
      <c r="J3202">
        <v>-424.92759999999998</v>
      </c>
      <c r="K3202">
        <v>1.110576</v>
      </c>
      <c r="L3202">
        <v>285.2072</v>
      </c>
      <c r="M3202">
        <v>-0.99990210000000002</v>
      </c>
      <c r="N3202">
        <v>-1.355696E-2</v>
      </c>
      <c r="O3202">
        <v>-3.488035E-3</v>
      </c>
      <c r="P3202">
        <v>-0.97813470000000002</v>
      </c>
      <c r="Q3202">
        <v>0.1738693</v>
      </c>
      <c r="R3202">
        <v>-0.11411399999999999</v>
      </c>
      <c r="S3202">
        <v>-3.0517270000000001</v>
      </c>
      <c r="T3202">
        <v>1.6233560000000001E-2</v>
      </c>
      <c r="U3202">
        <v>-0.1049194</v>
      </c>
      <c r="V3202">
        <v>-0.1106767</v>
      </c>
      <c r="W3202">
        <v>0.18713389999999999</v>
      </c>
      <c r="X3202">
        <v>0.97607969999999999</v>
      </c>
      <c r="Y3202">
        <v>-3.0874840000000001E-2</v>
      </c>
      <c r="Z3202">
        <v>-1.9308319999999999E-4</v>
      </c>
      <c r="AA3202">
        <v>0.99952319999999995</v>
      </c>
      <c r="AB3202">
        <v>34</v>
      </c>
      <c r="AC3202">
        <v>-3.0517270000000001</v>
      </c>
      <c r="AD3202">
        <v>1.6233560000000001E-2</v>
      </c>
      <c r="AE3202">
        <v>-0.1049194</v>
      </c>
      <c r="AF3202">
        <v>-9.4270589219281803E-2</v>
      </c>
      <c r="AG3202">
        <v>1.6233560000000001E-2</v>
      </c>
      <c r="AH3202">
        <v>3.0519881691180801</v>
      </c>
      <c r="AI3202">
        <v>89.695391240884206</v>
      </c>
      <c r="AJ3202">
        <v>91.769204141877694</v>
      </c>
      <c r="AK3202">
        <v>3.0534869013799302</v>
      </c>
      <c r="AL3202">
        <v>79.214431135586693</v>
      </c>
      <c r="AM3202">
        <v>96.469081033056995</v>
      </c>
      <c r="AN3202">
        <v>1.00000000460209</v>
      </c>
    </row>
    <row r="3203" spans="1:40" x14ac:dyDescent="0.25">
      <c r="A3203" t="str">
        <f>"20190304154819803"</f>
        <v>20190304154819803</v>
      </c>
      <c r="B3203" t="str">
        <f>"1551685699800059"</f>
        <v>1551685699800059</v>
      </c>
      <c r="C3203" t="s">
        <v>40</v>
      </c>
      <c r="D3203">
        <v>4.2513360000000002</v>
      </c>
      <c r="E3203">
        <v>0.52908829999999996</v>
      </c>
      <c r="F3203" t="s">
        <v>42</v>
      </c>
      <c r="G3203">
        <v>0</v>
      </c>
      <c r="H3203">
        <v>0</v>
      </c>
      <c r="I3203">
        <v>0</v>
      </c>
      <c r="J3203">
        <v>-425.27269999999999</v>
      </c>
      <c r="K3203">
        <v>1.1105769999999999</v>
      </c>
      <c r="L3203">
        <v>285.20600000000002</v>
      </c>
      <c r="M3203">
        <v>-0.99990230000000002</v>
      </c>
      <c r="N3203">
        <v>-1.3554739999999999E-2</v>
      </c>
      <c r="O3203">
        <v>-3.4476110000000002E-3</v>
      </c>
      <c r="P3203">
        <v>-0.97802789999999995</v>
      </c>
      <c r="Q3203">
        <v>0.1745516</v>
      </c>
      <c r="R3203">
        <v>-0.1139892</v>
      </c>
      <c r="S3203">
        <v>-3.0521240000000001</v>
      </c>
      <c r="T3203">
        <v>1.6535999999999999E-2</v>
      </c>
      <c r="U3203">
        <v>-0.10333249999999999</v>
      </c>
      <c r="V3203">
        <v>-0.11059190000000001</v>
      </c>
      <c r="W3203">
        <v>0.18781210000000001</v>
      </c>
      <c r="X3203">
        <v>0.97595909999999997</v>
      </c>
      <c r="Y3203">
        <v>-3.0391689999999999E-2</v>
      </c>
      <c r="Z3203">
        <v>-1.891296E-4</v>
      </c>
      <c r="AA3203">
        <v>0.99953809999999998</v>
      </c>
      <c r="AB3203">
        <v>34</v>
      </c>
      <c r="AC3203">
        <v>-3.0521240000000001</v>
      </c>
      <c r="AD3203">
        <v>1.6535999999999999E-2</v>
      </c>
      <c r="AE3203">
        <v>-0.10333249999999999</v>
      </c>
      <c r="AF3203">
        <v>-9.2805662873278794E-2</v>
      </c>
      <c r="AG3203">
        <v>1.6535999999999999E-2</v>
      </c>
      <c r="AH3203">
        <v>3.0523726462097298</v>
      </c>
      <c r="AI3203">
        <v>89.689750811805197</v>
      </c>
      <c r="AJ3203">
        <v>91.741509248577003</v>
      </c>
      <c r="AK3203">
        <v>3.05382794238424</v>
      </c>
      <c r="AL3203">
        <v>79.174872336175994</v>
      </c>
      <c r="AM3203">
        <v>96.464958440399101</v>
      </c>
      <c r="AN3203">
        <v>1.0000000590624101</v>
      </c>
    </row>
    <row r="3204" spans="1:40" x14ac:dyDescent="0.25">
      <c r="A3204" t="str">
        <f>"20190304154819826"</f>
        <v>20190304154819826</v>
      </c>
      <c r="B3204" t="str">
        <f>"1551685699819578"</f>
        <v>1551685699819578</v>
      </c>
      <c r="C3204" t="s">
        <v>40</v>
      </c>
      <c r="D3204">
        <v>4.192844</v>
      </c>
      <c r="E3204">
        <v>0.52914740000000005</v>
      </c>
      <c r="F3204" t="s">
        <v>42</v>
      </c>
      <c r="G3204">
        <v>0</v>
      </c>
      <c r="H3204">
        <v>0</v>
      </c>
      <c r="I3204">
        <v>0</v>
      </c>
      <c r="J3204">
        <v>-425.61020000000002</v>
      </c>
      <c r="K3204">
        <v>1.110582</v>
      </c>
      <c r="L3204">
        <v>285.20490000000001</v>
      </c>
      <c r="M3204">
        <v>-0.99990239999999997</v>
      </c>
      <c r="N3204">
        <v>-1.355251E-2</v>
      </c>
      <c r="O3204">
        <v>-3.4076649999999998E-3</v>
      </c>
      <c r="P3204">
        <v>-0.97817089999999995</v>
      </c>
      <c r="Q3204">
        <v>0.1739831</v>
      </c>
      <c r="R3204">
        <v>-0.11362899999999999</v>
      </c>
      <c r="S3204">
        <v>-3.0521850000000001</v>
      </c>
      <c r="T3204">
        <v>1.8006560000000001E-2</v>
      </c>
      <c r="U3204">
        <v>-0.1025696</v>
      </c>
      <c r="V3204">
        <v>-0.1102704</v>
      </c>
      <c r="W3204">
        <v>0.18724299999999999</v>
      </c>
      <c r="X3204">
        <v>0.97610469999999905</v>
      </c>
      <c r="Y3204">
        <v>-3.0181409999999999E-2</v>
      </c>
      <c r="Z3204">
        <v>-1.818476E-4</v>
      </c>
      <c r="AA3204">
        <v>0.9995444</v>
      </c>
      <c r="AB3204">
        <v>34</v>
      </c>
      <c r="AC3204">
        <v>-3.0521850000000001</v>
      </c>
      <c r="AD3204">
        <v>1.8006560000000001E-2</v>
      </c>
      <c r="AE3204">
        <v>-0.1025696</v>
      </c>
      <c r="AF3204">
        <v>-9.2164021411620098E-2</v>
      </c>
      <c r="AG3204">
        <v>1.8006560000000001E-2</v>
      </c>
      <c r="AH3204">
        <v>3.0524107114927301</v>
      </c>
      <c r="AI3204">
        <v>89.662162770602293</v>
      </c>
      <c r="AJ3204">
        <v>91.729454553940997</v>
      </c>
      <c r="AK3204">
        <v>3.0538548745284801</v>
      </c>
      <c r="AL3204">
        <v>79.208067021429898</v>
      </c>
      <c r="AM3204">
        <v>96.445369219990695</v>
      </c>
      <c r="AN3204">
        <v>0.999999943763623</v>
      </c>
    </row>
    <row r="3205" spans="1:40" x14ac:dyDescent="0.25">
      <c r="A3205" t="str">
        <f>"20190304154819847"</f>
        <v>20190304154819847</v>
      </c>
      <c r="B3205" t="str">
        <f>"1551685699840075"</f>
        <v>1551685699840075</v>
      </c>
      <c r="C3205" t="s">
        <v>40</v>
      </c>
      <c r="D3205">
        <v>4.4010389999999999</v>
      </c>
      <c r="E3205">
        <v>0.52933980000000003</v>
      </c>
      <c r="F3205" t="s">
        <v>42</v>
      </c>
      <c r="G3205">
        <v>0</v>
      </c>
      <c r="H3205">
        <v>0</v>
      </c>
      <c r="I3205">
        <v>0</v>
      </c>
      <c r="J3205">
        <v>-425.94499999999999</v>
      </c>
      <c r="K3205">
        <v>1.1105780000000001</v>
      </c>
      <c r="L3205">
        <v>285.2038</v>
      </c>
      <c r="M3205">
        <v>-0.99990259999999997</v>
      </c>
      <c r="N3205">
        <v>-1.3550299999999901E-2</v>
      </c>
      <c r="O3205">
        <v>-3.3684330000000001E-3</v>
      </c>
      <c r="P3205">
        <v>-0.97830649999999997</v>
      </c>
      <c r="Q3205">
        <v>0.1732986</v>
      </c>
      <c r="R3205">
        <v>-0.1135091</v>
      </c>
      <c r="S3205">
        <v>-3.0524290000000001</v>
      </c>
      <c r="T3205">
        <v>1.549387E-2</v>
      </c>
      <c r="U3205">
        <v>-0.10110470000000001</v>
      </c>
      <c r="V3205">
        <v>-0.1101886</v>
      </c>
      <c r="W3205">
        <v>0.18655869999999999</v>
      </c>
      <c r="X3205">
        <v>0.97624500000000003</v>
      </c>
      <c r="Y3205">
        <v>-2.97387E-2</v>
      </c>
      <c r="Z3205">
        <v>-1.888173E-4</v>
      </c>
      <c r="AA3205">
        <v>0.99955769999999999</v>
      </c>
      <c r="AB3205">
        <v>34</v>
      </c>
      <c r="AC3205">
        <v>-3.0524290000000001</v>
      </c>
      <c r="AD3205">
        <v>1.549387E-2</v>
      </c>
      <c r="AE3205">
        <v>-0.10110470000000001</v>
      </c>
      <c r="AF3205">
        <v>-9.0818943150091105E-2</v>
      </c>
      <c r="AG3205">
        <v>1.549387E-2</v>
      </c>
      <c r="AH3205">
        <v>3.0526737097972698</v>
      </c>
      <c r="AI3205">
        <v>89.709325913801294</v>
      </c>
      <c r="AJ3205">
        <v>91.704082464770707</v>
      </c>
      <c r="AK3205">
        <v>3.0540636730313699</v>
      </c>
      <c r="AL3205">
        <v>79.247978285137506</v>
      </c>
      <c r="AM3205">
        <v>96.439710320829803</v>
      </c>
      <c r="AN3205">
        <v>0.99999998807032497</v>
      </c>
    </row>
    <row r="3206" spans="1:40" x14ac:dyDescent="0.25">
      <c r="A3206" t="str">
        <f>"20190304154819870"</f>
        <v>20190304154819870</v>
      </c>
      <c r="B3206" t="str">
        <f>"1551685699859599"</f>
        <v>1551685699859599</v>
      </c>
      <c r="C3206" t="s">
        <v>40</v>
      </c>
      <c r="D3206">
        <v>4.5585699999999996</v>
      </c>
      <c r="E3206">
        <v>0.52964919999999904</v>
      </c>
      <c r="F3206" t="s">
        <v>42</v>
      </c>
      <c r="G3206">
        <v>0</v>
      </c>
      <c r="H3206">
        <v>0</v>
      </c>
      <c r="I3206">
        <v>0</v>
      </c>
      <c r="J3206">
        <v>-426.279</v>
      </c>
      <c r="K3206">
        <v>1.110573</v>
      </c>
      <c r="L3206">
        <v>285.20269999999999</v>
      </c>
      <c r="M3206">
        <v>-0.99990270000000003</v>
      </c>
      <c r="N3206">
        <v>-1.3548040000000001E-2</v>
      </c>
      <c r="O3206">
        <v>-3.3290809999999998E-3</v>
      </c>
      <c r="P3206">
        <v>-0.97844330000000002</v>
      </c>
      <c r="Q3206">
        <v>0.1727969</v>
      </c>
      <c r="R3206">
        <v>-0.11309370000000001</v>
      </c>
      <c r="S3206">
        <v>-3.0526430000000002</v>
      </c>
      <c r="T3206">
        <v>1.300538E-2</v>
      </c>
      <c r="U3206">
        <v>-9.9365229999999999E-2</v>
      </c>
      <c r="V3206">
        <v>-0.10981100000000001</v>
      </c>
      <c r="W3206">
        <v>0.18605640000000001</v>
      </c>
      <c r="X3206">
        <v>0.97638340000000001</v>
      </c>
      <c r="Y3206">
        <v>-2.9206630000000001E-2</v>
      </c>
      <c r="Z3206">
        <v>-1.949787E-4</v>
      </c>
      <c r="AA3206">
        <v>0.9995733</v>
      </c>
      <c r="AB3206">
        <v>34</v>
      </c>
      <c r="AC3206">
        <v>-3.0526430000000002</v>
      </c>
      <c r="AD3206">
        <v>1.300538E-2</v>
      </c>
      <c r="AE3206">
        <v>-9.9365229999999999E-2</v>
      </c>
      <c r="AF3206">
        <v>-8.9199633563384798E-2</v>
      </c>
      <c r="AG3206">
        <v>1.300538E-2</v>
      </c>
      <c r="AH3206">
        <v>3.0529015524802401</v>
      </c>
      <c r="AI3206">
        <v>89.756025207943495</v>
      </c>
      <c r="AJ3206">
        <v>91.673591125412401</v>
      </c>
      <c r="AK3206">
        <v>3.0542320808466799</v>
      </c>
      <c r="AL3206">
        <v>79.277270864992104</v>
      </c>
      <c r="AM3206">
        <v>96.416924701834304</v>
      </c>
      <c r="AN3206">
        <v>0.99999999174875998</v>
      </c>
    </row>
    <row r="3207" spans="1:40" x14ac:dyDescent="0.25">
      <c r="A3207" t="str">
        <f>"20190304154819892"</f>
        <v>20190304154819892</v>
      </c>
      <c r="B3207" t="str">
        <f>"1551685699889852"</f>
        <v>1551685699889852</v>
      </c>
      <c r="C3207" t="s">
        <v>40</v>
      </c>
      <c r="D3207">
        <v>4.551482</v>
      </c>
      <c r="E3207">
        <v>0.58408689999999996</v>
      </c>
      <c r="F3207" t="s">
        <v>42</v>
      </c>
      <c r="G3207">
        <v>0</v>
      </c>
      <c r="H3207">
        <v>0</v>
      </c>
      <c r="I3207">
        <v>0</v>
      </c>
      <c r="J3207">
        <v>-426.61739999999998</v>
      </c>
      <c r="K3207">
        <v>1.1105780000000001</v>
      </c>
      <c r="L3207">
        <v>285.20159999999998</v>
      </c>
      <c r="M3207">
        <v>-0.99990290000000004</v>
      </c>
      <c r="N3207">
        <v>-1.354577E-2</v>
      </c>
      <c r="O3207">
        <v>-3.2898440000000001E-3</v>
      </c>
      <c r="P3207">
        <v>-0.97858270000000003</v>
      </c>
      <c r="Q3207">
        <v>0.17227049999999999</v>
      </c>
      <c r="R3207">
        <v>-0.1126896</v>
      </c>
      <c r="S3207">
        <v>-3.0529169999999999</v>
      </c>
      <c r="T3207">
        <v>1.1791589999999999E-2</v>
      </c>
      <c r="U3207">
        <v>-9.5855709999999997E-2</v>
      </c>
      <c r="V3207">
        <v>-0.109445</v>
      </c>
      <c r="W3207">
        <v>0.18552979999999999</v>
      </c>
      <c r="X3207">
        <v>0.97652470000000002</v>
      </c>
      <c r="Y3207">
        <v>-2.8094930000000001E-2</v>
      </c>
      <c r="Z3207">
        <v>-1.9335190000000001E-4</v>
      </c>
      <c r="AA3207">
        <v>0.99960519999999997</v>
      </c>
      <c r="AB3207">
        <v>34</v>
      </c>
      <c r="AC3207">
        <v>-3.0529169999999999</v>
      </c>
      <c r="AD3207">
        <v>1.1791589999999999E-2</v>
      </c>
      <c r="AE3207">
        <v>-9.5855709999999997E-2</v>
      </c>
      <c r="AF3207">
        <v>-8.5809370682700406E-2</v>
      </c>
      <c r="AG3207">
        <v>1.1791589999999999E-2</v>
      </c>
      <c r="AH3207">
        <v>3.0531703524301799</v>
      </c>
      <c r="AI3207">
        <v>89.778807522304206</v>
      </c>
      <c r="AJ3207">
        <v>91.609874433593205</v>
      </c>
      <c r="AK3207">
        <v>3.0543987118007898</v>
      </c>
      <c r="AL3207">
        <v>79.307977572257101</v>
      </c>
      <c r="AM3207">
        <v>96.394796838792004</v>
      </c>
      <c r="AN3207">
        <v>1.00000000221156</v>
      </c>
    </row>
    <row r="3208" spans="1:40" x14ac:dyDescent="0.25">
      <c r="A3208" t="str">
        <f>"20190304154819916"</f>
        <v>20190304154819916</v>
      </c>
      <c r="B3208" t="str">
        <f>"1551685699910347"</f>
        <v>1551685699910347</v>
      </c>
      <c r="C3208" t="s">
        <v>40</v>
      </c>
      <c r="D3208">
        <v>4.5997279999999998</v>
      </c>
      <c r="E3208">
        <v>0.58392509999999997</v>
      </c>
      <c r="F3208" t="s">
        <v>63</v>
      </c>
      <c r="G3208">
        <v>-510.95409999999998</v>
      </c>
      <c r="H3208">
        <v>1.374698</v>
      </c>
      <c r="I3208">
        <v>294.36500000000001</v>
      </c>
      <c r="J3208">
        <v>-426.96550000000002</v>
      </c>
      <c r="K3208">
        <v>1.1105799999999999</v>
      </c>
      <c r="L3208">
        <v>285.20049999999998</v>
      </c>
      <c r="M3208">
        <v>-0.99990310000000004</v>
      </c>
      <c r="N3208">
        <v>-1.354342E-2</v>
      </c>
      <c r="O3208">
        <v>-3.2487079999999999E-3</v>
      </c>
      <c r="P3208">
        <v>-0.97845190000000004</v>
      </c>
      <c r="Q3208">
        <v>0.17328689999999999</v>
      </c>
      <c r="R3208">
        <v>-0.1122673</v>
      </c>
      <c r="S3208">
        <v>-3.102814</v>
      </c>
      <c r="T3208">
        <v>9.7203250000000001E-3</v>
      </c>
      <c r="U3208">
        <v>0.33712769999999997</v>
      </c>
      <c r="V3208">
        <v>-0.1090633</v>
      </c>
      <c r="W3208">
        <v>0.18654129999999999</v>
      </c>
      <c r="X3208">
        <v>0.97637470000000004</v>
      </c>
      <c r="Y3208">
        <v>0.11124729999999999</v>
      </c>
      <c r="Z3208">
        <v>5.2781319999999998E-4</v>
      </c>
      <c r="AA3208">
        <v>0.99379260000000003</v>
      </c>
      <c r="AB3208">
        <v>34</v>
      </c>
      <c r="AC3208">
        <v>-83.988599999999906</v>
      </c>
      <c r="AD3208">
        <v>0.26411800000000002</v>
      </c>
      <c r="AE3208">
        <v>9.1645000000000305</v>
      </c>
      <c r="AF3208">
        <v>9.4372388406801004</v>
      </c>
      <c r="AG3208">
        <v>0.26411800000000002</v>
      </c>
      <c r="AH3208">
        <v>83.957560699934902</v>
      </c>
      <c r="AI3208">
        <v>89.820884582550207</v>
      </c>
      <c r="AJ3208">
        <v>83.586595655295497</v>
      </c>
      <c r="AK3208">
        <v>84.486704480274398</v>
      </c>
      <c r="AL3208">
        <v>79.248993255710303</v>
      </c>
      <c r="AM3208">
        <v>96.373649138749201</v>
      </c>
      <c r="AN3208">
        <v>1.00000000740633</v>
      </c>
    </row>
    <row r="3209" spans="1:40" x14ac:dyDescent="0.25">
      <c r="A3209" t="str">
        <f>"20190304154819938"</f>
        <v>20190304154819938</v>
      </c>
      <c r="B3209" t="str">
        <f>"1551685699929867"</f>
        <v>1551685699929867</v>
      </c>
      <c r="C3209" t="s">
        <v>40</v>
      </c>
      <c r="D3209">
        <v>4.6136359999999996</v>
      </c>
      <c r="E3209">
        <v>0.58425389999999999</v>
      </c>
      <c r="F3209" t="s">
        <v>63</v>
      </c>
      <c r="G3209">
        <v>-510.95400000000001</v>
      </c>
      <c r="H3209">
        <v>1.159381</v>
      </c>
      <c r="I3209">
        <v>294.31959999999998</v>
      </c>
      <c r="J3209">
        <v>-427.31139999999999</v>
      </c>
      <c r="K3209">
        <v>1.110663</v>
      </c>
      <c r="L3209">
        <v>285.19940000000003</v>
      </c>
      <c r="M3209">
        <v>-0.99990330000000005</v>
      </c>
      <c r="N3209">
        <v>-1.354111E-2</v>
      </c>
      <c r="O3209">
        <v>-3.207807E-3</v>
      </c>
      <c r="P3209">
        <v>-0.97844379999999997</v>
      </c>
      <c r="Q3209">
        <v>0.17438419999999999</v>
      </c>
      <c r="R3209">
        <v>-0.11062669999999999</v>
      </c>
      <c r="S3209">
        <v>-3.1044309999999999</v>
      </c>
      <c r="T3209">
        <v>1.806974E-3</v>
      </c>
      <c r="U3209">
        <v>0.3370667</v>
      </c>
      <c r="V3209">
        <v>-0.107463</v>
      </c>
      <c r="W3209">
        <v>0.187636</v>
      </c>
      <c r="X3209">
        <v>0.97634240000000005</v>
      </c>
      <c r="Y3209">
        <v>0.11113049999999999</v>
      </c>
      <c r="Z3209">
        <v>6.7723309999999999E-4</v>
      </c>
      <c r="AA3209">
        <v>0.99380559999999996</v>
      </c>
      <c r="AB3209">
        <v>34</v>
      </c>
      <c r="AC3209">
        <v>-83.642600000000002</v>
      </c>
      <c r="AD3209">
        <v>4.8717999999999997E-2</v>
      </c>
      <c r="AE3209">
        <v>9.1201999999999508</v>
      </c>
      <c r="AF3209">
        <v>9.3884838050437693</v>
      </c>
      <c r="AG3209">
        <v>4.8717999999999997E-2</v>
      </c>
      <c r="AH3209">
        <v>83.612883025032502</v>
      </c>
      <c r="AI3209">
        <v>89.966824447072796</v>
      </c>
      <c r="AJ3209">
        <v>83.593370591439196</v>
      </c>
      <c r="AK3209">
        <v>84.138339711209298</v>
      </c>
      <c r="AL3209">
        <v>79.185144357468701</v>
      </c>
      <c r="AM3209">
        <v>96.281086807713706</v>
      </c>
      <c r="AN3209">
        <v>1.00000002345137</v>
      </c>
    </row>
    <row r="3210" spans="1:40" x14ac:dyDescent="0.25">
      <c r="A3210" t="str">
        <f>"20190304154819959"</f>
        <v>20190304154819959</v>
      </c>
      <c r="B3210" t="str">
        <f>"1551685699950363"</f>
        <v>1551685699950363</v>
      </c>
      <c r="C3210" t="s">
        <v>40</v>
      </c>
      <c r="D3210">
        <v>4.636336</v>
      </c>
      <c r="E3210">
        <v>0.58366499999999999</v>
      </c>
      <c r="F3210" t="s">
        <v>63</v>
      </c>
      <c r="G3210">
        <v>-510.95400000000001</v>
      </c>
      <c r="H3210">
        <v>1.116784</v>
      </c>
      <c r="I3210">
        <v>294.5256</v>
      </c>
      <c r="J3210">
        <v>-427.63339999999999</v>
      </c>
      <c r="K3210">
        <v>1.1106549999999999</v>
      </c>
      <c r="L3210">
        <v>285.19850000000002</v>
      </c>
      <c r="M3210">
        <v>-0.99990330000000005</v>
      </c>
      <c r="N3210">
        <v>-1.3538949999999999E-2</v>
      </c>
      <c r="O3210">
        <v>-3.169767E-3</v>
      </c>
      <c r="P3210">
        <v>-0.97850239999999999</v>
      </c>
      <c r="Q3210">
        <v>0.1749957</v>
      </c>
      <c r="R3210">
        <v>-0.1091307</v>
      </c>
      <c r="S3210">
        <v>-3.1051329999999999</v>
      </c>
      <c r="T3210">
        <v>2.304316E-4</v>
      </c>
      <c r="U3210">
        <v>0.34622190000000003</v>
      </c>
      <c r="V3210">
        <v>-0.1060043</v>
      </c>
      <c r="W3210">
        <v>0.18824579999999999</v>
      </c>
      <c r="X3210">
        <v>0.97638449999999999</v>
      </c>
      <c r="Y3210">
        <v>0.11396290000000001</v>
      </c>
      <c r="Z3210">
        <v>7.266544E-4</v>
      </c>
      <c r="AA3210">
        <v>0.9934847</v>
      </c>
      <c r="AB3210">
        <v>34</v>
      </c>
      <c r="AC3210">
        <v>-83.320599999999999</v>
      </c>
      <c r="AD3210">
        <v>6.1290000000000502E-3</v>
      </c>
      <c r="AE3210">
        <v>9.3270999999999695</v>
      </c>
      <c r="AF3210">
        <v>9.5911841861101994</v>
      </c>
      <c r="AG3210">
        <v>6.1290000000000502E-3</v>
      </c>
      <c r="AH3210">
        <v>83.290613454031103</v>
      </c>
      <c r="AI3210">
        <v>89.995811527337096</v>
      </c>
      <c r="AJ3210">
        <v>83.431138219144003</v>
      </c>
      <c r="AK3210">
        <v>83.841023020985105</v>
      </c>
      <c r="AL3210">
        <v>79.149571702409702</v>
      </c>
      <c r="AM3210">
        <v>96.196230155647996</v>
      </c>
      <c r="AN3210">
        <v>1.0000000423381801</v>
      </c>
    </row>
    <row r="3211" spans="1:40" x14ac:dyDescent="0.25">
      <c r="A3211" t="str">
        <f>"20190304154819981"</f>
        <v>20190304154819981</v>
      </c>
      <c r="B3211" t="str">
        <f>"1551685699969883"</f>
        <v>1551685699969883</v>
      </c>
      <c r="C3211" t="s">
        <v>40</v>
      </c>
      <c r="D3211">
        <v>4.6073380000000004</v>
      </c>
      <c r="E3211">
        <v>0.58375909999999998</v>
      </c>
      <c r="F3211" t="s">
        <v>63</v>
      </c>
      <c r="G3211">
        <v>-510.95389999999998</v>
      </c>
      <c r="H3211">
        <v>1.0116339999999999</v>
      </c>
      <c r="I3211">
        <v>294.52330000000001</v>
      </c>
      <c r="J3211">
        <v>-427.97309999999999</v>
      </c>
      <c r="K3211">
        <v>1.110654</v>
      </c>
      <c r="L3211">
        <v>285.19740000000002</v>
      </c>
      <c r="M3211">
        <v>-0.9999036</v>
      </c>
      <c r="N3211">
        <v>-1.3536650000000001E-2</v>
      </c>
      <c r="O3211">
        <v>-3.1298179999999999E-3</v>
      </c>
      <c r="P3211">
        <v>-0.97846999999999995</v>
      </c>
      <c r="Q3211">
        <v>0.1755467</v>
      </c>
      <c r="R3211">
        <v>-0.1085376</v>
      </c>
      <c r="S3211">
        <v>-3.1053160000000002</v>
      </c>
      <c r="T3211">
        <v>-3.6872630000000001E-3</v>
      </c>
      <c r="U3211">
        <v>0.34753420000000002</v>
      </c>
      <c r="V3211">
        <v>-0.1054501</v>
      </c>
      <c r="W3211">
        <v>0.1887942</v>
      </c>
      <c r="X3211">
        <v>0.97633859999999995</v>
      </c>
      <c r="Y3211">
        <v>0.114330399999999</v>
      </c>
      <c r="Z3211">
        <v>8.0540869999999999E-4</v>
      </c>
      <c r="AA3211">
        <v>0.99344250000000001</v>
      </c>
      <c r="AB3211">
        <v>34</v>
      </c>
      <c r="AC3211">
        <v>-82.980799999999903</v>
      </c>
      <c r="AD3211">
        <v>-9.9020000000000094E-2</v>
      </c>
      <c r="AE3211">
        <v>9.3258999999999901</v>
      </c>
      <c r="AF3211">
        <v>9.5855794033827308</v>
      </c>
      <c r="AG3211">
        <v>-9.9020000000000094E-2</v>
      </c>
      <c r="AH3211">
        <v>82.951085810084507</v>
      </c>
      <c r="AI3211">
        <v>90.067942700761904</v>
      </c>
      <c r="AJ3211">
        <v>83.408307863007494</v>
      </c>
      <c r="AK3211">
        <v>83.503148291133002</v>
      </c>
      <c r="AL3211">
        <v>79.117576740852996</v>
      </c>
      <c r="AM3211">
        <v>96.1643732949954</v>
      </c>
      <c r="AN3211">
        <v>1.0000000176968</v>
      </c>
    </row>
    <row r="3212" spans="1:40" x14ac:dyDescent="0.25">
      <c r="A3212" t="str">
        <f>"20190304154820004"</f>
        <v>20190304154820004</v>
      </c>
      <c r="B3212" t="str">
        <f>"1551685700000139"</f>
        <v>1551685700000139</v>
      </c>
      <c r="C3212" t="s">
        <v>40</v>
      </c>
      <c r="D3212">
        <v>4.5906039999999999</v>
      </c>
      <c r="E3212">
        <v>0.58401069999999999</v>
      </c>
      <c r="F3212" t="s">
        <v>63</v>
      </c>
      <c r="G3212">
        <v>-510.95389999999998</v>
      </c>
      <c r="H3212">
        <v>1.0358969999999901</v>
      </c>
      <c r="I3212">
        <v>294.5575</v>
      </c>
      <c r="J3212">
        <v>-428.31029999999998</v>
      </c>
      <c r="K3212">
        <v>1.1106480000000001</v>
      </c>
      <c r="L3212">
        <v>285.19639999999998</v>
      </c>
      <c r="M3212">
        <v>-0.99990369999999995</v>
      </c>
      <c r="N3212">
        <v>-1.353437E-2</v>
      </c>
      <c r="O3212">
        <v>-3.0902270000000001E-3</v>
      </c>
      <c r="P3212">
        <v>-0.97850280000000001</v>
      </c>
      <c r="Q3212">
        <v>0.17579610000000001</v>
      </c>
      <c r="R3212">
        <v>-0.107836</v>
      </c>
      <c r="S3212">
        <v>-3.1053769999999998</v>
      </c>
      <c r="T3212">
        <v>-2.7943849999999999E-3</v>
      </c>
      <c r="U3212">
        <v>0.3502808</v>
      </c>
      <c r="V3212">
        <v>-0.10478709999999999</v>
      </c>
      <c r="W3212">
        <v>0.1890414</v>
      </c>
      <c r="X3212">
        <v>0.97636210000000001</v>
      </c>
      <c r="Y3212">
        <v>0.1151568</v>
      </c>
      <c r="Z3212">
        <v>7.9451689999999998E-4</v>
      </c>
      <c r="AA3212">
        <v>0.99334699999999998</v>
      </c>
      <c r="AB3212">
        <v>34</v>
      </c>
      <c r="AC3212">
        <v>-82.643599999999907</v>
      </c>
      <c r="AD3212">
        <v>-7.4750999999999998E-2</v>
      </c>
      <c r="AE3212">
        <v>9.36110000000002</v>
      </c>
      <c r="AF3212">
        <v>9.6164583875809697</v>
      </c>
      <c r="AG3212">
        <v>-7.4750999999999998E-2</v>
      </c>
      <c r="AH3212">
        <v>82.614208020409293</v>
      </c>
      <c r="AI3212">
        <v>90.051494673990206</v>
      </c>
      <c r="AJ3212">
        <v>83.360536509087297</v>
      </c>
      <c r="AK3212">
        <v>83.172045943763607</v>
      </c>
      <c r="AL3212">
        <v>79.103152964193001</v>
      </c>
      <c r="AM3212">
        <v>96.125765110231796</v>
      </c>
      <c r="AN3212">
        <v>0.99999996877838904</v>
      </c>
    </row>
    <row r="3213" spans="1:40" x14ac:dyDescent="0.25">
      <c r="A3213" t="str">
        <f>"20190304154820015"</f>
        <v>20190304154820015</v>
      </c>
      <c r="B3213" t="str">
        <f>"1551685700009899"</f>
        <v>1551685700009899</v>
      </c>
      <c r="C3213" t="s">
        <v>40</v>
      </c>
      <c r="D3213">
        <v>4.5780539999999998</v>
      </c>
      <c r="E3213">
        <v>0.58394509999999999</v>
      </c>
      <c r="F3213" t="s">
        <v>63</v>
      </c>
      <c r="G3213">
        <v>-510.95389999999998</v>
      </c>
      <c r="H3213">
        <v>0.99846789999999996</v>
      </c>
      <c r="I3213">
        <v>294.62470000000002</v>
      </c>
      <c r="J3213">
        <v>-428.4846</v>
      </c>
      <c r="K3213">
        <v>1.1106419999999999</v>
      </c>
      <c r="L3213">
        <v>285.19589999999999</v>
      </c>
      <c r="M3213">
        <v>-0.99990369999999995</v>
      </c>
      <c r="N3213">
        <v>-1.353319E-2</v>
      </c>
      <c r="O3213">
        <v>-3.0698349999999999E-3</v>
      </c>
      <c r="P3213">
        <v>-0.97852360000000005</v>
      </c>
      <c r="Q3213">
        <v>0.1759539</v>
      </c>
      <c r="R3213">
        <v>-0.1073865</v>
      </c>
      <c r="S3213">
        <v>-3.1056819999999998</v>
      </c>
      <c r="T3213">
        <v>-4.2123789999999996E-3</v>
      </c>
      <c r="U3213">
        <v>0.35430909999999999</v>
      </c>
      <c r="V3213">
        <v>-0.10435750000000001</v>
      </c>
      <c r="W3213">
        <v>0.18919830000000001</v>
      </c>
      <c r="X3213">
        <v>0.97637779999999996</v>
      </c>
      <c r="Y3213">
        <v>0.1163973</v>
      </c>
      <c r="Z3213">
        <v>8.3162160000000004E-4</v>
      </c>
      <c r="AA3213">
        <v>0.99320240000000004</v>
      </c>
      <c r="AB3213">
        <v>34</v>
      </c>
      <c r="AC3213">
        <v>-82.469299999999905</v>
      </c>
      <c r="AD3213">
        <v>-0.112174099999999</v>
      </c>
      <c r="AE3213">
        <v>9.4288000000000203</v>
      </c>
      <c r="AF3213">
        <v>9.6819282148175994</v>
      </c>
      <c r="AG3213">
        <v>-0.112174099999999</v>
      </c>
      <c r="AH3213">
        <v>82.439813269952495</v>
      </c>
      <c r="AI3213">
        <v>90.077428951733793</v>
      </c>
      <c r="AJ3213">
        <v>83.301730369361394</v>
      </c>
      <c r="AK3213">
        <v>83.006476427868094</v>
      </c>
      <c r="AL3213">
        <v>79.093998903812505</v>
      </c>
      <c r="AM3213">
        <v>96.100743480233703</v>
      </c>
      <c r="AN3213">
        <v>1.0000000464309799</v>
      </c>
    </row>
    <row r="3214" spans="1:40" x14ac:dyDescent="0.25">
      <c r="A3214" t="str">
        <f>"20190304154820029"</f>
        <v>20190304154820029</v>
      </c>
      <c r="B3214" t="str">
        <f>"1551685700019660"</f>
        <v>1551685700019660</v>
      </c>
      <c r="C3214" t="s">
        <v>40</v>
      </c>
      <c r="D3214">
        <v>4.4816269999999996</v>
      </c>
      <c r="E3214">
        <v>0.58393919999999999</v>
      </c>
      <c r="F3214" t="s">
        <v>63</v>
      </c>
      <c r="G3214">
        <v>-510.95389999999998</v>
      </c>
      <c r="H3214">
        <v>1.007142</v>
      </c>
      <c r="I3214">
        <v>294.64190000000002</v>
      </c>
      <c r="J3214">
        <v>-428.68540000000002</v>
      </c>
      <c r="K3214">
        <v>1.110649</v>
      </c>
      <c r="L3214">
        <v>285.19529999999997</v>
      </c>
      <c r="M3214">
        <v>-0.99990389999999996</v>
      </c>
      <c r="N3214">
        <v>-1.353183E-2</v>
      </c>
      <c r="O3214">
        <v>-3.0463420000000001E-3</v>
      </c>
      <c r="P3214">
        <v>-0.9785334</v>
      </c>
      <c r="Q3214">
        <v>0.17592839999999901</v>
      </c>
      <c r="R3214">
        <v>-0.1073404</v>
      </c>
      <c r="S3214">
        <v>-3.105591</v>
      </c>
      <c r="T3214">
        <v>-3.8943290000000002E-3</v>
      </c>
      <c r="U3214">
        <v>0.3557129</v>
      </c>
      <c r="V3214">
        <v>-0.1043343</v>
      </c>
      <c r="W3214">
        <v>0.18917110000000001</v>
      </c>
      <c r="X3214">
        <v>0.97638550000000002</v>
      </c>
      <c r="Y3214">
        <v>0.11682049999999999</v>
      </c>
      <c r="Z3214">
        <v>8.2873820000000005E-4</v>
      </c>
      <c r="AA3214">
        <v>0.9931527</v>
      </c>
      <c r="AB3214">
        <v>34</v>
      </c>
      <c r="AC3214">
        <v>-82.268499999999904</v>
      </c>
      <c r="AD3214">
        <v>-0.103507</v>
      </c>
      <c r="AE3214">
        <v>9.4466000000000392</v>
      </c>
      <c r="AF3214">
        <v>9.6971819184512604</v>
      </c>
      <c r="AG3214">
        <v>-0.103507</v>
      </c>
      <c r="AH3214">
        <v>82.239209500715404</v>
      </c>
      <c r="AI3214">
        <v>90.071616786008406</v>
      </c>
      <c r="AJ3214">
        <v>83.275058775593493</v>
      </c>
      <c r="AK3214">
        <v>82.809019014604601</v>
      </c>
      <c r="AL3214">
        <v>79.095585474205194</v>
      </c>
      <c r="AM3214">
        <v>96.099349693304106</v>
      </c>
      <c r="AN3214">
        <v>0.99999999792097505</v>
      </c>
    </row>
    <row r="3215" spans="1:40" x14ac:dyDescent="0.25">
      <c r="A3215" t="str">
        <f>"20190304154820042"</f>
        <v>20190304154820042</v>
      </c>
      <c r="B3215" t="str">
        <f>"1551685700030395"</f>
        <v>1551685700030395</v>
      </c>
      <c r="C3215" t="s">
        <v>40</v>
      </c>
      <c r="D3215">
        <v>4.5686239999999998</v>
      </c>
      <c r="E3215">
        <v>0.58393669999999998</v>
      </c>
      <c r="F3215" t="s">
        <v>63</v>
      </c>
      <c r="G3215">
        <v>-510.95389999999998</v>
      </c>
      <c r="H3215">
        <v>0.92258499999999999</v>
      </c>
      <c r="I3215">
        <v>294.63830000000002</v>
      </c>
      <c r="J3215">
        <v>-428.87790000000001</v>
      </c>
      <c r="K3215">
        <v>1.1106499999999999</v>
      </c>
      <c r="L3215">
        <v>285.19470000000001</v>
      </c>
      <c r="M3215">
        <v>-0.99990389999999996</v>
      </c>
      <c r="N3215">
        <v>-1.3530520000000001E-2</v>
      </c>
      <c r="O3215">
        <v>-3.0236849999999999E-3</v>
      </c>
      <c r="P3215">
        <v>-0.97851809999999995</v>
      </c>
      <c r="Q3215">
        <v>0.17602209999999999</v>
      </c>
      <c r="R3215">
        <v>-0.10732609999999999</v>
      </c>
      <c r="S3215">
        <v>-3.1061709999999998</v>
      </c>
      <c r="T3215">
        <v>-7.0973629999999998E-3</v>
      </c>
      <c r="U3215">
        <v>0.35653689999999999</v>
      </c>
      <c r="V3215">
        <v>-0.1043422</v>
      </c>
      <c r="W3215">
        <v>0.18926380000000001</v>
      </c>
      <c r="X3215">
        <v>0.97636670000000003</v>
      </c>
      <c r="Y3215">
        <v>0.117036</v>
      </c>
      <c r="Z3215">
        <v>8.9379339999999996E-4</v>
      </c>
      <c r="AA3215">
        <v>0.99312730000000005</v>
      </c>
      <c r="AB3215">
        <v>34</v>
      </c>
      <c r="AC3215">
        <v>-82.075999999999894</v>
      </c>
      <c r="AD3215">
        <v>-0.18806499999999901</v>
      </c>
      <c r="AE3215">
        <v>9.4436</v>
      </c>
      <c r="AF3215">
        <v>9.6917012895744996</v>
      </c>
      <c r="AG3215">
        <v>-0.18806499999999901</v>
      </c>
      <c r="AH3215">
        <v>82.046642507387205</v>
      </c>
      <c r="AI3215">
        <v>90.130424764206793</v>
      </c>
      <c r="AJ3215">
        <v>83.263194714536397</v>
      </c>
      <c r="AK3215">
        <v>82.617286260597893</v>
      </c>
      <c r="AL3215">
        <v>79.090176540243704</v>
      </c>
      <c r="AM3215">
        <v>96.099924609852494</v>
      </c>
      <c r="AN3215">
        <v>1.0000000067800801</v>
      </c>
    </row>
    <row r="3216" spans="1:40" x14ac:dyDescent="0.25">
      <c r="A3216" t="str">
        <f>"20190304154820055"</f>
        <v>20190304154820055</v>
      </c>
      <c r="B3216" t="str">
        <f>"1551685700049915"</f>
        <v>1551685700049915</v>
      </c>
      <c r="C3216" t="s">
        <v>40</v>
      </c>
      <c r="D3216">
        <v>4.6007110000000004</v>
      </c>
      <c r="E3216">
        <v>0.5840767</v>
      </c>
      <c r="F3216" t="s">
        <v>63</v>
      </c>
      <c r="G3216">
        <v>-510.95389999999998</v>
      </c>
      <c r="H3216">
        <v>0.92505839999999995</v>
      </c>
      <c r="I3216">
        <v>294.61790000000002</v>
      </c>
      <c r="J3216">
        <v>-429.08690000000001</v>
      </c>
      <c r="K3216">
        <v>1.1106450000000001</v>
      </c>
      <c r="L3216">
        <v>285.19420000000002</v>
      </c>
      <c r="M3216">
        <v>-0.99990400000000002</v>
      </c>
      <c r="N3216">
        <v>-1.3529090000000001E-2</v>
      </c>
      <c r="O3216">
        <v>-2.9992399999999998E-3</v>
      </c>
      <c r="P3216">
        <v>-0.97849140000000001</v>
      </c>
      <c r="Q3216">
        <v>0.17646010000000001</v>
      </c>
      <c r="R3216">
        <v>-0.10684929999999999</v>
      </c>
      <c r="S3216">
        <v>-3.1062319999999999</v>
      </c>
      <c r="T3216">
        <v>-7.0205930000000003E-3</v>
      </c>
      <c r="U3216">
        <v>0.35662840000000001</v>
      </c>
      <c r="V3216">
        <v>-0.1038896</v>
      </c>
      <c r="W3216">
        <v>0.18970020000000001</v>
      </c>
      <c r="X3216">
        <v>0.97633029999999998</v>
      </c>
      <c r="Y3216">
        <v>0.1170385</v>
      </c>
      <c r="Z3216">
        <v>8.9248959999999999E-4</v>
      </c>
      <c r="AA3216">
        <v>0.99312699999999998</v>
      </c>
      <c r="AB3216">
        <v>34</v>
      </c>
      <c r="AC3216">
        <v>-81.866999999999905</v>
      </c>
      <c r="AD3216">
        <v>-0.18558659999999999</v>
      </c>
      <c r="AE3216">
        <v>9.4236999999999895</v>
      </c>
      <c r="AF3216">
        <v>9.6691698176564493</v>
      </c>
      <c r="AG3216">
        <v>-0.18558659999999999</v>
      </c>
      <c r="AH3216">
        <v>81.837950129992606</v>
      </c>
      <c r="AI3216">
        <v>90.129033795867301</v>
      </c>
      <c r="AJ3216">
        <v>83.261730790235404</v>
      </c>
      <c r="AK3216">
        <v>82.407386615690797</v>
      </c>
      <c r="AL3216">
        <v>79.064711649383696</v>
      </c>
      <c r="AM3216">
        <v>96.073888216103597</v>
      </c>
      <c r="AN3216">
        <v>1.0000000347831399</v>
      </c>
    </row>
    <row r="3217" spans="1:40" x14ac:dyDescent="0.25">
      <c r="A3217" t="str">
        <f>"20190304154820068"</f>
        <v>20190304154820068</v>
      </c>
      <c r="B3217" t="str">
        <f>"1551685700059675"</f>
        <v>1551685700059675</v>
      </c>
      <c r="C3217" t="s">
        <v>40</v>
      </c>
      <c r="D3217">
        <v>4.5750449999999896</v>
      </c>
      <c r="E3217">
        <v>0.58434149999999996</v>
      </c>
      <c r="F3217" t="s">
        <v>63</v>
      </c>
      <c r="G3217">
        <v>-510.95389999999998</v>
      </c>
      <c r="H3217">
        <v>0.96041149999999997</v>
      </c>
      <c r="I3217">
        <v>294.6705</v>
      </c>
      <c r="J3217">
        <v>-429.28370000000001</v>
      </c>
      <c r="K3217">
        <v>1.1106389999999999</v>
      </c>
      <c r="L3217">
        <v>285.1936</v>
      </c>
      <c r="M3217">
        <v>-0.99990420000000002</v>
      </c>
      <c r="N3217">
        <v>-1.352774E-2</v>
      </c>
      <c r="O3217">
        <v>-2.9761060000000001E-3</v>
      </c>
      <c r="P3217">
        <v>-0.97843780000000002</v>
      </c>
      <c r="Q3217">
        <v>0.1766836</v>
      </c>
      <c r="R3217">
        <v>-0.1069717</v>
      </c>
      <c r="S3217">
        <v>-3.1062620000000001</v>
      </c>
      <c r="T3217">
        <v>-5.6970120000000004E-3</v>
      </c>
      <c r="U3217">
        <v>0.35955809999999999</v>
      </c>
      <c r="V3217">
        <v>-0.1040349</v>
      </c>
      <c r="W3217">
        <v>0.18992120000000001</v>
      </c>
      <c r="X3217">
        <v>0.97627180000000002</v>
      </c>
      <c r="Y3217">
        <v>0.11793910000000001</v>
      </c>
      <c r="Z3217">
        <v>8.735282E-4</v>
      </c>
      <c r="AA3217">
        <v>0.99302040000000003</v>
      </c>
      <c r="AB3217">
        <v>34</v>
      </c>
      <c r="AC3217">
        <v>-81.670199999999895</v>
      </c>
      <c r="AD3217">
        <v>-0.15022749999999899</v>
      </c>
      <c r="AE3217">
        <v>9.4769000000000005</v>
      </c>
      <c r="AF3217">
        <v>9.7199069548600097</v>
      </c>
      <c r="AG3217">
        <v>-0.15022749999999899</v>
      </c>
      <c r="AH3217">
        <v>81.641358845020306</v>
      </c>
      <c r="AI3217">
        <v>90.104689963672499</v>
      </c>
      <c r="AJ3217">
        <v>83.210542714663603</v>
      </c>
      <c r="AK3217">
        <v>82.218067561663503</v>
      </c>
      <c r="AL3217">
        <v>79.051814165384599</v>
      </c>
      <c r="AM3217">
        <v>96.082681254838107</v>
      </c>
      <c r="AN3217">
        <v>0.99999997505134397</v>
      </c>
    </row>
    <row r="3218" spans="1:40" x14ac:dyDescent="0.25">
      <c r="A3218" t="str">
        <f>"20190304154820081"</f>
        <v>20190304154820081</v>
      </c>
      <c r="B3218" t="str">
        <f>"1551685700070412"</f>
        <v>1551685700070412</v>
      </c>
      <c r="C3218" t="s">
        <v>40</v>
      </c>
      <c r="D3218">
        <v>4.5878860000000001</v>
      </c>
      <c r="E3218">
        <v>0.58456919999999901</v>
      </c>
      <c r="F3218" t="s">
        <v>63</v>
      </c>
      <c r="G3218">
        <v>-510.95389999999998</v>
      </c>
      <c r="H3218">
        <v>0.99935770000000002</v>
      </c>
      <c r="I3218">
        <v>294.69240000000002</v>
      </c>
      <c r="J3218">
        <v>-429.46969999999999</v>
      </c>
      <c r="K3218">
        <v>1.1106389999999999</v>
      </c>
      <c r="L3218">
        <v>285.19310000000002</v>
      </c>
      <c r="M3218">
        <v>-0.99990420000000002</v>
      </c>
      <c r="N3218">
        <v>-1.3526460000000001E-2</v>
      </c>
      <c r="O3218">
        <v>-2.9538089999999999E-3</v>
      </c>
      <c r="P3218">
        <v>-0.97846</v>
      </c>
      <c r="Q3218">
        <v>0.17660090000000001</v>
      </c>
      <c r="R3218">
        <v>-0.1069046</v>
      </c>
      <c r="S3218">
        <v>-3.1064150000000001</v>
      </c>
      <c r="T3218">
        <v>-4.2294259999999997E-3</v>
      </c>
      <c r="U3218">
        <v>0.3612976</v>
      </c>
      <c r="V3218">
        <v>-0.1039892</v>
      </c>
      <c r="W3218">
        <v>0.18983729999999999</v>
      </c>
      <c r="X3218">
        <v>0.97629299999999997</v>
      </c>
      <c r="Y3218">
        <v>0.1184605</v>
      </c>
      <c r="Z3218">
        <v>8.4846719999999995E-4</v>
      </c>
      <c r="AA3218">
        <v>0.99295840000000002</v>
      </c>
      <c r="AB3218">
        <v>34</v>
      </c>
      <c r="AC3218">
        <v>-81.484199999999902</v>
      </c>
      <c r="AD3218">
        <v>-0.1112813</v>
      </c>
      <c r="AE3218">
        <v>9.4992999999999999</v>
      </c>
      <c r="AF3218">
        <v>9.7399514026845893</v>
      </c>
      <c r="AG3218">
        <v>-0.1112813</v>
      </c>
      <c r="AH3218">
        <v>81.455632891877002</v>
      </c>
      <c r="AI3218">
        <v>90.077721411180207</v>
      </c>
      <c r="AJ3218">
        <v>83.181306266828102</v>
      </c>
      <c r="AK3218">
        <v>82.035962642432693</v>
      </c>
      <c r="AL3218">
        <v>79.056710499247203</v>
      </c>
      <c r="AM3218">
        <v>96.079898261397602</v>
      </c>
      <c r="AN3218">
        <v>0.99999998801846401</v>
      </c>
    </row>
    <row r="3219" spans="1:40" x14ac:dyDescent="0.25">
      <c r="A3219" t="str">
        <f>"20190304154820093"</f>
        <v>20190304154820093</v>
      </c>
      <c r="B3219" t="str">
        <f>"1551685700089935"</f>
        <v>1551685700089935</v>
      </c>
      <c r="C3219" t="s">
        <v>40</v>
      </c>
      <c r="D3219">
        <v>4.5770099999999996</v>
      </c>
      <c r="E3219">
        <v>0.58508090000000001</v>
      </c>
      <c r="F3219" t="s">
        <v>63</v>
      </c>
      <c r="G3219">
        <v>-510.95389999999998</v>
      </c>
      <c r="H3219">
        <v>1.000618</v>
      </c>
      <c r="I3219">
        <v>294.72359999999998</v>
      </c>
      <c r="J3219">
        <v>-429.65969999999999</v>
      </c>
      <c r="K3219">
        <v>1.1106279999999999</v>
      </c>
      <c r="L3219">
        <v>285.1925</v>
      </c>
      <c r="M3219">
        <v>-0.99990420000000002</v>
      </c>
      <c r="N3219">
        <v>-1.352515E-2</v>
      </c>
      <c r="O3219">
        <v>-2.9312740000000002E-3</v>
      </c>
      <c r="P3219">
        <v>-0.97843060000000004</v>
      </c>
      <c r="Q3219">
        <v>0.17682700000000001</v>
      </c>
      <c r="R3219">
        <v>-0.1067982</v>
      </c>
      <c r="S3219">
        <v>-3.106506</v>
      </c>
      <c r="T3219">
        <v>-4.1911600000000002E-3</v>
      </c>
      <c r="U3219">
        <v>0.36334230000000001</v>
      </c>
      <c r="V3219">
        <v>-0.103905</v>
      </c>
      <c r="W3219">
        <v>0.19006210000000001</v>
      </c>
      <c r="X3219">
        <v>0.97625830000000002</v>
      </c>
      <c r="Y3219">
        <v>0.11907959999999999</v>
      </c>
      <c r="Z3219">
        <v>8.5254619999999999E-4</v>
      </c>
      <c r="AA3219">
        <v>0.99288430000000005</v>
      </c>
      <c r="AB3219">
        <v>34</v>
      </c>
      <c r="AC3219">
        <v>-81.294199999999904</v>
      </c>
      <c r="AD3219">
        <v>-0.11001</v>
      </c>
      <c r="AE3219">
        <v>9.5310999999999808</v>
      </c>
      <c r="AF3219">
        <v>9.7693587792649801</v>
      </c>
      <c r="AG3219">
        <v>-0.11001</v>
      </c>
      <c r="AH3219">
        <v>81.2657630589744</v>
      </c>
      <c r="AI3219">
        <v>90.077007184548407</v>
      </c>
      <c r="AJ3219">
        <v>83.145086597584495</v>
      </c>
      <c r="AK3219">
        <v>81.850942075919207</v>
      </c>
      <c r="AL3219">
        <v>79.043592356113706</v>
      </c>
      <c r="AM3219">
        <v>96.075226513425804</v>
      </c>
      <c r="AN3219">
        <v>1.0000000596001399</v>
      </c>
    </row>
    <row r="3220" spans="1:40" x14ac:dyDescent="0.25">
      <c r="A3220" t="str">
        <f>"20190304154820106"</f>
        <v>20190304154820106</v>
      </c>
      <c r="B3220" t="str">
        <f>"1551685700099692"</f>
        <v>1551685700099692</v>
      </c>
      <c r="C3220" t="s">
        <v>40</v>
      </c>
      <c r="D3220">
        <v>4.5591889999999999</v>
      </c>
      <c r="E3220">
        <v>0.58522779999999996</v>
      </c>
      <c r="F3220" t="s">
        <v>63</v>
      </c>
      <c r="G3220">
        <v>-510.95400000000001</v>
      </c>
      <c r="H3220">
        <v>1.0539849999999999</v>
      </c>
      <c r="I3220">
        <v>294.81990000000002</v>
      </c>
      <c r="J3220">
        <v>-429.85539999999997</v>
      </c>
      <c r="K3220">
        <v>1.1106290000000001</v>
      </c>
      <c r="L3220">
        <v>285.19200000000001</v>
      </c>
      <c r="M3220">
        <v>-0.99990429999999997</v>
      </c>
      <c r="N3220">
        <v>-1.3523790000000001E-2</v>
      </c>
      <c r="O3220">
        <v>-2.9084940000000002E-3</v>
      </c>
      <c r="P3220">
        <v>-0.97844549999999997</v>
      </c>
      <c r="Q3220">
        <v>0.17637620000000001</v>
      </c>
      <c r="R3220">
        <v>-0.107405399999999</v>
      </c>
      <c r="S3220">
        <v>-3.1067200000000001</v>
      </c>
      <c r="T3220">
        <v>-2.1613840000000001E-3</v>
      </c>
      <c r="U3220">
        <v>0.36791990000000002</v>
      </c>
      <c r="V3220">
        <v>-0.1045348</v>
      </c>
      <c r="W3220">
        <v>0.1896098</v>
      </c>
      <c r="X3220">
        <v>0.97627900000000001</v>
      </c>
      <c r="Y3220">
        <v>0.1204925</v>
      </c>
      <c r="Z3220">
        <v>8.2222130000000004E-4</v>
      </c>
      <c r="AA3220">
        <v>0.99271390000000004</v>
      </c>
      <c r="AB3220">
        <v>34</v>
      </c>
      <c r="AC3220">
        <v>-81.098600000000005</v>
      </c>
      <c r="AD3220">
        <v>-5.6644000000000097E-2</v>
      </c>
      <c r="AE3220">
        <v>9.6279000000000092</v>
      </c>
      <c r="AF3220">
        <v>9.8637508934744194</v>
      </c>
      <c r="AG3220">
        <v>-5.6644000000000097E-2</v>
      </c>
      <c r="AH3220">
        <v>81.0702126653226</v>
      </c>
      <c r="AI3220">
        <v>90.039739665492505</v>
      </c>
      <c r="AJ3220">
        <v>83.062962737461007</v>
      </c>
      <c r="AK3220">
        <v>81.668085393450298</v>
      </c>
      <c r="AL3220">
        <v>79.069987023546801</v>
      </c>
      <c r="AM3220">
        <v>96.111643842187902</v>
      </c>
      <c r="AN3220">
        <v>1.0000000432540299</v>
      </c>
    </row>
    <row r="3221" spans="1:40" x14ac:dyDescent="0.25">
      <c r="A3221" t="str">
        <f>"20190304154820122"</f>
        <v>20190304154820122</v>
      </c>
      <c r="B3221" t="str">
        <f>"1551685700110428"</f>
        <v>1551685700110428</v>
      </c>
      <c r="C3221" t="s">
        <v>40</v>
      </c>
      <c r="D3221">
        <v>4.493322</v>
      </c>
      <c r="E3221">
        <v>0.58525559999999999</v>
      </c>
      <c r="F3221" t="s">
        <v>63</v>
      </c>
      <c r="G3221">
        <v>-510.95389999999998</v>
      </c>
      <c r="H3221">
        <v>1.0331680000000001</v>
      </c>
      <c r="I3221">
        <v>294.77159999999998</v>
      </c>
      <c r="J3221">
        <v>-430.0729</v>
      </c>
      <c r="K3221">
        <v>1.110622</v>
      </c>
      <c r="L3221">
        <v>285.19130000000001</v>
      </c>
      <c r="M3221">
        <v>-0.99990449999999997</v>
      </c>
      <c r="N3221">
        <v>-1.3522269999999999E-2</v>
      </c>
      <c r="O3221">
        <v>-2.882974E-3</v>
      </c>
      <c r="P3221">
        <v>-0.97852110000000003</v>
      </c>
      <c r="Q3221">
        <v>0.176165299999999</v>
      </c>
      <c r="R3221">
        <v>-0.1070625</v>
      </c>
      <c r="S3221">
        <v>-3.1069339999999999</v>
      </c>
      <c r="T3221">
        <v>-2.964258E-3</v>
      </c>
      <c r="U3221">
        <v>0.36700440000000001</v>
      </c>
      <c r="V3221">
        <v>-0.1042165</v>
      </c>
      <c r="W3221">
        <v>0.1893986</v>
      </c>
      <c r="X3221">
        <v>0.9763539</v>
      </c>
      <c r="Y3221">
        <v>0.1201705</v>
      </c>
      <c r="Z3221">
        <v>8.3636289999999998E-4</v>
      </c>
      <c r="AA3221">
        <v>0.99275290000000005</v>
      </c>
      <c r="AB3221">
        <v>34</v>
      </c>
      <c r="AC3221">
        <v>-80.880999999999901</v>
      </c>
      <c r="AD3221">
        <v>-7.7453999999999898E-2</v>
      </c>
      <c r="AE3221">
        <v>9.5802999999999603</v>
      </c>
      <c r="AF3221">
        <v>9.8134504255799797</v>
      </c>
      <c r="AG3221">
        <v>-7.7453999999999898E-2</v>
      </c>
      <c r="AH3221">
        <v>80.852968415554898</v>
      </c>
      <c r="AI3221">
        <v>90.054487236194703</v>
      </c>
      <c r="AJ3221">
        <v>83.079630822402606</v>
      </c>
      <c r="AK3221">
        <v>81.4463768990625</v>
      </c>
      <c r="AL3221">
        <v>79.082309881264294</v>
      </c>
      <c r="AM3221">
        <v>96.0927106686987</v>
      </c>
      <c r="AN3221">
        <v>0.99999992329970699</v>
      </c>
    </row>
    <row r="3222" spans="1:40" x14ac:dyDescent="0.25">
      <c r="A3222" t="str">
        <f>"20190304154820139"</f>
        <v>20190304154820139</v>
      </c>
      <c r="B3222" t="str">
        <f>"1551685700129949"</f>
        <v>1551685700129949</v>
      </c>
      <c r="C3222" t="s">
        <v>40</v>
      </c>
      <c r="D3222">
        <v>4.4657419999999997</v>
      </c>
      <c r="E3222">
        <v>0.58566909999999905</v>
      </c>
      <c r="F3222" t="s">
        <v>63</v>
      </c>
      <c r="G3222">
        <v>-510.95389999999998</v>
      </c>
      <c r="H3222">
        <v>1.043067</v>
      </c>
      <c r="I3222">
        <v>294.77969999999999</v>
      </c>
      <c r="J3222">
        <v>-430.3417</v>
      </c>
      <c r="K3222">
        <v>1.1106259999999999</v>
      </c>
      <c r="L3222">
        <v>285.19060000000002</v>
      </c>
      <c r="M3222">
        <v>-0.99990460000000003</v>
      </c>
      <c r="N3222">
        <v>-1.352041E-2</v>
      </c>
      <c r="O3222">
        <v>-2.851255E-3</v>
      </c>
      <c r="P3222">
        <v>-0.97854319999999895</v>
      </c>
      <c r="Q3222">
        <v>0.1758855</v>
      </c>
      <c r="R3222">
        <v>-0.1073214</v>
      </c>
      <c r="S3222">
        <v>-3.1066280000000002</v>
      </c>
      <c r="T3222">
        <v>-2.591491E-3</v>
      </c>
      <c r="U3222">
        <v>0.36828610000000001</v>
      </c>
      <c r="V3222">
        <v>-0.1045063</v>
      </c>
      <c r="W3222">
        <v>0.18911729999999999</v>
      </c>
      <c r="X3222">
        <v>0.97637750000000001</v>
      </c>
      <c r="Y3222">
        <v>0.12055440000000001</v>
      </c>
      <c r="Z3222">
        <v>8.3191679999999998E-4</v>
      </c>
      <c r="AA3222">
        <v>0.99270639999999999</v>
      </c>
      <c r="AB3222">
        <v>34</v>
      </c>
      <c r="AC3222">
        <v>-80.612199999999902</v>
      </c>
      <c r="AD3222">
        <v>-6.7559000000000105E-2</v>
      </c>
      <c r="AE3222">
        <v>9.58909999999997</v>
      </c>
      <c r="AF3222">
        <v>9.81892114764646</v>
      </c>
      <c r="AG3222">
        <v>-6.7559000000000105E-2</v>
      </c>
      <c r="AH3222">
        <v>80.584472987783499</v>
      </c>
      <c r="AI3222">
        <v>90.047681970013699</v>
      </c>
      <c r="AJ3222">
        <v>83.052965064619102</v>
      </c>
      <c r="AK3222">
        <v>81.180496816914001</v>
      </c>
      <c r="AL3222">
        <v>79.098724356595795</v>
      </c>
      <c r="AM3222">
        <v>96.109378457481299</v>
      </c>
      <c r="AN3222">
        <v>0.99999997120261397</v>
      </c>
    </row>
    <row r="3223" spans="1:40" x14ac:dyDescent="0.25">
      <c r="A3223" t="str">
        <f>"20190304154820162"</f>
        <v>20190304154820162</v>
      </c>
      <c r="B3223" t="str">
        <f>"1551685700150444"</f>
        <v>1551685700150444</v>
      </c>
      <c r="C3223" t="s">
        <v>40</v>
      </c>
      <c r="D3223">
        <v>4.4668549999999998</v>
      </c>
      <c r="E3223">
        <v>0.58599330000000005</v>
      </c>
      <c r="F3223" t="s">
        <v>63</v>
      </c>
      <c r="G3223">
        <v>-510.95400000000001</v>
      </c>
      <c r="H3223">
        <v>1.073941</v>
      </c>
      <c r="I3223">
        <v>294.81720000000001</v>
      </c>
      <c r="J3223">
        <v>-430.67610000000002</v>
      </c>
      <c r="K3223">
        <v>1.1106309999999999</v>
      </c>
      <c r="L3223">
        <v>285.18970000000002</v>
      </c>
      <c r="M3223">
        <v>-0.99990460000000003</v>
      </c>
      <c r="N3223">
        <v>-1.351812E-2</v>
      </c>
      <c r="O3223">
        <v>-2.8117839999999999E-3</v>
      </c>
      <c r="P3223">
        <v>-0.97850250000000005</v>
      </c>
      <c r="Q3223">
        <v>0.1764368</v>
      </c>
      <c r="R3223">
        <v>-0.10678410000000001</v>
      </c>
      <c r="S3223">
        <v>-3.1067499999999999</v>
      </c>
      <c r="T3223">
        <v>-1.410484E-3</v>
      </c>
      <c r="U3223">
        <v>0.3710022</v>
      </c>
      <c r="V3223">
        <v>-0.10400760000000001</v>
      </c>
      <c r="W3223">
        <v>0.18966549999999999</v>
      </c>
      <c r="X3223">
        <v>0.97632439999999998</v>
      </c>
      <c r="Y3223">
        <v>0.12136669999999999</v>
      </c>
      <c r="Z3223">
        <v>8.1411709999999998E-4</v>
      </c>
      <c r="AA3223">
        <v>0.99260740000000003</v>
      </c>
      <c r="AB3223">
        <v>34</v>
      </c>
      <c r="AC3223">
        <v>-80.277899999999903</v>
      </c>
      <c r="AD3223">
        <v>-3.6689999999999799E-2</v>
      </c>
      <c r="AE3223">
        <v>9.6274999999999906</v>
      </c>
      <c r="AF3223">
        <v>9.8532046642034992</v>
      </c>
      <c r="AG3223">
        <v>-3.6689999999999799E-2</v>
      </c>
      <c r="AH3223">
        <v>80.2504931461106</v>
      </c>
      <c r="AI3223">
        <v>90.026000010404502</v>
      </c>
      <c r="AJ3223">
        <v>83.000222893495703</v>
      </c>
      <c r="AK3223">
        <v>80.853130047665601</v>
      </c>
      <c r="AL3223">
        <v>79.066735729044396</v>
      </c>
      <c r="AM3223">
        <v>96.080771880373803</v>
      </c>
      <c r="AN3223">
        <v>0.99999995839168399</v>
      </c>
    </row>
    <row r="3224" spans="1:40" x14ac:dyDescent="0.25">
      <c r="A3224" t="str">
        <f>"20190304154820183"</f>
        <v>20190304154820183</v>
      </c>
      <c r="B3224" t="str">
        <f>"1551685700179723"</f>
        <v>1551685700179723</v>
      </c>
      <c r="C3224" t="s">
        <v>40</v>
      </c>
      <c r="D3224">
        <v>4.4690919999999998</v>
      </c>
      <c r="E3224">
        <v>0.58646319999999996</v>
      </c>
      <c r="F3224" t="s">
        <v>63</v>
      </c>
      <c r="G3224">
        <v>-510.95400000000001</v>
      </c>
      <c r="H3224">
        <v>1.184323</v>
      </c>
      <c r="I3224">
        <v>294.88409999999999</v>
      </c>
      <c r="J3224">
        <v>-431.00709999999998</v>
      </c>
      <c r="K3224">
        <v>1.1106309999999999</v>
      </c>
      <c r="L3224">
        <v>285.18880000000001</v>
      </c>
      <c r="M3224">
        <v>-0.99990500000000004</v>
      </c>
      <c r="N3224">
        <v>-1.3515849999999999E-2</v>
      </c>
      <c r="O3224">
        <v>-2.7730279999999999E-3</v>
      </c>
      <c r="P3224">
        <v>-0.97847910000000005</v>
      </c>
      <c r="Q3224">
        <v>0.17690110000000001</v>
      </c>
      <c r="R3224">
        <v>-0.1062321</v>
      </c>
      <c r="S3224">
        <v>-3.1063230000000002</v>
      </c>
      <c r="T3224">
        <v>2.8548240000000002E-3</v>
      </c>
      <c r="U3224">
        <v>0.37512210000000001</v>
      </c>
      <c r="V3224">
        <v>-0.103494</v>
      </c>
      <c r="W3224">
        <v>0.19012709999999999</v>
      </c>
      <c r="X3224">
        <v>0.97628919999999997</v>
      </c>
      <c r="Y3224">
        <v>0.122643</v>
      </c>
      <c r="Z3224">
        <v>7.3581099999999995E-4</v>
      </c>
      <c r="AA3224">
        <v>0.99245059999999996</v>
      </c>
      <c r="AB3224">
        <v>34</v>
      </c>
      <c r="AC3224">
        <v>-79.946899999999999</v>
      </c>
      <c r="AD3224">
        <v>7.3691999999999994E-2</v>
      </c>
      <c r="AE3224">
        <v>9.6952999999999694</v>
      </c>
      <c r="AF3224">
        <v>9.91696961507167</v>
      </c>
      <c r="AG3224">
        <v>7.3691999999999994E-2</v>
      </c>
      <c r="AH3224">
        <v>79.919637851692301</v>
      </c>
      <c r="AI3224">
        <v>89.947571033493503</v>
      </c>
      <c r="AJ3224">
        <v>82.926508739645101</v>
      </c>
      <c r="AK3224">
        <v>80.5326035292711</v>
      </c>
      <c r="AL3224">
        <v>79.039797879368507</v>
      </c>
      <c r="AM3224">
        <v>96.051184284355301</v>
      </c>
      <c r="AN3224">
        <v>0.99999996211352404</v>
      </c>
    </row>
    <row r="3225" spans="1:40" x14ac:dyDescent="0.25">
      <c r="A3225" t="str">
        <f>"20190304154820206"</f>
        <v>20190304154820206</v>
      </c>
      <c r="B3225" t="str">
        <f>"1551685700200219"</f>
        <v>1551685700200219</v>
      </c>
      <c r="C3225" t="s">
        <v>40</v>
      </c>
      <c r="D3225">
        <v>4.4515729999999998</v>
      </c>
      <c r="E3225">
        <v>0.58686459999999996</v>
      </c>
      <c r="F3225" t="s">
        <v>63</v>
      </c>
      <c r="G3225">
        <v>-510.95400000000001</v>
      </c>
      <c r="H3225">
        <v>1.246637</v>
      </c>
      <c r="I3225">
        <v>294.99059999999997</v>
      </c>
      <c r="J3225">
        <v>-431.34140000000002</v>
      </c>
      <c r="K3225">
        <v>1.110636</v>
      </c>
      <c r="L3225">
        <v>285.18790000000001</v>
      </c>
      <c r="M3225">
        <v>-0.99990500000000004</v>
      </c>
      <c r="N3225">
        <v>-1.3513549999999999E-2</v>
      </c>
      <c r="O3225">
        <v>-2.7332010000000002E-3</v>
      </c>
      <c r="P3225">
        <v>-0.9783733</v>
      </c>
      <c r="Q3225">
        <v>0.17755599999999999</v>
      </c>
      <c r="R3225">
        <v>-0.10611279999999999</v>
      </c>
      <c r="S3225">
        <v>-3.1064150000000001</v>
      </c>
      <c r="T3225">
        <v>5.2880050000000001E-3</v>
      </c>
      <c r="U3225">
        <v>0.38085940000000001</v>
      </c>
      <c r="V3225">
        <v>-0.10341359999999999</v>
      </c>
      <c r="W3225">
        <v>0.19077830000000001</v>
      </c>
      <c r="X3225">
        <v>0.97617069999999995</v>
      </c>
      <c r="Y3225">
        <v>0.1244065</v>
      </c>
      <c r="Z3225">
        <v>6.968311E-4</v>
      </c>
      <c r="AA3225">
        <v>0.99223110000000003</v>
      </c>
      <c r="AB3225">
        <v>34</v>
      </c>
      <c r="AC3225">
        <v>-79.612599999999901</v>
      </c>
      <c r="AD3225">
        <v>0.13600100000000001</v>
      </c>
      <c r="AE3225">
        <v>9.8026999999999607</v>
      </c>
      <c r="AF3225">
        <v>10.0202516721395</v>
      </c>
      <c r="AG3225">
        <v>0.13600100000000001</v>
      </c>
      <c r="AH3225">
        <v>79.585278601588598</v>
      </c>
      <c r="AI3225">
        <v>89.902855929574898</v>
      </c>
      <c r="AJ3225">
        <v>82.823886800888005</v>
      </c>
      <c r="AK3225">
        <v>80.213717716719103</v>
      </c>
      <c r="AL3225">
        <v>79.001791449004699</v>
      </c>
      <c r="AM3225">
        <v>96.047246784501894</v>
      </c>
      <c r="AN3225">
        <v>0.99999998397716905</v>
      </c>
    </row>
    <row r="3226" spans="1:40" x14ac:dyDescent="0.25">
      <c r="A3226" t="str">
        <f>"20190304154820219"</f>
        <v>20190304154820219</v>
      </c>
      <c r="B3226" t="str">
        <f>"1551685700209980"</f>
        <v>1551685700209980</v>
      </c>
      <c r="C3226" t="s">
        <v>40</v>
      </c>
      <c r="D3226">
        <v>4.4650439999999998</v>
      </c>
      <c r="E3226">
        <v>0.58706269999999905</v>
      </c>
      <c r="F3226" t="s">
        <v>63</v>
      </c>
      <c r="G3226">
        <v>-510.95409999999998</v>
      </c>
      <c r="H3226">
        <v>1.3515459999999999</v>
      </c>
      <c r="I3226">
        <v>295.0428</v>
      </c>
      <c r="J3226">
        <v>-431.55119999999999</v>
      </c>
      <c r="K3226">
        <v>1.110636</v>
      </c>
      <c r="L3226">
        <v>285.18740000000003</v>
      </c>
      <c r="M3226">
        <v>-0.99990509999999999</v>
      </c>
      <c r="N3226">
        <v>-1.3512120000000001E-2</v>
      </c>
      <c r="O3226">
        <v>-2.7087529999999999E-3</v>
      </c>
      <c r="P3226">
        <v>-0.97832419999999998</v>
      </c>
      <c r="Q3226">
        <v>0.17804919999999999</v>
      </c>
      <c r="R3226">
        <v>-0.1057394</v>
      </c>
      <c r="S3226">
        <v>-3.1063540000000001</v>
      </c>
      <c r="T3226">
        <v>9.4032290000000008E-3</v>
      </c>
      <c r="U3226">
        <v>0.38452150000000002</v>
      </c>
      <c r="V3226">
        <v>-0.1030638</v>
      </c>
      <c r="W3226">
        <v>0.1912693</v>
      </c>
      <c r="X3226">
        <v>0.97611170000000003</v>
      </c>
      <c r="Y3226">
        <v>0.1255375</v>
      </c>
      <c r="Z3226">
        <v>6.1748079999999995E-4</v>
      </c>
      <c r="AA3226">
        <v>0.99208870000000005</v>
      </c>
      <c r="AB3226">
        <v>34</v>
      </c>
      <c r="AC3226">
        <v>-79.402899999999903</v>
      </c>
      <c r="AD3226">
        <v>0.24091000000000001</v>
      </c>
      <c r="AE3226">
        <v>9.8553999999999693</v>
      </c>
      <c r="AF3226">
        <v>10.0703750105325</v>
      </c>
      <c r="AG3226">
        <v>0.24091000000000001</v>
      </c>
      <c r="AH3226">
        <v>79.375190777971994</v>
      </c>
      <c r="AI3226">
        <v>89.827486151023805</v>
      </c>
      <c r="AJ3226">
        <v>82.769481639509905</v>
      </c>
      <c r="AK3226">
        <v>80.011820386242405</v>
      </c>
      <c r="AL3226">
        <v>78.973132434827093</v>
      </c>
      <c r="AM3226">
        <v>96.027304185947699</v>
      </c>
      <c r="AN3226">
        <v>1.0000000714349</v>
      </c>
    </row>
    <row r="3227" spans="1:40" x14ac:dyDescent="0.25">
      <c r="A3227" t="str">
        <f>"20190304154820232"</f>
        <v>20190304154820232</v>
      </c>
      <c r="B3227" t="str">
        <f>"1551685700219740"</f>
        <v>1551685700219740</v>
      </c>
      <c r="C3227" t="s">
        <v>40</v>
      </c>
      <c r="D3227">
        <v>4.4534960000000003</v>
      </c>
      <c r="E3227">
        <v>0.58717900000000001</v>
      </c>
      <c r="F3227" t="s">
        <v>63</v>
      </c>
      <c r="G3227">
        <v>-510.95409999999998</v>
      </c>
      <c r="H3227">
        <v>1.426892</v>
      </c>
      <c r="I3227">
        <v>295.08969999999999</v>
      </c>
      <c r="J3227">
        <v>-431.73860000000002</v>
      </c>
      <c r="K3227">
        <v>1.1106279999999999</v>
      </c>
      <c r="L3227">
        <v>285.18689999999998</v>
      </c>
      <c r="M3227">
        <v>-0.99990520000000005</v>
      </c>
      <c r="N3227">
        <v>-1.351086E-2</v>
      </c>
      <c r="O3227">
        <v>-2.6871659999999999E-3</v>
      </c>
      <c r="P3227">
        <v>-0.97817710000000002</v>
      </c>
      <c r="Q3227">
        <v>0.17884040000000001</v>
      </c>
      <c r="R3227">
        <v>-0.10576430000000001</v>
      </c>
      <c r="S3227">
        <v>-3.1060789999999998</v>
      </c>
      <c r="T3227">
        <v>1.2374639999999999E-2</v>
      </c>
      <c r="U3227">
        <v>0.38735960000000003</v>
      </c>
      <c r="V3227">
        <v>-0.10311090000000001</v>
      </c>
      <c r="W3227">
        <v>0.1920569</v>
      </c>
      <c r="X3227">
        <v>0.97595200000000004</v>
      </c>
      <c r="Y3227">
        <v>0.1264198</v>
      </c>
      <c r="Z3227">
        <v>5.5965979999999995E-4</v>
      </c>
      <c r="AA3227">
        <v>0.99197670000000004</v>
      </c>
      <c r="AB3227">
        <v>34</v>
      </c>
      <c r="AC3227">
        <v>-79.215499999999906</v>
      </c>
      <c r="AD3227">
        <v>0.31626399999999899</v>
      </c>
      <c r="AE3227">
        <v>9.9028000000000098</v>
      </c>
      <c r="AF3227">
        <v>10.1154900945814</v>
      </c>
      <c r="AG3227">
        <v>0.31626399999999899</v>
      </c>
      <c r="AH3227">
        <v>79.187358253134803</v>
      </c>
      <c r="AI3227">
        <v>89.773013778948496</v>
      </c>
      <c r="AJ3227">
        <v>82.720391914725994</v>
      </c>
      <c r="AK3227">
        <v>79.831452885949602</v>
      </c>
      <c r="AL3227">
        <v>78.927153167501999</v>
      </c>
      <c r="AM3227">
        <v>96.031017818918102</v>
      </c>
      <c r="AN3227">
        <v>1.0000000084202101</v>
      </c>
    </row>
    <row r="3228" spans="1:40" x14ac:dyDescent="0.25">
      <c r="A3228" t="str">
        <f>"20190304154820246"</f>
        <v>20190304154820246</v>
      </c>
      <c r="B3228" t="str">
        <f>"1551685700240235"</f>
        <v>1551685700240235</v>
      </c>
      <c r="C3228" t="s">
        <v>40</v>
      </c>
      <c r="D3228">
        <v>4.5328629999999999</v>
      </c>
      <c r="E3228">
        <v>0.58719180000000004</v>
      </c>
      <c r="F3228" t="s">
        <v>63</v>
      </c>
      <c r="G3228">
        <v>-510.95409999999998</v>
      </c>
      <c r="H3228">
        <v>1.512535</v>
      </c>
      <c r="I3228">
        <v>295.0872</v>
      </c>
      <c r="J3228">
        <v>-431.9443</v>
      </c>
      <c r="K3228">
        <v>1.110633</v>
      </c>
      <c r="L3228">
        <v>285.18639999999999</v>
      </c>
      <c r="M3228">
        <v>-0.9999053</v>
      </c>
      <c r="N3228">
        <v>-1.3509500000000001E-2</v>
      </c>
      <c r="O3228">
        <v>-2.6624859999999999E-3</v>
      </c>
      <c r="P3228">
        <v>-0.97814610000000002</v>
      </c>
      <c r="Q3228">
        <v>0.1790012</v>
      </c>
      <c r="R3228">
        <v>-0.10577789999999999</v>
      </c>
      <c r="S3228">
        <v>-3.105988</v>
      </c>
      <c r="T3228">
        <v>1.5761850000000001E-2</v>
      </c>
      <c r="U3228">
        <v>0.38818360000000002</v>
      </c>
      <c r="V3228">
        <v>-0.10314859999999999</v>
      </c>
      <c r="W3228">
        <v>0.192216</v>
      </c>
      <c r="X3228">
        <v>0.97591669999999997</v>
      </c>
      <c r="Y3228">
        <v>0.1266583</v>
      </c>
      <c r="Z3228">
        <v>4.8947499999999996E-4</v>
      </c>
      <c r="AA3228">
        <v>0.99194629999999995</v>
      </c>
      <c r="AB3228">
        <v>34</v>
      </c>
      <c r="AC3228">
        <v>-79.009799999999899</v>
      </c>
      <c r="AD3228">
        <v>0.40190199999999998</v>
      </c>
      <c r="AE3228">
        <v>9.9008000000000003</v>
      </c>
      <c r="AF3228">
        <v>10.110888991303501</v>
      </c>
      <c r="AG3228">
        <v>0.40190199999999998</v>
      </c>
      <c r="AH3228">
        <v>78.981144727044807</v>
      </c>
      <c r="AI3228">
        <v>89.710808265570606</v>
      </c>
      <c r="AJ3228">
        <v>82.704874068240002</v>
      </c>
      <c r="AK3228">
        <v>79.626709236326306</v>
      </c>
      <c r="AL3228">
        <v>78.917864413725596</v>
      </c>
      <c r="AM3228">
        <v>96.033423271577306</v>
      </c>
      <c r="AN3228">
        <v>1.00000001483842</v>
      </c>
    </row>
    <row r="3229" spans="1:40" x14ac:dyDescent="0.25">
      <c r="A3229" t="str">
        <f>"20190304154820257"</f>
        <v>20190304154820257</v>
      </c>
      <c r="B3229" t="str">
        <f>"1551685700249995"</f>
        <v>1551685700249995</v>
      </c>
      <c r="C3229" t="s">
        <v>40</v>
      </c>
      <c r="D3229">
        <v>4.4699</v>
      </c>
      <c r="E3229">
        <v>0.54318449999999996</v>
      </c>
      <c r="F3229" t="s">
        <v>63</v>
      </c>
      <c r="G3229">
        <v>-510.95409999999998</v>
      </c>
      <c r="H3229">
        <v>1.555264</v>
      </c>
      <c r="I3229">
        <v>295.05700000000002</v>
      </c>
      <c r="J3229">
        <v>-432.12540000000001</v>
      </c>
      <c r="K3229">
        <v>1.1106309999999999</v>
      </c>
      <c r="L3229">
        <v>285.1859</v>
      </c>
      <c r="M3229">
        <v>-0.99990540000000006</v>
      </c>
      <c r="N3229">
        <v>-1.3508300000000001E-2</v>
      </c>
      <c r="O3229">
        <v>-2.6411400000000002E-3</v>
      </c>
      <c r="P3229">
        <v>-0.97821219999999998</v>
      </c>
      <c r="Q3229">
        <v>0.17888799999999999</v>
      </c>
      <c r="R3229">
        <v>-0.1053583</v>
      </c>
      <c r="S3229">
        <v>-3.1057739999999998</v>
      </c>
      <c r="T3229">
        <v>1.748121E-2</v>
      </c>
      <c r="U3229">
        <v>0.38800050000000003</v>
      </c>
      <c r="V3229">
        <v>-0.1027498</v>
      </c>
      <c r="W3229">
        <v>0.1921023</v>
      </c>
      <c r="X3229">
        <v>0.97598110000000005</v>
      </c>
      <c r="Y3229">
        <v>0.12658800000000001</v>
      </c>
      <c r="Z3229">
        <v>4.5311119999999998E-4</v>
      </c>
      <c r="AA3229">
        <v>0.99195529999999998</v>
      </c>
      <c r="AB3229">
        <v>34</v>
      </c>
      <c r="AC3229">
        <v>-78.828699999999898</v>
      </c>
      <c r="AD3229">
        <v>0.444633</v>
      </c>
      <c r="AE3229">
        <v>9.8711000000000109</v>
      </c>
      <c r="AF3229">
        <v>10.0789664551085</v>
      </c>
      <c r="AG3229">
        <v>0.444633</v>
      </c>
      <c r="AH3229">
        <v>78.799883348040296</v>
      </c>
      <c r="AI3229">
        <v>89.679321050182395</v>
      </c>
      <c r="AJ3229">
        <v>82.711110911914204</v>
      </c>
      <c r="AK3229">
        <v>79.443092078371805</v>
      </c>
      <c r="AL3229">
        <v>78.924502055184206</v>
      </c>
      <c r="AM3229">
        <v>96.009873837351705</v>
      </c>
      <c r="AN3229">
        <v>0.999999961311269</v>
      </c>
    </row>
    <row r="3230" spans="1:40" x14ac:dyDescent="0.25">
      <c r="A3230" t="str">
        <f>"20190304154820270"</f>
        <v>20190304154820270</v>
      </c>
      <c r="B3230" t="str">
        <f>"1551685700259756"</f>
        <v>1551685700259756</v>
      </c>
      <c r="C3230" t="s">
        <v>40</v>
      </c>
      <c r="D3230">
        <v>4.3669269999999996</v>
      </c>
      <c r="E3230">
        <v>0.53224899999999997</v>
      </c>
      <c r="F3230" t="s">
        <v>42</v>
      </c>
      <c r="G3230">
        <v>0</v>
      </c>
      <c r="H3230">
        <v>0</v>
      </c>
      <c r="I3230">
        <v>0</v>
      </c>
      <c r="J3230">
        <v>-432.32089999999999</v>
      </c>
      <c r="K3230">
        <v>1.1106339999999999</v>
      </c>
      <c r="L3230">
        <v>285.18540000000002</v>
      </c>
      <c r="M3230">
        <v>-0.9999053</v>
      </c>
      <c r="N3230">
        <v>-1.3507E-2</v>
      </c>
      <c r="O3230">
        <v>-2.618361E-3</v>
      </c>
      <c r="P3230">
        <v>-0.97811429999999999</v>
      </c>
      <c r="Q3230">
        <v>0.1792406</v>
      </c>
      <c r="R3230">
        <v>-0.1056662</v>
      </c>
      <c r="S3230">
        <v>-3.0709230000000001</v>
      </c>
      <c r="T3230">
        <v>1.3071300000000001E-3</v>
      </c>
      <c r="U3230">
        <v>4.0466309999999998E-2</v>
      </c>
      <c r="V3230">
        <v>-0.1030795</v>
      </c>
      <c r="W3230">
        <v>0.19245280000000001</v>
      </c>
      <c r="X3230">
        <v>0.97587729999999995</v>
      </c>
      <c r="Y3230">
        <v>1.5794220000000001E-2</v>
      </c>
      <c r="Z3230" s="1">
        <v>6.6833840000000007E-5</v>
      </c>
      <c r="AA3230">
        <v>0.99987519999999996</v>
      </c>
      <c r="AB3230">
        <v>33</v>
      </c>
      <c r="AC3230">
        <v>-3.0709230000000001</v>
      </c>
      <c r="AD3230">
        <v>1.3071300000000001E-3</v>
      </c>
      <c r="AE3230">
        <v>4.0466309999999998E-2</v>
      </c>
      <c r="AF3230">
        <v>4.8507681453707201E-2</v>
      </c>
      <c r="AG3230">
        <v>1.3071300000000001E-3</v>
      </c>
      <c r="AH3230">
        <v>3.0708059498830602</v>
      </c>
      <c r="AI3230">
        <v>89.975614321831401</v>
      </c>
      <c r="AJ3230">
        <v>89.095008172781604</v>
      </c>
      <c r="AK3230">
        <v>3.0711893275384501</v>
      </c>
      <c r="AL3230">
        <v>78.904038293021102</v>
      </c>
      <c r="AM3230">
        <v>96.029652858364898</v>
      </c>
      <c r="AN3230">
        <v>0.999999984101689</v>
      </c>
    </row>
    <row r="3231" spans="1:40" x14ac:dyDescent="0.25">
      <c r="A3231" t="str">
        <f>"20190304154820285"</f>
        <v>20190304154820285</v>
      </c>
      <c r="B3231" t="str">
        <f>"1551685700280253"</f>
        <v>1551685700280253</v>
      </c>
      <c r="C3231" t="s">
        <v>40</v>
      </c>
      <c r="D3231">
        <v>4.3064419999999997</v>
      </c>
      <c r="E3231">
        <v>0.51722539999999995</v>
      </c>
      <c r="F3231" t="s">
        <v>42</v>
      </c>
      <c r="G3231">
        <v>0</v>
      </c>
      <c r="H3231">
        <v>0</v>
      </c>
      <c r="I3231">
        <v>0</v>
      </c>
      <c r="J3231">
        <v>-432.5077</v>
      </c>
      <c r="K3231">
        <v>1.110633</v>
      </c>
      <c r="L3231">
        <v>285.185</v>
      </c>
      <c r="M3231">
        <v>-0.9999055</v>
      </c>
      <c r="N3231">
        <v>-1.350578E-2</v>
      </c>
      <c r="O3231">
        <v>-2.5960649999999998E-3</v>
      </c>
      <c r="P3231">
        <v>-0.97805980000000003</v>
      </c>
      <c r="Q3231">
        <v>0.17941079999999901</v>
      </c>
      <c r="R3231">
        <v>-0.1058825</v>
      </c>
      <c r="S3231">
        <v>-3.0600589999999999</v>
      </c>
      <c r="T3231">
        <v>1.040113E-2</v>
      </c>
      <c r="U3231">
        <v>-4.7576899999999998E-2</v>
      </c>
      <c r="V3231">
        <v>-0.10331799999999999</v>
      </c>
      <c r="W3231">
        <v>0.19262080000000001</v>
      </c>
      <c r="X3231">
        <v>0.97581890000000004</v>
      </c>
      <c r="Y3231">
        <v>-1.2950390000000001E-2</v>
      </c>
      <c r="Z3231">
        <v>-1.093377E-4</v>
      </c>
      <c r="AA3231">
        <v>0.99991609999999997</v>
      </c>
      <c r="AB3231">
        <v>33</v>
      </c>
      <c r="AC3231">
        <v>-3.0600589999999999</v>
      </c>
      <c r="AD3231">
        <v>1.040113E-2</v>
      </c>
      <c r="AE3231">
        <v>-4.7576899999999998E-2</v>
      </c>
      <c r="AF3231">
        <v>-3.9631445808461702E-2</v>
      </c>
      <c r="AG3231">
        <v>1.040113E-2</v>
      </c>
      <c r="AH3231">
        <v>3.0601368646084701</v>
      </c>
      <c r="AI3231">
        <v>89.805273877478001</v>
      </c>
      <c r="AJ3231">
        <v>90.7419889181743</v>
      </c>
      <c r="AK3231">
        <v>3.0604111594911401</v>
      </c>
      <c r="AL3231">
        <v>78.894228726479298</v>
      </c>
      <c r="AM3231">
        <v>96.043859835348698</v>
      </c>
      <c r="AN3231">
        <v>0.99999995365692396</v>
      </c>
    </row>
    <row r="3232" spans="1:40" x14ac:dyDescent="0.25">
      <c r="A3232" t="str">
        <f>"20190304154820298"</f>
        <v>20190304154820298</v>
      </c>
      <c r="B3232" t="str">
        <f>"1551685700290011"</f>
        <v>1551685700290011</v>
      </c>
      <c r="C3232" t="s">
        <v>40</v>
      </c>
      <c r="D3232">
        <v>4.2721309999999999</v>
      </c>
      <c r="E3232">
        <v>0.51287660000000002</v>
      </c>
      <c r="F3232" t="s">
        <v>62</v>
      </c>
      <c r="G3232">
        <v>-551.06209999999999</v>
      </c>
      <c r="H3232">
        <v>0.66031459999999997</v>
      </c>
      <c r="I3232">
        <v>278.71350000000001</v>
      </c>
      <c r="J3232">
        <v>-432.72859999999997</v>
      </c>
      <c r="K3232">
        <v>1.1106370000000001</v>
      </c>
      <c r="L3232">
        <v>285.18439999999998</v>
      </c>
      <c r="M3232">
        <v>-0.99990559999999995</v>
      </c>
      <c r="N3232">
        <v>-1.350431E-2</v>
      </c>
      <c r="O3232">
        <v>-2.5697139999999999E-3</v>
      </c>
      <c r="P3232">
        <v>-0.97807619999999895</v>
      </c>
      <c r="Q3232">
        <v>0.17932390000000001</v>
      </c>
      <c r="R3232">
        <v>-0.105878399999999</v>
      </c>
      <c r="S3232">
        <v>-3.0514220000000001</v>
      </c>
      <c r="T3232">
        <v>-1.158845E-2</v>
      </c>
      <c r="U3232">
        <v>-0.16656489999999999</v>
      </c>
      <c r="V3232">
        <v>-0.103339899999999</v>
      </c>
      <c r="W3232">
        <v>0.1925328</v>
      </c>
      <c r="X3232">
        <v>0.97583399999999998</v>
      </c>
      <c r="Y3232">
        <v>-5.1936980000000001E-2</v>
      </c>
      <c r="Z3232">
        <v>-4.7444380000000001E-4</v>
      </c>
      <c r="AA3232">
        <v>0.99865029999999999</v>
      </c>
      <c r="AB3232">
        <v>33</v>
      </c>
      <c r="AC3232">
        <v>-118.3335</v>
      </c>
      <c r="AD3232">
        <v>-0.45032240000000001</v>
      </c>
      <c r="AE3232">
        <v>-6.4708999999999701</v>
      </c>
      <c r="AF3232">
        <v>-6.1666786352628096</v>
      </c>
      <c r="AG3232">
        <v>-0.45032240000000001</v>
      </c>
      <c r="AH3232">
        <v>118.348030283252</v>
      </c>
      <c r="AI3232">
        <v>90.217717975742204</v>
      </c>
      <c r="AJ3232">
        <v>92.9827738725876</v>
      </c>
      <c r="AK3232">
        <v>118.509438390282</v>
      </c>
      <c r="AL3232">
        <v>78.899367507485806</v>
      </c>
      <c r="AM3232">
        <v>96.045038599251399</v>
      </c>
      <c r="AN3232">
        <v>1.00000000478192</v>
      </c>
    </row>
    <row r="3233" spans="1:40" x14ac:dyDescent="0.25">
      <c r="A3233" t="str">
        <f>"20190304154820312"</f>
        <v>20190304154820312</v>
      </c>
      <c r="B3233" t="str">
        <f>"1551685700309531"</f>
        <v>1551685700309531</v>
      </c>
      <c r="C3233" t="s">
        <v>40</v>
      </c>
      <c r="D3233">
        <v>4.2472890000000003</v>
      </c>
      <c r="E3233">
        <v>0.5083356</v>
      </c>
      <c r="F3233" t="s">
        <v>62</v>
      </c>
      <c r="G3233">
        <v>-540.94159999999999</v>
      </c>
      <c r="H3233">
        <v>0.43656329999999999</v>
      </c>
      <c r="I3233">
        <v>278.05</v>
      </c>
      <c r="J3233">
        <v>-432.93299999999999</v>
      </c>
      <c r="K3233">
        <v>1.110636</v>
      </c>
      <c r="L3233">
        <v>285.18389999999999</v>
      </c>
      <c r="M3233">
        <v>-0.99990570000000001</v>
      </c>
      <c r="N3233">
        <v>-1.350293E-2</v>
      </c>
      <c r="O3233">
        <v>-2.5457449999999999E-3</v>
      </c>
      <c r="P3233">
        <v>-0.97797259999999997</v>
      </c>
      <c r="Q3233">
        <v>0.17961340000000001</v>
      </c>
      <c r="R3233">
        <v>-0.106346</v>
      </c>
      <c r="S3233">
        <v>-3.0490110000000001</v>
      </c>
      <c r="T3233">
        <v>-1.8990400000000001E-2</v>
      </c>
      <c r="U3233">
        <v>-0.20101930000000001</v>
      </c>
      <c r="V3233">
        <v>-0.1038308</v>
      </c>
      <c r="W3233">
        <v>0.19281960000000001</v>
      </c>
      <c r="X3233">
        <v>0.97572519999999996</v>
      </c>
      <c r="Y3233">
        <v>-6.3242030000000005E-2</v>
      </c>
      <c r="Z3233">
        <v>-6.427065E-4</v>
      </c>
      <c r="AA3233">
        <v>0.99799800000000005</v>
      </c>
      <c r="AB3233">
        <v>33</v>
      </c>
      <c r="AC3233">
        <v>-108.00859999999901</v>
      </c>
      <c r="AD3233">
        <v>-0.67407269999999997</v>
      </c>
      <c r="AE3233">
        <v>-7.1338999999999801</v>
      </c>
      <c r="AF3233">
        <v>-6.8586235089337197</v>
      </c>
      <c r="AG3233">
        <v>-0.67407269999999997</v>
      </c>
      <c r="AH3233">
        <v>108.022223600432</v>
      </c>
      <c r="AI3233">
        <v>90.356809996073295</v>
      </c>
      <c r="AJ3233">
        <v>93.6329875232218</v>
      </c>
      <c r="AK3233">
        <v>108.241839794157</v>
      </c>
      <c r="AL3233">
        <v>78.882620672026505</v>
      </c>
      <c r="AM3233">
        <v>96.074212655028603</v>
      </c>
      <c r="AN3233">
        <v>0.99999994954391802</v>
      </c>
    </row>
    <row r="3234" spans="1:40" x14ac:dyDescent="0.25">
      <c r="A3234" t="str">
        <f>"20190304154820326"</f>
        <v>20190304154820326</v>
      </c>
      <c r="B3234" t="str">
        <f>"1551685700320267"</f>
        <v>1551685700320267</v>
      </c>
      <c r="C3234" t="s">
        <v>40</v>
      </c>
      <c r="D3234">
        <v>4.2604040000000003</v>
      </c>
      <c r="E3234">
        <v>0.5064784</v>
      </c>
      <c r="F3234" t="s">
        <v>62</v>
      </c>
      <c r="G3234">
        <v>-511.9588</v>
      </c>
      <c r="H3234">
        <v>0.42601489999999997</v>
      </c>
      <c r="I3234">
        <v>279.00369999999998</v>
      </c>
      <c r="J3234">
        <v>-433.14479999999998</v>
      </c>
      <c r="K3234">
        <v>1.1106320000000001</v>
      </c>
      <c r="L3234">
        <v>285.18340000000001</v>
      </c>
      <c r="M3234">
        <v>-0.99990559999999995</v>
      </c>
      <c r="N3234">
        <v>-1.350149E-2</v>
      </c>
      <c r="O3234">
        <v>-2.5205829999999999E-3</v>
      </c>
      <c r="P3234">
        <v>-0.97800010000000004</v>
      </c>
      <c r="Q3234">
        <v>0.179728</v>
      </c>
      <c r="R3234">
        <v>-0.10589460000000001</v>
      </c>
      <c r="S3234">
        <v>-3.046478</v>
      </c>
      <c r="T3234">
        <v>-2.6389240000000001E-2</v>
      </c>
      <c r="U3234">
        <v>-0.23825070000000001</v>
      </c>
      <c r="V3234">
        <v>-0.1034046</v>
      </c>
      <c r="W3234">
        <v>0.19293279999999999</v>
      </c>
      <c r="X3234">
        <v>0.97574810000000001</v>
      </c>
      <c r="Y3234">
        <v>-7.5446650000000004E-2</v>
      </c>
      <c r="Z3234">
        <v>-8.4859159999999998E-4</v>
      </c>
      <c r="AA3234">
        <v>0.99714950000000002</v>
      </c>
      <c r="AB3234">
        <v>33</v>
      </c>
      <c r="AC3234">
        <v>-78.813999999999993</v>
      </c>
      <c r="AD3234">
        <v>-0.68461709999999998</v>
      </c>
      <c r="AE3234">
        <v>-6.17970000000002</v>
      </c>
      <c r="AF3234">
        <v>-5.9805565069301796</v>
      </c>
      <c r="AG3234">
        <v>-0.68461709999999998</v>
      </c>
      <c r="AH3234">
        <v>78.823416167081504</v>
      </c>
      <c r="AI3234">
        <v>90.496201187762495</v>
      </c>
      <c r="AJ3234">
        <v>94.338880440558498</v>
      </c>
      <c r="AK3234">
        <v>79.052936017298705</v>
      </c>
      <c r="AL3234">
        <v>78.876010855455306</v>
      </c>
      <c r="AM3234">
        <v>96.049323840275903</v>
      </c>
      <c r="AN3234">
        <v>0.99999996563530402</v>
      </c>
    </row>
    <row r="3235" spans="1:40" x14ac:dyDescent="0.25">
      <c r="A3235" t="str">
        <f>"20190304154820339"</f>
        <v>20190304154820339</v>
      </c>
      <c r="B3235" t="str">
        <f>"1551685700330028"</f>
        <v>1551685700330028</v>
      </c>
      <c r="C3235" t="s">
        <v>40</v>
      </c>
      <c r="D3235">
        <v>4.2783470000000001</v>
      </c>
      <c r="E3235">
        <v>0.50549849999999996</v>
      </c>
      <c r="F3235" t="s">
        <v>62</v>
      </c>
      <c r="G3235">
        <v>-511.95870000000002</v>
      </c>
      <c r="H3235">
        <v>0.3236309</v>
      </c>
      <c r="I3235">
        <v>278.68049999999999</v>
      </c>
      <c r="J3235">
        <v>-433.35019999999997</v>
      </c>
      <c r="K3235">
        <v>1.1106309999999999</v>
      </c>
      <c r="L3235">
        <v>285.18290000000002</v>
      </c>
      <c r="M3235">
        <v>-0.99990579999999996</v>
      </c>
      <c r="N3235">
        <v>-1.3500099999999999E-2</v>
      </c>
      <c r="O3235">
        <v>-2.4964940000000001E-3</v>
      </c>
      <c r="P3235">
        <v>-0.97801210000000005</v>
      </c>
      <c r="Q3235">
        <v>0.17946609999999999</v>
      </c>
      <c r="R3235">
        <v>-0.10622719999999999</v>
      </c>
      <c r="S3235">
        <v>-3.045868</v>
      </c>
      <c r="T3235">
        <v>-3.0411480000000001E-2</v>
      </c>
      <c r="U3235">
        <v>-0.25131229999999999</v>
      </c>
      <c r="V3235">
        <v>-0.1037609</v>
      </c>
      <c r="W3235">
        <v>0.19266990000000001</v>
      </c>
      <c r="X3235">
        <v>0.97576220000000002</v>
      </c>
      <c r="Y3235">
        <v>-7.9731990000000003E-2</v>
      </c>
      <c r="Z3235">
        <v>-9.452865E-4</v>
      </c>
      <c r="AA3235">
        <v>0.99681589999999998</v>
      </c>
      <c r="AB3235">
        <v>33</v>
      </c>
      <c r="AC3235">
        <v>-78.608500000000006</v>
      </c>
      <c r="AD3235">
        <v>-0.78700009999999998</v>
      </c>
      <c r="AE3235">
        <v>-6.5024000000000202</v>
      </c>
      <c r="AF3235">
        <v>-6.3054884856201499</v>
      </c>
      <c r="AG3235">
        <v>-0.78700009999999998</v>
      </c>
      <c r="AH3235">
        <v>78.616663243909599</v>
      </c>
      <c r="AI3235">
        <v>90.571710254261802</v>
      </c>
      <c r="AJ3235">
        <v>94.5856202591836</v>
      </c>
      <c r="AK3235">
        <v>78.873051759177997</v>
      </c>
      <c r="AL3235">
        <v>78.891361679951103</v>
      </c>
      <c r="AM3235">
        <v>96.069925514470299</v>
      </c>
      <c r="AN3235">
        <v>0.99999994284182803</v>
      </c>
    </row>
    <row r="3236" spans="1:40" x14ac:dyDescent="0.25">
      <c r="A3236" t="str">
        <f>"20190304154820362"</f>
        <v>20190304154820362</v>
      </c>
      <c r="B3236" t="str">
        <f>"1551685700349548"</f>
        <v>1551685700349548</v>
      </c>
      <c r="C3236" t="s">
        <v>40</v>
      </c>
      <c r="D3236">
        <v>4.2949599999999997</v>
      </c>
      <c r="E3236">
        <v>0.50410350000000004</v>
      </c>
      <c r="F3236" t="s">
        <v>62</v>
      </c>
      <c r="G3236">
        <v>-511.95870000000002</v>
      </c>
      <c r="H3236">
        <v>0.26490429999999998</v>
      </c>
      <c r="I3236">
        <v>278.45679999999999</v>
      </c>
      <c r="J3236">
        <v>-433.68009999999998</v>
      </c>
      <c r="K3236">
        <v>1.110635</v>
      </c>
      <c r="L3236">
        <v>285.18209999999999</v>
      </c>
      <c r="M3236">
        <v>-0.99990590000000001</v>
      </c>
      <c r="N3236">
        <v>-1.3497840000000001E-2</v>
      </c>
      <c r="O3236">
        <v>-2.4576189999999999E-3</v>
      </c>
      <c r="P3236">
        <v>-0.97802279999999997</v>
      </c>
      <c r="Q3236">
        <v>0.17950720000000001</v>
      </c>
      <c r="R3236">
        <v>-0.10606</v>
      </c>
      <c r="S3236">
        <v>-3.0451969999999999</v>
      </c>
      <c r="T3236">
        <v>-3.2759190000000001E-2</v>
      </c>
      <c r="U3236">
        <v>-0.26055909999999999</v>
      </c>
      <c r="V3236">
        <v>-0.10363169999999999</v>
      </c>
      <c r="W3236">
        <v>0.19270870000000001</v>
      </c>
      <c r="X3236">
        <v>0.97576830000000003</v>
      </c>
      <c r="Y3236">
        <v>-8.2792550000000006E-2</v>
      </c>
      <c r="Z3236">
        <v>-1.01107E-3</v>
      </c>
      <c r="AA3236">
        <v>0.99656630000000002</v>
      </c>
      <c r="AB3236">
        <v>33</v>
      </c>
      <c r="AC3236">
        <v>-78.278599999999997</v>
      </c>
      <c r="AD3236">
        <v>-0.84573069999999995</v>
      </c>
      <c r="AE3236">
        <v>-6.7252999999999998</v>
      </c>
      <c r="AF3236">
        <v>-6.5321262877235302</v>
      </c>
      <c r="AG3236">
        <v>-0.84573069999999995</v>
      </c>
      <c r="AH3236">
        <v>78.285822036804305</v>
      </c>
      <c r="AI3236">
        <v>90.616805535829002</v>
      </c>
      <c r="AJ3236">
        <v>94.769680000943495</v>
      </c>
      <c r="AK3236">
        <v>78.562420190787705</v>
      </c>
      <c r="AL3236">
        <v>78.889096495348497</v>
      </c>
      <c r="AM3236">
        <v>96.062386126119407</v>
      </c>
      <c r="AN3236">
        <v>0.99999997379273398</v>
      </c>
    </row>
    <row r="3237" spans="1:40" x14ac:dyDescent="0.25">
      <c r="A3237" t="str">
        <f>"20190304154820377"</f>
        <v>20190304154820377</v>
      </c>
      <c r="B3237" t="str">
        <f>"1551685700370044"</f>
        <v>1551685700370044</v>
      </c>
      <c r="C3237" t="s">
        <v>40</v>
      </c>
      <c r="D3237">
        <v>4.3043199999999997</v>
      </c>
      <c r="E3237">
        <v>0.5033396</v>
      </c>
      <c r="F3237" t="s">
        <v>62</v>
      </c>
      <c r="G3237">
        <v>-511.95870000000002</v>
      </c>
      <c r="H3237">
        <v>0.23385139999999999</v>
      </c>
      <c r="I3237">
        <v>278.2115</v>
      </c>
      <c r="J3237">
        <v>-433.91059999999999</v>
      </c>
      <c r="K3237">
        <v>1.110633</v>
      </c>
      <c r="L3237">
        <v>285.1816</v>
      </c>
      <c r="M3237">
        <v>-0.99990610000000002</v>
      </c>
      <c r="N3237">
        <v>-1.349626E-2</v>
      </c>
      <c r="O3237">
        <v>-2.4306689999999999E-3</v>
      </c>
      <c r="P3237">
        <v>-0.97806470000000001</v>
      </c>
      <c r="Q3237">
        <v>0.1793776</v>
      </c>
      <c r="R3237">
        <v>-0.105894</v>
      </c>
      <c r="S3237">
        <v>-3.0442809999999998</v>
      </c>
      <c r="T3237">
        <v>-3.4095170000000001E-2</v>
      </c>
      <c r="U3237">
        <v>-0.27108759999999998</v>
      </c>
      <c r="V3237">
        <v>-0.1034915</v>
      </c>
      <c r="W3237">
        <v>0.1925782</v>
      </c>
      <c r="X3237">
        <v>0.97580900000000004</v>
      </c>
      <c r="Y3237">
        <v>-8.6263740000000005E-2</v>
      </c>
      <c r="Z3237">
        <v>-1.0710069999999999E-3</v>
      </c>
      <c r="AA3237">
        <v>0.99627180000000004</v>
      </c>
      <c r="AB3237">
        <v>33</v>
      </c>
      <c r="AC3237">
        <v>-78.048100000000005</v>
      </c>
      <c r="AD3237">
        <v>-0.87678159999999905</v>
      </c>
      <c r="AE3237">
        <v>-6.9701000000000004</v>
      </c>
      <c r="AF3237">
        <v>-6.7795042524693496</v>
      </c>
      <c r="AG3237">
        <v>-0.87678159999999905</v>
      </c>
      <c r="AH3237">
        <v>78.055040365487898</v>
      </c>
      <c r="AI3237">
        <v>90.641154946205504</v>
      </c>
      <c r="AJ3237">
        <v>94.963992131127696</v>
      </c>
      <c r="AK3237">
        <v>78.353811332578402</v>
      </c>
      <c r="AL3237">
        <v>78.896716944854205</v>
      </c>
      <c r="AM3237">
        <v>96.053994831603703</v>
      </c>
      <c r="AN3237">
        <v>1.0000000290842399</v>
      </c>
    </row>
    <row r="3238" spans="1:40" x14ac:dyDescent="0.25">
      <c r="A3238" t="str">
        <f>"20190304154820390"</f>
        <v>20190304154820390</v>
      </c>
      <c r="B3238" t="str">
        <f>"1551685700379804"</f>
        <v>1551685700379804</v>
      </c>
      <c r="C3238" t="s">
        <v>40</v>
      </c>
      <c r="D3238">
        <v>4.2967389999999996</v>
      </c>
      <c r="E3238">
        <v>0.50301679999999904</v>
      </c>
      <c r="F3238" t="s">
        <v>62</v>
      </c>
      <c r="G3238">
        <v>-511.95870000000002</v>
      </c>
      <c r="H3238">
        <v>0.20782030000000001</v>
      </c>
      <c r="I3238">
        <v>278.08800000000002</v>
      </c>
      <c r="J3238">
        <v>-434.10750000000002</v>
      </c>
      <c r="K3238">
        <v>1.1106290000000001</v>
      </c>
      <c r="L3238">
        <v>285.18119999999999</v>
      </c>
      <c r="M3238">
        <v>-0.99990610000000002</v>
      </c>
      <c r="N3238">
        <v>-1.3494910000000001E-2</v>
      </c>
      <c r="O3238">
        <v>-2.4072970000000001E-3</v>
      </c>
      <c r="P3238">
        <v>-0.97808790000000001</v>
      </c>
      <c r="Q3238">
        <v>0.17933060000000001</v>
      </c>
      <c r="R3238">
        <v>-0.1057577</v>
      </c>
      <c r="S3238">
        <v>-3.043793</v>
      </c>
      <c r="T3238">
        <v>-3.5205479999999997E-2</v>
      </c>
      <c r="U3238">
        <v>-0.27664179999999999</v>
      </c>
      <c r="V3238">
        <v>-0.1033781</v>
      </c>
      <c r="W3238">
        <v>0.19253000000000001</v>
      </c>
      <c r="X3238">
        <v>0.97583050000000005</v>
      </c>
      <c r="Y3238">
        <v>-8.8103539999999994E-2</v>
      </c>
      <c r="Z3238">
        <v>-1.108857E-3</v>
      </c>
      <c r="AA3238">
        <v>0.99611070000000002</v>
      </c>
      <c r="AB3238">
        <v>33</v>
      </c>
      <c r="AC3238">
        <v>-77.851200000000006</v>
      </c>
      <c r="AD3238">
        <v>-0.90280870000000002</v>
      </c>
      <c r="AE3238">
        <v>-7.0932000000000199</v>
      </c>
      <c r="AF3238">
        <v>-6.9048305034941304</v>
      </c>
      <c r="AG3238">
        <v>-0.90280870000000002</v>
      </c>
      <c r="AH3238">
        <v>77.857667203473</v>
      </c>
      <c r="AI3238">
        <v>90.6617538389023</v>
      </c>
      <c r="AJ3238">
        <v>95.068034261032096</v>
      </c>
      <c r="AK3238">
        <v>78.1684596892988</v>
      </c>
      <c r="AL3238">
        <v>78.899530924823495</v>
      </c>
      <c r="AM3238">
        <v>96.0472781454786</v>
      </c>
      <c r="AN3238">
        <v>0.99999999859493005</v>
      </c>
    </row>
    <row r="3239" spans="1:40" x14ac:dyDescent="0.25">
      <c r="A3239" t="str">
        <f>"20190304154820405"</f>
        <v>20190304154820405</v>
      </c>
      <c r="B3239" t="str">
        <f>"1551685700400300"</f>
        <v>1551685700400300</v>
      </c>
      <c r="C3239" t="s">
        <v>40</v>
      </c>
      <c r="D3239">
        <v>4.3431670000000002</v>
      </c>
      <c r="E3239">
        <v>0.50199199999999999</v>
      </c>
      <c r="F3239" t="s">
        <v>62</v>
      </c>
      <c r="G3239">
        <v>-511.95870000000002</v>
      </c>
      <c r="H3239">
        <v>0.2072658</v>
      </c>
      <c r="I3239">
        <v>278.05489999999998</v>
      </c>
      <c r="J3239">
        <v>-434.31549999999999</v>
      </c>
      <c r="K3239">
        <v>1.1106290000000001</v>
      </c>
      <c r="L3239">
        <v>285.1807</v>
      </c>
      <c r="M3239">
        <v>-0.99990610000000002</v>
      </c>
      <c r="N3239">
        <v>-1.349349E-2</v>
      </c>
      <c r="O3239">
        <v>-2.3828510000000001E-3</v>
      </c>
      <c r="P3239">
        <v>-0.97812969999999999</v>
      </c>
      <c r="Q3239">
        <v>0.17909320000000001</v>
      </c>
      <c r="R3239">
        <v>-0.1057734</v>
      </c>
      <c r="S3239">
        <v>-3.0435490000000001</v>
      </c>
      <c r="T3239">
        <v>-3.5313249999999997E-2</v>
      </c>
      <c r="U3239">
        <v>-0.27859499999999998</v>
      </c>
      <c r="V3239">
        <v>-0.10341789999999899</v>
      </c>
      <c r="W3239">
        <v>0.19229180000000001</v>
      </c>
      <c r="X3239">
        <v>0.9758732</v>
      </c>
      <c r="Y3239">
        <v>-8.8768860000000005E-2</v>
      </c>
      <c r="Z3239">
        <v>-1.118607E-3</v>
      </c>
      <c r="AA3239">
        <v>0.99605160000000004</v>
      </c>
      <c r="AB3239">
        <v>33</v>
      </c>
      <c r="AC3239">
        <v>-77.643199999999993</v>
      </c>
      <c r="AD3239">
        <v>-0.90336319999999903</v>
      </c>
      <c r="AE3239">
        <v>-7.1258000000000203</v>
      </c>
      <c r="AF3239">
        <v>-6.9398191536091396</v>
      </c>
      <c r="AG3239">
        <v>-0.90336319999999903</v>
      </c>
      <c r="AH3239">
        <v>77.649537284099907</v>
      </c>
      <c r="AI3239">
        <v>90.663894566783796</v>
      </c>
      <c r="AJ3239">
        <v>95.107161211636395</v>
      </c>
      <c r="AK3239">
        <v>77.964272557311304</v>
      </c>
      <c r="AL3239">
        <v>78.9134381124275</v>
      </c>
      <c r="AM3239">
        <v>96.049326311703496</v>
      </c>
      <c r="AN3239">
        <v>0.99999995043294299</v>
      </c>
    </row>
    <row r="3240" spans="1:40" x14ac:dyDescent="0.25">
      <c r="A3240" t="str">
        <f>"20190304154820417"</f>
        <v>20190304154820417</v>
      </c>
      <c r="B3240" t="str">
        <f>"1551685700410060"</f>
        <v>1551685700410060</v>
      </c>
      <c r="C3240" t="s">
        <v>40</v>
      </c>
      <c r="D3240">
        <v>4.335744</v>
      </c>
      <c r="E3240">
        <v>0.50186049999999904</v>
      </c>
      <c r="F3240" t="s">
        <v>62</v>
      </c>
      <c r="G3240">
        <v>-511.95859999999999</v>
      </c>
      <c r="H3240">
        <v>7.5933810000000004E-2</v>
      </c>
      <c r="I3240">
        <v>277.8639</v>
      </c>
      <c r="J3240">
        <v>-434.50560000000002</v>
      </c>
      <c r="K3240">
        <v>1.1106259999999999</v>
      </c>
      <c r="L3240">
        <v>285.18020000000001</v>
      </c>
      <c r="M3240">
        <v>-0.99990619999999997</v>
      </c>
      <c r="N3240">
        <v>-1.3492189999999999E-2</v>
      </c>
      <c r="O3240">
        <v>-2.3605520000000001E-3</v>
      </c>
      <c r="P3240">
        <v>-0.97818280000000002</v>
      </c>
      <c r="Q3240">
        <v>0.17904870000000001</v>
      </c>
      <c r="R3240">
        <v>-0.1053569</v>
      </c>
      <c r="S3240">
        <v>-3.043488</v>
      </c>
      <c r="T3240">
        <v>-4.055512E-2</v>
      </c>
      <c r="U3240">
        <v>-0.28680420000000001</v>
      </c>
      <c r="V3240">
        <v>-0.1030233</v>
      </c>
      <c r="W3240">
        <v>0.1922469</v>
      </c>
      <c r="X3240">
        <v>0.97592380000000001</v>
      </c>
      <c r="Y3240">
        <v>-9.1452850000000002E-2</v>
      </c>
      <c r="Z3240">
        <v>-1.2267350000000001E-3</v>
      </c>
      <c r="AA3240">
        <v>0.99580869999999999</v>
      </c>
      <c r="AB3240">
        <v>33</v>
      </c>
      <c r="AC3240">
        <v>-77.452999999999903</v>
      </c>
      <c r="AD3240">
        <v>-1.0346921899999999</v>
      </c>
      <c r="AE3240">
        <v>-7.3163000000000098</v>
      </c>
      <c r="AF3240">
        <v>-7.13216957182967</v>
      </c>
      <c r="AG3240">
        <v>-1.0346921899999999</v>
      </c>
      <c r="AH3240">
        <v>77.456355478471494</v>
      </c>
      <c r="AI3240">
        <v>90.762110186643696</v>
      </c>
      <c r="AJ3240">
        <v>95.260951561745699</v>
      </c>
      <c r="AK3240">
        <v>77.790908432391504</v>
      </c>
      <c r="AL3240">
        <v>78.916059792041906</v>
      </c>
      <c r="AM3240">
        <v>96.026104600964103</v>
      </c>
      <c r="AN3240">
        <v>0.99999996715446904</v>
      </c>
    </row>
    <row r="3241" spans="1:40" x14ac:dyDescent="0.25">
      <c r="A3241" t="str">
        <f>"20190304154820432"</f>
        <v>20190304154820432</v>
      </c>
      <c r="B3241" t="str">
        <f>"1551685700429580"</f>
        <v>1551685700429580</v>
      </c>
      <c r="C3241" t="s">
        <v>40</v>
      </c>
      <c r="D3241">
        <v>4.3198470000000002</v>
      </c>
      <c r="E3241">
        <v>0.50158440000000004</v>
      </c>
      <c r="F3241" t="s">
        <v>62</v>
      </c>
      <c r="G3241">
        <v>-511.95859999999999</v>
      </c>
      <c r="H3241">
        <v>8.2591830000000005E-2</v>
      </c>
      <c r="I3241">
        <v>277.89139999999998</v>
      </c>
      <c r="J3241">
        <v>-434.72669999999999</v>
      </c>
      <c r="K3241">
        <v>1.1106259999999999</v>
      </c>
      <c r="L3241">
        <v>285.17970000000003</v>
      </c>
      <c r="M3241">
        <v>-0.99990639999999997</v>
      </c>
      <c r="N3241">
        <v>-1.349067E-2</v>
      </c>
      <c r="O3241">
        <v>-2.334675E-3</v>
      </c>
      <c r="P3241">
        <v>-0.97818079999999996</v>
      </c>
      <c r="Q3241">
        <v>0.1791683</v>
      </c>
      <c r="R3241">
        <v>-0.10517170000000001</v>
      </c>
      <c r="S3241">
        <v>-3.0434570000000001</v>
      </c>
      <c r="T3241">
        <v>-4.0392520000000001E-2</v>
      </c>
      <c r="U3241">
        <v>-0.28640749999999998</v>
      </c>
      <c r="V3241">
        <v>-0.1028631</v>
      </c>
      <c r="W3241">
        <v>0.1923648</v>
      </c>
      <c r="X3241">
        <v>0.97591749999999999</v>
      </c>
      <c r="Y3241">
        <v>-9.1351020000000005E-2</v>
      </c>
      <c r="Z3241">
        <v>-1.222987E-3</v>
      </c>
      <c r="AA3241">
        <v>0.99581799999999998</v>
      </c>
      <c r="AB3241">
        <v>33</v>
      </c>
      <c r="AC3241">
        <v>-77.231899999999996</v>
      </c>
      <c r="AD3241">
        <v>-1.02803417</v>
      </c>
      <c r="AE3241">
        <v>-7.2883000000000404</v>
      </c>
      <c r="AF3241">
        <v>-7.1067042885171299</v>
      </c>
      <c r="AG3241">
        <v>-1.02803417</v>
      </c>
      <c r="AH3241">
        <v>77.235142887331193</v>
      </c>
      <c r="AI3241">
        <v>90.759379814039207</v>
      </c>
      <c r="AJ3241">
        <v>95.257202883236701</v>
      </c>
      <c r="AK3241">
        <v>77.568224144462505</v>
      </c>
      <c r="AL3241">
        <v>78.909176507540295</v>
      </c>
      <c r="AM3241">
        <v>96.016841428194795</v>
      </c>
      <c r="AN3241">
        <v>1.0000000002134499</v>
      </c>
    </row>
    <row r="3242" spans="1:40" x14ac:dyDescent="0.25">
      <c r="A3242" t="str">
        <f>"20190304154820446"</f>
        <v>20190304154820446</v>
      </c>
      <c r="B3242" t="str">
        <f>"1551685700440316"</f>
        <v>1551685700440316</v>
      </c>
      <c r="C3242" t="s">
        <v>40</v>
      </c>
      <c r="D3242">
        <v>4.3496739999999896</v>
      </c>
      <c r="E3242">
        <v>0.50145360000000005</v>
      </c>
      <c r="F3242" t="s">
        <v>62</v>
      </c>
      <c r="G3242">
        <v>-511.95859999999999</v>
      </c>
      <c r="H3242">
        <v>0.1062535</v>
      </c>
      <c r="I3242">
        <v>277.86930000000001</v>
      </c>
      <c r="J3242">
        <v>-434.92950000000002</v>
      </c>
      <c r="K3242">
        <v>1.110627</v>
      </c>
      <c r="L3242">
        <v>285.17930000000001</v>
      </c>
      <c r="M3242">
        <v>-0.99990639999999997</v>
      </c>
      <c r="N3242">
        <v>-1.3489289999999999E-2</v>
      </c>
      <c r="O3242">
        <v>-2.3109419999999999E-3</v>
      </c>
      <c r="P3242">
        <v>-0.97816910000000001</v>
      </c>
      <c r="Q3242">
        <v>0.17911440000000001</v>
      </c>
      <c r="R3242">
        <v>-0.1053727</v>
      </c>
      <c r="S3242">
        <v>-3.0432130000000002</v>
      </c>
      <c r="T3242">
        <v>-3.9572599999999999E-2</v>
      </c>
      <c r="U3242">
        <v>-0.28805540000000002</v>
      </c>
      <c r="V3242">
        <v>-0.1030871</v>
      </c>
      <c r="W3242">
        <v>0.1923096</v>
      </c>
      <c r="X3242">
        <v>0.97590480000000002</v>
      </c>
      <c r="Y3242">
        <v>-9.1916960000000006E-2</v>
      </c>
      <c r="Z3242">
        <v>-1.2188019999999999E-3</v>
      </c>
      <c r="AA3242">
        <v>0.99576589999999998</v>
      </c>
      <c r="AB3242">
        <v>33</v>
      </c>
      <c r="AC3242">
        <v>-77.0290999999999</v>
      </c>
      <c r="AD3242">
        <v>-1.0043735</v>
      </c>
      <c r="AE3242">
        <v>-7.31</v>
      </c>
      <c r="AF3242">
        <v>-7.1307530102283501</v>
      </c>
      <c r="AG3242">
        <v>-1.0043735</v>
      </c>
      <c r="AH3242">
        <v>77.0328091521001</v>
      </c>
      <c r="AI3242">
        <v>90.743815085444993</v>
      </c>
      <c r="AJ3242">
        <v>95.288669329136795</v>
      </c>
      <c r="AK3242">
        <v>77.368663491650494</v>
      </c>
      <c r="AL3242">
        <v>78.912400031045607</v>
      </c>
      <c r="AM3242">
        <v>96.029925476274101</v>
      </c>
      <c r="AN3242">
        <v>1.0000000555508</v>
      </c>
    </row>
    <row r="3243" spans="1:40" x14ac:dyDescent="0.25">
      <c r="A3243" t="str">
        <f>"20190304154820458"</f>
        <v>20190304154820458</v>
      </c>
      <c r="B3243" t="str">
        <f>"1551685700450076"</f>
        <v>1551685700450076</v>
      </c>
      <c r="C3243" t="s">
        <v>40</v>
      </c>
      <c r="D3243">
        <v>4.3587930000000004</v>
      </c>
      <c r="E3243">
        <v>0.50128240000000002</v>
      </c>
      <c r="F3243" t="s">
        <v>62</v>
      </c>
      <c r="G3243">
        <v>-511.95859999999999</v>
      </c>
      <c r="H3243">
        <v>0.10315820000000001</v>
      </c>
      <c r="I3243">
        <v>277.84370000000001</v>
      </c>
      <c r="J3243">
        <v>-435.11590000000001</v>
      </c>
      <c r="K3243">
        <v>1.1106240000000001</v>
      </c>
      <c r="L3243">
        <v>285.1789</v>
      </c>
      <c r="M3243">
        <v>-0.99990650000000003</v>
      </c>
      <c r="N3243">
        <v>-1.348801E-2</v>
      </c>
      <c r="O3243">
        <v>-2.2891180000000001E-3</v>
      </c>
      <c r="P3243">
        <v>-0.97823769999999999</v>
      </c>
      <c r="Q3243">
        <v>0.17905660000000001</v>
      </c>
      <c r="R3243">
        <v>-0.1048322</v>
      </c>
      <c r="S3243">
        <v>-3.0430600000000001</v>
      </c>
      <c r="T3243">
        <v>-3.9797069999999997E-2</v>
      </c>
      <c r="U3243">
        <v>-0.28979490000000002</v>
      </c>
      <c r="V3243">
        <v>-0.10256759999999999</v>
      </c>
      <c r="W3243">
        <v>0.19225059999999999</v>
      </c>
      <c r="X3243">
        <v>0.97597109999999998</v>
      </c>
      <c r="Y3243">
        <v>-9.2507229999999996E-2</v>
      </c>
      <c r="Z3243">
        <v>-1.229813E-3</v>
      </c>
      <c r="AA3243">
        <v>0.99571129999999997</v>
      </c>
      <c r="AB3243">
        <v>33</v>
      </c>
      <c r="AC3243">
        <v>-76.842699999999894</v>
      </c>
      <c r="AD3243">
        <v>-1.0074658000000001</v>
      </c>
      <c r="AE3243">
        <v>-7.33519999999998</v>
      </c>
      <c r="AF3243">
        <v>-7.1580434836581501</v>
      </c>
      <c r="AG3243">
        <v>-1.0074658000000001</v>
      </c>
      <c r="AH3243">
        <v>76.846201335524498</v>
      </c>
      <c r="AI3243">
        <v>90.747876567749103</v>
      </c>
      <c r="AJ3243">
        <v>95.321612014139902</v>
      </c>
      <c r="AK3243">
        <v>77.185434076333806</v>
      </c>
      <c r="AL3243">
        <v>78.915844101896496</v>
      </c>
      <c r="AM3243">
        <v>95.999355703876901</v>
      </c>
      <c r="AN3243">
        <v>0.99999999690266494</v>
      </c>
    </row>
    <row r="3244" spans="1:40" x14ac:dyDescent="0.25">
      <c r="A3244" t="str">
        <f>"20190304154820474"</f>
        <v>20190304154820474</v>
      </c>
      <c r="B3244" t="str">
        <f>"1551685700459836"</f>
        <v>1551685700459836</v>
      </c>
      <c r="C3244" t="s">
        <v>40</v>
      </c>
      <c r="D3244">
        <v>4.3366199999999999</v>
      </c>
      <c r="E3244">
        <v>0.50109559999999997</v>
      </c>
      <c r="F3244" t="s">
        <v>62</v>
      </c>
      <c r="G3244">
        <v>-511.95859999999999</v>
      </c>
      <c r="H3244">
        <v>9.3697310000000006E-2</v>
      </c>
      <c r="I3244">
        <v>277.87349999999998</v>
      </c>
      <c r="J3244">
        <v>-435.34089999999998</v>
      </c>
      <c r="K3244">
        <v>1.110627</v>
      </c>
      <c r="L3244">
        <v>285.17840000000001</v>
      </c>
      <c r="M3244">
        <v>-0.99990659999999998</v>
      </c>
      <c r="N3244">
        <v>-1.3486440000000001E-2</v>
      </c>
      <c r="O3244">
        <v>-2.2626450000000002E-3</v>
      </c>
      <c r="P3244">
        <v>-0.97816789999999998</v>
      </c>
      <c r="Q3244">
        <v>0.1792696</v>
      </c>
      <c r="R3244">
        <v>-0.1051212</v>
      </c>
      <c r="S3244">
        <v>-3.0431520000000001</v>
      </c>
      <c r="T3244">
        <v>-4.0269369999999999E-2</v>
      </c>
      <c r="U3244">
        <v>-0.28930660000000002</v>
      </c>
      <c r="V3244">
        <v>-0.102883</v>
      </c>
      <c r="W3244">
        <v>0.19246170000000001</v>
      </c>
      <c r="X3244">
        <v>0.97589630000000005</v>
      </c>
      <c r="Y3244">
        <v>-9.2372190000000007E-2</v>
      </c>
      <c r="Z3244">
        <v>-1.234717E-3</v>
      </c>
      <c r="AA3244">
        <v>0.99572380000000005</v>
      </c>
      <c r="AB3244">
        <v>33</v>
      </c>
      <c r="AC3244">
        <v>-76.617699999999999</v>
      </c>
      <c r="AD3244">
        <v>-1.01692969</v>
      </c>
      <c r="AE3244">
        <v>-7.3049000000000301</v>
      </c>
      <c r="AF3244">
        <v>-7.1302620936731502</v>
      </c>
      <c r="AG3244">
        <v>-1.01692969</v>
      </c>
      <c r="AH3244">
        <v>76.620657327402697</v>
      </c>
      <c r="AI3244">
        <v>90.757129209079395</v>
      </c>
      <c r="AJ3244">
        <v>95.316591166269205</v>
      </c>
      <c r="AK3244">
        <v>76.958429770897396</v>
      </c>
      <c r="AL3244">
        <v>78.903518858379897</v>
      </c>
      <c r="AM3244">
        <v>96.018126684307902</v>
      </c>
      <c r="AN3244">
        <v>1.00000000300479</v>
      </c>
    </row>
    <row r="3245" spans="1:40" x14ac:dyDescent="0.25">
      <c r="A3245" t="str">
        <f>"20190304154820488"</f>
        <v>20190304154820488</v>
      </c>
      <c r="B3245" t="str">
        <f>"1551685700480332"</f>
        <v>1551685700480332</v>
      </c>
      <c r="C3245" t="s">
        <v>40</v>
      </c>
      <c r="D3245">
        <v>4.337961</v>
      </c>
      <c r="E3245">
        <v>0.50080769999999997</v>
      </c>
      <c r="F3245" t="s">
        <v>62</v>
      </c>
      <c r="G3245">
        <v>-511.95859999999999</v>
      </c>
      <c r="H3245">
        <v>0.1063293</v>
      </c>
      <c r="I3245">
        <v>277.834</v>
      </c>
      <c r="J3245">
        <v>-435.5532</v>
      </c>
      <c r="K3245">
        <v>1.110625</v>
      </c>
      <c r="L3245">
        <v>285.17790000000002</v>
      </c>
      <c r="M3245">
        <v>-0.99990650000000003</v>
      </c>
      <c r="N3245">
        <v>-1.3484970000000001E-2</v>
      </c>
      <c r="O3245">
        <v>-2.2374840000000001E-3</v>
      </c>
      <c r="P3245">
        <v>-0.97817790000000004</v>
      </c>
      <c r="Q3245">
        <v>0.17924670000000001</v>
      </c>
      <c r="R3245">
        <v>-0.1050644</v>
      </c>
      <c r="S3245">
        <v>-3.0429379999999999</v>
      </c>
      <c r="T3245">
        <v>-3.9883259999999997E-2</v>
      </c>
      <c r="U3245">
        <v>-0.29168699999999997</v>
      </c>
      <c r="V3245">
        <v>-0.1028509</v>
      </c>
      <c r="W3245">
        <v>0.19243730000000001</v>
      </c>
      <c r="X3245">
        <v>0.97590449999999995</v>
      </c>
      <c r="Y3245">
        <v>-9.3175770000000005E-2</v>
      </c>
      <c r="Z3245">
        <v>-1.239801E-3</v>
      </c>
      <c r="AA3245">
        <v>0.99564889999999995</v>
      </c>
      <c r="AB3245">
        <v>33</v>
      </c>
      <c r="AC3245">
        <v>-76.405399999999901</v>
      </c>
      <c r="AD3245">
        <v>-1.0042956999999999</v>
      </c>
      <c r="AE3245">
        <v>-7.3439000000000103</v>
      </c>
      <c r="AF3245">
        <v>-7.1716824673776296</v>
      </c>
      <c r="AG3245">
        <v>-1.0042956999999999</v>
      </c>
      <c r="AH3245">
        <v>76.408561595726894</v>
      </c>
      <c r="AI3245">
        <v>90.749743675751802</v>
      </c>
      <c r="AJ3245">
        <v>95.362053928965295</v>
      </c>
      <c r="AK3245">
        <v>76.750960413495307</v>
      </c>
      <c r="AL3245">
        <v>78.904943558048203</v>
      </c>
      <c r="AM3245">
        <v>96.016212592289904</v>
      </c>
      <c r="AN3245">
        <v>1.0000000075911699</v>
      </c>
    </row>
    <row r="3246" spans="1:40" x14ac:dyDescent="0.25">
      <c r="A3246" t="str">
        <f>"20190304154820506"</f>
        <v>20190304154820506</v>
      </c>
      <c r="B3246" t="str">
        <f>"1551685700499852"</f>
        <v>1551685700499852</v>
      </c>
      <c r="C3246" t="s">
        <v>40</v>
      </c>
      <c r="D3246">
        <v>4.3479369999999999</v>
      </c>
      <c r="E3246">
        <v>0.50048619999999999</v>
      </c>
      <c r="F3246" t="s">
        <v>62</v>
      </c>
      <c r="G3246">
        <v>-511.95859999999999</v>
      </c>
      <c r="H3246">
        <v>0.1104209</v>
      </c>
      <c r="I3246">
        <v>277.80590000000001</v>
      </c>
      <c r="J3246">
        <v>-435.83359999999999</v>
      </c>
      <c r="K3246">
        <v>1.1106259999999999</v>
      </c>
      <c r="L3246">
        <v>285.17739999999998</v>
      </c>
      <c r="M3246">
        <v>-0.99990679999999998</v>
      </c>
      <c r="N3246">
        <v>-1.348301E-2</v>
      </c>
      <c r="O3246">
        <v>-2.2045720000000001E-3</v>
      </c>
      <c r="P3246">
        <v>-0.97812909999999997</v>
      </c>
      <c r="Q3246">
        <v>0.17939189999999999</v>
      </c>
      <c r="R3246">
        <v>-0.10527350000000001</v>
      </c>
      <c r="S3246">
        <v>-3.0427249999999999</v>
      </c>
      <c r="T3246">
        <v>-3.9828179999999998E-2</v>
      </c>
      <c r="U3246">
        <v>-0.29357909999999998</v>
      </c>
      <c r="V3246">
        <v>-0.1030923</v>
      </c>
      <c r="W3246">
        <v>0.1925801</v>
      </c>
      <c r="X3246">
        <v>0.97585089999999997</v>
      </c>
      <c r="Y3246">
        <v>-9.3828540000000002E-2</v>
      </c>
      <c r="Z3246">
        <v>-1.2476060000000001E-3</v>
      </c>
      <c r="AA3246">
        <v>0.99558760000000002</v>
      </c>
      <c r="AB3246">
        <v>33</v>
      </c>
      <c r="AC3246">
        <v>-76.125</v>
      </c>
      <c r="AD3246">
        <v>-1.0002050999999901</v>
      </c>
      <c r="AE3246">
        <v>-7.3714999999999602</v>
      </c>
      <c r="AF3246">
        <v>-7.2024119828311202</v>
      </c>
      <c r="AG3246">
        <v>-1.0002050999999901</v>
      </c>
      <c r="AH3246">
        <v>76.128047338522904</v>
      </c>
      <c r="AI3246">
        <v>90.749388847750097</v>
      </c>
      <c r="AJ3246">
        <v>95.404619517270007</v>
      </c>
      <c r="AK3246">
        <v>76.474536547722096</v>
      </c>
      <c r="AL3246">
        <v>78.896606220460697</v>
      </c>
      <c r="AM3246">
        <v>96.030558019618098</v>
      </c>
      <c r="AN3246">
        <v>1.00000004813305</v>
      </c>
    </row>
    <row r="3247" spans="1:40" x14ac:dyDescent="0.25">
      <c r="A3247" t="str">
        <f>"20190304154820520"</f>
        <v>20190304154820520</v>
      </c>
      <c r="B3247" t="str">
        <f>"1551685700509613"</f>
        <v>1551685700509613</v>
      </c>
      <c r="C3247" t="s">
        <v>40</v>
      </c>
      <c r="D3247">
        <v>4.3646079999999996</v>
      </c>
      <c r="E3247">
        <v>0.50037759999999998</v>
      </c>
      <c r="F3247" t="s">
        <v>62</v>
      </c>
      <c r="G3247">
        <v>-511.95859999999999</v>
      </c>
      <c r="H3247">
        <v>0.1264364</v>
      </c>
      <c r="I3247">
        <v>277.7473</v>
      </c>
      <c r="J3247">
        <v>-436.0394</v>
      </c>
      <c r="K3247">
        <v>1.1106240000000001</v>
      </c>
      <c r="L3247">
        <v>285.17689999999999</v>
      </c>
      <c r="M3247">
        <v>-0.99990679999999998</v>
      </c>
      <c r="N3247">
        <v>-1.348158E-2</v>
      </c>
      <c r="O3247">
        <v>-2.1801289999999998E-3</v>
      </c>
      <c r="P3247">
        <v>-0.97817580000000004</v>
      </c>
      <c r="Q3247">
        <v>0.1793381</v>
      </c>
      <c r="R3247">
        <v>-0.1049284</v>
      </c>
      <c r="S3247">
        <v>-3.042297</v>
      </c>
      <c r="T3247">
        <v>-3.9329290000000003E-2</v>
      </c>
      <c r="U3247">
        <v>-0.29693599999999998</v>
      </c>
      <c r="V3247">
        <v>-0.102770899999999</v>
      </c>
      <c r="W3247">
        <v>0.19252530000000001</v>
      </c>
      <c r="X3247">
        <v>0.97589559999999997</v>
      </c>
      <c r="Y3247">
        <v>-9.4954590000000005E-2</v>
      </c>
      <c r="Z3247">
        <v>-1.2551610000000001E-3</v>
      </c>
      <c r="AA3247">
        <v>0.99548080000000005</v>
      </c>
      <c r="AB3247">
        <v>33</v>
      </c>
      <c r="AC3247">
        <v>-75.919199999999904</v>
      </c>
      <c r="AD3247">
        <v>-0.98418760000000005</v>
      </c>
      <c r="AE3247">
        <v>-7.42959999999999</v>
      </c>
      <c r="AF3247">
        <v>-7.2628446749643798</v>
      </c>
      <c r="AG3247">
        <v>-0.98418760000000005</v>
      </c>
      <c r="AH3247">
        <v>75.922580337944595</v>
      </c>
      <c r="AI3247">
        <v>90.739311337652197</v>
      </c>
      <c r="AJ3247">
        <v>95.464354931318695</v>
      </c>
      <c r="AK3247">
        <v>76.275525191087993</v>
      </c>
      <c r="AL3247">
        <v>78.899805764606</v>
      </c>
      <c r="AM3247">
        <v>96.011621735887005</v>
      </c>
      <c r="AN3247">
        <v>1.00000003556312</v>
      </c>
    </row>
    <row r="3248" spans="1:40" x14ac:dyDescent="0.25">
      <c r="A3248" t="str">
        <f>"20190304154820540"</f>
        <v>20190304154820540</v>
      </c>
      <c r="B3248" t="str">
        <f>"1551685700530108"</f>
        <v>1551685700530108</v>
      </c>
      <c r="C3248" t="s">
        <v>40</v>
      </c>
      <c r="D3248">
        <v>4.3620859999999997</v>
      </c>
      <c r="E3248">
        <v>0.50014950000000002</v>
      </c>
      <c r="F3248" t="s">
        <v>62</v>
      </c>
      <c r="G3248">
        <v>-511.95870000000002</v>
      </c>
      <c r="H3248">
        <v>0.1287325</v>
      </c>
      <c r="I3248">
        <v>277.77699999999999</v>
      </c>
      <c r="J3248">
        <v>-436.3365</v>
      </c>
      <c r="K3248">
        <v>1.1106199999999999</v>
      </c>
      <c r="L3248">
        <v>285.17630000000003</v>
      </c>
      <c r="M3248">
        <v>-0.99990679999999998</v>
      </c>
      <c r="N3248">
        <v>-1.347953E-2</v>
      </c>
      <c r="O3248">
        <v>-2.1448330000000001E-3</v>
      </c>
      <c r="P3248">
        <v>-0.97814619999999997</v>
      </c>
      <c r="Q3248">
        <v>0.17939539999999901</v>
      </c>
      <c r="R3248">
        <v>-0.1051068</v>
      </c>
      <c r="S3248">
        <v>-3.0423279999999999</v>
      </c>
      <c r="T3248">
        <v>-3.9344190000000001E-2</v>
      </c>
      <c r="U3248">
        <v>-0.29653930000000001</v>
      </c>
      <c r="V3248">
        <v>-0.1029843</v>
      </c>
      <c r="W3248">
        <v>0.1925801</v>
      </c>
      <c r="X3248">
        <v>0.97586229999999996</v>
      </c>
      <c r="Y3248">
        <v>-9.4860200000000006E-2</v>
      </c>
      <c r="Z3248">
        <v>-1.2540089999999999E-3</v>
      </c>
      <c r="AA3248">
        <v>0.99548979999999998</v>
      </c>
      <c r="AB3248">
        <v>33</v>
      </c>
      <c r="AC3248">
        <v>-75.622200000000007</v>
      </c>
      <c r="AD3248">
        <v>-0.98188750000000002</v>
      </c>
      <c r="AE3248">
        <v>-7.3993000000000304</v>
      </c>
      <c r="AF3248">
        <v>-7.2358629357417596</v>
      </c>
      <c r="AG3248">
        <v>-0.98188750000000002</v>
      </c>
      <c r="AH3248">
        <v>75.625269174099202</v>
      </c>
      <c r="AI3248">
        <v>90.740481758049199</v>
      </c>
      <c r="AJ3248">
        <v>95.465450585640795</v>
      </c>
      <c r="AK3248">
        <v>75.976990945564907</v>
      </c>
      <c r="AL3248">
        <v>78.896606182553597</v>
      </c>
      <c r="AM3248">
        <v>96.024217002390401</v>
      </c>
      <c r="AN3248">
        <v>1.00000004476189</v>
      </c>
    </row>
    <row r="3249" spans="1:40" x14ac:dyDescent="0.25">
      <c r="A3249" t="str">
        <f>"20190304154820558"</f>
        <v>20190304154820558</v>
      </c>
      <c r="B3249" t="str">
        <f>"1551685700549628"</f>
        <v>1551685700549628</v>
      </c>
      <c r="C3249" t="s">
        <v>40</v>
      </c>
      <c r="D3249">
        <v>4.3829890000000002</v>
      </c>
      <c r="E3249">
        <v>0.49997740000000002</v>
      </c>
      <c r="F3249" t="s">
        <v>62</v>
      </c>
      <c r="G3249">
        <v>-511.95870000000002</v>
      </c>
      <c r="H3249">
        <v>0.12961420000000001</v>
      </c>
      <c r="I3249">
        <v>277.74950000000001</v>
      </c>
      <c r="J3249">
        <v>-436.59449999999998</v>
      </c>
      <c r="K3249">
        <v>1.1106180000000001</v>
      </c>
      <c r="L3249">
        <v>285.17579999999998</v>
      </c>
      <c r="M3249">
        <v>-0.99990690000000004</v>
      </c>
      <c r="N3249">
        <v>-1.347778E-2</v>
      </c>
      <c r="O3249">
        <v>-2.1143049999999999E-3</v>
      </c>
      <c r="P3249">
        <v>-0.97820229999999997</v>
      </c>
      <c r="Q3249">
        <v>0.179115</v>
      </c>
      <c r="R3249">
        <v>-0.10506119999999999</v>
      </c>
      <c r="S3249">
        <v>-3.0421450000000001</v>
      </c>
      <c r="T3249">
        <v>-3.9460780000000001E-2</v>
      </c>
      <c r="U3249">
        <v>-0.29876710000000001</v>
      </c>
      <c r="V3249">
        <v>-0.1029687</v>
      </c>
      <c r="W3249">
        <v>0.19229879999999999</v>
      </c>
      <c r="X3249">
        <v>0.97591939999999999</v>
      </c>
      <c r="Y3249">
        <v>-9.5618229999999999E-2</v>
      </c>
      <c r="Z3249">
        <v>-1.2656989999999999E-3</v>
      </c>
      <c r="AA3249">
        <v>0.99541729999999995</v>
      </c>
      <c r="AB3249">
        <v>33</v>
      </c>
      <c r="AC3249">
        <v>-75.364199999999997</v>
      </c>
      <c r="AD3249">
        <v>-0.98100379999999998</v>
      </c>
      <c r="AE3249">
        <v>-7.4262999999999604</v>
      </c>
      <c r="AF3249">
        <v>-7.2657067641884598</v>
      </c>
      <c r="AG3249">
        <v>-0.98100379999999998</v>
      </c>
      <c r="AH3249">
        <v>75.367087153536303</v>
      </c>
      <c r="AI3249">
        <v>90.742298348579894</v>
      </c>
      <c r="AJ3249">
        <v>95.506539306512295</v>
      </c>
      <c r="AK3249">
        <v>75.722854471074399</v>
      </c>
      <c r="AL3249">
        <v>78.913030290719604</v>
      </c>
      <c r="AM3249">
        <v>96.022961339726606</v>
      </c>
      <c r="AN3249">
        <v>1.00000002847874</v>
      </c>
    </row>
    <row r="3250" spans="1:40" x14ac:dyDescent="0.25">
      <c r="A3250" t="str">
        <f>"20190304154820574"</f>
        <v>20190304154820574</v>
      </c>
      <c r="B3250" t="str">
        <f>"1551685700570124"</f>
        <v>1551685700570124</v>
      </c>
      <c r="C3250" t="s">
        <v>40</v>
      </c>
      <c r="D3250">
        <v>4.4413340000000003</v>
      </c>
      <c r="E3250">
        <v>0.49987290000000001</v>
      </c>
      <c r="F3250" t="s">
        <v>62</v>
      </c>
      <c r="G3250">
        <v>-511.95859999999999</v>
      </c>
      <c r="H3250">
        <v>8.33174E-2</v>
      </c>
      <c r="I3250">
        <v>277.74579999999997</v>
      </c>
      <c r="J3250">
        <v>-436.82940000000002</v>
      </c>
      <c r="K3250">
        <v>1.110617</v>
      </c>
      <c r="L3250">
        <v>285.17540000000002</v>
      </c>
      <c r="M3250">
        <v>-0.99990710000000005</v>
      </c>
      <c r="N3250">
        <v>-1.3476210000000001E-2</v>
      </c>
      <c r="O3250">
        <v>-2.086404E-3</v>
      </c>
      <c r="P3250">
        <v>-0.97822189999999998</v>
      </c>
      <c r="Q3250">
        <v>0.1787974</v>
      </c>
      <c r="R3250">
        <v>-0.1054211</v>
      </c>
      <c r="S3250">
        <v>-3.0422359999999999</v>
      </c>
      <c r="T3250">
        <v>-4.1465879999999997E-2</v>
      </c>
      <c r="U3250">
        <v>-0.29992679999999999</v>
      </c>
      <c r="V3250">
        <v>-0.1033554</v>
      </c>
      <c r="W3250">
        <v>0.19198019999999999</v>
      </c>
      <c r="X3250">
        <v>0.97594119999999995</v>
      </c>
      <c r="Y3250">
        <v>-9.6017549999999993E-2</v>
      </c>
      <c r="Z3250">
        <v>-1.301064E-3</v>
      </c>
      <c r="AA3250">
        <v>0.99537880000000001</v>
      </c>
      <c r="AB3250">
        <v>33</v>
      </c>
      <c r="AC3250">
        <v>-75.129199999999898</v>
      </c>
      <c r="AD3250">
        <v>-1.0272996000000001</v>
      </c>
      <c r="AE3250">
        <v>-7.4296000000000504</v>
      </c>
      <c r="AF3250">
        <v>-7.2714733453084701</v>
      </c>
      <c r="AG3250">
        <v>-1.0272996000000001</v>
      </c>
      <c r="AH3250">
        <v>75.130627718223295</v>
      </c>
      <c r="AI3250">
        <v>90.779742709348099</v>
      </c>
      <c r="AJ3250">
        <v>95.528119980251503</v>
      </c>
      <c r="AK3250">
        <v>75.488680544926495</v>
      </c>
      <c r="AL3250">
        <v>78.931630773254298</v>
      </c>
      <c r="AM3250">
        <v>96.045279398168503</v>
      </c>
      <c r="AN3250">
        <v>0.99999998087931896</v>
      </c>
    </row>
    <row r="3251" spans="1:40" x14ac:dyDescent="0.25">
      <c r="A3251" t="str">
        <f>"20190304154820588"</f>
        <v>20190304154820588</v>
      </c>
      <c r="B3251" t="str">
        <f>"1551685700579884"</f>
        <v>1551685700579884</v>
      </c>
      <c r="C3251" t="s">
        <v>40</v>
      </c>
      <c r="D3251">
        <v>4.3764479999999999</v>
      </c>
      <c r="E3251">
        <v>0.49988480000000002</v>
      </c>
      <c r="F3251" t="s">
        <v>62</v>
      </c>
      <c r="G3251">
        <v>-511.95859999999999</v>
      </c>
      <c r="H3251">
        <v>3.299916E-2</v>
      </c>
      <c r="I3251">
        <v>277.73090000000002</v>
      </c>
      <c r="J3251">
        <v>-437.05340000000001</v>
      </c>
      <c r="K3251">
        <v>1.1106149999999999</v>
      </c>
      <c r="L3251">
        <v>285.17489999999998</v>
      </c>
      <c r="M3251">
        <v>-0.9999072</v>
      </c>
      <c r="N3251">
        <v>-1.3474699999999999E-2</v>
      </c>
      <c r="O3251">
        <v>-2.0596920000000001E-3</v>
      </c>
      <c r="P3251">
        <v>-0.97826460000000004</v>
      </c>
      <c r="Q3251">
        <v>0.1786266</v>
      </c>
      <c r="R3251">
        <v>-0.1053139</v>
      </c>
      <c r="S3251">
        <v>-3.0422669999999998</v>
      </c>
      <c r="T3251">
        <v>-4.3633459999999999E-2</v>
      </c>
      <c r="U3251">
        <v>-0.30145260000000001</v>
      </c>
      <c r="V3251">
        <v>-0.1032743</v>
      </c>
      <c r="W3251">
        <v>0.1918079</v>
      </c>
      <c r="X3251">
        <v>0.97598370000000001</v>
      </c>
      <c r="Y3251">
        <v>-9.6536060000000007E-2</v>
      </c>
      <c r="Z3251">
        <v>-1.340855E-3</v>
      </c>
      <c r="AA3251">
        <v>0.99532860000000001</v>
      </c>
      <c r="AB3251">
        <v>33</v>
      </c>
      <c r="AC3251">
        <v>-74.905199999999894</v>
      </c>
      <c r="AD3251">
        <v>-1.07761584</v>
      </c>
      <c r="AE3251">
        <v>-7.4439999999999502</v>
      </c>
      <c r="AF3251">
        <v>-7.2881949005529201</v>
      </c>
      <c r="AG3251">
        <v>-1.07761584</v>
      </c>
      <c r="AH3251">
        <v>74.905023463834695</v>
      </c>
      <c r="AI3251">
        <v>90.820351329910494</v>
      </c>
      <c r="AJ3251">
        <v>95.557337204529105</v>
      </c>
      <c r="AK3251">
        <v>75.266470495996401</v>
      </c>
      <c r="AL3251">
        <v>78.941690181967601</v>
      </c>
      <c r="AM3251">
        <v>96.040309830410095</v>
      </c>
      <c r="AN3251">
        <v>1.00000001710429</v>
      </c>
    </row>
    <row r="3252" spans="1:40" x14ac:dyDescent="0.25">
      <c r="A3252" t="str">
        <f>"20190304154820602"</f>
        <v>20190304154820602</v>
      </c>
      <c r="B3252" t="str">
        <f>"1551685700600380"</f>
        <v>1551685700600380</v>
      </c>
      <c r="C3252" t="s">
        <v>40</v>
      </c>
      <c r="D3252">
        <v>4.371772</v>
      </c>
      <c r="E3252">
        <v>0.4999188</v>
      </c>
      <c r="F3252" t="s">
        <v>62</v>
      </c>
      <c r="G3252">
        <v>-511.95859999999999</v>
      </c>
      <c r="H3252">
        <v>1.873004E-2</v>
      </c>
      <c r="I3252">
        <v>277.7602</v>
      </c>
      <c r="J3252">
        <v>-437.2484</v>
      </c>
      <c r="K3252">
        <v>1.1106180000000001</v>
      </c>
      <c r="L3252">
        <v>285.17450000000002</v>
      </c>
      <c r="M3252">
        <v>-0.9999072</v>
      </c>
      <c r="N3252">
        <v>-1.347338E-2</v>
      </c>
      <c r="O3252">
        <v>-2.036913E-3</v>
      </c>
      <c r="P3252">
        <v>-0.97828380000000004</v>
      </c>
      <c r="Q3252">
        <v>0.1784539</v>
      </c>
      <c r="R3252">
        <v>-0.10542849999999999</v>
      </c>
      <c r="S3252">
        <v>-3.042297</v>
      </c>
      <c r="T3252">
        <v>-4.4343830000000001E-2</v>
      </c>
      <c r="U3252">
        <v>-0.30114750000000001</v>
      </c>
      <c r="V3252">
        <v>-0.1034109</v>
      </c>
      <c r="W3252">
        <v>0.19163479999999999</v>
      </c>
      <c r="X3252">
        <v>0.97600319999999996</v>
      </c>
      <c r="Y3252">
        <v>-9.6458409999999994E-2</v>
      </c>
      <c r="Z3252">
        <v>-1.3504820000000001E-3</v>
      </c>
      <c r="AA3252">
        <v>0.99533609999999995</v>
      </c>
      <c r="AB3252">
        <v>33</v>
      </c>
      <c r="AC3252">
        <v>-74.710199999999901</v>
      </c>
      <c r="AD3252">
        <v>-1.09188796</v>
      </c>
      <c r="AE3252">
        <v>-7.4143000000000203</v>
      </c>
      <c r="AF3252">
        <v>-7.2605569182377501</v>
      </c>
      <c r="AG3252">
        <v>-1.09188796</v>
      </c>
      <c r="AH3252">
        <v>74.709346533309699</v>
      </c>
      <c r="AI3252">
        <v>90.833400712091304</v>
      </c>
      <c r="AJ3252">
        <v>95.550804434596998</v>
      </c>
      <c r="AK3252">
        <v>75.069263786947602</v>
      </c>
      <c r="AL3252">
        <v>78.951795111087407</v>
      </c>
      <c r="AM3252">
        <v>96.048120168090506</v>
      </c>
      <c r="AN3252">
        <v>0.99999997861004397</v>
      </c>
    </row>
    <row r="3253" spans="1:40" x14ac:dyDescent="0.25">
      <c r="A3253" t="str">
        <f>"20190304154820618"</f>
        <v>20190304154820618</v>
      </c>
      <c r="B3253" t="str">
        <f>"1551685700610140"</f>
        <v>1551685700610140</v>
      </c>
      <c r="C3253" t="s">
        <v>40</v>
      </c>
      <c r="D3253">
        <v>4.3926550000000004</v>
      </c>
      <c r="E3253">
        <v>0.49993399999999999</v>
      </c>
      <c r="F3253" t="s">
        <v>62</v>
      </c>
      <c r="G3253">
        <v>-511.95859999999999</v>
      </c>
      <c r="H3253">
        <v>7.476211E-3</v>
      </c>
      <c r="I3253">
        <v>277.77480000000003</v>
      </c>
      <c r="J3253">
        <v>-437.49489999999997</v>
      </c>
      <c r="K3253">
        <v>1.110617</v>
      </c>
      <c r="L3253">
        <v>285.17410000000001</v>
      </c>
      <c r="M3253">
        <v>-0.99990730000000005</v>
      </c>
      <c r="N3253">
        <v>-1.347172E-2</v>
      </c>
      <c r="O3253">
        <v>-2.008536E-3</v>
      </c>
      <c r="P3253">
        <v>-0.97826539999999995</v>
      </c>
      <c r="Q3253">
        <v>0.17842339999999901</v>
      </c>
      <c r="R3253">
        <v>-0.1056501</v>
      </c>
      <c r="S3253">
        <v>-3.0423580000000001</v>
      </c>
      <c r="T3253">
        <v>-4.4918890000000003E-2</v>
      </c>
      <c r="U3253">
        <v>-0.301330599999999</v>
      </c>
      <c r="V3253">
        <v>-0.10366060000000001</v>
      </c>
      <c r="W3253">
        <v>0.19160199999999999</v>
      </c>
      <c r="X3253">
        <v>0.97598309999999999</v>
      </c>
      <c r="Y3253">
        <v>-9.6543649999999995E-2</v>
      </c>
      <c r="Z3253">
        <v>-1.3603339999999999E-3</v>
      </c>
      <c r="AA3253">
        <v>0.99532779999999998</v>
      </c>
      <c r="AB3253">
        <v>33</v>
      </c>
      <c r="AC3253">
        <v>-74.463700000000003</v>
      </c>
      <c r="AD3253">
        <v>-1.103140789</v>
      </c>
      <c r="AE3253">
        <v>-7.3992999999999798</v>
      </c>
      <c r="AF3253">
        <v>-7.2481333006221202</v>
      </c>
      <c r="AG3253">
        <v>-1.103140789</v>
      </c>
      <c r="AH3253">
        <v>74.462230531990798</v>
      </c>
      <c r="AI3253">
        <v>90.844769593848497</v>
      </c>
      <c r="AJ3253">
        <v>95.559640527260299</v>
      </c>
      <c r="AK3253">
        <v>74.822297022634103</v>
      </c>
      <c r="AL3253">
        <v>78.9537093390244</v>
      </c>
      <c r="AM3253">
        <v>96.062739488566507</v>
      </c>
      <c r="AN3253">
        <v>0.999999928940982</v>
      </c>
    </row>
    <row r="3254" spans="1:40" x14ac:dyDescent="0.25">
      <c r="A3254" t="str">
        <f>"20190304154820634"</f>
        <v>20190304154820634</v>
      </c>
      <c r="B3254" t="str">
        <f>"1551685700630276"</f>
        <v>1551685700630276</v>
      </c>
      <c r="C3254" t="s">
        <v>40</v>
      </c>
      <c r="D3254">
        <v>4.3865160000000003</v>
      </c>
      <c r="E3254">
        <v>0.49990580000000001</v>
      </c>
      <c r="F3254" t="s">
        <v>62</v>
      </c>
      <c r="G3254">
        <v>-511.95859999999999</v>
      </c>
      <c r="H3254">
        <v>7.3380469999999899E-3</v>
      </c>
      <c r="I3254">
        <v>277.77609999999999</v>
      </c>
      <c r="J3254">
        <v>-437.71609999999998</v>
      </c>
      <c r="K3254">
        <v>1.110617</v>
      </c>
      <c r="L3254">
        <v>285.1737</v>
      </c>
      <c r="M3254">
        <v>-0.99990730000000005</v>
      </c>
      <c r="N3254">
        <v>-1.347022E-2</v>
      </c>
      <c r="O3254">
        <v>-1.9839860000000001E-3</v>
      </c>
      <c r="P3254">
        <v>-0.97820660000000004</v>
      </c>
      <c r="Q3254">
        <v>0.17863619999999999</v>
      </c>
      <c r="R3254">
        <v>-0.1058355</v>
      </c>
      <c r="S3254">
        <v>-3.0422359999999999</v>
      </c>
      <c r="T3254">
        <v>-4.5071359999999998E-2</v>
      </c>
      <c r="U3254">
        <v>-0.30224610000000002</v>
      </c>
      <c r="V3254">
        <v>-0.1038703</v>
      </c>
      <c r="W3254">
        <v>0.19181210000000001</v>
      </c>
      <c r="X3254">
        <v>0.9759196</v>
      </c>
      <c r="Y3254">
        <v>-9.686844E-2</v>
      </c>
      <c r="Z3254">
        <v>-1.367224E-3</v>
      </c>
      <c r="AA3254">
        <v>0.99529619999999996</v>
      </c>
      <c r="AB3254">
        <v>33</v>
      </c>
      <c r="AC3254">
        <v>-74.242500000000007</v>
      </c>
      <c r="AD3254">
        <v>-1.103278953</v>
      </c>
      <c r="AE3254">
        <v>-7.3976000000000104</v>
      </c>
      <c r="AF3254">
        <v>-7.2486909727129696</v>
      </c>
      <c r="AG3254">
        <v>-1.103278953</v>
      </c>
      <c r="AH3254">
        <v>74.240798221384097</v>
      </c>
      <c r="AI3254">
        <v>90.847370590989499</v>
      </c>
      <c r="AJ3254">
        <v>95.576544807508597</v>
      </c>
      <c r="AK3254">
        <v>74.601989690720004</v>
      </c>
      <c r="AL3254">
        <v>78.941444720335298</v>
      </c>
      <c r="AM3254">
        <v>96.075304795026497</v>
      </c>
      <c r="AN3254">
        <v>0.99999999329632905</v>
      </c>
    </row>
    <row r="3255" spans="1:40" x14ac:dyDescent="0.25">
      <c r="A3255" t="str">
        <f>"20190304154820646"</f>
        <v>20190304154820646</v>
      </c>
      <c r="B3255" t="str">
        <f>"1551685700640035"</f>
        <v>1551685700640035</v>
      </c>
      <c r="C3255" t="s">
        <v>40</v>
      </c>
      <c r="D3255">
        <v>4.3994280000000003</v>
      </c>
      <c r="E3255">
        <v>0.49988919999999998</v>
      </c>
      <c r="F3255" t="s">
        <v>62</v>
      </c>
      <c r="G3255">
        <v>-511.95859999999999</v>
      </c>
      <c r="H3255">
        <v>2.553451E-2</v>
      </c>
      <c r="I3255">
        <v>277.77730000000003</v>
      </c>
      <c r="J3255">
        <v>-437.90989999999999</v>
      </c>
      <c r="K3255">
        <v>1.110616</v>
      </c>
      <c r="L3255">
        <v>285.17329999999998</v>
      </c>
      <c r="M3255">
        <v>-0.9999074</v>
      </c>
      <c r="N3255">
        <v>-1.3468920000000001E-2</v>
      </c>
      <c r="O3255">
        <v>-1.9646899999999998E-3</v>
      </c>
      <c r="P3255">
        <v>-0.97816610000000004</v>
      </c>
      <c r="Q3255">
        <v>0.1787791</v>
      </c>
      <c r="R3255">
        <v>-0.1059687</v>
      </c>
      <c r="S3255">
        <v>-3.0421450000000001</v>
      </c>
      <c r="T3255">
        <v>-4.4458629999999999E-2</v>
      </c>
      <c r="U3255">
        <v>-0.30307009999999901</v>
      </c>
      <c r="V3255">
        <v>-0.1040238</v>
      </c>
      <c r="W3255">
        <v>0.19195300000000001</v>
      </c>
      <c r="X3255">
        <v>0.97587559999999995</v>
      </c>
      <c r="Y3255">
        <v>-9.7157889999999997E-2</v>
      </c>
      <c r="Z3255">
        <v>-1.361931E-3</v>
      </c>
      <c r="AA3255">
        <v>0.99526800000000004</v>
      </c>
      <c r="AB3255">
        <v>33</v>
      </c>
      <c r="AC3255">
        <v>-74.048699999999997</v>
      </c>
      <c r="AD3255">
        <v>-1.0850814900000001</v>
      </c>
      <c r="AE3255">
        <v>-7.3959999999999502</v>
      </c>
      <c r="AF3255">
        <v>-7.2489486091397799</v>
      </c>
      <c r="AG3255">
        <v>-1.0850814900000001</v>
      </c>
      <c r="AH3255">
        <v>74.047346197098904</v>
      </c>
      <c r="AI3255">
        <v>90.835552121033402</v>
      </c>
      <c r="AJ3255">
        <v>95.591219050656207</v>
      </c>
      <c r="AK3255">
        <v>74.409234215995696</v>
      </c>
      <c r="AL3255">
        <v>78.933219481524404</v>
      </c>
      <c r="AM3255">
        <v>96.084487881936099</v>
      </c>
      <c r="AN3255">
        <v>1.0000000459253899</v>
      </c>
    </row>
    <row r="3256" spans="1:40" x14ac:dyDescent="0.25">
      <c r="A3256" t="str">
        <f>"20190304154820660"</f>
        <v>20190304154820660</v>
      </c>
      <c r="B3256" t="str">
        <f>"1551685700649796"</f>
        <v>1551685700649796</v>
      </c>
      <c r="C3256" t="s">
        <v>40</v>
      </c>
      <c r="D3256">
        <v>4.3986549999999998</v>
      </c>
      <c r="E3256">
        <v>0.49986760000000002</v>
      </c>
      <c r="F3256" t="s">
        <v>62</v>
      </c>
      <c r="G3256">
        <v>-511.95859999999999</v>
      </c>
      <c r="H3256">
        <v>3.8375020000000003E-2</v>
      </c>
      <c r="I3256">
        <v>277.77839999999998</v>
      </c>
      <c r="J3256">
        <v>-438.10599999999999</v>
      </c>
      <c r="K3256">
        <v>1.110616</v>
      </c>
      <c r="L3256">
        <v>285.17290000000003</v>
      </c>
      <c r="M3256">
        <v>-0.99990749999999995</v>
      </c>
      <c r="N3256">
        <v>-1.346761E-2</v>
      </c>
      <c r="O3256">
        <v>-1.9473139999999999E-3</v>
      </c>
      <c r="P3256">
        <v>-0.97818859999999996</v>
      </c>
      <c r="Q3256">
        <v>0.17853729999999901</v>
      </c>
      <c r="R3256">
        <v>-0.1061694</v>
      </c>
      <c r="S3256">
        <v>-3.0421140000000002</v>
      </c>
      <c r="T3256">
        <v>-4.4047000000000003E-2</v>
      </c>
      <c r="U3256">
        <v>-0.30380249999999998</v>
      </c>
      <c r="V3256">
        <v>-0.1042424</v>
      </c>
      <c r="W3256">
        <v>0.1917092</v>
      </c>
      <c r="X3256">
        <v>0.9759002</v>
      </c>
      <c r="Y3256">
        <v>-9.7413639999999996E-2</v>
      </c>
      <c r="Z3256">
        <v>-1.35917E-3</v>
      </c>
      <c r="AA3256">
        <v>0.99524310000000005</v>
      </c>
      <c r="AB3256">
        <v>33</v>
      </c>
      <c r="AC3256">
        <v>-73.852599999999995</v>
      </c>
      <c r="AD3256">
        <v>-1.0722409799999999</v>
      </c>
      <c r="AE3256">
        <v>-7.3945000000000496</v>
      </c>
      <c r="AF3256">
        <v>-7.2491458521595504</v>
      </c>
      <c r="AG3256">
        <v>-1.0722409799999999</v>
      </c>
      <c r="AH3256">
        <v>73.8514479181745</v>
      </c>
      <c r="AI3256">
        <v>90.827834610905398</v>
      </c>
      <c r="AJ3256">
        <v>95.606107528906605</v>
      </c>
      <c r="AK3256">
        <v>74.2141238304133</v>
      </c>
      <c r="AL3256">
        <v>78.9474525501915</v>
      </c>
      <c r="AM3256">
        <v>96.097025332507897</v>
      </c>
      <c r="AN3256">
        <v>1.0000000478412101</v>
      </c>
    </row>
    <row r="3257" spans="1:40" x14ac:dyDescent="0.25">
      <c r="A3257" t="str">
        <f>"20190304154820673"</f>
        <v>20190304154820673</v>
      </c>
      <c r="B3257" t="str">
        <f>"1551685700670292"</f>
        <v>1551685700670292</v>
      </c>
      <c r="C3257" t="s">
        <v>40</v>
      </c>
      <c r="D3257">
        <v>4.4150850000000004</v>
      </c>
      <c r="E3257">
        <v>0.49983090000000002</v>
      </c>
      <c r="F3257" t="s">
        <v>62</v>
      </c>
      <c r="G3257">
        <v>-511.95859999999999</v>
      </c>
      <c r="H3257">
        <v>2.204907E-2</v>
      </c>
      <c r="I3257">
        <v>277.78100000000001</v>
      </c>
      <c r="J3257">
        <v>-438.2962</v>
      </c>
      <c r="K3257">
        <v>1.110619</v>
      </c>
      <c r="L3257">
        <v>285.17259999999999</v>
      </c>
      <c r="M3257">
        <v>-0.99990749999999995</v>
      </c>
      <c r="N3257">
        <v>-1.346636E-2</v>
      </c>
      <c r="O3257">
        <v>-1.9323299999999999E-3</v>
      </c>
      <c r="P3257">
        <v>-0.97817619999999905</v>
      </c>
      <c r="Q3257">
        <v>0.17853869999999999</v>
      </c>
      <c r="R3257">
        <v>-0.10628</v>
      </c>
      <c r="S3257">
        <v>-3.0420229999999999</v>
      </c>
      <c r="T3257">
        <v>-4.4835090000000001E-2</v>
      </c>
      <c r="U3257">
        <v>-0.30447390000000002</v>
      </c>
      <c r="V3257">
        <v>-0.10436860000000001</v>
      </c>
      <c r="W3257">
        <v>0.19170870000000001</v>
      </c>
      <c r="X3257">
        <v>0.97588680000000005</v>
      </c>
      <c r="Y3257">
        <v>-9.7648399999999996E-2</v>
      </c>
      <c r="Z3257">
        <v>-1.37454E-3</v>
      </c>
      <c r="AA3257">
        <v>0.99521999999999999</v>
      </c>
      <c r="AB3257">
        <v>33</v>
      </c>
      <c r="AC3257">
        <v>-73.662399999999906</v>
      </c>
      <c r="AD3257">
        <v>-1.08856993</v>
      </c>
      <c r="AE3257">
        <v>-7.39159999999998</v>
      </c>
      <c r="AF3257">
        <v>-7.2476662337520201</v>
      </c>
      <c r="AG3257">
        <v>-1.08856993</v>
      </c>
      <c r="AH3257">
        <v>73.660620808432697</v>
      </c>
      <c r="AI3257">
        <v>90.842597494724203</v>
      </c>
      <c r="AJ3257">
        <v>95.619398121166498</v>
      </c>
      <c r="AK3257">
        <v>74.024325111493496</v>
      </c>
      <c r="AL3257">
        <v>78.947481633466197</v>
      </c>
      <c r="AM3257">
        <v>96.104434123969995</v>
      </c>
      <c r="AN3257">
        <v>1.0000000383679399</v>
      </c>
    </row>
    <row r="3258" spans="1:40" x14ac:dyDescent="0.25">
      <c r="A3258" t="str">
        <f>"20190304154820685"</f>
        <v>20190304154820685</v>
      </c>
      <c r="B3258" t="str">
        <f>"1551685700680052"</f>
        <v>1551685700680052</v>
      </c>
      <c r="C3258" t="s">
        <v>40</v>
      </c>
      <c r="D3258">
        <v>4.4032299999999998</v>
      </c>
      <c r="E3258">
        <v>0.49981890000000001</v>
      </c>
      <c r="F3258" t="s">
        <v>62</v>
      </c>
      <c r="G3258">
        <v>-511.95859999999999</v>
      </c>
      <c r="H3258">
        <v>2.1104629999999999E-2</v>
      </c>
      <c r="I3258">
        <v>277.7878</v>
      </c>
      <c r="J3258">
        <v>-438.49130000000002</v>
      </c>
      <c r="K3258">
        <v>1.1106240000000001</v>
      </c>
      <c r="L3258">
        <v>285.17219999999998</v>
      </c>
      <c r="M3258">
        <v>-0.99990760000000001</v>
      </c>
      <c r="N3258">
        <v>-1.3465080000000001E-2</v>
      </c>
      <c r="O3258">
        <v>-1.921175E-3</v>
      </c>
      <c r="P3258">
        <v>-0.97825779999999996</v>
      </c>
      <c r="Q3258">
        <v>0.1782571</v>
      </c>
      <c r="R3258">
        <v>-0.10600039999999999</v>
      </c>
      <c r="S3258">
        <v>-3.0419619999999998</v>
      </c>
      <c r="T3258">
        <v>-4.4989109999999999E-2</v>
      </c>
      <c r="U3258">
        <v>-0.30496220000000002</v>
      </c>
      <c r="V3258">
        <v>-0.1041021</v>
      </c>
      <c r="W3258">
        <v>0.1914265</v>
      </c>
      <c r="X3258">
        <v>0.97597060000000002</v>
      </c>
      <c r="Y3258">
        <v>-9.7819530000000002E-2</v>
      </c>
      <c r="Z3258">
        <v>-1.37928799999999E-3</v>
      </c>
      <c r="AA3258">
        <v>0.99520319999999995</v>
      </c>
      <c r="AB3258">
        <v>33</v>
      </c>
      <c r="AC3258">
        <v>-73.467299999999895</v>
      </c>
      <c r="AD3258">
        <v>-1.0895193700000001</v>
      </c>
      <c r="AE3258">
        <v>-7.3843999999999701</v>
      </c>
      <c r="AF3258">
        <v>-7.2416533299728503</v>
      </c>
      <c r="AG3258">
        <v>-1.0895193700000001</v>
      </c>
      <c r="AH3258">
        <v>73.465356869243394</v>
      </c>
      <c r="AI3258">
        <v>90.845558649978997</v>
      </c>
      <c r="AJ3258">
        <v>95.629593661873201</v>
      </c>
      <c r="AK3258">
        <v>73.829447074554196</v>
      </c>
      <c r="AL3258">
        <v>78.963954980608605</v>
      </c>
      <c r="AM3258">
        <v>96.0884451096681</v>
      </c>
      <c r="AN3258">
        <v>0.99999998209551</v>
      </c>
    </row>
    <row r="3259" spans="1:40" x14ac:dyDescent="0.25">
      <c r="A3259" t="str">
        <f>"20190304154820701"</f>
        <v>20190304154820701</v>
      </c>
      <c r="B3259" t="str">
        <f>"1551685700689812"</f>
        <v>1551685700689812</v>
      </c>
      <c r="C3259" t="s">
        <v>40</v>
      </c>
      <c r="D3259">
        <v>4.4264910000000004</v>
      </c>
      <c r="E3259">
        <v>0.49982300000000002</v>
      </c>
      <c r="F3259" t="s">
        <v>62</v>
      </c>
      <c r="G3259">
        <v>-511.95859999999999</v>
      </c>
      <c r="H3259">
        <v>3.8800240000000001E-3</v>
      </c>
      <c r="I3259">
        <v>277.8168</v>
      </c>
      <c r="J3259">
        <v>-438.7081</v>
      </c>
      <c r="K3259">
        <v>1.1106290000000001</v>
      </c>
      <c r="L3259">
        <v>285.17180000000002</v>
      </c>
      <c r="M3259">
        <v>-0.99990769999999995</v>
      </c>
      <c r="N3259">
        <v>-1.346345E-2</v>
      </c>
      <c r="O3259">
        <v>-1.9114609999999999E-3</v>
      </c>
      <c r="P3259">
        <v>-0.97829520000000003</v>
      </c>
      <c r="Q3259">
        <v>0.17810019999999999</v>
      </c>
      <c r="R3259">
        <v>-0.1059208</v>
      </c>
      <c r="S3259">
        <v>-3.0420530000000001</v>
      </c>
      <c r="T3259">
        <v>-4.5823339999999997E-2</v>
      </c>
      <c r="U3259">
        <v>-0.30456539999999999</v>
      </c>
      <c r="V3259">
        <v>-0.1040338</v>
      </c>
      <c r="W3259">
        <v>0.19126689999999999</v>
      </c>
      <c r="X3259">
        <v>0.97600920000000002</v>
      </c>
      <c r="Y3259">
        <v>-9.7697160000000005E-2</v>
      </c>
      <c r="Z3259">
        <v>-1.3903079999999901E-3</v>
      </c>
      <c r="AA3259">
        <v>0.99521519999999997</v>
      </c>
      <c r="AB3259">
        <v>33</v>
      </c>
      <c r="AC3259">
        <v>-73.250499999999903</v>
      </c>
      <c r="AD3259">
        <v>-1.106748976</v>
      </c>
      <c r="AE3259">
        <v>-7.3550000000000102</v>
      </c>
      <c r="AF3259">
        <v>-7.2133281610881399</v>
      </c>
      <c r="AG3259">
        <v>-1.106748976</v>
      </c>
      <c r="AH3259">
        <v>73.2478717489399</v>
      </c>
      <c r="AI3259">
        <v>90.861486105374198</v>
      </c>
      <c r="AJ3259">
        <v>95.624258205496403</v>
      </c>
      <c r="AK3259">
        <v>73.610513598293593</v>
      </c>
      <c r="AL3259">
        <v>78.973271828857406</v>
      </c>
      <c r="AM3259">
        <v>96.084241706616893</v>
      </c>
      <c r="AN3259">
        <v>1.0000000085313401</v>
      </c>
    </row>
    <row r="3260" spans="1:40" x14ac:dyDescent="0.25">
      <c r="A3260" t="str">
        <f>"20190304154820715"</f>
        <v>20190304154820715</v>
      </c>
      <c r="B3260" t="str">
        <f>"1551685700710308"</f>
        <v>1551685700710308</v>
      </c>
      <c r="C3260" t="s">
        <v>40</v>
      </c>
      <c r="D3260">
        <v>4.3931820000000004</v>
      </c>
      <c r="E3260">
        <v>0.49977880000000002</v>
      </c>
      <c r="F3260" t="s">
        <v>62</v>
      </c>
      <c r="G3260">
        <v>-511.95859999999999</v>
      </c>
      <c r="H3260">
        <v>-5.6414600000000001E-3</v>
      </c>
      <c r="I3260">
        <v>277.8381</v>
      </c>
      <c r="J3260">
        <v>-438.91469999999998</v>
      </c>
      <c r="K3260">
        <v>1.1106320000000001</v>
      </c>
      <c r="L3260">
        <v>285.17140000000001</v>
      </c>
      <c r="M3260">
        <v>-0.99990769999999995</v>
      </c>
      <c r="N3260">
        <v>-1.3461839999999999E-2</v>
      </c>
      <c r="O3260">
        <v>-1.904008E-3</v>
      </c>
      <c r="P3260">
        <v>-0.97833749999999997</v>
      </c>
      <c r="Q3260">
        <v>0.17788789999999999</v>
      </c>
      <c r="R3260">
        <v>-0.10588640000000001</v>
      </c>
      <c r="S3260">
        <v>-3.0420530000000001</v>
      </c>
      <c r="T3260">
        <v>-4.6354649999999997E-2</v>
      </c>
      <c r="U3260">
        <v>-0.30456539999999999</v>
      </c>
      <c r="V3260">
        <v>-0.1040084</v>
      </c>
      <c r="W3260">
        <v>0.19105259999999999</v>
      </c>
      <c r="X3260">
        <v>0.97605390000000003</v>
      </c>
      <c r="Y3260">
        <v>-9.7704219999999994E-2</v>
      </c>
      <c r="Z3260">
        <v>-1.3985180000000001E-3</v>
      </c>
      <c r="AA3260">
        <v>0.9952145</v>
      </c>
      <c r="AB3260">
        <v>33</v>
      </c>
      <c r="AC3260">
        <v>-73.043899999999994</v>
      </c>
      <c r="AD3260">
        <v>-1.1162734599999999</v>
      </c>
      <c r="AE3260">
        <v>-7.3333000000000004</v>
      </c>
      <c r="AF3260">
        <v>-7.1925349204767697</v>
      </c>
      <c r="AG3260">
        <v>-1.1162734599999999</v>
      </c>
      <c r="AH3260">
        <v>73.040843291323597</v>
      </c>
      <c r="AI3260">
        <v>90.871361685989797</v>
      </c>
      <c r="AJ3260">
        <v>95.623943231530404</v>
      </c>
      <c r="AK3260">
        <v>73.402611763665902</v>
      </c>
      <c r="AL3260">
        <v>78.985781230177196</v>
      </c>
      <c r="AM3260">
        <v>96.0824908862283</v>
      </c>
      <c r="AN3260">
        <v>1.0000000294712601</v>
      </c>
    </row>
    <row r="3261" spans="1:40" x14ac:dyDescent="0.25">
      <c r="A3261" t="str">
        <f>"20190304154820728"</f>
        <v>20190304154820728</v>
      </c>
      <c r="B3261" t="str">
        <f>"1551685700720068"</f>
        <v>1551685700720068</v>
      </c>
      <c r="C3261" t="s">
        <v>40</v>
      </c>
      <c r="D3261">
        <v>4.4368720000000001</v>
      </c>
      <c r="E3261">
        <v>0.4997395</v>
      </c>
      <c r="F3261" t="s">
        <v>62</v>
      </c>
      <c r="G3261">
        <v>-511.95859999999999</v>
      </c>
      <c r="H3261">
        <v>-2.4184170000000001E-2</v>
      </c>
      <c r="I3261">
        <v>277.8621</v>
      </c>
      <c r="J3261">
        <v>-439.11709999999999</v>
      </c>
      <c r="K3261">
        <v>1.1106339999999999</v>
      </c>
      <c r="L3261">
        <v>285.17110000000002</v>
      </c>
      <c r="M3261">
        <v>-0.99990769999999995</v>
      </c>
      <c r="N3261">
        <v>-1.3460430000000001E-2</v>
      </c>
      <c r="O3261">
        <v>-1.8991710000000001E-3</v>
      </c>
      <c r="P3261">
        <v>-0.9784486</v>
      </c>
      <c r="Q3261">
        <v>0.17735310000000001</v>
      </c>
      <c r="R3261">
        <v>-0.10575710000000001</v>
      </c>
      <c r="S3261">
        <v>-3.042084</v>
      </c>
      <c r="T3261">
        <v>-4.7258620000000001E-2</v>
      </c>
      <c r="U3261">
        <v>-0.30441279999999998</v>
      </c>
      <c r="V3261">
        <v>-0.1038854</v>
      </c>
      <c r="W3261">
        <v>0.19051709999999999</v>
      </c>
      <c r="X3261">
        <v>0.97617160000000003</v>
      </c>
      <c r="Y3261">
        <v>-9.7657999999999995E-2</v>
      </c>
      <c r="Z3261">
        <v>-1.4116949999999999E-3</v>
      </c>
      <c r="AA3261">
        <v>0.99521910000000002</v>
      </c>
      <c r="AB3261">
        <v>33</v>
      </c>
      <c r="AC3261">
        <v>-72.841499999999996</v>
      </c>
      <c r="AD3261">
        <v>-1.13481817</v>
      </c>
      <c r="AE3261">
        <v>-7.3090000000000197</v>
      </c>
      <c r="AF3261">
        <v>-7.1689131804672401</v>
      </c>
      <c r="AG3261">
        <v>-1.13481817</v>
      </c>
      <c r="AH3261">
        <v>72.837748390300405</v>
      </c>
      <c r="AI3261">
        <v>90.8883092792979</v>
      </c>
      <c r="AJ3261">
        <v>95.621121107724093</v>
      </c>
      <c r="AK3261">
        <v>73.198488502405198</v>
      </c>
      <c r="AL3261">
        <v>79.017036541144293</v>
      </c>
      <c r="AM3261">
        <v>96.074624532867006</v>
      </c>
      <c r="AN3261">
        <v>0.99999996718606399</v>
      </c>
    </row>
    <row r="3262" spans="1:40" x14ac:dyDescent="0.25">
      <c r="A3262" t="str">
        <f>"20190304154820742"</f>
        <v>20190304154820742</v>
      </c>
      <c r="B3262" t="str">
        <f>"1551685700739929"</f>
        <v>1551685700739929</v>
      </c>
      <c r="C3262" t="s">
        <v>40</v>
      </c>
      <c r="D3262">
        <v>4.4179079999999997</v>
      </c>
      <c r="E3262">
        <v>0.49967899999999998</v>
      </c>
      <c r="F3262" t="s">
        <v>54</v>
      </c>
      <c r="G3262">
        <v>-503.14659999999998</v>
      </c>
      <c r="H3262">
        <v>8.0000130000000003E-2</v>
      </c>
      <c r="I3262">
        <v>278.76839999999999</v>
      </c>
      <c r="J3262">
        <v>-439.32040000000001</v>
      </c>
      <c r="K3262">
        <v>1.110636</v>
      </c>
      <c r="L3262">
        <v>285.17070000000001</v>
      </c>
      <c r="M3262">
        <v>-0.99990769999999995</v>
      </c>
      <c r="N3262">
        <v>-1.3459209999999999E-2</v>
      </c>
      <c r="O3262">
        <v>-1.8967070000000001E-3</v>
      </c>
      <c r="P3262">
        <v>-0.97844050000000005</v>
      </c>
      <c r="Q3262">
        <v>0.17716080000000001</v>
      </c>
      <c r="R3262">
        <v>-0.1061545</v>
      </c>
      <c r="S3262">
        <v>-3.0421450000000001</v>
      </c>
      <c r="T3262">
        <v>-4.8966999999999997E-2</v>
      </c>
      <c r="U3262">
        <v>-0.3041992</v>
      </c>
      <c r="V3262">
        <v>-0.1042864</v>
      </c>
      <c r="W3262">
        <v>0.19032279999999999</v>
      </c>
      <c r="X3262">
        <v>0.9761668</v>
      </c>
      <c r="Y3262">
        <v>-9.7588049999999996E-2</v>
      </c>
      <c r="Z3262">
        <v>-1.43688E-3</v>
      </c>
      <c r="AA3262">
        <v>0.99522580000000005</v>
      </c>
      <c r="AB3262">
        <v>33</v>
      </c>
      <c r="AC3262">
        <v>-63.826199999999901</v>
      </c>
      <c r="AD3262">
        <v>-1.03063587</v>
      </c>
      <c r="AE3262">
        <v>-6.4023000000000199</v>
      </c>
      <c r="AF3262">
        <v>-6.2795968746108999</v>
      </c>
      <c r="AG3262">
        <v>-1.03063587</v>
      </c>
      <c r="AH3262">
        <v>63.821754257938998</v>
      </c>
      <c r="AI3262">
        <v>90.920724380036503</v>
      </c>
      <c r="AJ3262">
        <v>95.619400908260005</v>
      </c>
      <c r="AK3262">
        <v>64.138224669575294</v>
      </c>
      <c r="AL3262">
        <v>79.028377206187699</v>
      </c>
      <c r="AM3262">
        <v>96.097926151166405</v>
      </c>
      <c r="AN3262">
        <v>1.0000000214235101</v>
      </c>
    </row>
    <row r="3263" spans="1:40" x14ac:dyDescent="0.25">
      <c r="A3263" t="str">
        <f>"20190304154820764"</f>
        <v>20190304154820764</v>
      </c>
      <c r="B3263" t="str">
        <f>"1551685700760425"</f>
        <v>1551685700760425</v>
      </c>
      <c r="C3263" t="s">
        <v>40</v>
      </c>
      <c r="D3263">
        <v>4.5764100000000001</v>
      </c>
      <c r="E3263">
        <v>0.49968669999999998</v>
      </c>
      <c r="F3263" t="s">
        <v>54</v>
      </c>
      <c r="G3263">
        <v>-502.38139999999999</v>
      </c>
      <c r="H3263">
        <v>8.0000249999999995E-2</v>
      </c>
      <c r="I3263">
        <v>278.8297</v>
      </c>
      <c r="J3263">
        <v>-439.64010000000002</v>
      </c>
      <c r="K3263">
        <v>1.110627</v>
      </c>
      <c r="L3263">
        <v>285.17009999999999</v>
      </c>
      <c r="M3263">
        <v>-0.99990769999999995</v>
      </c>
      <c r="N3263">
        <v>-1.3457469999999999E-2</v>
      </c>
      <c r="O3263">
        <v>-1.8955560000000001E-3</v>
      </c>
      <c r="P3263">
        <v>-0.97856889999999996</v>
      </c>
      <c r="Q3263">
        <v>0.1764319</v>
      </c>
      <c r="R3263">
        <v>-0.1061836</v>
      </c>
      <c r="S3263">
        <v>-3.0419309999999999</v>
      </c>
      <c r="T3263">
        <v>-4.9715759999999998E-2</v>
      </c>
      <c r="U3263">
        <v>-0.30587769999999997</v>
      </c>
      <c r="V3263">
        <v>-0.1043182</v>
      </c>
      <c r="W3263">
        <v>0.1895934</v>
      </c>
      <c r="X3263">
        <v>0.97630530000000004</v>
      </c>
      <c r="Y3263">
        <v>-9.8139110000000002E-2</v>
      </c>
      <c r="Z3263">
        <v>-1.4565680000000001E-3</v>
      </c>
      <c r="AA3263">
        <v>0.99517169999999999</v>
      </c>
      <c r="AB3263">
        <v>33</v>
      </c>
      <c r="AC3263">
        <v>-62.741299999999903</v>
      </c>
      <c r="AD3263">
        <v>-1.0306267499999999</v>
      </c>
      <c r="AE3263">
        <v>-6.3403999999999803</v>
      </c>
      <c r="AF3263">
        <v>-6.2197868544539796</v>
      </c>
      <c r="AG3263">
        <v>-1.0306267499999999</v>
      </c>
      <c r="AH3263">
        <v>62.736449669937699</v>
      </c>
      <c r="AI3263">
        <v>90.936572697619496</v>
      </c>
      <c r="AJ3263">
        <v>95.661888618181493</v>
      </c>
      <c r="AK3263">
        <v>63.052438947286397</v>
      </c>
      <c r="AL3263">
        <v>79.070943460709003</v>
      </c>
      <c r="AM3263">
        <v>96.098912773073096</v>
      </c>
      <c r="AN3263">
        <v>0.99999999149144503</v>
      </c>
    </row>
    <row r="3264" spans="1:40" x14ac:dyDescent="0.25">
      <c r="A3264" t="str">
        <f>"20190304154820786"</f>
        <v>20190304154820786</v>
      </c>
      <c r="B3264" t="str">
        <f>"1551685700779949"</f>
        <v>1551685700779949</v>
      </c>
      <c r="C3264" t="s">
        <v>40</v>
      </c>
      <c r="D3264">
        <v>4.4682620000000002</v>
      </c>
      <c r="E3264">
        <v>0.53050730000000001</v>
      </c>
      <c r="F3264" t="s">
        <v>54</v>
      </c>
      <c r="G3264">
        <v>-499.96850000000001</v>
      </c>
      <c r="H3264">
        <v>6.0728270000000001E-2</v>
      </c>
      <c r="I3264">
        <v>279.09620000000001</v>
      </c>
      <c r="J3264">
        <v>-439.96789999999999</v>
      </c>
      <c r="K3264">
        <v>1.1106259999999999</v>
      </c>
      <c r="L3264">
        <v>285.16950000000003</v>
      </c>
      <c r="M3264">
        <v>-0.99990780000000001</v>
      </c>
      <c r="N3264">
        <v>-1.3455699999999999E-2</v>
      </c>
      <c r="O3264">
        <v>-1.896888E-3</v>
      </c>
      <c r="P3264">
        <v>-0.97865029999999997</v>
      </c>
      <c r="Q3264">
        <v>0.175692299999999</v>
      </c>
      <c r="R3264">
        <v>-0.106659199999999</v>
      </c>
      <c r="S3264">
        <v>-3.0420229999999999</v>
      </c>
      <c r="T3264">
        <v>-5.294049E-2</v>
      </c>
      <c r="U3264">
        <v>-0.3062744</v>
      </c>
      <c r="V3264">
        <v>-0.104792899999999</v>
      </c>
      <c r="W3264">
        <v>0.18885270000000001</v>
      </c>
      <c r="X3264">
        <v>0.97639810000000005</v>
      </c>
      <c r="Y3264">
        <v>-9.8260829999999993E-2</v>
      </c>
      <c r="Z3264">
        <v>-1.508204E-3</v>
      </c>
      <c r="AA3264">
        <v>0.99515960000000003</v>
      </c>
      <c r="AB3264">
        <v>33</v>
      </c>
      <c r="AC3264">
        <v>-60.000599999999999</v>
      </c>
      <c r="AD3264">
        <v>-1.0498977300000001</v>
      </c>
      <c r="AE3264">
        <v>-6.0733000000000104</v>
      </c>
      <c r="AF3264">
        <v>-5.9576587224336599</v>
      </c>
      <c r="AG3264">
        <v>-1.0498977300000001</v>
      </c>
      <c r="AH3264">
        <v>59.993830575682701</v>
      </c>
      <c r="AI3264">
        <v>90.997673087394205</v>
      </c>
      <c r="AJ3264">
        <v>95.671137058098907</v>
      </c>
      <c r="AK3264">
        <v>60.298057098385598</v>
      </c>
      <c r="AL3264">
        <v>79.114164135522699</v>
      </c>
      <c r="AM3264">
        <v>96.125877441952994</v>
      </c>
      <c r="AN3264">
        <v>1.0000000719356501</v>
      </c>
    </row>
    <row r="3265" spans="1:40" x14ac:dyDescent="0.25">
      <c r="A3265" t="str">
        <f>"20190304154820801"</f>
        <v>20190304154820801</v>
      </c>
      <c r="B3265" t="str">
        <f>"1551685700789705"</f>
        <v>1551685700789705</v>
      </c>
      <c r="C3265" t="s">
        <v>40</v>
      </c>
      <c r="D3265">
        <v>4.4651370000000004</v>
      </c>
      <c r="E3265">
        <v>0.53335919999999903</v>
      </c>
      <c r="F3265" t="s">
        <v>54</v>
      </c>
      <c r="G3265">
        <v>-489.64429999999999</v>
      </c>
      <c r="H3265" s="1">
        <v>3.8757220000000002E-6</v>
      </c>
      <c r="I3265">
        <v>284.15010000000001</v>
      </c>
      <c r="J3265">
        <v>-440.19069999999999</v>
      </c>
      <c r="K3265">
        <v>1.1106240000000001</v>
      </c>
      <c r="L3265">
        <v>285.16910000000001</v>
      </c>
      <c r="M3265">
        <v>-0.99990769999999995</v>
      </c>
      <c r="N3265">
        <v>-1.345447E-2</v>
      </c>
      <c r="O3265">
        <v>-1.8984449999999999E-3</v>
      </c>
      <c r="P3265">
        <v>-0.97865990000000003</v>
      </c>
      <c r="Q3265">
        <v>0.17554400000000001</v>
      </c>
      <c r="R3265">
        <v>-0.1068128</v>
      </c>
      <c r="S3265">
        <v>-3.0709230000000001</v>
      </c>
      <c r="T3265">
        <v>-6.8657040000000003E-2</v>
      </c>
      <c r="U3265">
        <v>-6.30188E-2</v>
      </c>
      <c r="V3265">
        <v>-0.104945899999999</v>
      </c>
      <c r="W3265">
        <v>0.18870329999999999</v>
      </c>
      <c r="X3265">
        <v>0.97641040000000001</v>
      </c>
      <c r="Y3265">
        <v>-1.8611180000000001E-2</v>
      </c>
      <c r="Z3265">
        <v>-3.1635019999999998E-4</v>
      </c>
      <c r="AA3265">
        <v>0.99982669999999996</v>
      </c>
      <c r="AB3265">
        <v>33</v>
      </c>
      <c r="AC3265">
        <v>-49.453600000000002</v>
      </c>
      <c r="AD3265">
        <v>-1.1106201242780001</v>
      </c>
      <c r="AE3265">
        <v>-1.0189999999999999</v>
      </c>
      <c r="AF3265">
        <v>-0.92463857955921802</v>
      </c>
      <c r="AG3265">
        <v>-1.1106201242780001</v>
      </c>
      <c r="AH3265">
        <v>49.4305256660029</v>
      </c>
      <c r="AI3265">
        <v>91.286897432644295</v>
      </c>
      <c r="AJ3265">
        <v>91.071639632441503</v>
      </c>
      <c r="AK3265">
        <v>49.451646091719098</v>
      </c>
      <c r="AL3265">
        <v>79.122879216252599</v>
      </c>
      <c r="AM3265">
        <v>96.134676518402202</v>
      </c>
      <c r="AN3265">
        <v>0.99999992329292697</v>
      </c>
    </row>
    <row r="3266" spans="1:40" x14ac:dyDescent="0.25">
      <c r="A3266" t="str">
        <f>"20190304154820817"</f>
        <v>20190304154820817</v>
      </c>
      <c r="B3266" t="str">
        <f>"1551685700810202"</f>
        <v>1551685700810202</v>
      </c>
      <c r="C3266" t="s">
        <v>40</v>
      </c>
      <c r="D3266">
        <v>4.4710449999999904</v>
      </c>
      <c r="E3266">
        <v>0.53649290000000005</v>
      </c>
      <c r="F3266" t="s">
        <v>54</v>
      </c>
      <c r="G3266">
        <v>-486.53019999999998</v>
      </c>
      <c r="H3266" s="1">
        <v>3.3583640000000002E-6</v>
      </c>
      <c r="I3266">
        <v>284.55079999999998</v>
      </c>
      <c r="J3266">
        <v>-440.40300000000002</v>
      </c>
      <c r="K3266">
        <v>1.1106240000000001</v>
      </c>
      <c r="L3266">
        <v>285.1687</v>
      </c>
      <c r="M3266">
        <v>-0.99990769999999995</v>
      </c>
      <c r="N3266">
        <v>-1.345328E-2</v>
      </c>
      <c r="O3266">
        <v>-1.90048E-3</v>
      </c>
      <c r="P3266">
        <v>-0.97863520000000004</v>
      </c>
      <c r="Q3266">
        <v>0.17534720000000001</v>
      </c>
      <c r="R3266">
        <v>-0.1073624</v>
      </c>
      <c r="S3266">
        <v>-3.0741580000000002</v>
      </c>
      <c r="T3266">
        <v>-7.3678489999999999E-2</v>
      </c>
      <c r="U3266">
        <v>-4.1015629999999997E-2</v>
      </c>
      <c r="V3266">
        <v>-0.1054938</v>
      </c>
      <c r="W3266">
        <v>0.1885048</v>
      </c>
      <c r="X3266">
        <v>0.97638979999999997</v>
      </c>
      <c r="Y3266">
        <v>-1.143535E-2</v>
      </c>
      <c r="Z3266">
        <v>-1.9398169999999999E-4</v>
      </c>
      <c r="AA3266">
        <v>0.99993460000000001</v>
      </c>
      <c r="AB3266">
        <v>33</v>
      </c>
      <c r="AC3266">
        <v>-46.127199999999903</v>
      </c>
      <c r="AD3266">
        <v>-1.110620641636</v>
      </c>
      <c r="AE3266">
        <v>-0.61790000000001999</v>
      </c>
      <c r="AF3266">
        <v>-0.52991997971025795</v>
      </c>
      <c r="AG3266">
        <v>-1.110620641636</v>
      </c>
      <c r="AH3266">
        <v>46.101569949576401</v>
      </c>
      <c r="AI3266">
        <v>91.379939305824706</v>
      </c>
      <c r="AJ3266">
        <v>90.658564149605397</v>
      </c>
      <c r="AK3266">
        <v>46.117990472376597</v>
      </c>
      <c r="AL3266">
        <v>79.134461352242297</v>
      </c>
      <c r="AM3266">
        <v>96.166587328432001</v>
      </c>
      <c r="AN3266">
        <v>1.00000002150275</v>
      </c>
    </row>
    <row r="3267" spans="1:40" x14ac:dyDescent="0.25">
      <c r="A3267" t="str">
        <f>"20190304154820830"</f>
        <v>20190304154820830</v>
      </c>
      <c r="B3267" t="str">
        <f>"1551685700819962"</f>
        <v>1551685700819962</v>
      </c>
      <c r="C3267" t="s">
        <v>40</v>
      </c>
      <c r="D3267">
        <v>4.447781</v>
      </c>
      <c r="E3267">
        <v>0.53717709999999996</v>
      </c>
      <c r="F3267" t="s">
        <v>54</v>
      </c>
      <c r="G3267">
        <v>-484.64870000000002</v>
      </c>
      <c r="H3267" s="1">
        <v>3.0563470000000001E-6</v>
      </c>
      <c r="I3267">
        <v>284.91379999999998</v>
      </c>
      <c r="J3267">
        <v>-440.62439999999998</v>
      </c>
      <c r="K3267">
        <v>1.1106229999999999</v>
      </c>
      <c r="L3267">
        <v>285.16829999999999</v>
      </c>
      <c r="M3267">
        <v>-0.99990780000000001</v>
      </c>
      <c r="N3267">
        <v>-1.345203E-2</v>
      </c>
      <c r="O3267">
        <v>-1.9037150000000001E-3</v>
      </c>
      <c r="P3267">
        <v>-0.97872809999999999</v>
      </c>
      <c r="Q3267">
        <v>0.174952</v>
      </c>
      <c r="R3267">
        <v>-0.1071607</v>
      </c>
      <c r="S3267">
        <v>-3.077423</v>
      </c>
      <c r="T3267">
        <v>-7.7247140000000006E-2</v>
      </c>
      <c r="U3267">
        <v>-1.773071E-2</v>
      </c>
      <c r="V3267">
        <v>-0.1052896</v>
      </c>
      <c r="W3267">
        <v>0.1881091</v>
      </c>
      <c r="X3267">
        <v>0.97648809999999997</v>
      </c>
      <c r="Y3267">
        <v>-3.8558479999999998E-3</v>
      </c>
      <c r="Z3267" s="1">
        <v>-5.2157770000000002E-5</v>
      </c>
      <c r="AA3267">
        <v>0.99999249999999995</v>
      </c>
      <c r="AB3267">
        <v>33</v>
      </c>
      <c r="AC3267">
        <v>-44.024299999999997</v>
      </c>
      <c r="AD3267">
        <v>-1.110619943653</v>
      </c>
      <c r="AE3267">
        <v>-0.254500000000007</v>
      </c>
      <c r="AF3267">
        <v>-0.170573688983781</v>
      </c>
      <c r="AG3267">
        <v>-1.110619943653</v>
      </c>
      <c r="AH3267">
        <v>43.996705160754203</v>
      </c>
      <c r="AI3267">
        <v>91.446013880642198</v>
      </c>
      <c r="AJ3267">
        <v>90.222132622731394</v>
      </c>
      <c r="AK3267">
        <v>44.011051305836197</v>
      </c>
      <c r="AL3267">
        <v>79.157545726222395</v>
      </c>
      <c r="AM3267">
        <v>96.154127795673105</v>
      </c>
      <c r="AN3267">
        <v>0.99999997140628905</v>
      </c>
    </row>
    <row r="3268" spans="1:40" x14ac:dyDescent="0.25">
      <c r="A3268" t="str">
        <f>"20190304154820843"</f>
        <v>20190304154820843</v>
      </c>
      <c r="B3268" t="str">
        <f>"1551685700840458"</f>
        <v>1551685700840458</v>
      </c>
      <c r="C3268" t="s">
        <v>40</v>
      </c>
      <c r="D3268">
        <v>4.4238280000000003</v>
      </c>
      <c r="E3268">
        <v>0.53805970000000003</v>
      </c>
      <c r="F3268" t="s">
        <v>54</v>
      </c>
      <c r="G3268">
        <v>-483.30759999999998</v>
      </c>
      <c r="H3268" s="1">
        <v>2.8265770000000002E-6</v>
      </c>
      <c r="I3268">
        <v>285.00659999999999</v>
      </c>
      <c r="J3268">
        <v>-440.80309999999997</v>
      </c>
      <c r="K3268">
        <v>1.1106320000000001</v>
      </c>
      <c r="L3268">
        <v>285.16789999999997</v>
      </c>
      <c r="M3268">
        <v>-0.99990780000000001</v>
      </c>
      <c r="N3268">
        <v>-1.3451039999999999E-2</v>
      </c>
      <c r="O3268">
        <v>-1.909478E-3</v>
      </c>
      <c r="P3268">
        <v>-0.97866520000000001</v>
      </c>
      <c r="Q3268">
        <v>0.17502089999999901</v>
      </c>
      <c r="R3268">
        <v>-0.1076227</v>
      </c>
      <c r="S3268">
        <v>-3.0782470000000002</v>
      </c>
      <c r="T3268">
        <v>-8.0096360000000005E-2</v>
      </c>
      <c r="U3268">
        <v>-1.165771E-2</v>
      </c>
      <c r="V3268">
        <v>-0.1057473</v>
      </c>
      <c r="W3268">
        <v>0.18817510000000001</v>
      </c>
      <c r="X3268">
        <v>0.97642589999999996</v>
      </c>
      <c r="Y3268">
        <v>-1.876644E-3</v>
      </c>
      <c r="Z3268" s="1">
        <v>-1.304355E-5</v>
      </c>
      <c r="AA3268">
        <v>0.99999819999999995</v>
      </c>
      <c r="AB3268">
        <v>33</v>
      </c>
      <c r="AC3268">
        <v>-42.5045</v>
      </c>
      <c r="AD3268">
        <v>-1.110629173423</v>
      </c>
      <c r="AE3268">
        <v>-0.16129999999998201</v>
      </c>
      <c r="AF3268">
        <v>-8.0076290333882499E-2</v>
      </c>
      <c r="AG3268">
        <v>-1.110629173423</v>
      </c>
      <c r="AH3268">
        <v>42.475730195262003</v>
      </c>
      <c r="AI3268">
        <v>91.497790736618597</v>
      </c>
      <c r="AJ3268">
        <v>90.108015283521098</v>
      </c>
      <c r="AK3268">
        <v>42.490323192390797</v>
      </c>
      <c r="AL3268">
        <v>79.153695199174507</v>
      </c>
      <c r="AM3268">
        <v>96.181064205507994</v>
      </c>
      <c r="AN3268">
        <v>0.99999994895405298</v>
      </c>
    </row>
    <row r="3269" spans="1:40" x14ac:dyDescent="0.25">
      <c r="A3269" t="str">
        <f>"20190304154820859"</f>
        <v>20190304154820859</v>
      </c>
      <c r="B3269" t="str">
        <f>"1551685700850218"</f>
        <v>1551685700850218</v>
      </c>
      <c r="C3269" t="s">
        <v>40</v>
      </c>
      <c r="D3269">
        <v>4.4524109999999997</v>
      </c>
      <c r="E3269">
        <v>0.53824649999999996</v>
      </c>
      <c r="F3269" t="s">
        <v>54</v>
      </c>
      <c r="G3269">
        <v>-483.43810000000002</v>
      </c>
      <c r="H3269" s="1">
        <v>2.8562319999999999E-6</v>
      </c>
      <c r="I3269">
        <v>285.08089999999999</v>
      </c>
      <c r="J3269">
        <v>-441.02820000000003</v>
      </c>
      <c r="K3269">
        <v>1.110638</v>
      </c>
      <c r="L3269">
        <v>285.16750000000002</v>
      </c>
      <c r="M3269">
        <v>-0.99990769999999995</v>
      </c>
      <c r="N3269">
        <v>-1.344976E-2</v>
      </c>
      <c r="O3269">
        <v>-1.921596E-3</v>
      </c>
      <c r="P3269">
        <v>-0.97867800000000005</v>
      </c>
      <c r="Q3269">
        <v>0.17507510000000001</v>
      </c>
      <c r="R3269">
        <v>-0.1074156</v>
      </c>
      <c r="S3269">
        <v>-3.0790410000000001</v>
      </c>
      <c r="T3269">
        <v>-8.0207940000000005E-2</v>
      </c>
      <c r="U3269">
        <v>-6.286621E-3</v>
      </c>
      <c r="V3269">
        <v>-0.10553070000000001</v>
      </c>
      <c r="W3269">
        <v>0.18822710000000001</v>
      </c>
      <c r="X3269">
        <v>0.97643939999999996</v>
      </c>
      <c r="Y3269">
        <v>-1.200639E-4</v>
      </c>
      <c r="Z3269" s="1">
        <v>2.1833070000000001E-5</v>
      </c>
      <c r="AA3269">
        <v>1</v>
      </c>
      <c r="AB3269">
        <v>33</v>
      </c>
      <c r="AC3269">
        <v>-42.409899999999901</v>
      </c>
      <c r="AD3269">
        <v>-1.110635143768</v>
      </c>
      <c r="AE3269">
        <v>-8.6600000000032595E-2</v>
      </c>
      <c r="AF3269">
        <v>-5.0942800015368302E-3</v>
      </c>
      <c r="AG3269">
        <v>-1.110635143768</v>
      </c>
      <c r="AH3269">
        <v>42.380922669658901</v>
      </c>
      <c r="AI3269">
        <v>91.501150534071698</v>
      </c>
      <c r="AJ3269">
        <v>90.006887078523803</v>
      </c>
      <c r="AK3269">
        <v>42.395473139308997</v>
      </c>
      <c r="AL3269">
        <v>79.150662563934404</v>
      </c>
      <c r="AM3269">
        <v>96.168416736435105</v>
      </c>
      <c r="AN3269">
        <v>1.0000000358446199</v>
      </c>
    </row>
    <row r="3270" spans="1:40" x14ac:dyDescent="0.25">
      <c r="A3270" t="str">
        <f>"20190304154820873"</f>
        <v>20190304154820873</v>
      </c>
      <c r="B3270" t="str">
        <f>"1551685700869737"</f>
        <v>1551685700869737</v>
      </c>
      <c r="C3270" t="s">
        <v>40</v>
      </c>
      <c r="D3270">
        <v>4.4241999999999999</v>
      </c>
      <c r="E3270">
        <v>0.53869330000000004</v>
      </c>
      <c r="F3270" t="s">
        <v>54</v>
      </c>
      <c r="G3270">
        <v>-484.13490000000002</v>
      </c>
      <c r="H3270" s="1">
        <v>2.9824570000000001E-6</v>
      </c>
      <c r="I3270">
        <v>285.11110000000002</v>
      </c>
      <c r="J3270">
        <v>-441.24680000000001</v>
      </c>
      <c r="K3270">
        <v>1.110644</v>
      </c>
      <c r="L3270">
        <v>285.16699999999997</v>
      </c>
      <c r="M3270">
        <v>-0.99990769999999995</v>
      </c>
      <c r="N3270">
        <v>-1.3448470000000001E-2</v>
      </c>
      <c r="O3270">
        <v>-1.9404209999999999E-3</v>
      </c>
      <c r="P3270">
        <v>-0.9786359</v>
      </c>
      <c r="Q3270">
        <v>0.17525489999999999</v>
      </c>
      <c r="R3270">
        <v>-0.1075062</v>
      </c>
      <c r="S3270">
        <v>-3.079132</v>
      </c>
      <c r="T3270">
        <v>-7.9333189999999998E-2</v>
      </c>
      <c r="U3270">
        <v>-4.0283200000000002E-3</v>
      </c>
      <c r="V3270">
        <v>-0.105606199999999</v>
      </c>
      <c r="W3270">
        <v>0.18840309999999999</v>
      </c>
      <c r="X3270">
        <v>0.97639730000000002</v>
      </c>
      <c r="Y3270">
        <v>6.3186760000000003E-4</v>
      </c>
      <c r="Z3270" s="1">
        <v>3.6280089999999998E-5</v>
      </c>
      <c r="AA3270">
        <v>0.99999979999999999</v>
      </c>
      <c r="AB3270">
        <v>33</v>
      </c>
      <c r="AC3270">
        <v>-42.888100000000001</v>
      </c>
      <c r="AD3270">
        <v>-1.1106410175429999</v>
      </c>
      <c r="AE3270">
        <v>-5.59000000000082E-2</v>
      </c>
      <c r="AF3270">
        <v>2.73102857569818E-2</v>
      </c>
      <c r="AG3270">
        <v>-1.1106410175429999</v>
      </c>
      <c r="AH3270">
        <v>42.859385589020803</v>
      </c>
      <c r="AI3270">
        <v>91.484407460700595</v>
      </c>
      <c r="AJ3270">
        <v>89.963490752891403</v>
      </c>
      <c r="AK3270">
        <v>42.873782226320102</v>
      </c>
      <c r="AL3270">
        <v>79.140394876353099</v>
      </c>
      <c r="AM3270">
        <v>96.173059861591298</v>
      </c>
      <c r="AN3270">
        <v>1.0000000425076601</v>
      </c>
    </row>
    <row r="3271" spans="1:40" x14ac:dyDescent="0.25">
      <c r="A3271" t="str">
        <f>"20190304154820886"</f>
        <v>20190304154820886</v>
      </c>
      <c r="B3271" t="str">
        <f>"1551685700880474"</f>
        <v>1551685700880474</v>
      </c>
      <c r="C3271" t="s">
        <v>40</v>
      </c>
      <c r="D3271">
        <v>4.4325510000000001</v>
      </c>
      <c r="E3271">
        <v>0.53892839999999997</v>
      </c>
      <c r="F3271" t="s">
        <v>54</v>
      </c>
      <c r="G3271">
        <v>-484.88630000000001</v>
      </c>
      <c r="H3271" s="1">
        <v>3.119626E-6</v>
      </c>
      <c r="I3271">
        <v>285.15530000000001</v>
      </c>
      <c r="J3271">
        <v>-441.44349999999997</v>
      </c>
      <c r="K3271">
        <v>1.110652</v>
      </c>
      <c r="L3271">
        <v>285.16660000000002</v>
      </c>
      <c r="M3271">
        <v>-0.99990769999999995</v>
      </c>
      <c r="N3271">
        <v>-1.34471E-2</v>
      </c>
      <c r="O3271">
        <v>-1.9661819999999999E-3</v>
      </c>
      <c r="P3271">
        <v>-0.97858750000000005</v>
      </c>
      <c r="Q3271">
        <v>0.17557629999999999</v>
      </c>
      <c r="R3271">
        <v>-0.1074244</v>
      </c>
      <c r="S3271">
        <v>-3.0794069999999998</v>
      </c>
      <c r="T3271">
        <v>-7.8371999999999997E-2</v>
      </c>
      <c r="U3271">
        <v>-8.2397459999999998E-4</v>
      </c>
      <c r="V3271">
        <v>-0.10550329999999999</v>
      </c>
      <c r="W3271">
        <v>0.1887202</v>
      </c>
      <c r="X3271">
        <v>0.97634710000000002</v>
      </c>
      <c r="Y3271">
        <v>1.6978029999999999E-3</v>
      </c>
      <c r="Z3271" s="1">
        <v>5.6613219999999902E-5</v>
      </c>
      <c r="AA3271">
        <v>0.99999859999999896</v>
      </c>
      <c r="AB3271">
        <v>33</v>
      </c>
      <c r="AC3271">
        <v>-43.442799999999998</v>
      </c>
      <c r="AD3271">
        <v>-1.110648880374</v>
      </c>
      <c r="AE3271">
        <v>-1.1300000000005601E-2</v>
      </c>
      <c r="AF3271">
        <v>7.4075776169857402E-2</v>
      </c>
      <c r="AG3271">
        <v>-1.110648880374</v>
      </c>
      <c r="AH3271">
        <v>43.414362221412901</v>
      </c>
      <c r="AI3271">
        <v>91.465448772699801</v>
      </c>
      <c r="AJ3271">
        <v>89.902239143850096</v>
      </c>
      <c r="AK3271">
        <v>43.4286296726956</v>
      </c>
      <c r="AL3271">
        <v>79.121893604796597</v>
      </c>
      <c r="AM3271">
        <v>96.167406004972904</v>
      </c>
      <c r="AN3271">
        <v>0.99999995993866897</v>
      </c>
    </row>
    <row r="3272" spans="1:40" x14ac:dyDescent="0.25">
      <c r="A3272" t="str">
        <f>"20190304154820901"</f>
        <v>20190304154820901</v>
      </c>
      <c r="B3272" t="str">
        <f>"1551685700890234"</f>
        <v>1551685700890234</v>
      </c>
      <c r="C3272" t="s">
        <v>40</v>
      </c>
      <c r="D3272">
        <v>4.4573080000000003</v>
      </c>
      <c r="E3272">
        <v>0.53922519999999996</v>
      </c>
      <c r="F3272" t="s">
        <v>54</v>
      </c>
      <c r="G3272">
        <v>-485.67290000000003</v>
      </c>
      <c r="H3272" s="1">
        <v>3.2620120000000002E-6</v>
      </c>
      <c r="I3272">
        <v>285.18810000000002</v>
      </c>
      <c r="J3272">
        <v>-441.6592</v>
      </c>
      <c r="K3272">
        <v>1.110662</v>
      </c>
      <c r="L3272">
        <v>285.1662</v>
      </c>
      <c r="M3272">
        <v>-0.99990769999999995</v>
      </c>
      <c r="N3272">
        <v>-1.344563E-2</v>
      </c>
      <c r="O3272">
        <v>-2.003187E-3</v>
      </c>
      <c r="P3272">
        <v>-0.97852030000000001</v>
      </c>
      <c r="Q3272">
        <v>0.17579310000000001</v>
      </c>
      <c r="R3272">
        <v>-0.1076797</v>
      </c>
      <c r="S3272">
        <v>-3.0796809999999999</v>
      </c>
      <c r="T3272">
        <v>-7.7334169999999994E-2</v>
      </c>
      <c r="U3272">
        <v>1.495361E-3</v>
      </c>
      <c r="V3272">
        <v>-0.1057279</v>
      </c>
      <c r="W3272">
        <v>0.1889323</v>
      </c>
      <c r="X3272">
        <v>0.97628179999999998</v>
      </c>
      <c r="Y3272">
        <v>2.4875829999999998E-3</v>
      </c>
      <c r="Z3272" s="1">
        <v>7.1317310000000003E-5</v>
      </c>
      <c r="AA3272">
        <v>0.99999689999999997</v>
      </c>
      <c r="AB3272">
        <v>33</v>
      </c>
      <c r="AC3272">
        <v>-44.0137</v>
      </c>
      <c r="AD3272">
        <v>-1.110658737988</v>
      </c>
      <c r="AE3272">
        <v>2.1900000000016399E-2</v>
      </c>
      <c r="AF3272">
        <v>0.110005540712993</v>
      </c>
      <c r="AG3272">
        <v>-1.110658737988</v>
      </c>
      <c r="AH3272">
        <v>43.985558936087301</v>
      </c>
      <c r="AI3272">
        <v>91.446436999630393</v>
      </c>
      <c r="AJ3272">
        <v>89.856706605133098</v>
      </c>
      <c r="AK3272">
        <v>43.999716578306099</v>
      </c>
      <c r="AL3272">
        <v>79.109518746693894</v>
      </c>
      <c r="AM3272">
        <v>96.180844130366594</v>
      </c>
      <c r="AN3272">
        <v>0.999999977916469</v>
      </c>
    </row>
    <row r="3273" spans="1:40" x14ac:dyDescent="0.25">
      <c r="A3273" t="str">
        <f>"20190304154820914"</f>
        <v>20190304154820914</v>
      </c>
      <c r="B3273" t="str">
        <f>"1551685700909754"</f>
        <v>1551685700909754</v>
      </c>
      <c r="C3273" t="s">
        <v>40</v>
      </c>
      <c r="D3273">
        <v>4.4479360000000003</v>
      </c>
      <c r="E3273">
        <v>0.53953909999999905</v>
      </c>
      <c r="F3273" t="s">
        <v>54</v>
      </c>
      <c r="G3273">
        <v>-486.66320000000002</v>
      </c>
      <c r="H3273" s="1">
        <v>3.4400140000000001E-6</v>
      </c>
      <c r="I3273">
        <v>285.21480000000003</v>
      </c>
      <c r="J3273">
        <v>-441.84559999999999</v>
      </c>
      <c r="K3273">
        <v>1.1106720000000001</v>
      </c>
      <c r="L3273">
        <v>285.16570000000002</v>
      </c>
      <c r="M3273">
        <v>-0.99990760000000001</v>
      </c>
      <c r="N3273">
        <v>-1.34444E-2</v>
      </c>
      <c r="O3273">
        <v>-2.0416150000000001E-3</v>
      </c>
      <c r="P3273">
        <v>-0.97847169999999895</v>
      </c>
      <c r="Q3273">
        <v>0.17580970000000001</v>
      </c>
      <c r="R3273">
        <v>-0.1080948</v>
      </c>
      <c r="S3273">
        <v>-3.079834</v>
      </c>
      <c r="T3273">
        <v>-7.6007599999999995E-2</v>
      </c>
      <c r="U3273">
        <v>3.326416E-3</v>
      </c>
      <c r="V3273">
        <v>-0.10610989999999999</v>
      </c>
      <c r="W3273">
        <v>0.188944</v>
      </c>
      <c r="X3273">
        <v>0.9762381</v>
      </c>
      <c r="Y3273">
        <v>3.1202619999999999E-3</v>
      </c>
      <c r="Z3273" s="1">
        <v>8.2407659999999896E-5</v>
      </c>
      <c r="AA3273">
        <v>0.99999510000000003</v>
      </c>
      <c r="AB3273">
        <v>33</v>
      </c>
      <c r="AC3273">
        <v>-44.817599999999999</v>
      </c>
      <c r="AD3273">
        <v>-1.11066855998599</v>
      </c>
      <c r="AE3273">
        <v>4.91000000000099E-2</v>
      </c>
      <c r="AF3273">
        <v>0.140522145698943</v>
      </c>
      <c r="AG3273">
        <v>-1.11066855998599</v>
      </c>
      <c r="AH3273">
        <v>44.7898988136592</v>
      </c>
      <c r="AI3273">
        <v>91.420482539835703</v>
      </c>
      <c r="AJ3273">
        <v>89.820242963847505</v>
      </c>
      <c r="AK3273">
        <v>44.803887854307902</v>
      </c>
      <c r="AL3273">
        <v>79.1088361903536</v>
      </c>
      <c r="AM3273">
        <v>96.203277543299393</v>
      </c>
      <c r="AN3273">
        <v>0.99999998695280901</v>
      </c>
    </row>
    <row r="3274" spans="1:40" x14ac:dyDescent="0.25">
      <c r="A3274" t="str">
        <f>"20190304154820928"</f>
        <v>20190304154820928</v>
      </c>
      <c r="B3274" t="str">
        <f>"1551685700919513"</f>
        <v>1551685700919513</v>
      </c>
      <c r="C3274" t="s">
        <v>40</v>
      </c>
      <c r="D3274">
        <v>4.420445</v>
      </c>
      <c r="E3274">
        <v>0.53962639999999995</v>
      </c>
      <c r="F3274" t="s">
        <v>54</v>
      </c>
      <c r="G3274">
        <v>-487.61619999999999</v>
      </c>
      <c r="H3274" s="1">
        <v>3.6102869999999998E-6</v>
      </c>
      <c r="I3274">
        <v>285.22879999999998</v>
      </c>
      <c r="J3274">
        <v>-442.06020000000001</v>
      </c>
      <c r="K3274">
        <v>1.1106910000000001</v>
      </c>
      <c r="L3274">
        <v>285.1653</v>
      </c>
      <c r="M3274">
        <v>-0.99990749999999995</v>
      </c>
      <c r="N3274">
        <v>-1.344306E-2</v>
      </c>
      <c r="O3274">
        <v>-2.0982119999999999E-3</v>
      </c>
      <c r="P3274">
        <v>-0.97850459999999995</v>
      </c>
      <c r="Q3274">
        <v>0.1757116</v>
      </c>
      <c r="R3274">
        <v>-0.10795539999999899</v>
      </c>
      <c r="S3274">
        <v>-3.079895</v>
      </c>
      <c r="T3274">
        <v>-7.47366E-2</v>
      </c>
      <c r="U3274">
        <v>4.2419429999999998E-3</v>
      </c>
      <c r="V3274">
        <v>-0.1059216</v>
      </c>
      <c r="W3274">
        <v>0.18884200000000001</v>
      </c>
      <c r="X3274">
        <v>0.97627830000000004</v>
      </c>
      <c r="Y3274">
        <v>3.4739850000000002E-3</v>
      </c>
      <c r="Z3274" s="1">
        <v>8.8202249999999997E-5</v>
      </c>
      <c r="AA3274">
        <v>0.99999400000000005</v>
      </c>
      <c r="AB3274">
        <v>33</v>
      </c>
      <c r="AC3274">
        <v>-45.555999999999898</v>
      </c>
      <c r="AD3274">
        <v>-1.1106873897130001</v>
      </c>
      <c r="AE3274">
        <v>6.3499999999976298E-2</v>
      </c>
      <c r="AF3274">
        <v>0.15900012566216901</v>
      </c>
      <c r="AG3274">
        <v>-1.1106873897130001</v>
      </c>
      <c r="AH3274">
        <v>45.528703390063697</v>
      </c>
      <c r="AI3274">
        <v>91.397463302291996</v>
      </c>
      <c r="AJ3274">
        <v>89.799906467162302</v>
      </c>
      <c r="AK3274">
        <v>45.542526718420199</v>
      </c>
      <c r="AL3274">
        <v>79.114787670596897</v>
      </c>
      <c r="AM3274">
        <v>96.192101956928099</v>
      </c>
      <c r="AN3274">
        <v>1.0000000026807201</v>
      </c>
    </row>
    <row r="3275" spans="1:40" x14ac:dyDescent="0.25">
      <c r="A3275" t="str">
        <f>"20190304154820943"</f>
        <v>20190304154820943</v>
      </c>
      <c r="B3275" t="str">
        <f>"1551685700940009"</f>
        <v>1551685700940009</v>
      </c>
      <c r="C3275" t="s">
        <v>40</v>
      </c>
      <c r="D3275">
        <v>4.4453129999999996</v>
      </c>
      <c r="E3275">
        <v>0.53972209999999998</v>
      </c>
      <c r="F3275" t="s">
        <v>54</v>
      </c>
      <c r="G3275">
        <v>-487.6447</v>
      </c>
      <c r="H3275" s="1">
        <v>3.6169699999999999E-6</v>
      </c>
      <c r="I3275">
        <v>285.2475</v>
      </c>
      <c r="J3275">
        <v>-442.27140000000003</v>
      </c>
      <c r="K3275">
        <v>1.1107039999999999</v>
      </c>
      <c r="L3275">
        <v>285.16480000000001</v>
      </c>
      <c r="M3275">
        <v>-0.9999074</v>
      </c>
      <c r="N3275">
        <v>-1.3441750000000001E-2</v>
      </c>
      <c r="O3275">
        <v>-2.1679329999999999E-3</v>
      </c>
      <c r="P3275">
        <v>-0.97839969999999998</v>
      </c>
      <c r="Q3275">
        <v>0.17582029999999901</v>
      </c>
      <c r="R3275">
        <v>-0.10872850000000001</v>
      </c>
      <c r="S3275">
        <v>-3.0800169999999998</v>
      </c>
      <c r="T3275">
        <v>-7.5046059999999998E-2</v>
      </c>
      <c r="U3275">
        <v>5.5541990000000001E-3</v>
      </c>
      <c r="V3275">
        <v>-0.10663309999999999</v>
      </c>
      <c r="W3275">
        <v>0.188944</v>
      </c>
      <c r="X3275">
        <v>0.97618110000000002</v>
      </c>
      <c r="Y3275">
        <v>3.969462E-3</v>
      </c>
      <c r="Z3275" s="1">
        <v>9.8711959999999997E-5</v>
      </c>
      <c r="AA3275">
        <v>0.99999210000000005</v>
      </c>
      <c r="AB3275">
        <v>33</v>
      </c>
      <c r="AC3275">
        <v>-45.373299999999901</v>
      </c>
      <c r="AD3275">
        <v>-1.11070038303</v>
      </c>
      <c r="AE3275">
        <v>8.2699999999988394E-2</v>
      </c>
      <c r="AF3275">
        <v>0.18096651825384699</v>
      </c>
      <c r="AG3275">
        <v>-1.11070038303</v>
      </c>
      <c r="AH3275">
        <v>45.345841579655797</v>
      </c>
      <c r="AI3275">
        <v>91.403110261330397</v>
      </c>
      <c r="AJ3275">
        <v>89.771344795398207</v>
      </c>
      <c r="AK3275">
        <v>45.359803271055199</v>
      </c>
      <c r="AL3275">
        <v>79.108836296424698</v>
      </c>
      <c r="AM3275">
        <v>96.233985180586103</v>
      </c>
      <c r="AN3275">
        <v>0.99999999657440997</v>
      </c>
    </row>
    <row r="3276" spans="1:40" x14ac:dyDescent="0.25">
      <c r="A3276" t="str">
        <f>"20190304154820965"</f>
        <v>20190304154820965</v>
      </c>
      <c r="B3276" t="str">
        <f>"1551685700959529"</f>
        <v>1551685700959529</v>
      </c>
      <c r="C3276" t="s">
        <v>40</v>
      </c>
      <c r="D3276">
        <v>4.4416270000000004</v>
      </c>
      <c r="E3276">
        <v>0.53974</v>
      </c>
      <c r="F3276" t="s">
        <v>54</v>
      </c>
      <c r="G3276">
        <v>-487.5446</v>
      </c>
      <c r="H3276" s="1">
        <v>3.596655E-6</v>
      </c>
      <c r="I3276">
        <v>285.21809999999999</v>
      </c>
      <c r="J3276">
        <v>-442.5915</v>
      </c>
      <c r="K3276">
        <v>1.1107229999999999</v>
      </c>
      <c r="L3276">
        <v>285.16399999999999</v>
      </c>
      <c r="M3276">
        <v>-0.99990699999999999</v>
      </c>
      <c r="N3276">
        <v>-1.343974E-2</v>
      </c>
      <c r="O3276">
        <v>-2.295736E-3</v>
      </c>
      <c r="P3276">
        <v>-0.97832629999999998</v>
      </c>
      <c r="Q3276">
        <v>0.17581429999999901</v>
      </c>
      <c r="R3276">
        <v>-0.1093949</v>
      </c>
      <c r="S3276">
        <v>-3.0802309999999999</v>
      </c>
      <c r="T3276">
        <v>-7.5568200000000002E-2</v>
      </c>
      <c r="U3276">
        <v>3.6315919999999999E-3</v>
      </c>
      <c r="V3276">
        <v>-0.107185</v>
      </c>
      <c r="W3276">
        <v>0.18892900000000001</v>
      </c>
      <c r="X3276">
        <v>0.97612359999999998</v>
      </c>
      <c r="Y3276">
        <v>3.4731789999999998E-3</v>
      </c>
      <c r="Z3276" s="1">
        <v>9.1403720000000002E-5</v>
      </c>
      <c r="AA3276">
        <v>0.99999400000000005</v>
      </c>
      <c r="AB3276">
        <v>33</v>
      </c>
      <c r="AC3276">
        <v>-44.953099999999999</v>
      </c>
      <c r="AD3276">
        <v>-1.1107194033450001</v>
      </c>
      <c r="AE3276">
        <v>5.4100000000005297E-2</v>
      </c>
      <c r="AF3276">
        <v>0.157213654269827</v>
      </c>
      <c r="AG3276">
        <v>-1.1107194033450001</v>
      </c>
      <c r="AH3276">
        <v>44.925430134796898</v>
      </c>
      <c r="AI3276">
        <v>91.416262069338202</v>
      </c>
      <c r="AJ3276">
        <v>89.799497921884395</v>
      </c>
      <c r="AK3276">
        <v>44.939433535844401</v>
      </c>
      <c r="AL3276">
        <v>79.109711940281599</v>
      </c>
      <c r="AM3276">
        <v>96.266360538269097</v>
      </c>
      <c r="AN3276">
        <v>1.0000000368714701</v>
      </c>
    </row>
    <row r="3277" spans="1:40" x14ac:dyDescent="0.25">
      <c r="A3277" t="str">
        <f>"20190304154820987"</f>
        <v>20190304154820987</v>
      </c>
      <c r="B3277" t="str">
        <f>"1551685700980025"</f>
        <v>1551685700980025</v>
      </c>
      <c r="C3277" t="s">
        <v>40</v>
      </c>
      <c r="D3277">
        <v>4.4796139999999998</v>
      </c>
      <c r="E3277">
        <v>0.53972739999999997</v>
      </c>
      <c r="F3277" t="s">
        <v>54</v>
      </c>
      <c r="G3277">
        <v>-487.7278</v>
      </c>
      <c r="H3277" s="1">
        <v>3.6264429999999998E-6</v>
      </c>
      <c r="I3277">
        <v>285.18720000000002</v>
      </c>
      <c r="J3277">
        <v>-442.92520000000002</v>
      </c>
      <c r="K3277">
        <v>1.110744</v>
      </c>
      <c r="L3277">
        <v>285.16300000000001</v>
      </c>
      <c r="M3277">
        <v>-0.99990670000000004</v>
      </c>
      <c r="N3277">
        <v>-1.3437620000000001E-2</v>
      </c>
      <c r="O3277">
        <v>-2.4632830000000001E-3</v>
      </c>
      <c r="P3277">
        <v>-0.97830399999999995</v>
      </c>
      <c r="Q3277">
        <v>0.1754336</v>
      </c>
      <c r="R3277">
        <v>-0.11020240000000001</v>
      </c>
      <c r="S3277">
        <v>-3.0802309999999999</v>
      </c>
      <c r="T3277">
        <v>-7.5798630000000006E-2</v>
      </c>
      <c r="U3277">
        <v>1.586914E-3</v>
      </c>
      <c r="V3277">
        <v>-0.1078411</v>
      </c>
      <c r="W3277">
        <v>0.1885394</v>
      </c>
      <c r="X3277">
        <v>0.97612659999999996</v>
      </c>
      <c r="Y3277">
        <v>2.97715E-3</v>
      </c>
      <c r="Z3277" s="1">
        <v>8.4141550000000004E-5</v>
      </c>
      <c r="AA3277">
        <v>0.99999559999999998</v>
      </c>
      <c r="AB3277">
        <v>33</v>
      </c>
      <c r="AC3277">
        <v>-44.802599999999899</v>
      </c>
      <c r="AD3277">
        <v>-1.1107403735570001</v>
      </c>
      <c r="AE3277">
        <v>2.42000000000075E-2</v>
      </c>
      <c r="AF3277">
        <v>0.134488710564101</v>
      </c>
      <c r="AG3277">
        <v>-1.1107403735570001</v>
      </c>
      <c r="AH3277">
        <v>44.774884141476299</v>
      </c>
      <c r="AI3277">
        <v>91.421051106584002</v>
      </c>
      <c r="AJ3277">
        <v>89.827903243482396</v>
      </c>
      <c r="AK3277">
        <v>44.788861129452002</v>
      </c>
      <c r="AL3277">
        <v>79.132442196493301</v>
      </c>
      <c r="AM3277">
        <v>96.304390990855197</v>
      </c>
      <c r="AN3277">
        <v>0.99999997371456395</v>
      </c>
    </row>
    <row r="3278" spans="1:40" x14ac:dyDescent="0.25">
      <c r="A3278" t="str">
        <f>"20190304154821003"</f>
        <v>20190304154821003</v>
      </c>
      <c r="B3278" t="str">
        <f>"1551685700999546"</f>
        <v>1551685700999546</v>
      </c>
      <c r="C3278" t="s">
        <v>40</v>
      </c>
      <c r="D3278">
        <v>4.5004650000000002</v>
      </c>
      <c r="E3278">
        <v>0.53978590000000004</v>
      </c>
      <c r="F3278" t="s">
        <v>54</v>
      </c>
      <c r="G3278">
        <v>-487.16539999999998</v>
      </c>
      <c r="H3278" s="1">
        <v>3.5233100000000001E-6</v>
      </c>
      <c r="I3278">
        <v>285.14859999999999</v>
      </c>
      <c r="J3278">
        <v>-443.15109999999999</v>
      </c>
      <c r="K3278">
        <v>1.110762</v>
      </c>
      <c r="L3278">
        <v>285.16239999999999</v>
      </c>
      <c r="M3278">
        <v>-0.99990630000000003</v>
      </c>
      <c r="N3278">
        <v>-1.343885E-2</v>
      </c>
      <c r="O3278">
        <v>-2.598787E-3</v>
      </c>
      <c r="P3278">
        <v>-0.97825910000000005</v>
      </c>
      <c r="Q3278">
        <v>0.17548559999999999</v>
      </c>
      <c r="R3278">
        <v>-0.1105167</v>
      </c>
      <c r="S3278">
        <v>-3.080292</v>
      </c>
      <c r="T3278">
        <v>-7.7336909999999995E-2</v>
      </c>
      <c r="U3278">
        <v>-1.00708E-3</v>
      </c>
      <c r="V3278">
        <v>-0.1080314</v>
      </c>
      <c r="W3278">
        <v>0.1885877</v>
      </c>
      <c r="X3278">
        <v>0.97609630000000003</v>
      </c>
      <c r="Y3278">
        <v>2.270804E-3</v>
      </c>
      <c r="Z3278" s="1">
        <v>7.4078599999999898E-5</v>
      </c>
      <c r="AA3278">
        <v>0.99999740000000004</v>
      </c>
      <c r="AB3278">
        <v>33</v>
      </c>
      <c r="AC3278">
        <v>-44.014299999999899</v>
      </c>
      <c r="AD3278">
        <v>-1.1107584766900001</v>
      </c>
      <c r="AE3278">
        <v>-1.3800000000003299E-2</v>
      </c>
      <c r="AF3278">
        <v>0.100530144908279</v>
      </c>
      <c r="AG3278">
        <v>-1.1107584766900001</v>
      </c>
      <c r="AH3278">
        <v>43.986173681261597</v>
      </c>
      <c r="AI3278">
        <v>91.446547373610699</v>
      </c>
      <c r="AJ3278">
        <v>89.869051056137593</v>
      </c>
      <c r="AK3278">
        <v>44.000310974147602</v>
      </c>
      <c r="AL3278">
        <v>79.129625048276395</v>
      </c>
      <c r="AM3278">
        <v>96.315620577042694</v>
      </c>
      <c r="AN3278">
        <v>1.0000000454254601</v>
      </c>
    </row>
    <row r="3279" spans="1:40" x14ac:dyDescent="0.25">
      <c r="A3279" t="str">
        <f>"20190304154821017"</f>
        <v>20190304154821017</v>
      </c>
      <c r="B3279" t="str">
        <f>"1551685701010282"</f>
        <v>1551685701010282</v>
      </c>
      <c r="C3279" t="s">
        <v>40</v>
      </c>
      <c r="D3279">
        <v>4.4736279999999997</v>
      </c>
      <c r="E3279">
        <v>0.53967540000000003</v>
      </c>
      <c r="F3279" t="s">
        <v>54</v>
      </c>
      <c r="G3279">
        <v>-487.26330000000002</v>
      </c>
      <c r="H3279" s="1">
        <v>3.540354E-6</v>
      </c>
      <c r="I3279">
        <v>285.14490000000001</v>
      </c>
      <c r="J3279">
        <v>-443.34249999999997</v>
      </c>
      <c r="K3279">
        <v>1.110781</v>
      </c>
      <c r="L3279">
        <v>285.1617</v>
      </c>
      <c r="M3279">
        <v>-0.99990590000000001</v>
      </c>
      <c r="N3279">
        <v>-1.3441399999999999E-2</v>
      </c>
      <c r="O3279">
        <v>-2.725323E-3</v>
      </c>
      <c r="P3279">
        <v>-0.97821999999999998</v>
      </c>
      <c r="Q3279">
        <v>0.17528050000000001</v>
      </c>
      <c r="R3279">
        <v>-0.1111866</v>
      </c>
      <c r="S3279">
        <v>-3.0804140000000002</v>
      </c>
      <c r="T3279">
        <v>-7.7565670000000003E-2</v>
      </c>
      <c r="U3279">
        <v>-1.2207030000000001E-3</v>
      </c>
      <c r="V3279">
        <v>-0.1085855</v>
      </c>
      <c r="W3279">
        <v>0.18837970000000001</v>
      </c>
      <c r="X3279">
        <v>0.97607489999999997</v>
      </c>
      <c r="Y3279">
        <v>2.3279720000000002E-3</v>
      </c>
      <c r="Z3279" s="1">
        <v>7.6937230000000001E-5</v>
      </c>
      <c r="AA3279">
        <v>0.99999729999999998</v>
      </c>
      <c r="AB3279">
        <v>33</v>
      </c>
      <c r="AC3279">
        <v>-43.9208</v>
      </c>
      <c r="AD3279">
        <v>-1.1107774596460001</v>
      </c>
      <c r="AE3279">
        <v>-1.6799999999989199E-2</v>
      </c>
      <c r="AF3279">
        <v>0.102843469392554</v>
      </c>
      <c r="AG3279">
        <v>-1.1107774596460001</v>
      </c>
      <c r="AH3279">
        <v>43.892608608374701</v>
      </c>
      <c r="AI3279">
        <v>91.449654208531996</v>
      </c>
      <c r="AJ3279">
        <v>89.8657522040656</v>
      </c>
      <c r="AK3279">
        <v>43.906781865584499</v>
      </c>
      <c r="AL3279">
        <v>79.141759204580893</v>
      </c>
      <c r="AM3279">
        <v>96.347888084583602</v>
      </c>
      <c r="AN3279">
        <v>0.99999996629617405</v>
      </c>
    </row>
    <row r="3280" spans="1:40" x14ac:dyDescent="0.25">
      <c r="A3280" t="str">
        <f>"20190304154821030"</f>
        <v>20190304154821030</v>
      </c>
      <c r="B3280" t="str">
        <f>"1551685701020042"</f>
        <v>1551685701020042</v>
      </c>
      <c r="C3280" t="s">
        <v>40</v>
      </c>
      <c r="D3280">
        <v>4.6835610000000001</v>
      </c>
      <c r="E3280">
        <v>0.53967540000000003</v>
      </c>
      <c r="F3280" t="s">
        <v>54</v>
      </c>
      <c r="G3280">
        <v>-487.05410000000001</v>
      </c>
      <c r="H3280" s="1">
        <v>3.4991070000000001E-6</v>
      </c>
      <c r="I3280">
        <v>285.09769999999997</v>
      </c>
      <c r="J3280">
        <v>-443.55509999999998</v>
      </c>
      <c r="K3280">
        <v>1.110806</v>
      </c>
      <c r="L3280">
        <v>285.161</v>
      </c>
      <c r="M3280">
        <v>-0.9999055</v>
      </c>
      <c r="N3280">
        <v>-1.3445759999999999E-2</v>
      </c>
      <c r="O3280">
        <v>-2.8789739999999999E-3</v>
      </c>
      <c r="P3280">
        <v>-0.97824319999999998</v>
      </c>
      <c r="Q3280">
        <v>0.175057399999999</v>
      </c>
      <c r="R3280">
        <v>-0.111334</v>
      </c>
      <c r="S3280">
        <v>-3.0803219999999998</v>
      </c>
      <c r="T3280">
        <v>-7.827568E-2</v>
      </c>
      <c r="U3280">
        <v>-4.5166019999999998E-3</v>
      </c>
      <c r="V3280">
        <v>-0.1085911</v>
      </c>
      <c r="W3280">
        <v>0.1881563</v>
      </c>
      <c r="X3280">
        <v>0.97611740000000002</v>
      </c>
      <c r="Y3280">
        <v>1.4120599999999999E-3</v>
      </c>
      <c r="Z3280" s="1">
        <v>6.1872599999999994E-5</v>
      </c>
      <c r="AA3280">
        <v>0.99999899999999997</v>
      </c>
      <c r="AB3280">
        <v>33</v>
      </c>
      <c r="AC3280">
        <v>-43.499000000000002</v>
      </c>
      <c r="AD3280">
        <v>-1.110802500893</v>
      </c>
      <c r="AE3280">
        <v>-6.3300000000026502E-2</v>
      </c>
      <c r="AF3280">
        <v>6.1903701448649297E-2</v>
      </c>
      <c r="AG3280">
        <v>-1.110802500893</v>
      </c>
      <c r="AH3280">
        <v>43.4706547360013</v>
      </c>
      <c r="AI3280">
        <v>91.463754900166194</v>
      </c>
      <c r="AJ3280">
        <v>89.918408902435701</v>
      </c>
      <c r="AK3280">
        <v>43.484888610192797</v>
      </c>
      <c r="AL3280">
        <v>79.154792504625703</v>
      </c>
      <c r="AM3280">
        <v>96.347938643107597</v>
      </c>
      <c r="AN3280">
        <v>0.99999999940582995</v>
      </c>
    </row>
    <row r="3281" spans="1:40" x14ac:dyDescent="0.25">
      <c r="A3281" t="str">
        <f>"20190304154821043"</f>
        <v>20190304154821043</v>
      </c>
      <c r="B3281" t="str">
        <f>"1551685701039561"</f>
        <v>1551685701039561</v>
      </c>
      <c r="C3281" t="s">
        <v>40</v>
      </c>
      <c r="D3281">
        <v>4.4108229999999997</v>
      </c>
      <c r="E3281">
        <v>0.49529050000000002</v>
      </c>
      <c r="F3281" t="s">
        <v>54</v>
      </c>
      <c r="G3281">
        <v>-486.8229</v>
      </c>
      <c r="H3281" s="1">
        <v>3.4574210000000001E-6</v>
      </c>
      <c r="I3281">
        <v>285.0899</v>
      </c>
      <c r="J3281">
        <v>-443.72519999999997</v>
      </c>
      <c r="K3281">
        <v>1.110824</v>
      </c>
      <c r="L3281">
        <v>285.16039999999998</v>
      </c>
      <c r="M3281">
        <v>-0.99990520000000005</v>
      </c>
      <c r="N3281">
        <v>-1.344969E-2</v>
      </c>
      <c r="O3281">
        <v>-3.0184999999999999E-3</v>
      </c>
      <c r="P3281">
        <v>-0.97819480000000003</v>
      </c>
      <c r="Q3281">
        <v>0.17494599999999999</v>
      </c>
      <c r="R3281">
        <v>-0.1119337</v>
      </c>
      <c r="S3281">
        <v>-3.080292</v>
      </c>
      <c r="T3281">
        <v>-7.9079389999999999E-2</v>
      </c>
      <c r="U3281">
        <v>-5.065918E-3</v>
      </c>
      <c r="V3281">
        <v>-0.1090617</v>
      </c>
      <c r="W3281">
        <v>0.18804399999999999</v>
      </c>
      <c r="X3281">
        <v>0.97608660000000003</v>
      </c>
      <c r="Y3281">
        <v>1.3732410000000001E-3</v>
      </c>
      <c r="Z3281" s="1">
        <v>6.3745530000000004E-5</v>
      </c>
      <c r="AA3281">
        <v>0.99999899999999997</v>
      </c>
      <c r="AB3281">
        <v>33</v>
      </c>
      <c r="AC3281">
        <v>-43.097700000000003</v>
      </c>
      <c r="AD3281">
        <v>-1.1108205425790001</v>
      </c>
      <c r="AE3281">
        <v>-7.04999999999813E-2</v>
      </c>
      <c r="AF3281">
        <v>5.9562900680795103E-2</v>
      </c>
      <c r="AG3281">
        <v>-1.1108205425790001</v>
      </c>
      <c r="AH3281">
        <v>43.069104706656397</v>
      </c>
      <c r="AI3281">
        <v>91.477420106819693</v>
      </c>
      <c r="AJ3281">
        <v>89.920762210588705</v>
      </c>
      <c r="AK3281">
        <v>43.083468410167299</v>
      </c>
      <c r="AL3281">
        <v>79.161344048054204</v>
      </c>
      <c r="AM3281">
        <v>96.375422124596795</v>
      </c>
      <c r="AN3281">
        <v>1.00000002552122</v>
      </c>
    </row>
    <row r="3282" spans="1:40" x14ac:dyDescent="0.25">
      <c r="A3282" t="str">
        <f>"20190304154821060"</f>
        <v>20190304154821060</v>
      </c>
      <c r="B3282" t="str">
        <f>"1551685701050298"</f>
        <v>1551685701050298</v>
      </c>
      <c r="C3282" t="s">
        <v>40</v>
      </c>
      <c r="D3282">
        <v>4.4342129999999997</v>
      </c>
      <c r="E3282">
        <v>0.49218000000000001</v>
      </c>
      <c r="F3282" t="s">
        <v>54</v>
      </c>
      <c r="G3282">
        <v>-486.36509999999998</v>
      </c>
      <c r="H3282" s="1">
        <v>2.9421869999999998E-6</v>
      </c>
      <c r="I3282">
        <v>280.12520000000001</v>
      </c>
      <c r="J3282">
        <v>-443.96859999999998</v>
      </c>
      <c r="K3282">
        <v>1.110846</v>
      </c>
      <c r="L3282">
        <v>285.15949999999998</v>
      </c>
      <c r="M3282">
        <v>-0.99990429999999997</v>
      </c>
      <c r="N3282">
        <v>-1.345701E-2</v>
      </c>
      <c r="O3282">
        <v>-3.2317280000000001E-3</v>
      </c>
      <c r="P3282">
        <v>-0.97817189999999998</v>
      </c>
      <c r="Q3282">
        <v>0.17485419999999999</v>
      </c>
      <c r="R3282">
        <v>-0.1122769</v>
      </c>
      <c r="S3282">
        <v>-3.0399479999999999</v>
      </c>
      <c r="T3282">
        <v>-7.9194310000000004E-2</v>
      </c>
      <c r="U3282">
        <v>-0.35897829999999997</v>
      </c>
      <c r="V3282">
        <v>-0.1092066</v>
      </c>
      <c r="W3282">
        <v>0.18795310000000001</v>
      </c>
      <c r="X3282">
        <v>0.97608790000000001</v>
      </c>
      <c r="Y3282">
        <v>-0.11400399999999999</v>
      </c>
      <c r="Z3282">
        <v>-2.2090030000000002E-3</v>
      </c>
      <c r="AA3282">
        <v>0.99347779999999997</v>
      </c>
      <c r="AB3282">
        <v>33</v>
      </c>
      <c r="AC3282">
        <v>-42.396500000000003</v>
      </c>
      <c r="AD3282">
        <v>-1.110843057813</v>
      </c>
      <c r="AE3282">
        <v>-5.0342999999999698</v>
      </c>
      <c r="AF3282">
        <v>-4.8939343417747896</v>
      </c>
      <c r="AG3282">
        <v>-1.110843057813</v>
      </c>
      <c r="AH3282">
        <v>42.383857240689402</v>
      </c>
      <c r="AI3282">
        <v>91.491422685997406</v>
      </c>
      <c r="AJ3282">
        <v>96.586599545715799</v>
      </c>
      <c r="AK3282">
        <v>42.679924088965201</v>
      </c>
      <c r="AL3282">
        <v>79.166646713226299</v>
      </c>
      <c r="AM3282">
        <v>96.383814232568199</v>
      </c>
      <c r="AN3282">
        <v>1.00000001890479</v>
      </c>
    </row>
    <row r="3283" spans="1:40" x14ac:dyDescent="0.25">
      <c r="A3283" t="str">
        <f>"20190304154821074"</f>
        <v>20190304154821074</v>
      </c>
      <c r="B3283" t="str">
        <f>"1551685701069818"</f>
        <v>1551685701069818</v>
      </c>
      <c r="C3283" t="s">
        <v>40</v>
      </c>
      <c r="D3283">
        <v>4.3374779999999999</v>
      </c>
      <c r="E3283">
        <v>0.48852600000000002</v>
      </c>
      <c r="F3283" t="s">
        <v>54</v>
      </c>
      <c r="G3283">
        <v>-482.42230000000001</v>
      </c>
      <c r="H3283" s="1">
        <v>2.2574810000000001E-6</v>
      </c>
      <c r="I3283">
        <v>280.29320000000001</v>
      </c>
      <c r="J3283">
        <v>-444.19290000000001</v>
      </c>
      <c r="K3283">
        <v>1.11087</v>
      </c>
      <c r="L3283">
        <v>285.1585</v>
      </c>
      <c r="M3283">
        <v>-0.99990330000000005</v>
      </c>
      <c r="N3283">
        <v>-1.34667E-2</v>
      </c>
      <c r="O3283">
        <v>-3.446625E-3</v>
      </c>
      <c r="P3283">
        <v>-0.97814069999999997</v>
      </c>
      <c r="Q3283">
        <v>0.1749338</v>
      </c>
      <c r="R3283">
        <v>-0.1124238</v>
      </c>
      <c r="S3283">
        <v>-3.0384829999999998</v>
      </c>
      <c r="T3283">
        <v>-8.7775110000000003E-2</v>
      </c>
      <c r="U3283">
        <v>-0.38452150000000002</v>
      </c>
      <c r="V3283">
        <v>-0.1091541</v>
      </c>
      <c r="W3283">
        <v>0.18803600000000001</v>
      </c>
      <c r="X3283">
        <v>0.9760778</v>
      </c>
      <c r="Y3283">
        <v>-0.12205530000000001</v>
      </c>
      <c r="Z3283">
        <v>-2.528069E-3</v>
      </c>
      <c r="AA3283">
        <v>0.99252010000000002</v>
      </c>
      <c r="AB3283">
        <v>33</v>
      </c>
      <c r="AC3283">
        <v>-38.229399999999998</v>
      </c>
      <c r="AD3283">
        <v>-1.1108677425189999</v>
      </c>
      <c r="AE3283">
        <v>-4.8652999999999897</v>
      </c>
      <c r="AF3283">
        <v>-4.7295669045796096</v>
      </c>
      <c r="AG3283">
        <v>-1.1108677425189999</v>
      </c>
      <c r="AH3283">
        <v>38.214190868582101</v>
      </c>
      <c r="AI3283">
        <v>91.652490227281405</v>
      </c>
      <c r="AJ3283">
        <v>97.0553157706821</v>
      </c>
      <c r="AK3283">
        <v>38.521775841550799</v>
      </c>
      <c r="AL3283">
        <v>79.161810604781195</v>
      </c>
      <c r="AM3283">
        <v>96.380836075094706</v>
      </c>
      <c r="AN3283">
        <v>1.00000001324782</v>
      </c>
    </row>
    <row r="3284" spans="1:40" x14ac:dyDescent="0.25">
      <c r="A3284" t="str">
        <f>"20190304154821087"</f>
        <v>20190304154821087</v>
      </c>
      <c r="B3284" t="str">
        <f>"1551685701079577"</f>
        <v>1551685701079577</v>
      </c>
      <c r="C3284" t="s">
        <v>40</v>
      </c>
      <c r="D3284">
        <v>4.3753390000000003</v>
      </c>
      <c r="E3284">
        <v>0.48889339999999998</v>
      </c>
      <c r="F3284" t="s">
        <v>54</v>
      </c>
      <c r="G3284">
        <v>-479.35980000000001</v>
      </c>
      <c r="H3284" s="1">
        <v>2.0920730000000002E-6</v>
      </c>
      <c r="I3284">
        <v>280.36869999999999</v>
      </c>
      <c r="J3284">
        <v>-444.37950000000001</v>
      </c>
      <c r="K3284">
        <v>1.1108880000000001</v>
      </c>
      <c r="L3284">
        <v>285.15769999999998</v>
      </c>
      <c r="M3284">
        <v>-0.99990250000000003</v>
      </c>
      <c r="N3284">
        <v>-1.3478499999999999E-2</v>
      </c>
      <c r="O3284">
        <v>-3.6412129999999999E-3</v>
      </c>
      <c r="P3284">
        <v>-0.97820560000000001</v>
      </c>
      <c r="Q3284">
        <v>0.17452190000000001</v>
      </c>
      <c r="R3284">
        <v>-0.1124981</v>
      </c>
      <c r="S3284">
        <v>-3.0366520000000001</v>
      </c>
      <c r="T3284">
        <v>-9.5923069999999999E-2</v>
      </c>
      <c r="U3284">
        <v>-0.41360469999999999</v>
      </c>
      <c r="V3284">
        <v>-0.1090463</v>
      </c>
      <c r="W3284">
        <v>0.18763179999999999</v>
      </c>
      <c r="X3284">
        <v>0.97616760000000002</v>
      </c>
      <c r="Y3284">
        <v>-0.1312575</v>
      </c>
      <c r="Z3284">
        <v>-2.8864619999999998E-3</v>
      </c>
      <c r="AA3284">
        <v>0.99134409999999895</v>
      </c>
      <c r="AB3284">
        <v>33</v>
      </c>
      <c r="AC3284">
        <v>-34.9803</v>
      </c>
      <c r="AD3284">
        <v>-1.1108859079269999</v>
      </c>
      <c r="AE3284">
        <v>-4.7889999999999802</v>
      </c>
      <c r="AF3284">
        <v>-4.65697562794624</v>
      </c>
      <c r="AG3284">
        <v>-1.1108859079269999</v>
      </c>
      <c r="AH3284">
        <v>34.962894793918103</v>
      </c>
      <c r="AI3284">
        <v>91.803941307187898</v>
      </c>
      <c r="AJ3284">
        <v>97.587005271143795</v>
      </c>
      <c r="AK3284">
        <v>35.289169753201897</v>
      </c>
      <c r="AL3284">
        <v>79.185388936805893</v>
      </c>
      <c r="AM3284">
        <v>96.374004708050293</v>
      </c>
      <c r="AN3284">
        <v>0.99999998560234404</v>
      </c>
    </row>
    <row r="3285" spans="1:40" x14ac:dyDescent="0.25">
      <c r="A3285" t="str">
        <f>"20190304154821109"</f>
        <v>20190304154821109</v>
      </c>
      <c r="B3285" t="str">
        <f>"1551685701100073"</f>
        <v>1551685701100073</v>
      </c>
      <c r="C3285" t="s">
        <v>40</v>
      </c>
      <c r="D3285">
        <v>4.3460510000000001</v>
      </c>
      <c r="E3285">
        <v>0.4876837</v>
      </c>
      <c r="F3285" t="s">
        <v>54</v>
      </c>
      <c r="G3285">
        <v>-480.87549999999999</v>
      </c>
      <c r="H3285" s="1">
        <v>1.976162E-6</v>
      </c>
      <c r="I3285">
        <v>280.21370000000002</v>
      </c>
      <c r="J3285">
        <v>-444.70159999999998</v>
      </c>
      <c r="K3285">
        <v>1.110924</v>
      </c>
      <c r="L3285">
        <v>285.15620000000001</v>
      </c>
      <c r="M3285">
        <v>-0.99990080000000003</v>
      </c>
      <c r="N3285">
        <v>-1.350237E-2</v>
      </c>
      <c r="O3285">
        <v>-4.006112E-3</v>
      </c>
      <c r="P3285">
        <v>-0.97810050000000004</v>
      </c>
      <c r="Q3285">
        <v>0.1747657</v>
      </c>
      <c r="R3285">
        <v>-0.1130342</v>
      </c>
      <c r="S3285">
        <v>-3.036041</v>
      </c>
      <c r="T3285">
        <v>-9.2412590000000003E-2</v>
      </c>
      <c r="U3285">
        <v>-0.41128540000000002</v>
      </c>
      <c r="V3285">
        <v>-0.1092405</v>
      </c>
      <c r="W3285">
        <v>0.187889</v>
      </c>
      <c r="X3285">
        <v>0.97609650000000003</v>
      </c>
      <c r="Y3285">
        <v>-0.13018489999999999</v>
      </c>
      <c r="Z3285">
        <v>-2.7875840000000001E-3</v>
      </c>
      <c r="AA3285">
        <v>0.99148579999999997</v>
      </c>
      <c r="AB3285">
        <v>33</v>
      </c>
      <c r="AC3285">
        <v>-36.173900000000003</v>
      </c>
      <c r="AD3285">
        <v>-1.110922023838</v>
      </c>
      <c r="AE3285">
        <v>-4.9424999999999901</v>
      </c>
      <c r="AF3285">
        <v>-4.7930927062773003</v>
      </c>
      <c r="AG3285">
        <v>-1.110922023838</v>
      </c>
      <c r="AH3285">
        <v>36.1599327707847</v>
      </c>
      <c r="AI3285">
        <v>91.744464682093806</v>
      </c>
      <c r="AJ3285">
        <v>97.550686893910594</v>
      </c>
      <c r="AK3285">
        <v>36.493131181383802</v>
      </c>
      <c r="AL3285">
        <v>79.1703865537052</v>
      </c>
      <c r="AM3285">
        <v>96.385723736168799</v>
      </c>
      <c r="AN3285">
        <v>1.00000007023674</v>
      </c>
    </row>
    <row r="3286" spans="1:40" x14ac:dyDescent="0.25">
      <c r="A3286" t="str">
        <f>"20190304154821133"</f>
        <v>20190304154821133</v>
      </c>
      <c r="B3286" t="str">
        <f>"1551685701130329"</f>
        <v>1551685701130329</v>
      </c>
      <c r="C3286" t="s">
        <v>40</v>
      </c>
      <c r="D3286">
        <v>4.396325</v>
      </c>
      <c r="E3286">
        <v>0.48678189999999999</v>
      </c>
      <c r="F3286" t="s">
        <v>54</v>
      </c>
      <c r="G3286">
        <v>-480.90019999999998</v>
      </c>
      <c r="H3286" s="1">
        <v>1.9722969999999999E-6</v>
      </c>
      <c r="I3286">
        <v>280.11939999999998</v>
      </c>
      <c r="J3286">
        <v>-445.02659999999997</v>
      </c>
      <c r="K3286">
        <v>1.110965</v>
      </c>
      <c r="L3286">
        <v>285.15440000000001</v>
      </c>
      <c r="M3286">
        <v>-0.99989879999999998</v>
      </c>
      <c r="N3286">
        <v>-1.3532239999999999E-2</v>
      </c>
      <c r="O3286">
        <v>-4.4199640000000002E-3</v>
      </c>
      <c r="P3286">
        <v>-0.97803280000000004</v>
      </c>
      <c r="Q3286">
        <v>0.1751327</v>
      </c>
      <c r="R3286">
        <v>-0.1130517</v>
      </c>
      <c r="S3286">
        <v>-3.035034</v>
      </c>
      <c r="T3286">
        <v>-9.3144179999999993E-2</v>
      </c>
      <c r="U3286">
        <v>-0.42230220000000002</v>
      </c>
      <c r="V3286">
        <v>-0.1088692</v>
      </c>
      <c r="W3286">
        <v>0.1882762</v>
      </c>
      <c r="X3286">
        <v>0.97606329999999997</v>
      </c>
      <c r="Y3286">
        <v>-0.13334670000000001</v>
      </c>
      <c r="Z3286">
        <v>-2.8673800000000001E-3</v>
      </c>
      <c r="AA3286">
        <v>0.99106530000000004</v>
      </c>
      <c r="AB3286">
        <v>33</v>
      </c>
      <c r="AC3286">
        <v>-35.873600000000003</v>
      </c>
      <c r="AD3286">
        <v>-1.110963027703</v>
      </c>
      <c r="AE3286">
        <v>-5.0350000000000197</v>
      </c>
      <c r="AF3286">
        <v>-4.8717941729232503</v>
      </c>
      <c r="AG3286">
        <v>-1.110963027703</v>
      </c>
      <c r="AH3286">
        <v>35.861776642953998</v>
      </c>
      <c r="AI3286">
        <v>91.758260239484798</v>
      </c>
      <c r="AJ3286">
        <v>97.736227871996604</v>
      </c>
      <c r="AK3286">
        <v>36.208226155134597</v>
      </c>
      <c r="AL3286">
        <v>79.147797710738402</v>
      </c>
      <c r="AM3286">
        <v>96.364412238417998</v>
      </c>
      <c r="AN3286">
        <v>0.99999999790098404</v>
      </c>
    </row>
    <row r="3287" spans="1:40" x14ac:dyDescent="0.25">
      <c r="A3287" t="str">
        <f>"20190304154821155"</f>
        <v>20190304154821155</v>
      </c>
      <c r="B3287" t="str">
        <f>"1551685701149849"</f>
        <v>1551685701149849</v>
      </c>
      <c r="C3287" t="s">
        <v>40</v>
      </c>
      <c r="D3287">
        <v>4.3629089999999904</v>
      </c>
      <c r="E3287">
        <v>0.4863191</v>
      </c>
      <c r="F3287" t="s">
        <v>54</v>
      </c>
      <c r="G3287">
        <v>-481.17590000000001</v>
      </c>
      <c r="H3287" s="1">
        <v>2.0140940000000002E-6</v>
      </c>
      <c r="I3287">
        <v>280.03800000000001</v>
      </c>
      <c r="J3287">
        <v>-445.36130000000003</v>
      </c>
      <c r="K3287">
        <v>1.111013</v>
      </c>
      <c r="L3287">
        <v>285.15249999999997</v>
      </c>
      <c r="M3287">
        <v>-0.99989600000000001</v>
      </c>
      <c r="N3287">
        <v>-1.357119E-2</v>
      </c>
      <c r="O3287">
        <v>-4.8958200000000004E-3</v>
      </c>
      <c r="P3287">
        <v>-0.97800019999999999</v>
      </c>
      <c r="Q3287">
        <v>0.17506769999999999</v>
      </c>
      <c r="R3287">
        <v>-0.1134337</v>
      </c>
      <c r="S3287">
        <v>-3.0343930000000001</v>
      </c>
      <c r="T3287">
        <v>-9.3254690000000001E-2</v>
      </c>
      <c r="U3287">
        <v>-0.42947390000000002</v>
      </c>
      <c r="V3287">
        <v>-0.1088035</v>
      </c>
      <c r="W3287">
        <v>0.18823970000000001</v>
      </c>
      <c r="X3287">
        <v>0.97607770000000005</v>
      </c>
      <c r="Y3287">
        <v>-0.13519900000000001</v>
      </c>
      <c r="Z3287">
        <v>-2.9054760000000002E-3</v>
      </c>
      <c r="AA3287">
        <v>0.99081419999999998</v>
      </c>
      <c r="AB3287">
        <v>33</v>
      </c>
      <c r="AC3287">
        <v>-35.814599999999899</v>
      </c>
      <c r="AD3287">
        <v>-1.111010985906</v>
      </c>
      <c r="AE3287">
        <v>-5.1144999999999596</v>
      </c>
      <c r="AF3287">
        <v>-4.9344271593266802</v>
      </c>
      <c r="AG3287">
        <v>-1.111010985906</v>
      </c>
      <c r="AH3287">
        <v>35.805445243343797</v>
      </c>
      <c r="AI3287">
        <v>91.760636699611993</v>
      </c>
      <c r="AJ3287">
        <v>97.846631563418001</v>
      </c>
      <c r="AK3287">
        <v>36.160929549385202</v>
      </c>
      <c r="AL3287">
        <v>79.149927447999005</v>
      </c>
      <c r="AM3287">
        <v>96.360509884433796</v>
      </c>
      <c r="AN3287">
        <v>1.0000000313528099</v>
      </c>
    </row>
    <row r="3288" spans="1:40" x14ac:dyDescent="0.25">
      <c r="A3288" t="str">
        <f>"20190304154821179"</f>
        <v>20190304154821179</v>
      </c>
      <c r="B3288" t="str">
        <f>"1551685701170346"</f>
        <v>1551685701170346</v>
      </c>
      <c r="C3288" t="s">
        <v>40</v>
      </c>
      <c r="D3288">
        <v>4.478262</v>
      </c>
      <c r="E3288">
        <v>0.48563269999999997</v>
      </c>
      <c r="F3288" t="s">
        <v>54</v>
      </c>
      <c r="G3288">
        <v>-480.96940000000001</v>
      </c>
      <c r="H3288" s="1">
        <v>1.9789650000000001E-6</v>
      </c>
      <c r="I3288">
        <v>280.05529999999999</v>
      </c>
      <c r="J3288">
        <v>-445.69200000000001</v>
      </c>
      <c r="K3288">
        <v>1.1110599999999999</v>
      </c>
      <c r="L3288">
        <v>285.15039999999999</v>
      </c>
      <c r="M3288">
        <v>-0.99989280000000003</v>
      </c>
      <c r="N3288">
        <v>-1.361357E-2</v>
      </c>
      <c r="O3288">
        <v>-5.4055129999999998E-3</v>
      </c>
      <c r="P3288">
        <v>-0.97782919999999995</v>
      </c>
      <c r="Q3288">
        <v>0.17525289999999999</v>
      </c>
      <c r="R3288">
        <v>-0.11461540000000001</v>
      </c>
      <c r="S3288">
        <v>-3.0340880000000001</v>
      </c>
      <c r="T3288">
        <v>-9.4666719999999996E-2</v>
      </c>
      <c r="U3288">
        <v>-0.4343262</v>
      </c>
      <c r="V3288">
        <v>-0.109504</v>
      </c>
      <c r="W3288">
        <v>0.1884547</v>
      </c>
      <c r="X3288">
        <v>0.97595790000000004</v>
      </c>
      <c r="Y3288">
        <v>-0.13625779999999901</v>
      </c>
      <c r="Z3288">
        <v>-2.9524199999999999E-3</v>
      </c>
      <c r="AA3288">
        <v>0.99066900000000002</v>
      </c>
      <c r="AB3288">
        <v>33</v>
      </c>
      <c r="AC3288">
        <v>-35.2774</v>
      </c>
      <c r="AD3288">
        <v>-1.1110580210349901</v>
      </c>
      <c r="AE3288">
        <v>-5.0951000000000004</v>
      </c>
      <c r="AF3288">
        <v>-4.8995547455138704</v>
      </c>
      <c r="AG3288">
        <v>-1.1110580210349901</v>
      </c>
      <c r="AH3288">
        <v>35.2701580936778</v>
      </c>
      <c r="AI3288">
        <v>91.787148472538505</v>
      </c>
      <c r="AJ3288">
        <v>97.908631610933597</v>
      </c>
      <c r="AK3288">
        <v>35.626172101187301</v>
      </c>
      <c r="AL3288">
        <v>79.1373846949745</v>
      </c>
      <c r="AM3288">
        <v>96.4019005926191</v>
      </c>
      <c r="AN3288">
        <v>1.00000006127024</v>
      </c>
    </row>
    <row r="3289" spans="1:40" x14ac:dyDescent="0.25">
      <c r="A3289" t="str">
        <f>"20190304154821200"</f>
        <v>20190304154821200</v>
      </c>
      <c r="B3289" t="str">
        <f>"1551685701189866"</f>
        <v>1551685701189866</v>
      </c>
      <c r="C3289" t="s">
        <v>40</v>
      </c>
      <c r="D3289">
        <v>4.3883970000000003</v>
      </c>
      <c r="E3289">
        <v>0.48544910000000002</v>
      </c>
      <c r="F3289" t="s">
        <v>54</v>
      </c>
      <c r="G3289">
        <v>-481.39600000000002</v>
      </c>
      <c r="H3289" s="1">
        <v>2.0436229999999998E-6</v>
      </c>
      <c r="I3289">
        <v>279.92930000000001</v>
      </c>
      <c r="J3289">
        <v>-446.00819999999999</v>
      </c>
      <c r="K3289">
        <v>1.1111059999999999</v>
      </c>
      <c r="L3289">
        <v>285.1481</v>
      </c>
      <c r="M3289">
        <v>-0.99988909999999998</v>
      </c>
      <c r="N3289">
        <v>-1.366095E-2</v>
      </c>
      <c r="O3289">
        <v>-5.9304589999999999E-3</v>
      </c>
      <c r="P3289">
        <v>-0.97782519999999995</v>
      </c>
      <c r="Q3289">
        <v>0.1750139</v>
      </c>
      <c r="R3289">
        <v>-0.1150133</v>
      </c>
      <c r="S3289">
        <v>-3.0329280000000001</v>
      </c>
      <c r="T3289">
        <v>-9.4380619999999998E-2</v>
      </c>
      <c r="U3289">
        <v>-0.44351200000000002</v>
      </c>
      <c r="V3289">
        <v>-0.1094026</v>
      </c>
      <c r="W3289">
        <v>0.1882538</v>
      </c>
      <c r="X3289">
        <v>0.97600799999999999</v>
      </c>
      <c r="Y3289">
        <v>-0.13872799999999999</v>
      </c>
      <c r="Z3289">
        <v>-2.996627E-3</v>
      </c>
      <c r="AA3289">
        <v>0.99032600000000004</v>
      </c>
      <c r="AB3289">
        <v>32</v>
      </c>
      <c r="AC3289">
        <v>-35.387799999999899</v>
      </c>
      <c r="AD3289">
        <v>-1.111103956377</v>
      </c>
      <c r="AE3289">
        <v>-5.2187999999999803</v>
      </c>
      <c r="AF3289">
        <v>-5.0039946406736702</v>
      </c>
      <c r="AG3289">
        <v>-1.111103956377</v>
      </c>
      <c r="AH3289">
        <v>35.3839902325848</v>
      </c>
      <c r="AI3289">
        <v>91.780863548210405</v>
      </c>
      <c r="AJ3289">
        <v>98.049376095325002</v>
      </c>
      <c r="AK3289">
        <v>35.753339412499997</v>
      </c>
      <c r="AL3289">
        <v>79.149104736557007</v>
      </c>
      <c r="AM3289">
        <v>96.395696025913495</v>
      </c>
      <c r="AN3289">
        <v>1.0000000190825999</v>
      </c>
    </row>
    <row r="3290" spans="1:40" x14ac:dyDescent="0.25">
      <c r="A3290" t="str">
        <f>"20190304154821222"</f>
        <v>20190304154821222</v>
      </c>
      <c r="B3290" t="str">
        <f>"1551685701210362"</f>
        <v>1551685701210362</v>
      </c>
      <c r="C3290" t="s">
        <v>40</v>
      </c>
      <c r="D3290">
        <v>4.3993789999999997</v>
      </c>
      <c r="E3290">
        <v>0.48525620000000003</v>
      </c>
      <c r="F3290" t="s">
        <v>54</v>
      </c>
      <c r="G3290">
        <v>-481.93270000000001</v>
      </c>
      <c r="H3290" s="1">
        <v>2.1329969999999999E-6</v>
      </c>
      <c r="I3290">
        <v>279.86270000000002</v>
      </c>
      <c r="J3290">
        <v>-446.32420000000002</v>
      </c>
      <c r="K3290">
        <v>1.111146</v>
      </c>
      <c r="L3290">
        <v>285.1456</v>
      </c>
      <c r="M3290">
        <v>-0.99988489999999997</v>
      </c>
      <c r="N3290">
        <v>-1.3717740000000001E-2</v>
      </c>
      <c r="O3290">
        <v>-6.4962559999999997E-3</v>
      </c>
      <c r="P3290">
        <v>-0.97766739999999996</v>
      </c>
      <c r="Q3290">
        <v>0.17511160000000001</v>
      </c>
      <c r="R3290">
        <v>-0.1162001</v>
      </c>
      <c r="S3290">
        <v>-3.032349</v>
      </c>
      <c r="T3290">
        <v>-9.378707E-2</v>
      </c>
      <c r="U3290">
        <v>-0.44613649999999999</v>
      </c>
      <c r="V3290">
        <v>-0.110052</v>
      </c>
      <c r="W3290">
        <v>0.1883966</v>
      </c>
      <c r="X3290">
        <v>0.97590739999999998</v>
      </c>
      <c r="Y3290">
        <v>-0.13903450000000001</v>
      </c>
      <c r="Z3290">
        <v>-2.9860360000000001E-3</v>
      </c>
      <c r="AA3290">
        <v>0.99028300000000002</v>
      </c>
      <c r="AB3290">
        <v>32</v>
      </c>
      <c r="AC3290">
        <v>-35.6084999999999</v>
      </c>
      <c r="AD3290">
        <v>-1.1111438670029901</v>
      </c>
      <c r="AE3290">
        <v>-5.2828999999999802</v>
      </c>
      <c r="AF3290">
        <v>-5.0466366584643501</v>
      </c>
      <c r="AG3290">
        <v>-1.1111438670029901</v>
      </c>
      <c r="AH3290">
        <v>35.608145221777001</v>
      </c>
      <c r="AI3290">
        <v>91.769648174570904</v>
      </c>
      <c r="AJ3290">
        <v>98.066636643655997</v>
      </c>
      <c r="AK3290">
        <v>35.981150459523903</v>
      </c>
      <c r="AL3290">
        <v>79.140773484941107</v>
      </c>
      <c r="AM3290">
        <v>96.434000322899607</v>
      </c>
      <c r="AN3290">
        <v>0.99999998748515995</v>
      </c>
    </row>
    <row r="3291" spans="1:40" x14ac:dyDescent="0.25">
      <c r="A3291" t="str">
        <f>"20190304154821244"</f>
        <v>20190304154821244</v>
      </c>
      <c r="B3291" t="str">
        <f>"1551685701239645"</f>
        <v>1551685701239645</v>
      </c>
      <c r="C3291" t="s">
        <v>40</v>
      </c>
      <c r="D3291">
        <v>4.3944539999999996</v>
      </c>
      <c r="E3291">
        <v>0.48494100000000001</v>
      </c>
      <c r="F3291" t="s">
        <v>54</v>
      </c>
      <c r="G3291">
        <v>-482.87599999999998</v>
      </c>
      <c r="H3291" s="1">
        <v>2.286459E-6</v>
      </c>
      <c r="I3291">
        <v>279.70400000000001</v>
      </c>
      <c r="J3291">
        <v>-446.64600000000002</v>
      </c>
      <c r="K3291">
        <v>1.111192</v>
      </c>
      <c r="L3291">
        <v>285.1429</v>
      </c>
      <c r="M3291">
        <v>-0.99987969999999904</v>
      </c>
      <c r="N3291">
        <v>-1.377781E-2</v>
      </c>
      <c r="O3291">
        <v>-7.1188969999999999E-3</v>
      </c>
      <c r="P3291">
        <v>-0.97769530000000004</v>
      </c>
      <c r="Q3291">
        <v>0.17437329999999901</v>
      </c>
      <c r="R3291">
        <v>-0.1170732</v>
      </c>
      <c r="S3291">
        <v>-3.0314030000000001</v>
      </c>
      <c r="T3291">
        <v>-9.2151999999999998E-2</v>
      </c>
      <c r="U3291">
        <v>-0.45129390000000003</v>
      </c>
      <c r="V3291">
        <v>-0.1103316</v>
      </c>
      <c r="W3291">
        <v>0.18770819999999999</v>
      </c>
      <c r="X3291">
        <v>0.97600849999999995</v>
      </c>
      <c r="Y3291">
        <v>-0.14011289999999901</v>
      </c>
      <c r="Z3291">
        <v>-2.9707900000000001E-3</v>
      </c>
      <c r="AA3291">
        <v>0.99013110000000004</v>
      </c>
      <c r="AB3291">
        <v>32</v>
      </c>
      <c r="AC3291">
        <v>-36.229999999999997</v>
      </c>
      <c r="AD3291">
        <v>-1.111189713541</v>
      </c>
      <c r="AE3291">
        <v>-5.4388999999999896</v>
      </c>
      <c r="AF3291">
        <v>-5.1760583428603599</v>
      </c>
      <c r="AG3291">
        <v>-1.111189713541</v>
      </c>
      <c r="AH3291">
        <v>36.234470764535999</v>
      </c>
      <c r="AI3291">
        <v>91.738877897490696</v>
      </c>
      <c r="AJ3291">
        <v>98.129645797511898</v>
      </c>
      <c r="AK3291">
        <v>36.6191643014172</v>
      </c>
      <c r="AL3291">
        <v>79.180932635416198</v>
      </c>
      <c r="AM3291">
        <v>96.449546548552206</v>
      </c>
      <c r="AN3291">
        <v>1.0000000111890199</v>
      </c>
    </row>
    <row r="3292" spans="1:40" x14ac:dyDescent="0.25">
      <c r="A3292" t="str">
        <f>"20190304154821266"</f>
        <v>20190304154821266</v>
      </c>
      <c r="B3292" t="str">
        <f>"1551685701260138"</f>
        <v>1551685701260138</v>
      </c>
      <c r="C3292" t="s">
        <v>40</v>
      </c>
      <c r="D3292">
        <v>4.3809649999999998</v>
      </c>
      <c r="E3292">
        <v>0.484815</v>
      </c>
      <c r="F3292" t="s">
        <v>54</v>
      </c>
      <c r="G3292">
        <v>-482.76850000000002</v>
      </c>
      <c r="H3292" s="1">
        <v>2.2671150000000001E-6</v>
      </c>
      <c r="I3292">
        <v>279.70089999999999</v>
      </c>
      <c r="J3292">
        <v>-446.96929999999998</v>
      </c>
      <c r="K3292">
        <v>1.1112420000000001</v>
      </c>
      <c r="L3292">
        <v>285.14</v>
      </c>
      <c r="M3292">
        <v>-0.99987389999999998</v>
      </c>
      <c r="N3292">
        <v>-1.3834859999999999E-2</v>
      </c>
      <c r="O3292">
        <v>-7.7956179999999998E-3</v>
      </c>
      <c r="P3292">
        <v>-0.9774948</v>
      </c>
      <c r="Q3292">
        <v>0.174548799999999</v>
      </c>
      <c r="R3292">
        <v>-0.1184767</v>
      </c>
      <c r="S3292">
        <v>-3.0303960000000001</v>
      </c>
      <c r="T3292">
        <v>-9.3220230000000001E-2</v>
      </c>
      <c r="U3292">
        <v>-0.45654299999999998</v>
      </c>
      <c r="V3292">
        <v>-0.111093899999999</v>
      </c>
      <c r="W3292">
        <v>0.1879255</v>
      </c>
      <c r="X3292">
        <v>0.97588019999999998</v>
      </c>
      <c r="Y3292">
        <v>-0.1411654</v>
      </c>
      <c r="Z3292">
        <v>-3.0098059999999999E-3</v>
      </c>
      <c r="AA3292">
        <v>0.98998149999999996</v>
      </c>
      <c r="AB3292">
        <v>32</v>
      </c>
      <c r="AC3292">
        <v>-35.799199999999999</v>
      </c>
      <c r="AD3292">
        <v>-1.1112397328849899</v>
      </c>
      <c r="AE3292">
        <v>-5.4390999999999901</v>
      </c>
      <c r="AF3292">
        <v>-5.1549761479843701</v>
      </c>
      <c r="AG3292">
        <v>-1.1112397328849899</v>
      </c>
      <c r="AH3292">
        <v>35.8067944313282</v>
      </c>
      <c r="AI3292">
        <v>91.759437124514704</v>
      </c>
      <c r="AJ3292">
        <v>98.192378641506707</v>
      </c>
      <c r="AK3292">
        <v>36.193026403958299</v>
      </c>
      <c r="AL3292">
        <v>79.168256630395902</v>
      </c>
      <c r="AM3292">
        <v>96.494574687178002</v>
      </c>
      <c r="AN3292">
        <v>1.0000000064597401</v>
      </c>
    </row>
    <row r="3293" spans="1:40" x14ac:dyDescent="0.25">
      <c r="A3293" t="str">
        <f>"20190304154821288"</f>
        <v>20190304154821288</v>
      </c>
      <c r="B3293" t="str">
        <f>"1551685701279658"</f>
        <v>1551685701279658</v>
      </c>
      <c r="C3293" t="s">
        <v>40</v>
      </c>
      <c r="D3293">
        <v>4.4106680000000003</v>
      </c>
      <c r="E3293">
        <v>0.48473949999999999</v>
      </c>
      <c r="F3293" t="s">
        <v>54</v>
      </c>
      <c r="G3293">
        <v>-483.56450000000001</v>
      </c>
      <c r="H3293" s="1">
        <v>2.3812449999999999E-6</v>
      </c>
      <c r="I3293">
        <v>279.56060000000002</v>
      </c>
      <c r="J3293">
        <v>-447.28989999999999</v>
      </c>
      <c r="K3293">
        <v>1.1112919999999999</v>
      </c>
      <c r="L3293">
        <v>285.13670000000002</v>
      </c>
      <c r="M3293">
        <v>-0.99986739999999996</v>
      </c>
      <c r="N3293">
        <v>-1.389081E-2</v>
      </c>
      <c r="O3293">
        <v>-8.5223790000000001E-3</v>
      </c>
      <c r="P3293">
        <v>-0.97736219999999996</v>
      </c>
      <c r="Q3293">
        <v>0.1749174</v>
      </c>
      <c r="R3293">
        <v>-0.11902790000000001</v>
      </c>
      <c r="S3293">
        <v>-3.029541</v>
      </c>
      <c r="T3293">
        <v>-9.199417E-2</v>
      </c>
      <c r="U3293">
        <v>-0.4618835</v>
      </c>
      <c r="V3293">
        <v>-0.1109565</v>
      </c>
      <c r="W3293">
        <v>0.18833520000000001</v>
      </c>
      <c r="X3293">
        <v>0.97581680000000004</v>
      </c>
      <c r="Y3293">
        <v>-0.14219419999999999</v>
      </c>
      <c r="Z3293">
        <v>-3.0001860000000002E-3</v>
      </c>
      <c r="AA3293">
        <v>0.9898342</v>
      </c>
      <c r="AB3293">
        <v>32</v>
      </c>
      <c r="AC3293">
        <v>-36.2746</v>
      </c>
      <c r="AD3293">
        <v>-1.1112896187550001</v>
      </c>
      <c r="AE3293">
        <v>-5.5760999999999896</v>
      </c>
      <c r="AF3293">
        <v>-5.2618973408263701</v>
      </c>
      <c r="AG3293">
        <v>-1.1112896187550001</v>
      </c>
      <c r="AH3293">
        <v>36.287537754148502</v>
      </c>
      <c r="AI3293">
        <v>91.735964872798505</v>
      </c>
      <c r="AJ3293">
        <v>98.250703266001196</v>
      </c>
      <c r="AK3293">
        <v>36.6838918941394</v>
      </c>
      <c r="AL3293">
        <v>79.144355264910402</v>
      </c>
      <c r="AM3293">
        <v>96.487028603809307</v>
      </c>
      <c r="AN3293">
        <v>0.99999995980676404</v>
      </c>
    </row>
    <row r="3294" spans="1:40" x14ac:dyDescent="0.25">
      <c r="A3294" t="str">
        <f>"20190304154821310"</f>
        <v>20190304154821310</v>
      </c>
      <c r="B3294" t="str">
        <f>"1551685701300154"</f>
        <v>1551685701300154</v>
      </c>
      <c r="C3294" t="s">
        <v>40</v>
      </c>
      <c r="D3294">
        <v>4.4138109999999999</v>
      </c>
      <c r="E3294">
        <v>0.4845816</v>
      </c>
      <c r="F3294" t="s">
        <v>54</v>
      </c>
      <c r="G3294">
        <v>-484.65640000000002</v>
      </c>
      <c r="H3294" s="1">
        <v>2.5208149999999999E-6</v>
      </c>
      <c r="I3294">
        <v>279.4076</v>
      </c>
      <c r="J3294">
        <v>-447.60849999999999</v>
      </c>
      <c r="K3294">
        <v>1.1113500000000001</v>
      </c>
      <c r="L3294">
        <v>285.13319999999999</v>
      </c>
      <c r="M3294">
        <v>-0.99985959999999996</v>
      </c>
      <c r="N3294">
        <v>-1.394637E-2</v>
      </c>
      <c r="O3294">
        <v>-9.3070719999999996E-3</v>
      </c>
      <c r="P3294">
        <v>-0.97724750000000005</v>
      </c>
      <c r="Q3294">
        <v>0.1751375</v>
      </c>
      <c r="R3294">
        <v>-0.1196436</v>
      </c>
      <c r="S3294">
        <v>-3.0290219999999999</v>
      </c>
      <c r="T3294">
        <v>-9.0083839999999998E-2</v>
      </c>
      <c r="U3294">
        <v>-0.46441650000000001</v>
      </c>
      <c r="V3294">
        <v>-0.110830399999999</v>
      </c>
      <c r="W3294">
        <v>0.18859519999999999</v>
      </c>
      <c r="X3294">
        <v>0.97578100000000001</v>
      </c>
      <c r="Y3294">
        <v>-0.14225450000000001</v>
      </c>
      <c r="Z3294">
        <v>-2.9546799999999999E-3</v>
      </c>
      <c r="AA3294">
        <v>0.98982570000000003</v>
      </c>
      <c r="AB3294">
        <v>32</v>
      </c>
      <c r="AC3294">
        <v>-37.047899999999998</v>
      </c>
      <c r="AD3294">
        <v>-1.111347479185</v>
      </c>
      <c r="AE3294">
        <v>-5.7255999999999796</v>
      </c>
      <c r="AF3294">
        <v>-5.3757864304347898</v>
      </c>
      <c r="AG3294">
        <v>-1.111347479185</v>
      </c>
      <c r="AH3294">
        <v>37.067011967651403</v>
      </c>
      <c r="AI3294">
        <v>91.699564108885497</v>
      </c>
      <c r="AJ3294">
        <v>98.2520066392714</v>
      </c>
      <c r="AK3294">
        <v>37.471289665224297</v>
      </c>
      <c r="AL3294">
        <v>79.1291874567777</v>
      </c>
      <c r="AM3294">
        <v>96.4799546619262</v>
      </c>
      <c r="AN3294">
        <v>1.0000000434940901</v>
      </c>
    </row>
    <row r="3295" spans="1:40" x14ac:dyDescent="0.25">
      <c r="A3295" t="str">
        <f>"20190304154821334"</f>
        <v>20190304154821334</v>
      </c>
      <c r="B3295" t="str">
        <f>"1551685701330410"</f>
        <v>1551685701330410</v>
      </c>
      <c r="C3295" t="s">
        <v>40</v>
      </c>
      <c r="D3295">
        <v>4.4069019999999997</v>
      </c>
      <c r="E3295">
        <v>0.48446840000000002</v>
      </c>
      <c r="F3295" t="s">
        <v>54</v>
      </c>
      <c r="G3295">
        <v>-485.39269999999999</v>
      </c>
      <c r="H3295" s="1">
        <v>2.6132420000000001E-6</v>
      </c>
      <c r="I3295">
        <v>279.2996</v>
      </c>
      <c r="J3295">
        <v>-447.93419999999998</v>
      </c>
      <c r="K3295">
        <v>1.11141</v>
      </c>
      <c r="L3295">
        <v>285.1293</v>
      </c>
      <c r="M3295">
        <v>-0.99985000000000002</v>
      </c>
      <c r="N3295">
        <v>-1.4001619999999999E-2</v>
      </c>
      <c r="O3295">
        <v>-1.0189180000000001E-2</v>
      </c>
      <c r="P3295">
        <v>-0.97700640000000005</v>
      </c>
      <c r="Q3295">
        <v>0.175545799999999</v>
      </c>
      <c r="R3295">
        <v>-0.1210053</v>
      </c>
      <c r="S3295">
        <v>-3.0285639999999998</v>
      </c>
      <c r="T3295">
        <v>-8.9079019999999995E-2</v>
      </c>
      <c r="U3295">
        <v>-0.46759030000000001</v>
      </c>
      <c r="V3295">
        <v>-0.111359</v>
      </c>
      <c r="W3295">
        <v>0.18903909999999999</v>
      </c>
      <c r="X3295">
        <v>0.97563489999999997</v>
      </c>
      <c r="Y3295">
        <v>-0.1424185</v>
      </c>
      <c r="Z3295">
        <v>-2.9290200000000001E-3</v>
      </c>
      <c r="AA3295">
        <v>0.98980219999999997</v>
      </c>
      <c r="AB3295">
        <v>32</v>
      </c>
      <c r="AC3295">
        <v>-37.458500000000001</v>
      </c>
      <c r="AD3295">
        <v>-1.1114073867579899</v>
      </c>
      <c r="AE3295">
        <v>-5.8296999999999999</v>
      </c>
      <c r="AF3295">
        <v>-5.4430101418152699</v>
      </c>
      <c r="AG3295">
        <v>-1.1114073867579899</v>
      </c>
      <c r="AH3295">
        <v>37.4837430576004</v>
      </c>
      <c r="AI3295">
        <v>91.680727176249306</v>
      </c>
      <c r="AJ3295">
        <v>98.262164956349096</v>
      </c>
      <c r="AK3295">
        <v>37.893173255765397</v>
      </c>
      <c r="AL3295">
        <v>79.103287874268105</v>
      </c>
      <c r="AM3295">
        <v>96.511562327357098</v>
      </c>
      <c r="AN3295">
        <v>1.0000000331539001</v>
      </c>
    </row>
    <row r="3296" spans="1:40" x14ac:dyDescent="0.25">
      <c r="A3296" t="str">
        <f>"20190304154821356"</f>
        <v>20190304154821356</v>
      </c>
      <c r="B3296" t="str">
        <f>"1551685701349931"</f>
        <v>1551685701349931</v>
      </c>
      <c r="C3296" t="s">
        <v>40</v>
      </c>
      <c r="D3296">
        <v>4.394101</v>
      </c>
      <c r="E3296">
        <v>0.48437029999999998</v>
      </c>
      <c r="F3296" t="s">
        <v>54</v>
      </c>
      <c r="G3296">
        <v>-486.55099999999999</v>
      </c>
      <c r="H3296" s="1">
        <v>2.7484510000000002E-6</v>
      </c>
      <c r="I3296">
        <v>279.10090000000002</v>
      </c>
      <c r="J3296">
        <v>-448.26549999999997</v>
      </c>
      <c r="K3296">
        <v>1.1114809999999999</v>
      </c>
      <c r="L3296">
        <v>285.12479999999999</v>
      </c>
      <c r="M3296">
        <v>-0.99983880000000003</v>
      </c>
      <c r="N3296">
        <v>-1.4053629999999999E-2</v>
      </c>
      <c r="O3296">
        <v>-1.1173799999999999E-2</v>
      </c>
      <c r="P3296">
        <v>-0.97685469999999996</v>
      </c>
      <c r="Q3296">
        <v>0.17580009999999999</v>
      </c>
      <c r="R3296">
        <v>-0.121859</v>
      </c>
      <c r="S3296">
        <v>-3.0277400000000001</v>
      </c>
      <c r="T3296">
        <v>-8.7139610000000006E-2</v>
      </c>
      <c r="U3296">
        <v>-0.47265629999999997</v>
      </c>
      <c r="V3296">
        <v>-0.11128159999999999</v>
      </c>
      <c r="W3296">
        <v>0.18932599999999999</v>
      </c>
      <c r="X3296">
        <v>0.97558809999999996</v>
      </c>
      <c r="Y3296">
        <v>-0.14310419999999999</v>
      </c>
      <c r="Z3296">
        <v>-2.895066E-3</v>
      </c>
      <c r="AA3296">
        <v>0.98970340000000001</v>
      </c>
      <c r="AB3296">
        <v>32</v>
      </c>
      <c r="AC3296">
        <v>-38.285499999999999</v>
      </c>
      <c r="AD3296">
        <v>-1.111478251549</v>
      </c>
      <c r="AE3296">
        <v>-6.0238999999999603</v>
      </c>
      <c r="AF3296">
        <v>-5.5910886609919501</v>
      </c>
      <c r="AG3296">
        <v>-1.111478251549</v>
      </c>
      <c r="AH3296">
        <v>38.318910293027301</v>
      </c>
      <c r="AI3296">
        <v>91.644056700694506</v>
      </c>
      <c r="AJ3296">
        <v>98.301411660064304</v>
      </c>
      <c r="AK3296">
        <v>38.740605859534703</v>
      </c>
      <c r="AL3296">
        <v>79.086547433707096</v>
      </c>
      <c r="AM3296">
        <v>96.507384773917593</v>
      </c>
      <c r="AN3296">
        <v>1.00000003481808</v>
      </c>
    </row>
    <row r="3297" spans="1:40" x14ac:dyDescent="0.25">
      <c r="A3297" t="str">
        <f>"20190304154821379"</f>
        <v>20190304154821379</v>
      </c>
      <c r="B3297" t="str">
        <f>"1551685701369449"</f>
        <v>1551685701369449</v>
      </c>
      <c r="C3297" t="s">
        <v>40</v>
      </c>
      <c r="D3297">
        <v>4.4189210000000001</v>
      </c>
      <c r="E3297">
        <v>0.48427189999999998</v>
      </c>
      <c r="F3297" t="s">
        <v>54</v>
      </c>
      <c r="G3297">
        <v>-487.32130000000001</v>
      </c>
      <c r="H3297" s="1">
        <v>2.842651E-6</v>
      </c>
      <c r="I3297">
        <v>278.98079999999999</v>
      </c>
      <c r="J3297">
        <v>-448.58030000000002</v>
      </c>
      <c r="K3297">
        <v>1.1115440000000001</v>
      </c>
      <c r="L3297">
        <v>285.12029999999999</v>
      </c>
      <c r="M3297">
        <v>-0.99982649999999995</v>
      </c>
      <c r="N3297">
        <v>-1.4098329999999999E-2</v>
      </c>
      <c r="O3297">
        <v>-1.2177220000000001E-2</v>
      </c>
      <c r="P3297">
        <v>-0.97669660000000003</v>
      </c>
      <c r="Q3297">
        <v>0.17602179999999901</v>
      </c>
      <c r="R3297">
        <v>-0.1228022</v>
      </c>
      <c r="S3297">
        <v>-3.0272220000000001</v>
      </c>
      <c r="T3297">
        <v>-8.6150879999999999E-2</v>
      </c>
      <c r="U3297">
        <v>-0.47622680000000001</v>
      </c>
      <c r="V3297">
        <v>-0.11127289999999999</v>
      </c>
      <c r="W3297">
        <v>0.1895742</v>
      </c>
      <c r="X3297">
        <v>0.97554090000000004</v>
      </c>
      <c r="Y3297">
        <v>-0.1432776</v>
      </c>
      <c r="Z3297">
        <v>-2.86879E-3</v>
      </c>
      <c r="AA3297">
        <v>0.98967839999999996</v>
      </c>
      <c r="AB3297">
        <v>32</v>
      </c>
      <c r="AC3297">
        <v>-38.7409999999999</v>
      </c>
      <c r="AD3297">
        <v>-1.1115411573489999</v>
      </c>
      <c r="AE3297">
        <v>-6.1394999999999902</v>
      </c>
      <c r="AF3297">
        <v>-5.6626927754205898</v>
      </c>
      <c r="AG3297">
        <v>-1.1115411573489999</v>
      </c>
      <c r="AH3297">
        <v>38.781753153159897</v>
      </c>
      <c r="AI3297">
        <v>91.624513726712493</v>
      </c>
      <c r="AJ3297">
        <v>98.307300646835401</v>
      </c>
      <c r="AK3297">
        <v>39.208748906920199</v>
      </c>
      <c r="AL3297">
        <v>79.072064412672503</v>
      </c>
      <c r="AM3297">
        <v>96.507192514474099</v>
      </c>
      <c r="AN3297">
        <v>1.0000000415764201</v>
      </c>
    </row>
    <row r="3298" spans="1:40" x14ac:dyDescent="0.25">
      <c r="A3298" t="str">
        <f>"20190304154821400"</f>
        <v>20190304154821400</v>
      </c>
      <c r="B3298" t="str">
        <f>"1551685701389946"</f>
        <v>1551685701389946</v>
      </c>
      <c r="C3298" t="s">
        <v>40</v>
      </c>
      <c r="D3298">
        <v>4.406987</v>
      </c>
      <c r="E3298">
        <v>0.48419420000000002</v>
      </c>
      <c r="F3298" t="s">
        <v>54</v>
      </c>
      <c r="G3298">
        <v>-488.07</v>
      </c>
      <c r="H3298" s="1">
        <v>2.9279890000000001E-6</v>
      </c>
      <c r="I3298">
        <v>278.84649999999999</v>
      </c>
      <c r="J3298">
        <v>-448.89069999999998</v>
      </c>
      <c r="K3298">
        <v>1.1116090000000001</v>
      </c>
      <c r="L3298">
        <v>285.1155</v>
      </c>
      <c r="M3298">
        <v>-0.99981249999999999</v>
      </c>
      <c r="N3298">
        <v>-1.4137769999999999E-2</v>
      </c>
      <c r="O3298">
        <v>-1.323948E-2</v>
      </c>
      <c r="P3298">
        <v>-0.97658990000000001</v>
      </c>
      <c r="Q3298">
        <v>0.176072799999999</v>
      </c>
      <c r="R3298">
        <v>-0.12357609999999999</v>
      </c>
      <c r="S3298">
        <v>-3.0265499999999999</v>
      </c>
      <c r="T3298">
        <v>-8.5190059999999998E-2</v>
      </c>
      <c r="U3298">
        <v>-0.48083500000000001</v>
      </c>
      <c r="V3298">
        <v>-0.1110368</v>
      </c>
      <c r="W3298">
        <v>0.18964909999999999</v>
      </c>
      <c r="X3298">
        <v>0.97555320000000001</v>
      </c>
      <c r="Y3298">
        <v>-0.1437312</v>
      </c>
      <c r="Z3298">
        <v>-2.8484399999999998E-3</v>
      </c>
      <c r="AA3298">
        <v>0.98961270000000001</v>
      </c>
      <c r="AB3298">
        <v>32</v>
      </c>
      <c r="AC3298">
        <v>-39.179299999999998</v>
      </c>
      <c r="AD3298">
        <v>-1.1116060720109999</v>
      </c>
      <c r="AE3298">
        <v>-6.2690000000000001</v>
      </c>
      <c r="AF3298">
        <v>-5.7451757467611202</v>
      </c>
      <c r="AG3298">
        <v>-1.1116060720109999</v>
      </c>
      <c r="AH3298">
        <v>39.228082231516801</v>
      </c>
      <c r="AI3298">
        <v>91.606032393246494</v>
      </c>
      <c r="AJ3298">
        <v>98.332057556859198</v>
      </c>
      <c r="AK3298">
        <v>39.662137461099498</v>
      </c>
      <c r="AL3298">
        <v>79.067693199502699</v>
      </c>
      <c r="AM3298">
        <v>96.493422361905203</v>
      </c>
      <c r="AN3298">
        <v>0.99999999905764503</v>
      </c>
    </row>
    <row r="3299" spans="1:40" x14ac:dyDescent="0.25">
      <c r="A3299" t="str">
        <f>"20190304154821423"</f>
        <v>20190304154821423</v>
      </c>
      <c r="B3299" t="str">
        <f>"1551685701420201"</f>
        <v>1551685701420201</v>
      </c>
      <c r="C3299" t="s">
        <v>40</v>
      </c>
      <c r="D3299">
        <v>4.4907940000000002</v>
      </c>
      <c r="E3299">
        <v>0.48403590000000002</v>
      </c>
      <c r="F3299" t="s">
        <v>54</v>
      </c>
      <c r="G3299">
        <v>-488.4803</v>
      </c>
      <c r="H3299" s="1">
        <v>2.9806969999999998E-6</v>
      </c>
      <c r="I3299">
        <v>278.78969999999998</v>
      </c>
      <c r="J3299">
        <v>-449.21120000000002</v>
      </c>
      <c r="K3299">
        <v>1.1116790000000001</v>
      </c>
      <c r="L3299">
        <v>285.11</v>
      </c>
      <c r="M3299">
        <v>-0.99979560000000001</v>
      </c>
      <c r="N3299">
        <v>-1.417393E-2</v>
      </c>
      <c r="O3299">
        <v>-1.4421649999999999E-2</v>
      </c>
      <c r="P3299">
        <v>-0.97647090000000003</v>
      </c>
      <c r="Q3299">
        <v>0.17596220000000001</v>
      </c>
      <c r="R3299">
        <v>-0.1246694</v>
      </c>
      <c r="S3299">
        <v>-3.0260929999999999</v>
      </c>
      <c r="T3299">
        <v>-8.4967260000000003E-2</v>
      </c>
      <c r="U3299">
        <v>-0.48352050000000002</v>
      </c>
      <c r="V3299">
        <v>-0.1110044</v>
      </c>
      <c r="W3299">
        <v>0.18955739999999999</v>
      </c>
      <c r="X3299">
        <v>0.97557470000000002</v>
      </c>
      <c r="Y3299">
        <v>-0.14344119999999999</v>
      </c>
      <c r="Z3299">
        <v>-2.825026E-3</v>
      </c>
      <c r="AA3299">
        <v>0.98965479999999995</v>
      </c>
      <c r="AB3299">
        <v>32</v>
      </c>
      <c r="AC3299">
        <v>-39.269099999999902</v>
      </c>
      <c r="AD3299">
        <v>-1.111676019303</v>
      </c>
      <c r="AE3299">
        <v>-6.3203000000000298</v>
      </c>
      <c r="AF3299">
        <v>-5.7487697084148399</v>
      </c>
      <c r="AG3299">
        <v>-1.111676019303</v>
      </c>
      <c r="AH3299">
        <v>39.325453586211999</v>
      </c>
      <c r="AI3299">
        <v>91.602220847742601</v>
      </c>
      <c r="AJ3299">
        <v>98.316842412408803</v>
      </c>
      <c r="AK3299">
        <v>39.758967246315599</v>
      </c>
      <c r="AL3299">
        <v>79.073044186778105</v>
      </c>
      <c r="AM3299">
        <v>96.4914019468481</v>
      </c>
      <c r="AN3299">
        <v>0.99999998999710404</v>
      </c>
    </row>
    <row r="3300" spans="1:40" x14ac:dyDescent="0.25">
      <c r="A3300" t="str">
        <f>"20190304154821445"</f>
        <v>20190304154821445</v>
      </c>
      <c r="B3300" t="str">
        <f>"1551685701439725"</f>
        <v>1551685701439725</v>
      </c>
      <c r="C3300" t="s">
        <v>40</v>
      </c>
      <c r="D3300">
        <v>4.4402439999999999</v>
      </c>
      <c r="E3300">
        <v>0.48395899999999997</v>
      </c>
      <c r="F3300" t="s">
        <v>54</v>
      </c>
      <c r="G3300">
        <v>-488.34719999999999</v>
      </c>
      <c r="H3300" s="1">
        <v>2.9610659999999998E-6</v>
      </c>
      <c r="I3300">
        <v>278.80099999999999</v>
      </c>
      <c r="J3300">
        <v>-449.53379999999999</v>
      </c>
      <c r="K3300">
        <v>1.1117509999999999</v>
      </c>
      <c r="L3300">
        <v>285.10410000000002</v>
      </c>
      <c r="M3300">
        <v>-0.99977579999999999</v>
      </c>
      <c r="N3300">
        <v>-1.420651E-2</v>
      </c>
      <c r="O3300">
        <v>-1.5703959999999999E-2</v>
      </c>
      <c r="P3300">
        <v>-0.97648170000000001</v>
      </c>
      <c r="Q3300">
        <v>0.17530499999999999</v>
      </c>
      <c r="R3300">
        <v>-0.1255066</v>
      </c>
      <c r="S3300">
        <v>-3.0254819999999998</v>
      </c>
      <c r="T3300">
        <v>-8.5940119999999995E-2</v>
      </c>
      <c r="U3300">
        <v>-0.4877319</v>
      </c>
      <c r="V3300">
        <v>-0.1106183</v>
      </c>
      <c r="W3300">
        <v>0.18891540000000001</v>
      </c>
      <c r="X3300">
        <v>0.97574309999999997</v>
      </c>
      <c r="Y3300">
        <v>-0.14354449999999999</v>
      </c>
      <c r="Z3300">
        <v>-2.8305309999999998E-3</v>
      </c>
      <c r="AA3300">
        <v>0.98963979999999996</v>
      </c>
      <c r="AB3300">
        <v>32</v>
      </c>
      <c r="AC3300">
        <v>-38.813400000000001</v>
      </c>
      <c r="AD3300">
        <v>-1.111748038934</v>
      </c>
      <c r="AE3300">
        <v>-6.3031000000000201</v>
      </c>
      <c r="AF3300">
        <v>-5.6881900723893599</v>
      </c>
      <c r="AG3300">
        <v>-1.111748038934</v>
      </c>
      <c r="AH3300">
        <v>38.876529890314103</v>
      </c>
      <c r="AI3300">
        <v>91.6207873913323</v>
      </c>
      <c r="AJ3300">
        <v>98.324123454494696</v>
      </c>
      <c r="AK3300">
        <v>39.306183563329903</v>
      </c>
      <c r="AL3300">
        <v>79.110505232510107</v>
      </c>
      <c r="AM3300">
        <v>96.467908011708602</v>
      </c>
      <c r="AN3300">
        <v>1.00000001692482</v>
      </c>
    </row>
    <row r="3301" spans="1:40" x14ac:dyDescent="0.25">
      <c r="A3301" t="str">
        <f>"20190304154821467"</f>
        <v>20190304154821467</v>
      </c>
      <c r="B3301" t="str">
        <f>"1551685701460218"</f>
        <v>1551685701460218</v>
      </c>
      <c r="C3301" t="s">
        <v>40</v>
      </c>
      <c r="D3301">
        <v>4.4358339999999998</v>
      </c>
      <c r="E3301">
        <v>0.48377579999999998</v>
      </c>
      <c r="F3301" t="s">
        <v>54</v>
      </c>
      <c r="G3301">
        <v>-487.57260000000002</v>
      </c>
      <c r="H3301" s="1">
        <v>2.8693580000000001E-6</v>
      </c>
      <c r="I3301">
        <v>278.93020000000001</v>
      </c>
      <c r="J3301">
        <v>-449.85</v>
      </c>
      <c r="K3301">
        <v>1.111828</v>
      </c>
      <c r="L3301">
        <v>285.09769999999997</v>
      </c>
      <c r="M3301">
        <v>-0.99975340000000001</v>
      </c>
      <c r="N3301">
        <v>-1.423468E-2</v>
      </c>
      <c r="O3301">
        <v>-1.7052979999999999E-2</v>
      </c>
      <c r="P3301">
        <v>-0.97629359999999998</v>
      </c>
      <c r="Q3301">
        <v>0.17534140000000001</v>
      </c>
      <c r="R3301">
        <v>-0.12691179999999999</v>
      </c>
      <c r="S3301">
        <v>-3.024994</v>
      </c>
      <c r="T3301">
        <v>-8.8410379999999997E-2</v>
      </c>
      <c r="U3301">
        <v>-0.49096679999999998</v>
      </c>
      <c r="V3301">
        <v>-0.1107416</v>
      </c>
      <c r="W3301">
        <v>0.18895899999999999</v>
      </c>
      <c r="X3301">
        <v>0.97572060000000005</v>
      </c>
      <c r="Y3301">
        <v>-0.14326179999999999</v>
      </c>
      <c r="Z3301">
        <v>-2.8525040000000001E-3</v>
      </c>
      <c r="AA3301">
        <v>0.98968069999999997</v>
      </c>
      <c r="AB3301">
        <v>32</v>
      </c>
      <c r="AC3301">
        <v>-37.7226</v>
      </c>
      <c r="AD3301">
        <v>-1.1118251306419999</v>
      </c>
      <c r="AE3301">
        <v>-6.1674999999999596</v>
      </c>
      <c r="AF3301">
        <v>-5.5185859707121798</v>
      </c>
      <c r="AG3301">
        <v>-1.1118251306419999</v>
      </c>
      <c r="AH3301">
        <v>37.790324684843398</v>
      </c>
      <c r="AI3301">
        <v>91.667530602532395</v>
      </c>
      <c r="AJ3301">
        <v>98.308274455763794</v>
      </c>
      <c r="AK3301">
        <v>38.207323722333101</v>
      </c>
      <c r="AL3301">
        <v>79.107960552687004</v>
      </c>
      <c r="AM3301">
        <v>96.475204277938403</v>
      </c>
      <c r="AN3301">
        <v>0.99999994745795795</v>
      </c>
    </row>
    <row r="3302" spans="1:40" x14ac:dyDescent="0.25">
      <c r="A3302" t="str">
        <f>"20190304154821492"</f>
        <v>20190304154821492</v>
      </c>
      <c r="B3302" t="str">
        <f>"1551685701489498"</f>
        <v>1551685701489498</v>
      </c>
      <c r="C3302" t="s">
        <v>40</v>
      </c>
      <c r="D3302">
        <v>4.4585619999999997</v>
      </c>
      <c r="E3302">
        <v>0.48370459999999899</v>
      </c>
      <c r="F3302" t="s">
        <v>54</v>
      </c>
      <c r="G3302">
        <v>-487.39920000000001</v>
      </c>
      <c r="H3302" s="1">
        <v>2.8356509999999999E-6</v>
      </c>
      <c r="I3302">
        <v>278.92189999999999</v>
      </c>
      <c r="J3302">
        <v>-450.19839999999999</v>
      </c>
      <c r="K3302">
        <v>1.111909</v>
      </c>
      <c r="L3302">
        <v>285.09010000000001</v>
      </c>
      <c r="M3302">
        <v>-0.99972459999999996</v>
      </c>
      <c r="N3302">
        <v>-1.4261670000000001E-2</v>
      </c>
      <c r="O3302">
        <v>-1.8638200000000001E-2</v>
      </c>
      <c r="P3302">
        <v>-0.97615220000000003</v>
      </c>
      <c r="Q3302">
        <v>0.175017899999999</v>
      </c>
      <c r="R3302">
        <v>-0.1284353</v>
      </c>
      <c r="S3302">
        <v>-3.0242610000000001</v>
      </c>
      <c r="T3302">
        <v>-8.9547870000000002E-2</v>
      </c>
      <c r="U3302">
        <v>-0.49740600000000001</v>
      </c>
      <c r="V3302">
        <v>-0.11075309999999999</v>
      </c>
      <c r="W3302">
        <v>0.18863959999999999</v>
      </c>
      <c r="X3302">
        <v>0.97578109999999996</v>
      </c>
      <c r="Y3302">
        <v>-0.14378089999999999</v>
      </c>
      <c r="Z3302">
        <v>-2.8627990000000001E-3</v>
      </c>
      <c r="AA3302">
        <v>0.98960539999999997</v>
      </c>
      <c r="AB3302">
        <v>32</v>
      </c>
      <c r="AC3302">
        <v>-37.200800000000001</v>
      </c>
      <c r="AD3302">
        <v>-1.111906164349</v>
      </c>
      <c r="AE3302">
        <v>-6.1682000000000103</v>
      </c>
      <c r="AF3302">
        <v>-5.46894680244099</v>
      </c>
      <c r="AG3302">
        <v>-1.111906164349</v>
      </c>
      <c r="AH3302">
        <v>37.276901470471799</v>
      </c>
      <c r="AI3302">
        <v>91.690443216725797</v>
      </c>
      <c r="AJ3302">
        <v>98.346401228409903</v>
      </c>
      <c r="AK3302">
        <v>37.692347999103298</v>
      </c>
      <c r="AL3302">
        <v>79.126596015095402</v>
      </c>
      <c r="AM3302">
        <v>96.475472882055101</v>
      </c>
      <c r="AN3302">
        <v>0.99999995148248799</v>
      </c>
    </row>
    <row r="3303" spans="1:40" x14ac:dyDescent="0.25">
      <c r="A3303" t="str">
        <f>"20190304154821511"</f>
        <v>20190304154821511</v>
      </c>
      <c r="B3303" t="str">
        <f>"1551685701509994"</f>
        <v>1551685701509994</v>
      </c>
      <c r="C3303" t="s">
        <v>40</v>
      </c>
      <c r="D3303">
        <v>4.4736500000000001</v>
      </c>
      <c r="E3303">
        <v>0.48366130000000002</v>
      </c>
      <c r="F3303" t="s">
        <v>54</v>
      </c>
      <c r="G3303">
        <v>-486.96690000000001</v>
      </c>
      <c r="H3303" s="1">
        <v>2.7786169999999998E-6</v>
      </c>
      <c r="I3303">
        <v>278.97750000000002</v>
      </c>
      <c r="J3303">
        <v>-450.4871</v>
      </c>
      <c r="K3303">
        <v>1.1119730000000001</v>
      </c>
      <c r="L3303">
        <v>285.08339999999998</v>
      </c>
      <c r="M3303">
        <v>-0.99969739999999996</v>
      </c>
      <c r="N3303">
        <v>-1.4280650000000001E-2</v>
      </c>
      <c r="O3303">
        <v>-2.0030450000000002E-2</v>
      </c>
      <c r="P3303">
        <v>-0.97591340000000004</v>
      </c>
      <c r="Q3303">
        <v>0.17515939999999999</v>
      </c>
      <c r="R3303">
        <v>-0.1300473</v>
      </c>
      <c r="S3303">
        <v>-3.0235599999999998</v>
      </c>
      <c r="T3303">
        <v>-9.1434600000000005E-2</v>
      </c>
      <c r="U3303">
        <v>-0.50265499999999996</v>
      </c>
      <c r="V3303">
        <v>-0.1110367</v>
      </c>
      <c r="W3303">
        <v>0.18878110000000001</v>
      </c>
      <c r="X3303">
        <v>0.97572150000000002</v>
      </c>
      <c r="Y3303">
        <v>-0.1441086</v>
      </c>
      <c r="Z3303">
        <v>-2.8830449999999999E-3</v>
      </c>
      <c r="AA3303">
        <v>0.98955769999999998</v>
      </c>
      <c r="AB3303">
        <v>32</v>
      </c>
      <c r="AC3303">
        <v>-36.479799999999997</v>
      </c>
      <c r="AD3303">
        <v>-1.1119702213829901</v>
      </c>
      <c r="AE3303">
        <v>-6.1058999999999601</v>
      </c>
      <c r="AF3303">
        <v>-5.3690407674619101</v>
      </c>
      <c r="AG3303">
        <v>-1.1119702213829901</v>
      </c>
      <c r="AH3303">
        <v>36.5617507398714</v>
      </c>
      <c r="AI3303">
        <v>91.723553952151704</v>
      </c>
      <c r="AJ3303">
        <v>98.354094067140593</v>
      </c>
      <c r="AK3303">
        <v>36.9705922822505</v>
      </c>
      <c r="AL3303">
        <v>79.118340303070894</v>
      </c>
      <c r="AM3303">
        <v>96.4923060925383</v>
      </c>
      <c r="AN3303">
        <v>0.99999994901317302</v>
      </c>
    </row>
    <row r="3304" spans="1:40" x14ac:dyDescent="0.25">
      <c r="A3304" t="str">
        <f>"20190304154821535"</f>
        <v>20190304154821535</v>
      </c>
      <c r="B3304" t="str">
        <f>"1551685701529514"</f>
        <v>1551685701529514</v>
      </c>
      <c r="C3304" t="s">
        <v>40</v>
      </c>
      <c r="D3304">
        <v>4.4707489999999996</v>
      </c>
      <c r="E3304">
        <v>0.48361169999999998</v>
      </c>
      <c r="F3304" t="s">
        <v>54</v>
      </c>
      <c r="G3304">
        <v>-487.18889999999999</v>
      </c>
      <c r="H3304" s="1">
        <v>2.7972859999999999E-6</v>
      </c>
      <c r="I3304">
        <v>278.91890000000001</v>
      </c>
      <c r="J3304">
        <v>-450.80700000000002</v>
      </c>
      <c r="K3304">
        <v>1.1120369999999999</v>
      </c>
      <c r="L3304">
        <v>285.0752</v>
      </c>
      <c r="M3304">
        <v>-0.99966379999999999</v>
      </c>
      <c r="N3304">
        <v>-1.4298780000000001E-2</v>
      </c>
      <c r="O3304">
        <v>-2.1635809999999998E-2</v>
      </c>
      <c r="P3304">
        <v>-0.97553710000000005</v>
      </c>
      <c r="Q3304">
        <v>0.1756074</v>
      </c>
      <c r="R3304">
        <v>-0.13224910000000001</v>
      </c>
      <c r="S3304">
        <v>-3.0228579999999998</v>
      </c>
      <c r="T3304">
        <v>-9.1584799999999994E-2</v>
      </c>
      <c r="U3304">
        <v>-0.50772090000000003</v>
      </c>
      <c r="V3304">
        <v>-0.11170239999999999</v>
      </c>
      <c r="W3304">
        <v>0.18922729999999999</v>
      </c>
      <c r="X3304">
        <v>0.97555910000000001</v>
      </c>
      <c r="Y3304">
        <v>-0.14416979999999999</v>
      </c>
      <c r="Z3304">
        <v>-2.8634789999999999E-3</v>
      </c>
      <c r="AA3304">
        <v>0.98954880000000001</v>
      </c>
      <c r="AB3304">
        <v>32</v>
      </c>
      <c r="AC3304">
        <v>-36.381900000000002</v>
      </c>
      <c r="AD3304">
        <v>-1.112034202714</v>
      </c>
      <c r="AE3304">
        <v>-6.1562999999999803</v>
      </c>
      <c r="AF3304">
        <v>-5.3627556629289099</v>
      </c>
      <c r="AG3304">
        <v>-1.112034202714</v>
      </c>
      <c r="AH3304">
        <v>36.473465070726697</v>
      </c>
      <c r="AI3304">
        <v>91.727777233234093</v>
      </c>
      <c r="AJ3304">
        <v>98.364365087906705</v>
      </c>
      <c r="AK3304">
        <v>36.8823727901799</v>
      </c>
      <c r="AL3304">
        <v>79.092305997504894</v>
      </c>
      <c r="AM3304">
        <v>96.531972023162197</v>
      </c>
      <c r="AN3304">
        <v>0.99999997741192903</v>
      </c>
    </row>
    <row r="3305" spans="1:40" x14ac:dyDescent="0.25">
      <c r="A3305" t="str">
        <f>"20190304154821556"</f>
        <v>20190304154821556</v>
      </c>
      <c r="B3305" t="str">
        <f>"1551685701550010"</f>
        <v>1551685701550010</v>
      </c>
      <c r="C3305" t="s">
        <v>40</v>
      </c>
      <c r="D3305">
        <v>4.4515560000000001</v>
      </c>
      <c r="E3305">
        <v>0.48371769999999997</v>
      </c>
      <c r="F3305" t="s">
        <v>54</v>
      </c>
      <c r="G3305">
        <v>-487.77409999999998</v>
      </c>
      <c r="H3305" s="1">
        <v>2.850645E-6</v>
      </c>
      <c r="I3305">
        <v>278.77620000000002</v>
      </c>
      <c r="J3305">
        <v>-451.12110000000001</v>
      </c>
      <c r="K3305">
        <v>1.1120859999999999</v>
      </c>
      <c r="L3305">
        <v>285.06670000000003</v>
      </c>
      <c r="M3305">
        <v>-0.99962709999999999</v>
      </c>
      <c r="N3305">
        <v>-1.4313849999999999E-2</v>
      </c>
      <c r="O3305">
        <v>-2.3258580000000001E-2</v>
      </c>
      <c r="P3305">
        <v>-0.97506820000000005</v>
      </c>
      <c r="Q3305">
        <v>0.1765881</v>
      </c>
      <c r="R3305">
        <v>-0.1343829</v>
      </c>
      <c r="S3305">
        <v>-3.0217589999999999</v>
      </c>
      <c r="T3305">
        <v>-9.0899830000000001E-2</v>
      </c>
      <c r="U3305">
        <v>-0.51489259999999903</v>
      </c>
      <c r="V3305">
        <v>-0.1122813</v>
      </c>
      <c r="W3305">
        <v>0.19020629999999999</v>
      </c>
      <c r="X3305">
        <v>0.97530229999999996</v>
      </c>
      <c r="Y3305">
        <v>-0.14490610000000001</v>
      </c>
      <c r="Z3305">
        <v>-2.8449310000000002E-3</v>
      </c>
      <c r="AA3305">
        <v>0.98944129999999997</v>
      </c>
      <c r="AB3305">
        <v>32</v>
      </c>
      <c r="AC3305">
        <v>-36.652999999999899</v>
      </c>
      <c r="AD3305">
        <v>-1.1120831493549901</v>
      </c>
      <c r="AE3305">
        <v>-6.2904999999999998</v>
      </c>
      <c r="AF3305">
        <v>-5.4313570909365003</v>
      </c>
      <c r="AG3305">
        <v>-1.1120831493549901</v>
      </c>
      <c r="AH3305">
        <v>36.756537042280797</v>
      </c>
      <c r="AI3305">
        <v>91.714373100159705</v>
      </c>
      <c r="AJ3305">
        <v>98.405528316815406</v>
      </c>
      <c r="AK3305">
        <v>37.172293231934297</v>
      </c>
      <c r="AL3305">
        <v>79.035176700972599</v>
      </c>
      <c r="AM3305">
        <v>96.567242917418</v>
      </c>
      <c r="AN3305">
        <v>1.00000005163733</v>
      </c>
    </row>
    <row r="3306" spans="1:40" x14ac:dyDescent="0.25">
      <c r="A3306" t="str">
        <f>"20190304154821579"</f>
        <v>20190304154821579</v>
      </c>
      <c r="B3306" t="str">
        <f>"1551685701569530"</f>
        <v>1551685701569530</v>
      </c>
      <c r="C3306" t="s">
        <v>40</v>
      </c>
      <c r="D3306">
        <v>4.4565199999999896</v>
      </c>
      <c r="E3306">
        <v>0.48367260000000001</v>
      </c>
      <c r="F3306" t="s">
        <v>54</v>
      </c>
      <c r="G3306">
        <v>-489.19600000000003</v>
      </c>
      <c r="H3306" s="1">
        <v>3.0071069999999898E-6</v>
      </c>
      <c r="I3306">
        <v>278.50529999999998</v>
      </c>
      <c r="J3306">
        <v>-451.43520000000001</v>
      </c>
      <c r="K3306">
        <v>1.1121129999999999</v>
      </c>
      <c r="L3306">
        <v>285.05770000000001</v>
      </c>
      <c r="M3306">
        <v>-0.99958689999999994</v>
      </c>
      <c r="N3306">
        <v>-1.4326200000000001E-2</v>
      </c>
      <c r="O3306">
        <v>-2.4913009999999999E-2</v>
      </c>
      <c r="P3306">
        <v>-0.97475000000000001</v>
      </c>
      <c r="Q3306">
        <v>0.1769685</v>
      </c>
      <c r="R3306">
        <v>-0.1361781</v>
      </c>
      <c r="S3306">
        <v>-3.020966</v>
      </c>
      <c r="T3306">
        <v>-8.8235620000000001E-2</v>
      </c>
      <c r="U3306">
        <v>-0.52059940000000005</v>
      </c>
      <c r="V3306">
        <v>-0.1124793</v>
      </c>
      <c r="W3306">
        <v>0.1905887</v>
      </c>
      <c r="X3306">
        <v>0.97520479999999998</v>
      </c>
      <c r="Y3306">
        <v>-0.1451316</v>
      </c>
      <c r="Z3306">
        <v>-2.783874E-3</v>
      </c>
      <c r="AA3306">
        <v>0.98940839999999997</v>
      </c>
      <c r="AB3306">
        <v>32</v>
      </c>
      <c r="AC3306">
        <v>-37.760799999999897</v>
      </c>
      <c r="AD3306">
        <v>-1.1121099928929901</v>
      </c>
      <c r="AE3306">
        <v>-6.5524000000000298</v>
      </c>
      <c r="AF3306">
        <v>-5.6048146229748399</v>
      </c>
      <c r="AG3306">
        <v>-1.1121099928929901</v>
      </c>
      <c r="AH3306">
        <v>37.880437681174399</v>
      </c>
      <c r="AI3306">
        <v>91.663530447256093</v>
      </c>
      <c r="AJ3306">
        <v>98.4164572555962</v>
      </c>
      <c r="AK3306">
        <v>38.308984514230403</v>
      </c>
      <c r="AL3306">
        <v>79.012858220876794</v>
      </c>
      <c r="AM3306">
        <v>96.579374315966405</v>
      </c>
      <c r="AN3306">
        <v>1.0000000237196001</v>
      </c>
    </row>
    <row r="3307" spans="1:40" x14ac:dyDescent="0.25">
      <c r="A3307" t="str">
        <f>"20190304154821601"</f>
        <v>20190304154821601</v>
      </c>
      <c r="B3307" t="str">
        <f>"1551685701590025"</f>
        <v>1551685701590025</v>
      </c>
      <c r="C3307" t="s">
        <v>40</v>
      </c>
      <c r="D3307">
        <v>4.4637129999999896</v>
      </c>
      <c r="E3307">
        <v>0.4836625</v>
      </c>
      <c r="F3307" t="s">
        <v>54</v>
      </c>
      <c r="G3307">
        <v>-489.72140000000002</v>
      </c>
      <c r="H3307" s="1">
        <v>3.0587149999999998E-6</v>
      </c>
      <c r="I3307">
        <v>278.3877</v>
      </c>
      <c r="J3307">
        <v>-451.74990000000003</v>
      </c>
      <c r="K3307">
        <v>1.1121350000000001</v>
      </c>
      <c r="L3307">
        <v>285.04809999999998</v>
      </c>
      <c r="M3307">
        <v>-0.99954370000000003</v>
      </c>
      <c r="N3307">
        <v>-1.4336420000000001E-2</v>
      </c>
      <c r="O3307">
        <v>-2.6587119999999999E-2</v>
      </c>
      <c r="P3307">
        <v>-0.97435110000000003</v>
      </c>
      <c r="Q3307">
        <v>0.177644</v>
      </c>
      <c r="R3307">
        <v>-0.13814019999999999</v>
      </c>
      <c r="S3307">
        <v>-3.0201419999999999</v>
      </c>
      <c r="T3307">
        <v>-8.7727070000000004E-2</v>
      </c>
      <c r="U3307">
        <v>-0.5261536</v>
      </c>
      <c r="V3307">
        <v>-0.1128241</v>
      </c>
      <c r="W3307">
        <v>0.19126599999999999</v>
      </c>
      <c r="X3307">
        <v>0.97503229999999996</v>
      </c>
      <c r="Y3307">
        <v>-0.145287</v>
      </c>
      <c r="Z3307">
        <v>-2.756208E-3</v>
      </c>
      <c r="AA3307">
        <v>0.98938570000000003</v>
      </c>
      <c r="AB3307">
        <v>32</v>
      </c>
      <c r="AC3307">
        <v>-37.971499999999899</v>
      </c>
      <c r="AD3307">
        <v>-1.1121319412849999</v>
      </c>
      <c r="AE3307">
        <v>-6.6603999999999797</v>
      </c>
      <c r="AF3307">
        <v>-5.6436917051636302</v>
      </c>
      <c r="AG3307">
        <v>-1.1121319412849999</v>
      </c>
      <c r="AH3307">
        <v>38.103463018027803</v>
      </c>
      <c r="AI3307">
        <v>91.653794657620693</v>
      </c>
      <c r="AJ3307">
        <v>98.425106550934203</v>
      </c>
      <c r="AK3307">
        <v>38.535204521112597</v>
      </c>
      <c r="AL3307">
        <v>78.973323970168394</v>
      </c>
      <c r="AM3307">
        <v>96.600522678444094</v>
      </c>
      <c r="AN3307">
        <v>0.99999997317004896</v>
      </c>
    </row>
    <row r="3308" spans="1:40" x14ac:dyDescent="0.25">
      <c r="A3308" t="str">
        <f>"20190304154821616"</f>
        <v>20190304154821616</v>
      </c>
      <c r="B3308" t="str">
        <f>"1551685701609546"</f>
        <v>1551685701609546</v>
      </c>
      <c r="C3308" t="s">
        <v>40</v>
      </c>
      <c r="D3308">
        <v>4.4770669999999999</v>
      </c>
      <c r="E3308">
        <v>0.48365669999999999</v>
      </c>
      <c r="F3308" t="s">
        <v>54</v>
      </c>
      <c r="G3308">
        <v>-490.80439999999999</v>
      </c>
      <c r="H3308" s="1">
        <v>2.9479920000000002E-6</v>
      </c>
      <c r="I3308">
        <v>278.16820000000001</v>
      </c>
      <c r="J3308">
        <v>-451.94979999999998</v>
      </c>
      <c r="K3308">
        <v>1.1121399999999999</v>
      </c>
      <c r="L3308">
        <v>285.04169999999999</v>
      </c>
      <c r="M3308">
        <v>-0.99951469999999998</v>
      </c>
      <c r="N3308">
        <v>-1.434204E-2</v>
      </c>
      <c r="O3308">
        <v>-2.7654100000000001E-2</v>
      </c>
      <c r="P3308">
        <v>-0.97412310000000002</v>
      </c>
      <c r="Q3308">
        <v>0.1778072</v>
      </c>
      <c r="R3308">
        <v>-0.13953209999999999</v>
      </c>
      <c r="S3308">
        <v>-3.019196</v>
      </c>
      <c r="T3308">
        <v>-8.5975889999999999E-2</v>
      </c>
      <c r="U3308">
        <v>-0.53186040000000001</v>
      </c>
      <c r="V3308">
        <v>-0.11318259999999999</v>
      </c>
      <c r="W3308">
        <v>0.19142980000000001</v>
      </c>
      <c r="X3308">
        <v>0.97495869999999996</v>
      </c>
      <c r="Y3308">
        <v>-0.14610000000000001</v>
      </c>
      <c r="Z3308">
        <v>-2.7330340000000001E-3</v>
      </c>
      <c r="AA3308">
        <v>0.98926599999999998</v>
      </c>
      <c r="AB3308">
        <v>32</v>
      </c>
      <c r="AC3308">
        <v>-38.854599999999998</v>
      </c>
      <c r="AD3308">
        <v>-1.1121370520079901</v>
      </c>
      <c r="AE3308">
        <v>-6.8734999999999697</v>
      </c>
      <c r="AF3308">
        <v>-5.7916702223947203</v>
      </c>
      <c r="AG3308">
        <v>-1.1121370520079901</v>
      </c>
      <c r="AH3308">
        <v>38.998855706352799</v>
      </c>
      <c r="AI3308">
        <v>91.615759922185504</v>
      </c>
      <c r="AJ3308">
        <v>98.447183635813204</v>
      </c>
      <c r="AK3308">
        <v>39.442249418515097</v>
      </c>
      <c r="AL3308">
        <v>78.963763301827996</v>
      </c>
      <c r="AM3308">
        <v>96.621805386429202</v>
      </c>
      <c r="AN3308">
        <v>1.0000000679882399</v>
      </c>
    </row>
    <row r="3309" spans="1:40" x14ac:dyDescent="0.25">
      <c r="A3309" t="str">
        <f>"20190304154821628"</f>
        <v>20190304154821628</v>
      </c>
      <c r="B3309" t="str">
        <f>"1551685701620282"</f>
        <v>1551685701620282</v>
      </c>
      <c r="C3309" t="s">
        <v>40</v>
      </c>
      <c r="D3309">
        <v>4.4582569999999997</v>
      </c>
      <c r="E3309">
        <v>0.48359540000000001</v>
      </c>
      <c r="F3309" t="s">
        <v>54</v>
      </c>
      <c r="G3309">
        <v>-491.01569999999998</v>
      </c>
      <c r="H3309" s="1">
        <v>2.9071059999999998E-6</v>
      </c>
      <c r="I3309">
        <v>278.10559999999998</v>
      </c>
      <c r="J3309">
        <v>-452.1216</v>
      </c>
      <c r="K3309">
        <v>1.1121449999999999</v>
      </c>
      <c r="L3309">
        <v>285.03609999999998</v>
      </c>
      <c r="M3309">
        <v>-0.99948879999999996</v>
      </c>
      <c r="N3309">
        <v>-1.4346309999999999E-2</v>
      </c>
      <c r="O3309">
        <v>-2.8572469999999999E-2</v>
      </c>
      <c r="P3309">
        <v>-0.9740029</v>
      </c>
      <c r="Q3309">
        <v>0.17768999999999999</v>
      </c>
      <c r="R3309">
        <v>-0.14051649999999999</v>
      </c>
      <c r="S3309">
        <v>-3.0185849999999999</v>
      </c>
      <c r="T3309">
        <v>-8.5933689999999993E-2</v>
      </c>
      <c r="U3309">
        <v>-0.53594969999999997</v>
      </c>
      <c r="V3309">
        <v>-0.113274</v>
      </c>
      <c r="W3309">
        <v>0.19131509999999999</v>
      </c>
      <c r="X3309">
        <v>0.97497049999999996</v>
      </c>
      <c r="Y3309">
        <v>-0.1465246</v>
      </c>
      <c r="Z3309">
        <v>-2.7292869999999999E-3</v>
      </c>
      <c r="AA3309">
        <v>0.98920330000000001</v>
      </c>
      <c r="AB3309">
        <v>32</v>
      </c>
      <c r="AC3309">
        <v>-38.894099999999902</v>
      </c>
      <c r="AD3309">
        <v>-1.112142092894</v>
      </c>
      <c r="AE3309">
        <v>-6.9304999999999897</v>
      </c>
      <c r="AF3309">
        <v>-5.8116495012051397</v>
      </c>
      <c r="AG3309">
        <v>-1.112142092894</v>
      </c>
      <c r="AH3309">
        <v>39.045317164198799</v>
      </c>
      <c r="AI3309">
        <v>91.613767005274994</v>
      </c>
      <c r="AJ3309">
        <v>98.465961421966696</v>
      </c>
      <c r="AK3309">
        <v>39.491124603036099</v>
      </c>
      <c r="AL3309">
        <v>78.970457797607096</v>
      </c>
      <c r="AM3309">
        <v>96.6270257492247</v>
      </c>
      <c r="AN3309">
        <v>0.99999997121712902</v>
      </c>
    </row>
    <row r="3310" spans="1:40" x14ac:dyDescent="0.25">
      <c r="A3310" t="str">
        <f>"20190304154821640"</f>
        <v>20190304154821640</v>
      </c>
      <c r="B3310" t="str">
        <f>"1551685701630042"</f>
        <v>1551685701630042</v>
      </c>
      <c r="C3310" t="s">
        <v>40</v>
      </c>
      <c r="D3310">
        <v>4.4998930000000001</v>
      </c>
      <c r="E3310">
        <v>0.48359540000000001</v>
      </c>
      <c r="F3310" t="s">
        <v>54</v>
      </c>
      <c r="G3310">
        <v>-490.79820000000001</v>
      </c>
      <c r="H3310" s="1">
        <v>2.928845E-6</v>
      </c>
      <c r="I3310">
        <v>278.11250000000001</v>
      </c>
      <c r="J3310">
        <v>-452.30119999999999</v>
      </c>
      <c r="K3310">
        <v>1.112152</v>
      </c>
      <c r="L3310">
        <v>285.02999999999997</v>
      </c>
      <c r="M3310">
        <v>-0.99946089999999999</v>
      </c>
      <c r="N3310">
        <v>-1.435023E-2</v>
      </c>
      <c r="O3310">
        <v>-2.953159E-2</v>
      </c>
      <c r="P3310">
        <v>-0.97392299999999998</v>
      </c>
      <c r="Q3310">
        <v>0.17725959999999999</v>
      </c>
      <c r="R3310">
        <v>-0.14160909999999999</v>
      </c>
      <c r="S3310">
        <v>-3.0179749999999999</v>
      </c>
      <c r="T3310">
        <v>-8.6781499999999998E-2</v>
      </c>
      <c r="U3310">
        <v>-0.54025269999999903</v>
      </c>
      <c r="V3310">
        <v>-0.1134305</v>
      </c>
      <c r="W3310">
        <v>0.1908878</v>
      </c>
      <c r="X3310">
        <v>0.97503609999999996</v>
      </c>
      <c r="Y3310">
        <v>-0.1469752</v>
      </c>
      <c r="Z3310">
        <v>-2.7383770000000002E-3</v>
      </c>
      <c r="AA3310">
        <v>0.98913640000000003</v>
      </c>
      <c r="AB3310">
        <v>32</v>
      </c>
      <c r="AC3310">
        <v>-38.497</v>
      </c>
      <c r="AD3310">
        <v>-1.1121490711549999</v>
      </c>
      <c r="AE3310">
        <v>-6.9174999999999596</v>
      </c>
      <c r="AF3310">
        <v>-5.7728204428831802</v>
      </c>
      <c r="AG3310">
        <v>-1.1121490711549999</v>
      </c>
      <c r="AH3310">
        <v>38.653261246907299</v>
      </c>
      <c r="AI3310">
        <v>91.630016669902304</v>
      </c>
      <c r="AJ3310">
        <v>98.494275418014894</v>
      </c>
      <c r="AK3310">
        <v>39.097786848412603</v>
      </c>
      <c r="AL3310">
        <v>78.995400432099004</v>
      </c>
      <c r="AM3310">
        <v>96.635657585668795</v>
      </c>
      <c r="AN3310">
        <v>1.00000001341115</v>
      </c>
    </row>
    <row r="3311" spans="1:40" x14ac:dyDescent="0.25">
      <c r="A3311" t="str">
        <f>"20190304154821654"</f>
        <v>20190304154821654</v>
      </c>
      <c r="B3311" t="str">
        <f>"1551685701649562"</f>
        <v>1551685701649562</v>
      </c>
      <c r="C3311" t="s">
        <v>40</v>
      </c>
      <c r="D3311">
        <v>4.4564879999999896</v>
      </c>
      <c r="E3311">
        <v>0.47020469999999998</v>
      </c>
      <c r="F3311" t="s">
        <v>54</v>
      </c>
      <c r="G3311">
        <v>-490.42469999999997</v>
      </c>
      <c r="H3311" s="1">
        <v>2.9776009999999999E-6</v>
      </c>
      <c r="I3311">
        <v>278.1567</v>
      </c>
      <c r="J3311">
        <v>-452.49</v>
      </c>
      <c r="K3311">
        <v>1.1121529999999999</v>
      </c>
      <c r="L3311">
        <v>285.02350000000001</v>
      </c>
      <c r="M3311">
        <v>-0.9994305</v>
      </c>
      <c r="N3311">
        <v>-1.435399E-2</v>
      </c>
      <c r="O3311">
        <v>-3.0539199999999999E-2</v>
      </c>
      <c r="P3311">
        <v>-0.97365279999999998</v>
      </c>
      <c r="Q3311">
        <v>0.17769969999999999</v>
      </c>
      <c r="R3311">
        <v>-0.14290849999999999</v>
      </c>
      <c r="S3311">
        <v>-3.017242</v>
      </c>
      <c r="T3311">
        <v>-8.8019730000000004E-2</v>
      </c>
      <c r="U3311">
        <v>-0.54397580000000001</v>
      </c>
      <c r="V3311">
        <v>-0.1137548</v>
      </c>
      <c r="W3311">
        <v>0.19132779999999999</v>
      </c>
      <c r="X3311">
        <v>0.974912</v>
      </c>
      <c r="Y3311">
        <v>-0.1472</v>
      </c>
      <c r="Z3311">
        <v>-2.7470509999999999E-3</v>
      </c>
      <c r="AA3311">
        <v>0.98910299999999995</v>
      </c>
      <c r="AB3311">
        <v>32</v>
      </c>
      <c r="AC3311">
        <v>-37.9346999999999</v>
      </c>
      <c r="AD3311">
        <v>-1.112150022399</v>
      </c>
      <c r="AE3311">
        <v>-6.8668000000000102</v>
      </c>
      <c r="AF3311">
        <v>-5.7002377108921403</v>
      </c>
      <c r="AG3311">
        <v>-1.112150022399</v>
      </c>
      <c r="AH3311">
        <v>38.095026260087202</v>
      </c>
      <c r="AI3311">
        <v>91.653822317978793</v>
      </c>
      <c r="AJ3311">
        <v>98.510147653471506</v>
      </c>
      <c r="AK3311">
        <v>38.535186692031601</v>
      </c>
      <c r="AL3311">
        <v>78.969716149921794</v>
      </c>
      <c r="AM3311">
        <v>96.655298625159105</v>
      </c>
      <c r="AN3311">
        <v>0.99999994465993802</v>
      </c>
    </row>
    <row r="3312" spans="1:40" x14ac:dyDescent="0.25">
      <c r="A3312" t="str">
        <f>"20190304154821668"</f>
        <v>20190304154821668</v>
      </c>
      <c r="B3312" t="str">
        <f>"1551685701660298"</f>
        <v>1551685701660298</v>
      </c>
      <c r="C3312" t="s">
        <v>40</v>
      </c>
      <c r="D3312">
        <v>4.4646350000000004</v>
      </c>
      <c r="E3312">
        <v>0.47042030000000001</v>
      </c>
      <c r="F3312" t="s">
        <v>54</v>
      </c>
      <c r="G3312">
        <v>-476.51729999999998</v>
      </c>
      <c r="H3312" s="1">
        <v>3.3038399999999999E-6</v>
      </c>
      <c r="I3312">
        <v>279.8107</v>
      </c>
      <c r="J3312">
        <v>-452.6848</v>
      </c>
      <c r="K3312">
        <v>1.1121529999999999</v>
      </c>
      <c r="L3312">
        <v>285.01639999999998</v>
      </c>
      <c r="M3312">
        <v>-0.99939809999999996</v>
      </c>
      <c r="N3312">
        <v>-1.435723E-2</v>
      </c>
      <c r="O3312">
        <v>-3.1578019999999998E-2</v>
      </c>
      <c r="P3312">
        <v>-0.97353480000000003</v>
      </c>
      <c r="Q3312">
        <v>0.1774212</v>
      </c>
      <c r="R3312">
        <v>-0.14405399999999999</v>
      </c>
      <c r="S3312">
        <v>-3.0107729999999999</v>
      </c>
      <c r="T3312">
        <v>-0.13935939999999999</v>
      </c>
      <c r="U3312">
        <v>-0.65319819999999995</v>
      </c>
      <c r="V3312">
        <v>-0.1138879</v>
      </c>
      <c r="W3312">
        <v>0.1910521</v>
      </c>
      <c r="X3312">
        <v>0.9749506</v>
      </c>
      <c r="Y3312">
        <v>-0.18082329999999999</v>
      </c>
      <c r="Z3312">
        <v>-4.4543259999999998E-3</v>
      </c>
      <c r="AA3312">
        <v>0.98350550000000003</v>
      </c>
      <c r="AB3312">
        <v>32</v>
      </c>
      <c r="AC3312">
        <v>-23.8324999999999</v>
      </c>
      <c r="AD3312">
        <v>-1.1121496961599999</v>
      </c>
      <c r="AE3312">
        <v>-5.20569999999997</v>
      </c>
      <c r="AF3312">
        <v>-4.4412115719222003</v>
      </c>
      <c r="AG3312">
        <v>-1.1121496961599999</v>
      </c>
      <c r="AH3312">
        <v>23.9352657343156</v>
      </c>
      <c r="AI3312">
        <v>92.615744852887303</v>
      </c>
      <c r="AJ3312">
        <v>100.511738251041</v>
      </c>
      <c r="AK3312">
        <v>24.369205628119001</v>
      </c>
      <c r="AL3312">
        <v>78.985810260536795</v>
      </c>
      <c r="AM3312">
        <v>96.662754321542394</v>
      </c>
      <c r="AN3312">
        <v>1.0000000155605899</v>
      </c>
    </row>
    <row r="3313" spans="1:40" x14ac:dyDescent="0.25">
      <c r="A3313" t="str">
        <f>"20190304154821679"</f>
        <v>20190304154821679</v>
      </c>
      <c r="B3313" t="str">
        <f>"1551685701670059"</f>
        <v>1551685701670059</v>
      </c>
      <c r="C3313" t="s">
        <v>40</v>
      </c>
      <c r="D3313">
        <v>4.4586629999999996</v>
      </c>
      <c r="E3313">
        <v>0.47060610000000003</v>
      </c>
      <c r="F3313" t="s">
        <v>54</v>
      </c>
      <c r="G3313">
        <v>-476.25459999999998</v>
      </c>
      <c r="H3313" s="1">
        <v>3.4270360000000001E-6</v>
      </c>
      <c r="I3313">
        <v>279.88709999999998</v>
      </c>
      <c r="J3313">
        <v>-452.84960000000001</v>
      </c>
      <c r="K3313">
        <v>1.112152</v>
      </c>
      <c r="L3313">
        <v>285.0104</v>
      </c>
      <c r="M3313">
        <v>-0.99937010000000004</v>
      </c>
      <c r="N3313">
        <v>-1.43596E-2</v>
      </c>
      <c r="O3313">
        <v>-3.2455280000000003E-2</v>
      </c>
      <c r="P3313">
        <v>-0.9733309</v>
      </c>
      <c r="Q3313">
        <v>0.17739779999999999</v>
      </c>
      <c r="R3313">
        <v>-0.145455</v>
      </c>
      <c r="S3313">
        <v>-3.0104980000000001</v>
      </c>
      <c r="T3313">
        <v>-0.14205190000000001</v>
      </c>
      <c r="U3313">
        <v>-0.65515140000000005</v>
      </c>
      <c r="V3313">
        <v>-0.1144366</v>
      </c>
      <c r="W3313">
        <v>0.19102769999999999</v>
      </c>
      <c r="X3313">
        <v>0.97489110000000001</v>
      </c>
      <c r="Y3313">
        <v>-0.1805812</v>
      </c>
      <c r="Z3313">
        <v>-4.4709809999999997E-3</v>
      </c>
      <c r="AA3313">
        <v>0.98354989999999998</v>
      </c>
      <c r="AB3313">
        <v>32</v>
      </c>
      <c r="AC3313">
        <v>-23.404999999999902</v>
      </c>
      <c r="AD3313">
        <v>-1.1121485729639999</v>
      </c>
      <c r="AE3313">
        <v>-5.1233000000000199</v>
      </c>
      <c r="AF3313">
        <v>-4.3515301945478004</v>
      </c>
      <c r="AG3313">
        <v>-1.1121485729639999</v>
      </c>
      <c r="AH3313">
        <v>23.508309940082899</v>
      </c>
      <c r="AI3313">
        <v>92.663393307076007</v>
      </c>
      <c r="AJ3313">
        <v>100.487092700584</v>
      </c>
      <c r="AK3313">
        <v>23.933518874611998</v>
      </c>
      <c r="AL3313">
        <v>78.987234192978704</v>
      </c>
      <c r="AM3313">
        <v>96.694968978482706</v>
      </c>
      <c r="AN3313">
        <v>0.99999998722302896</v>
      </c>
    </row>
    <row r="3314" spans="1:40" x14ac:dyDescent="0.25">
      <c r="A3314" t="str">
        <f>"20190304154821695"</f>
        <v>20190304154821695</v>
      </c>
      <c r="B3314" t="str">
        <f>"1551685701689578"</f>
        <v>1551685701689578</v>
      </c>
      <c r="C3314" t="s">
        <v>40</v>
      </c>
      <c r="D3314">
        <v>4.4632300000000003</v>
      </c>
      <c r="E3314">
        <v>0.47085769999999999</v>
      </c>
      <c r="F3314" t="s">
        <v>54</v>
      </c>
      <c r="G3314">
        <v>-476.5609</v>
      </c>
      <c r="H3314" s="1">
        <v>3.2858060000000001E-6</v>
      </c>
      <c r="I3314">
        <v>279.82560000000001</v>
      </c>
      <c r="J3314">
        <v>-453.07420000000002</v>
      </c>
      <c r="K3314">
        <v>1.1121540000000001</v>
      </c>
      <c r="L3314">
        <v>285.00189999999998</v>
      </c>
      <c r="M3314">
        <v>-0.99933059999999996</v>
      </c>
      <c r="N3314">
        <v>-1.4362420000000001E-2</v>
      </c>
      <c r="O3314">
        <v>-3.3650230000000003E-2</v>
      </c>
      <c r="P3314">
        <v>-0.97307999999999995</v>
      </c>
      <c r="Q3314">
        <v>0.17751689999999901</v>
      </c>
      <c r="R3314">
        <v>-0.14698079999999999</v>
      </c>
      <c r="S3314">
        <v>-3.0095519999999998</v>
      </c>
      <c r="T3314">
        <v>-0.14115949999999999</v>
      </c>
      <c r="U3314">
        <v>-0.65808109999999997</v>
      </c>
      <c r="V3314">
        <v>-0.1148021</v>
      </c>
      <c r="W3314">
        <v>0.19114709999999999</v>
      </c>
      <c r="X3314">
        <v>0.97482469999999999</v>
      </c>
      <c r="Y3314">
        <v>-0.18038660000000001</v>
      </c>
      <c r="Z3314">
        <v>-4.4108699999999999E-3</v>
      </c>
      <c r="AA3314">
        <v>0.98358590000000001</v>
      </c>
      <c r="AB3314">
        <v>32</v>
      </c>
      <c r="AC3314">
        <v>-23.4866999999999</v>
      </c>
      <c r="AD3314">
        <v>-1.1121507141939999</v>
      </c>
      <c r="AE3314">
        <v>-5.1762999999999604</v>
      </c>
      <c r="AF3314">
        <v>-4.3736012101422599</v>
      </c>
      <c r="AG3314">
        <v>-1.1121507141939999</v>
      </c>
      <c r="AH3314">
        <v>23.597138063713501</v>
      </c>
      <c r="AI3314">
        <v>92.653273618890097</v>
      </c>
      <c r="AJ3314">
        <v>100.500305586171</v>
      </c>
      <c r="AK3314">
        <v>24.024782861753302</v>
      </c>
      <c r="AL3314">
        <v>78.980264410919006</v>
      </c>
      <c r="AM3314">
        <v>96.716610355697199</v>
      </c>
      <c r="AN3314">
        <v>0.99999996586645401</v>
      </c>
    </row>
    <row r="3315" spans="1:40" x14ac:dyDescent="0.25">
      <c r="A3315" t="str">
        <f>"20190304154821713"</f>
        <v>20190304154821713</v>
      </c>
      <c r="B3315" t="str">
        <f>"1551685701710074"</f>
        <v>1551685701710074</v>
      </c>
      <c r="C3315" t="s">
        <v>40</v>
      </c>
      <c r="D3315">
        <v>4.4604410000000003</v>
      </c>
      <c r="E3315">
        <v>0.47102939999999999</v>
      </c>
      <c r="F3315" t="s">
        <v>54</v>
      </c>
      <c r="G3315">
        <v>-476.67509999999999</v>
      </c>
      <c r="H3315" s="1">
        <v>3.234356E-6</v>
      </c>
      <c r="I3315">
        <v>279.81659999999999</v>
      </c>
      <c r="J3315">
        <v>-453.3193</v>
      </c>
      <c r="K3315">
        <v>1.112152</v>
      </c>
      <c r="L3315">
        <v>284.99239999999998</v>
      </c>
      <c r="M3315">
        <v>-0.9992856</v>
      </c>
      <c r="N3315">
        <v>-1.436491E-2</v>
      </c>
      <c r="O3315">
        <v>-3.495496E-2</v>
      </c>
      <c r="P3315">
        <v>-0.97291989999999995</v>
      </c>
      <c r="Q3315">
        <v>0.17732249999999999</v>
      </c>
      <c r="R3315">
        <v>-0.14826879999999901</v>
      </c>
      <c r="S3315">
        <v>-3.0090029999999999</v>
      </c>
      <c r="T3315">
        <v>-0.14179369999999999</v>
      </c>
      <c r="U3315">
        <v>-0.66110230000000003</v>
      </c>
      <c r="V3315">
        <v>-0.1148185</v>
      </c>
      <c r="W3315">
        <v>0.19095570000000001</v>
      </c>
      <c r="X3315">
        <v>0.97486030000000001</v>
      </c>
      <c r="Y3315">
        <v>-0.18008150000000001</v>
      </c>
      <c r="Z3315">
        <v>-4.371893E-3</v>
      </c>
      <c r="AA3315">
        <v>0.98364200000000002</v>
      </c>
      <c r="AB3315">
        <v>32</v>
      </c>
      <c r="AC3315">
        <v>-23.355799999999899</v>
      </c>
      <c r="AD3315">
        <v>-1.1121487656439999</v>
      </c>
      <c r="AE3315">
        <v>-5.1757999999999802</v>
      </c>
      <c r="AF3315">
        <v>-4.3467563664885196</v>
      </c>
      <c r="AG3315">
        <v>-1.1121487656439999</v>
      </c>
      <c r="AH3315">
        <v>23.4717331134357</v>
      </c>
      <c r="AI3315">
        <v>92.667497673326196</v>
      </c>
      <c r="AJ3315">
        <v>100.491805359246</v>
      </c>
      <c r="AK3315">
        <v>23.896724067011501</v>
      </c>
      <c r="AL3315">
        <v>78.991436838562194</v>
      </c>
      <c r="AM3315">
        <v>96.717318015299796</v>
      </c>
      <c r="AN3315">
        <v>0.99999998591041495</v>
      </c>
    </row>
    <row r="3316" spans="1:40" x14ac:dyDescent="0.25">
      <c r="A3316" t="str">
        <f>"20190304154821728"</f>
        <v>20190304154821728</v>
      </c>
      <c r="B3316" t="str">
        <f>"1551685701719835"</f>
        <v>1551685701719835</v>
      </c>
      <c r="C3316" t="s">
        <v>40</v>
      </c>
      <c r="D3316">
        <v>4.4492949999999896</v>
      </c>
      <c r="E3316">
        <v>0.4711188</v>
      </c>
      <c r="F3316" t="s">
        <v>54</v>
      </c>
      <c r="G3316">
        <v>-476.88760000000002</v>
      </c>
      <c r="H3316" s="1">
        <v>3.137875E-6</v>
      </c>
      <c r="I3316">
        <v>279.79090000000002</v>
      </c>
      <c r="J3316">
        <v>-453.53910000000002</v>
      </c>
      <c r="K3316">
        <v>1.112158</v>
      </c>
      <c r="L3316">
        <v>284.98340000000002</v>
      </c>
      <c r="M3316">
        <v>-0.99924420000000003</v>
      </c>
      <c r="N3316">
        <v>-1.4366530000000001E-2</v>
      </c>
      <c r="O3316">
        <v>-3.6126289999999998E-2</v>
      </c>
      <c r="P3316">
        <v>-0.97269649999999996</v>
      </c>
      <c r="Q3316">
        <v>0.17761009999999999</v>
      </c>
      <c r="R3316">
        <v>-0.1493884</v>
      </c>
      <c r="S3316">
        <v>-3.0082399999999998</v>
      </c>
      <c r="T3316">
        <v>-0.14195360000000001</v>
      </c>
      <c r="U3316">
        <v>-0.66390990000000005</v>
      </c>
      <c r="V3316">
        <v>-0.1148013</v>
      </c>
      <c r="W3316">
        <v>0.19124350000000001</v>
      </c>
      <c r="X3316">
        <v>0.97480599999999995</v>
      </c>
      <c r="Y3316">
        <v>-0.17985680000000001</v>
      </c>
      <c r="Z3316">
        <v>-4.3307980000000003E-3</v>
      </c>
      <c r="AA3316">
        <v>0.98368330000000004</v>
      </c>
      <c r="AB3316">
        <v>31</v>
      </c>
      <c r="AC3316">
        <v>-23.348500000000001</v>
      </c>
      <c r="AD3316">
        <v>-1.1121548621249999</v>
      </c>
      <c r="AE3316">
        <v>-5.1924999999999901</v>
      </c>
      <c r="AF3316">
        <v>-4.3361536759829704</v>
      </c>
      <c r="AG3316">
        <v>-1.1121548621249999</v>
      </c>
      <c r="AH3316">
        <v>23.470119347141601</v>
      </c>
      <c r="AI3316">
        <v>92.667904595348503</v>
      </c>
      <c r="AJ3316">
        <v>100.467483564554</v>
      </c>
      <c r="AK3316">
        <v>23.893212829340499</v>
      </c>
      <c r="AL3316">
        <v>78.974638520266595</v>
      </c>
      <c r="AM3316">
        <v>96.716691647222703</v>
      </c>
      <c r="AN3316">
        <v>1.0000000762049599</v>
      </c>
    </row>
    <row r="3317" spans="1:40" x14ac:dyDescent="0.25">
      <c r="A3317" t="str">
        <f>"20190304154821741"</f>
        <v>20190304154821741</v>
      </c>
      <c r="B3317" t="str">
        <f>"1551685701729594"</f>
        <v>1551685701729594</v>
      </c>
      <c r="C3317" t="s">
        <v>40</v>
      </c>
      <c r="D3317">
        <v>4.4404240000000001</v>
      </c>
      <c r="E3317">
        <v>0.47118890000000002</v>
      </c>
      <c r="F3317" t="s">
        <v>54</v>
      </c>
      <c r="G3317">
        <v>-477.1266</v>
      </c>
      <c r="H3317" s="1">
        <v>3.0285380000000001E-6</v>
      </c>
      <c r="I3317">
        <v>279.75240000000002</v>
      </c>
      <c r="J3317">
        <v>-453.71359999999999</v>
      </c>
      <c r="K3317">
        <v>1.11216</v>
      </c>
      <c r="L3317">
        <v>284.97609999999997</v>
      </c>
      <c r="M3317">
        <v>-0.99920989999999998</v>
      </c>
      <c r="N3317">
        <v>-1.436758E-2</v>
      </c>
      <c r="O3317">
        <v>-3.7058979999999998E-2</v>
      </c>
      <c r="P3317">
        <v>-0.97262360000000003</v>
      </c>
      <c r="Q3317">
        <v>0.17752279999999901</v>
      </c>
      <c r="R3317">
        <v>-0.1499646</v>
      </c>
      <c r="S3317">
        <v>-3.0076900000000002</v>
      </c>
      <c r="T3317">
        <v>-0.14181299999999999</v>
      </c>
      <c r="U3317">
        <v>-0.66702269999999997</v>
      </c>
      <c r="V3317">
        <v>-0.1144676</v>
      </c>
      <c r="W3317">
        <v>0.19115879999999999</v>
      </c>
      <c r="X3317">
        <v>0.9748618</v>
      </c>
      <c r="Y3317">
        <v>-0.17994769999999999</v>
      </c>
      <c r="Z3317">
        <v>-4.3014459999999996E-3</v>
      </c>
      <c r="AA3317">
        <v>0.98366679999999995</v>
      </c>
      <c r="AB3317">
        <v>31</v>
      </c>
      <c r="AC3317">
        <v>-23.413</v>
      </c>
      <c r="AD3317">
        <v>-1.1121569714620001</v>
      </c>
      <c r="AE3317">
        <v>-5.2236999999999503</v>
      </c>
      <c r="AF3317">
        <v>-4.3430246602364102</v>
      </c>
      <c r="AG3317">
        <v>-1.1121569714620001</v>
      </c>
      <c r="AH3317">
        <v>23.539921712423901</v>
      </c>
      <c r="AI3317">
        <v>92.660131323594001</v>
      </c>
      <c r="AJ3317">
        <v>100.45330185095099</v>
      </c>
      <c r="AK3317">
        <v>23.9630271575951</v>
      </c>
      <c r="AL3317">
        <v>78.979582101920599</v>
      </c>
      <c r="AM3317">
        <v>96.696965571128999</v>
      </c>
      <c r="AN3317">
        <v>1.0000000236832101</v>
      </c>
    </row>
    <row r="3318" spans="1:40" x14ac:dyDescent="0.25">
      <c r="A3318" t="str">
        <f>"20190304154821755"</f>
        <v>20190304154821755</v>
      </c>
      <c r="B3318" t="str">
        <f>"1551685701750090"</f>
        <v>1551685701750090</v>
      </c>
      <c r="C3318" t="s">
        <v>40</v>
      </c>
      <c r="D3318">
        <v>4.4513959999999999</v>
      </c>
      <c r="E3318">
        <v>0.47147719999999999</v>
      </c>
      <c r="F3318" t="s">
        <v>54</v>
      </c>
      <c r="G3318">
        <v>-477.17680000000001</v>
      </c>
      <c r="H3318" s="1">
        <v>3.0068990000000001E-6</v>
      </c>
      <c r="I3318">
        <v>279.75959999999998</v>
      </c>
      <c r="J3318">
        <v>-453.91489999999999</v>
      </c>
      <c r="K3318">
        <v>1.112161</v>
      </c>
      <c r="L3318">
        <v>284.96769999999998</v>
      </c>
      <c r="M3318">
        <v>-0.99916919999999998</v>
      </c>
      <c r="N3318">
        <v>-1.43686E-2</v>
      </c>
      <c r="O3318">
        <v>-3.8137219999999999E-2</v>
      </c>
      <c r="P3318">
        <v>-0.97246969999999999</v>
      </c>
      <c r="Q3318">
        <v>0.17747499999999999</v>
      </c>
      <c r="R3318">
        <v>-0.1510155</v>
      </c>
      <c r="S3318">
        <v>-3.0073240000000001</v>
      </c>
      <c r="T3318">
        <v>-0.14254710000000001</v>
      </c>
      <c r="U3318">
        <v>-0.66860959999999903</v>
      </c>
      <c r="V3318">
        <v>-0.1144696</v>
      </c>
      <c r="W3318">
        <v>0.191111</v>
      </c>
      <c r="X3318">
        <v>0.97487089999999998</v>
      </c>
      <c r="Y3318">
        <v>-0.1794056</v>
      </c>
      <c r="Z3318">
        <v>-4.2629110000000003E-3</v>
      </c>
      <c r="AA3318">
        <v>0.98376600000000003</v>
      </c>
      <c r="AB3318">
        <v>31</v>
      </c>
      <c r="AC3318">
        <v>-23.261900000000001</v>
      </c>
      <c r="AD3318">
        <v>-1.1121579931009999</v>
      </c>
      <c r="AE3318">
        <v>-5.2081</v>
      </c>
      <c r="AF3318">
        <v>-4.3076979746872803</v>
      </c>
      <c r="AG3318">
        <v>-1.1121579931009999</v>
      </c>
      <c r="AH3318">
        <v>23.392697542010001</v>
      </c>
      <c r="AI3318">
        <v>92.677017602474294</v>
      </c>
      <c r="AJ3318">
        <v>100.433961849767</v>
      </c>
      <c r="AK3318">
        <v>23.812002341985099</v>
      </c>
      <c r="AL3318">
        <v>78.982371878565104</v>
      </c>
      <c r="AM3318">
        <v>96.697019572422406</v>
      </c>
      <c r="AN3318">
        <v>0.99999998765598497</v>
      </c>
    </row>
    <row r="3319" spans="1:40" x14ac:dyDescent="0.25">
      <c r="A3319" t="str">
        <f>"20190304154821770"</f>
        <v>20190304154821770</v>
      </c>
      <c r="B3319" t="str">
        <f>"1551685701759850"</f>
        <v>1551685701759850</v>
      </c>
      <c r="C3319" t="s">
        <v>40</v>
      </c>
      <c r="D3319">
        <v>4.4527939999999999</v>
      </c>
      <c r="E3319">
        <v>0.47154839999999998</v>
      </c>
      <c r="F3319" t="s">
        <v>54</v>
      </c>
      <c r="G3319">
        <v>-477.47489999999999</v>
      </c>
      <c r="H3319" s="1">
        <v>2.8711189999999998E-6</v>
      </c>
      <c r="I3319">
        <v>279.71859999999998</v>
      </c>
      <c r="J3319">
        <v>-454.12150000000003</v>
      </c>
      <c r="K3319">
        <v>1.112166</v>
      </c>
      <c r="L3319">
        <v>284.95859999999999</v>
      </c>
      <c r="M3319">
        <v>-0.99912630000000002</v>
      </c>
      <c r="N3319">
        <v>-1.4369369999999999E-2</v>
      </c>
      <c r="O3319">
        <v>-3.9249239999999998E-2</v>
      </c>
      <c r="P3319">
        <v>-0.97237010000000001</v>
      </c>
      <c r="Q3319">
        <v>0.17750289999999999</v>
      </c>
      <c r="R3319">
        <v>-0.15162210000000001</v>
      </c>
      <c r="S3319">
        <v>-3.0067750000000002</v>
      </c>
      <c r="T3319">
        <v>-0.1419356</v>
      </c>
      <c r="U3319">
        <v>-0.66989140000000003</v>
      </c>
      <c r="V3319">
        <v>-0.11399330000000001</v>
      </c>
      <c r="W3319">
        <v>0.19114149999999999</v>
      </c>
      <c r="X3319">
        <v>0.97492069999999997</v>
      </c>
      <c r="Y3319">
        <v>-0.17875139999999901</v>
      </c>
      <c r="Z3319">
        <v>-4.1971420000000001E-3</v>
      </c>
      <c r="AA3319">
        <v>0.98388529999999996</v>
      </c>
      <c r="AB3319">
        <v>31</v>
      </c>
      <c r="AC3319">
        <v>-23.353399999999901</v>
      </c>
      <c r="AD3319">
        <v>-1.1121631288810001</v>
      </c>
      <c r="AE3319">
        <v>-5.24</v>
      </c>
      <c r="AF3319">
        <v>-4.3099574974778498</v>
      </c>
      <c r="AG3319">
        <v>-1.1121631288810001</v>
      </c>
      <c r="AH3319">
        <v>23.490366827186101</v>
      </c>
      <c r="AI3319">
        <v>92.666232260789997</v>
      </c>
      <c r="AJ3319">
        <v>100.396857921337</v>
      </c>
      <c r="AK3319">
        <v>23.9083661953524</v>
      </c>
      <c r="AL3319">
        <v>78.980591210837105</v>
      </c>
      <c r="AM3319">
        <v>96.669067681745304</v>
      </c>
      <c r="AN3319">
        <v>0.99999995837781397</v>
      </c>
    </row>
    <row r="3320" spans="1:40" x14ac:dyDescent="0.25">
      <c r="A3320" t="str">
        <f>"20190304154821785"</f>
        <v>20190304154821785</v>
      </c>
      <c r="B3320" t="str">
        <f>"1551685701780346"</f>
        <v>1551685701780346</v>
      </c>
      <c r="C3320" t="s">
        <v>40</v>
      </c>
      <c r="D3320">
        <v>4.4671419999999999</v>
      </c>
      <c r="E3320">
        <v>0.47167730000000002</v>
      </c>
      <c r="F3320" t="s">
        <v>54</v>
      </c>
      <c r="G3320">
        <v>-477.70139999999998</v>
      </c>
      <c r="H3320" s="1">
        <v>2.768359E-6</v>
      </c>
      <c r="I3320">
        <v>279.6918</v>
      </c>
      <c r="J3320">
        <v>-454.3252</v>
      </c>
      <c r="K3320">
        <v>1.1121719999999999</v>
      </c>
      <c r="L3320">
        <v>284.9495</v>
      </c>
      <c r="M3320">
        <v>-0.99908229999999998</v>
      </c>
      <c r="N3320">
        <v>-1.436989E-2</v>
      </c>
      <c r="O3320">
        <v>-4.0354139999999997E-2</v>
      </c>
      <c r="P3320">
        <v>-0.97240819999999994</v>
      </c>
      <c r="Q3320">
        <v>0.17708979999999999</v>
      </c>
      <c r="R3320">
        <v>-0.15186129999999901</v>
      </c>
      <c r="S3320">
        <v>-3.0063780000000002</v>
      </c>
      <c r="T3320">
        <v>-0.14179800000000001</v>
      </c>
      <c r="U3320">
        <v>-0.67150880000000002</v>
      </c>
      <c r="V3320">
        <v>-0.1131508</v>
      </c>
      <c r="W3320">
        <v>0.19073290000000001</v>
      </c>
      <c r="X3320">
        <v>0.97509889999999999</v>
      </c>
      <c r="Y3320">
        <v>-0.17819679999999999</v>
      </c>
      <c r="Z3320">
        <v>-4.1426259999999999E-3</v>
      </c>
      <c r="AA3320">
        <v>0.98398609999999997</v>
      </c>
      <c r="AB3320">
        <v>31</v>
      </c>
      <c r="AC3320">
        <v>-23.376199999999901</v>
      </c>
      <c r="AD3320">
        <v>-1.1121692316409999</v>
      </c>
      <c r="AE3320">
        <v>-5.2576999999999998</v>
      </c>
      <c r="AF3320">
        <v>-4.3007264926173798</v>
      </c>
      <c r="AG3320">
        <v>-1.1121692316409999</v>
      </c>
      <c r="AH3320">
        <v>23.518673831105598</v>
      </c>
      <c r="AI3320">
        <v>92.663331470364298</v>
      </c>
      <c r="AJ3320">
        <v>100.362857473075</v>
      </c>
      <c r="AK3320">
        <v>23.934518744650799</v>
      </c>
      <c r="AL3320">
        <v>79.004441555746595</v>
      </c>
      <c r="AM3320">
        <v>96.619018053625993</v>
      </c>
      <c r="AN3320">
        <v>1.0000000037321299</v>
      </c>
    </row>
    <row r="3321" spans="1:40" x14ac:dyDescent="0.25">
      <c r="A3321" t="str">
        <f>"20190304154821802"</f>
        <v>20190304154821802</v>
      </c>
      <c r="B3321" t="str">
        <f>"1551685701799867"</f>
        <v>1551685701799867</v>
      </c>
      <c r="C3321" t="s">
        <v>40</v>
      </c>
      <c r="D3321">
        <v>4.4416609999999999</v>
      </c>
      <c r="E3321">
        <v>0.47176560000000001</v>
      </c>
      <c r="F3321" t="s">
        <v>54</v>
      </c>
      <c r="G3321">
        <v>-477.66820000000001</v>
      </c>
      <c r="H3321" s="1">
        <v>2.7870909999999999E-6</v>
      </c>
      <c r="I3321">
        <v>279.73770000000002</v>
      </c>
      <c r="J3321">
        <v>-454.5729</v>
      </c>
      <c r="K3321">
        <v>1.112179</v>
      </c>
      <c r="L3321">
        <v>284.93810000000002</v>
      </c>
      <c r="M3321">
        <v>-0.99902650000000004</v>
      </c>
      <c r="N3321">
        <v>-1.4370259999999999E-2</v>
      </c>
      <c r="O3321">
        <v>-4.1708250000000002E-2</v>
      </c>
      <c r="P3321">
        <v>-0.97234849999999995</v>
      </c>
      <c r="Q3321">
        <v>0.1770427</v>
      </c>
      <c r="R3321">
        <v>-0.15229760000000001</v>
      </c>
      <c r="S3321">
        <v>-3.0063780000000002</v>
      </c>
      <c r="T3321">
        <v>-0.1432379</v>
      </c>
      <c r="U3321">
        <v>-0.67123409999999994</v>
      </c>
      <c r="V3321">
        <v>-0.1122678</v>
      </c>
      <c r="W3321">
        <v>0.19068840000000001</v>
      </c>
      <c r="X3321">
        <v>0.97520969999999996</v>
      </c>
      <c r="Y3321">
        <v>-0.1767763</v>
      </c>
      <c r="Z3321">
        <v>-4.0777599999999997E-3</v>
      </c>
      <c r="AA3321">
        <v>0.98424259999999997</v>
      </c>
      <c r="AB3321">
        <v>31</v>
      </c>
      <c r="AC3321">
        <v>-23.095300000000002</v>
      </c>
      <c r="AD3321">
        <v>-1.112176212909</v>
      </c>
      <c r="AE3321">
        <v>-5.2004000000000001</v>
      </c>
      <c r="AF3321">
        <v>-4.2231888739382297</v>
      </c>
      <c r="AG3321">
        <v>-1.112176212909</v>
      </c>
      <c r="AH3321">
        <v>23.240826409262699</v>
      </c>
      <c r="AI3321">
        <v>92.695688318223304</v>
      </c>
      <c r="AJ3321">
        <v>100.29908095108</v>
      </c>
      <c r="AK3321">
        <v>23.647584916413798</v>
      </c>
      <c r="AL3321">
        <v>79.007039313329599</v>
      </c>
      <c r="AM3321">
        <v>96.567078274726896</v>
      </c>
      <c r="AN3321">
        <v>1.0000000418927399</v>
      </c>
    </row>
    <row r="3322" spans="1:40" x14ac:dyDescent="0.25">
      <c r="A3322" t="str">
        <f>"20190304154821817"</f>
        <v>20190304154821817</v>
      </c>
      <c r="B3322" t="str">
        <f>"1551685701809627"</f>
        <v>1551685701809627</v>
      </c>
      <c r="C3322" t="s">
        <v>40</v>
      </c>
      <c r="D3322">
        <v>4.4606599999999998</v>
      </c>
      <c r="E3322">
        <v>0.47179379999999999</v>
      </c>
      <c r="F3322" t="s">
        <v>54</v>
      </c>
      <c r="G3322">
        <v>-477.82299999999998</v>
      </c>
      <c r="H3322" s="1">
        <v>2.7185599999999999E-6</v>
      </c>
      <c r="I3322">
        <v>279.73899999999998</v>
      </c>
      <c r="J3322">
        <v>-454.76729999999998</v>
      </c>
      <c r="K3322">
        <v>1.112188</v>
      </c>
      <c r="L3322">
        <v>284.92899999999997</v>
      </c>
      <c r="M3322">
        <v>-0.99898120000000001</v>
      </c>
      <c r="N3322">
        <v>-1.437036E-2</v>
      </c>
      <c r="O3322">
        <v>-4.2780539999999999E-2</v>
      </c>
      <c r="P3322">
        <v>-0.97234030000000005</v>
      </c>
      <c r="Q3322">
        <v>0.17660989999999999</v>
      </c>
      <c r="R3322">
        <v>-0.15285000000000001</v>
      </c>
      <c r="S3322">
        <v>-3.0062259999999998</v>
      </c>
      <c r="T3322">
        <v>-0.14380379999999901</v>
      </c>
      <c r="U3322">
        <v>-0.67224119999999998</v>
      </c>
      <c r="V3322">
        <v>-0.11177280000000001</v>
      </c>
      <c r="W3322">
        <v>0.1902568</v>
      </c>
      <c r="X3322">
        <v>0.97535079999999996</v>
      </c>
      <c r="Y3322">
        <v>-0.1760446</v>
      </c>
      <c r="Z3322">
        <v>-4.0286829999999999E-3</v>
      </c>
      <c r="AA3322">
        <v>0.98437390000000002</v>
      </c>
      <c r="AB3322">
        <v>31</v>
      </c>
      <c r="AC3322">
        <v>-23.055700000000002</v>
      </c>
      <c r="AD3322">
        <v>-1.11218528144</v>
      </c>
      <c r="AE3322">
        <v>-5.1899999999999897</v>
      </c>
      <c r="AF3322">
        <v>-4.18953156670689</v>
      </c>
      <c r="AG3322">
        <v>-1.11218528144</v>
      </c>
      <c r="AH3322">
        <v>23.205247468705199</v>
      </c>
      <c r="AI3322">
        <v>92.700391361671095</v>
      </c>
      <c r="AJ3322">
        <v>100.234073987161</v>
      </c>
      <c r="AK3322">
        <v>23.6066228192966</v>
      </c>
      <c r="AL3322">
        <v>79.032228826420095</v>
      </c>
      <c r="AM3322">
        <v>96.537436946648498</v>
      </c>
      <c r="AN3322">
        <v>0.99999999591335997</v>
      </c>
    </row>
    <row r="3323" spans="1:40" x14ac:dyDescent="0.25">
      <c r="A3323" t="str">
        <f>"20190304154821832"</f>
        <v>20190304154821832</v>
      </c>
      <c r="B3323" t="str">
        <f>"1551685701820362"</f>
        <v>1551685701820362</v>
      </c>
      <c r="C3323" t="s">
        <v>40</v>
      </c>
      <c r="D3323">
        <v>4.4653309999999999</v>
      </c>
      <c r="E3323">
        <v>0.4717903</v>
      </c>
      <c r="F3323" t="s">
        <v>54</v>
      </c>
      <c r="G3323">
        <v>-477.77809999999999</v>
      </c>
      <c r="H3323" s="1">
        <v>2.7413630000000002E-6</v>
      </c>
      <c r="I3323">
        <v>279.7724</v>
      </c>
      <c r="J3323">
        <v>-454.98099999999999</v>
      </c>
      <c r="K3323">
        <v>1.1122019999999999</v>
      </c>
      <c r="L3323">
        <v>284.91860000000003</v>
      </c>
      <c r="M3323">
        <v>-0.99892970000000003</v>
      </c>
      <c r="N3323">
        <v>-1.4370300000000001E-2</v>
      </c>
      <c r="O3323">
        <v>-4.3969460000000002E-2</v>
      </c>
      <c r="P3323">
        <v>-0.97215240000000003</v>
      </c>
      <c r="Q3323">
        <v>0.17668589999999901</v>
      </c>
      <c r="R3323">
        <v>-0.1539555</v>
      </c>
      <c r="S3323">
        <v>-3.005798</v>
      </c>
      <c r="T3323">
        <v>-0.145279399999999</v>
      </c>
      <c r="U3323">
        <v>-0.67358399999999996</v>
      </c>
      <c r="V3323">
        <v>-0.11172609999999999</v>
      </c>
      <c r="W3323">
        <v>0.19033030000000001</v>
      </c>
      <c r="X3323">
        <v>0.97534180000000004</v>
      </c>
      <c r="Y3323">
        <v>-0.17531939999999999</v>
      </c>
      <c r="Z3323">
        <v>-3.9886399999999999E-3</v>
      </c>
      <c r="AA3323">
        <v>0.98450349999999998</v>
      </c>
      <c r="AB3323">
        <v>31</v>
      </c>
      <c r="AC3323">
        <v>-22.7971</v>
      </c>
      <c r="AD3323">
        <v>-1.112199258637</v>
      </c>
      <c r="AE3323">
        <v>-5.1462000000000199</v>
      </c>
      <c r="AF3323">
        <v>-4.1293904069341201</v>
      </c>
      <c r="AG3323">
        <v>-1.112199258637</v>
      </c>
      <c r="AH3323">
        <v>22.949372157731901</v>
      </c>
      <c r="AI3323">
        <v>92.730777684303405</v>
      </c>
      <c r="AJ3323">
        <v>100.20035455054899</v>
      </c>
      <c r="AK3323">
        <v>23.344432628741998</v>
      </c>
      <c r="AL3323">
        <v>79.027939089585601</v>
      </c>
      <c r="AM3323">
        <v>96.534788936068495</v>
      </c>
      <c r="AN3323">
        <v>0.99999998567326998</v>
      </c>
    </row>
    <row r="3324" spans="1:40" x14ac:dyDescent="0.25">
      <c r="A3324" t="str">
        <f>"20190304154821847"</f>
        <v>20190304154821847</v>
      </c>
      <c r="B3324" t="str">
        <f>"1551685701839883"</f>
        <v>1551685701839883</v>
      </c>
      <c r="C3324" t="s">
        <v>40</v>
      </c>
      <c r="D3324">
        <v>4.4603339999999996</v>
      </c>
      <c r="E3324">
        <v>0.47180040000000001</v>
      </c>
      <c r="F3324" t="s">
        <v>54</v>
      </c>
      <c r="G3324">
        <v>-478.0258</v>
      </c>
      <c r="H3324" s="1">
        <v>2.6273339999999999E-6</v>
      </c>
      <c r="I3324">
        <v>279.72430000000003</v>
      </c>
      <c r="J3324">
        <v>-455.2013</v>
      </c>
      <c r="K3324">
        <v>1.112215</v>
      </c>
      <c r="L3324">
        <v>284.90769999999998</v>
      </c>
      <c r="M3324">
        <v>-0.99887420000000005</v>
      </c>
      <c r="N3324">
        <v>-1.4369979999999999E-2</v>
      </c>
      <c r="O3324">
        <v>-4.5210159999999999E-2</v>
      </c>
      <c r="P3324">
        <v>-0.97199800000000003</v>
      </c>
      <c r="Q3324">
        <v>0.17666029999999999</v>
      </c>
      <c r="R3324">
        <v>-0.15495429999999999</v>
      </c>
      <c r="S3324">
        <v>-3.0050349999999999</v>
      </c>
      <c r="T3324">
        <v>-0.14503060000000001</v>
      </c>
      <c r="U3324">
        <v>-0.67733759999999998</v>
      </c>
      <c r="V3324">
        <v>-0.1115221</v>
      </c>
      <c r="W3324">
        <v>0.1903022</v>
      </c>
      <c r="X3324">
        <v>0.97537059999999998</v>
      </c>
      <c r="Y3324">
        <v>-0.175321799999999</v>
      </c>
      <c r="Z3324">
        <v>-3.9441889999999999E-3</v>
      </c>
      <c r="AA3324">
        <v>0.98450329999999997</v>
      </c>
      <c r="AB3324">
        <v>31</v>
      </c>
      <c r="AC3324">
        <v>-22.8245</v>
      </c>
      <c r="AD3324">
        <v>-1.112212372666</v>
      </c>
      <c r="AE3324">
        <v>-5.1833999999999403</v>
      </c>
      <c r="AF3324">
        <v>-4.1367520898196197</v>
      </c>
      <c r="AG3324">
        <v>-1.112212372666</v>
      </c>
      <c r="AH3324">
        <v>22.983625471278302</v>
      </c>
      <c r="AI3324">
        <v>92.726721413939202</v>
      </c>
      <c r="AJ3324">
        <v>100.20324812660699</v>
      </c>
      <c r="AK3324">
        <v>23.379409188825399</v>
      </c>
      <c r="AL3324">
        <v>79.029578753832197</v>
      </c>
      <c r="AM3324">
        <v>96.522769086098705</v>
      </c>
      <c r="AN3324">
        <v>0.99999995672880404</v>
      </c>
    </row>
    <row r="3325" spans="1:40" x14ac:dyDescent="0.25">
      <c r="A3325" t="str">
        <f>"20190304154821860"</f>
        <v>20190304154821860</v>
      </c>
      <c r="B3325" t="str">
        <f>"1551685701849643"</f>
        <v>1551685701849643</v>
      </c>
      <c r="C3325" t="s">
        <v>40</v>
      </c>
      <c r="D3325">
        <v>4.4537230000000001</v>
      </c>
      <c r="E3325">
        <v>0.4718002</v>
      </c>
      <c r="F3325" t="s">
        <v>54</v>
      </c>
      <c r="G3325">
        <v>-478.20319999999998</v>
      </c>
      <c r="H3325" s="1">
        <v>2.546165E-6</v>
      </c>
      <c r="I3325">
        <v>279.6961</v>
      </c>
      <c r="J3325">
        <v>-455.37459999999999</v>
      </c>
      <c r="K3325">
        <v>1.1122259999999999</v>
      </c>
      <c r="L3325">
        <v>284.89879999999999</v>
      </c>
      <c r="M3325">
        <v>-0.99882890000000002</v>
      </c>
      <c r="N3325">
        <v>-1.43696E-2</v>
      </c>
      <c r="O3325">
        <v>-4.6197139999999998E-2</v>
      </c>
      <c r="P3325">
        <v>-0.97177899999999995</v>
      </c>
      <c r="Q3325">
        <v>0.17661019999999999</v>
      </c>
      <c r="R3325">
        <v>-0.156379399999999</v>
      </c>
      <c r="S3325">
        <v>-3.0043329999999999</v>
      </c>
      <c r="T3325">
        <v>-0.14526810000000001</v>
      </c>
      <c r="U3325">
        <v>-0.68069460000000004</v>
      </c>
      <c r="V3325">
        <v>-0.1119935</v>
      </c>
      <c r="W3325">
        <v>0.190247</v>
      </c>
      <c r="X3325">
        <v>0.97532739999999996</v>
      </c>
      <c r="Y3325">
        <v>-0.17544470000000001</v>
      </c>
      <c r="Z3325">
        <v>-3.9186949999999998E-3</v>
      </c>
      <c r="AA3325">
        <v>0.98448150000000001</v>
      </c>
      <c r="AB3325">
        <v>31</v>
      </c>
      <c r="AC3325">
        <v>-22.828599999999899</v>
      </c>
      <c r="AD3325">
        <v>-1.112223453835</v>
      </c>
      <c r="AE3325">
        <v>-5.2026999999999903</v>
      </c>
      <c r="AF3325">
        <v>-4.1330928205555804</v>
      </c>
      <c r="AG3325">
        <v>-1.112223453835</v>
      </c>
      <c r="AH3325">
        <v>22.9927135409723</v>
      </c>
      <c r="AI3325">
        <v>92.725781598047902</v>
      </c>
      <c r="AJ3325">
        <v>100.190466973808</v>
      </c>
      <c r="AK3325">
        <v>23.387697048914401</v>
      </c>
      <c r="AL3325">
        <v>79.032800829283104</v>
      </c>
      <c r="AM3325">
        <v>96.550389101378101</v>
      </c>
      <c r="AN3325">
        <v>1.000000001121</v>
      </c>
    </row>
    <row r="3326" spans="1:40" x14ac:dyDescent="0.25">
      <c r="A3326" t="str">
        <f>"20190304154821874"</f>
        <v>20190304154821874</v>
      </c>
      <c r="B3326" t="str">
        <f>"1551685701870138"</f>
        <v>1551685701870138</v>
      </c>
      <c r="C3326" t="s">
        <v>40</v>
      </c>
      <c r="D3326">
        <v>4.424995</v>
      </c>
      <c r="E3326">
        <v>0.471833</v>
      </c>
      <c r="F3326" t="s">
        <v>54</v>
      </c>
      <c r="G3326">
        <v>-478.31310000000002</v>
      </c>
      <c r="H3326" s="1">
        <v>2.4947739999999999E-6</v>
      </c>
      <c r="I3326">
        <v>279.66550000000001</v>
      </c>
      <c r="J3326">
        <v>-455.55860000000001</v>
      </c>
      <c r="K3326">
        <v>1.112241</v>
      </c>
      <c r="L3326">
        <v>284.88929999999999</v>
      </c>
      <c r="M3326">
        <v>-0.99877969999999905</v>
      </c>
      <c r="N3326">
        <v>-1.4369130000000001E-2</v>
      </c>
      <c r="O3326">
        <v>-4.7253150000000001E-2</v>
      </c>
      <c r="P3326">
        <v>-0.97163960000000005</v>
      </c>
      <c r="Q3326">
        <v>0.17642289999999999</v>
      </c>
      <c r="R3326">
        <v>-0.15745390000000001</v>
      </c>
      <c r="S3326">
        <v>-3.0032960000000002</v>
      </c>
      <c r="T3326">
        <v>-0.1456211</v>
      </c>
      <c r="U3326">
        <v>-0.68518069999999998</v>
      </c>
      <c r="V3326">
        <v>-0.1120437</v>
      </c>
      <c r="W3326">
        <v>0.19005639999999999</v>
      </c>
      <c r="X3326">
        <v>0.97535879999999997</v>
      </c>
      <c r="Y3326">
        <v>-0.17587439999999999</v>
      </c>
      <c r="Z3326">
        <v>-3.9020090000000001E-3</v>
      </c>
      <c r="AA3326">
        <v>0.98440490000000003</v>
      </c>
      <c r="AB3326">
        <v>31</v>
      </c>
      <c r="AC3326">
        <v>-22.7545</v>
      </c>
      <c r="AD3326">
        <v>-1.112238505226</v>
      </c>
      <c r="AE3326">
        <v>-5.2237999999999802</v>
      </c>
      <c r="AF3326">
        <v>-4.1332498757020897</v>
      </c>
      <c r="AG3326">
        <v>-1.112238505226</v>
      </c>
      <c r="AH3326">
        <v>22.923914387815302</v>
      </c>
      <c r="AI3326">
        <v>92.733726693738504</v>
      </c>
      <c r="AJ3326">
        <v>100.22078702449799</v>
      </c>
      <c r="AK3326">
        <v>23.320091764128701</v>
      </c>
      <c r="AL3326">
        <v>79.043924425423995</v>
      </c>
      <c r="AM3326">
        <v>96.5530905779883</v>
      </c>
      <c r="AN3326">
        <v>1.00000000731404</v>
      </c>
    </row>
    <row r="3327" spans="1:40" x14ac:dyDescent="0.25">
      <c r="A3327" t="str">
        <f>"20190304154821892"</f>
        <v>20190304154821892</v>
      </c>
      <c r="B3327" t="str">
        <f>"1551685701879898"</f>
        <v>1551685701879898</v>
      </c>
      <c r="C3327" t="s">
        <v>40</v>
      </c>
      <c r="D3327">
        <v>4.409332</v>
      </c>
      <c r="E3327">
        <v>0.47185510000000003</v>
      </c>
      <c r="F3327" t="s">
        <v>54</v>
      </c>
      <c r="G3327">
        <v>-478.39789999999999</v>
      </c>
      <c r="H3327" s="1">
        <v>2.4560479999999999E-6</v>
      </c>
      <c r="I3327">
        <v>279.65280000000001</v>
      </c>
      <c r="J3327">
        <v>-455.81290000000001</v>
      </c>
      <c r="K3327">
        <v>1.1122570000000001</v>
      </c>
      <c r="L3327">
        <v>284.87569999999999</v>
      </c>
      <c r="M3327">
        <v>-0.99870840000000005</v>
      </c>
      <c r="N3327">
        <v>-1.436836E-2</v>
      </c>
      <c r="O3327">
        <v>-4.8736429999999997E-2</v>
      </c>
      <c r="P3327">
        <v>-0.97130879999999997</v>
      </c>
      <c r="Q3327">
        <v>0.17630660000000001</v>
      </c>
      <c r="R3327">
        <v>-0.15960959999999999</v>
      </c>
      <c r="S3327">
        <v>-3.0025629999999999</v>
      </c>
      <c r="T3327">
        <v>-0.14622009999999999</v>
      </c>
      <c r="U3327">
        <v>-0.68841549999999996</v>
      </c>
      <c r="V3327">
        <v>-0.1127683</v>
      </c>
      <c r="W3327">
        <v>0.18993099999999999</v>
      </c>
      <c r="X3327">
        <v>0.97529969999999999</v>
      </c>
      <c r="Y3327">
        <v>-0.17547219999999999</v>
      </c>
      <c r="Z3327">
        <v>-3.8477509999999999E-3</v>
      </c>
      <c r="AA3327">
        <v>0.98447689999999999</v>
      </c>
      <c r="AB3327">
        <v>31</v>
      </c>
      <c r="AC3327">
        <v>-22.584999999999901</v>
      </c>
      <c r="AD3327">
        <v>-1.112254543952</v>
      </c>
      <c r="AE3327">
        <v>-5.2228999999999797</v>
      </c>
      <c r="AF3327">
        <v>-4.10641262121782</v>
      </c>
      <c r="AG3327">
        <v>-1.112254543952</v>
      </c>
      <c r="AH3327">
        <v>22.7603291389144</v>
      </c>
      <c r="AI3327">
        <v>92.753328242540604</v>
      </c>
      <c r="AJ3327">
        <v>100.22726649363599</v>
      </c>
      <c r="AK3327">
        <v>23.154531247640399</v>
      </c>
      <c r="AL3327">
        <v>79.051242417592903</v>
      </c>
      <c r="AM3327">
        <v>96.595494154758498</v>
      </c>
      <c r="AN3327">
        <v>0.99999998953298996</v>
      </c>
    </row>
    <row r="3328" spans="1:40" x14ac:dyDescent="0.25">
      <c r="A3328" t="str">
        <f>"20190304154821904"</f>
        <v>20190304154821904</v>
      </c>
      <c r="B3328" t="str">
        <f>"1551685701900395"</f>
        <v>1551685701900395</v>
      </c>
      <c r="C3328" t="s">
        <v>40</v>
      </c>
      <c r="D3328">
        <v>4.4358230000000001</v>
      </c>
      <c r="E3328">
        <v>0.4718639</v>
      </c>
      <c r="F3328" t="s">
        <v>54</v>
      </c>
      <c r="G3328">
        <v>-478.61540000000002</v>
      </c>
      <c r="H3328" s="1">
        <v>2.3531680000000002E-6</v>
      </c>
      <c r="I3328">
        <v>279.59190000000001</v>
      </c>
      <c r="J3328">
        <v>-455.988</v>
      </c>
      <c r="K3328">
        <v>1.1122719999999999</v>
      </c>
      <c r="L3328">
        <v>284.86610000000002</v>
      </c>
      <c r="M3328">
        <v>-0.99865700000000002</v>
      </c>
      <c r="N3328">
        <v>-1.4367899999999999E-2</v>
      </c>
      <c r="O3328">
        <v>-4.9777380000000003E-2</v>
      </c>
      <c r="P3328">
        <v>-0.97111760000000003</v>
      </c>
      <c r="Q3328">
        <v>0.17630190000000001</v>
      </c>
      <c r="R3328">
        <v>-0.16077539999999901</v>
      </c>
      <c r="S3328">
        <v>-3.0008849999999998</v>
      </c>
      <c r="T3328">
        <v>-0.1463759</v>
      </c>
      <c r="U3328">
        <v>-0.69537349999999998</v>
      </c>
      <c r="V3328">
        <v>-0.112929</v>
      </c>
      <c r="W3328">
        <v>0.18992120000000001</v>
      </c>
      <c r="X3328">
        <v>0.97528300000000001</v>
      </c>
      <c r="Y3328">
        <v>-0.17673159999999999</v>
      </c>
      <c r="Z3328">
        <v>-3.854807E-3</v>
      </c>
      <c r="AA3328">
        <v>0.9842516</v>
      </c>
      <c r="AB3328">
        <v>31</v>
      </c>
      <c r="AC3328">
        <v>-22.627399999999898</v>
      </c>
      <c r="AD3328">
        <v>-1.1122696468319999</v>
      </c>
      <c r="AE3328">
        <v>-5.2742000000000004</v>
      </c>
      <c r="AF3328">
        <v>-4.1317424046023001</v>
      </c>
      <c r="AG3328">
        <v>-1.1122696468319999</v>
      </c>
      <c r="AH3328">
        <v>22.80963203248</v>
      </c>
      <c r="AI3328">
        <v>92.747077331219003</v>
      </c>
      <c r="AJ3328">
        <v>100.26724221220699</v>
      </c>
      <c r="AK3328">
        <v>23.207493456260799</v>
      </c>
      <c r="AL3328">
        <v>79.051814172238295</v>
      </c>
      <c r="AM3328">
        <v>96.604922147569496</v>
      </c>
      <c r="AN3328">
        <v>0.99999997566971899</v>
      </c>
    </row>
    <row r="3329" spans="1:40" x14ac:dyDescent="0.25">
      <c r="A3329" t="str">
        <f>"20190304154821917"</f>
        <v>20190304154821917</v>
      </c>
      <c r="B3329" t="str">
        <f>"1551685701910155"</f>
        <v>1551685701910155</v>
      </c>
      <c r="C3329" t="s">
        <v>40</v>
      </c>
      <c r="D3329">
        <v>4.4290570000000002</v>
      </c>
      <c r="E3329">
        <v>0.47187220000000002</v>
      </c>
      <c r="F3329" t="s">
        <v>54</v>
      </c>
      <c r="G3329">
        <v>-478.82420000000002</v>
      </c>
      <c r="H3329" s="1">
        <v>2.254131E-6</v>
      </c>
      <c r="I3329">
        <v>279.5428</v>
      </c>
      <c r="J3329">
        <v>-456.17009999999999</v>
      </c>
      <c r="K3329">
        <v>1.112287</v>
      </c>
      <c r="L3329">
        <v>284.85590000000002</v>
      </c>
      <c r="M3329">
        <v>-0.9986022</v>
      </c>
      <c r="N3329">
        <v>-1.43673E-2</v>
      </c>
      <c r="O3329">
        <v>-5.0868169999999997E-2</v>
      </c>
      <c r="P3329">
        <v>-0.97090609999999999</v>
      </c>
      <c r="Q3329">
        <v>0.17616960000000001</v>
      </c>
      <c r="R3329">
        <v>-0.1621908</v>
      </c>
      <c r="S3329">
        <v>-2.9999690000000001</v>
      </c>
      <c r="T3329">
        <v>-0.14611830000000001</v>
      </c>
      <c r="U3329">
        <v>-0.69931030000000005</v>
      </c>
      <c r="V3329">
        <v>-0.1132915</v>
      </c>
      <c r="W3329">
        <v>0.1897826</v>
      </c>
      <c r="X3329">
        <v>0.97526789999999997</v>
      </c>
      <c r="Y3329">
        <v>-0.17694889999999999</v>
      </c>
      <c r="Z3329">
        <v>-3.8219669999999999E-3</v>
      </c>
      <c r="AA3329">
        <v>0.98421259999999999</v>
      </c>
      <c r="AB3329">
        <v>31</v>
      </c>
      <c r="AC3329">
        <v>-22.6541</v>
      </c>
      <c r="AD3329">
        <v>-1.1122847458689999</v>
      </c>
      <c r="AE3329">
        <v>-5.3131000000000199</v>
      </c>
      <c r="AF3329">
        <v>-4.1442591716415196</v>
      </c>
      <c r="AG3329">
        <v>-1.1122847458689999</v>
      </c>
      <c r="AH3329">
        <v>22.842865290195601</v>
      </c>
      <c r="AI3329">
        <v>92.742987275079699</v>
      </c>
      <c r="AJ3329">
        <v>100.28301957718401</v>
      </c>
      <c r="AK3329">
        <v>23.242387056919299</v>
      </c>
      <c r="AL3329">
        <v>79.059902054326699</v>
      </c>
      <c r="AM3329">
        <v>96.626037275490205</v>
      </c>
      <c r="AN3329">
        <v>0.99999993800270803</v>
      </c>
    </row>
    <row r="3330" spans="1:40" x14ac:dyDescent="0.25">
      <c r="A3330" t="str">
        <f>"20190304154821929"</f>
        <v>20190304154821929</v>
      </c>
      <c r="B3330" t="str">
        <f>"1551685701919916"</f>
        <v>1551685701919916</v>
      </c>
      <c r="C3330" t="s">
        <v>40</v>
      </c>
      <c r="D3330">
        <v>4.3980839999999999</v>
      </c>
      <c r="E3330">
        <v>0.47183920000000001</v>
      </c>
      <c r="F3330" t="s">
        <v>54</v>
      </c>
      <c r="G3330">
        <v>-478.97039999999998</v>
      </c>
      <c r="H3330" s="1">
        <v>2.1849290000000002E-6</v>
      </c>
      <c r="I3330">
        <v>279.51</v>
      </c>
      <c r="J3330">
        <v>-456.34660000000002</v>
      </c>
      <c r="K3330">
        <v>1.112295</v>
      </c>
      <c r="L3330">
        <v>284.84589999999997</v>
      </c>
      <c r="M3330">
        <v>-0.99854719999999997</v>
      </c>
      <c r="N3330">
        <v>-1.436657E-2</v>
      </c>
      <c r="O3330">
        <v>-5.1935240000000001E-2</v>
      </c>
      <c r="P3330">
        <v>-0.9707462</v>
      </c>
      <c r="Q3330">
        <v>0.17597360000000001</v>
      </c>
      <c r="R3330">
        <v>-0.16335620000000001</v>
      </c>
      <c r="S3330">
        <v>-2.9989620000000001</v>
      </c>
      <c r="T3330">
        <v>-0.1463006</v>
      </c>
      <c r="U3330">
        <v>-0.70315550000000004</v>
      </c>
      <c r="V3330">
        <v>-0.11342480000000001</v>
      </c>
      <c r="W3330">
        <v>0.18958169999999999</v>
      </c>
      <c r="X3330">
        <v>0.97529160000000004</v>
      </c>
      <c r="Y3330">
        <v>-0.1771665</v>
      </c>
      <c r="Z3330">
        <v>-3.795437E-3</v>
      </c>
      <c r="AA3330">
        <v>0.98417359999999998</v>
      </c>
      <c r="AB3330">
        <v>31</v>
      </c>
      <c r="AC3330">
        <v>-22.6237999999999</v>
      </c>
      <c r="AD3330">
        <v>-1.1122928150710001</v>
      </c>
      <c r="AE3330">
        <v>-5.3358999999999801</v>
      </c>
      <c r="AF3330">
        <v>-4.1441146463742102</v>
      </c>
      <c r="AG3330">
        <v>-1.1122928150710001</v>
      </c>
      <c r="AH3330">
        <v>22.818162751088501</v>
      </c>
      <c r="AI3330">
        <v>92.745880554667096</v>
      </c>
      <c r="AJ3330">
        <v>100.293562591802</v>
      </c>
      <c r="AK3330">
        <v>23.2180841768634</v>
      </c>
      <c r="AL3330">
        <v>79.071626913243094</v>
      </c>
      <c r="AM3330">
        <v>96.633604328715705</v>
      </c>
      <c r="AN3330">
        <v>1.00000005563024</v>
      </c>
    </row>
    <row r="3331" spans="1:40" x14ac:dyDescent="0.25">
      <c r="A3331" t="str">
        <f>"20190304154821943"</f>
        <v>20190304154821943</v>
      </c>
      <c r="B3331" t="str">
        <f>"1551685701940410"</f>
        <v>1551685701940410</v>
      </c>
      <c r="C3331" t="s">
        <v>40</v>
      </c>
      <c r="D3331">
        <v>4.4193540000000002</v>
      </c>
      <c r="E3331">
        <v>0.471833</v>
      </c>
      <c r="F3331" t="s">
        <v>54</v>
      </c>
      <c r="G3331">
        <v>-479.05799999999999</v>
      </c>
      <c r="H3331" s="1">
        <v>2.143511E-6</v>
      </c>
      <c r="I3331">
        <v>279.49040000000002</v>
      </c>
      <c r="J3331">
        <v>-456.52159999999998</v>
      </c>
      <c r="K3331">
        <v>1.112311</v>
      </c>
      <c r="L3331">
        <v>284.83569999999997</v>
      </c>
      <c r="M3331">
        <v>-0.99849049999999995</v>
      </c>
      <c r="N3331">
        <v>-1.4365859999999999E-2</v>
      </c>
      <c r="O3331">
        <v>-5.3014279999999997E-2</v>
      </c>
      <c r="P3331">
        <v>-0.97054050000000003</v>
      </c>
      <c r="Q3331">
        <v>0.1759791</v>
      </c>
      <c r="R3331">
        <v>-0.1645684</v>
      </c>
      <c r="S3331">
        <v>-2.9980769999999999</v>
      </c>
      <c r="T3331">
        <v>-0.1468312</v>
      </c>
      <c r="U3331">
        <v>-0.70697019999999899</v>
      </c>
      <c r="V3331">
        <v>-0.1135969</v>
      </c>
      <c r="W3331">
        <v>0.18958120000000001</v>
      </c>
      <c r="X3331">
        <v>0.97527160000000002</v>
      </c>
      <c r="Y3331">
        <v>-0.17735310000000001</v>
      </c>
      <c r="Z3331">
        <v>-3.7714290000000002E-3</v>
      </c>
      <c r="AA3331">
        <v>0.98414000000000001</v>
      </c>
      <c r="AB3331">
        <v>31</v>
      </c>
      <c r="AC3331">
        <v>-22.5364</v>
      </c>
      <c r="AD3331">
        <v>-1.112308856489</v>
      </c>
      <c r="AE3331">
        <v>-5.3452999999999502</v>
      </c>
      <c r="AF3331">
        <v>-4.1333746984936397</v>
      </c>
      <c r="AG3331">
        <v>-1.112308856489</v>
      </c>
      <c r="AH3331">
        <v>22.735673348866602</v>
      </c>
      <c r="AI3331">
        <v>92.755777200173299</v>
      </c>
      <c r="AJ3331">
        <v>100.30390949602</v>
      </c>
      <c r="AK3331">
        <v>23.135100173043</v>
      </c>
      <c r="AL3331">
        <v>79.071655368899997</v>
      </c>
      <c r="AM3331">
        <v>96.643714643563897</v>
      </c>
      <c r="AN3331">
        <v>0.99999999042480403</v>
      </c>
    </row>
    <row r="3332" spans="1:40" x14ac:dyDescent="0.25">
      <c r="A3332" t="str">
        <f>"20190304154821957"</f>
        <v>20190304154821957</v>
      </c>
      <c r="B3332" t="str">
        <f>"1551685701950171"</f>
        <v>1551685701950171</v>
      </c>
      <c r="C3332" t="s">
        <v>40</v>
      </c>
      <c r="D3332">
        <v>4.416093</v>
      </c>
      <c r="E3332">
        <v>0.47182859999999999</v>
      </c>
      <c r="F3332" t="s">
        <v>54</v>
      </c>
      <c r="G3332">
        <v>-479.28460000000001</v>
      </c>
      <c r="H3332" s="1">
        <v>2.0358289999999998E-6</v>
      </c>
      <c r="I3332">
        <v>279.43599999999998</v>
      </c>
      <c r="J3332">
        <v>-456.71260000000001</v>
      </c>
      <c r="K3332">
        <v>1.112328</v>
      </c>
      <c r="L3332">
        <v>284.82429999999999</v>
      </c>
      <c r="M3332">
        <v>-0.99842640000000005</v>
      </c>
      <c r="N3332">
        <v>-1.43651E-2</v>
      </c>
      <c r="O3332">
        <v>-5.4206030000000002E-2</v>
      </c>
      <c r="P3332">
        <v>-0.9703252</v>
      </c>
      <c r="Q3332">
        <v>0.175899</v>
      </c>
      <c r="R3332">
        <v>-0.1659176</v>
      </c>
      <c r="S3332">
        <v>-2.9970699999999999</v>
      </c>
      <c r="T3332">
        <v>-0.1464511</v>
      </c>
      <c r="U3332">
        <v>-0.7109375</v>
      </c>
      <c r="V3332">
        <v>-0.11379740000000001</v>
      </c>
      <c r="W3332">
        <v>0.18949369999999999</v>
      </c>
      <c r="X3332">
        <v>0.97526520000000005</v>
      </c>
      <c r="Y3332">
        <v>-0.17748749999999999</v>
      </c>
      <c r="Z3332">
        <v>-3.7312719999999999E-3</v>
      </c>
      <c r="AA3332">
        <v>0.98411599999999999</v>
      </c>
      <c r="AB3332">
        <v>31</v>
      </c>
      <c r="AC3332">
        <v>-22.571999999999999</v>
      </c>
      <c r="AD3332">
        <v>-1.1123259641709999</v>
      </c>
      <c r="AE3332">
        <v>-5.3883000000000099</v>
      </c>
      <c r="AF3332">
        <v>-4.1471833750025597</v>
      </c>
      <c r="AG3332">
        <v>-1.1123259641709999</v>
      </c>
      <c r="AH3332">
        <v>22.7785819282612</v>
      </c>
      <c r="AI3332">
        <v>92.750508733389097</v>
      </c>
      <c r="AJ3332">
        <v>100.318537066132</v>
      </c>
      <c r="AK3332">
        <v>23.1797367038319</v>
      </c>
      <c r="AL3332">
        <v>79.076760971050902</v>
      </c>
      <c r="AM3332">
        <v>96.655379066116296</v>
      </c>
      <c r="AN3332">
        <v>0.99999996045874395</v>
      </c>
    </row>
    <row r="3333" spans="1:40" x14ac:dyDescent="0.25">
      <c r="A3333" t="str">
        <f>"20190304154821971"</f>
        <v>20190304154821971</v>
      </c>
      <c r="B3333" t="str">
        <f>"1551685701959931"</f>
        <v>1551685701959931</v>
      </c>
      <c r="C3333" t="s">
        <v>40</v>
      </c>
      <c r="D3333">
        <v>4.4650309999999998</v>
      </c>
      <c r="E3333">
        <v>0.4717269</v>
      </c>
      <c r="F3333" t="s">
        <v>54</v>
      </c>
      <c r="G3333">
        <v>-479.45839999999998</v>
      </c>
      <c r="H3333" s="1">
        <v>1.9533040000000001E-6</v>
      </c>
      <c r="I3333">
        <v>279.39479999999998</v>
      </c>
      <c r="J3333">
        <v>-456.90390000000002</v>
      </c>
      <c r="K3333">
        <v>1.1123510000000001</v>
      </c>
      <c r="L3333">
        <v>284.81279999999998</v>
      </c>
      <c r="M3333">
        <v>-0.99836000000000003</v>
      </c>
      <c r="N3333">
        <v>-1.4364399999999999E-2</v>
      </c>
      <c r="O3333">
        <v>-5.5417250000000001E-2</v>
      </c>
      <c r="P3333">
        <v>-0.97016720000000001</v>
      </c>
      <c r="Q3333">
        <v>0.1754484</v>
      </c>
      <c r="R3333">
        <v>-0.16731399999999999</v>
      </c>
      <c r="S3333">
        <v>-2.9960629999999999</v>
      </c>
      <c r="T3333">
        <v>-0.14651510000000001</v>
      </c>
      <c r="U3333">
        <v>-0.71517940000000002</v>
      </c>
      <c r="V3333">
        <v>-0.1140221</v>
      </c>
      <c r="W3333">
        <v>0.1890367</v>
      </c>
      <c r="X3333">
        <v>0.97532770000000002</v>
      </c>
      <c r="Y3333">
        <v>-0.17768680000000001</v>
      </c>
      <c r="Z3333">
        <v>-3.697653E-3</v>
      </c>
      <c r="AA3333">
        <v>0.98408010000000001</v>
      </c>
      <c r="AB3333">
        <v>31</v>
      </c>
      <c r="AC3333">
        <v>-22.554499999999901</v>
      </c>
      <c r="AD3333">
        <v>-1.112349046696</v>
      </c>
      <c r="AE3333">
        <v>-5.4180000000000001</v>
      </c>
      <c r="AF3333">
        <v>-4.1500915473080404</v>
      </c>
      <c r="AG3333">
        <v>-1.112349046696</v>
      </c>
      <c r="AH3333">
        <v>22.7677579815111</v>
      </c>
      <c r="AI3333">
        <v>92.751767538388904</v>
      </c>
      <c r="AJ3333">
        <v>100.33042043695001</v>
      </c>
      <c r="AK3333">
        <v>23.169622002902599</v>
      </c>
      <c r="AL3333">
        <v>79.103427739762296</v>
      </c>
      <c r="AM3333">
        <v>96.667978816820096</v>
      </c>
      <c r="AN3333">
        <v>1.00000001781129</v>
      </c>
    </row>
    <row r="3334" spans="1:40" x14ac:dyDescent="0.25">
      <c r="A3334" t="str">
        <f>"20190304154821994"</f>
        <v>20190304154821994</v>
      </c>
      <c r="B3334" t="str">
        <f>"1551685701990186"</f>
        <v>1551685701990186</v>
      </c>
      <c r="C3334" t="s">
        <v>40</v>
      </c>
      <c r="D3334">
        <v>4.5008330000000001</v>
      </c>
      <c r="E3334">
        <v>0.47173100000000001</v>
      </c>
      <c r="F3334" t="s">
        <v>54</v>
      </c>
      <c r="G3334">
        <v>-479.43709999999999</v>
      </c>
      <c r="H3334" s="1">
        <v>1.9628020000000001E-6</v>
      </c>
      <c r="I3334">
        <v>279.3954</v>
      </c>
      <c r="J3334">
        <v>-457.21289999999999</v>
      </c>
      <c r="K3334">
        <v>1.1123780000000001</v>
      </c>
      <c r="L3334">
        <v>284.79349999999999</v>
      </c>
      <c r="M3334">
        <v>-0.99824690000000005</v>
      </c>
      <c r="N3334">
        <v>-1.4363010000000001E-2</v>
      </c>
      <c r="O3334">
        <v>-5.7418150000000001E-2</v>
      </c>
      <c r="P3334">
        <v>-0.96988949999999996</v>
      </c>
      <c r="Q3334">
        <v>0.1753585</v>
      </c>
      <c r="R3334">
        <v>-0.16900870000000001</v>
      </c>
      <c r="S3334">
        <v>-2.9947509999999999</v>
      </c>
      <c r="T3334">
        <v>-0.14783560000000001</v>
      </c>
      <c r="U3334">
        <v>-0.72000120000000001</v>
      </c>
      <c r="V3334">
        <v>-0.1137852</v>
      </c>
      <c r="W3334">
        <v>0.18893750000000001</v>
      </c>
      <c r="X3334">
        <v>0.97537459999999998</v>
      </c>
      <c r="Y3334">
        <v>-0.17730850000000001</v>
      </c>
      <c r="Z3334">
        <v>-3.6321460000000002E-3</v>
      </c>
      <c r="AA3334">
        <v>0.98414860000000004</v>
      </c>
      <c r="AB3334">
        <v>31</v>
      </c>
      <c r="AC3334">
        <v>-22.2242</v>
      </c>
      <c r="AD3334">
        <v>-1.112376037198</v>
      </c>
      <c r="AE3334">
        <v>-5.3981000000000003</v>
      </c>
      <c r="AF3334">
        <v>-4.1032813261493599</v>
      </c>
      <c r="AG3334">
        <v>-1.112376037198</v>
      </c>
      <c r="AH3334">
        <v>22.444411884433201</v>
      </c>
      <c r="AI3334">
        <v>92.791150268945202</v>
      </c>
      <c r="AJ3334">
        <v>100.36038485520599</v>
      </c>
      <c r="AK3334">
        <v>22.843509426700301</v>
      </c>
      <c r="AL3334">
        <v>79.109215923749701</v>
      </c>
      <c r="AM3334">
        <v>96.653932247403901</v>
      </c>
      <c r="AN3334">
        <v>1.0000000304852199</v>
      </c>
    </row>
    <row r="3335" spans="1:40" x14ac:dyDescent="0.25">
      <c r="A3335" t="str">
        <f>"20190304154822008"</f>
        <v>20190304154822008</v>
      </c>
      <c r="B3335" t="str">
        <f>"1551685701999946"</f>
        <v>1551685701999946</v>
      </c>
      <c r="C3335" t="s">
        <v>40</v>
      </c>
      <c r="D3335">
        <v>4.5041140000000004</v>
      </c>
      <c r="E3335">
        <v>0.47166069999999999</v>
      </c>
      <c r="F3335" t="s">
        <v>54</v>
      </c>
      <c r="G3335">
        <v>-479.76159999999999</v>
      </c>
      <c r="H3335" s="1">
        <v>1.806088E-6</v>
      </c>
      <c r="I3335">
        <v>279.32870000000003</v>
      </c>
      <c r="J3335">
        <v>-457.42239999999998</v>
      </c>
      <c r="K3335">
        <v>1.112401</v>
      </c>
      <c r="L3335">
        <v>284.77999999999997</v>
      </c>
      <c r="M3335">
        <v>-0.99816629999999995</v>
      </c>
      <c r="N3335">
        <v>-1.4362120000000001E-2</v>
      </c>
      <c r="O3335">
        <v>-5.8803969999999997E-2</v>
      </c>
      <c r="P3335">
        <v>-0.96958949999999999</v>
      </c>
      <c r="Q3335">
        <v>0.17554320000000001</v>
      </c>
      <c r="R3335">
        <v>-0.17053109999999999</v>
      </c>
      <c r="S3335">
        <v>-2.9934080000000001</v>
      </c>
      <c r="T3335">
        <v>-0.1476711</v>
      </c>
      <c r="U3335">
        <v>-0.72546390000000005</v>
      </c>
      <c r="V3335">
        <v>-0.1139771</v>
      </c>
      <c r="W3335">
        <v>0.18911259999999999</v>
      </c>
      <c r="X3335">
        <v>0.97531829999999997</v>
      </c>
      <c r="Y3335">
        <v>-0.17774010000000001</v>
      </c>
      <c r="Z3335">
        <v>-3.5971179999999998E-3</v>
      </c>
      <c r="AA3335">
        <v>0.98407089999999997</v>
      </c>
      <c r="AB3335">
        <v>31</v>
      </c>
      <c r="AC3335">
        <v>-22.339200000000002</v>
      </c>
      <c r="AD3335">
        <v>-1.1123991939119999</v>
      </c>
      <c r="AE3335">
        <v>-5.4512999999999403</v>
      </c>
      <c r="AF3335">
        <v>-4.1184574958821898</v>
      </c>
      <c r="AG3335">
        <v>-1.1123991939119999</v>
      </c>
      <c r="AH3335">
        <v>22.568310370710201</v>
      </c>
      <c r="AI3335">
        <v>92.776071035946003</v>
      </c>
      <c r="AJ3335">
        <v>100.342020431142</v>
      </c>
      <c r="AK3335">
        <v>22.967972420322798</v>
      </c>
      <c r="AL3335">
        <v>79.098999691764107</v>
      </c>
      <c r="AM3335">
        <v>96.665434575199995</v>
      </c>
      <c r="AN3335">
        <v>1.00000007055902</v>
      </c>
    </row>
    <row r="3336" spans="1:40" x14ac:dyDescent="0.25">
      <c r="A3336" t="str">
        <f>"20190304154822027"</f>
        <v>20190304154822027</v>
      </c>
      <c r="B3336" t="str">
        <f>"1551685702020442"</f>
        <v>1551685702020442</v>
      </c>
      <c r="C3336" t="s">
        <v>40</v>
      </c>
      <c r="D3336">
        <v>4.5001620000000004</v>
      </c>
      <c r="E3336">
        <v>0.47160000000000002</v>
      </c>
      <c r="F3336" t="s">
        <v>54</v>
      </c>
      <c r="G3336">
        <v>-480.04910000000001</v>
      </c>
      <c r="H3336" s="1">
        <v>1.7051329999999901E-6</v>
      </c>
      <c r="I3336">
        <v>279.25229999999999</v>
      </c>
      <c r="J3336">
        <v>-457.66640000000001</v>
      </c>
      <c r="K3336">
        <v>1.1124270000000001</v>
      </c>
      <c r="L3336">
        <v>284.76389999999998</v>
      </c>
      <c r="M3336">
        <v>-0.99806850000000003</v>
      </c>
      <c r="N3336">
        <v>-1.4361000000000001E-2</v>
      </c>
      <c r="O3336">
        <v>-6.0442999999999997E-2</v>
      </c>
      <c r="P3336">
        <v>-0.96911630000000004</v>
      </c>
      <c r="Q3336">
        <v>0.17573929999999999</v>
      </c>
      <c r="R3336">
        <v>-0.17300099999999999</v>
      </c>
      <c r="S3336">
        <v>-2.9921570000000002</v>
      </c>
      <c r="T3336">
        <v>-0.1471035</v>
      </c>
      <c r="U3336">
        <v>-0.73098750000000001</v>
      </c>
      <c r="V3336">
        <v>-0.11487799999999999</v>
      </c>
      <c r="W3336">
        <v>0.18929470000000001</v>
      </c>
      <c r="X3336">
        <v>0.97517719999999997</v>
      </c>
      <c r="Y3336">
        <v>-0.1779355</v>
      </c>
      <c r="Z3336">
        <v>-3.542225E-3</v>
      </c>
      <c r="AA3336">
        <v>0.98403580000000002</v>
      </c>
      <c r="AB3336">
        <v>31</v>
      </c>
      <c r="AC3336">
        <v>-22.3827</v>
      </c>
      <c r="AD3336">
        <v>-1.1124252948669999</v>
      </c>
      <c r="AE3336">
        <v>-5.5115999999999801</v>
      </c>
      <c r="AF3336">
        <v>-4.1388649531248101</v>
      </c>
      <c r="AG3336">
        <v>-1.1124252948669999</v>
      </c>
      <c r="AH3336">
        <v>22.622255189745601</v>
      </c>
      <c r="AI3336">
        <v>92.769298146932101</v>
      </c>
      <c r="AJ3336">
        <v>100.367909529812</v>
      </c>
      <c r="AK3336">
        <v>23.024641647739799</v>
      </c>
      <c r="AL3336">
        <v>79.088373486648507</v>
      </c>
      <c r="AM3336">
        <v>96.718603100933905</v>
      </c>
      <c r="AN3336">
        <v>1.0000000048659601</v>
      </c>
    </row>
    <row r="3337" spans="1:40" x14ac:dyDescent="0.25">
      <c r="A3337" t="str">
        <f>"20190304154822048"</f>
        <v>20190304154822048</v>
      </c>
      <c r="B3337" t="str">
        <f>"1551685702039966"</f>
        <v>1551685702039966</v>
      </c>
      <c r="C3337" t="s">
        <v>40</v>
      </c>
      <c r="D3337">
        <v>4.4738740000000004</v>
      </c>
      <c r="E3337">
        <v>0.47151599999999999</v>
      </c>
      <c r="F3337" t="s">
        <v>54</v>
      </c>
      <c r="G3337">
        <v>-480.34870000000001</v>
      </c>
      <c r="H3337" s="1">
        <v>1.714806E-6</v>
      </c>
      <c r="I3337">
        <v>279.15629999999999</v>
      </c>
      <c r="J3337">
        <v>-457.97199999999998</v>
      </c>
      <c r="K3337">
        <v>1.1124540000000001</v>
      </c>
      <c r="L3337">
        <v>284.7432</v>
      </c>
      <c r="M3337">
        <v>-0.99793949999999998</v>
      </c>
      <c r="N3337">
        <v>-1.435932E-2</v>
      </c>
      <c r="O3337">
        <v>-6.2533710000000006E-2</v>
      </c>
      <c r="P3337">
        <v>-0.96845110000000001</v>
      </c>
      <c r="Q3337">
        <v>0.17606459999999999</v>
      </c>
      <c r="R3337">
        <v>-0.17636260000000001</v>
      </c>
      <c r="S3337">
        <v>-2.9902340000000001</v>
      </c>
      <c r="T3337">
        <v>-0.146652</v>
      </c>
      <c r="U3337">
        <v>-0.73925779999999996</v>
      </c>
      <c r="V3337">
        <v>-0.1162417</v>
      </c>
      <c r="W3337">
        <v>0.18960089999999999</v>
      </c>
      <c r="X3337">
        <v>0.97495609999999999</v>
      </c>
      <c r="Y3337">
        <v>-0.17858769999999999</v>
      </c>
      <c r="Z3337">
        <v>-3.4881370000000001E-3</v>
      </c>
      <c r="AA3337">
        <v>0.98391779999999995</v>
      </c>
      <c r="AB3337">
        <v>31</v>
      </c>
      <c r="AC3337">
        <v>-22.3767</v>
      </c>
      <c r="AD3337">
        <v>-1.112452285194</v>
      </c>
      <c r="AE3337">
        <v>-5.5869000000000097</v>
      </c>
      <c r="AF3337">
        <v>-4.1668266957844802</v>
      </c>
      <c r="AG3337">
        <v>-1.112452285194</v>
      </c>
      <c r="AH3337">
        <v>22.6296535651752</v>
      </c>
      <c r="AI3337">
        <v>92.767884208802201</v>
      </c>
      <c r="AJ3337">
        <v>100.43308289410101</v>
      </c>
      <c r="AK3337">
        <v>23.036953255137298</v>
      </c>
      <c r="AL3337">
        <v>79.070506069909001</v>
      </c>
      <c r="AM3337">
        <v>96.799143799511896</v>
      </c>
      <c r="AN3337">
        <v>1.0000000155134501</v>
      </c>
    </row>
    <row r="3338" spans="1:40" x14ac:dyDescent="0.25">
      <c r="A3338" t="str">
        <f>"20190304154822061"</f>
        <v>20190304154822061</v>
      </c>
      <c r="B3338" t="str">
        <f>"1551685702049723"</f>
        <v>1551685702049723</v>
      </c>
      <c r="C3338" t="s">
        <v>40</v>
      </c>
      <c r="D3338">
        <v>4.5060089999999997</v>
      </c>
      <c r="E3338">
        <v>0.47147030000000001</v>
      </c>
      <c r="F3338" t="s">
        <v>54</v>
      </c>
      <c r="G3338">
        <v>-480.70229999999998</v>
      </c>
      <c r="H3338" s="1">
        <v>1.7248969999999999E-6</v>
      </c>
      <c r="I3338">
        <v>279.03559999999999</v>
      </c>
      <c r="J3338">
        <v>-458.1481</v>
      </c>
      <c r="K3338">
        <v>1.112479</v>
      </c>
      <c r="L3338">
        <v>284.73099999999999</v>
      </c>
      <c r="M3338">
        <v>-0.99786160000000002</v>
      </c>
      <c r="N3338">
        <v>-1.435851E-2</v>
      </c>
      <c r="O3338">
        <v>-6.3764420000000002E-2</v>
      </c>
      <c r="P3338">
        <v>-0.96811029999999998</v>
      </c>
      <c r="Q3338">
        <v>0.176144</v>
      </c>
      <c r="R3338">
        <v>-0.17814549999999901</v>
      </c>
      <c r="S3338">
        <v>-2.9876710000000002</v>
      </c>
      <c r="T3338">
        <v>-0.14622060000000001</v>
      </c>
      <c r="U3338">
        <v>-0.75021359999999904</v>
      </c>
      <c r="V3338">
        <v>-0.1168458</v>
      </c>
      <c r="W3338">
        <v>0.1896707</v>
      </c>
      <c r="X3338">
        <v>0.97487029999999997</v>
      </c>
      <c r="Y3338">
        <v>-0.1809655</v>
      </c>
      <c r="Z3338">
        <v>-3.5181359999999998E-3</v>
      </c>
      <c r="AA3338">
        <v>0.98348310000000005</v>
      </c>
      <c r="AB3338">
        <v>31</v>
      </c>
      <c r="AC3338">
        <v>-22.554199999999899</v>
      </c>
      <c r="AD3338">
        <v>-1.1124772751029901</v>
      </c>
      <c r="AE3338">
        <v>-5.6954000000000002</v>
      </c>
      <c r="AF3338">
        <v>-4.2358158332007303</v>
      </c>
      <c r="AG3338">
        <v>-1.1124772751029901</v>
      </c>
      <c r="AH3338">
        <v>22.819304050201598</v>
      </c>
      <c r="AI3338">
        <v>92.744245908551804</v>
      </c>
      <c r="AJ3338">
        <v>100.515796666407</v>
      </c>
      <c r="AK3338">
        <v>23.235756471351699</v>
      </c>
      <c r="AL3338">
        <v>79.066432838832995</v>
      </c>
      <c r="AM3338">
        <v>96.834740928522294</v>
      </c>
      <c r="AN3338">
        <v>1.0000000086191001</v>
      </c>
    </row>
    <row r="3339" spans="1:40" x14ac:dyDescent="0.25">
      <c r="A3339" t="str">
        <f>"20190304154822075"</f>
        <v>20190304154822075</v>
      </c>
      <c r="B3339" t="str">
        <f>"1551685702070219"</f>
        <v>1551685702070219</v>
      </c>
      <c r="C3339" t="s">
        <v>40</v>
      </c>
      <c r="D3339">
        <v>4.47004</v>
      </c>
      <c r="E3339">
        <v>0.47142669999999998</v>
      </c>
      <c r="F3339" t="s">
        <v>54</v>
      </c>
      <c r="G3339">
        <v>-480.84820000000002</v>
      </c>
      <c r="H3339" s="1">
        <v>1.7288319999999999E-6</v>
      </c>
      <c r="I3339">
        <v>278.98439999999999</v>
      </c>
      <c r="J3339">
        <v>-458.3313</v>
      </c>
      <c r="K3339">
        <v>1.112501</v>
      </c>
      <c r="L3339">
        <v>284.71800000000002</v>
      </c>
      <c r="M3339">
        <v>-0.99777830000000001</v>
      </c>
      <c r="N3339">
        <v>-1.4357699999999999E-2</v>
      </c>
      <c r="O3339">
        <v>-6.5057400000000001E-2</v>
      </c>
      <c r="P3339">
        <v>-0.96777449999999998</v>
      </c>
      <c r="Q3339">
        <v>0.17622070000000001</v>
      </c>
      <c r="R3339">
        <v>-0.17988570000000001</v>
      </c>
      <c r="S3339">
        <v>-2.9862980000000001</v>
      </c>
      <c r="T3339">
        <v>-0.1463507</v>
      </c>
      <c r="U3339">
        <v>-0.75598140000000003</v>
      </c>
      <c r="V3339">
        <v>-0.1173472</v>
      </c>
      <c r="W3339">
        <v>0.18973760000000001</v>
      </c>
      <c r="X3339">
        <v>0.97479700000000002</v>
      </c>
      <c r="Y3339">
        <v>-0.18158340000000001</v>
      </c>
      <c r="Z3339">
        <v>-3.4953720000000001E-3</v>
      </c>
      <c r="AA3339">
        <v>0.98336939999999995</v>
      </c>
      <c r="AB3339">
        <v>31</v>
      </c>
      <c r="AC3339">
        <v>-22.5169</v>
      </c>
      <c r="AD3339">
        <v>-1.112499271168</v>
      </c>
      <c r="AE3339">
        <v>-5.7336000000000196</v>
      </c>
      <c r="AF3339">
        <v>-4.2466738698400501</v>
      </c>
      <c r="AG3339">
        <v>-1.112499271168</v>
      </c>
      <c r="AH3339">
        <v>22.7899954402391</v>
      </c>
      <c r="AI3339">
        <v>92.747471236274507</v>
      </c>
      <c r="AJ3339">
        <v>100.555402217398</v>
      </c>
      <c r="AK3339">
        <v>23.208959169925102</v>
      </c>
      <c r="AL3339">
        <v>79.062528285226307</v>
      </c>
      <c r="AM3339">
        <v>96.864301654273703</v>
      </c>
      <c r="AN3339">
        <v>0.99999995670529895</v>
      </c>
    </row>
    <row r="3340" spans="1:40" x14ac:dyDescent="0.25">
      <c r="A3340" t="str">
        <f>"20190304154822086"</f>
        <v>20190304154822086</v>
      </c>
      <c r="B3340" t="str">
        <f>"1551685702079978"</f>
        <v>1551685702079978</v>
      </c>
      <c r="C3340" t="s">
        <v>40</v>
      </c>
      <c r="D3340">
        <v>4.504505</v>
      </c>
      <c r="E3340">
        <v>0.4714238</v>
      </c>
      <c r="F3340" t="s">
        <v>54</v>
      </c>
      <c r="G3340">
        <v>-480.9588</v>
      </c>
      <c r="H3340" s="1">
        <v>1.7308090000000001E-6</v>
      </c>
      <c r="I3340">
        <v>278.94</v>
      </c>
      <c r="J3340">
        <v>-458.4991</v>
      </c>
      <c r="K3340">
        <v>1.11252</v>
      </c>
      <c r="L3340">
        <v>284.70580000000001</v>
      </c>
      <c r="M3340">
        <v>-0.99769909999999995</v>
      </c>
      <c r="N3340">
        <v>-1.435694E-2</v>
      </c>
      <c r="O3340">
        <v>-6.6261550000000002E-2</v>
      </c>
      <c r="P3340">
        <v>-0.96758259999999996</v>
      </c>
      <c r="Q3340">
        <v>0.17585509999999999</v>
      </c>
      <c r="R3340">
        <v>-0.18127070000000001</v>
      </c>
      <c r="S3340">
        <v>-2.9849239999999999</v>
      </c>
      <c r="T3340">
        <v>-0.1467562</v>
      </c>
      <c r="U3340">
        <v>-0.76220699999999997</v>
      </c>
      <c r="V3340">
        <v>-0.1175697</v>
      </c>
      <c r="W3340">
        <v>0.18936539999999999</v>
      </c>
      <c r="X3340">
        <v>0.9748426</v>
      </c>
      <c r="Y3340">
        <v>-0.18242900000000001</v>
      </c>
      <c r="Z3340">
        <v>-3.484947E-3</v>
      </c>
      <c r="AA3340">
        <v>0.9832128</v>
      </c>
      <c r="AB3340">
        <v>31</v>
      </c>
      <c r="AC3340">
        <v>-22.459700000000002</v>
      </c>
      <c r="AD3340">
        <v>-1.1125182691910001</v>
      </c>
      <c r="AE3340">
        <v>-5.7658000000000103</v>
      </c>
      <c r="AF3340">
        <v>-4.2549635000161796</v>
      </c>
      <c r="AG3340">
        <v>-1.1125182691910001</v>
      </c>
      <c r="AH3340">
        <v>22.740074463108101</v>
      </c>
      <c r="AI3340">
        <v>92.753156662442606</v>
      </c>
      <c r="AJ3340">
        <v>100.598233240958</v>
      </c>
      <c r="AK3340">
        <v>23.161463638411501</v>
      </c>
      <c r="AL3340">
        <v>79.084247917565406</v>
      </c>
      <c r="AM3340">
        <v>96.876873793254205</v>
      </c>
      <c r="AN3340">
        <v>0.99999999192500399</v>
      </c>
    </row>
    <row r="3341" spans="1:40" x14ac:dyDescent="0.25">
      <c r="A3341" t="str">
        <f>"20190304154822100"</f>
        <v>20190304154822100</v>
      </c>
      <c r="B3341" t="str">
        <f>"1551685702089739"</f>
        <v>1551685702089739</v>
      </c>
      <c r="C3341" t="s">
        <v>40</v>
      </c>
      <c r="D3341">
        <v>4.5198010000000002</v>
      </c>
      <c r="E3341">
        <v>0.47141430000000001</v>
      </c>
      <c r="F3341" t="s">
        <v>54</v>
      </c>
      <c r="G3341">
        <v>-480.92</v>
      </c>
      <c r="H3341" s="1">
        <v>1.728077E-6</v>
      </c>
      <c r="I3341">
        <v>278.94400000000002</v>
      </c>
      <c r="J3341">
        <v>-458.67529999999999</v>
      </c>
      <c r="K3341">
        <v>1.1125449999999999</v>
      </c>
      <c r="L3341">
        <v>284.69279999999998</v>
      </c>
      <c r="M3341">
        <v>-0.99761330000000004</v>
      </c>
      <c r="N3341">
        <v>-1.435612E-2</v>
      </c>
      <c r="O3341">
        <v>-6.7540610000000001E-2</v>
      </c>
      <c r="P3341">
        <v>-0.96735819999999995</v>
      </c>
      <c r="Q3341">
        <v>0.17560990000000001</v>
      </c>
      <c r="R3341">
        <v>-0.18270069999999999</v>
      </c>
      <c r="S3341">
        <v>-2.983765</v>
      </c>
      <c r="T3341">
        <v>-0.1480534</v>
      </c>
      <c r="U3341">
        <v>-0.76678469999999999</v>
      </c>
      <c r="V3341">
        <v>-0.117767</v>
      </c>
      <c r="W3341">
        <v>0.189113</v>
      </c>
      <c r="X3341">
        <v>0.97486779999999995</v>
      </c>
      <c r="Y3341">
        <v>-0.18267259999999999</v>
      </c>
      <c r="Z3341">
        <v>-3.459756E-3</v>
      </c>
      <c r="AA3341">
        <v>0.98316769999999998</v>
      </c>
      <c r="AB3341">
        <v>31</v>
      </c>
      <c r="AC3341">
        <v>-22.244700000000002</v>
      </c>
      <c r="AD3341">
        <v>-1.112543271923</v>
      </c>
      <c r="AE3341">
        <v>-5.7487999999999504</v>
      </c>
      <c r="AF3341">
        <v>-4.2231922348846398</v>
      </c>
      <c r="AG3341">
        <v>-1.112543271923</v>
      </c>
      <c r="AH3341">
        <v>22.529385287903001</v>
      </c>
      <c r="AI3341">
        <v>92.778755187866196</v>
      </c>
      <c r="AJ3341">
        <v>100.617032618065</v>
      </c>
      <c r="AK3341">
        <v>22.948775711036699</v>
      </c>
      <c r="AL3341">
        <v>79.098975687014899</v>
      </c>
      <c r="AM3341">
        <v>96.888127104259695</v>
      </c>
      <c r="AN3341">
        <v>1.00000001026741</v>
      </c>
    </row>
    <row r="3342" spans="1:40" x14ac:dyDescent="0.25">
      <c r="A3342" t="str">
        <f>"20190304154822115"</f>
        <v>20190304154822115</v>
      </c>
      <c r="B3342" t="str">
        <f>"1551685702110236"</f>
        <v>1551685702110236</v>
      </c>
      <c r="C3342" t="s">
        <v>40</v>
      </c>
      <c r="D3342">
        <v>4.4960469999999999</v>
      </c>
      <c r="E3342">
        <v>0.47140919999999997</v>
      </c>
      <c r="F3342" t="s">
        <v>54</v>
      </c>
      <c r="G3342">
        <v>-480.94560000000001</v>
      </c>
      <c r="H3342" s="1">
        <v>1.7284649999999999E-6</v>
      </c>
      <c r="I3342">
        <v>278.93329999999997</v>
      </c>
      <c r="J3342">
        <v>-458.86950000000002</v>
      </c>
      <c r="K3342">
        <v>1.112571</v>
      </c>
      <c r="L3342">
        <v>284.67829999999998</v>
      </c>
      <c r="M3342">
        <v>-0.99751570000000001</v>
      </c>
      <c r="N3342">
        <v>-1.435518E-2</v>
      </c>
      <c r="O3342">
        <v>-6.8967059999999997E-2</v>
      </c>
      <c r="P3342">
        <v>-0.96712450000000005</v>
      </c>
      <c r="Q3342">
        <v>0.17497599999999999</v>
      </c>
      <c r="R3342">
        <v>-0.18453749999999999</v>
      </c>
      <c r="S3342">
        <v>-2.9826350000000001</v>
      </c>
      <c r="T3342">
        <v>-0.14900169999999999</v>
      </c>
      <c r="U3342">
        <v>-0.77136229999999995</v>
      </c>
      <c r="V3342">
        <v>-0.11822530000000001</v>
      </c>
      <c r="W3342">
        <v>0.1884701</v>
      </c>
      <c r="X3342">
        <v>0.97493680000000005</v>
      </c>
      <c r="Y3342">
        <v>-0.18276970000000001</v>
      </c>
      <c r="Z3342">
        <v>-3.4211440000000001E-3</v>
      </c>
      <c r="AA3342">
        <v>0.98314979999999996</v>
      </c>
      <c r="AB3342">
        <v>31</v>
      </c>
      <c r="AC3342">
        <v>-22.0761</v>
      </c>
      <c r="AD3342">
        <v>-1.112569271535</v>
      </c>
      <c r="AE3342">
        <v>-5.7450000000000001</v>
      </c>
      <c r="AF3342">
        <v>-4.1986498522311999</v>
      </c>
      <c r="AG3342">
        <v>-1.112569271535</v>
      </c>
      <c r="AH3342">
        <v>22.366576409752899</v>
      </c>
      <c r="AI3342">
        <v>92.798880011296106</v>
      </c>
      <c r="AJ3342">
        <v>100.631822185784</v>
      </c>
      <c r="AK3342">
        <v>22.784429140509999</v>
      </c>
      <c r="AL3342">
        <v>79.136485369271199</v>
      </c>
      <c r="AM3342">
        <v>96.9141891552066</v>
      </c>
      <c r="AN3342">
        <v>0.99999998207416996</v>
      </c>
    </row>
    <row r="3343" spans="1:40" x14ac:dyDescent="0.25">
      <c r="A3343" t="str">
        <f>"20190304154822128"</f>
        <v>20190304154822128</v>
      </c>
      <c r="B3343" t="str">
        <f>"1551685702119995"</f>
        <v>1551685702119995</v>
      </c>
      <c r="C3343" t="s">
        <v>40</v>
      </c>
      <c r="D3343">
        <v>4.4862869999999999</v>
      </c>
      <c r="E3343">
        <v>0.47143600000000002</v>
      </c>
      <c r="F3343" t="s">
        <v>54</v>
      </c>
      <c r="G3343">
        <v>-480.73070000000001</v>
      </c>
      <c r="H3343" s="1">
        <v>1.717711E-6</v>
      </c>
      <c r="I3343">
        <v>278.98050000000001</v>
      </c>
      <c r="J3343">
        <v>-459.06479999999999</v>
      </c>
      <c r="K3343">
        <v>1.1125989999999999</v>
      </c>
      <c r="L3343">
        <v>284.66329999999999</v>
      </c>
      <c r="M3343">
        <v>-0.99741369999999896</v>
      </c>
      <c r="N3343">
        <v>-1.435434E-2</v>
      </c>
      <c r="O3343">
        <v>-7.0428009999999999E-2</v>
      </c>
      <c r="P3343">
        <v>-0.96694599999999997</v>
      </c>
      <c r="Q3343">
        <v>0.1740777</v>
      </c>
      <c r="R3343">
        <v>-0.1863138</v>
      </c>
      <c r="S3343">
        <v>-2.981201</v>
      </c>
      <c r="T3343">
        <v>-0.15172060000000001</v>
      </c>
      <c r="U3343">
        <v>-0.77700809999999998</v>
      </c>
      <c r="V3343">
        <v>-0.1185856</v>
      </c>
      <c r="W3343">
        <v>0.18756390000000001</v>
      </c>
      <c r="X3343">
        <v>0.97506780000000004</v>
      </c>
      <c r="Y3343">
        <v>-0.18318190000000001</v>
      </c>
      <c r="Z3343">
        <v>-3.4031259999999998E-3</v>
      </c>
      <c r="AA3343">
        <v>0.98307310000000003</v>
      </c>
      <c r="AB3343">
        <v>31</v>
      </c>
      <c r="AC3343">
        <v>-21.665900000000001</v>
      </c>
      <c r="AD3343">
        <v>-1.11259728228899</v>
      </c>
      <c r="AE3343">
        <v>-5.6827999999999799</v>
      </c>
      <c r="AF3343">
        <v>-4.1324465577605096</v>
      </c>
      <c r="AG3343">
        <v>-1.11259728228899</v>
      </c>
      <c r="AH3343">
        <v>21.958180966140201</v>
      </c>
      <c r="AI3343">
        <v>92.850676190299794</v>
      </c>
      <c r="AJ3343">
        <v>100.658185860996</v>
      </c>
      <c r="AK3343">
        <v>22.3713365404722</v>
      </c>
      <c r="AL3343">
        <v>79.189349663548896</v>
      </c>
      <c r="AM3343">
        <v>96.934133090257504</v>
      </c>
      <c r="AN3343">
        <v>0.99999998785370403</v>
      </c>
    </row>
    <row r="3344" spans="1:40" x14ac:dyDescent="0.25">
      <c r="A3344" t="str">
        <f>"20190304154822143"</f>
        <v>20190304154822143</v>
      </c>
      <c r="B3344" t="str">
        <f>"1551685702140491"</f>
        <v>1551685702140491</v>
      </c>
      <c r="C3344" t="s">
        <v>40</v>
      </c>
      <c r="D3344">
        <v>4.5229400000000002</v>
      </c>
      <c r="E3344">
        <v>0.4714663</v>
      </c>
      <c r="F3344" t="s">
        <v>54</v>
      </c>
      <c r="G3344">
        <v>-480.45490000000001</v>
      </c>
      <c r="H3344" s="1">
        <v>1.705875E-6</v>
      </c>
      <c r="I3344">
        <v>279.05220000000003</v>
      </c>
      <c r="J3344">
        <v>-459.26389999999998</v>
      </c>
      <c r="K3344">
        <v>1.112625</v>
      </c>
      <c r="L3344">
        <v>284.64769999999999</v>
      </c>
      <c r="M3344">
        <v>-0.99730549999999996</v>
      </c>
      <c r="N3344">
        <v>-1.4353599999999999E-2</v>
      </c>
      <c r="O3344">
        <v>-7.1944099999999997E-2</v>
      </c>
      <c r="P3344">
        <v>-0.96657870000000001</v>
      </c>
      <c r="Q3344">
        <v>0.17408370000000001</v>
      </c>
      <c r="R3344">
        <v>-0.1882035</v>
      </c>
      <c r="S3344">
        <v>-2.9798279999999999</v>
      </c>
      <c r="T3344">
        <v>-0.1549942</v>
      </c>
      <c r="U3344">
        <v>-0.78167719999999996</v>
      </c>
      <c r="V3344">
        <v>-0.1190237</v>
      </c>
      <c r="W3344">
        <v>0.18755869999999999</v>
      </c>
      <c r="X3344">
        <v>0.97501539999999998</v>
      </c>
      <c r="Y3344">
        <v>-0.18323249999999999</v>
      </c>
      <c r="Z3344">
        <v>-3.3726540000000001E-3</v>
      </c>
      <c r="AA3344">
        <v>0.98306380000000004</v>
      </c>
      <c r="AB3344">
        <v>31</v>
      </c>
      <c r="AC3344">
        <v>-21.190999999999999</v>
      </c>
      <c r="AD3344">
        <v>-1.1126232941250001</v>
      </c>
      <c r="AE3344">
        <v>-5.5954999999999497</v>
      </c>
      <c r="AF3344">
        <v>-4.04584655416072</v>
      </c>
      <c r="AG3344">
        <v>-1.1126232941250001</v>
      </c>
      <c r="AH3344">
        <v>21.483316865717502</v>
      </c>
      <c r="AI3344">
        <v>92.913579594691896</v>
      </c>
      <c r="AJ3344">
        <v>100.66531443107699</v>
      </c>
      <c r="AK3344">
        <v>21.889260117401498</v>
      </c>
      <c r="AL3344">
        <v>79.189652774822505</v>
      </c>
      <c r="AM3344">
        <v>96.959869976602107</v>
      </c>
      <c r="AN3344">
        <v>0.99999996867226904</v>
      </c>
    </row>
    <row r="3345" spans="1:40" x14ac:dyDescent="0.25">
      <c r="A3345" t="str">
        <f>"20190304154822160"</f>
        <v>20190304154822160</v>
      </c>
      <c r="B3345" t="str">
        <f>"1551685702150251"</f>
        <v>1551685702150251</v>
      </c>
      <c r="C3345" t="s">
        <v>40</v>
      </c>
      <c r="D3345">
        <v>4.4986610000000002</v>
      </c>
      <c r="E3345">
        <v>0.47148970000000001</v>
      </c>
      <c r="F3345" t="s">
        <v>54</v>
      </c>
      <c r="G3345">
        <v>-480.58580000000001</v>
      </c>
      <c r="H3345" s="1">
        <v>1.7103449999999999E-6</v>
      </c>
      <c r="I3345">
        <v>279.01159999999999</v>
      </c>
      <c r="J3345">
        <v>-459.49810000000002</v>
      </c>
      <c r="K3345">
        <v>1.1126529999999999</v>
      </c>
      <c r="L3345">
        <v>284.62889999999999</v>
      </c>
      <c r="M3345">
        <v>-0.99717270000000002</v>
      </c>
      <c r="N3345">
        <v>-1.435287E-2</v>
      </c>
      <c r="O3345">
        <v>-7.3761839999999995E-2</v>
      </c>
      <c r="P3345">
        <v>-0.96623990000000004</v>
      </c>
      <c r="Q3345">
        <v>0.17376529999999901</v>
      </c>
      <c r="R3345">
        <v>-0.19022720000000001</v>
      </c>
      <c r="S3345">
        <v>-2.978424</v>
      </c>
      <c r="T3345">
        <v>-0.1554208</v>
      </c>
      <c r="U3345">
        <v>-0.78729249999999995</v>
      </c>
      <c r="V3345">
        <v>-0.11930010000000001</v>
      </c>
      <c r="W3345">
        <v>0.18722810000000001</v>
      </c>
      <c r="X3345">
        <v>0.97504519999999995</v>
      </c>
      <c r="Y3345">
        <v>-0.18328749999999999</v>
      </c>
      <c r="Z3345">
        <v>-3.3107649999999998E-3</v>
      </c>
      <c r="AA3345">
        <v>0.98305379999999998</v>
      </c>
      <c r="AB3345">
        <v>31</v>
      </c>
      <c r="AC3345">
        <v>-21.087699999999899</v>
      </c>
      <c r="AD3345">
        <v>-1.112651289655</v>
      </c>
      <c r="AE3345">
        <v>-5.6173000000000002</v>
      </c>
      <c r="AF3345">
        <v>-4.0358758363425196</v>
      </c>
      <c r="AG3345">
        <v>-1.112651289655</v>
      </c>
      <c r="AH3345">
        <v>21.389027376508</v>
      </c>
      <c r="AI3345">
        <v>92.926281199762499</v>
      </c>
      <c r="AJ3345">
        <v>100.685456357419</v>
      </c>
      <c r="AK3345">
        <v>21.794879645727601</v>
      </c>
      <c r="AL3345">
        <v>79.208936806946596</v>
      </c>
      <c r="AM3345">
        <v>96.975662202694494</v>
      </c>
      <c r="AN3345">
        <v>1.0000000086663201</v>
      </c>
    </row>
    <row r="3346" spans="1:40" x14ac:dyDescent="0.25">
      <c r="A3346" t="str">
        <f>"20190304154822183"</f>
        <v>20190304154822183</v>
      </c>
      <c r="B3346" t="str">
        <f>"1551685702180507"</f>
        <v>1551685702180507</v>
      </c>
      <c r="C3346" t="s">
        <v>40</v>
      </c>
      <c r="D3346">
        <v>4.5098839999999996</v>
      </c>
      <c r="E3346">
        <v>0.47165240000000003</v>
      </c>
      <c r="F3346" t="s">
        <v>54</v>
      </c>
      <c r="G3346">
        <v>-480.63389999999998</v>
      </c>
      <c r="H3346" s="1">
        <v>1.7117869999999999E-6</v>
      </c>
      <c r="I3346">
        <v>278.99560000000002</v>
      </c>
      <c r="J3346">
        <v>-459.8064</v>
      </c>
      <c r="K3346">
        <v>1.1127069999999999</v>
      </c>
      <c r="L3346">
        <v>284.6035</v>
      </c>
      <c r="M3346">
        <v>-0.99698739999999997</v>
      </c>
      <c r="N3346">
        <v>-1.4352230000000001E-2</v>
      </c>
      <c r="O3346">
        <v>-7.622429E-2</v>
      </c>
      <c r="P3346">
        <v>-0.96567369999999997</v>
      </c>
      <c r="Q3346">
        <v>0.17357359999999999</v>
      </c>
      <c r="R3346">
        <v>-0.19325149999999999</v>
      </c>
      <c r="S3346">
        <v>-2.9767760000000001</v>
      </c>
      <c r="T3346">
        <v>-0.15670680000000001</v>
      </c>
      <c r="U3346">
        <v>-0.79339599999999999</v>
      </c>
      <c r="V3346">
        <v>-0.1199675</v>
      </c>
      <c r="W3346">
        <v>0.1870163</v>
      </c>
      <c r="X3346">
        <v>0.97500399999999998</v>
      </c>
      <c r="Y3346">
        <v>-0.18287610000000001</v>
      </c>
      <c r="Z3346">
        <v>-3.2136560000000001E-3</v>
      </c>
      <c r="AA3346">
        <v>0.98313079999999997</v>
      </c>
      <c r="AB3346">
        <v>31</v>
      </c>
      <c r="AC3346">
        <v>-20.827499999999901</v>
      </c>
      <c r="AD3346">
        <v>-1.112705288213</v>
      </c>
      <c r="AE3346">
        <v>-5.6078999999999697</v>
      </c>
      <c r="AF3346">
        <v>-3.99322954657729</v>
      </c>
      <c r="AG3346">
        <v>-1.112705288213</v>
      </c>
      <c r="AH3346">
        <v>21.138141835203299</v>
      </c>
      <c r="AI3346">
        <v>92.960975174608805</v>
      </c>
      <c r="AJ3346">
        <v>100.697739284737</v>
      </c>
      <c r="AK3346">
        <v>21.5407761121843</v>
      </c>
      <c r="AL3346">
        <v>79.221290693765397</v>
      </c>
      <c r="AM3346">
        <v>97.014591885406503</v>
      </c>
      <c r="AN3346">
        <v>1.00000004876896</v>
      </c>
    </row>
    <row r="3347" spans="1:40" x14ac:dyDescent="0.25">
      <c r="A3347" t="str">
        <f>"20190304154822205"</f>
        <v>20190304154822205</v>
      </c>
      <c r="B3347" t="str">
        <f>"1551685702200027"</f>
        <v>1551685702200027</v>
      </c>
      <c r="C3347" t="s">
        <v>40</v>
      </c>
      <c r="D3347">
        <v>4.5059009999999997</v>
      </c>
      <c r="E3347">
        <v>0.47173379999999998</v>
      </c>
      <c r="F3347" t="s">
        <v>54</v>
      </c>
      <c r="G3347">
        <v>-480.79590000000002</v>
      </c>
      <c r="H3347" s="1">
        <v>1.717658E-6</v>
      </c>
      <c r="I3347">
        <v>278.94729999999998</v>
      </c>
      <c r="J3347">
        <v>-460.11</v>
      </c>
      <c r="K3347">
        <v>1.1127670000000001</v>
      </c>
      <c r="L3347">
        <v>284.57760000000002</v>
      </c>
      <c r="M3347">
        <v>-0.99679289999999998</v>
      </c>
      <c r="N3347">
        <v>-1.4351869999999999E-2</v>
      </c>
      <c r="O3347">
        <v>-7.8727389999999994E-2</v>
      </c>
      <c r="P3347">
        <v>-0.96510589999999996</v>
      </c>
      <c r="Q3347">
        <v>0.1731306</v>
      </c>
      <c r="R3347">
        <v>-0.1964603</v>
      </c>
      <c r="S3347">
        <v>-2.9745789999999999</v>
      </c>
      <c r="T3347">
        <v>-0.15768979999999999</v>
      </c>
      <c r="U3347">
        <v>-0.80157469999999997</v>
      </c>
      <c r="V3347">
        <v>-0.120779399999999</v>
      </c>
      <c r="W3347">
        <v>0.18655160000000001</v>
      </c>
      <c r="X3347">
        <v>0.97499279999999999</v>
      </c>
      <c r="Y3347">
        <v>-0.18310899999999999</v>
      </c>
      <c r="Z3347">
        <v>-3.1331029999999999E-3</v>
      </c>
      <c r="AA3347">
        <v>0.98308770000000001</v>
      </c>
      <c r="AB3347">
        <v>31</v>
      </c>
      <c r="AC3347">
        <v>-20.6859</v>
      </c>
      <c r="AD3347">
        <v>-1.112765282342</v>
      </c>
      <c r="AE3347">
        <v>-5.6303000000000303</v>
      </c>
      <c r="AF3347">
        <v>-3.9734014436987501</v>
      </c>
      <c r="AG3347">
        <v>-1.112765282342</v>
      </c>
      <c r="AH3347">
        <v>21.008386347655499</v>
      </c>
      <c r="AI3347">
        <v>92.979269723695893</v>
      </c>
      <c r="AJ3347">
        <v>100.710073576886</v>
      </c>
      <c r="AK3347">
        <v>21.409774929660799</v>
      </c>
      <c r="AL3347">
        <v>79.248393153144306</v>
      </c>
      <c r="AM3347">
        <v>97.061666905900907</v>
      </c>
      <c r="AN3347">
        <v>1.00000006148937</v>
      </c>
    </row>
    <row r="3348" spans="1:40" x14ac:dyDescent="0.25">
      <c r="A3348" t="str">
        <f>"20190304154822227"</f>
        <v>20190304154822227</v>
      </c>
      <c r="B3348" t="str">
        <f>"1551685702220522"</f>
        <v>1551685702220522</v>
      </c>
      <c r="C3348" t="s">
        <v>40</v>
      </c>
      <c r="D3348">
        <v>4.4728079999999997</v>
      </c>
      <c r="E3348">
        <v>0.471771</v>
      </c>
      <c r="F3348" t="s">
        <v>54</v>
      </c>
      <c r="G3348">
        <v>-480.88299999999998</v>
      </c>
      <c r="H3348" s="1">
        <v>1.718602E-6</v>
      </c>
      <c r="I3348">
        <v>278.90879999999999</v>
      </c>
      <c r="J3348">
        <v>-460.40339999999998</v>
      </c>
      <c r="K3348">
        <v>1.112827</v>
      </c>
      <c r="L3348">
        <v>284.55180000000001</v>
      </c>
      <c r="M3348">
        <v>-0.99659219999999904</v>
      </c>
      <c r="N3348">
        <v>-1.435169E-2</v>
      </c>
      <c r="O3348">
        <v>-8.1228069999999999E-2</v>
      </c>
      <c r="P3348">
        <v>-0.96468549999999997</v>
      </c>
      <c r="Q3348">
        <v>0.17264479999999999</v>
      </c>
      <c r="R3348">
        <v>-0.19893669999999999</v>
      </c>
      <c r="S3348">
        <v>-2.9718930000000001</v>
      </c>
      <c r="T3348">
        <v>-0.15919829999999999</v>
      </c>
      <c r="U3348">
        <v>-0.81100459999999996</v>
      </c>
      <c r="V3348">
        <v>-0.1208544</v>
      </c>
      <c r="W3348">
        <v>0.18604899999999999</v>
      </c>
      <c r="X3348">
        <v>0.97507949999999999</v>
      </c>
      <c r="Y3348">
        <v>-0.18376790000000001</v>
      </c>
      <c r="Z3348">
        <v>-3.0673570000000002E-3</v>
      </c>
      <c r="AA3348">
        <v>0.98296490000000003</v>
      </c>
      <c r="AB3348">
        <v>31</v>
      </c>
      <c r="AC3348">
        <v>-20.479600000000001</v>
      </c>
      <c r="AD3348">
        <v>-1.112825281398</v>
      </c>
      <c r="AE3348">
        <v>-5.6430000000000202</v>
      </c>
      <c r="AF3348">
        <v>-3.94981990608348</v>
      </c>
      <c r="AG3348">
        <v>-1.112825281398</v>
      </c>
      <c r="AH3348">
        <v>20.8132118110086</v>
      </c>
      <c r="AI3348">
        <v>93.006966776470406</v>
      </c>
      <c r="AJ3348">
        <v>100.745504623814</v>
      </c>
      <c r="AK3348">
        <v>21.213892695290902</v>
      </c>
      <c r="AL3348">
        <v>79.2777027366471</v>
      </c>
      <c r="AM3348">
        <v>97.065385723774597</v>
      </c>
      <c r="AN3348">
        <v>1.0000000238603</v>
      </c>
    </row>
    <row r="3349" spans="1:40" x14ac:dyDescent="0.25">
      <c r="A3349" t="str">
        <f>"20190304154822240"</f>
        <v>20190304154822240</v>
      </c>
      <c r="B3349" t="str">
        <f>"1551685702230283"</f>
        <v>1551685702230283</v>
      </c>
      <c r="C3349" t="s">
        <v>40</v>
      </c>
      <c r="D3349">
        <v>4.5079989999999999</v>
      </c>
      <c r="E3349">
        <v>0.47179280000000001</v>
      </c>
      <c r="F3349" t="s">
        <v>54</v>
      </c>
      <c r="G3349">
        <v>-480.93939999999998</v>
      </c>
      <c r="H3349" s="1">
        <v>1.7210149999999999E-6</v>
      </c>
      <c r="I3349">
        <v>278.89409999999998</v>
      </c>
      <c r="J3349">
        <v>-460.58159999999998</v>
      </c>
      <c r="K3349">
        <v>1.1128640000000001</v>
      </c>
      <c r="L3349">
        <v>284.53570000000002</v>
      </c>
      <c r="M3349">
        <v>-0.9964634</v>
      </c>
      <c r="N3349">
        <v>-1.435174E-2</v>
      </c>
      <c r="O3349">
        <v>-8.2793919999999993E-2</v>
      </c>
      <c r="P3349">
        <v>-0.96434960000000003</v>
      </c>
      <c r="Q3349">
        <v>0.17263689999999901</v>
      </c>
      <c r="R3349">
        <v>-0.2005654</v>
      </c>
      <c r="S3349">
        <v>-2.9698790000000002</v>
      </c>
      <c r="T3349">
        <v>-0.16093499999999999</v>
      </c>
      <c r="U3349">
        <v>-0.81820680000000001</v>
      </c>
      <c r="V3349">
        <v>-0.12098639999999999</v>
      </c>
      <c r="W3349">
        <v>0.18602920000000001</v>
      </c>
      <c r="X3349">
        <v>0.97506689999999996</v>
      </c>
      <c r="Y3349">
        <v>-0.18460480000000001</v>
      </c>
      <c r="Z3349">
        <v>-3.0420550000000001E-3</v>
      </c>
      <c r="AA3349">
        <v>0.98280809999999996</v>
      </c>
      <c r="AB3349">
        <v>31</v>
      </c>
      <c r="AC3349">
        <v>-20.357800000000001</v>
      </c>
      <c r="AD3349">
        <v>-1.11286227898499</v>
      </c>
      <c r="AE3349">
        <v>-5.6416000000000404</v>
      </c>
      <c r="AF3349">
        <v>-3.9256567511934102</v>
      </c>
      <c r="AG3349">
        <v>-1.11286227898499</v>
      </c>
      <c r="AH3349">
        <v>20.6975901574943</v>
      </c>
      <c r="AI3349">
        <v>93.023892978476596</v>
      </c>
      <c r="AJ3349">
        <v>100.73956972914</v>
      </c>
      <c r="AK3349">
        <v>21.095958895195601</v>
      </c>
      <c r="AL3349">
        <v>79.278857263072496</v>
      </c>
      <c r="AM3349">
        <v>97.073115056024207</v>
      </c>
      <c r="AN3349">
        <v>1.0000000158566</v>
      </c>
    </row>
    <row r="3350" spans="1:40" x14ac:dyDescent="0.25">
      <c r="A3350" t="str">
        <f>"20190304154822253"</f>
        <v>20190304154822253</v>
      </c>
      <c r="B3350" t="str">
        <f>"1551685702249803"</f>
        <v>1551685702249803</v>
      </c>
      <c r="C3350" t="s">
        <v>40</v>
      </c>
      <c r="D3350">
        <v>4.4934900000000004</v>
      </c>
      <c r="E3350">
        <v>0.47512860000000001</v>
      </c>
      <c r="F3350" t="s">
        <v>54</v>
      </c>
      <c r="G3350">
        <v>-481.07060000000001</v>
      </c>
      <c r="H3350" s="1">
        <v>1.7260930000000001E-6</v>
      </c>
      <c r="I3350">
        <v>278.8569</v>
      </c>
      <c r="J3350">
        <v>-460.76330000000002</v>
      </c>
      <c r="K3350">
        <v>1.112903</v>
      </c>
      <c r="L3350">
        <v>284.51900000000001</v>
      </c>
      <c r="M3350">
        <v>-0.99632710000000002</v>
      </c>
      <c r="N3350">
        <v>-1.435182E-2</v>
      </c>
      <c r="O3350">
        <v>-8.4417649999999997E-2</v>
      </c>
      <c r="P3350">
        <v>-0.96401329999999996</v>
      </c>
      <c r="Q3350">
        <v>0.17265629999999901</v>
      </c>
      <c r="R3350">
        <v>-0.2021587</v>
      </c>
      <c r="S3350">
        <v>-2.9686889999999999</v>
      </c>
      <c r="T3350">
        <v>-0.16124450000000001</v>
      </c>
      <c r="U3350">
        <v>-0.82281489999999902</v>
      </c>
      <c r="V3350">
        <v>-0.1210285</v>
      </c>
      <c r="W3350">
        <v>0.1860358</v>
      </c>
      <c r="X3350">
        <v>0.97506040000000005</v>
      </c>
      <c r="Y3350">
        <v>-0.18452199999999999</v>
      </c>
      <c r="Z3350">
        <v>-2.9777520000000002E-3</v>
      </c>
      <c r="AA3350">
        <v>0.98282380000000003</v>
      </c>
      <c r="AB3350">
        <v>31</v>
      </c>
      <c r="AC3350">
        <v>-20.307300000000001</v>
      </c>
      <c r="AD3350">
        <v>-1.1129012739070001</v>
      </c>
      <c r="AE3350">
        <v>-5.6620999999999997</v>
      </c>
      <c r="AF3350">
        <v>-3.9164993993577402</v>
      </c>
      <c r="AG3350">
        <v>-1.1129012739070001</v>
      </c>
      <c r="AH3350">
        <v>20.655267120535999</v>
      </c>
      <c r="AI3350">
        <v>93.030213726258395</v>
      </c>
      <c r="AJ3350">
        <v>100.736543883808</v>
      </c>
      <c r="AK3350">
        <v>21.0527332337474</v>
      </c>
      <c r="AL3350">
        <v>79.278472222311294</v>
      </c>
      <c r="AM3350">
        <v>97.0755980558163</v>
      </c>
      <c r="AN3350">
        <v>1.0000000001710201</v>
      </c>
    </row>
    <row r="3351" spans="1:40" x14ac:dyDescent="0.25">
      <c r="A3351" t="str">
        <f>"20190304154822267"</f>
        <v>20190304154822267</v>
      </c>
      <c r="B3351" t="str">
        <f>"1551685702260539"</f>
        <v>1551685702260539</v>
      </c>
      <c r="C3351" t="s">
        <v>40</v>
      </c>
      <c r="D3351">
        <v>4.4479769999999998</v>
      </c>
      <c r="E3351">
        <v>0.47574860000000002</v>
      </c>
      <c r="F3351" t="s">
        <v>54</v>
      </c>
      <c r="G3351">
        <v>-480.61020000000002</v>
      </c>
      <c r="H3351" s="1">
        <v>1.7400240000000001E-6</v>
      </c>
      <c r="I3351">
        <v>279.1678</v>
      </c>
      <c r="J3351">
        <v>-460.9563</v>
      </c>
      <c r="K3351">
        <v>1.1129530000000001</v>
      </c>
      <c r="L3351">
        <v>284.5009</v>
      </c>
      <c r="M3351">
        <v>-0.99617520000000004</v>
      </c>
      <c r="N3351">
        <v>-1.435204E-2</v>
      </c>
      <c r="O3351">
        <v>-8.6191699999999996E-2</v>
      </c>
      <c r="P3351">
        <v>-0.96365970000000001</v>
      </c>
      <c r="Q3351">
        <v>0.17262040000000001</v>
      </c>
      <c r="R3351">
        <v>-0.20386889999999999</v>
      </c>
      <c r="S3351">
        <v>-2.9737550000000001</v>
      </c>
      <c r="T3351">
        <v>-0.16675129999999999</v>
      </c>
      <c r="U3351">
        <v>-0.80178830000000001</v>
      </c>
      <c r="V3351">
        <v>-0.12104230000000001</v>
      </c>
      <c r="W3351">
        <v>0.1859866</v>
      </c>
      <c r="X3351">
        <v>0.97506809999999999</v>
      </c>
      <c r="Y3351">
        <v>-0.1758709</v>
      </c>
      <c r="Z3351">
        <v>-2.6187770000000001E-3</v>
      </c>
      <c r="AA3351">
        <v>0.98440970000000005</v>
      </c>
      <c r="AB3351">
        <v>30</v>
      </c>
      <c r="AC3351">
        <v>-19.6539</v>
      </c>
      <c r="AD3351">
        <v>-1.1129512599760001</v>
      </c>
      <c r="AE3351">
        <v>-5.3331</v>
      </c>
      <c r="AF3351">
        <v>-3.60829452721108</v>
      </c>
      <c r="AG3351">
        <v>-1.1129512599760001</v>
      </c>
      <c r="AH3351">
        <v>19.9807828951873</v>
      </c>
      <c r="AI3351">
        <v>93.137496648161104</v>
      </c>
      <c r="AJ3351">
        <v>100.236616617656</v>
      </c>
      <c r="AK3351">
        <v>20.334456840712399</v>
      </c>
      <c r="AL3351">
        <v>79.281341533696704</v>
      </c>
      <c r="AM3351">
        <v>97.076341341007407</v>
      </c>
      <c r="AN3351">
        <v>1.0000000267032201</v>
      </c>
    </row>
    <row r="3352" spans="1:40" x14ac:dyDescent="0.25">
      <c r="A3352" t="str">
        <f>"20190304154822280"</f>
        <v>20190304154822280</v>
      </c>
      <c r="B3352" t="str">
        <f>"1551685702270298"</f>
        <v>1551685702270298</v>
      </c>
      <c r="C3352" t="s">
        <v>40</v>
      </c>
      <c r="D3352">
        <v>4.4685079999999999</v>
      </c>
      <c r="E3352">
        <v>0.47604360000000001</v>
      </c>
      <c r="F3352" t="s">
        <v>54</v>
      </c>
      <c r="G3352">
        <v>-480.76929999999999</v>
      </c>
      <c r="H3352" s="1">
        <v>1.7517769999999999E-6</v>
      </c>
      <c r="I3352">
        <v>279.15440000000001</v>
      </c>
      <c r="J3352">
        <v>-461.12540000000001</v>
      </c>
      <c r="K3352">
        <v>1.112994</v>
      </c>
      <c r="L3352">
        <v>284.4846</v>
      </c>
      <c r="M3352">
        <v>-0.99603640000000004</v>
      </c>
      <c r="N3352">
        <v>-1.435236E-2</v>
      </c>
      <c r="O3352">
        <v>-8.7780499999999997E-2</v>
      </c>
      <c r="P3352">
        <v>-0.96335020000000005</v>
      </c>
      <c r="Q3352">
        <v>0.172351</v>
      </c>
      <c r="R3352">
        <v>-0.2055527</v>
      </c>
      <c r="S3352">
        <v>-2.973328</v>
      </c>
      <c r="T3352">
        <v>-0.1670201</v>
      </c>
      <c r="U3352">
        <v>-0.80233759999999998</v>
      </c>
      <c r="V3352">
        <v>-0.1212041</v>
      </c>
      <c r="W3352">
        <v>0.18570500000000001</v>
      </c>
      <c r="X3352">
        <v>0.97510160000000001</v>
      </c>
      <c r="Y3352">
        <v>-0.17450879999999999</v>
      </c>
      <c r="Z3352">
        <v>-2.507259E-3</v>
      </c>
      <c r="AA3352">
        <v>0.98465239999999998</v>
      </c>
      <c r="AB3352">
        <v>30</v>
      </c>
      <c r="AC3352">
        <v>-19.643899999999899</v>
      </c>
      <c r="AD3352">
        <v>-1.1129922482229999</v>
      </c>
      <c r="AE3352">
        <v>-5.3301999999999898</v>
      </c>
      <c r="AF3352">
        <v>-3.5744036902451901</v>
      </c>
      <c r="AG3352">
        <v>-1.1129922482229999</v>
      </c>
      <c r="AH3352">
        <v>19.976261952802201</v>
      </c>
      <c r="AI3352">
        <v>93.139223768393094</v>
      </c>
      <c r="AJ3352">
        <v>100.14472229769299</v>
      </c>
      <c r="AK3352">
        <v>20.324029007369901</v>
      </c>
      <c r="AL3352">
        <v>79.297761318669004</v>
      </c>
      <c r="AM3352">
        <v>97.085463402577304</v>
      </c>
      <c r="AN3352">
        <v>0.99999995560218402</v>
      </c>
    </row>
    <row r="3353" spans="1:40" x14ac:dyDescent="0.25">
      <c r="A3353" t="str">
        <f>"20190304154822293"</f>
        <v>20190304154822293</v>
      </c>
      <c r="B3353" t="str">
        <f>"1551685702289818"</f>
        <v>1551685702289818</v>
      </c>
      <c r="C3353" t="s">
        <v>40</v>
      </c>
      <c r="D3353">
        <v>4.5269510000000004</v>
      </c>
      <c r="E3353">
        <v>0.47592020000000002</v>
      </c>
      <c r="F3353" t="s">
        <v>54</v>
      </c>
      <c r="G3353">
        <v>-480.9717</v>
      </c>
      <c r="H3353" s="1">
        <v>1.7614209999999999E-6</v>
      </c>
      <c r="I3353">
        <v>279.10719999999998</v>
      </c>
      <c r="J3353">
        <v>-461.30160000000001</v>
      </c>
      <c r="K3353">
        <v>1.113035</v>
      </c>
      <c r="L3353">
        <v>284.46749999999997</v>
      </c>
      <c r="M3353">
        <v>-0.99588719999999997</v>
      </c>
      <c r="N3353">
        <v>-1.435267E-2</v>
      </c>
      <c r="O3353">
        <v>-8.9458759999999998E-2</v>
      </c>
      <c r="P3353">
        <v>-0.96307849999999995</v>
      </c>
      <c r="Q3353">
        <v>0.1719262</v>
      </c>
      <c r="R3353">
        <v>-0.20717459999999999</v>
      </c>
      <c r="S3353">
        <v>-2.9721069999999998</v>
      </c>
      <c r="T3353">
        <v>-0.166677399999999</v>
      </c>
      <c r="U3353">
        <v>-0.80529790000000001</v>
      </c>
      <c r="V3353">
        <v>-0.1212133</v>
      </c>
      <c r="W3353">
        <v>0.1852693</v>
      </c>
      <c r="X3353">
        <v>0.97518340000000003</v>
      </c>
      <c r="Y3353">
        <v>-0.17386849999999901</v>
      </c>
      <c r="Z3353">
        <v>-2.4173939999999998E-3</v>
      </c>
      <c r="AA3353">
        <v>0.98476589999999997</v>
      </c>
      <c r="AB3353">
        <v>30</v>
      </c>
      <c r="AC3353">
        <v>-19.670099999999898</v>
      </c>
      <c r="AD3353">
        <v>-1.1130332385789901</v>
      </c>
      <c r="AE3353">
        <v>-5.3602999999999899</v>
      </c>
      <c r="AF3353">
        <v>-3.5683242381331399</v>
      </c>
      <c r="AG3353">
        <v>-1.1130332385789901</v>
      </c>
      <c r="AH3353">
        <v>20.011148383025901</v>
      </c>
      <c r="AI3353">
        <v>93.134210484812201</v>
      </c>
      <c r="AJ3353">
        <v>100.11053354518801</v>
      </c>
      <c r="AK3353">
        <v>20.357255229183298</v>
      </c>
      <c r="AL3353">
        <v>79.323166647958502</v>
      </c>
      <c r="AM3353">
        <v>97.085407414223297</v>
      </c>
      <c r="AN3353">
        <v>1.00000002062746</v>
      </c>
    </row>
    <row r="3354" spans="1:40" x14ac:dyDescent="0.25">
      <c r="A3354" t="str">
        <f>"20190304154822317"</f>
        <v>20190304154822317</v>
      </c>
      <c r="B3354" t="str">
        <f>"1551685702310314"</f>
        <v>1551685702310314</v>
      </c>
      <c r="C3354" t="s">
        <v>40</v>
      </c>
      <c r="D3354">
        <v>4.552073</v>
      </c>
      <c r="E3354">
        <v>0.47555579999999997</v>
      </c>
      <c r="F3354" t="s">
        <v>54</v>
      </c>
      <c r="G3354">
        <v>-480.46409999999997</v>
      </c>
      <c r="H3354" s="1">
        <v>1.738847E-6</v>
      </c>
      <c r="I3354">
        <v>279.23469999999998</v>
      </c>
      <c r="J3354">
        <v>-461.61250000000001</v>
      </c>
      <c r="K3354">
        <v>1.1131120000000001</v>
      </c>
      <c r="L3354">
        <v>284.43619999999999</v>
      </c>
      <c r="M3354">
        <v>-0.99560689999999996</v>
      </c>
      <c r="N3354">
        <v>-1.435328E-2</v>
      </c>
      <c r="O3354">
        <v>-9.2525800000000005E-2</v>
      </c>
      <c r="P3354">
        <v>-0.96244640000000004</v>
      </c>
      <c r="Q3354">
        <v>0.17194760000000001</v>
      </c>
      <c r="R3354">
        <v>-0.2100746</v>
      </c>
      <c r="S3354">
        <v>-2.9712830000000001</v>
      </c>
      <c r="T3354">
        <v>-0.17258409999999999</v>
      </c>
      <c r="U3354">
        <v>-0.81137079999999995</v>
      </c>
      <c r="V3354">
        <v>-0.1211822</v>
      </c>
      <c r="W3354">
        <v>0.1852684</v>
      </c>
      <c r="X3354">
        <v>0.97518740000000004</v>
      </c>
      <c r="Y3354">
        <v>-0.17276949999999999</v>
      </c>
      <c r="Z3354">
        <v>-2.2444850000000001E-3</v>
      </c>
      <c r="AA3354">
        <v>0.98495969999999999</v>
      </c>
      <c r="AB3354">
        <v>30</v>
      </c>
      <c r="AC3354">
        <v>-18.851599999999902</v>
      </c>
      <c r="AD3354">
        <v>-1.1131102611529999</v>
      </c>
      <c r="AE3354">
        <v>-5.2015000000000002</v>
      </c>
      <c r="AF3354">
        <v>-3.4236516435705902</v>
      </c>
      <c r="AG3354">
        <v>-1.1131102611529999</v>
      </c>
      <c r="AH3354">
        <v>19.189867011031499</v>
      </c>
      <c r="AI3354">
        <v>93.2682360549164</v>
      </c>
      <c r="AJ3354">
        <v>100.11567179372599</v>
      </c>
      <c r="AK3354">
        <v>19.524635743877099</v>
      </c>
      <c r="AL3354">
        <v>79.323218741828398</v>
      </c>
      <c r="AM3354">
        <v>97.083579203616907</v>
      </c>
      <c r="AN3354">
        <v>0.99999998537707901</v>
      </c>
    </row>
    <row r="3355" spans="1:40" x14ac:dyDescent="0.25">
      <c r="A3355" t="str">
        <f>"20190304154822338"</f>
        <v>20190304154822338</v>
      </c>
      <c r="B3355" t="str">
        <f>"1551685702329835"</f>
        <v>1551685702329835</v>
      </c>
      <c r="C3355" t="s">
        <v>40</v>
      </c>
      <c r="D3355">
        <v>4.5446849999999896</v>
      </c>
      <c r="E3355">
        <v>0.47547489999999998</v>
      </c>
      <c r="F3355" t="s">
        <v>54</v>
      </c>
      <c r="G3355">
        <v>-480.43209999999999</v>
      </c>
      <c r="H3355" s="1">
        <v>1.7334800000000001E-6</v>
      </c>
      <c r="I3355">
        <v>279.22039999999998</v>
      </c>
      <c r="J3355">
        <v>-461.90730000000002</v>
      </c>
      <c r="K3355">
        <v>1.113191</v>
      </c>
      <c r="L3355">
        <v>284.40559999999999</v>
      </c>
      <c r="M3355">
        <v>-0.99532359999999998</v>
      </c>
      <c r="N3355">
        <v>-1.435407E-2</v>
      </c>
      <c r="O3355">
        <v>-9.5524849999999994E-2</v>
      </c>
      <c r="P3355">
        <v>-0.96174820000000005</v>
      </c>
      <c r="Q3355">
        <v>0.17222889999999999</v>
      </c>
      <c r="R3355">
        <v>-0.21302019999999999</v>
      </c>
      <c r="S3355">
        <v>-2.968842</v>
      </c>
      <c r="T3355">
        <v>-0.1755968</v>
      </c>
      <c r="U3355">
        <v>-0.82281489999999902</v>
      </c>
      <c r="V3355">
        <v>-0.1212691</v>
      </c>
      <c r="W3355">
        <v>0.18552879999999999</v>
      </c>
      <c r="X3355">
        <v>0.97512710000000002</v>
      </c>
      <c r="Y3355">
        <v>-0.17353170000000001</v>
      </c>
      <c r="Z3355">
        <v>-2.1371300000000001E-3</v>
      </c>
      <c r="AA3355">
        <v>0.98482599999999998</v>
      </c>
      <c r="AB3355">
        <v>30</v>
      </c>
      <c r="AC3355">
        <v>-18.5247999999999</v>
      </c>
      <c r="AD3355">
        <v>-1.1131892665200001</v>
      </c>
      <c r="AE3355">
        <v>-5.1852</v>
      </c>
      <c r="AF3355">
        <v>-3.3804025916685401</v>
      </c>
      <c r="AG3355">
        <v>-1.1131892665200001</v>
      </c>
      <c r="AH3355">
        <v>18.872239010732201</v>
      </c>
      <c r="AI3355">
        <v>93.322946570919001</v>
      </c>
      <c r="AJ3355">
        <v>100.15514930568899</v>
      </c>
      <c r="AK3355">
        <v>19.204887849270499</v>
      </c>
      <c r="AL3355">
        <v>79.308035809890498</v>
      </c>
      <c r="AM3355">
        <v>97.089041080882495</v>
      </c>
      <c r="AN3355">
        <v>0.99999999569932996</v>
      </c>
    </row>
    <row r="3356" spans="1:40" x14ac:dyDescent="0.25">
      <c r="A3356" t="str">
        <f>"20190304154822360"</f>
        <v>20190304154822360</v>
      </c>
      <c r="B3356" t="str">
        <f>"1551685702350155"</f>
        <v>1551685702350155</v>
      </c>
      <c r="C3356" t="s">
        <v>40</v>
      </c>
      <c r="D3356">
        <v>4.5453390000000002</v>
      </c>
      <c r="E3356">
        <v>0.47539439999999999</v>
      </c>
      <c r="F3356" t="s">
        <v>54</v>
      </c>
      <c r="G3356">
        <v>-480.67430000000002</v>
      </c>
      <c r="H3356" s="1">
        <v>1.7402680000000001E-6</v>
      </c>
      <c r="I3356">
        <v>279.137</v>
      </c>
      <c r="J3356">
        <v>-462.20839999999998</v>
      </c>
      <c r="K3356">
        <v>1.1132500000000001</v>
      </c>
      <c r="L3356">
        <v>284.3734</v>
      </c>
      <c r="M3356">
        <v>-0.99501629999999996</v>
      </c>
      <c r="N3356">
        <v>-1.4354789999999999E-2</v>
      </c>
      <c r="O3356">
        <v>-9.8674609999999996E-2</v>
      </c>
      <c r="P3356">
        <v>-0.96093870000000003</v>
      </c>
      <c r="Q3356">
        <v>0.1727621</v>
      </c>
      <c r="R3356">
        <v>-0.2162181</v>
      </c>
      <c r="S3356">
        <v>-2.9664000000000001</v>
      </c>
      <c r="T3356">
        <v>-0.17595649999999999</v>
      </c>
      <c r="U3356">
        <v>-0.83279419999999904</v>
      </c>
      <c r="V3356">
        <v>-0.1214697</v>
      </c>
      <c r="W3356">
        <v>0.18604010000000001</v>
      </c>
      <c r="X3356">
        <v>0.97500469999999895</v>
      </c>
      <c r="Y3356">
        <v>-0.17369879999999999</v>
      </c>
      <c r="Z3356">
        <v>-2.0059330000000001E-3</v>
      </c>
      <c r="AA3356">
        <v>0.98479680000000003</v>
      </c>
      <c r="AB3356">
        <v>30</v>
      </c>
      <c r="AC3356">
        <v>-18.465900000000001</v>
      </c>
      <c r="AD3356">
        <v>-1.1132482597319999</v>
      </c>
      <c r="AE3356">
        <v>-5.2363999999999997</v>
      </c>
      <c r="AF3356">
        <v>-3.3771759608703502</v>
      </c>
      <c r="AG3356">
        <v>-1.1132482597319999</v>
      </c>
      <c r="AH3356">
        <v>18.829175186938901</v>
      </c>
      <c r="AI3356">
        <v>93.330567907259095</v>
      </c>
      <c r="AJ3356">
        <v>100.168377853723</v>
      </c>
      <c r="AK3356">
        <v>19.162006089627301</v>
      </c>
      <c r="AL3356">
        <v>79.278221318457796</v>
      </c>
      <c r="AM3356">
        <v>97.101530273816394</v>
      </c>
      <c r="AN3356">
        <v>0.999999985924094</v>
      </c>
    </row>
    <row r="3357" spans="1:40" x14ac:dyDescent="0.25">
      <c r="A3357" t="str">
        <f>"20190304154822384"</f>
        <v>20190304154822384</v>
      </c>
      <c r="B3357" t="str">
        <f>"1551685702380410"</f>
        <v>1551685702380410</v>
      </c>
      <c r="C3357" t="s">
        <v>40</v>
      </c>
      <c r="D3357">
        <v>4.5510169999999999</v>
      </c>
      <c r="E3357">
        <v>0.4753619</v>
      </c>
      <c r="F3357" t="s">
        <v>54</v>
      </c>
      <c r="G3357">
        <v>-481.02210000000002</v>
      </c>
      <c r="H3357" s="1">
        <v>1.750215E-6</v>
      </c>
      <c r="I3357">
        <v>279.01830000000001</v>
      </c>
      <c r="J3357">
        <v>-462.51069999999999</v>
      </c>
      <c r="K3357">
        <v>1.11331</v>
      </c>
      <c r="L3357">
        <v>284.3399</v>
      </c>
      <c r="M3357">
        <v>-0.99468860000000003</v>
      </c>
      <c r="N3357">
        <v>-1.435529E-2</v>
      </c>
      <c r="O3357">
        <v>-0.1019236</v>
      </c>
      <c r="P3357">
        <v>-0.96026560000000005</v>
      </c>
      <c r="Q3357">
        <v>0.172241899999999</v>
      </c>
      <c r="R3357">
        <v>-0.21959670000000001</v>
      </c>
      <c r="S3357">
        <v>-2.963654</v>
      </c>
      <c r="T3357">
        <v>-0.17536589999999999</v>
      </c>
      <c r="U3357">
        <v>-0.84356690000000001</v>
      </c>
      <c r="V3357">
        <v>-0.12173100000000001</v>
      </c>
      <c r="W3357">
        <v>0.18550079999999999</v>
      </c>
      <c r="X3357">
        <v>0.97507489999999997</v>
      </c>
      <c r="Y3357">
        <v>-0.17403829999999901</v>
      </c>
      <c r="Z3357">
        <v>-1.8804259999999999E-3</v>
      </c>
      <c r="AA3357">
        <v>0.98473710000000003</v>
      </c>
      <c r="AB3357">
        <v>30</v>
      </c>
      <c r="AC3357">
        <v>-18.511399999999998</v>
      </c>
      <c r="AD3357">
        <v>-1.113308249785</v>
      </c>
      <c r="AE3357">
        <v>-5.3215999999999797</v>
      </c>
      <c r="AF3357">
        <v>-3.3955931142012199</v>
      </c>
      <c r="AG3357">
        <v>-1.113308249785</v>
      </c>
      <c r="AH3357">
        <v>18.8943049908567</v>
      </c>
      <c r="AI3357">
        <v>93.3190860675967</v>
      </c>
      <c r="AJ3357">
        <v>100.188165189542</v>
      </c>
      <c r="AK3357">
        <v>19.229255548350402</v>
      </c>
      <c r="AL3357">
        <v>79.309668714873993</v>
      </c>
      <c r="AM3357">
        <v>97.116143177808397</v>
      </c>
      <c r="AN3357">
        <v>1.00000002188582</v>
      </c>
    </row>
    <row r="3358" spans="1:40" x14ac:dyDescent="0.25">
      <c r="A3358" t="str">
        <f>"20190304154822406"</f>
        <v>20190304154822406</v>
      </c>
      <c r="B3358" t="str">
        <f>"1551685702399932"</f>
        <v>1551685702399932</v>
      </c>
      <c r="C3358" t="s">
        <v>40</v>
      </c>
      <c r="D3358">
        <v>4.5791019999999998</v>
      </c>
      <c r="E3358">
        <v>0.47535280000000002</v>
      </c>
      <c r="F3358" t="s">
        <v>54</v>
      </c>
      <c r="G3358">
        <v>-481.05950000000001</v>
      </c>
      <c r="H3358" s="1">
        <v>1.749142E-6</v>
      </c>
      <c r="I3358">
        <v>278.99329999999998</v>
      </c>
      <c r="J3358">
        <v>-462.81229999999999</v>
      </c>
      <c r="K3358">
        <v>1.1133690000000001</v>
      </c>
      <c r="L3358">
        <v>284.30549999999999</v>
      </c>
      <c r="M3358">
        <v>-0.99434299999999998</v>
      </c>
      <c r="N3358">
        <v>-1.435577E-2</v>
      </c>
      <c r="O3358">
        <v>-0.1052432</v>
      </c>
      <c r="P3358">
        <v>-0.95942629999999995</v>
      </c>
      <c r="Q3358">
        <v>0.1719937</v>
      </c>
      <c r="R3358">
        <v>-0.22342719999999999</v>
      </c>
      <c r="S3358">
        <v>-2.9608759999999998</v>
      </c>
      <c r="T3358">
        <v>-0.1777135</v>
      </c>
      <c r="U3358">
        <v>-0.85345459999999995</v>
      </c>
      <c r="V3358">
        <v>-0.1223897</v>
      </c>
      <c r="W3358">
        <v>0.18523129999999999</v>
      </c>
      <c r="X3358">
        <v>0.97504369999999996</v>
      </c>
      <c r="Y3358">
        <v>-0.17403150000000001</v>
      </c>
      <c r="Z3358">
        <v>-1.7232700000000001E-3</v>
      </c>
      <c r="AA3358">
        <v>0.98473860000000002</v>
      </c>
      <c r="AB3358">
        <v>30</v>
      </c>
      <c r="AC3358">
        <v>-18.247199999999999</v>
      </c>
      <c r="AD3358">
        <v>-1.1133672508579999</v>
      </c>
      <c r="AE3358">
        <v>-5.3122000000000096</v>
      </c>
      <c r="AF3358">
        <v>-3.35060182743613</v>
      </c>
      <c r="AG3358">
        <v>-1.1133672508579999</v>
      </c>
      <c r="AH3358">
        <v>18.640997173285001</v>
      </c>
      <c r="AI3358">
        <v>93.364246596690606</v>
      </c>
      <c r="AJ3358">
        <v>100.18974910820199</v>
      </c>
      <c r="AK3358">
        <v>18.9724245908561</v>
      </c>
      <c r="AL3358">
        <v>79.325382499963197</v>
      </c>
      <c r="AM3358">
        <v>97.154478034658098</v>
      </c>
      <c r="AN3358">
        <v>1.00000004503773</v>
      </c>
    </row>
    <row r="3359" spans="1:40" x14ac:dyDescent="0.25">
      <c r="A3359" t="str">
        <f>"20190304154822428"</f>
        <v>20190304154822428</v>
      </c>
      <c r="B3359" t="str">
        <f>"1551685702420427"</f>
        <v>1551685702420427</v>
      </c>
      <c r="C3359" t="s">
        <v>40</v>
      </c>
      <c r="D3359">
        <v>4.5570060000000003</v>
      </c>
      <c r="E3359">
        <v>0.47539350000000002</v>
      </c>
      <c r="F3359" t="s">
        <v>54</v>
      </c>
      <c r="G3359">
        <v>-481.1585</v>
      </c>
      <c r="H3359" s="1">
        <v>1.748657E-6</v>
      </c>
      <c r="I3359">
        <v>278.94069999999999</v>
      </c>
      <c r="J3359">
        <v>-463.10610000000003</v>
      </c>
      <c r="K3359">
        <v>1.113421</v>
      </c>
      <c r="L3359">
        <v>284.27080000000001</v>
      </c>
      <c r="M3359">
        <v>-0.99398759999999997</v>
      </c>
      <c r="N3359">
        <v>-1.435634E-2</v>
      </c>
      <c r="O3359">
        <v>-0.1085478</v>
      </c>
      <c r="P3359">
        <v>-0.95863670000000001</v>
      </c>
      <c r="Q3359">
        <v>0.17196739999999999</v>
      </c>
      <c r="R3359">
        <v>-0.22681100000000001</v>
      </c>
      <c r="S3359">
        <v>-2.9576720000000001</v>
      </c>
      <c r="T3359">
        <v>-0.1794906</v>
      </c>
      <c r="U3359">
        <v>-0.86486819999999898</v>
      </c>
      <c r="V3359">
        <v>-0.1226129</v>
      </c>
      <c r="W3359">
        <v>0.18518780000000001</v>
      </c>
      <c r="X3359">
        <v>0.97502390000000005</v>
      </c>
      <c r="Y3359">
        <v>-0.1745447</v>
      </c>
      <c r="Z3359">
        <v>-1.584806E-3</v>
      </c>
      <c r="AA3359">
        <v>0.98464799999999997</v>
      </c>
      <c r="AB3359">
        <v>30</v>
      </c>
      <c r="AC3359">
        <v>-18.052399999999899</v>
      </c>
      <c r="AD3359">
        <v>-1.1134192513429999</v>
      </c>
      <c r="AE3359">
        <v>-5.3301000000000096</v>
      </c>
      <c r="AF3359">
        <v>-3.3272069752880999</v>
      </c>
      <c r="AG3359">
        <v>-1.1134192513429999</v>
      </c>
      <c r="AH3359">
        <v>18.4597495505081</v>
      </c>
      <c r="AI3359">
        <v>93.397065907627606</v>
      </c>
      <c r="AJ3359">
        <v>100.21735788421501</v>
      </c>
      <c r="AK3359">
        <v>18.790219853773699</v>
      </c>
      <c r="AL3359">
        <v>79.327918529831905</v>
      </c>
      <c r="AM3359">
        <v>97.167533999269807</v>
      </c>
      <c r="AN3359">
        <v>1.0000000250432199</v>
      </c>
    </row>
    <row r="3360" spans="1:40" x14ac:dyDescent="0.25">
      <c r="A3360" t="str">
        <f>"20190304154822450"</f>
        <v>20190304154822450</v>
      </c>
      <c r="B3360" t="str">
        <f>"1551685702440008"</f>
        <v>1551685702440008</v>
      </c>
      <c r="C3360" t="s">
        <v>40</v>
      </c>
      <c r="D3360">
        <v>4.5694889999999999</v>
      </c>
      <c r="E3360">
        <v>0.47562359999999998</v>
      </c>
      <c r="F3360" t="s">
        <v>54</v>
      </c>
      <c r="G3360">
        <v>-481.34059999999999</v>
      </c>
      <c r="H3360" s="1">
        <v>1.7525799999999901E-6</v>
      </c>
      <c r="I3360">
        <v>278.87130000000002</v>
      </c>
      <c r="J3360">
        <v>-463.4024</v>
      </c>
      <c r="K3360">
        <v>1.113469</v>
      </c>
      <c r="L3360">
        <v>284.23489999999998</v>
      </c>
      <c r="M3360">
        <v>-0.99361140000000003</v>
      </c>
      <c r="N3360">
        <v>-1.435666E-2</v>
      </c>
      <c r="O3360">
        <v>-0.11193939999999999</v>
      </c>
      <c r="P3360">
        <v>-0.95796559999999997</v>
      </c>
      <c r="Q3360">
        <v>0.17108219999999999</v>
      </c>
      <c r="R3360">
        <v>-0.2302892</v>
      </c>
      <c r="S3360">
        <v>-2.9548030000000001</v>
      </c>
      <c r="T3360">
        <v>-0.18042340000000001</v>
      </c>
      <c r="U3360">
        <v>-0.87496949999999996</v>
      </c>
      <c r="V3360">
        <v>-0.12282369999999999</v>
      </c>
      <c r="W3360">
        <v>0.18428939999999999</v>
      </c>
      <c r="X3360">
        <v>0.97516760000000002</v>
      </c>
      <c r="Y3360">
        <v>-0.1745409</v>
      </c>
      <c r="Z3360">
        <v>-1.4262389999999999E-3</v>
      </c>
      <c r="AA3360">
        <v>0.98464890000000005</v>
      </c>
      <c r="AB3360">
        <v>30</v>
      </c>
      <c r="AC3360">
        <v>-17.938199999999899</v>
      </c>
      <c r="AD3360">
        <v>-1.11346724742</v>
      </c>
      <c r="AE3360">
        <v>-5.36359999999996</v>
      </c>
      <c r="AF3360">
        <v>-3.3099781658249201</v>
      </c>
      <c r="AG3360">
        <v>-1.11346724742</v>
      </c>
      <c r="AH3360">
        <v>18.360957032962901</v>
      </c>
      <c r="AI3360">
        <v>93.415429085921502</v>
      </c>
      <c r="AJ3360">
        <v>100.21910378795199</v>
      </c>
      <c r="AK3360">
        <v>18.6901179219293</v>
      </c>
      <c r="AL3360">
        <v>79.380294798173097</v>
      </c>
      <c r="AM3360">
        <v>97.178681205454495</v>
      </c>
      <c r="AN3360">
        <v>1.0000000461619001</v>
      </c>
    </row>
    <row r="3361" spans="1:40" x14ac:dyDescent="0.25">
      <c r="A3361" t="str">
        <f>"20190304154822473"</f>
        <v>20190304154822473</v>
      </c>
      <c r="B3361" t="str">
        <f>"1551685702470256"</f>
        <v>1551685702470256</v>
      </c>
      <c r="C3361" t="s">
        <v>40</v>
      </c>
      <c r="D3361">
        <v>4.5570570000000004</v>
      </c>
      <c r="E3361">
        <v>0.4757808</v>
      </c>
      <c r="F3361" t="s">
        <v>54</v>
      </c>
      <c r="G3361">
        <v>-481.31099999999998</v>
      </c>
      <c r="H3361" s="1">
        <v>1.7498500000000001E-6</v>
      </c>
      <c r="I3361">
        <v>278.8707</v>
      </c>
      <c r="J3361">
        <v>-463.6952</v>
      </c>
      <c r="K3361">
        <v>1.113505</v>
      </c>
      <c r="L3361">
        <v>284.19830000000002</v>
      </c>
      <c r="M3361">
        <v>-0.99322200000000005</v>
      </c>
      <c r="N3361">
        <v>-1.435669E-2</v>
      </c>
      <c r="O3361">
        <v>-0.1153443</v>
      </c>
      <c r="P3361">
        <v>-0.95718360000000002</v>
      </c>
      <c r="Q3361">
        <v>0.17013499999999901</v>
      </c>
      <c r="R3361">
        <v>-0.2342099</v>
      </c>
      <c r="S3361">
        <v>-2.9519039999999999</v>
      </c>
      <c r="T3361">
        <v>-0.1835347</v>
      </c>
      <c r="U3361">
        <v>-0.88418580000000002</v>
      </c>
      <c r="V3361">
        <v>-0.12346849999999999</v>
      </c>
      <c r="W3361">
        <v>0.18332660000000001</v>
      </c>
      <c r="X3361">
        <v>0.97526760000000001</v>
      </c>
      <c r="Y3361">
        <v>-0.1742505</v>
      </c>
      <c r="Z3361">
        <v>-1.2342449999999999E-3</v>
      </c>
      <c r="AA3361">
        <v>0.98470060000000004</v>
      </c>
      <c r="AB3361">
        <v>30</v>
      </c>
      <c r="AC3361">
        <v>-17.615799999999901</v>
      </c>
      <c r="AD3361">
        <v>-1.11350325015</v>
      </c>
      <c r="AE3361">
        <v>-5.3276000000000101</v>
      </c>
      <c r="AF3361">
        <v>-3.2480525379696701</v>
      </c>
      <c r="AG3361">
        <v>-1.11350325015</v>
      </c>
      <c r="AH3361">
        <v>18.046707668980702</v>
      </c>
      <c r="AI3361">
        <v>93.475046716564194</v>
      </c>
      <c r="AJ3361">
        <v>100.20288249823901</v>
      </c>
      <c r="AK3361">
        <v>18.370448891280599</v>
      </c>
      <c r="AL3361">
        <v>79.436414877212201</v>
      </c>
      <c r="AM3361">
        <v>97.215239526517806</v>
      </c>
      <c r="AN3361">
        <v>1.0000000021847799</v>
      </c>
    </row>
    <row r="3362" spans="1:40" x14ac:dyDescent="0.25">
      <c r="A3362" t="str">
        <f>"20190304154822494"</f>
        <v>20190304154822494</v>
      </c>
      <c r="B3362" t="str">
        <f>"1551685702489779"</f>
        <v>1551685702489779</v>
      </c>
      <c r="C3362" t="s">
        <v>40</v>
      </c>
      <c r="D3362">
        <v>4.49186</v>
      </c>
      <c r="E3362">
        <v>0.48058129999999999</v>
      </c>
      <c r="F3362" t="s">
        <v>54</v>
      </c>
      <c r="G3362">
        <v>-481.30489999999998</v>
      </c>
      <c r="H3362" s="1">
        <v>1.7461980000000001E-6</v>
      </c>
      <c r="I3362">
        <v>278.85309999999998</v>
      </c>
      <c r="J3362">
        <v>-463.9941</v>
      </c>
      <c r="K3362">
        <v>1.1135379999999999</v>
      </c>
      <c r="L3362">
        <v>284.15969999999999</v>
      </c>
      <c r="M3362">
        <v>-0.99280639999999998</v>
      </c>
      <c r="N3362">
        <v>-1.435647E-2</v>
      </c>
      <c r="O3362">
        <v>-0.11886770000000001</v>
      </c>
      <c r="P3362">
        <v>-0.95648509999999998</v>
      </c>
      <c r="Q3362">
        <v>0.168988</v>
      </c>
      <c r="R3362">
        <v>-0.23786470000000001</v>
      </c>
      <c r="S3362">
        <v>-2.9483030000000001</v>
      </c>
      <c r="T3362">
        <v>-0.18642800000000001</v>
      </c>
      <c r="U3362">
        <v>-0.89492799999999995</v>
      </c>
      <c r="V3362">
        <v>-0.1237178</v>
      </c>
      <c r="W3362">
        <v>0.1821701</v>
      </c>
      <c r="X3362">
        <v>0.97545269999999995</v>
      </c>
      <c r="Y3362">
        <v>-0.1743731</v>
      </c>
      <c r="Z3362">
        <v>-1.047147E-3</v>
      </c>
      <c r="AA3362">
        <v>0.98467910000000003</v>
      </c>
      <c r="AB3362">
        <v>30</v>
      </c>
      <c r="AC3362">
        <v>-17.310799999999901</v>
      </c>
      <c r="AD3362">
        <v>-1.1135362538019999</v>
      </c>
      <c r="AE3362">
        <v>-5.3066000000000004</v>
      </c>
      <c r="AF3362">
        <v>-3.1989623153066402</v>
      </c>
      <c r="AG3362">
        <v>-1.1135362538019999</v>
      </c>
      <c r="AH3362">
        <v>17.7517467826986</v>
      </c>
      <c r="AI3362">
        <v>93.532608685578694</v>
      </c>
      <c r="AJ3362">
        <v>100.215377801253</v>
      </c>
      <c r="AK3362">
        <v>18.072018058875798</v>
      </c>
      <c r="AL3362">
        <v>79.503812470203599</v>
      </c>
      <c r="AM3362">
        <v>97.228296727401798</v>
      </c>
      <c r="AN3362">
        <v>1.00000000465407</v>
      </c>
    </row>
    <row r="3363" spans="1:40" x14ac:dyDescent="0.25">
      <c r="A3363" t="str">
        <f>"20190304154822517"</f>
        <v>20190304154822517</v>
      </c>
      <c r="B3363" t="str">
        <f>"1551685702510272"</f>
        <v>1551685702510272</v>
      </c>
      <c r="C3363" t="s">
        <v>40</v>
      </c>
      <c r="D3363">
        <v>4.5613210000000004</v>
      </c>
      <c r="E3363">
        <v>0.477711</v>
      </c>
      <c r="F3363" t="s">
        <v>54</v>
      </c>
      <c r="G3363">
        <v>-477.60480000000001</v>
      </c>
      <c r="H3363" s="1">
        <v>2.852524E-6</v>
      </c>
      <c r="I3363">
        <v>280.16469999999998</v>
      </c>
      <c r="J3363">
        <v>-464.28969999999998</v>
      </c>
      <c r="K3363">
        <v>1.1135619999999999</v>
      </c>
      <c r="L3363">
        <v>284.12049999999999</v>
      </c>
      <c r="M3363">
        <v>-0.99237900000000001</v>
      </c>
      <c r="N3363">
        <v>-1.4355969999999999E-2</v>
      </c>
      <c r="O3363">
        <v>-0.1223846</v>
      </c>
      <c r="P3363">
        <v>-0.95563819999999999</v>
      </c>
      <c r="Q3363">
        <v>0.16869899999999999</v>
      </c>
      <c r="R3363">
        <v>-0.24144679999999999</v>
      </c>
      <c r="S3363">
        <v>-2.9629819999999998</v>
      </c>
      <c r="T3363">
        <v>-0.24241099999999999</v>
      </c>
      <c r="U3363">
        <v>-0.86968989999999902</v>
      </c>
      <c r="V3363">
        <v>-0.12392060000000001</v>
      </c>
      <c r="W3363">
        <v>0.1818719</v>
      </c>
      <c r="X3363">
        <v>0.97548259999999998</v>
      </c>
      <c r="Y3363">
        <v>-0.16174179999999999</v>
      </c>
      <c r="Z3363">
        <v>3.4300839999999998E-4</v>
      </c>
      <c r="AA3363">
        <v>0.98683299999999996</v>
      </c>
      <c r="AB3363">
        <v>30</v>
      </c>
      <c r="AC3363">
        <v>-13.315099999999999</v>
      </c>
      <c r="AD3363">
        <v>-1.113559147476</v>
      </c>
      <c r="AE3363">
        <v>-3.9558</v>
      </c>
      <c r="AF3363">
        <v>-2.28166202558167</v>
      </c>
      <c r="AG3363">
        <v>-1.113559147476</v>
      </c>
      <c r="AH3363">
        <v>13.611683853097301</v>
      </c>
      <c r="AI3363">
        <v>94.612825437456294</v>
      </c>
      <c r="AJ3363">
        <v>99.515752745070202</v>
      </c>
      <c r="AK3363">
        <v>13.8464411633668</v>
      </c>
      <c r="AL3363">
        <v>79.521188324336904</v>
      </c>
      <c r="AM3363">
        <v>97.239800267135806</v>
      </c>
      <c r="AN3363">
        <v>1.00000000300836</v>
      </c>
    </row>
    <row r="3364" spans="1:40" x14ac:dyDescent="0.25">
      <c r="A3364" t="str">
        <f>"20190304154822539"</f>
        <v>20190304154822539</v>
      </c>
      <c r="B3364" t="str">
        <f>"1551685702529792"</f>
        <v>1551685702529792</v>
      </c>
      <c r="C3364" t="s">
        <v>40</v>
      </c>
      <c r="D3364">
        <v>4.5467019999999998</v>
      </c>
      <c r="E3364">
        <v>0.47801280000000002</v>
      </c>
      <c r="F3364" t="s">
        <v>54</v>
      </c>
      <c r="G3364">
        <v>-481.55529999999999</v>
      </c>
      <c r="H3364" s="1">
        <v>1.765958E-6</v>
      </c>
      <c r="I3364">
        <v>278.82830000000001</v>
      </c>
      <c r="J3364">
        <v>-464.5806</v>
      </c>
      <c r="K3364">
        <v>1.113591</v>
      </c>
      <c r="L3364">
        <v>284.08089999999999</v>
      </c>
      <c r="M3364">
        <v>-0.99194249999999995</v>
      </c>
      <c r="N3364">
        <v>-1.4355130000000001E-2</v>
      </c>
      <c r="O3364">
        <v>-0.12587329999999999</v>
      </c>
      <c r="P3364">
        <v>-0.95459729999999998</v>
      </c>
      <c r="Q3364">
        <v>0.16890659999999999</v>
      </c>
      <c r="R3364">
        <v>-0.24538740000000001</v>
      </c>
      <c r="S3364">
        <v>-2.9447329999999998</v>
      </c>
      <c r="T3364">
        <v>-0.18992339999999999</v>
      </c>
      <c r="U3364">
        <v>-0.90261840000000004</v>
      </c>
      <c r="V3364">
        <v>-0.1245314</v>
      </c>
      <c r="W3364">
        <v>0.18206700000000001</v>
      </c>
      <c r="X3364">
        <v>0.97536840000000002</v>
      </c>
      <c r="Y3364">
        <v>-0.17011509999999999</v>
      </c>
      <c r="Z3364">
        <v>-5.0934889999999897E-4</v>
      </c>
      <c r="AA3364">
        <v>0.98542399999999997</v>
      </c>
      <c r="AB3364">
        <v>30</v>
      </c>
      <c r="AC3364">
        <v>-16.974699999999899</v>
      </c>
      <c r="AD3364">
        <v>-1.1135892340419999</v>
      </c>
      <c r="AE3364">
        <v>-5.25259999999997</v>
      </c>
      <c r="AF3364">
        <v>-3.0619061589007601</v>
      </c>
      <c r="AG3364">
        <v>-1.1135892340419999</v>
      </c>
      <c r="AH3364">
        <v>17.432422415190601</v>
      </c>
      <c r="AI3364">
        <v>93.600144228631294</v>
      </c>
      <c r="AJ3364">
        <v>99.962061984756502</v>
      </c>
      <c r="AK3364">
        <v>17.7342804074406</v>
      </c>
      <c r="AL3364">
        <v>79.509819966554105</v>
      </c>
      <c r="AM3364">
        <v>97.275946246948394</v>
      </c>
      <c r="AN3364">
        <v>0.99999998889675901</v>
      </c>
    </row>
    <row r="3365" spans="1:40" x14ac:dyDescent="0.25">
      <c r="A3365" t="str">
        <f>"20190304154822562"</f>
        <v>20190304154822562</v>
      </c>
      <c r="B3365" t="str">
        <f>"1551685702550288"</f>
        <v>1551685702550288</v>
      </c>
      <c r="C3365" t="s">
        <v>40</v>
      </c>
      <c r="D3365">
        <v>4.5534679999999996</v>
      </c>
      <c r="E3365">
        <v>0.47846870000000002</v>
      </c>
      <c r="F3365" t="s">
        <v>54</v>
      </c>
      <c r="G3365">
        <v>-481.97379999999998</v>
      </c>
      <c r="H3365" s="1">
        <v>1.7890139999999999E-6</v>
      </c>
      <c r="I3365">
        <v>278.68349999999998</v>
      </c>
      <c r="J3365">
        <v>-464.87670000000003</v>
      </c>
      <c r="K3365">
        <v>1.113602</v>
      </c>
      <c r="L3365">
        <v>284.0394</v>
      </c>
      <c r="M3365">
        <v>-0.99148130000000001</v>
      </c>
      <c r="N3365">
        <v>-1.435405E-2</v>
      </c>
      <c r="O3365">
        <v>-0.1294554</v>
      </c>
      <c r="P3365">
        <v>-0.95369590000000004</v>
      </c>
      <c r="Q3365">
        <v>0.16909279999999999</v>
      </c>
      <c r="R3365">
        <v>-0.24874060000000001</v>
      </c>
      <c r="S3365">
        <v>-2.941376</v>
      </c>
      <c r="T3365">
        <v>-0.18831970000000001</v>
      </c>
      <c r="U3365">
        <v>-0.91275019999999996</v>
      </c>
      <c r="V3365">
        <v>-0.1244495</v>
      </c>
      <c r="W3365">
        <v>0.18224660000000001</v>
      </c>
      <c r="X3365">
        <v>0.97534529999999997</v>
      </c>
      <c r="Y3365">
        <v>-0.1699774</v>
      </c>
      <c r="Z3365">
        <v>-3.5446369999999998E-4</v>
      </c>
      <c r="AA3365">
        <v>0.98544790000000004</v>
      </c>
      <c r="AB3365">
        <v>30</v>
      </c>
      <c r="AC3365">
        <v>-17.097099999999902</v>
      </c>
      <c r="AD3365">
        <v>-1.1136002109859999</v>
      </c>
      <c r="AE3365">
        <v>-5.3559000000000196</v>
      </c>
      <c r="AF3365">
        <v>-3.0853623377302601</v>
      </c>
      <c r="AG3365">
        <v>-1.1136002109859999</v>
      </c>
      <c r="AH3365">
        <v>17.578712143398601</v>
      </c>
      <c r="AI3365">
        <v>93.570374063518699</v>
      </c>
      <c r="AJ3365">
        <v>99.954983162045494</v>
      </c>
      <c r="AK3365">
        <v>17.88213317268</v>
      </c>
      <c r="AL3365">
        <v>79.499354434355197</v>
      </c>
      <c r="AM3365">
        <v>97.271382704801297</v>
      </c>
      <c r="AN3365">
        <v>0.99999997774694904</v>
      </c>
    </row>
    <row r="3366" spans="1:40" x14ac:dyDescent="0.25">
      <c r="A3366" t="str">
        <f>"20190304154822584"</f>
        <v>20190304154822584</v>
      </c>
      <c r="B3366" t="str">
        <f>"1551685702580544"</f>
        <v>1551685702580544</v>
      </c>
      <c r="C3366" t="s">
        <v>40</v>
      </c>
      <c r="D3366">
        <v>4.57707</v>
      </c>
      <c r="E3366">
        <v>0.47874280000000002</v>
      </c>
      <c r="F3366" t="s">
        <v>54</v>
      </c>
      <c r="G3366">
        <v>-482.34660000000002</v>
      </c>
      <c r="H3366" s="1">
        <v>1.81626E-6</v>
      </c>
      <c r="I3366">
        <v>278.57350000000002</v>
      </c>
      <c r="J3366">
        <v>-465.1746</v>
      </c>
      <c r="K3366">
        <v>1.1136159999999999</v>
      </c>
      <c r="L3366">
        <v>283.9966</v>
      </c>
      <c r="M3366">
        <v>-0.9910004</v>
      </c>
      <c r="N3366">
        <v>-1.435287E-2</v>
      </c>
      <c r="O3366">
        <v>-0.1330877</v>
      </c>
      <c r="P3366">
        <v>-0.95279559999999996</v>
      </c>
      <c r="Q3366">
        <v>0.16841059999999999</v>
      </c>
      <c r="R3366">
        <v>-0.25262319999999999</v>
      </c>
      <c r="S3366">
        <v>-2.9390559999999999</v>
      </c>
      <c r="T3366">
        <v>-0.18734770000000001</v>
      </c>
      <c r="U3366">
        <v>-0.91955569999999998</v>
      </c>
      <c r="V3366">
        <v>-0.1248373</v>
      </c>
      <c r="W3366">
        <v>0.1815563</v>
      </c>
      <c r="X3366">
        <v>0.97542450000000003</v>
      </c>
      <c r="Y3366">
        <v>-0.16867470000000001</v>
      </c>
      <c r="Z3366">
        <v>-1.467234E-4</v>
      </c>
      <c r="AA3366">
        <v>0.98567179999999999</v>
      </c>
      <c r="AB3366">
        <v>30</v>
      </c>
      <c r="AC3366">
        <v>-17.172000000000001</v>
      </c>
      <c r="AD3366">
        <v>-1.11361418374</v>
      </c>
      <c r="AE3366">
        <v>-5.4230999999999696</v>
      </c>
      <c r="AF3366">
        <v>-3.0774615035915001</v>
      </c>
      <c r="AG3366">
        <v>-1.11361418374</v>
      </c>
      <c r="AH3366">
        <v>17.6734464818656</v>
      </c>
      <c r="AI3366">
        <v>93.552163534407697</v>
      </c>
      <c r="AJ3366">
        <v>99.877822754495497</v>
      </c>
      <c r="AK3366">
        <v>17.973914888072802</v>
      </c>
      <c r="AL3366">
        <v>79.539576969238396</v>
      </c>
      <c r="AM3366">
        <v>97.293211754090507</v>
      </c>
      <c r="AN3366">
        <v>0.99999999837061504</v>
      </c>
    </row>
    <row r="3367" spans="1:40" x14ac:dyDescent="0.25">
      <c r="A3367" t="str">
        <f>"20190304154822608"</f>
        <v>20190304154822608</v>
      </c>
      <c r="B3367" t="str">
        <f>"1551685702600065"</f>
        <v>1551685702600065</v>
      </c>
      <c r="C3367" t="s">
        <v>40</v>
      </c>
      <c r="D3367">
        <v>4.5392330000000003</v>
      </c>
      <c r="E3367">
        <v>0.4789815</v>
      </c>
      <c r="F3367" t="s">
        <v>54</v>
      </c>
      <c r="G3367">
        <v>-482.50630000000001</v>
      </c>
      <c r="H3367" s="1">
        <v>1.822941E-6</v>
      </c>
      <c r="I3367">
        <v>278.51229999999998</v>
      </c>
      <c r="J3367">
        <v>-465.47879999999998</v>
      </c>
      <c r="K3367">
        <v>1.113637</v>
      </c>
      <c r="L3367">
        <v>283.95170000000002</v>
      </c>
      <c r="M3367">
        <v>-0.99049100000000001</v>
      </c>
      <c r="N3367">
        <v>-1.435173E-2</v>
      </c>
      <c r="O3367">
        <v>-0.13682649999999999</v>
      </c>
      <c r="P3367">
        <v>-0.95183600000000002</v>
      </c>
      <c r="Q3367">
        <v>0.16805529999999999</v>
      </c>
      <c r="R3367">
        <v>-0.2564476</v>
      </c>
      <c r="S3367">
        <v>-2.93573</v>
      </c>
      <c r="T3367">
        <v>-0.18863009999999999</v>
      </c>
      <c r="U3367">
        <v>-0.92895510000000003</v>
      </c>
      <c r="V3367">
        <v>-0.12507190000000001</v>
      </c>
      <c r="W3367">
        <v>0.1811924</v>
      </c>
      <c r="X3367">
        <v>0.9754621</v>
      </c>
      <c r="Y3367">
        <v>-0.16814770000000001</v>
      </c>
      <c r="Z3367" s="1">
        <v>7.2801490000000004E-5</v>
      </c>
      <c r="AA3367">
        <v>0.98576180000000002</v>
      </c>
      <c r="AB3367">
        <v>30</v>
      </c>
      <c r="AC3367">
        <v>-17.0275</v>
      </c>
      <c r="AD3367">
        <v>-1.1136351770590001</v>
      </c>
      <c r="AE3367">
        <v>-5.4394000000000302</v>
      </c>
      <c r="AF3367">
        <v>-3.0463546587203498</v>
      </c>
      <c r="AG3367">
        <v>-1.1136351770590001</v>
      </c>
      <c r="AH3367">
        <v>17.543561545807702</v>
      </c>
      <c r="AI3367">
        <v>93.578752962360298</v>
      </c>
      <c r="AJ3367">
        <v>99.850908617505695</v>
      </c>
      <c r="AK3367">
        <v>17.8408803517605</v>
      </c>
      <c r="AL3367">
        <v>79.560778433033605</v>
      </c>
      <c r="AM3367">
        <v>97.3064909111379</v>
      </c>
      <c r="AN3367">
        <v>0.99999998726188899</v>
      </c>
    </row>
    <row r="3368" spans="1:40" x14ac:dyDescent="0.25">
      <c r="A3368" t="str">
        <f>"20190304154822629"</f>
        <v>20190304154822629</v>
      </c>
      <c r="B3368" t="str">
        <f>"1551685702620560"</f>
        <v>1551685702620560</v>
      </c>
      <c r="C3368" t="s">
        <v>40</v>
      </c>
      <c r="D3368">
        <v>4.5159830000000003</v>
      </c>
      <c r="E3368">
        <v>0.4789794</v>
      </c>
      <c r="F3368" t="s">
        <v>54</v>
      </c>
      <c r="G3368">
        <v>-482.70679999999999</v>
      </c>
      <c r="H3368" s="1">
        <v>1.832491E-6</v>
      </c>
      <c r="I3368">
        <v>278.43869999999998</v>
      </c>
      <c r="J3368">
        <v>-465.76080000000002</v>
      </c>
      <c r="K3368">
        <v>1.113658</v>
      </c>
      <c r="L3368">
        <v>283.90899999999999</v>
      </c>
      <c r="M3368">
        <v>-0.99000200000000005</v>
      </c>
      <c r="N3368">
        <v>-1.435081E-2</v>
      </c>
      <c r="O3368">
        <v>-0.14032169999999999</v>
      </c>
      <c r="P3368">
        <v>-0.950932</v>
      </c>
      <c r="Q3368">
        <v>0.16749510000000001</v>
      </c>
      <c r="R3368">
        <v>-0.26014219999999999</v>
      </c>
      <c r="S3368">
        <v>-2.9324340000000002</v>
      </c>
      <c r="T3368">
        <v>-0.18955540000000001</v>
      </c>
      <c r="U3368">
        <v>-0.93838500000000002</v>
      </c>
      <c r="V3368">
        <v>-0.12540889999999999</v>
      </c>
      <c r="W3368">
        <v>0.18062410000000001</v>
      </c>
      <c r="X3368">
        <v>0.97552419999999995</v>
      </c>
      <c r="Y3368">
        <v>-0.1678682</v>
      </c>
      <c r="Z3368">
        <v>2.6789959999999998E-4</v>
      </c>
      <c r="AA3368">
        <v>0.98580939999999995</v>
      </c>
      <c r="AB3368">
        <v>30</v>
      </c>
      <c r="AC3368">
        <v>-16.945999999999898</v>
      </c>
      <c r="AD3368">
        <v>-1.113656167509</v>
      </c>
      <c r="AE3368">
        <v>-5.4702999999999999</v>
      </c>
      <c r="AF3368">
        <v>-3.0261928651608101</v>
      </c>
      <c r="AG3368">
        <v>-1.113656167509</v>
      </c>
      <c r="AH3368">
        <v>17.4776220301367</v>
      </c>
      <c r="AI3368">
        <v>93.592587751836405</v>
      </c>
      <c r="AJ3368">
        <v>99.823183152134703</v>
      </c>
      <c r="AK3368">
        <v>17.7726009673571</v>
      </c>
      <c r="AL3368">
        <v>79.593885625635707</v>
      </c>
      <c r="AM3368">
        <v>97.325503007049093</v>
      </c>
      <c r="AN3368">
        <v>0.99999996124282897</v>
      </c>
    </row>
    <row r="3369" spans="1:40" x14ac:dyDescent="0.25">
      <c r="A3369" t="str">
        <f>"20190304154822651"</f>
        <v>20190304154822651</v>
      </c>
      <c r="B3369" t="str">
        <f>"1551685702640080"</f>
        <v>1551685702640080</v>
      </c>
      <c r="C3369" t="s">
        <v>40</v>
      </c>
      <c r="D3369">
        <v>4.540724</v>
      </c>
      <c r="E3369">
        <v>0.4765142</v>
      </c>
      <c r="F3369" t="s">
        <v>54</v>
      </c>
      <c r="G3369">
        <v>-482.94619999999998</v>
      </c>
      <c r="H3369" s="1">
        <v>1.838315E-6</v>
      </c>
      <c r="I3369">
        <v>278.33510000000001</v>
      </c>
      <c r="J3369">
        <v>-466.05239999999998</v>
      </c>
      <c r="K3369">
        <v>1.113675</v>
      </c>
      <c r="L3369">
        <v>283.86369999999999</v>
      </c>
      <c r="M3369">
        <v>-0.98947859999999999</v>
      </c>
      <c r="N3369">
        <v>-1.434966E-2</v>
      </c>
      <c r="O3369">
        <v>-0.14396600000000001</v>
      </c>
      <c r="P3369">
        <v>-0.94978450000000003</v>
      </c>
      <c r="Q3369">
        <v>0.16779959999999999</v>
      </c>
      <c r="R3369">
        <v>-0.26410790000000001</v>
      </c>
      <c r="S3369">
        <v>-2.9284059999999998</v>
      </c>
      <c r="T3369">
        <v>-0.1897682</v>
      </c>
      <c r="U3369">
        <v>-0.94979860000000005</v>
      </c>
      <c r="V3369">
        <v>-0.12590770000000001</v>
      </c>
      <c r="W3369">
        <v>0.18091570000000001</v>
      </c>
      <c r="X3369">
        <v>0.97540590000000005</v>
      </c>
      <c r="Y3369">
        <v>-0.16811570000000001</v>
      </c>
      <c r="Z3369">
        <v>4.3846059999999999E-4</v>
      </c>
      <c r="AA3369">
        <v>0.98576719999999896</v>
      </c>
      <c r="AB3369">
        <v>30</v>
      </c>
      <c r="AC3369">
        <v>-16.893799999999999</v>
      </c>
      <c r="AD3369">
        <v>-1.113673161685</v>
      </c>
      <c r="AE3369">
        <v>-5.5285999999999804</v>
      </c>
      <c r="AF3369">
        <v>-3.0267305124878301</v>
      </c>
      <c r="AG3369">
        <v>-1.113673161685</v>
      </c>
      <c r="AH3369">
        <v>17.4453086034063</v>
      </c>
      <c r="AI3369">
        <v>93.599067160504404</v>
      </c>
      <c r="AJ3369">
        <v>99.842737125348705</v>
      </c>
      <c r="AK3369">
        <v>17.740917613651298</v>
      </c>
      <c r="AL3369">
        <v>79.576898246624594</v>
      </c>
      <c r="AM3369">
        <v>97.355203218322799</v>
      </c>
      <c r="AN3369">
        <v>0.999999954590294</v>
      </c>
    </row>
    <row r="3370" spans="1:40" x14ac:dyDescent="0.25">
      <c r="A3370" t="str">
        <f>"20190304154822674"</f>
        <v>20190304154822674</v>
      </c>
      <c r="B3370" t="str">
        <f>"1551685702670336"</f>
        <v>1551685702670336</v>
      </c>
      <c r="C3370" t="s">
        <v>40</v>
      </c>
      <c r="D3370">
        <v>4.5103939999999998</v>
      </c>
      <c r="E3370">
        <v>0.47317189999999998</v>
      </c>
      <c r="F3370" t="s">
        <v>54</v>
      </c>
      <c r="G3370">
        <v>-483.185</v>
      </c>
      <c r="H3370" s="1">
        <v>1.800026E-6</v>
      </c>
      <c r="I3370">
        <v>278.1069</v>
      </c>
      <c r="J3370">
        <v>-466.34160000000003</v>
      </c>
      <c r="K3370">
        <v>1.113691</v>
      </c>
      <c r="L3370">
        <v>283.81760000000003</v>
      </c>
      <c r="M3370">
        <v>-0.98894139999999997</v>
      </c>
      <c r="N3370">
        <v>-1.4348420000000001E-2</v>
      </c>
      <c r="O3370">
        <v>-0.147612299999999</v>
      </c>
      <c r="P3370">
        <v>-0.94873209999999997</v>
      </c>
      <c r="Q3370">
        <v>0.16797519999999999</v>
      </c>
      <c r="R3370">
        <v>-0.26775369999999998</v>
      </c>
      <c r="S3370">
        <v>-2.919403</v>
      </c>
      <c r="T3370">
        <v>-0.18977089999999999</v>
      </c>
      <c r="U3370">
        <v>-0.98095699999999997</v>
      </c>
      <c r="V3370">
        <v>-0.12607209999999999</v>
      </c>
      <c r="W3370">
        <v>0.18108270000000001</v>
      </c>
      <c r="X3370">
        <v>0.97535369999999999</v>
      </c>
      <c r="Y3370">
        <v>-0.17484229999999901</v>
      </c>
      <c r="Z3370">
        <v>3.5470119999999998E-4</v>
      </c>
      <c r="AA3370">
        <v>0.98459640000000004</v>
      </c>
      <c r="AB3370">
        <v>30</v>
      </c>
      <c r="AC3370">
        <v>-16.8433999999999</v>
      </c>
      <c r="AD3370">
        <v>-1.113689199974</v>
      </c>
      <c r="AE3370">
        <v>-5.7107000000000303</v>
      </c>
      <c r="AF3370">
        <v>-3.1492309668605598</v>
      </c>
      <c r="AG3370">
        <v>-1.113689199974</v>
      </c>
      <c r="AH3370">
        <v>17.433544372658901</v>
      </c>
      <c r="AI3370">
        <v>93.597138248070806</v>
      </c>
      <c r="AJ3370">
        <v>100.23960127485</v>
      </c>
      <c r="AK3370">
        <v>17.750674035377902</v>
      </c>
      <c r="AL3370">
        <v>79.567169419418306</v>
      </c>
      <c r="AM3370">
        <v>97.365091499812905</v>
      </c>
      <c r="AN3370">
        <v>0.99999997937069396</v>
      </c>
    </row>
    <row r="3371" spans="1:40" x14ac:dyDescent="0.25">
      <c r="A3371" t="str">
        <f>"20190304154822696"</f>
        <v>20190304154822696</v>
      </c>
      <c r="B3371" t="str">
        <f>"1551685702689860"</f>
        <v>1551685702689860</v>
      </c>
      <c r="C3371" t="s">
        <v>40</v>
      </c>
      <c r="D3371">
        <v>4.5031559999999997</v>
      </c>
      <c r="E3371">
        <v>0.47166540000000001</v>
      </c>
      <c r="F3371" t="s">
        <v>54</v>
      </c>
      <c r="G3371">
        <v>-483.31299999999999</v>
      </c>
      <c r="H3371" s="1">
        <v>1.75244E-6</v>
      </c>
      <c r="I3371">
        <v>277.87720000000002</v>
      </c>
      <c r="J3371">
        <v>-466.63639999999998</v>
      </c>
      <c r="K3371">
        <v>1.1137079999999999</v>
      </c>
      <c r="L3371">
        <v>283.76940000000002</v>
      </c>
      <c r="M3371">
        <v>-0.9883748</v>
      </c>
      <c r="N3371">
        <v>-1.4346920000000001E-2</v>
      </c>
      <c r="O3371">
        <v>-0.151358299999999</v>
      </c>
      <c r="P3371">
        <v>-0.947766</v>
      </c>
      <c r="Q3371">
        <v>0.167506399999999</v>
      </c>
      <c r="R3371">
        <v>-0.2714435</v>
      </c>
      <c r="S3371">
        <v>-2.908569</v>
      </c>
      <c r="T3371">
        <v>-0.19086439999999999</v>
      </c>
      <c r="U3371">
        <v>-1.0180659999999999</v>
      </c>
      <c r="V3371">
        <v>-0.12616330000000001</v>
      </c>
      <c r="W3371">
        <v>0.18060809999999999</v>
      </c>
      <c r="X3371">
        <v>0.97542989999999996</v>
      </c>
      <c r="Y3371">
        <v>-0.18342929999999999</v>
      </c>
      <c r="Z3371">
        <v>2.2462010000000001E-4</v>
      </c>
      <c r="AA3371">
        <v>0.98303289999999999</v>
      </c>
      <c r="AB3371">
        <v>30</v>
      </c>
      <c r="AC3371">
        <v>-16.676600000000001</v>
      </c>
      <c r="AD3371">
        <v>-1.1137062475599999</v>
      </c>
      <c r="AE3371">
        <v>-5.8921999999999999</v>
      </c>
      <c r="AF3371">
        <v>-3.2868676988139001</v>
      </c>
      <c r="AG3371">
        <v>-1.1137062475599999</v>
      </c>
      <c r="AH3371">
        <v>17.3077295438313</v>
      </c>
      <c r="AI3371">
        <v>93.617280361693602</v>
      </c>
      <c r="AJ3371">
        <v>100.752851962037</v>
      </c>
      <c r="AK3371">
        <v>17.6522333668511</v>
      </c>
      <c r="AL3371">
        <v>79.594817852214902</v>
      </c>
      <c r="AM3371">
        <v>97.369791375937496</v>
      </c>
      <c r="AN3371">
        <v>0.99999997693325404</v>
      </c>
    </row>
    <row r="3372" spans="1:40" x14ac:dyDescent="0.25">
      <c r="A3372" t="str">
        <f>"20190304154822718"</f>
        <v>20190304154822718</v>
      </c>
      <c r="B3372" t="str">
        <f>"1551685702710352"</f>
        <v>1551685702710352</v>
      </c>
      <c r="C3372" t="s">
        <v>40</v>
      </c>
      <c r="D3372">
        <v>4.501595</v>
      </c>
      <c r="E3372">
        <v>0.4704873</v>
      </c>
      <c r="F3372" t="s">
        <v>54</v>
      </c>
      <c r="G3372">
        <v>-483.35410000000002</v>
      </c>
      <c r="H3372" s="1">
        <v>1.7380269999999901E-6</v>
      </c>
      <c r="I3372">
        <v>277.7747</v>
      </c>
      <c r="J3372">
        <v>-466.92489999999998</v>
      </c>
      <c r="K3372">
        <v>1.1137189999999999</v>
      </c>
      <c r="L3372">
        <v>283.72120000000001</v>
      </c>
      <c r="M3372">
        <v>-0.98780319999999999</v>
      </c>
      <c r="N3372">
        <v>-1.4345449999999999E-2</v>
      </c>
      <c r="O3372">
        <v>-0.15504670000000001</v>
      </c>
      <c r="P3372">
        <v>-0.94683010000000001</v>
      </c>
      <c r="Q3372">
        <v>0.16714889999999999</v>
      </c>
      <c r="R3372">
        <v>-0.27490819999999999</v>
      </c>
      <c r="S3372">
        <v>-2.9014890000000002</v>
      </c>
      <c r="T3372">
        <v>-0.1932931</v>
      </c>
      <c r="U3372">
        <v>-1.0404359999999999</v>
      </c>
      <c r="V3372">
        <v>-0.12608249999999999</v>
      </c>
      <c r="W3372">
        <v>0.18024699999999999</v>
      </c>
      <c r="X3372">
        <v>0.97550709999999996</v>
      </c>
      <c r="Y3372">
        <v>-0.1872289</v>
      </c>
      <c r="Z3372">
        <v>3.0500949999999997E-4</v>
      </c>
      <c r="AA3372">
        <v>0.98231630000000003</v>
      </c>
      <c r="AB3372">
        <v>30</v>
      </c>
      <c r="AC3372">
        <v>-16.429200000000002</v>
      </c>
      <c r="AD3372">
        <v>-1.113717261973</v>
      </c>
      <c r="AE3372">
        <v>-5.9465000000000101</v>
      </c>
      <c r="AF3372">
        <v>-3.3135569676334602</v>
      </c>
      <c r="AG3372">
        <v>-1.113717261973</v>
      </c>
      <c r="AH3372">
        <v>17.083153115120201</v>
      </c>
      <c r="AI3372">
        <v>93.661995781700497</v>
      </c>
      <c r="AJ3372">
        <v>100.977144008358</v>
      </c>
      <c r="AK3372">
        <v>17.4371484558689</v>
      </c>
      <c r="AL3372">
        <v>79.615852186897996</v>
      </c>
      <c r="AM3372">
        <v>97.3645468426962</v>
      </c>
      <c r="AN3372">
        <v>0.99999993998282799</v>
      </c>
    </row>
    <row r="3373" spans="1:40" x14ac:dyDescent="0.25">
      <c r="A3373" t="str">
        <f>"20190304154822740"</f>
        <v>20190304154822740</v>
      </c>
      <c r="B3373" t="str">
        <f>"1551685702729875"</f>
        <v>1551685702729875</v>
      </c>
      <c r="C3373" t="s">
        <v>40</v>
      </c>
      <c r="D3373">
        <v>4.4843289999999998</v>
      </c>
      <c r="E3373">
        <v>0.46946110000000002</v>
      </c>
      <c r="F3373" t="s">
        <v>54</v>
      </c>
      <c r="G3373">
        <v>-483.43419999999998</v>
      </c>
      <c r="H3373" s="1">
        <v>1.7277789999999901E-6</v>
      </c>
      <c r="I3373">
        <v>277.67610000000002</v>
      </c>
      <c r="J3373">
        <v>-467.21170000000001</v>
      </c>
      <c r="K3373">
        <v>1.113723</v>
      </c>
      <c r="L3373">
        <v>283.6721</v>
      </c>
      <c r="M3373">
        <v>-0.98721740000000002</v>
      </c>
      <c r="N3373">
        <v>-1.434388E-2</v>
      </c>
      <c r="O3373">
        <v>-0.15873280000000001</v>
      </c>
      <c r="P3373">
        <v>-0.94566360000000005</v>
      </c>
      <c r="Q3373">
        <v>0.1671105</v>
      </c>
      <c r="R3373">
        <v>-0.27891670000000002</v>
      </c>
      <c r="S3373">
        <v>-2.8951419999999999</v>
      </c>
      <c r="T3373">
        <v>-0.1953067</v>
      </c>
      <c r="U3373">
        <v>-1.0600889999999901</v>
      </c>
      <c r="V3373">
        <v>-0.12657760000000001</v>
      </c>
      <c r="W3373">
        <v>0.1802001</v>
      </c>
      <c r="X3373">
        <v>0.97545170000000003</v>
      </c>
      <c r="Y3373">
        <v>-0.190132</v>
      </c>
      <c r="Z3373">
        <v>4.1509700000000001E-4</v>
      </c>
      <c r="AA3373">
        <v>0.98175840000000003</v>
      </c>
      <c r="AB3373">
        <v>30</v>
      </c>
      <c r="AC3373">
        <v>-16.222499999999901</v>
      </c>
      <c r="AD3373">
        <v>-1.1137212722209999</v>
      </c>
      <c r="AE3373">
        <v>-5.99599999999998</v>
      </c>
      <c r="AF3373">
        <v>-3.3308446028292198</v>
      </c>
      <c r="AG3373">
        <v>-1.1137212722209999</v>
      </c>
      <c r="AH3373">
        <v>16.898567748493399</v>
      </c>
      <c r="AI3373">
        <v>93.699715232657297</v>
      </c>
      <c r="AJ3373">
        <v>101.150523469888</v>
      </c>
      <c r="AK3373">
        <v>17.259678235437001</v>
      </c>
      <c r="AL3373">
        <v>79.6185846376721</v>
      </c>
      <c r="AM3373">
        <v>97.393561824033696</v>
      </c>
      <c r="AN3373">
        <v>0.99999999194733002</v>
      </c>
    </row>
    <row r="3374" spans="1:40" x14ac:dyDescent="0.25">
      <c r="A3374" t="str">
        <f>"20190304154822763"</f>
        <v>20190304154822763</v>
      </c>
      <c r="B3374" t="str">
        <f>"1551685702760127"</f>
        <v>1551685702760127</v>
      </c>
      <c r="C3374" t="s">
        <v>40</v>
      </c>
      <c r="D3374">
        <v>4.4479930000000003</v>
      </c>
      <c r="E3374">
        <v>0.46821839999999998</v>
      </c>
      <c r="F3374" t="s">
        <v>54</v>
      </c>
      <c r="G3374">
        <v>-483.62880000000001</v>
      </c>
      <c r="H3374" s="1">
        <v>1.719408E-6</v>
      </c>
      <c r="I3374">
        <v>277.53059999999999</v>
      </c>
      <c r="J3374">
        <v>-467.50470000000001</v>
      </c>
      <c r="K3374">
        <v>1.1137330000000001</v>
      </c>
      <c r="L3374">
        <v>283.62079999999997</v>
      </c>
      <c r="M3374">
        <v>-0.98660110000000001</v>
      </c>
      <c r="N3374">
        <v>-1.4342260000000001E-2</v>
      </c>
      <c r="O3374">
        <v>-0.16251879999999999</v>
      </c>
      <c r="P3374">
        <v>-0.94445259999999998</v>
      </c>
      <c r="Q3374">
        <v>0.16693759999999999</v>
      </c>
      <c r="R3374">
        <v>-0.28309129999999999</v>
      </c>
      <c r="S3374">
        <v>-2.888245</v>
      </c>
      <c r="T3374">
        <v>-0.19593569999999999</v>
      </c>
      <c r="U3374">
        <v>-1.0804750000000001</v>
      </c>
      <c r="V3374">
        <v>-0.12714329999999999</v>
      </c>
      <c r="W3374">
        <v>0.18001809999999999</v>
      </c>
      <c r="X3374">
        <v>0.97541180000000005</v>
      </c>
      <c r="Y3374">
        <v>-0.1932103</v>
      </c>
      <c r="Z3374">
        <v>4.9682749999999999E-4</v>
      </c>
      <c r="AA3374">
        <v>0.98115719999999995</v>
      </c>
      <c r="AB3374">
        <v>30</v>
      </c>
      <c r="AC3374">
        <v>-16.124099999999999</v>
      </c>
      <c r="AD3374">
        <v>-1.1137312805920001</v>
      </c>
      <c r="AE3374">
        <v>-6.0901999999999799</v>
      </c>
      <c r="AF3374">
        <v>-3.3743883026707202</v>
      </c>
      <c r="AG3374">
        <v>-1.1137312805920001</v>
      </c>
      <c r="AH3374">
        <v>16.829298763978699</v>
      </c>
      <c r="AI3374">
        <v>93.712526781058301</v>
      </c>
      <c r="AJ3374">
        <v>101.337848661716</v>
      </c>
      <c r="AK3374">
        <v>17.200354376286199</v>
      </c>
      <c r="AL3374">
        <v>79.629186520321198</v>
      </c>
      <c r="AM3374">
        <v>97.426537457286699</v>
      </c>
      <c r="AN3374">
        <v>1.0000000573208601</v>
      </c>
    </row>
    <row r="3375" spans="1:40" x14ac:dyDescent="0.25">
      <c r="A3375" t="str">
        <f>"20190304154822786"</f>
        <v>20190304154822786</v>
      </c>
      <c r="B3375" t="str">
        <f>"1551685702779652"</f>
        <v>1551685702779652</v>
      </c>
      <c r="C3375" t="s">
        <v>40</v>
      </c>
      <c r="D3375">
        <v>4.4249239999999999</v>
      </c>
      <c r="E3375">
        <v>0.46752959999999899</v>
      </c>
      <c r="F3375" t="s">
        <v>54</v>
      </c>
      <c r="G3375">
        <v>-483.76490000000001</v>
      </c>
      <c r="H3375" s="1">
        <v>1.708591E-6</v>
      </c>
      <c r="I3375">
        <v>277.4006</v>
      </c>
      <c r="J3375">
        <v>-467.79829999999998</v>
      </c>
      <c r="K3375">
        <v>1.1137429999999999</v>
      </c>
      <c r="L3375">
        <v>283.56830000000002</v>
      </c>
      <c r="M3375">
        <v>-0.98596569999999994</v>
      </c>
      <c r="N3375">
        <v>-1.434063E-2</v>
      </c>
      <c r="O3375">
        <v>-0.16633220000000001</v>
      </c>
      <c r="P3375">
        <v>-0.94324719999999995</v>
      </c>
      <c r="Q3375">
        <v>0.1670111</v>
      </c>
      <c r="R3375">
        <v>-0.2870414</v>
      </c>
      <c r="S3375">
        <v>-2.880951</v>
      </c>
      <c r="T3375">
        <v>-0.1973289</v>
      </c>
      <c r="U3375">
        <v>-1.1020810000000001</v>
      </c>
      <c r="V3375">
        <v>-0.12746080000000001</v>
      </c>
      <c r="W3375">
        <v>0.18008469999999999</v>
      </c>
      <c r="X3375">
        <v>0.97535799999999995</v>
      </c>
      <c r="Y3375">
        <v>-0.19665920000000001</v>
      </c>
      <c r="Z3375">
        <v>5.8289940000000003E-4</v>
      </c>
      <c r="AA3375">
        <v>0.98047169999999895</v>
      </c>
      <c r="AB3375">
        <v>30</v>
      </c>
      <c r="AC3375">
        <v>-15.9666</v>
      </c>
      <c r="AD3375">
        <v>-1.1137412914089999</v>
      </c>
      <c r="AE3375">
        <v>-6.1677000000000204</v>
      </c>
      <c r="AF3375">
        <v>-3.4112894249438201</v>
      </c>
      <c r="AG3375">
        <v>-1.1137412914089999</v>
      </c>
      <c r="AH3375">
        <v>16.699424270606201</v>
      </c>
      <c r="AI3375">
        <v>93.738618696424993</v>
      </c>
      <c r="AJ3375">
        <v>101.545304257688</v>
      </c>
      <c r="AK3375">
        <v>17.080634829380099</v>
      </c>
      <c r="AL3375">
        <v>79.625306531973294</v>
      </c>
      <c r="AM3375">
        <v>97.445281135614195</v>
      </c>
      <c r="AN3375">
        <v>0.99999999143736495</v>
      </c>
    </row>
    <row r="3376" spans="1:40" x14ac:dyDescent="0.25">
      <c r="A3376" t="str">
        <f>"20190304154822808"</f>
        <v>20190304154822808</v>
      </c>
      <c r="B3376" t="str">
        <f>"1551685702800144"</f>
        <v>1551685702800144</v>
      </c>
      <c r="C3376" t="s">
        <v>40</v>
      </c>
      <c r="D3376">
        <v>4.4368600000000002</v>
      </c>
      <c r="E3376">
        <v>0.4669719</v>
      </c>
      <c r="F3376" t="s">
        <v>54</v>
      </c>
      <c r="G3376">
        <v>-483.98149999999998</v>
      </c>
      <c r="H3376" s="1">
        <v>1.705575E-6</v>
      </c>
      <c r="I3376">
        <v>277.27440000000001</v>
      </c>
      <c r="J3376">
        <v>-468.0872</v>
      </c>
      <c r="K3376">
        <v>1.1137490000000001</v>
      </c>
      <c r="L3376">
        <v>283.5154</v>
      </c>
      <c r="M3376">
        <v>-0.98532209999999998</v>
      </c>
      <c r="N3376">
        <v>-1.433895E-2</v>
      </c>
      <c r="O3376">
        <v>-0.17010259999999999</v>
      </c>
      <c r="P3376">
        <v>-0.94201489999999999</v>
      </c>
      <c r="Q3376">
        <v>0.16692419999999999</v>
      </c>
      <c r="R3376">
        <v>-0.29110940000000002</v>
      </c>
      <c r="S3376">
        <v>-2.8752749999999998</v>
      </c>
      <c r="T3376">
        <v>-0.19787859999999999</v>
      </c>
      <c r="U3376">
        <v>-1.118225</v>
      </c>
      <c r="V3376">
        <v>-0.1279411</v>
      </c>
      <c r="W3376">
        <v>0.1799895</v>
      </c>
      <c r="X3376">
        <v>0.97531270000000003</v>
      </c>
      <c r="Y3376">
        <v>-0.19834450000000001</v>
      </c>
      <c r="Z3376">
        <v>7.2025789999999995E-4</v>
      </c>
      <c r="AA3376">
        <v>0.98013209999999995</v>
      </c>
      <c r="AB3376">
        <v>30</v>
      </c>
      <c r="AC3376">
        <v>-15.8942999999999</v>
      </c>
      <c r="AD3376">
        <v>-1.113747294425</v>
      </c>
      <c r="AE3376">
        <v>-6.2409999999999801</v>
      </c>
      <c r="AF3376">
        <v>-3.4314892923442302</v>
      </c>
      <c r="AG3376">
        <v>-1.113747294425</v>
      </c>
      <c r="AH3376">
        <v>16.6534864355895</v>
      </c>
      <c r="AI3376">
        <v>93.747615095196693</v>
      </c>
      <c r="AJ3376">
        <v>101.64297534063</v>
      </c>
      <c r="AK3376">
        <v>17.039781755048299</v>
      </c>
      <c r="AL3376">
        <v>79.630851830761102</v>
      </c>
      <c r="AM3376">
        <v>97.473363231966502</v>
      </c>
      <c r="AN3376">
        <v>1.00000000398037</v>
      </c>
    </row>
    <row r="3377" spans="1:40" x14ac:dyDescent="0.25">
      <c r="A3377" t="str">
        <f>"20190304154822830"</f>
        <v>20190304154822830</v>
      </c>
      <c r="B3377" t="str">
        <f>"1551685702819664"</f>
        <v>1551685702819664</v>
      </c>
      <c r="C3377" t="s">
        <v>40</v>
      </c>
      <c r="D3377">
        <v>4.4133899999999997</v>
      </c>
      <c r="E3377">
        <v>0.4665472</v>
      </c>
      <c r="F3377" t="s">
        <v>54</v>
      </c>
      <c r="G3377">
        <v>-484.21199999999999</v>
      </c>
      <c r="H3377" s="1">
        <v>1.7017139999999999E-6</v>
      </c>
      <c r="I3377">
        <v>277.13639999999998</v>
      </c>
      <c r="J3377">
        <v>-468.3664</v>
      </c>
      <c r="K3377">
        <v>1.113761</v>
      </c>
      <c r="L3377">
        <v>283.46319999999997</v>
      </c>
      <c r="M3377">
        <v>-0.98468180000000005</v>
      </c>
      <c r="N3377">
        <v>-1.433738E-2</v>
      </c>
      <c r="O3377">
        <v>-0.17377039999999999</v>
      </c>
      <c r="P3377">
        <v>-0.94116849999999996</v>
      </c>
      <c r="Q3377">
        <v>0.166188</v>
      </c>
      <c r="R3377">
        <v>-0.29425030000000002</v>
      </c>
      <c r="S3377">
        <v>-2.8690190000000002</v>
      </c>
      <c r="T3377">
        <v>-0.19816400000000001</v>
      </c>
      <c r="U3377">
        <v>-1.134979</v>
      </c>
      <c r="V3377">
        <v>-0.1275386</v>
      </c>
      <c r="W3377">
        <v>0.17925389999999999</v>
      </c>
      <c r="X3377">
        <v>0.9755009</v>
      </c>
      <c r="Y3377">
        <v>-0.2003741</v>
      </c>
      <c r="Z3377">
        <v>8.3376649999999995E-4</v>
      </c>
      <c r="AA3377">
        <v>0.97971909999999895</v>
      </c>
      <c r="AB3377">
        <v>30</v>
      </c>
      <c r="AC3377">
        <v>-15.8455999999999</v>
      </c>
      <c r="AD3377">
        <v>-1.1137592982860001</v>
      </c>
      <c r="AE3377">
        <v>-6.3267999999999898</v>
      </c>
      <c r="AF3377">
        <v>-3.46199403112877</v>
      </c>
      <c r="AG3377">
        <v>-1.1137592982860001</v>
      </c>
      <c r="AH3377">
        <v>16.6331260740514</v>
      </c>
      <c r="AI3377">
        <v>93.750680029155404</v>
      </c>
      <c r="AJ3377">
        <v>101.757590140033</v>
      </c>
      <c r="AK3377">
        <v>17.026060772867499</v>
      </c>
      <c r="AL3377">
        <v>79.673695702746002</v>
      </c>
      <c r="AM3377">
        <v>97.448695529777297</v>
      </c>
      <c r="AN3377">
        <v>1.0000000305279799</v>
      </c>
    </row>
    <row r="3378" spans="1:40" x14ac:dyDescent="0.25">
      <c r="A3378" t="str">
        <f>"20190304154822852"</f>
        <v>20190304154822852</v>
      </c>
      <c r="B3378" t="str">
        <f>"1551685702849920"</f>
        <v>1551685702849920</v>
      </c>
      <c r="C3378" t="s">
        <v>40</v>
      </c>
      <c r="D3378">
        <v>4.3903349999999897</v>
      </c>
      <c r="E3378">
        <v>0.46614650000000002</v>
      </c>
      <c r="F3378" t="s">
        <v>54</v>
      </c>
      <c r="G3378">
        <v>-484.28910000000002</v>
      </c>
      <c r="H3378" s="1">
        <v>1.699256E-6</v>
      </c>
      <c r="I3378">
        <v>277.08370000000002</v>
      </c>
      <c r="J3378">
        <v>-468.65550000000002</v>
      </c>
      <c r="K3378">
        <v>1.1137699999999999</v>
      </c>
      <c r="L3378">
        <v>283.40800000000002</v>
      </c>
      <c r="M3378">
        <v>-0.98399840000000005</v>
      </c>
      <c r="N3378">
        <v>-1.433623E-2</v>
      </c>
      <c r="O3378">
        <v>-0.17760029999999999</v>
      </c>
      <c r="P3378">
        <v>-0.9400345</v>
      </c>
      <c r="Q3378">
        <v>0.16521359999999999</v>
      </c>
      <c r="R3378">
        <v>-0.2983962</v>
      </c>
      <c r="S3378">
        <v>-2.8641049999999999</v>
      </c>
      <c r="T3378">
        <v>-0.20033809999999999</v>
      </c>
      <c r="U3378">
        <v>-1.1475219999999999</v>
      </c>
      <c r="V3378">
        <v>-0.12801299999999999</v>
      </c>
      <c r="W3378">
        <v>0.1782715</v>
      </c>
      <c r="X3378">
        <v>0.97561869999999995</v>
      </c>
      <c r="Y3378">
        <v>-0.2008395</v>
      </c>
      <c r="Z3378">
        <v>1.066355E-3</v>
      </c>
      <c r="AA3378">
        <v>0.97962360000000004</v>
      </c>
      <c r="AB3378">
        <v>29</v>
      </c>
      <c r="AC3378">
        <v>-15.633599999999999</v>
      </c>
      <c r="AD3378">
        <v>-1.113768300744</v>
      </c>
      <c r="AE3378">
        <v>-6.3242999999999903</v>
      </c>
      <c r="AF3378">
        <v>-3.4319538703663799</v>
      </c>
      <c r="AG3378">
        <v>-1.113768300744</v>
      </c>
      <c r="AH3378">
        <v>16.4366386512554</v>
      </c>
      <c r="AI3378">
        <v>93.794917503671897</v>
      </c>
      <c r="AJ3378">
        <v>101.79385796328999</v>
      </c>
      <c r="AK3378">
        <v>16.8280087160664</v>
      </c>
      <c r="AL3378">
        <v>79.730903768667105</v>
      </c>
      <c r="AM3378">
        <v>97.475196805870397</v>
      </c>
      <c r="AN3378">
        <v>0.99999995183546797</v>
      </c>
    </row>
    <row r="3379" spans="1:40" x14ac:dyDescent="0.25">
      <c r="A3379" t="str">
        <f>"20190304154822865"</f>
        <v>20190304154822865</v>
      </c>
      <c r="B3379" t="str">
        <f>"1551685702859680"</f>
        <v>1551685702859680</v>
      </c>
      <c r="C3379" t="s">
        <v>40</v>
      </c>
      <c r="D3379">
        <v>4.3883039999999998</v>
      </c>
      <c r="E3379">
        <v>0.46600950000000002</v>
      </c>
      <c r="F3379" t="s">
        <v>54</v>
      </c>
      <c r="G3379">
        <v>-484.13369999999998</v>
      </c>
      <c r="H3379" s="1">
        <v>1.6903649999999901E-6</v>
      </c>
      <c r="I3379">
        <v>277.11149999999998</v>
      </c>
      <c r="J3379">
        <v>-468.82549999999998</v>
      </c>
      <c r="K3379">
        <v>1.1137840000000001</v>
      </c>
      <c r="L3379">
        <v>283.37479999999999</v>
      </c>
      <c r="M3379">
        <v>-0.98358509999999999</v>
      </c>
      <c r="N3379">
        <v>-1.4335499999999999E-2</v>
      </c>
      <c r="O3379">
        <v>-0.1798747</v>
      </c>
      <c r="P3379">
        <v>-0.93936120000000001</v>
      </c>
      <c r="Q3379">
        <v>0.16473209999999999</v>
      </c>
      <c r="R3379">
        <v>-0.30077280000000001</v>
      </c>
      <c r="S3379">
        <v>-2.858368</v>
      </c>
      <c r="T3379">
        <v>-0.20568</v>
      </c>
      <c r="U3379">
        <v>-1.1627809999999901</v>
      </c>
      <c r="V3379">
        <v>-0.1282124</v>
      </c>
      <c r="W3379">
        <v>0.177785</v>
      </c>
      <c r="X3379">
        <v>0.97568140000000003</v>
      </c>
      <c r="Y3379">
        <v>-0.20373379999999999</v>
      </c>
      <c r="Z3379">
        <v>1.203506E-3</v>
      </c>
      <c r="AA3379">
        <v>0.97902560000000005</v>
      </c>
      <c r="AB3379">
        <v>29</v>
      </c>
      <c r="AC3379">
        <v>-15.308199999999999</v>
      </c>
      <c r="AD3379">
        <v>-1.1137823096349999</v>
      </c>
      <c r="AE3379">
        <v>-6.2633000000000099</v>
      </c>
      <c r="AF3379">
        <v>-3.39190002083371</v>
      </c>
      <c r="AG3379">
        <v>-1.1137823096349999</v>
      </c>
      <c r="AH3379">
        <v>16.112128359162998</v>
      </c>
      <c r="AI3379">
        <v>93.869835937522893</v>
      </c>
      <c r="AJ3379">
        <v>101.88822557825</v>
      </c>
      <c r="AK3379">
        <v>16.502914198611499</v>
      </c>
      <c r="AL3379">
        <v>79.759231798681895</v>
      </c>
      <c r="AM3379">
        <v>97.486232933957595</v>
      </c>
      <c r="AN3379">
        <v>1.00000006002235</v>
      </c>
    </row>
    <row r="3380" spans="1:40" x14ac:dyDescent="0.25">
      <c r="A3380" t="str">
        <f>"20190304154822877"</f>
        <v>20190304154822877</v>
      </c>
      <c r="B3380" t="str">
        <f>"1551685702870417"</f>
        <v>1551685702870417</v>
      </c>
      <c r="C3380" t="s">
        <v>40</v>
      </c>
      <c r="D3380">
        <v>4.3715710000000003</v>
      </c>
      <c r="E3380">
        <v>0.46588309999999999</v>
      </c>
      <c r="F3380" t="s">
        <v>54</v>
      </c>
      <c r="G3380">
        <v>-484.16449999999998</v>
      </c>
      <c r="H3380" s="1">
        <v>1.6883749999999999E-6</v>
      </c>
      <c r="I3380">
        <v>277.08460000000002</v>
      </c>
      <c r="J3380">
        <v>-468.97280000000001</v>
      </c>
      <c r="K3380">
        <v>1.113794</v>
      </c>
      <c r="L3380">
        <v>283.3458</v>
      </c>
      <c r="M3380">
        <v>-0.98322120000000002</v>
      </c>
      <c r="N3380">
        <v>-1.4334909999999999E-2</v>
      </c>
      <c r="O3380">
        <v>-0.18185319999999999</v>
      </c>
      <c r="P3380">
        <v>-0.93871059999999995</v>
      </c>
      <c r="Q3380">
        <v>0.16438329999999901</v>
      </c>
      <c r="R3380">
        <v>-0.30298629999999999</v>
      </c>
      <c r="S3380">
        <v>-2.8551030000000002</v>
      </c>
      <c r="T3380">
        <v>-0.2073123</v>
      </c>
      <c r="U3380">
        <v>-1.1708069999999999</v>
      </c>
      <c r="V3380">
        <v>-0.1285413</v>
      </c>
      <c r="W3380">
        <v>0.177429799999999</v>
      </c>
      <c r="X3380">
        <v>0.97570270000000003</v>
      </c>
      <c r="Y3380">
        <v>-0.20451079999999999</v>
      </c>
      <c r="Z3380">
        <v>1.3204639999999999E-3</v>
      </c>
      <c r="AA3380">
        <v>0.97886340000000005</v>
      </c>
      <c r="AB3380">
        <v>29</v>
      </c>
      <c r="AC3380">
        <v>-15.1916999999999</v>
      </c>
      <c r="AD3380">
        <v>-1.1137923116249999</v>
      </c>
      <c r="AE3380">
        <v>-6.2611999999999703</v>
      </c>
      <c r="AF3380">
        <v>-3.3783115936460901</v>
      </c>
      <c r="AG3380">
        <v>-1.1137923116249999</v>
      </c>
      <c r="AH3380">
        <v>16.003540672999101</v>
      </c>
      <c r="AI3380">
        <v>93.895593808442001</v>
      </c>
      <c r="AJ3380">
        <v>101.920006232654</v>
      </c>
      <c r="AK3380">
        <v>16.394109814489301</v>
      </c>
      <c r="AL3380">
        <v>79.7799112106443</v>
      </c>
      <c r="AM3380">
        <v>97.505056551283602</v>
      </c>
      <c r="AN3380">
        <v>0.99999997926050899</v>
      </c>
    </row>
    <row r="3381" spans="1:40" x14ac:dyDescent="0.25">
      <c r="A3381" t="str">
        <f>"20190304154822889"</f>
        <v>20190304154822889</v>
      </c>
      <c r="B3381" t="str">
        <f>"1551685702880177"</f>
        <v>1551685702880177</v>
      </c>
      <c r="C3381" t="s">
        <v>40</v>
      </c>
      <c r="D3381">
        <v>4.375521</v>
      </c>
      <c r="E3381">
        <v>0.46577459999999998</v>
      </c>
      <c r="F3381" t="s">
        <v>54</v>
      </c>
      <c r="G3381">
        <v>-484.21030000000002</v>
      </c>
      <c r="H3381" s="1">
        <v>1.6863850000000001E-6</v>
      </c>
      <c r="I3381">
        <v>277.05029999999999</v>
      </c>
      <c r="J3381">
        <v>-469.13869999999997</v>
      </c>
      <c r="K3381">
        <v>1.1138060000000001</v>
      </c>
      <c r="L3381">
        <v>283.31279999999998</v>
      </c>
      <c r="M3381">
        <v>-0.98280500000000004</v>
      </c>
      <c r="N3381">
        <v>-1.433429E-2</v>
      </c>
      <c r="O3381">
        <v>-0.18409030000000001</v>
      </c>
      <c r="P3381">
        <v>-0.9380174</v>
      </c>
      <c r="Q3381">
        <v>0.16420479999999901</v>
      </c>
      <c r="R3381">
        <v>-0.30522250000000001</v>
      </c>
      <c r="S3381">
        <v>-2.852112</v>
      </c>
      <c r="T3381">
        <v>-0.2084763</v>
      </c>
      <c r="U3381">
        <v>-1.178375</v>
      </c>
      <c r="V3381">
        <v>-0.12864519999999999</v>
      </c>
      <c r="W3381">
        <v>0.17724579999999901</v>
      </c>
      <c r="X3381">
        <v>0.97572250000000005</v>
      </c>
      <c r="Y3381">
        <v>-0.2048645</v>
      </c>
      <c r="Z3381">
        <v>1.458359E-3</v>
      </c>
      <c r="AA3381">
        <v>0.97878929999999997</v>
      </c>
      <c r="AB3381">
        <v>29</v>
      </c>
      <c r="AC3381">
        <v>-15.0716</v>
      </c>
      <c r="AD3381">
        <v>-1.11380431361499</v>
      </c>
      <c r="AE3381">
        <v>-6.2624999999999797</v>
      </c>
      <c r="AF3381">
        <v>-3.3649562086432101</v>
      </c>
      <c r="AG3381">
        <v>-1.11380431361499</v>
      </c>
      <c r="AH3381">
        <v>15.892929503327901</v>
      </c>
      <c r="AI3381">
        <v>93.922166432970997</v>
      </c>
      <c r="AJ3381">
        <v>101.954495596493</v>
      </c>
      <c r="AK3381">
        <v>16.283387194710599</v>
      </c>
      <c r="AL3381">
        <v>79.7906239362311</v>
      </c>
      <c r="AM3381">
        <v>97.510902978190501</v>
      </c>
      <c r="AN3381">
        <v>1.0000000290534601</v>
      </c>
    </row>
    <row r="3382" spans="1:40" x14ac:dyDescent="0.25">
      <c r="A3382" t="str">
        <f>"20190304154822902"</f>
        <v>20190304154822902</v>
      </c>
      <c r="B3382" t="str">
        <f>"1551685702889937"</f>
        <v>1551685702889937</v>
      </c>
      <c r="C3382" t="s">
        <v>40</v>
      </c>
      <c r="D3382">
        <v>4.3520260000000004</v>
      </c>
      <c r="E3382">
        <v>0.46568779999999999</v>
      </c>
      <c r="F3382" t="s">
        <v>54</v>
      </c>
      <c r="G3382">
        <v>-484.33179999999999</v>
      </c>
      <c r="H3382" s="1">
        <v>1.6859349999999999E-6</v>
      </c>
      <c r="I3382">
        <v>276.98649999999998</v>
      </c>
      <c r="J3382">
        <v>-469.29090000000002</v>
      </c>
      <c r="K3382">
        <v>1.1138250000000001</v>
      </c>
      <c r="L3382">
        <v>283.28199999999998</v>
      </c>
      <c r="M3382">
        <v>-0.98241339999999999</v>
      </c>
      <c r="N3382">
        <v>-1.4333790000000001E-2</v>
      </c>
      <c r="O3382">
        <v>-0.18616759999999999</v>
      </c>
      <c r="P3382">
        <v>-0.93732599999999999</v>
      </c>
      <c r="Q3382">
        <v>0.16382459999999999</v>
      </c>
      <c r="R3382">
        <v>-0.3075406</v>
      </c>
      <c r="S3382">
        <v>-2.8487849999999999</v>
      </c>
      <c r="T3382">
        <v>-0.20884349999999999</v>
      </c>
      <c r="U3382">
        <v>-1.186218</v>
      </c>
      <c r="V3382">
        <v>-0.12898699999999999</v>
      </c>
      <c r="W3382">
        <v>0.1768586</v>
      </c>
      <c r="X3382">
        <v>0.97574760000000005</v>
      </c>
      <c r="Y3382">
        <v>-0.20549770000000001</v>
      </c>
      <c r="Z3382">
        <v>1.556057E-3</v>
      </c>
      <c r="AA3382">
        <v>0.97865639999999998</v>
      </c>
      <c r="AB3382">
        <v>29</v>
      </c>
      <c r="AC3382">
        <v>-15.040899999999899</v>
      </c>
      <c r="AD3382">
        <v>-1.113823314065</v>
      </c>
      <c r="AE3382">
        <v>-6.2954999999999997</v>
      </c>
      <c r="AF3382">
        <v>-3.3692809834623998</v>
      </c>
      <c r="AG3382">
        <v>-1.113823314065</v>
      </c>
      <c r="AH3382">
        <v>15.8759564673312</v>
      </c>
      <c r="AI3382">
        <v>93.926017281985295</v>
      </c>
      <c r="AJ3382">
        <v>101.981844025217</v>
      </c>
      <c r="AK3382">
        <v>16.2677180475035</v>
      </c>
      <c r="AL3382">
        <v>79.813164623698199</v>
      </c>
      <c r="AM3382">
        <v>97.5304386184593</v>
      </c>
      <c r="AN3382">
        <v>0.99999999473435996</v>
      </c>
    </row>
    <row r="3383" spans="1:40" x14ac:dyDescent="0.25">
      <c r="A3383" t="str">
        <f>"20190304154822916"</f>
        <v>20190304154822916</v>
      </c>
      <c r="B3383" t="str">
        <f>"1551685702910432"</f>
        <v>1551685702910432</v>
      </c>
      <c r="C3383" t="s">
        <v>40</v>
      </c>
      <c r="D3383">
        <v>4.3469720000000001</v>
      </c>
      <c r="E3383">
        <v>0.4654896</v>
      </c>
      <c r="F3383" t="s">
        <v>54</v>
      </c>
      <c r="G3383">
        <v>-484.39569999999998</v>
      </c>
      <c r="H3383" s="1">
        <v>1.6840549999999999E-6</v>
      </c>
      <c r="I3383">
        <v>276.9436</v>
      </c>
      <c r="J3383">
        <v>-469.4615</v>
      </c>
      <c r="K3383">
        <v>1.1138399999999999</v>
      </c>
      <c r="L3383">
        <v>283.2473</v>
      </c>
      <c r="M3383">
        <v>-0.98196669999999997</v>
      </c>
      <c r="N3383">
        <v>-1.433329E-2</v>
      </c>
      <c r="O3383">
        <v>-0.18851019999999999</v>
      </c>
      <c r="P3383">
        <v>-0.93628359999999999</v>
      </c>
      <c r="Q3383">
        <v>0.16419810000000001</v>
      </c>
      <c r="R3383">
        <v>-0.31050299999999997</v>
      </c>
      <c r="S3383">
        <v>-2.84552</v>
      </c>
      <c r="T3383">
        <v>-0.20982770000000001</v>
      </c>
      <c r="U3383">
        <v>-1.194061</v>
      </c>
      <c r="V3383">
        <v>-0.12977040000000001</v>
      </c>
      <c r="W3383">
        <v>0.17721719999999999</v>
      </c>
      <c r="X3383">
        <v>0.97557870000000002</v>
      </c>
      <c r="Y3383">
        <v>-0.2058585</v>
      </c>
      <c r="Z3383">
        <v>1.697247E-3</v>
      </c>
      <c r="AA3383">
        <v>0.97858029999999996</v>
      </c>
      <c r="AB3383">
        <v>29</v>
      </c>
      <c r="AC3383">
        <v>-14.934199999999899</v>
      </c>
      <c r="AD3383">
        <v>-1.113838315945</v>
      </c>
      <c r="AE3383">
        <v>-6.3036999999999903</v>
      </c>
      <c r="AF3383">
        <v>-3.3592604270602702</v>
      </c>
      <c r="AG3383">
        <v>-1.113838315945</v>
      </c>
      <c r="AH3383">
        <v>15.7803207785675</v>
      </c>
      <c r="AI3383">
        <v>93.949267259335102</v>
      </c>
      <c r="AJ3383">
        <v>102.017540942407</v>
      </c>
      <c r="AK3383">
        <v>16.172315551131501</v>
      </c>
      <c r="AL3383">
        <v>79.792289131916604</v>
      </c>
      <c r="AM3383">
        <v>97.576941302251797</v>
      </c>
      <c r="AN3383">
        <v>1.00000004629284</v>
      </c>
    </row>
    <row r="3384" spans="1:40" x14ac:dyDescent="0.25">
      <c r="A3384" t="str">
        <f>"20190304154822928"</f>
        <v>20190304154822928</v>
      </c>
      <c r="B3384" t="str">
        <f>"1551685702920193"</f>
        <v>1551685702920193</v>
      </c>
      <c r="C3384" t="s">
        <v>40</v>
      </c>
      <c r="D3384">
        <v>4.3154949999999896</v>
      </c>
      <c r="E3384">
        <v>0.46542509999999998</v>
      </c>
      <c r="F3384" t="s">
        <v>54</v>
      </c>
      <c r="G3384">
        <v>-484.6216</v>
      </c>
      <c r="H3384" s="1">
        <v>1.6822880000000001E-6</v>
      </c>
      <c r="I3384">
        <v>276.81990000000002</v>
      </c>
      <c r="J3384">
        <v>-469.62880000000001</v>
      </c>
      <c r="K3384">
        <v>1.1138619999999999</v>
      </c>
      <c r="L3384">
        <v>283.21269999999998</v>
      </c>
      <c r="M3384">
        <v>-0.98151759999999999</v>
      </c>
      <c r="N3384">
        <v>-1.433299E-2</v>
      </c>
      <c r="O3384">
        <v>-0.19083449999999999</v>
      </c>
      <c r="P3384">
        <v>-0.93544870000000002</v>
      </c>
      <c r="Q3384">
        <v>0.16415469999999999</v>
      </c>
      <c r="R3384">
        <v>-0.3130329</v>
      </c>
      <c r="S3384">
        <v>-2.841278</v>
      </c>
      <c r="T3384">
        <v>-0.2087541</v>
      </c>
      <c r="U3384">
        <v>-1.20462</v>
      </c>
      <c r="V3384">
        <v>-0.13010659999999999</v>
      </c>
      <c r="W3384">
        <v>0.17716319999999999</v>
      </c>
      <c r="X3384">
        <v>0.97554370000000001</v>
      </c>
      <c r="Y3384">
        <v>-0.207151</v>
      </c>
      <c r="Z3384">
        <v>1.7409189999999901E-3</v>
      </c>
      <c r="AA3384">
        <v>0.97830740000000005</v>
      </c>
      <c r="AB3384">
        <v>29</v>
      </c>
      <c r="AC3384">
        <v>-14.9927999999999</v>
      </c>
      <c r="AD3384">
        <v>-1.1138603177119999</v>
      </c>
      <c r="AE3384">
        <v>-6.3927999999999603</v>
      </c>
      <c r="AF3384">
        <v>-3.3979830977687802</v>
      </c>
      <c r="AG3384">
        <v>-1.1138603177119999</v>
      </c>
      <c r="AH3384">
        <v>15.863214068141801</v>
      </c>
      <c r="AI3384">
        <v>93.927709921053307</v>
      </c>
      <c r="AJ3384">
        <v>102.090346940662</v>
      </c>
      <c r="AK3384">
        <v>16.261258700106399</v>
      </c>
      <c r="AL3384">
        <v>79.795432563506196</v>
      </c>
      <c r="AM3384">
        <v>97.596611527802295</v>
      </c>
      <c r="AN3384">
        <v>1.0000000187037399</v>
      </c>
    </row>
    <row r="3385" spans="1:40" x14ac:dyDescent="0.25">
      <c r="A3385" t="str">
        <f>"20190304154822941"</f>
        <v>20190304154822941</v>
      </c>
      <c r="B3385" t="str">
        <f>"1551685702929952"</f>
        <v>1551685702929952</v>
      </c>
      <c r="C3385" t="s">
        <v>40</v>
      </c>
      <c r="D3385">
        <v>4.3056219999999996</v>
      </c>
      <c r="E3385">
        <v>0.46535979999999999</v>
      </c>
      <c r="F3385" t="s">
        <v>54</v>
      </c>
      <c r="G3385">
        <v>-484.7688</v>
      </c>
      <c r="H3385" s="1">
        <v>1.681956E-6</v>
      </c>
      <c r="I3385">
        <v>276.74380000000002</v>
      </c>
      <c r="J3385">
        <v>-469.79640000000001</v>
      </c>
      <c r="K3385">
        <v>1.1138840000000001</v>
      </c>
      <c r="L3385">
        <v>283.17759999999998</v>
      </c>
      <c r="M3385">
        <v>-0.98105589999999998</v>
      </c>
      <c r="N3385">
        <v>-1.433308E-2</v>
      </c>
      <c r="O3385">
        <v>-0.1931939</v>
      </c>
      <c r="P3385">
        <v>-0.93446240000000003</v>
      </c>
      <c r="Q3385">
        <v>0.16374610000000001</v>
      </c>
      <c r="R3385">
        <v>-0.31617590000000001</v>
      </c>
      <c r="S3385">
        <v>-2.8378909999999999</v>
      </c>
      <c r="T3385">
        <v>-0.20878579999999999</v>
      </c>
      <c r="U3385">
        <v>-1.2125549999999901</v>
      </c>
      <c r="V3385">
        <v>-0.13103819999999999</v>
      </c>
      <c r="W3385">
        <v>0.17673800000000001</v>
      </c>
      <c r="X3385">
        <v>0.97549609999999998</v>
      </c>
      <c r="Y3385">
        <v>-0.207536</v>
      </c>
      <c r="Z3385">
        <v>1.8554310000000001E-3</v>
      </c>
      <c r="AA3385">
        <v>0.97822560000000003</v>
      </c>
      <c r="AB3385">
        <v>29</v>
      </c>
      <c r="AC3385">
        <v>-14.972399999999899</v>
      </c>
      <c r="AD3385">
        <v>-1.1138823180440001</v>
      </c>
      <c r="AE3385">
        <v>-6.4337999999999598</v>
      </c>
      <c r="AF3385">
        <v>-3.4037897919654201</v>
      </c>
      <c r="AG3385">
        <v>-1.1138823180440001</v>
      </c>
      <c r="AH3385">
        <v>15.8592740734399</v>
      </c>
      <c r="AI3385">
        <v>93.928423340279295</v>
      </c>
      <c r="AJ3385">
        <v>102.11331812515</v>
      </c>
      <c r="AK3385">
        <v>16.258631335472899</v>
      </c>
      <c r="AL3385">
        <v>79.820184995561803</v>
      </c>
      <c r="AM3385">
        <v>97.650732329688907</v>
      </c>
      <c r="AN3385">
        <v>0.999999985809224</v>
      </c>
    </row>
    <row r="3386" spans="1:40" x14ac:dyDescent="0.25">
      <c r="A3386" t="str">
        <f>"20190304154822955"</f>
        <v>20190304154822955</v>
      </c>
      <c r="B3386" t="str">
        <f>"1551685702950449"</f>
        <v>1551685702950449</v>
      </c>
      <c r="C3386" t="s">
        <v>40</v>
      </c>
      <c r="D3386">
        <v>4.2907359999999999</v>
      </c>
      <c r="E3386">
        <v>0.46526640000000002</v>
      </c>
      <c r="F3386" t="s">
        <v>54</v>
      </c>
      <c r="G3386">
        <v>-484.83080000000001</v>
      </c>
      <c r="H3386" s="1">
        <v>1.6778259999999999E-6</v>
      </c>
      <c r="I3386">
        <v>276.6891</v>
      </c>
      <c r="J3386">
        <v>-469.96769999999998</v>
      </c>
      <c r="K3386">
        <v>1.1139139999999901</v>
      </c>
      <c r="L3386">
        <v>283.14139999999998</v>
      </c>
      <c r="M3386">
        <v>-0.98057399999999995</v>
      </c>
      <c r="N3386">
        <v>-1.433337E-2</v>
      </c>
      <c r="O3386">
        <v>-0.1956253</v>
      </c>
      <c r="P3386">
        <v>-0.93364639999999999</v>
      </c>
      <c r="Q3386">
        <v>0.1633973</v>
      </c>
      <c r="R3386">
        <v>-0.3187566</v>
      </c>
      <c r="S3386">
        <v>-2.8334350000000001</v>
      </c>
      <c r="T3386">
        <v>-0.20992649999999999</v>
      </c>
      <c r="U3386">
        <v>-1.222839</v>
      </c>
      <c r="V3386">
        <v>-0.131314299999999</v>
      </c>
      <c r="W3386">
        <v>0.17637849999999999</v>
      </c>
      <c r="X3386">
        <v>0.97552410000000001</v>
      </c>
      <c r="Y3386">
        <v>-0.20866209999999999</v>
      </c>
      <c r="Z3386">
        <v>1.976252E-3</v>
      </c>
      <c r="AA3386">
        <v>0.97798580000000002</v>
      </c>
      <c r="AB3386">
        <v>29</v>
      </c>
      <c r="AC3386">
        <v>-14.863099999999999</v>
      </c>
      <c r="AD3386">
        <v>-1.1139123221739999</v>
      </c>
      <c r="AE3386">
        <v>-6.4522999999999797</v>
      </c>
      <c r="AF3386">
        <v>-3.4036246342763201</v>
      </c>
      <c r="AG3386">
        <v>-1.1139123221739999</v>
      </c>
      <c r="AH3386">
        <v>15.7637285262393</v>
      </c>
      <c r="AI3386">
        <v>93.951219024407706</v>
      </c>
      <c r="AJ3386">
        <v>102.18397725713901</v>
      </c>
      <c r="AK3386">
        <v>16.165413646471102</v>
      </c>
      <c r="AL3386">
        <v>79.841112190719798</v>
      </c>
      <c r="AM3386">
        <v>97.666443600883298</v>
      </c>
      <c r="AN3386">
        <v>1.0000000451637701</v>
      </c>
    </row>
    <row r="3387" spans="1:40" x14ac:dyDescent="0.25">
      <c r="A3387" t="str">
        <f>"20190304154822968"</f>
        <v>20190304154822968</v>
      </c>
      <c r="B3387" t="str">
        <f>"1551685702960208"</f>
        <v>1551685702960208</v>
      </c>
      <c r="C3387" t="s">
        <v>40</v>
      </c>
      <c r="D3387">
        <v>4.3005950000000004</v>
      </c>
      <c r="E3387">
        <v>0.46518989999999999</v>
      </c>
      <c r="F3387" t="s">
        <v>54</v>
      </c>
      <c r="G3387">
        <v>-484.89139999999998</v>
      </c>
      <c r="H3387" s="1">
        <v>1.675894E-6</v>
      </c>
      <c r="I3387">
        <v>276.64760000000001</v>
      </c>
      <c r="J3387">
        <v>-470.13959999999997</v>
      </c>
      <c r="K3387">
        <v>1.1139479999999999</v>
      </c>
      <c r="L3387">
        <v>283.10449999999997</v>
      </c>
      <c r="M3387">
        <v>-0.98007719999999998</v>
      </c>
      <c r="N3387">
        <v>-1.433398E-2</v>
      </c>
      <c r="O3387">
        <v>-0.19809930000000001</v>
      </c>
      <c r="P3387">
        <v>-0.93265810000000005</v>
      </c>
      <c r="Q3387">
        <v>0.16353470000000001</v>
      </c>
      <c r="R3387">
        <v>-0.32156669999999998</v>
      </c>
      <c r="S3387">
        <v>-2.8298030000000001</v>
      </c>
      <c r="T3387">
        <v>-0.21121780000000001</v>
      </c>
      <c r="U3387">
        <v>-1.2313229999999999</v>
      </c>
      <c r="V3387">
        <v>-0.1318114</v>
      </c>
      <c r="W3387">
        <v>0.1765005</v>
      </c>
      <c r="X3387">
        <v>0.97543500000000005</v>
      </c>
      <c r="Y3387">
        <v>-0.20911859999999999</v>
      </c>
      <c r="Z3387">
        <v>2.1333279999999999E-3</v>
      </c>
      <c r="AA3387">
        <v>0.97788799999999998</v>
      </c>
      <c r="AB3387">
        <v>29</v>
      </c>
      <c r="AC3387">
        <v>-14.751799999999999</v>
      </c>
      <c r="AD3387">
        <v>-1.1139463241059999</v>
      </c>
      <c r="AE3387">
        <v>-6.4568999999999601</v>
      </c>
      <c r="AF3387">
        <v>-3.3900663110927498</v>
      </c>
      <c r="AG3387">
        <v>-1.1139463241059999</v>
      </c>
      <c r="AH3387">
        <v>15.6636700533658</v>
      </c>
      <c r="AI3387">
        <v>93.976078965198596</v>
      </c>
      <c r="AJ3387">
        <v>102.212093895224</v>
      </c>
      <c r="AK3387">
        <v>16.064992547377798</v>
      </c>
      <c r="AL3387">
        <v>79.834010799670907</v>
      </c>
      <c r="AM3387">
        <v>97.695812873659605</v>
      </c>
      <c r="AN3387">
        <v>1.0000000554476001</v>
      </c>
    </row>
    <row r="3388" spans="1:40" x14ac:dyDescent="0.25">
      <c r="A3388" t="str">
        <f>"20190304154822981"</f>
        <v>20190304154822981</v>
      </c>
      <c r="B3388" t="str">
        <f>"1551685702969969"</f>
        <v>1551685702969969</v>
      </c>
      <c r="C3388" t="s">
        <v>40</v>
      </c>
      <c r="D3388">
        <v>4.3044449999999896</v>
      </c>
      <c r="E3388">
        <v>0.46513929999999998</v>
      </c>
      <c r="F3388" t="s">
        <v>54</v>
      </c>
      <c r="G3388">
        <v>-485.05369999999999</v>
      </c>
      <c r="H3388" s="1">
        <v>1.6746790000000001E-6</v>
      </c>
      <c r="I3388">
        <v>276.55900000000003</v>
      </c>
      <c r="J3388">
        <v>-470.29739999999998</v>
      </c>
      <c r="K3388">
        <v>1.11398</v>
      </c>
      <c r="L3388">
        <v>283.07010000000002</v>
      </c>
      <c r="M3388">
        <v>-0.97960879999999995</v>
      </c>
      <c r="N3388">
        <v>-1.433458E-2</v>
      </c>
      <c r="O3388">
        <v>-0.20040240000000001</v>
      </c>
      <c r="P3388">
        <v>-0.9317609</v>
      </c>
      <c r="Q3388">
        <v>0.16351459999999901</v>
      </c>
      <c r="R3388">
        <v>-0.32416790000000001</v>
      </c>
      <c r="S3388">
        <v>-2.8259889999999999</v>
      </c>
      <c r="T3388">
        <v>-0.21107580000000001</v>
      </c>
      <c r="U3388">
        <v>-1.240265</v>
      </c>
      <c r="V3388">
        <v>-0.13225399999999901</v>
      </c>
      <c r="W3388">
        <v>0.1764667</v>
      </c>
      <c r="X3388">
        <v>0.9753811</v>
      </c>
      <c r="Y3388">
        <v>-0.20990159999999999</v>
      </c>
      <c r="Z3388">
        <v>2.2242870000000001E-3</v>
      </c>
      <c r="AA3388">
        <v>0.97772000000000003</v>
      </c>
      <c r="AB3388">
        <v>29</v>
      </c>
      <c r="AC3388">
        <v>-14.7563</v>
      </c>
      <c r="AD3388">
        <v>-1.1139783253210001</v>
      </c>
      <c r="AE3388">
        <v>-6.5110999999999901</v>
      </c>
      <c r="AF3388">
        <v>-3.4052405908749801</v>
      </c>
      <c r="AG3388">
        <v>-1.1139783253210001</v>
      </c>
      <c r="AH3388">
        <v>15.687029694301501</v>
      </c>
      <c r="AI3388">
        <v>93.969762352200604</v>
      </c>
      <c r="AJ3388">
        <v>102.247392933578</v>
      </c>
      <c r="AK3388">
        <v>16.090976099072499</v>
      </c>
      <c r="AL3388">
        <v>79.8359772318925</v>
      </c>
      <c r="AM3388">
        <v>97.721764403608105</v>
      </c>
      <c r="AN3388">
        <v>0.99999995348104798</v>
      </c>
    </row>
    <row r="3389" spans="1:40" x14ac:dyDescent="0.25">
      <c r="A3389" t="str">
        <f>"20190304154822995"</f>
        <v>20190304154822995</v>
      </c>
      <c r="B3389" t="str">
        <f>"1551685702990465"</f>
        <v>1551685702990465</v>
      </c>
      <c r="C3389" t="s">
        <v>40</v>
      </c>
      <c r="D3389">
        <v>4.2895399999999997</v>
      </c>
      <c r="E3389">
        <v>0.4650396</v>
      </c>
      <c r="F3389" t="s">
        <v>54</v>
      </c>
      <c r="G3389">
        <v>-485.18860000000001</v>
      </c>
      <c r="H3389" s="1">
        <v>1.6733890000000001E-6</v>
      </c>
      <c r="I3389">
        <v>276.48379999999997</v>
      </c>
      <c r="J3389">
        <v>-470.47550000000001</v>
      </c>
      <c r="K3389">
        <v>1.114017</v>
      </c>
      <c r="L3389">
        <v>283.03089999999997</v>
      </c>
      <c r="M3389">
        <v>-0.97906819999999894</v>
      </c>
      <c r="N3389">
        <v>-1.4335260000000001E-2</v>
      </c>
      <c r="O3389">
        <v>-0.2030275</v>
      </c>
      <c r="P3389">
        <v>-0.93080439999999998</v>
      </c>
      <c r="Q3389">
        <v>0.16355600000000001</v>
      </c>
      <c r="R3389">
        <v>-0.32688339999999999</v>
      </c>
      <c r="S3389">
        <v>-2.8224490000000002</v>
      </c>
      <c r="T3389">
        <v>-0.21114079999999999</v>
      </c>
      <c r="U3389">
        <v>-1.2483519999999999</v>
      </c>
      <c r="V3389">
        <v>-0.1325017</v>
      </c>
      <c r="W3389">
        <v>0.17649489999999901</v>
      </c>
      <c r="X3389">
        <v>0.9753425</v>
      </c>
      <c r="Y3389">
        <v>-0.21008089999999999</v>
      </c>
      <c r="Z3389">
        <v>2.3650810000000002E-3</v>
      </c>
      <c r="AA3389">
        <v>0.97768120000000003</v>
      </c>
      <c r="AB3389">
        <v>29</v>
      </c>
      <c r="AC3389">
        <v>-14.713099999999899</v>
      </c>
      <c r="AD3389">
        <v>-1.114015326611</v>
      </c>
      <c r="AE3389">
        <v>-6.5471000000000004</v>
      </c>
      <c r="AF3389">
        <v>-3.4069415206409399</v>
      </c>
      <c r="AG3389">
        <v>-1.114015326611</v>
      </c>
      <c r="AH3389">
        <v>15.661041551109401</v>
      </c>
      <c r="AI3389">
        <v>93.976074776282402</v>
      </c>
      <c r="AJ3389">
        <v>102.27304328281301</v>
      </c>
      <c r="AK3389">
        <v>16.066004579190398</v>
      </c>
      <c r="AL3389">
        <v>79.834336935992795</v>
      </c>
      <c r="AM3389">
        <v>97.736354069764104</v>
      </c>
      <c r="AN3389">
        <v>1.0000000712675701</v>
      </c>
    </row>
    <row r="3390" spans="1:40" x14ac:dyDescent="0.25">
      <c r="A3390" t="str">
        <f>"20190304154823009"</f>
        <v>20190304154823009</v>
      </c>
      <c r="B3390" t="str">
        <f>"1551685703000224"</f>
        <v>1551685703000224</v>
      </c>
      <c r="C3390" t="s">
        <v>40</v>
      </c>
      <c r="D3390">
        <v>4.2800859999999998</v>
      </c>
      <c r="E3390">
        <v>0.46499940000000001</v>
      </c>
      <c r="F3390" t="s">
        <v>54</v>
      </c>
      <c r="G3390">
        <v>-485.3331</v>
      </c>
      <c r="H3390" s="1">
        <v>1.6725160000000001E-6</v>
      </c>
      <c r="I3390">
        <v>276.40600000000001</v>
      </c>
      <c r="J3390">
        <v>-470.6576</v>
      </c>
      <c r="K3390">
        <v>1.114058</v>
      </c>
      <c r="L3390">
        <v>282.99029999999999</v>
      </c>
      <c r="M3390">
        <v>-0.97849929999999996</v>
      </c>
      <c r="N3390">
        <v>-1.433618E-2</v>
      </c>
      <c r="O3390">
        <v>-0.20575170000000001</v>
      </c>
      <c r="P3390">
        <v>-0.92965690000000001</v>
      </c>
      <c r="Q3390">
        <v>0.16358439999999999</v>
      </c>
      <c r="R3390">
        <v>-0.33011929999999901</v>
      </c>
      <c r="S3390">
        <v>-2.8187869999999999</v>
      </c>
      <c r="T3390">
        <v>-0.21135139999999999</v>
      </c>
      <c r="U3390">
        <v>-1.256866</v>
      </c>
      <c r="V3390">
        <v>-0.13319909999999999</v>
      </c>
      <c r="W3390">
        <v>0.1765043</v>
      </c>
      <c r="X3390">
        <v>0.97524580000000005</v>
      </c>
      <c r="Y3390">
        <v>-0.21029870000000001</v>
      </c>
      <c r="Z3390">
        <v>2.5144880000000001E-3</v>
      </c>
      <c r="AA3390">
        <v>0.977634</v>
      </c>
      <c r="AB3390">
        <v>29</v>
      </c>
      <c r="AC3390">
        <v>-14.6755</v>
      </c>
      <c r="AD3390">
        <v>-1.1140563274840001</v>
      </c>
      <c r="AE3390">
        <v>-6.5842999999999803</v>
      </c>
      <c r="AF3390">
        <v>-3.4072305898380399</v>
      </c>
      <c r="AG3390">
        <v>-1.1140563274840001</v>
      </c>
      <c r="AH3390">
        <v>15.641278439897301</v>
      </c>
      <c r="AI3390">
        <v>93.980986596336393</v>
      </c>
      <c r="AJ3390">
        <v>102.28909059909699</v>
      </c>
      <c r="AK3390">
        <v>16.0468044490962</v>
      </c>
      <c r="AL3390">
        <v>79.833789745184205</v>
      </c>
      <c r="AM3390">
        <v>97.777337731144598</v>
      </c>
      <c r="AN3390">
        <v>1.0000000692884601</v>
      </c>
    </row>
    <row r="3391" spans="1:40" x14ac:dyDescent="0.25">
      <c r="A3391" t="str">
        <f>"20190304154823024"</f>
        <v>20190304154823024</v>
      </c>
      <c r="B3391" t="str">
        <f>"1551685703019744"</f>
        <v>1551685703019744</v>
      </c>
      <c r="C3391" t="s">
        <v>40</v>
      </c>
      <c r="D3391">
        <v>4.2638959999999999</v>
      </c>
      <c r="E3391">
        <v>0.46493430000000002</v>
      </c>
      <c r="F3391" t="s">
        <v>54</v>
      </c>
      <c r="G3391">
        <v>-485.4846</v>
      </c>
      <c r="H3391" s="1">
        <v>1.6699150000000001E-6</v>
      </c>
      <c r="I3391">
        <v>276.315</v>
      </c>
      <c r="J3391">
        <v>-470.84370000000001</v>
      </c>
      <c r="K3391">
        <v>1.1140950000000001</v>
      </c>
      <c r="L3391">
        <v>282.94810000000001</v>
      </c>
      <c r="M3391">
        <v>-0.97789979999999999</v>
      </c>
      <c r="N3391">
        <v>-1.433719E-2</v>
      </c>
      <c r="O3391">
        <v>-0.20858209999999999</v>
      </c>
      <c r="P3391">
        <v>-0.92828489999999997</v>
      </c>
      <c r="Q3391">
        <v>0.16394729999999999</v>
      </c>
      <c r="R3391">
        <v>-0.33377950000000001</v>
      </c>
      <c r="S3391">
        <v>-2.8143009999999999</v>
      </c>
      <c r="T3391">
        <v>-0.21145729999999999</v>
      </c>
      <c r="U3391">
        <v>-1.267029</v>
      </c>
      <c r="V3391">
        <v>-0.1342556</v>
      </c>
      <c r="W3391">
        <v>0.176844</v>
      </c>
      <c r="X3391">
        <v>0.97503930000000005</v>
      </c>
      <c r="Y3391">
        <v>-0.2109906</v>
      </c>
      <c r="Z3391">
        <v>2.646954E-3</v>
      </c>
      <c r="AA3391">
        <v>0.97748449999999998</v>
      </c>
      <c r="AB3391">
        <v>29</v>
      </c>
      <c r="AC3391">
        <v>-14.640899999999901</v>
      </c>
      <c r="AD3391">
        <v>-1.114093330085</v>
      </c>
      <c r="AE3391">
        <v>-6.6331000000000104</v>
      </c>
      <c r="AF3391">
        <v>-3.41661587012393</v>
      </c>
      <c r="AG3391">
        <v>-1.114093330085</v>
      </c>
      <c r="AH3391">
        <v>15.6274141134183</v>
      </c>
      <c r="AI3391">
        <v>93.983982256930602</v>
      </c>
      <c r="AJ3391">
        <v>102.33250573300199</v>
      </c>
      <c r="AK3391">
        <v>16.035290450265901</v>
      </c>
      <c r="AL3391">
        <v>79.814014608511798</v>
      </c>
      <c r="AM3391">
        <v>97.839901078590103</v>
      </c>
      <c r="AN3391">
        <v>1.0000000015059201</v>
      </c>
    </row>
    <row r="3392" spans="1:40" x14ac:dyDescent="0.25">
      <c r="A3392" t="str">
        <f>"20190304154823042"</f>
        <v>20190304154823042</v>
      </c>
      <c r="B3392" t="str">
        <f>"1551685703030481"</f>
        <v>1551685703030481</v>
      </c>
      <c r="C3392" t="s">
        <v>40</v>
      </c>
      <c r="D3392">
        <v>4.3188060000000004</v>
      </c>
      <c r="E3392">
        <v>0.46492670000000003</v>
      </c>
      <c r="F3392" t="s">
        <v>54</v>
      </c>
      <c r="G3392">
        <v>-485.69060000000002</v>
      </c>
      <c r="H3392" s="1">
        <v>1.6669690000000001E-6</v>
      </c>
      <c r="I3392">
        <v>276.19450000000001</v>
      </c>
      <c r="J3392">
        <v>-471.0677</v>
      </c>
      <c r="K3392">
        <v>1.11415</v>
      </c>
      <c r="L3392">
        <v>282.8965</v>
      </c>
      <c r="M3392">
        <v>-0.97715609999999997</v>
      </c>
      <c r="N3392">
        <v>-1.433859E-2</v>
      </c>
      <c r="O3392">
        <v>-0.2120389</v>
      </c>
      <c r="P3392">
        <v>-0.92664349999999995</v>
      </c>
      <c r="Q3392">
        <v>0.16407539999999901</v>
      </c>
      <c r="R3392">
        <v>-0.33824720000000003</v>
      </c>
      <c r="S3392">
        <v>-2.8095089999999998</v>
      </c>
      <c r="T3392">
        <v>-0.2108226</v>
      </c>
      <c r="U3392">
        <v>-1.2779849999999999</v>
      </c>
      <c r="V3392">
        <v>-0.1355343</v>
      </c>
      <c r="W3392">
        <v>0.1769445</v>
      </c>
      <c r="X3392">
        <v>0.97484420000000005</v>
      </c>
      <c r="Y3392">
        <v>-0.21132580000000001</v>
      </c>
      <c r="Z3392">
        <v>2.803673E-3</v>
      </c>
      <c r="AA3392">
        <v>0.97741169999999999</v>
      </c>
      <c r="AB3392">
        <v>29</v>
      </c>
      <c r="AC3392">
        <v>-14.6229</v>
      </c>
      <c r="AD3392">
        <v>-1.114148333031</v>
      </c>
      <c r="AE3392">
        <v>-6.7019999999999902</v>
      </c>
      <c r="AF3392">
        <v>-3.4321651361779</v>
      </c>
      <c r="AG3392">
        <v>-1.114148333031</v>
      </c>
      <c r="AH3392">
        <v>15.6365389379351</v>
      </c>
      <c r="AI3392">
        <v>93.981141683054005</v>
      </c>
      <c r="AJ3392">
        <v>102.37989748833</v>
      </c>
      <c r="AK3392">
        <v>16.047505537856999</v>
      </c>
      <c r="AL3392">
        <v>79.808164705875399</v>
      </c>
      <c r="AM3392">
        <v>97.915193259648703</v>
      </c>
      <c r="AN3392">
        <v>1.00000005841518</v>
      </c>
    </row>
    <row r="3393" spans="1:40" x14ac:dyDescent="0.25">
      <c r="A3393" t="str">
        <f>"20190304154823056"</f>
        <v>20190304154823056</v>
      </c>
      <c r="B3393" t="str">
        <f>"1551685703050000"</f>
        <v>1551685703050000</v>
      </c>
      <c r="C3393" t="s">
        <v>40</v>
      </c>
      <c r="D3393">
        <v>4.3127360000000001</v>
      </c>
      <c r="E3393">
        <v>0.46494160000000001</v>
      </c>
      <c r="F3393" t="s">
        <v>54</v>
      </c>
      <c r="G3393">
        <v>-485.88959999999997</v>
      </c>
      <c r="H3393" s="1">
        <v>1.6628099999999901E-6</v>
      </c>
      <c r="I3393">
        <v>276.07069999999999</v>
      </c>
      <c r="J3393">
        <v>-471.24349999999998</v>
      </c>
      <c r="K3393">
        <v>1.11419</v>
      </c>
      <c r="L3393">
        <v>282.85539999999997</v>
      </c>
      <c r="M3393">
        <v>-0.97655499999999995</v>
      </c>
      <c r="N3393">
        <v>-1.433984E-2</v>
      </c>
      <c r="O3393">
        <v>-0.2147897</v>
      </c>
      <c r="P3393">
        <v>-0.9255871</v>
      </c>
      <c r="Q3393">
        <v>0.1642323</v>
      </c>
      <c r="R3393">
        <v>-0.34105159999999901</v>
      </c>
      <c r="S3393">
        <v>-2.8035580000000002</v>
      </c>
      <c r="T3393">
        <v>-0.21074200000000001</v>
      </c>
      <c r="U3393">
        <v>-1.291107</v>
      </c>
      <c r="V3393">
        <v>-0.13576549999999901</v>
      </c>
      <c r="W3393">
        <v>0.1770872</v>
      </c>
      <c r="X3393">
        <v>0.97478600000000004</v>
      </c>
      <c r="Y3393">
        <v>-0.21313480000000001</v>
      </c>
      <c r="Z3393">
        <v>2.8783540000000001E-3</v>
      </c>
      <c r="AA3393">
        <v>0.97701850000000001</v>
      </c>
      <c r="AB3393">
        <v>29</v>
      </c>
      <c r="AC3393">
        <v>-14.646099999999899</v>
      </c>
      <c r="AD3393">
        <v>-1.1141883371899901</v>
      </c>
      <c r="AE3393">
        <v>-6.7846999999999804</v>
      </c>
      <c r="AF3393">
        <v>-3.4636557347224</v>
      </c>
      <c r="AG3393">
        <v>-1.1141883371899901</v>
      </c>
      <c r="AH3393">
        <v>15.6868827390951</v>
      </c>
      <c r="AI3393">
        <v>93.967465786596193</v>
      </c>
      <c r="AJ3393">
        <v>102.45110395851199</v>
      </c>
      <c r="AK3393">
        <v>16.103310739395301</v>
      </c>
      <c r="AL3393">
        <v>79.799856257025496</v>
      </c>
      <c r="AM3393">
        <v>97.928991115628406</v>
      </c>
      <c r="AN3393">
        <v>0.99999994659504299</v>
      </c>
    </row>
    <row r="3394" spans="1:40" x14ac:dyDescent="0.25">
      <c r="A3394" t="str">
        <f>"20190304154823069"</f>
        <v>20190304154823069</v>
      </c>
      <c r="B3394" t="str">
        <f>"1551685703059760"</f>
        <v>1551685703059760</v>
      </c>
      <c r="C3394" t="s">
        <v>40</v>
      </c>
      <c r="D3394">
        <v>4.3033460000000003</v>
      </c>
      <c r="E3394">
        <v>0.46495419999999998</v>
      </c>
      <c r="F3394" t="s">
        <v>54</v>
      </c>
      <c r="G3394">
        <v>-486.06330000000003</v>
      </c>
      <c r="H3394" s="1">
        <v>1.661549E-6</v>
      </c>
      <c r="I3394">
        <v>275.97609999999997</v>
      </c>
      <c r="J3394">
        <v>-471.4144</v>
      </c>
      <c r="K3394">
        <v>1.1142289999999999</v>
      </c>
      <c r="L3394">
        <v>282.81509999999997</v>
      </c>
      <c r="M3394">
        <v>-0.97595580000000004</v>
      </c>
      <c r="N3394">
        <v>-1.434116E-2</v>
      </c>
      <c r="O3394">
        <v>-0.21749599999999999</v>
      </c>
      <c r="P3394">
        <v>-0.92457820000000002</v>
      </c>
      <c r="Q3394">
        <v>0.1641637</v>
      </c>
      <c r="R3394">
        <v>-0.34381089999999997</v>
      </c>
      <c r="S3394">
        <v>-2.7996829999999999</v>
      </c>
      <c r="T3394">
        <v>-0.21048800000000001</v>
      </c>
      <c r="U3394">
        <v>-1.2996219999999901</v>
      </c>
      <c r="V3394">
        <v>-0.13598370000000001</v>
      </c>
      <c r="W3394">
        <v>0.177006</v>
      </c>
      <c r="X3394">
        <v>0.97477040000000004</v>
      </c>
      <c r="Y3394">
        <v>-0.2133911</v>
      </c>
      <c r="Z3394">
        <v>3.009018E-3</v>
      </c>
      <c r="AA3394">
        <v>0.9769622</v>
      </c>
      <c r="AB3394">
        <v>29</v>
      </c>
      <c r="AC3394">
        <v>-14.648899999999999</v>
      </c>
      <c r="AD3394">
        <v>-1.114227338451</v>
      </c>
      <c r="AE3394">
        <v>-6.8389999999999898</v>
      </c>
      <c r="AF3394">
        <v>-3.47234943676587</v>
      </c>
      <c r="AG3394">
        <v>-1.114227338451</v>
      </c>
      <c r="AH3394">
        <v>15.7111284430898</v>
      </c>
      <c r="AI3394">
        <v>93.961324021933606</v>
      </c>
      <c r="AJ3394">
        <v>102.46271853792101</v>
      </c>
      <c r="AK3394">
        <v>16.1288025013646</v>
      </c>
      <c r="AL3394">
        <v>79.804584021949793</v>
      </c>
      <c r="AM3394">
        <v>97.941697467541104</v>
      </c>
      <c r="AN3394">
        <v>1.0000000117089201</v>
      </c>
    </row>
    <row r="3395" spans="1:40" x14ac:dyDescent="0.25">
      <c r="A3395" t="str">
        <f>"20190304154823082"</f>
        <v>20190304154823082</v>
      </c>
      <c r="B3395" t="str">
        <f>"1551685703070498"</f>
        <v>1551685703070498</v>
      </c>
      <c r="C3395" t="s">
        <v>40</v>
      </c>
      <c r="D3395">
        <v>4.2932410000000001</v>
      </c>
      <c r="E3395">
        <v>0.46496510000000002</v>
      </c>
      <c r="F3395" t="s">
        <v>54</v>
      </c>
      <c r="G3395">
        <v>-486.18040000000002</v>
      </c>
      <c r="H3395" s="1">
        <v>1.659486E-6</v>
      </c>
      <c r="I3395">
        <v>275.90539999999999</v>
      </c>
      <c r="J3395">
        <v>-471.56670000000003</v>
      </c>
      <c r="K3395">
        <v>1.114263</v>
      </c>
      <c r="L3395">
        <v>282.77839999999998</v>
      </c>
      <c r="M3395">
        <v>-0.97540640000000001</v>
      </c>
      <c r="N3395">
        <v>-1.434244E-2</v>
      </c>
      <c r="O3395">
        <v>-0.21994749999999999</v>
      </c>
      <c r="P3395">
        <v>-0.92343319999999995</v>
      </c>
      <c r="Q3395">
        <v>0.1641716</v>
      </c>
      <c r="R3395">
        <v>-0.34687089999999998</v>
      </c>
      <c r="S3395">
        <v>-2.7956850000000002</v>
      </c>
      <c r="T3395">
        <v>-0.21095910000000001</v>
      </c>
      <c r="U3395">
        <v>-1.3082279999999999</v>
      </c>
      <c r="V3395">
        <v>-0.1367787</v>
      </c>
      <c r="W3395">
        <v>0.17699609999999999</v>
      </c>
      <c r="X3395">
        <v>0.97466090000000005</v>
      </c>
      <c r="Y3395">
        <v>-0.2139412</v>
      </c>
      <c r="Z3395">
        <v>3.1397959999999998E-3</v>
      </c>
      <c r="AA3395">
        <v>0.97684150000000003</v>
      </c>
      <c r="AB3395">
        <v>29</v>
      </c>
      <c r="AC3395">
        <v>-14.6136999999999</v>
      </c>
      <c r="AD3395">
        <v>-1.1142613405140001</v>
      </c>
      <c r="AE3395">
        <v>-6.8729999999999896</v>
      </c>
      <c r="AF3395">
        <v>-3.4735435070160499</v>
      </c>
      <c r="AG3395">
        <v>-1.1142613405140001</v>
      </c>
      <c r="AH3395">
        <v>15.6929065477678</v>
      </c>
      <c r="AI3395">
        <v>93.9657523501035</v>
      </c>
      <c r="AJ3395">
        <v>102.48089285146</v>
      </c>
      <c r="AK3395">
        <v>16.111312756788902</v>
      </c>
      <c r="AL3395">
        <v>79.805159725380406</v>
      </c>
      <c r="AM3395">
        <v>97.988415190467293</v>
      </c>
      <c r="AN3395">
        <v>0.99999995108885298</v>
      </c>
    </row>
    <row r="3396" spans="1:40" x14ac:dyDescent="0.25">
      <c r="A3396" t="str">
        <f>"20190304154823094"</f>
        <v>20190304154823094</v>
      </c>
      <c r="B3396" t="str">
        <f>"1551685703090016"</f>
        <v>1551685703090016</v>
      </c>
      <c r="C3396" t="s">
        <v>40</v>
      </c>
      <c r="D3396">
        <v>4.3142909999999999</v>
      </c>
      <c r="E3396">
        <v>0.46500439999999998</v>
      </c>
      <c r="F3396" t="s">
        <v>54</v>
      </c>
      <c r="G3396">
        <v>-486.28579999999999</v>
      </c>
      <c r="H3396" s="1">
        <v>1.656304E-6</v>
      </c>
      <c r="I3396">
        <v>275.83420000000001</v>
      </c>
      <c r="J3396">
        <v>-471.72859999999997</v>
      </c>
      <c r="K3396">
        <v>1.1142939999999999</v>
      </c>
      <c r="L3396">
        <v>282.73919999999998</v>
      </c>
      <c r="M3396">
        <v>-0.97481110000000004</v>
      </c>
      <c r="N3396">
        <v>-1.4343760000000001E-2</v>
      </c>
      <c r="O3396">
        <v>-0.22257109999999999</v>
      </c>
      <c r="P3396">
        <v>-0.92230140000000005</v>
      </c>
      <c r="Q3396">
        <v>0.16428010000000001</v>
      </c>
      <c r="R3396">
        <v>-0.34981810000000002</v>
      </c>
      <c r="S3396">
        <v>-2.791595</v>
      </c>
      <c r="T3396">
        <v>-0.2113293</v>
      </c>
      <c r="U3396">
        <v>-1.3170170000000001</v>
      </c>
      <c r="V3396">
        <v>-0.13729089999999999</v>
      </c>
      <c r="W3396">
        <v>0.1770881</v>
      </c>
      <c r="X3396">
        <v>0.9745722</v>
      </c>
      <c r="Y3396">
        <v>-0.21438280000000001</v>
      </c>
      <c r="Z3396">
        <v>3.2816529999999998E-3</v>
      </c>
      <c r="AA3396">
        <v>0.97674419999999995</v>
      </c>
      <c r="AB3396">
        <v>29</v>
      </c>
      <c r="AC3396">
        <v>-14.5572</v>
      </c>
      <c r="AD3396">
        <v>-1.1142923436959999</v>
      </c>
      <c r="AE3396">
        <v>-6.9049999999999701</v>
      </c>
      <c r="AF3396">
        <v>-3.4747969940602799</v>
      </c>
      <c r="AG3396">
        <v>-1.1142923436959999</v>
      </c>
      <c r="AH3396">
        <v>15.6541142073812</v>
      </c>
      <c r="AI3396">
        <v>93.975132370881099</v>
      </c>
      <c r="AJ3396">
        <v>102.515221560367</v>
      </c>
      <c r="AK3396">
        <v>16.073803320772701</v>
      </c>
      <c r="AL3396">
        <v>79.799804204009902</v>
      </c>
      <c r="AM3396">
        <v>98.018661637954693</v>
      </c>
      <c r="AN3396">
        <v>0.99999997969862897</v>
      </c>
    </row>
    <row r="3397" spans="1:40" x14ac:dyDescent="0.25">
      <c r="A3397" t="str">
        <f>"20190304154823107"</f>
        <v>20190304154823107</v>
      </c>
      <c r="B3397" t="str">
        <f>"1551685703099777"</f>
        <v>1551685703099777</v>
      </c>
      <c r="C3397" t="s">
        <v>40</v>
      </c>
      <c r="D3397">
        <v>4.2937250000000002</v>
      </c>
      <c r="E3397">
        <v>0.46502379999999999</v>
      </c>
      <c r="F3397" t="s">
        <v>54</v>
      </c>
      <c r="G3397">
        <v>-486.4119</v>
      </c>
      <c r="H3397" s="1">
        <v>1.6539200000000001E-6</v>
      </c>
      <c r="I3397">
        <v>275.75720000000001</v>
      </c>
      <c r="J3397">
        <v>-471.89240000000001</v>
      </c>
      <c r="K3397">
        <v>1.114331</v>
      </c>
      <c r="L3397">
        <v>282.69889999999998</v>
      </c>
      <c r="M3397">
        <v>-0.97419290000000003</v>
      </c>
      <c r="N3397">
        <v>-1.4345159999999999E-2</v>
      </c>
      <c r="O3397">
        <v>-0.22526099999999999</v>
      </c>
      <c r="P3397">
        <v>-0.92114169999999995</v>
      </c>
      <c r="Q3397">
        <v>0.16397149999999999</v>
      </c>
      <c r="R3397">
        <v>-0.35300409999999999</v>
      </c>
      <c r="S3397">
        <v>-2.7876889999999999</v>
      </c>
      <c r="T3397">
        <v>-0.2115533</v>
      </c>
      <c r="U3397">
        <v>-1.3255619999999999</v>
      </c>
      <c r="V3397">
        <v>-0.13797100000000001</v>
      </c>
      <c r="W3397">
        <v>0.17676239999999999</v>
      </c>
      <c r="X3397">
        <v>0.97453529999999999</v>
      </c>
      <c r="Y3397">
        <v>-0.2146622</v>
      </c>
      <c r="Z3397">
        <v>3.4287649999999999E-3</v>
      </c>
      <c r="AA3397">
        <v>0.9766823</v>
      </c>
      <c r="AB3397">
        <v>29</v>
      </c>
      <c r="AC3397">
        <v>-14.519499999999899</v>
      </c>
      <c r="AD3397">
        <v>-1.1143293460799999</v>
      </c>
      <c r="AE3397">
        <v>-6.94169999999996</v>
      </c>
      <c r="AF3397">
        <v>-3.4755740867976699</v>
      </c>
      <c r="AG3397">
        <v>-1.1143293460799999</v>
      </c>
      <c r="AH3397">
        <v>15.635144712900001</v>
      </c>
      <c r="AI3397">
        <v>93.979803581551096</v>
      </c>
      <c r="AJ3397">
        <v>102.532640177125</v>
      </c>
      <c r="AK3397">
        <v>16.055500469237298</v>
      </c>
      <c r="AL3397">
        <v>79.818764730026601</v>
      </c>
      <c r="AM3397">
        <v>98.058164462442704</v>
      </c>
      <c r="AN3397">
        <v>0.99999999692042496</v>
      </c>
    </row>
    <row r="3398" spans="1:40" x14ac:dyDescent="0.25">
      <c r="A3398" t="str">
        <f>"20190304154823120"</f>
        <v>20190304154823120</v>
      </c>
      <c r="B3398" t="str">
        <f>"1551685703110513"</f>
        <v>1551685703110513</v>
      </c>
      <c r="C3398" t="s">
        <v>40</v>
      </c>
      <c r="D3398">
        <v>4.3124269999999996</v>
      </c>
      <c r="E3398">
        <v>0.46506520000000001</v>
      </c>
      <c r="F3398" t="s">
        <v>54</v>
      </c>
      <c r="G3398">
        <v>-486.46730000000002</v>
      </c>
      <c r="H3398" s="1">
        <v>1.6500469999999999E-6</v>
      </c>
      <c r="I3398">
        <v>275.70729999999998</v>
      </c>
      <c r="J3398">
        <v>-472.04610000000002</v>
      </c>
      <c r="K3398">
        <v>1.1143609999999999</v>
      </c>
      <c r="L3398">
        <v>282.66059999999999</v>
      </c>
      <c r="M3398">
        <v>-0.97359799999999996</v>
      </c>
      <c r="N3398">
        <v>-1.4346619999999999E-2</v>
      </c>
      <c r="O3398">
        <v>-0.22781879999999999</v>
      </c>
      <c r="P3398">
        <v>-0.91996049999999996</v>
      </c>
      <c r="Q3398">
        <v>0.16417490000000001</v>
      </c>
      <c r="R3398">
        <v>-0.35597699999999999</v>
      </c>
      <c r="S3398">
        <v>-2.7830810000000001</v>
      </c>
      <c r="T3398">
        <v>-0.21278179999999999</v>
      </c>
      <c r="U3398">
        <v>-1.3350519999999999</v>
      </c>
      <c r="V3398">
        <v>-0.13858529999999999</v>
      </c>
      <c r="W3398">
        <v>0.1769492</v>
      </c>
      <c r="X3398">
        <v>0.97441420000000001</v>
      </c>
      <c r="Y3398">
        <v>-0.21543519999999999</v>
      </c>
      <c r="Z3398">
        <v>3.5882219999999999E-3</v>
      </c>
      <c r="AA3398">
        <v>0.97651149999999998</v>
      </c>
      <c r="AB3398">
        <v>29</v>
      </c>
      <c r="AC3398">
        <v>-14.421200000000001</v>
      </c>
      <c r="AD3398">
        <v>-1.114359349953</v>
      </c>
      <c r="AE3398">
        <v>-6.9533000000000103</v>
      </c>
      <c r="AF3398">
        <v>-3.4678558067709302</v>
      </c>
      <c r="AG3398">
        <v>-1.114359349953</v>
      </c>
      <c r="AH3398">
        <v>15.5508104456234</v>
      </c>
      <c r="AI3398">
        <v>94.0008241086189</v>
      </c>
      <c r="AJ3398">
        <v>102.571355010375</v>
      </c>
      <c r="AK3398">
        <v>15.971710183104801</v>
      </c>
      <c r="AL3398">
        <v>79.807890176826703</v>
      </c>
      <c r="AM3398">
        <v>98.094560702917093</v>
      </c>
      <c r="AN3398">
        <v>0.99999996895918397</v>
      </c>
    </row>
    <row r="3399" spans="1:40" x14ac:dyDescent="0.25">
      <c r="A3399" t="str">
        <f>"20190304154823135"</f>
        <v>20190304154823135</v>
      </c>
      <c r="B3399" t="str">
        <f>"1551685703130033"</f>
        <v>1551685703130033</v>
      </c>
      <c r="C3399" t="s">
        <v>40</v>
      </c>
      <c r="D3399">
        <v>4.3205249999999999</v>
      </c>
      <c r="E3399">
        <v>0.46511669999999999</v>
      </c>
      <c r="F3399" t="s">
        <v>54</v>
      </c>
      <c r="G3399">
        <v>-486.62509999999997</v>
      </c>
      <c r="H3399" s="1">
        <v>1.6472230000000001E-6</v>
      </c>
      <c r="I3399">
        <v>275.61180000000002</v>
      </c>
      <c r="J3399">
        <v>-472.22579999999999</v>
      </c>
      <c r="K3399">
        <v>1.1143989999999999</v>
      </c>
      <c r="L3399">
        <v>282.61529999999999</v>
      </c>
      <c r="M3399">
        <v>-0.97288779999999997</v>
      </c>
      <c r="N3399">
        <v>-1.4348349999999999E-2</v>
      </c>
      <c r="O3399">
        <v>-0.2308327</v>
      </c>
      <c r="P3399">
        <v>-0.91867849999999995</v>
      </c>
      <c r="Q3399">
        <v>0.16428980000000001</v>
      </c>
      <c r="R3399">
        <v>-0.35921969999999998</v>
      </c>
      <c r="S3399">
        <v>-2.7790219999999999</v>
      </c>
      <c r="T3399">
        <v>-0.21241769999999999</v>
      </c>
      <c r="U3399">
        <v>-1.343628</v>
      </c>
      <c r="V3399">
        <v>-0.13902829999999999</v>
      </c>
      <c r="W3399">
        <v>0.17704729999999999</v>
      </c>
      <c r="X3399">
        <v>0.97433329999999996</v>
      </c>
      <c r="Y3399">
        <v>-0.21541750000000001</v>
      </c>
      <c r="Z3399">
        <v>3.7442819999999998E-3</v>
      </c>
      <c r="AA3399">
        <v>0.97651489999999996</v>
      </c>
      <c r="AB3399">
        <v>29</v>
      </c>
      <c r="AC3399">
        <v>-14.399299999999901</v>
      </c>
      <c r="AD3399">
        <v>-1.1143973527769999</v>
      </c>
      <c r="AE3399">
        <v>-7.0034999999999696</v>
      </c>
      <c r="AF3399">
        <v>-3.4733253123720802</v>
      </c>
      <c r="AG3399">
        <v>-1.1143973527769999</v>
      </c>
      <c r="AH3399">
        <v>15.551817620754701</v>
      </c>
      <c r="AI3399">
        <v>94.000415948525202</v>
      </c>
      <c r="AJ3399">
        <v>102.589761475538</v>
      </c>
      <c r="AK3399">
        <v>15.9738818542851</v>
      </c>
      <c r="AL3399">
        <v>79.802179582137796</v>
      </c>
      <c r="AM3399">
        <v>98.120756357506494</v>
      </c>
      <c r="AN3399">
        <v>0.99999999706353504</v>
      </c>
    </row>
    <row r="3400" spans="1:40" x14ac:dyDescent="0.25">
      <c r="A3400" t="str">
        <f>"20190304154823149"</f>
        <v>20190304154823149</v>
      </c>
      <c r="B3400" t="str">
        <f>"1551685703139793"</f>
        <v>1551685703139793</v>
      </c>
      <c r="C3400" t="s">
        <v>40</v>
      </c>
      <c r="D3400">
        <v>4.3130850000000001</v>
      </c>
      <c r="E3400">
        <v>0.46516879999999999</v>
      </c>
      <c r="F3400" t="s">
        <v>54</v>
      </c>
      <c r="G3400">
        <v>-486.7713</v>
      </c>
      <c r="H3400" s="1">
        <v>1.644521E-6</v>
      </c>
      <c r="I3400">
        <v>275.52280000000002</v>
      </c>
      <c r="J3400">
        <v>-472.40949999999998</v>
      </c>
      <c r="K3400">
        <v>1.11443799999999</v>
      </c>
      <c r="L3400">
        <v>282.5684</v>
      </c>
      <c r="M3400">
        <v>-0.97214120000000004</v>
      </c>
      <c r="N3400">
        <v>-1.4350190000000001E-2</v>
      </c>
      <c r="O3400">
        <v>-0.23395650000000001</v>
      </c>
      <c r="P3400">
        <v>-0.91722590000000004</v>
      </c>
      <c r="Q3400">
        <v>0.1645578</v>
      </c>
      <c r="R3400">
        <v>-0.36279109999999998</v>
      </c>
      <c r="S3400">
        <v>-2.7745669999999998</v>
      </c>
      <c r="T3400">
        <v>-0.2125726</v>
      </c>
      <c r="U3400">
        <v>-1.352905</v>
      </c>
      <c r="V3400">
        <v>-0.1397226</v>
      </c>
      <c r="W3400">
        <v>0.17729510000000001</v>
      </c>
      <c r="X3400">
        <v>0.97418890000000002</v>
      </c>
      <c r="Y3400">
        <v>-0.2155406</v>
      </c>
      <c r="Z3400">
        <v>3.9214569999999997E-3</v>
      </c>
      <c r="AA3400">
        <v>0.97648699999999999</v>
      </c>
      <c r="AB3400">
        <v>29</v>
      </c>
      <c r="AC3400">
        <v>-14.361800000000001</v>
      </c>
      <c r="AD3400">
        <v>-1.11443635547899</v>
      </c>
      <c r="AE3400">
        <v>-7.0455999999999701</v>
      </c>
      <c r="AF3400">
        <v>-3.4727862776573701</v>
      </c>
      <c r="AG3400">
        <v>-1.11443635547899</v>
      </c>
      <c r="AH3400">
        <v>15.536266086756401</v>
      </c>
      <c r="AI3400">
        <v>94.004386545910194</v>
      </c>
      <c r="AJ3400">
        <v>102.600068006445</v>
      </c>
      <c r="AK3400">
        <v>15.958627034904801</v>
      </c>
      <c r="AL3400">
        <v>79.787753344564806</v>
      </c>
      <c r="AM3400">
        <v>98.161959389138502</v>
      </c>
      <c r="AN3400">
        <v>0.99999998515898902</v>
      </c>
    </row>
    <row r="3401" spans="1:40" x14ac:dyDescent="0.25">
      <c r="A3401" t="str">
        <f>"20190304154823163"</f>
        <v>20190304154823163</v>
      </c>
      <c r="B3401" t="str">
        <f>"1551685703160289"</f>
        <v>1551685703160289</v>
      </c>
      <c r="C3401" t="s">
        <v>40</v>
      </c>
      <c r="D3401">
        <v>4.3239239999999999</v>
      </c>
      <c r="E3401">
        <v>0.46527610000000003</v>
      </c>
      <c r="F3401" t="s">
        <v>54</v>
      </c>
      <c r="G3401">
        <v>-486.96710000000002</v>
      </c>
      <c r="H3401" s="1">
        <v>1.640753E-6</v>
      </c>
      <c r="I3401">
        <v>275.40280000000001</v>
      </c>
      <c r="J3401">
        <v>-472.57369999999997</v>
      </c>
      <c r="K3401">
        <v>1.1144750000000001</v>
      </c>
      <c r="L3401">
        <v>282.5258</v>
      </c>
      <c r="M3401">
        <v>-0.97145519999999996</v>
      </c>
      <c r="N3401">
        <v>-1.435202E-2</v>
      </c>
      <c r="O3401">
        <v>-0.23678830000000001</v>
      </c>
      <c r="P3401">
        <v>-0.91596690000000003</v>
      </c>
      <c r="Q3401">
        <v>0.164340299999999</v>
      </c>
      <c r="R3401">
        <v>-0.36605589999999999</v>
      </c>
      <c r="S3401">
        <v>-2.7695620000000001</v>
      </c>
      <c r="T3401">
        <v>-0.21202090000000001</v>
      </c>
      <c r="U3401">
        <v>-1.363251</v>
      </c>
      <c r="V3401">
        <v>-0.1403594</v>
      </c>
      <c r="W3401">
        <v>0.17706040000000001</v>
      </c>
      <c r="X3401">
        <v>0.97414000000000001</v>
      </c>
      <c r="Y3401">
        <v>-0.216333</v>
      </c>
      <c r="Z3401">
        <v>4.0246500000000003E-3</v>
      </c>
      <c r="AA3401">
        <v>0.97631129999999999</v>
      </c>
      <c r="AB3401">
        <v>29</v>
      </c>
      <c r="AC3401">
        <v>-14.3934</v>
      </c>
      <c r="AD3401">
        <v>-1.114473359247</v>
      </c>
      <c r="AE3401">
        <v>-7.1229999999999896</v>
      </c>
      <c r="AF3401">
        <v>-3.4950169794646899</v>
      </c>
      <c r="AG3401">
        <v>-1.114473359247</v>
      </c>
      <c r="AH3401">
        <v>15.5956941917213</v>
      </c>
      <c r="AI3401">
        <v>93.988822858643402</v>
      </c>
      <c r="AJ3401">
        <v>102.63136923702</v>
      </c>
      <c r="AK3401">
        <v>16.0213255343279</v>
      </c>
      <c r="AL3401">
        <v>79.801416401680697</v>
      </c>
      <c r="AM3401">
        <v>98.199059726508906</v>
      </c>
      <c r="AN3401">
        <v>0.99999994300825801</v>
      </c>
    </row>
    <row r="3402" spans="1:40" x14ac:dyDescent="0.25">
      <c r="A3402" t="str">
        <f>"20190304154823176"</f>
        <v>20190304154823176</v>
      </c>
      <c r="B3402" t="str">
        <f>"1551685703170049"</f>
        <v>1551685703170049</v>
      </c>
      <c r="C3402" t="s">
        <v>40</v>
      </c>
      <c r="D3402">
        <v>4.2928379999999997</v>
      </c>
      <c r="E3402">
        <v>0.46532089999999998</v>
      </c>
      <c r="F3402" t="s">
        <v>54</v>
      </c>
      <c r="G3402">
        <v>-487.00580000000002</v>
      </c>
      <c r="H3402" s="1">
        <v>1.6372110000000001E-6</v>
      </c>
      <c r="I3402">
        <v>275.36320000000001</v>
      </c>
      <c r="J3402">
        <v>-472.74540000000002</v>
      </c>
      <c r="K3402">
        <v>1.1145149999999999</v>
      </c>
      <c r="L3402">
        <v>282.48070000000001</v>
      </c>
      <c r="M3402">
        <v>-0.97072170000000002</v>
      </c>
      <c r="N3402">
        <v>-1.4353930000000001E-2</v>
      </c>
      <c r="O3402">
        <v>-0.23977789999999999</v>
      </c>
      <c r="P3402">
        <v>-0.9143947</v>
      </c>
      <c r="Q3402">
        <v>0.16420760000000001</v>
      </c>
      <c r="R3402">
        <v>-0.37002429999999997</v>
      </c>
      <c r="S3402">
        <v>-2.7650760000000001</v>
      </c>
      <c r="T3402">
        <v>-0.21352399999999999</v>
      </c>
      <c r="U3402">
        <v>-1.3722840000000001</v>
      </c>
      <c r="V3402">
        <v>-0.141598</v>
      </c>
      <c r="W3402">
        <v>0.17690320000000001</v>
      </c>
      <c r="X3402">
        <v>0.97398940000000001</v>
      </c>
      <c r="Y3402">
        <v>-0.2165194</v>
      </c>
      <c r="Z3402">
        <v>4.2498930000000002E-3</v>
      </c>
      <c r="AA3402">
        <v>0.9762691</v>
      </c>
      <c r="AB3402">
        <v>29</v>
      </c>
      <c r="AC3402">
        <v>-14.260400000000001</v>
      </c>
      <c r="AD3402">
        <v>-1.11451336278899</v>
      </c>
      <c r="AE3402">
        <v>-7.1174999999999997</v>
      </c>
      <c r="AF3402">
        <v>-3.4731586835331898</v>
      </c>
      <c r="AG3402">
        <v>-1.11451336278899</v>
      </c>
      <c r="AH3402">
        <v>15.475425910211801</v>
      </c>
      <c r="AI3402">
        <v>94.0195832345307</v>
      </c>
      <c r="AJ3402">
        <v>102.64932596205099</v>
      </c>
      <c r="AK3402">
        <v>15.8994898779581</v>
      </c>
      <c r="AL3402">
        <v>79.810568796313802</v>
      </c>
      <c r="AM3402">
        <v>98.271676781521904</v>
      </c>
      <c r="AN3402">
        <v>1.0000000435432901</v>
      </c>
    </row>
    <row r="3403" spans="1:40" x14ac:dyDescent="0.25">
      <c r="A3403" t="str">
        <f>"20190304154823190"</f>
        <v>20190304154823190</v>
      </c>
      <c r="B3403" t="str">
        <f>"1551685703179809"</f>
        <v>1551685703179809</v>
      </c>
      <c r="C3403" t="s">
        <v>40</v>
      </c>
      <c r="D3403">
        <v>4.3100809999999896</v>
      </c>
      <c r="E3403">
        <v>0.4653814</v>
      </c>
      <c r="F3403" t="s">
        <v>54</v>
      </c>
      <c r="G3403">
        <v>-487.089</v>
      </c>
      <c r="H3403" s="1">
        <v>1.63161E-6</v>
      </c>
      <c r="I3403">
        <v>275.28949999999998</v>
      </c>
      <c r="J3403">
        <v>-472.91609999999997</v>
      </c>
      <c r="K3403">
        <v>1.1145480000000001</v>
      </c>
      <c r="L3403">
        <v>282.43540000000002</v>
      </c>
      <c r="M3403">
        <v>-0.96997449999999996</v>
      </c>
      <c r="N3403">
        <v>-1.435582E-2</v>
      </c>
      <c r="O3403">
        <v>-0.2427832</v>
      </c>
      <c r="P3403">
        <v>-0.91314419999999996</v>
      </c>
      <c r="Q3403">
        <v>0.1640887</v>
      </c>
      <c r="R3403">
        <v>-0.37315290000000001</v>
      </c>
      <c r="S3403">
        <v>-2.7595209999999999</v>
      </c>
      <c r="T3403">
        <v>-0.21441689999999999</v>
      </c>
      <c r="U3403">
        <v>-1.3834839999999999</v>
      </c>
      <c r="V3403">
        <v>-0.14192750000000001</v>
      </c>
      <c r="W3403">
        <v>0.17676900000000001</v>
      </c>
      <c r="X3403">
        <v>0.97396579999999999</v>
      </c>
      <c r="Y3403">
        <v>-0.21745020000000001</v>
      </c>
      <c r="Z3403">
        <v>4.4206569999999997E-3</v>
      </c>
      <c r="AA3403">
        <v>0.97606139999999997</v>
      </c>
      <c r="AB3403">
        <v>29</v>
      </c>
      <c r="AC3403">
        <v>-14.1729</v>
      </c>
      <c r="AD3403">
        <v>-1.1145463683900001</v>
      </c>
      <c r="AE3403">
        <v>-7.1459000000000401</v>
      </c>
      <c r="AF3403">
        <v>-3.4736305595089201</v>
      </c>
      <c r="AG3403">
        <v>-1.1145463683900001</v>
      </c>
      <c r="AH3403">
        <v>15.40787784205</v>
      </c>
      <c r="AI3403">
        <v>94.036392127939806</v>
      </c>
      <c r="AJ3403">
        <v>102.70465467716799</v>
      </c>
      <c r="AK3403">
        <v>15.8338568411737</v>
      </c>
      <c r="AL3403">
        <v>79.8183809412198</v>
      </c>
      <c r="AM3403">
        <v>98.290855903176904</v>
      </c>
      <c r="AN3403">
        <v>1.0000000370934401</v>
      </c>
    </row>
    <row r="3404" spans="1:40" x14ac:dyDescent="0.25">
      <c r="A3404" t="str">
        <f>"20190304154823206"</f>
        <v>20190304154823206</v>
      </c>
      <c r="B3404" t="str">
        <f>"1551685703200305"</f>
        <v>1551685703200305</v>
      </c>
      <c r="C3404" t="s">
        <v>40</v>
      </c>
      <c r="D3404">
        <v>4.3843329999999998</v>
      </c>
      <c r="E3404">
        <v>0.4654452</v>
      </c>
      <c r="F3404" t="s">
        <v>54</v>
      </c>
      <c r="G3404">
        <v>-487.19139999999999</v>
      </c>
      <c r="H3404" s="1">
        <v>1.6284050000000001E-6</v>
      </c>
      <c r="I3404">
        <v>275.21980000000002</v>
      </c>
      <c r="J3404">
        <v>-473.10289999999998</v>
      </c>
      <c r="K3404">
        <v>1.1145929999999999</v>
      </c>
      <c r="L3404">
        <v>282.38490000000002</v>
      </c>
      <c r="M3404">
        <v>-0.96913079999999996</v>
      </c>
      <c r="N3404">
        <v>-1.435822E-2</v>
      </c>
      <c r="O3404">
        <v>-0.2461294</v>
      </c>
      <c r="P3404">
        <v>-0.91159040000000002</v>
      </c>
      <c r="Q3404">
        <v>0.16413849999999999</v>
      </c>
      <c r="R3404">
        <v>-0.3769111</v>
      </c>
      <c r="S3404">
        <v>-2.7549440000000001</v>
      </c>
      <c r="T3404">
        <v>-0.21509249999999999</v>
      </c>
      <c r="U3404">
        <v>-1.392517</v>
      </c>
      <c r="V3404">
        <v>-0.14260110000000001</v>
      </c>
      <c r="W3404">
        <v>0.1767976</v>
      </c>
      <c r="X3404">
        <v>0.97386220000000001</v>
      </c>
      <c r="Y3404">
        <v>-0.21728839999999999</v>
      </c>
      <c r="Z3404">
        <v>4.6490669999999998E-3</v>
      </c>
      <c r="AA3404">
        <v>0.97609639999999998</v>
      </c>
      <c r="AB3404">
        <v>29</v>
      </c>
      <c r="AC3404">
        <v>-14.0885</v>
      </c>
      <c r="AD3404">
        <v>-1.114591371595</v>
      </c>
      <c r="AE3404">
        <v>-7.16509999999999</v>
      </c>
      <c r="AF3404">
        <v>-3.45947971472481</v>
      </c>
      <c r="AG3404">
        <v>-1.114591371595</v>
      </c>
      <c r="AH3404">
        <v>15.3424337550562</v>
      </c>
      <c r="AI3404">
        <v>94.053681379201095</v>
      </c>
      <c r="AJ3404">
        <v>102.706798348926</v>
      </c>
      <c r="AK3404">
        <v>15.767072884670601</v>
      </c>
      <c r="AL3404">
        <v>79.816715933636701</v>
      </c>
      <c r="AM3404">
        <v>98.330527866399706</v>
      </c>
      <c r="AN3404">
        <v>1.0000000248379</v>
      </c>
    </row>
    <row r="3405" spans="1:40" x14ac:dyDescent="0.25">
      <c r="A3405" t="str">
        <f>"20190304154823221"</f>
        <v>20190304154823221</v>
      </c>
      <c r="B3405" t="str">
        <f>"1551685703210066"</f>
        <v>1551685703210066</v>
      </c>
      <c r="C3405" t="s">
        <v>40</v>
      </c>
      <c r="D3405">
        <v>4.327013</v>
      </c>
      <c r="E3405">
        <v>0.4655146</v>
      </c>
      <c r="F3405" t="s">
        <v>54</v>
      </c>
      <c r="G3405">
        <v>-487.31790000000001</v>
      </c>
      <c r="H3405" s="1">
        <v>1.6233969999999999E-6</v>
      </c>
      <c r="I3405">
        <v>275.12759999999997</v>
      </c>
      <c r="J3405">
        <v>-473.29469999999998</v>
      </c>
      <c r="K3405">
        <v>1.1146499999999999</v>
      </c>
      <c r="L3405">
        <v>282.33229999999998</v>
      </c>
      <c r="M3405">
        <v>-0.96823979999999998</v>
      </c>
      <c r="N3405">
        <v>-1.4360980000000001E-2</v>
      </c>
      <c r="O3405">
        <v>-0.2496111</v>
      </c>
      <c r="P3405">
        <v>-0.90998290000000004</v>
      </c>
      <c r="Q3405">
        <v>0.16394600000000001</v>
      </c>
      <c r="R3405">
        <v>-0.38085869999999999</v>
      </c>
      <c r="S3405">
        <v>-2.7493590000000001</v>
      </c>
      <c r="T3405">
        <v>-0.2155763</v>
      </c>
      <c r="U3405">
        <v>-1.403656</v>
      </c>
      <c r="V3405">
        <v>-0.14333479999999901</v>
      </c>
      <c r="W3405">
        <v>0.17658270000000001</v>
      </c>
      <c r="X3405">
        <v>0.97379340000000003</v>
      </c>
      <c r="Y3405">
        <v>-0.21772349999999999</v>
      </c>
      <c r="Z3405">
        <v>4.8524270000000003E-3</v>
      </c>
      <c r="AA3405">
        <v>0.97599840000000004</v>
      </c>
      <c r="AB3405">
        <v>29</v>
      </c>
      <c r="AC3405">
        <v>-14.023199999999999</v>
      </c>
      <c r="AD3405">
        <v>-1.114648376603</v>
      </c>
      <c r="AE3405">
        <v>-7.2046999999999999</v>
      </c>
      <c r="AF3405">
        <v>-3.4586007657033702</v>
      </c>
      <c r="AG3405">
        <v>-1.114648376603</v>
      </c>
      <c r="AH3405">
        <v>15.301292332899401</v>
      </c>
      <c r="AI3405">
        <v>94.064273857194095</v>
      </c>
      <c r="AJ3405">
        <v>102.73671899493699</v>
      </c>
      <c r="AK3405">
        <v>15.7268530646418</v>
      </c>
      <c r="AL3405">
        <v>79.829224851579298</v>
      </c>
      <c r="AM3405">
        <v>98.373366530855193</v>
      </c>
      <c r="AN3405">
        <v>0.999999950356943</v>
      </c>
    </row>
    <row r="3406" spans="1:40" x14ac:dyDescent="0.25">
      <c r="A3406" t="str">
        <f>"20190304154823243"</f>
        <v>20190304154823243</v>
      </c>
      <c r="B3406" t="str">
        <f>"1551685703240321"</f>
        <v>1551685703240321</v>
      </c>
      <c r="C3406" t="s">
        <v>40</v>
      </c>
      <c r="D3406">
        <v>4.224005</v>
      </c>
      <c r="E3406">
        <v>0.44734639999999998</v>
      </c>
      <c r="F3406" t="s">
        <v>54</v>
      </c>
      <c r="G3406">
        <v>-487.43119999999999</v>
      </c>
      <c r="H3406" s="1">
        <v>1.617799E-6</v>
      </c>
      <c r="I3406">
        <v>275.03870000000001</v>
      </c>
      <c r="J3406">
        <v>-473.56369999999998</v>
      </c>
      <c r="K3406">
        <v>1.114727</v>
      </c>
      <c r="L3406">
        <v>282.25729999999999</v>
      </c>
      <c r="M3406">
        <v>-0.9669451</v>
      </c>
      <c r="N3406">
        <v>-1.436547E-2</v>
      </c>
      <c r="O3406">
        <v>-0.25458029999999998</v>
      </c>
      <c r="P3406">
        <v>-0.90772090000000005</v>
      </c>
      <c r="Q3406">
        <v>0.1638501</v>
      </c>
      <c r="R3406">
        <v>-0.38625900000000002</v>
      </c>
      <c r="S3406">
        <v>-2.743347</v>
      </c>
      <c r="T3406">
        <v>-0.21631</v>
      </c>
      <c r="U3406">
        <v>-1.415405</v>
      </c>
      <c r="V3406">
        <v>-0.14414779999999999</v>
      </c>
      <c r="W3406">
        <v>0.1764568</v>
      </c>
      <c r="X3406">
        <v>0.97369620000000001</v>
      </c>
      <c r="Y3406">
        <v>-0.216893</v>
      </c>
      <c r="Z3406">
        <v>5.2082309999999998E-3</v>
      </c>
      <c r="AA3406">
        <v>0.97618150000000004</v>
      </c>
      <c r="AB3406">
        <v>29</v>
      </c>
      <c r="AC3406">
        <v>-13.8675</v>
      </c>
      <c r="AD3406">
        <v>-1.1147253822009999</v>
      </c>
      <c r="AE3406">
        <v>-7.2185999999999799</v>
      </c>
      <c r="AF3406">
        <v>-3.43250214507712</v>
      </c>
      <c r="AG3406">
        <v>-1.1147253822009999</v>
      </c>
      <c r="AH3406">
        <v>15.171264633936399</v>
      </c>
      <c r="AI3406">
        <v>94.099080628631796</v>
      </c>
      <c r="AJ3406">
        <v>102.74854655288399</v>
      </c>
      <c r="AK3406">
        <v>15.594612988035699</v>
      </c>
      <c r="AL3406">
        <v>79.836553366890001</v>
      </c>
      <c r="AM3406">
        <v>98.421010056585104</v>
      </c>
      <c r="AN3406">
        <v>0.99999994020275795</v>
      </c>
    </row>
    <row r="3407" spans="1:40" x14ac:dyDescent="0.25">
      <c r="A3407" t="str">
        <f>"20190304154823256"</f>
        <v>20190304154823256</v>
      </c>
      <c r="B3407" t="str">
        <f>"1551685703250081"</f>
        <v>1551685703250081</v>
      </c>
      <c r="C3407" t="s">
        <v>40</v>
      </c>
      <c r="D3407">
        <v>4.3488759999999997</v>
      </c>
      <c r="E3407">
        <v>0.44079980000000002</v>
      </c>
      <c r="F3407" t="s">
        <v>54</v>
      </c>
      <c r="G3407">
        <v>-488.11470000000003</v>
      </c>
      <c r="H3407" s="1">
        <v>1.2963599999999999E-6</v>
      </c>
      <c r="I3407">
        <v>273.74599999999998</v>
      </c>
      <c r="J3407">
        <v>-473.72579999999999</v>
      </c>
      <c r="K3407">
        <v>1.114765</v>
      </c>
      <c r="L3407">
        <v>282.21140000000003</v>
      </c>
      <c r="M3407">
        <v>-0.96613800000000005</v>
      </c>
      <c r="N3407">
        <v>-1.436845E-2</v>
      </c>
      <c r="O3407">
        <v>-0.25762570000000001</v>
      </c>
      <c r="P3407">
        <v>-0.90630730000000004</v>
      </c>
      <c r="Q3407">
        <v>0.1640971</v>
      </c>
      <c r="R3407">
        <v>-0.389461</v>
      </c>
      <c r="S3407">
        <v>-2.6759029999999999</v>
      </c>
      <c r="T3407">
        <v>-0.20499580000000001</v>
      </c>
      <c r="U3407">
        <v>-1.5652159999999999</v>
      </c>
      <c r="V3407">
        <v>-0.14455229999999999</v>
      </c>
      <c r="W3407">
        <v>0.17668539999999999</v>
      </c>
      <c r="X3407">
        <v>0.97359479999999998</v>
      </c>
      <c r="Y3407">
        <v>-0.26510209999999901</v>
      </c>
      <c r="Z3407">
        <v>2.8283370000000002E-3</v>
      </c>
      <c r="AA3407">
        <v>0.96421619999999997</v>
      </c>
      <c r="AB3407">
        <v>29</v>
      </c>
      <c r="AC3407">
        <v>-14.3889</v>
      </c>
      <c r="AD3407">
        <v>-1.11476370364</v>
      </c>
      <c r="AE3407">
        <v>-8.4654000000000398</v>
      </c>
      <c r="AF3407">
        <v>-4.4524030519989104</v>
      </c>
      <c r="AG3407">
        <v>-1.11476370364</v>
      </c>
      <c r="AH3407">
        <v>16.012828480780101</v>
      </c>
      <c r="AI3407">
        <v>93.837217801308</v>
      </c>
      <c r="AJ3407">
        <v>105.538709764356</v>
      </c>
      <c r="AK3407">
        <v>16.657648903950498</v>
      </c>
      <c r="AL3407">
        <v>79.823246739812504</v>
      </c>
      <c r="AM3407">
        <v>98.445167206810794</v>
      </c>
      <c r="AN3407">
        <v>0.99999996629774401</v>
      </c>
    </row>
    <row r="3408" spans="1:40" x14ac:dyDescent="0.25">
      <c r="A3408" t="str">
        <f>"20190304154823268"</f>
        <v>20190304154823268</v>
      </c>
      <c r="B3408" t="str">
        <f>"1551685703259841"</f>
        <v>1551685703259841</v>
      </c>
      <c r="C3408" t="s">
        <v>40</v>
      </c>
      <c r="D3408">
        <v>4.3764750000000001</v>
      </c>
      <c r="E3408">
        <v>0.43683329999999998</v>
      </c>
      <c r="F3408" t="s">
        <v>54</v>
      </c>
      <c r="G3408">
        <v>-489.43729999999999</v>
      </c>
      <c r="H3408" s="1">
        <v>1.001123E-6</v>
      </c>
      <c r="I3408">
        <v>272.57889999999998</v>
      </c>
      <c r="J3408">
        <v>-473.87180000000001</v>
      </c>
      <c r="K3408">
        <v>1.114806</v>
      </c>
      <c r="L3408">
        <v>282.16950000000003</v>
      </c>
      <c r="M3408">
        <v>-0.96539339999999996</v>
      </c>
      <c r="N3408">
        <v>-1.437125E-2</v>
      </c>
      <c r="O3408">
        <v>-0.26040170000000001</v>
      </c>
      <c r="P3408">
        <v>-0.90489620000000004</v>
      </c>
      <c r="Q3408">
        <v>0.16413459999999999</v>
      </c>
      <c r="R3408">
        <v>-0.3927118</v>
      </c>
      <c r="S3408">
        <v>-2.64682</v>
      </c>
      <c r="T3408">
        <v>-0.18779660000000001</v>
      </c>
      <c r="U3408">
        <v>-1.622711</v>
      </c>
      <c r="V3408">
        <v>-0.14527039999999999</v>
      </c>
      <c r="W3408">
        <v>0.17670229999999901</v>
      </c>
      <c r="X3408">
        <v>0.97348489999999999</v>
      </c>
      <c r="Y3408">
        <v>-0.28226000000000001</v>
      </c>
      <c r="Z3408">
        <v>1.590536E-3</v>
      </c>
      <c r="AA3408">
        <v>0.95933659999999998</v>
      </c>
      <c r="AB3408">
        <v>29</v>
      </c>
      <c r="AC3408">
        <v>-15.565499999999901</v>
      </c>
      <c r="AD3408">
        <v>-1.1148049988769999</v>
      </c>
      <c r="AE3408">
        <v>-9.59060000000005</v>
      </c>
      <c r="AF3408">
        <v>-5.1866729473032596</v>
      </c>
      <c r="AG3408">
        <v>-1.1148049988769999</v>
      </c>
      <c r="AH3408">
        <v>17.461129276305201</v>
      </c>
      <c r="AI3408">
        <v>93.502247380388297</v>
      </c>
      <c r="AJ3408">
        <v>106.543583161033</v>
      </c>
      <c r="AK3408">
        <v>18.249257575354999</v>
      </c>
      <c r="AL3408">
        <v>79.822263527301004</v>
      </c>
      <c r="AM3408">
        <v>98.487455376949995</v>
      </c>
      <c r="AN3408">
        <v>1.00000002123472</v>
      </c>
    </row>
    <row r="3409" spans="1:40" x14ac:dyDescent="0.25">
      <c r="A3409" t="str">
        <f>"20190304154823281"</f>
        <v>20190304154823281</v>
      </c>
      <c r="B3409" t="str">
        <f>"1551685703269601"</f>
        <v>1551685703269601</v>
      </c>
      <c r="C3409" t="s">
        <v>40</v>
      </c>
      <c r="D3409">
        <v>4.2977230000000004</v>
      </c>
      <c r="E3409">
        <v>0.43554589999999999</v>
      </c>
      <c r="F3409" t="s">
        <v>54</v>
      </c>
      <c r="G3409">
        <v>-491.33339999999998</v>
      </c>
      <c r="H3409" s="1">
        <v>5.3288819999999998E-7</v>
      </c>
      <c r="I3409">
        <v>271.12380000000002</v>
      </c>
      <c r="J3409">
        <v>-474.02249999999998</v>
      </c>
      <c r="K3409">
        <v>1.114849</v>
      </c>
      <c r="L3409">
        <v>282.12569999999999</v>
      </c>
      <c r="M3409">
        <v>-0.9646034</v>
      </c>
      <c r="N3409">
        <v>-1.4374400000000001E-2</v>
      </c>
      <c r="O3409">
        <v>-0.26331280000000001</v>
      </c>
      <c r="P3409">
        <v>-0.90346009999999999</v>
      </c>
      <c r="Q3409">
        <v>0.16416549999999999</v>
      </c>
      <c r="R3409">
        <v>-0.3959916</v>
      </c>
      <c r="S3409">
        <v>-2.6250309999999999</v>
      </c>
      <c r="T3409">
        <v>-0.16759109999999999</v>
      </c>
      <c r="U3409">
        <v>-1.6605220000000001</v>
      </c>
      <c r="V3409">
        <v>-0.1458875</v>
      </c>
      <c r="W3409">
        <v>0.1767126</v>
      </c>
      <c r="X3409">
        <v>0.97339070000000005</v>
      </c>
      <c r="Y3409">
        <v>-0.29284919999999998</v>
      </c>
      <c r="Z3409">
        <v>5.4911900000000004E-4</v>
      </c>
      <c r="AA3409">
        <v>0.95615850000000002</v>
      </c>
      <c r="AB3409">
        <v>29</v>
      </c>
      <c r="AC3409">
        <v>-17.3109</v>
      </c>
      <c r="AD3409">
        <v>-1.1148484671118</v>
      </c>
      <c r="AE3409">
        <v>-11.0018999999999</v>
      </c>
      <c r="AF3409">
        <v>-6.0370791069529304</v>
      </c>
      <c r="AG3409">
        <v>-1.1148484671118</v>
      </c>
      <c r="AH3409">
        <v>19.539394471158499</v>
      </c>
      <c r="AI3409">
        <v>93.120319166653701</v>
      </c>
      <c r="AJ3409">
        <v>107.16955959351399</v>
      </c>
      <c r="AK3409">
        <v>20.481141265753902</v>
      </c>
      <c r="AL3409">
        <v>79.821663523822806</v>
      </c>
      <c r="AM3409">
        <v>98.523793854869893</v>
      </c>
      <c r="AN3409">
        <v>0.99999998025074899</v>
      </c>
    </row>
    <row r="3410" spans="1:40" x14ac:dyDescent="0.25">
      <c r="A3410" t="str">
        <f>"20190304154823294"</f>
        <v>20190304154823294</v>
      </c>
      <c r="B3410" t="str">
        <f>"1551685703290097"</f>
        <v>1551685703290097</v>
      </c>
      <c r="C3410" t="s">
        <v>40</v>
      </c>
      <c r="D3410">
        <v>4.2366919999999997</v>
      </c>
      <c r="E3410">
        <v>0.43399989999999999</v>
      </c>
      <c r="F3410" t="s">
        <v>54</v>
      </c>
      <c r="G3410">
        <v>-491.94299999999998</v>
      </c>
      <c r="H3410" s="1">
        <v>3.5239840000000003E-7</v>
      </c>
      <c r="I3410">
        <v>270.61320000000001</v>
      </c>
      <c r="J3410">
        <v>-474.17759999999998</v>
      </c>
      <c r="K3410">
        <v>1.1149</v>
      </c>
      <c r="L3410">
        <v>282.08019999999999</v>
      </c>
      <c r="M3410">
        <v>-0.96377330000000005</v>
      </c>
      <c r="N3410">
        <v>-1.437765E-2</v>
      </c>
      <c r="O3410">
        <v>-0.26633499999999999</v>
      </c>
      <c r="P3410">
        <v>-0.90178970000000003</v>
      </c>
      <c r="Q3410">
        <v>0.16448750000000001</v>
      </c>
      <c r="R3410">
        <v>-0.39964919999999998</v>
      </c>
      <c r="S3410">
        <v>-2.6140750000000001</v>
      </c>
      <c r="T3410">
        <v>-0.16262289999999999</v>
      </c>
      <c r="U3410">
        <v>-1.6793209999999901</v>
      </c>
      <c r="V3410">
        <v>-0.14682220000000001</v>
      </c>
      <c r="W3410">
        <v>0.17700879999999999</v>
      </c>
      <c r="X3410">
        <v>0.97319630000000001</v>
      </c>
      <c r="Y3410">
        <v>-0.2965488</v>
      </c>
      <c r="Z3410">
        <v>3.5192120000000001E-4</v>
      </c>
      <c r="AA3410">
        <v>0.95501760000000002</v>
      </c>
      <c r="AB3410">
        <v>29</v>
      </c>
      <c r="AC3410">
        <v>-17.7654</v>
      </c>
      <c r="AD3410">
        <v>-1.1148996476016</v>
      </c>
      <c r="AE3410">
        <v>-11.466999999999899</v>
      </c>
      <c r="AF3410">
        <v>-6.3031702357840098</v>
      </c>
      <c r="AG3410">
        <v>-1.1148996476016</v>
      </c>
      <c r="AH3410">
        <v>20.122025184266001</v>
      </c>
      <c r="AI3410">
        <v>93.026612618044993</v>
      </c>
      <c r="AJ3410">
        <v>107.393024572307</v>
      </c>
      <c r="AK3410">
        <v>21.115606876472501</v>
      </c>
      <c r="AL3410">
        <v>79.804420445955103</v>
      </c>
      <c r="AM3410">
        <v>98.579283838152605</v>
      </c>
      <c r="AN3410">
        <v>0.99999995601198399</v>
      </c>
    </row>
    <row r="3411" spans="1:40" x14ac:dyDescent="0.25">
      <c r="A3411" t="str">
        <f>"20190304154823305"</f>
        <v>20190304154823305</v>
      </c>
      <c r="B3411" t="str">
        <f>"1551685703299857"</f>
        <v>1551685703299857</v>
      </c>
      <c r="C3411" t="s">
        <v>40</v>
      </c>
      <c r="D3411">
        <v>4.2139499999999996</v>
      </c>
      <c r="E3411">
        <v>0.43355080000000001</v>
      </c>
      <c r="F3411" t="s">
        <v>54</v>
      </c>
      <c r="G3411">
        <v>-492.6884</v>
      </c>
      <c r="H3411" s="1">
        <v>1.2612320000000001E-7</v>
      </c>
      <c r="I3411">
        <v>269.97309999999999</v>
      </c>
      <c r="J3411">
        <v>-474.32479999999998</v>
      </c>
      <c r="K3411">
        <v>1.1149519999999999</v>
      </c>
      <c r="L3411">
        <v>282.03629999999998</v>
      </c>
      <c r="M3411">
        <v>-0.96295980000000003</v>
      </c>
      <c r="N3411">
        <v>-1.438118E-2</v>
      </c>
      <c r="O3411">
        <v>-0.26926159999999999</v>
      </c>
      <c r="P3411">
        <v>-0.90036510000000003</v>
      </c>
      <c r="Q3411">
        <v>0.16418379999999999</v>
      </c>
      <c r="R3411">
        <v>-0.4029722</v>
      </c>
      <c r="S3411">
        <v>-2.6012569999999999</v>
      </c>
      <c r="T3411">
        <v>-0.15667239999999999</v>
      </c>
      <c r="U3411">
        <v>-1.701355</v>
      </c>
      <c r="V3411">
        <v>-0.1474597</v>
      </c>
      <c r="W3411">
        <v>0.17668399999999901</v>
      </c>
      <c r="X3411">
        <v>0.973159</v>
      </c>
      <c r="Y3411">
        <v>-0.30147580000000002</v>
      </c>
      <c r="Z3411" s="1">
        <v>6.6950450000000005E-5</v>
      </c>
      <c r="AA3411">
        <v>0.95347380000000004</v>
      </c>
      <c r="AB3411">
        <v>29</v>
      </c>
      <c r="AC3411">
        <v>-18.363600000000002</v>
      </c>
      <c r="AD3411">
        <v>-1.1149518738767901</v>
      </c>
      <c r="AE3411">
        <v>-12.063199999999901</v>
      </c>
      <c r="AF3411">
        <v>-6.6553154871833904</v>
      </c>
      <c r="AG3411">
        <v>-1.1149518738767901</v>
      </c>
      <c r="AH3411">
        <v>20.879959536573899</v>
      </c>
      <c r="AI3411">
        <v>92.912484171834606</v>
      </c>
      <c r="AJ3411">
        <v>107.679253488417</v>
      </c>
      <c r="AK3411">
        <v>21.943314520918801</v>
      </c>
      <c r="AL3411">
        <v>79.823328779434206</v>
      </c>
      <c r="AM3411">
        <v>98.616302389211896</v>
      </c>
      <c r="AN3411">
        <v>1.00000001913054</v>
      </c>
    </row>
    <row r="3412" spans="1:40" x14ac:dyDescent="0.25">
      <c r="A3412" t="str">
        <f>"20190304154823318"</f>
        <v>20190304154823318</v>
      </c>
      <c r="B3412" t="str">
        <f>"1551685703309616"</f>
        <v>1551685703309616</v>
      </c>
      <c r="C3412" t="s">
        <v>40</v>
      </c>
      <c r="D3412">
        <v>4.2390179999999997</v>
      </c>
      <c r="E3412">
        <v>0.43336980000000003</v>
      </c>
      <c r="F3412" t="s">
        <v>54</v>
      </c>
      <c r="G3412">
        <v>-492.77949999999998</v>
      </c>
      <c r="H3412" s="1">
        <v>7.8729700000000001E-8</v>
      </c>
      <c r="I3412">
        <v>269.83909999999997</v>
      </c>
      <c r="J3412">
        <v>-474.47739999999999</v>
      </c>
      <c r="K3412">
        <v>1.115005</v>
      </c>
      <c r="L3412">
        <v>281.99020000000002</v>
      </c>
      <c r="M3412">
        <v>-0.96209480000000003</v>
      </c>
      <c r="N3412">
        <v>-1.438508E-2</v>
      </c>
      <c r="O3412">
        <v>-0.27233580000000002</v>
      </c>
      <c r="P3412">
        <v>-0.8986402</v>
      </c>
      <c r="Q3412">
        <v>0.16455980000000001</v>
      </c>
      <c r="R3412">
        <v>-0.40665210000000002</v>
      </c>
      <c r="S3412">
        <v>-2.5934140000000001</v>
      </c>
      <c r="T3412">
        <v>-0.15668199999999999</v>
      </c>
      <c r="U3412">
        <v>-1.7140500000000001</v>
      </c>
      <c r="V3412">
        <v>-0.14838009999999999</v>
      </c>
      <c r="W3412">
        <v>0.17703269999999999</v>
      </c>
      <c r="X3412">
        <v>0.97295569999999998</v>
      </c>
      <c r="Y3412">
        <v>-0.30300510000000003</v>
      </c>
      <c r="Z3412">
        <v>1.3298119999999999E-4</v>
      </c>
      <c r="AA3412">
        <v>0.95298890000000003</v>
      </c>
      <c r="AB3412">
        <v>29</v>
      </c>
      <c r="AC3412">
        <v>-18.302099999999999</v>
      </c>
      <c r="AD3412">
        <v>-1.1150049212702999</v>
      </c>
      <c r="AE3412">
        <v>-12.1511</v>
      </c>
      <c r="AF3412">
        <v>-6.6896538506245404</v>
      </c>
      <c r="AG3412">
        <v>-1.1150049212702999</v>
      </c>
      <c r="AH3412">
        <v>20.865946659423699</v>
      </c>
      <c r="AI3412">
        <v>92.913006219388805</v>
      </c>
      <c r="AJ3412">
        <v>107.77592846133</v>
      </c>
      <c r="AK3412">
        <v>21.940429225736398</v>
      </c>
      <c r="AL3412">
        <v>79.803029686178306</v>
      </c>
      <c r="AM3412">
        <v>98.671052126739099</v>
      </c>
      <c r="AN3412">
        <v>1.0000000125538899</v>
      </c>
    </row>
    <row r="3413" spans="1:40" x14ac:dyDescent="0.25">
      <c r="A3413" t="str">
        <f>"20190304154823330"</f>
        <v>20190304154823330</v>
      </c>
      <c r="B3413" t="str">
        <f>"1551685703320353"</f>
        <v>1551685703320353</v>
      </c>
      <c r="C3413" t="s">
        <v>40</v>
      </c>
      <c r="D3413">
        <v>4.2761189999999996</v>
      </c>
      <c r="E3413">
        <v>0.43321349999999997</v>
      </c>
      <c r="F3413" t="s">
        <v>54</v>
      </c>
      <c r="G3413">
        <v>-493.00130000000001</v>
      </c>
      <c r="H3413" s="1">
        <v>2.9865529999999999E-9</v>
      </c>
      <c r="I3413">
        <v>269.62479999999999</v>
      </c>
      <c r="J3413">
        <v>-474.62700000000001</v>
      </c>
      <c r="K3413">
        <v>1.1150629999999999</v>
      </c>
      <c r="L3413">
        <v>281.94459999999998</v>
      </c>
      <c r="M3413">
        <v>-0.96122830000000004</v>
      </c>
      <c r="N3413">
        <v>-1.4389020000000001E-2</v>
      </c>
      <c r="O3413">
        <v>-0.27537840000000002</v>
      </c>
      <c r="P3413">
        <v>-0.89699719999999905</v>
      </c>
      <c r="Q3413">
        <v>0.1649649</v>
      </c>
      <c r="R3413">
        <v>-0.4101011</v>
      </c>
      <c r="S3413">
        <v>-2.585785</v>
      </c>
      <c r="T3413">
        <v>-0.15564539999999999</v>
      </c>
      <c r="U3413">
        <v>-1.726105</v>
      </c>
      <c r="V3413">
        <v>-0.14908829999999901</v>
      </c>
      <c r="W3413">
        <v>0.17741279999999901</v>
      </c>
      <c r="X3413">
        <v>0.97277809999999998</v>
      </c>
      <c r="Y3413">
        <v>-0.30436400000000002</v>
      </c>
      <c r="Z3413">
        <v>1.6161849999999999E-4</v>
      </c>
      <c r="AA3413">
        <v>0.95255579999999995</v>
      </c>
      <c r="AB3413">
        <v>29</v>
      </c>
      <c r="AC3413">
        <v>-18.374300000000002</v>
      </c>
      <c r="AD3413">
        <v>-1.11506299701344</v>
      </c>
      <c r="AE3413">
        <v>-12.319799999999899</v>
      </c>
      <c r="AF3413">
        <v>-6.7657674622705004</v>
      </c>
      <c r="AG3413">
        <v>-1.11506299701344</v>
      </c>
      <c r="AH3413">
        <v>21.003320618413898</v>
      </c>
      <c r="AI3413">
        <v>92.892851659484606</v>
      </c>
      <c r="AJ3413">
        <v>107.85522740835501</v>
      </c>
      <c r="AK3413">
        <v>22.094308132202698</v>
      </c>
      <c r="AL3413">
        <v>79.780900404512494</v>
      </c>
      <c r="AM3413">
        <v>98.713370644419399</v>
      </c>
      <c r="AN3413">
        <v>0.99999992732016696</v>
      </c>
    </row>
    <row r="3414" spans="1:40" x14ac:dyDescent="0.25">
      <c r="A3414" t="str">
        <f>"20190304154823344"</f>
        <v>20190304154823344</v>
      </c>
      <c r="B3414" t="str">
        <f>"1551685703339876"</f>
        <v>1551685703339876</v>
      </c>
      <c r="C3414" t="s">
        <v>40</v>
      </c>
      <c r="D3414">
        <v>4.3277169999999998</v>
      </c>
      <c r="E3414">
        <v>0.43300169999999999</v>
      </c>
      <c r="F3414" t="s">
        <v>44</v>
      </c>
      <c r="G3414">
        <v>-493.29570000000001</v>
      </c>
      <c r="H3414" s="1">
        <v>-4.795496E-6</v>
      </c>
      <c r="I3414">
        <v>269.36070000000001</v>
      </c>
      <c r="J3414">
        <v>-474.78789999999998</v>
      </c>
      <c r="K3414">
        <v>1.1151279999999999</v>
      </c>
      <c r="L3414">
        <v>281.8947</v>
      </c>
      <c r="M3414">
        <v>-0.96026160000000005</v>
      </c>
      <c r="N3414">
        <v>-1.439401E-2</v>
      </c>
      <c r="O3414">
        <v>-0.27873039999999999</v>
      </c>
      <c r="P3414">
        <v>-0.89478659999999999</v>
      </c>
      <c r="Q3414">
        <v>0.1649437</v>
      </c>
      <c r="R3414">
        <v>-0.41491090000000003</v>
      </c>
      <c r="S3414">
        <v>-2.578217</v>
      </c>
      <c r="T3414">
        <v>-0.15399479999999999</v>
      </c>
      <c r="U3414">
        <v>-1.7378849999999999</v>
      </c>
      <c r="V3414">
        <v>-0.1509471</v>
      </c>
      <c r="W3414">
        <v>0.17735039999999999</v>
      </c>
      <c r="X3414">
        <v>0.9725028</v>
      </c>
      <c r="Y3414">
        <v>-0.30533369999999999</v>
      </c>
      <c r="Z3414">
        <v>1.8772339999999999E-4</v>
      </c>
      <c r="AA3414">
        <v>0.95224540000000002</v>
      </c>
      <c r="AB3414">
        <v>29</v>
      </c>
      <c r="AC3414">
        <v>-18.5078</v>
      </c>
      <c r="AD3414">
        <v>-1.115132795496</v>
      </c>
      <c r="AE3414">
        <v>-12.533999999999899</v>
      </c>
      <c r="AF3414">
        <v>-6.8608688111775598</v>
      </c>
      <c r="AG3414">
        <v>-1.115132795496</v>
      </c>
      <c r="AH3414">
        <v>21.2153366161081</v>
      </c>
      <c r="AI3414">
        <v>92.863113373137097</v>
      </c>
      <c r="AJ3414">
        <v>107.920789118416</v>
      </c>
      <c r="AK3414">
        <v>22.324998314234101</v>
      </c>
      <c r="AL3414">
        <v>79.784533439932702</v>
      </c>
      <c r="AM3414">
        <v>98.822766657687694</v>
      </c>
      <c r="AN3414">
        <v>0.999999943693203</v>
      </c>
    </row>
    <row r="3415" spans="1:40" x14ac:dyDescent="0.25">
      <c r="A3415" t="str">
        <f>"20190304154823356"</f>
        <v>20190304154823356</v>
      </c>
      <c r="B3415" t="str">
        <f>"1551685703349633"</f>
        <v>1551685703349633</v>
      </c>
      <c r="C3415" t="s">
        <v>40</v>
      </c>
      <c r="D3415">
        <v>4.3378730000000001</v>
      </c>
      <c r="E3415">
        <v>0.43293769999999998</v>
      </c>
      <c r="F3415" t="s">
        <v>44</v>
      </c>
      <c r="G3415">
        <v>-493.8152</v>
      </c>
      <c r="H3415" s="1">
        <v>-4.7322479999999998E-6</v>
      </c>
      <c r="I3415">
        <v>268.90410000000003</v>
      </c>
      <c r="J3415">
        <v>-474.93259999999998</v>
      </c>
      <c r="K3415">
        <v>1.1151850000000001</v>
      </c>
      <c r="L3415">
        <v>281.8494</v>
      </c>
      <c r="M3415">
        <v>-0.95937110000000003</v>
      </c>
      <c r="N3415">
        <v>-1.4398640000000001E-2</v>
      </c>
      <c r="O3415">
        <v>-0.28177950000000002</v>
      </c>
      <c r="P3415">
        <v>-0.89314950000000004</v>
      </c>
      <c r="Q3415">
        <v>0.16470000000000001</v>
      </c>
      <c r="R3415">
        <v>-0.41851899999999997</v>
      </c>
      <c r="S3415">
        <v>-2.5676269999999999</v>
      </c>
      <c r="T3415">
        <v>-0.15048120000000001</v>
      </c>
      <c r="U3415">
        <v>-1.7530209999999999</v>
      </c>
      <c r="V3415">
        <v>-0.15179389999999901</v>
      </c>
      <c r="W3415">
        <v>0.17707970000000001</v>
      </c>
      <c r="X3415">
        <v>0.97242039999999996</v>
      </c>
      <c r="Y3415">
        <v>-0.30797069999999999</v>
      </c>
      <c r="Z3415" s="1">
        <v>6.8106219999999895E-5</v>
      </c>
      <c r="AA3415">
        <v>0.95139589999999996</v>
      </c>
      <c r="AB3415">
        <v>29</v>
      </c>
      <c r="AC3415">
        <v>-18.8826</v>
      </c>
      <c r="AD3415">
        <v>-1.115189732248</v>
      </c>
      <c r="AE3415">
        <v>-12.9452999999999</v>
      </c>
      <c r="AF3415">
        <v>-7.0825481157959196</v>
      </c>
      <c r="AG3415">
        <v>-1.115189732248</v>
      </c>
      <c r="AH3415">
        <v>21.713876105146099</v>
      </c>
      <c r="AI3415">
        <v>92.7953421808608</v>
      </c>
      <c r="AJ3415">
        <v>108.065090109873</v>
      </c>
      <c r="AK3415">
        <v>22.866975127049699</v>
      </c>
      <c r="AL3415">
        <v>79.800293645731301</v>
      </c>
      <c r="AM3415">
        <v>98.872216241493305</v>
      </c>
      <c r="AN3415">
        <v>1.00000002128272</v>
      </c>
    </row>
    <row r="3416" spans="1:40" x14ac:dyDescent="0.25">
      <c r="A3416" t="str">
        <f>"20190304154823368"</f>
        <v>20190304154823368</v>
      </c>
      <c r="B3416" t="str">
        <f>"1551685703360369"</f>
        <v>1551685703360369</v>
      </c>
      <c r="C3416" t="s">
        <v>40</v>
      </c>
      <c r="D3416">
        <v>4.3312989999999996</v>
      </c>
      <c r="E3416">
        <v>0.43296129999999999</v>
      </c>
      <c r="F3416" t="s">
        <v>44</v>
      </c>
      <c r="G3416">
        <v>-493.93239999999997</v>
      </c>
      <c r="H3416" s="1">
        <v>-4.7024010000000003E-6</v>
      </c>
      <c r="I3416">
        <v>268.7552</v>
      </c>
      <c r="J3416">
        <v>-475.08589999999998</v>
      </c>
      <c r="K3416">
        <v>1.1152500000000001</v>
      </c>
      <c r="L3416">
        <v>281.80090000000001</v>
      </c>
      <c r="M3416">
        <v>-0.95840060000000005</v>
      </c>
      <c r="N3416">
        <v>-1.440396E-2</v>
      </c>
      <c r="O3416">
        <v>-0.28506300000000001</v>
      </c>
      <c r="P3416">
        <v>-0.89125109999999996</v>
      </c>
      <c r="Q3416">
        <v>0.164467899999999</v>
      </c>
      <c r="R3416">
        <v>-0.42263709999999999</v>
      </c>
      <c r="S3416">
        <v>-2.5599059999999998</v>
      </c>
      <c r="T3416">
        <v>-0.15025289999999999</v>
      </c>
      <c r="U3416">
        <v>-1.76422099999999</v>
      </c>
      <c r="V3416">
        <v>-0.15296879999999999</v>
      </c>
      <c r="W3416">
        <v>0.176814</v>
      </c>
      <c r="X3416">
        <v>0.97228460000000005</v>
      </c>
      <c r="Y3416">
        <v>-0.3088765</v>
      </c>
      <c r="Z3416">
        <v>1.4790469999999999E-4</v>
      </c>
      <c r="AA3416">
        <v>0.95110209999999995</v>
      </c>
      <c r="AB3416">
        <v>29</v>
      </c>
      <c r="AC3416">
        <v>-18.846499999999899</v>
      </c>
      <c r="AD3416">
        <v>-1.115254702401</v>
      </c>
      <c r="AE3416">
        <v>-13.0457</v>
      </c>
      <c r="AF3416">
        <v>-7.1144634791281502</v>
      </c>
      <c r="AG3416">
        <v>-1.115254702401</v>
      </c>
      <c r="AH3416">
        <v>21.732153136598502</v>
      </c>
      <c r="AI3416">
        <v>92.792174307076294</v>
      </c>
      <c r="AJ3416">
        <v>108.126914484509</v>
      </c>
      <c r="AK3416">
        <v>22.894232103297199</v>
      </c>
      <c r="AL3416">
        <v>79.815760923827497</v>
      </c>
      <c r="AM3416">
        <v>98.941011565841194</v>
      </c>
      <c r="AN3416">
        <v>0.99999999388329996</v>
      </c>
    </row>
    <row r="3417" spans="1:40" x14ac:dyDescent="0.25">
      <c r="A3417" t="str">
        <f>"20190304154823381"</f>
        <v>20190304154823381</v>
      </c>
      <c r="B3417" t="str">
        <f>"1551685703370130"</f>
        <v>1551685703370130</v>
      </c>
      <c r="C3417" t="s">
        <v>40</v>
      </c>
      <c r="D3417">
        <v>4.3255600000000003</v>
      </c>
      <c r="E3417">
        <v>0.43295220000000001</v>
      </c>
      <c r="F3417" t="s">
        <v>44</v>
      </c>
      <c r="G3417">
        <v>-494.03530000000001</v>
      </c>
      <c r="H3417" s="1">
        <v>-4.6728460000000004E-6</v>
      </c>
      <c r="I3417">
        <v>268.6148</v>
      </c>
      <c r="J3417">
        <v>-475.23390000000001</v>
      </c>
      <c r="K3417">
        <v>1.1153090000000001</v>
      </c>
      <c r="L3417">
        <v>281.75319999999999</v>
      </c>
      <c r="M3417">
        <v>-0.95743219999999996</v>
      </c>
      <c r="N3417">
        <v>-1.440981E-2</v>
      </c>
      <c r="O3417">
        <v>-0.28829890000000002</v>
      </c>
      <c r="P3417">
        <v>-0.88937250000000001</v>
      </c>
      <c r="Q3417">
        <v>0.1644156</v>
      </c>
      <c r="R3417">
        <v>-0.42659659999999999</v>
      </c>
      <c r="S3417">
        <v>-2.551758</v>
      </c>
      <c r="T3417">
        <v>-0.15018210000000001</v>
      </c>
      <c r="U3417">
        <v>-1.775665</v>
      </c>
      <c r="V3417">
        <v>-0.15403599999999901</v>
      </c>
      <c r="W3417">
        <v>0.1767291</v>
      </c>
      <c r="X3417">
        <v>0.97213159999999998</v>
      </c>
      <c r="Y3417">
        <v>-0.3099614</v>
      </c>
      <c r="Z3417">
        <v>2.2681940000000001E-4</v>
      </c>
      <c r="AA3417">
        <v>0.95074910000000001</v>
      </c>
      <c r="AB3417">
        <v>29</v>
      </c>
      <c r="AC3417">
        <v>-18.801400000000001</v>
      </c>
      <c r="AD3417">
        <v>-1.115313672846</v>
      </c>
      <c r="AE3417">
        <v>-13.138399999999899</v>
      </c>
      <c r="AF3417">
        <v>-7.1425587632695997</v>
      </c>
      <c r="AG3417">
        <v>-1.115313672846</v>
      </c>
      <c r="AH3417">
        <v>21.739710146511399</v>
      </c>
      <c r="AI3417">
        <v>92.7903801802521</v>
      </c>
      <c r="AJ3417">
        <v>108.18788283483001</v>
      </c>
      <c r="AK3417">
        <v>22.910152062566699</v>
      </c>
      <c r="AL3417">
        <v>79.820703804450204</v>
      </c>
      <c r="AM3417">
        <v>99.003764832307894</v>
      </c>
      <c r="AN3417">
        <v>1.0000000559006801</v>
      </c>
    </row>
    <row r="3418" spans="1:40" x14ac:dyDescent="0.25">
      <c r="A3418" t="str">
        <f>"20190304154823394"</f>
        <v>20190304154823394</v>
      </c>
      <c r="B3418" t="str">
        <f>"1551685703389649"</f>
        <v>1551685703389649</v>
      </c>
      <c r="C3418" t="s">
        <v>40</v>
      </c>
      <c r="D3418">
        <v>4.3401170000000002</v>
      </c>
      <c r="E3418">
        <v>0.43305759999999999</v>
      </c>
      <c r="F3418" t="s">
        <v>44</v>
      </c>
      <c r="G3418">
        <v>-494.25700000000001</v>
      </c>
      <c r="H3418" s="1">
        <v>-4.6355419999999998E-6</v>
      </c>
      <c r="I3418">
        <v>268.38959999999997</v>
      </c>
      <c r="J3418">
        <v>-475.38639999999998</v>
      </c>
      <c r="K3418">
        <v>1.11537</v>
      </c>
      <c r="L3418">
        <v>281.70370000000003</v>
      </c>
      <c r="M3418">
        <v>-0.95641080000000001</v>
      </c>
      <c r="N3418">
        <v>-1.4415900000000001E-2</v>
      </c>
      <c r="O3418">
        <v>-0.2916685</v>
      </c>
      <c r="P3418">
        <v>-0.88756259999999998</v>
      </c>
      <c r="Q3418">
        <v>0.1643647</v>
      </c>
      <c r="R3418">
        <v>-0.43036829999999998</v>
      </c>
      <c r="S3418">
        <v>-2.5436399999999999</v>
      </c>
      <c r="T3418">
        <v>-0.1491325</v>
      </c>
      <c r="U3418">
        <v>-1.78689599999999</v>
      </c>
      <c r="V3418">
        <v>-0.15476779999999901</v>
      </c>
      <c r="W3418">
        <v>0.17664879999999999</v>
      </c>
      <c r="X3418">
        <v>0.9720299</v>
      </c>
      <c r="Y3418">
        <v>-0.31085370000000001</v>
      </c>
      <c r="Z3418">
        <v>2.731136E-4</v>
      </c>
      <c r="AA3418">
        <v>0.95045780000000002</v>
      </c>
      <c r="AB3418">
        <v>28</v>
      </c>
      <c r="AC3418">
        <v>-18.8705999999999</v>
      </c>
      <c r="AD3418">
        <v>-1.115374635542</v>
      </c>
      <c r="AE3418">
        <v>-13.3141</v>
      </c>
      <c r="AF3418">
        <v>-7.2137151562486101</v>
      </c>
      <c r="AG3418">
        <v>-1.115374635542</v>
      </c>
      <c r="AH3418">
        <v>21.882588372703399</v>
      </c>
      <c r="AI3418">
        <v>92.771431369087097</v>
      </c>
      <c r="AJ3418">
        <v>108.24508706464199</v>
      </c>
      <c r="AK3418">
        <v>23.067930570865599</v>
      </c>
      <c r="AL3418">
        <v>79.825377608249894</v>
      </c>
      <c r="AM3418">
        <v>99.046765388351602</v>
      </c>
      <c r="AN3418">
        <v>0.99999999847614496</v>
      </c>
    </row>
    <row r="3419" spans="1:40" x14ac:dyDescent="0.25">
      <c r="A3419" t="str">
        <f>"20190304154823408"</f>
        <v>20190304154823408</v>
      </c>
      <c r="B3419" t="str">
        <f>"1551685703400386"</f>
        <v>1551685703400386</v>
      </c>
      <c r="C3419" t="s">
        <v>40</v>
      </c>
      <c r="D3419">
        <v>4.3259480000000003</v>
      </c>
      <c r="E3419">
        <v>0.43318319999999999</v>
      </c>
      <c r="F3419" t="s">
        <v>44</v>
      </c>
      <c r="G3419">
        <v>-494.50020000000001</v>
      </c>
      <c r="H3419" s="1">
        <v>-4.6015940000000004E-6</v>
      </c>
      <c r="I3419">
        <v>268.16309999999999</v>
      </c>
      <c r="J3419">
        <v>-475.56420000000003</v>
      </c>
      <c r="K3419">
        <v>1.1154520000000001</v>
      </c>
      <c r="L3419">
        <v>281.64499999999998</v>
      </c>
      <c r="M3419">
        <v>-0.95517560000000001</v>
      </c>
      <c r="N3419">
        <v>-1.4423599999999899E-2</v>
      </c>
      <c r="O3419">
        <v>-0.29568870000000003</v>
      </c>
      <c r="P3419">
        <v>-0.88534290000000004</v>
      </c>
      <c r="Q3419">
        <v>0.16423579999999999</v>
      </c>
      <c r="R3419">
        <v>-0.4349653</v>
      </c>
      <c r="S3419">
        <v>-2.5362239999999998</v>
      </c>
      <c r="T3419">
        <v>-0.14799999999999999</v>
      </c>
      <c r="U3419">
        <v>-1.7967219999999999</v>
      </c>
      <c r="V3419">
        <v>-0.15575049999999999</v>
      </c>
      <c r="W3419">
        <v>0.1764831</v>
      </c>
      <c r="X3419">
        <v>0.97190299999999996</v>
      </c>
      <c r="Y3419">
        <v>-0.3106235</v>
      </c>
      <c r="Z3419">
        <v>3.7280979999999999E-4</v>
      </c>
      <c r="AA3419">
        <v>0.95053299999999996</v>
      </c>
      <c r="AB3419">
        <v>28</v>
      </c>
      <c r="AC3419">
        <v>-18.9359999999999</v>
      </c>
      <c r="AD3419">
        <v>-1.115456601594</v>
      </c>
      <c r="AE3419">
        <v>-13.4818999999999</v>
      </c>
      <c r="AF3419">
        <v>-7.2624534403825498</v>
      </c>
      <c r="AG3419">
        <v>-1.115456601594</v>
      </c>
      <c r="AH3419">
        <v>22.025225899781798</v>
      </c>
      <c r="AI3419">
        <v>92.753649317323493</v>
      </c>
      <c r="AJ3419">
        <v>108.24911580883</v>
      </c>
      <c r="AK3419">
        <v>23.218485078492598</v>
      </c>
      <c r="AL3419">
        <v>79.835022789724704</v>
      </c>
      <c r="AM3419">
        <v>99.104417752502897</v>
      </c>
      <c r="AN3419">
        <v>0.99999997212242897</v>
      </c>
    </row>
    <row r="3420" spans="1:40" x14ac:dyDescent="0.25">
      <c r="A3420" t="str">
        <f>"20190304154823422"</f>
        <v>20190304154823422</v>
      </c>
      <c r="B3420" t="str">
        <f>"1551685703410146"</f>
        <v>1551685703410146</v>
      </c>
      <c r="C3420" t="s">
        <v>40</v>
      </c>
      <c r="D3420">
        <v>4.3266710000000002</v>
      </c>
      <c r="E3420">
        <v>0.43331599999999998</v>
      </c>
      <c r="F3420" t="s">
        <v>44</v>
      </c>
      <c r="G3420">
        <v>-494.58150000000001</v>
      </c>
      <c r="H3420" s="1">
        <v>-4.5717160000000002E-6</v>
      </c>
      <c r="I3420">
        <v>268.03289999999998</v>
      </c>
      <c r="J3420">
        <v>-475.72340000000003</v>
      </c>
      <c r="K3420">
        <v>1.115532</v>
      </c>
      <c r="L3420">
        <v>281.5915</v>
      </c>
      <c r="M3420">
        <v>-0.95402989999999999</v>
      </c>
      <c r="N3420">
        <v>-1.4431070000000001E-2</v>
      </c>
      <c r="O3420">
        <v>-0.2993634</v>
      </c>
      <c r="P3420">
        <v>-0.88307769999999997</v>
      </c>
      <c r="Q3420">
        <v>0.16365209999999999</v>
      </c>
      <c r="R3420">
        <v>-0.4397626</v>
      </c>
      <c r="S3420">
        <v>-2.5272830000000002</v>
      </c>
      <c r="T3420">
        <v>-0.14823699999999901</v>
      </c>
      <c r="U3420">
        <v>-1.8089599999999999</v>
      </c>
      <c r="V3420">
        <v>-0.15727940000000001</v>
      </c>
      <c r="W3420">
        <v>0.175858399999999</v>
      </c>
      <c r="X3420">
        <v>0.97177000000000002</v>
      </c>
      <c r="Y3420">
        <v>-0.31159910000000002</v>
      </c>
      <c r="Z3420">
        <v>4.831026E-4</v>
      </c>
      <c r="AA3420">
        <v>0.95021359999999999</v>
      </c>
      <c r="AB3420">
        <v>28</v>
      </c>
      <c r="AC3420">
        <v>-18.858099999999901</v>
      </c>
      <c r="AD3420">
        <v>-1.115536571716</v>
      </c>
      <c r="AE3420">
        <v>-13.5586</v>
      </c>
      <c r="AF3420">
        <v>-7.2738657927919403</v>
      </c>
      <c r="AG3420">
        <v>-1.115536571716</v>
      </c>
      <c r="AH3420">
        <v>22.001686019723198</v>
      </c>
      <c r="AI3420">
        <v>92.756074194473896</v>
      </c>
      <c r="AJ3420">
        <v>108.29414028245699</v>
      </c>
      <c r="AK3420">
        <v>23.1997356261848</v>
      </c>
      <c r="AL3420">
        <v>79.871384043516798</v>
      </c>
      <c r="AM3420">
        <v>99.193507922198805</v>
      </c>
      <c r="AN3420">
        <v>0.99999995970745903</v>
      </c>
    </row>
    <row r="3421" spans="1:40" x14ac:dyDescent="0.25">
      <c r="A3421" t="str">
        <f>"20190304154823436"</f>
        <v>20190304154823436</v>
      </c>
      <c r="B3421" t="str">
        <f>"1551685703429666"</f>
        <v>1551685703429666</v>
      </c>
      <c r="C3421" t="s">
        <v>40</v>
      </c>
      <c r="D3421">
        <v>4.3125249999999999</v>
      </c>
      <c r="E3421">
        <v>0.4336759</v>
      </c>
      <c r="F3421" t="s">
        <v>44</v>
      </c>
      <c r="G3421">
        <v>-494.52370000000002</v>
      </c>
      <c r="H3421" s="1">
        <v>-4.5466499999999999E-6</v>
      </c>
      <c r="I3421">
        <v>267.98939999999999</v>
      </c>
      <c r="J3421">
        <v>-475.88889999999998</v>
      </c>
      <c r="K3421">
        <v>1.11561</v>
      </c>
      <c r="L3421">
        <v>281.53539999999998</v>
      </c>
      <c r="M3421">
        <v>-0.95280580000000004</v>
      </c>
      <c r="N3421">
        <v>-1.4438950000000001E-2</v>
      </c>
      <c r="O3421">
        <v>-0.30323709999999998</v>
      </c>
      <c r="P3421">
        <v>-0.88084560000000001</v>
      </c>
      <c r="Q3421">
        <v>0.16378010000000001</v>
      </c>
      <c r="R3421">
        <v>-0.44417020000000002</v>
      </c>
      <c r="S3421">
        <v>-2.5177610000000001</v>
      </c>
      <c r="T3421">
        <v>-0.14939479999999999</v>
      </c>
      <c r="U3421">
        <v>-1.821625</v>
      </c>
      <c r="V3421">
        <v>-0.15823219999999999</v>
      </c>
      <c r="W3421">
        <v>0.17594989999999999</v>
      </c>
      <c r="X3421">
        <v>0.97159879999999998</v>
      </c>
      <c r="Y3421">
        <v>-0.31257980000000002</v>
      </c>
      <c r="Z3421">
        <v>6.4584709999999999E-4</v>
      </c>
      <c r="AA3421">
        <v>0.94989129999999999</v>
      </c>
      <c r="AB3421">
        <v>28</v>
      </c>
      <c r="AC3421">
        <v>-18.634799999999998</v>
      </c>
      <c r="AD3421">
        <v>-1.11561454665</v>
      </c>
      <c r="AE3421">
        <v>-13.5459999999999</v>
      </c>
      <c r="AF3421">
        <v>-7.2397237502570198</v>
      </c>
      <c r="AG3421">
        <v>-1.11561454665</v>
      </c>
      <c r="AH3421">
        <v>21.814119825776601</v>
      </c>
      <c r="AI3421">
        <v>92.778870748990599</v>
      </c>
      <c r="AJ3421">
        <v>108.360100259392</v>
      </c>
      <c r="AK3421">
        <v>23.011171625323101</v>
      </c>
      <c r="AL3421">
        <v>79.866058977448105</v>
      </c>
      <c r="AM3421">
        <v>99.249844166473295</v>
      </c>
      <c r="AN3421">
        <v>1.0000000122941399</v>
      </c>
    </row>
    <row r="3422" spans="1:40" x14ac:dyDescent="0.25">
      <c r="A3422" t="str">
        <f>"20190304154823450"</f>
        <v>20190304154823450</v>
      </c>
      <c r="B3422" t="str">
        <f>"1551685703440401"</f>
        <v>1551685703440401</v>
      </c>
      <c r="C3422" t="s">
        <v>40</v>
      </c>
      <c r="D3422">
        <v>4.3068910000000002</v>
      </c>
      <c r="E3422">
        <v>0.43390810000000002</v>
      </c>
      <c r="F3422" t="s">
        <v>44</v>
      </c>
      <c r="G3422">
        <v>-494.69880000000001</v>
      </c>
      <c r="H3422" s="1">
        <v>-4.5156289999999998E-6</v>
      </c>
      <c r="I3422">
        <v>267.80689999999998</v>
      </c>
      <c r="J3422">
        <v>-476.05380000000002</v>
      </c>
      <c r="K3422">
        <v>1.1156900000000001</v>
      </c>
      <c r="L3422">
        <v>281.47859999999997</v>
      </c>
      <c r="M3422">
        <v>-0.95154459999999996</v>
      </c>
      <c r="N3422">
        <v>-1.4447049999999999E-2</v>
      </c>
      <c r="O3422">
        <v>-0.30717139999999998</v>
      </c>
      <c r="P3422">
        <v>-0.87865789999999999</v>
      </c>
      <c r="Q3422">
        <v>0.16383029999999901</v>
      </c>
      <c r="R3422">
        <v>-0.44846399999999997</v>
      </c>
      <c r="S3422">
        <v>-2.5097960000000001</v>
      </c>
      <c r="T3422">
        <v>-0.1488563</v>
      </c>
      <c r="U3422">
        <v>-1.8317870000000001</v>
      </c>
      <c r="V3422">
        <v>-0.15900029999999901</v>
      </c>
      <c r="W3422">
        <v>0.17596489999999901</v>
      </c>
      <c r="X3422">
        <v>0.97147070000000002</v>
      </c>
      <c r="Y3422">
        <v>-0.31260260000000001</v>
      </c>
      <c r="Z3422">
        <v>7.6063539999999998E-4</v>
      </c>
      <c r="AA3422">
        <v>0.9498837</v>
      </c>
      <c r="AB3422">
        <v>28</v>
      </c>
      <c r="AC3422">
        <v>-18.6449999999999</v>
      </c>
      <c r="AD3422">
        <v>-1.1156945156289999</v>
      </c>
      <c r="AE3422">
        <v>-13.6716999999999</v>
      </c>
      <c r="AF3422">
        <v>-7.26586167946295</v>
      </c>
      <c r="AG3422">
        <v>-1.1156945156289999</v>
      </c>
      <c r="AH3422">
        <v>21.8924137634069</v>
      </c>
      <c r="AI3422">
        <v>92.769140531651004</v>
      </c>
      <c r="AJ3422">
        <v>108.36046223765101</v>
      </c>
      <c r="AK3422">
        <v>23.0936203438417</v>
      </c>
      <c r="AL3422">
        <v>79.865186112702801</v>
      </c>
      <c r="AM3422">
        <v>99.295167776038994</v>
      </c>
      <c r="AN3422">
        <v>1.0000000311952899</v>
      </c>
    </row>
    <row r="3423" spans="1:40" x14ac:dyDescent="0.25">
      <c r="A3423" t="str">
        <f>"20190304154823463"</f>
        <v>20190304154823463</v>
      </c>
      <c r="B3423" t="str">
        <f>"1551685703459921"</f>
        <v>1551685703459921</v>
      </c>
      <c r="C3423" t="s">
        <v>40</v>
      </c>
      <c r="D3423">
        <v>4.3067219999999997</v>
      </c>
      <c r="E3423">
        <v>0.43438710000000003</v>
      </c>
      <c r="F3423" t="s">
        <v>44</v>
      </c>
      <c r="G3423">
        <v>-494.827</v>
      </c>
      <c r="H3423" s="1">
        <v>-4.4849710000000001E-6</v>
      </c>
      <c r="I3423">
        <v>267.65010000000001</v>
      </c>
      <c r="J3423">
        <v>-476.2133</v>
      </c>
      <c r="K3423">
        <v>1.1157680000000001</v>
      </c>
      <c r="L3423">
        <v>281.42259999999999</v>
      </c>
      <c r="M3423">
        <v>-0.95027600000000001</v>
      </c>
      <c r="N3423">
        <v>-1.4455910000000001E-2</v>
      </c>
      <c r="O3423">
        <v>-0.31107370000000001</v>
      </c>
      <c r="P3423">
        <v>-0.87665700000000002</v>
      </c>
      <c r="Q3423">
        <v>0.16360239999999901</v>
      </c>
      <c r="R3423">
        <v>-0.45244580000000001</v>
      </c>
      <c r="S3423">
        <v>-2.5015260000000001</v>
      </c>
      <c r="T3423">
        <v>-0.148666299999999</v>
      </c>
      <c r="U3423">
        <v>-1.842651</v>
      </c>
      <c r="V3423">
        <v>-0.15944129999999901</v>
      </c>
      <c r="W3423">
        <v>0.1757087</v>
      </c>
      <c r="X3423">
        <v>0.9714448</v>
      </c>
      <c r="Y3423">
        <v>-0.3128802</v>
      </c>
      <c r="Z3423">
        <v>8.8172779999999996E-4</v>
      </c>
      <c r="AA3423">
        <v>0.94979219999999998</v>
      </c>
      <c r="AB3423">
        <v>28</v>
      </c>
      <c r="AC3423">
        <v>-18.613699999999898</v>
      </c>
      <c r="AD3423">
        <v>-1.115772484971</v>
      </c>
      <c r="AE3423">
        <v>-13.7724999999999</v>
      </c>
      <c r="AF3423">
        <v>-7.2812979720467998</v>
      </c>
      <c r="AG3423">
        <v>-1.115772484971</v>
      </c>
      <c r="AH3423">
        <v>21.923800602837801</v>
      </c>
      <c r="AI3423">
        <v>92.765186210065806</v>
      </c>
      <c r="AJ3423">
        <v>108.372277435136</v>
      </c>
      <c r="AK3423">
        <v>23.1282355848635</v>
      </c>
      <c r="AL3423">
        <v>79.880097685977802</v>
      </c>
      <c r="AM3423">
        <v>99.320740989629002</v>
      </c>
      <c r="AN3423">
        <v>1.0000000374242</v>
      </c>
    </row>
    <row r="3424" spans="1:40" x14ac:dyDescent="0.25">
      <c r="A3424" t="str">
        <f>"20190304154823476"</f>
        <v>20190304154823476</v>
      </c>
      <c r="B3424" t="str">
        <f>"1551685703469681"</f>
        <v>1551685703469681</v>
      </c>
      <c r="C3424" t="s">
        <v>40</v>
      </c>
      <c r="D3424">
        <v>4.2876300000000001</v>
      </c>
      <c r="E3424">
        <v>0.43461830000000001</v>
      </c>
      <c r="F3424" t="s">
        <v>44</v>
      </c>
      <c r="G3424">
        <v>-494.85579999999999</v>
      </c>
      <c r="H3424" s="1">
        <v>-4.4706780000000001E-6</v>
      </c>
      <c r="I3424">
        <v>267.59300000000002</v>
      </c>
      <c r="J3424">
        <v>-476.3621</v>
      </c>
      <c r="K3424">
        <v>1.1158440000000001</v>
      </c>
      <c r="L3424">
        <v>281.3698</v>
      </c>
      <c r="M3424">
        <v>-0.94905980000000001</v>
      </c>
      <c r="N3424">
        <v>-1.4464370000000001E-2</v>
      </c>
      <c r="O3424">
        <v>-0.31476379999999998</v>
      </c>
      <c r="P3424">
        <v>-0.87440090000000004</v>
      </c>
      <c r="Q3424">
        <v>0.16370279999999901</v>
      </c>
      <c r="R3424">
        <v>-0.4567542</v>
      </c>
      <c r="S3424">
        <v>-2.4947810000000001</v>
      </c>
      <c r="T3424">
        <v>-0.14931539999999999</v>
      </c>
      <c r="U3424">
        <v>-1.850708</v>
      </c>
      <c r="V3424">
        <v>-0.16049089999999999</v>
      </c>
      <c r="W3424">
        <v>0.1757715</v>
      </c>
      <c r="X3424">
        <v>0.97126049999999997</v>
      </c>
      <c r="Y3424">
        <v>-0.31239739999999999</v>
      </c>
      <c r="Z3424">
        <v>1.0640269999999999E-3</v>
      </c>
      <c r="AA3424">
        <v>0.94995090000000004</v>
      </c>
      <c r="AB3424">
        <v>28</v>
      </c>
      <c r="AC3424">
        <v>-18.493699999999901</v>
      </c>
      <c r="AD3424">
        <v>-1.1158484706780001</v>
      </c>
      <c r="AE3424">
        <v>-13.7767999999999</v>
      </c>
      <c r="AF3424">
        <v>-7.2376735897349498</v>
      </c>
      <c r="AG3424">
        <v>-1.1158484706780001</v>
      </c>
      <c r="AH3424">
        <v>21.839224379572101</v>
      </c>
      <c r="AI3424">
        <v>92.776656225547299</v>
      </c>
      <c r="AJ3424">
        <v>108.335561942011</v>
      </c>
      <c r="AK3424">
        <v>23.0343386773391</v>
      </c>
      <c r="AL3424">
        <v>79.876441772831399</v>
      </c>
      <c r="AM3424">
        <v>99.382760494325794</v>
      </c>
      <c r="AN3424">
        <v>0.99999995402765396</v>
      </c>
    </row>
    <row r="3425" spans="1:40" x14ac:dyDescent="0.25">
      <c r="A3425" t="str">
        <f>"20190304154823488"</f>
        <v>20190304154823488</v>
      </c>
      <c r="B3425" t="str">
        <f>"1551685703480417"</f>
        <v>1551685703480417</v>
      </c>
      <c r="C3425" t="s">
        <v>40</v>
      </c>
      <c r="D3425">
        <v>4.3079210000000003</v>
      </c>
      <c r="E3425">
        <v>0.4348533</v>
      </c>
      <c r="F3425" t="s">
        <v>44</v>
      </c>
      <c r="G3425">
        <v>-494.98349999999999</v>
      </c>
      <c r="H3425" s="1">
        <v>-4.4395579999999999E-6</v>
      </c>
      <c r="I3425">
        <v>267.435</v>
      </c>
      <c r="J3425">
        <v>-476.51490000000001</v>
      </c>
      <c r="K3425">
        <v>1.1159269999999999</v>
      </c>
      <c r="L3425">
        <v>281.31490000000002</v>
      </c>
      <c r="M3425">
        <v>-0.94777129999999998</v>
      </c>
      <c r="N3425">
        <v>-1.447356E-2</v>
      </c>
      <c r="O3425">
        <v>-0.31862220000000002</v>
      </c>
      <c r="P3425">
        <v>-0.87234400000000001</v>
      </c>
      <c r="Q3425">
        <v>0.163553799999999</v>
      </c>
      <c r="R3425">
        <v>-0.46072350000000001</v>
      </c>
      <c r="S3425">
        <v>-2.486755</v>
      </c>
      <c r="T3425">
        <v>-0.1490136</v>
      </c>
      <c r="U3425">
        <v>-1.8609009999999999</v>
      </c>
      <c r="V3425">
        <v>-0.1609796</v>
      </c>
      <c r="W3425">
        <v>0.17559169999999999</v>
      </c>
      <c r="X3425">
        <v>0.97121219999999997</v>
      </c>
      <c r="Y3425">
        <v>-0.31250159999999899</v>
      </c>
      <c r="Z3425">
        <v>1.183567E-3</v>
      </c>
      <c r="AA3425">
        <v>0.94991650000000005</v>
      </c>
      <c r="AB3425">
        <v>28</v>
      </c>
      <c r="AC3425">
        <v>-18.468599999999899</v>
      </c>
      <c r="AD3425">
        <v>-1.115931439558</v>
      </c>
      <c r="AE3425">
        <v>-13.879899999999999</v>
      </c>
      <c r="AF3425">
        <v>-7.2543009983000397</v>
      </c>
      <c r="AG3425">
        <v>-1.115931439558</v>
      </c>
      <c r="AH3425">
        <v>21.8777057864529</v>
      </c>
      <c r="AI3425">
        <v>92.771839285137702</v>
      </c>
      <c r="AJ3425">
        <v>108.344704029772</v>
      </c>
      <c r="AK3425">
        <v>23.0760524446952</v>
      </c>
      <c r="AL3425">
        <v>79.886906851134299</v>
      </c>
      <c r="AM3425">
        <v>99.411280611295496</v>
      </c>
      <c r="AN3425">
        <v>1.0000000070769399</v>
      </c>
    </row>
    <row r="3426" spans="1:40" x14ac:dyDescent="0.25">
      <c r="A3426" t="str">
        <f>"20190304154823500"</f>
        <v>20190304154823500</v>
      </c>
      <c r="B3426" t="str">
        <f>"1551685703490177"</f>
        <v>1551685703490177</v>
      </c>
      <c r="C3426" t="s">
        <v>40</v>
      </c>
      <c r="D3426">
        <v>4.2923999999999998</v>
      </c>
      <c r="E3426">
        <v>0.43508930000000001</v>
      </c>
      <c r="F3426" t="s">
        <v>44</v>
      </c>
      <c r="G3426">
        <v>-494.9751</v>
      </c>
      <c r="H3426" s="1">
        <v>-4.420821E-6</v>
      </c>
      <c r="I3426">
        <v>267.3843</v>
      </c>
      <c r="J3426">
        <v>-476.65</v>
      </c>
      <c r="K3426">
        <v>1.1160049999999999</v>
      </c>
      <c r="L3426">
        <v>281.26549999999997</v>
      </c>
      <c r="M3426">
        <v>-0.94659070000000001</v>
      </c>
      <c r="N3426">
        <v>-1.4482460000000001E-2</v>
      </c>
      <c r="O3426">
        <v>-0.32211210000000001</v>
      </c>
      <c r="P3426">
        <v>-0.87043369999999998</v>
      </c>
      <c r="Q3426">
        <v>0.1634312</v>
      </c>
      <c r="R3426">
        <v>-0.46436559999999999</v>
      </c>
      <c r="S3426">
        <v>-2.4790040000000002</v>
      </c>
      <c r="T3426">
        <v>-0.14985780000000001</v>
      </c>
      <c r="U3426">
        <v>-1.8707279999999999</v>
      </c>
      <c r="V3426">
        <v>-0.1614855</v>
      </c>
      <c r="W3426">
        <v>0.1754415</v>
      </c>
      <c r="X3426">
        <v>0.97115530000000005</v>
      </c>
      <c r="Y3426">
        <v>-0.3128282</v>
      </c>
      <c r="Z3426">
        <v>1.3445530000000001E-3</v>
      </c>
      <c r="AA3426">
        <v>0.94980880000000001</v>
      </c>
      <c r="AB3426">
        <v>28</v>
      </c>
      <c r="AC3426">
        <v>-18.325099999999999</v>
      </c>
      <c r="AD3426">
        <v>-1.1160094208210001</v>
      </c>
      <c r="AE3426">
        <v>-13.8811999999999</v>
      </c>
      <c r="AF3426">
        <v>-7.2208209476775496</v>
      </c>
      <c r="AG3426">
        <v>-1.1160094208210001</v>
      </c>
      <c r="AH3426">
        <v>21.768660318718201</v>
      </c>
      <c r="AI3426">
        <v>92.785794539787602</v>
      </c>
      <c r="AJ3426">
        <v>108.35105345399</v>
      </c>
      <c r="AK3426">
        <v>22.962149382353399</v>
      </c>
      <c r="AL3426">
        <v>79.895647810806196</v>
      </c>
      <c r="AM3426">
        <v>99.440868405800103</v>
      </c>
      <c r="AN3426">
        <v>0.99999995167529299</v>
      </c>
    </row>
    <row r="3427" spans="1:40" x14ac:dyDescent="0.25">
      <c r="A3427" t="str">
        <f>"20190304154823513"</f>
        <v>20190304154823513</v>
      </c>
      <c r="B3427" t="str">
        <f>"1551685703509696"</f>
        <v>1551685703509696</v>
      </c>
      <c r="C3427" t="s">
        <v>40</v>
      </c>
      <c r="D3427">
        <v>4.2708779999999997</v>
      </c>
      <c r="E3427">
        <v>0.43557489999999999</v>
      </c>
      <c r="F3427" t="s">
        <v>44</v>
      </c>
      <c r="G3427">
        <v>-495.0061</v>
      </c>
      <c r="H3427" s="1">
        <v>-4.401259E-6</v>
      </c>
      <c r="I3427">
        <v>267.31060000000002</v>
      </c>
      <c r="J3427">
        <v>-476.80079999999998</v>
      </c>
      <c r="K3427">
        <v>1.11609</v>
      </c>
      <c r="L3427">
        <v>281.2099</v>
      </c>
      <c r="M3427">
        <v>-0.9452431</v>
      </c>
      <c r="N3427">
        <v>-1.4492329999999999E-2</v>
      </c>
      <c r="O3427">
        <v>-0.32604549999999999</v>
      </c>
      <c r="P3427">
        <v>-0.86818779999999995</v>
      </c>
      <c r="Q3427">
        <v>0.1638194</v>
      </c>
      <c r="R3427">
        <v>-0.46841569999999999</v>
      </c>
      <c r="S3427">
        <v>-2.4721069999999998</v>
      </c>
      <c r="T3427">
        <v>-0.15029809999999999</v>
      </c>
      <c r="U3427">
        <v>-1.879364</v>
      </c>
      <c r="V3427">
        <v>-0.16203819999999999</v>
      </c>
      <c r="W3427">
        <v>0.17579639999999999</v>
      </c>
      <c r="X3427">
        <v>0.9709991</v>
      </c>
      <c r="Y3427">
        <v>-0.31226009999999998</v>
      </c>
      <c r="Z3427">
        <v>1.52982799999999E-3</v>
      </c>
      <c r="AA3427">
        <v>0.94999540000000005</v>
      </c>
      <c r="AB3427">
        <v>28</v>
      </c>
      <c r="AC3427">
        <v>-18.205300000000001</v>
      </c>
      <c r="AD3427">
        <v>-1.1160944012589999</v>
      </c>
      <c r="AE3427">
        <v>-13.899299999999901</v>
      </c>
      <c r="AF3427">
        <v>-7.1861541715309896</v>
      </c>
      <c r="AG3427">
        <v>-1.1160944012589999</v>
      </c>
      <c r="AH3427">
        <v>21.691016308785901</v>
      </c>
      <c r="AI3427">
        <v>92.796305751926297</v>
      </c>
      <c r="AJ3427">
        <v>108.329844363959</v>
      </c>
      <c r="AK3427">
        <v>22.8776455737374</v>
      </c>
      <c r="AL3427">
        <v>79.874993036027803</v>
      </c>
      <c r="AM3427">
        <v>99.474092273377906</v>
      </c>
      <c r="AN3427">
        <v>1.0000000023565001</v>
      </c>
    </row>
    <row r="3428" spans="1:40" x14ac:dyDescent="0.25">
      <c r="A3428" t="str">
        <f>"20190304154823525"</f>
        <v>20190304154823525</v>
      </c>
      <c r="B3428" t="str">
        <f>"1551685703520433"</f>
        <v>1551685703520433</v>
      </c>
      <c r="C3428" t="s">
        <v>40</v>
      </c>
      <c r="D3428">
        <v>4.2390569999999999</v>
      </c>
      <c r="E3428">
        <v>0.43606850000000003</v>
      </c>
      <c r="F3428" t="s">
        <v>44</v>
      </c>
      <c r="G3428">
        <v>-495.30759999999998</v>
      </c>
      <c r="H3428" s="1">
        <v>-4.3605769999999998E-6</v>
      </c>
      <c r="I3428">
        <v>267.03399999999999</v>
      </c>
      <c r="J3428">
        <v>-476.94380000000001</v>
      </c>
      <c r="K3428">
        <v>1.1161799999999999</v>
      </c>
      <c r="L3428">
        <v>281.15620000000001</v>
      </c>
      <c r="M3428">
        <v>-0.94391539999999996</v>
      </c>
      <c r="N3428">
        <v>-1.4502579999999999E-2</v>
      </c>
      <c r="O3428">
        <v>-0.32986860000000001</v>
      </c>
      <c r="P3428">
        <v>-0.86617889999999997</v>
      </c>
      <c r="Q3428">
        <v>0.16410629999999901</v>
      </c>
      <c r="R3428">
        <v>-0.47202</v>
      </c>
      <c r="S3428">
        <v>-2.464874</v>
      </c>
      <c r="T3428">
        <v>-0.14865039999999999</v>
      </c>
      <c r="U3428">
        <v>-1.8880619999999999</v>
      </c>
      <c r="V3428">
        <v>-0.16220229999999999</v>
      </c>
      <c r="W3428">
        <v>0.176057399999999</v>
      </c>
      <c r="X3428">
        <v>0.97092440000000002</v>
      </c>
      <c r="Y3428">
        <v>-0.3118785</v>
      </c>
      <c r="Z3428">
        <v>1.586559E-3</v>
      </c>
      <c r="AA3428">
        <v>0.95012070000000004</v>
      </c>
      <c r="AB3428">
        <v>28</v>
      </c>
      <c r="AC3428">
        <v>-18.363799999999902</v>
      </c>
      <c r="AD3428">
        <v>-1.1161843605770001</v>
      </c>
      <c r="AE3428">
        <v>-14.122199999999999</v>
      </c>
      <c r="AF3428">
        <v>-7.2564405422233698</v>
      </c>
      <c r="AG3428">
        <v>-1.1161843605770001</v>
      </c>
      <c r="AH3428">
        <v>21.943715932701899</v>
      </c>
      <c r="AI3428">
        <v>92.764880750753505</v>
      </c>
      <c r="AJ3428">
        <v>108.298235613873</v>
      </c>
      <c r="AK3428">
        <v>23.139327254800101</v>
      </c>
      <c r="AL3428">
        <v>79.859801802678902</v>
      </c>
      <c r="AM3428">
        <v>99.484229097876394</v>
      </c>
      <c r="AN3428">
        <v>0.99999999236770498</v>
      </c>
    </row>
    <row r="3429" spans="1:40" x14ac:dyDescent="0.25">
      <c r="A3429" t="str">
        <f>"20190304154823538"</f>
        <v>20190304154823538</v>
      </c>
      <c r="B3429" t="str">
        <f>"1551685703530193"</f>
        <v>1551685703530193</v>
      </c>
      <c r="C3429" t="s">
        <v>40</v>
      </c>
      <c r="D3429">
        <v>4.2277120000000004</v>
      </c>
      <c r="E3429">
        <v>0.43655490000000002</v>
      </c>
      <c r="F3429" t="s">
        <v>44</v>
      </c>
      <c r="G3429">
        <v>-495.56119999999999</v>
      </c>
      <c r="H3429" s="1">
        <v>-4.3292150000000002E-6</v>
      </c>
      <c r="I3429">
        <v>266.80959999999999</v>
      </c>
      <c r="J3429">
        <v>-477.08120000000002</v>
      </c>
      <c r="K3429">
        <v>1.1162639999999999</v>
      </c>
      <c r="L3429">
        <v>281.10399999999998</v>
      </c>
      <c r="M3429">
        <v>-0.94260509999999997</v>
      </c>
      <c r="N3429">
        <v>-1.451263E-2</v>
      </c>
      <c r="O3429">
        <v>-0.33359470000000002</v>
      </c>
      <c r="P3429">
        <v>-0.86414210000000002</v>
      </c>
      <c r="Q3429">
        <v>0.16444710000000001</v>
      </c>
      <c r="R3429">
        <v>-0.47562199999999999</v>
      </c>
      <c r="S3429">
        <v>-2.4588320000000001</v>
      </c>
      <c r="T3429">
        <v>-0.14741609999999999</v>
      </c>
      <c r="U3429">
        <v>-1.8947750000000001</v>
      </c>
      <c r="V3429">
        <v>-0.1624708</v>
      </c>
      <c r="W3429">
        <v>0.1763709</v>
      </c>
      <c r="X3429">
        <v>0.97082259999999998</v>
      </c>
      <c r="Y3429">
        <v>-0.31088670000000002</v>
      </c>
      <c r="Z3429">
        <v>1.6796809999999999E-3</v>
      </c>
      <c r="AA3429">
        <v>0.95044550000000005</v>
      </c>
      <c r="AB3429">
        <v>28</v>
      </c>
      <c r="AC3429">
        <v>-18.479999999999901</v>
      </c>
      <c r="AD3429">
        <v>-1.116268329215</v>
      </c>
      <c r="AE3429">
        <v>-14.2944</v>
      </c>
      <c r="AF3429">
        <v>-7.2932633972890901</v>
      </c>
      <c r="AG3429">
        <v>-1.116268329215</v>
      </c>
      <c r="AH3429">
        <v>22.139669782292302</v>
      </c>
      <c r="AI3429">
        <v>92.741682004358694</v>
      </c>
      <c r="AJ3429">
        <v>108.232947969254</v>
      </c>
      <c r="AK3429">
        <v>23.336724792352399</v>
      </c>
      <c r="AL3429">
        <v>79.841553986398594</v>
      </c>
      <c r="AM3429">
        <v>99.500620783284305</v>
      </c>
      <c r="AN3429">
        <v>0.99999998794510403</v>
      </c>
    </row>
    <row r="3430" spans="1:40" x14ac:dyDescent="0.25">
      <c r="A3430" t="str">
        <f>"20190304154823548"</f>
        <v>20190304154823548</v>
      </c>
      <c r="B3430" t="str">
        <f>"1551685703539953"</f>
        <v>1551685703539953</v>
      </c>
      <c r="C3430" t="s">
        <v>40</v>
      </c>
      <c r="D3430">
        <v>4.227633</v>
      </c>
      <c r="E3430">
        <v>0.43702540000000001</v>
      </c>
      <c r="F3430" t="s">
        <v>44</v>
      </c>
      <c r="G3430">
        <v>-495.80840000000001</v>
      </c>
      <c r="H3430" s="1">
        <v>-4.2956199999999997E-6</v>
      </c>
      <c r="I3430">
        <v>266.58199999999999</v>
      </c>
      <c r="J3430">
        <v>-477.21499999999997</v>
      </c>
      <c r="K3430">
        <v>1.1163459999999901</v>
      </c>
      <c r="L3430">
        <v>281.05259999999998</v>
      </c>
      <c r="M3430">
        <v>-0.94129669999999999</v>
      </c>
      <c r="N3430">
        <v>-1.452258E-2</v>
      </c>
      <c r="O3430">
        <v>-0.33726810000000002</v>
      </c>
      <c r="P3430">
        <v>-0.86200669999999902</v>
      </c>
      <c r="Q3430">
        <v>0.16453699999999999</v>
      </c>
      <c r="R3430">
        <v>-0.4794506</v>
      </c>
      <c r="S3430">
        <v>-2.4526669999999999</v>
      </c>
      <c r="T3430">
        <v>-0.14619550000000001</v>
      </c>
      <c r="U3430">
        <v>-1.9019170000000001</v>
      </c>
      <c r="V3430">
        <v>-0.16303380000000001</v>
      </c>
      <c r="W3430">
        <v>0.17643010000000001</v>
      </c>
      <c r="X3430">
        <v>0.97071750000000001</v>
      </c>
      <c r="Y3430">
        <v>-0.31006990000000001</v>
      </c>
      <c r="Z3430">
        <v>1.7623000000000001E-3</v>
      </c>
      <c r="AA3430">
        <v>0.95071209999999995</v>
      </c>
      <c r="AB3430">
        <v>28</v>
      </c>
      <c r="AC3430">
        <v>-18.593399999999999</v>
      </c>
      <c r="AD3430">
        <v>-1.11635029561999</v>
      </c>
      <c r="AE3430">
        <v>-14.4705999999999</v>
      </c>
      <c r="AF3430">
        <v>-7.3344759598904501</v>
      </c>
      <c r="AG3430">
        <v>-1.11635029561999</v>
      </c>
      <c r="AH3430">
        <v>22.334595200562799</v>
      </c>
      <c r="AI3430">
        <v>92.718818848883501</v>
      </c>
      <c r="AJ3430">
        <v>108.179705239323</v>
      </c>
      <c r="AK3430">
        <v>23.534547337090402</v>
      </c>
      <c r="AL3430">
        <v>79.838108495730907</v>
      </c>
      <c r="AM3430">
        <v>99.533952675128802</v>
      </c>
      <c r="AN3430">
        <v>1.0000000324673399</v>
      </c>
    </row>
    <row r="3431" spans="1:40" x14ac:dyDescent="0.25">
      <c r="A3431" t="str">
        <f>"20190304154823560"</f>
        <v>20190304154823560</v>
      </c>
      <c r="B3431" t="str">
        <f>"1551685703549713"</f>
        <v>1551685703549713</v>
      </c>
      <c r="C3431" t="s">
        <v>40</v>
      </c>
      <c r="D3431">
        <v>4.2221149999999996</v>
      </c>
      <c r="E3431">
        <v>0.43748670000000001</v>
      </c>
      <c r="F3431" t="s">
        <v>44</v>
      </c>
      <c r="G3431">
        <v>-495.90159999999997</v>
      </c>
      <c r="H3431" s="1">
        <v>-4.2724430000000001E-6</v>
      </c>
      <c r="I3431">
        <v>266.46539999999999</v>
      </c>
      <c r="J3431">
        <v>-477.34280000000001</v>
      </c>
      <c r="K3431">
        <v>1.1164240000000001</v>
      </c>
      <c r="L3431">
        <v>281.0027</v>
      </c>
      <c r="M3431">
        <v>-0.94000240000000002</v>
      </c>
      <c r="N3431">
        <v>-1.453276E-2</v>
      </c>
      <c r="O3431">
        <v>-0.34085850000000001</v>
      </c>
      <c r="P3431">
        <v>-0.85983989999999999</v>
      </c>
      <c r="Q3431">
        <v>0.1646417</v>
      </c>
      <c r="R3431">
        <v>-0.48328959999999999</v>
      </c>
      <c r="S3431">
        <v>-2.4461360000000001</v>
      </c>
      <c r="T3431">
        <v>-0.14613370000000001</v>
      </c>
      <c r="U3431">
        <v>-1.9095150000000001</v>
      </c>
      <c r="V3431">
        <v>-0.1637004</v>
      </c>
      <c r="W3431">
        <v>0.1765033</v>
      </c>
      <c r="X3431">
        <v>0.97059200000000001</v>
      </c>
      <c r="Y3431">
        <v>-0.30950939999999999</v>
      </c>
      <c r="Z3431">
        <v>1.901994E-3</v>
      </c>
      <c r="AA3431">
        <v>0.95089449999999998</v>
      </c>
      <c r="AB3431">
        <v>28</v>
      </c>
      <c r="AC3431">
        <v>-18.558799999999898</v>
      </c>
      <c r="AD3431">
        <v>-1.1164282724429999</v>
      </c>
      <c r="AE3431">
        <v>-14.5373</v>
      </c>
      <c r="AF3431">
        <v>-7.3235219388467803</v>
      </c>
      <c r="AG3431">
        <v>-1.1164282724429999</v>
      </c>
      <c r="AH3431">
        <v>22.352711512790101</v>
      </c>
      <c r="AI3431">
        <v>92.717415672472896</v>
      </c>
      <c r="AJ3431">
        <v>108.140586691857</v>
      </c>
      <c r="AK3431">
        <v>23.548335347754399</v>
      </c>
      <c r="AL3431">
        <v>79.833847583740095</v>
      </c>
      <c r="AM3431">
        <v>99.573429280212906</v>
      </c>
      <c r="AN3431">
        <v>1.0000000331675201</v>
      </c>
    </row>
    <row r="3432" spans="1:40" x14ac:dyDescent="0.25">
      <c r="A3432" t="str">
        <f>"20190304154823573"</f>
        <v>20190304154823573</v>
      </c>
      <c r="B3432" t="str">
        <f>"1551685703570209"</f>
        <v>1551685703570209</v>
      </c>
      <c r="C3432" t="s">
        <v>40</v>
      </c>
      <c r="D3432">
        <v>4.2953429999999999</v>
      </c>
      <c r="E3432">
        <v>0.43771130000000003</v>
      </c>
      <c r="F3432" t="s">
        <v>44</v>
      </c>
      <c r="G3432">
        <v>-496.03050000000002</v>
      </c>
      <c r="H3432" s="1">
        <v>-4.244869E-6</v>
      </c>
      <c r="I3432">
        <v>266.31709999999998</v>
      </c>
      <c r="J3432">
        <v>-477.48649999999998</v>
      </c>
      <c r="K3432">
        <v>1.1165130000000001</v>
      </c>
      <c r="L3432">
        <v>280.9461</v>
      </c>
      <c r="M3432">
        <v>-0.93851660000000003</v>
      </c>
      <c r="N3432">
        <v>-1.454396E-2</v>
      </c>
      <c r="O3432">
        <v>-0.3449276</v>
      </c>
      <c r="P3432">
        <v>-0.85746339999999999</v>
      </c>
      <c r="Q3432">
        <v>0.16467190000000001</v>
      </c>
      <c r="R3432">
        <v>-0.48748370000000002</v>
      </c>
      <c r="S3432">
        <v>-2.4394529999999999</v>
      </c>
      <c r="T3432">
        <v>-0.14573649999999999</v>
      </c>
      <c r="U3432">
        <v>-1.9170229999999999</v>
      </c>
      <c r="V3432">
        <v>-0.16427849999999999</v>
      </c>
      <c r="W3432">
        <v>0.17650009999999999</v>
      </c>
      <c r="X3432">
        <v>0.97049490000000005</v>
      </c>
      <c r="Y3432">
        <v>-0.30846810000000002</v>
      </c>
      <c r="Z3432">
        <v>2.0525909999999999E-3</v>
      </c>
      <c r="AA3432">
        <v>0.95123250000000004</v>
      </c>
      <c r="AB3432">
        <v>28</v>
      </c>
      <c r="AC3432">
        <v>-18.544</v>
      </c>
      <c r="AD3432">
        <v>-1.1165172448689999</v>
      </c>
      <c r="AE3432">
        <v>-14.629</v>
      </c>
      <c r="AF3432">
        <v>-7.3176462688931698</v>
      </c>
      <c r="AG3432">
        <v>-1.1165172448689999</v>
      </c>
      <c r="AH3432">
        <v>22.402114642764602</v>
      </c>
      <c r="AI3432">
        <v>92.7124357997846</v>
      </c>
      <c r="AJ3432">
        <v>108.089616159413</v>
      </c>
      <c r="AK3432">
        <v>23.593416415227001</v>
      </c>
      <c r="AL3432">
        <v>79.834033831261806</v>
      </c>
      <c r="AM3432">
        <v>99.607551640945999</v>
      </c>
      <c r="AN3432">
        <v>1.0000000308941299</v>
      </c>
    </row>
    <row r="3433" spans="1:40" x14ac:dyDescent="0.25">
      <c r="A3433" t="str">
        <f>"20190304154823583"</f>
        <v>20190304154823583</v>
      </c>
      <c r="B3433" t="str">
        <f>"1551685703579969"</f>
        <v>1551685703579969</v>
      </c>
      <c r="C3433" t="s">
        <v>40</v>
      </c>
      <c r="D3433">
        <v>4.2747390000000003</v>
      </c>
      <c r="E3433">
        <v>0.4461656</v>
      </c>
      <c r="F3433" t="s">
        <v>44</v>
      </c>
      <c r="G3433">
        <v>-496.16109999999998</v>
      </c>
      <c r="H3433" s="1">
        <v>-4.2074020000000002E-6</v>
      </c>
      <c r="I3433">
        <v>266.13900000000001</v>
      </c>
      <c r="J3433">
        <v>-477.62270000000001</v>
      </c>
      <c r="K3433">
        <v>1.1166020000000001</v>
      </c>
      <c r="L3433">
        <v>280.89139999999998</v>
      </c>
      <c r="M3433">
        <v>-0.93704889999999996</v>
      </c>
      <c r="N3433">
        <v>-1.4555780000000001E-2</v>
      </c>
      <c r="O3433">
        <v>-0.34889510000000001</v>
      </c>
      <c r="P3433">
        <v>-0.85519750000000005</v>
      </c>
      <c r="Q3433">
        <v>0.16464000000000001</v>
      </c>
      <c r="R3433">
        <v>-0.49145879999999997</v>
      </c>
      <c r="S3433">
        <v>-2.430847</v>
      </c>
      <c r="T3433">
        <v>-0.14533560000000001</v>
      </c>
      <c r="U3433">
        <v>-1.9274290000000001</v>
      </c>
      <c r="V3433">
        <v>-0.164714</v>
      </c>
      <c r="W3433">
        <v>0.1764376</v>
      </c>
      <c r="X3433">
        <v>0.97043239999999997</v>
      </c>
      <c r="Y3433">
        <v>-0.30858550000000001</v>
      </c>
      <c r="Z3433">
        <v>2.160946E-3</v>
      </c>
      <c r="AA3433">
        <v>0.95119419999999999</v>
      </c>
      <c r="AB3433">
        <v>28</v>
      </c>
      <c r="AC3433">
        <v>-18.5383999999999</v>
      </c>
      <c r="AD3433">
        <v>-1.116606207402</v>
      </c>
      <c r="AE3433">
        <v>-14.7523999999999</v>
      </c>
      <c r="AF3433">
        <v>-7.3402368926760904</v>
      </c>
      <c r="AG3433">
        <v>-1.116606207402</v>
      </c>
      <c r="AH3433">
        <v>22.4708960165032</v>
      </c>
      <c r="AI3433">
        <v>92.704356395257506</v>
      </c>
      <c r="AJ3433">
        <v>108.08990000925699</v>
      </c>
      <c r="AK3433">
        <v>23.665735882230901</v>
      </c>
      <c r="AL3433">
        <v>79.8376714487475</v>
      </c>
      <c r="AM3433">
        <v>99.633153279076794</v>
      </c>
      <c r="AN3433">
        <v>0.99999998572975901</v>
      </c>
    </row>
    <row r="3434" spans="1:40" x14ac:dyDescent="0.25">
      <c r="A3434" t="str">
        <f>"20190304154823595"</f>
        <v>20190304154823595</v>
      </c>
      <c r="B3434" t="str">
        <f>"1551685703589729"</f>
        <v>1551685703589729</v>
      </c>
      <c r="C3434" t="s">
        <v>40</v>
      </c>
      <c r="D3434">
        <v>4.2594640000000004</v>
      </c>
      <c r="E3434">
        <v>0.44584380000000001</v>
      </c>
      <c r="F3434" t="s">
        <v>44</v>
      </c>
      <c r="G3434">
        <v>-497.1223</v>
      </c>
      <c r="H3434" s="1">
        <v>-4.3159149999999998E-6</v>
      </c>
      <c r="I3434">
        <v>265.95679999999999</v>
      </c>
      <c r="J3434">
        <v>-477.75150000000002</v>
      </c>
      <c r="K3434">
        <v>1.116687</v>
      </c>
      <c r="L3434">
        <v>280.83920000000001</v>
      </c>
      <c r="M3434">
        <v>-0.93562820000000002</v>
      </c>
      <c r="N3434">
        <v>-1.4567119999999999E-2</v>
      </c>
      <c r="O3434">
        <v>-0.35268660000000002</v>
      </c>
      <c r="P3434">
        <v>-0.85307379999999999</v>
      </c>
      <c r="Q3434">
        <v>0.16471649999999999</v>
      </c>
      <c r="R3434">
        <v>-0.4951101</v>
      </c>
      <c r="S3434">
        <v>-2.4546199999999998</v>
      </c>
      <c r="T3434">
        <v>-0.14055860000000001</v>
      </c>
      <c r="U3434">
        <v>-1.879974</v>
      </c>
      <c r="V3434">
        <v>-0.1649767</v>
      </c>
      <c r="W3434">
        <v>0.17648730000000001</v>
      </c>
      <c r="X3434">
        <v>0.97037879999999999</v>
      </c>
      <c r="Y3434">
        <v>-0.28871950000000002</v>
      </c>
      <c r="Z3434">
        <v>2.6059740000000001E-3</v>
      </c>
      <c r="AA3434">
        <v>0.95741019999999999</v>
      </c>
      <c r="AB3434">
        <v>28</v>
      </c>
      <c r="AC3434">
        <v>-19.3707999999999</v>
      </c>
      <c r="AD3434">
        <v>-1.116691315915</v>
      </c>
      <c r="AE3434">
        <v>-14.882400000000001</v>
      </c>
      <c r="AF3434">
        <v>-7.0785310217501403</v>
      </c>
      <c r="AG3434">
        <v>-1.116691315915</v>
      </c>
      <c r="AH3434">
        <v>23.3264210309997</v>
      </c>
      <c r="AI3434">
        <v>92.622864617940806</v>
      </c>
      <c r="AJ3434">
        <v>106.88070977262799</v>
      </c>
      <c r="AK3434">
        <v>24.4023465887276</v>
      </c>
      <c r="AL3434">
        <v>79.834779079632</v>
      </c>
      <c r="AM3434">
        <v>99.648751395558094</v>
      </c>
      <c r="AN3434">
        <v>1.0000000470468</v>
      </c>
    </row>
    <row r="3435" spans="1:40" x14ac:dyDescent="0.25">
      <c r="A3435" t="str">
        <f>"20190304154823607"</f>
        <v>20190304154823607</v>
      </c>
      <c r="B3435" t="str">
        <f>"1551685703600466"</f>
        <v>1551685703600466</v>
      </c>
      <c r="C3435" t="s">
        <v>40</v>
      </c>
      <c r="D3435">
        <v>4.2686409999999997</v>
      </c>
      <c r="E3435">
        <v>0.44615919999999998</v>
      </c>
      <c r="F3435" t="s">
        <v>44</v>
      </c>
      <c r="G3435">
        <v>-496.95240000000001</v>
      </c>
      <c r="H3435" s="1">
        <v>-4.2912660000000002E-6</v>
      </c>
      <c r="I3435">
        <v>265.97289999999998</v>
      </c>
      <c r="J3435">
        <v>-477.89350000000002</v>
      </c>
      <c r="K3435">
        <v>1.1167800000000001</v>
      </c>
      <c r="L3435">
        <v>280.78089999999997</v>
      </c>
      <c r="M3435">
        <v>-0.93401469999999998</v>
      </c>
      <c r="N3435">
        <v>-1.4580589999999999E-2</v>
      </c>
      <c r="O3435">
        <v>-0.3569368</v>
      </c>
      <c r="P3435">
        <v>-0.8506591</v>
      </c>
      <c r="Q3435">
        <v>0.1648493</v>
      </c>
      <c r="R3435">
        <v>-0.49920310000000001</v>
      </c>
      <c r="S3435">
        <v>-2.4453130000000001</v>
      </c>
      <c r="T3435">
        <v>-0.14221529999999999</v>
      </c>
      <c r="U3435">
        <v>-1.8932800000000001</v>
      </c>
      <c r="V3435">
        <v>-0.16527900000000001</v>
      </c>
      <c r="W3435">
        <v>0.17659059999999999</v>
      </c>
      <c r="X3435">
        <v>0.97030850000000002</v>
      </c>
      <c r="Y3435">
        <v>-0.28938770000000003</v>
      </c>
      <c r="Z3435">
        <v>2.8394940000000001E-3</v>
      </c>
      <c r="AA3435">
        <v>0.95720769999999999</v>
      </c>
      <c r="AB3435">
        <v>28</v>
      </c>
      <c r="AC3435">
        <v>-19.058899999999898</v>
      </c>
      <c r="AD3435">
        <v>-1.116784291266</v>
      </c>
      <c r="AE3435">
        <v>-14.8079999999999</v>
      </c>
      <c r="AF3435">
        <v>-7.0137973558854103</v>
      </c>
      <c r="AG3435">
        <v>-1.116784291266</v>
      </c>
      <c r="AH3435">
        <v>23.039938233031201</v>
      </c>
      <c r="AI3435">
        <v>92.654941295373405</v>
      </c>
      <c r="AJ3435">
        <v>106.93125070485399</v>
      </c>
      <c r="AK3435">
        <v>24.109734844758002</v>
      </c>
      <c r="AL3435">
        <v>79.828765359831607</v>
      </c>
      <c r="AM3435">
        <v>99.666785411734097</v>
      </c>
      <c r="AN3435">
        <v>0.99999998651080402</v>
      </c>
    </row>
    <row r="3436" spans="1:40" x14ac:dyDescent="0.25">
      <c r="A3436" t="str">
        <f>"20190304154823620"</f>
        <v>20190304154823620</v>
      </c>
      <c r="B3436" t="str">
        <f>"1551685703610225"</f>
        <v>1551685703610225</v>
      </c>
      <c r="C3436" t="s">
        <v>40</v>
      </c>
      <c r="D3436">
        <v>4.2900929999999997</v>
      </c>
      <c r="E3436">
        <v>0.44634639999999998</v>
      </c>
      <c r="F3436" t="s">
        <v>44</v>
      </c>
      <c r="G3436">
        <v>-496.99520000000001</v>
      </c>
      <c r="H3436" s="1">
        <v>-4.2629420000000002E-6</v>
      </c>
      <c r="I3436">
        <v>265.86739999999998</v>
      </c>
      <c r="J3436">
        <v>-478.03089999999997</v>
      </c>
      <c r="K3436">
        <v>1.1168709999999999</v>
      </c>
      <c r="L3436">
        <v>280.72340000000003</v>
      </c>
      <c r="M3436">
        <v>-0.9323979</v>
      </c>
      <c r="N3436">
        <v>-1.4594319999999999E-2</v>
      </c>
      <c r="O3436">
        <v>-0.36113879999999998</v>
      </c>
      <c r="P3436">
        <v>-0.84816859999999905</v>
      </c>
      <c r="Q3436">
        <v>0.1647988</v>
      </c>
      <c r="R3436">
        <v>-0.50343979999999999</v>
      </c>
      <c r="S3436">
        <v>-2.4375309999999999</v>
      </c>
      <c r="T3436">
        <v>-0.14251040000000001</v>
      </c>
      <c r="U3436">
        <v>-1.903076</v>
      </c>
      <c r="V3436">
        <v>-0.16578619999999999</v>
      </c>
      <c r="W3436">
        <v>0.176508</v>
      </c>
      <c r="X3436">
        <v>0.97023700000000002</v>
      </c>
      <c r="Y3436">
        <v>-0.28895199999999999</v>
      </c>
      <c r="Z3436">
        <v>3.0138560000000001E-3</v>
      </c>
      <c r="AA3436">
        <v>0.95733889999999999</v>
      </c>
      <c r="AB3436">
        <v>28</v>
      </c>
      <c r="AC3436">
        <v>-18.964300000000001</v>
      </c>
      <c r="AD3436">
        <v>-1.116875262942</v>
      </c>
      <c r="AE3436">
        <v>-14.856</v>
      </c>
      <c r="AF3436">
        <v>-6.9886826565507798</v>
      </c>
      <c r="AG3436">
        <v>-1.116875262942</v>
      </c>
      <c r="AH3436">
        <v>23.000367935615099</v>
      </c>
      <c r="AI3436">
        <v>92.660138822604793</v>
      </c>
      <c r="AJ3436">
        <v>106.90145175016799</v>
      </c>
      <c r="AK3436">
        <v>24.064621767246098</v>
      </c>
      <c r="AL3436">
        <v>79.833573525607406</v>
      </c>
      <c r="AM3436">
        <v>99.696589044692601</v>
      </c>
      <c r="AN3436">
        <v>0.99999998717171901</v>
      </c>
    </row>
    <row r="3437" spans="1:40" x14ac:dyDescent="0.25">
      <c r="A3437" t="str">
        <f>"20190304154823635"</f>
        <v>20190304154823635</v>
      </c>
      <c r="B3437" t="str">
        <f>"1551685703629745"</f>
        <v>1551685703629745</v>
      </c>
      <c r="C3437" t="s">
        <v>40</v>
      </c>
      <c r="D3437">
        <v>4.2846820000000001</v>
      </c>
      <c r="E3437">
        <v>0.44667610000000002</v>
      </c>
      <c r="F3437" t="s">
        <v>44</v>
      </c>
      <c r="G3437">
        <v>-497.07279999999997</v>
      </c>
      <c r="H3437" s="1">
        <v>-4.2243070000000003E-6</v>
      </c>
      <c r="I3437">
        <v>265.71339999999998</v>
      </c>
      <c r="J3437">
        <v>-478.19569999999999</v>
      </c>
      <c r="K3437">
        <v>1.1169849999999999</v>
      </c>
      <c r="L3437">
        <v>280.65379999999999</v>
      </c>
      <c r="M3437">
        <v>-0.9304038</v>
      </c>
      <c r="N3437">
        <v>-1.461088E-2</v>
      </c>
      <c r="O3437">
        <v>-0.36624479999999998</v>
      </c>
      <c r="P3437">
        <v>-0.84528479999999995</v>
      </c>
      <c r="Q3437">
        <v>0.16499269999999999</v>
      </c>
      <c r="R3437">
        <v>-0.50820379999999998</v>
      </c>
      <c r="S3437">
        <v>-2.4284669999999999</v>
      </c>
      <c r="T3437">
        <v>-0.14243889999999901</v>
      </c>
      <c r="U3437">
        <v>-1.9142760000000001</v>
      </c>
      <c r="V3437">
        <v>-0.16599229999999901</v>
      </c>
      <c r="W3437">
        <v>0.17666950000000001</v>
      </c>
      <c r="X3437">
        <v>0.97017240000000005</v>
      </c>
      <c r="Y3437">
        <v>-0.2881669</v>
      </c>
      <c r="Z3437">
        <v>3.203142E-3</v>
      </c>
      <c r="AA3437">
        <v>0.95757479999999995</v>
      </c>
      <c r="AB3437">
        <v>28</v>
      </c>
      <c r="AC3437">
        <v>-18.877099999999899</v>
      </c>
      <c r="AD3437">
        <v>-1.1169892243070001</v>
      </c>
      <c r="AE3437">
        <v>-14.9404</v>
      </c>
      <c r="AF3437">
        <v>-6.9727005757930201</v>
      </c>
      <c r="AG3437">
        <v>-1.1169892243070001</v>
      </c>
      <c r="AH3437">
        <v>22.988140598259498</v>
      </c>
      <c r="AI3437">
        <v>92.662217173319306</v>
      </c>
      <c r="AJ3437">
        <v>106.87345792508501</v>
      </c>
      <c r="AK3437">
        <v>24.048301944466498</v>
      </c>
      <c r="AL3437">
        <v>79.824172863522904</v>
      </c>
      <c r="AM3437">
        <v>99.709048396745899</v>
      </c>
      <c r="AN3437">
        <v>1.0000000208056401</v>
      </c>
    </row>
    <row r="3438" spans="1:40" x14ac:dyDescent="0.25">
      <c r="A3438" t="str">
        <f>"20190304154823648"</f>
        <v>20190304154823648</v>
      </c>
      <c r="B3438" t="str">
        <f>"1551685703640483"</f>
        <v>1551685703640483</v>
      </c>
      <c r="C3438" t="s">
        <v>40</v>
      </c>
      <c r="D3438">
        <v>4.2307920000000001</v>
      </c>
      <c r="E3438">
        <v>0.44667610000000002</v>
      </c>
      <c r="F3438" t="s">
        <v>44</v>
      </c>
      <c r="G3438">
        <v>-497.36450000000002</v>
      </c>
      <c r="H3438" s="1">
        <v>-4.165871E-6</v>
      </c>
      <c r="I3438">
        <v>265.38959999999997</v>
      </c>
      <c r="J3438">
        <v>-478.35129999999998</v>
      </c>
      <c r="K3438">
        <v>1.117094</v>
      </c>
      <c r="L3438">
        <v>280.58679999999998</v>
      </c>
      <c r="M3438">
        <v>-0.92844550000000003</v>
      </c>
      <c r="N3438">
        <v>-1.4627279999999999E-2</v>
      </c>
      <c r="O3438">
        <v>-0.37118079999999998</v>
      </c>
      <c r="P3438">
        <v>-0.84223599999999998</v>
      </c>
      <c r="Q3438">
        <v>0.16480889999999901</v>
      </c>
      <c r="R3438">
        <v>-0.51330010000000004</v>
      </c>
      <c r="S3438">
        <v>-2.4186709999999998</v>
      </c>
      <c r="T3438">
        <v>-0.14093910000000001</v>
      </c>
      <c r="U3438">
        <v>-1.9259949999999999</v>
      </c>
      <c r="V3438">
        <v>-0.16673279999999999</v>
      </c>
      <c r="W3438">
        <v>0.1764442</v>
      </c>
      <c r="X3438">
        <v>0.97008640000000002</v>
      </c>
      <c r="Y3438">
        <v>-0.28781430000000002</v>
      </c>
      <c r="Z3438">
        <v>3.2657659999999998E-3</v>
      </c>
      <c r="AA3438">
        <v>0.95768059999999999</v>
      </c>
      <c r="AB3438">
        <v>28</v>
      </c>
      <c r="AC3438">
        <v>-19.013200000000001</v>
      </c>
      <c r="AD3438">
        <v>-1.117098165871</v>
      </c>
      <c r="AE3438">
        <v>-15.1972</v>
      </c>
      <c r="AF3438">
        <v>-7.0383659665795602</v>
      </c>
      <c r="AG3438">
        <v>-1.117098165871</v>
      </c>
      <c r="AH3438">
        <v>23.247152802065202</v>
      </c>
      <c r="AI3438">
        <v>92.633258861609903</v>
      </c>
      <c r="AJ3438">
        <v>106.844343933074</v>
      </c>
      <c r="AK3438">
        <v>24.314946374488802</v>
      </c>
      <c r="AL3438">
        <v>79.837287445514505</v>
      </c>
      <c r="AM3438">
        <v>99.752379047368606</v>
      </c>
      <c r="AN3438">
        <v>1.00000000288722</v>
      </c>
    </row>
    <row r="3439" spans="1:40" x14ac:dyDescent="0.25">
      <c r="A3439" t="str">
        <f>"20190304154823662"</f>
        <v>20190304154823662</v>
      </c>
      <c r="B3439" t="str">
        <f>"1551685703660002"</f>
        <v>1551685703660002</v>
      </c>
      <c r="C3439" t="s">
        <v>40</v>
      </c>
      <c r="D3439">
        <v>4.2347460000000003</v>
      </c>
      <c r="E3439">
        <v>0.45008490000000001</v>
      </c>
      <c r="F3439" t="s">
        <v>44</v>
      </c>
      <c r="G3439">
        <v>-497.38409999999999</v>
      </c>
      <c r="H3439" s="1">
        <v>-4.1164509999999996E-6</v>
      </c>
      <c r="I3439">
        <v>265.23419999999999</v>
      </c>
      <c r="J3439">
        <v>-478.50720000000001</v>
      </c>
      <c r="K3439">
        <v>1.1172029999999999</v>
      </c>
      <c r="L3439">
        <v>280.51839999999999</v>
      </c>
      <c r="M3439">
        <v>-0.92640880000000003</v>
      </c>
      <c r="N3439">
        <v>-1.4644870000000001E-2</v>
      </c>
      <c r="O3439">
        <v>-0.37623440000000002</v>
      </c>
      <c r="P3439">
        <v>-0.83938880000000005</v>
      </c>
      <c r="Q3439">
        <v>0.16491839999999999</v>
      </c>
      <c r="R3439">
        <v>-0.51790789999999998</v>
      </c>
      <c r="S3439">
        <v>-2.4065249999999998</v>
      </c>
      <c r="T3439">
        <v>-0.1412467</v>
      </c>
      <c r="U3439">
        <v>-1.9411929999999999</v>
      </c>
      <c r="V3439">
        <v>-0.1668201</v>
      </c>
      <c r="W3439">
        <v>0.17652579999999901</v>
      </c>
      <c r="X3439">
        <v>0.97005649999999999</v>
      </c>
      <c r="Y3439">
        <v>-0.28862259999999901</v>
      </c>
      <c r="Z3439">
        <v>3.4307679999999998E-3</v>
      </c>
      <c r="AA3439">
        <v>0.95743679999999998</v>
      </c>
      <c r="AB3439">
        <v>28</v>
      </c>
      <c r="AC3439">
        <v>-18.8768999999999</v>
      </c>
      <c r="AD3439">
        <v>-1.117207116451</v>
      </c>
      <c r="AE3439">
        <v>-15.284199999999901</v>
      </c>
      <c r="AF3439">
        <v>-7.0431336971810401</v>
      </c>
      <c r="AG3439">
        <v>-1.117207116451</v>
      </c>
      <c r="AH3439">
        <v>23.191593032616002</v>
      </c>
      <c r="AI3439">
        <v>92.639134125085704</v>
      </c>
      <c r="AJ3439">
        <v>106.893189577176</v>
      </c>
      <c r="AK3439">
        <v>24.2632205489688</v>
      </c>
      <c r="AL3439">
        <v>79.832537096421902</v>
      </c>
      <c r="AM3439">
        <v>99.757682156631603</v>
      </c>
      <c r="AN3439">
        <v>0.99999995851094903</v>
      </c>
    </row>
    <row r="3440" spans="1:40" x14ac:dyDescent="0.25">
      <c r="A3440" t="str">
        <f>"20190304154823674"</f>
        <v>20190304154823674</v>
      </c>
      <c r="B3440" t="str">
        <f>"1551685703669762"</f>
        <v>1551685703669762</v>
      </c>
      <c r="C3440" t="s">
        <v>40</v>
      </c>
      <c r="D3440">
        <v>4.2892700000000001</v>
      </c>
      <c r="E3440">
        <v>0.45037139999999998</v>
      </c>
      <c r="F3440" t="s">
        <v>44</v>
      </c>
      <c r="G3440">
        <v>-494.73399999999998</v>
      </c>
      <c r="H3440" s="1">
        <v>-4.4283179999999997E-6</v>
      </c>
      <c r="I3440">
        <v>267.53199999999998</v>
      </c>
      <c r="J3440">
        <v>-478.64949999999999</v>
      </c>
      <c r="K3440">
        <v>1.117305</v>
      </c>
      <c r="L3440">
        <v>280.45530000000002</v>
      </c>
      <c r="M3440">
        <v>-0.92449859999999995</v>
      </c>
      <c r="N3440">
        <v>-1.466106E-2</v>
      </c>
      <c r="O3440">
        <v>-0.38090360000000001</v>
      </c>
      <c r="P3440">
        <v>-0.83659450000000002</v>
      </c>
      <c r="Q3440">
        <v>0.1647779</v>
      </c>
      <c r="R3440">
        <v>-0.52245459999999999</v>
      </c>
      <c r="S3440">
        <v>-2.4144589999999999</v>
      </c>
      <c r="T3440">
        <v>-0.16623499999999999</v>
      </c>
      <c r="U3440">
        <v>-1.932312</v>
      </c>
      <c r="V3440">
        <v>-0.167220799999999</v>
      </c>
      <c r="W3440">
        <v>0.17635309999999901</v>
      </c>
      <c r="X3440">
        <v>0.97001899999999996</v>
      </c>
      <c r="Y3440">
        <v>-0.28009060000000002</v>
      </c>
      <c r="Z3440">
        <v>5.8421619999999997E-3</v>
      </c>
      <c r="AA3440">
        <v>0.95995580000000003</v>
      </c>
      <c r="AB3440">
        <v>28</v>
      </c>
      <c r="AC3440">
        <v>-16.084499999999998</v>
      </c>
      <c r="AD3440">
        <v>-1.1173094283180001</v>
      </c>
      <c r="AE3440">
        <v>-12.923299999999999</v>
      </c>
      <c r="AF3440">
        <v>-5.80453294489645</v>
      </c>
      <c r="AG3440">
        <v>-1.1173094283180001</v>
      </c>
      <c r="AH3440">
        <v>19.736879163207799</v>
      </c>
      <c r="AI3440">
        <v>93.108692945311901</v>
      </c>
      <c r="AJ3440">
        <v>106.388387383482</v>
      </c>
      <c r="AK3440">
        <v>20.603043031796599</v>
      </c>
      <c r="AL3440">
        <v>79.842590586134193</v>
      </c>
      <c r="AM3440">
        <v>99.781038657714404</v>
      </c>
      <c r="AN3440">
        <v>1.0000000360966199</v>
      </c>
    </row>
    <row r="3441" spans="1:40" x14ac:dyDescent="0.25">
      <c r="A3441" t="str">
        <f>"20190304154823687"</f>
        <v>20190304154823687</v>
      </c>
      <c r="B3441" t="str">
        <f>"1551685703680497"</f>
        <v>1551685703680497</v>
      </c>
      <c r="C3441" t="s">
        <v>40</v>
      </c>
      <c r="D3441">
        <v>4.2967550000000001</v>
      </c>
      <c r="E3441">
        <v>0.45068269999999999</v>
      </c>
      <c r="F3441" t="s">
        <v>44</v>
      </c>
      <c r="G3441">
        <v>-494.85169999999999</v>
      </c>
      <c r="H3441" s="1">
        <v>-4.3907430000000003E-6</v>
      </c>
      <c r="I3441">
        <v>267.3603</v>
      </c>
      <c r="J3441">
        <v>-478.79820000000001</v>
      </c>
      <c r="K3441">
        <v>1.11741</v>
      </c>
      <c r="L3441">
        <v>280.38819999999998</v>
      </c>
      <c r="M3441">
        <v>-0.92242840000000004</v>
      </c>
      <c r="N3441">
        <v>-1.4678750000000001E-2</v>
      </c>
      <c r="O3441">
        <v>-0.38588929999999999</v>
      </c>
      <c r="P3441">
        <v>-0.83336659999999996</v>
      </c>
      <c r="Q3441">
        <v>0.1649311</v>
      </c>
      <c r="R3441">
        <v>-0.52753989999999995</v>
      </c>
      <c r="S3441">
        <v>-2.404846</v>
      </c>
      <c r="T3441">
        <v>-0.16583909999999999</v>
      </c>
      <c r="U3441">
        <v>-1.943665</v>
      </c>
      <c r="V3441">
        <v>-0.1679532</v>
      </c>
      <c r="W3441">
        <v>0.1764667</v>
      </c>
      <c r="X3441">
        <v>0.96987179999999995</v>
      </c>
      <c r="Y3441">
        <v>-0.27952880000000002</v>
      </c>
      <c r="Z3441">
        <v>6.035955E-3</v>
      </c>
      <c r="AA3441">
        <v>0.96011840000000004</v>
      </c>
      <c r="AB3441">
        <v>28</v>
      </c>
      <c r="AC3441">
        <v>-16.0534999999999</v>
      </c>
      <c r="AD3441">
        <v>-1.1174143907430001</v>
      </c>
      <c r="AE3441">
        <v>-13.027899999999899</v>
      </c>
      <c r="AF3441">
        <v>-5.8060975252414897</v>
      </c>
      <c r="AG3441">
        <v>-1.1174143907430001</v>
      </c>
      <c r="AH3441">
        <v>19.779887310558099</v>
      </c>
      <c r="AI3441">
        <v>93.102706938743395</v>
      </c>
      <c r="AJ3441">
        <v>106.358832316744</v>
      </c>
      <c r="AK3441">
        <v>20.644692427150201</v>
      </c>
      <c r="AL3441">
        <v>79.835978131063698</v>
      </c>
      <c r="AM3441">
        <v>99.824507068516198</v>
      </c>
      <c r="AN3441">
        <v>1.0000000410171801</v>
      </c>
    </row>
    <row r="3442" spans="1:40" x14ac:dyDescent="0.25">
      <c r="A3442" t="str">
        <f>"20190304154823699"</f>
        <v>20190304154823699</v>
      </c>
      <c r="B3442" t="str">
        <f>"1551685703690257"</f>
        <v>1551685703690257</v>
      </c>
      <c r="C3442" t="s">
        <v>40</v>
      </c>
      <c r="D3442">
        <v>4.266737</v>
      </c>
      <c r="E3442">
        <v>0.45098729999999998</v>
      </c>
      <c r="F3442" t="s">
        <v>44</v>
      </c>
      <c r="G3442">
        <v>-495.03030000000001</v>
      </c>
      <c r="H3442" s="1">
        <v>-4.3427459999999999E-6</v>
      </c>
      <c r="I3442">
        <v>267.12610000000001</v>
      </c>
      <c r="J3442">
        <v>-478.92079999999999</v>
      </c>
      <c r="K3442">
        <v>1.1174919999999999</v>
      </c>
      <c r="L3442">
        <v>280.33190000000002</v>
      </c>
      <c r="M3442">
        <v>-0.92066539999999997</v>
      </c>
      <c r="N3442">
        <v>-1.469385E-2</v>
      </c>
      <c r="O3442">
        <v>-0.39007599999999998</v>
      </c>
      <c r="P3442">
        <v>-0.83098799999999995</v>
      </c>
      <c r="Q3442">
        <v>0.16468559999999999</v>
      </c>
      <c r="R3442">
        <v>-0.53135449999999995</v>
      </c>
      <c r="S3442">
        <v>-2.394196</v>
      </c>
      <c r="T3442">
        <v>-0.16481509999999999</v>
      </c>
      <c r="U3442">
        <v>-1.956116</v>
      </c>
      <c r="V3442">
        <v>-0.16800809999999999</v>
      </c>
      <c r="W3442">
        <v>0.17620060000000001</v>
      </c>
      <c r="X3442">
        <v>0.96991059999999996</v>
      </c>
      <c r="Y3442">
        <v>-0.28025519999999998</v>
      </c>
      <c r="Z3442">
        <v>6.1003409999999996E-3</v>
      </c>
      <c r="AA3442">
        <v>0.95990620000000004</v>
      </c>
      <c r="AB3442">
        <v>28</v>
      </c>
      <c r="AC3442">
        <v>-16.109500000000001</v>
      </c>
      <c r="AD3442">
        <v>-1.1174963427459901</v>
      </c>
      <c r="AE3442">
        <v>-13.2058</v>
      </c>
      <c r="AF3442">
        <v>-5.8579688071545801</v>
      </c>
      <c r="AG3442">
        <v>-1.1174963427459901</v>
      </c>
      <c r="AH3442">
        <v>19.9275309597903</v>
      </c>
      <c r="AI3442">
        <v>93.079632832278904</v>
      </c>
      <c r="AJ3442">
        <v>106.381416653209</v>
      </c>
      <c r="AK3442">
        <v>20.800747264823102</v>
      </c>
      <c r="AL3442">
        <v>79.851466542558796</v>
      </c>
      <c r="AM3442">
        <v>99.827270386018796</v>
      </c>
      <c r="AN3442">
        <v>0.99999997254916395</v>
      </c>
    </row>
    <row r="3443" spans="1:40" x14ac:dyDescent="0.25">
      <c r="A3443" t="str">
        <f>"20190304154823709"</f>
        <v>20190304154823709</v>
      </c>
      <c r="B3443" t="str">
        <f>"1551685703700017"</f>
        <v>1551685703700017</v>
      </c>
      <c r="C3443" t="s">
        <v>40</v>
      </c>
      <c r="D3443">
        <v>4.2418009999999997</v>
      </c>
      <c r="E3443">
        <v>0.4508607</v>
      </c>
      <c r="F3443" t="s">
        <v>44</v>
      </c>
      <c r="G3443">
        <v>-495.1352</v>
      </c>
      <c r="H3443" s="1">
        <v>-4.3122809999999999E-6</v>
      </c>
      <c r="I3443">
        <v>266.9819</v>
      </c>
      <c r="J3443">
        <v>-479.04939999999999</v>
      </c>
      <c r="K3443">
        <v>1.117583</v>
      </c>
      <c r="L3443">
        <v>280.27249999999998</v>
      </c>
      <c r="M3443">
        <v>-0.91877810000000004</v>
      </c>
      <c r="N3443">
        <v>-1.4709450000000001E-2</v>
      </c>
      <c r="O3443">
        <v>-0.39450039999999997</v>
      </c>
      <c r="P3443">
        <v>-0.82807949999999997</v>
      </c>
      <c r="Q3443">
        <v>0.1650732</v>
      </c>
      <c r="R3443">
        <v>-0.53575680000000003</v>
      </c>
      <c r="S3443">
        <v>-2.3864139999999998</v>
      </c>
      <c r="T3443">
        <v>-0.16447210000000001</v>
      </c>
      <c r="U3443">
        <v>-1.964844</v>
      </c>
      <c r="V3443">
        <v>-0.16856650000000001</v>
      </c>
      <c r="W3443">
        <v>0.17655489999999999</v>
      </c>
      <c r="X3443">
        <v>0.96974930000000004</v>
      </c>
      <c r="Y3443">
        <v>-0.27926980000000001</v>
      </c>
      <c r="Z3443">
        <v>6.2868840000000004E-3</v>
      </c>
      <c r="AA3443">
        <v>0.96019209999999999</v>
      </c>
      <c r="AB3443">
        <v>28</v>
      </c>
      <c r="AC3443">
        <v>-16.085799999999999</v>
      </c>
      <c r="AD3443">
        <v>-1.1175873122810001</v>
      </c>
      <c r="AE3443">
        <v>-13.2905999999999</v>
      </c>
      <c r="AF3443">
        <v>-5.8491127200853299</v>
      </c>
      <c r="AG3443">
        <v>-1.1175873122810001</v>
      </c>
      <c r="AH3443">
        <v>19.967313178297999</v>
      </c>
      <c r="AI3443">
        <v>93.074611783401195</v>
      </c>
      <c r="AJ3443">
        <v>106.327122509574</v>
      </c>
      <c r="AK3443">
        <v>20.8363796417005</v>
      </c>
      <c r="AL3443">
        <v>79.830843622735301</v>
      </c>
      <c r="AM3443">
        <v>99.860900578197004</v>
      </c>
      <c r="AN3443">
        <v>1.0000000012433701</v>
      </c>
    </row>
    <row r="3444" spans="1:40" x14ac:dyDescent="0.25">
      <c r="A3444" t="str">
        <f>"20190304154823724"</f>
        <v>20190304154823724</v>
      </c>
      <c r="B3444" t="str">
        <f>"1551685703719541"</f>
        <v>1551685703719541</v>
      </c>
      <c r="C3444" t="s">
        <v>40</v>
      </c>
      <c r="D3444">
        <v>4.2535400000000001</v>
      </c>
      <c r="E3444">
        <v>0.45104179999999999</v>
      </c>
      <c r="F3444" t="s">
        <v>44</v>
      </c>
      <c r="G3444">
        <v>-494.55349999999999</v>
      </c>
      <c r="H3444" s="1">
        <v>-4.3384580000000002E-6</v>
      </c>
      <c r="I3444">
        <v>267.36200000000002</v>
      </c>
      <c r="J3444">
        <v>-479.19630000000001</v>
      </c>
      <c r="K3444">
        <v>1.1176919999999999</v>
      </c>
      <c r="L3444">
        <v>280.20299999999997</v>
      </c>
      <c r="M3444">
        <v>-0.9165333</v>
      </c>
      <c r="N3444">
        <v>-1.472863E-2</v>
      </c>
      <c r="O3444">
        <v>-0.39968730000000002</v>
      </c>
      <c r="P3444">
        <v>-0.82463639999999905</v>
      </c>
      <c r="Q3444">
        <v>0.16551979999999999</v>
      </c>
      <c r="R3444">
        <v>-0.54090490000000002</v>
      </c>
      <c r="S3444">
        <v>-2.3765869999999998</v>
      </c>
      <c r="T3444">
        <v>-0.17131199999999999</v>
      </c>
      <c r="U3444">
        <v>-1.979004</v>
      </c>
      <c r="V3444">
        <v>-0.16921649999999999</v>
      </c>
      <c r="W3444">
        <v>0.1769637</v>
      </c>
      <c r="X3444">
        <v>0.96956160000000002</v>
      </c>
      <c r="Y3444">
        <v>-0.27917550000000002</v>
      </c>
      <c r="Z3444">
        <v>7.0883029999999998E-3</v>
      </c>
      <c r="AA3444">
        <v>0.96021389999999995</v>
      </c>
      <c r="AB3444">
        <v>28</v>
      </c>
      <c r="AC3444">
        <v>-15.357199999999899</v>
      </c>
      <c r="AD3444">
        <v>-1.1176963384580001</v>
      </c>
      <c r="AE3444">
        <v>-12.8409999999999</v>
      </c>
      <c r="AF3444">
        <v>-5.6142350017207603</v>
      </c>
      <c r="AG3444">
        <v>-1.1176963384580001</v>
      </c>
      <c r="AH3444">
        <v>19.150153595697201</v>
      </c>
      <c r="AI3444">
        <v>93.2056504153189</v>
      </c>
      <c r="AJ3444">
        <v>106.339511509571</v>
      </c>
      <c r="AK3444">
        <v>19.987427610834398</v>
      </c>
      <c r="AL3444">
        <v>79.807046753273994</v>
      </c>
      <c r="AM3444">
        <v>99.900052319505505</v>
      </c>
      <c r="AN3444">
        <v>1.00000003559224</v>
      </c>
    </row>
    <row r="3445" spans="1:40" x14ac:dyDescent="0.25">
      <c r="A3445" t="str">
        <f>"20190304154823735"</f>
        <v>20190304154823735</v>
      </c>
      <c r="B3445" t="str">
        <f>"1551685703730273"</f>
        <v>1551685703730273</v>
      </c>
      <c r="C3445" t="s">
        <v>40</v>
      </c>
      <c r="D3445">
        <v>4.3149980000000001</v>
      </c>
      <c r="E3445">
        <v>0.4511966</v>
      </c>
      <c r="F3445" t="s">
        <v>44</v>
      </c>
      <c r="G3445">
        <v>-493.98630000000003</v>
      </c>
      <c r="H3445" s="1">
        <v>-4.3686860000000002E-6</v>
      </c>
      <c r="I3445">
        <v>267.7466</v>
      </c>
      <c r="J3445">
        <v>-479.32060000000001</v>
      </c>
      <c r="K3445">
        <v>1.1177820000000001</v>
      </c>
      <c r="L3445">
        <v>280.14370000000002</v>
      </c>
      <c r="M3445">
        <v>-0.91458969999999995</v>
      </c>
      <c r="N3445">
        <v>-1.474469E-2</v>
      </c>
      <c r="O3445">
        <v>-0.40411419999999998</v>
      </c>
      <c r="P3445">
        <v>-0.82178949999999995</v>
      </c>
      <c r="Q3445">
        <v>0.1655692</v>
      </c>
      <c r="R3445">
        <v>-0.54520519999999995</v>
      </c>
      <c r="S3445">
        <v>-2.3665159999999998</v>
      </c>
      <c r="T3445">
        <v>-0.17884040000000001</v>
      </c>
      <c r="U3445">
        <v>-1.993134</v>
      </c>
      <c r="V3445">
        <v>-0.16963789999999901</v>
      </c>
      <c r="W3445">
        <v>0.17698439999999999</v>
      </c>
      <c r="X3445">
        <v>0.96948420000000002</v>
      </c>
      <c r="Y3445">
        <v>-0.27990080000000001</v>
      </c>
      <c r="Z3445">
        <v>7.9116129999999996E-3</v>
      </c>
      <c r="AA3445">
        <v>0.95999630000000002</v>
      </c>
      <c r="AB3445">
        <v>28</v>
      </c>
      <c r="AC3445">
        <v>-14.665699999999999</v>
      </c>
      <c r="AD3445">
        <v>-1.1177863686859999</v>
      </c>
      <c r="AE3445">
        <v>-12.3971</v>
      </c>
      <c r="AF3445">
        <v>-5.3939552097089596</v>
      </c>
      <c r="AG3445">
        <v>-1.1177863686859999</v>
      </c>
      <c r="AH3445">
        <v>18.362729702369698</v>
      </c>
      <c r="AI3445">
        <v>93.342558606671403</v>
      </c>
      <c r="AJ3445">
        <v>106.369873313065</v>
      </c>
      <c r="AK3445">
        <v>19.1711773580199</v>
      </c>
      <c r="AL3445">
        <v>79.805841904549794</v>
      </c>
      <c r="AM3445">
        <v>99.924993415112596</v>
      </c>
      <c r="AN3445">
        <v>1.0000000545047001</v>
      </c>
    </row>
    <row r="3446" spans="1:40" x14ac:dyDescent="0.25">
      <c r="A3446" t="str">
        <f>"20190304154823745"</f>
        <v>20190304154823745</v>
      </c>
      <c r="B3446" t="str">
        <f>"1551685703740033"</f>
        <v>1551685703740033</v>
      </c>
      <c r="C3446" t="s">
        <v>40</v>
      </c>
      <c r="D3446">
        <v>4.3263309999999997</v>
      </c>
      <c r="E3446">
        <v>0.45126169999999999</v>
      </c>
      <c r="F3446" t="s">
        <v>44</v>
      </c>
      <c r="G3446">
        <v>-493.86309999999997</v>
      </c>
      <c r="H3446" s="1">
        <v>-4.3555879999999999E-6</v>
      </c>
      <c r="I3446">
        <v>267.7722</v>
      </c>
      <c r="J3446">
        <v>-479.44650000000001</v>
      </c>
      <c r="K3446">
        <v>1.1178729999999999</v>
      </c>
      <c r="L3446">
        <v>280.08260000000001</v>
      </c>
      <c r="M3446">
        <v>-0.91255529999999996</v>
      </c>
      <c r="N3446">
        <v>-1.4761700000000001E-2</v>
      </c>
      <c r="O3446">
        <v>-0.40868710000000003</v>
      </c>
      <c r="P3446">
        <v>-0.81898930000000003</v>
      </c>
      <c r="Q3446">
        <v>0.165304799999999</v>
      </c>
      <c r="R3446">
        <v>-0.54948280000000005</v>
      </c>
      <c r="S3446">
        <v>-2.356903</v>
      </c>
      <c r="T3446">
        <v>-0.18115899999999999</v>
      </c>
      <c r="U3446">
        <v>-2.0050349999999999</v>
      </c>
      <c r="V3446">
        <v>-0.169854</v>
      </c>
      <c r="W3446">
        <v>0.1766953</v>
      </c>
      <c r="X3446">
        <v>0.96949909999999995</v>
      </c>
      <c r="Y3446">
        <v>-0.27984399999999998</v>
      </c>
      <c r="Z3446">
        <v>8.3284510000000006E-3</v>
      </c>
      <c r="AA3446">
        <v>0.96000940000000001</v>
      </c>
      <c r="AB3446">
        <v>28</v>
      </c>
      <c r="AC3446">
        <v>-14.416599999999899</v>
      </c>
      <c r="AD3446">
        <v>-1.1178773555879999</v>
      </c>
      <c r="AE3446">
        <v>-12.3104</v>
      </c>
      <c r="AF3446">
        <v>-5.3241108599631204</v>
      </c>
      <c r="AG3446">
        <v>-1.1178773555879999</v>
      </c>
      <c r="AH3446">
        <v>18.125998548039298</v>
      </c>
      <c r="AI3446">
        <v>93.386402931547195</v>
      </c>
      <c r="AJ3446">
        <v>106.368983409336</v>
      </c>
      <c r="AK3446">
        <v>18.924788759582999</v>
      </c>
      <c r="AL3446">
        <v>79.822671383839094</v>
      </c>
      <c r="AM3446">
        <v>99.937235205330595</v>
      </c>
      <c r="AN3446">
        <v>1.0000000576294401</v>
      </c>
    </row>
    <row r="3447" spans="1:40" x14ac:dyDescent="0.25">
      <c r="A3447" t="str">
        <f>"20190304154823758"</f>
        <v>20190304154823758</v>
      </c>
      <c r="B3447" t="str">
        <f>"1551685703749793"</f>
        <v>1551685703749793</v>
      </c>
      <c r="C3447" t="s">
        <v>40</v>
      </c>
      <c r="D3447">
        <v>4.345459</v>
      </c>
      <c r="E3447">
        <v>0.45142490000000002</v>
      </c>
      <c r="F3447" t="s">
        <v>44</v>
      </c>
      <c r="G3447">
        <v>-493.75540000000001</v>
      </c>
      <c r="H3447" s="1">
        <v>-4.3411300000000002E-6</v>
      </c>
      <c r="I3447">
        <v>267.78590000000003</v>
      </c>
      <c r="J3447">
        <v>-479.57580000000002</v>
      </c>
      <c r="K3447">
        <v>1.117964</v>
      </c>
      <c r="L3447">
        <v>280.01889999999997</v>
      </c>
      <c r="M3447">
        <v>-0.91040869999999996</v>
      </c>
      <c r="N3447">
        <v>-1.4779560000000001E-2</v>
      </c>
      <c r="O3447">
        <v>-0.41344629999999999</v>
      </c>
      <c r="P3447">
        <v>-0.81601679999999999</v>
      </c>
      <c r="Q3447">
        <v>0.16499949999999999</v>
      </c>
      <c r="R3447">
        <v>-0.55397830000000003</v>
      </c>
      <c r="S3447">
        <v>-2.346924</v>
      </c>
      <c r="T3447">
        <v>-0.18335199999999999</v>
      </c>
      <c r="U3447">
        <v>-2.0168759999999999</v>
      </c>
      <c r="V3447">
        <v>-0.17013320000000001</v>
      </c>
      <c r="W3447">
        <v>0.176365299999999</v>
      </c>
      <c r="X3447">
        <v>0.96951010000000004</v>
      </c>
      <c r="Y3447">
        <v>-0.27963890000000002</v>
      </c>
      <c r="Z3447">
        <v>8.7564589999999994E-3</v>
      </c>
      <c r="AA3447">
        <v>0.96006530000000001</v>
      </c>
      <c r="AB3447">
        <v>28</v>
      </c>
      <c r="AC3447">
        <v>-14.179599999999899</v>
      </c>
      <c r="AD3447">
        <v>-1.1179683411300001</v>
      </c>
      <c r="AE3447">
        <v>-12.232999999999899</v>
      </c>
      <c r="AF3447">
        <v>-5.2563692163082898</v>
      </c>
      <c r="AG3447">
        <v>-1.1179683411300001</v>
      </c>
      <c r="AH3447">
        <v>17.905069697989099</v>
      </c>
      <c r="AI3447">
        <v>93.428513830609106</v>
      </c>
      <c r="AJ3447">
        <v>106.360591333729</v>
      </c>
      <c r="AK3447">
        <v>18.6941378897174</v>
      </c>
      <c r="AL3447">
        <v>79.841879351442103</v>
      </c>
      <c r="AM3447">
        <v>99.953132624846006</v>
      </c>
      <c r="AN3447">
        <v>0.99999992939416704</v>
      </c>
    </row>
    <row r="3448" spans="1:40" x14ac:dyDescent="0.25">
      <c r="A3448" t="str">
        <f>"20190304154823770"</f>
        <v>20190304154823770</v>
      </c>
      <c r="B3448" t="str">
        <f>"1551685703759553"</f>
        <v>1551685703759553</v>
      </c>
      <c r="C3448" t="s">
        <v>40</v>
      </c>
      <c r="D3448">
        <v>4.3366049999999996</v>
      </c>
      <c r="E3448">
        <v>0.45163350000000002</v>
      </c>
      <c r="F3448" t="s">
        <v>44</v>
      </c>
      <c r="G3448">
        <v>-493.51929999999999</v>
      </c>
      <c r="H3448" s="1">
        <v>-4.3423339999999996E-6</v>
      </c>
      <c r="I3448">
        <v>267.91250000000002</v>
      </c>
      <c r="J3448">
        <v>-479.70729999999998</v>
      </c>
      <c r="K3448">
        <v>1.118055</v>
      </c>
      <c r="L3448">
        <v>279.95350000000002</v>
      </c>
      <c r="M3448">
        <v>-0.90817340000000002</v>
      </c>
      <c r="N3448">
        <v>-1.479774E-2</v>
      </c>
      <c r="O3448">
        <v>-0.4183327</v>
      </c>
      <c r="P3448">
        <v>-0.81293629999999995</v>
      </c>
      <c r="Q3448">
        <v>0.1648743</v>
      </c>
      <c r="R3448">
        <v>-0.55852599999999997</v>
      </c>
      <c r="S3448">
        <v>-2.3368530000000001</v>
      </c>
      <c r="T3448">
        <v>-0.18736449999999999</v>
      </c>
      <c r="U3448">
        <v>-2.0289609999999998</v>
      </c>
      <c r="V3448">
        <v>-0.1703644</v>
      </c>
      <c r="W3448">
        <v>0.17621510000000001</v>
      </c>
      <c r="X3448">
        <v>0.96949689999999999</v>
      </c>
      <c r="Y3448">
        <v>-0.27936299999999997</v>
      </c>
      <c r="Z3448">
        <v>9.3690449999999995E-3</v>
      </c>
      <c r="AA3448">
        <v>0.96013979999999999</v>
      </c>
      <c r="AB3448">
        <v>28</v>
      </c>
      <c r="AC3448">
        <v>-13.811999999999999</v>
      </c>
      <c r="AD3448">
        <v>-1.118059342334</v>
      </c>
      <c r="AE3448">
        <v>-12.040999999999899</v>
      </c>
      <c r="AF3448">
        <v>-5.1387370026932198</v>
      </c>
      <c r="AG3448">
        <v>-1.118059342334</v>
      </c>
      <c r="AH3448">
        <v>17.517539407600999</v>
      </c>
      <c r="AI3448">
        <v>93.504666828847704</v>
      </c>
      <c r="AJ3448">
        <v>106.34895088377</v>
      </c>
      <c r="AK3448">
        <v>18.289911469787999</v>
      </c>
      <c r="AL3448">
        <v>79.850622979886893</v>
      </c>
      <c r="AM3448">
        <v>99.966520253214597</v>
      </c>
      <c r="AN3448">
        <v>1.0000000146824899</v>
      </c>
    </row>
    <row r="3449" spans="1:40" x14ac:dyDescent="0.25">
      <c r="A3449" t="str">
        <f>"20190304154823781"</f>
        <v>20190304154823781</v>
      </c>
      <c r="B3449" t="str">
        <f>"1551685703770289"</f>
        <v>1551685703770289</v>
      </c>
      <c r="C3449" t="s">
        <v>40</v>
      </c>
      <c r="D3449">
        <v>4.3458110000000003</v>
      </c>
      <c r="E3449">
        <v>0.45195580000000002</v>
      </c>
      <c r="F3449" t="s">
        <v>44</v>
      </c>
      <c r="G3449">
        <v>-493.46859999999998</v>
      </c>
      <c r="H3449" s="1">
        <v>-4.3237120000000001E-6</v>
      </c>
      <c r="I3449">
        <v>267.88420000000002</v>
      </c>
      <c r="J3449">
        <v>-479.82549999999998</v>
      </c>
      <c r="K3449">
        <v>1.1181369999999999</v>
      </c>
      <c r="L3449">
        <v>279.89339999999999</v>
      </c>
      <c r="M3449">
        <v>-0.90608960000000005</v>
      </c>
      <c r="N3449">
        <v>-1.4814819999999999E-2</v>
      </c>
      <c r="O3449">
        <v>-0.4228266</v>
      </c>
      <c r="P3449">
        <v>-0.81006709999999904</v>
      </c>
      <c r="Q3449">
        <v>0.1645713</v>
      </c>
      <c r="R3449">
        <v>-0.56276780000000004</v>
      </c>
      <c r="S3449">
        <v>-2.32666</v>
      </c>
      <c r="T3449">
        <v>-0.1890336</v>
      </c>
      <c r="U3449">
        <v>-2.0405880000000001</v>
      </c>
      <c r="V3449">
        <v>-0.17063429999999999</v>
      </c>
      <c r="W3449">
        <v>0.175890299999999</v>
      </c>
      <c r="X3449">
        <v>0.96950840000000005</v>
      </c>
      <c r="Y3449">
        <v>-0.27940730000000003</v>
      </c>
      <c r="Z3449">
        <v>9.7438560000000004E-3</v>
      </c>
      <c r="AA3449">
        <v>0.96012319999999995</v>
      </c>
      <c r="AB3449">
        <v>28</v>
      </c>
      <c r="AC3449">
        <v>-13.6431</v>
      </c>
      <c r="AD3449">
        <v>-1.1181413237119999</v>
      </c>
      <c r="AE3449">
        <v>-12.0091999999999</v>
      </c>
      <c r="AF3449">
        <v>-5.0940278282257303</v>
      </c>
      <c r="AG3449">
        <v>-1.1181413237119999</v>
      </c>
      <c r="AH3449">
        <v>17.3758333939397</v>
      </c>
      <c r="AI3449">
        <v>93.533606909308006</v>
      </c>
      <c r="AJ3449">
        <v>106.33941689744201</v>
      </c>
      <c r="AK3449">
        <v>18.141635694404201</v>
      </c>
      <c r="AL3449">
        <v>79.869527778016703</v>
      </c>
      <c r="AM3449">
        <v>99.981876383607897</v>
      </c>
      <c r="AN3449">
        <v>0.99999999982056997</v>
      </c>
    </row>
    <row r="3450" spans="1:40" x14ac:dyDescent="0.25">
      <c r="A3450" t="str">
        <f>"20190304154823793"</f>
        <v>20190304154823793</v>
      </c>
      <c r="B3450" t="str">
        <f>"1551685703789809"</f>
        <v>1551685703789809</v>
      </c>
      <c r="C3450" t="s">
        <v>40</v>
      </c>
      <c r="D3450">
        <v>4.3329309999999897</v>
      </c>
      <c r="E3450">
        <v>0.4522544</v>
      </c>
      <c r="F3450" t="s">
        <v>44</v>
      </c>
      <c r="G3450">
        <v>-493.33089999999999</v>
      </c>
      <c r="H3450" s="1">
        <v>-4.3211449999999998E-6</v>
      </c>
      <c r="I3450">
        <v>267.94839999999999</v>
      </c>
      <c r="J3450">
        <v>-479.95639999999997</v>
      </c>
      <c r="K3450">
        <v>1.1182289999999999</v>
      </c>
      <c r="L3450">
        <v>279.82650000000001</v>
      </c>
      <c r="M3450">
        <v>-0.90374030000000005</v>
      </c>
      <c r="N3450">
        <v>-1.483312E-2</v>
      </c>
      <c r="O3450">
        <v>-0.42782409999999998</v>
      </c>
      <c r="P3450">
        <v>-0.8065485</v>
      </c>
      <c r="Q3450">
        <v>0.16467950000000001</v>
      </c>
      <c r="R3450">
        <v>-0.5677681</v>
      </c>
      <c r="S3450">
        <v>-2.3180239999999999</v>
      </c>
      <c r="T3450">
        <v>-0.19191420000000001</v>
      </c>
      <c r="U3450">
        <v>-2.0502009999999999</v>
      </c>
      <c r="V3450">
        <v>-0.1713295</v>
      </c>
      <c r="W3450">
        <v>0.1759645</v>
      </c>
      <c r="X3450">
        <v>0.96937229999999996</v>
      </c>
      <c r="Y3450">
        <v>-0.2781208</v>
      </c>
      <c r="Z3450">
        <v>1.0315710000000001E-2</v>
      </c>
      <c r="AA3450">
        <v>0.96049070000000003</v>
      </c>
      <c r="AB3450">
        <v>28</v>
      </c>
      <c r="AC3450">
        <v>-13.374499999999999</v>
      </c>
      <c r="AD3450">
        <v>-1.118233321145</v>
      </c>
      <c r="AE3450">
        <v>-11.8781</v>
      </c>
      <c r="AF3450">
        <v>-4.99381964646743</v>
      </c>
      <c r="AG3450">
        <v>-1.118233321145</v>
      </c>
      <c r="AH3450">
        <v>17.103858280474402</v>
      </c>
      <c r="AI3450">
        <v>93.591100247877094</v>
      </c>
      <c r="AJ3450">
        <v>106.27623951769399</v>
      </c>
      <c r="AK3450">
        <v>17.853029112744899</v>
      </c>
      <c r="AL3450">
        <v>79.865208864003506</v>
      </c>
      <c r="AM3450">
        <v>100.023100371355</v>
      </c>
      <c r="AN3450">
        <v>0.99999997941889396</v>
      </c>
    </row>
    <row r="3451" spans="1:40" x14ac:dyDescent="0.25">
      <c r="A3451" t="str">
        <f>"20190304154823804"</f>
        <v>20190304154823804</v>
      </c>
      <c r="B3451" t="str">
        <f>"1551685703800546"</f>
        <v>1551685703800546</v>
      </c>
      <c r="C3451" t="s">
        <v>40</v>
      </c>
      <c r="D3451">
        <v>4.3420100000000001</v>
      </c>
      <c r="E3451">
        <v>0.4522544</v>
      </c>
      <c r="F3451" t="s">
        <v>44</v>
      </c>
      <c r="G3451">
        <v>-493.16090000000003</v>
      </c>
      <c r="H3451" s="1">
        <v>-4.3162799999999999E-6</v>
      </c>
      <c r="I3451">
        <v>268.02269999999999</v>
      </c>
      <c r="J3451">
        <v>-480.0788</v>
      </c>
      <c r="K3451">
        <v>1.118314</v>
      </c>
      <c r="L3451">
        <v>279.76260000000002</v>
      </c>
      <c r="M3451">
        <v>-0.90146550000000003</v>
      </c>
      <c r="N3451">
        <v>-1.485095E-2</v>
      </c>
      <c r="O3451">
        <v>-0.4325966</v>
      </c>
      <c r="P3451">
        <v>-0.80328949999999999</v>
      </c>
      <c r="Q3451">
        <v>0.16499839999999999</v>
      </c>
      <c r="R3451">
        <v>-0.57227779999999995</v>
      </c>
      <c r="S3451">
        <v>-2.3074340000000002</v>
      </c>
      <c r="T3451">
        <v>-0.19540660000000001</v>
      </c>
      <c r="U3451">
        <v>-2.0626530000000001</v>
      </c>
      <c r="V3451">
        <v>-0.17170679999999999</v>
      </c>
      <c r="W3451">
        <v>0.17625739999999901</v>
      </c>
      <c r="X3451">
        <v>0.96925229999999996</v>
      </c>
      <c r="Y3451">
        <v>-0.27811859999999999</v>
      </c>
      <c r="Z3451">
        <v>1.089612E-2</v>
      </c>
      <c r="AA3451">
        <v>0.96048489999999997</v>
      </c>
      <c r="AB3451">
        <v>28</v>
      </c>
      <c r="AC3451">
        <v>-13.082100000000001</v>
      </c>
      <c r="AD3451">
        <v>-1.1183183162799999</v>
      </c>
      <c r="AE3451">
        <v>-11.7399</v>
      </c>
      <c r="AF3451">
        <v>-4.9045323047480496</v>
      </c>
      <c r="AG3451">
        <v>-1.1183183162799999</v>
      </c>
      <c r="AH3451">
        <v>16.805534475532902</v>
      </c>
      <c r="AI3451">
        <v>93.655081019089806</v>
      </c>
      <c r="AJ3451">
        <v>106.269373035307</v>
      </c>
      <c r="AK3451">
        <v>17.542265018895598</v>
      </c>
      <c r="AL3451">
        <v>79.848160255655898</v>
      </c>
      <c r="AM3451">
        <v>100.045942392821</v>
      </c>
      <c r="AN3451">
        <v>0.99999995863814395</v>
      </c>
    </row>
    <row r="3452" spans="1:40" x14ac:dyDescent="0.25">
      <c r="A3452" t="str">
        <f>"20190304154823819"</f>
        <v>20190304154823819</v>
      </c>
      <c r="B3452" t="str">
        <f>"1551685703810305"</f>
        <v>1551685703810305</v>
      </c>
      <c r="C3452" t="s">
        <v>40</v>
      </c>
      <c r="D3452">
        <v>4.2718069999999999</v>
      </c>
      <c r="E3452">
        <v>0.45034489999999999</v>
      </c>
      <c r="F3452" t="s">
        <v>44</v>
      </c>
      <c r="G3452">
        <v>-493.26350000000002</v>
      </c>
      <c r="H3452" s="1">
        <v>-4.2747199999999996E-6</v>
      </c>
      <c r="I3452">
        <v>267.84710000000001</v>
      </c>
      <c r="J3452">
        <v>-480.22340000000003</v>
      </c>
      <c r="K3452">
        <v>1.118411</v>
      </c>
      <c r="L3452">
        <v>279.68619999999999</v>
      </c>
      <c r="M3452">
        <v>-0.89870859999999997</v>
      </c>
      <c r="N3452">
        <v>-1.4872079999999999E-2</v>
      </c>
      <c r="O3452">
        <v>-0.43829390000000001</v>
      </c>
      <c r="P3452">
        <v>-0.79942290000000005</v>
      </c>
      <c r="Q3452">
        <v>0.16527900000000001</v>
      </c>
      <c r="R3452">
        <v>-0.57758640000000006</v>
      </c>
      <c r="S3452">
        <v>-2.296265</v>
      </c>
      <c r="T3452">
        <v>-0.19476650000000001</v>
      </c>
      <c r="U3452">
        <v>-2.0751949999999999</v>
      </c>
      <c r="V3452">
        <v>-0.17206629999999901</v>
      </c>
      <c r="W3452">
        <v>0.17650940000000001</v>
      </c>
      <c r="X3452">
        <v>0.96914270000000002</v>
      </c>
      <c r="Y3452">
        <v>-0.2772577</v>
      </c>
      <c r="Z3452">
        <v>1.115672E-2</v>
      </c>
      <c r="AA3452">
        <v>0.9607308</v>
      </c>
      <c r="AB3452">
        <v>28</v>
      </c>
      <c r="AC3452">
        <v>-13.040099999999899</v>
      </c>
      <c r="AD3452">
        <v>-1.11841527472</v>
      </c>
      <c r="AE3452">
        <v>-11.839099999999901</v>
      </c>
      <c r="AF3452">
        <v>-4.9052702058745101</v>
      </c>
      <c r="AG3452">
        <v>-1.11841527472</v>
      </c>
      <c r="AH3452">
        <v>16.842213811068401</v>
      </c>
      <c r="AI3452">
        <v>93.648036229305106</v>
      </c>
      <c r="AJ3452">
        <v>106.238123627012</v>
      </c>
      <c r="AK3452">
        <v>17.577619138470101</v>
      </c>
      <c r="AL3452">
        <v>79.833491921558704</v>
      </c>
      <c r="AM3452">
        <v>100.067660829405</v>
      </c>
      <c r="AN3452">
        <v>0.999999976423669</v>
      </c>
    </row>
    <row r="3453" spans="1:40" x14ac:dyDescent="0.25">
      <c r="A3453" t="str">
        <f>"20190304154823833"</f>
        <v>20190304154823833</v>
      </c>
      <c r="B3453" t="str">
        <f>"1551685703829825"</f>
        <v>1551685703829825</v>
      </c>
      <c r="C3453" t="s">
        <v>40</v>
      </c>
      <c r="D3453">
        <v>4.3095840000000001</v>
      </c>
      <c r="E3453">
        <v>0.44849899999999998</v>
      </c>
      <c r="F3453" t="s">
        <v>44</v>
      </c>
      <c r="G3453">
        <v>-493.41019999999997</v>
      </c>
      <c r="H3453" s="1">
        <v>-4.1792870000000002E-6</v>
      </c>
      <c r="I3453">
        <v>267.49029999999999</v>
      </c>
      <c r="J3453">
        <v>-480.38639999999998</v>
      </c>
      <c r="K3453">
        <v>1.118517</v>
      </c>
      <c r="L3453">
        <v>279.59859999999998</v>
      </c>
      <c r="M3453">
        <v>-0.89550730000000001</v>
      </c>
      <c r="N3453">
        <v>-1.489613E-2</v>
      </c>
      <c r="O3453">
        <v>-0.44479760000000002</v>
      </c>
      <c r="P3453">
        <v>-0.79506790000000005</v>
      </c>
      <c r="Q3453">
        <v>0.16545079999999901</v>
      </c>
      <c r="R3453">
        <v>-0.58351809999999904</v>
      </c>
      <c r="S3453">
        <v>-2.2734380000000001</v>
      </c>
      <c r="T3453">
        <v>-0.19281719999999999</v>
      </c>
      <c r="U3453">
        <v>-2.1025999999999998</v>
      </c>
      <c r="V3453">
        <v>-0.17231729999999901</v>
      </c>
      <c r="W3453">
        <v>0.17665400000000001</v>
      </c>
      <c r="X3453">
        <v>0.96907180000000004</v>
      </c>
      <c r="Y3453">
        <v>-0.28134320000000002</v>
      </c>
      <c r="Z3453">
        <v>1.11301E-2</v>
      </c>
      <c r="AA3453">
        <v>0.95954269999999997</v>
      </c>
      <c r="AB3453">
        <v>28</v>
      </c>
      <c r="AC3453">
        <v>-13.0237999999999</v>
      </c>
      <c r="AD3453">
        <v>-1.118521179287</v>
      </c>
      <c r="AE3453">
        <v>-12.1082999999999</v>
      </c>
      <c r="AF3453">
        <v>-5.0307730826586496</v>
      </c>
      <c r="AG3453">
        <v>-1.118521179287</v>
      </c>
      <c r="AH3453">
        <v>16.983350942405401</v>
      </c>
      <c r="AI3453">
        <v>93.6132967211134</v>
      </c>
      <c r="AJ3453">
        <v>106.500233679389</v>
      </c>
      <c r="AK3453">
        <v>17.7480696604059</v>
      </c>
      <c r="AL3453">
        <v>79.825075137053503</v>
      </c>
      <c r="AM3453">
        <v>100.08276835316499</v>
      </c>
      <c r="AN3453">
        <v>1.0000000205752599</v>
      </c>
    </row>
    <row r="3454" spans="1:40" x14ac:dyDescent="0.25">
      <c r="A3454" t="str">
        <f>"20190304154823847"</f>
        <v>20190304154823847</v>
      </c>
      <c r="B3454" t="str">
        <f>"1551685703839585"</f>
        <v>1551685703839585</v>
      </c>
      <c r="C3454" t="s">
        <v>40</v>
      </c>
      <c r="D3454">
        <v>4.3727489999999998</v>
      </c>
      <c r="E3454">
        <v>0.4476366</v>
      </c>
      <c r="F3454" t="s">
        <v>44</v>
      </c>
      <c r="G3454">
        <v>-493.54539999999997</v>
      </c>
      <c r="H3454" s="1">
        <v>-4.0796790000000001E-6</v>
      </c>
      <c r="I3454">
        <v>267.12700000000001</v>
      </c>
      <c r="J3454">
        <v>-480.53989999999999</v>
      </c>
      <c r="K3454">
        <v>1.118614</v>
      </c>
      <c r="L3454">
        <v>279.51429999999999</v>
      </c>
      <c r="M3454">
        <v>-0.89237520000000004</v>
      </c>
      <c r="N3454">
        <v>-1.4919379999999999E-2</v>
      </c>
      <c r="O3454">
        <v>-0.4510478</v>
      </c>
      <c r="P3454">
        <v>-0.79088009999999997</v>
      </c>
      <c r="Q3454">
        <v>0.16469890000000001</v>
      </c>
      <c r="R3454">
        <v>-0.58939249999999999</v>
      </c>
      <c r="S3454">
        <v>-2.2488100000000002</v>
      </c>
      <c r="T3454">
        <v>-0.1911485</v>
      </c>
      <c r="U3454">
        <v>-2.1313170000000001</v>
      </c>
      <c r="V3454">
        <v>-0.17268039999999901</v>
      </c>
      <c r="W3454">
        <v>0.1758776</v>
      </c>
      <c r="X3454">
        <v>0.96914829999999996</v>
      </c>
      <c r="Y3454">
        <v>-0.286333</v>
      </c>
      <c r="Z3454">
        <v>1.108139E-2</v>
      </c>
      <c r="AA3454">
        <v>0.95806610000000003</v>
      </c>
      <c r="AB3454">
        <v>28</v>
      </c>
      <c r="AC3454">
        <v>-13.0054999999999</v>
      </c>
      <c r="AD3454">
        <v>-1.118618079679</v>
      </c>
      <c r="AE3454">
        <v>-12.3872999999999</v>
      </c>
      <c r="AF3454">
        <v>-5.1685455413085197</v>
      </c>
      <c r="AG3454">
        <v>-1.118618079679</v>
      </c>
      <c r="AH3454">
        <v>17.128521304003399</v>
      </c>
      <c r="AI3454">
        <v>93.577639798834497</v>
      </c>
      <c r="AJ3454">
        <v>106.79123215840799</v>
      </c>
      <c r="AK3454">
        <v>17.9262771227732</v>
      </c>
      <c r="AL3454">
        <v>79.870266335565802</v>
      </c>
      <c r="AM3454">
        <v>100.10279598433399</v>
      </c>
      <c r="AN3454">
        <v>0.99999993905940299</v>
      </c>
    </row>
    <row r="3455" spans="1:40" x14ac:dyDescent="0.25">
      <c r="A3455" t="str">
        <f>"20190304154823863"</f>
        <v>20190304154823863</v>
      </c>
      <c r="B3455" t="str">
        <f>"1551685703850321"</f>
        <v>1551685703850321</v>
      </c>
      <c r="C3455" t="s">
        <v>40</v>
      </c>
      <c r="D3455">
        <v>4.3248550000000003</v>
      </c>
      <c r="E3455">
        <v>0.44679839999999998</v>
      </c>
      <c r="F3455" t="s">
        <v>44</v>
      </c>
      <c r="G3455">
        <v>-493.48480000000001</v>
      </c>
      <c r="H3455" s="1">
        <v>-4.0279890000000001E-6</v>
      </c>
      <c r="I3455">
        <v>267.0068</v>
      </c>
      <c r="J3455">
        <v>-480.68419999999998</v>
      </c>
      <c r="K3455">
        <v>1.1186959999999999</v>
      </c>
      <c r="L3455">
        <v>279.43380000000002</v>
      </c>
      <c r="M3455">
        <v>-0.88934239999999998</v>
      </c>
      <c r="N3455">
        <v>-1.494115E-2</v>
      </c>
      <c r="O3455">
        <v>-0.45699790000000001</v>
      </c>
      <c r="P3455">
        <v>-0.78697810000000001</v>
      </c>
      <c r="Q3455">
        <v>0.16422690000000001</v>
      </c>
      <c r="R3455">
        <v>-0.594723</v>
      </c>
      <c r="S3455">
        <v>-2.2286069999999998</v>
      </c>
      <c r="T3455">
        <v>-0.19258359999999999</v>
      </c>
      <c r="U3455">
        <v>-2.1533199999999999</v>
      </c>
      <c r="V3455">
        <v>-0.17274100000000001</v>
      </c>
      <c r="W3455">
        <v>0.1753895</v>
      </c>
      <c r="X3455">
        <v>0.96922600000000003</v>
      </c>
      <c r="Y3455">
        <v>-0.28916579999999997</v>
      </c>
      <c r="Z3455">
        <v>1.142397E-2</v>
      </c>
      <c r="AA3455">
        <v>0.95721080000000003</v>
      </c>
      <c r="AB3455">
        <v>28</v>
      </c>
      <c r="AC3455">
        <v>-12.800599999999999</v>
      </c>
      <c r="AD3455">
        <v>-1.11870002798899</v>
      </c>
      <c r="AE3455">
        <v>-12.427</v>
      </c>
      <c r="AF3455">
        <v>-5.1822145345916004</v>
      </c>
      <c r="AG3455">
        <v>-1.11870002798899</v>
      </c>
      <c r="AH3455">
        <v>16.998295438569698</v>
      </c>
      <c r="AI3455">
        <v>93.6021292868665</v>
      </c>
      <c r="AJ3455">
        <v>106.95471903364501</v>
      </c>
      <c r="AK3455">
        <v>17.8058665908755</v>
      </c>
      <c r="AL3455">
        <v>79.898674450265304</v>
      </c>
      <c r="AM3455">
        <v>100.105474871247</v>
      </c>
      <c r="AN3455">
        <v>0.99999998443362403</v>
      </c>
    </row>
    <row r="3456" spans="1:40" x14ac:dyDescent="0.25">
      <c r="A3456" t="str">
        <f>"20190304154823876"</f>
        <v>20190304154823876</v>
      </c>
      <c r="B3456" t="str">
        <f>"1551685703869841"</f>
        <v>1551685703869841</v>
      </c>
      <c r="C3456" t="s">
        <v>40</v>
      </c>
      <c r="D3456">
        <v>4.3256969999999999</v>
      </c>
      <c r="E3456">
        <v>0.44536100000000001</v>
      </c>
      <c r="F3456" t="s">
        <v>44</v>
      </c>
      <c r="G3456">
        <v>-493.4889</v>
      </c>
      <c r="H3456" s="1">
        <v>-3.972158E-6</v>
      </c>
      <c r="I3456">
        <v>266.84059999999999</v>
      </c>
      <c r="J3456">
        <v>-480.83909999999997</v>
      </c>
      <c r="K3456">
        <v>1.118789</v>
      </c>
      <c r="L3456">
        <v>279.346</v>
      </c>
      <c r="M3456">
        <v>-0.88599099999999997</v>
      </c>
      <c r="N3456">
        <v>-1.496422E-2</v>
      </c>
      <c r="O3456">
        <v>-0.4634607</v>
      </c>
      <c r="P3456">
        <v>-0.78244919999999996</v>
      </c>
      <c r="Q3456">
        <v>0.1638686</v>
      </c>
      <c r="R3456">
        <v>-0.60076649999999998</v>
      </c>
      <c r="S3456">
        <v>-2.2099000000000002</v>
      </c>
      <c r="T3456">
        <v>-0.19307150000000001</v>
      </c>
      <c r="U3456">
        <v>-2.1734010000000001</v>
      </c>
      <c r="V3456">
        <v>-0.17314949999999901</v>
      </c>
      <c r="W3456">
        <v>0.17500539999999901</v>
      </c>
      <c r="X3456">
        <v>0.96922249999999999</v>
      </c>
      <c r="Y3456">
        <v>-0.290672599999999</v>
      </c>
      <c r="Z3456">
        <v>1.1746090000000001E-2</v>
      </c>
      <c r="AA3456">
        <v>0.95675049999999995</v>
      </c>
      <c r="AB3456">
        <v>28</v>
      </c>
      <c r="AC3456">
        <v>-12.649800000000001</v>
      </c>
      <c r="AD3456">
        <v>-1.1187929721580001</v>
      </c>
      <c r="AE3456">
        <v>-12.5054</v>
      </c>
      <c r="AF3456">
        <v>-5.1970118860347103</v>
      </c>
      <c r="AG3456">
        <v>-1.1187929721580001</v>
      </c>
      <c r="AH3456">
        <v>16.938267872411998</v>
      </c>
      <c r="AI3456">
        <v>93.613190697277503</v>
      </c>
      <c r="AJ3456">
        <v>107.057099548285</v>
      </c>
      <c r="AK3456">
        <v>17.7529025450972</v>
      </c>
      <c r="AL3456">
        <v>79.921027105186596</v>
      </c>
      <c r="AM3456">
        <v>100.128914009849</v>
      </c>
      <c r="AN3456">
        <v>0.99999994694282801</v>
      </c>
    </row>
    <row r="3457" spans="1:40" x14ac:dyDescent="0.25">
      <c r="A3457" t="str">
        <f>"20190304154823888"</f>
        <v>20190304154823888</v>
      </c>
      <c r="B3457" t="str">
        <f>"1551685703879601"</f>
        <v>1551685703879601</v>
      </c>
      <c r="C3457" t="s">
        <v>40</v>
      </c>
      <c r="D3457">
        <v>4.3161620000000003</v>
      </c>
      <c r="E3457">
        <v>0.44479109999999999</v>
      </c>
      <c r="F3457" t="s">
        <v>44</v>
      </c>
      <c r="G3457">
        <v>-493.55439999999999</v>
      </c>
      <c r="H3457" s="1">
        <v>-3.8860440000000001E-6</v>
      </c>
      <c r="I3457">
        <v>266.55340000000001</v>
      </c>
      <c r="J3457">
        <v>-480.97449999999998</v>
      </c>
      <c r="K3457">
        <v>1.118868</v>
      </c>
      <c r="L3457">
        <v>279.2679</v>
      </c>
      <c r="M3457">
        <v>-0.88297049999999999</v>
      </c>
      <c r="N3457">
        <v>-1.498436E-2</v>
      </c>
      <c r="O3457">
        <v>-0.46918939999999998</v>
      </c>
      <c r="P3457">
        <v>-0.77830650000000001</v>
      </c>
      <c r="Q3457">
        <v>0.1637806</v>
      </c>
      <c r="R3457">
        <v>-0.60614789999999996</v>
      </c>
      <c r="S3457">
        <v>-2.185883</v>
      </c>
      <c r="T3457">
        <v>-0.1923299</v>
      </c>
      <c r="U3457">
        <v>-2.1991580000000002</v>
      </c>
      <c r="V3457">
        <v>-0.1735814</v>
      </c>
      <c r="W3457">
        <v>0.17489360000000001</v>
      </c>
      <c r="X3457">
        <v>0.96916539999999995</v>
      </c>
      <c r="Y3457">
        <v>-0.29533009999999998</v>
      </c>
      <c r="Z3457">
        <v>1.178185E-2</v>
      </c>
      <c r="AA3457">
        <v>0.95532260000000002</v>
      </c>
      <c r="AB3457">
        <v>27</v>
      </c>
      <c r="AC3457">
        <v>-12.5799</v>
      </c>
      <c r="AD3457">
        <v>-1.1188718860439999</v>
      </c>
      <c r="AE3457">
        <v>-12.7144999999999</v>
      </c>
      <c r="AF3457">
        <v>-5.3040146142068902</v>
      </c>
      <c r="AG3457">
        <v>-1.1188718860439999</v>
      </c>
      <c r="AH3457">
        <v>17.008547696787499</v>
      </c>
      <c r="AI3457">
        <v>93.593466964281902</v>
      </c>
      <c r="AJ3457">
        <v>107.31977943913201</v>
      </c>
      <c r="AK3457">
        <v>17.8514744511202</v>
      </c>
      <c r="AL3457">
        <v>79.927532871065793</v>
      </c>
      <c r="AM3457">
        <v>100.15424007695999</v>
      </c>
      <c r="AN3457">
        <v>0.99999992315203701</v>
      </c>
    </row>
    <row r="3458" spans="1:40" x14ac:dyDescent="0.25">
      <c r="A3458" t="str">
        <f>"20190304154823903"</f>
        <v>20190304154823903</v>
      </c>
      <c r="B3458" t="str">
        <f>"1551685703900098"</f>
        <v>1551685703900098</v>
      </c>
      <c r="C3458" t="s">
        <v>40</v>
      </c>
      <c r="D3458">
        <v>4.5540960000000004</v>
      </c>
      <c r="E3458">
        <v>0.44370589999999999</v>
      </c>
      <c r="F3458" t="s">
        <v>44</v>
      </c>
      <c r="G3458">
        <v>-493.60160000000002</v>
      </c>
      <c r="H3458" s="1">
        <v>-3.8253270000000001E-6</v>
      </c>
      <c r="I3458">
        <v>266.35039999999998</v>
      </c>
      <c r="J3458">
        <v>-481.11630000000002</v>
      </c>
      <c r="K3458">
        <v>1.118946</v>
      </c>
      <c r="L3458">
        <v>279.18439999999998</v>
      </c>
      <c r="M3458">
        <v>-0.87970809999999999</v>
      </c>
      <c r="N3458">
        <v>-1.500597E-2</v>
      </c>
      <c r="O3458">
        <v>-0.47527740000000002</v>
      </c>
      <c r="P3458">
        <v>-0.77342409999999995</v>
      </c>
      <c r="Q3458">
        <v>0.16388229999999901</v>
      </c>
      <c r="R3458">
        <v>-0.61233839999999995</v>
      </c>
      <c r="S3458">
        <v>-2.1678160000000002</v>
      </c>
      <c r="T3458">
        <v>-0.1920888</v>
      </c>
      <c r="U3458">
        <v>-2.2176819999999999</v>
      </c>
      <c r="V3458">
        <v>-0.17466999999999999</v>
      </c>
      <c r="W3458">
        <v>0.17495659999999999</v>
      </c>
      <c r="X3458">
        <v>0.96895849999999994</v>
      </c>
      <c r="Y3458">
        <v>-0.29670269999999999</v>
      </c>
      <c r="Z3458">
        <v>1.2012899999999899E-2</v>
      </c>
      <c r="AA3458">
        <v>0.95489440000000003</v>
      </c>
      <c r="AB3458">
        <v>27</v>
      </c>
      <c r="AC3458">
        <v>-12.485299999999899</v>
      </c>
      <c r="AD3458">
        <v>-1.118949825327</v>
      </c>
      <c r="AE3458">
        <v>-12.834</v>
      </c>
      <c r="AF3458">
        <v>-5.3359566031878902</v>
      </c>
      <c r="AG3458">
        <v>-1.118949825327</v>
      </c>
      <c r="AH3458">
        <v>17.0185879270988</v>
      </c>
      <c r="AI3458">
        <v>93.589875080518993</v>
      </c>
      <c r="AJ3458">
        <v>107.408137045855</v>
      </c>
      <c r="AK3458">
        <v>17.8705572553039</v>
      </c>
      <c r="AL3458">
        <v>79.923867470405497</v>
      </c>
      <c r="AM3458">
        <v>100.218719780605</v>
      </c>
      <c r="AN3458">
        <v>0.99999999775290405</v>
      </c>
    </row>
    <row r="3459" spans="1:40" x14ac:dyDescent="0.25">
      <c r="A3459" t="str">
        <f>"20190304154823913"</f>
        <v>20190304154823913</v>
      </c>
      <c r="B3459" t="str">
        <f>"1551685703909858"</f>
        <v>1551685703909858</v>
      </c>
      <c r="C3459" t="s">
        <v>40</v>
      </c>
      <c r="D3459">
        <v>4.3558779999999997</v>
      </c>
      <c r="E3459">
        <v>0.44321309999999903</v>
      </c>
      <c r="F3459" t="s">
        <v>44</v>
      </c>
      <c r="G3459">
        <v>-493.77140000000003</v>
      </c>
      <c r="H3459" s="1">
        <v>-3.7217639999999999E-6</v>
      </c>
      <c r="I3459">
        <v>265.95760000000001</v>
      </c>
      <c r="J3459">
        <v>-481.233</v>
      </c>
      <c r="K3459">
        <v>1.119011</v>
      </c>
      <c r="L3459">
        <v>279.11509999999998</v>
      </c>
      <c r="M3459">
        <v>-0.87696240000000003</v>
      </c>
      <c r="N3459">
        <v>-1.502352E-2</v>
      </c>
      <c r="O3459">
        <v>-0.48032390000000003</v>
      </c>
      <c r="P3459">
        <v>-0.76967169999999996</v>
      </c>
      <c r="Q3459">
        <v>0.16396169999999999</v>
      </c>
      <c r="R3459">
        <v>-0.61702659999999998</v>
      </c>
      <c r="S3459">
        <v>-2.1444700000000001</v>
      </c>
      <c r="T3459">
        <v>-0.18961130000000001</v>
      </c>
      <c r="U3459">
        <v>-2.2413639999999999</v>
      </c>
      <c r="V3459">
        <v>-0.17503079999999999</v>
      </c>
      <c r="W3459">
        <v>0.17501620000000001</v>
      </c>
      <c r="X3459">
        <v>0.96888260000000004</v>
      </c>
      <c r="Y3459">
        <v>-0.30144159999999998</v>
      </c>
      <c r="Z3459">
        <v>1.1819090000000001E-2</v>
      </c>
      <c r="AA3459">
        <v>0.95341140000000002</v>
      </c>
      <c r="AB3459">
        <v>27</v>
      </c>
      <c r="AC3459">
        <v>-12.538399999999999</v>
      </c>
      <c r="AD3459">
        <v>-1.1190147217640001</v>
      </c>
      <c r="AE3459">
        <v>-13.157499999999899</v>
      </c>
      <c r="AF3459">
        <v>-5.4959292060042397</v>
      </c>
      <c r="AG3459">
        <v>-1.1190147217640001</v>
      </c>
      <c r="AH3459">
        <v>17.252125190807899</v>
      </c>
      <c r="AI3459">
        <v>93.536508779247896</v>
      </c>
      <c r="AJ3459">
        <v>107.67007628706099</v>
      </c>
      <c r="AK3459">
        <v>18.140927632958601</v>
      </c>
      <c r="AL3459">
        <v>79.920398865030293</v>
      </c>
      <c r="AM3459">
        <v>100.240166705365</v>
      </c>
      <c r="AN3459">
        <v>0.99999997189691903</v>
      </c>
    </row>
    <row r="3460" spans="1:40" x14ac:dyDescent="0.25">
      <c r="A3460" t="str">
        <f>"20190304154823924"</f>
        <v>20190304154823924</v>
      </c>
      <c r="B3460" t="str">
        <f>"1551685703920593"</f>
        <v>1551685703920593</v>
      </c>
      <c r="C3460" t="s">
        <v>40</v>
      </c>
      <c r="D3460">
        <v>4.3403879999999999</v>
      </c>
      <c r="E3460">
        <v>0.44276949999999998</v>
      </c>
      <c r="F3460" t="s">
        <v>44</v>
      </c>
      <c r="G3460">
        <v>-493.87360000000001</v>
      </c>
      <c r="H3460" s="1">
        <v>-3.6545209999999999E-6</v>
      </c>
      <c r="I3460">
        <v>265.70670000000001</v>
      </c>
      <c r="J3460">
        <v>-481.34699999999998</v>
      </c>
      <c r="K3460">
        <v>1.1190770000000001</v>
      </c>
      <c r="L3460">
        <v>279.04599999999999</v>
      </c>
      <c r="M3460">
        <v>-0.87420429999999905</v>
      </c>
      <c r="N3460">
        <v>-1.504133E-2</v>
      </c>
      <c r="O3460">
        <v>-0.48532530000000002</v>
      </c>
      <c r="P3460">
        <v>-0.76580170000000003</v>
      </c>
      <c r="Q3460">
        <v>0.1639495</v>
      </c>
      <c r="R3460">
        <v>-0.62182660000000001</v>
      </c>
      <c r="S3460">
        <v>-2.128174</v>
      </c>
      <c r="T3460">
        <v>-0.18839839999999999</v>
      </c>
      <c r="U3460">
        <v>-2.2574459999999998</v>
      </c>
      <c r="V3460">
        <v>-0.17558260000000001</v>
      </c>
      <c r="W3460">
        <v>0.17498050000000001</v>
      </c>
      <c r="X3460">
        <v>0.96878920000000002</v>
      </c>
      <c r="Y3460">
        <v>-0.30303089999999999</v>
      </c>
      <c r="Z3460">
        <v>1.1874549999999999E-2</v>
      </c>
      <c r="AA3460">
        <v>0.9529067</v>
      </c>
      <c r="AB3460">
        <v>27</v>
      </c>
      <c r="AC3460">
        <v>-12.5266</v>
      </c>
      <c r="AD3460">
        <v>-1.1190806545209999</v>
      </c>
      <c r="AE3460">
        <v>-13.3392999999999</v>
      </c>
      <c r="AF3460">
        <v>-5.5616285416277602</v>
      </c>
      <c r="AG3460">
        <v>-1.1190806545209999</v>
      </c>
      <c r="AH3460">
        <v>17.361745835016301</v>
      </c>
      <c r="AI3460">
        <v>93.512641258614806</v>
      </c>
      <c r="AJ3460">
        <v>107.76224180505901</v>
      </c>
      <c r="AK3460">
        <v>18.2651107849385</v>
      </c>
      <c r="AL3460">
        <v>79.922476357945001</v>
      </c>
      <c r="AM3460">
        <v>100.27273269731801</v>
      </c>
      <c r="AN3460">
        <v>0.99999996941982405</v>
      </c>
    </row>
    <row r="3461" spans="1:40" x14ac:dyDescent="0.25">
      <c r="A3461" t="str">
        <f>"20190304154823937"</f>
        <v>20190304154823937</v>
      </c>
      <c r="B3461" t="str">
        <f>"1551685703930353"</f>
        <v>1551685703930353</v>
      </c>
      <c r="C3461" t="s">
        <v>40</v>
      </c>
      <c r="D3461">
        <v>4.3671189999999998</v>
      </c>
      <c r="E3461">
        <v>0.4423841</v>
      </c>
      <c r="F3461" t="s">
        <v>44</v>
      </c>
      <c r="G3461">
        <v>-493.94009999999997</v>
      </c>
      <c r="H3461" s="1">
        <v>-3.5798270000000001E-6</v>
      </c>
      <c r="I3461">
        <v>265.49</v>
      </c>
      <c r="J3461">
        <v>-481.46420000000001</v>
      </c>
      <c r="K3461">
        <v>1.119143</v>
      </c>
      <c r="L3461">
        <v>278.9742</v>
      </c>
      <c r="M3461">
        <v>-0.87130839999999998</v>
      </c>
      <c r="N3461">
        <v>-1.505947E-2</v>
      </c>
      <c r="O3461">
        <v>-0.49050480000000002</v>
      </c>
      <c r="P3461">
        <v>-0.76167010000000002</v>
      </c>
      <c r="Q3461">
        <v>0.1639747</v>
      </c>
      <c r="R3461">
        <v>-0.62687399999999904</v>
      </c>
      <c r="S3461">
        <v>-2.1117859999999999</v>
      </c>
      <c r="T3461">
        <v>-0.18766279999999999</v>
      </c>
      <c r="U3461">
        <v>-2.2732540000000001</v>
      </c>
      <c r="V3461">
        <v>-0.1762695</v>
      </c>
      <c r="W3461">
        <v>0.1749782</v>
      </c>
      <c r="X3461">
        <v>0.96866490000000005</v>
      </c>
      <c r="Y3461">
        <v>-0.304369</v>
      </c>
      <c r="Z3461">
        <v>1.199983E-2</v>
      </c>
      <c r="AA3461">
        <v>0.95247859999999995</v>
      </c>
      <c r="AB3461">
        <v>27</v>
      </c>
      <c r="AC3461">
        <v>-12.4758999999999</v>
      </c>
      <c r="AD3461">
        <v>-1.1191465798269999</v>
      </c>
      <c r="AE3461">
        <v>-13.4841999999999</v>
      </c>
      <c r="AF3461">
        <v>-5.6092281014299799</v>
      </c>
      <c r="AG3461">
        <v>-1.1191465798269999</v>
      </c>
      <c r="AH3461">
        <v>17.421744721928</v>
      </c>
      <c r="AI3461">
        <v>93.499124202275198</v>
      </c>
      <c r="AJ3461">
        <v>107.846849028435</v>
      </c>
      <c r="AK3461">
        <v>18.336660495222102</v>
      </c>
      <c r="AL3461">
        <v>79.922610492164097</v>
      </c>
      <c r="AM3461">
        <v>100.31335506812</v>
      </c>
      <c r="AN3461">
        <v>0.99999999779875004</v>
      </c>
    </row>
    <row r="3462" spans="1:40" x14ac:dyDescent="0.25">
      <c r="A3462" t="str">
        <f>"20190304154823947"</f>
        <v>20190304154823947</v>
      </c>
      <c r="B3462" t="str">
        <f>"1551685703940114"</f>
        <v>1551685703940114</v>
      </c>
      <c r="C3462" t="s">
        <v>40</v>
      </c>
      <c r="D3462">
        <v>4.3589190000000002</v>
      </c>
      <c r="E3462">
        <v>0.44203750000000003</v>
      </c>
      <c r="F3462" t="s">
        <v>44</v>
      </c>
      <c r="G3462">
        <v>-494.00810000000001</v>
      </c>
      <c r="H3462" s="1">
        <v>-3.5023980000000001E-6</v>
      </c>
      <c r="I3462">
        <v>265.26729999999998</v>
      </c>
      <c r="J3462">
        <v>-481.57670000000002</v>
      </c>
      <c r="K3462">
        <v>1.1192059999999999</v>
      </c>
      <c r="L3462">
        <v>278.90429999999998</v>
      </c>
      <c r="M3462">
        <v>-0.86846259999999997</v>
      </c>
      <c r="N3462">
        <v>-1.507701E-2</v>
      </c>
      <c r="O3462">
        <v>-0.4955254</v>
      </c>
      <c r="P3462">
        <v>-0.75769049999999905</v>
      </c>
      <c r="Q3462">
        <v>0.1635942</v>
      </c>
      <c r="R3462">
        <v>-0.63177689999999997</v>
      </c>
      <c r="S3462">
        <v>-2.0949399999999998</v>
      </c>
      <c r="T3462">
        <v>-0.18690609999999999</v>
      </c>
      <c r="U3462">
        <v>-2.2891539999999999</v>
      </c>
      <c r="V3462">
        <v>-0.17691200000000001</v>
      </c>
      <c r="W3462">
        <v>0.1745739</v>
      </c>
      <c r="X3462">
        <v>0.9686207</v>
      </c>
      <c r="Y3462">
        <v>-0.30598160000000002</v>
      </c>
      <c r="Z3462">
        <v>1.2103829999999999E-2</v>
      </c>
      <c r="AA3462">
        <v>0.95196049999999999</v>
      </c>
      <c r="AB3462">
        <v>27</v>
      </c>
      <c r="AC3462">
        <v>-12.431399999999901</v>
      </c>
      <c r="AD3462">
        <v>-1.119209502398</v>
      </c>
      <c r="AE3462">
        <v>-13.637</v>
      </c>
      <c r="AF3462">
        <v>-5.6629635631077804</v>
      </c>
      <c r="AG3462">
        <v>-1.119209502398</v>
      </c>
      <c r="AH3462">
        <v>17.4913354416</v>
      </c>
      <c r="AI3462">
        <v>93.483612144028598</v>
      </c>
      <c r="AJ3462">
        <v>107.939786328355</v>
      </c>
      <c r="AK3462">
        <v>18.4192454177123</v>
      </c>
      <c r="AL3462">
        <v>79.946137128890797</v>
      </c>
      <c r="AM3462">
        <v>100.35059813627799</v>
      </c>
      <c r="AN3462">
        <v>0.99999998138684898</v>
      </c>
    </row>
    <row r="3463" spans="1:40" x14ac:dyDescent="0.25">
      <c r="A3463" t="str">
        <f>"20190304154823959"</f>
        <v>20190304154823959</v>
      </c>
      <c r="B3463" t="str">
        <f>"1551685703950595"</f>
        <v>1551685703950595</v>
      </c>
      <c r="C3463" t="s">
        <v>40</v>
      </c>
      <c r="D3463">
        <v>4.3651780000000002</v>
      </c>
      <c r="E3463">
        <v>0.44171579999999999</v>
      </c>
      <c r="F3463" t="s">
        <v>44</v>
      </c>
      <c r="G3463">
        <v>-493.98950000000002</v>
      </c>
      <c r="H3463" s="1">
        <v>-3.4418050000000002E-6</v>
      </c>
      <c r="I3463">
        <v>265.13760000000002</v>
      </c>
      <c r="J3463">
        <v>-481.69779999999997</v>
      </c>
      <c r="K3463">
        <v>1.1192770000000001</v>
      </c>
      <c r="L3463">
        <v>278.8279</v>
      </c>
      <c r="M3463">
        <v>-0.86531979999999997</v>
      </c>
      <c r="N3463">
        <v>-1.509609E-2</v>
      </c>
      <c r="O3463">
        <v>-0.50099320000000003</v>
      </c>
      <c r="P3463">
        <v>-0.75316569999999905</v>
      </c>
      <c r="Q3463">
        <v>0.1634121</v>
      </c>
      <c r="R3463">
        <v>-0.63721139999999998</v>
      </c>
      <c r="S3463">
        <v>-2.0780940000000001</v>
      </c>
      <c r="T3463">
        <v>-0.18737219999999999</v>
      </c>
      <c r="U3463">
        <v>-2.3047490000000002</v>
      </c>
      <c r="V3463">
        <v>-0.17777870000000001</v>
      </c>
      <c r="W3463">
        <v>0.17436119999999999</v>
      </c>
      <c r="X3463">
        <v>0.96850029999999998</v>
      </c>
      <c r="Y3463">
        <v>-0.30702099999999999</v>
      </c>
      <c r="Z3463">
        <v>1.2392E-2</v>
      </c>
      <c r="AA3463">
        <v>0.95162210000000003</v>
      </c>
      <c r="AB3463">
        <v>27</v>
      </c>
      <c r="AC3463">
        <v>-12.291700000000001</v>
      </c>
      <c r="AD3463">
        <v>-1.119280441805</v>
      </c>
      <c r="AE3463">
        <v>-13.690299999999899</v>
      </c>
      <c r="AF3463">
        <v>-5.6680995815036699</v>
      </c>
      <c r="AG3463">
        <v>-1.119280441805</v>
      </c>
      <c r="AH3463">
        <v>17.432472965011101</v>
      </c>
      <c r="AI3463">
        <v>93.494146527200897</v>
      </c>
      <c r="AJ3463">
        <v>108.0117294643</v>
      </c>
      <c r="AK3463">
        <v>18.3649463720723</v>
      </c>
      <c r="AL3463">
        <v>79.958513572930698</v>
      </c>
      <c r="AM3463">
        <v>100.401466961369</v>
      </c>
      <c r="AN3463">
        <v>0.999999962669609</v>
      </c>
    </row>
    <row r="3464" spans="1:40" x14ac:dyDescent="0.25">
      <c r="A3464" t="str">
        <f>"20190304154823969"</f>
        <v>20190304154823969</v>
      </c>
      <c r="B3464" t="str">
        <f>"1551685703960355"</f>
        <v>1551685703960355</v>
      </c>
      <c r="C3464" t="s">
        <v>40</v>
      </c>
      <c r="D3464">
        <v>4.3526030000000002</v>
      </c>
      <c r="E3464">
        <v>0.4414402</v>
      </c>
      <c r="F3464" t="s">
        <v>44</v>
      </c>
      <c r="G3464">
        <v>-494.00360000000001</v>
      </c>
      <c r="H3464" s="1">
        <v>-3.3684140000000002E-6</v>
      </c>
      <c r="I3464">
        <v>264.95780000000002</v>
      </c>
      <c r="J3464">
        <v>-481.8064</v>
      </c>
      <c r="K3464">
        <v>1.119337</v>
      </c>
      <c r="L3464">
        <v>278.75869999999998</v>
      </c>
      <c r="M3464">
        <v>-0.86244799999999999</v>
      </c>
      <c r="N3464">
        <v>-1.511289E-2</v>
      </c>
      <c r="O3464">
        <v>-0.50591989999999998</v>
      </c>
      <c r="P3464">
        <v>-0.74905999999999995</v>
      </c>
      <c r="Q3464">
        <v>0.1631976</v>
      </c>
      <c r="R3464">
        <v>-0.64208690000000002</v>
      </c>
      <c r="S3464">
        <v>-2.0596920000000001</v>
      </c>
      <c r="T3464">
        <v>-0.1873397</v>
      </c>
      <c r="U3464">
        <v>-2.3215029999999999</v>
      </c>
      <c r="V3464">
        <v>-0.17854200000000001</v>
      </c>
      <c r="W3464">
        <v>0.17411849999999901</v>
      </c>
      <c r="X3464">
        <v>0.96840360000000003</v>
      </c>
      <c r="Y3464">
        <v>-0.30922309999999997</v>
      </c>
      <c r="Z3464">
        <v>1.2555480000000001E-2</v>
      </c>
      <c r="AA3464">
        <v>0.95090660000000005</v>
      </c>
      <c r="AB3464">
        <v>27</v>
      </c>
      <c r="AC3464">
        <v>-12.1972</v>
      </c>
      <c r="AD3464">
        <v>-1.119340368414</v>
      </c>
      <c r="AE3464">
        <v>-13.800899999999899</v>
      </c>
      <c r="AF3464">
        <v>-5.7113134293191798</v>
      </c>
      <c r="AG3464">
        <v>-1.119340368414</v>
      </c>
      <c r="AH3464">
        <v>17.439191388354502</v>
      </c>
      <c r="AI3464">
        <v>93.490573491081705</v>
      </c>
      <c r="AJ3464">
        <v>108.13355689290999</v>
      </c>
      <c r="AK3464">
        <v>18.384706150165702</v>
      </c>
      <c r="AL3464">
        <v>79.972635807134793</v>
      </c>
      <c r="AM3464">
        <v>100.44616523377501</v>
      </c>
      <c r="AN3464">
        <v>1.0000000151496</v>
      </c>
    </row>
    <row r="3465" spans="1:40" x14ac:dyDescent="0.25">
      <c r="A3465" t="str">
        <f>"20190304154823980"</f>
        <v>20190304154823980</v>
      </c>
      <c r="B3465" t="str">
        <f>"1551685703970116"</f>
        <v>1551685703970116</v>
      </c>
      <c r="C3465" t="s">
        <v>40</v>
      </c>
      <c r="D3465">
        <v>4.3608159999999998</v>
      </c>
      <c r="E3465">
        <v>0.44121510000000003</v>
      </c>
      <c r="F3465" t="s">
        <v>44</v>
      </c>
      <c r="G3465">
        <v>-494.01490000000001</v>
      </c>
      <c r="H3465" s="1">
        <v>-3.3036079999999998E-6</v>
      </c>
      <c r="I3465">
        <v>264.79969999999997</v>
      </c>
      <c r="J3465">
        <v>-481.91379999999998</v>
      </c>
      <c r="K3465">
        <v>1.1193959999999901</v>
      </c>
      <c r="L3465">
        <v>278.68880000000001</v>
      </c>
      <c r="M3465">
        <v>-0.85952129999999904</v>
      </c>
      <c r="N3465">
        <v>-1.5130279999999999E-2</v>
      </c>
      <c r="O3465">
        <v>-0.51087590000000005</v>
      </c>
      <c r="P3465">
        <v>-0.74487650000000005</v>
      </c>
      <c r="Q3465">
        <v>0.16274420000000001</v>
      </c>
      <c r="R3465">
        <v>-0.64704949999999894</v>
      </c>
      <c r="S3465">
        <v>-2.0432739999999998</v>
      </c>
      <c r="T3465">
        <v>-0.18733810000000001</v>
      </c>
      <c r="U3465">
        <v>-2.3362430000000001</v>
      </c>
      <c r="V3465">
        <v>-0.17937059999999999</v>
      </c>
      <c r="W3465">
        <v>0.17363719999999999</v>
      </c>
      <c r="X3465">
        <v>0.96833689999999994</v>
      </c>
      <c r="Y3465">
        <v>-0.31051020000000001</v>
      </c>
      <c r="Z3465">
        <v>1.2756470000000001E-2</v>
      </c>
      <c r="AA3465">
        <v>0.95048449999999995</v>
      </c>
      <c r="AB3465">
        <v>27</v>
      </c>
      <c r="AC3465">
        <v>-12.101100000000001</v>
      </c>
      <c r="AD3465">
        <v>-1.1193993036080001</v>
      </c>
      <c r="AE3465">
        <v>-13.889099999999999</v>
      </c>
      <c r="AF3465">
        <v>-5.7352978810283703</v>
      </c>
      <c r="AG3465">
        <v>-1.1193993036080001</v>
      </c>
      <c r="AH3465">
        <v>17.4343850373808</v>
      </c>
      <c r="AI3465">
        <v>93.490204115279198</v>
      </c>
      <c r="AJ3465">
        <v>108.20938242276</v>
      </c>
      <c r="AK3465">
        <v>18.387617524211599</v>
      </c>
      <c r="AL3465">
        <v>80.000638884750401</v>
      </c>
      <c r="AM3465">
        <v>100.494277395946</v>
      </c>
      <c r="AN3465">
        <v>1.0000000206349</v>
      </c>
    </row>
    <row r="3466" spans="1:40" x14ac:dyDescent="0.25">
      <c r="A3466" t="str">
        <f>"20190304154823992"</f>
        <v>20190304154823992</v>
      </c>
      <c r="B3466" t="str">
        <f>"1551685703979876"</f>
        <v>1551685703979876</v>
      </c>
      <c r="C3466" t="s">
        <v>40</v>
      </c>
      <c r="D3466">
        <v>4.3748559999999896</v>
      </c>
      <c r="E3466">
        <v>0.44102619999999998</v>
      </c>
      <c r="F3466" t="s">
        <v>44</v>
      </c>
      <c r="G3466">
        <v>-493.96620000000001</v>
      </c>
      <c r="H3466" s="1">
        <v>-3.2487700000000002E-6</v>
      </c>
      <c r="I3466">
        <v>264.70209999999997</v>
      </c>
      <c r="J3466">
        <v>-482.0299</v>
      </c>
      <c r="K3466">
        <v>1.1194569999999999</v>
      </c>
      <c r="L3466">
        <v>278.61290000000002</v>
      </c>
      <c r="M3466">
        <v>-0.85631039999999903</v>
      </c>
      <c r="N3466">
        <v>-1.514855E-2</v>
      </c>
      <c r="O3466">
        <v>-0.51623949999999996</v>
      </c>
      <c r="P3466">
        <v>-0.74030509999999905</v>
      </c>
      <c r="Q3466">
        <v>0.16266240000000001</v>
      </c>
      <c r="R3466">
        <v>-0.65229579999999998</v>
      </c>
      <c r="S3466">
        <v>-2.0261230000000001</v>
      </c>
      <c r="T3466">
        <v>-0.18818199999999999</v>
      </c>
      <c r="U3466">
        <v>-2.3512879999999998</v>
      </c>
      <c r="V3466">
        <v>-0.18017659999999999</v>
      </c>
      <c r="W3466">
        <v>0.17352490000000001</v>
      </c>
      <c r="X3466">
        <v>0.96820740000000005</v>
      </c>
      <c r="Y3466">
        <v>-0.31155620000000001</v>
      </c>
      <c r="Z3466">
        <v>1.3090900000000001E-2</v>
      </c>
      <c r="AA3466">
        <v>0.95013760000000003</v>
      </c>
      <c r="AB3466">
        <v>27</v>
      </c>
      <c r="AC3466">
        <v>-11.936299999999999</v>
      </c>
      <c r="AD3466">
        <v>-1.1194602487699901</v>
      </c>
      <c r="AE3466">
        <v>-13.9108</v>
      </c>
      <c r="AF3466">
        <v>-5.7292628993465797</v>
      </c>
      <c r="AG3466">
        <v>-1.1194602487699901</v>
      </c>
      <c r="AH3466">
        <v>17.339801955786999</v>
      </c>
      <c r="AI3466">
        <v>93.507879915606495</v>
      </c>
      <c r="AJ3466">
        <v>108.284128065178</v>
      </c>
      <c r="AK3466">
        <v>18.296075439402902</v>
      </c>
      <c r="AL3466">
        <v>80.007172514355105</v>
      </c>
      <c r="AM3466">
        <v>100.541757057392</v>
      </c>
      <c r="AN3466">
        <v>1.0000000337611601</v>
      </c>
    </row>
    <row r="3467" spans="1:40" x14ac:dyDescent="0.25">
      <c r="A3467" t="str">
        <f>"20190304154824003"</f>
        <v>20190304154824003</v>
      </c>
      <c r="B3467" t="str">
        <f>"1551685704000372"</f>
        <v>1551685704000372</v>
      </c>
      <c r="C3467" t="s">
        <v>40</v>
      </c>
      <c r="D3467">
        <v>4.3422289999999997</v>
      </c>
      <c r="E3467">
        <v>0.4408513</v>
      </c>
      <c r="F3467" t="s">
        <v>44</v>
      </c>
      <c r="G3467">
        <v>-493.99290000000002</v>
      </c>
      <c r="H3467" s="1">
        <v>-3.1762620000000002E-6</v>
      </c>
      <c r="I3467">
        <v>264.51650000000001</v>
      </c>
      <c r="J3467">
        <v>-482.14449999999999</v>
      </c>
      <c r="K3467">
        <v>1.119523</v>
      </c>
      <c r="L3467">
        <v>278.53609999999998</v>
      </c>
      <c r="M3467">
        <v>-0.85303449999999903</v>
      </c>
      <c r="N3467">
        <v>-1.5167979999999999E-2</v>
      </c>
      <c r="O3467">
        <v>-0.52163400000000004</v>
      </c>
      <c r="P3467">
        <v>-0.73561449999999995</v>
      </c>
      <c r="Q3467">
        <v>0.16257579999999999</v>
      </c>
      <c r="R3467">
        <v>-0.65760229999999997</v>
      </c>
      <c r="S3467">
        <v>-2.0084230000000001</v>
      </c>
      <c r="T3467">
        <v>-0.1879419</v>
      </c>
      <c r="U3467">
        <v>-2.3665769999999999</v>
      </c>
      <c r="V3467">
        <v>-0.18104790000000001</v>
      </c>
      <c r="W3467">
        <v>0.17340659999999999</v>
      </c>
      <c r="X3467">
        <v>0.96806599999999998</v>
      </c>
      <c r="Y3467">
        <v>-0.3127199</v>
      </c>
      <c r="Z3467">
        <v>1.3291610000000001E-2</v>
      </c>
      <c r="AA3467">
        <v>0.94975240000000005</v>
      </c>
      <c r="AB3467">
        <v>27</v>
      </c>
      <c r="AC3467">
        <v>-11.8484</v>
      </c>
      <c r="AD3467">
        <v>-1.1195261762619999</v>
      </c>
      <c r="AE3467">
        <v>-14.019599999999899</v>
      </c>
      <c r="AF3467">
        <v>-5.7579206469577002</v>
      </c>
      <c r="AG3467">
        <v>-1.1195261762619999</v>
      </c>
      <c r="AH3467">
        <v>17.357631071827999</v>
      </c>
      <c r="AI3467">
        <v>93.503123816927797</v>
      </c>
      <c r="AJ3467">
        <v>108.351855683723</v>
      </c>
      <c r="AK3467">
        <v>18.321963471792198</v>
      </c>
      <c r="AL3467">
        <v>80.0140544581445</v>
      </c>
      <c r="AM3467">
        <v>100.593096270373</v>
      </c>
      <c r="AN3467">
        <v>0.99999998568698401</v>
      </c>
    </row>
    <row r="3468" spans="1:40" x14ac:dyDescent="0.25">
      <c r="A3468" t="str">
        <f>"20190304154824016"</f>
        <v>20190304154824016</v>
      </c>
      <c r="B3468" t="str">
        <f>"1551685704010133"</f>
        <v>1551685704010133</v>
      </c>
      <c r="C3468" t="s">
        <v>40</v>
      </c>
      <c r="D3468">
        <v>4.3497640000000004</v>
      </c>
      <c r="E3468">
        <v>0.4407876</v>
      </c>
      <c r="F3468" t="s">
        <v>44</v>
      </c>
      <c r="G3468">
        <v>-493.99860000000001</v>
      </c>
      <c r="H3468" s="1">
        <v>-3.1074230000000001E-6</v>
      </c>
      <c r="I3468">
        <v>264.3526</v>
      </c>
      <c r="J3468">
        <v>-482.26990000000001</v>
      </c>
      <c r="K3468">
        <v>1.1195949999999999</v>
      </c>
      <c r="L3468">
        <v>278.45119999999997</v>
      </c>
      <c r="M3468">
        <v>-0.84937389999999902</v>
      </c>
      <c r="N3468">
        <v>-1.518925E-2</v>
      </c>
      <c r="O3468">
        <v>-0.52757310000000002</v>
      </c>
      <c r="P3468">
        <v>-0.7304081</v>
      </c>
      <c r="Q3468">
        <v>0.16254289999999999</v>
      </c>
      <c r="R3468">
        <v>-0.66338850000000005</v>
      </c>
      <c r="S3468">
        <v>-1.99057</v>
      </c>
      <c r="T3468">
        <v>-0.1879942</v>
      </c>
      <c r="U3468">
        <v>-2.3817439999999999</v>
      </c>
      <c r="V3468">
        <v>-0.1819645</v>
      </c>
      <c r="W3468">
        <v>0.17333899999999999</v>
      </c>
      <c r="X3468">
        <v>0.96790620000000005</v>
      </c>
      <c r="Y3468">
        <v>-0.31326389999999998</v>
      </c>
      <c r="Z3468">
        <v>1.357798E-2</v>
      </c>
      <c r="AA3468">
        <v>0.949569</v>
      </c>
      <c r="AB3468">
        <v>27</v>
      </c>
      <c r="AC3468">
        <v>-11.7287</v>
      </c>
      <c r="AD3468">
        <v>-1.1195981074229999</v>
      </c>
      <c r="AE3468">
        <v>-14.0985999999999</v>
      </c>
      <c r="AF3468">
        <v>-5.7664124404370796</v>
      </c>
      <c r="AG3468">
        <v>-1.1195981074229999</v>
      </c>
      <c r="AH3468">
        <v>17.3374842260435</v>
      </c>
      <c r="AI3468">
        <v>93.506493239757106</v>
      </c>
      <c r="AJ3468">
        <v>108.39702170379201</v>
      </c>
      <c r="AK3468">
        <v>18.3055557589405</v>
      </c>
      <c r="AL3468">
        <v>80.017986850451393</v>
      </c>
      <c r="AM3468">
        <v>100.647221045024</v>
      </c>
      <c r="AN3468">
        <v>0.99999995008984299</v>
      </c>
    </row>
    <row r="3469" spans="1:40" x14ac:dyDescent="0.25">
      <c r="A3469" t="str">
        <f>"20190304154824029"</f>
        <v>20190304154824029</v>
      </c>
      <c r="B3469" t="str">
        <f>"1551685704019892"</f>
        <v>1551685704019892</v>
      </c>
      <c r="C3469" t="s">
        <v>40</v>
      </c>
      <c r="D3469">
        <v>4.3492040000000003</v>
      </c>
      <c r="E3469">
        <v>0.44074020000000003</v>
      </c>
      <c r="F3469" t="s">
        <v>44</v>
      </c>
      <c r="G3469">
        <v>-494.005</v>
      </c>
      <c r="H3469" s="1">
        <v>-3.0349119999999999E-6</v>
      </c>
      <c r="I3469">
        <v>264.17959999999999</v>
      </c>
      <c r="J3469">
        <v>-482.40550000000002</v>
      </c>
      <c r="K3469">
        <v>1.1196820000000001</v>
      </c>
      <c r="L3469">
        <v>278.35820000000001</v>
      </c>
      <c r="M3469">
        <v>-0.84531489999999998</v>
      </c>
      <c r="N3469">
        <v>-1.5212760000000001E-2</v>
      </c>
      <c r="O3469">
        <v>-0.53405199999999997</v>
      </c>
      <c r="P3469">
        <v>-0.72474430000000001</v>
      </c>
      <c r="Q3469">
        <v>0.1621398</v>
      </c>
      <c r="R3469">
        <v>-0.66966939999999997</v>
      </c>
      <c r="S3469">
        <v>-1.9714970000000001</v>
      </c>
      <c r="T3469">
        <v>-0.1880927</v>
      </c>
      <c r="U3469">
        <v>-2.3976440000000001</v>
      </c>
      <c r="V3469">
        <v>-0.1828999</v>
      </c>
      <c r="W3469">
        <v>0.17290030000000001</v>
      </c>
      <c r="X3469">
        <v>0.96780840000000001</v>
      </c>
      <c r="Y3469">
        <v>-0.31360329999999997</v>
      </c>
      <c r="Z3469">
        <v>1.390548E-2</v>
      </c>
      <c r="AA3469">
        <v>0.94945230000000003</v>
      </c>
      <c r="AB3469">
        <v>27</v>
      </c>
      <c r="AC3469">
        <v>-11.5994999999999</v>
      </c>
      <c r="AD3469">
        <v>-1.119685034912</v>
      </c>
      <c r="AE3469">
        <v>-14.178599999999999</v>
      </c>
      <c r="AF3469">
        <v>-5.7697599300666296</v>
      </c>
      <c r="AG3469">
        <v>-1.119685034912</v>
      </c>
      <c r="AH3469">
        <v>17.3146631714304</v>
      </c>
      <c r="AI3469">
        <v>93.510712188136196</v>
      </c>
      <c r="AJ3469">
        <v>108.42960442880199</v>
      </c>
      <c r="AK3469">
        <v>18.285004374298001</v>
      </c>
      <c r="AL3469">
        <v>80.043508290166002</v>
      </c>
      <c r="AM3469">
        <v>100.701749359939</v>
      </c>
      <c r="AN3469">
        <v>0.99999999313532995</v>
      </c>
    </row>
    <row r="3470" spans="1:40" x14ac:dyDescent="0.25">
      <c r="A3470" t="str">
        <f>"20190304154824042"</f>
        <v>20190304154824042</v>
      </c>
      <c r="B3470" t="str">
        <f>"1551685704030628"</f>
        <v>1551685704030628</v>
      </c>
      <c r="C3470" t="s">
        <v>40</v>
      </c>
      <c r="D3470">
        <v>4.3350989999999996</v>
      </c>
      <c r="E3470">
        <v>0.44073050000000003</v>
      </c>
      <c r="F3470" t="s">
        <v>44</v>
      </c>
      <c r="G3470">
        <v>-493.92489999999998</v>
      </c>
      <c r="H3470" s="1">
        <v>-2.978916E-6</v>
      </c>
      <c r="I3470">
        <v>264.09870000000001</v>
      </c>
      <c r="J3470">
        <v>-482.52449999999999</v>
      </c>
      <c r="K3470">
        <v>1.119753</v>
      </c>
      <c r="L3470">
        <v>278.27449999999999</v>
      </c>
      <c r="M3470">
        <v>-0.84162669999999995</v>
      </c>
      <c r="N3470">
        <v>-1.5234289999999999E-2</v>
      </c>
      <c r="O3470">
        <v>-0.53984480000000001</v>
      </c>
      <c r="P3470">
        <v>-0.7196553</v>
      </c>
      <c r="Q3470">
        <v>0.16223609999999999</v>
      </c>
      <c r="R3470">
        <v>-0.67511140000000003</v>
      </c>
      <c r="S3470">
        <v>-1.950653</v>
      </c>
      <c r="T3470">
        <v>-0.18960270000000001</v>
      </c>
      <c r="U3470">
        <v>-2.4146420000000002</v>
      </c>
      <c r="V3470">
        <v>-0.18359310000000001</v>
      </c>
      <c r="W3470">
        <v>0.17296800000000001</v>
      </c>
      <c r="X3470">
        <v>0.96766509999999994</v>
      </c>
      <c r="Y3470">
        <v>-0.31530989999999998</v>
      </c>
      <c r="Z3470">
        <v>1.433531E-2</v>
      </c>
      <c r="AA3470">
        <v>0.94888050000000002</v>
      </c>
      <c r="AB3470">
        <v>27</v>
      </c>
      <c r="AC3470">
        <v>-11.4003999999999</v>
      </c>
      <c r="AD3470">
        <v>-1.1197559789159901</v>
      </c>
      <c r="AE3470">
        <v>-14.175799999999899</v>
      </c>
      <c r="AF3470">
        <v>-5.7551494816381403</v>
      </c>
      <c r="AG3470">
        <v>-1.1197559789159901</v>
      </c>
      <c r="AH3470">
        <v>17.184503312473101</v>
      </c>
      <c r="AI3470">
        <v>93.535685102936398</v>
      </c>
      <c r="AJ3470">
        <v>108.515875709432</v>
      </c>
      <c r="AK3470">
        <v>18.1571680915476</v>
      </c>
      <c r="AL3470">
        <v>80.039570607578895</v>
      </c>
      <c r="AM3470">
        <v>100.742921219858</v>
      </c>
      <c r="AN3470">
        <v>1.0000000505747999</v>
      </c>
    </row>
    <row r="3471" spans="1:40" x14ac:dyDescent="0.25">
      <c r="A3471" t="str">
        <f>"20190304154824056"</f>
        <v>20190304154824056</v>
      </c>
      <c r="B3471" t="str">
        <f>"1551685704049771"</f>
        <v>1551685704049771</v>
      </c>
      <c r="C3471" t="s">
        <v>40</v>
      </c>
      <c r="D3471">
        <v>4.3301530000000001</v>
      </c>
      <c r="E3471">
        <v>0.4408128</v>
      </c>
      <c r="F3471" t="s">
        <v>44</v>
      </c>
      <c r="G3471">
        <v>-493.94810000000001</v>
      </c>
      <c r="H3471" s="1">
        <v>-2.9086380000000002E-6</v>
      </c>
      <c r="I3471">
        <v>263.9205</v>
      </c>
      <c r="J3471">
        <v>-482.65280000000001</v>
      </c>
      <c r="K3471">
        <v>1.1198300000000001</v>
      </c>
      <c r="L3471">
        <v>278.18340000000001</v>
      </c>
      <c r="M3471">
        <v>-0.83756629999999999</v>
      </c>
      <c r="N3471">
        <v>-1.525726E-2</v>
      </c>
      <c r="O3471">
        <v>-0.54612289999999997</v>
      </c>
      <c r="P3471">
        <v>-0.71410669999999898</v>
      </c>
      <c r="Q3471">
        <v>0.1619391</v>
      </c>
      <c r="R3471">
        <v>-0.68104869999999995</v>
      </c>
      <c r="S3471">
        <v>-1.932922</v>
      </c>
      <c r="T3471">
        <v>-0.18946840000000001</v>
      </c>
      <c r="U3471">
        <v>-2.4287719999999999</v>
      </c>
      <c r="V3471">
        <v>-0.18436420000000001</v>
      </c>
      <c r="W3471">
        <v>0.17263970000000001</v>
      </c>
      <c r="X3471">
        <v>0.96757700000000002</v>
      </c>
      <c r="Y3471">
        <v>-0.31514959999999997</v>
      </c>
      <c r="Z3471">
        <v>1.464551E-2</v>
      </c>
      <c r="AA3471">
        <v>0.94892900000000002</v>
      </c>
      <c r="AB3471">
        <v>27</v>
      </c>
      <c r="AC3471">
        <v>-11.2952999999999</v>
      </c>
      <c r="AD3471">
        <v>-1.1198329086379999</v>
      </c>
      <c r="AE3471">
        <v>-14.2629</v>
      </c>
      <c r="AF3471">
        <v>-5.7563664316865601</v>
      </c>
      <c r="AG3471">
        <v>-1.1198329086379999</v>
      </c>
      <c r="AH3471">
        <v>17.186753423866399</v>
      </c>
      <c r="AI3471">
        <v>93.535437010302303</v>
      </c>
      <c r="AJ3471">
        <v>108.517264686659</v>
      </c>
      <c r="AK3471">
        <v>18.159688144125699</v>
      </c>
      <c r="AL3471">
        <v>80.058666974404204</v>
      </c>
      <c r="AM3471">
        <v>100.78794460536101</v>
      </c>
      <c r="AN3471">
        <v>0.99999993759336303</v>
      </c>
    </row>
    <row r="3472" spans="1:40" x14ac:dyDescent="0.25">
      <c r="A3472" t="str">
        <f>"20190304154824069"</f>
        <v>20190304154824069</v>
      </c>
      <c r="B3472" t="str">
        <f>"1551685704060507"</f>
        <v>1551685704060507</v>
      </c>
      <c r="C3472" t="s">
        <v>40</v>
      </c>
      <c r="D3472">
        <v>4.3030239999999997</v>
      </c>
      <c r="E3472">
        <v>0.44085239999999998</v>
      </c>
      <c r="F3472" t="s">
        <v>44</v>
      </c>
      <c r="G3472">
        <v>-493.88560000000001</v>
      </c>
      <c r="H3472" s="1">
        <v>-2.854764E-6</v>
      </c>
      <c r="I3472">
        <v>263.83370000000002</v>
      </c>
      <c r="J3472">
        <v>-482.78190000000001</v>
      </c>
      <c r="K3472">
        <v>1.11991</v>
      </c>
      <c r="L3472">
        <v>278.09019999999998</v>
      </c>
      <c r="M3472">
        <v>-0.83336200000000005</v>
      </c>
      <c r="N3472">
        <v>-1.5280780000000001E-2</v>
      </c>
      <c r="O3472">
        <v>-0.55251629999999996</v>
      </c>
      <c r="P3472">
        <v>-0.7084355</v>
      </c>
      <c r="Q3472">
        <v>0.16166510000000001</v>
      </c>
      <c r="R3472">
        <v>-0.68701040000000002</v>
      </c>
      <c r="S3472">
        <v>-1.9133</v>
      </c>
      <c r="T3472">
        <v>-0.19074289999999999</v>
      </c>
      <c r="U3472">
        <v>-2.4442140000000001</v>
      </c>
      <c r="V3472">
        <v>-0.18506629999999999</v>
      </c>
      <c r="W3472">
        <v>0.1723353</v>
      </c>
      <c r="X3472">
        <v>0.9674973</v>
      </c>
      <c r="Y3472">
        <v>-0.31552560000000002</v>
      </c>
      <c r="Z3472">
        <v>1.5131739999999999E-2</v>
      </c>
      <c r="AA3472">
        <v>0.94879650000000004</v>
      </c>
      <c r="AB3472">
        <v>27</v>
      </c>
      <c r="AC3472">
        <v>-11.1037</v>
      </c>
      <c r="AD3472">
        <v>-1.119912854764</v>
      </c>
      <c r="AE3472">
        <v>-14.2564999999999</v>
      </c>
      <c r="AF3472">
        <v>-5.7245337834474403</v>
      </c>
      <c r="AG3472">
        <v>-1.119912854764</v>
      </c>
      <c r="AH3472">
        <v>17.066798980420501</v>
      </c>
      <c r="AI3472">
        <v>93.559952627572997</v>
      </c>
      <c r="AJ3472">
        <v>108.542446851999</v>
      </c>
      <c r="AK3472">
        <v>18.036078267688399</v>
      </c>
      <c r="AL3472">
        <v>80.076373905354302</v>
      </c>
      <c r="AM3472">
        <v>100.828928944626</v>
      </c>
      <c r="AN3472">
        <v>1.0000000082645299</v>
      </c>
    </row>
    <row r="3473" spans="1:40" x14ac:dyDescent="0.25">
      <c r="A3473" t="str">
        <f>"20190304154824081"</f>
        <v>20190304154824081</v>
      </c>
      <c r="B3473" t="str">
        <f>"1551685704070266"</f>
        <v>1551685704070266</v>
      </c>
      <c r="C3473" t="s">
        <v>40</v>
      </c>
      <c r="D3473">
        <v>4.300433</v>
      </c>
      <c r="E3473">
        <v>0.44093870000000002</v>
      </c>
      <c r="F3473" t="s">
        <v>44</v>
      </c>
      <c r="G3473">
        <v>-493.84390000000002</v>
      </c>
      <c r="H3473" s="1">
        <v>-2.7941340000000002E-6</v>
      </c>
      <c r="I3473">
        <v>263.71820000000002</v>
      </c>
      <c r="J3473">
        <v>-482.89890000000003</v>
      </c>
      <c r="K3473">
        <v>1.119983</v>
      </c>
      <c r="L3473">
        <v>278.00389999999999</v>
      </c>
      <c r="M3473">
        <v>-0.82943169999999899</v>
      </c>
      <c r="N3473">
        <v>-1.530314E-2</v>
      </c>
      <c r="O3473">
        <v>-0.55839869999999903</v>
      </c>
      <c r="P3473">
        <v>-0.70278149999999995</v>
      </c>
      <c r="Q3473">
        <v>0.1612412</v>
      </c>
      <c r="R3473">
        <v>-0.69289219999999996</v>
      </c>
      <c r="S3473">
        <v>-1.8931579999999999</v>
      </c>
      <c r="T3473">
        <v>-0.19166240000000001</v>
      </c>
      <c r="U3473">
        <v>-2.459625</v>
      </c>
      <c r="V3473">
        <v>-0.18625649999999999</v>
      </c>
      <c r="W3473">
        <v>0.17187079999999999</v>
      </c>
      <c r="X3473">
        <v>0.96735150000000003</v>
      </c>
      <c r="Y3473">
        <v>-0.31656689999999998</v>
      </c>
      <c r="Z3473">
        <v>1.5526989999999999E-2</v>
      </c>
      <c r="AA3473">
        <v>0.94844309999999998</v>
      </c>
      <c r="AB3473">
        <v>27</v>
      </c>
      <c r="AC3473">
        <v>-10.944999999999901</v>
      </c>
      <c r="AD3473">
        <v>-1.1199857941339999</v>
      </c>
      <c r="AE3473">
        <v>-14.285699999999901</v>
      </c>
      <c r="AF3473">
        <v>-5.7158722692242598</v>
      </c>
      <c r="AG3473">
        <v>-1.1199857941339999</v>
      </c>
      <c r="AH3473">
        <v>16.991433635056399</v>
      </c>
      <c r="AI3473">
        <v>93.574881422919304</v>
      </c>
      <c r="AJ3473">
        <v>108.592800060275</v>
      </c>
      <c r="AK3473">
        <v>17.962026081477401</v>
      </c>
      <c r="AL3473">
        <v>80.103390735739595</v>
      </c>
      <c r="AM3473">
        <v>100.898512965295</v>
      </c>
      <c r="AN3473">
        <v>0.99999999011856999</v>
      </c>
    </row>
    <row r="3474" spans="1:40" x14ac:dyDescent="0.25">
      <c r="A3474" t="str">
        <f>"20190304154824092"</f>
        <v>20190304154824092</v>
      </c>
      <c r="B3474" t="str">
        <f>"1551685704089786"</f>
        <v>1551685704089786</v>
      </c>
      <c r="C3474" t="s">
        <v>40</v>
      </c>
      <c r="D3474">
        <v>4.3083749999999998</v>
      </c>
      <c r="E3474">
        <v>0.44120589999999998</v>
      </c>
      <c r="F3474" t="s">
        <v>44</v>
      </c>
      <c r="G3474">
        <v>-493.76260000000002</v>
      </c>
      <c r="H3474" s="1">
        <v>-2.7456570000000001E-6</v>
      </c>
      <c r="I3474">
        <v>263.65559999999999</v>
      </c>
      <c r="J3474">
        <v>-483.00349999999997</v>
      </c>
      <c r="K3474">
        <v>1.1200429999999999</v>
      </c>
      <c r="L3474">
        <v>277.92610000000002</v>
      </c>
      <c r="M3474">
        <v>-0.82585489999999995</v>
      </c>
      <c r="N3474">
        <v>-1.5322769999999999E-2</v>
      </c>
      <c r="O3474">
        <v>-0.56367440000000002</v>
      </c>
      <c r="P3474">
        <v>-0.69786349999999997</v>
      </c>
      <c r="Q3474">
        <v>0.1612943</v>
      </c>
      <c r="R3474">
        <v>-0.69783309999999998</v>
      </c>
      <c r="S3474">
        <v>-1.873505</v>
      </c>
      <c r="T3474">
        <v>-0.19314680000000001</v>
      </c>
      <c r="U3474">
        <v>-2.4744259999999998</v>
      </c>
      <c r="V3474">
        <v>-0.18695220000000001</v>
      </c>
      <c r="W3474">
        <v>0.17189470000000001</v>
      </c>
      <c r="X3474">
        <v>0.96721299999999999</v>
      </c>
      <c r="Y3474">
        <v>-0.3180402</v>
      </c>
      <c r="Z3474">
        <v>1.5957800000000001E-2</v>
      </c>
      <c r="AA3474">
        <v>0.94794290000000003</v>
      </c>
      <c r="AB3474">
        <v>27</v>
      </c>
      <c r="AC3474">
        <v>-10.7591</v>
      </c>
      <c r="AD3474">
        <v>-1.1200457456569901</v>
      </c>
      <c r="AE3474">
        <v>-14.2705</v>
      </c>
      <c r="AF3474">
        <v>-5.69902142272033</v>
      </c>
      <c r="AG3474">
        <v>-1.1200457456569901</v>
      </c>
      <c r="AH3474">
        <v>16.8651195527444</v>
      </c>
      <c r="AI3474">
        <v>93.600125085062601</v>
      </c>
      <c r="AJ3474">
        <v>108.671018179298</v>
      </c>
      <c r="AK3474">
        <v>17.8371972343569</v>
      </c>
      <c r="AL3474">
        <v>80.1020002795739</v>
      </c>
      <c r="AM3474">
        <v>100.93976914521301</v>
      </c>
      <c r="AN3474">
        <v>0.99999995017096299</v>
      </c>
    </row>
    <row r="3475" spans="1:40" x14ac:dyDescent="0.25">
      <c r="A3475" t="str">
        <f>"20190304154824104"</f>
        <v>20190304154824104</v>
      </c>
      <c r="B3475" t="str">
        <f>"1551685704100524"</f>
        <v>1551685704100524</v>
      </c>
      <c r="C3475" t="s">
        <v>40</v>
      </c>
      <c r="D3475">
        <v>4.3151970000000004</v>
      </c>
      <c r="E3475">
        <v>0.44142320000000002</v>
      </c>
      <c r="F3475" t="s">
        <v>44</v>
      </c>
      <c r="G3475">
        <v>-493.76400000000001</v>
      </c>
      <c r="H3475" s="1">
        <v>-2.6904210000000001E-6</v>
      </c>
      <c r="I3475">
        <v>263.52600000000001</v>
      </c>
      <c r="J3475">
        <v>-483.11660000000001</v>
      </c>
      <c r="K3475">
        <v>1.1201129999999999</v>
      </c>
      <c r="L3475">
        <v>277.84010000000001</v>
      </c>
      <c r="M3475">
        <v>-0.82185759999999997</v>
      </c>
      <c r="N3475">
        <v>-1.534539E-2</v>
      </c>
      <c r="O3475">
        <v>-0.5694863</v>
      </c>
      <c r="P3475">
        <v>-0.69245019999999902</v>
      </c>
      <c r="Q3475">
        <v>0.16083339999999999</v>
      </c>
      <c r="R3475">
        <v>-0.70331049999999995</v>
      </c>
      <c r="S3475">
        <v>-1.8576969999999999</v>
      </c>
      <c r="T3475">
        <v>-0.19336619999999999</v>
      </c>
      <c r="U3475">
        <v>-2.4860530000000001</v>
      </c>
      <c r="V3475">
        <v>-0.18771189999999999</v>
      </c>
      <c r="W3475">
        <v>0.171404799999999</v>
      </c>
      <c r="X3475">
        <v>0.96715280000000003</v>
      </c>
      <c r="Y3475">
        <v>-0.31735160000000001</v>
      </c>
      <c r="Z3475">
        <v>1.6320899999999999E-2</v>
      </c>
      <c r="AA3475">
        <v>0.94816750000000005</v>
      </c>
      <c r="AB3475">
        <v>27</v>
      </c>
      <c r="AC3475">
        <v>-10.647399999999999</v>
      </c>
      <c r="AD3475">
        <v>-1.1201156904209999</v>
      </c>
      <c r="AE3475">
        <v>-14.3140999999999</v>
      </c>
      <c r="AF3475">
        <v>-5.6788871056294203</v>
      </c>
      <c r="AG3475">
        <v>-1.1201156904209999</v>
      </c>
      <c r="AH3475">
        <v>16.837941363942999</v>
      </c>
      <c r="AI3475">
        <v>93.606854248491999</v>
      </c>
      <c r="AJ3475">
        <v>108.63756882296001</v>
      </c>
      <c r="AK3475">
        <v>17.805074762381501</v>
      </c>
      <c r="AL3475">
        <v>80.130492367405097</v>
      </c>
      <c r="AM3475">
        <v>100.983812123698</v>
      </c>
      <c r="AN3475">
        <v>0.99999995070624303</v>
      </c>
    </row>
    <row r="3476" spans="1:40" x14ac:dyDescent="0.25">
      <c r="A3476" t="str">
        <f>"20190304154824118"</f>
        <v>20190304154824118</v>
      </c>
      <c r="B3476" t="str">
        <f>"1551685704110283"</f>
        <v>1551685704110283</v>
      </c>
      <c r="C3476" t="s">
        <v>40</v>
      </c>
      <c r="D3476">
        <v>4.3491460000000002</v>
      </c>
      <c r="E3476">
        <v>0.44166230000000001</v>
      </c>
      <c r="F3476" t="s">
        <v>44</v>
      </c>
      <c r="G3476">
        <v>-493.65159999999997</v>
      </c>
      <c r="H3476" s="1">
        <v>-2.6616609999999998E-6</v>
      </c>
      <c r="I3476">
        <v>263.52870000000001</v>
      </c>
      <c r="J3476">
        <v>-483.23250000000002</v>
      </c>
      <c r="K3476">
        <v>1.120182</v>
      </c>
      <c r="L3476">
        <v>277.75099999999998</v>
      </c>
      <c r="M3476">
        <v>-0.81767979999999996</v>
      </c>
      <c r="N3476">
        <v>-1.536831E-2</v>
      </c>
      <c r="O3476">
        <v>-0.57546830000000004</v>
      </c>
      <c r="P3476">
        <v>-0.68714410000000004</v>
      </c>
      <c r="Q3476">
        <v>0.16025220000000001</v>
      </c>
      <c r="R3476">
        <v>-0.70862720000000001</v>
      </c>
      <c r="S3476">
        <v>-1.8395999999999999</v>
      </c>
      <c r="T3476">
        <v>-0.1955923</v>
      </c>
      <c r="U3476">
        <v>-2.4990230000000002</v>
      </c>
      <c r="V3476">
        <v>-0.18804940000000001</v>
      </c>
      <c r="W3476">
        <v>0.1708057</v>
      </c>
      <c r="X3476">
        <v>0.96719319999999998</v>
      </c>
      <c r="Y3476">
        <v>-0.31724000000000002</v>
      </c>
      <c r="Z3476">
        <v>1.6961270000000001E-2</v>
      </c>
      <c r="AA3476">
        <v>0.94819359999999997</v>
      </c>
      <c r="AB3476">
        <v>27</v>
      </c>
      <c r="AC3476">
        <v>-10.419099999999901</v>
      </c>
      <c r="AD3476">
        <v>-1.1201846616610001</v>
      </c>
      <c r="AE3476">
        <v>-14.222299999999899</v>
      </c>
      <c r="AF3476">
        <v>-5.6114373226671201</v>
      </c>
      <c r="AG3476">
        <v>-1.1201846616610001</v>
      </c>
      <c r="AH3476">
        <v>16.6387716320923</v>
      </c>
      <c r="AI3476">
        <v>93.650155503831499</v>
      </c>
      <c r="AJ3476">
        <v>108.63671441243601</v>
      </c>
      <c r="AK3476">
        <v>17.5952199169934</v>
      </c>
      <c r="AL3476">
        <v>80.165331805951595</v>
      </c>
      <c r="AM3476">
        <v>101.00263072296799</v>
      </c>
      <c r="AN3476">
        <v>0.99999992505954205</v>
      </c>
    </row>
    <row r="3477" spans="1:40" x14ac:dyDescent="0.25">
      <c r="A3477" t="str">
        <f>"20190304154824129"</f>
        <v>20190304154824129</v>
      </c>
      <c r="B3477" t="str">
        <f>"1551685704120043"</f>
        <v>1551685704120043</v>
      </c>
      <c r="C3477" t="s">
        <v>40</v>
      </c>
      <c r="D3477">
        <v>4.3802949999999896</v>
      </c>
      <c r="E3477">
        <v>0.4418473</v>
      </c>
      <c r="F3477" t="s">
        <v>44</v>
      </c>
      <c r="G3477">
        <v>-493.53579999999999</v>
      </c>
      <c r="H3477" s="1">
        <v>-2.6404160000000002E-6</v>
      </c>
      <c r="I3477">
        <v>263.55099999999999</v>
      </c>
      <c r="J3477">
        <v>-483.35390000000001</v>
      </c>
      <c r="K3477">
        <v>1.12026</v>
      </c>
      <c r="L3477">
        <v>277.65609999999998</v>
      </c>
      <c r="M3477">
        <v>-0.81318649999999904</v>
      </c>
      <c r="N3477">
        <v>-1.539249E-2</v>
      </c>
      <c r="O3477">
        <v>-0.58179959999999997</v>
      </c>
      <c r="P3477">
        <v>-0.68144830000000001</v>
      </c>
      <c r="Q3477">
        <v>0.15985379999999999</v>
      </c>
      <c r="R3477">
        <v>-0.71419549999999998</v>
      </c>
      <c r="S3477">
        <v>-1.8222050000000001</v>
      </c>
      <c r="T3477">
        <v>-0.1981115</v>
      </c>
      <c r="U3477">
        <v>-2.5113530000000002</v>
      </c>
      <c r="V3477">
        <v>-0.18837960000000001</v>
      </c>
      <c r="W3477">
        <v>0.17038900000000001</v>
      </c>
      <c r="X3477">
        <v>0.96720249999999997</v>
      </c>
      <c r="Y3477">
        <v>-0.31640030000000002</v>
      </c>
      <c r="Z3477">
        <v>1.76983E-2</v>
      </c>
      <c r="AA3477">
        <v>0.94846059999999999</v>
      </c>
      <c r="AB3477">
        <v>27</v>
      </c>
      <c r="AC3477">
        <v>-10.181899999999899</v>
      </c>
      <c r="AD3477">
        <v>-1.1202626404160001</v>
      </c>
      <c r="AE3477">
        <v>-14.105099999999901</v>
      </c>
      <c r="AF3477">
        <v>-5.5240006581729402</v>
      </c>
      <c r="AG3477">
        <v>-1.1202626404160001</v>
      </c>
      <c r="AH3477">
        <v>16.419984806336299</v>
      </c>
      <c r="AI3477">
        <v>93.699842137324197</v>
      </c>
      <c r="AJ3477">
        <v>108.59393551498</v>
      </c>
      <c r="AK3477">
        <v>17.360457156864399</v>
      </c>
      <c r="AL3477">
        <v>80.189562705611905</v>
      </c>
      <c r="AM3477">
        <v>101.02137442246</v>
      </c>
      <c r="AN3477">
        <v>0.99999998051170402</v>
      </c>
    </row>
    <row r="3478" spans="1:40" x14ac:dyDescent="0.25">
      <c r="A3478" t="str">
        <f>"20190304154824142"</f>
        <v>20190304154824142</v>
      </c>
      <c r="B3478" t="str">
        <f>"1551685704129803"</f>
        <v>1551685704129803</v>
      </c>
      <c r="C3478" t="s">
        <v>40</v>
      </c>
      <c r="D3478">
        <v>4.3824759999999996</v>
      </c>
      <c r="E3478">
        <v>0.44205630000000001</v>
      </c>
      <c r="F3478" t="s">
        <v>44</v>
      </c>
      <c r="G3478">
        <v>-493.46179999999998</v>
      </c>
      <c r="H3478" s="1">
        <v>-2.6018089999999998E-6</v>
      </c>
      <c r="I3478">
        <v>263.50689999999997</v>
      </c>
      <c r="J3478">
        <v>-483.46379999999999</v>
      </c>
      <c r="K3478">
        <v>1.120323</v>
      </c>
      <c r="L3478">
        <v>277.5684</v>
      </c>
      <c r="M3478">
        <v>-0.80899200000000004</v>
      </c>
      <c r="N3478">
        <v>-1.541498E-2</v>
      </c>
      <c r="O3478">
        <v>-0.58761779999999997</v>
      </c>
      <c r="P3478">
        <v>-0.67605349999999997</v>
      </c>
      <c r="Q3478">
        <v>0.1595144</v>
      </c>
      <c r="R3478">
        <v>-0.71937969999999996</v>
      </c>
      <c r="S3478">
        <v>-1.8034669999999999</v>
      </c>
      <c r="T3478">
        <v>-0.19987959999999999</v>
      </c>
      <c r="U3478">
        <v>-2.5245359999999999</v>
      </c>
      <c r="V3478">
        <v>-0.18880379999999999</v>
      </c>
      <c r="W3478">
        <v>0.1700305</v>
      </c>
      <c r="X3478">
        <v>0.96718289999999996</v>
      </c>
      <c r="Y3478">
        <v>-0.31660500000000003</v>
      </c>
      <c r="Z3478">
        <v>1.827179E-2</v>
      </c>
      <c r="AA3478">
        <v>0.94838149999999999</v>
      </c>
      <c r="AB3478">
        <v>27</v>
      </c>
      <c r="AC3478">
        <v>-9.9979999999999905</v>
      </c>
      <c r="AD3478">
        <v>-1.120325601809</v>
      </c>
      <c r="AE3478">
        <v>-14.061500000000001</v>
      </c>
      <c r="AF3478">
        <v>-5.4781932656431902</v>
      </c>
      <c r="AG3478">
        <v>-1.120325601809</v>
      </c>
      <c r="AH3478">
        <v>16.284370208003399</v>
      </c>
      <c r="AI3478">
        <v>93.730789178950801</v>
      </c>
      <c r="AJ3478">
        <v>108.593353884904</v>
      </c>
      <c r="AK3478">
        <v>17.217620160205499</v>
      </c>
      <c r="AL3478">
        <v>80.210407643676405</v>
      </c>
      <c r="AM3478">
        <v>101.04580138724</v>
      </c>
      <c r="AN3478">
        <v>1.0000000039385499</v>
      </c>
    </row>
    <row r="3479" spans="1:40" x14ac:dyDescent="0.25">
      <c r="A3479" t="str">
        <f>"20190304154824154"</f>
        <v>20190304154824154</v>
      </c>
      <c r="B3479" t="str">
        <f>"1551685704149958"</f>
        <v>1551685704149958</v>
      </c>
      <c r="C3479" t="s">
        <v>40</v>
      </c>
      <c r="D3479">
        <v>4.3360430000000001</v>
      </c>
      <c r="E3479">
        <v>0.45353520000000003</v>
      </c>
      <c r="F3479" t="s">
        <v>44</v>
      </c>
      <c r="G3479">
        <v>-493.39229999999998</v>
      </c>
      <c r="H3479" s="1">
        <v>-2.5635009999999999E-6</v>
      </c>
      <c r="I3479">
        <v>263.46069999999997</v>
      </c>
      <c r="J3479">
        <v>-483.58330000000001</v>
      </c>
      <c r="K3479">
        <v>1.120393</v>
      </c>
      <c r="L3479">
        <v>277.47210000000001</v>
      </c>
      <c r="M3479">
        <v>-0.80433980000000005</v>
      </c>
      <c r="N3479">
        <v>-1.5439029999999999E-2</v>
      </c>
      <c r="O3479">
        <v>-0.59396899999999997</v>
      </c>
      <c r="P3479">
        <v>-0.67042209999999902</v>
      </c>
      <c r="Q3479">
        <v>0.1590105</v>
      </c>
      <c r="R3479">
        <v>-0.72474139999999998</v>
      </c>
      <c r="S3479">
        <v>-1.785461</v>
      </c>
      <c r="T3479">
        <v>-0.20147109999999999</v>
      </c>
      <c r="U3479">
        <v>-2.5370180000000002</v>
      </c>
      <c r="V3479">
        <v>-0.18884010000000001</v>
      </c>
      <c r="W3479">
        <v>0.1695169</v>
      </c>
      <c r="X3479">
        <v>0.96726599999999996</v>
      </c>
      <c r="Y3479">
        <v>-0.31584190000000001</v>
      </c>
      <c r="Z3479">
        <v>1.8891069999999999E-2</v>
      </c>
      <c r="AA3479">
        <v>0.94862369999999996</v>
      </c>
      <c r="AB3479">
        <v>27</v>
      </c>
      <c r="AC3479">
        <v>-9.8089999999999602</v>
      </c>
      <c r="AD3479">
        <v>-1.1203955635009999</v>
      </c>
      <c r="AE3479">
        <v>-14.0114</v>
      </c>
      <c r="AF3479">
        <v>-5.42107142313324</v>
      </c>
      <c r="AG3479">
        <v>-1.1203955635009999</v>
      </c>
      <c r="AH3479">
        <v>16.144760471421101</v>
      </c>
      <c r="AI3479">
        <v>93.763905601715607</v>
      </c>
      <c r="AJ3479">
        <v>108.560969569042</v>
      </c>
      <c r="AK3479">
        <v>17.067413168754801</v>
      </c>
      <c r="AL3479">
        <v>80.240268583446905</v>
      </c>
      <c r="AM3479">
        <v>101.046947043614</v>
      </c>
      <c r="AN3479">
        <v>1.0000000387548</v>
      </c>
    </row>
    <row r="3480" spans="1:40" x14ac:dyDescent="0.25">
      <c r="A3480" t="str">
        <f>"20190304154824167"</f>
        <v>20190304154824167</v>
      </c>
      <c r="B3480" t="str">
        <f>"1551685704160692"</f>
        <v>1551685704160692</v>
      </c>
      <c r="C3480" t="s">
        <v>40</v>
      </c>
      <c r="D3480">
        <v>4.391845</v>
      </c>
      <c r="E3480">
        <v>0.4532928</v>
      </c>
      <c r="F3480" t="s">
        <v>44</v>
      </c>
      <c r="G3480">
        <v>-492.33109999999999</v>
      </c>
      <c r="H3480" s="1">
        <v>-3.2013289999999999E-6</v>
      </c>
      <c r="I3480">
        <v>265.60570000000001</v>
      </c>
      <c r="J3480">
        <v>-483.69709999999998</v>
      </c>
      <c r="K3480">
        <v>1.1204670000000001</v>
      </c>
      <c r="L3480">
        <v>277.37830000000002</v>
      </c>
      <c r="M3480">
        <v>-0.79976990000000003</v>
      </c>
      <c r="N3480">
        <v>-1.5462389999999999E-2</v>
      </c>
      <c r="O3480">
        <v>-0.60010769999999902</v>
      </c>
      <c r="P3480">
        <v>-0.66479519999999903</v>
      </c>
      <c r="Q3480">
        <v>0.15879289999999999</v>
      </c>
      <c r="R3480">
        <v>-0.72995390000000004</v>
      </c>
      <c r="S3480">
        <v>-1.8369139999999999</v>
      </c>
      <c r="T3480">
        <v>-0.23526540000000001</v>
      </c>
      <c r="U3480">
        <v>-2.4917600000000002</v>
      </c>
      <c r="V3480">
        <v>-0.18898190000000001</v>
      </c>
      <c r="W3480">
        <v>0.16928750000000001</v>
      </c>
      <c r="X3480">
        <v>0.96727839999999998</v>
      </c>
      <c r="Y3480">
        <v>-0.2876997</v>
      </c>
      <c r="Z3480">
        <v>2.552018E-2</v>
      </c>
      <c r="AA3480">
        <v>0.95738060000000003</v>
      </c>
      <c r="AB3480">
        <v>27</v>
      </c>
      <c r="AC3480">
        <v>-8.6340000000000092</v>
      </c>
      <c r="AD3480">
        <v>-1.120470201329</v>
      </c>
      <c r="AE3480">
        <v>-11.772600000000001</v>
      </c>
      <c r="AF3480">
        <v>-4.20975041052675</v>
      </c>
      <c r="AG3480">
        <v>-1.120470201329</v>
      </c>
      <c r="AH3480">
        <v>13.889894644435</v>
      </c>
      <c r="AI3480">
        <v>94.414489056010098</v>
      </c>
      <c r="AJ3480">
        <v>106.861010990859</v>
      </c>
      <c r="AK3480">
        <v>14.5570129224543</v>
      </c>
      <c r="AL3480">
        <v>80.253604207203495</v>
      </c>
      <c r="AM3480">
        <v>101.05489968969199</v>
      </c>
      <c r="AN3480">
        <v>0.99999995964520905</v>
      </c>
    </row>
    <row r="3481" spans="1:40" x14ac:dyDescent="0.25">
      <c r="A3481" t="str">
        <f>"20190304154824179"</f>
        <v>20190304154824179</v>
      </c>
      <c r="B3481" t="str">
        <f>"1551685704170451"</f>
        <v>1551685704170451</v>
      </c>
      <c r="C3481" t="s">
        <v>40</v>
      </c>
      <c r="D3481">
        <v>4.3783799999999999</v>
      </c>
      <c r="E3481">
        <v>0.45323960000000002</v>
      </c>
      <c r="F3481" t="s">
        <v>44</v>
      </c>
      <c r="G3481">
        <v>-492.34089999999998</v>
      </c>
      <c r="H3481" s="1">
        <v>-3.1357159999999999E-6</v>
      </c>
      <c r="I3481">
        <v>265.44659999999999</v>
      </c>
      <c r="J3481">
        <v>-483.80410000000001</v>
      </c>
      <c r="K3481">
        <v>1.120528</v>
      </c>
      <c r="L3481">
        <v>277.28879999999998</v>
      </c>
      <c r="M3481">
        <v>-0.79536750000000001</v>
      </c>
      <c r="N3481">
        <v>-1.548453E-2</v>
      </c>
      <c r="O3481">
        <v>-0.60592969999999902</v>
      </c>
      <c r="P3481">
        <v>-0.65929320000000002</v>
      </c>
      <c r="Q3481">
        <v>0.15891710000000001</v>
      </c>
      <c r="R3481">
        <v>-0.73490009999999995</v>
      </c>
      <c r="S3481">
        <v>-1.8161929999999999</v>
      </c>
      <c r="T3481">
        <v>-0.2354271</v>
      </c>
      <c r="U3481">
        <v>-2.5070190000000001</v>
      </c>
      <c r="V3481">
        <v>-0.18919540000000001</v>
      </c>
      <c r="W3481">
        <v>0.16939889999999999</v>
      </c>
      <c r="X3481">
        <v>0.9672172</v>
      </c>
      <c r="Y3481">
        <v>-0.28867179999999998</v>
      </c>
      <c r="Z3481">
        <v>2.5901380000000002E-2</v>
      </c>
      <c r="AA3481">
        <v>0.95707770000000003</v>
      </c>
      <c r="AB3481">
        <v>27</v>
      </c>
      <c r="AC3481">
        <v>-8.5367999999999693</v>
      </c>
      <c r="AD3481">
        <v>-1.1205311357159999</v>
      </c>
      <c r="AE3481">
        <v>-11.842199999999901</v>
      </c>
      <c r="AF3481">
        <v>-4.2218359834850503</v>
      </c>
      <c r="AG3481">
        <v>-1.1205311357159999</v>
      </c>
      <c r="AH3481">
        <v>13.885301410760899</v>
      </c>
      <c r="AI3481">
        <v>94.414996207844297</v>
      </c>
      <c r="AJ3481">
        <v>106.911932318125</v>
      </c>
      <c r="AK3481">
        <v>14.5561356260938</v>
      </c>
      <c r="AL3481">
        <v>80.247128311929004</v>
      </c>
      <c r="AM3481">
        <v>101.067763633659</v>
      </c>
      <c r="AN3481">
        <v>0.99999999933910499</v>
      </c>
    </row>
    <row r="3482" spans="1:40" x14ac:dyDescent="0.25">
      <c r="A3482" t="str">
        <f>"20190304154824189"</f>
        <v>20190304154824189</v>
      </c>
      <c r="B3482" t="str">
        <f>"1551685704180212"</f>
        <v>1551685704180212</v>
      </c>
      <c r="C3482" t="s">
        <v>40</v>
      </c>
      <c r="D3482">
        <v>4.4039089999999996</v>
      </c>
      <c r="E3482">
        <v>0.45341749999999997</v>
      </c>
      <c r="F3482" t="s">
        <v>44</v>
      </c>
      <c r="G3482">
        <v>-492.26530000000002</v>
      </c>
      <c r="H3482" s="1">
        <v>-3.1027579999999999E-6</v>
      </c>
      <c r="I3482">
        <v>265.41669999999999</v>
      </c>
      <c r="J3482">
        <v>-483.91070000000002</v>
      </c>
      <c r="K3482">
        <v>1.1205889999999901</v>
      </c>
      <c r="L3482">
        <v>277.19880000000001</v>
      </c>
      <c r="M3482">
        <v>-0.79090139999999998</v>
      </c>
      <c r="N3482">
        <v>-1.5506280000000001E-2</v>
      </c>
      <c r="O3482">
        <v>-0.61174709999999999</v>
      </c>
      <c r="P3482">
        <v>-0.65402229999999995</v>
      </c>
      <c r="Q3482">
        <v>0.158517299999999</v>
      </c>
      <c r="R3482">
        <v>-0.73968059999999902</v>
      </c>
      <c r="S3482">
        <v>-1.7970279999999901</v>
      </c>
      <c r="T3482">
        <v>-0.23798349999999999</v>
      </c>
      <c r="U3482">
        <v>-2.5214539999999999</v>
      </c>
      <c r="V3482">
        <v>-0.18909989999999999</v>
      </c>
      <c r="W3482">
        <v>0.1689957</v>
      </c>
      <c r="X3482">
        <v>0.96730640000000001</v>
      </c>
      <c r="Y3482">
        <v>-0.28907680000000002</v>
      </c>
      <c r="Z3482">
        <v>2.668148E-2</v>
      </c>
      <c r="AA3482">
        <v>0.95693399999999995</v>
      </c>
      <c r="AB3482">
        <v>27</v>
      </c>
      <c r="AC3482">
        <v>-8.3545999999999996</v>
      </c>
      <c r="AD3482">
        <v>-1.1205921027579999</v>
      </c>
      <c r="AE3482">
        <v>-11.7821</v>
      </c>
      <c r="AF3482">
        <v>-4.1829049339797697</v>
      </c>
      <c r="AG3482">
        <v>-1.1205921027579999</v>
      </c>
      <c r="AH3482">
        <v>13.734320866534601</v>
      </c>
      <c r="AI3482">
        <v>94.462948081128204</v>
      </c>
      <c r="AJ3482">
        <v>106.938562793514</v>
      </c>
      <c r="AK3482">
        <v>14.4008329624506</v>
      </c>
      <c r="AL3482">
        <v>80.270567876708299</v>
      </c>
      <c r="AM3482">
        <v>101.06131985819999</v>
      </c>
      <c r="AN3482">
        <v>0.99999999513973004</v>
      </c>
    </row>
    <row r="3483" spans="1:40" x14ac:dyDescent="0.25">
      <c r="A3483" t="str">
        <f>"20190304154824204"</f>
        <v>20190304154824204</v>
      </c>
      <c r="B3483" t="str">
        <f>"1551685704200707"</f>
        <v>1551685704200707</v>
      </c>
      <c r="C3483" t="s">
        <v>40</v>
      </c>
      <c r="D3483">
        <v>4.3672360000000001</v>
      </c>
      <c r="E3483">
        <v>0.45425070000000001</v>
      </c>
      <c r="F3483" t="s">
        <v>44</v>
      </c>
      <c r="G3483">
        <v>-492.2457</v>
      </c>
      <c r="H3483" s="1">
        <v>-3.0623750000000001E-6</v>
      </c>
      <c r="I3483">
        <v>265.3347</v>
      </c>
      <c r="J3483">
        <v>-484.02980000000002</v>
      </c>
      <c r="K3483">
        <v>1.1206499999999999</v>
      </c>
      <c r="L3483">
        <v>277.09559999999999</v>
      </c>
      <c r="M3483">
        <v>-0.78574370000000004</v>
      </c>
      <c r="N3483">
        <v>-1.5531059999999999E-2</v>
      </c>
      <c r="O3483">
        <v>-0.6183575</v>
      </c>
      <c r="P3483">
        <v>-0.64731510000000003</v>
      </c>
      <c r="Q3483">
        <v>0.15812590000000001</v>
      </c>
      <c r="R3483">
        <v>-0.74564059999999999</v>
      </c>
      <c r="S3483">
        <v>-1.7798160000000001</v>
      </c>
      <c r="T3483">
        <v>-0.23928489999999999</v>
      </c>
      <c r="U3483">
        <v>-2.5333860000000001</v>
      </c>
      <c r="V3483">
        <v>-0.18981000000000001</v>
      </c>
      <c r="W3483">
        <v>0.1685797</v>
      </c>
      <c r="X3483">
        <v>0.96723990000000004</v>
      </c>
      <c r="Y3483">
        <v>-0.2875375</v>
      </c>
      <c r="Z3483">
        <v>2.741029E-2</v>
      </c>
      <c r="AA3483">
        <v>0.95737709999999998</v>
      </c>
      <c r="AB3483">
        <v>27</v>
      </c>
      <c r="AC3483">
        <v>-8.2158999999999693</v>
      </c>
      <c r="AD3483">
        <v>-1.120653062375</v>
      </c>
      <c r="AE3483">
        <v>-11.7608999999999</v>
      </c>
      <c r="AF3483">
        <v>-4.1359542105593796</v>
      </c>
      <c r="AG3483">
        <v>-1.120653062375</v>
      </c>
      <c r="AH3483">
        <v>13.646418619446299</v>
      </c>
      <c r="AI3483">
        <v>94.493662163077801</v>
      </c>
      <c r="AJ3483">
        <v>106.860997661653</v>
      </c>
      <c r="AK3483">
        <v>14.3033814762532</v>
      </c>
      <c r="AL3483">
        <v>80.294749801811605</v>
      </c>
      <c r="AM3483">
        <v>101.102571156967</v>
      </c>
      <c r="AN3483">
        <v>0.99999998775205001</v>
      </c>
    </row>
    <row r="3484" spans="1:40" x14ac:dyDescent="0.25">
      <c r="A3484" t="str">
        <f>"20190304154824215"</f>
        <v>20190304154824215</v>
      </c>
      <c r="B3484" t="str">
        <f>"1551685704210467"</f>
        <v>1551685704210467</v>
      </c>
      <c r="C3484" t="s">
        <v>40</v>
      </c>
      <c r="D3484">
        <v>4.400404</v>
      </c>
      <c r="E3484">
        <v>0.45465430000000001</v>
      </c>
      <c r="F3484" t="s">
        <v>44</v>
      </c>
      <c r="G3484">
        <v>-492.15480000000002</v>
      </c>
      <c r="H3484" s="1">
        <v>-3.0484459999999999E-6</v>
      </c>
      <c r="I3484">
        <v>265.3587</v>
      </c>
      <c r="J3484">
        <v>-484.12990000000002</v>
      </c>
      <c r="K3484">
        <v>1.1207020000000001</v>
      </c>
      <c r="L3484">
        <v>277.00799999999998</v>
      </c>
      <c r="M3484">
        <v>-0.78132389999999996</v>
      </c>
      <c r="N3484">
        <v>-1.55514E-2</v>
      </c>
      <c r="O3484">
        <v>-0.62393219999999905</v>
      </c>
      <c r="P3484">
        <v>-0.64164690000000002</v>
      </c>
      <c r="Q3484">
        <v>0.15823570000000001</v>
      </c>
      <c r="R3484">
        <v>-0.75050059999999996</v>
      </c>
      <c r="S3484">
        <v>-1.7619629999999999</v>
      </c>
      <c r="T3484">
        <v>-0.2430233</v>
      </c>
      <c r="U3484">
        <v>-2.545258</v>
      </c>
      <c r="V3484">
        <v>-0.19026489999999999</v>
      </c>
      <c r="W3484">
        <v>0.1686723</v>
      </c>
      <c r="X3484">
        <v>0.96713439999999995</v>
      </c>
      <c r="Y3484">
        <v>-0.28736919999999999</v>
      </c>
      <c r="Z3484">
        <v>2.8422860000000001E-2</v>
      </c>
      <c r="AA3484">
        <v>0.95739810000000003</v>
      </c>
      <c r="AB3484">
        <v>27</v>
      </c>
      <c r="AC3484">
        <v>-8.0249000000000006</v>
      </c>
      <c r="AD3484">
        <v>-1.1207050484459999</v>
      </c>
      <c r="AE3484">
        <v>-11.649299999999901</v>
      </c>
      <c r="AF3484">
        <v>-4.0698329905071997</v>
      </c>
      <c r="AG3484">
        <v>-1.1207050484459999</v>
      </c>
      <c r="AH3484">
        <v>13.4555997182112</v>
      </c>
      <c r="AI3484">
        <v>94.558107738054701</v>
      </c>
      <c r="AJ3484">
        <v>106.828670297801</v>
      </c>
      <c r="AK3484">
        <v>14.102222667117401</v>
      </c>
      <c r="AL3484">
        <v>80.289367374115699</v>
      </c>
      <c r="AM3484">
        <v>101.129699897538</v>
      </c>
      <c r="AN3484">
        <v>1.00000001231132</v>
      </c>
    </row>
    <row r="3485" spans="1:40" x14ac:dyDescent="0.25">
      <c r="A3485" t="str">
        <f>"20190304154824227"</f>
        <v>20190304154824227</v>
      </c>
      <c r="B3485" t="str">
        <f>"1551685704220227"</f>
        <v>1551685704220227</v>
      </c>
      <c r="C3485" t="s">
        <v>40</v>
      </c>
      <c r="D3485">
        <v>4.4243949999999996</v>
      </c>
      <c r="E3485">
        <v>0.45513399999999998</v>
      </c>
      <c r="F3485" t="s">
        <v>44</v>
      </c>
      <c r="G3485">
        <v>-492.18810000000002</v>
      </c>
      <c r="H3485" s="1">
        <v>-2.991291E-6</v>
      </c>
      <c r="I3485">
        <v>265.20479999999998</v>
      </c>
      <c r="J3485">
        <v>-484.2296</v>
      </c>
      <c r="K3485">
        <v>1.1207579999999999</v>
      </c>
      <c r="L3485">
        <v>276.91919999999999</v>
      </c>
      <c r="M3485">
        <v>-0.77681109999999998</v>
      </c>
      <c r="N3485">
        <v>-1.557156E-2</v>
      </c>
      <c r="O3485">
        <v>-0.62954109999999996</v>
      </c>
      <c r="P3485">
        <v>-0.63585879999999995</v>
      </c>
      <c r="Q3485">
        <v>0.15857789999999999</v>
      </c>
      <c r="R3485">
        <v>-0.75533879999999998</v>
      </c>
      <c r="S3485">
        <v>-1.7452700000000001</v>
      </c>
      <c r="T3485">
        <v>-0.2427251</v>
      </c>
      <c r="U3485">
        <v>-2.5563660000000001</v>
      </c>
      <c r="V3485">
        <v>-0.1907121</v>
      </c>
      <c r="W3485">
        <v>0.1689966</v>
      </c>
      <c r="X3485">
        <v>0.96698969999999995</v>
      </c>
      <c r="Y3485">
        <v>-0.28668259999999901</v>
      </c>
      <c r="Z3485">
        <v>2.8803349999999998E-2</v>
      </c>
      <c r="AA3485">
        <v>0.95759249999999996</v>
      </c>
      <c r="AB3485">
        <v>27</v>
      </c>
      <c r="AC3485">
        <v>-7.9585000000000097</v>
      </c>
      <c r="AD3485">
        <v>-1.1207609912909999</v>
      </c>
      <c r="AE3485">
        <v>-11.714399999999999</v>
      </c>
      <c r="AF3485">
        <v>-4.0647124746115297</v>
      </c>
      <c r="AG3485">
        <v>-1.1207609912909999</v>
      </c>
      <c r="AH3485">
        <v>13.4742048564458</v>
      </c>
      <c r="AI3485">
        <v>94.553067627998999</v>
      </c>
      <c r="AJ3485">
        <v>106.786788874479</v>
      </c>
      <c r="AK3485">
        <v>14.118505204671299</v>
      </c>
      <c r="AL3485">
        <v>80.2705157816102</v>
      </c>
      <c r="AM3485">
        <v>101.15683127754799</v>
      </c>
      <c r="AN3485">
        <v>1.0000000179020201</v>
      </c>
    </row>
    <row r="3486" spans="1:40" x14ac:dyDescent="0.25">
      <c r="A3486" t="str">
        <f>"20190304154824238"</f>
        <v>20190304154824238</v>
      </c>
      <c r="B3486" t="str">
        <f>"1551685704229986"</f>
        <v>1551685704229986</v>
      </c>
      <c r="C3486" t="s">
        <v>40</v>
      </c>
      <c r="D3486">
        <v>4.4199890000000002</v>
      </c>
      <c r="E3486">
        <v>0.45556489999999999</v>
      </c>
      <c r="F3486" t="s">
        <v>44</v>
      </c>
      <c r="G3486">
        <v>-492.22300000000001</v>
      </c>
      <c r="H3486" s="1">
        <v>-2.9327849999999999E-6</v>
      </c>
      <c r="I3486">
        <v>265.04680000000002</v>
      </c>
      <c r="J3486">
        <v>-484.33069999999998</v>
      </c>
      <c r="K3486">
        <v>1.120811</v>
      </c>
      <c r="L3486">
        <v>276.82760000000002</v>
      </c>
      <c r="M3486">
        <v>-0.77212510000000001</v>
      </c>
      <c r="N3486">
        <v>-1.559195E-2</v>
      </c>
      <c r="O3486">
        <v>-0.6352795</v>
      </c>
      <c r="P3486">
        <v>-0.62971639999999995</v>
      </c>
      <c r="Q3486">
        <v>0.1585474</v>
      </c>
      <c r="R3486">
        <v>-0.76047379999999998</v>
      </c>
      <c r="S3486">
        <v>-1.728577</v>
      </c>
      <c r="T3486">
        <v>-0.24236489999999999</v>
      </c>
      <c r="U3486">
        <v>-2.5674130000000002</v>
      </c>
      <c r="V3486">
        <v>-0.1914119</v>
      </c>
      <c r="W3486">
        <v>0.16894300000000001</v>
      </c>
      <c r="X3486">
        <v>0.96686079999999996</v>
      </c>
      <c r="Y3486">
        <v>-0.28578540000000002</v>
      </c>
      <c r="Z3486">
        <v>2.9189099999999999E-2</v>
      </c>
      <c r="AA3486">
        <v>0.95784899999999995</v>
      </c>
      <c r="AB3486">
        <v>27</v>
      </c>
      <c r="AC3486">
        <v>-7.8923000000000298</v>
      </c>
      <c r="AD3486">
        <v>-1.120813932785</v>
      </c>
      <c r="AE3486">
        <v>-11.780799999999999</v>
      </c>
      <c r="AF3486">
        <v>-4.05758083901571</v>
      </c>
      <c r="AG3486">
        <v>-1.120813932785</v>
      </c>
      <c r="AH3486">
        <v>13.4952802178582</v>
      </c>
      <c r="AI3486">
        <v>94.547450506574407</v>
      </c>
      <c r="AJ3486">
        <v>106.734280780275</v>
      </c>
      <c r="AK3486">
        <v>14.136575762736401</v>
      </c>
      <c r="AL3486">
        <v>80.273631752827896</v>
      </c>
      <c r="AM3486">
        <v>101.198192689488</v>
      </c>
      <c r="AN3486">
        <v>1.00000002964362</v>
      </c>
    </row>
    <row r="3487" spans="1:40" x14ac:dyDescent="0.25">
      <c r="A3487" t="str">
        <f>"20190304154824250"</f>
        <v>20190304154824250</v>
      </c>
      <c r="B3487" t="str">
        <f>"1551685704240725"</f>
        <v>1551685704240725</v>
      </c>
      <c r="C3487" t="s">
        <v>40</v>
      </c>
      <c r="D3487">
        <v>4.3974159999999998</v>
      </c>
      <c r="E3487">
        <v>0.45556489999999999</v>
      </c>
      <c r="F3487" t="s">
        <v>44</v>
      </c>
      <c r="G3487">
        <v>-492.22890000000001</v>
      </c>
      <c r="H3487" s="1">
        <v>-2.879489E-6</v>
      </c>
      <c r="I3487">
        <v>264.91890000000001</v>
      </c>
      <c r="J3487">
        <v>-484.43630000000002</v>
      </c>
      <c r="K3487">
        <v>1.1208629999999999</v>
      </c>
      <c r="L3487">
        <v>276.73099999999999</v>
      </c>
      <c r="M3487">
        <v>-0.76714479999999996</v>
      </c>
      <c r="N3487">
        <v>-1.5612839999999999E-2</v>
      </c>
      <c r="O3487">
        <v>-0.64128390000000002</v>
      </c>
      <c r="P3487">
        <v>-0.62374989999999997</v>
      </c>
      <c r="Q3487">
        <v>0.158465299999999</v>
      </c>
      <c r="R3487">
        <v>-0.76539209999999902</v>
      </c>
      <c r="S3487">
        <v>-1.71050999999999</v>
      </c>
      <c r="T3487">
        <v>-0.24273510000000001</v>
      </c>
      <c r="U3487">
        <v>-2.5790709999999999</v>
      </c>
      <c r="V3487">
        <v>-0.1914623</v>
      </c>
      <c r="W3487">
        <v>0.16885610000000001</v>
      </c>
      <c r="X3487">
        <v>0.966866</v>
      </c>
      <c r="Y3487">
        <v>-0.28497329999999998</v>
      </c>
      <c r="Z3487">
        <v>2.9715660000000001E-2</v>
      </c>
      <c r="AA3487">
        <v>0.95807469999999995</v>
      </c>
      <c r="AB3487">
        <v>27</v>
      </c>
      <c r="AC3487">
        <v>-7.7925999999999904</v>
      </c>
      <c r="AD3487">
        <v>-1.1208658794890001</v>
      </c>
      <c r="AE3487">
        <v>-11.8120999999999</v>
      </c>
      <c r="AF3487">
        <v>-4.0394746807526802</v>
      </c>
      <c r="AG3487">
        <v>-1.1208658794890001</v>
      </c>
      <c r="AH3487">
        <v>13.470105227451199</v>
      </c>
      <c r="AI3487">
        <v>94.557101633502995</v>
      </c>
      <c r="AJ3487">
        <v>106.693168535875</v>
      </c>
      <c r="AK3487">
        <v>14.107353786407</v>
      </c>
      <c r="AL3487">
        <v>80.278683318290206</v>
      </c>
      <c r="AM3487">
        <v>101.201007983476</v>
      </c>
      <c r="AN3487">
        <v>1.0000000283922399</v>
      </c>
    </row>
    <row r="3488" spans="1:40" x14ac:dyDescent="0.25">
      <c r="A3488" t="str">
        <f>"20190304154824264"</f>
        <v>20190304154824264</v>
      </c>
      <c r="B3488" t="str">
        <f>"1551685704260243"</f>
        <v>1551685704260243</v>
      </c>
      <c r="C3488" t="s">
        <v>40</v>
      </c>
      <c r="D3488">
        <v>4.4318559999999998</v>
      </c>
      <c r="E3488">
        <v>0.4631439</v>
      </c>
      <c r="F3488" t="s">
        <v>44</v>
      </c>
      <c r="G3488">
        <v>-492.23660000000001</v>
      </c>
      <c r="H3488" s="1">
        <v>-2.8160810000000001E-6</v>
      </c>
      <c r="I3488">
        <v>264.76620000000003</v>
      </c>
      <c r="J3488">
        <v>-484.54199999999997</v>
      </c>
      <c r="K3488">
        <v>1.1209119999999999</v>
      </c>
      <c r="L3488">
        <v>276.63170000000002</v>
      </c>
      <c r="M3488">
        <v>-0.76200100000000004</v>
      </c>
      <c r="N3488">
        <v>-1.563368E-2</v>
      </c>
      <c r="O3488">
        <v>-0.64738719999999905</v>
      </c>
      <c r="P3488">
        <v>-0.617440199999999</v>
      </c>
      <c r="Q3488">
        <v>0.1582916</v>
      </c>
      <c r="R3488">
        <v>-0.77052679999999996</v>
      </c>
      <c r="S3488">
        <v>-1.6901550000000001</v>
      </c>
      <c r="T3488">
        <v>-0.242865</v>
      </c>
      <c r="U3488">
        <v>-2.5924680000000002</v>
      </c>
      <c r="V3488">
        <v>-0.19173209999999999</v>
      </c>
      <c r="W3488">
        <v>0.1686733</v>
      </c>
      <c r="X3488">
        <v>0.96684440000000005</v>
      </c>
      <c r="Y3488">
        <v>-0.28487410000000002</v>
      </c>
      <c r="Z3488">
        <v>3.0178380000000001E-2</v>
      </c>
      <c r="AA3488">
        <v>0.95808979999999999</v>
      </c>
      <c r="AB3488">
        <v>27</v>
      </c>
      <c r="AC3488">
        <v>-7.6946000000000296</v>
      </c>
      <c r="AD3488">
        <v>-1.1209148160810001</v>
      </c>
      <c r="AE3488">
        <v>-11.8654999999999</v>
      </c>
      <c r="AF3488">
        <v>-4.0352822931618197</v>
      </c>
      <c r="AG3488">
        <v>-1.1209148160810001</v>
      </c>
      <c r="AH3488">
        <v>13.4619478428303</v>
      </c>
      <c r="AI3488">
        <v>94.5602116745644</v>
      </c>
      <c r="AJ3488">
        <v>106.68634979466</v>
      </c>
      <c r="AK3488">
        <v>14.0983684493455</v>
      </c>
      <c r="AL3488">
        <v>80.2893089978663</v>
      </c>
      <c r="AM3488">
        <v>101.216636254794</v>
      </c>
      <c r="AN3488">
        <v>0.99999998705732995</v>
      </c>
    </row>
    <row r="3489" spans="1:40" x14ac:dyDescent="0.25">
      <c r="A3489" t="str">
        <f>"20190304154824276"</f>
        <v>20190304154824276</v>
      </c>
      <c r="B3489" t="str">
        <f>"1551685704270002"</f>
        <v>1551685704270002</v>
      </c>
      <c r="C3489" t="s">
        <v>40</v>
      </c>
      <c r="D3489">
        <v>4.4145989999999999</v>
      </c>
      <c r="E3489">
        <v>0.46400170000000002</v>
      </c>
      <c r="F3489" t="s">
        <v>44</v>
      </c>
      <c r="G3489">
        <v>-492.24529999999999</v>
      </c>
      <c r="H3489" s="1">
        <v>-2.9620830000000001E-6</v>
      </c>
      <c r="I3489">
        <v>265.10120000000001</v>
      </c>
      <c r="J3489">
        <v>-484.64920000000001</v>
      </c>
      <c r="K3489">
        <v>1.1209579999999999</v>
      </c>
      <c r="L3489">
        <v>276.52999999999997</v>
      </c>
      <c r="M3489">
        <v>-0.75668389999999996</v>
      </c>
      <c r="N3489">
        <v>-1.5654149999999999E-2</v>
      </c>
      <c r="O3489">
        <v>-0.65359339999999999</v>
      </c>
      <c r="P3489">
        <v>-0.6108363</v>
      </c>
      <c r="Q3489">
        <v>0.15818270000000001</v>
      </c>
      <c r="R3489">
        <v>-0.77579469999999995</v>
      </c>
      <c r="S3489">
        <v>-1.7164919999999999</v>
      </c>
      <c r="T3489">
        <v>-0.24976580000000001</v>
      </c>
      <c r="U3489">
        <v>-2.5692750000000002</v>
      </c>
      <c r="V3489">
        <v>-0.19212290000000001</v>
      </c>
      <c r="W3489">
        <v>0.16855200000000001</v>
      </c>
      <c r="X3489">
        <v>0.96678799999999998</v>
      </c>
      <c r="Y3489">
        <v>-0.26629849999999999</v>
      </c>
      <c r="Z3489">
        <v>3.2615499999999999E-2</v>
      </c>
      <c r="AA3489">
        <v>0.96333869999999999</v>
      </c>
      <c r="AB3489">
        <v>27</v>
      </c>
      <c r="AC3489">
        <v>-7.5960999999999697</v>
      </c>
      <c r="AD3489">
        <v>-1.1209609620829999</v>
      </c>
      <c r="AE3489">
        <v>-11.428799999999899</v>
      </c>
      <c r="AF3489">
        <v>-3.6592632333811799</v>
      </c>
      <c r="AG3489">
        <v>-1.1209609620829999</v>
      </c>
      <c r="AH3489">
        <v>13.131634377310499</v>
      </c>
      <c r="AI3489">
        <v>94.700879869992306</v>
      </c>
      <c r="AJ3489">
        <v>105.571035122171</v>
      </c>
      <c r="AK3489">
        <v>13.677959727570901</v>
      </c>
      <c r="AL3489">
        <v>80.296360164796894</v>
      </c>
      <c r="AM3489">
        <v>101.239556252318</v>
      </c>
      <c r="AN3489">
        <v>1.0000000111762</v>
      </c>
    </row>
    <row r="3490" spans="1:40" x14ac:dyDescent="0.25">
      <c r="A3490" t="str">
        <f>"20190304154824287"</f>
        <v>20190304154824287</v>
      </c>
      <c r="B3490" t="str">
        <f>"1551685704279763"</f>
        <v>1551685704279763</v>
      </c>
      <c r="C3490" t="s">
        <v>40</v>
      </c>
      <c r="D3490">
        <v>4.435073</v>
      </c>
      <c r="E3490">
        <v>0.46455109999999999</v>
      </c>
      <c r="F3490" t="s">
        <v>44</v>
      </c>
      <c r="G3490">
        <v>-492.25490000000002</v>
      </c>
      <c r="H3490" s="1">
        <v>-2.9130150000000001E-6</v>
      </c>
      <c r="I3490">
        <v>264.98090000000002</v>
      </c>
      <c r="J3490">
        <v>-484.75049999999999</v>
      </c>
      <c r="K3490">
        <v>1.1209979999999999</v>
      </c>
      <c r="L3490">
        <v>276.43220000000002</v>
      </c>
      <c r="M3490">
        <v>-0.75154299999999996</v>
      </c>
      <c r="N3490">
        <v>-1.5673039999999999E-2</v>
      </c>
      <c r="O3490">
        <v>-0.65949799999999903</v>
      </c>
      <c r="P3490">
        <v>-0.60470000000000002</v>
      </c>
      <c r="Q3490">
        <v>0.1576921</v>
      </c>
      <c r="R3490">
        <v>-0.78068660000000001</v>
      </c>
      <c r="S3490">
        <v>-1.6991879999999999</v>
      </c>
      <c r="T3490">
        <v>-0.25043399999999999</v>
      </c>
      <c r="U3490">
        <v>-2.5802</v>
      </c>
      <c r="V3490">
        <v>-0.1922565</v>
      </c>
      <c r="W3490">
        <v>0.16805800000000001</v>
      </c>
      <c r="X3490">
        <v>0.96684740000000002</v>
      </c>
      <c r="Y3490">
        <v>-0.26514359999999998</v>
      </c>
      <c r="Z3490">
        <v>3.322261E-2</v>
      </c>
      <c r="AA3490">
        <v>0.96363639999999995</v>
      </c>
      <c r="AB3490">
        <v>27</v>
      </c>
      <c r="AC3490">
        <v>-7.5044000000000297</v>
      </c>
      <c r="AD3490">
        <v>-1.1210009130149901</v>
      </c>
      <c r="AE3490">
        <v>-11.4513</v>
      </c>
      <c r="AF3490">
        <v>-3.6331004522500798</v>
      </c>
      <c r="AG3490">
        <v>-1.1210009130149901</v>
      </c>
      <c r="AH3490">
        <v>13.105748182654199</v>
      </c>
      <c r="AI3490">
        <v>94.712039896198107</v>
      </c>
      <c r="AJ3490">
        <v>105.494132970877</v>
      </c>
      <c r="AK3490">
        <v>13.6461238954607</v>
      </c>
      <c r="AL3490">
        <v>80.325073519044594</v>
      </c>
      <c r="AM3490">
        <v>101.24649955539699</v>
      </c>
      <c r="AN3490">
        <v>0.99999997402150398</v>
      </c>
    </row>
    <row r="3491" spans="1:40" x14ac:dyDescent="0.25">
      <c r="A3491" t="str">
        <f>"20190304154824298"</f>
        <v>20190304154824298</v>
      </c>
      <c r="B3491" t="str">
        <f>"1551685704290499"</f>
        <v>1551685704290499</v>
      </c>
      <c r="C3491" t="s">
        <v>40</v>
      </c>
      <c r="D3491">
        <v>4.4125930000000002</v>
      </c>
      <c r="E3491">
        <v>0.46455109999999999</v>
      </c>
      <c r="F3491" t="s">
        <v>44</v>
      </c>
      <c r="G3491">
        <v>-492.24880000000002</v>
      </c>
      <c r="H3491" s="1">
        <v>-2.8660120000000001E-6</v>
      </c>
      <c r="I3491">
        <v>264.87509999999997</v>
      </c>
      <c r="J3491">
        <v>-484.83440000000002</v>
      </c>
      <c r="K3491">
        <v>1.1210249999999999</v>
      </c>
      <c r="L3491">
        <v>276.34980000000002</v>
      </c>
      <c r="M3491">
        <v>-0.74719179999999996</v>
      </c>
      <c r="N3491">
        <v>-1.5688170000000001E-2</v>
      </c>
      <c r="O3491">
        <v>-0.6644234</v>
      </c>
      <c r="P3491">
        <v>-0.59936590000000001</v>
      </c>
      <c r="Q3491">
        <v>0.15686349999999999</v>
      </c>
      <c r="R3491">
        <v>-0.78495519999999996</v>
      </c>
      <c r="S3491">
        <v>-1.681244</v>
      </c>
      <c r="T3491">
        <v>-0.25134580000000001</v>
      </c>
      <c r="U3491">
        <v>-2.591278</v>
      </c>
      <c r="V3491">
        <v>-0.19260650000000001</v>
      </c>
      <c r="W3491">
        <v>0.1672217</v>
      </c>
      <c r="X3491">
        <v>0.96692279999999997</v>
      </c>
      <c r="Y3491">
        <v>-0.26539170000000001</v>
      </c>
      <c r="Z3491">
        <v>3.3752539999999998E-2</v>
      </c>
      <c r="AA3491">
        <v>0.96354969999999995</v>
      </c>
      <c r="AB3491">
        <v>27</v>
      </c>
      <c r="AC3491">
        <v>-7.4143999999999997</v>
      </c>
      <c r="AD3491">
        <v>-1.1210278660120001</v>
      </c>
      <c r="AE3491">
        <v>-11.4747</v>
      </c>
      <c r="AF3491">
        <v>-3.6235513469992902</v>
      </c>
      <c r="AG3491">
        <v>-1.1210278660120001</v>
      </c>
      <c r="AH3491">
        <v>13.077602805902799</v>
      </c>
      <c r="AI3491">
        <v>94.722409887248105</v>
      </c>
      <c r="AJ3491">
        <v>105.487025754027</v>
      </c>
      <c r="AK3491">
        <v>13.616553271282401</v>
      </c>
      <c r="AL3491">
        <v>80.373678368951403</v>
      </c>
      <c r="AM3491">
        <v>101.26559431010899</v>
      </c>
      <c r="AN3491">
        <v>1.00000003097648</v>
      </c>
    </row>
    <row r="3492" spans="1:40" x14ac:dyDescent="0.25">
      <c r="A3492" t="str">
        <f>"20190304154824309"</f>
        <v>20190304154824309</v>
      </c>
      <c r="B3492" t="str">
        <f>"1551685704300260"</f>
        <v>1551685704300260</v>
      </c>
      <c r="C3492" t="s">
        <v>40</v>
      </c>
      <c r="D3492">
        <v>4.4063589999999904</v>
      </c>
      <c r="E3492">
        <v>0.46482980000000002</v>
      </c>
      <c r="F3492" t="s">
        <v>44</v>
      </c>
      <c r="G3492">
        <v>-492.1841</v>
      </c>
      <c r="H3492" s="1">
        <v>-2.833622E-6</v>
      </c>
      <c r="I3492">
        <v>264.83969999999999</v>
      </c>
      <c r="J3492">
        <v>-484.93209999999999</v>
      </c>
      <c r="K3492">
        <v>1.121057</v>
      </c>
      <c r="L3492">
        <v>276.2527</v>
      </c>
      <c r="M3492">
        <v>-0.74203459999999999</v>
      </c>
      <c r="N3492">
        <v>-1.570527E-2</v>
      </c>
      <c r="O3492">
        <v>-0.67017749999999998</v>
      </c>
      <c r="P3492">
        <v>-0.59295830000000005</v>
      </c>
      <c r="Q3492">
        <v>0.15654270000000001</v>
      </c>
      <c r="R3492">
        <v>-0.78987010000000002</v>
      </c>
      <c r="S3492">
        <v>-1.662323</v>
      </c>
      <c r="T3492">
        <v>-0.25354640000000001</v>
      </c>
      <c r="U3492">
        <v>-2.6032709999999999</v>
      </c>
      <c r="V3492">
        <v>-0.19305739999999999</v>
      </c>
      <c r="W3492">
        <v>0.16688929999999999</v>
      </c>
      <c r="X3492">
        <v>0.96689029999999998</v>
      </c>
      <c r="Y3492">
        <v>-0.26494640000000003</v>
      </c>
      <c r="Z3492">
        <v>3.4606329999999998E-2</v>
      </c>
      <c r="AA3492">
        <v>0.96364190000000005</v>
      </c>
      <c r="AB3492">
        <v>27</v>
      </c>
      <c r="AC3492">
        <v>-7.2519999999999998</v>
      </c>
      <c r="AD3492">
        <v>-1.1210598336219999</v>
      </c>
      <c r="AE3492">
        <v>-11.413</v>
      </c>
      <c r="AF3492">
        <v>-3.5845214063626698</v>
      </c>
      <c r="AG3492">
        <v>-1.1210598336219999</v>
      </c>
      <c r="AH3492">
        <v>12.9426198355465</v>
      </c>
      <c r="AI3492">
        <v>94.771724484488502</v>
      </c>
      <c r="AJ3492">
        <v>105.48032924607701</v>
      </c>
      <c r="AK3492">
        <v>13.476534312304301</v>
      </c>
      <c r="AL3492">
        <v>80.392994875574601</v>
      </c>
      <c r="AM3492">
        <v>101.291660538155</v>
      </c>
      <c r="AN3492">
        <v>1.0000000251916601</v>
      </c>
    </row>
    <row r="3493" spans="1:40" x14ac:dyDescent="0.25">
      <c r="A3493" t="str">
        <f>"20190304154824319"</f>
        <v>20190304154824319</v>
      </c>
      <c r="B3493" t="str">
        <f>"1551685704310019"</f>
        <v>1551685704310019</v>
      </c>
      <c r="C3493" t="s">
        <v>40</v>
      </c>
      <c r="D3493">
        <v>4.4858260000000003</v>
      </c>
      <c r="E3493">
        <v>0.46482980000000002</v>
      </c>
      <c r="F3493" t="s">
        <v>44</v>
      </c>
      <c r="G3493">
        <v>-492.14819999999997</v>
      </c>
      <c r="H3493" s="1">
        <v>-2.7888840000000001E-6</v>
      </c>
      <c r="I3493">
        <v>264.7577</v>
      </c>
      <c r="J3493">
        <v>-485.0147</v>
      </c>
      <c r="K3493">
        <v>1.1210800000000001</v>
      </c>
      <c r="L3493">
        <v>276.16890000000001</v>
      </c>
      <c r="M3493">
        <v>-0.73756719999999998</v>
      </c>
      <c r="N3493">
        <v>-1.571902E-2</v>
      </c>
      <c r="O3493">
        <v>-0.67509069999999904</v>
      </c>
      <c r="P3493">
        <v>-0.58721409999999996</v>
      </c>
      <c r="Q3493">
        <v>0.15664120000000001</v>
      </c>
      <c r="R3493">
        <v>-0.79413059999999902</v>
      </c>
      <c r="S3493">
        <v>-1.6421809999999999</v>
      </c>
      <c r="T3493">
        <v>-0.25512420000000002</v>
      </c>
      <c r="U3493">
        <v>-2.6159669999999999</v>
      </c>
      <c r="V3493">
        <v>-0.1936484</v>
      </c>
      <c r="W3493">
        <v>0.1669725</v>
      </c>
      <c r="X3493">
        <v>0.96675770000000005</v>
      </c>
      <c r="Y3493">
        <v>-0.26598060000000001</v>
      </c>
      <c r="Z3493">
        <v>3.5232840000000001E-2</v>
      </c>
      <c r="AA3493">
        <v>0.96333429999999998</v>
      </c>
      <c r="AB3493">
        <v>27</v>
      </c>
      <c r="AC3493">
        <v>-7.1334999999999598</v>
      </c>
      <c r="AD3493">
        <v>-1.12108278888399</v>
      </c>
      <c r="AE3493">
        <v>-11.411199999999999</v>
      </c>
      <c r="AF3493">
        <v>-3.57639270822001</v>
      </c>
      <c r="AG3493">
        <v>-1.12108278888399</v>
      </c>
      <c r="AH3493">
        <v>12.8772666451202</v>
      </c>
      <c r="AI3493">
        <v>94.794974631614195</v>
      </c>
      <c r="AJ3493">
        <v>105.521525985002</v>
      </c>
      <c r="AK3493">
        <v>13.4116146556806</v>
      </c>
      <c r="AL3493">
        <v>80.388159632729796</v>
      </c>
      <c r="AM3493">
        <v>101.326848474111</v>
      </c>
      <c r="AN3493">
        <v>0.99999998454404904</v>
      </c>
    </row>
    <row r="3494" spans="1:40" x14ac:dyDescent="0.25">
      <c r="A3494" t="str">
        <f>"20190304154824329"</f>
        <v>20190304154824329</v>
      </c>
      <c r="B3494" t="str">
        <f>"1551685704320755"</f>
        <v>1551685704320755</v>
      </c>
      <c r="C3494" t="s">
        <v>40</v>
      </c>
      <c r="D3494">
        <v>4.2962059999999997</v>
      </c>
      <c r="E3494">
        <v>0.44221650000000001</v>
      </c>
      <c r="F3494" t="s">
        <v>44</v>
      </c>
      <c r="G3494">
        <v>-492.15350000000001</v>
      </c>
      <c r="H3494" s="1">
        <v>-2.725893E-6</v>
      </c>
      <c r="I3494">
        <v>264.60759999999999</v>
      </c>
      <c r="J3494">
        <v>-485.09640000000002</v>
      </c>
      <c r="K3494">
        <v>1.121108</v>
      </c>
      <c r="L3494">
        <v>276.0856</v>
      </c>
      <c r="M3494">
        <v>-0.73310769999999903</v>
      </c>
      <c r="N3494">
        <v>-1.5732179999999998E-2</v>
      </c>
      <c r="O3494">
        <v>-0.67993059999999905</v>
      </c>
      <c r="P3494">
        <v>-0.58122589999999996</v>
      </c>
      <c r="Q3494">
        <v>0.15695319999999999</v>
      </c>
      <c r="R3494">
        <v>-0.79846260000000002</v>
      </c>
      <c r="S3494">
        <v>-1.6227419999999999</v>
      </c>
      <c r="T3494">
        <v>-0.25483869999999997</v>
      </c>
      <c r="U3494">
        <v>-2.6280519999999998</v>
      </c>
      <c r="V3494">
        <v>-0.1945298</v>
      </c>
      <c r="W3494">
        <v>0.167260299999999</v>
      </c>
      <c r="X3494">
        <v>0.96653100000000003</v>
      </c>
      <c r="Y3494">
        <v>-0.26677849999999997</v>
      </c>
      <c r="Z3494">
        <v>3.5520969999999999E-2</v>
      </c>
      <c r="AA3494">
        <v>0.96310309999999999</v>
      </c>
      <c r="AB3494">
        <v>27</v>
      </c>
      <c r="AC3494">
        <v>-7.0570999999999904</v>
      </c>
      <c r="AD3494">
        <v>-1.121110725893</v>
      </c>
      <c r="AE3494">
        <v>-11.478</v>
      </c>
      <c r="AF3494">
        <v>-3.59185234965791</v>
      </c>
      <c r="AG3494">
        <v>-1.121110725893</v>
      </c>
      <c r="AH3494">
        <v>12.890222217327601</v>
      </c>
      <c r="AI3494">
        <v>94.789163852098994</v>
      </c>
      <c r="AJ3494">
        <v>105.57046206863799</v>
      </c>
      <c r="AK3494">
        <v>13.4281838449412</v>
      </c>
      <c r="AL3494">
        <v>80.371434979088903</v>
      </c>
      <c r="AM3494">
        <v>101.379660447021</v>
      </c>
      <c r="AN3494">
        <v>1.0000000125025601</v>
      </c>
    </row>
    <row r="3495" spans="1:40" x14ac:dyDescent="0.25">
      <c r="A3495" t="str">
        <f>"20190304154824339"</f>
        <v>20190304154824339</v>
      </c>
      <c r="B3495" t="str">
        <f>"1551685704330515"</f>
        <v>1551685704330515</v>
      </c>
      <c r="C3495" t="s">
        <v>40</v>
      </c>
      <c r="D3495">
        <v>4.3743999999999996</v>
      </c>
      <c r="E3495">
        <v>0.43770890000000001</v>
      </c>
      <c r="F3495" t="s">
        <v>44</v>
      </c>
      <c r="G3495">
        <v>-491.83</v>
      </c>
      <c r="H3495" s="1">
        <v>-2.1190080000000002E-6</v>
      </c>
      <c r="I3495">
        <v>263.39350000000002</v>
      </c>
      <c r="J3495">
        <v>-485.16829999999999</v>
      </c>
      <c r="K3495">
        <v>1.12112099999999</v>
      </c>
      <c r="L3495">
        <v>276.01069999999999</v>
      </c>
      <c r="M3495">
        <v>-0.72908619999999902</v>
      </c>
      <c r="N3495">
        <v>-1.5742900000000001E-2</v>
      </c>
      <c r="O3495">
        <v>-0.68424079999999998</v>
      </c>
      <c r="P3495">
        <v>-0.57538999999999996</v>
      </c>
      <c r="Q3495">
        <v>0.15785370000000001</v>
      </c>
      <c r="R3495">
        <v>-0.80250140000000003</v>
      </c>
      <c r="S3495">
        <v>-1.4562379999999999</v>
      </c>
      <c r="T3495">
        <v>-0.24245559999999999</v>
      </c>
      <c r="U3495">
        <v>-2.7448429999999999</v>
      </c>
      <c r="V3495">
        <v>-0.1957807</v>
      </c>
      <c r="W3495">
        <v>0.1681261</v>
      </c>
      <c r="X3495">
        <v>0.96612810000000005</v>
      </c>
      <c r="Y3495">
        <v>-0.32339869999999998</v>
      </c>
      <c r="Z3495">
        <v>3.1180329999999999E-2</v>
      </c>
      <c r="AA3495">
        <v>0.9457489</v>
      </c>
      <c r="AB3495">
        <v>27</v>
      </c>
      <c r="AC3495">
        <v>-6.66169999999999</v>
      </c>
      <c r="AD3495">
        <v>-1.12112311900799</v>
      </c>
      <c r="AE3495">
        <v>-12.617199999999899</v>
      </c>
      <c r="AF3495">
        <v>-4.6129130966768903</v>
      </c>
      <c r="AG3495">
        <v>-1.12112311900799</v>
      </c>
      <c r="AH3495">
        <v>13.409036989865999</v>
      </c>
      <c r="AI3495">
        <v>94.520512870150199</v>
      </c>
      <c r="AJ3495">
        <v>108.983997917908</v>
      </c>
      <c r="AK3495">
        <v>14.224561760597799</v>
      </c>
      <c r="AL3495">
        <v>80.321115481753907</v>
      </c>
      <c r="AM3495">
        <v>101.45555793919399</v>
      </c>
      <c r="AN3495">
        <v>0.99999998680165403</v>
      </c>
    </row>
    <row r="3496" spans="1:40" x14ac:dyDescent="0.25">
      <c r="A3496" t="str">
        <f>"20190304154824349"</f>
        <v>20190304154824349</v>
      </c>
      <c r="B3496" t="str">
        <f>"1551685704340275"</f>
        <v>1551685704340275</v>
      </c>
      <c r="C3496" t="s">
        <v>40</v>
      </c>
      <c r="D3496">
        <v>4.4030100000000001</v>
      </c>
      <c r="E3496">
        <v>0.4360985</v>
      </c>
      <c r="F3496" t="s">
        <v>44</v>
      </c>
      <c r="G3496">
        <v>-492.32409999999999</v>
      </c>
      <c r="H3496" s="1">
        <v>-1.606017E-6</v>
      </c>
      <c r="I3496">
        <v>261.8913</v>
      </c>
      <c r="J3496">
        <v>-485.25349999999997</v>
      </c>
      <c r="K3496">
        <v>1.12114</v>
      </c>
      <c r="L3496">
        <v>275.92160000000001</v>
      </c>
      <c r="M3496">
        <v>-0.72428169999999903</v>
      </c>
      <c r="N3496">
        <v>-1.5755189999999999E-2</v>
      </c>
      <c r="O3496">
        <v>-0.6893243</v>
      </c>
      <c r="P3496">
        <v>-0.56888459999999996</v>
      </c>
      <c r="Q3496">
        <v>0.1582421</v>
      </c>
      <c r="R3496">
        <v>-0.80705039999999995</v>
      </c>
      <c r="S3496">
        <v>-1.4057309999999901</v>
      </c>
      <c r="T3496">
        <v>-0.2202424</v>
      </c>
      <c r="U3496">
        <v>-2.7737120000000002</v>
      </c>
      <c r="V3496">
        <v>-0.19679650000000001</v>
      </c>
      <c r="W3496">
        <v>0.1684881</v>
      </c>
      <c r="X3496">
        <v>0.96585860000000001</v>
      </c>
      <c r="Y3496">
        <v>-0.33438289999999998</v>
      </c>
      <c r="Z3496">
        <v>2.7109029999999999E-2</v>
      </c>
      <c r="AA3496">
        <v>0.94204739999999998</v>
      </c>
      <c r="AB3496">
        <v>27</v>
      </c>
      <c r="AC3496">
        <v>-7.0706000000000104</v>
      </c>
      <c r="AD3496">
        <v>-1.1211416060169901</v>
      </c>
      <c r="AE3496">
        <v>-14.0303</v>
      </c>
      <c r="AF3496">
        <v>-5.2618151249248299</v>
      </c>
      <c r="AG3496">
        <v>-1.1211416060169901</v>
      </c>
      <c r="AH3496">
        <v>14.719414367861599</v>
      </c>
      <c r="AI3496">
        <v>94.102379177103998</v>
      </c>
      <c r="AJ3496">
        <v>109.670673931141</v>
      </c>
      <c r="AK3496">
        <v>15.6717840797543</v>
      </c>
      <c r="AL3496">
        <v>80.300074070691394</v>
      </c>
      <c r="AM3496">
        <v>101.516538121907</v>
      </c>
      <c r="AN3496">
        <v>0.99999996872390895</v>
      </c>
    </row>
    <row r="3497" spans="1:40" x14ac:dyDescent="0.25">
      <c r="A3497" t="str">
        <f>"20190304154824360"</f>
        <v>20190304154824360</v>
      </c>
      <c r="B3497" t="str">
        <f>"1551685704350035"</f>
        <v>1551685704350035</v>
      </c>
      <c r="C3497" t="s">
        <v>40</v>
      </c>
      <c r="D3497">
        <v>4.4092909999999996</v>
      </c>
      <c r="E3497">
        <v>0.4348205</v>
      </c>
      <c r="F3497" t="s">
        <v>44</v>
      </c>
      <c r="G3497">
        <v>-492.5478</v>
      </c>
      <c r="H3497" s="1">
        <v>-1.320771E-6</v>
      </c>
      <c r="I3497">
        <v>261.08760000000001</v>
      </c>
      <c r="J3497">
        <v>-485.3372</v>
      </c>
      <c r="K3497">
        <v>1.1211530000000001</v>
      </c>
      <c r="L3497">
        <v>275.83179999999999</v>
      </c>
      <c r="M3497">
        <v>-0.71944209999999997</v>
      </c>
      <c r="N3497">
        <v>-1.576605E-2</v>
      </c>
      <c r="O3497">
        <v>-0.69437369999999898</v>
      </c>
      <c r="P3497">
        <v>-0.56246319999999905</v>
      </c>
      <c r="Q3497">
        <v>0.15839589999999901</v>
      </c>
      <c r="R3497">
        <v>-0.81150880000000003</v>
      </c>
      <c r="S3497">
        <v>-1.3724670000000001</v>
      </c>
      <c r="T3497">
        <v>-0.2109482</v>
      </c>
      <c r="U3497">
        <v>-2.791077</v>
      </c>
      <c r="V3497">
        <v>-0.19769310000000001</v>
      </c>
      <c r="W3497">
        <v>0.1686211</v>
      </c>
      <c r="X3497">
        <v>0.96565230000000002</v>
      </c>
      <c r="Y3497">
        <v>-0.33913310000000002</v>
      </c>
      <c r="Z3497">
        <v>2.558742E-2</v>
      </c>
      <c r="AA3497">
        <v>0.94039030000000001</v>
      </c>
      <c r="AB3497">
        <v>27</v>
      </c>
      <c r="AC3497">
        <v>-7.2105999999999897</v>
      </c>
      <c r="AD3497">
        <v>-1.121154320771</v>
      </c>
      <c r="AE3497">
        <v>-14.7441999999999</v>
      </c>
      <c r="AF3497">
        <v>-5.5754266972627402</v>
      </c>
      <c r="AG3497">
        <v>-1.121154320771</v>
      </c>
      <c r="AH3497">
        <v>15.3558560866161</v>
      </c>
      <c r="AI3497">
        <v>93.925936973262907</v>
      </c>
      <c r="AJ3497">
        <v>109.955021171965</v>
      </c>
      <c r="AK3497">
        <v>16.375124000153299</v>
      </c>
      <c r="AL3497">
        <v>80.292343434415201</v>
      </c>
      <c r="AM3497">
        <v>101.57000070075399</v>
      </c>
      <c r="AN3497">
        <v>1.0000000008240499</v>
      </c>
    </row>
    <row r="3498" spans="1:40" x14ac:dyDescent="0.25">
      <c r="A3498" t="str">
        <f>"20190304154824372"</f>
        <v>20190304154824372</v>
      </c>
      <c r="B3498" t="str">
        <f>"1551685704359797"</f>
        <v>1551685704359797</v>
      </c>
      <c r="C3498" t="s">
        <v>40</v>
      </c>
      <c r="D3498">
        <v>4.3884369999999997</v>
      </c>
      <c r="E3498">
        <v>0.43402289999999999</v>
      </c>
      <c r="F3498" t="s">
        <v>44</v>
      </c>
      <c r="G3498">
        <v>-492.7595</v>
      </c>
      <c r="H3498" s="1">
        <v>-1.0391839999999999E-6</v>
      </c>
      <c r="I3498">
        <v>260.3</v>
      </c>
      <c r="J3498">
        <v>-485.42610000000002</v>
      </c>
      <c r="K3498">
        <v>1.121162</v>
      </c>
      <c r="L3498">
        <v>275.73610000000002</v>
      </c>
      <c r="M3498">
        <v>-0.71425059999999996</v>
      </c>
      <c r="N3498">
        <v>-1.577715E-2</v>
      </c>
      <c r="O3498">
        <v>-0.69971219999999901</v>
      </c>
      <c r="P3498">
        <v>-0.55600309999999997</v>
      </c>
      <c r="Q3498">
        <v>0.1579219</v>
      </c>
      <c r="R3498">
        <v>-0.81603999999999999</v>
      </c>
      <c r="S3498">
        <v>-1.341278</v>
      </c>
      <c r="T3498">
        <v>-0.20260349999999999</v>
      </c>
      <c r="U3498">
        <v>-2.8067630000000001</v>
      </c>
      <c r="V3498">
        <v>-0.1982273</v>
      </c>
      <c r="W3498">
        <v>0.16813789999999901</v>
      </c>
      <c r="X3498">
        <v>0.96562709999999996</v>
      </c>
      <c r="Y3498">
        <v>-0.34266609999999997</v>
      </c>
      <c r="Z3498">
        <v>2.4277150000000001E-2</v>
      </c>
      <c r="AA3498">
        <v>0.93914350000000002</v>
      </c>
      <c r="AB3498">
        <v>26</v>
      </c>
      <c r="AC3498">
        <v>-7.3333999999999797</v>
      </c>
      <c r="AD3498">
        <v>-1.121163039184</v>
      </c>
      <c r="AE3498">
        <v>-15.4361</v>
      </c>
      <c r="AF3498">
        <v>-5.8694455376558698</v>
      </c>
      <c r="AG3498">
        <v>-1.121163039184</v>
      </c>
      <c r="AH3498">
        <v>15.9719652124368</v>
      </c>
      <c r="AI3498">
        <v>93.769635001026401</v>
      </c>
      <c r="AJ3498">
        <v>110.177584658706</v>
      </c>
      <c r="AK3498">
        <v>17.053183580411901</v>
      </c>
      <c r="AL3498">
        <v>80.320430304991007</v>
      </c>
      <c r="AM3498">
        <v>101.60071299816499</v>
      </c>
      <c r="AN3498">
        <v>1.00000005606805</v>
      </c>
    </row>
    <row r="3499" spans="1:40" x14ac:dyDescent="0.25">
      <c r="A3499" t="str">
        <f>"20190304154824383"</f>
        <v>20190304154824383</v>
      </c>
      <c r="B3499" t="str">
        <f>"1551685704380291"</f>
        <v>1551685704380291</v>
      </c>
      <c r="C3499" t="s">
        <v>40</v>
      </c>
      <c r="D3499">
        <v>4.4079350000000002</v>
      </c>
      <c r="E3499">
        <v>0.43360660000000001</v>
      </c>
      <c r="F3499" t="s">
        <v>44</v>
      </c>
      <c r="G3499">
        <v>-492.82119999999998</v>
      </c>
      <c r="H3499" s="1">
        <v>-8.6334349999999999E-7</v>
      </c>
      <c r="I3499">
        <v>259.85180000000003</v>
      </c>
      <c r="J3499">
        <v>-485.51299999999998</v>
      </c>
      <c r="K3499">
        <v>1.1211610000000001</v>
      </c>
      <c r="L3499">
        <v>275.64019999999999</v>
      </c>
      <c r="M3499">
        <v>-0.70905240000000003</v>
      </c>
      <c r="N3499">
        <v>-1.5786149999999999E-2</v>
      </c>
      <c r="O3499">
        <v>-0.70497919999999903</v>
      </c>
      <c r="P3499">
        <v>-0.55001730000000004</v>
      </c>
      <c r="Q3499">
        <v>0.15699160000000001</v>
      </c>
      <c r="R3499">
        <v>-0.82026509999999997</v>
      </c>
      <c r="S3499">
        <v>-1.3129580000000001</v>
      </c>
      <c r="T3499">
        <v>-0.19905729999999999</v>
      </c>
      <c r="U3499">
        <v>-2.8201900000000002</v>
      </c>
      <c r="V3499">
        <v>-0.1982505</v>
      </c>
      <c r="W3499">
        <v>0.16721559999999999</v>
      </c>
      <c r="X3499">
        <v>0.96578240000000004</v>
      </c>
      <c r="Y3499">
        <v>-0.34516999999999998</v>
      </c>
      <c r="Z3499">
        <v>2.3866499999999999E-2</v>
      </c>
      <c r="AA3499">
        <v>0.93823670000000003</v>
      </c>
      <c r="AB3499">
        <v>26</v>
      </c>
      <c r="AC3499">
        <v>-7.3081999999999399</v>
      </c>
      <c r="AD3499">
        <v>-1.1211618633435001</v>
      </c>
      <c r="AE3499">
        <v>-15.7883999999999</v>
      </c>
      <c r="AF3499">
        <v>-6.0184326874360599</v>
      </c>
      <c r="AG3499">
        <v>-1.1211618633435001</v>
      </c>
      <c r="AH3499">
        <v>16.2469503656821</v>
      </c>
      <c r="AI3499">
        <v>93.702468836613505</v>
      </c>
      <c r="AJ3499">
        <v>110.32637332527401</v>
      </c>
      <c r="AK3499">
        <v>17.362083173454501</v>
      </c>
      <c r="AL3499">
        <v>80.374032377849005</v>
      </c>
      <c r="AM3499">
        <v>101.600218842776</v>
      </c>
      <c r="AN3499">
        <v>0.99999998089168496</v>
      </c>
    </row>
    <row r="3500" spans="1:40" x14ac:dyDescent="0.25">
      <c r="A3500" t="str">
        <f>"20190304154824394"</f>
        <v>20190304154824394</v>
      </c>
      <c r="B3500" t="str">
        <f>"1551685704390051"</f>
        <v>1551685704390051</v>
      </c>
      <c r="C3500" t="s">
        <v>40</v>
      </c>
      <c r="D3500">
        <v>4.370133</v>
      </c>
      <c r="E3500">
        <v>0.43386639999999999</v>
      </c>
      <c r="F3500" t="s">
        <v>44</v>
      </c>
      <c r="G3500">
        <v>-492.84160000000003</v>
      </c>
      <c r="H3500" s="1">
        <v>-4.7719370000000004E-6</v>
      </c>
      <c r="I3500">
        <v>259.52820000000003</v>
      </c>
      <c r="J3500">
        <v>-485.60109999999997</v>
      </c>
      <c r="K3500">
        <v>1.1211629999999999</v>
      </c>
      <c r="L3500">
        <v>275.5421</v>
      </c>
      <c r="M3500">
        <v>-0.70371430000000001</v>
      </c>
      <c r="N3500">
        <v>-1.5794840000000001E-2</v>
      </c>
      <c r="O3500">
        <v>-0.71030749999999998</v>
      </c>
      <c r="P3500">
        <v>-0.54386650000000003</v>
      </c>
      <c r="Q3500">
        <v>0.15568019999999999</v>
      </c>
      <c r="R3500">
        <v>-0.82460480000000003</v>
      </c>
      <c r="S3500">
        <v>-1.287903</v>
      </c>
      <c r="T3500">
        <v>-0.19703039999999999</v>
      </c>
      <c r="U3500">
        <v>-2.8314819999999998</v>
      </c>
      <c r="V3500">
        <v>-0.19833120000000001</v>
      </c>
      <c r="W3500">
        <v>0.16591229999999901</v>
      </c>
      <c r="X3500">
        <v>0.96599060000000003</v>
      </c>
      <c r="Y3500">
        <v>-0.34637869999999998</v>
      </c>
      <c r="Z3500">
        <v>2.3777119999999999E-2</v>
      </c>
      <c r="AA3500">
        <v>0.9377934</v>
      </c>
      <c r="AB3500">
        <v>26</v>
      </c>
      <c r="AC3500">
        <v>-7.2405000000000497</v>
      </c>
      <c r="AD3500">
        <v>-1.1211677719369999</v>
      </c>
      <c r="AE3500">
        <v>-16.0138999999999</v>
      </c>
      <c r="AF3500">
        <v>-6.1021590329816497</v>
      </c>
      <c r="AG3500">
        <v>-1.1211677719369999</v>
      </c>
      <c r="AH3500">
        <v>16.4053259205477</v>
      </c>
      <c r="AI3500">
        <v>93.665020938425897</v>
      </c>
      <c r="AJ3500">
        <v>110.403292106783</v>
      </c>
      <c r="AK3500">
        <v>17.539329536673399</v>
      </c>
      <c r="AL3500">
        <v>80.449764056796795</v>
      </c>
      <c r="AM3500">
        <v>101.602379414325</v>
      </c>
      <c r="AN3500">
        <v>0.99999999773654502</v>
      </c>
    </row>
    <row r="3501" spans="1:40" x14ac:dyDescent="0.25">
      <c r="A3501" t="str">
        <f>"20190304154824405"</f>
        <v>20190304154824405</v>
      </c>
      <c r="B3501" t="str">
        <f>"1551685704399811"</f>
        <v>1551685704399811</v>
      </c>
      <c r="C3501" t="s">
        <v>40</v>
      </c>
      <c r="D3501">
        <v>4.3571879999999998</v>
      </c>
      <c r="E3501">
        <v>0.43419089999999999</v>
      </c>
      <c r="F3501" t="s">
        <v>44</v>
      </c>
      <c r="G3501">
        <v>-492.6574</v>
      </c>
      <c r="H3501" s="1">
        <v>-7.6889109999999997E-7</v>
      </c>
      <c r="I3501">
        <v>259.73320000000001</v>
      </c>
      <c r="J3501">
        <v>-485.68979999999999</v>
      </c>
      <c r="K3501">
        <v>1.121159</v>
      </c>
      <c r="L3501">
        <v>275.44139999999999</v>
      </c>
      <c r="M3501">
        <v>-0.69822879999999998</v>
      </c>
      <c r="N3501">
        <v>-1.5802400000000001E-2</v>
      </c>
      <c r="O3501">
        <v>-0.71570059999999902</v>
      </c>
      <c r="P3501">
        <v>-0.53752140000000004</v>
      </c>
      <c r="Q3501">
        <v>0.15479660000000001</v>
      </c>
      <c r="R3501">
        <v>-0.8289204</v>
      </c>
      <c r="S3501">
        <v>-1.2676700000000001</v>
      </c>
      <c r="T3501">
        <v>-0.20141790000000001</v>
      </c>
      <c r="U3501">
        <v>-2.8400880000000002</v>
      </c>
      <c r="V3501">
        <v>-0.19840630000000001</v>
      </c>
      <c r="W3501">
        <v>0.16503709999999999</v>
      </c>
      <c r="X3501">
        <v>0.96612509999999996</v>
      </c>
      <c r="Y3501">
        <v>-0.34579880000000002</v>
      </c>
      <c r="Z3501">
        <v>2.4958060000000001E-2</v>
      </c>
      <c r="AA3501">
        <v>0.9379767</v>
      </c>
      <c r="AB3501">
        <v>26</v>
      </c>
      <c r="AC3501">
        <v>-6.9676</v>
      </c>
      <c r="AD3501">
        <v>-1.1211597688910999</v>
      </c>
      <c r="AE3501">
        <v>-15.7081999999999</v>
      </c>
      <c r="AF3501">
        <v>-5.9565917474986598</v>
      </c>
      <c r="AG3501">
        <v>-1.1211597688910999</v>
      </c>
      <c r="AH3501">
        <v>16.041071500902099</v>
      </c>
      <c r="AI3501">
        <v>93.748750381336095</v>
      </c>
      <c r="AJ3501">
        <v>110.37166245639099</v>
      </c>
      <c r="AK3501">
        <v>17.1480016144973</v>
      </c>
      <c r="AL3501">
        <v>80.500610373815306</v>
      </c>
      <c r="AM3501">
        <v>101.605081582625</v>
      </c>
      <c r="AN3501">
        <v>1.0000000065530501</v>
      </c>
    </row>
    <row r="3502" spans="1:40" x14ac:dyDescent="0.25">
      <c r="A3502" t="str">
        <f>"20190304154824417"</f>
        <v>20190304154824417</v>
      </c>
      <c r="B3502" t="str">
        <f>"1551685704410547"</f>
        <v>1551685704410547</v>
      </c>
      <c r="C3502" t="s">
        <v>40</v>
      </c>
      <c r="D3502">
        <v>4.3905960000000004</v>
      </c>
      <c r="E3502">
        <v>0.43450909999999898</v>
      </c>
      <c r="F3502" t="s">
        <v>44</v>
      </c>
      <c r="G3502">
        <v>-492.52749999999997</v>
      </c>
      <c r="H3502" s="1">
        <v>-7.7463289999999998E-7</v>
      </c>
      <c r="I3502">
        <v>259.8272</v>
      </c>
      <c r="J3502">
        <v>-485.7731</v>
      </c>
      <c r="K3502">
        <v>1.121151</v>
      </c>
      <c r="L3502">
        <v>275.34559999999999</v>
      </c>
      <c r="M3502">
        <v>-0.69300010000000001</v>
      </c>
      <c r="N3502">
        <v>-1.580869E-2</v>
      </c>
      <c r="O3502">
        <v>-0.72076419999999997</v>
      </c>
      <c r="P3502">
        <v>-0.53141309999999997</v>
      </c>
      <c r="Q3502">
        <v>0.1545144</v>
      </c>
      <c r="R3502">
        <v>-0.83290180000000003</v>
      </c>
      <c r="S3502">
        <v>-1.2473749999999999</v>
      </c>
      <c r="T3502">
        <v>-0.2045293</v>
      </c>
      <c r="U3502">
        <v>-2.8484500000000001</v>
      </c>
      <c r="V3502">
        <v>-0.19850319999999999</v>
      </c>
      <c r="W3502">
        <v>0.16476109999999999</v>
      </c>
      <c r="X3502">
        <v>0.96615229999999996</v>
      </c>
      <c r="Y3502">
        <v>-0.34559430000000002</v>
      </c>
      <c r="Z3502">
        <v>2.5883489999999999E-2</v>
      </c>
      <c r="AA3502">
        <v>0.93802700000000006</v>
      </c>
      <c r="AB3502">
        <v>26</v>
      </c>
      <c r="AC3502">
        <v>-6.7543999999999702</v>
      </c>
      <c r="AD3502">
        <v>-1.1211517746328901</v>
      </c>
      <c r="AE3502">
        <v>-15.5183999999999</v>
      </c>
      <c r="AF3502">
        <v>-5.8609391633302703</v>
      </c>
      <c r="AG3502">
        <v>-1.1211517746328901</v>
      </c>
      <c r="AH3502">
        <v>15.798561294709</v>
      </c>
      <c r="AI3502">
        <v>93.806538182816197</v>
      </c>
      <c r="AJ3502">
        <v>110.35381111554899</v>
      </c>
      <c r="AK3502">
        <v>16.8879284745258</v>
      </c>
      <c r="AL3502">
        <v>80.516643467379296</v>
      </c>
      <c r="AM3502">
        <v>101.610277553599</v>
      </c>
      <c r="AN3502">
        <v>1.0000000036393699</v>
      </c>
    </row>
    <row r="3503" spans="1:40" x14ac:dyDescent="0.25">
      <c r="A3503" t="str">
        <f>"20190304154824429"</f>
        <v>20190304154824429</v>
      </c>
      <c r="B3503" t="str">
        <f>"1551685704420307"</f>
        <v>1551685704420307</v>
      </c>
      <c r="C3503" t="s">
        <v>40</v>
      </c>
      <c r="D3503">
        <v>4.3667400000000001</v>
      </c>
      <c r="E3503">
        <v>0.43489139999999998</v>
      </c>
      <c r="F3503" t="s">
        <v>44</v>
      </c>
      <c r="G3503">
        <v>-492.45620000000002</v>
      </c>
      <c r="H3503" s="1">
        <v>-7.4218980000000002E-7</v>
      </c>
      <c r="I3503">
        <v>259.79570000000001</v>
      </c>
      <c r="J3503">
        <v>-485.86430000000001</v>
      </c>
      <c r="K3503">
        <v>1.1211450000000001</v>
      </c>
      <c r="L3503">
        <v>275.23930000000001</v>
      </c>
      <c r="M3503">
        <v>-0.68718089999999998</v>
      </c>
      <c r="N3503">
        <v>-1.5814740000000001E-2</v>
      </c>
      <c r="O3503">
        <v>-0.72631409999999996</v>
      </c>
      <c r="P3503">
        <v>-0.52471029999999996</v>
      </c>
      <c r="Q3503">
        <v>0.15445999999999999</v>
      </c>
      <c r="R3503">
        <v>-0.83715059999999997</v>
      </c>
      <c r="S3503">
        <v>-1.2277830000000001</v>
      </c>
      <c r="T3503">
        <v>-0.20597090000000001</v>
      </c>
      <c r="U3503">
        <v>-2.8567200000000001</v>
      </c>
      <c r="V3503">
        <v>-0.19849130000000001</v>
      </c>
      <c r="W3503">
        <v>0.16471629999999901</v>
      </c>
      <c r="X3503">
        <v>0.96616239999999998</v>
      </c>
      <c r="Y3503">
        <v>-0.3444702</v>
      </c>
      <c r="Z3503">
        <v>2.6555769999999999E-2</v>
      </c>
      <c r="AA3503">
        <v>0.93842159999999997</v>
      </c>
      <c r="AB3503">
        <v>26</v>
      </c>
      <c r="AC3503">
        <v>-6.5919000000000096</v>
      </c>
      <c r="AD3503">
        <v>-1.1211457421897999</v>
      </c>
      <c r="AE3503">
        <v>-15.4436</v>
      </c>
      <c r="AF3503">
        <v>-5.7996312160534798</v>
      </c>
      <c r="AG3503">
        <v>-1.1211457421897999</v>
      </c>
      <c r="AH3503">
        <v>15.6788067175641</v>
      </c>
      <c r="AI3503">
        <v>93.8368468880454</v>
      </c>
      <c r="AJ3503">
        <v>110.299564441409</v>
      </c>
      <c r="AK3503">
        <v>16.754631303140801</v>
      </c>
      <c r="AL3503">
        <v>80.519246025310693</v>
      </c>
      <c r="AM3503">
        <v>101.609482359944</v>
      </c>
      <c r="AN3503">
        <v>1.00000001941756</v>
      </c>
    </row>
    <row r="3504" spans="1:40" x14ac:dyDescent="0.25">
      <c r="A3504" t="str">
        <f>"20190304154824440"</f>
        <v>20190304154824440</v>
      </c>
      <c r="B3504" t="str">
        <f>"1551685704430067"</f>
        <v>1551685704430067</v>
      </c>
      <c r="C3504" t="s">
        <v>40</v>
      </c>
      <c r="D3504">
        <v>4.3771329999999997</v>
      </c>
      <c r="E3504">
        <v>0.43524410000000002</v>
      </c>
      <c r="F3504" t="s">
        <v>44</v>
      </c>
      <c r="G3504">
        <v>-492.41879999999998</v>
      </c>
      <c r="H3504" s="1">
        <v>-6.8421920000000003E-7</v>
      </c>
      <c r="I3504">
        <v>259.68380000000002</v>
      </c>
      <c r="J3504">
        <v>-485.95069999999998</v>
      </c>
      <c r="K3504">
        <v>1.1211359999999999</v>
      </c>
      <c r="L3504">
        <v>275.13639999999998</v>
      </c>
      <c r="M3504">
        <v>-0.68155690000000002</v>
      </c>
      <c r="N3504">
        <v>-1.5819360000000001E-2</v>
      </c>
      <c r="O3504">
        <v>-0.73159410000000002</v>
      </c>
      <c r="P3504">
        <v>-0.51814550000000004</v>
      </c>
      <c r="Q3504">
        <v>0.15472439999999901</v>
      </c>
      <c r="R3504">
        <v>-0.84118119999999996</v>
      </c>
      <c r="S3504">
        <v>-1.207214</v>
      </c>
      <c r="T3504">
        <v>-0.20649400000000001</v>
      </c>
      <c r="U3504">
        <v>-2.865021</v>
      </c>
      <c r="V3504">
        <v>-0.19856560000000001</v>
      </c>
      <c r="W3504">
        <v>0.16498679999999999</v>
      </c>
      <c r="X3504">
        <v>0.96610099999999999</v>
      </c>
      <c r="Y3504">
        <v>-0.34392660000000003</v>
      </c>
      <c r="Z3504">
        <v>2.7023720000000001E-2</v>
      </c>
      <c r="AA3504">
        <v>0.93860759999999999</v>
      </c>
      <c r="AB3504">
        <v>26</v>
      </c>
      <c r="AC3504">
        <v>-6.46809999999999</v>
      </c>
      <c r="AD3504">
        <v>-1.1211366842192001</v>
      </c>
      <c r="AE3504">
        <v>-15.452599999999901</v>
      </c>
      <c r="AF3504">
        <v>-5.7746624056557403</v>
      </c>
      <c r="AG3504">
        <v>-1.1211366842192001</v>
      </c>
      <c r="AH3504">
        <v>15.6452974903459</v>
      </c>
      <c r="AI3504">
        <v>93.846010835731093</v>
      </c>
      <c r="AJ3504">
        <v>110.25904911783</v>
      </c>
      <c r="AK3504">
        <v>16.714634513665601</v>
      </c>
      <c r="AL3504">
        <v>80.503532747169601</v>
      </c>
      <c r="AM3504">
        <v>101.614428076495</v>
      </c>
      <c r="AN3504">
        <v>1.00000004193929</v>
      </c>
    </row>
    <row r="3505" spans="1:40" x14ac:dyDescent="0.25">
      <c r="A3505" t="str">
        <f>"20190304154824453"</f>
        <v>20190304154824453</v>
      </c>
      <c r="B3505" t="str">
        <f>"1551685704450563"</f>
        <v>1551685704450563</v>
      </c>
      <c r="C3505" t="s">
        <v>40</v>
      </c>
      <c r="D3505">
        <v>4.3317839999999999</v>
      </c>
      <c r="E3505">
        <v>0.446909</v>
      </c>
      <c r="F3505" t="s">
        <v>44</v>
      </c>
      <c r="G3505">
        <v>-492.4117</v>
      </c>
      <c r="H3505" s="1">
        <v>-4.6847600000000002E-6</v>
      </c>
      <c r="I3505">
        <v>259.49610000000001</v>
      </c>
      <c r="J3505">
        <v>-486.03919999999999</v>
      </c>
      <c r="K3505">
        <v>1.1211249999999999</v>
      </c>
      <c r="L3505">
        <v>275.0301</v>
      </c>
      <c r="M3505">
        <v>-0.67572200000000004</v>
      </c>
      <c r="N3505">
        <v>-1.5823790000000001E-2</v>
      </c>
      <c r="O3505">
        <v>-0.736986699999999</v>
      </c>
      <c r="P3505">
        <v>-0.51142979999999905</v>
      </c>
      <c r="Q3505">
        <v>0.1549565</v>
      </c>
      <c r="R3505">
        <v>-0.8452385</v>
      </c>
      <c r="S3505">
        <v>-1.18692</v>
      </c>
      <c r="T3505">
        <v>-0.20595859999999999</v>
      </c>
      <c r="U3505">
        <v>-2.8731990000000001</v>
      </c>
      <c r="V3505">
        <v>-0.1985556</v>
      </c>
      <c r="W3505">
        <v>0.16522809999999999</v>
      </c>
      <c r="X3505">
        <v>0.96606179999999997</v>
      </c>
      <c r="Y3505">
        <v>-0.34307569999999998</v>
      </c>
      <c r="Z3505">
        <v>2.7300620000000001E-2</v>
      </c>
      <c r="AA3505">
        <v>0.93891100000000005</v>
      </c>
      <c r="AB3505">
        <v>26</v>
      </c>
      <c r="AC3505">
        <v>-6.3724999999999996</v>
      </c>
      <c r="AD3505">
        <v>-1.1211296847600001</v>
      </c>
      <c r="AE3505">
        <v>-15.533999999999899</v>
      </c>
      <c r="AF3505">
        <v>-5.7751949881181099</v>
      </c>
      <c r="AG3505">
        <v>-1.1211296847600001</v>
      </c>
      <c r="AH3505">
        <v>15.686423572870501</v>
      </c>
      <c r="AI3505">
        <v>93.8370928707009</v>
      </c>
      <c r="AJ3505">
        <v>110.211950133225</v>
      </c>
      <c r="AK3505">
        <v>16.753318878011601</v>
      </c>
      <c r="AL3505">
        <v>80.4895147397892</v>
      </c>
      <c r="AM3505">
        <v>101.61431750441101</v>
      </c>
      <c r="AN3505">
        <v>1.0000000263701001</v>
      </c>
    </row>
    <row r="3506" spans="1:40" x14ac:dyDescent="0.25">
      <c r="A3506" t="str">
        <f>"20190304154824465"</f>
        <v>20190304154824465</v>
      </c>
      <c r="B3506" t="str">
        <f>"1551685704460323"</f>
        <v>1551685704460323</v>
      </c>
      <c r="C3506" t="s">
        <v>40</v>
      </c>
      <c r="D3506">
        <v>4.3467650000000004</v>
      </c>
      <c r="E3506">
        <v>0.44911089999999998</v>
      </c>
      <c r="F3506" t="s">
        <v>44</v>
      </c>
      <c r="G3506">
        <v>-492.20710000000003</v>
      </c>
      <c r="H3506" s="1">
        <v>-1.189668E-6</v>
      </c>
      <c r="I3506">
        <v>260.99329999999998</v>
      </c>
      <c r="J3506">
        <v>-486.1309</v>
      </c>
      <c r="K3506">
        <v>1.1211139999999999</v>
      </c>
      <c r="L3506">
        <v>274.9171</v>
      </c>
      <c r="M3506">
        <v>-0.66953059999999998</v>
      </c>
      <c r="N3506">
        <v>-1.582716E-2</v>
      </c>
      <c r="O3506">
        <v>-0.7426161</v>
      </c>
      <c r="P3506">
        <v>-0.50430829999999904</v>
      </c>
      <c r="Q3506">
        <v>0.15510829999999901</v>
      </c>
      <c r="R3506">
        <v>-0.84947929999999905</v>
      </c>
      <c r="S3506">
        <v>-1.2464599999999999</v>
      </c>
      <c r="T3506">
        <v>-0.2265644</v>
      </c>
      <c r="U3506">
        <v>-2.8366389999999999</v>
      </c>
      <c r="V3506">
        <v>-0.19857</v>
      </c>
      <c r="W3506">
        <v>0.1653879</v>
      </c>
      <c r="X3506">
        <v>0.96603139999999998</v>
      </c>
      <c r="Y3506">
        <v>-0.31424629999999998</v>
      </c>
      <c r="Z3506">
        <v>3.2872079999999998E-2</v>
      </c>
      <c r="AA3506">
        <v>0.94877219999999995</v>
      </c>
      <c r="AB3506">
        <v>26</v>
      </c>
      <c r="AC3506">
        <v>-6.0762000000000196</v>
      </c>
      <c r="AD3506">
        <v>-1.1211151896679901</v>
      </c>
      <c r="AE3506">
        <v>-13.9238</v>
      </c>
      <c r="AF3506">
        <v>-4.7846704556282598</v>
      </c>
      <c r="AG3506">
        <v>-1.1211151896679901</v>
      </c>
      <c r="AH3506">
        <v>14.331989748485499</v>
      </c>
      <c r="AI3506">
        <v>94.2435151395361</v>
      </c>
      <c r="AJ3506">
        <v>108.461355872113</v>
      </c>
      <c r="AK3506">
        <v>15.151102296142</v>
      </c>
      <c r="AL3506">
        <v>80.480230263968295</v>
      </c>
      <c r="AM3506">
        <v>101.615492514346</v>
      </c>
      <c r="AN3506">
        <v>0.99999993407618204</v>
      </c>
    </row>
    <row r="3507" spans="1:40" x14ac:dyDescent="0.25">
      <c r="A3507" t="str">
        <f>"20190304154824477"</f>
        <v>20190304154824477</v>
      </c>
      <c r="B3507" t="str">
        <f>"1551685704470083"</f>
        <v>1551685704470083</v>
      </c>
      <c r="C3507" t="s">
        <v>40</v>
      </c>
      <c r="D3507">
        <v>4.4061379999999897</v>
      </c>
      <c r="E3507">
        <v>0.44868039999999998</v>
      </c>
      <c r="F3507" t="s">
        <v>44</v>
      </c>
      <c r="G3507">
        <v>-492.31139999999999</v>
      </c>
      <c r="H3507" s="1">
        <v>-1.112785E-6</v>
      </c>
      <c r="I3507">
        <v>260.74939999999998</v>
      </c>
      <c r="J3507">
        <v>-486.21780000000001</v>
      </c>
      <c r="K3507">
        <v>1.1210990000000001</v>
      </c>
      <c r="L3507">
        <v>274.80869999999999</v>
      </c>
      <c r="M3507">
        <v>-0.66357969999999999</v>
      </c>
      <c r="N3507">
        <v>-1.5829869999999999E-2</v>
      </c>
      <c r="O3507">
        <v>-0.7479384</v>
      </c>
      <c r="P3507">
        <v>-0.49804670000000001</v>
      </c>
      <c r="Q3507">
        <v>0.15532979999999999</v>
      </c>
      <c r="R3507">
        <v>-0.85312540000000003</v>
      </c>
      <c r="S3507">
        <v>-1.2379150000000001</v>
      </c>
      <c r="T3507">
        <v>-0.22455169999999999</v>
      </c>
      <c r="U3507">
        <v>-2.8376769999999998</v>
      </c>
      <c r="V3507">
        <v>-0.19793369999999999</v>
      </c>
      <c r="W3507">
        <v>0.1656367</v>
      </c>
      <c r="X3507">
        <v>0.96611939999999996</v>
      </c>
      <c r="Y3507">
        <v>-0.30919750000000001</v>
      </c>
      <c r="Z3507">
        <v>3.304116E-2</v>
      </c>
      <c r="AA3507">
        <v>0.95042369999999998</v>
      </c>
      <c r="AB3507">
        <v>26</v>
      </c>
      <c r="AC3507">
        <v>-6.0935999999999799</v>
      </c>
      <c r="AD3507">
        <v>-1.121100112785</v>
      </c>
      <c r="AE3507">
        <v>-14.0593</v>
      </c>
      <c r="AF3507">
        <v>-4.7470147133462604</v>
      </c>
      <c r="AG3507">
        <v>-1.121100112785</v>
      </c>
      <c r="AH3507">
        <v>14.483371112602599</v>
      </c>
      <c r="AI3507">
        <v>94.206868749386899</v>
      </c>
      <c r="AJ3507">
        <v>108.146877803774</v>
      </c>
      <c r="AK3507">
        <v>15.282638938906601</v>
      </c>
      <c r="AL3507">
        <v>80.465776158806705</v>
      </c>
      <c r="AM3507">
        <v>101.578252239416</v>
      </c>
      <c r="AN3507">
        <v>0.99999998051946903</v>
      </c>
    </row>
    <row r="3508" spans="1:40" x14ac:dyDescent="0.25">
      <c r="A3508" t="str">
        <f>"20190304154824488"</f>
        <v>20190304154824488</v>
      </c>
      <c r="B3508" t="str">
        <f>"1551685704479843"</f>
        <v>1551685704479843</v>
      </c>
      <c r="C3508" t="s">
        <v>40</v>
      </c>
      <c r="D3508">
        <v>4.4007670000000001</v>
      </c>
      <c r="E3508">
        <v>0.44862540000000001</v>
      </c>
      <c r="F3508" t="s">
        <v>44</v>
      </c>
      <c r="G3508">
        <v>-492.32670000000002</v>
      </c>
      <c r="H3508" s="1">
        <v>-9.930435000000001E-7</v>
      </c>
      <c r="I3508">
        <v>260.46080000000001</v>
      </c>
      <c r="J3508">
        <v>-486.29840000000002</v>
      </c>
      <c r="K3508">
        <v>1.1210880000000001</v>
      </c>
      <c r="L3508">
        <v>274.70670000000001</v>
      </c>
      <c r="M3508">
        <v>-0.65797600000000001</v>
      </c>
      <c r="N3508">
        <v>-1.5831939999999999E-2</v>
      </c>
      <c r="O3508">
        <v>-0.75287249999999994</v>
      </c>
      <c r="P3508">
        <v>-0.49207260000000003</v>
      </c>
      <c r="Q3508">
        <v>0.15489890000000001</v>
      </c>
      <c r="R3508">
        <v>-0.8566629</v>
      </c>
      <c r="S3508">
        <v>-1.212952</v>
      </c>
      <c r="T3508">
        <v>-0.22260150000000001</v>
      </c>
      <c r="U3508">
        <v>-2.848846</v>
      </c>
      <c r="V3508">
        <v>-0.19750480000000001</v>
      </c>
      <c r="W3508">
        <v>0.1652266</v>
      </c>
      <c r="X3508">
        <v>0.96627739999999995</v>
      </c>
      <c r="Y3508">
        <v>-0.31048809999999999</v>
      </c>
      <c r="Z3508">
        <v>3.2944439999999998E-2</v>
      </c>
      <c r="AA3508">
        <v>0.95000620000000002</v>
      </c>
      <c r="AB3508">
        <v>26</v>
      </c>
      <c r="AC3508">
        <v>-6.0282999999999998</v>
      </c>
      <c r="AD3508">
        <v>-1.1210889930435</v>
      </c>
      <c r="AE3508">
        <v>-14.245900000000001</v>
      </c>
      <c r="AF3508">
        <v>-4.8102591981090299</v>
      </c>
      <c r="AG3508">
        <v>-1.1210889930435</v>
      </c>
      <c r="AH3508">
        <v>14.616889539469099</v>
      </c>
      <c r="AI3508">
        <v>94.166894844313205</v>
      </c>
      <c r="AJ3508">
        <v>108.21581249615301</v>
      </c>
      <c r="AK3508">
        <v>15.428833199317401</v>
      </c>
      <c r="AL3508">
        <v>80.489601575840794</v>
      </c>
      <c r="AM3508">
        <v>101.55200037175599</v>
      </c>
      <c r="AN3508">
        <v>0.99999999456067901</v>
      </c>
    </row>
    <row r="3509" spans="1:40" x14ac:dyDescent="0.25">
      <c r="A3509" t="str">
        <f>"20190304154824499"</f>
        <v>20190304154824499</v>
      </c>
      <c r="B3509" t="str">
        <f>"1551685704490580"</f>
        <v>1551685704490580</v>
      </c>
      <c r="C3509" t="s">
        <v>40</v>
      </c>
      <c r="D3509">
        <v>4.4088050000000001</v>
      </c>
      <c r="E3509">
        <v>0.44890200000000002</v>
      </c>
      <c r="F3509" t="s">
        <v>44</v>
      </c>
      <c r="G3509">
        <v>-492.24810000000002</v>
      </c>
      <c r="H3509" s="1">
        <v>-9.6618539999999993E-7</v>
      </c>
      <c r="I3509">
        <v>260.447</v>
      </c>
      <c r="J3509">
        <v>-486.36939999999998</v>
      </c>
      <c r="K3509">
        <v>1.121073</v>
      </c>
      <c r="L3509">
        <v>274.61509999999998</v>
      </c>
      <c r="M3509">
        <v>-0.65294560000000001</v>
      </c>
      <c r="N3509">
        <v>-1.583296E-2</v>
      </c>
      <c r="O3509">
        <v>-0.75723949999999995</v>
      </c>
      <c r="P3509">
        <v>-0.48683490000000001</v>
      </c>
      <c r="Q3509">
        <v>0.15499060000000001</v>
      </c>
      <c r="R3509">
        <v>-0.85963349999999905</v>
      </c>
      <c r="S3509">
        <v>-1.1923520000000001</v>
      </c>
      <c r="T3509">
        <v>-0.22466920000000001</v>
      </c>
      <c r="U3509">
        <v>-2.8576969999999999</v>
      </c>
      <c r="V3509">
        <v>-0.19695029999999999</v>
      </c>
      <c r="W3509">
        <v>0.1653414</v>
      </c>
      <c r="X3509">
        <v>0.96637090000000003</v>
      </c>
      <c r="Y3509">
        <v>-0.31104130000000002</v>
      </c>
      <c r="Z3509">
        <v>3.3672180000000003E-2</v>
      </c>
      <c r="AA3509">
        <v>0.94979970000000002</v>
      </c>
      <c r="AB3509">
        <v>26</v>
      </c>
      <c r="AC3509">
        <v>-5.8787000000000296</v>
      </c>
      <c r="AD3509">
        <v>-1.1210739661853999</v>
      </c>
      <c r="AE3509">
        <v>-14.1680999999999</v>
      </c>
      <c r="AF3509">
        <v>-4.7745129492843104</v>
      </c>
      <c r="AG3509">
        <v>-1.1210739661853999</v>
      </c>
      <c r="AH3509">
        <v>14.4915347935056</v>
      </c>
      <c r="AI3509">
        <v>94.202281907024698</v>
      </c>
      <c r="AJ3509">
        <v>108.235454608376</v>
      </c>
      <c r="AK3509">
        <v>15.298933342292999</v>
      </c>
      <c r="AL3509">
        <v>80.482931937908404</v>
      </c>
      <c r="AM3509">
        <v>101.51935124390199</v>
      </c>
      <c r="AN3509">
        <v>0.99999995779542905</v>
      </c>
    </row>
    <row r="3510" spans="1:40" x14ac:dyDescent="0.25">
      <c r="A3510" t="str">
        <f>"20190304154824509"</f>
        <v>20190304154824509</v>
      </c>
      <c r="B3510" t="str">
        <f>"1551685704500339"</f>
        <v>1551685704500339</v>
      </c>
      <c r="C3510" t="s">
        <v>40</v>
      </c>
      <c r="D3510">
        <v>4.4641029999999997</v>
      </c>
      <c r="E3510">
        <v>0.44923600000000002</v>
      </c>
      <c r="F3510" t="s">
        <v>44</v>
      </c>
      <c r="G3510">
        <v>-492.16829999999999</v>
      </c>
      <c r="H3510" s="1">
        <v>-9.694680999999999E-7</v>
      </c>
      <c r="I3510">
        <v>260.50420000000003</v>
      </c>
      <c r="J3510">
        <v>-486.44290000000001</v>
      </c>
      <c r="K3510">
        <v>1.121059</v>
      </c>
      <c r="L3510">
        <v>274.51949999999999</v>
      </c>
      <c r="M3510">
        <v>-0.64768429999999999</v>
      </c>
      <c r="N3510">
        <v>-1.583387E-2</v>
      </c>
      <c r="O3510">
        <v>-0.76174459999999999</v>
      </c>
      <c r="P3510">
        <v>-0.48137619999999998</v>
      </c>
      <c r="Q3510">
        <v>0.1547345</v>
      </c>
      <c r="R3510">
        <v>-0.86274839999999997</v>
      </c>
      <c r="S3510">
        <v>-1.1770940000000001</v>
      </c>
      <c r="T3510">
        <v>-0.22756199999999999</v>
      </c>
      <c r="U3510">
        <v>-2.8643190000000001</v>
      </c>
      <c r="V3510">
        <v>-0.19639770000000001</v>
      </c>
      <c r="W3510">
        <v>0.16510910000000001</v>
      </c>
      <c r="X3510">
        <v>0.96652309999999997</v>
      </c>
      <c r="Y3510">
        <v>-0.30957190000000001</v>
      </c>
      <c r="Z3510">
        <v>3.4653400000000001E-2</v>
      </c>
      <c r="AA3510">
        <v>0.95024439999999999</v>
      </c>
      <c r="AB3510">
        <v>26</v>
      </c>
      <c r="AC3510">
        <v>-5.7253999999999703</v>
      </c>
      <c r="AD3510">
        <v>-1.1210599694681</v>
      </c>
      <c r="AE3510">
        <v>-14.0152999999999</v>
      </c>
      <c r="AF3510">
        <v>-4.6910657796742701</v>
      </c>
      <c r="AG3510">
        <v>-1.1210599694681</v>
      </c>
      <c r="AH3510">
        <v>14.3076802161267</v>
      </c>
      <c r="AI3510">
        <v>94.258042632978501</v>
      </c>
      <c r="AJ3510">
        <v>108.15278936163701</v>
      </c>
      <c r="AK3510">
        <v>15.0987611005446</v>
      </c>
      <c r="AL3510">
        <v>80.496427510874497</v>
      </c>
      <c r="AM3510">
        <v>101.486129934624</v>
      </c>
      <c r="AN3510">
        <v>0.99999998715085403</v>
      </c>
    </row>
    <row r="3511" spans="1:40" x14ac:dyDescent="0.25">
      <c r="A3511" t="str">
        <f>"20190304154824519"</f>
        <v>20190304154824519</v>
      </c>
      <c r="B3511" t="str">
        <f>"1551685704510099"</f>
        <v>1551685704510099</v>
      </c>
      <c r="C3511" t="s">
        <v>40</v>
      </c>
      <c r="D3511">
        <v>4.4083829999999997</v>
      </c>
      <c r="E3511">
        <v>0.44963120000000001</v>
      </c>
      <c r="F3511" t="s">
        <v>44</v>
      </c>
      <c r="G3511">
        <v>-492.13029999999998</v>
      </c>
      <c r="H3511" s="1">
        <v>-9.3625429999999996E-7</v>
      </c>
      <c r="I3511">
        <v>260.45030000000003</v>
      </c>
      <c r="J3511">
        <v>-486.51170000000002</v>
      </c>
      <c r="K3511">
        <v>1.1210439999999999</v>
      </c>
      <c r="L3511">
        <v>274.42809999999997</v>
      </c>
      <c r="M3511">
        <v>-0.64266480000000004</v>
      </c>
      <c r="N3511">
        <v>-1.5833860000000002E-2</v>
      </c>
      <c r="O3511">
        <v>-0.76598409999999995</v>
      </c>
      <c r="P3511">
        <v>-0.47622890000000001</v>
      </c>
      <c r="Q3511">
        <v>0.1542674</v>
      </c>
      <c r="R3511">
        <v>-0.86568369999999994</v>
      </c>
      <c r="S3511">
        <v>-1.1604920000000001</v>
      </c>
      <c r="T3511">
        <v>-0.22874630000000001</v>
      </c>
      <c r="U3511">
        <v>-2.8707579999999999</v>
      </c>
      <c r="V3511">
        <v>-0.1958376</v>
      </c>
      <c r="W3511">
        <v>0.16466549999999999</v>
      </c>
      <c r="X3511">
        <v>0.96671240000000003</v>
      </c>
      <c r="Y3511">
        <v>-0.30879529999999999</v>
      </c>
      <c r="Z3511">
        <v>3.5249429999999998E-2</v>
      </c>
      <c r="AA3511">
        <v>0.95047510000000002</v>
      </c>
      <c r="AB3511">
        <v>26</v>
      </c>
      <c r="AC3511">
        <v>-5.6185999999999501</v>
      </c>
      <c r="AD3511">
        <v>-1.1210449362543</v>
      </c>
      <c r="AE3511">
        <v>-13.977799999999901</v>
      </c>
      <c r="AF3511">
        <v>-4.65409507629104</v>
      </c>
      <c r="AG3511">
        <v>-1.1210449362543</v>
      </c>
      <c r="AH3511">
        <v>14.2405828244486</v>
      </c>
      <c r="AI3511">
        <v>94.279298821086599</v>
      </c>
      <c r="AJ3511">
        <v>108.098382904993</v>
      </c>
      <c r="AK3511">
        <v>15.023699341648101</v>
      </c>
      <c r="AL3511">
        <v>80.522196552541601</v>
      </c>
      <c r="AM3511">
        <v>101.45205634916999</v>
      </c>
      <c r="AN3511">
        <v>0.99999997838888399</v>
      </c>
    </row>
    <row r="3512" spans="1:40" x14ac:dyDescent="0.25">
      <c r="A3512" t="str">
        <f>"20190304154824528"</f>
        <v>20190304154824528</v>
      </c>
      <c r="B3512" t="str">
        <f>"1551685704519859"</f>
        <v>1551685704519859</v>
      </c>
      <c r="C3512" t="s">
        <v>40</v>
      </c>
      <c r="D3512">
        <v>4.4270839999999998</v>
      </c>
      <c r="E3512">
        <v>0.44998719999999998</v>
      </c>
      <c r="F3512" t="s">
        <v>44</v>
      </c>
      <c r="G3512">
        <v>-492.0804</v>
      </c>
      <c r="H3512" s="1">
        <v>-9.245155E-7</v>
      </c>
      <c r="I3512">
        <v>260.45389999999998</v>
      </c>
      <c r="J3512">
        <v>-486.57929999999999</v>
      </c>
      <c r="K3512">
        <v>1.1210279999999999</v>
      </c>
      <c r="L3512">
        <v>274.33780000000002</v>
      </c>
      <c r="M3512">
        <v>-0.63768910000000001</v>
      </c>
      <c r="N3512">
        <v>-1.5833799999999999E-2</v>
      </c>
      <c r="O3512">
        <v>-0.77013109999999996</v>
      </c>
      <c r="P3512">
        <v>-0.47090270000000001</v>
      </c>
      <c r="Q3512">
        <v>0.15420300000000001</v>
      </c>
      <c r="R3512">
        <v>-0.86860380000000004</v>
      </c>
      <c r="S3512">
        <v>-1.146118</v>
      </c>
      <c r="T3512">
        <v>-0.23072780000000001</v>
      </c>
      <c r="U3512">
        <v>-2.876099</v>
      </c>
      <c r="V3512">
        <v>-0.1955124</v>
      </c>
      <c r="W3512">
        <v>0.16461809999999999</v>
      </c>
      <c r="X3512">
        <v>0.96678629999999999</v>
      </c>
      <c r="Y3512">
        <v>-0.30735040000000002</v>
      </c>
      <c r="Z3512">
        <v>3.6036829999999999E-2</v>
      </c>
      <c r="AA3512">
        <v>0.95091380000000003</v>
      </c>
      <c r="AB3512">
        <v>26</v>
      </c>
      <c r="AC3512">
        <v>-5.5011000000000001</v>
      </c>
      <c r="AD3512">
        <v>-1.1210289245155001</v>
      </c>
      <c r="AE3512">
        <v>-13.883900000000001</v>
      </c>
      <c r="AF3512">
        <v>-4.5917486527342399</v>
      </c>
      <c r="AG3512">
        <v>-1.1210289245155001</v>
      </c>
      <c r="AH3512">
        <v>14.122616559839701</v>
      </c>
      <c r="AI3512">
        <v>94.316982438811493</v>
      </c>
      <c r="AJ3512">
        <v>108.011126918595</v>
      </c>
      <c r="AK3512">
        <v>14.892587419107</v>
      </c>
      <c r="AL3512">
        <v>80.524949997117204</v>
      </c>
      <c r="AM3512">
        <v>101.432689820333</v>
      </c>
      <c r="AN3512">
        <v>0.99999998363452902</v>
      </c>
    </row>
    <row r="3513" spans="1:40" x14ac:dyDescent="0.25">
      <c r="A3513" t="str">
        <f>"20190304154824539"</f>
        <v>20190304154824539</v>
      </c>
      <c r="B3513" t="str">
        <f>"1551685704530595"</f>
        <v>1551685704530595</v>
      </c>
      <c r="C3513" t="s">
        <v>40</v>
      </c>
      <c r="D3513">
        <v>4.4365620000000003</v>
      </c>
      <c r="E3513">
        <v>0.4500208</v>
      </c>
      <c r="F3513" t="s">
        <v>44</v>
      </c>
      <c r="G3513">
        <v>-492.0514</v>
      </c>
      <c r="H3513" s="1">
        <v>-8.9213759999999896E-7</v>
      </c>
      <c r="I3513">
        <v>260.39640000000003</v>
      </c>
      <c r="J3513">
        <v>-486.64960000000002</v>
      </c>
      <c r="K3513">
        <v>1.1210070000000001</v>
      </c>
      <c r="L3513">
        <v>274.24169999999998</v>
      </c>
      <c r="M3513">
        <v>-0.63241259999999999</v>
      </c>
      <c r="N3513">
        <v>-1.5832840000000001E-2</v>
      </c>
      <c r="O3513">
        <v>-0.77447029999999994</v>
      </c>
      <c r="P3513">
        <v>-0.464943</v>
      </c>
      <c r="Q3513">
        <v>0.15450420000000001</v>
      </c>
      <c r="R3513">
        <v>-0.87175499999999995</v>
      </c>
      <c r="S3513">
        <v>-1.1311340000000001</v>
      </c>
      <c r="T3513">
        <v>-0.2317263</v>
      </c>
      <c r="U3513">
        <v>-2.8818049999999999</v>
      </c>
      <c r="V3513">
        <v>-0.19549440000000001</v>
      </c>
      <c r="W3513">
        <v>0.16492609999999999</v>
      </c>
      <c r="X3513">
        <v>0.96673739999999997</v>
      </c>
      <c r="Y3513">
        <v>-0.30578230000000001</v>
      </c>
      <c r="Z3513">
        <v>3.6634430000000003E-2</v>
      </c>
      <c r="AA3513">
        <v>0.95139640000000003</v>
      </c>
      <c r="AB3513">
        <v>26</v>
      </c>
      <c r="AC3513">
        <v>-5.4017999999999802</v>
      </c>
      <c r="AD3513">
        <v>-1.1210078921376001</v>
      </c>
      <c r="AE3513">
        <v>-13.8452999999999</v>
      </c>
      <c r="AF3513">
        <v>-4.5471093363719701</v>
      </c>
      <c r="AG3513">
        <v>-1.1210078921376001</v>
      </c>
      <c r="AH3513">
        <v>14.060709174341101</v>
      </c>
      <c r="AI3513">
        <v>94.338045973745196</v>
      </c>
      <c r="AJ3513">
        <v>107.92074984845701</v>
      </c>
      <c r="AK3513">
        <v>14.8201351038564</v>
      </c>
      <c r="AL3513">
        <v>80.507057926927999</v>
      </c>
      <c r="AM3513">
        <v>101.432227991283</v>
      </c>
      <c r="AN3513">
        <v>0.99999993972566303</v>
      </c>
    </row>
    <row r="3514" spans="1:40" x14ac:dyDescent="0.25">
      <c r="A3514" t="str">
        <f>"20190304154824550"</f>
        <v>20190304154824550</v>
      </c>
      <c r="B3514" t="str">
        <f>"1551685704540356"</f>
        <v>1551685704540356</v>
      </c>
      <c r="C3514" t="s">
        <v>40</v>
      </c>
      <c r="D3514">
        <v>4.4368410000000003</v>
      </c>
      <c r="E3514">
        <v>0.45008730000000002</v>
      </c>
      <c r="F3514" t="s">
        <v>44</v>
      </c>
      <c r="G3514">
        <v>-492.00099999999998</v>
      </c>
      <c r="H3514" s="1">
        <v>-8.5079859999999997E-7</v>
      </c>
      <c r="I3514">
        <v>260.33120000000002</v>
      </c>
      <c r="J3514">
        <v>-486.72210000000001</v>
      </c>
      <c r="K3514">
        <v>1.1209880000000001</v>
      </c>
      <c r="L3514">
        <v>274.14210000000003</v>
      </c>
      <c r="M3514">
        <v>-0.62692510000000001</v>
      </c>
      <c r="N3514">
        <v>-1.5831830000000002E-2</v>
      </c>
      <c r="O3514">
        <v>-0.77891860000000002</v>
      </c>
      <c r="P3514">
        <v>-0.45895089999999999</v>
      </c>
      <c r="Q3514">
        <v>0.1545609</v>
      </c>
      <c r="R3514">
        <v>-0.87491450000000004</v>
      </c>
      <c r="S3514">
        <v>-1.111694</v>
      </c>
      <c r="T3514">
        <v>-0.2328749</v>
      </c>
      <c r="U3514">
        <v>-2.8897089999999999</v>
      </c>
      <c r="V3514">
        <v>-0.1952846</v>
      </c>
      <c r="W3514">
        <v>0.1649967</v>
      </c>
      <c r="X3514">
        <v>0.96676779999999995</v>
      </c>
      <c r="Y3514">
        <v>-0.30551129999999999</v>
      </c>
      <c r="Z3514">
        <v>3.7228749999999998E-2</v>
      </c>
      <c r="AA3514">
        <v>0.95146039999999998</v>
      </c>
      <c r="AB3514">
        <v>26</v>
      </c>
      <c r="AC3514">
        <v>-5.2788999999999602</v>
      </c>
      <c r="AD3514">
        <v>-1.1209888507985999</v>
      </c>
      <c r="AE3514">
        <v>-13.8109</v>
      </c>
      <c r="AF3514">
        <v>-4.5211477903461903</v>
      </c>
      <c r="AG3514">
        <v>-1.1209888507985999</v>
      </c>
      <c r="AH3514">
        <v>13.9883966152995</v>
      </c>
      <c r="AI3514">
        <v>94.3605454737652</v>
      </c>
      <c r="AJ3514">
        <v>107.91119602945599</v>
      </c>
      <c r="AK3514">
        <v>14.743562432895599</v>
      </c>
      <c r="AL3514">
        <v>80.502957067936094</v>
      </c>
      <c r="AM3514">
        <v>101.419932063348</v>
      </c>
      <c r="AN3514">
        <v>0.99999998256244405</v>
      </c>
    </row>
    <row r="3515" spans="1:40" x14ac:dyDescent="0.25">
      <c r="A3515" t="str">
        <f>"20190304154824561"</f>
        <v>20190304154824561</v>
      </c>
      <c r="B3515" t="str">
        <f>"1551685704550116"</f>
        <v>1551685704550116</v>
      </c>
      <c r="C3515" t="s">
        <v>40</v>
      </c>
      <c r="D3515">
        <v>4.4253650000000002</v>
      </c>
      <c r="E3515">
        <v>0.45024540000000002</v>
      </c>
      <c r="F3515" t="s">
        <v>44</v>
      </c>
      <c r="G3515">
        <v>-491.94240000000002</v>
      </c>
      <c r="H3515" s="1">
        <v>-8.2359359999999896E-7</v>
      </c>
      <c r="I3515">
        <v>260.30419999999998</v>
      </c>
      <c r="J3515">
        <v>-486.79689999999999</v>
      </c>
      <c r="K3515">
        <v>1.1209629999999999</v>
      </c>
      <c r="L3515">
        <v>274.03680000000003</v>
      </c>
      <c r="M3515">
        <v>-0.62115240000000005</v>
      </c>
      <c r="N3515">
        <v>-1.5829429999999999E-2</v>
      </c>
      <c r="O3515">
        <v>-0.7835299</v>
      </c>
      <c r="P3515">
        <v>-0.4527215</v>
      </c>
      <c r="Q3515">
        <v>0.15462699999999999</v>
      </c>
      <c r="R3515">
        <v>-0.87814219999999898</v>
      </c>
      <c r="S3515">
        <v>-1.0928960000000001</v>
      </c>
      <c r="T3515">
        <v>-0.23468449999999999</v>
      </c>
      <c r="U3515">
        <v>-2.8970340000000001</v>
      </c>
      <c r="V3515">
        <v>-0.19499559999999999</v>
      </c>
      <c r="W3515">
        <v>0.165079</v>
      </c>
      <c r="X3515">
        <v>0.96681209999999995</v>
      </c>
      <c r="Y3515">
        <v>-0.3046854</v>
      </c>
      <c r="Z3515">
        <v>3.8007260000000001E-2</v>
      </c>
      <c r="AA3515">
        <v>0.95169440000000005</v>
      </c>
      <c r="AB3515">
        <v>26</v>
      </c>
      <c r="AC3515">
        <v>-5.1455000000000197</v>
      </c>
      <c r="AD3515">
        <v>-1.1209638235935999</v>
      </c>
      <c r="AE3515">
        <v>-13.7326</v>
      </c>
      <c r="AF3515">
        <v>-4.4728142289544097</v>
      </c>
      <c r="AG3515">
        <v>-1.1209638235935999</v>
      </c>
      <c r="AH3515">
        <v>13.8767121940305</v>
      </c>
      <c r="AI3515">
        <v>94.396534524681698</v>
      </c>
      <c r="AJ3515">
        <v>107.865439855551</v>
      </c>
      <c r="AK3515">
        <v>14.6227825100594</v>
      </c>
      <c r="AL3515">
        <v>80.498176217094198</v>
      </c>
      <c r="AM3515">
        <v>101.40296607424899</v>
      </c>
      <c r="AN3515">
        <v>0.99999999848338395</v>
      </c>
    </row>
    <row r="3516" spans="1:40" x14ac:dyDescent="0.25">
      <c r="A3516" t="str">
        <f>"20190304154824573"</f>
        <v>20190304154824573</v>
      </c>
      <c r="B3516" t="str">
        <f>"1551685704570611"</f>
        <v>1551685704570611</v>
      </c>
      <c r="C3516" t="s">
        <v>40</v>
      </c>
      <c r="D3516">
        <v>4.4694580000000004</v>
      </c>
      <c r="E3516">
        <v>0.45052520000000001</v>
      </c>
      <c r="F3516" t="s">
        <v>44</v>
      </c>
      <c r="G3516">
        <v>-491.9015</v>
      </c>
      <c r="H3516" s="1">
        <v>-7.7925569999999896E-7</v>
      </c>
      <c r="I3516">
        <v>260.22620000000001</v>
      </c>
      <c r="J3516">
        <v>-486.87099999999998</v>
      </c>
      <c r="K3516">
        <v>1.120938</v>
      </c>
      <c r="L3516">
        <v>273.93169999999998</v>
      </c>
      <c r="M3516">
        <v>-0.615371</v>
      </c>
      <c r="N3516">
        <v>-1.5826980000000001E-2</v>
      </c>
      <c r="O3516">
        <v>-0.78807899999999997</v>
      </c>
      <c r="P3516">
        <v>-0.44621699999999997</v>
      </c>
      <c r="Q3516">
        <v>0.15455669999999999</v>
      </c>
      <c r="R3516">
        <v>-0.88147779999999998</v>
      </c>
      <c r="S3516">
        <v>-1.0734859999999999</v>
      </c>
      <c r="T3516">
        <v>-0.23573569999999999</v>
      </c>
      <c r="U3516">
        <v>-2.9043269999999999</v>
      </c>
      <c r="V3516">
        <v>-0.19502620000000001</v>
      </c>
      <c r="W3516">
        <v>0.16501740000000001</v>
      </c>
      <c r="X3516">
        <v>0.96681640000000002</v>
      </c>
      <c r="Y3516">
        <v>-0.30405880000000002</v>
      </c>
      <c r="Z3516">
        <v>3.861552E-2</v>
      </c>
      <c r="AA3516">
        <v>0.95187029999999995</v>
      </c>
      <c r="AB3516">
        <v>26</v>
      </c>
      <c r="AC3516">
        <v>-5.0305000000000097</v>
      </c>
      <c r="AD3516">
        <v>-1.1209387792557</v>
      </c>
      <c r="AE3516">
        <v>-13.705499999999899</v>
      </c>
      <c r="AF3516">
        <v>-4.4438978123831303</v>
      </c>
      <c r="AG3516">
        <v>-1.1209387792557</v>
      </c>
      <c r="AH3516">
        <v>13.8169270534303</v>
      </c>
      <c r="AI3516">
        <v>94.416280593469807</v>
      </c>
      <c r="AJ3516">
        <v>107.829196629964</v>
      </c>
      <c r="AK3516">
        <v>14.5572045638425</v>
      </c>
      <c r="AL3516">
        <v>80.5017543085862</v>
      </c>
      <c r="AM3516">
        <v>101.404659219864</v>
      </c>
      <c r="AN3516">
        <v>0.99999995614907899</v>
      </c>
    </row>
    <row r="3517" spans="1:40" x14ac:dyDescent="0.25">
      <c r="A3517" t="str">
        <f>"20190304154824584"</f>
        <v>20190304154824584</v>
      </c>
      <c r="B3517" t="str">
        <f>"1551685704580371"</f>
        <v>1551685704580371</v>
      </c>
      <c r="C3517" t="s">
        <v>40</v>
      </c>
      <c r="D3517">
        <v>4.4571350000000001</v>
      </c>
      <c r="E3517">
        <v>0.45073400000000002</v>
      </c>
      <c r="F3517" t="s">
        <v>44</v>
      </c>
      <c r="G3517">
        <v>-491.80329999999998</v>
      </c>
      <c r="H3517" s="1">
        <v>-7.8861429999999899E-7</v>
      </c>
      <c r="I3517">
        <v>260.30889999999999</v>
      </c>
      <c r="J3517">
        <v>-486.94670000000002</v>
      </c>
      <c r="K3517">
        <v>1.120906</v>
      </c>
      <c r="L3517">
        <v>273.82190000000003</v>
      </c>
      <c r="M3517">
        <v>-0.60935289999999998</v>
      </c>
      <c r="N3517">
        <v>-1.5822940000000001E-2</v>
      </c>
      <c r="O3517">
        <v>-0.79274160000000005</v>
      </c>
      <c r="P3517">
        <v>-0.44000450000000002</v>
      </c>
      <c r="Q3517">
        <v>0.15392899999999901</v>
      </c>
      <c r="R3517">
        <v>-0.88470490000000002</v>
      </c>
      <c r="S3517">
        <v>-1.05423</v>
      </c>
      <c r="T3517">
        <v>-0.2395881</v>
      </c>
      <c r="U3517">
        <v>-2.9117130000000002</v>
      </c>
      <c r="V3517">
        <v>-0.19450429999999999</v>
      </c>
      <c r="W3517">
        <v>0.1644158</v>
      </c>
      <c r="X3517">
        <v>0.96702399999999999</v>
      </c>
      <c r="Y3517">
        <v>-0.30316029999999999</v>
      </c>
      <c r="Z3517">
        <v>3.9869969999999998E-2</v>
      </c>
      <c r="AA3517">
        <v>0.95210519999999998</v>
      </c>
      <c r="AB3517">
        <v>26</v>
      </c>
      <c r="AC3517">
        <v>-4.8565999999999496</v>
      </c>
      <c r="AD3517">
        <v>-1.1209067886143</v>
      </c>
      <c r="AE3517">
        <v>-13.513</v>
      </c>
      <c r="AF3517">
        <v>-4.35814761960056</v>
      </c>
      <c r="AG3517">
        <v>-1.1209067886143</v>
      </c>
      <c r="AH3517">
        <v>13.5905923830822</v>
      </c>
      <c r="AI3517">
        <v>94.490643416190196</v>
      </c>
      <c r="AJ3517">
        <v>107.77968737148601</v>
      </c>
      <c r="AK3517">
        <v>14.316217518118499</v>
      </c>
      <c r="AL3517">
        <v>80.536700703289995</v>
      </c>
      <c r="AM3517">
        <v>101.372558110379</v>
      </c>
      <c r="AN3517">
        <v>0.99999994729206299</v>
      </c>
    </row>
    <row r="3518" spans="1:40" x14ac:dyDescent="0.25">
      <c r="A3518" t="str">
        <f>"20190304154824595"</f>
        <v>20190304154824595</v>
      </c>
      <c r="B3518" t="str">
        <f>"1551685704590131"</f>
        <v>1551685704590131</v>
      </c>
      <c r="C3518" t="s">
        <v>40</v>
      </c>
      <c r="D3518">
        <v>4.3975910000000002</v>
      </c>
      <c r="E3518">
        <v>0.45106560000000001</v>
      </c>
      <c r="F3518" t="s">
        <v>44</v>
      </c>
      <c r="G3518">
        <v>-491.72</v>
      </c>
      <c r="H3518" s="1">
        <v>-7.8771729999999996E-7</v>
      </c>
      <c r="I3518">
        <v>260.35849999999999</v>
      </c>
      <c r="J3518">
        <v>-487.0179</v>
      </c>
      <c r="K3518">
        <v>1.1208689999999999</v>
      </c>
      <c r="L3518">
        <v>273.71730000000002</v>
      </c>
      <c r="M3518">
        <v>-0.60361290000000001</v>
      </c>
      <c r="N3518">
        <v>-1.581873E-2</v>
      </c>
      <c r="O3518">
        <v>-0.79712069999999902</v>
      </c>
      <c r="P3518">
        <v>-0.43393029999999999</v>
      </c>
      <c r="Q3518">
        <v>0.15301239999999999</v>
      </c>
      <c r="R3518">
        <v>-0.88785820000000004</v>
      </c>
      <c r="S3518">
        <v>-1.0347900000000001</v>
      </c>
      <c r="T3518">
        <v>-0.2429936</v>
      </c>
      <c r="U3518">
        <v>-2.9186399999999999</v>
      </c>
      <c r="V3518">
        <v>-0.19420989999999999</v>
      </c>
      <c r="W3518">
        <v>0.16351930000000001</v>
      </c>
      <c r="X3518">
        <v>0.96723519999999996</v>
      </c>
      <c r="Y3518">
        <v>-0.30263879999999999</v>
      </c>
      <c r="Z3518">
        <v>4.1010190000000002E-2</v>
      </c>
      <c r="AA3518">
        <v>0.95222260000000003</v>
      </c>
      <c r="AB3518">
        <v>26</v>
      </c>
      <c r="AC3518">
        <v>-4.7021000000000299</v>
      </c>
      <c r="AD3518">
        <v>-1.1208697877172999</v>
      </c>
      <c r="AE3518">
        <v>-13.3588</v>
      </c>
      <c r="AF3518">
        <v>-4.2890757367877699</v>
      </c>
      <c r="AG3518">
        <v>-1.1208697877172999</v>
      </c>
      <c r="AH3518">
        <v>13.404544997524001</v>
      </c>
      <c r="AI3518">
        <v>94.553485853609899</v>
      </c>
      <c r="AJ3518">
        <v>107.743203418639</v>
      </c>
      <c r="AK3518">
        <v>14.118581598289699</v>
      </c>
      <c r="AL3518">
        <v>80.588771509216002</v>
      </c>
      <c r="AM3518">
        <v>101.353377103171</v>
      </c>
      <c r="AN3518">
        <v>0.99999998942476997</v>
      </c>
    </row>
    <row r="3519" spans="1:40" x14ac:dyDescent="0.25">
      <c r="A3519" t="str">
        <f>"20190304154824606"</f>
        <v>20190304154824606</v>
      </c>
      <c r="B3519" t="str">
        <f>"1551685704599891"</f>
        <v>1551685704599891</v>
      </c>
      <c r="C3519" t="s">
        <v>40</v>
      </c>
      <c r="D3519">
        <v>4.4478289999999996</v>
      </c>
      <c r="E3519">
        <v>0.45144570000000001</v>
      </c>
      <c r="F3519" t="s">
        <v>44</v>
      </c>
      <c r="G3519">
        <v>-491.64030000000002</v>
      </c>
      <c r="H3519" s="1">
        <v>-7.9124530000000004E-7</v>
      </c>
      <c r="I3519">
        <v>260.4162</v>
      </c>
      <c r="J3519">
        <v>-487.09</v>
      </c>
      <c r="K3519">
        <v>1.120835</v>
      </c>
      <c r="L3519">
        <v>273.60969999999998</v>
      </c>
      <c r="M3519">
        <v>-0.59772150000000002</v>
      </c>
      <c r="N3519">
        <v>-1.5813649999999999E-2</v>
      </c>
      <c r="O3519">
        <v>-0.80154780000000003</v>
      </c>
      <c r="P3519">
        <v>-0.42768030000000001</v>
      </c>
      <c r="Q3519">
        <v>0.15216629999999901</v>
      </c>
      <c r="R3519">
        <v>-0.89103060000000001</v>
      </c>
      <c r="S3519">
        <v>-1.016357</v>
      </c>
      <c r="T3519">
        <v>-0.24645839999999999</v>
      </c>
      <c r="U3519">
        <v>-2.924652</v>
      </c>
      <c r="V3519">
        <v>-0.19392960000000001</v>
      </c>
      <c r="W3519">
        <v>0.16269310000000001</v>
      </c>
      <c r="X3519">
        <v>0.96743080000000004</v>
      </c>
      <c r="Y3519">
        <v>-0.30159059999999999</v>
      </c>
      <c r="Z3519">
        <v>4.2204659999999998E-2</v>
      </c>
      <c r="AA3519">
        <v>0.95250299999999999</v>
      </c>
      <c r="AB3519">
        <v>26</v>
      </c>
      <c r="AC3519">
        <v>-4.5503000000000497</v>
      </c>
      <c r="AD3519">
        <v>-1.1208357912453</v>
      </c>
      <c r="AE3519">
        <v>-13.193499999999901</v>
      </c>
      <c r="AF3519">
        <v>-4.2121180939499201</v>
      </c>
      <c r="AG3519">
        <v>-1.1208357912453</v>
      </c>
      <c r="AH3519">
        <v>13.2114832220928</v>
      </c>
      <c r="AI3519">
        <v>94.621133612926897</v>
      </c>
      <c r="AJ3519">
        <v>107.683451659369</v>
      </c>
      <c r="AK3519">
        <v>13.911919372824</v>
      </c>
      <c r="AL3519">
        <v>80.636752324068993</v>
      </c>
      <c r="AM3519">
        <v>101.335182739015</v>
      </c>
      <c r="AN3519">
        <v>1.0000000436662</v>
      </c>
    </row>
    <row r="3520" spans="1:40" x14ac:dyDescent="0.25">
      <c r="A3520" t="str">
        <f>"20190304154824618"</f>
        <v>20190304154824618</v>
      </c>
      <c r="B3520" t="str">
        <f>"1551685704610627"</f>
        <v>1551685704610627</v>
      </c>
      <c r="C3520" t="s">
        <v>40</v>
      </c>
      <c r="D3520">
        <v>4.4070359999999997</v>
      </c>
      <c r="E3520">
        <v>0.45183830000000003</v>
      </c>
      <c r="F3520" t="s">
        <v>44</v>
      </c>
      <c r="G3520">
        <v>-491.56990000000002</v>
      </c>
      <c r="H3520" s="1">
        <v>-7.9279959999999998E-7</v>
      </c>
      <c r="I3520">
        <v>260.46350000000001</v>
      </c>
      <c r="J3520">
        <v>-487.15940000000001</v>
      </c>
      <c r="K3520">
        <v>1.120798</v>
      </c>
      <c r="L3520">
        <v>273.5043</v>
      </c>
      <c r="M3520">
        <v>-0.59196130000000002</v>
      </c>
      <c r="N3520">
        <v>-1.580786E-2</v>
      </c>
      <c r="O3520">
        <v>-0.80581150000000001</v>
      </c>
      <c r="P3520">
        <v>-0.42190060000000001</v>
      </c>
      <c r="Q3520">
        <v>0.15108440000000001</v>
      </c>
      <c r="R3520">
        <v>-0.89396540000000002</v>
      </c>
      <c r="S3520">
        <v>-0.99853519999999896</v>
      </c>
      <c r="T3520">
        <v>-0.2498301</v>
      </c>
      <c r="U3520">
        <v>-2.930237</v>
      </c>
      <c r="V3520">
        <v>-0.1933272</v>
      </c>
      <c r="W3520">
        <v>0.1616406</v>
      </c>
      <c r="X3520">
        <v>0.96772769999999997</v>
      </c>
      <c r="Y3520">
        <v>-0.30051640000000002</v>
      </c>
      <c r="Z3520">
        <v>4.3380420000000003E-2</v>
      </c>
      <c r="AA3520">
        <v>0.95278960000000001</v>
      </c>
      <c r="AB3520">
        <v>26</v>
      </c>
      <c r="AC3520">
        <v>-4.4105000000000096</v>
      </c>
      <c r="AD3520">
        <v>-1.1207987927995999</v>
      </c>
      <c r="AE3520">
        <v>-13.0407999999999</v>
      </c>
      <c r="AF3520">
        <v>-4.1387041814362604</v>
      </c>
      <c r="AG3520">
        <v>-1.1207987927995999</v>
      </c>
      <c r="AH3520">
        <v>13.034511250161801</v>
      </c>
      <c r="AI3520">
        <v>94.685200806526794</v>
      </c>
      <c r="AJ3520">
        <v>107.61562904478301</v>
      </c>
      <c r="AK3520">
        <v>13.7216451552273</v>
      </c>
      <c r="AL3520">
        <v>80.697864608967606</v>
      </c>
      <c r="AM3520">
        <v>101.297501983583</v>
      </c>
      <c r="AN3520">
        <v>0.99999999558774499</v>
      </c>
    </row>
    <row r="3521" spans="1:40" x14ac:dyDescent="0.25">
      <c r="A3521" t="str">
        <f>"20190304154824630"</f>
        <v>20190304154824630</v>
      </c>
      <c r="B3521" t="str">
        <f>"1551685704620388"</f>
        <v>1551685704620388</v>
      </c>
      <c r="C3521" t="s">
        <v>40</v>
      </c>
      <c r="D3521">
        <v>4.4433629999999997</v>
      </c>
      <c r="E3521">
        <v>0.45222509999999999</v>
      </c>
      <c r="F3521" t="s">
        <v>44</v>
      </c>
      <c r="G3521">
        <v>-491.49419999999998</v>
      </c>
      <c r="H3521" s="1">
        <v>-8.0631860000000004E-7</v>
      </c>
      <c r="I3521">
        <v>260.5419</v>
      </c>
      <c r="J3521">
        <v>-487.23250000000002</v>
      </c>
      <c r="K3521">
        <v>1.1207579999999999</v>
      </c>
      <c r="L3521">
        <v>273.3922</v>
      </c>
      <c r="M3521">
        <v>-0.58582690000000004</v>
      </c>
      <c r="N3521">
        <v>-1.58015E-2</v>
      </c>
      <c r="O3521">
        <v>-0.81028230000000001</v>
      </c>
      <c r="P3521">
        <v>-0.41574420000000001</v>
      </c>
      <c r="Q3521">
        <v>0.1501816</v>
      </c>
      <c r="R3521">
        <v>-0.89699640000000003</v>
      </c>
      <c r="S3521">
        <v>-0.9816589</v>
      </c>
      <c r="T3521">
        <v>-0.25381589999999998</v>
      </c>
      <c r="U3521">
        <v>-2.9354550000000001</v>
      </c>
      <c r="V3521">
        <v>-0.19268450000000001</v>
      </c>
      <c r="W3521">
        <v>0.160769</v>
      </c>
      <c r="X3521">
        <v>0.968001</v>
      </c>
      <c r="Y3521">
        <v>-0.29872989999999999</v>
      </c>
      <c r="Z3521">
        <v>4.4749850000000001E-2</v>
      </c>
      <c r="AA3521">
        <v>0.95328800000000002</v>
      </c>
      <c r="AB3521">
        <v>26</v>
      </c>
      <c r="AC3521">
        <v>-4.2616999999999603</v>
      </c>
      <c r="AD3521">
        <v>-1.1207588063186</v>
      </c>
      <c r="AE3521">
        <v>-12.850300000000001</v>
      </c>
      <c r="AF3521">
        <v>-4.0476411980263398</v>
      </c>
      <c r="AG3521">
        <v>-1.1207588063186</v>
      </c>
      <c r="AH3521">
        <v>12.8227254231915</v>
      </c>
      <c r="AI3521">
        <v>94.764595636946893</v>
      </c>
      <c r="AJ3521">
        <v>107.51890253153501</v>
      </c>
      <c r="AK3521">
        <v>13.4930273418704</v>
      </c>
      <c r="AL3521">
        <v>80.748465107700596</v>
      </c>
      <c r="AM3521">
        <v>101.25780753086001</v>
      </c>
      <c r="AN3521">
        <v>0.99999996195112395</v>
      </c>
    </row>
    <row r="3522" spans="1:40" x14ac:dyDescent="0.25">
      <c r="A3522" t="str">
        <f>"20190304154824643"</f>
        <v>20190304154824643</v>
      </c>
      <c r="B3522" t="str">
        <f>"1551685704639906"</f>
        <v>1551685704639906</v>
      </c>
      <c r="C3522" t="s">
        <v>40</v>
      </c>
      <c r="D3522">
        <v>4.4581030000000004</v>
      </c>
      <c r="E3522">
        <v>0.45280900000000002</v>
      </c>
      <c r="F3522" t="s">
        <v>44</v>
      </c>
      <c r="G3522">
        <v>-491.43669999999997</v>
      </c>
      <c r="H3522" s="1">
        <v>-7.9617059999999997E-7</v>
      </c>
      <c r="I3522">
        <v>260.55399999999997</v>
      </c>
      <c r="J3522">
        <v>-487.31020000000001</v>
      </c>
      <c r="K3522">
        <v>1.1207119999999999</v>
      </c>
      <c r="L3522">
        <v>273.26990000000001</v>
      </c>
      <c r="M3522">
        <v>-0.57917289999999999</v>
      </c>
      <c r="N3522">
        <v>-1.579322E-2</v>
      </c>
      <c r="O3522">
        <v>-0.81505179999999999</v>
      </c>
      <c r="P3522">
        <v>-0.4089604</v>
      </c>
      <c r="Q3522">
        <v>0.1495312</v>
      </c>
      <c r="R3522">
        <v>-0.90021759999999995</v>
      </c>
      <c r="S3522">
        <v>-0.96313479999999996</v>
      </c>
      <c r="T3522">
        <v>-0.25675179999999997</v>
      </c>
      <c r="U3522">
        <v>-2.941071</v>
      </c>
      <c r="V3522">
        <v>-0.19209480000000001</v>
      </c>
      <c r="W3522">
        <v>0.16014819999999999</v>
      </c>
      <c r="X3522">
        <v>0.96822109999999995</v>
      </c>
      <c r="Y3522">
        <v>-0.29689280000000001</v>
      </c>
      <c r="Z3522">
        <v>4.5920500000000003E-2</v>
      </c>
      <c r="AA3522">
        <v>0.95380600000000004</v>
      </c>
      <c r="AB3522">
        <v>26</v>
      </c>
      <c r="AC3522">
        <v>-4.1264999999999601</v>
      </c>
      <c r="AD3522">
        <v>-1.1207127961706</v>
      </c>
      <c r="AE3522">
        <v>-12.7158999999999</v>
      </c>
      <c r="AF3522">
        <v>-3.9739646754376698</v>
      </c>
      <c r="AG3522">
        <v>-1.1207127961706</v>
      </c>
      <c r="AH3522">
        <v>12.6666475301388</v>
      </c>
      <c r="AI3522">
        <v>94.825481755682702</v>
      </c>
      <c r="AJ3522">
        <v>107.41844218316901</v>
      </c>
      <c r="AK3522">
        <v>13.3226255695301</v>
      </c>
      <c r="AL3522">
        <v>80.784501417729103</v>
      </c>
      <c r="AM3522">
        <v>101.221742901486</v>
      </c>
      <c r="AN3522">
        <v>0.99999997831774401</v>
      </c>
    </row>
    <row r="3523" spans="1:40" x14ac:dyDescent="0.25">
      <c r="A3523" t="str">
        <f>"20190304154824656"</f>
        <v>20190304154824656</v>
      </c>
      <c r="B3523" t="str">
        <f>"1551685704650643"</f>
        <v>1551685704650643</v>
      </c>
      <c r="C3523" t="s">
        <v>40</v>
      </c>
      <c r="D3523">
        <v>4.4202260000000004</v>
      </c>
      <c r="E3523">
        <v>0.45280900000000002</v>
      </c>
      <c r="F3523" t="s">
        <v>44</v>
      </c>
      <c r="G3523">
        <v>-491.37610000000001</v>
      </c>
      <c r="H3523" s="1">
        <v>-7.9249569999999905E-7</v>
      </c>
      <c r="I3523">
        <v>260.5829</v>
      </c>
      <c r="J3523">
        <v>-487.38619999999997</v>
      </c>
      <c r="K3523">
        <v>1.120665</v>
      </c>
      <c r="L3523">
        <v>273.14879999999999</v>
      </c>
      <c r="M3523">
        <v>-0.57258189999999998</v>
      </c>
      <c r="N3523">
        <v>-1.578483E-2</v>
      </c>
      <c r="O3523">
        <v>-0.81969550000000002</v>
      </c>
      <c r="P3523">
        <v>-0.40239560000000002</v>
      </c>
      <c r="Q3523">
        <v>0.14878069999999999</v>
      </c>
      <c r="R3523">
        <v>-0.90329519999999996</v>
      </c>
      <c r="S3523">
        <v>-0.94439700000000004</v>
      </c>
      <c r="T3523">
        <v>-0.26030959999999997</v>
      </c>
      <c r="U3523">
        <v>-2.9468079999999999</v>
      </c>
      <c r="V3523">
        <v>-0.19136980000000001</v>
      </c>
      <c r="W3523">
        <v>0.1594313</v>
      </c>
      <c r="X3523">
        <v>0.96848299999999998</v>
      </c>
      <c r="Y3523">
        <v>-0.29525020000000002</v>
      </c>
      <c r="Z3523">
        <v>4.7229550000000002E-2</v>
      </c>
      <c r="AA3523">
        <v>0.95425190000000004</v>
      </c>
      <c r="AB3523">
        <v>26</v>
      </c>
      <c r="AC3523">
        <v>-3.9899000000000302</v>
      </c>
      <c r="AD3523">
        <v>-1.1206657924957</v>
      </c>
      <c r="AE3523">
        <v>-12.565899999999999</v>
      </c>
      <c r="AF3523">
        <v>-3.8968375995058899</v>
      </c>
      <c r="AG3523">
        <v>-1.1206657924957</v>
      </c>
      <c r="AH3523">
        <v>12.49603858028</v>
      </c>
      <c r="AI3523">
        <v>94.893462430140403</v>
      </c>
      <c r="AJ3523">
        <v>107.31987204474601</v>
      </c>
      <c r="AK3523">
        <v>13.137435643809599</v>
      </c>
      <c r="AL3523">
        <v>80.826111890910795</v>
      </c>
      <c r="AM3523">
        <v>101.177511653805</v>
      </c>
      <c r="AN3523">
        <v>1.00000003053036</v>
      </c>
    </row>
    <row r="3524" spans="1:40" x14ac:dyDescent="0.25">
      <c r="A3524" t="str">
        <f>"20190304154824668"</f>
        <v>20190304154824668</v>
      </c>
      <c r="B3524" t="str">
        <f>"1551685704660403"</f>
        <v>1551685704660403</v>
      </c>
      <c r="C3524" t="s">
        <v>40</v>
      </c>
      <c r="D3524">
        <v>4.4520269999999904</v>
      </c>
      <c r="E3524">
        <v>0.46100799999999997</v>
      </c>
      <c r="F3524" t="s">
        <v>44</v>
      </c>
      <c r="G3524">
        <v>-491.32389999999998</v>
      </c>
      <c r="H3524" s="1">
        <v>-7.5774760000000005E-7</v>
      </c>
      <c r="I3524">
        <v>260.53429999999997</v>
      </c>
      <c r="J3524">
        <v>-487.46260000000001</v>
      </c>
      <c r="K3524">
        <v>1.1206149999999999</v>
      </c>
      <c r="L3524">
        <v>273.02480000000003</v>
      </c>
      <c r="M3524">
        <v>-0.56585220000000003</v>
      </c>
      <c r="N3524">
        <v>-1.577541E-2</v>
      </c>
      <c r="O3524">
        <v>-0.82435579999999997</v>
      </c>
      <c r="P3524">
        <v>-0.39563999999999999</v>
      </c>
      <c r="Q3524">
        <v>0.14862549999999999</v>
      </c>
      <c r="R3524">
        <v>-0.90630010000000005</v>
      </c>
      <c r="S3524">
        <v>-0.92199710000000001</v>
      </c>
      <c r="T3524">
        <v>-0.26240150000000001</v>
      </c>
      <c r="U3524">
        <v>-2.9536440000000002</v>
      </c>
      <c r="V3524">
        <v>-0.19066240000000001</v>
      </c>
      <c r="W3524">
        <v>0.15930849999999999</v>
      </c>
      <c r="X3524">
        <v>0.96864269999999997</v>
      </c>
      <c r="Y3524">
        <v>-0.29466290000000001</v>
      </c>
      <c r="Z3524">
        <v>4.8174469999999997E-2</v>
      </c>
      <c r="AA3524">
        <v>0.95438619999999996</v>
      </c>
      <c r="AB3524">
        <v>26</v>
      </c>
      <c r="AC3524">
        <v>-3.8612999999999702</v>
      </c>
      <c r="AD3524">
        <v>-1.1206157577475999</v>
      </c>
      <c r="AE3524">
        <v>-12.490500000000001</v>
      </c>
      <c r="AF3524">
        <v>-3.8568386934667802</v>
      </c>
      <c r="AG3524">
        <v>-1.1206157577475999</v>
      </c>
      <c r="AH3524">
        <v>12.3920488278509</v>
      </c>
      <c r="AI3524">
        <v>94.934957349025794</v>
      </c>
      <c r="AJ3524">
        <v>107.287967411221</v>
      </c>
      <c r="AK3524">
        <v>13.026659530968701</v>
      </c>
      <c r="AL3524">
        <v>80.833238755947306</v>
      </c>
      <c r="AM3524">
        <v>101.13543836476001</v>
      </c>
      <c r="AN3524">
        <v>1.0000000146046499</v>
      </c>
    </row>
    <row r="3525" spans="1:40" x14ac:dyDescent="0.25">
      <c r="A3525" t="str">
        <f>"20190304154824685"</f>
        <v>20190304154824685</v>
      </c>
      <c r="B3525" t="str">
        <f>"1551685704679923"</f>
        <v>1551685704679923</v>
      </c>
      <c r="C3525" t="s">
        <v>40</v>
      </c>
      <c r="D3525">
        <v>4.4533129999999996</v>
      </c>
      <c r="E3525">
        <v>0.4629317</v>
      </c>
      <c r="F3525" t="s">
        <v>44</v>
      </c>
      <c r="G3525">
        <v>-491.30509999999998</v>
      </c>
      <c r="H3525" s="1">
        <v>-1.075748E-6</v>
      </c>
      <c r="I3525">
        <v>261.28719999999998</v>
      </c>
      <c r="J3525">
        <v>-487.5616</v>
      </c>
      <c r="K3525">
        <v>1.120552</v>
      </c>
      <c r="L3525">
        <v>272.86040000000003</v>
      </c>
      <c r="M3525">
        <v>-0.55696469999999998</v>
      </c>
      <c r="N3525">
        <v>-1.576172E-2</v>
      </c>
      <c r="O3525">
        <v>-0.83038679999999998</v>
      </c>
      <c r="P3525">
        <v>-0.38668520000000001</v>
      </c>
      <c r="Q3525">
        <v>0.1479955</v>
      </c>
      <c r="R3525">
        <v>-0.9102595</v>
      </c>
      <c r="S3525">
        <v>-0.96130369999999998</v>
      </c>
      <c r="T3525">
        <v>-0.28034900000000001</v>
      </c>
      <c r="U3525">
        <v>-2.9364319999999999</v>
      </c>
      <c r="V3525">
        <v>-0.1898233</v>
      </c>
      <c r="W3525">
        <v>0.1587181</v>
      </c>
      <c r="X3525">
        <v>0.9689044</v>
      </c>
      <c r="Y3525">
        <v>-0.27125460000000001</v>
      </c>
      <c r="Z3525">
        <v>5.3860900000000003E-2</v>
      </c>
      <c r="AA3525">
        <v>0.96099950000000001</v>
      </c>
      <c r="AB3525">
        <v>26</v>
      </c>
      <c r="AC3525">
        <v>-3.7434999999999801</v>
      </c>
      <c r="AD3525">
        <v>-1.120553075748</v>
      </c>
      <c r="AE3525">
        <v>-11.5732</v>
      </c>
      <c r="AF3525">
        <v>-3.3096368391600599</v>
      </c>
      <c r="AG3525">
        <v>-1.120553075748</v>
      </c>
      <c r="AH3525">
        <v>11.598249310081901</v>
      </c>
      <c r="AI3525">
        <v>95.307852746680197</v>
      </c>
      <c r="AJ3525">
        <v>105.92644625266701</v>
      </c>
      <c r="AK3525">
        <v>12.113163181494301</v>
      </c>
      <c r="AL3525">
        <v>80.867502263561093</v>
      </c>
      <c r="AM3525">
        <v>101.084727954019</v>
      </c>
      <c r="AN3525">
        <v>1.00000002841492</v>
      </c>
    </row>
    <row r="3526" spans="1:40" x14ac:dyDescent="0.25">
      <c r="A3526" t="str">
        <f>"20190304154824697"</f>
        <v>20190304154824697</v>
      </c>
      <c r="B3526" t="str">
        <f>"1551685704690659"</f>
        <v>1551685704690659</v>
      </c>
      <c r="C3526" t="s">
        <v>40</v>
      </c>
      <c r="D3526">
        <v>4.4126459999999996</v>
      </c>
      <c r="E3526">
        <v>0.4629317</v>
      </c>
      <c r="F3526" t="s">
        <v>44</v>
      </c>
      <c r="G3526">
        <v>-491.35930000000002</v>
      </c>
      <c r="H3526" s="1">
        <v>-9.886691000000001E-7</v>
      </c>
      <c r="I3526">
        <v>261.05070000000001</v>
      </c>
      <c r="J3526">
        <v>-487.62740000000002</v>
      </c>
      <c r="K3526">
        <v>1.120512</v>
      </c>
      <c r="L3526">
        <v>272.7491</v>
      </c>
      <c r="M3526">
        <v>-0.55095269999999996</v>
      </c>
      <c r="N3526">
        <v>-1.575209E-2</v>
      </c>
      <c r="O3526">
        <v>-0.83438799999999902</v>
      </c>
      <c r="P3526">
        <v>-0.38054480000000002</v>
      </c>
      <c r="Q3526">
        <v>0.1476083</v>
      </c>
      <c r="R3526">
        <v>-0.91290640000000001</v>
      </c>
      <c r="S3526">
        <v>-0.94528199999999996</v>
      </c>
      <c r="T3526">
        <v>-0.27891389999999999</v>
      </c>
      <c r="U3526">
        <v>-2.9395449999999999</v>
      </c>
      <c r="V3526">
        <v>-0.1893591</v>
      </c>
      <c r="W3526">
        <v>0.1583542</v>
      </c>
      <c r="X3526">
        <v>0.96905479999999999</v>
      </c>
      <c r="Y3526">
        <v>-0.269347</v>
      </c>
      <c r="Z3526">
        <v>5.4009509999999997E-2</v>
      </c>
      <c r="AA3526">
        <v>0.96152749999999998</v>
      </c>
      <c r="AB3526">
        <v>26</v>
      </c>
      <c r="AC3526">
        <v>-3.7318999999999898</v>
      </c>
      <c r="AD3526">
        <v>-1.1205129886691001</v>
      </c>
      <c r="AE3526">
        <v>-11.6983999999999</v>
      </c>
      <c r="AF3526">
        <v>-3.3043101563961401</v>
      </c>
      <c r="AG3526">
        <v>-1.1205129886691001</v>
      </c>
      <c r="AH3526">
        <v>11.7209682303356</v>
      </c>
      <c r="AI3526">
        <v>95.257126696511094</v>
      </c>
      <c r="AJ3526">
        <v>105.743910526658</v>
      </c>
      <c r="AK3526">
        <v>12.229272718521599</v>
      </c>
      <c r="AL3526">
        <v>80.888619581778002</v>
      </c>
      <c r="AM3526">
        <v>101.056615974148</v>
      </c>
      <c r="AN3526">
        <v>1.0000000634067401</v>
      </c>
    </row>
    <row r="3527" spans="1:40" x14ac:dyDescent="0.25">
      <c r="A3527" t="str">
        <f>"20190304154824708"</f>
        <v>20190304154824708</v>
      </c>
      <c r="B3527" t="str">
        <f>"1551685704700421"</f>
        <v>1551685704700421</v>
      </c>
      <c r="C3527" t="s">
        <v>40</v>
      </c>
      <c r="D3527">
        <v>4.4397019999999996</v>
      </c>
      <c r="E3527">
        <v>0.46368860000000001</v>
      </c>
      <c r="F3527" t="s">
        <v>44</v>
      </c>
      <c r="G3527">
        <v>-491.3297</v>
      </c>
      <c r="H3527" s="1">
        <v>-9.4028150000000004E-7</v>
      </c>
      <c r="I3527">
        <v>260.95620000000002</v>
      </c>
      <c r="J3527">
        <v>-487.69310000000002</v>
      </c>
      <c r="K3527">
        <v>1.120468</v>
      </c>
      <c r="L3527">
        <v>272.63619999999997</v>
      </c>
      <c r="M3527">
        <v>-0.54486990000000002</v>
      </c>
      <c r="N3527">
        <v>-1.574207E-2</v>
      </c>
      <c r="O3527">
        <v>-0.83837280000000003</v>
      </c>
      <c r="P3527">
        <v>-0.37445079999999997</v>
      </c>
      <c r="Q3527">
        <v>0.1473844</v>
      </c>
      <c r="R3527">
        <v>-0.91545880000000002</v>
      </c>
      <c r="S3527">
        <v>-0.92486570000000001</v>
      </c>
      <c r="T3527">
        <v>-0.27990999999999999</v>
      </c>
      <c r="U3527">
        <v>-2.9459230000000001</v>
      </c>
      <c r="V3527">
        <v>-0.1887672</v>
      </c>
      <c r="W3527">
        <v>0.15815650000000001</v>
      </c>
      <c r="X3527">
        <v>0.96920249999999997</v>
      </c>
      <c r="Y3527">
        <v>-0.26901330000000001</v>
      </c>
      <c r="Z3527">
        <v>5.465892E-2</v>
      </c>
      <c r="AA3527">
        <v>0.96158429999999995</v>
      </c>
      <c r="AB3527">
        <v>26</v>
      </c>
      <c r="AC3527">
        <v>-3.6365999999999801</v>
      </c>
      <c r="AD3527">
        <v>-1.1204689402815</v>
      </c>
      <c r="AE3527">
        <v>-11.6799999999999</v>
      </c>
      <c r="AF3527">
        <v>-3.28807979562347</v>
      </c>
      <c r="AG3527">
        <v>-1.1204689402815</v>
      </c>
      <c r="AH3527">
        <v>11.6771630622061</v>
      </c>
      <c r="AI3527">
        <v>95.276985860932996</v>
      </c>
      <c r="AJ3527">
        <v>105.726268052726</v>
      </c>
      <c r="AK3527">
        <v>12.182900170725899</v>
      </c>
      <c r="AL3527">
        <v>80.900091034787906</v>
      </c>
      <c r="AM3527">
        <v>101.021264214402</v>
      </c>
      <c r="AN3527">
        <v>1.00000001014717</v>
      </c>
    </row>
    <row r="3528" spans="1:40" x14ac:dyDescent="0.25">
      <c r="A3528" t="str">
        <f>"20190304154824718"</f>
        <v>20190304154824718</v>
      </c>
      <c r="B3528" t="str">
        <f>"1551685704710179"</f>
        <v>1551685704710179</v>
      </c>
      <c r="C3528" t="s">
        <v>40</v>
      </c>
      <c r="D3528">
        <v>4.4000450000000004</v>
      </c>
      <c r="E3528">
        <v>0.46469129999999997</v>
      </c>
      <c r="F3528" t="s">
        <v>44</v>
      </c>
      <c r="G3528">
        <v>-491.34370000000001</v>
      </c>
      <c r="H3528" s="1">
        <v>-8.8164929999999996E-7</v>
      </c>
      <c r="I3528">
        <v>260.8109</v>
      </c>
      <c r="J3528">
        <v>-487.75380000000001</v>
      </c>
      <c r="K3528">
        <v>1.1204289999999999</v>
      </c>
      <c r="L3528">
        <v>272.52980000000002</v>
      </c>
      <c r="M3528">
        <v>-0.53915550000000001</v>
      </c>
      <c r="N3528">
        <v>-1.5732469999999998E-2</v>
      </c>
      <c r="O3528">
        <v>-0.84205929999999996</v>
      </c>
      <c r="P3528">
        <v>-0.36883519999999997</v>
      </c>
      <c r="Q3528">
        <v>0.14706810000000001</v>
      </c>
      <c r="R3528">
        <v>-0.91778610000000005</v>
      </c>
      <c r="S3528">
        <v>-0.91055299999999995</v>
      </c>
      <c r="T3528">
        <v>-0.27947490000000003</v>
      </c>
      <c r="U3528">
        <v>-2.949554</v>
      </c>
      <c r="V3528">
        <v>-0.18811649999999999</v>
      </c>
      <c r="W3528">
        <v>0.15786689999999901</v>
      </c>
      <c r="X3528">
        <v>0.96937620000000002</v>
      </c>
      <c r="Y3528">
        <v>-0.26706220000000003</v>
      </c>
      <c r="Z3528">
        <v>5.499449E-2</v>
      </c>
      <c r="AA3528">
        <v>0.96210890000000004</v>
      </c>
      <c r="AB3528">
        <v>26</v>
      </c>
      <c r="AC3528">
        <v>-3.5899000000000001</v>
      </c>
      <c r="AD3528">
        <v>-1.1204298816492999</v>
      </c>
      <c r="AE3528">
        <v>-11.7189</v>
      </c>
      <c r="AF3528">
        <v>-3.2684943059722502</v>
      </c>
      <c r="AG3528">
        <v>-1.1204298816492999</v>
      </c>
      <c r="AH3528">
        <v>11.7071492460655</v>
      </c>
      <c r="AI3528">
        <v>95.266621510240398</v>
      </c>
      <c r="AJ3528">
        <v>105.599089714849</v>
      </c>
      <c r="AK3528">
        <v>12.206382003588001</v>
      </c>
      <c r="AL3528">
        <v>80.916894870709299</v>
      </c>
      <c r="AM3528">
        <v>100.982277991064</v>
      </c>
      <c r="AN3528">
        <v>0.99999999640714998</v>
      </c>
    </row>
    <row r="3529" spans="1:40" x14ac:dyDescent="0.25">
      <c r="A3529" t="str">
        <f>"20190304154824729"</f>
        <v>20190304154824729</v>
      </c>
      <c r="B3529" t="str">
        <f>"1551685704719939"</f>
        <v>1551685704719939</v>
      </c>
      <c r="C3529" t="s">
        <v>40</v>
      </c>
      <c r="D3529">
        <v>4.3757140000000003</v>
      </c>
      <c r="E3529">
        <v>0.46548499999999998</v>
      </c>
      <c r="F3529" t="s">
        <v>44</v>
      </c>
      <c r="G3529">
        <v>-491.35820000000001</v>
      </c>
      <c r="H3529" s="1">
        <v>-8.3661210000000002E-7</v>
      </c>
      <c r="I3529">
        <v>260.69690000000003</v>
      </c>
      <c r="J3529">
        <v>-487.8141</v>
      </c>
      <c r="K3529">
        <v>1.1203879999999999</v>
      </c>
      <c r="L3529">
        <v>272.42309999999998</v>
      </c>
      <c r="M3529">
        <v>-0.53342149999999999</v>
      </c>
      <c r="N3529">
        <v>-1.5723170000000002E-2</v>
      </c>
      <c r="O3529">
        <v>-0.84570349999999905</v>
      </c>
      <c r="P3529">
        <v>-0.36300310000000002</v>
      </c>
      <c r="Q3529">
        <v>0.14699119999999999</v>
      </c>
      <c r="R3529">
        <v>-0.92012110000000003</v>
      </c>
      <c r="S3529">
        <v>-0.89926149999999905</v>
      </c>
      <c r="T3529">
        <v>-0.27953470000000002</v>
      </c>
      <c r="U3529">
        <v>-2.9521790000000001</v>
      </c>
      <c r="V3529">
        <v>-0.18767030000000001</v>
      </c>
      <c r="W3529">
        <v>0.15781039999999999</v>
      </c>
      <c r="X3529">
        <v>0.96947190000000005</v>
      </c>
      <c r="Y3529">
        <v>-0.26412859999999899</v>
      </c>
      <c r="Z3529">
        <v>5.5477039999999998E-2</v>
      </c>
      <c r="AA3529">
        <v>0.96289060000000004</v>
      </c>
      <c r="AB3529">
        <v>26</v>
      </c>
      <c r="AC3529">
        <v>-3.54410000000001</v>
      </c>
      <c r="AD3529">
        <v>-1.1203888366121</v>
      </c>
      <c r="AE3529">
        <v>-11.726199999999899</v>
      </c>
      <c r="AF3529">
        <v>-3.2311240056163499</v>
      </c>
      <c r="AG3529">
        <v>-1.1203888366121</v>
      </c>
      <c r="AH3529">
        <v>11.7108863674662</v>
      </c>
      <c r="AI3529">
        <v>95.269185569126705</v>
      </c>
      <c r="AJ3529">
        <v>105.424592152288</v>
      </c>
      <c r="AK3529">
        <v>12.200012008050701</v>
      </c>
      <c r="AL3529">
        <v>80.920173340575303</v>
      </c>
      <c r="AM3529">
        <v>100.95580450606001</v>
      </c>
      <c r="AN3529">
        <v>1.0000000143699299</v>
      </c>
    </row>
    <row r="3530" spans="1:40" x14ac:dyDescent="0.25">
      <c r="A3530" t="str">
        <f>"20190304154824741"</f>
        <v>20190304154824741</v>
      </c>
      <c r="B3530" t="str">
        <f>"1551685704730676"</f>
        <v>1551685704730676</v>
      </c>
      <c r="C3530" t="s">
        <v>40</v>
      </c>
      <c r="D3530">
        <v>4.4515019999999996</v>
      </c>
      <c r="E3530">
        <v>0.46621420000000002</v>
      </c>
      <c r="F3530" t="s">
        <v>44</v>
      </c>
      <c r="G3530">
        <v>-491.3732</v>
      </c>
      <c r="H3530" s="1">
        <v>-7.7674139999999995E-7</v>
      </c>
      <c r="I3530">
        <v>260.548</v>
      </c>
      <c r="J3530">
        <v>-487.87380000000002</v>
      </c>
      <c r="K3530">
        <v>1.1203510000000001</v>
      </c>
      <c r="L3530">
        <v>272.315</v>
      </c>
      <c r="M3530">
        <v>-0.52764560000000005</v>
      </c>
      <c r="N3530">
        <v>-1.5713310000000001E-2</v>
      </c>
      <c r="O3530">
        <v>-0.84931919999999905</v>
      </c>
      <c r="P3530">
        <v>-0.3572167</v>
      </c>
      <c r="Q3530">
        <v>0.14720739999999999</v>
      </c>
      <c r="R3530">
        <v>-0.92234839999999996</v>
      </c>
      <c r="S3530">
        <v>-0.88580319999999901</v>
      </c>
      <c r="T3530">
        <v>-0.27885280000000001</v>
      </c>
      <c r="U3530">
        <v>-2.9555660000000001</v>
      </c>
      <c r="V3530">
        <v>-0.18712409999999999</v>
      </c>
      <c r="W3530">
        <v>0.1580482</v>
      </c>
      <c r="X3530">
        <v>0.96953869999999998</v>
      </c>
      <c r="Y3530">
        <v>-0.26188709999999998</v>
      </c>
      <c r="Z3530">
        <v>5.5747709999999999E-2</v>
      </c>
      <c r="AA3530">
        <v>0.96348710000000004</v>
      </c>
      <c r="AB3530">
        <v>26</v>
      </c>
      <c r="AC3530">
        <v>-3.4993999999999699</v>
      </c>
      <c r="AD3530">
        <v>-1.1203517767414</v>
      </c>
      <c r="AE3530">
        <v>-11.7669999999999</v>
      </c>
      <c r="AF3530">
        <v>-3.2103601801032999</v>
      </c>
      <c r="AG3530">
        <v>-1.1203517767414</v>
      </c>
      <c r="AH3530">
        <v>11.744033288672201</v>
      </c>
      <c r="AI3530">
        <v>95.257623273079403</v>
      </c>
      <c r="AJ3530">
        <v>105.288907112529</v>
      </c>
      <c r="AK3530">
        <v>12.2263616204937</v>
      </c>
      <c r="AL3530">
        <v>80.906374897348599</v>
      </c>
      <c r="AM3530">
        <v>100.923952193324</v>
      </c>
      <c r="AN3530">
        <v>0.99999997656086903</v>
      </c>
    </row>
    <row r="3531" spans="1:40" x14ac:dyDescent="0.25">
      <c r="A3531" t="str">
        <f>"20190304154824753"</f>
        <v>20190304154824753</v>
      </c>
      <c r="B3531" t="str">
        <f>"1551685704750196"</f>
        <v>1551685704750196</v>
      </c>
      <c r="C3531" t="s">
        <v>40</v>
      </c>
      <c r="D3531">
        <v>4.3889750000000003</v>
      </c>
      <c r="E3531">
        <v>0.46737430000000002</v>
      </c>
      <c r="F3531" t="s">
        <v>44</v>
      </c>
      <c r="G3531">
        <v>-491.40449999999998</v>
      </c>
      <c r="H3531" s="1">
        <v>-6.9266249999999997E-7</v>
      </c>
      <c r="I3531">
        <v>260.33260000000001</v>
      </c>
      <c r="J3531">
        <v>-487.9366</v>
      </c>
      <c r="K3531">
        <v>1.1203129999999999</v>
      </c>
      <c r="L3531">
        <v>272.20030000000003</v>
      </c>
      <c r="M3531">
        <v>-0.52150359999999996</v>
      </c>
      <c r="N3531">
        <v>-1.5703249999999998E-2</v>
      </c>
      <c r="O3531">
        <v>-0.85310469999999905</v>
      </c>
      <c r="P3531">
        <v>-0.35089120000000001</v>
      </c>
      <c r="Q3531">
        <v>0.14735379999999901</v>
      </c>
      <c r="R3531">
        <v>-0.92474999999999996</v>
      </c>
      <c r="S3531">
        <v>-0.87191770000000002</v>
      </c>
      <c r="T3531">
        <v>-0.2766691</v>
      </c>
      <c r="U3531">
        <v>-2.9590450000000001</v>
      </c>
      <c r="V3531">
        <v>-0.18674370000000001</v>
      </c>
      <c r="W3531">
        <v>0.15821199999999999</v>
      </c>
      <c r="X3531">
        <v>0.96958540000000004</v>
      </c>
      <c r="Y3531">
        <v>-0.25939020000000002</v>
      </c>
      <c r="Z3531">
        <v>5.5661130000000003E-2</v>
      </c>
      <c r="AA3531">
        <v>0.96416729999999995</v>
      </c>
      <c r="AB3531">
        <v>26</v>
      </c>
      <c r="AC3531">
        <v>-3.4678999999999802</v>
      </c>
      <c r="AD3531">
        <v>-1.1203136926624999</v>
      </c>
      <c r="AE3531">
        <v>-11.867699999999999</v>
      </c>
      <c r="AF3531">
        <v>-3.2046532308641802</v>
      </c>
      <c r="AG3531">
        <v>-1.1203136926624999</v>
      </c>
      <c r="AH3531">
        <v>11.837195837267901</v>
      </c>
      <c r="AI3531">
        <v>95.219758518763499</v>
      </c>
      <c r="AJ3531">
        <v>105.14841304958099</v>
      </c>
      <c r="AK3531">
        <v>12.3143863180383</v>
      </c>
      <c r="AL3531">
        <v>80.896870912013696</v>
      </c>
      <c r="AM3531">
        <v>100.901765316157</v>
      </c>
      <c r="AN3531">
        <v>1.0000000471634201</v>
      </c>
    </row>
    <row r="3532" spans="1:40" x14ac:dyDescent="0.25">
      <c r="A3532" t="str">
        <f>"20190304154824762"</f>
        <v>20190304154824762</v>
      </c>
      <c r="B3532" t="str">
        <f>"1551685704759956"</f>
        <v>1551685704759956</v>
      </c>
      <c r="C3532" t="s">
        <v>40</v>
      </c>
      <c r="D3532">
        <v>4.4601150000000001</v>
      </c>
      <c r="E3532">
        <v>0.46737430000000002</v>
      </c>
      <c r="F3532" t="s">
        <v>44</v>
      </c>
      <c r="G3532">
        <v>-491.43380000000002</v>
      </c>
      <c r="H3532" s="1">
        <v>-6.2376369999999904E-7</v>
      </c>
      <c r="I3532">
        <v>260.15379999999999</v>
      </c>
      <c r="J3532">
        <v>-487.9941</v>
      </c>
      <c r="K3532">
        <v>1.120285</v>
      </c>
      <c r="L3532">
        <v>272.09249999999997</v>
      </c>
      <c r="M3532">
        <v>-0.51576049999999996</v>
      </c>
      <c r="N3532">
        <v>-1.5693499999999999E-2</v>
      </c>
      <c r="O3532">
        <v>-0.85658909999999999</v>
      </c>
      <c r="P3532">
        <v>-0.34469309999999997</v>
      </c>
      <c r="Q3532">
        <v>0.14754229999999999</v>
      </c>
      <c r="R3532">
        <v>-0.92704799999999998</v>
      </c>
      <c r="S3532">
        <v>-0.85983279999999995</v>
      </c>
      <c r="T3532">
        <v>-0.27544069999999998</v>
      </c>
      <c r="U3532">
        <v>-2.9617610000000001</v>
      </c>
      <c r="V3532">
        <v>-0.18669520000000001</v>
      </c>
      <c r="W3532">
        <v>0.158407399999999</v>
      </c>
      <c r="X3532">
        <v>0.96956279999999995</v>
      </c>
      <c r="Y3532">
        <v>-0.25676969999999999</v>
      </c>
      <c r="Z3532">
        <v>5.5787129999999997E-2</v>
      </c>
      <c r="AA3532">
        <v>0.96486119999999997</v>
      </c>
      <c r="AB3532">
        <v>26</v>
      </c>
      <c r="AC3532">
        <v>-3.43970000000001</v>
      </c>
      <c r="AD3532">
        <v>-1.1202856237637</v>
      </c>
      <c r="AE3532">
        <v>-11.9386999999999</v>
      </c>
      <c r="AF3532">
        <v>-3.18559561990357</v>
      </c>
      <c r="AG3532">
        <v>-1.1202856237637</v>
      </c>
      <c r="AH3532">
        <v>11.9053046135472</v>
      </c>
      <c r="AI3532">
        <v>95.194012708859901</v>
      </c>
      <c r="AJ3532">
        <v>104.980146186033</v>
      </c>
      <c r="AK3532">
        <v>12.374947970545501</v>
      </c>
      <c r="AL3532">
        <v>80.885532014526405</v>
      </c>
      <c r="AM3532">
        <v>100.899249755094</v>
      </c>
      <c r="AN3532">
        <v>1.0000000126108199</v>
      </c>
    </row>
    <row r="3533" spans="1:40" x14ac:dyDescent="0.25">
      <c r="A3533" t="str">
        <f>"20190304154824775"</f>
        <v>20190304154824775</v>
      </c>
      <c r="B3533" t="str">
        <f>"1551685704770691"</f>
        <v>1551685704770691</v>
      </c>
      <c r="C3533" t="s">
        <v>40</v>
      </c>
      <c r="D3533">
        <v>4.2742329999999997</v>
      </c>
      <c r="E3533">
        <v>0.44890760000000002</v>
      </c>
      <c r="F3533" t="s">
        <v>44</v>
      </c>
      <c r="G3533">
        <v>-491.41919999999999</v>
      </c>
      <c r="H3533" s="1">
        <v>-5.5223379999999998E-7</v>
      </c>
      <c r="I3533">
        <v>259.99619999999999</v>
      </c>
      <c r="J3533">
        <v>-488.05709999999999</v>
      </c>
      <c r="K3533">
        <v>1.120247</v>
      </c>
      <c r="L3533">
        <v>271.97340000000003</v>
      </c>
      <c r="M3533">
        <v>-0.50940920000000001</v>
      </c>
      <c r="N3533">
        <v>-1.5683059999999999E-2</v>
      </c>
      <c r="O3533">
        <v>-0.86038150000000002</v>
      </c>
      <c r="P3533">
        <v>-0.3382462</v>
      </c>
      <c r="Q3533">
        <v>0.1473216</v>
      </c>
      <c r="R3533">
        <v>-0.92945449999999996</v>
      </c>
      <c r="S3533">
        <v>-0.84021000000000001</v>
      </c>
      <c r="T3533">
        <v>-0.27481899999999998</v>
      </c>
      <c r="U3533">
        <v>-2.9673769999999999</v>
      </c>
      <c r="V3533">
        <v>-0.18625340000000001</v>
      </c>
      <c r="W3533">
        <v>0.15820490000000001</v>
      </c>
      <c r="X3533">
        <v>0.96968080000000001</v>
      </c>
      <c r="Y3533">
        <v>-0.25600869999999998</v>
      </c>
      <c r="Z3533">
        <v>5.6024129999999998E-2</v>
      </c>
      <c r="AA3533">
        <v>0.96504970000000001</v>
      </c>
      <c r="AB3533">
        <v>26</v>
      </c>
      <c r="AC3533">
        <v>-3.3620999999999901</v>
      </c>
      <c r="AD3533">
        <v>-1.1202475522338</v>
      </c>
      <c r="AE3533">
        <v>-11.9772</v>
      </c>
      <c r="AF3533">
        <v>-3.1831887764298301</v>
      </c>
      <c r="AG3533">
        <v>-1.1202475522338</v>
      </c>
      <c r="AH3533">
        <v>11.922442682893299</v>
      </c>
      <c r="AI3533">
        <v>95.187166709149594</v>
      </c>
      <c r="AJ3533">
        <v>104.948782401163</v>
      </c>
      <c r="AK3533">
        <v>12.3908145370492</v>
      </c>
      <c r="AL3533">
        <v>80.897282345132595</v>
      </c>
      <c r="AM3533">
        <v>100.872781396538</v>
      </c>
      <c r="AN3533">
        <v>0.99999998664210399</v>
      </c>
    </row>
    <row r="3534" spans="1:40" x14ac:dyDescent="0.25">
      <c r="A3534" t="str">
        <f>"20190304154824786"</f>
        <v>20190304154824786</v>
      </c>
      <c r="B3534" t="str">
        <f>"1551685704780451"</f>
        <v>1551685704780451</v>
      </c>
      <c r="C3534" t="s">
        <v>40</v>
      </c>
      <c r="D3534">
        <v>4.3461049999999997</v>
      </c>
      <c r="E3534">
        <v>0.44557730000000001</v>
      </c>
      <c r="F3534" t="s">
        <v>44</v>
      </c>
      <c r="G3534">
        <v>-491.45010000000002</v>
      </c>
      <c r="H3534" s="1">
        <v>-3.5074129999999998E-6</v>
      </c>
      <c r="I3534">
        <v>256.86559999999997</v>
      </c>
      <c r="J3534">
        <v>-488.11410000000001</v>
      </c>
      <c r="K3534">
        <v>1.120214</v>
      </c>
      <c r="L3534">
        <v>271.86329999999998</v>
      </c>
      <c r="M3534">
        <v>-0.50354979999999905</v>
      </c>
      <c r="N3534">
        <v>-1.5673400000000001E-2</v>
      </c>
      <c r="O3534">
        <v>-0.86382420000000004</v>
      </c>
      <c r="P3534">
        <v>-0.33231549999999999</v>
      </c>
      <c r="Q3534">
        <v>0.1470872</v>
      </c>
      <c r="R3534">
        <v>-0.93162860000000003</v>
      </c>
      <c r="S3534">
        <v>-0.67749019999999904</v>
      </c>
      <c r="T3534">
        <v>-0.2236813</v>
      </c>
      <c r="U3534">
        <v>-3.0166019999999998</v>
      </c>
      <c r="V3534">
        <v>-0.18584229999999999</v>
      </c>
      <c r="W3534">
        <v>0.1579874</v>
      </c>
      <c r="X3534">
        <v>0.96979510000000002</v>
      </c>
      <c r="Y3534">
        <v>-0.30202909999999999</v>
      </c>
      <c r="Z3534">
        <v>4.2001150000000001E-2</v>
      </c>
      <c r="AA3534">
        <v>0.95237300000000003</v>
      </c>
      <c r="AB3534">
        <v>26</v>
      </c>
      <c r="AC3534">
        <v>-3.3360000000000101</v>
      </c>
      <c r="AD3534">
        <v>-1.1202175074130001</v>
      </c>
      <c r="AE3534">
        <v>-14.9977</v>
      </c>
      <c r="AF3534">
        <v>-4.6462450509359501</v>
      </c>
      <c r="AG3534">
        <v>-1.1202175074130001</v>
      </c>
      <c r="AH3534">
        <v>14.5596155719525</v>
      </c>
      <c r="AI3534">
        <v>94.1921855312887</v>
      </c>
      <c r="AJ3534">
        <v>107.698853575272</v>
      </c>
      <c r="AK3534">
        <v>15.3239970614818</v>
      </c>
      <c r="AL3534">
        <v>80.909902629844396</v>
      </c>
      <c r="AM3534">
        <v>100.848104711468</v>
      </c>
      <c r="AN3534">
        <v>0.99999995750602899</v>
      </c>
    </row>
    <row r="3535" spans="1:40" x14ac:dyDescent="0.25">
      <c r="A3535" t="str">
        <f>"20190304154824798"</f>
        <v>20190304154824798</v>
      </c>
      <c r="B3535" t="str">
        <f>"1551685704790211"</f>
        <v>1551685704790211</v>
      </c>
      <c r="C3535" t="s">
        <v>40</v>
      </c>
      <c r="D3535">
        <v>4.4034719999999998</v>
      </c>
      <c r="E3535">
        <v>0.44415189999999999</v>
      </c>
      <c r="F3535" t="s">
        <v>44</v>
      </c>
      <c r="G3535">
        <v>-491.71370000000002</v>
      </c>
      <c r="H3535" s="1">
        <v>-2.610177E-6</v>
      </c>
      <c r="I3535">
        <v>254.61060000000001</v>
      </c>
      <c r="J3535">
        <v>-488.17259999999999</v>
      </c>
      <c r="K3535">
        <v>1.120187</v>
      </c>
      <c r="L3535">
        <v>271.7484</v>
      </c>
      <c r="M3535">
        <v>-0.49744569999999999</v>
      </c>
      <c r="N3535">
        <v>-1.56635E-2</v>
      </c>
      <c r="O3535">
        <v>-0.86735370000000001</v>
      </c>
      <c r="P3535">
        <v>-0.3262466</v>
      </c>
      <c r="Q3535">
        <v>0.14675299999999999</v>
      </c>
      <c r="R3535">
        <v>-0.93382359999999998</v>
      </c>
      <c r="S3535">
        <v>-0.63134769999999996</v>
      </c>
      <c r="T3535">
        <v>-0.19647790000000001</v>
      </c>
      <c r="U3535">
        <v>-3.0260009999999999</v>
      </c>
      <c r="V3535">
        <v>-0.1853186</v>
      </c>
      <c r="W3535">
        <v>0.15767239999999999</v>
      </c>
      <c r="X3535">
        <v>0.96994659999999999</v>
      </c>
      <c r="Y3535">
        <v>-0.30976279999999901</v>
      </c>
      <c r="Z3535">
        <v>3.5219019999999997E-2</v>
      </c>
      <c r="AA3535">
        <v>0.95016140000000004</v>
      </c>
      <c r="AB3535">
        <v>26</v>
      </c>
      <c r="AC3535">
        <v>-3.5411000000000201</v>
      </c>
      <c r="AD3535">
        <v>-1.1201896101769999</v>
      </c>
      <c r="AE3535">
        <v>-17.137799999999999</v>
      </c>
      <c r="AF3535">
        <v>-5.43214976258961</v>
      </c>
      <c r="AG3535">
        <v>-1.1201896101769999</v>
      </c>
      <c r="AH3535">
        <v>16.560223986159102</v>
      </c>
      <c r="AI3535">
        <v>93.677558403739198</v>
      </c>
      <c r="AJ3535">
        <v>108.160728394853</v>
      </c>
      <c r="AK3535">
        <v>17.464366415009401</v>
      </c>
      <c r="AL3535">
        <v>80.9281801619276</v>
      </c>
      <c r="AM3535">
        <v>100.816607455569</v>
      </c>
      <c r="AN3535">
        <v>0.99999998803963897</v>
      </c>
    </row>
    <row r="3536" spans="1:40" x14ac:dyDescent="0.25">
      <c r="A3536" t="str">
        <f>"20190304154824808"</f>
        <v>20190304154824808</v>
      </c>
      <c r="B3536" t="str">
        <f>"1551685704799972"</f>
        <v>1551685704799972</v>
      </c>
      <c r="C3536" t="s">
        <v>40</v>
      </c>
      <c r="D3536">
        <v>4.4138549999999999</v>
      </c>
      <c r="E3536">
        <v>0.44354900000000003</v>
      </c>
      <c r="F3536" t="s">
        <v>44</v>
      </c>
      <c r="G3536">
        <v>-491.92419999999998</v>
      </c>
      <c r="H3536" s="1">
        <v>-1.88165E-6</v>
      </c>
      <c r="I3536">
        <v>252.7818</v>
      </c>
      <c r="J3536">
        <v>-488.22980000000001</v>
      </c>
      <c r="K3536">
        <v>1.120161</v>
      </c>
      <c r="L3536">
        <v>271.63459999999998</v>
      </c>
      <c r="M3536">
        <v>-0.49139630000000001</v>
      </c>
      <c r="N3536">
        <v>-1.5653940000000002E-2</v>
      </c>
      <c r="O3536">
        <v>-0.8707954</v>
      </c>
      <c r="P3536">
        <v>-0.3201445</v>
      </c>
      <c r="Q3536">
        <v>0.14658669999999999</v>
      </c>
      <c r="R3536">
        <v>-0.93595930000000005</v>
      </c>
      <c r="S3536">
        <v>-0.59957890000000003</v>
      </c>
      <c r="T3536">
        <v>-0.17902950000000001</v>
      </c>
      <c r="U3536">
        <v>-3.03125</v>
      </c>
      <c r="V3536">
        <v>-0.1848929</v>
      </c>
      <c r="W3536">
        <v>0.15752169999999999</v>
      </c>
      <c r="X3536">
        <v>0.97005229999999998</v>
      </c>
      <c r="Y3536">
        <v>-0.31302010000000002</v>
      </c>
      <c r="Z3536">
        <v>3.096546E-2</v>
      </c>
      <c r="AA3536">
        <v>0.94924160000000002</v>
      </c>
      <c r="AB3536">
        <v>26</v>
      </c>
      <c r="AC3536">
        <v>-3.6943999999999702</v>
      </c>
      <c r="AD3536">
        <v>-1.12016288165</v>
      </c>
      <c r="AE3536">
        <v>-18.852799999999899</v>
      </c>
      <c r="AF3536">
        <v>-6.0273791673200501</v>
      </c>
      <c r="AG3536">
        <v>-1.12016288165</v>
      </c>
      <c r="AH3536">
        <v>18.172797519085201</v>
      </c>
      <c r="AI3536">
        <v>93.348302771851195</v>
      </c>
      <c r="AJ3536">
        <v>108.349155342689</v>
      </c>
      <c r="AK3536">
        <v>19.179015464244799</v>
      </c>
      <c r="AL3536">
        <v>80.936923715218597</v>
      </c>
      <c r="AM3536">
        <v>100.791196212464</v>
      </c>
      <c r="AN3536">
        <v>0.99999996758829401</v>
      </c>
    </row>
    <row r="3537" spans="1:40" x14ac:dyDescent="0.25">
      <c r="A3537" t="str">
        <f>"20190304154824822"</f>
        <v>20190304154824822</v>
      </c>
      <c r="B3537" t="str">
        <f>"1551685704810708"</f>
        <v>1551685704810708</v>
      </c>
      <c r="C3537" t="s">
        <v>40</v>
      </c>
      <c r="D3537">
        <v>4.2399490000000002</v>
      </c>
      <c r="E3537">
        <v>0.44283549999999999</v>
      </c>
      <c r="F3537" t="s">
        <v>44</v>
      </c>
      <c r="G3537">
        <v>-491.98840000000001</v>
      </c>
      <c r="H3537" s="1">
        <v>-1.4652890000000001E-6</v>
      </c>
      <c r="I3537">
        <v>251.7715</v>
      </c>
      <c r="J3537">
        <v>-488.29140000000001</v>
      </c>
      <c r="K3537">
        <v>1.1201299999999901</v>
      </c>
      <c r="L3537">
        <v>271.50900000000001</v>
      </c>
      <c r="M3537">
        <v>-0.4847457</v>
      </c>
      <c r="N3537">
        <v>-1.564341E-2</v>
      </c>
      <c r="O3537">
        <v>-0.87451540000000005</v>
      </c>
      <c r="P3537">
        <v>-0.3135965</v>
      </c>
      <c r="Q3537">
        <v>0.14663190000000001</v>
      </c>
      <c r="R3537">
        <v>-0.93816659999999996</v>
      </c>
      <c r="S3537">
        <v>-0.57440190000000002</v>
      </c>
      <c r="T3537">
        <v>-0.17118920000000001</v>
      </c>
      <c r="U3537">
        <v>-3.0355829999999999</v>
      </c>
      <c r="V3537">
        <v>-0.18426229999999999</v>
      </c>
      <c r="W3537">
        <v>0.15758820000000001</v>
      </c>
      <c r="X3537">
        <v>0.97016150000000001</v>
      </c>
      <c r="Y3537">
        <v>-0.3136256</v>
      </c>
      <c r="Z3537">
        <v>2.9192610000000001E-2</v>
      </c>
      <c r="AA3537">
        <v>0.94909790000000005</v>
      </c>
      <c r="AB3537">
        <v>26</v>
      </c>
      <c r="AC3537">
        <v>-3.6970000000000001</v>
      </c>
      <c r="AD3537">
        <v>-1.12013146528899</v>
      </c>
      <c r="AE3537">
        <v>-19.737500000000001</v>
      </c>
      <c r="AF3537">
        <v>-6.3157074251410004</v>
      </c>
      <c r="AG3537">
        <v>-1.12013146528899</v>
      </c>
      <c r="AH3537">
        <v>18.996074061059701</v>
      </c>
      <c r="AI3537">
        <v>93.202640503770496</v>
      </c>
      <c r="AJ3537">
        <v>108.39064304009101</v>
      </c>
      <c r="AK3537">
        <v>20.049780161208201</v>
      </c>
      <c r="AL3537">
        <v>80.933065524330402</v>
      </c>
      <c r="AM3537">
        <v>100.75406907445699</v>
      </c>
      <c r="AN3537">
        <v>0.99999998603138895</v>
      </c>
    </row>
    <row r="3538" spans="1:40" x14ac:dyDescent="0.25">
      <c r="A3538" t="str">
        <f>"20190304154824836"</f>
        <v>20190304154824836</v>
      </c>
      <c r="B3538" t="str">
        <f>"1551685704830230"</f>
        <v>1551685704830230</v>
      </c>
      <c r="C3538" t="s">
        <v>40</v>
      </c>
      <c r="D3538">
        <v>4.3057129999999999</v>
      </c>
      <c r="E3538">
        <v>0.4433339</v>
      </c>
      <c r="F3538" t="s">
        <v>44</v>
      </c>
      <c r="G3538">
        <v>-491.92259999999999</v>
      </c>
      <c r="H3538" s="1">
        <v>-1.273785E-6</v>
      </c>
      <c r="I3538">
        <v>251.36580000000001</v>
      </c>
      <c r="J3538">
        <v>-488.35980000000001</v>
      </c>
      <c r="K3538">
        <v>1.120096</v>
      </c>
      <c r="L3538">
        <v>271.36739999999998</v>
      </c>
      <c r="M3538">
        <v>-0.47724440000000001</v>
      </c>
      <c r="N3538">
        <v>-1.5631840000000001E-2</v>
      </c>
      <c r="O3538">
        <v>-0.87863150000000001</v>
      </c>
      <c r="P3538">
        <v>-0.30618840000000003</v>
      </c>
      <c r="Q3538">
        <v>0.1465352</v>
      </c>
      <c r="R3538">
        <v>-0.94062559999999995</v>
      </c>
      <c r="S3538">
        <v>-0.54818730000000004</v>
      </c>
      <c r="T3538">
        <v>-0.1690981</v>
      </c>
      <c r="U3538">
        <v>-3.0408629999999999</v>
      </c>
      <c r="V3538">
        <v>-0.18359919999999999</v>
      </c>
      <c r="W3538">
        <v>0.1575146</v>
      </c>
      <c r="X3538">
        <v>0.97029920000000003</v>
      </c>
      <c r="Y3538">
        <v>-0.31371389999999999</v>
      </c>
      <c r="Z3538">
        <v>2.8903979999999999E-2</v>
      </c>
      <c r="AA3538">
        <v>0.94907750000000002</v>
      </c>
      <c r="AB3538">
        <v>26</v>
      </c>
      <c r="AC3538">
        <v>-3.5627999999999802</v>
      </c>
      <c r="AD3538">
        <v>-1.1200972737849999</v>
      </c>
      <c r="AE3538">
        <v>-20.0015999999999</v>
      </c>
      <c r="AF3538">
        <v>-6.3966044759915697</v>
      </c>
      <c r="AG3538">
        <v>-1.1200972737849999</v>
      </c>
      <c r="AH3538">
        <v>19.2183026355499</v>
      </c>
      <c r="AI3538">
        <v>93.165241274041193</v>
      </c>
      <c r="AJ3538">
        <v>108.40946447154001</v>
      </c>
      <c r="AK3538">
        <v>20.2858158060404</v>
      </c>
      <c r="AL3538">
        <v>80.937336196198999</v>
      </c>
      <c r="AM3538">
        <v>100.714780899941</v>
      </c>
      <c r="AN3538">
        <v>1.00000002648721</v>
      </c>
    </row>
    <row r="3539" spans="1:40" x14ac:dyDescent="0.25">
      <c r="A3539" t="str">
        <f>"20190304154824849"</f>
        <v>20190304154824849</v>
      </c>
      <c r="B3539" t="str">
        <f>"1551685704839987"</f>
        <v>1551685704839987</v>
      </c>
      <c r="C3539" t="s">
        <v>40</v>
      </c>
      <c r="D3539">
        <v>4.353923</v>
      </c>
      <c r="E3539">
        <v>0.44419799999999998</v>
      </c>
      <c r="F3539" t="s">
        <v>44</v>
      </c>
      <c r="G3539">
        <v>-491.84829999999999</v>
      </c>
      <c r="H3539" s="1">
        <v>-1.1935460000000001E-6</v>
      </c>
      <c r="I3539">
        <v>251.22489999999999</v>
      </c>
      <c r="J3539">
        <v>-488.42410000000001</v>
      </c>
      <c r="K3539">
        <v>1.1200589999999999</v>
      </c>
      <c r="L3539">
        <v>271.2312</v>
      </c>
      <c r="M3539">
        <v>-0.4700455</v>
      </c>
      <c r="N3539">
        <v>-1.5620810000000001E-2</v>
      </c>
      <c r="O3539">
        <v>-0.88250399999999996</v>
      </c>
      <c r="P3539">
        <v>-0.29929029999999901</v>
      </c>
      <c r="Q3539">
        <v>0.14622099999999999</v>
      </c>
      <c r="R3539">
        <v>-0.94289199999999995</v>
      </c>
      <c r="S3539">
        <v>-0.52722170000000002</v>
      </c>
      <c r="T3539">
        <v>-0.16928029999999999</v>
      </c>
      <c r="U3539">
        <v>-3.0441280000000002</v>
      </c>
      <c r="V3539">
        <v>-0.1827734</v>
      </c>
      <c r="W3539">
        <v>0.1572279</v>
      </c>
      <c r="X3539">
        <v>0.97050150000000002</v>
      </c>
      <c r="Y3539">
        <v>-0.31247029999999998</v>
      </c>
      <c r="Z3539">
        <v>2.9222809999999998E-2</v>
      </c>
      <c r="AA3539">
        <v>0.94947800000000004</v>
      </c>
      <c r="AB3539">
        <v>26</v>
      </c>
      <c r="AC3539">
        <v>-3.4241999999999799</v>
      </c>
      <c r="AD3539">
        <v>-1.1200601935459999</v>
      </c>
      <c r="AE3539">
        <v>-20.0063</v>
      </c>
      <c r="AF3539">
        <v>-6.3634020220071301</v>
      </c>
      <c r="AG3539">
        <v>-1.1200601935459999</v>
      </c>
      <c r="AH3539">
        <v>19.209025086364999</v>
      </c>
      <c r="AI3539">
        <v>93.168144374868902</v>
      </c>
      <c r="AJ3539">
        <v>108.328560796814</v>
      </c>
      <c r="AK3539">
        <v>20.266575065843</v>
      </c>
      <c r="AL3539">
        <v>80.953969418842206</v>
      </c>
      <c r="AM3539">
        <v>100.665523340813</v>
      </c>
      <c r="AN3539">
        <v>0.99999994489410804</v>
      </c>
    </row>
    <row r="3540" spans="1:40" x14ac:dyDescent="0.25">
      <c r="A3540" t="str">
        <f>"20190304154824863"</f>
        <v>20190304154824863</v>
      </c>
      <c r="B3540" t="str">
        <f>"1551685704860483"</f>
        <v>1551685704860483</v>
      </c>
      <c r="C3540" t="s">
        <v>40</v>
      </c>
      <c r="D3540">
        <v>4.3650140000000004</v>
      </c>
      <c r="E3540">
        <v>0.44554909999999998</v>
      </c>
      <c r="F3540" t="s">
        <v>44</v>
      </c>
      <c r="G3540">
        <v>-491.79750000000001</v>
      </c>
      <c r="H3540" s="1">
        <v>-1.144914E-6</v>
      </c>
      <c r="I3540">
        <v>251.1431</v>
      </c>
      <c r="J3540">
        <v>-488.48739999999998</v>
      </c>
      <c r="K3540">
        <v>1.1200209999999999</v>
      </c>
      <c r="L3540">
        <v>271.09379999999999</v>
      </c>
      <c r="M3540">
        <v>-0.46279949999999997</v>
      </c>
      <c r="N3540">
        <v>-1.5609400000000001E-2</v>
      </c>
      <c r="O3540">
        <v>-0.88632569999999999</v>
      </c>
      <c r="P3540">
        <v>-0.29249720000000001</v>
      </c>
      <c r="Q3540">
        <v>0.14544949999999901</v>
      </c>
      <c r="R3540">
        <v>-0.94514030000000004</v>
      </c>
      <c r="S3540">
        <v>-0.5114746</v>
      </c>
      <c r="T3540">
        <v>-0.16982269999999999</v>
      </c>
      <c r="U3540">
        <v>-3.0457459999999998</v>
      </c>
      <c r="V3540">
        <v>-0.18182690000000001</v>
      </c>
      <c r="W3540">
        <v>0.15648709999999999</v>
      </c>
      <c r="X3540">
        <v>0.97079899999999997</v>
      </c>
      <c r="Y3540">
        <v>-0.30954530000000002</v>
      </c>
      <c r="Z3540">
        <v>2.967361E-2</v>
      </c>
      <c r="AA3540">
        <v>0.95042159999999998</v>
      </c>
      <c r="AB3540">
        <v>26</v>
      </c>
      <c r="AC3540">
        <v>-3.31010000000003</v>
      </c>
      <c r="AD3540">
        <v>-1.120022144914</v>
      </c>
      <c r="AE3540">
        <v>-19.950699999999902</v>
      </c>
      <c r="AF3540">
        <v>-6.2808492972591896</v>
      </c>
      <c r="AG3540">
        <v>-1.120022144914</v>
      </c>
      <c r="AH3540">
        <v>19.158306849772</v>
      </c>
      <c r="AI3540">
        <v>93.179642298341093</v>
      </c>
      <c r="AJ3540">
        <v>108.151186149184</v>
      </c>
      <c r="AK3540">
        <v>20.1926778523801</v>
      </c>
      <c r="AL3540">
        <v>80.996946327530196</v>
      </c>
      <c r="AM3540">
        <v>100.608370923244</v>
      </c>
      <c r="AN3540">
        <v>0.99999996621550902</v>
      </c>
    </row>
    <row r="3541" spans="1:40" x14ac:dyDescent="0.25">
      <c r="A3541" t="str">
        <f>"20190304154824878"</f>
        <v>20190304154824878</v>
      </c>
      <c r="B3541" t="str">
        <f>"1551685704870244"</f>
        <v>1551685704870244</v>
      </c>
      <c r="C3541" t="s">
        <v>40</v>
      </c>
      <c r="D3541">
        <v>4.3657839999999997</v>
      </c>
      <c r="E3541">
        <v>0.44605240000000002</v>
      </c>
      <c r="F3541" t="s">
        <v>44</v>
      </c>
      <c r="G3541">
        <v>-491.7423</v>
      </c>
      <c r="H3541" s="1">
        <v>-1.176282E-6</v>
      </c>
      <c r="I3541">
        <v>251.25040000000001</v>
      </c>
      <c r="J3541">
        <v>-488.55329999999998</v>
      </c>
      <c r="K3541">
        <v>1.1199760000000001</v>
      </c>
      <c r="L3541">
        <v>270.94819999999999</v>
      </c>
      <c r="M3541">
        <v>-0.45511940000000001</v>
      </c>
      <c r="N3541">
        <v>-1.559728E-2</v>
      </c>
      <c r="O3541">
        <v>-0.89029380000000002</v>
      </c>
      <c r="P3541">
        <v>-0.2855779</v>
      </c>
      <c r="Q3541">
        <v>0.14448459999999999</v>
      </c>
      <c r="R3541">
        <v>-0.94740170000000001</v>
      </c>
      <c r="S3541">
        <v>-0.49963380000000002</v>
      </c>
      <c r="T3541">
        <v>-0.17192299999999999</v>
      </c>
      <c r="U3541">
        <v>-3.0459589999999999</v>
      </c>
      <c r="V3541">
        <v>-0.1805591</v>
      </c>
      <c r="W3541">
        <v>0.15556249999999999</v>
      </c>
      <c r="X3541">
        <v>0.97118419999999905</v>
      </c>
      <c r="Y3541">
        <v>-0.30493369999999997</v>
      </c>
      <c r="Z3541">
        <v>3.058752E-2</v>
      </c>
      <c r="AA3541">
        <v>0.95188229999999996</v>
      </c>
      <c r="AB3541">
        <v>26</v>
      </c>
      <c r="AC3541">
        <v>-3.18900000000002</v>
      </c>
      <c r="AD3541">
        <v>-1.1199771762819899</v>
      </c>
      <c r="AE3541">
        <v>-19.697799999999901</v>
      </c>
      <c r="AF3541">
        <v>-6.1072099569385099</v>
      </c>
      <c r="AG3541">
        <v>-1.1199771762819899</v>
      </c>
      <c r="AH3541">
        <v>18.930877940834101</v>
      </c>
      <c r="AI3541">
        <v>93.222578986749298</v>
      </c>
      <c r="AJ3541">
        <v>107.879999090151</v>
      </c>
      <c r="AK3541">
        <v>19.923114765123501</v>
      </c>
      <c r="AL3541">
        <v>81.0505792808069</v>
      </c>
      <c r="AM3541">
        <v>100.53197981640901</v>
      </c>
      <c r="AN3541">
        <v>1.00000001516434</v>
      </c>
    </row>
    <row r="3542" spans="1:40" x14ac:dyDescent="0.25">
      <c r="A3542" t="str">
        <f>"20190304154824890"</f>
        <v>20190304154824890</v>
      </c>
      <c r="B3542" t="str">
        <f>"1551685704880003"</f>
        <v>1551685704880003</v>
      </c>
      <c r="C3542" t="s">
        <v>40</v>
      </c>
      <c r="D3542">
        <v>4.3396400000000002</v>
      </c>
      <c r="E3542">
        <v>0.44648640000000001</v>
      </c>
      <c r="F3542" t="s">
        <v>44</v>
      </c>
      <c r="G3542">
        <v>-491.62479999999999</v>
      </c>
      <c r="H3542" s="1">
        <v>-1.235044E-6</v>
      </c>
      <c r="I3542">
        <v>251.46029999999999</v>
      </c>
      <c r="J3542">
        <v>-488.6148</v>
      </c>
      <c r="K3542">
        <v>1.119936</v>
      </c>
      <c r="L3542">
        <v>270.80930000000001</v>
      </c>
      <c r="M3542">
        <v>-0.44780979999999998</v>
      </c>
      <c r="N3542">
        <v>-1.558563E-2</v>
      </c>
      <c r="O3542">
        <v>-0.89399309999999998</v>
      </c>
      <c r="P3542">
        <v>-0.27843200000000001</v>
      </c>
      <c r="Q3542">
        <v>0.1438625</v>
      </c>
      <c r="R3542">
        <v>-0.94962089999999999</v>
      </c>
      <c r="S3542">
        <v>-0.48046879999999997</v>
      </c>
      <c r="T3542">
        <v>-0.1751964</v>
      </c>
      <c r="U3542">
        <v>-3.0484619999999998</v>
      </c>
      <c r="V3542">
        <v>-0.17993010000000001</v>
      </c>
      <c r="W3542">
        <v>0.154964299999999</v>
      </c>
      <c r="X3542">
        <v>0.9713965</v>
      </c>
      <c r="Y3542">
        <v>-0.3030928</v>
      </c>
      <c r="Z3542">
        <v>3.1739580000000003E-2</v>
      </c>
      <c r="AA3542">
        <v>0.95243230000000001</v>
      </c>
      <c r="AB3542">
        <v>26</v>
      </c>
      <c r="AC3542">
        <v>-3.00999999999999</v>
      </c>
      <c r="AD3542">
        <v>-1.119937235044</v>
      </c>
      <c r="AE3542">
        <v>-19.349</v>
      </c>
      <c r="AF3542">
        <v>-5.9549986718907197</v>
      </c>
      <c r="AG3542">
        <v>-1.119937235044</v>
      </c>
      <c r="AH3542">
        <v>18.587243682800501</v>
      </c>
      <c r="AI3542">
        <v>93.284034561673806</v>
      </c>
      <c r="AJ3542">
        <v>107.76446847931901</v>
      </c>
      <c r="AK3542">
        <v>19.549984560517299</v>
      </c>
      <c r="AL3542">
        <v>81.085273932928999</v>
      </c>
      <c r="AM3542">
        <v>100.49386411153699</v>
      </c>
      <c r="AN3542">
        <v>0.999999967686374</v>
      </c>
    </row>
    <row r="3543" spans="1:40" x14ac:dyDescent="0.25">
      <c r="A3543" t="str">
        <f>"20190304154824904"</f>
        <v>20190304154824904</v>
      </c>
      <c r="B3543" t="str">
        <f>"1551685704900499"</f>
        <v>1551685704900499</v>
      </c>
      <c r="C3543" t="s">
        <v>40</v>
      </c>
      <c r="D3543">
        <v>4.3426999999999998</v>
      </c>
      <c r="E3543">
        <v>0.44754759999999999</v>
      </c>
      <c r="F3543" t="s">
        <v>44</v>
      </c>
      <c r="G3543">
        <v>-491.52690000000001</v>
      </c>
      <c r="H3543" s="1">
        <v>-1.240774E-6</v>
      </c>
      <c r="I3543">
        <v>251.5343</v>
      </c>
      <c r="J3543">
        <v>-488.67090000000002</v>
      </c>
      <c r="K3543">
        <v>1.1198889999999999</v>
      </c>
      <c r="L3543">
        <v>270.67899999999997</v>
      </c>
      <c r="M3543">
        <v>-0.44097829999999899</v>
      </c>
      <c r="N3543">
        <v>-1.5574009999999999E-2</v>
      </c>
      <c r="O3543">
        <v>-0.89738269999999998</v>
      </c>
      <c r="P3543">
        <v>-0.27140389999999998</v>
      </c>
      <c r="Q3543">
        <v>0.1437678</v>
      </c>
      <c r="R3543">
        <v>-0.95166779999999995</v>
      </c>
      <c r="S3543">
        <v>-0.4609375</v>
      </c>
      <c r="T3543">
        <v>-0.17726520000000001</v>
      </c>
      <c r="U3543">
        <v>-3.0508730000000002</v>
      </c>
      <c r="V3543">
        <v>-0.17969070000000001</v>
      </c>
      <c r="W3543">
        <v>0.15488189999999999</v>
      </c>
      <c r="X3543">
        <v>0.97145400000000004</v>
      </c>
      <c r="Y3543">
        <v>-0.30189890000000003</v>
      </c>
      <c r="Z3543">
        <v>3.2550179999999998E-2</v>
      </c>
      <c r="AA3543">
        <v>0.95278410000000002</v>
      </c>
      <c r="AB3543">
        <v>26</v>
      </c>
      <c r="AC3543">
        <v>-2.8559999999999901</v>
      </c>
      <c r="AD3543">
        <v>-1.1198902407739999</v>
      </c>
      <c r="AE3543">
        <v>-19.1447</v>
      </c>
      <c r="AF3543">
        <v>-5.8605679914459303</v>
      </c>
      <c r="AG3543">
        <v>-1.1198902407739999</v>
      </c>
      <c r="AH3543">
        <v>18.3802678632278</v>
      </c>
      <c r="AI3543">
        <v>93.322264248286899</v>
      </c>
      <c r="AJ3543">
        <v>107.68493737374899</v>
      </c>
      <c r="AK3543">
        <v>19.3244575100505</v>
      </c>
      <c r="AL3543">
        <v>81.090053204175504</v>
      </c>
      <c r="AM3543">
        <v>100.479604823938</v>
      </c>
      <c r="AN3543">
        <v>1.0000000123650501</v>
      </c>
    </row>
    <row r="3544" spans="1:40" x14ac:dyDescent="0.25">
      <c r="A3544" t="str">
        <f>"20190304154824917"</f>
        <v>20190304154824917</v>
      </c>
      <c r="B3544" t="str">
        <f>"1551685704910260"</f>
        <v>1551685704910260</v>
      </c>
      <c r="C3544" t="s">
        <v>40</v>
      </c>
      <c r="D3544">
        <v>4.3013729999999999</v>
      </c>
      <c r="E3544">
        <v>0.44811519999999999</v>
      </c>
      <c r="F3544" t="s">
        <v>44</v>
      </c>
      <c r="G3544">
        <v>-491.4898</v>
      </c>
      <c r="H3544" s="1">
        <v>-1.170029E-6</v>
      </c>
      <c r="I3544">
        <v>251.39240000000001</v>
      </c>
      <c r="J3544">
        <v>-488.72809999999998</v>
      </c>
      <c r="K3544">
        <v>1.1198440000000001</v>
      </c>
      <c r="L3544">
        <v>270.54390000000001</v>
      </c>
      <c r="M3544">
        <v>-0.43390529999999999</v>
      </c>
      <c r="N3544">
        <v>-1.556193E-2</v>
      </c>
      <c r="O3544">
        <v>-0.90082430000000002</v>
      </c>
      <c r="P3544">
        <v>-0.26418259999999899</v>
      </c>
      <c r="Q3544">
        <v>0.14374319999999999</v>
      </c>
      <c r="R3544">
        <v>-0.95370129999999997</v>
      </c>
      <c r="S3544">
        <v>-0.44607540000000001</v>
      </c>
      <c r="T3544">
        <v>-0.17721389999999901</v>
      </c>
      <c r="U3544">
        <v>-3.0519409999999998</v>
      </c>
      <c r="V3544">
        <v>-0.17939639999999901</v>
      </c>
      <c r="W3544">
        <v>0.15487200000000001</v>
      </c>
      <c r="X3544">
        <v>0.97150999999999998</v>
      </c>
      <c r="Y3544">
        <v>-0.29899049999999999</v>
      </c>
      <c r="Z3544">
        <v>3.2838390000000002E-2</v>
      </c>
      <c r="AA3544">
        <v>0.95369090000000001</v>
      </c>
      <c r="AB3544">
        <v>25</v>
      </c>
      <c r="AC3544">
        <v>-2.76170000000001</v>
      </c>
      <c r="AD3544">
        <v>-1.119845170029</v>
      </c>
      <c r="AE3544">
        <v>-19.151499999999999</v>
      </c>
      <c r="AF3544">
        <v>-5.80339669970542</v>
      </c>
      <c r="AG3544">
        <v>-1.119845170029</v>
      </c>
      <c r="AH3544">
        <v>18.391083833189199</v>
      </c>
      <c r="AI3544">
        <v>93.323329926590802</v>
      </c>
      <c r="AJ3544">
        <v>107.513346442733</v>
      </c>
      <c r="AK3544">
        <v>19.317490287777598</v>
      </c>
      <c r="AL3544">
        <v>81.090627630132801</v>
      </c>
      <c r="AM3544">
        <v>100.46223072428</v>
      </c>
      <c r="AN3544">
        <v>1.0000000424084701</v>
      </c>
    </row>
    <row r="3545" spans="1:40" x14ac:dyDescent="0.25">
      <c r="A3545" t="str">
        <f>"20190304154824927"</f>
        <v>20190304154824927</v>
      </c>
      <c r="B3545" t="str">
        <f>"1551685704920019"</f>
        <v>1551685704920019</v>
      </c>
      <c r="C3545" t="s">
        <v>40</v>
      </c>
      <c r="D3545">
        <v>4.339594</v>
      </c>
      <c r="E3545">
        <v>0.44868930000000001</v>
      </c>
      <c r="F3545" t="s">
        <v>44</v>
      </c>
      <c r="G3545">
        <v>-491.43130000000002</v>
      </c>
      <c r="H3545" s="1">
        <v>-1.08365E-6</v>
      </c>
      <c r="I3545">
        <v>251.22739999999999</v>
      </c>
      <c r="J3545">
        <v>-488.7801</v>
      </c>
      <c r="K3545">
        <v>1.119801</v>
      </c>
      <c r="L3545">
        <v>270.4187</v>
      </c>
      <c r="M3545">
        <v>-0.42736499999999999</v>
      </c>
      <c r="N3545">
        <v>-1.5550430000000001E-2</v>
      </c>
      <c r="O3545">
        <v>-0.90394560000000002</v>
      </c>
      <c r="P3545">
        <v>-0.25740170000000001</v>
      </c>
      <c r="Q3545">
        <v>0.14308299999999999</v>
      </c>
      <c r="R3545">
        <v>-0.95565270000000002</v>
      </c>
      <c r="S3545">
        <v>-0.42736819999999998</v>
      </c>
      <c r="T3545">
        <v>-0.17705019999999999</v>
      </c>
      <c r="U3545">
        <v>-3.0539860000000001</v>
      </c>
      <c r="V3545">
        <v>-0.17926610000000001</v>
      </c>
      <c r="W3545">
        <v>0.15422369999999999</v>
      </c>
      <c r="X3545">
        <v>0.97163710000000003</v>
      </c>
      <c r="Y3545">
        <v>-0.2978923</v>
      </c>
      <c r="Z3545">
        <v>3.3036650000000001E-2</v>
      </c>
      <c r="AA3545">
        <v>0.95402770000000003</v>
      </c>
      <c r="AB3545">
        <v>25</v>
      </c>
      <c r="AC3545">
        <v>-2.65120000000001</v>
      </c>
      <c r="AD3545">
        <v>-1.11980208365</v>
      </c>
      <c r="AE3545">
        <v>-19.191299999999998</v>
      </c>
      <c r="AF3545">
        <v>-5.7865182883450199</v>
      </c>
      <c r="AG3545">
        <v>-1.11980208365</v>
      </c>
      <c r="AH3545">
        <v>18.421608564410899</v>
      </c>
      <c r="AI3545">
        <v>93.319072942995405</v>
      </c>
      <c r="AJ3545">
        <v>107.438327726561</v>
      </c>
      <c r="AK3545">
        <v>19.3414945831049</v>
      </c>
      <c r="AL3545">
        <v>81.128223539394895</v>
      </c>
      <c r="AM3545">
        <v>100.453461918896</v>
      </c>
      <c r="AN3545">
        <v>0.99999996917365397</v>
      </c>
    </row>
    <row r="3546" spans="1:40" x14ac:dyDescent="0.25">
      <c r="A3546" t="str">
        <f>"20190304154824942"</f>
        <v>20190304154824942</v>
      </c>
      <c r="B3546" t="str">
        <f>"1551685704929780"</f>
        <v>1551685704929780</v>
      </c>
      <c r="C3546" t="s">
        <v>40</v>
      </c>
      <c r="D3546">
        <v>4.3191899999999999</v>
      </c>
      <c r="E3546">
        <v>0.44930979999999998</v>
      </c>
      <c r="F3546" t="s">
        <v>44</v>
      </c>
      <c r="G3546">
        <v>-491.34030000000001</v>
      </c>
      <c r="H3546" s="1">
        <v>-1.102873E-6</v>
      </c>
      <c r="I3546">
        <v>251.3287</v>
      </c>
      <c r="J3546">
        <v>-488.83679999999998</v>
      </c>
      <c r="K3546">
        <v>1.1197520000000001</v>
      </c>
      <c r="L3546">
        <v>270.27879999999999</v>
      </c>
      <c r="M3546">
        <v>-0.42008390000000001</v>
      </c>
      <c r="N3546">
        <v>-1.5536609999999999E-2</v>
      </c>
      <c r="O3546">
        <v>-0.90735239999999995</v>
      </c>
      <c r="P3546">
        <v>-0.24958130000000001</v>
      </c>
      <c r="Q3546">
        <v>0.14236570000000001</v>
      </c>
      <c r="R3546">
        <v>-0.95783169999999995</v>
      </c>
      <c r="S3546">
        <v>-0.40978999999999999</v>
      </c>
      <c r="T3546">
        <v>-0.17924189999999901</v>
      </c>
      <c r="U3546">
        <v>-3.0556640000000002</v>
      </c>
      <c r="V3546">
        <v>-0.1794066</v>
      </c>
      <c r="W3546">
        <v>0.1535128</v>
      </c>
      <c r="X3546">
        <v>0.97172380000000003</v>
      </c>
      <c r="Y3546">
        <v>-0.2956799</v>
      </c>
      <c r="Z3546">
        <v>3.3918419999999998E-2</v>
      </c>
      <c r="AA3546">
        <v>0.95468470000000005</v>
      </c>
      <c r="AB3546">
        <v>25</v>
      </c>
      <c r="AC3546">
        <v>-2.50350000000003</v>
      </c>
      <c r="AD3546">
        <v>-1.1197531028729999</v>
      </c>
      <c r="AE3546">
        <v>-18.9500999999999</v>
      </c>
      <c r="AF3546">
        <v>-5.6703025534836797</v>
      </c>
      <c r="AG3546">
        <v>-1.1197531028729999</v>
      </c>
      <c r="AH3546">
        <v>18.185890871604101</v>
      </c>
      <c r="AI3546">
        <v>93.364066398038005</v>
      </c>
      <c r="AJ3546">
        <v>107.317311380615</v>
      </c>
      <c r="AK3546">
        <v>19.082264143788901</v>
      </c>
      <c r="AL3546">
        <v>81.169446517385097</v>
      </c>
      <c r="AM3546">
        <v>100.46056122077999</v>
      </c>
      <c r="AN3546">
        <v>1.0000000256869099</v>
      </c>
    </row>
    <row r="3547" spans="1:40" x14ac:dyDescent="0.25">
      <c r="A3547" t="str">
        <f>"20190304154824954"</f>
        <v>20190304154824954</v>
      </c>
      <c r="B3547" t="str">
        <f>"1551685704950276"</f>
        <v>1551685704950276</v>
      </c>
      <c r="C3547" t="s">
        <v>40</v>
      </c>
      <c r="D3547">
        <v>4.3064770000000001</v>
      </c>
      <c r="E3547">
        <v>0.46181030000000001</v>
      </c>
      <c r="F3547" t="s">
        <v>44</v>
      </c>
      <c r="G3547">
        <v>-491.24220000000003</v>
      </c>
      <c r="H3547" s="1">
        <v>-1.080259E-6</v>
      </c>
      <c r="I3547">
        <v>251.33680000000001</v>
      </c>
      <c r="J3547">
        <v>-488.88529999999997</v>
      </c>
      <c r="K3547">
        <v>1.119705</v>
      </c>
      <c r="L3547">
        <v>270.15699999999998</v>
      </c>
      <c r="M3547">
        <v>-0.41376039999999997</v>
      </c>
      <c r="N3547">
        <v>-1.552453E-2</v>
      </c>
      <c r="O3547">
        <v>-0.91025350000000005</v>
      </c>
      <c r="P3547">
        <v>-0.24262300000000001</v>
      </c>
      <c r="Q3547">
        <v>0.14182220000000001</v>
      </c>
      <c r="R3547">
        <v>-0.9596981</v>
      </c>
      <c r="S3547">
        <v>-0.38830569999999998</v>
      </c>
      <c r="T3547">
        <v>-0.18076130000000001</v>
      </c>
      <c r="U3547">
        <v>-3.0577999999999999</v>
      </c>
      <c r="V3547">
        <v>-0.17970220000000001</v>
      </c>
      <c r="W3547">
        <v>0.15297089999999999</v>
      </c>
      <c r="X3547">
        <v>0.97175460000000002</v>
      </c>
      <c r="Y3547">
        <v>-0.29571789999999998</v>
      </c>
      <c r="Z3547">
        <v>3.4549990000000003E-2</v>
      </c>
      <c r="AA3547">
        <v>0.95465029999999995</v>
      </c>
      <c r="AB3547">
        <v>25</v>
      </c>
      <c r="AC3547">
        <v>-2.3569000000000502</v>
      </c>
      <c r="AD3547">
        <v>-1.119706080259</v>
      </c>
      <c r="AE3547">
        <v>-18.8201999999999</v>
      </c>
      <c r="AF3547">
        <v>-5.6227614018466596</v>
      </c>
      <c r="AG3547">
        <v>-1.119706080259</v>
      </c>
      <c r="AH3547">
        <v>18.045637246673799</v>
      </c>
      <c r="AI3547">
        <v>93.390212581882693</v>
      </c>
      <c r="AJ3547">
        <v>107.306284107506</v>
      </c>
      <c r="AK3547">
        <v>18.934471503762801</v>
      </c>
      <c r="AL3547">
        <v>81.200865888337603</v>
      </c>
      <c r="AM3547">
        <v>100.477090508548</v>
      </c>
      <c r="AN3547">
        <v>0.99999998977640503</v>
      </c>
    </row>
    <row r="3548" spans="1:40" x14ac:dyDescent="0.25">
      <c r="A3548" t="str">
        <f>"20190304154824965"</f>
        <v>20190304154824965</v>
      </c>
      <c r="B3548" t="str">
        <f>"1551685704960035"</f>
        <v>1551685704960035</v>
      </c>
      <c r="C3548" t="s">
        <v>40</v>
      </c>
      <c r="D3548">
        <v>4.3055859999999999</v>
      </c>
      <c r="E3548">
        <v>0.46229999999999999</v>
      </c>
      <c r="F3548" t="s">
        <v>44</v>
      </c>
      <c r="G3548">
        <v>-491.9341</v>
      </c>
      <c r="H3548" s="1">
        <v>-7.5892469999999902E-7</v>
      </c>
      <c r="I3548">
        <v>250.15860000000001</v>
      </c>
      <c r="J3548">
        <v>-488.93189999999998</v>
      </c>
      <c r="K3548">
        <v>1.1196539999999999</v>
      </c>
      <c r="L3548">
        <v>270.03719999999998</v>
      </c>
      <c r="M3548">
        <v>-0.40756989999999998</v>
      </c>
      <c r="N3548">
        <v>-1.5511749999999999E-2</v>
      </c>
      <c r="O3548">
        <v>-0.91304229999999997</v>
      </c>
      <c r="P3548">
        <v>-0.23569889999999999</v>
      </c>
      <c r="Q3548">
        <v>0.14192859999999999</v>
      </c>
      <c r="R3548">
        <v>-0.96140639999999999</v>
      </c>
      <c r="S3548">
        <v>-0.46255489999999999</v>
      </c>
      <c r="T3548">
        <v>-0.16988110000000001</v>
      </c>
      <c r="U3548">
        <v>-3.0341490000000002</v>
      </c>
      <c r="V3548">
        <v>-0.1800861</v>
      </c>
      <c r="W3548">
        <v>0.1530764</v>
      </c>
      <c r="X3548">
        <v>0.9716669</v>
      </c>
      <c r="Y3548">
        <v>-0.26526759999999999</v>
      </c>
      <c r="Z3548">
        <v>3.2424590000000003E-2</v>
      </c>
      <c r="AA3548">
        <v>0.96362950000000003</v>
      </c>
      <c r="AB3548">
        <v>25</v>
      </c>
      <c r="AC3548">
        <v>-3.00220000000001</v>
      </c>
      <c r="AD3548">
        <v>-1.1196547589246999</v>
      </c>
      <c r="AE3548">
        <v>-19.878599999999899</v>
      </c>
      <c r="AF3548">
        <v>-5.3448500559520999</v>
      </c>
      <c r="AG3548">
        <v>-1.1196547589246999</v>
      </c>
      <c r="AH3548">
        <v>19.3160266164947</v>
      </c>
      <c r="AI3548">
        <v>93.197550822624194</v>
      </c>
      <c r="AJ3548">
        <v>105.467057121051</v>
      </c>
      <c r="AK3548">
        <v>20.073114684794799</v>
      </c>
      <c r="AL3548">
        <v>81.1947490223816</v>
      </c>
      <c r="AM3548">
        <v>100.49990221733</v>
      </c>
      <c r="AN3548">
        <v>0.99999997610288904</v>
      </c>
    </row>
    <row r="3549" spans="1:40" x14ac:dyDescent="0.25">
      <c r="A3549" t="str">
        <f>"20190304154824976"</f>
        <v>20190304154824976</v>
      </c>
      <c r="B3549" t="str">
        <f>"1551685704969797"</f>
        <v>1551685704969797</v>
      </c>
      <c r="C3549" t="s">
        <v>40</v>
      </c>
      <c r="D3549">
        <v>4.3845929999999997</v>
      </c>
      <c r="E3549">
        <v>0.46229999999999999</v>
      </c>
      <c r="F3549" t="s">
        <v>44</v>
      </c>
      <c r="G3549">
        <v>-491.88639999999998</v>
      </c>
      <c r="H3549" s="1">
        <v>-6.1398980000000002E-7</v>
      </c>
      <c r="I3549">
        <v>249.8503</v>
      </c>
      <c r="J3549">
        <v>-488.97579999999999</v>
      </c>
      <c r="K3549">
        <v>1.1196060000000001</v>
      </c>
      <c r="L3549">
        <v>269.92250000000001</v>
      </c>
      <c r="M3549">
        <v>-0.4016612</v>
      </c>
      <c r="N3549">
        <v>-1.549911E-2</v>
      </c>
      <c r="O3549">
        <v>-0.91565719999999995</v>
      </c>
      <c r="P3549">
        <v>-0.22886709999999999</v>
      </c>
      <c r="Q3549">
        <v>0.14181939999999901</v>
      </c>
      <c r="R3549">
        <v>-0.96307180000000003</v>
      </c>
      <c r="S3549">
        <v>-0.44439699999999999</v>
      </c>
      <c r="T3549">
        <v>-0.1684089</v>
      </c>
      <c r="U3549">
        <v>-3.036346</v>
      </c>
      <c r="V3549">
        <v>-0.1806931</v>
      </c>
      <c r="W3549">
        <v>0.15296100000000001</v>
      </c>
      <c r="X3549">
        <v>0.9715724</v>
      </c>
      <c r="Y3549">
        <v>-0.26477820000000002</v>
      </c>
      <c r="Z3549">
        <v>3.2200569999999998E-2</v>
      </c>
      <c r="AA3549">
        <v>0.96377159999999995</v>
      </c>
      <c r="AB3549">
        <v>25</v>
      </c>
      <c r="AC3549">
        <v>-2.9105999999999801</v>
      </c>
      <c r="AD3549">
        <v>-1.11960661398979</v>
      </c>
      <c r="AE3549">
        <v>-20.072199999999999</v>
      </c>
      <c r="AF3549">
        <v>-5.3813621349216501</v>
      </c>
      <c r="AG3549">
        <v>-1.11960661398979</v>
      </c>
      <c r="AH3549">
        <v>19.4912832233872</v>
      </c>
      <c r="AI3549">
        <v>93.169222027582194</v>
      </c>
      <c r="AJ3549">
        <v>105.434334107572</v>
      </c>
      <c r="AK3549">
        <v>20.251486342773799</v>
      </c>
      <c r="AL3549">
        <v>81.201439928251602</v>
      </c>
      <c r="AM3549">
        <v>100.535504049458</v>
      </c>
      <c r="AN3549">
        <v>0.99999999617518498</v>
      </c>
    </row>
    <row r="3550" spans="1:40" x14ac:dyDescent="0.25">
      <c r="A3550" t="str">
        <f>"20190304154824988"</f>
        <v>20190304154824988</v>
      </c>
      <c r="B3550" t="str">
        <f>"1551685704980532"</f>
        <v>1551685704980532</v>
      </c>
      <c r="C3550" t="s">
        <v>40</v>
      </c>
      <c r="D3550">
        <v>4.3170650000000004</v>
      </c>
      <c r="E3550">
        <v>0.46209800000000001</v>
      </c>
      <c r="F3550" t="s">
        <v>44</v>
      </c>
      <c r="G3550">
        <v>-491.78149999999999</v>
      </c>
      <c r="H3550" s="1">
        <v>-5.5244960000000003E-7</v>
      </c>
      <c r="I3550">
        <v>249.77189999999999</v>
      </c>
      <c r="J3550">
        <v>-489.02050000000003</v>
      </c>
      <c r="K3550">
        <v>1.1195520000000001</v>
      </c>
      <c r="L3550">
        <v>269.80329999999998</v>
      </c>
      <c r="M3550">
        <v>-0.39554280000000003</v>
      </c>
      <c r="N3550">
        <v>-1.548546E-2</v>
      </c>
      <c r="O3550">
        <v>-0.9183171</v>
      </c>
      <c r="P3550">
        <v>-0.2220357</v>
      </c>
      <c r="Q3550">
        <v>0.141891299999999</v>
      </c>
      <c r="R3550">
        <v>-0.96465909999999999</v>
      </c>
      <c r="S3550">
        <v>-0.42318729999999899</v>
      </c>
      <c r="T3550">
        <v>-0.16887149999999901</v>
      </c>
      <c r="U3550">
        <v>-3.0393370000000002</v>
      </c>
      <c r="V3550">
        <v>-0.1810737</v>
      </c>
      <c r="W3550">
        <v>0.15303310000000001</v>
      </c>
      <c r="X3550">
        <v>0.97149019999999997</v>
      </c>
      <c r="Y3550">
        <v>-0.26507199999999997</v>
      </c>
      <c r="Z3550">
        <v>3.2502530000000002E-2</v>
      </c>
      <c r="AA3550">
        <v>0.9636806</v>
      </c>
      <c r="AB3550">
        <v>25</v>
      </c>
      <c r="AC3550">
        <v>-2.7609999999999602</v>
      </c>
      <c r="AD3550">
        <v>-1.1195525524495999</v>
      </c>
      <c r="AE3550">
        <v>-20.031399999999898</v>
      </c>
      <c r="AF3550">
        <v>-5.3719806074979202</v>
      </c>
      <c r="AG3550">
        <v>-1.1195525524495999</v>
      </c>
      <c r="AH3550">
        <v>19.430044137817699</v>
      </c>
      <c r="AI3550">
        <v>93.178721626003593</v>
      </c>
      <c r="AJ3550">
        <v>105.45495309043901</v>
      </c>
      <c r="AK3550">
        <v>20.190051727585399</v>
      </c>
      <c r="AL3550">
        <v>81.1972598240325</v>
      </c>
      <c r="AM3550">
        <v>100.55807015149399</v>
      </c>
      <c r="AN3550">
        <v>1.0000000116116601</v>
      </c>
    </row>
    <row r="3551" spans="1:40" x14ac:dyDescent="0.25">
      <c r="A3551" t="str">
        <f>"20190304154824999"</f>
        <v>20190304154824999</v>
      </c>
      <c r="B3551" t="str">
        <f>"1551685704990291"</f>
        <v>1551685704990291</v>
      </c>
      <c r="C3551" t="s">
        <v>40</v>
      </c>
      <c r="D3551">
        <v>4.3129119999999999</v>
      </c>
      <c r="E3551">
        <v>0.46261469999999999</v>
      </c>
      <c r="F3551" t="s">
        <v>44</v>
      </c>
      <c r="G3551">
        <v>-491.6311</v>
      </c>
      <c r="H3551" s="1">
        <v>-6.0270569999999904E-7</v>
      </c>
      <c r="I3551">
        <v>249.98230000000001</v>
      </c>
      <c r="J3551">
        <v>-489.06209999999999</v>
      </c>
      <c r="K3551">
        <v>1.119502</v>
      </c>
      <c r="L3551">
        <v>269.68990000000002</v>
      </c>
      <c r="M3551">
        <v>-0.38976189999999999</v>
      </c>
      <c r="N3551">
        <v>-1.5471560000000001E-2</v>
      </c>
      <c r="O3551">
        <v>-0.92078570000000004</v>
      </c>
      <c r="P3551">
        <v>-0.21576429999999999</v>
      </c>
      <c r="Q3551">
        <v>0.1419192</v>
      </c>
      <c r="R3551">
        <v>-0.96607710000000002</v>
      </c>
      <c r="S3551">
        <v>-0.40078740000000002</v>
      </c>
      <c r="T3551">
        <v>-0.17187649999999999</v>
      </c>
      <c r="U3551">
        <v>-3.0429689999999998</v>
      </c>
      <c r="V3551">
        <v>-0.18125620000000001</v>
      </c>
      <c r="W3551">
        <v>0.15306649999999999</v>
      </c>
      <c r="X3551">
        <v>0.97145090000000001</v>
      </c>
      <c r="Y3551">
        <v>-0.26613490000000001</v>
      </c>
      <c r="Z3551">
        <v>3.3490680000000002E-2</v>
      </c>
      <c r="AA3551">
        <v>0.96335380000000004</v>
      </c>
      <c r="AB3551">
        <v>25</v>
      </c>
      <c r="AC3551">
        <v>-2.5690000000000102</v>
      </c>
      <c r="AD3551">
        <v>-1.1195026027057</v>
      </c>
      <c r="AE3551">
        <v>-19.707599999999999</v>
      </c>
      <c r="AF3551">
        <v>-5.2995940396543002</v>
      </c>
      <c r="AG3551">
        <v>-1.1195026027057</v>
      </c>
      <c r="AH3551">
        <v>19.089496306541701</v>
      </c>
      <c r="AI3551">
        <v>93.234218084298803</v>
      </c>
      <c r="AJ3551">
        <v>105.515629255205</v>
      </c>
      <c r="AK3551">
        <v>19.8430807159592</v>
      </c>
      <c r="AL3551">
        <v>81.195323291781904</v>
      </c>
      <c r="AM3551">
        <v>100.568889686387</v>
      </c>
      <c r="AN3551">
        <v>1.00000000728575</v>
      </c>
    </row>
    <row r="3552" spans="1:40" x14ac:dyDescent="0.25">
      <c r="A3552" t="str">
        <f>"20190304154825009"</f>
        <v>20190304154825009</v>
      </c>
      <c r="B3552" t="str">
        <f>"1551685705000053"</f>
        <v>1551685705000053</v>
      </c>
      <c r="C3552" t="s">
        <v>40</v>
      </c>
      <c r="D3552">
        <v>4.3238289999999999</v>
      </c>
      <c r="E3552">
        <v>0.46286929999999998</v>
      </c>
      <c r="F3552" t="s">
        <v>44</v>
      </c>
      <c r="G3552">
        <v>-491.54849999999999</v>
      </c>
      <c r="H3552" s="1">
        <v>-5.9418750000000004E-7</v>
      </c>
      <c r="I3552">
        <v>250.0138</v>
      </c>
      <c r="J3552">
        <v>-489.10500000000002</v>
      </c>
      <c r="K3552">
        <v>1.119445</v>
      </c>
      <c r="L3552">
        <v>269.57170000000002</v>
      </c>
      <c r="M3552">
        <v>-0.3837411</v>
      </c>
      <c r="N3552">
        <v>-1.5457220000000001E-2</v>
      </c>
      <c r="O3552">
        <v>-0.9233114</v>
      </c>
      <c r="P3552">
        <v>-0.2089686</v>
      </c>
      <c r="Q3552">
        <v>0.14190329999999901</v>
      </c>
      <c r="R3552">
        <v>-0.9675724</v>
      </c>
      <c r="S3552">
        <v>-0.38476559999999999</v>
      </c>
      <c r="T3552">
        <v>-0.17324149999999999</v>
      </c>
      <c r="U3552">
        <v>-3.044861</v>
      </c>
      <c r="V3552">
        <v>-0.1817203</v>
      </c>
      <c r="W3552">
        <v>0.153051399999999</v>
      </c>
      <c r="X3552">
        <v>0.97136659999999997</v>
      </c>
      <c r="Y3552">
        <v>-0.26490649999999999</v>
      </c>
      <c r="Z3552">
        <v>3.4071770000000001E-2</v>
      </c>
      <c r="AA3552">
        <v>0.96367199999999997</v>
      </c>
      <c r="AB3552">
        <v>25</v>
      </c>
      <c r="AC3552">
        <v>-2.44349999999997</v>
      </c>
      <c r="AD3552">
        <v>-1.1194455941874999</v>
      </c>
      <c r="AE3552">
        <v>-19.5579</v>
      </c>
      <c r="AF3552">
        <v>-5.2328056872868602</v>
      </c>
      <c r="AG3552">
        <v>-1.1194455941874999</v>
      </c>
      <c r="AH3552">
        <v>18.936885903371302</v>
      </c>
      <c r="AI3552">
        <v>93.261139970566902</v>
      </c>
      <c r="AJ3552">
        <v>105.447005365298</v>
      </c>
      <c r="AK3552">
        <v>19.678441541863801</v>
      </c>
      <c r="AL3552">
        <v>81.196199020036204</v>
      </c>
      <c r="AM3552">
        <v>100.596237665117</v>
      </c>
      <c r="AN3552">
        <v>1.0000000350348</v>
      </c>
    </row>
    <row r="3553" spans="1:40" x14ac:dyDescent="0.25">
      <c r="A3553" t="str">
        <f>"20190304154825022"</f>
        <v>20190304154825022</v>
      </c>
      <c r="B3553" t="str">
        <f>"1551685705009812"</f>
        <v>1551685705009812</v>
      </c>
      <c r="C3553" t="s">
        <v>40</v>
      </c>
      <c r="D3553">
        <v>4.3297089999999896</v>
      </c>
      <c r="E3553">
        <v>0.46341680000000002</v>
      </c>
      <c r="F3553" t="s">
        <v>44</v>
      </c>
      <c r="G3553">
        <v>-491.45060000000001</v>
      </c>
      <c r="H3553" s="1">
        <v>-5.8949699999999995E-7</v>
      </c>
      <c r="I3553">
        <v>250.0635</v>
      </c>
      <c r="J3553">
        <v>-489.14819999999997</v>
      </c>
      <c r="K3553">
        <v>1.119378</v>
      </c>
      <c r="L3553">
        <v>269.44889999999998</v>
      </c>
      <c r="M3553">
        <v>-0.37755569999999999</v>
      </c>
      <c r="N3553">
        <v>-1.544041E-2</v>
      </c>
      <c r="O3553">
        <v>-0.92585819999999996</v>
      </c>
      <c r="P3553">
        <v>-0.2026135</v>
      </c>
      <c r="Q3553">
        <v>0.14152629999999999</v>
      </c>
      <c r="R3553">
        <v>-0.96897820000000001</v>
      </c>
      <c r="S3553">
        <v>-0.36636350000000001</v>
      </c>
      <c r="T3553">
        <v>-0.1748507</v>
      </c>
      <c r="U3553">
        <v>-3.0470579999999998</v>
      </c>
      <c r="V3553">
        <v>-0.18158369999999999</v>
      </c>
      <c r="W3553">
        <v>0.1526914</v>
      </c>
      <c r="X3553">
        <v>0.9714488</v>
      </c>
      <c r="Y3553">
        <v>-0.26427679999999998</v>
      </c>
      <c r="Z3553">
        <v>3.4719510000000002E-2</v>
      </c>
      <c r="AA3553">
        <v>0.9638217</v>
      </c>
      <c r="AB3553">
        <v>25</v>
      </c>
      <c r="AC3553">
        <v>-2.3024000000000302</v>
      </c>
      <c r="AD3553">
        <v>-1.1193785894970001</v>
      </c>
      <c r="AE3553">
        <v>-19.385399999999901</v>
      </c>
      <c r="AF3553">
        <v>-5.1709887115378104</v>
      </c>
      <c r="AG3553">
        <v>-1.1193785894970001</v>
      </c>
      <c r="AH3553">
        <v>18.757983452889999</v>
      </c>
      <c r="AI3553">
        <v>93.292534140866493</v>
      </c>
      <c r="AJ3553">
        <v>105.41186451396401</v>
      </c>
      <c r="AK3553">
        <v>19.489845456041198</v>
      </c>
      <c r="AL3553">
        <v>81.217070846122894</v>
      </c>
      <c r="AM3553">
        <v>100.58757691490101</v>
      </c>
      <c r="AN3553">
        <v>1.00000003738054</v>
      </c>
    </row>
    <row r="3554" spans="1:40" x14ac:dyDescent="0.25">
      <c r="A3554" t="str">
        <f>"20190304154825036"</f>
        <v>20190304154825036</v>
      </c>
      <c r="B3554" t="str">
        <f>"1551685705030308"</f>
        <v>1551685705030308</v>
      </c>
      <c r="C3554" t="s">
        <v>40</v>
      </c>
      <c r="D3554">
        <v>4.3498970000000003</v>
      </c>
      <c r="E3554">
        <v>0.46444390000000002</v>
      </c>
      <c r="F3554" t="s">
        <v>44</v>
      </c>
      <c r="G3554">
        <v>-491.37689999999998</v>
      </c>
      <c r="H3554" s="1">
        <v>-5.7035840000000005E-7</v>
      </c>
      <c r="I3554">
        <v>250.06469999999999</v>
      </c>
      <c r="J3554">
        <v>-489.19510000000002</v>
      </c>
      <c r="K3554">
        <v>1.1192979999999999</v>
      </c>
      <c r="L3554">
        <v>269.31380000000001</v>
      </c>
      <c r="M3554">
        <v>-0.37077870000000002</v>
      </c>
      <c r="N3554">
        <v>-1.542172E-2</v>
      </c>
      <c r="O3554">
        <v>-0.92859340000000001</v>
      </c>
      <c r="P3554">
        <v>-0.1957197</v>
      </c>
      <c r="Q3554">
        <v>0.14160790000000001</v>
      </c>
      <c r="R3554">
        <v>-0.97038219999999997</v>
      </c>
      <c r="S3554">
        <v>-0.35049439999999998</v>
      </c>
      <c r="T3554">
        <v>-0.17603929999999901</v>
      </c>
      <c r="U3554">
        <v>-3.0484619999999998</v>
      </c>
      <c r="V3554">
        <v>-0.1813575</v>
      </c>
      <c r="W3554">
        <v>0.15279419999999999</v>
      </c>
      <c r="X3554">
        <v>0.97147490000000003</v>
      </c>
      <c r="Y3554">
        <v>-0.26223159999999901</v>
      </c>
      <c r="Z3554">
        <v>3.529268E-2</v>
      </c>
      <c r="AA3554">
        <v>0.96435930000000003</v>
      </c>
      <c r="AB3554">
        <v>25</v>
      </c>
      <c r="AC3554">
        <v>-2.1817999999999498</v>
      </c>
      <c r="AD3554">
        <v>-1.1192985703584</v>
      </c>
      <c r="AE3554">
        <v>-19.249099999999999</v>
      </c>
      <c r="AF3554">
        <v>-5.0947502585787401</v>
      </c>
      <c r="AG3554">
        <v>-1.1192985703584</v>
      </c>
      <c r="AH3554">
        <v>18.623599401515399</v>
      </c>
      <c r="AI3554">
        <v>93.317781526295903</v>
      </c>
      <c r="AJ3554">
        <v>105.299742368504</v>
      </c>
      <c r="AK3554">
        <v>19.340314479217199</v>
      </c>
      <c r="AL3554">
        <v>81.211110981107396</v>
      </c>
      <c r="AM3554">
        <v>100.574407860094</v>
      </c>
      <c r="AN3554">
        <v>1.0000000458449401</v>
      </c>
    </row>
    <row r="3555" spans="1:40" x14ac:dyDescent="0.25">
      <c r="A3555" t="str">
        <f>"20190304154825049"</f>
        <v>20190304154825049</v>
      </c>
      <c r="B3555" t="str">
        <f>"1551685705040067"</f>
        <v>1551685705040067</v>
      </c>
      <c r="C3555" t="s">
        <v>40</v>
      </c>
      <c r="D3555">
        <v>4.3887999999999998</v>
      </c>
      <c r="E3555">
        <v>0.46489950000000002</v>
      </c>
      <c r="F3555" t="s">
        <v>44</v>
      </c>
      <c r="G3555">
        <v>-491.29840000000002</v>
      </c>
      <c r="H3555" s="1">
        <v>-6.4448719999999998E-7</v>
      </c>
      <c r="I3555">
        <v>250.2861</v>
      </c>
      <c r="J3555">
        <v>-489.2457</v>
      </c>
      <c r="K3555">
        <v>1.1192029999999999</v>
      </c>
      <c r="L3555">
        <v>269.16430000000003</v>
      </c>
      <c r="M3555">
        <v>-0.36334480000000002</v>
      </c>
      <c r="N3555">
        <v>-1.5399319999999999E-2</v>
      </c>
      <c r="O3555">
        <v>-0.93152769999999996</v>
      </c>
      <c r="P3555">
        <v>-0.1877646</v>
      </c>
      <c r="Q3555">
        <v>0.14175869999999999</v>
      </c>
      <c r="R3555">
        <v>-0.97193090000000004</v>
      </c>
      <c r="S3555">
        <v>-0.33712769999999997</v>
      </c>
      <c r="T3555">
        <v>-0.1794019</v>
      </c>
      <c r="U3555">
        <v>-3.0497740000000002</v>
      </c>
      <c r="V3555">
        <v>-0.1815098</v>
      </c>
      <c r="W3555">
        <v>0.15295999999999901</v>
      </c>
      <c r="X3555">
        <v>0.97142030000000001</v>
      </c>
      <c r="Y3555">
        <v>-0.25874259999999999</v>
      </c>
      <c r="Z3555">
        <v>3.652594E-2</v>
      </c>
      <c r="AA3555">
        <v>0.96525550000000004</v>
      </c>
      <c r="AB3555">
        <v>25</v>
      </c>
      <c r="AC3555">
        <v>-2.05270000000001</v>
      </c>
      <c r="AD3555">
        <v>-1.1192036444872</v>
      </c>
      <c r="AE3555">
        <v>-18.8782</v>
      </c>
      <c r="AF3555">
        <v>-4.9306070367355597</v>
      </c>
      <c r="AG3555">
        <v>-1.1192036444872</v>
      </c>
      <c r="AH3555">
        <v>18.270109103019202</v>
      </c>
      <c r="AI3555">
        <v>93.384692904328901</v>
      </c>
      <c r="AJ3555">
        <v>105.102786571075</v>
      </c>
      <c r="AK3555">
        <v>18.9568032427613</v>
      </c>
      <c r="AL3555">
        <v>81.2014977998696</v>
      </c>
      <c r="AM3555">
        <v>100.583668885783</v>
      </c>
      <c r="AN3555">
        <v>0.99999998417406499</v>
      </c>
    </row>
    <row r="3556" spans="1:40" x14ac:dyDescent="0.25">
      <c r="A3556" t="str">
        <f>"20190304154825063"</f>
        <v>20190304154825063</v>
      </c>
      <c r="B3556" t="str">
        <f>"1551685705060564"</f>
        <v>1551685705060564</v>
      </c>
      <c r="C3556" t="s">
        <v>40</v>
      </c>
      <c r="D3556">
        <v>4.3481139999999998</v>
      </c>
      <c r="E3556">
        <v>0.4654605</v>
      </c>
      <c r="F3556" t="s">
        <v>44</v>
      </c>
      <c r="G3556">
        <v>-491.2004</v>
      </c>
      <c r="H3556" s="1">
        <v>-6.1754459999999896E-7</v>
      </c>
      <c r="I3556">
        <v>250.2841</v>
      </c>
      <c r="J3556">
        <v>-489.29320000000001</v>
      </c>
      <c r="K3556">
        <v>1.11911</v>
      </c>
      <c r="L3556">
        <v>269.01979999999998</v>
      </c>
      <c r="M3556">
        <v>-0.35623460000000001</v>
      </c>
      <c r="N3556">
        <v>-1.537584E-2</v>
      </c>
      <c r="O3556">
        <v>-0.93427009999999999</v>
      </c>
      <c r="P3556">
        <v>-0.18034359999999999</v>
      </c>
      <c r="Q3556">
        <v>0.14165229999999901</v>
      </c>
      <c r="R3556">
        <v>-0.97335059999999995</v>
      </c>
      <c r="S3556">
        <v>-0.31597900000000001</v>
      </c>
      <c r="T3556">
        <v>-0.1809201</v>
      </c>
      <c r="U3556">
        <v>-3.0520019999999999</v>
      </c>
      <c r="V3556">
        <v>-0.18148539999999999</v>
      </c>
      <c r="W3556">
        <v>0.15287239999999999</v>
      </c>
      <c r="X3556">
        <v>0.97143860000000004</v>
      </c>
      <c r="Y3556">
        <v>-0.25807259999999999</v>
      </c>
      <c r="Z3556">
        <v>3.7183050000000002E-2</v>
      </c>
      <c r="AA3556">
        <v>0.96540970000000004</v>
      </c>
      <c r="AB3556">
        <v>25</v>
      </c>
      <c r="AC3556">
        <v>-1.90719999999998</v>
      </c>
      <c r="AD3556">
        <v>-1.1191106175446</v>
      </c>
      <c r="AE3556">
        <v>-18.735699999999898</v>
      </c>
      <c r="AF3556">
        <v>-4.8758250014825304</v>
      </c>
      <c r="AG3556">
        <v>-1.1191106175446</v>
      </c>
      <c r="AH3556">
        <v>18.121771030015399</v>
      </c>
      <c r="AI3556">
        <v>93.412746681082893</v>
      </c>
      <c r="AJ3556">
        <v>105.05930953209</v>
      </c>
      <c r="AK3556">
        <v>18.799592104183802</v>
      </c>
      <c r="AL3556">
        <v>81.206576226525101</v>
      </c>
      <c r="AM3556">
        <v>100.582083435027</v>
      </c>
      <c r="AN3556">
        <v>0.99999993733243797</v>
      </c>
    </row>
    <row r="3557" spans="1:40" x14ac:dyDescent="0.25">
      <c r="A3557" t="str">
        <f>"20190304154825080"</f>
        <v>20190304154825080</v>
      </c>
      <c r="B3557" t="str">
        <f>"1551685705070323"</f>
        <v>1551685705070323</v>
      </c>
      <c r="C3557" t="s">
        <v>40</v>
      </c>
      <c r="D3557">
        <v>4.2565309999999998</v>
      </c>
      <c r="E3557">
        <v>0.4654605</v>
      </c>
      <c r="F3557" t="s">
        <v>44</v>
      </c>
      <c r="G3557">
        <v>-491.11399999999998</v>
      </c>
      <c r="H3557" s="1">
        <v>-6.096001E-7</v>
      </c>
      <c r="I3557">
        <v>250.3192</v>
      </c>
      <c r="J3557">
        <v>-489.34660000000002</v>
      </c>
      <c r="K3557">
        <v>1.1190040000000001</v>
      </c>
      <c r="L3557">
        <v>268.85379999999998</v>
      </c>
      <c r="M3557">
        <v>-0.34813899999999998</v>
      </c>
      <c r="N3557">
        <v>-1.5348250000000001E-2</v>
      </c>
      <c r="O3557">
        <v>-0.93731739999999997</v>
      </c>
      <c r="P3557">
        <v>-0.17165899999999901</v>
      </c>
      <c r="Q3557">
        <v>0.141931</v>
      </c>
      <c r="R3557">
        <v>-0.9748791</v>
      </c>
      <c r="S3557">
        <v>-0.29733280000000001</v>
      </c>
      <c r="T3557">
        <v>-0.18274099999999999</v>
      </c>
      <c r="U3557">
        <v>-3.0536500000000002</v>
      </c>
      <c r="V3557">
        <v>-0.18169150000000001</v>
      </c>
      <c r="W3557">
        <v>0.15316830000000001</v>
      </c>
      <c r="X3557">
        <v>0.97135349999999998</v>
      </c>
      <c r="Y3557">
        <v>-0.25560699999999997</v>
      </c>
      <c r="Z3557">
        <v>3.7986109999999997E-2</v>
      </c>
      <c r="AA3557">
        <v>0.96603419999999895</v>
      </c>
      <c r="AB3557">
        <v>25</v>
      </c>
      <c r="AC3557">
        <v>-1.7674000000000001</v>
      </c>
      <c r="AD3557">
        <v>-1.1190046096001001</v>
      </c>
      <c r="AE3557">
        <v>-18.534599999999902</v>
      </c>
      <c r="AF3557">
        <v>-4.7793031787814302</v>
      </c>
      <c r="AG3557">
        <v>-1.1190046096001001</v>
      </c>
      <c r="AH3557">
        <v>17.925471331562001</v>
      </c>
      <c r="AI3557">
        <v>93.451801030661102</v>
      </c>
      <c r="AJ3557">
        <v>104.92896267563501</v>
      </c>
      <c r="AK3557">
        <v>18.5853822303892</v>
      </c>
      <c r="AL3557">
        <v>81.189420700328796</v>
      </c>
      <c r="AM3557">
        <v>100.594735986552</v>
      </c>
      <c r="AN3557">
        <v>0.999999975629694</v>
      </c>
    </row>
    <row r="3558" spans="1:40" x14ac:dyDescent="0.25">
      <c r="A3558" t="str">
        <f>"20190304154825092"</f>
        <v>20190304154825092</v>
      </c>
      <c r="B3558" t="str">
        <f>"1551685705089843"</f>
        <v>1551685705089843</v>
      </c>
      <c r="C3558" t="s">
        <v>40</v>
      </c>
      <c r="D3558">
        <v>4.3072619999999997</v>
      </c>
      <c r="E3558">
        <v>0.4638099</v>
      </c>
      <c r="F3558" t="s">
        <v>44</v>
      </c>
      <c r="G3558">
        <v>-491.01089999999999</v>
      </c>
      <c r="H3558" s="1">
        <v>-4.7710530000000001E-7</v>
      </c>
      <c r="I3558">
        <v>250.07429999999999</v>
      </c>
      <c r="J3558">
        <v>-489.39150000000001</v>
      </c>
      <c r="K3558">
        <v>1.1189039999999999</v>
      </c>
      <c r="L3558">
        <v>268.71080000000001</v>
      </c>
      <c r="M3558">
        <v>-0.34122619999999998</v>
      </c>
      <c r="N3558">
        <v>-1.532416E-2</v>
      </c>
      <c r="O3558">
        <v>-0.93985649999999998</v>
      </c>
      <c r="P3558">
        <v>-0.1647487</v>
      </c>
      <c r="Q3558">
        <v>0.1416615</v>
      </c>
      <c r="R3558">
        <v>-0.97611000000000003</v>
      </c>
      <c r="S3558">
        <v>-0.27084350000000001</v>
      </c>
      <c r="T3558">
        <v>-0.18210380000000001</v>
      </c>
      <c r="U3558">
        <v>-3.0561219999999998</v>
      </c>
      <c r="V3558">
        <v>-0.18138750000000001</v>
      </c>
      <c r="W3558">
        <v>0.1529266</v>
      </c>
      <c r="X3558">
        <v>0.97144839999999999</v>
      </c>
      <c r="Y3558">
        <v>-0.25686290000000001</v>
      </c>
      <c r="Z3558">
        <v>3.7986730000000003E-2</v>
      </c>
      <c r="AA3558">
        <v>0.96570100000000003</v>
      </c>
      <c r="AB3558">
        <v>25</v>
      </c>
      <c r="AC3558">
        <v>-1.61939999999998</v>
      </c>
      <c r="AD3558">
        <v>-1.1189044771053001</v>
      </c>
      <c r="AE3558">
        <v>-18.636500000000002</v>
      </c>
      <c r="AF3558">
        <v>-4.82057952997169</v>
      </c>
      <c r="AG3558">
        <v>-1.1189044771053001</v>
      </c>
      <c r="AH3558">
        <v>18.005917921502601</v>
      </c>
      <c r="AI3558">
        <v>93.435168227705603</v>
      </c>
      <c r="AJ3558">
        <v>104.987851669797</v>
      </c>
      <c r="AK3558">
        <v>18.673591363997399</v>
      </c>
      <c r="AL3558">
        <v>81.203434242226294</v>
      </c>
      <c r="AM3558">
        <v>100.576399604103</v>
      </c>
      <c r="AN3558">
        <v>0.99999998200318396</v>
      </c>
    </row>
    <row r="3559" spans="1:40" x14ac:dyDescent="0.25">
      <c r="A3559" t="str">
        <f>"20190304154825104"</f>
        <v>20190304154825104</v>
      </c>
      <c r="B3559" t="str">
        <f>"1551685705100580"</f>
        <v>1551685705100580</v>
      </c>
      <c r="C3559" t="s">
        <v>40</v>
      </c>
      <c r="D3559">
        <v>4.3622370000000004</v>
      </c>
      <c r="E3559">
        <v>0.46335799999999999</v>
      </c>
      <c r="F3559" t="s">
        <v>44</v>
      </c>
      <c r="G3559">
        <v>-490.98110000000003</v>
      </c>
      <c r="H3559" s="1">
        <v>-3.8969979999999996E-6</v>
      </c>
      <c r="I3559">
        <v>248.06460000000001</v>
      </c>
      <c r="J3559">
        <v>-489.4307</v>
      </c>
      <c r="K3559">
        <v>1.1188100000000001</v>
      </c>
      <c r="L3559">
        <v>268.58179999999999</v>
      </c>
      <c r="M3559">
        <v>-0.33508769999999999</v>
      </c>
      <c r="N3559">
        <v>-1.530107E-2</v>
      </c>
      <c r="O3559">
        <v>-0.94206270000000003</v>
      </c>
      <c r="P3559">
        <v>-0.1586137</v>
      </c>
      <c r="Q3559">
        <v>0.14162169999999999</v>
      </c>
      <c r="R3559">
        <v>-0.97713119999999998</v>
      </c>
      <c r="S3559">
        <v>-0.2354126</v>
      </c>
      <c r="T3559">
        <v>-0.1657122</v>
      </c>
      <c r="U3559">
        <v>-3.0577390000000002</v>
      </c>
      <c r="V3559">
        <v>-0.18111740000000001</v>
      </c>
      <c r="W3559">
        <v>0.15291150000000001</v>
      </c>
      <c r="X3559">
        <v>0.97150119999999895</v>
      </c>
      <c r="Y3559">
        <v>-0.26170949999999998</v>
      </c>
      <c r="Z3559">
        <v>3.3346199999999999E-2</v>
      </c>
      <c r="AA3559">
        <v>0.9645705</v>
      </c>
      <c r="AB3559">
        <v>25</v>
      </c>
      <c r="AC3559">
        <v>-1.55040000000002</v>
      </c>
      <c r="AD3559">
        <v>-1.1188138969979999</v>
      </c>
      <c r="AE3559">
        <v>-20.5171999999999</v>
      </c>
      <c r="AF3559">
        <v>-5.3991575651033301</v>
      </c>
      <c r="AG3559">
        <v>-1.1188138969979999</v>
      </c>
      <c r="AH3559">
        <v>19.791814065135</v>
      </c>
      <c r="AI3559">
        <v>93.121606388597996</v>
      </c>
      <c r="AJ3559">
        <v>105.258864248724</v>
      </c>
      <c r="AK3559">
        <v>20.545523866229502</v>
      </c>
      <c r="AL3559">
        <v>81.204309957787999</v>
      </c>
      <c r="AM3559">
        <v>100.560444020893</v>
      </c>
      <c r="AN3559">
        <v>1.0000000105082201</v>
      </c>
    </row>
    <row r="3560" spans="1:40" x14ac:dyDescent="0.25">
      <c r="A3560" t="str">
        <f>"20190304154825118"</f>
        <v>20190304154825118</v>
      </c>
      <c r="B3560" t="str">
        <f>"1551685705110340"</f>
        <v>1551685705110340</v>
      </c>
      <c r="C3560" t="s">
        <v>40</v>
      </c>
      <c r="D3560">
        <v>4.3452909999999996</v>
      </c>
      <c r="E3560">
        <v>0.46324179999999998</v>
      </c>
      <c r="F3560" t="s">
        <v>44</v>
      </c>
      <c r="G3560">
        <v>-490.90159999999997</v>
      </c>
      <c r="H3560" s="1">
        <v>-3.587247E-6</v>
      </c>
      <c r="I3560">
        <v>247.39189999999999</v>
      </c>
      <c r="J3560">
        <v>-489.47390000000001</v>
      </c>
      <c r="K3560">
        <v>1.1187100000000001</v>
      </c>
      <c r="L3560">
        <v>268.43729999999999</v>
      </c>
      <c r="M3560">
        <v>-0.3282602</v>
      </c>
      <c r="N3560">
        <v>-1.527512E-2</v>
      </c>
      <c r="O3560">
        <v>-0.94446399999999997</v>
      </c>
      <c r="P3560">
        <v>-0.151713299999999</v>
      </c>
      <c r="Q3560">
        <v>0.14181099999999999</v>
      </c>
      <c r="R3560">
        <v>-0.97819889999999998</v>
      </c>
      <c r="S3560">
        <v>-0.21234130000000001</v>
      </c>
      <c r="T3560">
        <v>-0.1615222</v>
      </c>
      <c r="U3560">
        <v>-3.0591740000000001</v>
      </c>
      <c r="V3560">
        <v>-0.1808969</v>
      </c>
      <c r="W3560">
        <v>0.15312590000000001</v>
      </c>
      <c r="X3560">
        <v>0.9715085</v>
      </c>
      <c r="Y3560">
        <v>-0.26199470000000002</v>
      </c>
      <c r="Z3560">
        <v>3.2301469999999999E-2</v>
      </c>
      <c r="AA3560">
        <v>0.96452859999999996</v>
      </c>
      <c r="AB3560">
        <v>25</v>
      </c>
      <c r="AC3560">
        <v>-1.42769999999995</v>
      </c>
      <c r="AD3560">
        <v>-1.118713587247</v>
      </c>
      <c r="AE3560">
        <v>-21.045400000000001</v>
      </c>
      <c r="AF3560">
        <v>-5.54500713603099</v>
      </c>
      <c r="AG3560">
        <v>-1.118713587247</v>
      </c>
      <c r="AH3560">
        <v>20.290578238685502</v>
      </c>
      <c r="AI3560">
        <v>93.044375199946401</v>
      </c>
      <c r="AJ3560">
        <v>105.28458556163299</v>
      </c>
      <c r="AK3560">
        <v>21.064334537059199</v>
      </c>
      <c r="AL3560">
        <v>81.191879236790896</v>
      </c>
      <c r="AM3560">
        <v>100.547798501866</v>
      </c>
      <c r="AN3560">
        <v>0.99999999762633496</v>
      </c>
    </row>
    <row r="3561" spans="1:40" x14ac:dyDescent="0.25">
      <c r="A3561" t="str">
        <f>"20190304154825133"</f>
        <v>20190304154825133</v>
      </c>
      <c r="B3561" t="str">
        <f>"1551685705129860"</f>
        <v>1551685705129860</v>
      </c>
      <c r="C3561" t="s">
        <v>40</v>
      </c>
      <c r="D3561">
        <v>4.3430470000000003</v>
      </c>
      <c r="E3561">
        <v>0.46326879999999998</v>
      </c>
      <c r="F3561" t="s">
        <v>44</v>
      </c>
      <c r="G3561">
        <v>-490.82049999999998</v>
      </c>
      <c r="H3561" s="1">
        <v>-3.2475400000000001E-6</v>
      </c>
      <c r="I3561">
        <v>246.65029999999999</v>
      </c>
      <c r="J3561">
        <v>-489.51909999999998</v>
      </c>
      <c r="K3561">
        <v>1.118598</v>
      </c>
      <c r="L3561">
        <v>268.28300000000002</v>
      </c>
      <c r="M3561">
        <v>-0.32104139999999998</v>
      </c>
      <c r="N3561">
        <v>-1.5247159999999999E-2</v>
      </c>
      <c r="O3561">
        <v>-0.94694259999999997</v>
      </c>
      <c r="P3561">
        <v>-0.14455950000000001</v>
      </c>
      <c r="Q3561">
        <v>0.14286679999999999</v>
      </c>
      <c r="R3561">
        <v>-0.97912809999999995</v>
      </c>
      <c r="S3561">
        <v>-0.18914790000000001</v>
      </c>
      <c r="T3561">
        <v>-0.15713969999999999</v>
      </c>
      <c r="U3561">
        <v>-3.0603030000000002</v>
      </c>
      <c r="V3561">
        <v>-0.18050930000000001</v>
      </c>
      <c r="W3561">
        <v>0.1542105</v>
      </c>
      <c r="X3561">
        <v>0.97140899999999997</v>
      </c>
      <c r="Y3561">
        <v>-0.26193270000000002</v>
      </c>
      <c r="Z3561">
        <v>3.120535E-2</v>
      </c>
      <c r="AA3561">
        <v>0.96458149999999998</v>
      </c>
      <c r="AB3561">
        <v>25</v>
      </c>
      <c r="AC3561">
        <v>-1.3013999999999999</v>
      </c>
      <c r="AD3561">
        <v>-1.11860124754</v>
      </c>
      <c r="AE3561">
        <v>-21.6327</v>
      </c>
      <c r="AF3561">
        <v>-5.6981236419950703</v>
      </c>
      <c r="AG3561">
        <v>-1.11860124754</v>
      </c>
      <c r="AH3561">
        <v>20.849608294652199</v>
      </c>
      <c r="AI3561">
        <v>92.962585904803902</v>
      </c>
      <c r="AJ3561">
        <v>105.285467316069</v>
      </c>
      <c r="AK3561">
        <v>21.643152446695201</v>
      </c>
      <c r="AL3561">
        <v>81.128988967983901</v>
      </c>
      <c r="AM3561">
        <v>100.526757812298</v>
      </c>
      <c r="AN3561">
        <v>0.99999996548886905</v>
      </c>
    </row>
    <row r="3562" spans="1:40" x14ac:dyDescent="0.25">
      <c r="A3562" t="str">
        <f>"20190304154825147"</f>
        <v>20190304154825147</v>
      </c>
      <c r="B3562" t="str">
        <f>"1551685705140596"</f>
        <v>1551685705140596</v>
      </c>
      <c r="C3562" t="s">
        <v>40</v>
      </c>
      <c r="D3562">
        <v>4.3386969999999998</v>
      </c>
      <c r="E3562">
        <v>0.46351750000000003</v>
      </c>
      <c r="F3562" t="s">
        <v>44</v>
      </c>
      <c r="G3562">
        <v>-490.77809999999999</v>
      </c>
      <c r="H3562" s="1">
        <v>-2.6540049999999998E-6</v>
      </c>
      <c r="I3562">
        <v>245.29300000000001</v>
      </c>
      <c r="J3562">
        <v>-489.5616</v>
      </c>
      <c r="K3562">
        <v>1.118484</v>
      </c>
      <c r="L3562">
        <v>268.13310000000001</v>
      </c>
      <c r="M3562">
        <v>-0.31414599999999998</v>
      </c>
      <c r="N3562">
        <v>-1.521863E-2</v>
      </c>
      <c r="O3562">
        <v>-0.94925280000000001</v>
      </c>
      <c r="P3562">
        <v>-0.13745019999999999</v>
      </c>
      <c r="Q3562">
        <v>0.14332420000000001</v>
      </c>
      <c r="R3562">
        <v>-0.98008459999999997</v>
      </c>
      <c r="S3562">
        <v>-0.16763310000000001</v>
      </c>
      <c r="T3562">
        <v>-0.1489347</v>
      </c>
      <c r="U3562">
        <v>-3.0609739999999999</v>
      </c>
      <c r="V3562">
        <v>-0.18043770000000001</v>
      </c>
      <c r="W3562">
        <v>0.1546901</v>
      </c>
      <c r="X3562">
        <v>0.97134609999999999</v>
      </c>
      <c r="Y3562">
        <v>-0.26168649999999999</v>
      </c>
      <c r="Z3562">
        <v>2.8967280000000001E-2</v>
      </c>
      <c r="AA3562">
        <v>0.96471810000000002</v>
      </c>
      <c r="AB3562">
        <v>25</v>
      </c>
      <c r="AC3562">
        <v>-1.2164999999999899</v>
      </c>
      <c r="AD3562">
        <v>-1.118486654005</v>
      </c>
      <c r="AE3562">
        <v>-22.8401</v>
      </c>
      <c r="AF3562">
        <v>-6.0066928899973</v>
      </c>
      <c r="AG3562">
        <v>-1.118486654005</v>
      </c>
      <c r="AH3562">
        <v>22.013100693215801</v>
      </c>
      <c r="AI3562">
        <v>92.806274344214302</v>
      </c>
      <c r="AJ3562">
        <v>105.262676909174</v>
      </c>
      <c r="AK3562">
        <v>22.845305294514901</v>
      </c>
      <c r="AL3562">
        <v>81.101176646670694</v>
      </c>
      <c r="AM3562">
        <v>100.523341774363</v>
      </c>
      <c r="AN3562">
        <v>1.0000000183022499</v>
      </c>
    </row>
    <row r="3563" spans="1:40" x14ac:dyDescent="0.25">
      <c r="A3563" t="str">
        <f>"20190304154825160"</f>
        <v>20190304154825160</v>
      </c>
      <c r="B3563" t="str">
        <f>"1551685705150356"</f>
        <v>1551685705150356</v>
      </c>
      <c r="C3563" t="s">
        <v>40</v>
      </c>
      <c r="D3563">
        <v>4.3275550000000003</v>
      </c>
      <c r="E3563">
        <v>0.46388770000000001</v>
      </c>
      <c r="F3563" t="s">
        <v>44</v>
      </c>
      <c r="G3563">
        <v>-490.69709999999998</v>
      </c>
      <c r="H3563" s="1">
        <v>-2.3461439999999998E-6</v>
      </c>
      <c r="I3563">
        <v>244.62569999999999</v>
      </c>
      <c r="J3563">
        <v>-489.5992</v>
      </c>
      <c r="K3563">
        <v>1.1183780000000001</v>
      </c>
      <c r="L3563">
        <v>267.9966</v>
      </c>
      <c r="M3563">
        <v>-0.30794860000000002</v>
      </c>
      <c r="N3563">
        <v>-1.5191959999999999E-2</v>
      </c>
      <c r="O3563">
        <v>-0.95128190000000001</v>
      </c>
      <c r="P3563">
        <v>-0.13150100000000001</v>
      </c>
      <c r="Q3563">
        <v>0.14313979999999901</v>
      </c>
      <c r="R3563">
        <v>-0.98092769999999996</v>
      </c>
      <c r="S3563">
        <v>-0.1478882</v>
      </c>
      <c r="T3563">
        <v>-0.14566760000000001</v>
      </c>
      <c r="U3563">
        <v>-3.0615230000000002</v>
      </c>
      <c r="V3563">
        <v>-0.17995949999999999</v>
      </c>
      <c r="W3563">
        <v>0.15453699999999901</v>
      </c>
      <c r="X3563">
        <v>0.97145919999999997</v>
      </c>
      <c r="Y3563">
        <v>-0.26160840000000002</v>
      </c>
      <c r="Z3563">
        <v>2.8153640000000001E-2</v>
      </c>
      <c r="AA3563">
        <v>0.96476340000000005</v>
      </c>
      <c r="AB3563">
        <v>25</v>
      </c>
      <c r="AC3563">
        <v>-1.0978999999999799</v>
      </c>
      <c r="AD3563">
        <v>-1.1183803461440001</v>
      </c>
      <c r="AE3563">
        <v>-23.370899999999999</v>
      </c>
      <c r="AF3563">
        <v>-6.1393046486441403</v>
      </c>
      <c r="AG3563">
        <v>-1.1183803461440001</v>
      </c>
      <c r="AH3563">
        <v>22.521551637569502</v>
      </c>
      <c r="AI3563">
        <v>92.742946094551996</v>
      </c>
      <c r="AJ3563">
        <v>105.24816459647801</v>
      </c>
      <c r="AK3563">
        <v>23.370111774041899</v>
      </c>
      <c r="AL3563">
        <v>81.110055606235505</v>
      </c>
      <c r="AM3563">
        <v>100.49487832408199</v>
      </c>
      <c r="AN3563">
        <v>1.0000000416369399</v>
      </c>
    </row>
    <row r="3564" spans="1:40" x14ac:dyDescent="0.25">
      <c r="A3564" t="str">
        <f>"20190304154825172"</f>
        <v>20190304154825172</v>
      </c>
      <c r="B3564" t="str">
        <f>"1551685705160115"</f>
        <v>1551685705160115</v>
      </c>
      <c r="C3564" t="s">
        <v>40</v>
      </c>
      <c r="D3564">
        <v>4.3621790000000003</v>
      </c>
      <c r="E3564">
        <v>0.46432830000000003</v>
      </c>
      <c r="F3564" t="s">
        <v>44</v>
      </c>
      <c r="G3564">
        <v>-490.62110000000001</v>
      </c>
      <c r="H3564" s="1">
        <v>-2.220342E-6</v>
      </c>
      <c r="I3564">
        <v>244.37950000000001</v>
      </c>
      <c r="J3564">
        <v>-489.63420000000002</v>
      </c>
      <c r="K3564">
        <v>1.118277</v>
      </c>
      <c r="L3564">
        <v>267.86869999999999</v>
      </c>
      <c r="M3564">
        <v>-0.30217939999999999</v>
      </c>
      <c r="N3564">
        <v>-1.5167140000000001E-2</v>
      </c>
      <c r="O3564">
        <v>-0.95313060000000005</v>
      </c>
      <c r="P3564">
        <v>-0.12595970000000001</v>
      </c>
      <c r="Q3564">
        <v>0.14274919999999999</v>
      </c>
      <c r="R3564">
        <v>-0.98171140000000001</v>
      </c>
      <c r="S3564">
        <v>-0.13247679999999901</v>
      </c>
      <c r="T3564">
        <v>-0.144986</v>
      </c>
      <c r="U3564">
        <v>-3.0617070000000002</v>
      </c>
      <c r="V3564">
        <v>-0.1795292</v>
      </c>
      <c r="W3564">
        <v>0.15417610000000001</v>
      </c>
      <c r="X3564">
        <v>0.97159609999999996</v>
      </c>
      <c r="Y3564">
        <v>-0.26061060000000003</v>
      </c>
      <c r="Z3564">
        <v>2.8100859999999998E-2</v>
      </c>
      <c r="AA3564">
        <v>0.96503499999999998</v>
      </c>
      <c r="AB3564">
        <v>25</v>
      </c>
      <c r="AC3564">
        <v>-0.98689999999999101</v>
      </c>
      <c r="AD3564">
        <v>-1.118279220342</v>
      </c>
      <c r="AE3564">
        <v>-23.489199999999901</v>
      </c>
      <c r="AF3564">
        <v>-6.1441136070641598</v>
      </c>
      <c r="AG3564">
        <v>-1.118279220342</v>
      </c>
      <c r="AH3564">
        <v>22.637882457345899</v>
      </c>
      <c r="AI3564">
        <v>92.729445847353404</v>
      </c>
      <c r="AJ3564">
        <v>105.18476589162699</v>
      </c>
      <c r="AK3564">
        <v>23.483492129233401</v>
      </c>
      <c r="AL3564">
        <v>81.130984041147798</v>
      </c>
      <c r="AM3564">
        <v>100.468897010584</v>
      </c>
      <c r="AN3564">
        <v>0.99999999249952998</v>
      </c>
    </row>
    <row r="3565" spans="1:40" x14ac:dyDescent="0.25">
      <c r="A3565" t="str">
        <f>"20190304154825186"</f>
        <v>20190304154825186</v>
      </c>
      <c r="B3565" t="str">
        <f>"1551685705180612"</f>
        <v>1551685705180612</v>
      </c>
      <c r="C3565" t="s">
        <v>40</v>
      </c>
      <c r="D3565">
        <v>4.336417</v>
      </c>
      <c r="E3565">
        <v>0.46551890000000001</v>
      </c>
      <c r="F3565" t="s">
        <v>44</v>
      </c>
      <c r="G3565">
        <v>-490.56119999999999</v>
      </c>
      <c r="H3565" s="1">
        <v>-2.0535809999999998E-6</v>
      </c>
      <c r="I3565">
        <v>244.02799999999999</v>
      </c>
      <c r="J3565">
        <v>-489.67360000000002</v>
      </c>
      <c r="K3565">
        <v>1.1181479999999999</v>
      </c>
      <c r="L3565">
        <v>267.71910000000003</v>
      </c>
      <c r="M3565">
        <v>-0.29557899999999998</v>
      </c>
      <c r="N3565">
        <v>-1.5135819999999999E-2</v>
      </c>
      <c r="O3565">
        <v>-0.95519869999999996</v>
      </c>
      <c r="P3565">
        <v>-0.11982619999999999</v>
      </c>
      <c r="Q3565">
        <v>0.14245910000000001</v>
      </c>
      <c r="R3565">
        <v>-0.98252119999999998</v>
      </c>
      <c r="S3565">
        <v>-0.1190491</v>
      </c>
      <c r="T3565">
        <v>-0.1436045</v>
      </c>
      <c r="U3565">
        <v>-3.0615230000000002</v>
      </c>
      <c r="V3565">
        <v>-0.17883289999999999</v>
      </c>
      <c r="W3565">
        <v>0.15392639999999999</v>
      </c>
      <c r="X3565">
        <v>0.97176410000000002</v>
      </c>
      <c r="Y3565">
        <v>-0.25815670000000002</v>
      </c>
      <c r="Z3565">
        <v>2.7874989999999999E-2</v>
      </c>
      <c r="AA3565">
        <v>0.96570080000000003</v>
      </c>
      <c r="AB3565">
        <v>25</v>
      </c>
      <c r="AC3565">
        <v>-0.88759999999996297</v>
      </c>
      <c r="AD3565">
        <v>-1.1181500535809901</v>
      </c>
      <c r="AE3565">
        <v>-23.691099999999999</v>
      </c>
      <c r="AF3565">
        <v>-6.1417985193631699</v>
      </c>
      <c r="AG3565">
        <v>-1.1181500535809901</v>
      </c>
      <c r="AH3565">
        <v>22.8438648992441</v>
      </c>
      <c r="AI3565">
        <v>92.706292621685805</v>
      </c>
      <c r="AJ3565">
        <v>105.048671561565</v>
      </c>
      <c r="AK3565">
        <v>23.681514143518999</v>
      </c>
      <c r="AL3565">
        <v>81.145463748660305</v>
      </c>
      <c r="AM3565">
        <v>100.427422779778</v>
      </c>
      <c r="AN3565">
        <v>1.00000000439409</v>
      </c>
    </row>
    <row r="3566" spans="1:40" x14ac:dyDescent="0.25">
      <c r="A3566" t="str">
        <f>"20190304154825201"</f>
        <v>20190304154825201</v>
      </c>
      <c r="B3566" t="str">
        <f>"1551685705190371"</f>
        <v>1551685705190371</v>
      </c>
      <c r="C3566" t="s">
        <v>40</v>
      </c>
      <c r="D3566">
        <v>4.3327070000000001</v>
      </c>
      <c r="E3566">
        <v>0.4661556</v>
      </c>
      <c r="F3566" t="s">
        <v>44</v>
      </c>
      <c r="G3566">
        <v>-490.54410000000001</v>
      </c>
      <c r="H3566" s="1">
        <v>-1.701411E-6</v>
      </c>
      <c r="I3566">
        <v>243.21770000000001</v>
      </c>
      <c r="J3566">
        <v>-489.71269999999998</v>
      </c>
      <c r="K3566">
        <v>1.1180139999999901</v>
      </c>
      <c r="L3566">
        <v>267.56709999999998</v>
      </c>
      <c r="M3566">
        <v>-0.2889698</v>
      </c>
      <c r="N3566">
        <v>-1.5103510000000001E-2</v>
      </c>
      <c r="O3566">
        <v>-0.95721920000000005</v>
      </c>
      <c r="P3566">
        <v>-0.1149763</v>
      </c>
      <c r="Q3566">
        <v>0.1422667</v>
      </c>
      <c r="R3566">
        <v>-0.98312840000000001</v>
      </c>
      <c r="S3566">
        <v>-0.1087341</v>
      </c>
      <c r="T3566">
        <v>-0.1396646</v>
      </c>
      <c r="U3566">
        <v>-3.0603940000000001</v>
      </c>
      <c r="V3566">
        <v>-0.17686070000000001</v>
      </c>
      <c r="W3566">
        <v>0.1538011</v>
      </c>
      <c r="X3566">
        <v>0.97214480000000003</v>
      </c>
      <c r="Y3566">
        <v>-0.2547181</v>
      </c>
      <c r="Z3566">
        <v>2.689793E-2</v>
      </c>
      <c r="AA3566">
        <v>0.96664119999999998</v>
      </c>
      <c r="AB3566">
        <v>25</v>
      </c>
      <c r="AC3566">
        <v>-0.83140000000003</v>
      </c>
      <c r="AD3566">
        <v>-1.1180157014109999</v>
      </c>
      <c r="AE3566">
        <v>-24.3493999999999</v>
      </c>
      <c r="AF3566">
        <v>-6.2280054728496896</v>
      </c>
      <c r="AG3566">
        <v>-1.1180157014109999</v>
      </c>
      <c r="AH3566">
        <v>23.501157636201199</v>
      </c>
      <c r="AI3566">
        <v>92.632915835059706</v>
      </c>
      <c r="AJ3566">
        <v>104.84267969862699</v>
      </c>
      <c r="AK3566">
        <v>24.3380858228421</v>
      </c>
      <c r="AL3566">
        <v>81.152729379693099</v>
      </c>
      <c r="AM3566">
        <v>100.310956565425</v>
      </c>
      <c r="AN3566">
        <v>0.99999999886637003</v>
      </c>
    </row>
    <row r="3567" spans="1:40" x14ac:dyDescent="0.25">
      <c r="A3567" t="str">
        <f>"20190304154825213"</f>
        <v>20190304154825213</v>
      </c>
      <c r="B3567" t="str">
        <f>"1551685705209892"</f>
        <v>1551685705209892</v>
      </c>
      <c r="C3567" t="s">
        <v>40</v>
      </c>
      <c r="D3567">
        <v>4.358638</v>
      </c>
      <c r="E3567">
        <v>0.46673199999999998</v>
      </c>
      <c r="F3567" t="s">
        <v>44</v>
      </c>
      <c r="G3567">
        <v>-490.5102</v>
      </c>
      <c r="H3567" s="1">
        <v>-1.4985529999999999E-6</v>
      </c>
      <c r="I3567">
        <v>242.76580000000001</v>
      </c>
      <c r="J3567">
        <v>-489.74650000000003</v>
      </c>
      <c r="K3567">
        <v>1.1178950000000001</v>
      </c>
      <c r="L3567">
        <v>267.43360000000001</v>
      </c>
      <c r="M3567">
        <v>-0.28322609999999998</v>
      </c>
      <c r="N3567">
        <v>-1.5075109999999999E-2</v>
      </c>
      <c r="O3567">
        <v>-0.95893470000000003</v>
      </c>
      <c r="P3567">
        <v>-0.1097771</v>
      </c>
      <c r="Q3567">
        <v>0.14284829999999901</v>
      </c>
      <c r="R3567">
        <v>-0.98363789999999995</v>
      </c>
      <c r="S3567">
        <v>-9.8388669999999998E-2</v>
      </c>
      <c r="T3567">
        <v>-0.13793849999999999</v>
      </c>
      <c r="U3567">
        <v>-3.0599370000000001</v>
      </c>
      <c r="V3567">
        <v>-0.17611089999999999</v>
      </c>
      <c r="W3567">
        <v>0.15442120000000001</v>
      </c>
      <c r="X3567">
        <v>0.97218260000000001</v>
      </c>
      <c r="Y3567">
        <v>-0.25218190000000001</v>
      </c>
      <c r="Z3567">
        <v>2.65385E-2</v>
      </c>
      <c r="AA3567">
        <v>0.96731590000000001</v>
      </c>
      <c r="AB3567">
        <v>25</v>
      </c>
      <c r="AC3567">
        <v>-0.76369999999997096</v>
      </c>
      <c r="AD3567">
        <v>-1.117896498553</v>
      </c>
      <c r="AE3567">
        <v>-24.6678</v>
      </c>
      <c r="AF3567">
        <v>-6.2421296708327603</v>
      </c>
      <c r="AG3567">
        <v>-1.117896498553</v>
      </c>
      <c r="AH3567">
        <v>23.8249385676644</v>
      </c>
      <c r="AI3567">
        <v>92.598830500981293</v>
      </c>
      <c r="AJ3567">
        <v>104.681489957678</v>
      </c>
      <c r="AK3567">
        <v>24.654443274224501</v>
      </c>
      <c r="AL3567">
        <v>81.116770534541104</v>
      </c>
      <c r="AM3567">
        <v>100.267784461055</v>
      </c>
      <c r="AN3567">
        <v>0.99999998192550499</v>
      </c>
    </row>
    <row r="3568" spans="1:40" x14ac:dyDescent="0.25">
      <c r="A3568" t="str">
        <f>"20190304154825225"</f>
        <v>20190304154825225</v>
      </c>
      <c r="B3568" t="str">
        <f>"1551685705220628"</f>
        <v>1551685705220628</v>
      </c>
      <c r="C3568" t="s">
        <v>40</v>
      </c>
      <c r="D3568">
        <v>4.37568</v>
      </c>
      <c r="E3568">
        <v>0.48759350000000001</v>
      </c>
      <c r="F3568" t="s">
        <v>44</v>
      </c>
      <c r="G3568">
        <v>-490.46210000000002</v>
      </c>
      <c r="H3568" s="1">
        <v>-1.2148870000000001E-6</v>
      </c>
      <c r="I3568">
        <v>242.1344</v>
      </c>
      <c r="J3568">
        <v>-489.77879999999999</v>
      </c>
      <c r="K3568">
        <v>1.117766</v>
      </c>
      <c r="L3568">
        <v>267.30180000000001</v>
      </c>
      <c r="M3568">
        <v>-0.2776901</v>
      </c>
      <c r="N3568">
        <v>-1.504546E-2</v>
      </c>
      <c r="O3568">
        <v>-0.96055310000000005</v>
      </c>
      <c r="P3568">
        <v>-0.10499609999999999</v>
      </c>
      <c r="Q3568">
        <v>0.1433837</v>
      </c>
      <c r="R3568">
        <v>-0.98408180000000001</v>
      </c>
      <c r="S3568">
        <v>-8.6547849999999996E-2</v>
      </c>
      <c r="T3568">
        <v>-0.1352071</v>
      </c>
      <c r="U3568">
        <v>-3.0598749999999999</v>
      </c>
      <c r="V3568">
        <v>-0.17516489999999901</v>
      </c>
      <c r="W3568">
        <v>0.15499869999999999</v>
      </c>
      <c r="X3568">
        <v>0.97226159999999995</v>
      </c>
      <c r="Y3568">
        <v>-0.25034149999999999</v>
      </c>
      <c r="Z3568">
        <v>2.5857100000000001E-2</v>
      </c>
      <c r="AA3568">
        <v>0.96781220000000001</v>
      </c>
      <c r="AB3568">
        <v>25</v>
      </c>
      <c r="AC3568">
        <v>-0.68330000000003099</v>
      </c>
      <c r="AD3568">
        <v>-1.1177672148869999</v>
      </c>
      <c r="AE3568">
        <v>-25.167400000000001</v>
      </c>
      <c r="AF3568">
        <v>-6.3206488589636001</v>
      </c>
      <c r="AG3568">
        <v>-1.1177672148869999</v>
      </c>
      <c r="AH3568">
        <v>24.319187511971599</v>
      </c>
      <c r="AI3568">
        <v>92.547091846799006</v>
      </c>
      <c r="AJ3568">
        <v>104.569052374501</v>
      </c>
      <c r="AK3568">
        <v>25.151995682001601</v>
      </c>
      <c r="AL3568">
        <v>81.0832789540611</v>
      </c>
      <c r="AM3568">
        <v>100.21298153206401</v>
      </c>
      <c r="AN3568">
        <v>0.99999997901412896</v>
      </c>
    </row>
    <row r="3569" spans="1:40" x14ac:dyDescent="0.25">
      <c r="A3569" t="str">
        <f>"20190304154825237"</f>
        <v>20190304154825237</v>
      </c>
      <c r="B3569" t="str">
        <f>"1551685705230387"</f>
        <v>1551685705230387</v>
      </c>
      <c r="C3569" t="s">
        <v>40</v>
      </c>
      <c r="D3569">
        <v>4.3563080000000003</v>
      </c>
      <c r="E3569">
        <v>0.48855569999999998</v>
      </c>
      <c r="F3569" t="s">
        <v>54</v>
      </c>
      <c r="G3569">
        <v>-492.91590000000002</v>
      </c>
      <c r="H3569" s="1">
        <v>5.1184720000000003E-6</v>
      </c>
      <c r="I3569">
        <v>226.8451</v>
      </c>
      <c r="J3569">
        <v>-489.80810000000002</v>
      </c>
      <c r="K3569">
        <v>1.11765</v>
      </c>
      <c r="L3569">
        <v>267.18040000000002</v>
      </c>
      <c r="M3569">
        <v>-0.27264389999999999</v>
      </c>
      <c r="N3569">
        <v>-1.501823E-2</v>
      </c>
      <c r="O3569">
        <v>-0.96199789999999996</v>
      </c>
      <c r="P3569">
        <v>-0.1005253</v>
      </c>
      <c r="Q3569">
        <v>0.1436365</v>
      </c>
      <c r="R3569">
        <v>-0.9845119</v>
      </c>
      <c r="S3569">
        <v>-0.23538210000000001</v>
      </c>
      <c r="T3569">
        <v>-8.3868860000000003E-2</v>
      </c>
      <c r="U3569">
        <v>-3.0355829999999999</v>
      </c>
      <c r="V3569">
        <v>-0.17442479999999999</v>
      </c>
      <c r="W3569">
        <v>0.15528839999999999</v>
      </c>
      <c r="X3569">
        <v>0.97234849999999995</v>
      </c>
      <c r="Y3569">
        <v>-0.19741900000000001</v>
      </c>
      <c r="Z3569">
        <v>1.0888810000000001E-2</v>
      </c>
      <c r="AA3569">
        <v>0.98025870000000004</v>
      </c>
      <c r="AB3569">
        <v>25</v>
      </c>
      <c r="AC3569">
        <v>-3.1077999999999899</v>
      </c>
      <c r="AD3569">
        <v>-1.117644881528</v>
      </c>
      <c r="AE3569">
        <v>-40.335299999999997</v>
      </c>
      <c r="AF3569">
        <v>-8.0022710688810594</v>
      </c>
      <c r="AG3569">
        <v>-1.117644881528</v>
      </c>
      <c r="AH3569">
        <v>39.624021777114599</v>
      </c>
      <c r="AI3569">
        <v>91.583713435343</v>
      </c>
      <c r="AJ3569">
        <v>101.41759934916701</v>
      </c>
      <c r="AK3569">
        <v>40.439443296542898</v>
      </c>
      <c r="AL3569">
        <v>81.066477581325302</v>
      </c>
      <c r="AM3569">
        <v>100.169842679862</v>
      </c>
      <c r="AN3569">
        <v>1.00000005174092</v>
      </c>
    </row>
    <row r="3570" spans="1:40" x14ac:dyDescent="0.25">
      <c r="A3570" t="str">
        <f>"20190304154825249"</f>
        <v>20190304154825249</v>
      </c>
      <c r="B3570" t="str">
        <f>"1551685705240148"</f>
        <v>1551685705240148</v>
      </c>
      <c r="C3570" t="s">
        <v>40</v>
      </c>
      <c r="D3570">
        <v>4.3879849999999996</v>
      </c>
      <c r="E3570">
        <v>0.48636960000000001</v>
      </c>
      <c r="F3570" t="s">
        <v>54</v>
      </c>
      <c r="G3570">
        <v>-492.78149999999999</v>
      </c>
      <c r="H3570" s="1">
        <v>5.494059E-6</v>
      </c>
      <c r="I3570">
        <v>227.96129999999999</v>
      </c>
      <c r="J3570">
        <v>-489.8417</v>
      </c>
      <c r="K3570">
        <v>1.11751</v>
      </c>
      <c r="L3570">
        <v>267.03789999999998</v>
      </c>
      <c r="M3570">
        <v>-0.2668123</v>
      </c>
      <c r="N3570">
        <v>-1.498624E-2</v>
      </c>
      <c r="O3570">
        <v>-0.96363209999999999</v>
      </c>
      <c r="P3570">
        <v>-9.5273549999999999E-2</v>
      </c>
      <c r="Q3570">
        <v>0.143601799999999</v>
      </c>
      <c r="R3570">
        <v>-0.9850392</v>
      </c>
      <c r="S3570">
        <v>-0.23019410000000001</v>
      </c>
      <c r="T3570">
        <v>-8.6527469999999995E-2</v>
      </c>
      <c r="U3570">
        <v>-3.0363159999999998</v>
      </c>
      <c r="V3570">
        <v>-0.17366599999999999</v>
      </c>
      <c r="W3570">
        <v>0.15529589999999999</v>
      </c>
      <c r="X3570">
        <v>0.97248299999999999</v>
      </c>
      <c r="Y3570">
        <v>-0.1931639</v>
      </c>
      <c r="Z3570">
        <v>1.180576E-2</v>
      </c>
      <c r="AA3570">
        <v>0.98109550000000001</v>
      </c>
      <c r="AB3570">
        <v>25</v>
      </c>
      <c r="AC3570">
        <v>-2.9397999999999902</v>
      </c>
      <c r="AD3570">
        <v>-1.117504505941</v>
      </c>
      <c r="AE3570">
        <v>-39.0765999999999</v>
      </c>
      <c r="AF3570">
        <v>-7.5879131475879298</v>
      </c>
      <c r="AG3570">
        <v>-1.117504505941</v>
      </c>
      <c r="AH3570">
        <v>38.4129154901226</v>
      </c>
      <c r="AI3570">
        <v>91.634800490375497</v>
      </c>
      <c r="AJ3570">
        <v>101.17409198369199</v>
      </c>
      <c r="AK3570">
        <v>39.171128637140903</v>
      </c>
      <c r="AL3570">
        <v>81.066041585747499</v>
      </c>
      <c r="AM3570">
        <v>100.125146777683</v>
      </c>
      <c r="AN3570">
        <v>0.99999994070090303</v>
      </c>
    </row>
    <row r="3571" spans="1:40" x14ac:dyDescent="0.25">
      <c r="A3571" t="str">
        <f>"20190304154825263"</f>
        <v>20190304154825263</v>
      </c>
      <c r="B3571" t="str">
        <f>"1551685705260289"</f>
        <v>1551685705260289</v>
      </c>
      <c r="C3571" t="s">
        <v>40</v>
      </c>
      <c r="D3571">
        <v>4.3764459999999996</v>
      </c>
      <c r="E3571">
        <v>0.48942099999999999</v>
      </c>
      <c r="F3571" t="s">
        <v>44</v>
      </c>
      <c r="G3571">
        <v>-492.03219999999999</v>
      </c>
      <c r="H3571" s="1">
        <v>-2.119232E-6</v>
      </c>
      <c r="I3571">
        <v>233.26859999999999</v>
      </c>
      <c r="J3571">
        <v>-489.8723</v>
      </c>
      <c r="K3571">
        <v>1.117383</v>
      </c>
      <c r="L3571">
        <v>266.90499999999997</v>
      </c>
      <c r="M3571">
        <v>-0.26150869999999998</v>
      </c>
      <c r="N3571">
        <v>-1.495527E-2</v>
      </c>
      <c r="O3571">
        <v>-0.96508530000000003</v>
      </c>
      <c r="P3571">
        <v>-9.1052140000000004E-2</v>
      </c>
      <c r="Q3571">
        <v>0.1432512</v>
      </c>
      <c r="R3571">
        <v>-0.98548919999999995</v>
      </c>
      <c r="S3571">
        <v>-0.19726560000000001</v>
      </c>
      <c r="T3571">
        <v>-0.10063800000000001</v>
      </c>
      <c r="U3571">
        <v>-3.0411069999999998</v>
      </c>
      <c r="V3571">
        <v>-0.17243829999999999</v>
      </c>
      <c r="W3571">
        <v>0.15499540000000001</v>
      </c>
      <c r="X3571">
        <v>0.97274939999999999</v>
      </c>
      <c r="Y3571">
        <v>-0.1984474</v>
      </c>
      <c r="Z3571">
        <v>1.6169159999999998E-2</v>
      </c>
      <c r="AA3571">
        <v>0.97997809999999996</v>
      </c>
      <c r="AB3571">
        <v>25</v>
      </c>
      <c r="AC3571">
        <v>-2.1598999999999902</v>
      </c>
      <c r="AD3571">
        <v>-1.1173851192319999</v>
      </c>
      <c r="AE3571">
        <v>-33.636399999999902</v>
      </c>
      <c r="AF3571">
        <v>-6.7051049271557401</v>
      </c>
      <c r="AG3571">
        <v>-1.1173851192319999</v>
      </c>
      <c r="AH3571">
        <v>32.994259384616498</v>
      </c>
      <c r="AI3571">
        <v>91.900816253014497</v>
      </c>
      <c r="AJ3571">
        <v>101.487237911459</v>
      </c>
      <c r="AK3571">
        <v>33.687210242586197</v>
      </c>
      <c r="AL3571">
        <v>81.083470246453402</v>
      </c>
      <c r="AM3571">
        <v>100.052337012058</v>
      </c>
      <c r="AN3571">
        <v>0.99999996826420401</v>
      </c>
    </row>
    <row r="3572" spans="1:40" x14ac:dyDescent="0.25">
      <c r="A3572" t="str">
        <f>"20190304154825279"</f>
        <v>20190304154825279</v>
      </c>
      <c r="B3572" t="str">
        <f>"1551685705270050"</f>
        <v>1551685705270050</v>
      </c>
      <c r="C3572" t="s">
        <v>40</v>
      </c>
      <c r="D3572">
        <v>4.4110050000000003</v>
      </c>
      <c r="E3572">
        <v>0.49078690000000003</v>
      </c>
      <c r="F3572" t="s">
        <v>44</v>
      </c>
      <c r="G3572">
        <v>-492.28930000000003</v>
      </c>
      <c r="H3572" s="1">
        <v>-1.5111410000000001E-6</v>
      </c>
      <c r="I3572">
        <v>231.6917</v>
      </c>
      <c r="J3572">
        <v>-489.9135</v>
      </c>
      <c r="K3572">
        <v>1.117194</v>
      </c>
      <c r="L3572">
        <v>266.72140000000002</v>
      </c>
      <c r="M3572">
        <v>-0.25431910000000002</v>
      </c>
      <c r="N3572">
        <v>-1.491264E-2</v>
      </c>
      <c r="O3572">
        <v>-0.96700540000000001</v>
      </c>
      <c r="P3572">
        <v>-8.6417160000000007E-2</v>
      </c>
      <c r="Q3572">
        <v>0.1419657</v>
      </c>
      <c r="R3572">
        <v>-0.98609239999999998</v>
      </c>
      <c r="S3572">
        <v>-0.20858760000000001</v>
      </c>
      <c r="T3572">
        <v>-9.6429349999999997E-2</v>
      </c>
      <c r="U3572">
        <v>-3.0388790000000001</v>
      </c>
      <c r="V3572">
        <v>-0.1697205</v>
      </c>
      <c r="W3572">
        <v>0.15380060000000001</v>
      </c>
      <c r="X3572">
        <v>0.97341679999999997</v>
      </c>
      <c r="Y3572">
        <v>-0.18746489999999999</v>
      </c>
      <c r="Z3572">
        <v>1.506302E-2</v>
      </c>
      <c r="AA3572">
        <v>0.98215580000000002</v>
      </c>
      <c r="AB3572">
        <v>25</v>
      </c>
      <c r="AC3572">
        <v>-2.3758000000000199</v>
      </c>
      <c r="AD3572">
        <v>-1.1171955111409999</v>
      </c>
      <c r="AE3572">
        <v>-35.029699999999998</v>
      </c>
      <c r="AF3572">
        <v>-6.6053576046354596</v>
      </c>
      <c r="AG3572">
        <v>-1.1171955111409999</v>
      </c>
      <c r="AH3572">
        <v>34.447076698499401</v>
      </c>
      <c r="AI3572">
        <v>91.824364138269601</v>
      </c>
      <c r="AJ3572">
        <v>100.854919619816</v>
      </c>
      <c r="AK3572">
        <v>35.0924488739035</v>
      </c>
      <c r="AL3572">
        <v>81.152758111552103</v>
      </c>
      <c r="AM3572">
        <v>99.890407586046905</v>
      </c>
      <c r="AN3572">
        <v>0.99999996960142401</v>
      </c>
    </row>
    <row r="3573" spans="1:40" x14ac:dyDescent="0.25">
      <c r="A3573" t="str">
        <f>"20190304154825294"</f>
        <v>20190304154825294</v>
      </c>
      <c r="B3573" t="str">
        <f>"1551685705290545"</f>
        <v>1551685705290545</v>
      </c>
      <c r="C3573" t="s">
        <v>40</v>
      </c>
      <c r="D3573">
        <v>4.3658999999999999</v>
      </c>
      <c r="E3573">
        <v>0.49298389999999997</v>
      </c>
      <c r="F3573" t="s">
        <v>44</v>
      </c>
      <c r="G3573">
        <v>-492.28590000000003</v>
      </c>
      <c r="H3573" s="1">
        <v>-1.4279360000000001E-6</v>
      </c>
      <c r="I3573">
        <v>231.4999</v>
      </c>
      <c r="J3573">
        <v>-489.94729999999998</v>
      </c>
      <c r="K3573">
        <v>1.117029</v>
      </c>
      <c r="L3573">
        <v>266.56689999999998</v>
      </c>
      <c r="M3573">
        <v>-0.2484085</v>
      </c>
      <c r="N3573">
        <v>-1.487657E-2</v>
      </c>
      <c r="O3573">
        <v>-0.96854130000000005</v>
      </c>
      <c r="P3573">
        <v>-8.2060899999999895E-2</v>
      </c>
      <c r="Q3573">
        <v>0.1410392</v>
      </c>
      <c r="R3573">
        <v>-0.98659730000000001</v>
      </c>
      <c r="S3573">
        <v>-0.2046509</v>
      </c>
      <c r="T3573">
        <v>-9.63701E-2</v>
      </c>
      <c r="U3573">
        <v>-3.0382389999999999</v>
      </c>
      <c r="V3573">
        <v>-0.16802690000000001</v>
      </c>
      <c r="W3573">
        <v>0.15293880000000001</v>
      </c>
      <c r="X3573">
        <v>0.97384630000000005</v>
      </c>
      <c r="Y3573">
        <v>-0.18271809999999999</v>
      </c>
      <c r="Z3573">
        <v>1.5169190000000001E-2</v>
      </c>
      <c r="AA3573">
        <v>0.98304829999999999</v>
      </c>
      <c r="AB3573">
        <v>25</v>
      </c>
      <c r="AC3573">
        <v>-2.33860000000004</v>
      </c>
      <c r="AD3573">
        <v>-1.1170304279359999</v>
      </c>
      <c r="AE3573">
        <v>-35.066999999999901</v>
      </c>
      <c r="AF3573">
        <v>-6.4401166925089601</v>
      </c>
      <c r="AG3573">
        <v>-1.1170304279359999</v>
      </c>
      <c r="AH3573">
        <v>34.513717538719902</v>
      </c>
      <c r="AI3573">
        <v>91.822289753118397</v>
      </c>
      <c r="AJ3573">
        <v>100.56960286480501</v>
      </c>
      <c r="AK3573">
        <v>35.127191153472602</v>
      </c>
      <c r="AL3573">
        <v>81.202726769848695</v>
      </c>
      <c r="AM3573">
        <v>99.789398368681404</v>
      </c>
      <c r="AN3573">
        <v>0.99999996584636897</v>
      </c>
    </row>
    <row r="3574" spans="1:40" x14ac:dyDescent="0.25">
      <c r="A3574" t="str">
        <f>"20190304154825307"</f>
        <v>20190304154825307</v>
      </c>
      <c r="B3574" t="str">
        <f>"1551685705300305"</f>
        <v>1551685705300305</v>
      </c>
      <c r="C3574" t="s">
        <v>40</v>
      </c>
      <c r="D3574">
        <v>4.3590660000000003</v>
      </c>
      <c r="E3574">
        <v>0.49408340000000001</v>
      </c>
      <c r="F3574" t="s">
        <v>44</v>
      </c>
      <c r="G3574">
        <v>-492.34449999999998</v>
      </c>
      <c r="H3574" s="1">
        <v>-1.4972560000000001E-6</v>
      </c>
      <c r="I3574">
        <v>231.62520000000001</v>
      </c>
      <c r="J3574">
        <v>-489.97789999999998</v>
      </c>
      <c r="K3574">
        <v>1.116873</v>
      </c>
      <c r="L3574">
        <v>266.42309999999998</v>
      </c>
      <c r="M3574">
        <v>-0.2430543</v>
      </c>
      <c r="N3574">
        <v>-1.4842040000000001E-2</v>
      </c>
      <c r="O3574">
        <v>-0.96989919999999996</v>
      </c>
      <c r="P3574">
        <v>-7.8346689999999997E-2</v>
      </c>
      <c r="Q3574">
        <v>0.140758299999999</v>
      </c>
      <c r="R3574">
        <v>-0.98693940000000002</v>
      </c>
      <c r="S3574">
        <v>-0.208374</v>
      </c>
      <c r="T3574">
        <v>-9.7097160000000002E-2</v>
      </c>
      <c r="U3574">
        <v>-3.0372919999999999</v>
      </c>
      <c r="V3574">
        <v>-0.16625619999999999</v>
      </c>
      <c r="W3574">
        <v>0.1527183</v>
      </c>
      <c r="X3574">
        <v>0.97418479999999996</v>
      </c>
      <c r="Y3574">
        <v>-0.17606550000000001</v>
      </c>
      <c r="Z3574">
        <v>1.552071E-2</v>
      </c>
      <c r="AA3574">
        <v>0.98425609999999997</v>
      </c>
      <c r="AB3574">
        <v>25</v>
      </c>
      <c r="AC3574">
        <v>-2.3666</v>
      </c>
      <c r="AD3574">
        <v>-1.1168744972560001</v>
      </c>
      <c r="AE3574">
        <v>-34.797899999999899</v>
      </c>
      <c r="AF3574">
        <v>-6.1567809770592303</v>
      </c>
      <c r="AG3574">
        <v>-1.1168744972560001</v>
      </c>
      <c r="AH3574">
        <v>34.294280904696997</v>
      </c>
      <c r="AI3574">
        <v>91.835981613505098</v>
      </c>
      <c r="AJ3574">
        <v>100.177772328209</v>
      </c>
      <c r="AK3574">
        <v>34.860451279528299</v>
      </c>
      <c r="AL3574">
        <v>81.215511090952702</v>
      </c>
      <c r="AM3574">
        <v>99.684898483301595</v>
      </c>
      <c r="AN3574">
        <v>1.0000000138721801</v>
      </c>
    </row>
    <row r="3575" spans="1:40" x14ac:dyDescent="0.25">
      <c r="A3575" t="str">
        <f>"20190304154825322"</f>
        <v>20190304154825322</v>
      </c>
      <c r="B3575" t="str">
        <f>"1551685705310065"</f>
        <v>1551685705310065</v>
      </c>
      <c r="C3575" t="s">
        <v>40</v>
      </c>
      <c r="D3575">
        <v>4.3270109999999997</v>
      </c>
      <c r="E3575">
        <v>0.49509239999999999</v>
      </c>
      <c r="F3575" t="s">
        <v>44</v>
      </c>
      <c r="G3575">
        <v>-492.35509999999999</v>
      </c>
      <c r="H3575" s="1">
        <v>-1.324984E-6</v>
      </c>
      <c r="I3575">
        <v>231.21700000000001</v>
      </c>
      <c r="J3575">
        <v>-490.01150000000001</v>
      </c>
      <c r="K3575">
        <v>1.1167039999999999</v>
      </c>
      <c r="L3575">
        <v>266.26170000000002</v>
      </c>
      <c r="M3575">
        <v>-0.2371905</v>
      </c>
      <c r="N3575">
        <v>-1.480338E-2</v>
      </c>
      <c r="O3575">
        <v>-0.97135050000000001</v>
      </c>
      <c r="P3575">
        <v>-7.5244630000000007E-2</v>
      </c>
      <c r="Q3575">
        <v>0.1417293</v>
      </c>
      <c r="R3575">
        <v>-0.98704170000000002</v>
      </c>
      <c r="S3575">
        <v>-0.20507810000000001</v>
      </c>
      <c r="T3575">
        <v>-9.6350790000000006E-2</v>
      </c>
      <c r="U3575">
        <v>-3.0371700000000001</v>
      </c>
      <c r="V3575">
        <v>-0.16334199999999999</v>
      </c>
      <c r="W3575">
        <v>0.15376909999999999</v>
      </c>
      <c r="X3575">
        <v>0.97451239999999995</v>
      </c>
      <c r="Y3575">
        <v>-0.17117889999999999</v>
      </c>
      <c r="Z3575">
        <v>1.5406309999999999E-2</v>
      </c>
      <c r="AA3575">
        <v>0.98511950000000004</v>
      </c>
      <c r="AB3575">
        <v>25</v>
      </c>
      <c r="AC3575">
        <v>-2.3435999999999799</v>
      </c>
      <c r="AD3575">
        <v>-1.116705324984</v>
      </c>
      <c r="AE3575">
        <v>-35.044699999999999</v>
      </c>
      <c r="AF3575">
        <v>-6.0303776125700201</v>
      </c>
      <c r="AG3575">
        <v>-1.116705324984</v>
      </c>
      <c r="AH3575">
        <v>34.565412191884498</v>
      </c>
      <c r="AI3575">
        <v>91.8228970102017</v>
      </c>
      <c r="AJ3575">
        <v>99.896376519221903</v>
      </c>
      <c r="AK3575">
        <v>35.105273178368897</v>
      </c>
      <c r="AL3575">
        <v>81.154584761936704</v>
      </c>
      <c r="AM3575">
        <v>99.515129798913605</v>
      </c>
      <c r="AN3575">
        <v>0.99999998141628399</v>
      </c>
    </row>
    <row r="3576" spans="1:40" x14ac:dyDescent="0.25">
      <c r="A3576" t="str">
        <f>"20190304154825335"</f>
        <v>20190304154825335</v>
      </c>
      <c r="B3576" t="str">
        <f>"1551685705330561"</f>
        <v>1551685705330561</v>
      </c>
      <c r="C3576" t="s">
        <v>40</v>
      </c>
      <c r="D3576">
        <v>4.3911470000000001</v>
      </c>
      <c r="E3576">
        <v>0.49487170000000003</v>
      </c>
      <c r="F3576" t="s">
        <v>44</v>
      </c>
      <c r="G3576">
        <v>-492.4692</v>
      </c>
      <c r="H3576" s="1">
        <v>-6.9515289999999996E-7</v>
      </c>
      <c r="I3576">
        <v>229.6781</v>
      </c>
      <c r="J3576">
        <v>-490.03719999999998</v>
      </c>
      <c r="K3576">
        <v>1.116571</v>
      </c>
      <c r="L3576">
        <v>266.13569999999999</v>
      </c>
      <c r="M3576">
        <v>-0.23269809999999999</v>
      </c>
      <c r="N3576">
        <v>-1.477375E-2</v>
      </c>
      <c r="O3576">
        <v>-0.97243690000000005</v>
      </c>
      <c r="P3576">
        <v>-7.1654280000000001E-2</v>
      </c>
      <c r="Q3576">
        <v>0.14214830000000001</v>
      </c>
      <c r="R3576">
        <v>-0.98724880000000004</v>
      </c>
      <c r="S3576">
        <v>-0.20404050000000001</v>
      </c>
      <c r="T3576">
        <v>-9.2708830000000006E-2</v>
      </c>
      <c r="U3576">
        <v>-3.0371700000000001</v>
      </c>
      <c r="V3576">
        <v>-0.16232079999999999</v>
      </c>
      <c r="W3576">
        <v>0.15422839999999999</v>
      </c>
      <c r="X3576">
        <v>0.97461039999999999</v>
      </c>
      <c r="Y3576">
        <v>-0.16696050000000001</v>
      </c>
      <c r="Z3576">
        <v>1.435699E-2</v>
      </c>
      <c r="AA3576">
        <v>0.98585900000000004</v>
      </c>
      <c r="AB3576">
        <v>25</v>
      </c>
      <c r="AC3576">
        <v>-2.4320000000000102</v>
      </c>
      <c r="AD3576">
        <v>-1.1165716951528999</v>
      </c>
      <c r="AE3576">
        <v>-36.4575999999999</v>
      </c>
      <c r="AF3576">
        <v>-6.1136058835923599</v>
      </c>
      <c r="AG3576">
        <v>-1.1165716951528999</v>
      </c>
      <c r="AH3576">
        <v>35.988957591621897</v>
      </c>
      <c r="AI3576">
        <v>91.751971409598099</v>
      </c>
      <c r="AJ3576">
        <v>99.641056069741794</v>
      </c>
      <c r="AK3576">
        <v>36.521609737001903</v>
      </c>
      <c r="AL3576">
        <v>81.127950697283495</v>
      </c>
      <c r="AM3576">
        <v>99.455786085551296</v>
      </c>
      <c r="AN3576">
        <v>0.99999993663367803</v>
      </c>
    </row>
    <row r="3577" spans="1:40" x14ac:dyDescent="0.25">
      <c r="A3577" t="str">
        <f>"20190304154825347"</f>
        <v>20190304154825347</v>
      </c>
      <c r="B3577" t="str">
        <f>"1551685705340322"</f>
        <v>1551685705340322</v>
      </c>
      <c r="C3577" t="s">
        <v>40</v>
      </c>
      <c r="D3577">
        <v>4.3966500000000002</v>
      </c>
      <c r="E3577">
        <v>0.49492969999999997</v>
      </c>
      <c r="F3577" t="s">
        <v>44</v>
      </c>
      <c r="G3577">
        <v>-492.26549999999997</v>
      </c>
      <c r="H3577" s="1">
        <v>-1.0830710000000001E-6</v>
      </c>
      <c r="I3577">
        <v>230.70859999999999</v>
      </c>
      <c r="J3577">
        <v>-490.0643</v>
      </c>
      <c r="K3577">
        <v>1.1164210000000001</v>
      </c>
      <c r="L3577">
        <v>265.99900000000002</v>
      </c>
      <c r="M3577">
        <v>-0.22796549999999999</v>
      </c>
      <c r="N3577">
        <v>-1.474139E-2</v>
      </c>
      <c r="O3577">
        <v>-0.97355769999999997</v>
      </c>
      <c r="P3577">
        <v>-6.7982580000000001E-2</v>
      </c>
      <c r="Q3577">
        <v>0.14236650000000001</v>
      </c>
      <c r="R3577">
        <v>-0.98747680000000004</v>
      </c>
      <c r="S3577">
        <v>-0.19113160000000001</v>
      </c>
      <c r="T3577">
        <v>-9.577215E-2</v>
      </c>
      <c r="U3577">
        <v>-3.0386959999999998</v>
      </c>
      <c r="V3577">
        <v>-0.16114149999999999</v>
      </c>
      <c r="W3577">
        <v>0.154492299999999</v>
      </c>
      <c r="X3577">
        <v>0.97476430000000003</v>
      </c>
      <c r="Y3577">
        <v>-0.1663684</v>
      </c>
      <c r="Z3577">
        <v>1.5380639999999999E-2</v>
      </c>
      <c r="AA3577">
        <v>0.98594369999999998</v>
      </c>
      <c r="AB3577">
        <v>25</v>
      </c>
      <c r="AC3577">
        <v>-2.2011999999999698</v>
      </c>
      <c r="AD3577">
        <v>-1.1164220830710001</v>
      </c>
      <c r="AE3577">
        <v>-35.290399999999998</v>
      </c>
      <c r="AF3577">
        <v>-5.8967607848370198</v>
      </c>
      <c r="AG3577">
        <v>-1.1164220830710001</v>
      </c>
      <c r="AH3577">
        <v>34.828102905772496</v>
      </c>
      <c r="AI3577">
        <v>91.810253899666506</v>
      </c>
      <c r="AJ3577">
        <v>99.609640776405399</v>
      </c>
      <c r="AK3577">
        <v>35.341405433800197</v>
      </c>
      <c r="AL3577">
        <v>81.112647012761101</v>
      </c>
      <c r="AM3577">
        <v>99.386859046603405</v>
      </c>
      <c r="AN3577">
        <v>0.99999994716801299</v>
      </c>
    </row>
    <row r="3578" spans="1:40" x14ac:dyDescent="0.25">
      <c r="A3578" t="str">
        <f>"20190304154825359"</f>
        <v>20190304154825359</v>
      </c>
      <c r="B3578" t="str">
        <f>"1551685705350081"</f>
        <v>1551685705350081</v>
      </c>
      <c r="C3578" t="s">
        <v>40</v>
      </c>
      <c r="D3578">
        <v>4.3618699999999997</v>
      </c>
      <c r="E3578">
        <v>0.49507479999999998</v>
      </c>
      <c r="F3578" t="s">
        <v>44</v>
      </c>
      <c r="G3578">
        <v>-492.1585</v>
      </c>
      <c r="H3578" s="1">
        <v>-1.0640389999999999E-6</v>
      </c>
      <c r="I3578">
        <v>230.73060000000001</v>
      </c>
      <c r="J3578">
        <v>-490.0899</v>
      </c>
      <c r="K3578">
        <v>1.116276</v>
      </c>
      <c r="L3578">
        <v>265.86759999999998</v>
      </c>
      <c r="M3578">
        <v>-0.22353139999999999</v>
      </c>
      <c r="N3578">
        <v>-1.471015E-2</v>
      </c>
      <c r="O3578">
        <v>-0.97458579999999995</v>
      </c>
      <c r="P3578">
        <v>-6.4847799999999997E-2</v>
      </c>
      <c r="Q3578">
        <v>0.14207529999999999</v>
      </c>
      <c r="R3578">
        <v>-0.98772990000000005</v>
      </c>
      <c r="S3578">
        <v>-0.180481</v>
      </c>
      <c r="T3578">
        <v>-9.6215129999999996E-2</v>
      </c>
      <c r="U3578">
        <v>-3.0394899999999998</v>
      </c>
      <c r="V3578">
        <v>-0.1597451</v>
      </c>
      <c r="W3578">
        <v>0.1542501</v>
      </c>
      <c r="X3578">
        <v>0.97503249999999997</v>
      </c>
      <c r="Y3578">
        <v>-0.16533809999999999</v>
      </c>
      <c r="Z3578">
        <v>1.5588960000000001E-2</v>
      </c>
      <c r="AA3578">
        <v>0.98611369999999998</v>
      </c>
      <c r="AB3578">
        <v>25</v>
      </c>
      <c r="AC3578">
        <v>-2.0686</v>
      </c>
      <c r="AD3578">
        <v>-1.1162770640390001</v>
      </c>
      <c r="AE3578">
        <v>-35.136999999999901</v>
      </c>
      <c r="AF3578">
        <v>-5.8329591242636196</v>
      </c>
      <c r="AG3578">
        <v>-1.1162770640390001</v>
      </c>
      <c r="AH3578">
        <v>34.6752947892249</v>
      </c>
      <c r="AI3578">
        <v>91.818316136629605</v>
      </c>
      <c r="AJ3578">
        <v>99.548703226193695</v>
      </c>
      <c r="AK3578">
        <v>35.180186971485497</v>
      </c>
      <c r="AL3578">
        <v>81.126692736901603</v>
      </c>
      <c r="AM3578">
        <v>99.304429691155704</v>
      </c>
      <c r="AN3578">
        <v>0.99999998319013395</v>
      </c>
    </row>
    <row r="3579" spans="1:40" x14ac:dyDescent="0.25">
      <c r="A3579" t="str">
        <f>"20190304154825370"</f>
        <v>20190304154825370</v>
      </c>
      <c r="B3579" t="str">
        <f>"1551685705359842"</f>
        <v>1551685705359842</v>
      </c>
      <c r="C3579" t="s">
        <v>40</v>
      </c>
      <c r="D3579">
        <v>4.3912559999999896</v>
      </c>
      <c r="E3579">
        <v>0.49528660000000002</v>
      </c>
      <c r="F3579" t="s">
        <v>44</v>
      </c>
      <c r="G3579">
        <v>-492.04480000000001</v>
      </c>
      <c r="H3579" s="1">
        <v>-1.3234859999999999E-6</v>
      </c>
      <c r="I3579">
        <v>231.4059</v>
      </c>
      <c r="J3579">
        <v>-490.11470000000003</v>
      </c>
      <c r="K3579">
        <v>1.116134</v>
      </c>
      <c r="L3579">
        <v>265.73919999999998</v>
      </c>
      <c r="M3579">
        <v>-0.21925629999999999</v>
      </c>
      <c r="N3579">
        <v>-1.4680210000000001E-2</v>
      </c>
      <c r="O3579">
        <v>-0.97555689999999995</v>
      </c>
      <c r="P3579">
        <v>-6.190263E-2</v>
      </c>
      <c r="Q3579">
        <v>0.1415178</v>
      </c>
      <c r="R3579">
        <v>-0.98799840000000005</v>
      </c>
      <c r="S3579">
        <v>-0.17245479999999899</v>
      </c>
      <c r="T3579">
        <v>-9.847438E-2</v>
      </c>
      <c r="U3579">
        <v>-3.0400999999999998</v>
      </c>
      <c r="V3579">
        <v>-0.15832979999999899</v>
      </c>
      <c r="W3579">
        <v>0.1537422</v>
      </c>
      <c r="X3579">
        <v>0.97534350000000003</v>
      </c>
      <c r="Y3579">
        <v>-0.16362079999999901</v>
      </c>
      <c r="Z3579">
        <v>1.636872E-2</v>
      </c>
      <c r="AA3579">
        <v>0.98638749999999997</v>
      </c>
      <c r="AB3579">
        <v>25</v>
      </c>
      <c r="AC3579">
        <v>-1.9300999999999799</v>
      </c>
      <c r="AD3579">
        <v>-1.1161353234860001</v>
      </c>
      <c r="AE3579">
        <v>-34.333299999999902</v>
      </c>
      <c r="AF3579">
        <v>-5.63953680941749</v>
      </c>
      <c r="AG3579">
        <v>-1.1161353234860001</v>
      </c>
      <c r="AH3579">
        <v>33.885230042441698</v>
      </c>
      <c r="AI3579">
        <v>91.860986804589103</v>
      </c>
      <c r="AJ3579">
        <v>99.449157759061805</v>
      </c>
      <c r="AK3579">
        <v>34.369447893649699</v>
      </c>
      <c r="AL3579">
        <v>81.156144431558303</v>
      </c>
      <c r="AM3579">
        <v>99.220527343171796</v>
      </c>
      <c r="AN3579">
        <v>0.99999996631056398</v>
      </c>
    </row>
    <row r="3580" spans="1:40" x14ac:dyDescent="0.25">
      <c r="A3580" t="str">
        <f>"20190304154825383"</f>
        <v>20190304154825383</v>
      </c>
      <c r="B3580" t="str">
        <f>"1551685705370577"</f>
        <v>1551685705370577</v>
      </c>
      <c r="C3580" t="s">
        <v>40</v>
      </c>
      <c r="D3580">
        <v>4.4154159999999996</v>
      </c>
      <c r="E3580">
        <v>0.49576039999999999</v>
      </c>
      <c r="F3580" t="s">
        <v>44</v>
      </c>
      <c r="G3580">
        <v>-491.92340000000002</v>
      </c>
      <c r="H3580" s="1">
        <v>-1.6975109999999999E-6</v>
      </c>
      <c r="I3580">
        <v>232.35310000000001</v>
      </c>
      <c r="J3580">
        <v>-490.137</v>
      </c>
      <c r="K3580">
        <v>1.1159950000000001</v>
      </c>
      <c r="L3580">
        <v>265.6198</v>
      </c>
      <c r="M3580">
        <v>-0.21546129999999999</v>
      </c>
      <c r="N3580">
        <v>-1.465109E-2</v>
      </c>
      <c r="O3580">
        <v>-0.97640249999999995</v>
      </c>
      <c r="P3580">
        <v>-5.9099270000000002E-2</v>
      </c>
      <c r="Q3580">
        <v>0.1412477</v>
      </c>
      <c r="R3580">
        <v>-0.98820870000000005</v>
      </c>
      <c r="S3580">
        <v>-0.16473389999999999</v>
      </c>
      <c r="T3580">
        <v>-0.10165440000000001</v>
      </c>
      <c r="U3580">
        <v>-3.0407099999999998</v>
      </c>
      <c r="V3580">
        <v>-0.15725359999999999</v>
      </c>
      <c r="W3580">
        <v>0.15351409999999999</v>
      </c>
      <c r="X3580">
        <v>0.97555360000000002</v>
      </c>
      <c r="Y3580">
        <v>-0.16229299999999999</v>
      </c>
      <c r="Z3580">
        <v>1.7432429999999999E-2</v>
      </c>
      <c r="AA3580">
        <v>0.98658860000000004</v>
      </c>
      <c r="AB3580">
        <v>25</v>
      </c>
      <c r="AC3580">
        <v>-1.7864000000000699</v>
      </c>
      <c r="AD3580">
        <v>-1.1159966975110001</v>
      </c>
      <c r="AE3580">
        <v>-33.266699999999901</v>
      </c>
      <c r="AF3580">
        <v>-5.4179431802971401</v>
      </c>
      <c r="AG3580">
        <v>-1.1159966975110001</v>
      </c>
      <c r="AH3580">
        <v>32.833271765252</v>
      </c>
      <c r="AI3580">
        <v>91.920767911652902</v>
      </c>
      <c r="AJ3580">
        <v>99.370155228256294</v>
      </c>
      <c r="AK3580">
        <v>33.2959951307162</v>
      </c>
      <c r="AL3580">
        <v>81.169371356178203</v>
      </c>
      <c r="AM3580">
        <v>99.156980211007905</v>
      </c>
      <c r="AN3580">
        <v>1.00000005004236</v>
      </c>
    </row>
    <row r="3581" spans="1:40" x14ac:dyDescent="0.25">
      <c r="A3581" t="str">
        <f>"20190304154825395"</f>
        <v>20190304154825395</v>
      </c>
      <c r="B3581" t="str">
        <f>"1551685705390097"</f>
        <v>1551685705390097</v>
      </c>
      <c r="C3581" t="s">
        <v>40</v>
      </c>
      <c r="D3581">
        <v>4.3769229999999997</v>
      </c>
      <c r="E3581">
        <v>0.49671969999999999</v>
      </c>
      <c r="F3581" t="s">
        <v>44</v>
      </c>
      <c r="G3581">
        <v>-491.86070000000001</v>
      </c>
      <c r="H3581" s="1">
        <v>-1.8141820000000001E-6</v>
      </c>
      <c r="I3581">
        <v>232.66390000000001</v>
      </c>
      <c r="J3581">
        <v>-490.16239999999999</v>
      </c>
      <c r="K3581">
        <v>1.1158250000000001</v>
      </c>
      <c r="L3581">
        <v>265.48259999999999</v>
      </c>
      <c r="M3581">
        <v>-0.21116409999999999</v>
      </c>
      <c r="N3581">
        <v>-1.4618290000000001E-2</v>
      </c>
      <c r="O3581">
        <v>-0.97734120000000002</v>
      </c>
      <c r="P3581">
        <v>-5.6185699999999998E-2</v>
      </c>
      <c r="Q3581">
        <v>0.14076329999999901</v>
      </c>
      <c r="R3581">
        <v>-0.98844779999999999</v>
      </c>
      <c r="S3581">
        <v>-0.15905759999999999</v>
      </c>
      <c r="T3581">
        <v>-0.102978</v>
      </c>
      <c r="U3581">
        <v>-3.040985</v>
      </c>
      <c r="V3581">
        <v>-0.15578139999999999</v>
      </c>
      <c r="W3581">
        <v>0.153083</v>
      </c>
      <c r="X3581">
        <v>0.97585739999999999</v>
      </c>
      <c r="Y3581">
        <v>-0.15979399999999999</v>
      </c>
      <c r="Z3581">
        <v>1.7929609999999999E-2</v>
      </c>
      <c r="AA3581">
        <v>0.98698750000000002</v>
      </c>
      <c r="AB3581">
        <v>25</v>
      </c>
      <c r="AC3581">
        <v>-1.6983000000000099</v>
      </c>
      <c r="AD3581">
        <v>-1.115826814182</v>
      </c>
      <c r="AE3581">
        <v>-32.8186999999999</v>
      </c>
      <c r="AF3581">
        <v>-5.2648066788668704</v>
      </c>
      <c r="AG3581">
        <v>-1.115826814182</v>
      </c>
      <c r="AH3581">
        <v>32.399803455350899</v>
      </c>
      <c r="AI3581">
        <v>91.946930949782995</v>
      </c>
      <c r="AJ3581">
        <v>99.229608196804406</v>
      </c>
      <c r="AK3581">
        <v>32.843728819828797</v>
      </c>
      <c r="AL3581">
        <v>81.194366193266902</v>
      </c>
      <c r="AM3581">
        <v>99.069907937244395</v>
      </c>
      <c r="AN3581">
        <v>0.99999995730485902</v>
      </c>
    </row>
    <row r="3582" spans="1:40" x14ac:dyDescent="0.25">
      <c r="A3582" t="str">
        <f>"20190304154825406"</f>
        <v>20190304154825406</v>
      </c>
      <c r="B3582" t="str">
        <f>"1551685705399858"</f>
        <v>1551685705399858</v>
      </c>
      <c r="C3582" t="s">
        <v>40</v>
      </c>
      <c r="D3582">
        <v>4.3521939999999999</v>
      </c>
      <c r="E3582">
        <v>0.49724180000000001</v>
      </c>
      <c r="F3582" t="s">
        <v>44</v>
      </c>
      <c r="G3582">
        <v>-491.82100000000003</v>
      </c>
      <c r="H3582" s="1">
        <v>-2.1350069999999999E-6</v>
      </c>
      <c r="I3582">
        <v>233.43639999999999</v>
      </c>
      <c r="J3582">
        <v>-490.18509999999998</v>
      </c>
      <c r="K3582">
        <v>1.115667</v>
      </c>
      <c r="L3582">
        <v>265.3569</v>
      </c>
      <c r="M3582">
        <v>-0.2073652</v>
      </c>
      <c r="N3582">
        <v>-1.458777E-2</v>
      </c>
      <c r="O3582">
        <v>-0.97815490000000005</v>
      </c>
      <c r="P3582">
        <v>-5.3570060000000003E-2</v>
      </c>
      <c r="Q3582">
        <v>0.14116719999999999</v>
      </c>
      <c r="R3582">
        <v>-0.98853519999999995</v>
      </c>
      <c r="S3582">
        <v>-0.15740970000000001</v>
      </c>
      <c r="T3582">
        <v>-0.1058935</v>
      </c>
      <c r="U3582">
        <v>-3.041229</v>
      </c>
      <c r="V3582">
        <v>-0.154502799999999</v>
      </c>
      <c r="W3582">
        <v>0.1535339</v>
      </c>
      <c r="X3582">
        <v>0.97598989999999997</v>
      </c>
      <c r="Y3582">
        <v>-0.1564963</v>
      </c>
      <c r="Z3582">
        <v>1.8925230000000001E-2</v>
      </c>
      <c r="AA3582">
        <v>0.98749719999999996</v>
      </c>
      <c r="AB3582">
        <v>25</v>
      </c>
      <c r="AC3582">
        <v>-1.6358999999999899</v>
      </c>
      <c r="AD3582">
        <v>-1.115669135007</v>
      </c>
      <c r="AE3582">
        <v>-31.920500000000001</v>
      </c>
      <c r="AF3582">
        <v>-5.0134626020360997</v>
      </c>
      <c r="AG3582">
        <v>-1.115669135007</v>
      </c>
      <c r="AH3582">
        <v>31.527365714525502</v>
      </c>
      <c r="AI3582">
        <v>92.001570476034701</v>
      </c>
      <c r="AJ3582">
        <v>99.035486414538795</v>
      </c>
      <c r="AK3582">
        <v>31.942985361081401</v>
      </c>
      <c r="AL3582">
        <v>81.168223104538299</v>
      </c>
      <c r="AM3582">
        <v>98.995486365818195</v>
      </c>
      <c r="AN3582">
        <v>1.0000000292795199</v>
      </c>
    </row>
    <row r="3583" spans="1:40" x14ac:dyDescent="0.25">
      <c r="A3583" t="str">
        <f>"20190304154825423"</f>
        <v>20190304154825423</v>
      </c>
      <c r="B3583" t="str">
        <f>"1551685705420352"</f>
        <v>1551685705420352</v>
      </c>
      <c r="C3583" t="s">
        <v>40</v>
      </c>
      <c r="D3583">
        <v>4.3743600000000002</v>
      </c>
      <c r="E3583">
        <v>0.49825779999999997</v>
      </c>
      <c r="F3583" t="s">
        <v>44</v>
      </c>
      <c r="G3583">
        <v>-491.81880000000001</v>
      </c>
      <c r="H3583" s="1">
        <v>-1.9580799999999998E-6</v>
      </c>
      <c r="I3583">
        <v>233.02529999999999</v>
      </c>
      <c r="J3583">
        <v>-490.21550000000002</v>
      </c>
      <c r="K3583">
        <v>1.1154550000000001</v>
      </c>
      <c r="L3583">
        <v>265.18560000000002</v>
      </c>
      <c r="M3583">
        <v>-0.20237749999999999</v>
      </c>
      <c r="N3583">
        <v>-1.454625E-2</v>
      </c>
      <c r="O3583">
        <v>-0.97919959999999995</v>
      </c>
      <c r="P3583">
        <v>-5.0078780000000003E-2</v>
      </c>
      <c r="Q3583">
        <v>0.14251129999999901</v>
      </c>
      <c r="R3583">
        <v>-0.98852549999999995</v>
      </c>
      <c r="S3583">
        <v>-0.1536865</v>
      </c>
      <c r="T3583">
        <v>-0.1049515</v>
      </c>
      <c r="U3583">
        <v>-3.0414430000000001</v>
      </c>
      <c r="V3583">
        <v>-0.1528658</v>
      </c>
      <c r="W3583">
        <v>0.154939299999999</v>
      </c>
      <c r="X3583">
        <v>0.97602549999999999</v>
      </c>
      <c r="Y3583">
        <v>-0.15267259999999999</v>
      </c>
      <c r="Z3583">
        <v>1.8728450000000001E-2</v>
      </c>
      <c r="AA3583">
        <v>0.98809930000000001</v>
      </c>
      <c r="AB3583">
        <v>25</v>
      </c>
      <c r="AC3583">
        <v>-1.60329999999999</v>
      </c>
      <c r="AD3583">
        <v>-1.11545695807999</v>
      </c>
      <c r="AE3583">
        <v>-32.160299999999999</v>
      </c>
      <c r="AF3583">
        <v>-4.9331728172267297</v>
      </c>
      <c r="AG3583">
        <v>-1.11545695807999</v>
      </c>
      <c r="AH3583">
        <v>31.781051849666799</v>
      </c>
      <c r="AI3583">
        <v>91.986383686985704</v>
      </c>
      <c r="AJ3583">
        <v>98.823249554708596</v>
      </c>
      <c r="AK3583">
        <v>32.1809834365136</v>
      </c>
      <c r="AL3583">
        <v>81.086723752997401</v>
      </c>
      <c r="AM3583">
        <v>98.901391507604799</v>
      </c>
      <c r="AN3583">
        <v>0.999999958072189</v>
      </c>
    </row>
    <row r="3584" spans="1:40" x14ac:dyDescent="0.25">
      <c r="A3584" t="str">
        <f>"20190304154825435"</f>
        <v>20190304154825435</v>
      </c>
      <c r="B3584" t="str">
        <f>"1551685705430113"</f>
        <v>1551685705430113</v>
      </c>
      <c r="C3584" t="s">
        <v>40</v>
      </c>
      <c r="D3584">
        <v>4.3994679999999997</v>
      </c>
      <c r="E3584">
        <v>0.49880059999999898</v>
      </c>
      <c r="F3584" t="s">
        <v>44</v>
      </c>
      <c r="G3584">
        <v>-491.8725</v>
      </c>
      <c r="H3584" s="1">
        <v>-1.4236009999999901E-6</v>
      </c>
      <c r="I3584">
        <v>231.74619999999999</v>
      </c>
      <c r="J3584">
        <v>-490.23989999999998</v>
      </c>
      <c r="K3584">
        <v>1.1152759999999999</v>
      </c>
      <c r="L3584">
        <v>265.04579999999999</v>
      </c>
      <c r="M3584">
        <v>-0.19844429999999999</v>
      </c>
      <c r="N3584">
        <v>-1.451301E-2</v>
      </c>
      <c r="O3584">
        <v>-0.98000480000000001</v>
      </c>
      <c r="P3584">
        <v>-4.6754400000000002E-2</v>
      </c>
      <c r="Q3584">
        <v>0.14293459999999999</v>
      </c>
      <c r="R3584">
        <v>-0.98862709999999998</v>
      </c>
      <c r="S3584">
        <v>-0.15072629999999901</v>
      </c>
      <c r="T3584">
        <v>-0.1014683</v>
      </c>
      <c r="U3584">
        <v>-3.0418400000000001</v>
      </c>
      <c r="V3584">
        <v>-0.15215129999999999</v>
      </c>
      <c r="W3584">
        <v>0.15540519999999999</v>
      </c>
      <c r="X3584">
        <v>0.97606309999999996</v>
      </c>
      <c r="Y3584">
        <v>-0.1496711</v>
      </c>
      <c r="Z3584">
        <v>1.770205E-2</v>
      </c>
      <c r="AA3584">
        <v>0.98857740000000005</v>
      </c>
      <c r="AB3584">
        <v>25</v>
      </c>
      <c r="AC3584">
        <v>-1.63260000000002</v>
      </c>
      <c r="AD3584">
        <v>-1.1152774236009999</v>
      </c>
      <c r="AE3584">
        <v>-33.299599999999998</v>
      </c>
      <c r="AF3584">
        <v>-5.0030883972999902</v>
      </c>
      <c r="AG3584">
        <v>-1.1152774236009999</v>
      </c>
      <c r="AH3584">
        <v>32.924372909015403</v>
      </c>
      <c r="AI3584">
        <v>91.918088466080803</v>
      </c>
      <c r="AJ3584">
        <v>98.640393569305303</v>
      </c>
      <c r="AK3584">
        <v>33.321000415574197</v>
      </c>
      <c r="AL3584">
        <v>81.059702589528001</v>
      </c>
      <c r="AM3584">
        <v>98.860111857970395</v>
      </c>
      <c r="AN3584">
        <v>0.99999998473016904</v>
      </c>
    </row>
    <row r="3585" spans="1:40" x14ac:dyDescent="0.25">
      <c r="A3585" t="str">
        <f>"20190304154825448"</f>
        <v>20190304154825448</v>
      </c>
      <c r="B3585" t="str">
        <f>"1551685705439873"</f>
        <v>1551685705439873</v>
      </c>
      <c r="C3585" t="s">
        <v>40</v>
      </c>
      <c r="D3585">
        <v>4.3648870000000004</v>
      </c>
      <c r="E3585">
        <v>0.49880059999999898</v>
      </c>
      <c r="F3585" t="s">
        <v>44</v>
      </c>
      <c r="G3585">
        <v>-491.86309999999997</v>
      </c>
      <c r="H3585" s="1">
        <v>-1.165895E-6</v>
      </c>
      <c r="I3585">
        <v>231.15129999999999</v>
      </c>
      <c r="J3585">
        <v>-490.26319999999998</v>
      </c>
      <c r="K3585">
        <v>1.115097</v>
      </c>
      <c r="L3585">
        <v>264.90989999999999</v>
      </c>
      <c r="M3585">
        <v>-0.19476070000000001</v>
      </c>
      <c r="N3585">
        <v>-1.448119E-2</v>
      </c>
      <c r="O3585">
        <v>-0.9807439</v>
      </c>
      <c r="P3585">
        <v>-4.3450990000000002E-2</v>
      </c>
      <c r="Q3585">
        <v>0.14265139999999901</v>
      </c>
      <c r="R3585">
        <v>-0.98881909999999895</v>
      </c>
      <c r="S3585">
        <v>-0.14569089999999901</v>
      </c>
      <c r="T3585">
        <v>-0.1000978</v>
      </c>
      <c r="U3585">
        <v>-3.042084</v>
      </c>
      <c r="V3585">
        <v>-0.15168099999999901</v>
      </c>
      <c r="W3585">
        <v>0.15516359999999901</v>
      </c>
      <c r="X3585">
        <v>0.97617480000000001</v>
      </c>
      <c r="Y3585">
        <v>-0.14759320000000001</v>
      </c>
      <c r="Z3585">
        <v>1.7336359999999999E-2</v>
      </c>
      <c r="AA3585">
        <v>0.9888962</v>
      </c>
      <c r="AB3585">
        <v>25</v>
      </c>
      <c r="AC3585">
        <v>-1.5998999999999901</v>
      </c>
      <c r="AD3585">
        <v>-1.1150981658949899</v>
      </c>
      <c r="AE3585">
        <v>-33.758600000000001</v>
      </c>
      <c r="AF3585">
        <v>-5.0008371730591499</v>
      </c>
      <c r="AG3585">
        <v>-1.1150981658949899</v>
      </c>
      <c r="AH3585">
        <v>33.387296218609102</v>
      </c>
      <c r="AI3585">
        <v>91.891815586200394</v>
      </c>
      <c r="AJ3585">
        <v>98.518585125149798</v>
      </c>
      <c r="AK3585">
        <v>33.778149226092602</v>
      </c>
      <c r="AL3585">
        <v>81.073715852539394</v>
      </c>
      <c r="AM3585">
        <v>98.832162963555803</v>
      </c>
      <c r="AN3585">
        <v>1.0000000543404901</v>
      </c>
    </row>
    <row r="3586" spans="1:40" x14ac:dyDescent="0.25">
      <c r="A3586" t="str">
        <f>"20190304154825462"</f>
        <v>20190304154825462</v>
      </c>
      <c r="B3586" t="str">
        <f>"1551685705450609"</f>
        <v>1551685705450609</v>
      </c>
      <c r="C3586" t="s">
        <v>40</v>
      </c>
      <c r="D3586">
        <v>4.4959030000000002</v>
      </c>
      <c r="E3586">
        <v>0.49897920000000001</v>
      </c>
      <c r="F3586" t="s">
        <v>44</v>
      </c>
      <c r="G3586">
        <v>-491.76139999999998</v>
      </c>
      <c r="H3586" s="1">
        <v>-1.2079859999999999E-6</v>
      </c>
      <c r="I3586">
        <v>231.3125</v>
      </c>
      <c r="J3586">
        <v>-490.28719999999998</v>
      </c>
      <c r="K3586">
        <v>1.1149119999999999</v>
      </c>
      <c r="L3586">
        <v>264.76679999999999</v>
      </c>
      <c r="M3586">
        <v>-0.19106770000000001</v>
      </c>
      <c r="N3586">
        <v>-1.444805E-2</v>
      </c>
      <c r="O3586">
        <v>-0.98147059999999997</v>
      </c>
      <c r="P3586">
        <v>-4.0689870000000003E-2</v>
      </c>
      <c r="Q3586">
        <v>0.14207030000000001</v>
      </c>
      <c r="R3586">
        <v>-0.98901989999999995</v>
      </c>
      <c r="S3586">
        <v>-0.1356812</v>
      </c>
      <c r="T3586">
        <v>-0.100981</v>
      </c>
      <c r="U3586">
        <v>-3.0425110000000002</v>
      </c>
      <c r="V3586">
        <v>-0.1506691</v>
      </c>
      <c r="W3586">
        <v>0.15463270000000001</v>
      </c>
      <c r="X3586">
        <v>0.9764157</v>
      </c>
      <c r="Y3586">
        <v>-0.14712359999999999</v>
      </c>
      <c r="Z3586">
        <v>1.76784E-2</v>
      </c>
      <c r="AA3586">
        <v>0.98896010000000001</v>
      </c>
      <c r="AB3586">
        <v>25</v>
      </c>
      <c r="AC3586">
        <v>-1.47419999999999</v>
      </c>
      <c r="AD3586">
        <v>-1.114913207986</v>
      </c>
      <c r="AE3586">
        <v>-33.454299999999897</v>
      </c>
      <c r="AF3586">
        <v>-4.9401918431993401</v>
      </c>
      <c r="AG3586">
        <v>-1.114913207986</v>
      </c>
      <c r="AH3586">
        <v>33.082866008855802</v>
      </c>
      <c r="AI3586">
        <v>91.909021819254605</v>
      </c>
      <c r="AJ3586">
        <v>98.493095592942097</v>
      </c>
      <c r="AK3586">
        <v>33.468261835190397</v>
      </c>
      <c r="AL3586">
        <v>81.104505622809597</v>
      </c>
      <c r="AM3586">
        <v>98.772030308125096</v>
      </c>
      <c r="AN3586">
        <v>1.00000003440529</v>
      </c>
    </row>
    <row r="3587" spans="1:40" x14ac:dyDescent="0.25">
      <c r="A3587" t="str">
        <f>"20190304154825476"</f>
        <v>20190304154825476</v>
      </c>
      <c r="B3587" t="str">
        <f>"1551685705470129"</f>
        <v>1551685705470129</v>
      </c>
      <c r="C3587" t="s">
        <v>40</v>
      </c>
      <c r="D3587">
        <v>4.4749470000000002</v>
      </c>
      <c r="E3587">
        <v>0.49955680000000002</v>
      </c>
      <c r="F3587" t="s">
        <v>44</v>
      </c>
      <c r="G3587">
        <v>-491.66579999999999</v>
      </c>
      <c r="H3587" s="1">
        <v>-1.5631520000000001E-6</v>
      </c>
      <c r="I3587">
        <v>232.1996</v>
      </c>
      <c r="J3587">
        <v>-490.31259999999997</v>
      </c>
      <c r="K3587">
        <v>1.114711</v>
      </c>
      <c r="L3587">
        <v>264.6139</v>
      </c>
      <c r="M3587">
        <v>-0.18725900000000001</v>
      </c>
      <c r="N3587">
        <v>-1.4413459999999999E-2</v>
      </c>
      <c r="O3587">
        <v>-0.98220490000000005</v>
      </c>
      <c r="P3587">
        <v>-3.7894990000000003E-2</v>
      </c>
      <c r="Q3587">
        <v>0.14143259999999999</v>
      </c>
      <c r="R3587">
        <v>-0.9892225</v>
      </c>
      <c r="S3587">
        <v>-0.1288147</v>
      </c>
      <c r="T3587">
        <v>-0.10417269999999999</v>
      </c>
      <c r="U3587">
        <v>-3.0429379999999999</v>
      </c>
      <c r="V3587">
        <v>-0.14957229999999999</v>
      </c>
      <c r="W3587">
        <v>0.15404849999999901</v>
      </c>
      <c r="X3587">
        <v>0.97667660000000001</v>
      </c>
      <c r="Y3587">
        <v>-0.14552039999999999</v>
      </c>
      <c r="Z3587">
        <v>1.8759620000000001E-2</v>
      </c>
      <c r="AA3587">
        <v>0.98917730000000004</v>
      </c>
      <c r="AB3587">
        <v>25</v>
      </c>
      <c r="AC3587">
        <v>-1.35320000000001</v>
      </c>
      <c r="AD3587">
        <v>-1.1147125631520001</v>
      </c>
      <c r="AE3587">
        <v>-32.414299999999997</v>
      </c>
      <c r="AF3587">
        <v>-4.7356510768735003</v>
      </c>
      <c r="AG3587">
        <v>-1.1147125631520001</v>
      </c>
      <c r="AH3587">
        <v>32.056369560700503</v>
      </c>
      <c r="AI3587">
        <v>91.9702074572768</v>
      </c>
      <c r="AJ3587">
        <v>98.403460347514198</v>
      </c>
      <c r="AK3587">
        <v>32.423445292450801</v>
      </c>
      <c r="AL3587">
        <v>81.138383421471104</v>
      </c>
      <c r="AM3587">
        <v>98.706865807220694</v>
      </c>
      <c r="AN3587">
        <v>0.99999999713355003</v>
      </c>
    </row>
    <row r="3588" spans="1:40" x14ac:dyDescent="0.25">
      <c r="A3588" t="str">
        <f>"20190304154825492"</f>
        <v>20190304154825492</v>
      </c>
      <c r="B3588" t="str">
        <f>"1551685705479889"</f>
        <v>1551685705479889</v>
      </c>
      <c r="C3588" t="s">
        <v>40</v>
      </c>
      <c r="D3588">
        <v>4.4863689999999998</v>
      </c>
      <c r="E3588">
        <v>0.49989159999999999</v>
      </c>
      <c r="F3588" t="s">
        <v>44</v>
      </c>
      <c r="G3588">
        <v>-491.58769999999998</v>
      </c>
      <c r="H3588" s="1">
        <v>-2.0342559999999998E-6</v>
      </c>
      <c r="I3588">
        <v>233.34630000000001</v>
      </c>
      <c r="J3588">
        <v>-490.3399</v>
      </c>
      <c r="K3588">
        <v>1.1144909999999999</v>
      </c>
      <c r="L3588">
        <v>264.44619999999998</v>
      </c>
      <c r="M3588">
        <v>-0.18328539999999999</v>
      </c>
      <c r="N3588">
        <v>-1.437621E-2</v>
      </c>
      <c r="O3588">
        <v>-0.98295460000000001</v>
      </c>
      <c r="P3588">
        <v>-3.5863220000000001E-2</v>
      </c>
      <c r="Q3588">
        <v>0.14217689999999999</v>
      </c>
      <c r="R3588">
        <v>-0.9891915</v>
      </c>
      <c r="S3588">
        <v>-0.124115</v>
      </c>
      <c r="T3588">
        <v>-0.10850129999999999</v>
      </c>
      <c r="U3588">
        <v>-3.0434570000000001</v>
      </c>
      <c r="V3588">
        <v>-0.14752680000000001</v>
      </c>
      <c r="W3588">
        <v>0.15485979999999999</v>
      </c>
      <c r="X3588">
        <v>0.97685940000000004</v>
      </c>
      <c r="Y3588">
        <v>-0.1430516</v>
      </c>
      <c r="Z3588">
        <v>2.0209660000000001E-2</v>
      </c>
      <c r="AA3588">
        <v>0.98950890000000002</v>
      </c>
      <c r="AB3588">
        <v>25</v>
      </c>
      <c r="AC3588">
        <v>-1.24779999999998</v>
      </c>
      <c r="AD3588">
        <v>-1.114493034256</v>
      </c>
      <c r="AE3588">
        <v>-31.099899999999899</v>
      </c>
      <c r="AF3588">
        <v>-4.4683602202761596</v>
      </c>
      <c r="AG3588">
        <v>-1.114493034256</v>
      </c>
      <c r="AH3588">
        <v>30.762235319275</v>
      </c>
      <c r="AI3588">
        <v>92.053346329225704</v>
      </c>
      <c r="AJ3588">
        <v>98.264681188824895</v>
      </c>
      <c r="AK3588">
        <v>31.105039135484098</v>
      </c>
      <c r="AL3588">
        <v>81.091334801732799</v>
      </c>
      <c r="AM3588">
        <v>98.5879983718673</v>
      </c>
      <c r="AN3588">
        <v>1.0000000008713199</v>
      </c>
    </row>
    <row r="3589" spans="1:40" x14ac:dyDescent="0.25">
      <c r="A3589" t="str">
        <f>"20190304154825505"</f>
        <v>20190304154825505</v>
      </c>
      <c r="B3589" t="str">
        <f>"1551685705500385"</f>
        <v>1551685705500385</v>
      </c>
      <c r="C3589" t="s">
        <v>40</v>
      </c>
      <c r="D3589">
        <v>4.6653200000000004</v>
      </c>
      <c r="E3589">
        <v>0.5000696</v>
      </c>
      <c r="F3589" t="s">
        <v>44</v>
      </c>
      <c r="G3589">
        <v>-491.59339999999997</v>
      </c>
      <c r="H3589" s="1">
        <v>-1.785611E-6</v>
      </c>
      <c r="I3589">
        <v>232.76310000000001</v>
      </c>
      <c r="J3589">
        <v>-490.36290000000002</v>
      </c>
      <c r="K3589">
        <v>1.114303</v>
      </c>
      <c r="L3589">
        <v>264.30290000000002</v>
      </c>
      <c r="M3589">
        <v>-0.18013090000000001</v>
      </c>
      <c r="N3589">
        <v>-1.434439E-2</v>
      </c>
      <c r="O3589">
        <v>-0.98353800000000002</v>
      </c>
      <c r="P3589">
        <v>-3.3190049999999999E-2</v>
      </c>
      <c r="Q3589">
        <v>0.14344019999999999</v>
      </c>
      <c r="R3589">
        <v>-0.98910229999999999</v>
      </c>
      <c r="S3589">
        <v>-0.1204224</v>
      </c>
      <c r="T3589">
        <v>-0.1070694</v>
      </c>
      <c r="U3589">
        <v>-3.043793</v>
      </c>
      <c r="V3589">
        <v>-0.14693680000000001</v>
      </c>
      <c r="W3589">
        <v>0.156164</v>
      </c>
      <c r="X3589">
        <v>0.97674070000000002</v>
      </c>
      <c r="Y3589">
        <v>-0.14108010000000001</v>
      </c>
      <c r="Z3589">
        <v>1.9816239999999999E-2</v>
      </c>
      <c r="AA3589">
        <v>0.98979989999999995</v>
      </c>
      <c r="AB3589">
        <v>25</v>
      </c>
      <c r="AC3589">
        <v>-1.23049999999994</v>
      </c>
      <c r="AD3589">
        <v>-1.114304785611</v>
      </c>
      <c r="AE3589">
        <v>-31.5398</v>
      </c>
      <c r="AF3589">
        <v>-4.4659433354320397</v>
      </c>
      <c r="AG3589">
        <v>-1.114304785611</v>
      </c>
      <c r="AH3589">
        <v>31.2065657991281</v>
      </c>
      <c r="AI3589">
        <v>92.024405834432699</v>
      </c>
      <c r="AJ3589">
        <v>98.144248836003001</v>
      </c>
      <c r="AK3589">
        <v>31.544192397426102</v>
      </c>
      <c r="AL3589">
        <v>81.015689390623507</v>
      </c>
      <c r="AM3589">
        <v>98.555185898290006</v>
      </c>
      <c r="AN3589">
        <v>1.0000000065633601</v>
      </c>
    </row>
    <row r="3590" spans="1:40" x14ac:dyDescent="0.25">
      <c r="A3590" t="str">
        <f>"20190304154825518"</f>
        <v>20190304154825518</v>
      </c>
      <c r="B3590" t="str">
        <f>"1551685705510144"</f>
        <v>1551685705510144</v>
      </c>
      <c r="C3590" t="s">
        <v>40</v>
      </c>
      <c r="D3590">
        <v>4.4086069999999999</v>
      </c>
      <c r="E3590">
        <v>0.46359800000000001</v>
      </c>
      <c r="F3590" t="s">
        <v>44</v>
      </c>
      <c r="G3590">
        <v>-491.62810000000002</v>
      </c>
      <c r="H3590" s="1">
        <v>-8.0417649999999995E-7</v>
      </c>
      <c r="I3590">
        <v>230.4539</v>
      </c>
      <c r="J3590">
        <v>-490.38529999999997</v>
      </c>
      <c r="K3590">
        <v>1.114123</v>
      </c>
      <c r="L3590">
        <v>264.16090000000003</v>
      </c>
      <c r="M3590">
        <v>-0.17712229999999901</v>
      </c>
      <c r="N3590">
        <v>-1.4313950000000001E-2</v>
      </c>
      <c r="O3590">
        <v>-0.98408479999999998</v>
      </c>
      <c r="P3590">
        <v>-3.036492E-2</v>
      </c>
      <c r="Q3590">
        <v>0.14431640000000001</v>
      </c>
      <c r="R3590">
        <v>-0.98906559999999999</v>
      </c>
      <c r="S3590">
        <v>-0.1137695</v>
      </c>
      <c r="T3590">
        <v>-0.10020030000000001</v>
      </c>
      <c r="U3590">
        <v>-3.0437620000000001</v>
      </c>
      <c r="V3590">
        <v>-0.14665210000000001</v>
      </c>
      <c r="W3590">
        <v>0.15707769999999999</v>
      </c>
      <c r="X3590">
        <v>0.97663690000000003</v>
      </c>
      <c r="Y3590">
        <v>-0.14021349999999999</v>
      </c>
      <c r="Z3590">
        <v>1.7687060000000001E-2</v>
      </c>
      <c r="AA3590">
        <v>0.98996329999999999</v>
      </c>
      <c r="AB3590">
        <v>25</v>
      </c>
      <c r="AC3590">
        <v>-1.2428000000000401</v>
      </c>
      <c r="AD3590">
        <v>-1.1141238041765</v>
      </c>
      <c r="AE3590">
        <v>-33.707000000000001</v>
      </c>
      <c r="AF3590">
        <v>-4.7425526948514598</v>
      </c>
      <c r="AG3590">
        <v>-1.1141238041765</v>
      </c>
      <c r="AH3590">
        <v>33.357699380607301</v>
      </c>
      <c r="AI3590">
        <v>91.893896940378497</v>
      </c>
      <c r="AJ3590">
        <v>98.091664791998994</v>
      </c>
      <c r="AK3590">
        <v>33.711558639158802</v>
      </c>
      <c r="AL3590">
        <v>80.962683464706799</v>
      </c>
      <c r="AM3590">
        <v>98.539748387645702</v>
      </c>
      <c r="AN3590">
        <v>0.99999993835665302</v>
      </c>
    </row>
    <row r="3591" spans="1:40" x14ac:dyDescent="0.25">
      <c r="A3591" t="str">
        <f>"20190304154825529"</f>
        <v>20190304154825529</v>
      </c>
      <c r="B3591" t="str">
        <f>"1551685705519907"</f>
        <v>1551685705519907</v>
      </c>
      <c r="C3591" t="s">
        <v>40</v>
      </c>
      <c r="D3591">
        <v>4.3504969999999998</v>
      </c>
      <c r="E3591">
        <v>0.46075250000000001</v>
      </c>
      <c r="F3591" t="s">
        <v>44</v>
      </c>
      <c r="G3591">
        <v>-488.33699999999999</v>
      </c>
      <c r="H3591" s="1">
        <v>-7.1409800000000002E-7</v>
      </c>
      <c r="I3591">
        <v>230.4462</v>
      </c>
      <c r="J3591">
        <v>-490.40570000000002</v>
      </c>
      <c r="K3591">
        <v>1.113958</v>
      </c>
      <c r="L3591">
        <v>264.0308</v>
      </c>
      <c r="M3591">
        <v>-0.1744636</v>
      </c>
      <c r="N3591">
        <v>-1.428692E-2</v>
      </c>
      <c r="O3591">
        <v>-0.98455999999999999</v>
      </c>
      <c r="P3591">
        <v>-2.8304630000000001E-2</v>
      </c>
      <c r="Q3591">
        <v>0.1442002</v>
      </c>
      <c r="R3591">
        <v>-0.98914369999999996</v>
      </c>
      <c r="S3591">
        <v>0.1855164</v>
      </c>
      <c r="T3591">
        <v>-0.10090789999999999</v>
      </c>
      <c r="U3591">
        <v>-3.0535890000000001</v>
      </c>
      <c r="V3591">
        <v>-0.14598420000000001</v>
      </c>
      <c r="W3591">
        <v>0.15700229999999901</v>
      </c>
      <c r="X3591">
        <v>0.97674910000000004</v>
      </c>
      <c r="Y3591">
        <v>-0.23378189999999999</v>
      </c>
      <c r="Z3591">
        <v>1.74208E-2</v>
      </c>
      <c r="AA3591">
        <v>0.97213300000000002</v>
      </c>
      <c r="AB3591">
        <v>25</v>
      </c>
      <c r="AC3591">
        <v>2.06870000000003</v>
      </c>
      <c r="AD3591">
        <v>-1.1139587140979901</v>
      </c>
      <c r="AE3591">
        <v>-33.584599999999902</v>
      </c>
      <c r="AF3591">
        <v>-7.88820971467295</v>
      </c>
      <c r="AG3591">
        <v>-1.1139587140979901</v>
      </c>
      <c r="AH3591">
        <v>32.672668860633202</v>
      </c>
      <c r="AI3591">
        <v>91.898217663736204</v>
      </c>
      <c r="AJ3591">
        <v>103.573257088056</v>
      </c>
      <c r="AK3591">
        <v>33.629868376132102</v>
      </c>
      <c r="AL3591">
        <v>80.967058009175204</v>
      </c>
      <c r="AM3591">
        <v>98.500462979742693</v>
      </c>
      <c r="AN3591">
        <v>0.999999956602869</v>
      </c>
    </row>
    <row r="3592" spans="1:40" x14ac:dyDescent="0.25">
      <c r="A3592" t="str">
        <f>"20190304154825548"</f>
        <v>20190304154825548</v>
      </c>
      <c r="B3592" t="str">
        <f>"1551685705540401"</f>
        <v>1551685705540401</v>
      </c>
      <c r="C3592" t="s">
        <v>40</v>
      </c>
      <c r="D3592">
        <v>4.3645420000000001</v>
      </c>
      <c r="E3592">
        <v>0.4606518</v>
      </c>
      <c r="F3592" t="s">
        <v>54</v>
      </c>
      <c r="G3592">
        <v>-487.86470000000003</v>
      </c>
      <c r="H3592" s="1">
        <v>5.5281800000000002E-6</v>
      </c>
      <c r="I3592">
        <v>227.84819999999999</v>
      </c>
      <c r="J3592">
        <v>-490.43419999999998</v>
      </c>
      <c r="K3592">
        <v>1.1137159999999999</v>
      </c>
      <c r="L3592">
        <v>263.84620000000001</v>
      </c>
      <c r="M3592">
        <v>-0.1709898</v>
      </c>
      <c r="N3592">
        <v>-1.424958E-2</v>
      </c>
      <c r="O3592">
        <v>-0.98516979999999998</v>
      </c>
      <c r="P3592">
        <v>-2.6542090000000001E-2</v>
      </c>
      <c r="Q3592">
        <v>0.1428025</v>
      </c>
      <c r="R3592">
        <v>-0.98939569999999999</v>
      </c>
      <c r="S3592">
        <v>0.21438599999999999</v>
      </c>
      <c r="T3592">
        <v>-9.3985319999999997E-2</v>
      </c>
      <c r="U3592">
        <v>-3.052765</v>
      </c>
      <c r="V3592">
        <v>-0.1442071</v>
      </c>
      <c r="W3592">
        <v>0.155672799999999</v>
      </c>
      <c r="X3592">
        <v>0.97722580000000003</v>
      </c>
      <c r="Y3592">
        <v>-0.23952290000000001</v>
      </c>
      <c r="Z3592">
        <v>1.5274680000000001E-2</v>
      </c>
      <c r="AA3592">
        <v>0.97077049999999998</v>
      </c>
      <c r="AB3592">
        <v>25</v>
      </c>
      <c r="AC3592">
        <v>2.5694999999999402</v>
      </c>
      <c r="AD3592">
        <v>-1.1137104718199999</v>
      </c>
      <c r="AE3592">
        <v>-35.997999999999998</v>
      </c>
      <c r="AF3592">
        <v>-8.6793008209967493</v>
      </c>
      <c r="AG3592">
        <v>-1.1137104718199999</v>
      </c>
      <c r="AH3592">
        <v>34.995012624661001</v>
      </c>
      <c r="AI3592">
        <v>91.769246467484805</v>
      </c>
      <c r="AJ3592">
        <v>103.92917126520599</v>
      </c>
      <c r="AK3592">
        <v>36.072448244561699</v>
      </c>
      <c r="AL3592">
        <v>81.044181355088199</v>
      </c>
      <c r="AM3592">
        <v>98.394431128370002</v>
      </c>
      <c r="AN3592">
        <v>0.99999998626794395</v>
      </c>
    </row>
    <row r="3593" spans="1:40" x14ac:dyDescent="0.25">
      <c r="A3593" t="str">
        <f>"20190304154825559"</f>
        <v>20190304154825559</v>
      </c>
      <c r="B3593" t="str">
        <f>"1551685705550161"</f>
        <v>1551685705550161</v>
      </c>
      <c r="C3593" t="s">
        <v>40</v>
      </c>
      <c r="D3593">
        <v>4.3596339999999998</v>
      </c>
      <c r="E3593">
        <v>0.46093089999999998</v>
      </c>
      <c r="F3593" t="s">
        <v>54</v>
      </c>
      <c r="G3593">
        <v>-487.94799999999998</v>
      </c>
      <c r="H3593" s="1">
        <v>6.04452E-6</v>
      </c>
      <c r="I3593">
        <v>229.4434</v>
      </c>
      <c r="J3593">
        <v>-490.45389999999998</v>
      </c>
      <c r="K3593">
        <v>1.1135360000000001</v>
      </c>
      <c r="L3593">
        <v>263.71679999999998</v>
      </c>
      <c r="M3593">
        <v>-0.1687295</v>
      </c>
      <c r="N3593">
        <v>-1.42241E-2</v>
      </c>
      <c r="O3593">
        <v>-0.98555979999999999</v>
      </c>
      <c r="P3593">
        <v>-2.584939E-2</v>
      </c>
      <c r="Q3593">
        <v>0.1418681</v>
      </c>
      <c r="R3593">
        <v>-0.98954810000000004</v>
      </c>
      <c r="S3593">
        <v>0.2205811</v>
      </c>
      <c r="T3593">
        <v>-9.8810319999999993E-2</v>
      </c>
      <c r="U3593">
        <v>-3.0522770000000001</v>
      </c>
      <c r="V3593">
        <v>-0.14259639999999901</v>
      </c>
      <c r="W3593">
        <v>0.1547905</v>
      </c>
      <c r="X3593">
        <v>0.97760219999999998</v>
      </c>
      <c r="Y3593">
        <v>-0.2392628</v>
      </c>
      <c r="Z3593">
        <v>1.684064E-2</v>
      </c>
      <c r="AA3593">
        <v>0.97080880000000003</v>
      </c>
      <c r="AB3593">
        <v>25</v>
      </c>
      <c r="AC3593">
        <v>2.5058999999999299</v>
      </c>
      <c r="AD3593">
        <v>-1.11352995548</v>
      </c>
      <c r="AE3593">
        <v>-34.273399999999903</v>
      </c>
      <c r="AF3593">
        <v>-8.2448258065005096</v>
      </c>
      <c r="AG3593">
        <v>-1.11352995548</v>
      </c>
      <c r="AH3593">
        <v>33.324050355675801</v>
      </c>
      <c r="AI3593">
        <v>91.857860574562096</v>
      </c>
      <c r="AJ3593">
        <v>103.896690174752</v>
      </c>
      <c r="AK3593">
        <v>34.346898457486702</v>
      </c>
      <c r="AL3593">
        <v>81.095353376251296</v>
      </c>
      <c r="AM3593">
        <v>98.298832886824201</v>
      </c>
      <c r="AN3593">
        <v>0.99999994681402304</v>
      </c>
    </row>
    <row r="3594" spans="1:40" x14ac:dyDescent="0.25">
      <c r="A3594" t="str">
        <f>"20190304154825572"</f>
        <v>20190304154825572</v>
      </c>
      <c r="B3594" t="str">
        <f>"1551685705560528"</f>
        <v>1551685705560528</v>
      </c>
      <c r="C3594" t="s">
        <v>40</v>
      </c>
      <c r="D3594">
        <v>4.361567</v>
      </c>
      <c r="E3594">
        <v>0.46114339999999998</v>
      </c>
      <c r="F3594" t="s">
        <v>44</v>
      </c>
      <c r="G3594">
        <v>-488.0675</v>
      </c>
      <c r="H3594" s="1">
        <v>-8.8450369999999898E-7</v>
      </c>
      <c r="I3594">
        <v>230.7363</v>
      </c>
      <c r="J3594">
        <v>-490.47410000000002</v>
      </c>
      <c r="K3594">
        <v>1.113354</v>
      </c>
      <c r="L3594">
        <v>263.58420000000001</v>
      </c>
      <c r="M3594">
        <v>-0.16650090000000001</v>
      </c>
      <c r="N3594">
        <v>-1.419872E-2</v>
      </c>
      <c r="O3594">
        <v>-0.98593909999999996</v>
      </c>
      <c r="P3594">
        <v>-2.4960199999999998E-2</v>
      </c>
      <c r="Q3594">
        <v>0.141228399999999</v>
      </c>
      <c r="R3594">
        <v>-0.9896625</v>
      </c>
      <c r="S3594">
        <v>0.22085569999999999</v>
      </c>
      <c r="T3594">
        <v>-0.1030533</v>
      </c>
      <c r="U3594">
        <v>-3.052216</v>
      </c>
      <c r="V3594">
        <v>-0.14120350000000001</v>
      </c>
      <c r="W3594">
        <v>0.15420210000000001</v>
      </c>
      <c r="X3594">
        <v>0.97789740000000003</v>
      </c>
      <c r="Y3594">
        <v>-0.2371519</v>
      </c>
      <c r="Z3594">
        <v>1.823226E-2</v>
      </c>
      <c r="AA3594">
        <v>0.97130150000000004</v>
      </c>
      <c r="AB3594">
        <v>25</v>
      </c>
      <c r="AC3594">
        <v>2.4066000000000201</v>
      </c>
      <c r="AD3594">
        <v>-1.1133548845037</v>
      </c>
      <c r="AE3594">
        <v>-32.847900000000003</v>
      </c>
      <c r="AF3594">
        <v>-7.8338047287188903</v>
      </c>
      <c r="AG3594">
        <v>-1.1133548845037</v>
      </c>
      <c r="AH3594">
        <v>31.952040405297399</v>
      </c>
      <c r="AI3594">
        <v>91.938279612607303</v>
      </c>
      <c r="AJ3594">
        <v>103.775697079075</v>
      </c>
      <c r="AK3594">
        <v>32.917183076446598</v>
      </c>
      <c r="AL3594">
        <v>81.129476570883995</v>
      </c>
      <c r="AM3594">
        <v>98.216434453651701</v>
      </c>
      <c r="AN3594">
        <v>1.0000000204916999</v>
      </c>
    </row>
    <row r="3595" spans="1:40" x14ac:dyDescent="0.25">
      <c r="A3595" t="str">
        <f>"20190304154825584"</f>
        <v>20190304154825584</v>
      </c>
      <c r="B3595" t="str">
        <f>"1551685705580047"</f>
        <v>1551685705580047</v>
      </c>
      <c r="C3595" t="s">
        <v>40</v>
      </c>
      <c r="D3595">
        <v>4.3608960000000003</v>
      </c>
      <c r="E3595">
        <v>0.46164880000000003</v>
      </c>
      <c r="F3595" t="s">
        <v>44</v>
      </c>
      <c r="G3595">
        <v>-488.11900000000003</v>
      </c>
      <c r="H3595" s="1">
        <v>-1.0610329999999999E-6</v>
      </c>
      <c r="I3595">
        <v>231.2953</v>
      </c>
      <c r="J3595">
        <v>-490.4939</v>
      </c>
      <c r="K3595">
        <v>1.113175</v>
      </c>
      <c r="L3595">
        <v>263.452</v>
      </c>
      <c r="M3595">
        <v>-0.1644979</v>
      </c>
      <c r="N3595">
        <v>-1.4174000000000001E-2</v>
      </c>
      <c r="O3595">
        <v>-0.98627569999999998</v>
      </c>
      <c r="P3595">
        <v>-2.4109579999999999E-2</v>
      </c>
      <c r="Q3595">
        <v>0.14124349999999999</v>
      </c>
      <c r="R3595">
        <v>-0.98968120000000004</v>
      </c>
      <c r="S3595">
        <v>0.22259519999999999</v>
      </c>
      <c r="T3595">
        <v>-0.1052351</v>
      </c>
      <c r="U3595">
        <v>-3.051971</v>
      </c>
      <c r="V3595">
        <v>-0.13998640000000001</v>
      </c>
      <c r="W3595">
        <v>0.15426519999999999</v>
      </c>
      <c r="X3595">
        <v>0.9780624</v>
      </c>
      <c r="Y3595">
        <v>-0.2357332</v>
      </c>
      <c r="Z3595">
        <v>1.8970609999999999E-2</v>
      </c>
      <c r="AA3595">
        <v>0.97163270000000002</v>
      </c>
      <c r="AB3595">
        <v>24</v>
      </c>
      <c r="AC3595">
        <v>2.3748999999999598</v>
      </c>
      <c r="AD3595">
        <v>-1.1131760610329999</v>
      </c>
      <c r="AE3595">
        <v>-32.156700000000001</v>
      </c>
      <c r="AF3595">
        <v>-7.6236953919520696</v>
      </c>
      <c r="AG3595">
        <v>-1.1131760610329999</v>
      </c>
      <c r="AH3595">
        <v>31.290555687689999</v>
      </c>
      <c r="AI3595">
        <v>91.979603766504496</v>
      </c>
      <c r="AJ3595">
        <v>103.69287910126199</v>
      </c>
      <c r="AK3595">
        <v>32.225126339807602</v>
      </c>
      <c r="AL3595">
        <v>81.125817250850403</v>
      </c>
      <c r="AM3595">
        <v>98.145211908602604</v>
      </c>
      <c r="AN3595">
        <v>1.00000000120488</v>
      </c>
    </row>
    <row r="3596" spans="1:40" x14ac:dyDescent="0.25">
      <c r="A3596" t="str">
        <f>"20190304154825596"</f>
        <v>20190304154825596</v>
      </c>
      <c r="B3596" t="str">
        <f>"1551685705589808"</f>
        <v>1551685705589808</v>
      </c>
      <c r="C3596" t="s">
        <v>40</v>
      </c>
      <c r="D3596">
        <v>4.3701109999999996</v>
      </c>
      <c r="E3596">
        <v>0.46143869999999998</v>
      </c>
      <c r="F3596" t="s">
        <v>44</v>
      </c>
      <c r="G3596">
        <v>-488.12689999999998</v>
      </c>
      <c r="H3596" s="1">
        <v>-9.1973379999999996E-7</v>
      </c>
      <c r="I3596">
        <v>230.8862</v>
      </c>
      <c r="J3596">
        <v>-490.51240000000001</v>
      </c>
      <c r="K3596">
        <v>1.1130059999999999</v>
      </c>
      <c r="L3596">
        <v>263.32839999999999</v>
      </c>
      <c r="M3596">
        <v>-0.16269649999999999</v>
      </c>
      <c r="N3596">
        <v>-1.4151850000000001E-2</v>
      </c>
      <c r="O3596">
        <v>-0.98657459999999997</v>
      </c>
      <c r="P3596">
        <v>-2.335139E-2</v>
      </c>
      <c r="Q3596">
        <v>0.14175579999999999</v>
      </c>
      <c r="R3596">
        <v>-0.98962629999999996</v>
      </c>
      <c r="S3596">
        <v>0.22180179999999999</v>
      </c>
      <c r="T3596">
        <v>-0.10431120000000001</v>
      </c>
      <c r="U3596">
        <v>-3.0516049999999999</v>
      </c>
      <c r="V3596">
        <v>-0.13887529999999901</v>
      </c>
      <c r="W3596">
        <v>0.1548197</v>
      </c>
      <c r="X3596">
        <v>0.97813320000000004</v>
      </c>
      <c r="Y3596">
        <v>-0.23371690000000001</v>
      </c>
      <c r="Z3596">
        <v>1.873056E-2</v>
      </c>
      <c r="AA3596">
        <v>0.97212430000000005</v>
      </c>
      <c r="AB3596">
        <v>24</v>
      </c>
      <c r="AC3596">
        <v>2.3855000000000302</v>
      </c>
      <c r="AD3596">
        <v>-1.1130069197337999</v>
      </c>
      <c r="AE3596">
        <v>-32.4421999999999</v>
      </c>
      <c r="AF3596">
        <v>-7.62354630814158</v>
      </c>
      <c r="AG3596">
        <v>-1.1130069197337999</v>
      </c>
      <c r="AH3596">
        <v>31.584731561334198</v>
      </c>
      <c r="AI3596">
        <v>91.961903448883106</v>
      </c>
      <c r="AJ3596">
        <v>103.569826861954</v>
      </c>
      <c r="AK3596">
        <v>32.510806057637097</v>
      </c>
      <c r="AL3596">
        <v>81.093660606256904</v>
      </c>
      <c r="AM3596">
        <v>98.080841894761505</v>
      </c>
      <c r="AN3596">
        <v>1.0000000227001999</v>
      </c>
    </row>
    <row r="3597" spans="1:40" x14ac:dyDescent="0.25">
      <c r="A3597" t="str">
        <f>"20190304154825607"</f>
        <v>20190304154825607</v>
      </c>
      <c r="B3597" t="str">
        <f>"1551685705600543"</f>
        <v>1551685705600543</v>
      </c>
      <c r="C3597" t="s">
        <v>40</v>
      </c>
      <c r="D3597">
        <v>4.4126609999999999</v>
      </c>
      <c r="E3597">
        <v>0.46130280000000001</v>
      </c>
      <c r="F3597" t="s">
        <v>44</v>
      </c>
      <c r="G3597">
        <v>-488.14460000000003</v>
      </c>
      <c r="H3597" s="1">
        <v>-1.0551850000000001E-6</v>
      </c>
      <c r="I3597">
        <v>231.29810000000001</v>
      </c>
      <c r="J3597">
        <v>-490.53190000000001</v>
      </c>
      <c r="K3597">
        <v>1.112835</v>
      </c>
      <c r="L3597">
        <v>263.197</v>
      </c>
      <c r="M3597">
        <v>-0.16090769999999999</v>
      </c>
      <c r="N3597">
        <v>-1.4129350000000001E-2</v>
      </c>
      <c r="O3597">
        <v>-0.98686839999999998</v>
      </c>
      <c r="P3597">
        <v>-2.2149410000000001E-2</v>
      </c>
      <c r="Q3597">
        <v>0.14206740000000001</v>
      </c>
      <c r="R3597">
        <v>-0.98960930000000003</v>
      </c>
      <c r="S3597">
        <v>0.2256165</v>
      </c>
      <c r="T3597">
        <v>-0.1060528</v>
      </c>
      <c r="U3597">
        <v>-3.0520019999999999</v>
      </c>
      <c r="V3597">
        <v>-0.13821829999999999</v>
      </c>
      <c r="W3597">
        <v>0.15517059999999999</v>
      </c>
      <c r="X3597">
        <v>0.9781706</v>
      </c>
      <c r="Y3597">
        <v>-0.2331521</v>
      </c>
      <c r="Z3597">
        <v>1.9314359999999999E-2</v>
      </c>
      <c r="AA3597">
        <v>0.97224840000000001</v>
      </c>
      <c r="AB3597">
        <v>24</v>
      </c>
      <c r="AC3597">
        <v>2.3872999999999802</v>
      </c>
      <c r="AD3597">
        <v>-1.1128360551850001</v>
      </c>
      <c r="AE3597">
        <v>-31.898900000000001</v>
      </c>
      <c r="AF3597">
        <v>-7.4804231803028198</v>
      </c>
      <c r="AG3597">
        <v>-1.1128360551850001</v>
      </c>
      <c r="AH3597">
        <v>31.061390383695301</v>
      </c>
      <c r="AI3597">
        <v>91.994872001728098</v>
      </c>
      <c r="AJ3597">
        <v>103.540530820215</v>
      </c>
      <c r="AK3597">
        <v>31.9688146106554</v>
      </c>
      <c r="AL3597">
        <v>81.073309089033202</v>
      </c>
      <c r="AM3597">
        <v>98.042810463851794</v>
      </c>
      <c r="AN3597">
        <v>0.99999996813180403</v>
      </c>
    </row>
    <row r="3598" spans="1:40" x14ac:dyDescent="0.25">
      <c r="A3598" t="str">
        <f>"20190304154825619"</f>
        <v>20190304154825619</v>
      </c>
      <c r="B3598" t="str">
        <f>"1551685705610303"</f>
        <v>1551685705610303</v>
      </c>
      <c r="C3598" t="s">
        <v>40</v>
      </c>
      <c r="D3598">
        <v>4.3948460000000003</v>
      </c>
      <c r="E3598">
        <v>0.46141749999999998</v>
      </c>
      <c r="F3598" t="s">
        <v>44</v>
      </c>
      <c r="G3598">
        <v>-488.1454</v>
      </c>
      <c r="H3598" s="1">
        <v>-1.1821070000000001E-6</v>
      </c>
      <c r="I3598">
        <v>231.62139999999999</v>
      </c>
      <c r="J3598">
        <v>-490.5496</v>
      </c>
      <c r="K3598">
        <v>1.112687</v>
      </c>
      <c r="L3598">
        <v>263.07729999999998</v>
      </c>
      <c r="M3598">
        <v>-0.15940409999999999</v>
      </c>
      <c r="N3598">
        <v>-1.4109790000000001E-2</v>
      </c>
      <c r="O3598">
        <v>-0.98711269999999995</v>
      </c>
      <c r="P3598">
        <v>-2.1247430000000001E-2</v>
      </c>
      <c r="Q3598">
        <v>0.1417264</v>
      </c>
      <c r="R3598">
        <v>-0.98967780000000005</v>
      </c>
      <c r="S3598">
        <v>0.23068240000000001</v>
      </c>
      <c r="T3598">
        <v>-0.10756780000000001</v>
      </c>
      <c r="U3598">
        <v>-3.0521240000000001</v>
      </c>
      <c r="V3598">
        <v>-0.1375682</v>
      </c>
      <c r="W3598">
        <v>0.15486629999999901</v>
      </c>
      <c r="X3598">
        <v>0.97831049999999997</v>
      </c>
      <c r="Y3598">
        <v>-0.23327110000000001</v>
      </c>
      <c r="Z3598">
        <v>1.982039E-2</v>
      </c>
      <c r="AA3598">
        <v>0.97220980000000001</v>
      </c>
      <c r="AB3598">
        <v>24</v>
      </c>
      <c r="AC3598">
        <v>2.4041999999999999</v>
      </c>
      <c r="AD3598">
        <v>-1.112688182107</v>
      </c>
      <c r="AE3598">
        <v>-31.4558999999999</v>
      </c>
      <c r="AF3598">
        <v>-7.3789711012893697</v>
      </c>
      <c r="AG3598">
        <v>-1.112688182107</v>
      </c>
      <c r="AH3598">
        <v>30.6322227518964</v>
      </c>
      <c r="AI3598">
        <v>92.022500617894593</v>
      </c>
      <c r="AJ3598">
        <v>103.543895272848</v>
      </c>
      <c r="AK3598">
        <v>31.528088432793702</v>
      </c>
      <c r="AL3598">
        <v>81.090957890629696</v>
      </c>
      <c r="AM3598">
        <v>98.004343266033104</v>
      </c>
      <c r="AN3598">
        <v>1.00000000746859</v>
      </c>
    </row>
    <row r="3599" spans="1:40" x14ac:dyDescent="0.25">
      <c r="A3599" t="str">
        <f>"20190304154825637"</f>
        <v>20190304154825637</v>
      </c>
      <c r="B3599" t="str">
        <f>"1551685705629824"</f>
        <v>1551685705629824</v>
      </c>
      <c r="C3599" t="s">
        <v>40</v>
      </c>
      <c r="D3599">
        <v>4.4144930000000002</v>
      </c>
      <c r="E3599">
        <v>0.46156049999999899</v>
      </c>
      <c r="F3599" t="s">
        <v>44</v>
      </c>
      <c r="G3599">
        <v>-488.22570000000002</v>
      </c>
      <c r="H3599" s="1">
        <v>-1.570482E-6</v>
      </c>
      <c r="I3599">
        <v>232.56</v>
      </c>
      <c r="J3599">
        <v>-490.57830000000001</v>
      </c>
      <c r="K3599">
        <v>1.1124529999999999</v>
      </c>
      <c r="L3599">
        <v>262.88189999999997</v>
      </c>
      <c r="M3599">
        <v>-0.1571399</v>
      </c>
      <c r="N3599">
        <v>-1.407952E-2</v>
      </c>
      <c r="O3599">
        <v>-0.98747620000000003</v>
      </c>
      <c r="P3599">
        <v>-2.0965029999999999E-2</v>
      </c>
      <c r="Q3599">
        <v>0.14074</v>
      </c>
      <c r="R3599">
        <v>-0.98982510000000001</v>
      </c>
      <c r="S3599">
        <v>0.23242189999999999</v>
      </c>
      <c r="T3599">
        <v>-0.1112863</v>
      </c>
      <c r="U3599">
        <v>-3.052216</v>
      </c>
      <c r="V3599">
        <v>-0.13552809999999901</v>
      </c>
      <c r="W3599">
        <v>0.153943</v>
      </c>
      <c r="X3599">
        <v>0.97874090000000002</v>
      </c>
      <c r="Y3599">
        <v>-0.23158619999999999</v>
      </c>
      <c r="Z3599">
        <v>2.1051509999999999E-2</v>
      </c>
      <c r="AA3599">
        <v>0.97258659999999997</v>
      </c>
      <c r="AB3599">
        <v>24</v>
      </c>
      <c r="AC3599">
        <v>2.35259999999999</v>
      </c>
      <c r="AD3599">
        <v>-1.1124545704819999</v>
      </c>
      <c r="AE3599">
        <v>-30.3218999999999</v>
      </c>
      <c r="AF3599">
        <v>-7.0791463031392201</v>
      </c>
      <c r="AG3599">
        <v>-1.1124545704819999</v>
      </c>
      <c r="AH3599">
        <v>29.535874495617499</v>
      </c>
      <c r="AI3599">
        <v>92.097644195191904</v>
      </c>
      <c r="AJ3599">
        <v>103.47837374181999</v>
      </c>
      <c r="AK3599">
        <v>30.3927581797622</v>
      </c>
      <c r="AL3599">
        <v>81.144501405327702</v>
      </c>
      <c r="AM3599">
        <v>97.883721129752601</v>
      </c>
      <c r="AN3599">
        <v>1.0000000312357</v>
      </c>
    </row>
    <row r="3600" spans="1:40" x14ac:dyDescent="0.25">
      <c r="A3600" t="str">
        <f>"20190304154825650"</f>
        <v>20190304154825650</v>
      </c>
      <c r="B3600" t="str">
        <f>"1551685705640559"</f>
        <v>1551685705640559</v>
      </c>
      <c r="C3600" t="s">
        <v>40</v>
      </c>
      <c r="D3600">
        <v>4.3734229999999998</v>
      </c>
      <c r="E3600">
        <v>0.46150409999999997</v>
      </c>
      <c r="F3600" t="s">
        <v>44</v>
      </c>
      <c r="G3600">
        <v>-488.36160000000001</v>
      </c>
      <c r="H3600" s="1">
        <v>-2.0994569999999998E-6</v>
      </c>
      <c r="I3600">
        <v>233.8492</v>
      </c>
      <c r="J3600">
        <v>-490.5985</v>
      </c>
      <c r="K3600">
        <v>1.112296</v>
      </c>
      <c r="L3600">
        <v>262.74400000000003</v>
      </c>
      <c r="M3600">
        <v>-0.155688299999999</v>
      </c>
      <c r="N3600">
        <v>-1.405936E-2</v>
      </c>
      <c r="O3600">
        <v>-0.98770630000000004</v>
      </c>
      <c r="P3600">
        <v>-2.0642400000000002E-2</v>
      </c>
      <c r="Q3600">
        <v>0.1403142</v>
      </c>
      <c r="R3600">
        <v>-0.98989179999999999</v>
      </c>
      <c r="S3600">
        <v>0.23306270000000001</v>
      </c>
      <c r="T3600">
        <v>-0.11695850000000001</v>
      </c>
      <c r="U3600">
        <v>-3.052368</v>
      </c>
      <c r="V3600">
        <v>-0.13435349999999999</v>
      </c>
      <c r="W3600">
        <v>0.153558</v>
      </c>
      <c r="X3600">
        <v>0.97896329999999998</v>
      </c>
      <c r="Y3600">
        <v>-0.23034979999999999</v>
      </c>
      <c r="Z3600">
        <v>2.288194E-2</v>
      </c>
      <c r="AA3600">
        <v>0.9728388</v>
      </c>
      <c r="AB3600">
        <v>24</v>
      </c>
      <c r="AC3600">
        <v>2.2368999999999901</v>
      </c>
      <c r="AD3600">
        <v>-1.112298099457</v>
      </c>
      <c r="AE3600">
        <v>-28.8948</v>
      </c>
      <c r="AF3600">
        <v>-6.6987773320993602</v>
      </c>
      <c r="AG3600">
        <v>-1.112298099457</v>
      </c>
      <c r="AH3600">
        <v>28.152630664765699</v>
      </c>
      <c r="AI3600">
        <v>92.2011627106357</v>
      </c>
      <c r="AJ3600">
        <v>103.384350556879</v>
      </c>
      <c r="AK3600">
        <v>28.959997205694101</v>
      </c>
      <c r="AL3600">
        <v>81.166825734246203</v>
      </c>
      <c r="AM3600">
        <v>97.814488642234593</v>
      </c>
      <c r="AN3600">
        <v>1.0000000325365599</v>
      </c>
    </row>
    <row r="3601" spans="1:40" x14ac:dyDescent="0.25">
      <c r="A3601" t="str">
        <f>"20190304154825664"</f>
        <v>20190304154825664</v>
      </c>
      <c r="B3601" t="str">
        <f>"1551685705660174"</f>
        <v>1551685705660174</v>
      </c>
      <c r="C3601" t="s">
        <v>40</v>
      </c>
      <c r="D3601">
        <v>4.3681409999999996</v>
      </c>
      <c r="E3601">
        <v>0.4620686</v>
      </c>
      <c r="F3601" t="s">
        <v>44</v>
      </c>
      <c r="G3601">
        <v>-488.40769999999998</v>
      </c>
      <c r="H3601" s="1">
        <v>-2.274056E-6</v>
      </c>
      <c r="I3601">
        <v>234.27529999999999</v>
      </c>
      <c r="J3601">
        <v>-490.61900000000003</v>
      </c>
      <c r="K3601">
        <v>1.112147</v>
      </c>
      <c r="L3601">
        <v>262.6035</v>
      </c>
      <c r="M3601">
        <v>-0.1543861</v>
      </c>
      <c r="N3601">
        <v>-1.404005E-2</v>
      </c>
      <c r="O3601">
        <v>-0.98791090000000004</v>
      </c>
      <c r="P3601">
        <v>-2.0398360000000001E-2</v>
      </c>
      <c r="Q3601">
        <v>0.14028109999999999</v>
      </c>
      <c r="R3601">
        <v>-0.98990180000000005</v>
      </c>
      <c r="S3601">
        <v>0.23489380000000001</v>
      </c>
      <c r="T3601">
        <v>-0.11926100000000001</v>
      </c>
      <c r="U3601">
        <v>-3.0524290000000001</v>
      </c>
      <c r="V3601">
        <v>-0.13324620000000001</v>
      </c>
      <c r="W3601">
        <v>0.15356029999999901</v>
      </c>
      <c r="X3601">
        <v>0.97911420000000005</v>
      </c>
      <c r="Y3601">
        <v>-0.2296434</v>
      </c>
      <c r="Z3601">
        <v>2.364306E-2</v>
      </c>
      <c r="AA3601">
        <v>0.97298759999999995</v>
      </c>
      <c r="AB3601">
        <v>24</v>
      </c>
      <c r="AC3601">
        <v>2.2113000000000498</v>
      </c>
      <c r="AD3601">
        <v>-1.1121492740559999</v>
      </c>
      <c r="AE3601">
        <v>-28.328199999999999</v>
      </c>
      <c r="AF3601">
        <v>-6.5486613628633101</v>
      </c>
      <c r="AG3601">
        <v>-1.1121492740559999</v>
      </c>
      <c r="AH3601">
        <v>27.604777091041299</v>
      </c>
      <c r="AI3601">
        <v>92.244864341423707</v>
      </c>
      <c r="AJ3601">
        <v>103.34553458468601</v>
      </c>
      <c r="AK3601">
        <v>28.392702581813499</v>
      </c>
      <c r="AL3601">
        <v>81.1666917806279</v>
      </c>
      <c r="AM3601">
        <v>97.749690067840504</v>
      </c>
      <c r="AN3601">
        <v>0.99999996609608399</v>
      </c>
    </row>
    <row r="3602" spans="1:40" x14ac:dyDescent="0.25">
      <c r="A3602" t="str">
        <f>"20190304154825678"</f>
        <v>20190304154825678</v>
      </c>
      <c r="B3602" t="str">
        <f>"1551685705669934"</f>
        <v>1551685705669934</v>
      </c>
      <c r="C3602" t="s">
        <v>40</v>
      </c>
      <c r="D3602">
        <v>4.3925029999999996</v>
      </c>
      <c r="E3602">
        <v>0.4623004</v>
      </c>
      <c r="F3602" t="s">
        <v>44</v>
      </c>
      <c r="G3602">
        <v>-488.47449999999998</v>
      </c>
      <c r="H3602" s="1">
        <v>-2.3228329999999999E-6</v>
      </c>
      <c r="I3602">
        <v>234.41659999999999</v>
      </c>
      <c r="J3602">
        <v>-490.64229999999998</v>
      </c>
      <c r="K3602">
        <v>1.111985</v>
      </c>
      <c r="L3602">
        <v>262.44330000000002</v>
      </c>
      <c r="M3602">
        <v>-0.15302189999999999</v>
      </c>
      <c r="N3602">
        <v>-1.401902E-2</v>
      </c>
      <c r="O3602">
        <v>-0.98812370000000005</v>
      </c>
      <c r="P3602">
        <v>-1.9830589999999999E-2</v>
      </c>
      <c r="Q3602">
        <v>0.1406512</v>
      </c>
      <c r="R3602">
        <v>-0.98986110000000005</v>
      </c>
      <c r="S3602">
        <v>0.2322388</v>
      </c>
      <c r="T3602">
        <v>-0.1204385</v>
      </c>
      <c r="U3602">
        <v>-3.05246</v>
      </c>
      <c r="V3602">
        <v>-0.13238510000000001</v>
      </c>
      <c r="W3602">
        <v>0.1539674</v>
      </c>
      <c r="X3602">
        <v>0.97916709999999996</v>
      </c>
      <c r="Y3602">
        <v>-0.22745650000000001</v>
      </c>
      <c r="Z3602">
        <v>2.4061869999999999E-2</v>
      </c>
      <c r="AA3602">
        <v>0.97349090000000005</v>
      </c>
      <c r="AB3602">
        <v>24</v>
      </c>
      <c r="AC3602">
        <v>2.1678000000000002</v>
      </c>
      <c r="AD3602">
        <v>-1.1119873228329999</v>
      </c>
      <c r="AE3602">
        <v>-28.026700000000002</v>
      </c>
      <c r="AF3602">
        <v>-6.4213350175177997</v>
      </c>
      <c r="AG3602">
        <v>-1.1119873228329999</v>
      </c>
      <c r="AH3602">
        <v>27.3220513030838</v>
      </c>
      <c r="AI3602">
        <v>92.268857563379697</v>
      </c>
      <c r="AJ3602">
        <v>103.225848817751</v>
      </c>
      <c r="AK3602">
        <v>28.088512716441301</v>
      </c>
      <c r="AL3602">
        <v>81.143086172611405</v>
      </c>
      <c r="AM3602">
        <v>97.699799675972599</v>
      </c>
      <c r="AN3602">
        <v>0.99999999234358905</v>
      </c>
    </row>
    <row r="3603" spans="1:40" x14ac:dyDescent="0.25">
      <c r="A3603" t="str">
        <f>"20190304154825693"</f>
        <v>20190304154825693</v>
      </c>
      <c r="B3603" t="str">
        <f>"1551685705690429"</f>
        <v>1551685705690429</v>
      </c>
      <c r="C3603" t="s">
        <v>40</v>
      </c>
      <c r="D3603">
        <v>4.3895869999999997</v>
      </c>
      <c r="E3603">
        <v>0.46272859999999999</v>
      </c>
      <c r="F3603" t="s">
        <v>44</v>
      </c>
      <c r="G3603">
        <v>-488.47949999999997</v>
      </c>
      <c r="H3603" s="1">
        <v>-2.1774370000000001E-6</v>
      </c>
      <c r="I3603">
        <v>234.0797</v>
      </c>
      <c r="J3603">
        <v>-490.66480000000001</v>
      </c>
      <c r="K3603">
        <v>1.111834</v>
      </c>
      <c r="L3603">
        <v>262.28879999999998</v>
      </c>
      <c r="M3603">
        <v>-0.15183829999999901</v>
      </c>
      <c r="N3603">
        <v>-1.399977E-2</v>
      </c>
      <c r="O3603">
        <v>-0.98830629999999997</v>
      </c>
      <c r="P3603">
        <v>-1.9670710000000001E-2</v>
      </c>
      <c r="Q3603">
        <v>0.14214289999999999</v>
      </c>
      <c r="R3603">
        <v>-0.98965080000000005</v>
      </c>
      <c r="S3603">
        <v>0.23275760000000001</v>
      </c>
      <c r="T3603">
        <v>-0.119669899999999</v>
      </c>
      <c r="U3603">
        <v>-3.0524290000000001</v>
      </c>
      <c r="V3603">
        <v>-0.1312817</v>
      </c>
      <c r="W3603">
        <v>0.15549279999999999</v>
      </c>
      <c r="X3603">
        <v>0.97907460000000002</v>
      </c>
      <c r="Y3603">
        <v>-0.22645670000000001</v>
      </c>
      <c r="Z3603">
        <v>2.3853889999999999E-2</v>
      </c>
      <c r="AA3603">
        <v>0.97372910000000001</v>
      </c>
      <c r="AB3603">
        <v>24</v>
      </c>
      <c r="AC3603">
        <v>2.1853000000000402</v>
      </c>
      <c r="AD3603">
        <v>-1.111836177437</v>
      </c>
      <c r="AE3603">
        <v>-28.2090999999999</v>
      </c>
      <c r="AF3603">
        <v>-6.4336634790966203</v>
      </c>
      <c r="AG3603">
        <v>-1.111836177437</v>
      </c>
      <c r="AH3603">
        <v>27.5076387343323</v>
      </c>
      <c r="AI3603">
        <v>92.253829049462695</v>
      </c>
      <c r="AJ3603">
        <v>103.164072579906</v>
      </c>
      <c r="AK3603">
        <v>28.2718657712267</v>
      </c>
      <c r="AL3603">
        <v>81.054621708936097</v>
      </c>
      <c r="AM3603">
        <v>97.637096951422294</v>
      </c>
      <c r="AN3603">
        <v>0.99999998398594403</v>
      </c>
    </row>
    <row r="3604" spans="1:40" x14ac:dyDescent="0.25">
      <c r="A3604" t="str">
        <f>"20190304154825706"</f>
        <v>20190304154825706</v>
      </c>
      <c r="B3604" t="str">
        <f>"1551685705700190"</f>
        <v>1551685705700190</v>
      </c>
      <c r="C3604" t="s">
        <v>40</v>
      </c>
      <c r="D3604">
        <v>4.3092069999999998</v>
      </c>
      <c r="E3604">
        <v>0.46301560000000003</v>
      </c>
      <c r="F3604" t="s">
        <v>44</v>
      </c>
      <c r="G3604">
        <v>-488.44569999999999</v>
      </c>
      <c r="H3604" s="1">
        <v>-1.6792510000000001E-6</v>
      </c>
      <c r="I3604">
        <v>232.90450000000001</v>
      </c>
      <c r="J3604">
        <v>-490.68509999999998</v>
      </c>
      <c r="K3604">
        <v>1.1117049999999999</v>
      </c>
      <c r="L3604">
        <v>262.14870000000002</v>
      </c>
      <c r="M3604">
        <v>-0.15091940000000001</v>
      </c>
      <c r="N3604">
        <v>-1.3983850000000001E-2</v>
      </c>
      <c r="O3604">
        <v>-0.98844719999999997</v>
      </c>
      <c r="P3604">
        <v>-1.8848960000000001E-2</v>
      </c>
      <c r="Q3604">
        <v>0.14285909999999999</v>
      </c>
      <c r="R3604">
        <v>-0.98956370000000005</v>
      </c>
      <c r="S3604">
        <v>0.23052980000000001</v>
      </c>
      <c r="T3604">
        <v>-0.115504</v>
      </c>
      <c r="U3604">
        <v>-3.0526119999999999</v>
      </c>
      <c r="V3604">
        <v>-0.1311196</v>
      </c>
      <c r="W3604">
        <v>0.1562347</v>
      </c>
      <c r="X3604">
        <v>0.97897820000000002</v>
      </c>
      <c r="Y3604">
        <v>-0.22484509999999999</v>
      </c>
      <c r="Z3604">
        <v>2.2566019999999999E-2</v>
      </c>
      <c r="AA3604">
        <v>0.97413320000000003</v>
      </c>
      <c r="AB3604">
        <v>24</v>
      </c>
      <c r="AC3604">
        <v>2.2393999999999799</v>
      </c>
      <c r="AD3604">
        <v>-1.111706679251</v>
      </c>
      <c r="AE3604">
        <v>-29.244199999999999</v>
      </c>
      <c r="AF3604">
        <v>-6.6181853068107204</v>
      </c>
      <c r="AG3604">
        <v>-1.111706679251</v>
      </c>
      <c r="AH3604">
        <v>28.530182304733099</v>
      </c>
      <c r="AI3604">
        <v>92.173794804072799</v>
      </c>
      <c r="AJ3604">
        <v>103.059994155948</v>
      </c>
      <c r="AK3604">
        <v>29.3088309360385</v>
      </c>
      <c r="AL3604">
        <v>81.0115879403062</v>
      </c>
      <c r="AM3604">
        <v>97.628520407222695</v>
      </c>
      <c r="AN3604">
        <v>0.99999997353174397</v>
      </c>
    </row>
    <row r="3605" spans="1:40" x14ac:dyDescent="0.25">
      <c r="A3605" t="str">
        <f>"20190304154825717"</f>
        <v>20190304154825717</v>
      </c>
      <c r="B3605" t="str">
        <f>"1551685705709949"</f>
        <v>1551685705709949</v>
      </c>
      <c r="C3605" t="s">
        <v>40</v>
      </c>
      <c r="D3605">
        <v>4.3258130000000001</v>
      </c>
      <c r="E3605">
        <v>0.46351419999999999</v>
      </c>
      <c r="F3605" t="s">
        <v>44</v>
      </c>
      <c r="G3605">
        <v>-488.4033</v>
      </c>
      <c r="H3605" s="1">
        <v>-1.2698990000000001E-6</v>
      </c>
      <c r="I3605">
        <v>231.93270000000001</v>
      </c>
      <c r="J3605">
        <v>-490.70389999999998</v>
      </c>
      <c r="K3605">
        <v>1.1115919999999999</v>
      </c>
      <c r="L3605">
        <v>262.01940000000002</v>
      </c>
      <c r="M3605">
        <v>-0.15014269999999999</v>
      </c>
      <c r="N3605">
        <v>-1.396997E-2</v>
      </c>
      <c r="O3605">
        <v>-0.98856580000000005</v>
      </c>
      <c r="P3605">
        <v>-1.805116E-2</v>
      </c>
      <c r="Q3605">
        <v>0.14335999999999999</v>
      </c>
      <c r="R3605">
        <v>-0.989506</v>
      </c>
      <c r="S3605">
        <v>0.23049929999999999</v>
      </c>
      <c r="T3605">
        <v>-0.1122983</v>
      </c>
      <c r="U3605">
        <v>-3.0522459999999998</v>
      </c>
      <c r="V3605">
        <v>-0.1310857</v>
      </c>
      <c r="W3605">
        <v>0.15675790000000001</v>
      </c>
      <c r="X3605">
        <v>0.97889910000000002</v>
      </c>
      <c r="Y3605">
        <v>-0.22408230000000001</v>
      </c>
      <c r="Z3605">
        <v>2.1578880000000002E-2</v>
      </c>
      <c r="AA3605">
        <v>0.97433130000000001</v>
      </c>
      <c r="AB3605">
        <v>24</v>
      </c>
      <c r="AC3605">
        <v>2.30059999999997</v>
      </c>
      <c r="AD3605">
        <v>-1.1115932698990001</v>
      </c>
      <c r="AE3605">
        <v>-30.0867</v>
      </c>
      <c r="AF3605">
        <v>-6.7830492933585704</v>
      </c>
      <c r="AG3605">
        <v>-1.1115932698990001</v>
      </c>
      <c r="AH3605">
        <v>29.360283750302099</v>
      </c>
      <c r="AI3605">
        <v>92.112613864265796</v>
      </c>
      <c r="AJ3605">
        <v>103.00869580331999</v>
      </c>
      <c r="AK3605">
        <v>30.154131710464998</v>
      </c>
      <c r="AL3605">
        <v>80.981236821250604</v>
      </c>
      <c r="AM3605">
        <v>97.627180338221095</v>
      </c>
      <c r="AN3605">
        <v>0.99999997396885398</v>
      </c>
    </row>
    <row r="3606" spans="1:40" x14ac:dyDescent="0.25">
      <c r="A3606" t="str">
        <f>"20190304154825729"</f>
        <v>20190304154825729</v>
      </c>
      <c r="B3606" t="str">
        <f>"1551685705719710"</f>
        <v>1551685705719710</v>
      </c>
      <c r="C3606" t="s">
        <v>40</v>
      </c>
      <c r="D3606">
        <v>4.3203670000000001</v>
      </c>
      <c r="E3606">
        <v>0.46396490000000001</v>
      </c>
      <c r="F3606" t="s">
        <v>44</v>
      </c>
      <c r="G3606">
        <v>-488.37630000000001</v>
      </c>
      <c r="H3606" s="1">
        <v>-8.9623149999999896E-7</v>
      </c>
      <c r="I3606">
        <v>231.0121</v>
      </c>
      <c r="J3606">
        <v>-490.72190000000001</v>
      </c>
      <c r="K3606">
        <v>1.111486</v>
      </c>
      <c r="L3606">
        <v>261.8947</v>
      </c>
      <c r="M3606">
        <v>-0.149453799999999</v>
      </c>
      <c r="N3606">
        <v>-1.3957239999999999E-2</v>
      </c>
      <c r="O3606">
        <v>-0.98867020000000005</v>
      </c>
      <c r="P3606">
        <v>-1.7356369999999999E-2</v>
      </c>
      <c r="Q3606">
        <v>0.14379829999999999</v>
      </c>
      <c r="R3606">
        <v>-0.98945510000000003</v>
      </c>
      <c r="S3606">
        <v>0.22909550000000001</v>
      </c>
      <c r="T3606">
        <v>-0.10940709999999999</v>
      </c>
      <c r="U3606">
        <v>-3.0518489999999998</v>
      </c>
      <c r="V3606">
        <v>-0.13104150000000001</v>
      </c>
      <c r="W3606">
        <v>0.15721660000000001</v>
      </c>
      <c r="X3606">
        <v>0.97883149999999997</v>
      </c>
      <c r="Y3606">
        <v>-0.22297030000000001</v>
      </c>
      <c r="Z3606">
        <v>2.0691459999999998E-2</v>
      </c>
      <c r="AA3606">
        <v>0.97460559999999996</v>
      </c>
      <c r="AB3606">
        <v>24</v>
      </c>
      <c r="AC3606">
        <v>2.3455999999999899</v>
      </c>
      <c r="AD3606">
        <v>-1.1114868962315001</v>
      </c>
      <c r="AE3606">
        <v>-30.8826</v>
      </c>
      <c r="AF3606">
        <v>-6.9263018604434103</v>
      </c>
      <c r="AG3606">
        <v>-1.1114868962315001</v>
      </c>
      <c r="AH3606">
        <v>30.146262180715201</v>
      </c>
      <c r="AI3606">
        <v>92.057956584768803</v>
      </c>
      <c r="AJ3606">
        <v>102.93951716566499</v>
      </c>
      <c r="AK3606">
        <v>30.9516749797308</v>
      </c>
      <c r="AL3606">
        <v>80.954625697134105</v>
      </c>
      <c r="AM3606">
        <v>97.625159211897198</v>
      </c>
      <c r="AN3606">
        <v>1.0000000197150201</v>
      </c>
    </row>
    <row r="3607" spans="1:40" x14ac:dyDescent="0.25">
      <c r="A3607" t="str">
        <f>"20190304154825740"</f>
        <v>20190304154825740</v>
      </c>
      <c r="B3607" t="str">
        <f>"1551685705730446"</f>
        <v>1551685705730446</v>
      </c>
      <c r="C3607" t="s">
        <v>40</v>
      </c>
      <c r="D3607">
        <v>4.3230760000000004</v>
      </c>
      <c r="E3607">
        <v>0.4642173</v>
      </c>
      <c r="F3607" t="s">
        <v>44</v>
      </c>
      <c r="G3607">
        <v>-488.3571</v>
      </c>
      <c r="H3607" s="1">
        <v>-6.341986E-7</v>
      </c>
      <c r="I3607">
        <v>230.22710000000001</v>
      </c>
      <c r="J3607">
        <v>-490.73869999999999</v>
      </c>
      <c r="K3607">
        <v>1.1114010000000001</v>
      </c>
      <c r="L3607">
        <v>261.77890000000002</v>
      </c>
      <c r="M3607">
        <v>-0.14890880000000001</v>
      </c>
      <c r="N3607">
        <v>-1.394631E-2</v>
      </c>
      <c r="O3607">
        <v>-0.98875250000000003</v>
      </c>
      <c r="P3607">
        <v>-1.6679780000000002E-2</v>
      </c>
      <c r="Q3607">
        <v>0.14411260000000001</v>
      </c>
      <c r="R3607">
        <v>-0.98942079999999999</v>
      </c>
      <c r="S3607">
        <v>0.22787479999999999</v>
      </c>
      <c r="T3607">
        <v>-0.1071028</v>
      </c>
      <c r="U3607">
        <v>-3.0514830000000002</v>
      </c>
      <c r="V3607">
        <v>-0.1311311</v>
      </c>
      <c r="W3607">
        <v>0.15754860000000001</v>
      </c>
      <c r="X3607">
        <v>0.97876609999999997</v>
      </c>
      <c r="Y3607">
        <v>-0.2220567</v>
      </c>
      <c r="Z3607">
        <v>1.9984999999999999E-2</v>
      </c>
      <c r="AA3607">
        <v>0.9748289</v>
      </c>
      <c r="AB3607">
        <v>24</v>
      </c>
      <c r="AC3607">
        <v>2.3815999999999899</v>
      </c>
      <c r="AD3607">
        <v>-1.1114016341985999</v>
      </c>
      <c r="AE3607">
        <v>-31.5518</v>
      </c>
      <c r="AF3607">
        <v>-7.0451482881759304</v>
      </c>
      <c r="AG3607">
        <v>-1.1114016341985999</v>
      </c>
      <c r="AH3607">
        <v>30.807273889937299</v>
      </c>
      <c r="AI3607">
        <v>92.014152523389598</v>
      </c>
      <c r="AJ3607">
        <v>102.881162258271</v>
      </c>
      <c r="AK3607">
        <v>31.622103859871501</v>
      </c>
      <c r="AL3607">
        <v>80.935363290579801</v>
      </c>
      <c r="AM3607">
        <v>97.630815371402605</v>
      </c>
      <c r="AN3607">
        <v>1.00000000262919</v>
      </c>
    </row>
    <row r="3608" spans="1:40" x14ac:dyDescent="0.25">
      <c r="A3608" t="str">
        <f>"20190304154825751"</f>
        <v>20190304154825751</v>
      </c>
      <c r="B3608" t="str">
        <f>"1551685705740206"</f>
        <v>1551685705740206</v>
      </c>
      <c r="C3608" t="s">
        <v>40</v>
      </c>
      <c r="D3608">
        <v>4.3511449999999998</v>
      </c>
      <c r="E3608">
        <v>0.46443020000000002</v>
      </c>
      <c r="F3608" t="s">
        <v>44</v>
      </c>
      <c r="G3608">
        <v>-488.34379999999999</v>
      </c>
      <c r="H3608" s="1">
        <v>-4.4273920000000002E-7</v>
      </c>
      <c r="I3608">
        <v>229.6541</v>
      </c>
      <c r="J3608">
        <v>-490.75619999999998</v>
      </c>
      <c r="K3608">
        <v>1.111313</v>
      </c>
      <c r="L3608">
        <v>261.6583</v>
      </c>
      <c r="M3608">
        <v>-0.14836440000000001</v>
      </c>
      <c r="N3608">
        <v>-1.393523E-2</v>
      </c>
      <c r="O3608">
        <v>-0.9888344</v>
      </c>
      <c r="P3608">
        <v>-1.6006869999999999E-2</v>
      </c>
      <c r="Q3608">
        <v>0.1446308</v>
      </c>
      <c r="R3608">
        <v>-0.98935600000000001</v>
      </c>
      <c r="S3608">
        <v>0.22747800000000001</v>
      </c>
      <c r="T3608">
        <v>-0.1055628</v>
      </c>
      <c r="U3608">
        <v>-3.0512700000000001</v>
      </c>
      <c r="V3608">
        <v>-0.13121169999999999</v>
      </c>
      <c r="W3608">
        <v>0.1580839</v>
      </c>
      <c r="X3608">
        <v>0.97866900000000001</v>
      </c>
      <c r="Y3608">
        <v>-0.2214005</v>
      </c>
      <c r="Z3608">
        <v>1.9517349999999999E-2</v>
      </c>
      <c r="AA3608">
        <v>0.97498759999999995</v>
      </c>
      <c r="AB3608">
        <v>24</v>
      </c>
      <c r="AC3608">
        <v>2.4123999999999901</v>
      </c>
      <c r="AD3608">
        <v>-1.1113134427392</v>
      </c>
      <c r="AE3608">
        <v>-32.004199999999997</v>
      </c>
      <c r="AF3608">
        <v>-7.1258984698919399</v>
      </c>
      <c r="AG3608">
        <v>-1.1113134427392</v>
      </c>
      <c r="AH3608">
        <v>31.254511071489699</v>
      </c>
      <c r="AI3608">
        <v>91.985493293242499</v>
      </c>
      <c r="AJ3608">
        <v>102.84365621226</v>
      </c>
      <c r="AK3608">
        <v>32.075815015196298</v>
      </c>
      <c r="AL3608">
        <v>80.904303800223204</v>
      </c>
      <c r="AM3608">
        <v>97.636198973765005</v>
      </c>
      <c r="AN3608">
        <v>1.00000002060854</v>
      </c>
    </row>
    <row r="3609" spans="1:40" x14ac:dyDescent="0.25">
      <c r="A3609" t="str">
        <f>"20190304154825762"</f>
        <v>20190304154825762</v>
      </c>
      <c r="B3609" t="str">
        <f>"1551685705759726"</f>
        <v>1551685705759726</v>
      </c>
      <c r="C3609" t="s">
        <v>40</v>
      </c>
      <c r="D3609">
        <v>4.3214699999999997</v>
      </c>
      <c r="E3609">
        <v>0.46486040000000001</v>
      </c>
      <c r="F3609" t="s">
        <v>54</v>
      </c>
      <c r="G3609">
        <v>-488.30470000000003</v>
      </c>
      <c r="H3609" s="1">
        <v>5.9548320000000002E-6</v>
      </c>
      <c r="I3609">
        <v>228.8475</v>
      </c>
      <c r="J3609">
        <v>-490.77409999999998</v>
      </c>
      <c r="K3609">
        <v>1.111237</v>
      </c>
      <c r="L3609">
        <v>261.53460000000001</v>
      </c>
      <c r="M3609">
        <v>-0.14791660000000001</v>
      </c>
      <c r="N3609">
        <v>-1.3924829999999999E-2</v>
      </c>
      <c r="O3609">
        <v>-0.98890199999999995</v>
      </c>
      <c r="P3609">
        <v>-1.5732860000000001E-2</v>
      </c>
      <c r="Q3609">
        <v>0.1455437</v>
      </c>
      <c r="R3609">
        <v>-0.98922690000000002</v>
      </c>
      <c r="S3609">
        <v>0.22796630000000001</v>
      </c>
      <c r="T3609">
        <v>-0.1033409</v>
      </c>
      <c r="U3609">
        <v>-3.0510860000000002</v>
      </c>
      <c r="V3609">
        <v>-0.13098750000000001</v>
      </c>
      <c r="W3609">
        <v>0.15901289999999901</v>
      </c>
      <c r="X3609">
        <v>0.97854850000000004</v>
      </c>
      <c r="Y3609">
        <v>-0.22112080000000001</v>
      </c>
      <c r="Z3609">
        <v>1.882901E-2</v>
      </c>
      <c r="AA3609">
        <v>0.97506459999999995</v>
      </c>
      <c r="AB3609">
        <v>24</v>
      </c>
      <c r="AC3609">
        <v>2.4693999999999501</v>
      </c>
      <c r="AD3609">
        <v>-1.1112310451680001</v>
      </c>
      <c r="AE3609">
        <v>-32.687100000000001</v>
      </c>
      <c r="AF3609">
        <v>-7.2693098189284999</v>
      </c>
      <c r="AG3609">
        <v>-1.1112310451680001</v>
      </c>
      <c r="AH3609">
        <v>31.925478214839501</v>
      </c>
      <c r="AI3609">
        <v>91.943779243066899</v>
      </c>
      <c r="AJ3609">
        <v>102.82733501059199</v>
      </c>
      <c r="AK3609">
        <v>32.761469120378401</v>
      </c>
      <c r="AL3609">
        <v>80.850393911613295</v>
      </c>
      <c r="AM3609">
        <v>97.624232361614403</v>
      </c>
      <c r="AN3609">
        <v>0.99999999718745503</v>
      </c>
    </row>
    <row r="3610" spans="1:40" x14ac:dyDescent="0.25">
      <c r="A3610" t="str">
        <f>"20190304154825776"</f>
        <v>20190304154825776</v>
      </c>
      <c r="B3610" t="str">
        <f>"1551685705770462"</f>
        <v>1551685705770462</v>
      </c>
      <c r="C3610" t="s">
        <v>40</v>
      </c>
      <c r="D3610">
        <v>4.337358</v>
      </c>
      <c r="E3610">
        <v>0.46509309999999998</v>
      </c>
      <c r="F3610" t="s">
        <v>54</v>
      </c>
      <c r="G3610">
        <v>-488.22629999999998</v>
      </c>
      <c r="H3610" s="1">
        <v>5.4389770000000004E-6</v>
      </c>
      <c r="I3610">
        <v>227.24959999999999</v>
      </c>
      <c r="J3610">
        <v>-490.79300000000001</v>
      </c>
      <c r="K3610">
        <v>1.111154</v>
      </c>
      <c r="L3610">
        <v>261.404</v>
      </c>
      <c r="M3610">
        <v>-0.14747679999999999</v>
      </c>
      <c r="N3610">
        <v>-1.3914269999999999E-2</v>
      </c>
      <c r="O3610">
        <v>-0.98896779999999995</v>
      </c>
      <c r="P3610">
        <v>-1.535429E-2</v>
      </c>
      <c r="Q3610">
        <v>0.1461692</v>
      </c>
      <c r="R3610">
        <v>-0.98914060000000004</v>
      </c>
      <c r="S3610">
        <v>0.2267151</v>
      </c>
      <c r="T3610">
        <v>-9.8882789999999998E-2</v>
      </c>
      <c r="U3610">
        <v>-3.0508419999999998</v>
      </c>
      <c r="V3610">
        <v>-0.13088039999999901</v>
      </c>
      <c r="W3610">
        <v>0.1596545</v>
      </c>
      <c r="X3610">
        <v>0.9784583</v>
      </c>
      <c r="Y3610">
        <v>-0.22029960000000001</v>
      </c>
      <c r="Z3610">
        <v>1.743432E-2</v>
      </c>
      <c r="AA3610">
        <v>0.97527640000000004</v>
      </c>
      <c r="AB3610">
        <v>24</v>
      </c>
      <c r="AC3610">
        <v>2.56670000000002</v>
      </c>
      <c r="AD3610">
        <v>-1.1111485610230001</v>
      </c>
      <c r="AE3610">
        <v>-34.154400000000003</v>
      </c>
      <c r="AF3610">
        <v>-7.5681323264884099</v>
      </c>
      <c r="AG3610">
        <v>-1.1111485610230001</v>
      </c>
      <c r="AH3610">
        <v>33.367183757174502</v>
      </c>
      <c r="AI3610">
        <v>91.860070631557093</v>
      </c>
      <c r="AJ3610">
        <v>102.779251627899</v>
      </c>
      <c r="AK3610">
        <v>34.232736231872401</v>
      </c>
      <c r="AL3610">
        <v>80.813156717439298</v>
      </c>
      <c r="AM3610">
        <v>97.618765789893004</v>
      </c>
      <c r="AN3610">
        <v>0.99999994165664796</v>
      </c>
    </row>
    <row r="3611" spans="1:40" x14ac:dyDescent="0.25">
      <c r="A3611" t="str">
        <f>"20190304154825792"</f>
        <v>20190304154825792</v>
      </c>
      <c r="B3611" t="str">
        <f>"1551685705780221"</f>
        <v>1551685705780221</v>
      </c>
      <c r="C3611" t="s">
        <v>40</v>
      </c>
      <c r="D3611">
        <v>4.3152520000000001</v>
      </c>
      <c r="E3611">
        <v>0.46529009999999998</v>
      </c>
      <c r="F3611" t="s">
        <v>54</v>
      </c>
      <c r="G3611">
        <v>-488.18549999999999</v>
      </c>
      <c r="H3611" s="1">
        <v>5.1275450000000002E-6</v>
      </c>
      <c r="I3611">
        <v>226.27930000000001</v>
      </c>
      <c r="J3611">
        <v>-490.8193</v>
      </c>
      <c r="K3611">
        <v>1.1110519999999999</v>
      </c>
      <c r="L3611">
        <v>261.22280000000001</v>
      </c>
      <c r="M3611">
        <v>-0.1469645</v>
      </c>
      <c r="N3611">
        <v>-1.390072E-2</v>
      </c>
      <c r="O3611">
        <v>-0.98904429999999999</v>
      </c>
      <c r="P3611">
        <v>-1.493966E-2</v>
      </c>
      <c r="Q3611">
        <v>0.1477146</v>
      </c>
      <c r="R3611">
        <v>-0.9889173</v>
      </c>
      <c r="S3611">
        <v>0.2264709</v>
      </c>
      <c r="T3611">
        <v>-9.6507789999999996E-2</v>
      </c>
      <c r="U3611">
        <v>-3.0507200000000001</v>
      </c>
      <c r="V3611">
        <v>-0.13071050000000001</v>
      </c>
      <c r="W3611">
        <v>0.1612161</v>
      </c>
      <c r="X3611">
        <v>0.97822500000000001</v>
      </c>
      <c r="Y3611">
        <v>-0.2197221</v>
      </c>
      <c r="Z3611">
        <v>1.670108E-2</v>
      </c>
      <c r="AA3611">
        <v>0.97541949999999999</v>
      </c>
      <c r="AB3611">
        <v>24</v>
      </c>
      <c r="AC3611">
        <v>2.6337999999999999</v>
      </c>
      <c r="AD3611">
        <v>-1.111046872455</v>
      </c>
      <c r="AE3611">
        <v>-34.9435</v>
      </c>
      <c r="AF3611">
        <v>-7.7333712696432997</v>
      </c>
      <c r="AG3611">
        <v>-1.111046872455</v>
      </c>
      <c r="AH3611">
        <v>34.142567725697802</v>
      </c>
      <c r="AI3611">
        <v>91.817812416743706</v>
      </c>
      <c r="AJ3611">
        <v>102.76228677658101</v>
      </c>
      <c r="AK3611">
        <v>35.025053708035898</v>
      </c>
      <c r="AL3611">
        <v>80.722510022400996</v>
      </c>
      <c r="AM3611">
        <v>97.610785000919293</v>
      </c>
      <c r="AN3611">
        <v>1.00000000816723</v>
      </c>
    </row>
    <row r="3612" spans="1:40" x14ac:dyDescent="0.25">
      <c r="A3612" t="str">
        <f>"20190304154825804"</f>
        <v>20190304154825804</v>
      </c>
      <c r="B3612" t="str">
        <f>"1551685705799742"</f>
        <v>1551685705799742</v>
      </c>
      <c r="C3612" t="s">
        <v>40</v>
      </c>
      <c r="D3612">
        <v>4.4186009999999998</v>
      </c>
      <c r="E3612">
        <v>0.46523320000000001</v>
      </c>
      <c r="F3612" t="s">
        <v>54</v>
      </c>
      <c r="G3612">
        <v>-488.03730000000002</v>
      </c>
      <c r="H3612" s="1">
        <v>4.4389209999999999E-6</v>
      </c>
      <c r="I3612">
        <v>223.90880000000001</v>
      </c>
      <c r="J3612">
        <v>-490.83780000000002</v>
      </c>
      <c r="K3612">
        <v>1.110994</v>
      </c>
      <c r="L3612">
        <v>261.09570000000002</v>
      </c>
      <c r="M3612">
        <v>-0.14667859999999999</v>
      </c>
      <c r="N3612">
        <v>-1.3892170000000001E-2</v>
      </c>
      <c r="O3612">
        <v>-0.98908680000000004</v>
      </c>
      <c r="P3612">
        <v>-1.4113250000000001E-2</v>
      </c>
      <c r="Q3612">
        <v>0.14795469999999999</v>
      </c>
      <c r="R3612">
        <v>-0.98889360000000004</v>
      </c>
      <c r="S3612">
        <v>0.2274475</v>
      </c>
      <c r="T3612">
        <v>-9.0834380000000006E-2</v>
      </c>
      <c r="U3612">
        <v>-3.0506289999999998</v>
      </c>
      <c r="V3612">
        <v>-0.13121729999999901</v>
      </c>
      <c r="W3612">
        <v>0.16146549999999901</v>
      </c>
      <c r="X3612">
        <v>0.97811599999999999</v>
      </c>
      <c r="Y3612">
        <v>-0.2197578</v>
      </c>
      <c r="Z3612">
        <v>1.4909560000000001E-2</v>
      </c>
      <c r="AA3612">
        <v>0.97544050000000004</v>
      </c>
      <c r="AB3612">
        <v>24</v>
      </c>
      <c r="AC3612">
        <v>2.8004999999999902</v>
      </c>
      <c r="AD3612">
        <v>-1.1109895610789999</v>
      </c>
      <c r="AE3612">
        <v>-37.186900000000001</v>
      </c>
      <c r="AF3612">
        <v>-8.2179588159841508</v>
      </c>
      <c r="AG3612">
        <v>-1.1109895610789999</v>
      </c>
      <c r="AH3612">
        <v>36.341548834630601</v>
      </c>
      <c r="AI3612">
        <v>91.707934454167102</v>
      </c>
      <c r="AJ3612">
        <v>102.742059611949</v>
      </c>
      <c r="AK3612">
        <v>37.275693375252999</v>
      </c>
      <c r="AL3612">
        <v>80.708030667855596</v>
      </c>
      <c r="AM3612">
        <v>97.640787521687102</v>
      </c>
      <c r="AN3612">
        <v>0.99999999848276999</v>
      </c>
    </row>
    <row r="3613" spans="1:40" x14ac:dyDescent="0.25">
      <c r="A3613" t="str">
        <f>"20190304154825817"</f>
        <v>20190304154825817</v>
      </c>
      <c r="B3613" t="str">
        <f>"1551685705810478"</f>
        <v>1551685705810478</v>
      </c>
      <c r="C3613" t="s">
        <v>40</v>
      </c>
      <c r="D3613">
        <v>4.3325079999999998</v>
      </c>
      <c r="E3613">
        <v>0.46523320000000001</v>
      </c>
      <c r="F3613" t="s">
        <v>54</v>
      </c>
      <c r="G3613">
        <v>-487.98</v>
      </c>
      <c r="H3613" s="1">
        <v>4.219546E-6</v>
      </c>
      <c r="I3613">
        <v>223.24170000000001</v>
      </c>
      <c r="J3613">
        <v>-490.85640000000001</v>
      </c>
      <c r="K3613">
        <v>1.1109420000000001</v>
      </c>
      <c r="L3613">
        <v>260.96809999999999</v>
      </c>
      <c r="M3613">
        <v>-0.14641660000000001</v>
      </c>
      <c r="N3613">
        <v>-1.3883879999999999E-2</v>
      </c>
      <c r="O3613">
        <v>-0.98912549999999999</v>
      </c>
      <c r="P3613">
        <v>-1.311816E-2</v>
      </c>
      <c r="Q3613">
        <v>0.14823639999999999</v>
      </c>
      <c r="R3613">
        <v>-0.98886510000000005</v>
      </c>
      <c r="S3613">
        <v>0.23028560000000001</v>
      </c>
      <c r="T3613">
        <v>-8.9525820000000006E-2</v>
      </c>
      <c r="U3613">
        <v>-3.050354</v>
      </c>
      <c r="V3613">
        <v>-0.13191610000000001</v>
      </c>
      <c r="W3613">
        <v>0.1617545</v>
      </c>
      <c r="X3613">
        <v>0.97797420000000002</v>
      </c>
      <c r="Y3613">
        <v>-0.22040940000000001</v>
      </c>
      <c r="Z3613">
        <v>1.450243E-2</v>
      </c>
      <c r="AA3613">
        <v>0.97529969999999999</v>
      </c>
      <c r="AB3613">
        <v>24</v>
      </c>
      <c r="AC3613">
        <v>2.8763999999999799</v>
      </c>
      <c r="AD3613">
        <v>-1.1109377804539999</v>
      </c>
      <c r="AE3613">
        <v>-37.726399999999899</v>
      </c>
      <c r="AF3613">
        <v>-8.3624896737860706</v>
      </c>
      <c r="AG3613">
        <v>-1.1109377804539999</v>
      </c>
      <c r="AH3613">
        <v>36.866767193161202</v>
      </c>
      <c r="AI3613">
        <v>91.683284953382994</v>
      </c>
      <c r="AJ3613">
        <v>102.780144536549</v>
      </c>
      <c r="AK3613">
        <v>37.819623736506998</v>
      </c>
      <c r="AL3613">
        <v>80.691251220997799</v>
      </c>
      <c r="AM3613">
        <v>97.682094549508193</v>
      </c>
      <c r="AN3613">
        <v>0.99999995578754897</v>
      </c>
    </row>
    <row r="3614" spans="1:40" x14ac:dyDescent="0.25">
      <c r="A3614" t="str">
        <f>"20190304154825829"</f>
        <v>20190304154825829</v>
      </c>
      <c r="B3614" t="str">
        <f>"1551685705820238"</f>
        <v>1551685705820238</v>
      </c>
      <c r="C3614" t="s">
        <v>40</v>
      </c>
      <c r="D3614">
        <v>4.2909410000000001</v>
      </c>
      <c r="E3614">
        <v>0.41314780000000001</v>
      </c>
      <c r="F3614" t="s">
        <v>54</v>
      </c>
      <c r="G3614">
        <v>-487.92959999999999</v>
      </c>
      <c r="H3614" s="1">
        <v>4.0525879999999996E-6</v>
      </c>
      <c r="I3614">
        <v>222.7389</v>
      </c>
      <c r="J3614">
        <v>-490.87709999999998</v>
      </c>
      <c r="K3614">
        <v>1.110894</v>
      </c>
      <c r="L3614">
        <v>260.82510000000002</v>
      </c>
      <c r="M3614">
        <v>-0.14616399999999999</v>
      </c>
      <c r="N3614">
        <v>-1.387504E-2</v>
      </c>
      <c r="O3614">
        <v>-0.98916320000000002</v>
      </c>
      <c r="P3614">
        <v>-1.24607E-2</v>
      </c>
      <c r="Q3614">
        <v>0.14856150000000001</v>
      </c>
      <c r="R3614">
        <v>-0.98882499999999995</v>
      </c>
      <c r="S3614">
        <v>0.23352049999999999</v>
      </c>
      <c r="T3614">
        <v>-8.8637709999999995E-2</v>
      </c>
      <c r="U3614">
        <v>-3.0501710000000002</v>
      </c>
      <c r="V3614">
        <v>-0.132290299999999</v>
      </c>
      <c r="W3614">
        <v>0.1620857</v>
      </c>
      <c r="X3614">
        <v>0.97786890000000004</v>
      </c>
      <c r="Y3614">
        <v>-0.22119359999999999</v>
      </c>
      <c r="Z3614">
        <v>1.4227800000000001E-2</v>
      </c>
      <c r="AA3614">
        <v>0.9751261</v>
      </c>
      <c r="AB3614">
        <v>24</v>
      </c>
      <c r="AC3614">
        <v>2.94749999999999</v>
      </c>
      <c r="AD3614">
        <v>-1.110889947412</v>
      </c>
      <c r="AE3614">
        <v>-38.086199999999998</v>
      </c>
      <c r="AF3614">
        <v>-8.4760372142387101</v>
      </c>
      <c r="AG3614">
        <v>-1.110889947412</v>
      </c>
      <c r="AH3614">
        <v>37.214757211491197</v>
      </c>
      <c r="AI3614">
        <v>91.667146988001903</v>
      </c>
      <c r="AJ3614">
        <v>102.83081670609199</v>
      </c>
      <c r="AK3614">
        <v>38.183968332831299</v>
      </c>
      <c r="AL3614">
        <v>80.672021902282594</v>
      </c>
      <c r="AM3614">
        <v>97.704444245747098</v>
      </c>
      <c r="AN3614">
        <v>1.00000004160289</v>
      </c>
    </row>
    <row r="3615" spans="1:40" x14ac:dyDescent="0.25">
      <c r="A3615" t="str">
        <f>"20190304154825840"</f>
        <v>20190304154825840</v>
      </c>
      <c r="B3615" t="str">
        <f>"1551685705829998"</f>
        <v>1551685705829998</v>
      </c>
      <c r="C3615" t="s">
        <v>40</v>
      </c>
      <c r="D3615">
        <v>3.8808889999999998</v>
      </c>
      <c r="E3615">
        <v>0.40434710000000001</v>
      </c>
      <c r="F3615" t="s">
        <v>45</v>
      </c>
      <c r="G3615">
        <v>-471.11149999999998</v>
      </c>
      <c r="H3615">
        <v>-0.05</v>
      </c>
      <c r="I3615">
        <v>168.29079999999999</v>
      </c>
      <c r="J3615">
        <v>-490.89429999999999</v>
      </c>
      <c r="K3615">
        <v>1.1108629999999999</v>
      </c>
      <c r="L3615">
        <v>260.7072</v>
      </c>
      <c r="M3615">
        <v>-0.14599529999999999</v>
      </c>
      <c r="N3615">
        <v>-1.3868399999999999E-2</v>
      </c>
      <c r="O3615">
        <v>-0.98918810000000001</v>
      </c>
      <c r="P3615">
        <v>-1.1493430000000001E-2</v>
      </c>
      <c r="Q3615">
        <v>0.14876120000000001</v>
      </c>
      <c r="R3615">
        <v>-0.98880659999999998</v>
      </c>
      <c r="S3615">
        <v>0.65103149999999999</v>
      </c>
      <c r="T3615">
        <v>-3.8236979999999997E-2</v>
      </c>
      <c r="U3615">
        <v>-3.0478519999999998</v>
      </c>
      <c r="V3615">
        <v>-0.1330645</v>
      </c>
      <c r="W3615">
        <v>0.1622876</v>
      </c>
      <c r="X3615">
        <v>0.97773030000000005</v>
      </c>
      <c r="Y3615">
        <v>-0.349377299999999</v>
      </c>
      <c r="Z3615">
        <v>-2.2717710000000001E-3</v>
      </c>
      <c r="AA3615">
        <v>0.93697940000000002</v>
      </c>
      <c r="AB3615">
        <v>24</v>
      </c>
      <c r="AC3615">
        <v>19.782800000000002</v>
      </c>
      <c r="AD3615">
        <v>-1.160863</v>
      </c>
      <c r="AE3615">
        <v>-92.416399999999996</v>
      </c>
      <c r="AF3615">
        <v>-33.059461561358702</v>
      </c>
      <c r="AG3615">
        <v>-1.160863</v>
      </c>
      <c r="AH3615">
        <v>88.524163763820098</v>
      </c>
      <c r="AI3615">
        <v>90.703832416501697</v>
      </c>
      <c r="AJ3615">
        <v>110.478210061382</v>
      </c>
      <c r="AK3615">
        <v>94.502926789149498</v>
      </c>
      <c r="AL3615">
        <v>80.660298117309097</v>
      </c>
      <c r="AM3615">
        <v>97.750071692984307</v>
      </c>
      <c r="AN3615">
        <v>0.99999998290604997</v>
      </c>
    </row>
    <row r="3616" spans="1:40" x14ac:dyDescent="0.25">
      <c r="A3616" t="str">
        <f>"20190304154825854"</f>
        <v>20190304154825854</v>
      </c>
      <c r="B3616" t="str">
        <f>"1551685705850494"</f>
        <v>1551685705850494</v>
      </c>
      <c r="C3616" t="s">
        <v>40</v>
      </c>
      <c r="D3616">
        <v>3.878844</v>
      </c>
      <c r="E3616">
        <v>0.39766279999999998</v>
      </c>
      <c r="F3616" t="s">
        <v>66</v>
      </c>
      <c r="G3616">
        <v>-473.45519999999999</v>
      </c>
      <c r="H3616">
        <v>0.46634700000000001</v>
      </c>
      <c r="I3616">
        <v>187.39830000000001</v>
      </c>
      <c r="J3616">
        <v>-490.91399999999999</v>
      </c>
      <c r="K3616">
        <v>1.1108260000000001</v>
      </c>
      <c r="L3616">
        <v>260.5718</v>
      </c>
      <c r="M3616">
        <v>-0.14581629999999901</v>
      </c>
      <c r="N3616">
        <v>-1.386107E-2</v>
      </c>
      <c r="O3616">
        <v>-0.98921479999999995</v>
      </c>
      <c r="P3616">
        <v>-1.0555119999999999E-2</v>
      </c>
      <c r="Q3616">
        <v>0.14905769999999999</v>
      </c>
      <c r="R3616">
        <v>-0.98877250000000005</v>
      </c>
      <c r="S3616">
        <v>0.72470089999999998</v>
      </c>
      <c r="T3616">
        <v>-2.6781920000000001E-2</v>
      </c>
      <c r="U3616">
        <v>-3.0464169999999999</v>
      </c>
      <c r="V3616">
        <v>-0.1337962</v>
      </c>
      <c r="W3616">
        <v>0.16258629999999999</v>
      </c>
      <c r="X3616">
        <v>0.97758080000000003</v>
      </c>
      <c r="Y3616">
        <v>-0.3707646</v>
      </c>
      <c r="Z3616">
        <v>-5.8806040000000002E-3</v>
      </c>
      <c r="AA3616">
        <v>0.92870830000000004</v>
      </c>
      <c r="AB3616">
        <v>24</v>
      </c>
      <c r="AC3616">
        <v>17.458799999999901</v>
      </c>
      <c r="AD3616">
        <v>-0.64447900000000002</v>
      </c>
      <c r="AE3616">
        <v>-73.173499999999905</v>
      </c>
      <c r="AF3616">
        <v>-27.941019933009599</v>
      </c>
      <c r="AG3616">
        <v>-0.64447900000000002</v>
      </c>
      <c r="AH3616">
        <v>69.840100156539606</v>
      </c>
      <c r="AI3616">
        <v>90.490881030715997</v>
      </c>
      <c r="AJ3616">
        <v>111.804931306315</v>
      </c>
      <c r="AK3616">
        <v>75.224700318138702</v>
      </c>
      <c r="AL3616">
        <v>80.642953431404294</v>
      </c>
      <c r="AM3616">
        <v>97.793342939901706</v>
      </c>
      <c r="AN3616">
        <v>0.99999997430538401</v>
      </c>
    </row>
    <row r="3617" spans="1:40" x14ac:dyDescent="0.25">
      <c r="A3617" t="str">
        <f>"20190304154825867"</f>
        <v>20190304154825867</v>
      </c>
      <c r="B3617" t="str">
        <f>"1551685705860254"</f>
        <v>1551685705860254</v>
      </c>
      <c r="C3617" t="s">
        <v>40</v>
      </c>
      <c r="D3617">
        <v>3.8709910000000001</v>
      </c>
      <c r="E3617">
        <v>0.39632659999999997</v>
      </c>
      <c r="F3617" t="s">
        <v>67</v>
      </c>
      <c r="G3617">
        <v>-470.40339999999998</v>
      </c>
      <c r="H3617">
        <v>0.61968330000000005</v>
      </c>
      <c r="I3617">
        <v>180.59020000000001</v>
      </c>
      <c r="J3617">
        <v>-490.93540000000002</v>
      </c>
      <c r="K3617">
        <v>1.110797</v>
      </c>
      <c r="L3617">
        <v>260.42500000000001</v>
      </c>
      <c r="M3617">
        <v>-0.14565829999999999</v>
      </c>
      <c r="N3617">
        <v>-1.385398E-2</v>
      </c>
      <c r="O3617">
        <v>-0.98923799999999995</v>
      </c>
      <c r="P3617">
        <v>-1.003953E-2</v>
      </c>
      <c r="Q3617">
        <v>0.14947079999999999</v>
      </c>
      <c r="R3617">
        <v>-0.98871529999999996</v>
      </c>
      <c r="S3617">
        <v>0.78091429999999995</v>
      </c>
      <c r="T3617">
        <v>-1.8699650000000002E-2</v>
      </c>
      <c r="U3617">
        <v>-3.0451969999999999</v>
      </c>
      <c r="V3617">
        <v>-0.13412959999999999</v>
      </c>
      <c r="W3617">
        <v>0.163000799999999</v>
      </c>
      <c r="X3617">
        <v>0.9774661</v>
      </c>
      <c r="Y3617">
        <v>-0.38679940000000002</v>
      </c>
      <c r="Z3617">
        <v>-8.4023009999999992E-3</v>
      </c>
      <c r="AA3617">
        <v>0.92212559999999999</v>
      </c>
      <c r="AB3617">
        <v>24</v>
      </c>
      <c r="AC3617">
        <v>20.532</v>
      </c>
      <c r="AD3617">
        <v>-0.49111369999999999</v>
      </c>
      <c r="AE3617">
        <v>-79.834800000000001</v>
      </c>
      <c r="AF3617">
        <v>-31.941566180616299</v>
      </c>
      <c r="AG3617">
        <v>-0.49111369999999999</v>
      </c>
      <c r="AH3617">
        <v>75.989553922356194</v>
      </c>
      <c r="AI3617">
        <v>90.341361995166906</v>
      </c>
      <c r="AJ3617">
        <v>112.799038219499</v>
      </c>
      <c r="AK3617">
        <v>82.431287434175701</v>
      </c>
      <c r="AL3617">
        <v>80.618883419216203</v>
      </c>
      <c r="AM3617">
        <v>97.813428686498995</v>
      </c>
      <c r="AN3617">
        <v>0.99999999352300495</v>
      </c>
    </row>
    <row r="3618" spans="1:40" x14ac:dyDescent="0.25">
      <c r="A3618" t="str">
        <f>"20190304154825882"</f>
        <v>20190304154825882</v>
      </c>
      <c r="B3618" t="str">
        <f>"1551685705879774"</f>
        <v>1551685705879774</v>
      </c>
      <c r="C3618" t="s">
        <v>40</v>
      </c>
      <c r="D3618">
        <v>4.2233790000000004</v>
      </c>
      <c r="E3618">
        <v>0.39820030000000001</v>
      </c>
      <c r="F3618" t="s">
        <v>48</v>
      </c>
      <c r="G3618">
        <v>-476.65929999999997</v>
      </c>
      <c r="H3618">
        <v>0.80667169999999999</v>
      </c>
      <c r="I3618">
        <v>205.64869999999999</v>
      </c>
      <c r="J3618">
        <v>-490.9581</v>
      </c>
      <c r="K3618">
        <v>1.110773</v>
      </c>
      <c r="L3618">
        <v>260.26929999999999</v>
      </c>
      <c r="M3618">
        <v>-0.14551029999999901</v>
      </c>
      <c r="N3618">
        <v>-1.384693E-2</v>
      </c>
      <c r="O3618">
        <v>-0.98926000000000003</v>
      </c>
      <c r="P3618">
        <v>-9.3164460000000008E-3</v>
      </c>
      <c r="Q3618">
        <v>0.14992429999999901</v>
      </c>
      <c r="R3618">
        <v>-0.98865409999999998</v>
      </c>
      <c r="S3618">
        <v>0.79357909999999998</v>
      </c>
      <c r="T3618">
        <v>-1.6905670000000001E-2</v>
      </c>
      <c r="U3618">
        <v>-3.0448909999999998</v>
      </c>
      <c r="V3618">
        <v>-0.13467999999999999</v>
      </c>
      <c r="W3618">
        <v>0.16345290000000001</v>
      </c>
      <c r="X3618">
        <v>0.97731489999999999</v>
      </c>
      <c r="Y3618">
        <v>-0.39027600000000001</v>
      </c>
      <c r="Z3618">
        <v>-8.952748E-3</v>
      </c>
      <c r="AA3618">
        <v>0.92065439999999998</v>
      </c>
      <c r="AB3618">
        <v>24</v>
      </c>
      <c r="AC3618">
        <v>14.2988</v>
      </c>
      <c r="AD3618">
        <v>-0.30410130000000002</v>
      </c>
      <c r="AE3618">
        <v>-54.620600000000003</v>
      </c>
      <c r="AF3618">
        <v>-22.094564500893501</v>
      </c>
      <c r="AG3618">
        <v>-0.30410130000000002</v>
      </c>
      <c r="AH3618">
        <v>51.9568176292807</v>
      </c>
      <c r="AI3618">
        <v>90.308602403641203</v>
      </c>
      <c r="AJ3618">
        <v>113.037556004585</v>
      </c>
      <c r="AK3618">
        <v>56.4603680137417</v>
      </c>
      <c r="AL3618">
        <v>80.592627775641105</v>
      </c>
      <c r="AM3618">
        <v>97.846291205142293</v>
      </c>
      <c r="AN3618">
        <v>0.99999998334020901</v>
      </c>
    </row>
    <row r="3619" spans="1:40" x14ac:dyDescent="0.25">
      <c r="A3619" t="str">
        <f>"20190304154825906"</f>
        <v>20190304154825906</v>
      </c>
      <c r="B3619" t="str">
        <f>"1551685705900270"</f>
        <v>1551685705900270</v>
      </c>
      <c r="C3619" t="s">
        <v>40</v>
      </c>
      <c r="D3619">
        <v>3.934644</v>
      </c>
      <c r="E3619">
        <v>0.39837549999999999</v>
      </c>
      <c r="F3619" t="s">
        <v>67</v>
      </c>
      <c r="G3619">
        <v>-470.53399999999999</v>
      </c>
      <c r="H3619">
        <v>0.31139840000000002</v>
      </c>
      <c r="I3619">
        <v>180.59010000000001</v>
      </c>
      <c r="J3619">
        <v>-490.99380000000002</v>
      </c>
      <c r="K3619">
        <v>1.110749</v>
      </c>
      <c r="L3619">
        <v>260.0249</v>
      </c>
      <c r="M3619">
        <v>-0.14530109999999999</v>
      </c>
      <c r="N3619">
        <v>-1.3836920000000001E-2</v>
      </c>
      <c r="O3619">
        <v>-0.98929069999999997</v>
      </c>
      <c r="P3619">
        <v>-9.1972170000000006E-3</v>
      </c>
      <c r="Q3619">
        <v>0.14951619999999999</v>
      </c>
      <c r="R3619">
        <v>-0.98871640000000005</v>
      </c>
      <c r="S3619">
        <v>0.78088380000000002</v>
      </c>
      <c r="T3619">
        <v>-3.0562880000000001E-2</v>
      </c>
      <c r="U3619">
        <v>-3.0464169999999999</v>
      </c>
      <c r="V3619">
        <v>-0.1345904</v>
      </c>
      <c r="W3619">
        <v>0.16304360000000001</v>
      </c>
      <c r="X3619">
        <v>0.97739560000000003</v>
      </c>
      <c r="Y3619">
        <v>-0.38636490000000001</v>
      </c>
      <c r="Z3619">
        <v>-4.7635999999999998E-3</v>
      </c>
      <c r="AA3619">
        <v>0.92233370000000003</v>
      </c>
      <c r="AB3619">
        <v>24</v>
      </c>
      <c r="AC3619">
        <v>20.459800000000001</v>
      </c>
      <c r="AD3619">
        <v>-0.79935059999999902</v>
      </c>
      <c r="AE3619">
        <v>-79.434799999999996</v>
      </c>
      <c r="AF3619">
        <v>-31.782679131914101</v>
      </c>
      <c r="AG3619">
        <v>-0.79935059999999902</v>
      </c>
      <c r="AH3619">
        <v>75.611337995868197</v>
      </c>
      <c r="AI3619">
        <v>90.5583783805736</v>
      </c>
      <c r="AJ3619">
        <v>112.799097991829</v>
      </c>
      <c r="AK3619">
        <v>82.023484976617198</v>
      </c>
      <c r="AL3619">
        <v>80.616397735120103</v>
      </c>
      <c r="AM3619">
        <v>97.840496811529107</v>
      </c>
      <c r="AN3619">
        <v>0.99999997508623895</v>
      </c>
    </row>
    <row r="3620" spans="1:40" x14ac:dyDescent="0.25">
      <c r="A3620" t="str">
        <f>"20190304154825916"</f>
        <v>20190304154825916</v>
      </c>
      <c r="B3620" t="str">
        <f>"1551685705910030"</f>
        <v>1551685705910030</v>
      </c>
      <c r="C3620" t="s">
        <v>40</v>
      </c>
      <c r="D3620">
        <v>3.958631</v>
      </c>
      <c r="E3620">
        <v>0.39861970000000002</v>
      </c>
      <c r="F3620" t="s">
        <v>45</v>
      </c>
      <c r="G3620">
        <v>-466.88150000000002</v>
      </c>
      <c r="H3620">
        <v>-0.05</v>
      </c>
      <c r="I3620">
        <v>165.92250000000001</v>
      </c>
      <c r="J3620">
        <v>-491.01139999999998</v>
      </c>
      <c r="K3620">
        <v>1.110746</v>
      </c>
      <c r="L3620">
        <v>259.90339999999998</v>
      </c>
      <c r="M3620">
        <v>-0.14520179999999999</v>
      </c>
      <c r="N3620">
        <v>-1.383241E-2</v>
      </c>
      <c r="O3620">
        <v>-0.9893054</v>
      </c>
      <c r="P3620">
        <v>-8.9488229999999998E-3</v>
      </c>
      <c r="Q3620">
        <v>0.14935219999999999</v>
      </c>
      <c r="R3620">
        <v>-0.98874379999999995</v>
      </c>
      <c r="S3620">
        <v>0.78079219999999905</v>
      </c>
      <c r="T3620">
        <v>-3.7586809999999998E-2</v>
      </c>
      <c r="U3620">
        <v>-3.04718</v>
      </c>
      <c r="V3620">
        <v>-0.1347401</v>
      </c>
      <c r="W3620">
        <v>0.16287660000000001</v>
      </c>
      <c r="X3620">
        <v>0.97740289999999996</v>
      </c>
      <c r="Y3620">
        <v>-0.38618669999999999</v>
      </c>
      <c r="Z3620">
        <v>-2.6164880000000001E-3</v>
      </c>
      <c r="AA3620">
        <v>0.92241689999999998</v>
      </c>
      <c r="AB3620">
        <v>24</v>
      </c>
      <c r="AC3620">
        <v>24.1298999999999</v>
      </c>
      <c r="AD3620">
        <v>-1.1607459999999901</v>
      </c>
      <c r="AE3620">
        <v>-93.980899999999906</v>
      </c>
      <c r="AF3620">
        <v>-37.516255686744202</v>
      </c>
      <c r="AG3620">
        <v>-1.1607459999999901</v>
      </c>
      <c r="AH3620">
        <v>89.467860787283598</v>
      </c>
      <c r="AI3620">
        <v>90.685486483161796</v>
      </c>
      <c r="AJ3620">
        <v>112.749601335693</v>
      </c>
      <c r="AK3620">
        <v>97.022239130430506</v>
      </c>
      <c r="AL3620">
        <v>80.626096524748903</v>
      </c>
      <c r="AM3620">
        <v>97.849050978322595</v>
      </c>
      <c r="AN3620">
        <v>1.0000000551519801</v>
      </c>
    </row>
    <row r="3621" spans="1:40" x14ac:dyDescent="0.25">
      <c r="A3621" t="str">
        <f>"20190304154825928"</f>
        <v>20190304154825928</v>
      </c>
      <c r="B3621" t="str">
        <f>"1551685705919791"</f>
        <v>1551685705919791</v>
      </c>
      <c r="C3621" t="s">
        <v>40</v>
      </c>
      <c r="D3621">
        <v>3.9569269999999999</v>
      </c>
      <c r="E3621">
        <v>0.39882679999999998</v>
      </c>
      <c r="F3621" t="s">
        <v>45</v>
      </c>
      <c r="G3621">
        <v>-469.07350000000002</v>
      </c>
      <c r="H3621">
        <v>-0.05</v>
      </c>
      <c r="I3621">
        <v>174.15770000000001</v>
      </c>
      <c r="J3621">
        <v>-491.02949999999998</v>
      </c>
      <c r="K3621">
        <v>1.1107469999999999</v>
      </c>
      <c r="L3621">
        <v>259.77960000000002</v>
      </c>
      <c r="M3621">
        <v>-0.14510139999999999</v>
      </c>
      <c r="N3621">
        <v>-1.382806E-2</v>
      </c>
      <c r="O3621">
        <v>-0.98932039999999999</v>
      </c>
      <c r="P3621">
        <v>-8.9264870000000003E-3</v>
      </c>
      <c r="Q3621">
        <v>0.149400799999999</v>
      </c>
      <c r="R3621">
        <v>-0.98873659999999997</v>
      </c>
      <c r="S3621">
        <v>0.77969359999999999</v>
      </c>
      <c r="T3621">
        <v>-4.1254039999999999E-2</v>
      </c>
      <c r="U3621">
        <v>-3.047485</v>
      </c>
      <c r="V3621">
        <v>-0.13466220000000001</v>
      </c>
      <c r="W3621">
        <v>0.16292129999999999</v>
      </c>
      <c r="X3621">
        <v>0.97740610000000006</v>
      </c>
      <c r="Y3621">
        <v>-0.3857564</v>
      </c>
      <c r="Z3621">
        <v>-1.491364E-3</v>
      </c>
      <c r="AA3621">
        <v>0.92259950000000002</v>
      </c>
      <c r="AB3621">
        <v>24</v>
      </c>
      <c r="AC3621">
        <v>21.9559999999999</v>
      </c>
      <c r="AD3621">
        <v>-1.160747</v>
      </c>
      <c r="AE3621">
        <v>-85.621899999999997</v>
      </c>
      <c r="AF3621">
        <v>-34.142745296119401</v>
      </c>
      <c r="AG3621">
        <v>-1.160747</v>
      </c>
      <c r="AH3621">
        <v>81.515364618677793</v>
      </c>
      <c r="AI3621">
        <v>90.752482356516893</v>
      </c>
      <c r="AJ3621">
        <v>112.72639358244</v>
      </c>
      <c r="AK3621">
        <v>88.384552150642705</v>
      </c>
      <c r="AL3621">
        <v>80.623499936717394</v>
      </c>
      <c r="AM3621">
        <v>97.844544199463499</v>
      </c>
      <c r="AN3621">
        <v>0.99999997120986905</v>
      </c>
    </row>
    <row r="3622" spans="1:40" x14ac:dyDescent="0.25">
      <c r="A3622" t="str">
        <f>"20190304154825939"</f>
        <v>20190304154825939</v>
      </c>
      <c r="B3622" t="str">
        <f>"1551685705930526"</f>
        <v>1551685705930526</v>
      </c>
      <c r="C3622" t="s">
        <v>40</v>
      </c>
      <c r="D3622">
        <v>3.986513</v>
      </c>
      <c r="E3622">
        <v>0.39910079999999998</v>
      </c>
      <c r="F3622" t="s">
        <v>45</v>
      </c>
      <c r="G3622">
        <v>-470.37819999999999</v>
      </c>
      <c r="H3622">
        <v>-0.05</v>
      </c>
      <c r="I3622">
        <v>178.92060000000001</v>
      </c>
      <c r="J3622">
        <v>-491.04570000000001</v>
      </c>
      <c r="K3622">
        <v>1.1107530000000001</v>
      </c>
      <c r="L3622">
        <v>259.66860000000003</v>
      </c>
      <c r="M3622">
        <v>-0.14501020000000001</v>
      </c>
      <c r="N3622">
        <v>-1.382442E-2</v>
      </c>
      <c r="O3622">
        <v>-0.98933349999999998</v>
      </c>
      <c r="P3622">
        <v>-8.8445750000000004E-3</v>
      </c>
      <c r="Q3622">
        <v>0.1493227</v>
      </c>
      <c r="R3622">
        <v>-0.98874890000000004</v>
      </c>
      <c r="S3622">
        <v>0.77841190000000005</v>
      </c>
      <c r="T3622">
        <v>-4.3752069999999997E-2</v>
      </c>
      <c r="U3622">
        <v>-3.0478209999999999</v>
      </c>
      <c r="V3622">
        <v>-0.1346562</v>
      </c>
      <c r="W3622">
        <v>0.16283810000000001</v>
      </c>
      <c r="X3622">
        <v>0.97742079999999998</v>
      </c>
      <c r="Y3622">
        <v>-0.38528089999999998</v>
      </c>
      <c r="Z3622">
        <v>-7.2362800000000003E-4</v>
      </c>
      <c r="AA3622">
        <v>0.92279909999999998</v>
      </c>
      <c r="AB3622">
        <v>24</v>
      </c>
      <c r="AC3622">
        <v>20.6675</v>
      </c>
      <c r="AD3622">
        <v>-1.1607529999999999</v>
      </c>
      <c r="AE3622">
        <v>-80.748000000000005</v>
      </c>
      <c r="AF3622">
        <v>-32.153173760241899</v>
      </c>
      <c r="AG3622">
        <v>-1.1607529999999999</v>
      </c>
      <c r="AH3622">
        <v>76.882147251714201</v>
      </c>
      <c r="AI3622">
        <v>90.798009194989802</v>
      </c>
      <c r="AJ3622">
        <v>112.695353843606</v>
      </c>
      <c r="AK3622">
        <v>83.342897096378806</v>
      </c>
      <c r="AL3622">
        <v>80.628331545998805</v>
      </c>
      <c r="AM3622">
        <v>97.844082524877606</v>
      </c>
      <c r="AN3622">
        <v>0.99999997964134402</v>
      </c>
    </row>
    <row r="3623" spans="1:40" x14ac:dyDescent="0.25">
      <c r="A3623" t="str">
        <f>"20190304154825951"</f>
        <v>20190304154825951</v>
      </c>
      <c r="B3623" t="str">
        <f>"1551685705940286"</f>
        <v>1551685705940286</v>
      </c>
      <c r="C3623" t="s">
        <v>40</v>
      </c>
      <c r="D3623">
        <v>3.991263</v>
      </c>
      <c r="E3623">
        <v>0.39912160000000002</v>
      </c>
      <c r="F3623" t="s">
        <v>45</v>
      </c>
      <c r="G3623">
        <v>-471.91739999999999</v>
      </c>
      <c r="H3623">
        <v>-0.05</v>
      </c>
      <c r="I3623">
        <v>184.58369999999999</v>
      </c>
      <c r="J3623">
        <v>-491.06389999999999</v>
      </c>
      <c r="K3623">
        <v>1.11076</v>
      </c>
      <c r="L3623">
        <v>259.54340000000002</v>
      </c>
      <c r="M3623">
        <v>-0.1449067</v>
      </c>
      <c r="N3623">
        <v>-1.382042E-2</v>
      </c>
      <c r="O3623">
        <v>-0.98934889999999998</v>
      </c>
      <c r="P3623">
        <v>-8.7524230000000005E-3</v>
      </c>
      <c r="Q3623">
        <v>0.149216299999999</v>
      </c>
      <c r="R3623">
        <v>-0.98876600000000003</v>
      </c>
      <c r="S3623">
        <v>0.77655030000000003</v>
      </c>
      <c r="T3623">
        <v>-4.7123070000000003E-2</v>
      </c>
      <c r="U3623">
        <v>-3.0482179999999999</v>
      </c>
      <c r="V3623">
        <v>-0.1346503</v>
      </c>
      <c r="W3623">
        <v>0.1627256</v>
      </c>
      <c r="X3623">
        <v>0.97744039999999999</v>
      </c>
      <c r="Y3623">
        <v>-0.38462360000000001</v>
      </c>
      <c r="Z3623">
        <v>3.1192500000000001E-4</v>
      </c>
      <c r="AA3623">
        <v>0.92307349999999999</v>
      </c>
      <c r="AB3623">
        <v>24</v>
      </c>
      <c r="AC3623">
        <v>19.1465</v>
      </c>
      <c r="AD3623">
        <v>-1.16076</v>
      </c>
      <c r="AE3623">
        <v>-74.959699999999998</v>
      </c>
      <c r="AF3623">
        <v>-29.800867024723502</v>
      </c>
      <c r="AG3623">
        <v>-1.16076</v>
      </c>
      <c r="AH3623">
        <v>71.3775846675493</v>
      </c>
      <c r="AI3623">
        <v>90.859762234256706</v>
      </c>
      <c r="AJ3623">
        <v>112.661032175583</v>
      </c>
      <c r="AK3623">
        <v>77.357602290764007</v>
      </c>
      <c r="AL3623">
        <v>80.634864931364305</v>
      </c>
      <c r="AM3623">
        <v>97.843587784425097</v>
      </c>
      <c r="AN3623">
        <v>1.0000000298688001</v>
      </c>
    </row>
    <row r="3624" spans="1:40" x14ac:dyDescent="0.25">
      <c r="A3624" t="str">
        <f>"20190304154825962"</f>
        <v>20190304154825962</v>
      </c>
      <c r="B3624" t="str">
        <f>"1551685705959806"</f>
        <v>1551685705959806</v>
      </c>
      <c r="C3624" t="s">
        <v>40</v>
      </c>
      <c r="D3624">
        <v>4.0083849999999996</v>
      </c>
      <c r="E3624">
        <v>0.39921220000000002</v>
      </c>
      <c r="F3624" t="s">
        <v>45</v>
      </c>
      <c r="G3624">
        <v>-472.74990000000003</v>
      </c>
      <c r="H3624">
        <v>-0.05</v>
      </c>
      <c r="I3624">
        <v>187.59780000000001</v>
      </c>
      <c r="J3624">
        <v>-491.08179999999999</v>
      </c>
      <c r="K3624">
        <v>1.1107769999999999</v>
      </c>
      <c r="L3624">
        <v>259.42079999999999</v>
      </c>
      <c r="M3624">
        <v>-0.14480079999999901</v>
      </c>
      <c r="N3624">
        <v>-1.381685E-2</v>
      </c>
      <c r="O3624">
        <v>-0.98936469999999999</v>
      </c>
      <c r="P3624">
        <v>-8.4967610000000002E-3</v>
      </c>
      <c r="Q3624">
        <v>0.1494644</v>
      </c>
      <c r="R3624">
        <v>-0.98873100000000003</v>
      </c>
      <c r="S3624">
        <v>0.77597050000000001</v>
      </c>
      <c r="T3624">
        <v>-4.918194E-2</v>
      </c>
      <c r="U3624">
        <v>-3.0483699999999998</v>
      </c>
      <c r="V3624">
        <v>-0.13479730000000001</v>
      </c>
      <c r="W3624">
        <v>0.16296649999999999</v>
      </c>
      <c r="X3624">
        <v>0.97738000000000003</v>
      </c>
      <c r="Y3624">
        <v>-0.3843471</v>
      </c>
      <c r="Z3624">
        <v>9.4536679999999995E-4</v>
      </c>
      <c r="AA3624">
        <v>0.92318820000000001</v>
      </c>
      <c r="AB3624">
        <v>24</v>
      </c>
      <c r="AC3624">
        <v>18.331899999999901</v>
      </c>
      <c r="AD3624">
        <v>-1.1607769999999999</v>
      </c>
      <c r="AE3624">
        <v>-71.822999999999894</v>
      </c>
      <c r="AF3624">
        <v>-28.5326802497848</v>
      </c>
      <c r="AG3624">
        <v>-1.1607769999999999</v>
      </c>
      <c r="AH3624">
        <v>68.394402028274399</v>
      </c>
      <c r="AI3624">
        <v>90.8973756561101</v>
      </c>
      <c r="AJ3624">
        <v>112.644852573314</v>
      </c>
      <c r="AK3624">
        <v>74.116499339117595</v>
      </c>
      <c r="AL3624">
        <v>80.620875627508497</v>
      </c>
      <c r="AM3624">
        <v>97.852523192097394</v>
      </c>
      <c r="AN3624">
        <v>1.0000000283047601</v>
      </c>
    </row>
    <row r="3625" spans="1:40" x14ac:dyDescent="0.25">
      <c r="A3625" t="str">
        <f>"20190304154825975"</f>
        <v>20190304154825975</v>
      </c>
      <c r="B3625" t="str">
        <f>"1551685705970543"</f>
        <v>1551685705970543</v>
      </c>
      <c r="C3625" t="s">
        <v>40</v>
      </c>
      <c r="D3625">
        <v>3.9632710000000002</v>
      </c>
      <c r="E3625">
        <v>0.39920559999999999</v>
      </c>
      <c r="F3625" t="s">
        <v>44</v>
      </c>
      <c r="G3625">
        <v>-475.39170000000001</v>
      </c>
      <c r="H3625">
        <v>7.9986479999999999E-2</v>
      </c>
      <c r="I3625">
        <v>197.80029999999999</v>
      </c>
      <c r="J3625">
        <v>-491.10109999999997</v>
      </c>
      <c r="K3625">
        <v>1.110789</v>
      </c>
      <c r="L3625">
        <v>259.2876</v>
      </c>
      <c r="M3625">
        <v>-0.1446829</v>
      </c>
      <c r="N3625">
        <v>-1.38131E-2</v>
      </c>
      <c r="O3625">
        <v>-0.98938159999999997</v>
      </c>
      <c r="P3625">
        <v>-8.2094799999999999E-3</v>
      </c>
      <c r="Q3625">
        <v>0.14950579999999999</v>
      </c>
      <c r="R3625">
        <v>-0.98872660000000001</v>
      </c>
      <c r="S3625">
        <v>0.77624510000000002</v>
      </c>
      <c r="T3625">
        <v>-5.0996899999999998E-2</v>
      </c>
      <c r="U3625">
        <v>-3.048584</v>
      </c>
      <c r="V3625">
        <v>-0.13496849999999999</v>
      </c>
      <c r="W3625">
        <v>0.1629999</v>
      </c>
      <c r="X3625">
        <v>0.97735079999999996</v>
      </c>
      <c r="Y3625">
        <v>-0.38429809999999998</v>
      </c>
      <c r="Z3625">
        <v>1.5027759999999999E-3</v>
      </c>
      <c r="AA3625">
        <v>0.92320789999999997</v>
      </c>
      <c r="AB3625">
        <v>24</v>
      </c>
      <c r="AC3625">
        <v>15.709399999999899</v>
      </c>
      <c r="AD3625">
        <v>-1.0308025199999999</v>
      </c>
      <c r="AE3625">
        <v>-61.487299999999998</v>
      </c>
      <c r="AF3625">
        <v>-24.434638792181801</v>
      </c>
      <c r="AG3625">
        <v>-1.0308025199999999</v>
      </c>
      <c r="AH3625">
        <v>58.551664961542201</v>
      </c>
      <c r="AI3625">
        <v>90.930803747615599</v>
      </c>
      <c r="AJ3625">
        <v>112.65163496018199</v>
      </c>
      <c r="AK3625">
        <v>63.454011665995701</v>
      </c>
      <c r="AL3625">
        <v>80.618935980724501</v>
      </c>
      <c r="AM3625">
        <v>97.862603641739895</v>
      </c>
      <c r="AN3625">
        <v>1.00000002482644</v>
      </c>
    </row>
    <row r="3626" spans="1:40" x14ac:dyDescent="0.25">
      <c r="A3626" t="str">
        <f>"20190304154825986"</f>
        <v>20190304154825986</v>
      </c>
      <c r="B3626" t="str">
        <f>"1551685705980302"</f>
        <v>1551685705980302</v>
      </c>
      <c r="C3626" t="s">
        <v>40</v>
      </c>
      <c r="D3626">
        <v>3.9819200000000001</v>
      </c>
      <c r="E3626">
        <v>0.39922920000000001</v>
      </c>
      <c r="F3626" t="s">
        <v>44</v>
      </c>
      <c r="G3626">
        <v>-475.714</v>
      </c>
      <c r="H3626">
        <v>7.9986799999999997E-2</v>
      </c>
      <c r="I3626">
        <v>198.8963</v>
      </c>
      <c r="J3626">
        <v>-491.11900000000003</v>
      </c>
      <c r="K3626">
        <v>1.1107990000000001</v>
      </c>
      <c r="L3626">
        <v>259.16390000000001</v>
      </c>
      <c r="M3626">
        <v>-0.14456759999999999</v>
      </c>
      <c r="N3626">
        <v>-1.380986E-2</v>
      </c>
      <c r="O3626">
        <v>-0.98939869999999996</v>
      </c>
      <c r="P3626">
        <v>-7.7040479999999998E-3</v>
      </c>
      <c r="Q3626">
        <v>0.14945449999999999</v>
      </c>
      <c r="R3626">
        <v>-0.98873900000000003</v>
      </c>
      <c r="S3626">
        <v>0.77673340000000002</v>
      </c>
      <c r="T3626">
        <v>-5.2034379999999998E-2</v>
      </c>
      <c r="U3626">
        <v>-3.0485229999999999</v>
      </c>
      <c r="V3626">
        <v>-0.13536090000000001</v>
      </c>
      <c r="W3626">
        <v>0.16294069999999999</v>
      </c>
      <c r="X3626">
        <v>0.97730640000000002</v>
      </c>
      <c r="Y3626">
        <v>-0.38433270000000003</v>
      </c>
      <c r="Z3626">
        <v>1.8231359999999999E-3</v>
      </c>
      <c r="AA3626">
        <v>0.92319289999999998</v>
      </c>
      <c r="AB3626">
        <v>24</v>
      </c>
      <c r="AC3626">
        <v>15.404999999999999</v>
      </c>
      <c r="AD3626">
        <v>-1.0308122</v>
      </c>
      <c r="AE3626">
        <v>-60.267600000000002</v>
      </c>
      <c r="AF3626">
        <v>-23.950133540871398</v>
      </c>
      <c r="AG3626">
        <v>-1.0308122</v>
      </c>
      <c r="AH3626">
        <v>57.391327442280101</v>
      </c>
      <c r="AI3626">
        <v>90.949629859183602</v>
      </c>
      <c r="AJ3626">
        <v>112.651400277695</v>
      </c>
      <c r="AK3626">
        <v>62.196751812327399</v>
      </c>
      <c r="AL3626">
        <v>80.622373827135405</v>
      </c>
      <c r="AM3626">
        <v>97.885529533101504</v>
      </c>
      <c r="AN3626">
        <v>1.00000002222312</v>
      </c>
    </row>
    <row r="3627" spans="1:40" x14ac:dyDescent="0.25">
      <c r="A3627" t="str">
        <f>"20190304154825997"</f>
        <v>20190304154825997</v>
      </c>
      <c r="B3627" t="str">
        <f>"1551685705990063"</f>
        <v>1551685705990063</v>
      </c>
      <c r="C3627" t="s">
        <v>40</v>
      </c>
      <c r="D3627">
        <v>4.0161980000000002</v>
      </c>
      <c r="E3627">
        <v>0.39942149999999998</v>
      </c>
      <c r="F3627" t="s">
        <v>54</v>
      </c>
      <c r="G3627">
        <v>-476.10449999999997</v>
      </c>
      <c r="H3627">
        <v>7.9998639999999996E-2</v>
      </c>
      <c r="I3627">
        <v>200.36359999999999</v>
      </c>
      <c r="J3627">
        <v>-491.13549999999998</v>
      </c>
      <c r="K3627">
        <v>1.1108119999999999</v>
      </c>
      <c r="L3627">
        <v>259.05079999999998</v>
      </c>
      <c r="M3627">
        <v>-0.1444571</v>
      </c>
      <c r="N3627">
        <v>-1.380705E-2</v>
      </c>
      <c r="O3627">
        <v>-0.98941489999999999</v>
      </c>
      <c r="P3627">
        <v>-7.436158E-3</v>
      </c>
      <c r="Q3627">
        <v>0.14930599999999999</v>
      </c>
      <c r="R3627">
        <v>-0.98876319999999995</v>
      </c>
      <c r="S3627">
        <v>0.77838130000000005</v>
      </c>
      <c r="T3627">
        <v>-5.3438430000000002E-2</v>
      </c>
      <c r="U3627">
        <v>-3.0483090000000002</v>
      </c>
      <c r="V3627">
        <v>-0.13552420000000001</v>
      </c>
      <c r="W3627">
        <v>0.16278629999999999</v>
      </c>
      <c r="X3627">
        <v>0.97730950000000005</v>
      </c>
      <c r="Y3627">
        <v>-0.3847121</v>
      </c>
      <c r="Z3627">
        <v>2.2533499999999999E-3</v>
      </c>
      <c r="AA3627">
        <v>0.92303389999999996</v>
      </c>
      <c r="AB3627">
        <v>24</v>
      </c>
      <c r="AC3627">
        <v>15.031000000000001</v>
      </c>
      <c r="AD3627">
        <v>-1.03081336</v>
      </c>
      <c r="AE3627">
        <v>-58.687199999999898</v>
      </c>
      <c r="AF3627">
        <v>-23.3451412348589</v>
      </c>
      <c r="AG3627">
        <v>-1.03081336</v>
      </c>
      <c r="AH3627">
        <v>55.883795108745403</v>
      </c>
      <c r="AI3627">
        <v>90.975093858141094</v>
      </c>
      <c r="AJ3627">
        <v>112.67245876126501</v>
      </c>
      <c r="AK3627">
        <v>60.572739340522702</v>
      </c>
      <c r="AL3627">
        <v>80.631340018527197</v>
      </c>
      <c r="AM3627">
        <v>97.894898056342896</v>
      </c>
      <c r="AN3627">
        <v>1.0000000235217801</v>
      </c>
    </row>
    <row r="3628" spans="1:40" x14ac:dyDescent="0.25">
      <c r="A3628" t="str">
        <f>"20190304154826008"</f>
        <v>20190304154826008</v>
      </c>
      <c r="B3628" t="str">
        <f>"1551685705999823"</f>
        <v>1551685705999823</v>
      </c>
      <c r="C3628" t="s">
        <v>40</v>
      </c>
      <c r="D3628">
        <v>3.99533</v>
      </c>
      <c r="E3628">
        <v>0.39940989999999998</v>
      </c>
      <c r="F3628" t="s">
        <v>54</v>
      </c>
      <c r="G3628">
        <v>-476.84320000000002</v>
      </c>
      <c r="H3628">
        <v>7.9999070000000005E-2</v>
      </c>
      <c r="I3628">
        <v>203.0093</v>
      </c>
      <c r="J3628">
        <v>-491.15289999999999</v>
      </c>
      <c r="K3628">
        <v>1.110822</v>
      </c>
      <c r="L3628">
        <v>258.93040000000002</v>
      </c>
      <c r="M3628">
        <v>-0.14433509999999999</v>
      </c>
      <c r="N3628">
        <v>-1.3804220000000001E-2</v>
      </c>
      <c r="O3628">
        <v>-0.9894328</v>
      </c>
      <c r="P3628">
        <v>-6.871233E-3</v>
      </c>
      <c r="Q3628">
        <v>0.14909600000000001</v>
      </c>
      <c r="R3628">
        <v>-0.98879919999999999</v>
      </c>
      <c r="S3628">
        <v>0.77743530000000005</v>
      </c>
      <c r="T3628">
        <v>-5.607152E-2</v>
      </c>
      <c r="U3628">
        <v>-3.0484010000000001</v>
      </c>
      <c r="V3628">
        <v>-0.13597229999999999</v>
      </c>
      <c r="W3628">
        <v>0.16256899999999999</v>
      </c>
      <c r="X3628">
        <v>0.97728340000000002</v>
      </c>
      <c r="Y3628">
        <v>-0.38431999999999999</v>
      </c>
      <c r="Z3628">
        <v>3.0626099999999999E-3</v>
      </c>
      <c r="AA3628">
        <v>0.92319490000000004</v>
      </c>
      <c r="AB3628">
        <v>24</v>
      </c>
      <c r="AC3628">
        <v>14.3096999999999</v>
      </c>
      <c r="AD3628">
        <v>-1.03082293</v>
      </c>
      <c r="AE3628">
        <v>-55.921100000000003</v>
      </c>
      <c r="AF3628">
        <v>-22.224889703030598</v>
      </c>
      <c r="AG3628">
        <v>-1.03082293</v>
      </c>
      <c r="AH3628">
        <v>53.252859466463697</v>
      </c>
      <c r="AI3628">
        <v>91.023412237577205</v>
      </c>
      <c r="AJ3628">
        <v>112.653042040472</v>
      </c>
      <c r="AK3628">
        <v>57.713736316234296</v>
      </c>
      <c r="AL3628">
        <v>80.643958209192803</v>
      </c>
      <c r="AM3628">
        <v>97.920879986372896</v>
      </c>
      <c r="AN3628">
        <v>0.99999999502192505</v>
      </c>
    </row>
    <row r="3629" spans="1:40" x14ac:dyDescent="0.25">
      <c r="A3629" t="str">
        <f>"20190304154826021"</f>
        <v>20190304154826021</v>
      </c>
      <c r="B3629" t="str">
        <f>"1551685706010558"</f>
        <v>1551685706010558</v>
      </c>
      <c r="C3629" t="s">
        <v>40</v>
      </c>
      <c r="D3629">
        <v>3.9423339999999998</v>
      </c>
      <c r="E3629">
        <v>0.3992694</v>
      </c>
      <c r="F3629" t="s">
        <v>54</v>
      </c>
      <c r="G3629">
        <v>-477.22829999999999</v>
      </c>
      <c r="H3629">
        <v>7.9999509999999996E-2</v>
      </c>
      <c r="I3629">
        <v>204.44970000000001</v>
      </c>
      <c r="J3629">
        <v>-491.17129999999997</v>
      </c>
      <c r="K3629">
        <v>1.1108309999999999</v>
      </c>
      <c r="L3629">
        <v>258.80290000000002</v>
      </c>
      <c r="M3629">
        <v>-0.1441981</v>
      </c>
      <c r="N3629">
        <v>-1.3801259999999999E-2</v>
      </c>
      <c r="O3629">
        <v>-0.98945249999999996</v>
      </c>
      <c r="P3629">
        <v>-6.2229659999999999E-3</v>
      </c>
      <c r="Q3629">
        <v>0.1487637</v>
      </c>
      <c r="R3629">
        <v>-0.9888536</v>
      </c>
      <c r="S3629">
        <v>0.77905269999999904</v>
      </c>
      <c r="T3629">
        <v>-5.7672620000000001E-2</v>
      </c>
      <c r="U3629">
        <v>-3.0480960000000001</v>
      </c>
      <c r="V3629">
        <v>-0.13649069999999999</v>
      </c>
      <c r="W3629">
        <v>0.1622297</v>
      </c>
      <c r="X3629">
        <v>0.97726749999999996</v>
      </c>
      <c r="Y3629">
        <v>-0.38467230000000002</v>
      </c>
      <c r="Z3629">
        <v>3.5538649999999998E-3</v>
      </c>
      <c r="AA3629">
        <v>0.92304640000000004</v>
      </c>
      <c r="AB3629">
        <v>24</v>
      </c>
      <c r="AC3629">
        <v>13.9429999999999</v>
      </c>
      <c r="AD3629">
        <v>-1.03083149</v>
      </c>
      <c r="AE3629">
        <v>-54.353200000000001</v>
      </c>
      <c r="AF3629">
        <v>-21.628327866304399</v>
      </c>
      <c r="AG3629">
        <v>-1.03083149</v>
      </c>
      <c r="AH3629">
        <v>51.756824488877697</v>
      </c>
      <c r="AI3629">
        <v>91.052795141044797</v>
      </c>
      <c r="AJ3629">
        <v>112.67924978332699</v>
      </c>
      <c r="AK3629">
        <v>56.103618965496501</v>
      </c>
      <c r="AL3629">
        <v>80.663660036145004</v>
      </c>
      <c r="AM3629">
        <v>97.9508209096645</v>
      </c>
      <c r="AN3629">
        <v>0.99999997665241402</v>
      </c>
    </row>
    <row r="3630" spans="1:40" x14ac:dyDescent="0.25">
      <c r="A3630" t="str">
        <f>"20190304154826032"</f>
        <v>20190304154826032</v>
      </c>
      <c r="B3630" t="str">
        <f>"1551685706030078"</f>
        <v>1551685706030078</v>
      </c>
      <c r="C3630" t="s">
        <v>40</v>
      </c>
      <c r="D3630">
        <v>3.9832679999999998</v>
      </c>
      <c r="E3630">
        <v>0.39913140000000003</v>
      </c>
      <c r="F3630" t="s">
        <v>54</v>
      </c>
      <c r="G3630">
        <v>-477.48719999999997</v>
      </c>
      <c r="H3630">
        <v>7.999966E-2</v>
      </c>
      <c r="I3630">
        <v>205.4742</v>
      </c>
      <c r="J3630">
        <v>-491.18869999999998</v>
      </c>
      <c r="K3630">
        <v>1.1108389999999999</v>
      </c>
      <c r="L3630">
        <v>258.68279999999999</v>
      </c>
      <c r="M3630">
        <v>-0.144066</v>
      </c>
      <c r="N3630">
        <v>-1.379849E-2</v>
      </c>
      <c r="O3630">
        <v>-0.98947189999999996</v>
      </c>
      <c r="P3630">
        <v>-5.4106319999999899E-3</v>
      </c>
      <c r="Q3630">
        <v>0.14845269999999999</v>
      </c>
      <c r="R3630">
        <v>-0.98890489999999998</v>
      </c>
      <c r="S3630">
        <v>0.78201290000000001</v>
      </c>
      <c r="T3630">
        <v>-5.8909419999999997E-2</v>
      </c>
      <c r="U3630">
        <v>-3.0476070000000002</v>
      </c>
      <c r="V3630">
        <v>-0.13717509999999999</v>
      </c>
      <c r="W3630">
        <v>0.16191159999999999</v>
      </c>
      <c r="X3630">
        <v>0.97722450000000005</v>
      </c>
      <c r="Y3630">
        <v>-0.3854243</v>
      </c>
      <c r="Z3630">
        <v>3.9317090000000002E-3</v>
      </c>
      <c r="AA3630">
        <v>0.92273110000000003</v>
      </c>
      <c r="AB3630">
        <v>24</v>
      </c>
      <c r="AC3630">
        <v>13.701499999999999</v>
      </c>
      <c r="AD3630">
        <v>-1.03083934</v>
      </c>
      <c r="AE3630">
        <v>-53.208599999999898</v>
      </c>
      <c r="AF3630">
        <v>-21.2173511596697</v>
      </c>
      <c r="AG3630">
        <v>-1.03083934</v>
      </c>
      <c r="AH3630">
        <v>50.6614852533841</v>
      </c>
      <c r="AI3630">
        <v>91.075207046869707</v>
      </c>
      <c r="AJ3630">
        <v>112.724244491959</v>
      </c>
      <c r="AK3630">
        <v>54.934731345993498</v>
      </c>
      <c r="AL3630">
        <v>80.682130691398001</v>
      </c>
      <c r="AM3630">
        <v>97.990521823954097</v>
      </c>
      <c r="AN3630">
        <v>1.0000000488373999</v>
      </c>
    </row>
    <row r="3631" spans="1:40" x14ac:dyDescent="0.25">
      <c r="A3631" t="str">
        <f>"20190304154826049"</f>
        <v>20190304154826049</v>
      </c>
      <c r="B3631" t="str">
        <f>"1551685706039842"</f>
        <v>1551685706039842</v>
      </c>
      <c r="C3631" t="s">
        <v>40</v>
      </c>
      <c r="D3631">
        <v>3.970993</v>
      </c>
      <c r="E3631">
        <v>0.39906659999999999</v>
      </c>
      <c r="F3631" t="s">
        <v>54</v>
      </c>
      <c r="G3631">
        <v>-477.78390000000002</v>
      </c>
      <c r="H3631">
        <v>7.9999769999999998E-2</v>
      </c>
      <c r="I3631">
        <v>206.6961</v>
      </c>
      <c r="J3631">
        <v>-491.21499999999997</v>
      </c>
      <c r="K3631">
        <v>1.110851</v>
      </c>
      <c r="L3631">
        <v>258.50130000000001</v>
      </c>
      <c r="M3631">
        <v>-0.1438517</v>
      </c>
      <c r="N3631">
        <v>-1.3794819999999999E-2</v>
      </c>
      <c r="O3631">
        <v>-0.98950329999999997</v>
      </c>
      <c r="P3631">
        <v>-3.8164309999999999E-3</v>
      </c>
      <c r="Q3631">
        <v>0.1479481</v>
      </c>
      <c r="R3631">
        <v>-0.98898799999999998</v>
      </c>
      <c r="S3631">
        <v>0.78567500000000001</v>
      </c>
      <c r="T3631">
        <v>-6.0419199999999999E-2</v>
      </c>
      <c r="U3631">
        <v>-3.0470280000000001</v>
      </c>
      <c r="V3631">
        <v>-0.13855809999999999</v>
      </c>
      <c r="W3631">
        <v>0.1613964</v>
      </c>
      <c r="X3631">
        <v>0.97711460000000006</v>
      </c>
      <c r="Y3631">
        <v>-0.3863046</v>
      </c>
      <c r="Z3631">
        <v>4.3934569999999999E-3</v>
      </c>
      <c r="AA3631">
        <v>0.92236079999999998</v>
      </c>
      <c r="AB3631">
        <v>24</v>
      </c>
      <c r="AC3631">
        <v>13.431099999999899</v>
      </c>
      <c r="AD3631">
        <v>-1.0308512299999999</v>
      </c>
      <c r="AE3631">
        <v>-51.805199999999999</v>
      </c>
      <c r="AF3631">
        <v>-20.736660077254701</v>
      </c>
      <c r="AG3631">
        <v>-1.0308512299999999</v>
      </c>
      <c r="AH3631">
        <v>49.315717542930997</v>
      </c>
      <c r="AI3631">
        <v>91.103891392510405</v>
      </c>
      <c r="AJ3631">
        <v>112.806162037132</v>
      </c>
      <c r="AK3631">
        <v>53.508052872368197</v>
      </c>
      <c r="AL3631">
        <v>80.712042844059596</v>
      </c>
      <c r="AM3631">
        <v>98.070921961551903</v>
      </c>
      <c r="AN3631">
        <v>1.00000004327086</v>
      </c>
    </row>
    <row r="3632" spans="1:40" x14ac:dyDescent="0.25">
      <c r="A3632" t="str">
        <f>"20190304154826062"</f>
        <v>20190304154826062</v>
      </c>
      <c r="B3632" t="str">
        <f>"1551685706050575"</f>
        <v>1551685706050575</v>
      </c>
      <c r="C3632" t="s">
        <v>40</v>
      </c>
      <c r="D3632">
        <v>4.0127090000000001</v>
      </c>
      <c r="E3632">
        <v>0.39907359999999997</v>
      </c>
      <c r="F3632" t="s">
        <v>54</v>
      </c>
      <c r="G3632">
        <v>-478.28300000000002</v>
      </c>
      <c r="H3632">
        <v>7.9999870000000001E-2</v>
      </c>
      <c r="I3632">
        <v>208.65539999999999</v>
      </c>
      <c r="J3632">
        <v>-491.23270000000002</v>
      </c>
      <c r="K3632">
        <v>1.110862</v>
      </c>
      <c r="L3632">
        <v>258.37779999999998</v>
      </c>
      <c r="M3632">
        <v>-0.14369749999999901</v>
      </c>
      <c r="N3632">
        <v>-1.379229E-2</v>
      </c>
      <c r="O3632">
        <v>-0.98952560000000001</v>
      </c>
      <c r="P3632">
        <v>-2.870783E-3</v>
      </c>
      <c r="Q3632">
        <v>0.14799660000000001</v>
      </c>
      <c r="R3632">
        <v>-0.98898390000000003</v>
      </c>
      <c r="S3632">
        <v>0.79022219999999999</v>
      </c>
      <c r="T3632">
        <v>-6.2991259999999993E-2</v>
      </c>
      <c r="U3632">
        <v>-3.0458829999999999</v>
      </c>
      <c r="V3632">
        <v>-0.13934460000000001</v>
      </c>
      <c r="W3632">
        <v>0.16143679999999999</v>
      </c>
      <c r="X3632">
        <v>0.97699599999999998</v>
      </c>
      <c r="Y3632">
        <v>-0.38753149999999997</v>
      </c>
      <c r="Z3632">
        <v>5.1786289999999997E-3</v>
      </c>
      <c r="AA3632">
        <v>0.92184189999999999</v>
      </c>
      <c r="AB3632">
        <v>24</v>
      </c>
      <c r="AC3632">
        <v>12.9497</v>
      </c>
      <c r="AD3632">
        <v>-1.03086213</v>
      </c>
      <c r="AE3632">
        <v>-49.722399999999901</v>
      </c>
      <c r="AF3632">
        <v>-19.952910177709398</v>
      </c>
      <c r="AG3632">
        <v>-1.03086213</v>
      </c>
      <c r="AH3632">
        <v>47.326198837523499</v>
      </c>
      <c r="AI3632">
        <v>91.149838262452505</v>
      </c>
      <c r="AJ3632">
        <v>112.86047803915299</v>
      </c>
      <c r="AK3632">
        <v>51.370715370720902</v>
      </c>
      <c r="AL3632">
        <v>80.709696658965697</v>
      </c>
      <c r="AM3632">
        <v>98.117098493878999</v>
      </c>
      <c r="AN3632">
        <v>0.99999997097969895</v>
      </c>
    </row>
    <row r="3633" spans="1:40" x14ac:dyDescent="0.25">
      <c r="A3633" t="str">
        <f>"20190304154826074"</f>
        <v>20190304154826074</v>
      </c>
      <c r="B3633" t="str">
        <f>"1551685706070094"</f>
        <v>1551685706070094</v>
      </c>
      <c r="C3633" t="s">
        <v>40</v>
      </c>
      <c r="D3633">
        <v>4.0035930000000004</v>
      </c>
      <c r="E3633">
        <v>0.39897919999999998</v>
      </c>
      <c r="F3633" t="s">
        <v>54</v>
      </c>
      <c r="G3633">
        <v>-478.3818</v>
      </c>
      <c r="H3633">
        <v>7.999966E-2</v>
      </c>
      <c r="I3633">
        <v>209.04159999999999</v>
      </c>
      <c r="J3633">
        <v>-491.25319999999999</v>
      </c>
      <c r="K3633">
        <v>1.1108750000000001</v>
      </c>
      <c r="L3633">
        <v>258.23520000000002</v>
      </c>
      <c r="M3633">
        <v>-0.14351329999999901</v>
      </c>
      <c r="N3633">
        <v>-1.37894E-2</v>
      </c>
      <c r="O3633">
        <v>-0.9895526</v>
      </c>
      <c r="P3633">
        <v>-1.8713849999999999E-3</v>
      </c>
      <c r="Q3633">
        <v>0.14783850000000001</v>
      </c>
      <c r="R3633">
        <v>-0.98901019999999995</v>
      </c>
      <c r="S3633">
        <v>0.7932129</v>
      </c>
      <c r="T3633">
        <v>-6.3629270000000002E-2</v>
      </c>
      <c r="U3633">
        <v>-3.045242</v>
      </c>
      <c r="V3633">
        <v>-0.14016039999999999</v>
      </c>
      <c r="W3633">
        <v>0.1612702</v>
      </c>
      <c r="X3633">
        <v>0.97690679999999996</v>
      </c>
      <c r="Y3633">
        <v>-0.38825399999999999</v>
      </c>
      <c r="Z3633">
        <v>5.3749059999999996E-3</v>
      </c>
      <c r="AA3633">
        <v>0.92153669999999999</v>
      </c>
      <c r="AB3633">
        <v>24</v>
      </c>
      <c r="AC3633">
        <v>12.8713999999999</v>
      </c>
      <c r="AD3633">
        <v>-1.0308753399999999</v>
      </c>
      <c r="AE3633">
        <v>-49.193600000000004</v>
      </c>
      <c r="AF3633">
        <v>-19.790606218594501</v>
      </c>
      <c r="AG3633">
        <v>-1.0308753399999999</v>
      </c>
      <c r="AH3633">
        <v>46.817635844508601</v>
      </c>
      <c r="AI3633">
        <v>91.161876706998498</v>
      </c>
      <c r="AJ3633">
        <v>112.914602415359</v>
      </c>
      <c r="AK3633">
        <v>50.839176080411697</v>
      </c>
      <c r="AL3633">
        <v>80.719368729479797</v>
      </c>
      <c r="AM3633">
        <v>98.164717056473194</v>
      </c>
      <c r="AN3633">
        <v>0.99999995551121901</v>
      </c>
    </row>
    <row r="3634" spans="1:40" x14ac:dyDescent="0.25">
      <c r="A3634" t="str">
        <f>"20190304154826089"</f>
        <v>20190304154826089</v>
      </c>
      <c r="B3634" t="str">
        <f>"1551685706079854"</f>
        <v>1551685706079854</v>
      </c>
      <c r="C3634" t="s">
        <v>40</v>
      </c>
      <c r="D3634">
        <v>4.1042389999999997</v>
      </c>
      <c r="E3634">
        <v>0.39899129999999999</v>
      </c>
      <c r="F3634" t="s">
        <v>54</v>
      </c>
      <c r="G3634">
        <v>-478.39429999999999</v>
      </c>
      <c r="H3634">
        <v>6.4108999999999999E-2</v>
      </c>
      <c r="I3634">
        <v>209.08940000000001</v>
      </c>
      <c r="J3634">
        <v>-491.27390000000003</v>
      </c>
      <c r="K3634">
        <v>1.1108910000000001</v>
      </c>
      <c r="L3634">
        <v>258.09089999999998</v>
      </c>
      <c r="M3634">
        <v>-0.1433141</v>
      </c>
      <c r="N3634">
        <v>-1.378658E-2</v>
      </c>
      <c r="O3634">
        <v>-0.98958120000000005</v>
      </c>
      <c r="P3634">
        <v>-1.153818E-3</v>
      </c>
      <c r="Q3634">
        <v>0.14765780000000001</v>
      </c>
      <c r="R3634">
        <v>-0.98903810000000003</v>
      </c>
      <c r="S3634">
        <v>0.79660030000000004</v>
      </c>
      <c r="T3634">
        <v>-6.4846280000000006E-2</v>
      </c>
      <c r="U3634">
        <v>-3.04454</v>
      </c>
      <c r="V3634">
        <v>-0.14068329999999901</v>
      </c>
      <c r="W3634">
        <v>0.16108059999999999</v>
      </c>
      <c r="X3634">
        <v>0.97686300000000004</v>
      </c>
      <c r="Y3634">
        <v>-0.38907819999999999</v>
      </c>
      <c r="Z3634">
        <v>5.7473169999999896E-3</v>
      </c>
      <c r="AA3634">
        <v>0.92118679999999997</v>
      </c>
      <c r="AB3634">
        <v>24</v>
      </c>
      <c r="AC3634">
        <v>12.8796</v>
      </c>
      <c r="AD3634">
        <v>-1.0467819999999901</v>
      </c>
      <c r="AE3634">
        <v>-49.001499999999901</v>
      </c>
      <c r="AF3634">
        <v>-19.7614599868113</v>
      </c>
      <c r="AG3634">
        <v>-1.0467819999999901</v>
      </c>
      <c r="AH3634">
        <v>46.629665395282302</v>
      </c>
      <c r="AI3634">
        <v>91.184095743922995</v>
      </c>
      <c r="AJ3634">
        <v>112.96703059809499</v>
      </c>
      <c r="AK3634">
        <v>50.655076233698999</v>
      </c>
      <c r="AL3634">
        <v>80.730376669956797</v>
      </c>
      <c r="AM3634">
        <v>98.195126861356798</v>
      </c>
      <c r="AN3634">
        <v>1.0000000356821199</v>
      </c>
    </row>
    <row r="3635" spans="1:40" x14ac:dyDescent="0.25">
      <c r="A3635" t="str">
        <f>"20190304154826103"</f>
        <v>20190304154826103</v>
      </c>
      <c r="B3635" t="str">
        <f>"1551685706100350"</f>
        <v>1551685706100350</v>
      </c>
      <c r="C3635" t="s">
        <v>40</v>
      </c>
      <c r="D3635">
        <v>4.0032699999999997</v>
      </c>
      <c r="E3635">
        <v>0.3987889</v>
      </c>
      <c r="F3635" t="s">
        <v>54</v>
      </c>
      <c r="G3635">
        <v>-478.42250000000001</v>
      </c>
      <c r="H3635">
        <v>4.1408920000000002E-2</v>
      </c>
      <c r="I3635">
        <v>209.09</v>
      </c>
      <c r="J3635">
        <v>-491.29520000000002</v>
      </c>
      <c r="K3635">
        <v>1.110905</v>
      </c>
      <c r="L3635">
        <v>257.94299999999998</v>
      </c>
      <c r="M3635">
        <v>-0.14309349999999901</v>
      </c>
      <c r="N3635">
        <v>-1.3784019999999999E-2</v>
      </c>
      <c r="O3635">
        <v>-0.98961350000000003</v>
      </c>
      <c r="P3635">
        <v>-5.6714619999999999E-4</v>
      </c>
      <c r="Q3635">
        <v>0.14771219999999999</v>
      </c>
      <c r="R3635">
        <v>-0.98903070000000004</v>
      </c>
      <c r="S3635">
        <v>0.79837040000000004</v>
      </c>
      <c r="T3635">
        <v>-6.643963E-2</v>
      </c>
      <c r="U3635">
        <v>-3.044098</v>
      </c>
      <c r="V3635">
        <v>-0.14105109999999901</v>
      </c>
      <c r="W3635">
        <v>0.16112580000000001</v>
      </c>
      <c r="X3635">
        <v>0.97680250000000002</v>
      </c>
      <c r="Y3635">
        <v>-0.38940459999999999</v>
      </c>
      <c r="Z3635">
        <v>6.2368390000000001E-3</v>
      </c>
      <c r="AA3635">
        <v>0.92104569999999997</v>
      </c>
      <c r="AB3635">
        <v>24</v>
      </c>
      <c r="AC3635">
        <v>12.8727</v>
      </c>
      <c r="AD3635">
        <v>-1.06949608</v>
      </c>
      <c r="AE3635">
        <v>-48.852999999999902</v>
      </c>
      <c r="AF3635">
        <v>-19.7225741608829</v>
      </c>
      <c r="AG3635">
        <v>-1.06949608</v>
      </c>
      <c r="AH3635">
        <v>46.487159258438801</v>
      </c>
      <c r="AI3635">
        <v>91.213287601948295</v>
      </c>
      <c r="AJ3635">
        <v>112.98949916060501</v>
      </c>
      <c r="AK3635">
        <v>50.509204401931697</v>
      </c>
      <c r="AL3635">
        <v>80.727752572381306</v>
      </c>
      <c r="AM3635">
        <v>98.216761856908803</v>
      </c>
      <c r="AN3635">
        <v>1.0000000301215399</v>
      </c>
    </row>
    <row r="3636" spans="1:40" x14ac:dyDescent="0.25">
      <c r="A3636" t="str">
        <f>"20190304154826116"</f>
        <v>20190304154826116</v>
      </c>
      <c r="B3636" t="str">
        <f>"1551685706110110"</f>
        <v>1551685706110110</v>
      </c>
      <c r="C3636" t="s">
        <v>40</v>
      </c>
      <c r="D3636">
        <v>3.9867319999999999</v>
      </c>
      <c r="E3636">
        <v>0.39865200000000001</v>
      </c>
      <c r="F3636" t="s">
        <v>54</v>
      </c>
      <c r="G3636">
        <v>-478.42599999999999</v>
      </c>
      <c r="H3636">
        <v>5.1989319999999999E-2</v>
      </c>
      <c r="I3636">
        <v>209.08580000000001</v>
      </c>
      <c r="J3636">
        <v>-491.31610000000001</v>
      </c>
      <c r="K3636">
        <v>1.1109249999999999</v>
      </c>
      <c r="L3636">
        <v>257.79640000000001</v>
      </c>
      <c r="M3636">
        <v>-0.14285999999999999</v>
      </c>
      <c r="N3636">
        <v>-1.378164E-2</v>
      </c>
      <c r="O3636">
        <v>-0.98964700000000005</v>
      </c>
      <c r="P3636">
        <v>-1.6676549999999999E-4</v>
      </c>
      <c r="Q3636">
        <v>0.14808969999999999</v>
      </c>
      <c r="R3636">
        <v>-0.98897400000000002</v>
      </c>
      <c r="S3636">
        <v>0.80169679999999999</v>
      </c>
      <c r="T3636">
        <v>-6.5965889999999999E-2</v>
      </c>
      <c r="U3636">
        <v>-3.0435940000000001</v>
      </c>
      <c r="V3636">
        <v>-0.1412167</v>
      </c>
      <c r="W3636">
        <v>0.16149279999999999</v>
      </c>
      <c r="X3636">
        <v>0.97671790000000003</v>
      </c>
      <c r="Y3636">
        <v>-0.39016659999999997</v>
      </c>
      <c r="Z3636">
        <v>6.0921650000000001E-3</v>
      </c>
      <c r="AA3636">
        <v>0.92072419999999999</v>
      </c>
      <c r="AB3636">
        <v>24</v>
      </c>
      <c r="AC3636">
        <v>12.8901</v>
      </c>
      <c r="AD3636">
        <v>-1.05893568</v>
      </c>
      <c r="AE3636">
        <v>-48.710599999999999</v>
      </c>
      <c r="AF3636">
        <v>-19.708612031848599</v>
      </c>
      <c r="AG3636">
        <v>-1.05893568</v>
      </c>
      <c r="AH3636">
        <v>46.348750118167899</v>
      </c>
      <c r="AI3636">
        <v>91.204478781358503</v>
      </c>
      <c r="AJ3636">
        <v>113.036373493724</v>
      </c>
      <c r="AK3636">
        <v>50.376158751066697</v>
      </c>
      <c r="AL3636">
        <v>80.706445410888605</v>
      </c>
      <c r="AM3636">
        <v>98.226979512936097</v>
      </c>
      <c r="AN3636">
        <v>0.99999996849556905</v>
      </c>
    </row>
    <row r="3637" spans="1:40" x14ac:dyDescent="0.25">
      <c r="A3637" t="str">
        <f>"20190304154826129"</f>
        <v>20190304154826129</v>
      </c>
      <c r="B3637" t="str">
        <f>"1551685706119871"</f>
        <v>1551685706119871</v>
      </c>
      <c r="C3637" t="s">
        <v>40</v>
      </c>
      <c r="D3637">
        <v>4.0119160000000003</v>
      </c>
      <c r="E3637">
        <v>0.39840609999999999</v>
      </c>
      <c r="F3637" t="s">
        <v>54</v>
      </c>
      <c r="G3637">
        <v>-478.41109999999998</v>
      </c>
      <c r="H3637">
        <v>7.9999689999999998E-2</v>
      </c>
      <c r="I3637">
        <v>208.91720000000001</v>
      </c>
      <c r="J3637">
        <v>-491.33499999999998</v>
      </c>
      <c r="K3637">
        <v>1.110949</v>
      </c>
      <c r="L3637">
        <v>257.66359999999997</v>
      </c>
      <c r="M3637">
        <v>-0.14263239999999999</v>
      </c>
      <c r="N3637">
        <v>-1.3779599999999999E-2</v>
      </c>
      <c r="O3637">
        <v>-0.98968009999999995</v>
      </c>
      <c r="P3637">
        <v>-2.0159989999999999E-4</v>
      </c>
      <c r="Q3637">
        <v>0.14872009999999999</v>
      </c>
      <c r="R3637">
        <v>-0.98887970000000003</v>
      </c>
      <c r="S3637">
        <v>0.80346680000000004</v>
      </c>
      <c r="T3637">
        <v>-6.4185500000000006E-2</v>
      </c>
      <c r="U3637">
        <v>-3.043228</v>
      </c>
      <c r="V3637">
        <v>-0.14095260000000001</v>
      </c>
      <c r="W3637">
        <v>0.16211300000000001</v>
      </c>
      <c r="X3637">
        <v>0.97665329999999995</v>
      </c>
      <c r="Y3637">
        <v>-0.39048519999999998</v>
      </c>
      <c r="Z3637">
        <v>5.5513380000000003E-3</v>
      </c>
      <c r="AA3637">
        <v>0.92059250000000004</v>
      </c>
      <c r="AB3637">
        <v>24</v>
      </c>
      <c r="AC3637">
        <v>12.9239</v>
      </c>
      <c r="AD3637">
        <v>-1.03094931</v>
      </c>
      <c r="AE3637">
        <v>-48.746399999999902</v>
      </c>
      <c r="AF3637">
        <v>-19.7369632577788</v>
      </c>
      <c r="AG3637">
        <v>-1.03094931</v>
      </c>
      <c r="AH3637">
        <v>46.384982530760503</v>
      </c>
      <c r="AI3637">
        <v>91.171621421917294</v>
      </c>
      <c r="AJ3637">
        <v>113.049912878162</v>
      </c>
      <c r="AK3637">
        <v>50.420007730043601</v>
      </c>
      <c r="AL3637">
        <v>80.670436035654902</v>
      </c>
      <c r="AM3637">
        <v>98.212339401051807</v>
      </c>
      <c r="AN3637">
        <v>0.99999996430832405</v>
      </c>
    </row>
    <row r="3638" spans="1:40" x14ac:dyDescent="0.25">
      <c r="A3638" t="str">
        <f>"20190304154826141"</f>
        <v>20190304154826141</v>
      </c>
      <c r="B3638" t="str">
        <f>"1551685706130606"</f>
        <v>1551685706130606</v>
      </c>
      <c r="C3638" t="s">
        <v>40</v>
      </c>
      <c r="D3638">
        <v>3.9809909999999999</v>
      </c>
      <c r="E3638">
        <v>0.39828520000000001</v>
      </c>
      <c r="F3638" t="s">
        <v>54</v>
      </c>
      <c r="G3638">
        <v>-477.70699999999999</v>
      </c>
      <c r="H3638">
        <v>7.9999760000000003E-2</v>
      </c>
      <c r="I3638">
        <v>206.19300000000001</v>
      </c>
      <c r="J3638">
        <v>-491.3528</v>
      </c>
      <c r="K3638">
        <v>1.1109739999999999</v>
      </c>
      <c r="L3638">
        <v>257.53859999999997</v>
      </c>
      <c r="M3638">
        <v>-0.14239309999999999</v>
      </c>
      <c r="N3638">
        <v>-1.377781E-2</v>
      </c>
      <c r="O3638">
        <v>-0.9897146</v>
      </c>
      <c r="P3638">
        <v>-3.5337219999999998E-4</v>
      </c>
      <c r="Q3638">
        <v>0.14941170000000001</v>
      </c>
      <c r="R3638">
        <v>-0.98877559999999998</v>
      </c>
      <c r="S3638">
        <v>0.80572509999999997</v>
      </c>
      <c r="T3638">
        <v>-6.0952310000000003E-2</v>
      </c>
      <c r="U3638">
        <v>-3.0430760000000001</v>
      </c>
      <c r="V3638">
        <v>-0.14056070000000001</v>
      </c>
      <c r="W3638">
        <v>0.1627943</v>
      </c>
      <c r="X3638">
        <v>0.97659649999999998</v>
      </c>
      <c r="Y3638">
        <v>-0.3909164</v>
      </c>
      <c r="Z3638">
        <v>4.564724E-3</v>
      </c>
      <c r="AA3638">
        <v>0.92041490000000004</v>
      </c>
      <c r="AB3638">
        <v>24</v>
      </c>
      <c r="AC3638">
        <v>13.645799999999999</v>
      </c>
      <c r="AD3638">
        <v>-1.0309742399999999</v>
      </c>
      <c r="AE3638">
        <v>-51.345599999999898</v>
      </c>
      <c r="AF3638">
        <v>-20.810839538706599</v>
      </c>
      <c r="AG3638">
        <v>-1.0309742399999999</v>
      </c>
      <c r="AH3638">
        <v>48.860647141773299</v>
      </c>
      <c r="AI3638">
        <v>91.112132156890496</v>
      </c>
      <c r="AJ3638">
        <v>113.070236726768</v>
      </c>
      <c r="AK3638">
        <v>53.117951667042099</v>
      </c>
      <c r="AL3638">
        <v>80.630875319529494</v>
      </c>
      <c r="AM3638">
        <v>98.190286116895393</v>
      </c>
      <c r="AN3638">
        <v>1.00000000915461</v>
      </c>
    </row>
    <row r="3639" spans="1:40" x14ac:dyDescent="0.25">
      <c r="A3639" t="str">
        <f>"20190304154826155"</f>
        <v>20190304154826155</v>
      </c>
      <c r="B3639" t="str">
        <f>"1551685706150126"</f>
        <v>1551685706150126</v>
      </c>
      <c r="C3639" t="s">
        <v>40</v>
      </c>
      <c r="D3639">
        <v>4.3799849999999996</v>
      </c>
      <c r="E3639">
        <v>0.42085129999999998</v>
      </c>
      <c r="F3639" t="s">
        <v>54</v>
      </c>
      <c r="G3639">
        <v>-476.9957</v>
      </c>
      <c r="H3639">
        <v>7.9999189999999998E-2</v>
      </c>
      <c r="I3639">
        <v>203.39449999999999</v>
      </c>
      <c r="J3639">
        <v>-491.37349999999998</v>
      </c>
      <c r="K3639">
        <v>1.1110059999999999</v>
      </c>
      <c r="L3639">
        <v>257.39269999999999</v>
      </c>
      <c r="M3639">
        <v>-0.1420951</v>
      </c>
      <c r="N3639">
        <v>-1.3775799999999901E-2</v>
      </c>
      <c r="O3639">
        <v>-0.98975729999999995</v>
      </c>
      <c r="P3639">
        <v>-6.566031E-4</v>
      </c>
      <c r="Q3639">
        <v>0.14994689999999999</v>
      </c>
      <c r="R3639">
        <v>-0.98869419999999997</v>
      </c>
      <c r="S3639">
        <v>0.8069153</v>
      </c>
      <c r="T3639">
        <v>-5.7944179999999998E-2</v>
      </c>
      <c r="U3639">
        <v>-3.0430760000000001</v>
      </c>
      <c r="V3639">
        <v>-0.1399668</v>
      </c>
      <c r="W3639">
        <v>0.1633175</v>
      </c>
      <c r="X3639">
        <v>0.97659439999999997</v>
      </c>
      <c r="Y3639">
        <v>-0.39097929999999997</v>
      </c>
      <c r="Z3639">
        <v>3.6492149999999999E-3</v>
      </c>
      <c r="AA3639">
        <v>0.92039219999999999</v>
      </c>
      <c r="AB3639">
        <v>24</v>
      </c>
      <c r="AC3639">
        <v>14.377799999999899</v>
      </c>
      <c r="AD3639">
        <v>-1.0310068100000001</v>
      </c>
      <c r="AE3639">
        <v>-53.998199999999997</v>
      </c>
      <c r="AF3639">
        <v>-21.898032887767101</v>
      </c>
      <c r="AG3639">
        <v>-1.0310068100000001</v>
      </c>
      <c r="AH3639">
        <v>51.389473890356903</v>
      </c>
      <c r="AI3639">
        <v>91.057376354131193</v>
      </c>
      <c r="AJ3639">
        <v>113.07977681113</v>
      </c>
      <c r="AK3639">
        <v>55.8700711125704</v>
      </c>
      <c r="AL3639">
        <v>80.600491131845203</v>
      </c>
      <c r="AM3639">
        <v>98.156164227653207</v>
      </c>
      <c r="AN3639">
        <v>0.99999996650992395</v>
      </c>
    </row>
    <row r="3640" spans="1:40" x14ac:dyDescent="0.25">
      <c r="A3640" t="str">
        <f>"20190304154826167"</f>
        <v>20190304154826167</v>
      </c>
      <c r="B3640" t="str">
        <f>"1551685706160863"</f>
        <v>1551685706160863</v>
      </c>
      <c r="C3640" t="s">
        <v>40</v>
      </c>
      <c r="D3640">
        <v>3.8677869999999999</v>
      </c>
      <c r="E3640">
        <v>0.42085129999999998</v>
      </c>
      <c r="F3640" t="s">
        <v>44</v>
      </c>
      <c r="G3640">
        <v>-485.82389999999998</v>
      </c>
      <c r="H3640" s="1">
        <v>-1.3339569999999999E-6</v>
      </c>
      <c r="I3640">
        <v>230.30279999999999</v>
      </c>
      <c r="J3640">
        <v>-491.3922</v>
      </c>
      <c r="K3640">
        <v>1.1110370000000001</v>
      </c>
      <c r="L3640">
        <v>257.26069999999999</v>
      </c>
      <c r="M3640">
        <v>-0.14179610000000001</v>
      </c>
      <c r="N3640">
        <v>-1.3774089999999999E-2</v>
      </c>
      <c r="O3640">
        <v>-0.98980049999999997</v>
      </c>
      <c r="P3640">
        <v>-9.3360480000000004E-4</v>
      </c>
      <c r="Q3640">
        <v>0.15053839999999999</v>
      </c>
      <c r="R3640">
        <v>-0.98860420000000004</v>
      </c>
      <c r="S3640">
        <v>0.62557980000000002</v>
      </c>
      <c r="T3640">
        <v>-0.1252384</v>
      </c>
      <c r="U3640">
        <v>-3.0537109999999998</v>
      </c>
      <c r="V3640">
        <v>-0.1393972</v>
      </c>
      <c r="W3640">
        <v>0.16389699999999999</v>
      </c>
      <c r="X3640">
        <v>0.97657879999999997</v>
      </c>
      <c r="Y3640">
        <v>-0.33739740000000001</v>
      </c>
      <c r="Z3640">
        <v>2.478352E-2</v>
      </c>
      <c r="AA3640">
        <v>0.94103599999999998</v>
      </c>
      <c r="AB3640">
        <v>24</v>
      </c>
      <c r="AC3640">
        <v>5.5683000000000202</v>
      </c>
      <c r="AD3640">
        <v>-1.111038333957</v>
      </c>
      <c r="AE3640">
        <v>-26.957899999999899</v>
      </c>
      <c r="AF3640">
        <v>-9.3197300940775101</v>
      </c>
      <c r="AG3640">
        <v>-1.111038333957</v>
      </c>
      <c r="AH3640">
        <v>25.853707193718598</v>
      </c>
      <c r="AI3640">
        <v>92.315067617680498</v>
      </c>
      <c r="AJ3640">
        <v>109.82319128006399</v>
      </c>
      <c r="AK3640">
        <v>27.504653258394502</v>
      </c>
      <c r="AL3640">
        <v>80.566834846186296</v>
      </c>
      <c r="AM3640">
        <v>98.123544360330001</v>
      </c>
      <c r="AN3640">
        <v>0.999999979293139</v>
      </c>
    </row>
    <row r="3641" spans="1:40" x14ac:dyDescent="0.25">
      <c r="A3641" t="str">
        <f>"20190304154826184"</f>
        <v>20190304154826184</v>
      </c>
      <c r="B3641" t="str">
        <f>"1551685706180383"</f>
        <v>1551685706180383</v>
      </c>
      <c r="C3641" t="s">
        <v>40</v>
      </c>
      <c r="D3641">
        <v>4.477627</v>
      </c>
      <c r="E3641">
        <v>0.48528189999999999</v>
      </c>
      <c r="F3641" t="s">
        <v>44</v>
      </c>
      <c r="G3641">
        <v>-485.7586</v>
      </c>
      <c r="H3641" s="1">
        <v>-1.157548E-6</v>
      </c>
      <c r="I3641">
        <v>229.73330000000001</v>
      </c>
      <c r="J3641">
        <v>-491.41469999999998</v>
      </c>
      <c r="K3641">
        <v>1.1110819999999999</v>
      </c>
      <c r="L3641">
        <v>257.09960000000001</v>
      </c>
      <c r="M3641">
        <v>-0.14138770000000001</v>
      </c>
      <c r="N3641">
        <v>-1.377217E-2</v>
      </c>
      <c r="O3641">
        <v>-0.98985869999999998</v>
      </c>
      <c r="P3641">
        <v>-2.325073E-3</v>
      </c>
      <c r="Q3641">
        <v>0.15173339999999999</v>
      </c>
      <c r="R3641">
        <v>-0.98841909999999999</v>
      </c>
      <c r="S3641">
        <v>0.625</v>
      </c>
      <c r="T3641">
        <v>-0.1232607</v>
      </c>
      <c r="U3641">
        <v>-3.0539399999999999</v>
      </c>
      <c r="V3641">
        <v>-0.1376069</v>
      </c>
      <c r="W3641">
        <v>0.16507849999999999</v>
      </c>
      <c r="X3641">
        <v>0.97663370000000005</v>
      </c>
      <c r="Y3641">
        <v>-0.33682839999999997</v>
      </c>
      <c r="Z3641">
        <v>2.418052E-2</v>
      </c>
      <c r="AA3641">
        <v>0.94125550000000002</v>
      </c>
      <c r="AB3641">
        <v>24</v>
      </c>
      <c r="AC3641">
        <v>5.6560999999999799</v>
      </c>
      <c r="AD3641">
        <v>-1.11108315754799</v>
      </c>
      <c r="AE3641">
        <v>-27.366299999999899</v>
      </c>
      <c r="AF3641">
        <v>-9.4539487443873806</v>
      </c>
      <c r="AG3641">
        <v>-1.11108315754799</v>
      </c>
      <c r="AH3641">
        <v>26.250057655415301</v>
      </c>
      <c r="AI3641">
        <v>92.280481003570301</v>
      </c>
      <c r="AJ3641">
        <v>109.806465924592</v>
      </c>
      <c r="AK3641">
        <v>27.922700076409502</v>
      </c>
      <c r="AL3641">
        <v>80.498205057780595</v>
      </c>
      <c r="AM3641">
        <v>98.020133716543498</v>
      </c>
      <c r="AN3641">
        <v>0.99999997703277399</v>
      </c>
    </row>
    <row r="3642" spans="1:40" x14ac:dyDescent="0.25">
      <c r="A3642" t="str">
        <f>"20190304154826197"</f>
        <v>20190304154826197</v>
      </c>
      <c r="B3642" t="str">
        <f>"1551685706190143"</f>
        <v>1551685706190143</v>
      </c>
      <c r="C3642" t="s">
        <v>40</v>
      </c>
      <c r="D3642">
        <v>4.435327</v>
      </c>
      <c r="E3642">
        <v>0.48651139999999998</v>
      </c>
      <c r="F3642" t="s">
        <v>44</v>
      </c>
      <c r="G3642">
        <v>-488.32810000000001</v>
      </c>
      <c r="H3642" s="1">
        <v>-5.1657290000000001E-7</v>
      </c>
      <c r="I3642">
        <v>169.8588</v>
      </c>
      <c r="J3642">
        <v>-491.43490000000003</v>
      </c>
      <c r="K3642">
        <v>1.111132</v>
      </c>
      <c r="L3642">
        <v>256.95530000000002</v>
      </c>
      <c r="M3642">
        <v>-0.1409842</v>
      </c>
      <c r="N3642">
        <v>-1.3770559999999999E-2</v>
      </c>
      <c r="O3642">
        <v>-0.98991640000000003</v>
      </c>
      <c r="P3642">
        <v>-2.762816E-3</v>
      </c>
      <c r="Q3642">
        <v>0.15219779999999999</v>
      </c>
      <c r="R3642">
        <v>-0.98834659999999996</v>
      </c>
      <c r="S3642">
        <v>0.10760500000000001</v>
      </c>
      <c r="T3642">
        <v>-3.8734079999999997E-2</v>
      </c>
      <c r="U3642">
        <v>-3.0413510000000001</v>
      </c>
      <c r="V3642">
        <v>-0.1367814</v>
      </c>
      <c r="W3642">
        <v>0.16552900000000001</v>
      </c>
      <c r="X3642">
        <v>0.97667340000000002</v>
      </c>
      <c r="Y3642">
        <v>-0.17588239999999999</v>
      </c>
      <c r="Z3642">
        <v>-1.364531E-3</v>
      </c>
      <c r="AA3642">
        <v>0.98441020000000001</v>
      </c>
      <c r="AB3642">
        <v>24</v>
      </c>
      <c r="AC3642">
        <v>3.1068000000000202</v>
      </c>
      <c r="AD3642">
        <v>-1.1111325165729</v>
      </c>
      <c r="AE3642">
        <v>-87.096500000000006</v>
      </c>
      <c r="AF3642">
        <v>-15.3536580045105</v>
      </c>
      <c r="AG3642">
        <v>-1.1111325165729</v>
      </c>
      <c r="AH3642">
        <v>85.774408044294802</v>
      </c>
      <c r="AI3642">
        <v>90.730564749623994</v>
      </c>
      <c r="AJ3642">
        <v>100.148491625445</v>
      </c>
      <c r="AK3642">
        <v>87.144813413869002</v>
      </c>
      <c r="AL3642">
        <v>80.472033146476605</v>
      </c>
      <c r="AM3642">
        <v>97.972321726420404</v>
      </c>
      <c r="AN3642">
        <v>0.99999996574725902</v>
      </c>
    </row>
    <row r="3643" spans="1:40" x14ac:dyDescent="0.25">
      <c r="A3643" t="str">
        <f>"20190304154826209"</f>
        <v>20190304154826209</v>
      </c>
      <c r="B3643" t="str">
        <f>"1551685706200880"</f>
        <v>1551685706200880</v>
      </c>
      <c r="C3643" t="s">
        <v>40</v>
      </c>
      <c r="D3643">
        <v>4.4319889999999997</v>
      </c>
      <c r="E3643">
        <v>0.48708099999999999</v>
      </c>
      <c r="F3643" t="s">
        <v>44</v>
      </c>
      <c r="G3643">
        <v>-489.01420000000002</v>
      </c>
      <c r="H3643" s="1">
        <v>-8.0908150000000003E-7</v>
      </c>
      <c r="I3643">
        <v>181.11109999999999</v>
      </c>
      <c r="J3643">
        <v>-491.45339999999999</v>
      </c>
      <c r="K3643">
        <v>1.1111770000000001</v>
      </c>
      <c r="L3643">
        <v>256.82249999999999</v>
      </c>
      <c r="M3643">
        <v>-0.14058090000000001</v>
      </c>
      <c r="N3643">
        <v>-1.3769160000000001E-2</v>
      </c>
      <c r="O3643">
        <v>-0.98997349999999995</v>
      </c>
      <c r="P3643">
        <v>-3.0289739999999998E-3</v>
      </c>
      <c r="Q3643">
        <v>0.15235580000000001</v>
      </c>
      <c r="R3643">
        <v>-0.98832109999999995</v>
      </c>
      <c r="S3643">
        <v>9.7106929999999994E-2</v>
      </c>
      <c r="T3643">
        <v>-4.4573429999999997E-2</v>
      </c>
      <c r="U3643">
        <v>-3.0425110000000002</v>
      </c>
      <c r="V3643">
        <v>-0.13613259999999999</v>
      </c>
      <c r="W3643">
        <v>0.1656734</v>
      </c>
      <c r="X3643">
        <v>0.97673960000000004</v>
      </c>
      <c r="Y3643">
        <v>-0.17207249999999999</v>
      </c>
      <c r="Z3643">
        <v>5.1722089999999997E-4</v>
      </c>
      <c r="AA3643">
        <v>0.98508419999999997</v>
      </c>
      <c r="AB3643">
        <v>24</v>
      </c>
      <c r="AC3643">
        <v>2.4391999999999698</v>
      </c>
      <c r="AD3643">
        <v>-1.1111778090815001</v>
      </c>
      <c r="AE3643">
        <v>-75.711399999999998</v>
      </c>
      <c r="AF3643">
        <v>-13.056747933513099</v>
      </c>
      <c r="AG3643">
        <v>-1.1111778090815001</v>
      </c>
      <c r="AH3643">
        <v>74.600391986701297</v>
      </c>
      <c r="AI3643">
        <v>90.840585560676899</v>
      </c>
      <c r="AJ3643">
        <v>99.927496965999595</v>
      </c>
      <c r="AK3643">
        <v>75.742536710174804</v>
      </c>
      <c r="AL3643">
        <v>80.463644163057594</v>
      </c>
      <c r="AM3643">
        <v>97.934458182163993</v>
      </c>
      <c r="AN3643">
        <v>1.00000000322924</v>
      </c>
    </row>
    <row r="3644" spans="1:40" x14ac:dyDescent="0.25">
      <c r="A3644" t="str">
        <f>"20190304154826221"</f>
        <v>20190304154826221</v>
      </c>
      <c r="B3644" t="str">
        <f>"1551685706210640"</f>
        <v>1551685706210640</v>
      </c>
      <c r="C3644" t="s">
        <v>40</v>
      </c>
      <c r="D3644">
        <v>4.4375679999999997</v>
      </c>
      <c r="E3644">
        <v>0.48726140000000001</v>
      </c>
      <c r="F3644" t="s">
        <v>44</v>
      </c>
      <c r="G3644">
        <v>-489.39519999999999</v>
      </c>
      <c r="H3644" s="1">
        <v>-3.753004E-6</v>
      </c>
      <c r="I3644">
        <v>188.1311</v>
      </c>
      <c r="J3644">
        <v>-491.46870000000001</v>
      </c>
      <c r="K3644">
        <v>1.1112139999999999</v>
      </c>
      <c r="L3644">
        <v>256.71170000000001</v>
      </c>
      <c r="M3644">
        <v>-0.14020070000000001</v>
      </c>
      <c r="N3644">
        <v>-1.3768209999999999E-2</v>
      </c>
      <c r="O3644">
        <v>-0.9900274</v>
      </c>
      <c r="P3644">
        <v>-3.5106109999999999E-3</v>
      </c>
      <c r="Q3644">
        <v>0.15253139999999901</v>
      </c>
      <c r="R3644">
        <v>-0.98829219999999895</v>
      </c>
      <c r="S3644">
        <v>9.1186519999999993E-2</v>
      </c>
      <c r="T3644">
        <v>-4.9230459999999997E-2</v>
      </c>
      <c r="U3644">
        <v>-3.0433500000000002</v>
      </c>
      <c r="V3644">
        <v>-0.13529040000000001</v>
      </c>
      <c r="W3644">
        <v>0.1658384</v>
      </c>
      <c r="X3644">
        <v>0.97682860000000005</v>
      </c>
      <c r="Y3644">
        <v>-0.169769</v>
      </c>
      <c r="Z3644">
        <v>2.0165140000000001E-3</v>
      </c>
      <c r="AA3644">
        <v>0.98548179999999996</v>
      </c>
      <c r="AB3644">
        <v>24</v>
      </c>
      <c r="AC3644">
        <v>2.0735000000000201</v>
      </c>
      <c r="AD3644">
        <v>-1.1112177530039999</v>
      </c>
      <c r="AE3644">
        <v>-68.580600000000004</v>
      </c>
      <c r="AF3644">
        <v>-11.6659157177202</v>
      </c>
      <c r="AG3644">
        <v>-1.1112177530039999</v>
      </c>
      <c r="AH3644">
        <v>67.594643801248196</v>
      </c>
      <c r="AI3644">
        <v>90.928106955430906</v>
      </c>
      <c r="AJ3644">
        <v>99.792010478874801</v>
      </c>
      <c r="AK3644">
        <v>68.602946474952304</v>
      </c>
      <c r="AL3644">
        <v>80.454057626258404</v>
      </c>
      <c r="AM3644">
        <v>97.885280754201304</v>
      </c>
      <c r="AN3644">
        <v>0.99999999051234001</v>
      </c>
    </row>
    <row r="3645" spans="1:40" x14ac:dyDescent="0.25">
      <c r="A3645" t="str">
        <f>"20190304154826233"</f>
        <v>20190304154826233</v>
      </c>
      <c r="B3645" t="str">
        <f>"1551685706230158"</f>
        <v>1551685706230158</v>
      </c>
      <c r="C3645" t="s">
        <v>40</v>
      </c>
      <c r="D3645">
        <v>4.4224290000000002</v>
      </c>
      <c r="E3645">
        <v>0.4869211</v>
      </c>
      <c r="F3645" t="s">
        <v>44</v>
      </c>
      <c r="G3645">
        <v>-489.59589999999997</v>
      </c>
      <c r="H3645" s="1">
        <v>-1.1772980000000001E-6</v>
      </c>
      <c r="I3645">
        <v>192.21</v>
      </c>
      <c r="J3645">
        <v>-491.4853</v>
      </c>
      <c r="K3645">
        <v>1.111259</v>
      </c>
      <c r="L3645">
        <v>256.59140000000002</v>
      </c>
      <c r="M3645">
        <v>-0.1397764</v>
      </c>
      <c r="N3645">
        <v>-1.376718E-2</v>
      </c>
      <c r="O3645">
        <v>-0.99008750000000001</v>
      </c>
      <c r="P3645">
        <v>-3.4065940000000002E-3</v>
      </c>
      <c r="Q3645">
        <v>0.15274740000000001</v>
      </c>
      <c r="R3645">
        <v>-0.98825969999999996</v>
      </c>
      <c r="S3645">
        <v>8.8378910000000005E-2</v>
      </c>
      <c r="T3645">
        <v>-5.2439569999999998E-2</v>
      </c>
      <c r="U3645">
        <v>-3.0439150000000001</v>
      </c>
      <c r="V3645">
        <v>-0.1349862</v>
      </c>
      <c r="W3645">
        <v>0.16604070000000001</v>
      </c>
      <c r="X3645">
        <v>0.97683629999999999</v>
      </c>
      <c r="Y3645">
        <v>-0.168432</v>
      </c>
      <c r="Z3645">
        <v>3.0498360000000002E-3</v>
      </c>
      <c r="AA3645">
        <v>0.98570860000000005</v>
      </c>
      <c r="AB3645">
        <v>24</v>
      </c>
      <c r="AC3645">
        <v>1.88940000000002</v>
      </c>
      <c r="AD3645">
        <v>-1.111260177298</v>
      </c>
      <c r="AE3645">
        <v>-64.381399999999999</v>
      </c>
      <c r="AF3645">
        <v>-10.8674656724664</v>
      </c>
      <c r="AG3645">
        <v>-1.111260177298</v>
      </c>
      <c r="AH3645">
        <v>63.466242934009003</v>
      </c>
      <c r="AI3645">
        <v>90.988728780762102</v>
      </c>
      <c r="AJ3645">
        <v>99.716649262594501</v>
      </c>
      <c r="AK3645">
        <v>64.399539606137907</v>
      </c>
      <c r="AL3645">
        <v>80.4423035604989</v>
      </c>
      <c r="AM3645">
        <v>97.867711774667896</v>
      </c>
      <c r="AN3645">
        <v>0.999999972622309</v>
      </c>
    </row>
    <row r="3646" spans="1:40" x14ac:dyDescent="0.25">
      <c r="A3646" t="str">
        <f>"20190304154826243"</f>
        <v>20190304154826243</v>
      </c>
      <c r="B3646" t="str">
        <f>"1551685706240894"</f>
        <v>1551685706240894</v>
      </c>
      <c r="C3646" t="s">
        <v>40</v>
      </c>
      <c r="D3646">
        <v>4.423044</v>
      </c>
      <c r="E3646">
        <v>0.48691980000000001</v>
      </c>
      <c r="F3646" t="s">
        <v>44</v>
      </c>
      <c r="G3646">
        <v>-489.72570000000002</v>
      </c>
      <c r="H3646" s="1">
        <v>-3.5600889999999999E-6</v>
      </c>
      <c r="I3646">
        <v>197.81800000000001</v>
      </c>
      <c r="J3646">
        <v>-491.50189999999998</v>
      </c>
      <c r="K3646">
        <v>1.1113040000000001</v>
      </c>
      <c r="L3646">
        <v>256.47039999999998</v>
      </c>
      <c r="M3646">
        <v>-0.1392941</v>
      </c>
      <c r="N3646">
        <v>-1.3766169999999999E-2</v>
      </c>
      <c r="O3646">
        <v>-0.99015529999999996</v>
      </c>
      <c r="P3646">
        <v>-2.8778150000000001E-3</v>
      </c>
      <c r="Q3646">
        <v>0.15252349999999901</v>
      </c>
      <c r="R3646">
        <v>-0.9882957</v>
      </c>
      <c r="S3646">
        <v>9.1156009999999996E-2</v>
      </c>
      <c r="T3646">
        <v>-5.7570929999999999E-2</v>
      </c>
      <c r="U3646">
        <v>-3.044861</v>
      </c>
      <c r="V3646">
        <v>-0.13505549999999999</v>
      </c>
      <c r="W3646">
        <v>0.165800799999999</v>
      </c>
      <c r="X3646">
        <v>0.9768675</v>
      </c>
      <c r="Y3646">
        <v>-0.16883889999999999</v>
      </c>
      <c r="Z3646">
        <v>4.6933510000000001E-3</v>
      </c>
      <c r="AA3646">
        <v>0.98563250000000002</v>
      </c>
      <c r="AB3646">
        <v>23</v>
      </c>
      <c r="AC3646">
        <v>1.77619999999996</v>
      </c>
      <c r="AD3646">
        <v>-1.1113075600889999</v>
      </c>
      <c r="AE3646">
        <v>-58.6524</v>
      </c>
      <c r="AF3646">
        <v>-9.9260284612106595</v>
      </c>
      <c r="AG3646">
        <v>-1.1113075600889999</v>
      </c>
      <c r="AH3646">
        <v>57.812318673917602</v>
      </c>
      <c r="AI3646">
        <v>91.085365094527802</v>
      </c>
      <c r="AJ3646">
        <v>99.742351877704095</v>
      </c>
      <c r="AK3646">
        <v>58.668775647361898</v>
      </c>
      <c r="AL3646">
        <v>80.456242310365099</v>
      </c>
      <c r="AM3646">
        <v>97.871452062437697</v>
      </c>
      <c r="AN3646">
        <v>1.0000000029585701</v>
      </c>
    </row>
    <row r="3647" spans="1:40" x14ac:dyDescent="0.25">
      <c r="A3647" t="str">
        <f>"20190304154826255"</f>
        <v>20190304154826255</v>
      </c>
      <c r="B3647" t="str">
        <f>"1551685706250655"</f>
        <v>1551685706250655</v>
      </c>
      <c r="C3647" t="s">
        <v>40</v>
      </c>
      <c r="D3647">
        <v>4.5361479999999998</v>
      </c>
      <c r="E3647">
        <v>0.48656070000000001</v>
      </c>
      <c r="F3647" t="s">
        <v>54</v>
      </c>
      <c r="G3647">
        <v>-489.78980000000001</v>
      </c>
      <c r="H3647" s="1">
        <v>1.2663439999999999E-7</v>
      </c>
      <c r="I3647">
        <v>200.07320000000001</v>
      </c>
      <c r="J3647">
        <v>-491.51769999999999</v>
      </c>
      <c r="K3647">
        <v>1.1113459999999999</v>
      </c>
      <c r="L3647">
        <v>256.3544</v>
      </c>
      <c r="M3647">
        <v>-0.13881289999999999</v>
      </c>
      <c r="N3647">
        <v>-1.3765299999999999E-2</v>
      </c>
      <c r="O3647">
        <v>-0.99022319999999997</v>
      </c>
      <c r="P3647">
        <v>-2.66045E-3</v>
      </c>
      <c r="Q3647">
        <v>0.15254860000000001</v>
      </c>
      <c r="R3647">
        <v>-0.98829279999999997</v>
      </c>
      <c r="S3647">
        <v>9.2437740000000004E-2</v>
      </c>
      <c r="T3647">
        <v>-6.0002090000000001E-2</v>
      </c>
      <c r="U3647">
        <v>-3.045029</v>
      </c>
      <c r="V3647">
        <v>-0.13481209999999999</v>
      </c>
      <c r="W3647">
        <v>0.16581209999999999</v>
      </c>
      <c r="X3647">
        <v>0.97689919999999997</v>
      </c>
      <c r="Y3647">
        <v>-0.16877159999999999</v>
      </c>
      <c r="Z3647">
        <v>5.4754039999999997E-3</v>
      </c>
      <c r="AA3647">
        <v>0.98563999999999996</v>
      </c>
      <c r="AB3647">
        <v>23</v>
      </c>
      <c r="AC3647">
        <v>1.72789999999997</v>
      </c>
      <c r="AD3647">
        <v>-1.1113458733656001</v>
      </c>
      <c r="AE3647">
        <v>-56.281199999999899</v>
      </c>
      <c r="AF3647">
        <v>-9.5207545206565403</v>
      </c>
      <c r="AG3647">
        <v>-1.1113458733656001</v>
      </c>
      <c r="AH3647">
        <v>55.474729458945198</v>
      </c>
      <c r="AI3647">
        <v>91.131140793593403</v>
      </c>
      <c r="AJ3647">
        <v>99.738415181891597</v>
      </c>
      <c r="AK3647">
        <v>56.296762472064103</v>
      </c>
      <c r="AL3647">
        <v>80.455585760620195</v>
      </c>
      <c r="AM3647">
        <v>97.857191525033301</v>
      </c>
      <c r="AN3647">
        <v>1.00000000088672</v>
      </c>
    </row>
    <row r="3648" spans="1:40" x14ac:dyDescent="0.25">
      <c r="A3648" t="str">
        <f>"20190304154826268"</f>
        <v>20190304154826268</v>
      </c>
      <c r="B3648" t="str">
        <f>"1551685706260414"</f>
        <v>1551685706260414</v>
      </c>
      <c r="C3648" t="s">
        <v>40</v>
      </c>
      <c r="D3648">
        <v>4.4247670000000001</v>
      </c>
      <c r="E3648">
        <v>0.48652000000000001</v>
      </c>
      <c r="F3648" t="s">
        <v>54</v>
      </c>
      <c r="G3648">
        <v>-489.77870000000001</v>
      </c>
      <c r="H3648" s="1">
        <v>4.5709160000000001E-7</v>
      </c>
      <c r="I3648">
        <v>201.1431</v>
      </c>
      <c r="J3648">
        <v>-491.536</v>
      </c>
      <c r="K3648">
        <v>1.1113900000000001</v>
      </c>
      <c r="L3648">
        <v>256.21910000000003</v>
      </c>
      <c r="M3648">
        <v>-0.13820879999999999</v>
      </c>
      <c r="N3648">
        <v>-1.3764520000000001E-2</v>
      </c>
      <c r="O3648">
        <v>-0.99030739999999995</v>
      </c>
      <c r="P3648">
        <v>-1.8730730000000001E-3</v>
      </c>
      <c r="Q3648">
        <v>0.1523861</v>
      </c>
      <c r="R3648">
        <v>-0.98831930000000001</v>
      </c>
      <c r="S3648">
        <v>9.5916749999999995E-2</v>
      </c>
      <c r="T3648">
        <v>-6.1297770000000001E-2</v>
      </c>
      <c r="U3648">
        <v>-3.045258</v>
      </c>
      <c r="V3648">
        <v>-0.135018</v>
      </c>
      <c r="W3648">
        <v>0.16563249999999999</v>
      </c>
      <c r="X3648">
        <v>0.97690120000000003</v>
      </c>
      <c r="Y3648">
        <v>-0.16929240000000001</v>
      </c>
      <c r="Z3648">
        <v>5.8910409999999996E-3</v>
      </c>
      <c r="AA3648">
        <v>0.98554830000000004</v>
      </c>
      <c r="AB3648">
        <v>23</v>
      </c>
      <c r="AC3648">
        <v>1.7572999999999801</v>
      </c>
      <c r="AD3648">
        <v>-1.11138954290839</v>
      </c>
      <c r="AE3648">
        <v>-55.076000000000001</v>
      </c>
      <c r="AF3648">
        <v>-9.3493385149605803</v>
      </c>
      <c r="AG3648">
        <v>-1.11138954290839</v>
      </c>
      <c r="AH3648">
        <v>54.282362529122501</v>
      </c>
      <c r="AI3648">
        <v>91.155908073853993</v>
      </c>
      <c r="AJ3648">
        <v>99.772474575454396</v>
      </c>
      <c r="AK3648">
        <v>55.092832556753599</v>
      </c>
      <c r="AL3648">
        <v>80.466020070078002</v>
      </c>
      <c r="AM3648">
        <v>97.869025767681407</v>
      </c>
      <c r="AN3648">
        <v>0.99999996997084395</v>
      </c>
    </row>
    <row r="3649" spans="1:40" x14ac:dyDescent="0.25">
      <c r="A3649" t="str">
        <f>"20190304154826285"</f>
        <v>20190304154826285</v>
      </c>
      <c r="B3649" t="str">
        <f>"1551685706279935"</f>
        <v>1551685706279935</v>
      </c>
      <c r="C3649" t="s">
        <v>40</v>
      </c>
      <c r="D3649">
        <v>4.4227319999999999</v>
      </c>
      <c r="E3649">
        <v>0.48646349999999999</v>
      </c>
      <c r="F3649" t="s">
        <v>54</v>
      </c>
      <c r="G3649">
        <v>-489.82780000000002</v>
      </c>
      <c r="H3649" s="1">
        <v>1.1127219999999999E-6</v>
      </c>
      <c r="I3649">
        <v>203.24539999999999</v>
      </c>
      <c r="J3649">
        <v>-491.5591</v>
      </c>
      <c r="K3649">
        <v>1.111448</v>
      </c>
      <c r="L3649">
        <v>256.04739999999998</v>
      </c>
      <c r="M3649">
        <v>-0.13737439999999901</v>
      </c>
      <c r="N3649">
        <v>-1.376348E-2</v>
      </c>
      <c r="O3649">
        <v>-0.99042350000000001</v>
      </c>
      <c r="P3649">
        <v>-2.5838249999999999E-4</v>
      </c>
      <c r="Q3649">
        <v>0.15208369999999999</v>
      </c>
      <c r="R3649">
        <v>-0.98836769999999996</v>
      </c>
      <c r="S3649">
        <v>9.8205570000000006E-2</v>
      </c>
      <c r="T3649">
        <v>-6.3894629999999994E-2</v>
      </c>
      <c r="U3649">
        <v>-3.0455019999999999</v>
      </c>
      <c r="V3649">
        <v>-0.13582339999999901</v>
      </c>
      <c r="W3649">
        <v>0.16530610000000001</v>
      </c>
      <c r="X3649">
        <v>0.97684479999999996</v>
      </c>
      <c r="Y3649">
        <v>-0.1691983</v>
      </c>
      <c r="Z3649">
        <v>6.727228E-3</v>
      </c>
      <c r="AA3649">
        <v>0.98555899999999996</v>
      </c>
      <c r="AB3649">
        <v>23</v>
      </c>
      <c r="AC3649">
        <v>1.7312999999999701</v>
      </c>
      <c r="AD3649">
        <v>-1.1114468872779999</v>
      </c>
      <c r="AE3649">
        <v>-52.8019999999999</v>
      </c>
      <c r="AF3649">
        <v>-8.9652454335334895</v>
      </c>
      <c r="AG3649">
        <v>-1.1114468872779999</v>
      </c>
      <c r="AH3649">
        <v>52.040407270865501</v>
      </c>
      <c r="AI3649">
        <v>91.205745653571896</v>
      </c>
      <c r="AJ3649">
        <v>99.774667343678004</v>
      </c>
      <c r="AK3649">
        <v>52.818698666137998</v>
      </c>
      <c r="AL3649">
        <v>80.484982460556495</v>
      </c>
      <c r="AM3649">
        <v>97.915823516484707</v>
      </c>
      <c r="AN3649">
        <v>0.99999993298590195</v>
      </c>
    </row>
    <row r="3650" spans="1:40" x14ac:dyDescent="0.25">
      <c r="A3650" t="str">
        <f>"20190304154826301"</f>
        <v>20190304154826301</v>
      </c>
      <c r="B3650" t="str">
        <f>"1551685706290670"</f>
        <v>1551685706290670</v>
      </c>
      <c r="C3650" t="s">
        <v>40</v>
      </c>
      <c r="D3650">
        <v>4.4215689999999999</v>
      </c>
      <c r="E3650">
        <v>0.4863864</v>
      </c>
      <c r="F3650" t="s">
        <v>54</v>
      </c>
      <c r="G3650">
        <v>-489.86689999999999</v>
      </c>
      <c r="H3650" s="1">
        <v>2.0502939999999999E-6</v>
      </c>
      <c r="I3650">
        <v>206.2868</v>
      </c>
      <c r="J3650">
        <v>-491.5797</v>
      </c>
      <c r="K3650">
        <v>1.1115029999999999</v>
      </c>
      <c r="L3650">
        <v>255.89160000000001</v>
      </c>
      <c r="M3650">
        <v>-0.13655919999999999</v>
      </c>
      <c r="N3650">
        <v>-1.376263E-2</v>
      </c>
      <c r="O3650">
        <v>-0.99053639999999998</v>
      </c>
      <c r="P3650">
        <v>1.147127E-3</v>
      </c>
      <c r="Q3650">
        <v>0.15201879999999901</v>
      </c>
      <c r="R3650">
        <v>-0.98837730000000001</v>
      </c>
      <c r="S3650">
        <v>0.10357669999999999</v>
      </c>
      <c r="T3650">
        <v>-6.8030709999999994E-2</v>
      </c>
      <c r="U3650">
        <v>-3.0458069999999999</v>
      </c>
      <c r="V3650">
        <v>-0.13643369999999999</v>
      </c>
      <c r="W3650">
        <v>0.16522010000000001</v>
      </c>
      <c r="X3650">
        <v>0.97677440000000004</v>
      </c>
      <c r="Y3650">
        <v>-0.17011770000000001</v>
      </c>
      <c r="Z3650">
        <v>8.0537579999999994E-3</v>
      </c>
      <c r="AA3650">
        <v>0.98539080000000001</v>
      </c>
      <c r="AB3650">
        <v>23</v>
      </c>
      <c r="AC3650">
        <v>1.7128000000000101</v>
      </c>
      <c r="AD3650">
        <v>-1.111500949706</v>
      </c>
      <c r="AE3650">
        <v>-49.604799999999997</v>
      </c>
      <c r="AF3650">
        <v>-8.4671379757019203</v>
      </c>
      <c r="AG3650">
        <v>-1.111500949706</v>
      </c>
      <c r="AH3650">
        <v>48.881575568489502</v>
      </c>
      <c r="AI3650">
        <v>91.283497747797696</v>
      </c>
      <c r="AJ3650">
        <v>99.827113444023695</v>
      </c>
      <c r="AK3650">
        <v>49.621933556832701</v>
      </c>
      <c r="AL3650">
        <v>80.489979549690901</v>
      </c>
      <c r="AM3650">
        <v>97.951503808847804</v>
      </c>
      <c r="AN3650">
        <v>1.00000003221752</v>
      </c>
    </row>
    <row r="3651" spans="1:40" x14ac:dyDescent="0.25">
      <c r="A3651" t="str">
        <f>"20190304154826315"</f>
        <v>20190304154826315</v>
      </c>
      <c r="B3651" t="str">
        <f>"1551685706310190"</f>
        <v>1551685706310190</v>
      </c>
      <c r="C3651" t="s">
        <v>40</v>
      </c>
      <c r="D3651">
        <v>4.4569390000000002</v>
      </c>
      <c r="E3651">
        <v>0.4866935</v>
      </c>
      <c r="F3651" t="s">
        <v>54</v>
      </c>
      <c r="G3651">
        <v>-489.84969999999998</v>
      </c>
      <c r="H3651" s="1">
        <v>2.3169300000000002E-6</v>
      </c>
      <c r="I3651">
        <v>207.15729999999999</v>
      </c>
      <c r="J3651">
        <v>-491.59910000000002</v>
      </c>
      <c r="K3651">
        <v>1.111551</v>
      </c>
      <c r="L3651">
        <v>255.7448</v>
      </c>
      <c r="M3651">
        <v>-0.135744899999999</v>
      </c>
      <c r="N3651">
        <v>-1.376191E-2</v>
      </c>
      <c r="O3651">
        <v>-0.99064830000000004</v>
      </c>
      <c r="P3651">
        <v>2.5865409999999999E-3</v>
      </c>
      <c r="Q3651">
        <v>0.15181800000000001</v>
      </c>
      <c r="R3651">
        <v>-0.98840519999999998</v>
      </c>
      <c r="S3651">
        <v>0.10812380000000001</v>
      </c>
      <c r="T3651">
        <v>-6.9467429999999997E-2</v>
      </c>
      <c r="U3651">
        <v>-3.0458370000000001</v>
      </c>
      <c r="V3651">
        <v>-0.13707929999999999</v>
      </c>
      <c r="W3651">
        <v>0.16499949999999999</v>
      </c>
      <c r="X3651">
        <v>0.97672130000000001</v>
      </c>
      <c r="Y3651">
        <v>-0.17077579999999901</v>
      </c>
      <c r="Z3651">
        <v>8.5162439999999992E-3</v>
      </c>
      <c r="AA3651">
        <v>0.98527310000000001</v>
      </c>
      <c r="AB3651">
        <v>23</v>
      </c>
      <c r="AC3651">
        <v>1.74940000000003</v>
      </c>
      <c r="AD3651">
        <v>-1.1115486830700001</v>
      </c>
      <c r="AE3651">
        <v>-48.587499999999999</v>
      </c>
      <c r="AF3651">
        <v>-8.3249823441307793</v>
      </c>
      <c r="AG3651">
        <v>-1.1115486830700001</v>
      </c>
      <c r="AH3651">
        <v>47.875161416954697</v>
      </c>
      <c r="AI3651">
        <v>91.310377597332703</v>
      </c>
      <c r="AJ3651">
        <v>99.864491165758693</v>
      </c>
      <c r="AK3651">
        <v>48.606295396835101</v>
      </c>
      <c r="AL3651">
        <v>80.502794900328198</v>
      </c>
      <c r="AM3651">
        <v>97.989074147105896</v>
      </c>
      <c r="AN3651">
        <v>1.00000003368121</v>
      </c>
    </row>
    <row r="3652" spans="1:40" x14ac:dyDescent="0.25">
      <c r="A3652" t="str">
        <f>"20190304154826329"</f>
        <v>20190304154826329</v>
      </c>
      <c r="B3652" t="str">
        <f>"1551685706319951"</f>
        <v>1551685706319951</v>
      </c>
      <c r="C3652" t="s">
        <v>40</v>
      </c>
      <c r="D3652">
        <v>4.4318390000000001</v>
      </c>
      <c r="E3652">
        <v>0.48684230000000001</v>
      </c>
      <c r="F3652" t="s">
        <v>54</v>
      </c>
      <c r="G3652">
        <v>-489.93150000000003</v>
      </c>
      <c r="H3652" s="1">
        <v>3.0710170000000002E-6</v>
      </c>
      <c r="I3652">
        <v>209.54470000000001</v>
      </c>
      <c r="J3652">
        <v>-491.6198</v>
      </c>
      <c r="K3652">
        <v>1.111605</v>
      </c>
      <c r="L3652">
        <v>255.5865</v>
      </c>
      <c r="M3652">
        <v>-0.13480729999999999</v>
      </c>
      <c r="N3652">
        <v>-1.3761249999999999E-2</v>
      </c>
      <c r="O3652">
        <v>-0.99077649999999995</v>
      </c>
      <c r="P3652">
        <v>4.4068170000000004E-3</v>
      </c>
      <c r="Q3652">
        <v>0.1512579</v>
      </c>
      <c r="R3652">
        <v>-0.98848460000000005</v>
      </c>
      <c r="S3652">
        <v>0.10995480000000001</v>
      </c>
      <c r="T3652">
        <v>-7.3289160000000006E-2</v>
      </c>
      <c r="U3652">
        <v>-3.046173</v>
      </c>
      <c r="V3652">
        <v>-0.137987</v>
      </c>
      <c r="W3652">
        <v>0.16441810000000001</v>
      </c>
      <c r="X3652">
        <v>0.97669150000000005</v>
      </c>
      <c r="Y3652">
        <v>-0.1704291</v>
      </c>
      <c r="Z3652">
        <v>9.7460559999999995E-3</v>
      </c>
      <c r="AA3652">
        <v>0.98532180000000003</v>
      </c>
      <c r="AB3652">
        <v>23</v>
      </c>
      <c r="AC3652">
        <v>1.6882999999999599</v>
      </c>
      <c r="AD3652">
        <v>-1.1116019289829999</v>
      </c>
      <c r="AE3652">
        <v>-46.041800000000002</v>
      </c>
      <c r="AF3652">
        <v>-7.87565855241471</v>
      </c>
      <c r="AG3652">
        <v>-1.1116019289829999</v>
      </c>
      <c r="AH3652">
        <v>45.3674172178658</v>
      </c>
      <c r="AI3652">
        <v>91.382917393207606</v>
      </c>
      <c r="AJ3652">
        <v>99.848243175432501</v>
      </c>
      <c r="AK3652">
        <v>46.059355200682603</v>
      </c>
      <c r="AL3652">
        <v>80.536567655731204</v>
      </c>
      <c r="AM3652">
        <v>98.041527941318407</v>
      </c>
      <c r="AN3652">
        <v>1.00000000497443</v>
      </c>
    </row>
    <row r="3653" spans="1:40" x14ac:dyDescent="0.25">
      <c r="A3653" t="str">
        <f>"20190304154826341"</f>
        <v>20190304154826341</v>
      </c>
      <c r="B3653" t="str">
        <f>"1551685706330687"</f>
        <v>1551685706330687</v>
      </c>
      <c r="C3653" t="s">
        <v>40</v>
      </c>
      <c r="D3653">
        <v>4.4888890000000004</v>
      </c>
      <c r="E3653">
        <v>0.48676019999999998</v>
      </c>
      <c r="F3653" t="s">
        <v>54</v>
      </c>
      <c r="G3653">
        <v>-489.97930000000002</v>
      </c>
      <c r="H3653" s="1">
        <v>3.1840130000000001E-6</v>
      </c>
      <c r="I3653">
        <v>211.6747</v>
      </c>
      <c r="J3653">
        <v>-491.63490000000002</v>
      </c>
      <c r="K3653">
        <v>1.11164</v>
      </c>
      <c r="L3653">
        <v>255.46940000000001</v>
      </c>
      <c r="M3653">
        <v>-0.13407169999999999</v>
      </c>
      <c r="N3653">
        <v>-1.376089E-2</v>
      </c>
      <c r="O3653">
        <v>-0.99087610000000004</v>
      </c>
      <c r="P3653">
        <v>5.8408409999999899E-3</v>
      </c>
      <c r="Q3653">
        <v>0.1510707</v>
      </c>
      <c r="R3653">
        <v>-0.98850579999999999</v>
      </c>
      <c r="S3653">
        <v>0.1138</v>
      </c>
      <c r="T3653">
        <v>-7.7114699999999994E-2</v>
      </c>
      <c r="U3653">
        <v>-3.0462799999999999</v>
      </c>
      <c r="V3653">
        <v>-0.13869819999999999</v>
      </c>
      <c r="W3653">
        <v>0.1642159</v>
      </c>
      <c r="X3653">
        <v>0.97662479999999996</v>
      </c>
      <c r="Y3653">
        <v>-0.17093620000000001</v>
      </c>
      <c r="Z3653">
        <v>1.0974909999999999E-2</v>
      </c>
      <c r="AA3653">
        <v>0.98522100000000001</v>
      </c>
      <c r="AB3653">
        <v>23</v>
      </c>
      <c r="AC3653">
        <v>1.65559999999999</v>
      </c>
      <c r="AD3653">
        <v>-1.111636815987</v>
      </c>
      <c r="AE3653">
        <v>-43.794699999999999</v>
      </c>
      <c r="AF3653">
        <v>-7.5080051570170099</v>
      </c>
      <c r="AG3653">
        <v>-1.111636815987</v>
      </c>
      <c r="AH3653">
        <v>43.149478887503498</v>
      </c>
      <c r="AI3653">
        <v>91.453918232718294</v>
      </c>
      <c r="AJ3653">
        <v>99.870637472505294</v>
      </c>
      <c r="AK3653">
        <v>43.811909409560798</v>
      </c>
      <c r="AL3653">
        <v>80.548312705949499</v>
      </c>
      <c r="AM3653">
        <v>98.0829732720956</v>
      </c>
      <c r="AN3653">
        <v>1.00000002623554</v>
      </c>
    </row>
    <row r="3654" spans="1:40" x14ac:dyDescent="0.25">
      <c r="A3654" t="str">
        <f>"20190304154826353"</f>
        <v>20190304154826353</v>
      </c>
      <c r="B3654" t="str">
        <f>"1551685706350207"</f>
        <v>1551685706350207</v>
      </c>
      <c r="C3654" t="s">
        <v>40</v>
      </c>
      <c r="D3654">
        <v>4.4608249999999998</v>
      </c>
      <c r="E3654">
        <v>0.4866239</v>
      </c>
      <c r="F3654" t="s">
        <v>54</v>
      </c>
      <c r="G3654">
        <v>-489.99459999999999</v>
      </c>
      <c r="H3654" s="1">
        <v>3.2594040000000002E-6</v>
      </c>
      <c r="I3654">
        <v>213.4615</v>
      </c>
      <c r="J3654">
        <v>-491.6508</v>
      </c>
      <c r="K3654">
        <v>1.111677</v>
      </c>
      <c r="L3654">
        <v>255.3466</v>
      </c>
      <c r="M3654">
        <v>-0.13328660000000001</v>
      </c>
      <c r="N3654">
        <v>-1.37604999999999E-2</v>
      </c>
      <c r="O3654">
        <v>-0.99098229999999998</v>
      </c>
      <c r="P3654">
        <v>6.9426239999999997E-3</v>
      </c>
      <c r="Q3654">
        <v>0.15093389999999901</v>
      </c>
      <c r="R3654">
        <v>-0.98851979999999995</v>
      </c>
      <c r="S3654">
        <v>0.11895749999999999</v>
      </c>
      <c r="T3654">
        <v>-8.0618019999999999E-2</v>
      </c>
      <c r="U3654">
        <v>-3.046494</v>
      </c>
      <c r="V3654">
        <v>-0.139031399999999</v>
      </c>
      <c r="W3654">
        <v>0.1640654</v>
      </c>
      <c r="X3654">
        <v>0.97660270000000005</v>
      </c>
      <c r="Y3654">
        <v>-0.17181629999999901</v>
      </c>
      <c r="Z3654">
        <v>1.209823E-2</v>
      </c>
      <c r="AA3654">
        <v>0.98505469999999895</v>
      </c>
      <c r="AB3654">
        <v>23</v>
      </c>
      <c r="AC3654">
        <v>1.6562000000000101</v>
      </c>
      <c r="AD3654">
        <v>-1.111673740596</v>
      </c>
      <c r="AE3654">
        <v>-41.885100000000001</v>
      </c>
      <c r="AF3654">
        <v>-7.2195916322356197</v>
      </c>
      <c r="AG3654">
        <v>-1.111673740596</v>
      </c>
      <c r="AH3654">
        <v>41.261520393847</v>
      </c>
      <c r="AI3654">
        <v>91.520213503828202</v>
      </c>
      <c r="AJ3654">
        <v>99.924663135192503</v>
      </c>
      <c r="AK3654">
        <v>41.903119061158598</v>
      </c>
      <c r="AL3654">
        <v>80.557054125030604</v>
      </c>
      <c r="AM3654">
        <v>98.102314695078206</v>
      </c>
      <c r="AN3654">
        <v>1.0000000096552</v>
      </c>
    </row>
    <row r="3655" spans="1:40" x14ac:dyDescent="0.25">
      <c r="A3655" t="str">
        <f>"20190304154826363"</f>
        <v>20190304154826363</v>
      </c>
      <c r="B3655" t="str">
        <f>"1551685706359967"</f>
        <v>1551685706359967</v>
      </c>
      <c r="C3655" t="s">
        <v>40</v>
      </c>
      <c r="D3655">
        <v>4.4502129999999998</v>
      </c>
      <c r="E3655">
        <v>0.48654849999999999</v>
      </c>
      <c r="F3655" t="s">
        <v>54</v>
      </c>
      <c r="G3655">
        <v>-490.05669999999998</v>
      </c>
      <c r="H3655" s="1">
        <v>3.3545689999999998E-6</v>
      </c>
      <c r="I3655">
        <v>215.8903</v>
      </c>
      <c r="J3655">
        <v>-491.66570000000002</v>
      </c>
      <c r="K3655">
        <v>1.111712</v>
      </c>
      <c r="L3655">
        <v>255.22839999999999</v>
      </c>
      <c r="M3655">
        <v>-0.13248699999999999</v>
      </c>
      <c r="N3655">
        <v>-1.3760140000000001E-2</v>
      </c>
      <c r="O3655">
        <v>-0.99108960000000002</v>
      </c>
      <c r="P3655">
        <v>8.3065959999999994E-3</v>
      </c>
      <c r="Q3655">
        <v>0.1509355</v>
      </c>
      <c r="R3655">
        <v>-0.98850890000000002</v>
      </c>
      <c r="S3655">
        <v>0.12310790000000001</v>
      </c>
      <c r="T3655">
        <v>-8.5851549999999999E-2</v>
      </c>
      <c r="U3655">
        <v>-3.047104</v>
      </c>
      <c r="V3655">
        <v>-0.1396059</v>
      </c>
      <c r="W3655">
        <v>0.1640527</v>
      </c>
      <c r="X3655">
        <v>0.97652289999999997</v>
      </c>
      <c r="Y3655">
        <v>-0.17235020000000001</v>
      </c>
      <c r="Z3655">
        <v>1.377458E-2</v>
      </c>
      <c r="AA3655">
        <v>0.98493949999999997</v>
      </c>
      <c r="AB3655">
        <v>23</v>
      </c>
      <c r="AC3655">
        <v>1.60900000000003</v>
      </c>
      <c r="AD3655">
        <v>-1.1117086454309999</v>
      </c>
      <c r="AE3655">
        <v>-39.338099999999997</v>
      </c>
      <c r="AF3655">
        <v>-6.8016688946245498</v>
      </c>
      <c r="AG3655">
        <v>-1.1117086454309999</v>
      </c>
      <c r="AH3655">
        <v>38.747173492844603</v>
      </c>
      <c r="AI3655">
        <v>91.618705433103599</v>
      </c>
      <c r="AJ3655">
        <v>99.956248839892297</v>
      </c>
      <c r="AK3655">
        <v>39.355330637018199</v>
      </c>
      <c r="AL3655">
        <v>80.557792017316601</v>
      </c>
      <c r="AM3655">
        <v>98.136003388851407</v>
      </c>
      <c r="AN3655">
        <v>1.0000000349582501</v>
      </c>
    </row>
    <row r="3656" spans="1:40" x14ac:dyDescent="0.25">
      <c r="A3656" t="str">
        <f>"20190304154826375"</f>
        <v>20190304154826375</v>
      </c>
      <c r="B3656" t="str">
        <f>"1551685706370703"</f>
        <v>1551685706370703</v>
      </c>
      <c r="C3656" t="s">
        <v>40</v>
      </c>
      <c r="D3656">
        <v>4.476915</v>
      </c>
      <c r="E3656">
        <v>0.48650209999999999</v>
      </c>
      <c r="F3656" t="s">
        <v>54</v>
      </c>
      <c r="G3656">
        <v>-490.04750000000001</v>
      </c>
      <c r="H3656" s="1">
        <v>3.3864849999999999E-6</v>
      </c>
      <c r="I3656">
        <v>216.58349999999999</v>
      </c>
      <c r="J3656">
        <v>-491.67970000000003</v>
      </c>
      <c r="K3656">
        <v>1.1117429999999999</v>
      </c>
      <c r="L3656">
        <v>255.11799999999999</v>
      </c>
      <c r="M3656">
        <v>-0.1317266</v>
      </c>
      <c r="N3656">
        <v>-1.3759800000000001E-2</v>
      </c>
      <c r="O3656">
        <v>-0.99119069999999998</v>
      </c>
      <c r="P3656">
        <v>9.5641579999999997E-3</v>
      </c>
      <c r="Q3656">
        <v>0.1510756</v>
      </c>
      <c r="R3656">
        <v>-0.98847600000000002</v>
      </c>
      <c r="S3656">
        <v>0.12759400000000001</v>
      </c>
      <c r="T3656">
        <v>-8.7660070000000007E-2</v>
      </c>
      <c r="U3656">
        <v>-3.0472109999999999</v>
      </c>
      <c r="V3656">
        <v>-0.14010999999999901</v>
      </c>
      <c r="W3656">
        <v>0.16417970000000001</v>
      </c>
      <c r="X3656">
        <v>0.97642929999999994</v>
      </c>
      <c r="Y3656">
        <v>-0.17303940000000001</v>
      </c>
      <c r="Z3656">
        <v>1.4355049999999999E-2</v>
      </c>
      <c r="AA3656">
        <v>0.98481030000000003</v>
      </c>
      <c r="AB3656">
        <v>23</v>
      </c>
      <c r="AC3656">
        <v>1.6322000000000101</v>
      </c>
      <c r="AD3656">
        <v>-1.1117396135149999</v>
      </c>
      <c r="AE3656">
        <v>-38.534500000000001</v>
      </c>
      <c r="AF3656">
        <v>-6.6889155602566097</v>
      </c>
      <c r="AG3656">
        <v>-1.1117396135149999</v>
      </c>
      <c r="AH3656">
        <v>37.952092473487703</v>
      </c>
      <c r="AI3656">
        <v>91.652444956874604</v>
      </c>
      <c r="AJ3656">
        <v>99.995516202557894</v>
      </c>
      <c r="AK3656">
        <v>38.5530657595043</v>
      </c>
      <c r="AL3656">
        <v>80.550414929045402</v>
      </c>
      <c r="AM3656">
        <v>98.165758218533995</v>
      </c>
      <c r="AN3656">
        <v>0.99999998194528905</v>
      </c>
    </row>
    <row r="3657" spans="1:40" x14ac:dyDescent="0.25">
      <c r="A3657" t="str">
        <f>"20190304154826386"</f>
        <v>20190304154826386</v>
      </c>
      <c r="B3657" t="str">
        <f>"1551685706380462"</f>
        <v>1551685706380462</v>
      </c>
      <c r="C3657" t="s">
        <v>40</v>
      </c>
      <c r="D3657">
        <v>4.451117</v>
      </c>
      <c r="E3657">
        <v>0.48643160000000002</v>
      </c>
      <c r="F3657" t="s">
        <v>54</v>
      </c>
      <c r="G3657">
        <v>-490.03269999999998</v>
      </c>
      <c r="H3657" s="1">
        <v>3.4071450000000001E-6</v>
      </c>
      <c r="I3657">
        <v>216.9958</v>
      </c>
      <c r="J3657">
        <v>-491.69450000000001</v>
      </c>
      <c r="K3657">
        <v>1.111774</v>
      </c>
      <c r="L3657">
        <v>254.9992</v>
      </c>
      <c r="M3657">
        <v>-0.13087979999999999</v>
      </c>
      <c r="N3657">
        <v>-1.3759520000000001E-2</v>
      </c>
      <c r="O3657">
        <v>-0.99130300000000005</v>
      </c>
      <c r="P3657">
        <v>1.052349E-2</v>
      </c>
      <c r="Q3657">
        <v>0.15097439999999901</v>
      </c>
      <c r="R3657">
        <v>-0.98848190000000002</v>
      </c>
      <c r="S3657">
        <v>0.13165279999999999</v>
      </c>
      <c r="T3657">
        <v>-8.8865639999999996E-2</v>
      </c>
      <c r="U3657">
        <v>-3.047256</v>
      </c>
      <c r="V3657">
        <v>-0.1402379</v>
      </c>
      <c r="W3657">
        <v>0.164067299999999</v>
      </c>
      <c r="X3657">
        <v>0.97642989999999996</v>
      </c>
      <c r="Y3657">
        <v>-0.17350589999999999</v>
      </c>
      <c r="Z3657">
        <v>1.474379E-2</v>
      </c>
      <c r="AA3657">
        <v>0.9847224</v>
      </c>
      <c r="AB3657">
        <v>23</v>
      </c>
      <c r="AC3657">
        <v>1.6618000000000199</v>
      </c>
      <c r="AD3657">
        <v>-1.1117705928549999</v>
      </c>
      <c r="AE3657">
        <v>-38.003399999999999</v>
      </c>
      <c r="AF3657">
        <v>-6.6161984736332604</v>
      </c>
      <c r="AG3657">
        <v>-1.1117705928549999</v>
      </c>
      <c r="AH3657">
        <v>37.426955589317203</v>
      </c>
      <c r="AI3657">
        <v>91.675511988713794</v>
      </c>
      <c r="AJ3657">
        <v>100.02496551997601</v>
      </c>
      <c r="AK3657">
        <v>38.023507476012298</v>
      </c>
      <c r="AL3657">
        <v>80.556944138468296</v>
      </c>
      <c r="AM3657">
        <v>98.173106746564301</v>
      </c>
      <c r="AN3657">
        <v>1.0000000485698499</v>
      </c>
    </row>
    <row r="3658" spans="1:40" x14ac:dyDescent="0.25">
      <c r="A3658" t="str">
        <f>"20190304154826398"</f>
        <v>20190304154826398</v>
      </c>
      <c r="B3658" t="str">
        <f>"1551685706390223"</f>
        <v>1551685706390223</v>
      </c>
      <c r="C3658" t="s">
        <v>40</v>
      </c>
      <c r="D3658">
        <v>4.4656229999999999</v>
      </c>
      <c r="E3658">
        <v>0.48644159999999997</v>
      </c>
      <c r="F3658" t="s">
        <v>54</v>
      </c>
      <c r="G3658">
        <v>-490.04250000000002</v>
      </c>
      <c r="H3658" s="1">
        <v>3.4311219999999998E-6</v>
      </c>
      <c r="I3658">
        <v>217.58430000000001</v>
      </c>
      <c r="J3658">
        <v>-491.70920000000001</v>
      </c>
      <c r="K3658">
        <v>1.111802</v>
      </c>
      <c r="L3658">
        <v>254.8809</v>
      </c>
      <c r="M3658">
        <v>-0.1300134</v>
      </c>
      <c r="N3658">
        <v>-1.3759240000000001E-2</v>
      </c>
      <c r="O3658">
        <v>-0.99141690000000005</v>
      </c>
      <c r="P3658">
        <v>1.172721E-2</v>
      </c>
      <c r="Q3658">
        <v>0.15098399999999901</v>
      </c>
      <c r="R3658">
        <v>-0.98846690000000004</v>
      </c>
      <c r="S3658">
        <v>0.134552</v>
      </c>
      <c r="T3658">
        <v>-9.0552209999999994E-2</v>
      </c>
      <c r="U3658">
        <v>-3.0473940000000002</v>
      </c>
      <c r="V3658">
        <v>-0.14058519999999999</v>
      </c>
      <c r="W3658">
        <v>0.16406490000000001</v>
      </c>
      <c r="X3658">
        <v>0.97638029999999998</v>
      </c>
      <c r="Y3658">
        <v>-0.17357719999999999</v>
      </c>
      <c r="Z3658">
        <v>1.5287790000000001E-2</v>
      </c>
      <c r="AA3658">
        <v>0.98470159999999995</v>
      </c>
      <c r="AB3658">
        <v>23</v>
      </c>
      <c r="AC3658">
        <v>1.6666999999999901</v>
      </c>
      <c r="AD3658">
        <v>-1.1117985688780001</v>
      </c>
      <c r="AE3658">
        <v>-37.296599999999899</v>
      </c>
      <c r="AF3658">
        <v>-6.4963057353921201</v>
      </c>
      <c r="AG3658">
        <v>-1.1117985688780001</v>
      </c>
      <c r="AH3658">
        <v>36.730686964936297</v>
      </c>
      <c r="AI3658">
        <v>91.707271969339004</v>
      </c>
      <c r="AJ3658">
        <v>100.02979228968699</v>
      </c>
      <c r="AK3658">
        <v>37.3173076357551</v>
      </c>
      <c r="AL3658">
        <v>80.557082979616595</v>
      </c>
      <c r="AM3658">
        <v>98.193483588534207</v>
      </c>
      <c r="AN3658">
        <v>0.99999999004956996</v>
      </c>
    </row>
    <row r="3659" spans="1:40" x14ac:dyDescent="0.25">
      <c r="A3659" t="str">
        <f>"20190304154826409"</f>
        <v>20190304154826409</v>
      </c>
      <c r="B3659" t="str">
        <f>"1551685706399982"</f>
        <v>1551685706399982</v>
      </c>
      <c r="C3659" t="s">
        <v>40</v>
      </c>
      <c r="D3659">
        <v>4.4671900000000004</v>
      </c>
      <c r="E3659">
        <v>0.48648799999999998</v>
      </c>
      <c r="F3659" t="s">
        <v>54</v>
      </c>
      <c r="G3659">
        <v>-490.03739999999999</v>
      </c>
      <c r="H3659" s="1">
        <v>3.452134E-6</v>
      </c>
      <c r="I3659">
        <v>218.04419999999999</v>
      </c>
      <c r="J3659">
        <v>-491.7242</v>
      </c>
      <c r="K3659">
        <v>1.111831</v>
      </c>
      <c r="L3659">
        <v>254.75919999999999</v>
      </c>
      <c r="M3659">
        <v>-0.12910450000000001</v>
      </c>
      <c r="N3659">
        <v>-1.3758950000000001E-2</v>
      </c>
      <c r="O3659">
        <v>-0.99153550000000001</v>
      </c>
      <c r="P3659">
        <v>1.298935E-2</v>
      </c>
      <c r="Q3659">
        <v>0.15100769999999999</v>
      </c>
      <c r="R3659">
        <v>-0.98844719999999997</v>
      </c>
      <c r="S3659">
        <v>0.1383057</v>
      </c>
      <c r="T3659">
        <v>-9.1975689999999999E-2</v>
      </c>
      <c r="U3659">
        <v>-3.0473940000000002</v>
      </c>
      <c r="V3659">
        <v>-0.14094899999999999</v>
      </c>
      <c r="W3659">
        <v>0.16407669999999999</v>
      </c>
      <c r="X3659">
        <v>0.97632589999999997</v>
      </c>
      <c r="Y3659">
        <v>-0.17388399999999901</v>
      </c>
      <c r="Z3659">
        <v>1.574793E-2</v>
      </c>
      <c r="AA3659">
        <v>0.98464019999999997</v>
      </c>
      <c r="AB3659">
        <v>23</v>
      </c>
      <c r="AC3659">
        <v>1.6868000000000001</v>
      </c>
      <c r="AD3659">
        <v>-1.111827547866</v>
      </c>
      <c r="AE3659">
        <v>-36.715000000000003</v>
      </c>
      <c r="AF3659">
        <v>-6.4073376925473298</v>
      </c>
      <c r="AG3659">
        <v>-1.111827547866</v>
      </c>
      <c r="AH3659">
        <v>36.1567920516203</v>
      </c>
      <c r="AI3659">
        <v>91.734296091675404</v>
      </c>
      <c r="AJ3659">
        <v>100.049048873546</v>
      </c>
      <c r="AK3659">
        <v>36.7369534429114</v>
      </c>
      <c r="AL3659">
        <v>80.556397920791397</v>
      </c>
      <c r="AM3659">
        <v>98.214848782633794</v>
      </c>
      <c r="AN3659">
        <v>1.0000000235473401</v>
      </c>
    </row>
    <row r="3660" spans="1:40" x14ac:dyDescent="0.25">
      <c r="A3660" t="str">
        <f>"20190304154826421"</f>
        <v>20190304154826421</v>
      </c>
      <c r="B3660" t="str">
        <f>"1551685706410719"</f>
        <v>1551685706410719</v>
      </c>
      <c r="C3660" t="s">
        <v>40</v>
      </c>
      <c r="D3660">
        <v>4.4523099999999998</v>
      </c>
      <c r="E3660">
        <v>0.48650539999999998</v>
      </c>
      <c r="F3660" t="s">
        <v>54</v>
      </c>
      <c r="G3660">
        <v>-490.03280000000001</v>
      </c>
      <c r="H3660" s="1">
        <v>3.468755E-6</v>
      </c>
      <c r="I3660">
        <v>218.4059</v>
      </c>
      <c r="J3660">
        <v>-491.73809999999997</v>
      </c>
      <c r="K3660">
        <v>1.111856</v>
      </c>
      <c r="L3660">
        <v>254.64519999999999</v>
      </c>
      <c r="M3660">
        <v>-0.12822220000000001</v>
      </c>
      <c r="N3660">
        <v>-1.3758650000000001E-2</v>
      </c>
      <c r="O3660">
        <v>-0.99165020000000004</v>
      </c>
      <c r="P3660">
        <v>1.404154E-2</v>
      </c>
      <c r="Q3660">
        <v>0.15138799999999999</v>
      </c>
      <c r="R3660">
        <v>-0.98837509999999995</v>
      </c>
      <c r="S3660">
        <v>0.14178470000000001</v>
      </c>
      <c r="T3660">
        <v>-9.3203540000000001E-2</v>
      </c>
      <c r="U3660">
        <v>-3.0474700000000001</v>
      </c>
      <c r="V3660">
        <v>-0.1411231</v>
      </c>
      <c r="W3660">
        <v>0.16444690000000001</v>
      </c>
      <c r="X3660">
        <v>0.97623839999999995</v>
      </c>
      <c r="Y3660">
        <v>-0.17412739999999999</v>
      </c>
      <c r="Z3660">
        <v>1.6144720000000001E-2</v>
      </c>
      <c r="AA3660">
        <v>0.98459079999999999</v>
      </c>
      <c r="AB3660">
        <v>23</v>
      </c>
      <c r="AC3660">
        <v>1.7052999999999601</v>
      </c>
      <c r="AD3660">
        <v>-1.1118525312450001</v>
      </c>
      <c r="AE3660">
        <v>-36.239299999999901</v>
      </c>
      <c r="AF3660">
        <v>-6.3323950904752602</v>
      </c>
      <c r="AG3660">
        <v>-1.1118525312450001</v>
      </c>
      <c r="AH3660">
        <v>35.687907361317201</v>
      </c>
      <c r="AI3660">
        <v>91.757038438060803</v>
      </c>
      <c r="AJ3660">
        <v>100.061731992444</v>
      </c>
      <c r="AK3660">
        <v>36.262407193443103</v>
      </c>
      <c r="AL3660">
        <v>80.534894365099504</v>
      </c>
      <c r="AM3660">
        <v>98.225584115772904</v>
      </c>
      <c r="AN3660">
        <v>0.99999996295388904</v>
      </c>
    </row>
    <row r="3661" spans="1:40" x14ac:dyDescent="0.25">
      <c r="A3661" t="str">
        <f>"20190304154826433"</f>
        <v>20190304154826433</v>
      </c>
      <c r="B3661" t="str">
        <f>"1551685706430238"</f>
        <v>1551685706430238</v>
      </c>
      <c r="C3661" t="s">
        <v>40</v>
      </c>
      <c r="D3661">
        <v>4.4442320000000004</v>
      </c>
      <c r="E3661">
        <v>0.48657729999999999</v>
      </c>
      <c r="F3661" t="s">
        <v>54</v>
      </c>
      <c r="G3661">
        <v>-490.02499999999998</v>
      </c>
      <c r="H3661" s="1">
        <v>3.4705909999999998E-6</v>
      </c>
      <c r="I3661">
        <v>218.4161</v>
      </c>
      <c r="J3661">
        <v>-491.75229999999999</v>
      </c>
      <c r="K3661">
        <v>1.111888</v>
      </c>
      <c r="L3661">
        <v>254.52699999999999</v>
      </c>
      <c r="M3661">
        <v>-0.1272991</v>
      </c>
      <c r="N3661">
        <v>-1.3758309999999999E-2</v>
      </c>
      <c r="O3661">
        <v>-0.99176880000000001</v>
      </c>
      <c r="P3661">
        <v>1.5396440000000001E-2</v>
      </c>
      <c r="Q3661">
        <v>0.15218509999999999</v>
      </c>
      <c r="R3661">
        <v>-0.98823209999999995</v>
      </c>
      <c r="S3661">
        <v>0.14410400000000001</v>
      </c>
      <c r="T3661">
        <v>-9.3528990000000006E-2</v>
      </c>
      <c r="U3661">
        <v>-3.0475919999999999</v>
      </c>
      <c r="V3661">
        <v>-0.14155029999999999</v>
      </c>
      <c r="W3661">
        <v>0.16523080000000001</v>
      </c>
      <c r="X3661">
        <v>0.97604420000000003</v>
      </c>
      <c r="Y3661">
        <v>-0.17395649999999999</v>
      </c>
      <c r="Z3661">
        <v>1.6253380000000001E-2</v>
      </c>
      <c r="AA3661">
        <v>0.98461920000000003</v>
      </c>
      <c r="AB3661">
        <v>23</v>
      </c>
      <c r="AC3661">
        <v>1.72730000000001</v>
      </c>
      <c r="AD3661">
        <v>-1.1118845294090001</v>
      </c>
      <c r="AE3661">
        <v>-36.110900000000001</v>
      </c>
      <c r="AF3661">
        <v>-6.3046019542879304</v>
      </c>
      <c r="AG3661">
        <v>-1.1118845294090001</v>
      </c>
      <c r="AH3661">
        <v>35.5635148391939</v>
      </c>
      <c r="AI3661">
        <v>91.763279713187998</v>
      </c>
      <c r="AJ3661">
        <v>100.052795819935</v>
      </c>
      <c r="AK3661">
        <v>36.135133606039403</v>
      </c>
      <c r="AL3661">
        <v>80.489357560380597</v>
      </c>
      <c r="AM3661">
        <v>98.251760795088003</v>
      </c>
      <c r="AN3661">
        <v>0.99999999252618499</v>
      </c>
    </row>
    <row r="3662" spans="1:40" x14ac:dyDescent="0.25">
      <c r="A3662" t="str">
        <f>"20190304154826444"</f>
        <v>20190304154826444</v>
      </c>
      <c r="B3662" t="str">
        <f>"1551685706439999"</f>
        <v>1551685706439999</v>
      </c>
      <c r="C3662" t="s">
        <v>40</v>
      </c>
      <c r="D3662">
        <v>4.4779429999999998</v>
      </c>
      <c r="E3662">
        <v>0.48663030000000002</v>
      </c>
      <c r="F3662" t="s">
        <v>54</v>
      </c>
      <c r="G3662">
        <v>-489.98719999999997</v>
      </c>
      <c r="H3662" s="1">
        <v>3.4663179999999998E-6</v>
      </c>
      <c r="I3662">
        <v>218.1652</v>
      </c>
      <c r="J3662">
        <v>-491.767</v>
      </c>
      <c r="K3662">
        <v>1.1119159999999999</v>
      </c>
      <c r="L3662">
        <v>254.40379999999999</v>
      </c>
      <c r="M3662">
        <v>-0.12630569999999999</v>
      </c>
      <c r="N3662">
        <v>-1.3758009999999999E-2</v>
      </c>
      <c r="O3662">
        <v>-0.99189609999999995</v>
      </c>
      <c r="P3662">
        <v>1.6806919999999999E-2</v>
      </c>
      <c r="Q3662">
        <v>0.15299550000000001</v>
      </c>
      <c r="R3662">
        <v>-0.98808399999999996</v>
      </c>
      <c r="S3662">
        <v>0.1479492</v>
      </c>
      <c r="T3662">
        <v>-9.3197349999999998E-2</v>
      </c>
      <c r="U3662">
        <v>-3.0478209999999999</v>
      </c>
      <c r="V3662">
        <v>-0.14196329999999999</v>
      </c>
      <c r="W3662">
        <v>0.16602939999999999</v>
      </c>
      <c r="X3662">
        <v>0.97584870000000001</v>
      </c>
      <c r="Y3662">
        <v>-0.17420620000000001</v>
      </c>
      <c r="Z3662">
        <v>1.614842E-2</v>
      </c>
      <c r="AA3662">
        <v>0.98457680000000003</v>
      </c>
      <c r="AB3662">
        <v>23</v>
      </c>
      <c r="AC3662">
        <v>1.77980000000002</v>
      </c>
      <c r="AD3662">
        <v>-1.1119125336819999</v>
      </c>
      <c r="AE3662">
        <v>-36.238599999999899</v>
      </c>
      <c r="AF3662">
        <v>-6.33716607747425</v>
      </c>
      <c r="AG3662">
        <v>-1.1119125336819999</v>
      </c>
      <c r="AH3662">
        <v>35.689983528642202</v>
      </c>
      <c r="AI3662">
        <v>91.756993774211693</v>
      </c>
      <c r="AJ3662">
        <v>100.06858392791</v>
      </c>
      <c r="AK3662">
        <v>36.265285710315403</v>
      </c>
      <c r="AL3662">
        <v>80.442960503024906</v>
      </c>
      <c r="AM3662">
        <v>98.277138842365204</v>
      </c>
      <c r="AN3662">
        <v>1.0000000127514701</v>
      </c>
    </row>
    <row r="3663" spans="1:40" x14ac:dyDescent="0.25">
      <c r="A3663" t="str">
        <f>"20190304154826456"</f>
        <v>20190304154826456</v>
      </c>
      <c r="B3663" t="str">
        <f>"1551685706450735"</f>
        <v>1551685706450735</v>
      </c>
      <c r="C3663" t="s">
        <v>40</v>
      </c>
      <c r="D3663">
        <v>4.4285600000000001</v>
      </c>
      <c r="E3663">
        <v>0.48658829999999997</v>
      </c>
      <c r="F3663" t="s">
        <v>54</v>
      </c>
      <c r="G3663">
        <v>-489.92469999999997</v>
      </c>
      <c r="H3663" s="1">
        <v>3.4282000000000001E-6</v>
      </c>
      <c r="I3663">
        <v>217.30789999999999</v>
      </c>
      <c r="J3663">
        <v>-491.78050000000002</v>
      </c>
      <c r="K3663">
        <v>1.1119380000000001</v>
      </c>
      <c r="L3663">
        <v>254.28980000000001</v>
      </c>
      <c r="M3663">
        <v>-0.12537619999999999</v>
      </c>
      <c r="N3663">
        <v>-1.3757719999999999E-2</v>
      </c>
      <c r="O3663">
        <v>-0.99201410000000001</v>
      </c>
      <c r="P3663">
        <v>1.7932429999999999E-2</v>
      </c>
      <c r="Q3663">
        <v>0.15353410000000001</v>
      </c>
      <c r="R3663">
        <v>-0.987981</v>
      </c>
      <c r="S3663">
        <v>0.15136720000000001</v>
      </c>
      <c r="T3663">
        <v>-9.135306E-2</v>
      </c>
      <c r="U3663">
        <v>-3.0477449999999999</v>
      </c>
      <c r="V3663">
        <v>-0.14215990000000001</v>
      </c>
      <c r="W3663">
        <v>0.16655829999999999</v>
      </c>
      <c r="X3663">
        <v>0.97572990000000004</v>
      </c>
      <c r="Y3663">
        <v>-0.1743874</v>
      </c>
      <c r="Z3663">
        <v>1.5560549999999999E-2</v>
      </c>
      <c r="AA3663">
        <v>0.98455420000000005</v>
      </c>
      <c r="AB3663">
        <v>23</v>
      </c>
      <c r="AC3663">
        <v>1.8558000000000401</v>
      </c>
      <c r="AD3663">
        <v>-1.11193457179999</v>
      </c>
      <c r="AE3663">
        <v>-36.981900000000003</v>
      </c>
      <c r="AF3663">
        <v>-6.4724050290764996</v>
      </c>
      <c r="AG3663">
        <v>-1.11193457179999</v>
      </c>
      <c r="AH3663">
        <v>36.424489538882703</v>
      </c>
      <c r="AI3663">
        <v>91.721580141590593</v>
      </c>
      <c r="AJ3663">
        <v>100.075932340015</v>
      </c>
      <c r="AK3663">
        <v>37.011780064197801</v>
      </c>
      <c r="AL3663">
        <v>80.412228462351095</v>
      </c>
      <c r="AM3663">
        <v>98.289437556457202</v>
      </c>
      <c r="AN3663">
        <v>0.99999997111045402</v>
      </c>
    </row>
    <row r="3664" spans="1:40" x14ac:dyDescent="0.25">
      <c r="A3664" t="str">
        <f>"20190304154826467"</f>
        <v>20190304154826467</v>
      </c>
      <c r="B3664" t="str">
        <f>"1551685706460494"</f>
        <v>1551685706460494</v>
      </c>
      <c r="C3664" t="s">
        <v>40</v>
      </c>
      <c r="D3664">
        <v>4.4588929999999998</v>
      </c>
      <c r="E3664">
        <v>0.48663430000000002</v>
      </c>
      <c r="F3664" t="s">
        <v>54</v>
      </c>
      <c r="G3664">
        <v>-489.90789999999998</v>
      </c>
      <c r="H3664" s="1">
        <v>3.4308580000000002E-6</v>
      </c>
      <c r="I3664">
        <v>217.4367</v>
      </c>
      <c r="J3664">
        <v>-491.79469999999998</v>
      </c>
      <c r="K3664">
        <v>1.111958</v>
      </c>
      <c r="L3664">
        <v>254.16849999999999</v>
      </c>
      <c r="M3664">
        <v>-0.1243716</v>
      </c>
      <c r="N3664">
        <v>-1.3757419999999999E-2</v>
      </c>
      <c r="O3664">
        <v>-0.99214060000000004</v>
      </c>
      <c r="P3664">
        <v>1.96811E-2</v>
      </c>
      <c r="Q3664">
        <v>0.15425039999999901</v>
      </c>
      <c r="R3664">
        <v>-0.98783589999999999</v>
      </c>
      <c r="S3664">
        <v>0.15487670000000001</v>
      </c>
      <c r="T3664">
        <v>-9.1963290000000003E-2</v>
      </c>
      <c r="U3664">
        <v>-3.0479579999999999</v>
      </c>
      <c r="V3664">
        <v>-0.1428963</v>
      </c>
      <c r="W3664">
        <v>0.1672631</v>
      </c>
      <c r="X3664">
        <v>0.97550179999999997</v>
      </c>
      <c r="Y3664">
        <v>-0.17451729999999999</v>
      </c>
      <c r="Z3664">
        <v>1.5758660000000001E-2</v>
      </c>
      <c r="AA3664">
        <v>0.98452799999999996</v>
      </c>
      <c r="AB3664">
        <v>23</v>
      </c>
      <c r="AC3664">
        <v>1.88679999999999</v>
      </c>
      <c r="AD3664">
        <v>-1.1119545691419901</v>
      </c>
      <c r="AE3664">
        <v>-36.7317999999999</v>
      </c>
      <c r="AF3664">
        <v>-6.4350898084043502</v>
      </c>
      <c r="AG3664">
        <v>-1.1119545691419901</v>
      </c>
      <c r="AH3664">
        <v>36.1787957912154</v>
      </c>
      <c r="AI3664">
        <v>91.733243268192496</v>
      </c>
      <c r="AJ3664">
        <v>100.085669924559</v>
      </c>
      <c r="AK3664">
        <v>36.763461326547201</v>
      </c>
      <c r="AL3664">
        <v>80.371272423706401</v>
      </c>
      <c r="AM3664">
        <v>98.333697105994304</v>
      </c>
      <c r="AN3664">
        <v>1.0000000294892599</v>
      </c>
    </row>
    <row r="3665" spans="1:40" x14ac:dyDescent="0.25">
      <c r="A3665" t="str">
        <f>"20190304154826480"</f>
        <v>20190304154826480</v>
      </c>
      <c r="B3665" t="str">
        <f>"1551685706470254"</f>
        <v>1551685706470254</v>
      </c>
      <c r="C3665" t="s">
        <v>40</v>
      </c>
      <c r="D3665">
        <v>4.4335449999999996</v>
      </c>
      <c r="E3665">
        <v>0.48668250000000002</v>
      </c>
      <c r="F3665" t="s">
        <v>54</v>
      </c>
      <c r="G3665">
        <v>-489.83240000000001</v>
      </c>
      <c r="H3665" s="1">
        <v>3.3850690000000002E-6</v>
      </c>
      <c r="I3665">
        <v>216.69550000000001</v>
      </c>
      <c r="J3665">
        <v>-491.81</v>
      </c>
      <c r="K3665">
        <v>1.111977</v>
      </c>
      <c r="L3665">
        <v>254.0367</v>
      </c>
      <c r="M3665">
        <v>-0.12326280000000001</v>
      </c>
      <c r="N3665">
        <v>-1.3757E-2</v>
      </c>
      <c r="O3665">
        <v>-0.99227880000000002</v>
      </c>
      <c r="P3665">
        <v>2.1714669999999998E-2</v>
      </c>
      <c r="Q3665">
        <v>0.1546372</v>
      </c>
      <c r="R3665">
        <v>-0.98773250000000001</v>
      </c>
      <c r="S3665">
        <v>0.1596069</v>
      </c>
      <c r="T3665">
        <v>-9.0441229999999997E-2</v>
      </c>
      <c r="U3665">
        <v>-3.047882</v>
      </c>
      <c r="V3665">
        <v>-0.14381679999999999</v>
      </c>
      <c r="W3665">
        <v>0.16763819999999999</v>
      </c>
      <c r="X3665">
        <v>0.97530209999999995</v>
      </c>
      <c r="Y3665">
        <v>-0.17494289999999901</v>
      </c>
      <c r="Z3665">
        <v>1.527383E-2</v>
      </c>
      <c r="AA3665">
        <v>0.98446009999999995</v>
      </c>
      <c r="AB3665">
        <v>23</v>
      </c>
      <c r="AC3665">
        <v>1.97759999999999</v>
      </c>
      <c r="AD3665">
        <v>-1.111973614931</v>
      </c>
      <c r="AE3665">
        <v>-37.341199999999901</v>
      </c>
      <c r="AF3665">
        <v>-6.5599312282418598</v>
      </c>
      <c r="AG3665">
        <v>-1.111973614931</v>
      </c>
      <c r="AH3665">
        <v>36.780072420014498</v>
      </c>
      <c r="AI3665">
        <v>91.704811343630695</v>
      </c>
      <c r="AJ3665">
        <v>100.112686291386</v>
      </c>
      <c r="AK3665">
        <v>37.377037205496599</v>
      </c>
      <c r="AL3665">
        <v>80.349472810368098</v>
      </c>
      <c r="AM3665">
        <v>98.388312232664802</v>
      </c>
      <c r="AN3665">
        <v>1.00000001216294</v>
      </c>
    </row>
    <row r="3666" spans="1:40" x14ac:dyDescent="0.25">
      <c r="A3666" t="str">
        <f>"20190304154826497"</f>
        <v>20190304154826497</v>
      </c>
      <c r="B3666" t="str">
        <f>"1551685706490750"</f>
        <v>1551685706490750</v>
      </c>
      <c r="C3666" t="s">
        <v>40</v>
      </c>
      <c r="D3666">
        <v>4.4471489999999996</v>
      </c>
      <c r="E3666">
        <v>0.4867513</v>
      </c>
      <c r="F3666" t="s">
        <v>54</v>
      </c>
      <c r="G3666">
        <v>-489.75760000000002</v>
      </c>
      <c r="H3666" s="1">
        <v>3.3498449999999999E-6</v>
      </c>
      <c r="I3666">
        <v>216.19309999999999</v>
      </c>
      <c r="J3666">
        <v>-491.8297</v>
      </c>
      <c r="K3666">
        <v>1.111998</v>
      </c>
      <c r="L3666">
        <v>253.86410000000001</v>
      </c>
      <c r="M3666">
        <v>-0.121793899999999</v>
      </c>
      <c r="N3666">
        <v>-1.3756340000000001E-2</v>
      </c>
      <c r="O3666">
        <v>-0.99246020000000001</v>
      </c>
      <c r="P3666">
        <v>2.46836E-2</v>
      </c>
      <c r="Q3666">
        <v>0.15535379999999999</v>
      </c>
      <c r="R3666">
        <v>-0.98755059999999995</v>
      </c>
      <c r="S3666">
        <v>0.16528319999999999</v>
      </c>
      <c r="T3666">
        <v>-8.9549779999999995E-2</v>
      </c>
      <c r="U3666">
        <v>-3.0476380000000001</v>
      </c>
      <c r="V3666">
        <v>-0.1453034</v>
      </c>
      <c r="W3666">
        <v>0.16833909999999999</v>
      </c>
      <c r="X3666">
        <v>0.97496099999999997</v>
      </c>
      <c r="Y3666">
        <v>-0.17531849999999999</v>
      </c>
      <c r="Z3666">
        <v>1.499494E-2</v>
      </c>
      <c r="AA3666">
        <v>0.98439759999999998</v>
      </c>
      <c r="AB3666">
        <v>23</v>
      </c>
      <c r="AC3666">
        <v>2.0720999999999701</v>
      </c>
      <c r="AD3666">
        <v>-1.111994650155</v>
      </c>
      <c r="AE3666">
        <v>-37.670999999999999</v>
      </c>
      <c r="AF3666">
        <v>-6.6394349795098302</v>
      </c>
      <c r="AG3666">
        <v>-1.111994650155</v>
      </c>
      <c r="AH3666">
        <v>37.105874160641598</v>
      </c>
      <c r="AI3666">
        <v>91.689714628741399</v>
      </c>
      <c r="AJ3666">
        <v>100.14470123892499</v>
      </c>
      <c r="AK3666">
        <v>37.711596706775502</v>
      </c>
      <c r="AL3666">
        <v>80.308735557042297</v>
      </c>
      <c r="AM3666">
        <v>98.476689225162502</v>
      </c>
      <c r="AN3666">
        <v>1.00000004108068</v>
      </c>
    </row>
    <row r="3667" spans="1:40" x14ac:dyDescent="0.25">
      <c r="A3667" t="str">
        <f>"20190304154826511"</f>
        <v>20190304154826511</v>
      </c>
      <c r="B3667" t="str">
        <f>"1551685706500511"</f>
        <v>1551685706500511</v>
      </c>
      <c r="C3667" t="s">
        <v>40</v>
      </c>
      <c r="D3667">
        <v>4.4536550000000004</v>
      </c>
      <c r="E3667">
        <v>0.48678379999999999</v>
      </c>
      <c r="F3667" t="s">
        <v>54</v>
      </c>
      <c r="G3667">
        <v>-489.64600000000002</v>
      </c>
      <c r="H3667" s="1">
        <v>3.29622E-6</v>
      </c>
      <c r="I3667">
        <v>215.4194</v>
      </c>
      <c r="J3667">
        <v>-491.84559999999999</v>
      </c>
      <c r="K3667">
        <v>1.1120049999999999</v>
      </c>
      <c r="L3667">
        <v>253.72399999999999</v>
      </c>
      <c r="M3667">
        <v>-0.120589</v>
      </c>
      <c r="N3667">
        <v>-1.3755679999999999E-2</v>
      </c>
      <c r="O3667">
        <v>-0.99260740000000003</v>
      </c>
      <c r="P3667">
        <v>2.6759649999999999E-2</v>
      </c>
      <c r="Q3667">
        <v>0.1557721</v>
      </c>
      <c r="R3667">
        <v>-0.98743060000000005</v>
      </c>
      <c r="S3667">
        <v>0.17309569999999999</v>
      </c>
      <c r="T3667">
        <v>-8.8143470000000002E-2</v>
      </c>
      <c r="U3667">
        <v>-3.0473629999999998</v>
      </c>
      <c r="V3667">
        <v>-0.14616889999999999</v>
      </c>
      <c r="W3667">
        <v>0.16874800000000001</v>
      </c>
      <c r="X3667">
        <v>0.97476090000000004</v>
      </c>
      <c r="Y3667">
        <v>-0.17664449999999901</v>
      </c>
      <c r="Z3667">
        <v>1.454545E-2</v>
      </c>
      <c r="AA3667">
        <v>0.98416720000000002</v>
      </c>
      <c r="AB3667">
        <v>23</v>
      </c>
      <c r="AC3667">
        <v>2.19960000000003</v>
      </c>
      <c r="AD3667">
        <v>-1.1120017037800001</v>
      </c>
      <c r="AE3667">
        <v>-38.304600000000001</v>
      </c>
      <c r="AF3667">
        <v>-6.79738522975265</v>
      </c>
      <c r="AG3667">
        <v>-1.1120017037800001</v>
      </c>
      <c r="AH3667">
        <v>37.7280557727819</v>
      </c>
      <c r="AI3667">
        <v>91.661518491631696</v>
      </c>
      <c r="AJ3667">
        <v>100.21329246145601</v>
      </c>
      <c r="AK3667">
        <v>38.351625599771097</v>
      </c>
      <c r="AL3667">
        <v>80.284967117266902</v>
      </c>
      <c r="AM3667">
        <v>98.528165218276698</v>
      </c>
      <c r="AN3667">
        <v>1.0000000234999999</v>
      </c>
    </row>
    <row r="3668" spans="1:40" x14ac:dyDescent="0.25">
      <c r="A3668" t="str">
        <f>"20190304154826523"</f>
        <v>20190304154826523</v>
      </c>
      <c r="B3668" t="str">
        <f>"1551685706520031"</f>
        <v>1551685706520031</v>
      </c>
      <c r="C3668" t="s">
        <v>40</v>
      </c>
      <c r="D3668">
        <v>4.4557250000000002</v>
      </c>
      <c r="E3668">
        <v>0.48684939999999999</v>
      </c>
      <c r="F3668" t="s">
        <v>54</v>
      </c>
      <c r="G3668">
        <v>-489.56569999999999</v>
      </c>
      <c r="H3668" s="1">
        <v>3.2576170000000002E-6</v>
      </c>
      <c r="I3668">
        <v>214.8622</v>
      </c>
      <c r="J3668">
        <v>-491.85930000000002</v>
      </c>
      <c r="K3668">
        <v>1.112007</v>
      </c>
      <c r="L3668">
        <v>253.60130000000001</v>
      </c>
      <c r="M3668">
        <v>-0.1195252</v>
      </c>
      <c r="N3668">
        <v>-1.375498E-2</v>
      </c>
      <c r="O3668">
        <v>-0.9927359</v>
      </c>
      <c r="P3668">
        <v>2.8147640000000002E-2</v>
      </c>
      <c r="Q3668">
        <v>0.1560481</v>
      </c>
      <c r="R3668">
        <v>-0.98734840000000001</v>
      </c>
      <c r="S3668">
        <v>0.17877199999999999</v>
      </c>
      <c r="T3668">
        <v>-8.7191580000000005E-2</v>
      </c>
      <c r="U3668">
        <v>-3.0471339999999998</v>
      </c>
      <c r="V3668">
        <v>-0.1464925</v>
      </c>
      <c r="W3668">
        <v>0.16902010000000001</v>
      </c>
      <c r="X3668">
        <v>0.97466520000000001</v>
      </c>
      <c r="Y3668">
        <v>-0.17742149999999901</v>
      </c>
      <c r="Z3668">
        <v>1.4243189999999999E-2</v>
      </c>
      <c r="AA3668">
        <v>0.98403189999999996</v>
      </c>
      <c r="AB3668">
        <v>23</v>
      </c>
      <c r="AC3668">
        <v>2.2936000000000201</v>
      </c>
      <c r="AD3668">
        <v>-1.112003742383</v>
      </c>
      <c r="AE3668">
        <v>-38.739100000000001</v>
      </c>
      <c r="AF3668">
        <v>-6.9022237271242597</v>
      </c>
      <c r="AG3668">
        <v>-1.112003742383</v>
      </c>
      <c r="AH3668">
        <v>38.155834618002402</v>
      </c>
      <c r="AI3668">
        <v>91.642694988035402</v>
      </c>
      <c r="AJ3668">
        <v>100.25367129320399</v>
      </c>
      <c r="AK3668">
        <v>38.791042266207597</v>
      </c>
      <c r="AL3668">
        <v>80.269149988644301</v>
      </c>
      <c r="AM3668">
        <v>98.5475937882902</v>
      </c>
      <c r="AN3668">
        <v>1.00000004942564</v>
      </c>
    </row>
    <row r="3669" spans="1:40" x14ac:dyDescent="0.25">
      <c r="A3669" t="str">
        <f>"20190304154826535"</f>
        <v>20190304154826535</v>
      </c>
      <c r="B3669" t="str">
        <f>"1551685706530768"</f>
        <v>1551685706530768</v>
      </c>
      <c r="C3669" t="s">
        <v>40</v>
      </c>
      <c r="D3669">
        <v>4.4463670000000004</v>
      </c>
      <c r="E3669">
        <v>0.48694539999999997</v>
      </c>
      <c r="F3669" t="s">
        <v>54</v>
      </c>
      <c r="G3669">
        <v>-489.51609999999999</v>
      </c>
      <c r="H3669" s="1">
        <v>3.233213E-6</v>
      </c>
      <c r="I3669">
        <v>214.5051</v>
      </c>
      <c r="J3669">
        <v>-491.87290000000002</v>
      </c>
      <c r="K3669">
        <v>1.112012</v>
      </c>
      <c r="L3669">
        <v>253.4786</v>
      </c>
      <c r="M3669">
        <v>-0.1184596</v>
      </c>
      <c r="N3669">
        <v>-1.3754229999999999E-2</v>
      </c>
      <c r="O3669">
        <v>-0.99286370000000002</v>
      </c>
      <c r="P3669">
        <v>2.9791499999999999E-2</v>
      </c>
      <c r="Q3669">
        <v>0.1562952</v>
      </c>
      <c r="R3669">
        <v>-0.98726130000000001</v>
      </c>
      <c r="S3669">
        <v>0.18261720000000001</v>
      </c>
      <c r="T3669">
        <v>-8.6663249999999997E-2</v>
      </c>
      <c r="U3669">
        <v>-3.0469360000000001</v>
      </c>
      <c r="V3669">
        <v>-0.14706720000000001</v>
      </c>
      <c r="W3669">
        <v>0.16926169999999999</v>
      </c>
      <c r="X3669">
        <v>0.97453670000000003</v>
      </c>
      <c r="Y3669">
        <v>-0.17760670000000001</v>
      </c>
      <c r="Z3669">
        <v>1.407924E-2</v>
      </c>
      <c r="AA3669">
        <v>0.98400080000000001</v>
      </c>
      <c r="AB3669">
        <v>23</v>
      </c>
      <c r="AC3669">
        <v>2.3568000000000202</v>
      </c>
      <c r="AD3669">
        <v>-1.112008766787</v>
      </c>
      <c r="AE3669">
        <v>-38.973500000000001</v>
      </c>
      <c r="AF3669">
        <v>-6.9517850578940203</v>
      </c>
      <c r="AG3669">
        <v>-1.112008766787</v>
      </c>
      <c r="AH3669">
        <v>38.388680256129099</v>
      </c>
      <c r="AI3669">
        <v>91.632688613613396</v>
      </c>
      <c r="AJ3669">
        <v>100.26442423030799</v>
      </c>
      <c r="AK3669">
        <v>39.028895075263002</v>
      </c>
      <c r="AL3669">
        <v>80.255104795408798</v>
      </c>
      <c r="AM3669">
        <v>98.581742964911896</v>
      </c>
      <c r="AN3669">
        <v>1.0000000320247999</v>
      </c>
    </row>
    <row r="3670" spans="1:40" x14ac:dyDescent="0.25">
      <c r="A3670" t="str">
        <f>"20190304154826552"</f>
        <v>20190304154826552</v>
      </c>
      <c r="B3670" t="str">
        <f>"1551685706540526"</f>
        <v>1551685706540526</v>
      </c>
      <c r="C3670" t="s">
        <v>40</v>
      </c>
      <c r="D3670">
        <v>4.4327030000000001</v>
      </c>
      <c r="E3670">
        <v>0.48701519999999998</v>
      </c>
      <c r="F3670" t="s">
        <v>54</v>
      </c>
      <c r="G3670">
        <v>-489.47399999999999</v>
      </c>
      <c r="H3670" s="1">
        <v>3.21785E-6</v>
      </c>
      <c r="I3670">
        <v>214.3246</v>
      </c>
      <c r="J3670">
        <v>-491.8913</v>
      </c>
      <c r="K3670">
        <v>1.112012</v>
      </c>
      <c r="L3670">
        <v>253.31059999999999</v>
      </c>
      <c r="M3670">
        <v>-0.1169965</v>
      </c>
      <c r="N3670">
        <v>-1.3753080000000001E-2</v>
      </c>
      <c r="O3670">
        <v>-0.99303730000000001</v>
      </c>
      <c r="P3670">
        <v>3.2194199999999999E-2</v>
      </c>
      <c r="Q3670">
        <v>0.15632079999999901</v>
      </c>
      <c r="R3670">
        <v>-0.98718170000000005</v>
      </c>
      <c r="S3670">
        <v>0.18667600000000001</v>
      </c>
      <c r="T3670">
        <v>-8.6531280000000002E-2</v>
      </c>
      <c r="U3670">
        <v>-3.046783</v>
      </c>
      <c r="V3670">
        <v>-0.14800339999999901</v>
      </c>
      <c r="W3670">
        <v>0.169282399999999</v>
      </c>
      <c r="X3670">
        <v>0.97439129999999996</v>
      </c>
      <c r="Y3670">
        <v>-0.17746579999999901</v>
      </c>
      <c r="Z3670">
        <v>1.4045520000000001E-2</v>
      </c>
      <c r="AA3670">
        <v>0.98402670000000003</v>
      </c>
      <c r="AB3670">
        <v>23</v>
      </c>
      <c r="AC3670">
        <v>2.4173000000000102</v>
      </c>
      <c r="AD3670">
        <v>-1.11200878215</v>
      </c>
      <c r="AE3670">
        <v>-38.985999999999898</v>
      </c>
      <c r="AF3670">
        <v>-6.9567135302516201</v>
      </c>
      <c r="AG3670">
        <v>-1.11200878215</v>
      </c>
      <c r="AH3670">
        <v>38.4042386775496</v>
      </c>
      <c r="AI3670">
        <v>91.632011831785405</v>
      </c>
      <c r="AJ3670">
        <v>100.267473637197</v>
      </c>
      <c r="AK3670">
        <v>39.045076195030802</v>
      </c>
      <c r="AL3670">
        <v>80.253900810913393</v>
      </c>
      <c r="AM3670">
        <v>98.636820756272996</v>
      </c>
      <c r="AN3670">
        <v>0.99999997143850405</v>
      </c>
    </row>
    <row r="3671" spans="1:40" x14ac:dyDescent="0.25">
      <c r="A3671" t="str">
        <f>"20190304154826562"</f>
        <v>20190304154826562</v>
      </c>
      <c r="B3671" t="str">
        <f>"1551685706560046"</f>
        <v>1551685706560046</v>
      </c>
      <c r="C3671" t="s">
        <v>40</v>
      </c>
      <c r="D3671">
        <v>4.4124889999999999</v>
      </c>
      <c r="E3671">
        <v>0.4871067</v>
      </c>
      <c r="F3671" t="s">
        <v>54</v>
      </c>
      <c r="G3671">
        <v>-489.42599999999999</v>
      </c>
      <c r="H3671" s="1">
        <v>3.2129970000000001E-6</v>
      </c>
      <c r="I3671">
        <v>214.40809999999999</v>
      </c>
      <c r="J3671">
        <v>-491.90370000000001</v>
      </c>
      <c r="K3671">
        <v>1.112007</v>
      </c>
      <c r="L3671">
        <v>253.19460000000001</v>
      </c>
      <c r="M3671">
        <v>-0.1159866</v>
      </c>
      <c r="N3671">
        <v>-1.3752189999999999E-2</v>
      </c>
      <c r="O3671">
        <v>-0.99315569999999997</v>
      </c>
      <c r="P3671">
        <v>3.3682780000000002E-2</v>
      </c>
      <c r="Q3671">
        <v>0.15651139999999999</v>
      </c>
      <c r="R3671">
        <v>-0.98710169999999997</v>
      </c>
      <c r="S3671">
        <v>0.19305420000000001</v>
      </c>
      <c r="T3671">
        <v>-8.708167E-2</v>
      </c>
      <c r="U3671">
        <v>-3.0464630000000001</v>
      </c>
      <c r="V3671">
        <v>-0.148478</v>
      </c>
      <c r="W3671">
        <v>0.16947079999999901</v>
      </c>
      <c r="X3671">
        <v>0.9742864</v>
      </c>
      <c r="Y3671">
        <v>-0.17852270000000001</v>
      </c>
      <c r="Z3671">
        <v>1.4225639999999999E-2</v>
      </c>
      <c r="AA3671">
        <v>0.98383299999999996</v>
      </c>
      <c r="AB3671">
        <v>23</v>
      </c>
      <c r="AC3671">
        <v>2.47770000000002</v>
      </c>
      <c r="AD3671">
        <v>-1.112003787003</v>
      </c>
      <c r="AE3671">
        <v>-38.786499999999997</v>
      </c>
      <c r="AF3671">
        <v>-6.9544203953692598</v>
      </c>
      <c r="AG3671">
        <v>-1.112003787003</v>
      </c>
      <c r="AH3671">
        <v>38.205988341499904</v>
      </c>
      <c r="AI3671">
        <v>91.640214744724204</v>
      </c>
      <c r="AJ3671">
        <v>100.316280910617</v>
      </c>
      <c r="AK3671">
        <v>38.849685463445702</v>
      </c>
      <c r="AL3671">
        <v>80.242948599395703</v>
      </c>
      <c r="AM3671">
        <v>98.665015376376004</v>
      </c>
      <c r="AN3671">
        <v>1.00000002888079</v>
      </c>
    </row>
    <row r="3672" spans="1:40" x14ac:dyDescent="0.25">
      <c r="A3672" t="str">
        <f>"20190304154826574"</f>
        <v>20190304154826574</v>
      </c>
      <c r="B3672" t="str">
        <f>"1551685706570783"</f>
        <v>1551685706570783</v>
      </c>
      <c r="C3672" t="s">
        <v>40</v>
      </c>
      <c r="D3672">
        <v>4.4561400000000004</v>
      </c>
      <c r="E3672">
        <v>0.4871779</v>
      </c>
      <c r="F3672" t="s">
        <v>54</v>
      </c>
      <c r="G3672">
        <v>-489.3897</v>
      </c>
      <c r="H3672" s="1">
        <v>3.2010130000000001E-6</v>
      </c>
      <c r="I3672">
        <v>214.28120000000001</v>
      </c>
      <c r="J3672">
        <v>-491.91559999999998</v>
      </c>
      <c r="K3672">
        <v>1.111998</v>
      </c>
      <c r="L3672">
        <v>253.0839</v>
      </c>
      <c r="M3672">
        <v>-0.11502279999999999</v>
      </c>
      <c r="N3672">
        <v>-1.3751319999999999E-2</v>
      </c>
      <c r="O3672">
        <v>-0.99326800000000004</v>
      </c>
      <c r="P3672">
        <v>3.520301E-2</v>
      </c>
      <c r="Q3672">
        <v>0.1568042</v>
      </c>
      <c r="R3672">
        <v>-0.9870025</v>
      </c>
      <c r="S3672">
        <v>0.19680790000000001</v>
      </c>
      <c r="T3672">
        <v>-8.7052350000000001E-2</v>
      </c>
      <c r="U3672">
        <v>-3.0463100000000001</v>
      </c>
      <c r="V3672">
        <v>-0.14902789999999999</v>
      </c>
      <c r="W3672">
        <v>0.1697612</v>
      </c>
      <c r="X3672">
        <v>0.97415180000000001</v>
      </c>
      <c r="Y3672">
        <v>-0.1787783</v>
      </c>
      <c r="Z3672">
        <v>1.422096E-2</v>
      </c>
      <c r="AA3672">
        <v>0.98378659999999996</v>
      </c>
      <c r="AB3672">
        <v>23</v>
      </c>
      <c r="AC3672">
        <v>2.5258999999999698</v>
      </c>
      <c r="AD3672">
        <v>-1.111994798987</v>
      </c>
      <c r="AE3672">
        <v>-38.802699999999902</v>
      </c>
      <c r="AF3672">
        <v>-6.9670502023435796</v>
      </c>
      <c r="AG3672">
        <v>-1.111994798987</v>
      </c>
      <c r="AH3672">
        <v>38.223289694933598</v>
      </c>
      <c r="AI3672">
        <v>91.639387831742695</v>
      </c>
      <c r="AJ3672">
        <v>100.330035652596</v>
      </c>
      <c r="AK3672">
        <v>38.868961859789401</v>
      </c>
      <c r="AL3672">
        <v>80.226064537963595</v>
      </c>
      <c r="AM3672">
        <v>98.697800448557501</v>
      </c>
      <c r="AN3672">
        <v>0.99999995472354397</v>
      </c>
    </row>
    <row r="3673" spans="1:40" x14ac:dyDescent="0.25">
      <c r="A3673" t="str">
        <f>"20190304154826585"</f>
        <v>20190304154826585</v>
      </c>
      <c r="B3673" t="str">
        <f>"1551685706580543"</f>
        <v>1551685706580543</v>
      </c>
      <c r="C3673" t="s">
        <v>40</v>
      </c>
      <c r="D3673">
        <v>4.4797409999999998</v>
      </c>
      <c r="E3673">
        <v>0.48726449999999999</v>
      </c>
      <c r="F3673" t="s">
        <v>54</v>
      </c>
      <c r="G3673">
        <v>-489.3451</v>
      </c>
      <c r="H3673" s="1">
        <v>3.1829329999999999E-6</v>
      </c>
      <c r="I3673">
        <v>214.04859999999999</v>
      </c>
      <c r="J3673">
        <v>-491.92829999999998</v>
      </c>
      <c r="K3673">
        <v>1.111991</v>
      </c>
      <c r="L3673">
        <v>252.96420000000001</v>
      </c>
      <c r="M3673">
        <v>-0.1139828</v>
      </c>
      <c r="N3673">
        <v>-1.375029E-2</v>
      </c>
      <c r="O3673">
        <v>-0.99338760000000004</v>
      </c>
      <c r="P3673">
        <v>3.6063409999999997E-2</v>
      </c>
      <c r="Q3673">
        <v>0.15666269999999999</v>
      </c>
      <c r="R3673">
        <v>-0.98699360000000003</v>
      </c>
      <c r="S3673">
        <v>0.20059199999999999</v>
      </c>
      <c r="T3673">
        <v>-8.6774710000000005E-2</v>
      </c>
      <c r="U3673">
        <v>-3.0461269999999998</v>
      </c>
      <c r="V3673">
        <v>-0.14885590000000001</v>
      </c>
      <c r="W3673">
        <v>0.1696221</v>
      </c>
      <c r="X3673">
        <v>0.97420240000000002</v>
      </c>
      <c r="Y3673">
        <v>-0.17896909999999999</v>
      </c>
      <c r="Z3673">
        <v>1.413733E-2</v>
      </c>
      <c r="AA3673">
        <v>0.98375310000000005</v>
      </c>
      <c r="AB3673">
        <v>23</v>
      </c>
      <c r="AC3673">
        <v>2.58319999999997</v>
      </c>
      <c r="AD3673">
        <v>-1.1119878170669999</v>
      </c>
      <c r="AE3673">
        <v>-38.915599999999998</v>
      </c>
      <c r="AF3673">
        <v>-6.99680187795538</v>
      </c>
      <c r="AG3673">
        <v>-1.1119878170669999</v>
      </c>
      <c r="AH3673">
        <v>38.3362959548882</v>
      </c>
      <c r="AI3673">
        <v>91.634478820506999</v>
      </c>
      <c r="AJ3673">
        <v>100.343275997804</v>
      </c>
      <c r="AK3673">
        <v>38.985424724702497</v>
      </c>
      <c r="AL3673">
        <v>80.234152369833097</v>
      </c>
      <c r="AM3673">
        <v>98.687470803468301</v>
      </c>
      <c r="AN3673">
        <v>1.0000000259694799</v>
      </c>
    </row>
    <row r="3674" spans="1:40" x14ac:dyDescent="0.25">
      <c r="A3674" t="str">
        <f>"20190304154826598"</f>
        <v>20190304154826598</v>
      </c>
      <c r="B3674" t="str">
        <f>"1551685706590302"</f>
        <v>1551685706590302</v>
      </c>
      <c r="C3674" t="s">
        <v>40</v>
      </c>
      <c r="D3674">
        <v>4.4396500000000003</v>
      </c>
      <c r="E3674">
        <v>0.48732199999999998</v>
      </c>
      <c r="F3674" t="s">
        <v>54</v>
      </c>
      <c r="G3674">
        <v>-489.36360000000002</v>
      </c>
      <c r="H3674" s="1">
        <v>3.200036E-6</v>
      </c>
      <c r="I3674">
        <v>214.36490000000001</v>
      </c>
      <c r="J3674">
        <v>-491.94150000000002</v>
      </c>
      <c r="K3674">
        <v>1.1119889999999999</v>
      </c>
      <c r="L3674">
        <v>252.8389</v>
      </c>
      <c r="M3674">
        <v>-0.1128967</v>
      </c>
      <c r="N3674">
        <v>-1.374918E-2</v>
      </c>
      <c r="O3674">
        <v>-0.9935117</v>
      </c>
      <c r="P3674">
        <v>3.7476629999999997E-2</v>
      </c>
      <c r="Q3674">
        <v>0.15684899999999999</v>
      </c>
      <c r="R3674">
        <v>-0.98691150000000005</v>
      </c>
      <c r="S3674">
        <v>0.20239260000000001</v>
      </c>
      <c r="T3674">
        <v>-8.7751629999999997E-2</v>
      </c>
      <c r="U3674">
        <v>-3.046036</v>
      </c>
      <c r="V3674">
        <v>-0.14918090000000001</v>
      </c>
      <c r="W3674">
        <v>0.16980770000000001</v>
      </c>
      <c r="X3674">
        <v>0.97412030000000005</v>
      </c>
      <c r="Y3674">
        <v>-0.17847389999999999</v>
      </c>
      <c r="Z3674">
        <v>1.445978E-2</v>
      </c>
      <c r="AA3674">
        <v>0.9838384</v>
      </c>
      <c r="AB3674">
        <v>23</v>
      </c>
      <c r="AC3674">
        <v>2.5779000000000001</v>
      </c>
      <c r="AD3674">
        <v>-1.1119857999639999</v>
      </c>
      <c r="AE3674">
        <v>-38.473999999999897</v>
      </c>
      <c r="AF3674">
        <v>-6.8996756550270204</v>
      </c>
      <c r="AG3674">
        <v>-1.1119857999639999</v>
      </c>
      <c r="AH3674">
        <v>37.905392451323202</v>
      </c>
      <c r="AI3674">
        <v>91.653188218923802</v>
      </c>
      <c r="AJ3674">
        <v>100.316238529484</v>
      </c>
      <c r="AK3674">
        <v>38.544270825282503</v>
      </c>
      <c r="AL3674">
        <v>80.223361256257405</v>
      </c>
      <c r="AM3674">
        <v>98.706870541057597</v>
      </c>
      <c r="AN3674">
        <v>0.99999997738809399</v>
      </c>
    </row>
    <row r="3675" spans="1:40" x14ac:dyDescent="0.25">
      <c r="A3675" t="str">
        <f>"20190304154826610"</f>
        <v>20190304154826610</v>
      </c>
      <c r="B3675" t="str">
        <f>"1551685706600063"</f>
        <v>1551685706600063</v>
      </c>
      <c r="C3675" t="s">
        <v>40</v>
      </c>
      <c r="D3675">
        <v>4.464912</v>
      </c>
      <c r="E3675">
        <v>0.48741960000000001</v>
      </c>
      <c r="F3675" t="s">
        <v>54</v>
      </c>
      <c r="G3675">
        <v>-489.3252</v>
      </c>
      <c r="H3675" s="1">
        <v>3.1847249999999998E-6</v>
      </c>
      <c r="I3675">
        <v>214.1705</v>
      </c>
      <c r="J3675">
        <v>-491.95510000000002</v>
      </c>
      <c r="K3675">
        <v>1.111982</v>
      </c>
      <c r="L3675">
        <v>252.70830000000001</v>
      </c>
      <c r="M3675">
        <v>-0.1117674</v>
      </c>
      <c r="N3675">
        <v>-1.3748E-2</v>
      </c>
      <c r="O3675">
        <v>-0.9936393</v>
      </c>
      <c r="P3675">
        <v>3.8617070000000003E-2</v>
      </c>
      <c r="Q3675">
        <v>0.1567558</v>
      </c>
      <c r="R3675">
        <v>-0.98688220000000004</v>
      </c>
      <c r="S3675">
        <v>0.2060852</v>
      </c>
      <c r="T3675">
        <v>-8.7590689999999999E-2</v>
      </c>
      <c r="U3675">
        <v>-3.0458980000000002</v>
      </c>
      <c r="V3675">
        <v>-0.1491981</v>
      </c>
      <c r="W3675">
        <v>0.1697166</v>
      </c>
      <c r="X3675">
        <v>0.97413360000000004</v>
      </c>
      <c r="Y3675">
        <v>-0.17854600000000001</v>
      </c>
      <c r="Z3675">
        <v>1.441419E-2</v>
      </c>
      <c r="AA3675">
        <v>0.98382599999999998</v>
      </c>
      <c r="AB3675">
        <v>23</v>
      </c>
      <c r="AC3675">
        <v>2.6299000000000201</v>
      </c>
      <c r="AD3675">
        <v>-1.1119788152750001</v>
      </c>
      <c r="AE3675">
        <v>-38.537799999999997</v>
      </c>
      <c r="AF3675">
        <v>-6.9153649256438499</v>
      </c>
      <c r="AG3675">
        <v>-1.1119788152750001</v>
      </c>
      <c r="AH3675">
        <v>37.970859981231499</v>
      </c>
      <c r="AI3675">
        <v>91.650300208061793</v>
      </c>
      <c r="AJ3675">
        <v>100.321748552434</v>
      </c>
      <c r="AK3675">
        <v>38.611461726470999</v>
      </c>
      <c r="AL3675">
        <v>80.228658339244106</v>
      </c>
      <c r="AM3675">
        <v>98.707741956938307</v>
      </c>
      <c r="AN3675">
        <v>1.00000003400406</v>
      </c>
    </row>
    <row r="3676" spans="1:40" x14ac:dyDescent="0.25">
      <c r="A3676" t="str">
        <f>"20190304154826623"</f>
        <v>20190304154826623</v>
      </c>
      <c r="B3676" t="str">
        <f>"1551685706620558"</f>
        <v>1551685706620558</v>
      </c>
      <c r="C3676" t="s">
        <v>40</v>
      </c>
      <c r="D3676">
        <v>4.4656200000000004</v>
      </c>
      <c r="E3676">
        <v>0.48761379999999999</v>
      </c>
      <c r="F3676" t="s">
        <v>54</v>
      </c>
      <c r="G3676">
        <v>-489.3338</v>
      </c>
      <c r="H3676" s="1">
        <v>3.1969869999999999E-6</v>
      </c>
      <c r="I3676">
        <v>214.416</v>
      </c>
      <c r="J3676">
        <v>-491.96749999999997</v>
      </c>
      <c r="K3676">
        <v>1.111977</v>
      </c>
      <c r="L3676">
        <v>252.58699999999999</v>
      </c>
      <c r="M3676">
        <v>-0.1107228</v>
      </c>
      <c r="N3676">
        <v>-1.374686E-2</v>
      </c>
      <c r="O3676">
        <v>-0.99375630000000004</v>
      </c>
      <c r="P3676">
        <v>3.9224269999999999E-2</v>
      </c>
      <c r="Q3676">
        <v>0.1567993</v>
      </c>
      <c r="R3676">
        <v>-0.98685129999999999</v>
      </c>
      <c r="S3676">
        <v>0.20849609999999999</v>
      </c>
      <c r="T3676">
        <v>-8.844697E-2</v>
      </c>
      <c r="U3676">
        <v>-3.045776</v>
      </c>
      <c r="V3676">
        <v>-0.1487686</v>
      </c>
      <c r="W3676">
        <v>0.1697631</v>
      </c>
      <c r="X3676">
        <v>0.97419109999999998</v>
      </c>
      <c r="Y3676">
        <v>-0.1782889</v>
      </c>
      <c r="Z3676">
        <v>1.469702E-2</v>
      </c>
      <c r="AA3676">
        <v>0.98386839999999998</v>
      </c>
      <c r="AB3676">
        <v>23</v>
      </c>
      <c r="AC3676">
        <v>2.63369999999997</v>
      </c>
      <c r="AD3676">
        <v>-1.111973803013</v>
      </c>
      <c r="AE3676">
        <v>-38.170999999999999</v>
      </c>
      <c r="AF3676">
        <v>-6.8385264345175401</v>
      </c>
      <c r="AG3676">
        <v>-1.111973803013</v>
      </c>
      <c r="AH3676">
        <v>37.612847950672297</v>
      </c>
      <c r="AI3676">
        <v>91.666082750478196</v>
      </c>
      <c r="AJ3676">
        <v>100.30459108566799</v>
      </c>
      <c r="AK3676">
        <v>38.2456306065748</v>
      </c>
      <c r="AL3676">
        <v>80.225954054515995</v>
      </c>
      <c r="AM3676">
        <v>98.682552674594007</v>
      </c>
      <c r="AN3676">
        <v>0.99999995289338806</v>
      </c>
    </row>
    <row r="3677" spans="1:40" x14ac:dyDescent="0.25">
      <c r="A3677" t="str">
        <f>"20190304154826635"</f>
        <v>20190304154826635</v>
      </c>
      <c r="B3677" t="str">
        <f>"1551685706630319"</f>
        <v>1551685706630319</v>
      </c>
      <c r="C3677" t="s">
        <v>40</v>
      </c>
      <c r="D3677">
        <v>4.4709770000000004</v>
      </c>
      <c r="E3677">
        <v>0.4877204</v>
      </c>
      <c r="F3677" t="s">
        <v>54</v>
      </c>
      <c r="G3677">
        <v>-489.37110000000001</v>
      </c>
      <c r="H3677" s="1">
        <v>3.218195E-6</v>
      </c>
      <c r="I3677">
        <v>214.7501</v>
      </c>
      <c r="J3677">
        <v>-491.98</v>
      </c>
      <c r="K3677">
        <v>1.1119709999999901</v>
      </c>
      <c r="L3677">
        <v>252.46459999999999</v>
      </c>
      <c r="M3677">
        <v>-0.1096712</v>
      </c>
      <c r="N3677">
        <v>-1.37457E-2</v>
      </c>
      <c r="O3677">
        <v>-0.99387309999999995</v>
      </c>
      <c r="P3677">
        <v>4.0081789999999999E-2</v>
      </c>
      <c r="Q3677">
        <v>0.15698019999999999</v>
      </c>
      <c r="R3677">
        <v>-0.9867882</v>
      </c>
      <c r="S3677">
        <v>0.2090149</v>
      </c>
      <c r="T3677">
        <v>-8.9514259999999998E-2</v>
      </c>
      <c r="U3677">
        <v>-3.0458829999999999</v>
      </c>
      <c r="V3677">
        <v>-0.1485785</v>
      </c>
      <c r="W3677">
        <v>0.16994589999999901</v>
      </c>
      <c r="X3677">
        <v>0.97418830000000001</v>
      </c>
      <c r="Y3677">
        <v>-0.1774116</v>
      </c>
      <c r="Z3677">
        <v>1.5048479999999999E-2</v>
      </c>
      <c r="AA3677">
        <v>0.9840217</v>
      </c>
      <c r="AB3677">
        <v>23</v>
      </c>
      <c r="AC3677">
        <v>2.6089000000000002</v>
      </c>
      <c r="AD3677">
        <v>-1.11196778180499</v>
      </c>
      <c r="AE3677">
        <v>-37.714500000000001</v>
      </c>
      <c r="AF3677">
        <v>-6.72392702766951</v>
      </c>
      <c r="AG3677">
        <v>-1.11196778180499</v>
      </c>
      <c r="AH3677">
        <v>37.168655283960298</v>
      </c>
      <c r="AI3677">
        <v>91.686242488968006</v>
      </c>
      <c r="AJ3677">
        <v>100.254088831955</v>
      </c>
      <c r="AK3677">
        <v>37.788313043043701</v>
      </c>
      <c r="AL3677">
        <v>80.215326531413496</v>
      </c>
      <c r="AM3677">
        <v>98.671651208402906</v>
      </c>
      <c r="AN3677">
        <v>1.0000000117229699</v>
      </c>
    </row>
    <row r="3678" spans="1:40" x14ac:dyDescent="0.25">
      <c r="A3678" t="str">
        <f>"20190304154826647"</f>
        <v>20190304154826647</v>
      </c>
      <c r="B3678" t="str">
        <f>"1551685706640079"</f>
        <v>1551685706640079</v>
      </c>
      <c r="C3678" t="s">
        <v>40</v>
      </c>
      <c r="D3678">
        <v>4.4507320000000004</v>
      </c>
      <c r="E3678">
        <v>0.4877204</v>
      </c>
      <c r="F3678" t="s">
        <v>54</v>
      </c>
      <c r="G3678">
        <v>-489.35359999999997</v>
      </c>
      <c r="H3678" s="1">
        <v>3.2059920000000001E-6</v>
      </c>
      <c r="I3678">
        <v>214.54159999999999</v>
      </c>
      <c r="J3678">
        <v>-491.99340000000001</v>
      </c>
      <c r="K3678">
        <v>1.111966</v>
      </c>
      <c r="L3678">
        <v>252.33080000000001</v>
      </c>
      <c r="M3678">
        <v>-0.1085246</v>
      </c>
      <c r="N3678">
        <v>-1.374441E-2</v>
      </c>
      <c r="O3678">
        <v>-0.99399870000000001</v>
      </c>
      <c r="P3678">
        <v>4.1217610000000002E-2</v>
      </c>
      <c r="Q3678">
        <v>0.15709809999999999</v>
      </c>
      <c r="R3678">
        <v>-0.9867224</v>
      </c>
      <c r="S3678">
        <v>0.2109375</v>
      </c>
      <c r="T3678">
        <v>-8.9308620000000005E-2</v>
      </c>
      <c r="U3678">
        <v>-3.0458219999999998</v>
      </c>
      <c r="V3678">
        <v>-0.14857219999999999</v>
      </c>
      <c r="W3678">
        <v>0.170064299999999</v>
      </c>
      <c r="X3678">
        <v>0.97416860000000005</v>
      </c>
      <c r="Y3678">
        <v>-0.1768961</v>
      </c>
      <c r="Z3678">
        <v>1.4990460000000001E-2</v>
      </c>
      <c r="AA3678">
        <v>0.98411539999999997</v>
      </c>
      <c r="AB3678">
        <v>23</v>
      </c>
      <c r="AC3678">
        <v>2.6398000000000299</v>
      </c>
      <c r="AD3678">
        <v>-1.1119627940079999</v>
      </c>
      <c r="AE3678">
        <v>-37.789200000000001</v>
      </c>
      <c r="AF3678">
        <v>-6.7198610024589698</v>
      </c>
      <c r="AG3678">
        <v>-1.1119627940079999</v>
      </c>
      <c r="AH3678">
        <v>37.247361232713097</v>
      </c>
      <c r="AI3678">
        <v>91.682818450625007</v>
      </c>
      <c r="AJ3678">
        <v>100.226822315544</v>
      </c>
      <c r="AK3678">
        <v>37.865009071012302</v>
      </c>
      <c r="AL3678">
        <v>80.208442514126702</v>
      </c>
      <c r="AM3678">
        <v>98.671461792160599</v>
      </c>
      <c r="AN3678">
        <v>1.00000001298664</v>
      </c>
    </row>
    <row r="3679" spans="1:40" x14ac:dyDescent="0.25">
      <c r="A3679" t="str">
        <f>"20190304154826663"</f>
        <v>20190304154826663</v>
      </c>
      <c r="B3679" t="str">
        <f>"1551685706660575"</f>
        <v>1551685706660575</v>
      </c>
      <c r="C3679" t="s">
        <v>40</v>
      </c>
      <c r="D3679">
        <v>4.4747329999999996</v>
      </c>
      <c r="E3679">
        <v>0.49234139999999998</v>
      </c>
      <c r="F3679" t="s">
        <v>54</v>
      </c>
      <c r="G3679">
        <v>-489.3141</v>
      </c>
      <c r="H3679" s="1">
        <v>3.1868239999999902E-6</v>
      </c>
      <c r="I3679">
        <v>214.26329999999999</v>
      </c>
      <c r="J3679">
        <v>-492.00869999999998</v>
      </c>
      <c r="K3679">
        <v>1.1119570000000001</v>
      </c>
      <c r="L3679">
        <v>252.1773</v>
      </c>
      <c r="M3679">
        <v>-0.10721360000000001</v>
      </c>
      <c r="N3679">
        <v>-1.3742880000000001E-2</v>
      </c>
      <c r="O3679">
        <v>-0.99414119999999995</v>
      </c>
      <c r="P3679">
        <v>4.1592469999999999E-2</v>
      </c>
      <c r="Q3679">
        <v>0.157777</v>
      </c>
      <c r="R3679">
        <v>-0.98659859999999999</v>
      </c>
      <c r="S3679">
        <v>0.2143555</v>
      </c>
      <c r="T3679">
        <v>-8.8962199999999894E-2</v>
      </c>
      <c r="U3679">
        <v>-3.0455779999999999</v>
      </c>
      <c r="V3679">
        <v>-0.14764260000000001</v>
      </c>
      <c r="W3679">
        <v>0.17074800000000001</v>
      </c>
      <c r="X3679">
        <v>0.97419040000000001</v>
      </c>
      <c r="Y3679">
        <v>-0.176703</v>
      </c>
      <c r="Z3679">
        <v>1.4888119999999999E-2</v>
      </c>
      <c r="AA3679">
        <v>0.98415160000000002</v>
      </c>
      <c r="AB3679">
        <v>23</v>
      </c>
      <c r="AC3679">
        <v>2.6945999999999799</v>
      </c>
      <c r="AD3679">
        <v>-1.1119538131759901</v>
      </c>
      <c r="AE3679">
        <v>-37.914000000000001</v>
      </c>
      <c r="AF3679">
        <v>-6.73857799571309</v>
      </c>
      <c r="AG3679">
        <v>-1.1119538131759901</v>
      </c>
      <c r="AH3679">
        <v>37.374511637108299</v>
      </c>
      <c r="AI3679">
        <v>91.677116212553599</v>
      </c>
      <c r="AJ3679">
        <v>100.220553176754</v>
      </c>
      <c r="AK3679">
        <v>37.993407254407799</v>
      </c>
      <c r="AL3679">
        <v>80.168688562425302</v>
      </c>
      <c r="AM3679">
        <v>98.617832589820495</v>
      </c>
      <c r="AN3679">
        <v>1.0000000761454499</v>
      </c>
    </row>
    <row r="3680" spans="1:40" x14ac:dyDescent="0.25">
      <c r="A3680" t="str">
        <f>"20190304154826677"</f>
        <v>20190304154826677</v>
      </c>
      <c r="B3680" t="str">
        <f>"1551685706670334"</f>
        <v>1551685706670334</v>
      </c>
      <c r="C3680" t="s">
        <v>40</v>
      </c>
      <c r="D3680">
        <v>4.4504279999999996</v>
      </c>
      <c r="E3680">
        <v>0.49240820000000002</v>
      </c>
      <c r="F3680" t="s">
        <v>54</v>
      </c>
      <c r="G3680">
        <v>-490.45170000000002</v>
      </c>
      <c r="H3680" s="1">
        <v>5.2540900000000004E-6</v>
      </c>
      <c r="I3680">
        <v>225.51920000000001</v>
      </c>
      <c r="J3680">
        <v>-492.02190000000002</v>
      </c>
      <c r="K3680">
        <v>1.1119540000000001</v>
      </c>
      <c r="L3680">
        <v>252.042</v>
      </c>
      <c r="M3680">
        <v>-0.1060624</v>
      </c>
      <c r="N3680">
        <v>-1.374149E-2</v>
      </c>
      <c r="O3680">
        <v>-0.9942647</v>
      </c>
      <c r="P3680">
        <v>4.2456220000000003E-2</v>
      </c>
      <c r="Q3680">
        <v>0.15789790000000001</v>
      </c>
      <c r="R3680">
        <v>-0.98654229999999998</v>
      </c>
      <c r="S3680">
        <v>0.17834469999999999</v>
      </c>
      <c r="T3680">
        <v>-0.1273714</v>
      </c>
      <c r="U3680">
        <v>-3.0536189999999999</v>
      </c>
      <c r="V3680">
        <v>-0.14736160000000001</v>
      </c>
      <c r="W3680">
        <v>0.1708711</v>
      </c>
      <c r="X3680">
        <v>0.9742113</v>
      </c>
      <c r="Y3680">
        <v>-0.16378329999999999</v>
      </c>
      <c r="Z3680">
        <v>2.7230049999999999E-2</v>
      </c>
      <c r="AA3680">
        <v>0.98612049999999996</v>
      </c>
      <c r="AB3680">
        <v>23</v>
      </c>
      <c r="AC3680">
        <v>1.57019999999999</v>
      </c>
      <c r="AD3680">
        <v>-1.1119487459099999</v>
      </c>
      <c r="AE3680">
        <v>-26.522799999999901</v>
      </c>
      <c r="AF3680">
        <v>-4.36702965675528</v>
      </c>
      <c r="AG3680">
        <v>-1.1119487459099999</v>
      </c>
      <c r="AH3680">
        <v>26.1607935951846</v>
      </c>
      <c r="AI3680">
        <v>92.400678716211999</v>
      </c>
      <c r="AJ3680">
        <v>99.477019548557493</v>
      </c>
      <c r="AK3680">
        <v>26.5460825653496</v>
      </c>
      <c r="AL3680">
        <v>80.161529651970696</v>
      </c>
      <c r="AM3680">
        <v>98.601494537760502</v>
      </c>
      <c r="AN3680">
        <v>1.0000000155087201</v>
      </c>
    </row>
    <row r="3681" spans="1:40" x14ac:dyDescent="0.25">
      <c r="A3681" t="str">
        <f>"20190304154826689"</f>
        <v>20190304154826689</v>
      </c>
      <c r="B3681" t="str">
        <f>"1551685706680095"</f>
        <v>1551685706680095</v>
      </c>
      <c r="C3681" t="s">
        <v>40</v>
      </c>
      <c r="D3681">
        <v>4.4419829999999996</v>
      </c>
      <c r="E3681">
        <v>0.49264550000000001</v>
      </c>
      <c r="F3681" t="s">
        <v>54</v>
      </c>
      <c r="G3681">
        <v>-490.37970000000001</v>
      </c>
      <c r="H3681" s="1">
        <v>4.8945539999999997E-6</v>
      </c>
      <c r="I3681">
        <v>224.2467</v>
      </c>
      <c r="J3681">
        <v>-492.03550000000001</v>
      </c>
      <c r="K3681">
        <v>1.1119460000000001</v>
      </c>
      <c r="L3681">
        <v>251.90280000000001</v>
      </c>
      <c r="M3681">
        <v>-0.1048813</v>
      </c>
      <c r="N3681">
        <v>-1.374001E-2</v>
      </c>
      <c r="O3681">
        <v>-0.99439</v>
      </c>
      <c r="P3681">
        <v>4.3118179999999999E-2</v>
      </c>
      <c r="Q3681">
        <v>0.15823909999999999</v>
      </c>
      <c r="R3681">
        <v>-0.98645939999999999</v>
      </c>
      <c r="S3681">
        <v>0.18035889999999999</v>
      </c>
      <c r="T3681">
        <v>-0.1221218</v>
      </c>
      <c r="U3681">
        <v>-3.052673</v>
      </c>
      <c r="V3681">
        <v>-0.1468496</v>
      </c>
      <c r="W3681">
        <v>0.17121539999999999</v>
      </c>
      <c r="X3681">
        <v>0.97422810000000004</v>
      </c>
      <c r="Y3681">
        <v>-0.1632825</v>
      </c>
      <c r="Z3681">
        <v>2.5563949999999998E-2</v>
      </c>
      <c r="AA3681">
        <v>0.98624809999999996</v>
      </c>
      <c r="AB3681">
        <v>23</v>
      </c>
      <c r="AC3681">
        <v>1.6557999999999899</v>
      </c>
      <c r="AD3681">
        <v>-1.11194110544599</v>
      </c>
      <c r="AE3681">
        <v>-27.656099999999999</v>
      </c>
      <c r="AF3681">
        <v>-4.5402339998002601</v>
      </c>
      <c r="AG3681">
        <v>-1.11194110544599</v>
      </c>
      <c r="AH3681">
        <v>27.285911234161699</v>
      </c>
      <c r="AI3681">
        <v>92.301980854109502</v>
      </c>
      <c r="AJ3681">
        <v>99.447166248000698</v>
      </c>
      <c r="AK3681">
        <v>27.683408201908101</v>
      </c>
      <c r="AL3681">
        <v>80.141507054431401</v>
      </c>
      <c r="AM3681">
        <v>98.571908200916297</v>
      </c>
      <c r="AN3681">
        <v>0.99999995452346402</v>
      </c>
    </row>
    <row r="3682" spans="1:40" x14ac:dyDescent="0.25">
      <c r="A3682" t="str">
        <f>"20190304154826703"</f>
        <v>20190304154826703</v>
      </c>
      <c r="B3682" t="str">
        <f>"1551685706700591"</f>
        <v>1551685706700591</v>
      </c>
      <c r="C3682" t="s">
        <v>40</v>
      </c>
      <c r="D3682">
        <v>4.6127710000000004</v>
      </c>
      <c r="E3682">
        <v>0.49353819999999998</v>
      </c>
      <c r="F3682" t="s">
        <v>54</v>
      </c>
      <c r="G3682">
        <v>-490.35109999999997</v>
      </c>
      <c r="H3682" s="1">
        <v>4.6450600000000004E-6</v>
      </c>
      <c r="I3682">
        <v>223.42490000000001</v>
      </c>
      <c r="J3682">
        <v>-492.0478</v>
      </c>
      <c r="K3682">
        <v>1.111937</v>
      </c>
      <c r="L3682">
        <v>251.77330000000001</v>
      </c>
      <c r="M3682">
        <v>-0.10379099999999999</v>
      </c>
      <c r="N3682">
        <v>-1.373854E-2</v>
      </c>
      <c r="O3682">
        <v>-0.99450450000000001</v>
      </c>
      <c r="P3682">
        <v>4.4010790000000001E-2</v>
      </c>
      <c r="Q3682">
        <v>0.15846489999999999</v>
      </c>
      <c r="R3682">
        <v>-0.98638360000000003</v>
      </c>
      <c r="S3682">
        <v>0.18054200000000001</v>
      </c>
      <c r="T3682">
        <v>-0.1191846</v>
      </c>
      <c r="U3682">
        <v>-3.0524290000000001</v>
      </c>
      <c r="V3682">
        <v>-0.14665510000000001</v>
      </c>
      <c r="W3682">
        <v>0.17144329999999999</v>
      </c>
      <c r="X3682">
        <v>0.97421740000000001</v>
      </c>
      <c r="Y3682">
        <v>-0.1622672</v>
      </c>
      <c r="Z3682">
        <v>2.463363E-2</v>
      </c>
      <c r="AA3682">
        <v>0.98643930000000002</v>
      </c>
      <c r="AB3682">
        <v>23</v>
      </c>
      <c r="AC3682">
        <v>1.6967000000000201</v>
      </c>
      <c r="AD3682">
        <v>-1.11193235494</v>
      </c>
      <c r="AE3682">
        <v>-28.348400000000002</v>
      </c>
      <c r="AF3682">
        <v>-4.6230331652212904</v>
      </c>
      <c r="AG3682">
        <v>-1.11193235494</v>
      </c>
      <c r="AH3682">
        <v>27.976258243587299</v>
      </c>
      <c r="AI3682">
        <v>92.245632981827598</v>
      </c>
      <c r="AJ3682">
        <v>99.383242107763607</v>
      </c>
      <c r="AK3682">
        <v>28.377453277568598</v>
      </c>
      <c r="AL3682">
        <v>80.128254156346898</v>
      </c>
      <c r="AM3682">
        <v>98.560815799023203</v>
      </c>
      <c r="AN3682">
        <v>1.0000000329668199</v>
      </c>
    </row>
    <row r="3683" spans="1:40" x14ac:dyDescent="0.25">
      <c r="A3683" t="str">
        <f>"20190304154826722"</f>
        <v>20190304154826722</v>
      </c>
      <c r="B3683" t="str">
        <f>"1551685706710351"</f>
        <v>1551685706710351</v>
      </c>
      <c r="C3683" t="s">
        <v>40</v>
      </c>
      <c r="D3683">
        <v>4.3944409999999996</v>
      </c>
      <c r="E3683">
        <v>0.52923169999999897</v>
      </c>
      <c r="F3683" t="s">
        <v>54</v>
      </c>
      <c r="G3683">
        <v>-490.33030000000002</v>
      </c>
      <c r="H3683" s="1">
        <v>4.2124349999999996E-6</v>
      </c>
      <c r="I3683">
        <v>222.01650000000001</v>
      </c>
      <c r="J3683">
        <v>-492.06479999999999</v>
      </c>
      <c r="K3683">
        <v>1.1119209999999999</v>
      </c>
      <c r="L3683">
        <v>251.59270000000001</v>
      </c>
      <c r="M3683">
        <v>-0.10227990000000001</v>
      </c>
      <c r="N3683">
        <v>-1.3736399999999999E-2</v>
      </c>
      <c r="O3683">
        <v>-0.99466100000000002</v>
      </c>
      <c r="P3683">
        <v>4.475382E-2</v>
      </c>
      <c r="Q3683">
        <v>0.1583743</v>
      </c>
      <c r="R3683">
        <v>-0.98636469999999998</v>
      </c>
      <c r="S3683">
        <v>0.17614749999999901</v>
      </c>
      <c r="T3683">
        <v>-0.11404</v>
      </c>
      <c r="U3683">
        <v>-3.0518649999999998</v>
      </c>
      <c r="V3683">
        <v>-0.14590229999999901</v>
      </c>
      <c r="W3683">
        <v>0.1713596</v>
      </c>
      <c r="X3683">
        <v>0.97434509999999996</v>
      </c>
      <c r="Y3683">
        <v>-0.159367799999999</v>
      </c>
      <c r="Z3683">
        <v>2.3007090000000001E-2</v>
      </c>
      <c r="AA3683">
        <v>0.98695120000000003</v>
      </c>
      <c r="AB3683">
        <v>23</v>
      </c>
      <c r="AC3683">
        <v>1.73449999999996</v>
      </c>
      <c r="AD3683">
        <v>-1.111916787565</v>
      </c>
      <c r="AE3683">
        <v>-29.5762</v>
      </c>
      <c r="AF3683">
        <v>-4.7440554415716099</v>
      </c>
      <c r="AG3683">
        <v>-1.111916787565</v>
      </c>
      <c r="AH3683">
        <v>29.2025089907645</v>
      </c>
      <c r="AI3683">
        <v>92.152355162019603</v>
      </c>
      <c r="AJ3683">
        <v>99.227301308939303</v>
      </c>
      <c r="AK3683">
        <v>29.6062316469161</v>
      </c>
      <c r="AL3683">
        <v>80.133121358374595</v>
      </c>
      <c r="AM3683">
        <v>98.516418235393104</v>
      </c>
      <c r="AN3683">
        <v>0.99999998377572896</v>
      </c>
    </row>
    <row r="3684" spans="1:40" x14ac:dyDescent="0.25">
      <c r="A3684" t="str">
        <f>"20190304154826734"</f>
        <v>20190304154826734</v>
      </c>
      <c r="B3684" t="str">
        <f>"1551685706730848"</f>
        <v>1551685706730848</v>
      </c>
      <c r="C3684" t="s">
        <v>40</v>
      </c>
      <c r="D3684">
        <v>4.3831410000000002</v>
      </c>
      <c r="E3684">
        <v>0.53735540000000004</v>
      </c>
      <c r="F3684" t="s">
        <v>54</v>
      </c>
      <c r="G3684">
        <v>-493.23230000000001</v>
      </c>
      <c r="H3684" s="1">
        <v>2.8836580000000001E-6</v>
      </c>
      <c r="I3684">
        <v>218.00399999999999</v>
      </c>
      <c r="J3684">
        <v>-492.07679999999999</v>
      </c>
      <c r="K3684">
        <v>1.111912</v>
      </c>
      <c r="L3684">
        <v>251.4648</v>
      </c>
      <c r="M3684">
        <v>-0.1012174</v>
      </c>
      <c r="N3684">
        <v>-1.373481E-2</v>
      </c>
      <c r="O3684">
        <v>-0.99476960000000003</v>
      </c>
      <c r="P3684">
        <v>4.533479E-2</v>
      </c>
      <c r="Q3684">
        <v>0.15805620000000001</v>
      </c>
      <c r="R3684">
        <v>-0.98638890000000001</v>
      </c>
      <c r="S3684">
        <v>-0.10644530000000001</v>
      </c>
      <c r="T3684">
        <v>-0.10138369999999999</v>
      </c>
      <c r="U3684">
        <v>-3.062592</v>
      </c>
      <c r="V3684">
        <v>-0.1454336</v>
      </c>
      <c r="W3684">
        <v>0.1710477</v>
      </c>
      <c r="X3684">
        <v>0.97446999999999995</v>
      </c>
      <c r="Y3684">
        <v>-6.6593449999999998E-2</v>
      </c>
      <c r="Z3684">
        <v>1.9078210000000002E-2</v>
      </c>
      <c r="AA3684">
        <v>0.99759779999999998</v>
      </c>
      <c r="AB3684">
        <v>23</v>
      </c>
      <c r="AC3684">
        <v>-1.15550000000001</v>
      </c>
      <c r="AD3684">
        <v>-1.1119091163420001</v>
      </c>
      <c r="AE3684">
        <v>-33.4607999999999</v>
      </c>
      <c r="AF3684">
        <v>-2.2351046184166701</v>
      </c>
      <c r="AG3684">
        <v>-1.1119091163420001</v>
      </c>
      <c r="AH3684">
        <v>33.369087869771697</v>
      </c>
      <c r="AI3684">
        <v>91.904213306405396</v>
      </c>
      <c r="AJ3684">
        <v>93.832021398556194</v>
      </c>
      <c r="AK3684">
        <v>33.462337930856201</v>
      </c>
      <c r="AL3684">
        <v>80.151260016724393</v>
      </c>
      <c r="AM3684">
        <v>98.488386922596007</v>
      </c>
      <c r="AN3684">
        <v>1.0000000142921199</v>
      </c>
    </row>
    <row r="3685" spans="1:40" x14ac:dyDescent="0.25">
      <c r="A3685" t="str">
        <f>"20190304154826746"</f>
        <v>20190304154826746</v>
      </c>
      <c r="B3685" t="str">
        <f>"1551685706740608"</f>
        <v>1551685706740608</v>
      </c>
      <c r="C3685" t="s">
        <v>40</v>
      </c>
      <c r="D3685">
        <v>4.3910879999999999</v>
      </c>
      <c r="E3685">
        <v>0.53936019999999996</v>
      </c>
      <c r="F3685" t="s">
        <v>54</v>
      </c>
      <c r="G3685">
        <v>-494.13600000000002</v>
      </c>
      <c r="H3685" s="1">
        <v>2.5597930000000001E-6</v>
      </c>
      <c r="I3685">
        <v>214.26230000000001</v>
      </c>
      <c r="J3685">
        <v>-492.08870000000002</v>
      </c>
      <c r="K3685">
        <v>1.1118980000000001</v>
      </c>
      <c r="L3685">
        <v>251.33670000000001</v>
      </c>
      <c r="M3685">
        <v>-0.1001643</v>
      </c>
      <c r="N3685">
        <v>-1.3733179999999999E-2</v>
      </c>
      <c r="O3685">
        <v>-0.99487619999999999</v>
      </c>
      <c r="P3685">
        <v>4.6160949999999999E-2</v>
      </c>
      <c r="Q3685">
        <v>0.1578657</v>
      </c>
      <c r="R3685">
        <v>-0.98638110000000001</v>
      </c>
      <c r="S3685">
        <v>-0.16958619999999999</v>
      </c>
      <c r="T3685">
        <v>-9.1572169999999994E-2</v>
      </c>
      <c r="U3685">
        <v>-3.0638429999999999</v>
      </c>
      <c r="V3685">
        <v>-0.14521389999999901</v>
      </c>
      <c r="W3685">
        <v>0.17086209999999999</v>
      </c>
      <c r="X3685">
        <v>0.97453529999999999</v>
      </c>
      <c r="Y3685">
        <v>-4.5025969999999998E-2</v>
      </c>
      <c r="Z3685">
        <v>1.5919929999999999E-2</v>
      </c>
      <c r="AA3685">
        <v>0.99885889999999999</v>
      </c>
      <c r="AB3685">
        <v>23</v>
      </c>
      <c r="AC3685">
        <v>-2.0472999999999399</v>
      </c>
      <c r="AD3685">
        <v>-1.11189544020699</v>
      </c>
      <c r="AE3685">
        <v>-37.074399999999997</v>
      </c>
      <c r="AF3685">
        <v>-1.6753769535724099</v>
      </c>
      <c r="AG3685">
        <v>-1.11189544020699</v>
      </c>
      <c r="AH3685">
        <v>37.059767722971799</v>
      </c>
      <c r="AI3685">
        <v>91.7167638475144</v>
      </c>
      <c r="AJ3685">
        <v>92.588432716793903</v>
      </c>
      <c r="AK3685">
        <v>37.1142773483082</v>
      </c>
      <c r="AL3685">
        <v>80.1620527813687</v>
      </c>
      <c r="AM3685">
        <v>98.475190611146104</v>
      </c>
      <c r="AN3685">
        <v>0.99999999245785498</v>
      </c>
    </row>
    <row r="3686" spans="1:40" x14ac:dyDescent="0.25">
      <c r="A3686" t="str">
        <f>"20190304154826758"</f>
        <v>20190304154826758</v>
      </c>
      <c r="B3686" t="str">
        <f>"1551685706750367"</f>
        <v>1551685706750367</v>
      </c>
      <c r="C3686" t="s">
        <v>40</v>
      </c>
      <c r="D3686">
        <v>4.3608229999999999</v>
      </c>
      <c r="E3686">
        <v>0.54082989999999997</v>
      </c>
      <c r="F3686" t="s">
        <v>54</v>
      </c>
      <c r="G3686">
        <v>-494.36959999999999</v>
      </c>
      <c r="H3686" s="1">
        <v>2.4778459999999998E-6</v>
      </c>
      <c r="I3686">
        <v>213.33529999999999</v>
      </c>
      <c r="J3686">
        <v>-492.09930000000003</v>
      </c>
      <c r="K3686">
        <v>1.111883</v>
      </c>
      <c r="L3686">
        <v>251.22030000000001</v>
      </c>
      <c r="M3686">
        <v>-9.9215639999999994E-2</v>
      </c>
      <c r="N3686">
        <v>-1.373163E-2</v>
      </c>
      <c r="O3686">
        <v>-0.9949713</v>
      </c>
      <c r="P3686">
        <v>4.6508189999999998E-2</v>
      </c>
      <c r="Q3686">
        <v>0.1578186</v>
      </c>
      <c r="R3686">
        <v>-0.98637220000000003</v>
      </c>
      <c r="S3686">
        <v>-0.18392939999999999</v>
      </c>
      <c r="T3686">
        <v>-8.9661119999999997E-2</v>
      </c>
      <c r="U3686">
        <v>-3.064362</v>
      </c>
      <c r="V3686">
        <v>-0.144621</v>
      </c>
      <c r="W3686">
        <v>0.17082169999999999</v>
      </c>
      <c r="X3686">
        <v>0.97463049999999996</v>
      </c>
      <c r="Y3686">
        <v>-3.9423529999999998E-2</v>
      </c>
      <c r="Z3686">
        <v>1.530549E-2</v>
      </c>
      <c r="AA3686">
        <v>0.99910529999999997</v>
      </c>
      <c r="AB3686">
        <v>23</v>
      </c>
      <c r="AC3686">
        <v>-2.2702999999999598</v>
      </c>
      <c r="AD3686">
        <v>-1.111880522154</v>
      </c>
      <c r="AE3686">
        <v>-37.884999999999998</v>
      </c>
      <c r="AF3686">
        <v>-1.4987561262585201</v>
      </c>
      <c r="AG3686">
        <v>-1.111880522154</v>
      </c>
      <c r="AH3686">
        <v>37.890788328068602</v>
      </c>
      <c r="AI3686">
        <v>91.679512431968504</v>
      </c>
      <c r="AJ3686">
        <v>92.265132553569401</v>
      </c>
      <c r="AK3686">
        <v>37.936715571383303</v>
      </c>
      <c r="AL3686">
        <v>80.164401639153695</v>
      </c>
      <c r="AM3686">
        <v>98.440273799097596</v>
      </c>
      <c r="AN3686">
        <v>0.99999994918106805</v>
      </c>
    </row>
    <row r="3687" spans="1:40" x14ac:dyDescent="0.25">
      <c r="A3687" t="str">
        <f>"20190304154826769"</f>
        <v>20190304154826769</v>
      </c>
      <c r="B3687" t="str">
        <f>"1551685706760126"</f>
        <v>1551685706760126</v>
      </c>
      <c r="C3687" t="s">
        <v>40</v>
      </c>
      <c r="D3687">
        <v>4.3593469999999996</v>
      </c>
      <c r="E3687">
        <v>0.54184679999999996</v>
      </c>
      <c r="F3687" t="s">
        <v>54</v>
      </c>
      <c r="G3687">
        <v>-494.5788</v>
      </c>
      <c r="H3687" s="1">
        <v>2.3884439999999998E-6</v>
      </c>
      <c r="I3687">
        <v>212.13890000000001</v>
      </c>
      <c r="J3687">
        <v>-492.11020000000002</v>
      </c>
      <c r="K3687">
        <v>1.111866</v>
      </c>
      <c r="L3687">
        <v>251.1</v>
      </c>
      <c r="M3687">
        <v>-9.8241239999999994E-2</v>
      </c>
      <c r="N3687">
        <v>-1.3729999999999999E-2</v>
      </c>
      <c r="O3687">
        <v>-0.99506810000000001</v>
      </c>
      <c r="P3687">
        <v>4.7064559999999998E-2</v>
      </c>
      <c r="Q3687">
        <v>0.15773239999999999</v>
      </c>
      <c r="R3687">
        <v>-0.98636000000000001</v>
      </c>
      <c r="S3687">
        <v>-0.1944275</v>
      </c>
      <c r="T3687">
        <v>-8.7188360000000006E-2</v>
      </c>
      <c r="U3687">
        <v>-3.064575</v>
      </c>
      <c r="V3687">
        <v>-0.1442099</v>
      </c>
      <c r="W3687">
        <v>0.17074139999999999</v>
      </c>
      <c r="X3687">
        <v>0.9747055</v>
      </c>
      <c r="Y3687">
        <v>-3.503999E-2</v>
      </c>
      <c r="Z3687">
        <v>1.4511329999999999E-2</v>
      </c>
      <c r="AA3687">
        <v>0.99928059999999996</v>
      </c>
      <c r="AB3687">
        <v>23</v>
      </c>
      <c r="AC3687">
        <v>-2.4685999999999799</v>
      </c>
      <c r="AD3687">
        <v>-1.1118636115559899</v>
      </c>
      <c r="AE3687">
        <v>-38.961099999999902</v>
      </c>
      <c r="AF3687">
        <v>-1.37017924471534</v>
      </c>
      <c r="AG3687">
        <v>-1.1118636115559899</v>
      </c>
      <c r="AH3687">
        <v>38.983514871052499</v>
      </c>
      <c r="AI3687">
        <v>91.632704131313105</v>
      </c>
      <c r="AJ3687">
        <v>92.012983812300206</v>
      </c>
      <c r="AK3687">
        <v>39.023429674426701</v>
      </c>
      <c r="AL3687">
        <v>80.169071260051993</v>
      </c>
      <c r="AM3687">
        <v>98.415987249341896</v>
      </c>
      <c r="AN3687">
        <v>0.99999996633110899</v>
      </c>
    </row>
    <row r="3688" spans="1:40" x14ac:dyDescent="0.25">
      <c r="A3688" t="str">
        <f>"20190304154826787"</f>
        <v>20190304154826787</v>
      </c>
      <c r="B3688" t="str">
        <f>"1551685706780623"</f>
        <v>1551685706780623</v>
      </c>
      <c r="C3688" t="s">
        <v>40</v>
      </c>
      <c r="D3688">
        <v>4.3401239999999897</v>
      </c>
      <c r="E3688">
        <v>0.54339079999999995</v>
      </c>
      <c r="F3688" t="s">
        <v>54</v>
      </c>
      <c r="G3688">
        <v>-494.7115</v>
      </c>
      <c r="H3688" s="1">
        <v>2.3305820000000001E-6</v>
      </c>
      <c r="I3688">
        <v>211.35409999999999</v>
      </c>
      <c r="J3688">
        <v>-492.12540000000001</v>
      </c>
      <c r="K3688">
        <v>1.111842</v>
      </c>
      <c r="L3688">
        <v>250.93010000000001</v>
      </c>
      <c r="M3688">
        <v>-9.6892539999999999E-2</v>
      </c>
      <c r="N3688">
        <v>-1.3727680000000001E-2</v>
      </c>
      <c r="O3688">
        <v>-0.99520019999999998</v>
      </c>
      <c r="P3688">
        <v>4.7727390000000001E-2</v>
      </c>
      <c r="Q3688">
        <v>0.15802929999999901</v>
      </c>
      <c r="R3688">
        <v>-0.98628009999999999</v>
      </c>
      <c r="S3688">
        <v>-0.20059199999999999</v>
      </c>
      <c r="T3688">
        <v>-8.5735320000000004E-2</v>
      </c>
      <c r="U3688">
        <v>-3.0647890000000002</v>
      </c>
      <c r="V3688">
        <v>-0.14352870000000001</v>
      </c>
      <c r="W3688">
        <v>0.171046799999999</v>
      </c>
      <c r="X3688">
        <v>0.97475250000000002</v>
      </c>
      <c r="Y3688">
        <v>-3.1688750000000002E-2</v>
      </c>
      <c r="Z3688">
        <v>1.4048100000000001E-2</v>
      </c>
      <c r="AA3688">
        <v>0.99939909999999998</v>
      </c>
      <c r="AB3688">
        <v>23</v>
      </c>
      <c r="AC3688">
        <v>-2.5860999999999801</v>
      </c>
      <c r="AD3688">
        <v>-1.1118396694179999</v>
      </c>
      <c r="AE3688">
        <v>-39.576000000000001</v>
      </c>
      <c r="AF3688">
        <v>-1.2600604330957501</v>
      </c>
      <c r="AG3688">
        <v>-1.1118396694179999</v>
      </c>
      <c r="AH3688">
        <v>39.609222076942302</v>
      </c>
      <c r="AI3688">
        <v>91.6070704902437</v>
      </c>
      <c r="AJ3688">
        <v>91.822095992704007</v>
      </c>
      <c r="AK3688">
        <v>39.6448535535961</v>
      </c>
      <c r="AL3688">
        <v>80.151311872734695</v>
      </c>
      <c r="AM3688">
        <v>98.376400122095205</v>
      </c>
      <c r="AN3688">
        <v>0.99999996588508899</v>
      </c>
    </row>
    <row r="3689" spans="1:40" x14ac:dyDescent="0.25">
      <c r="A3689" t="str">
        <f>"20190304154826800"</f>
        <v>20190304154826800</v>
      </c>
      <c r="B3689" t="str">
        <f>"1551685706790383"</f>
        <v>1551685706790383</v>
      </c>
      <c r="C3689" t="s">
        <v>40</v>
      </c>
      <c r="D3689">
        <v>4.32369</v>
      </c>
      <c r="E3689">
        <v>0.5440469</v>
      </c>
      <c r="F3689" t="s">
        <v>54</v>
      </c>
      <c r="G3689">
        <v>-495.04039999999998</v>
      </c>
      <c r="H3689" s="1">
        <v>2.0665110000000001E-6</v>
      </c>
      <c r="I3689">
        <v>208.6362</v>
      </c>
      <c r="J3689">
        <v>-492.13679999999999</v>
      </c>
      <c r="K3689">
        <v>1.1118220000000001</v>
      </c>
      <c r="L3689">
        <v>250.80019999999999</v>
      </c>
      <c r="M3689">
        <v>-9.5879560000000003E-2</v>
      </c>
      <c r="N3689">
        <v>-1.37257E-2</v>
      </c>
      <c r="O3689">
        <v>-0.99529860000000003</v>
      </c>
      <c r="P3689">
        <v>4.8510640000000001E-2</v>
      </c>
      <c r="Q3689">
        <v>0.15813079999999999</v>
      </c>
      <c r="R3689">
        <v>-0.98622619999999905</v>
      </c>
      <c r="S3689">
        <v>-0.21124270000000001</v>
      </c>
      <c r="T3689">
        <v>-8.0569979999999999E-2</v>
      </c>
      <c r="U3689">
        <v>-3.0648499999999999</v>
      </c>
      <c r="V3689">
        <v>-0.14330010000000001</v>
      </c>
      <c r="W3689">
        <v>0.1711539</v>
      </c>
      <c r="X3689">
        <v>0.97476739999999995</v>
      </c>
      <c r="Y3689">
        <v>-2.7215110000000001E-2</v>
      </c>
      <c r="Z3689">
        <v>1.2384030000000001E-2</v>
      </c>
      <c r="AA3689">
        <v>0.99955289999999997</v>
      </c>
      <c r="AB3689">
        <v>23</v>
      </c>
      <c r="AC3689">
        <v>-2.90359999999998</v>
      </c>
      <c r="AD3689">
        <v>-1.11181993348899</v>
      </c>
      <c r="AE3689">
        <v>-42.163999999999902</v>
      </c>
      <c r="AF3689">
        <v>-1.15202776393976</v>
      </c>
      <c r="AG3689">
        <v>-1.11181993348899</v>
      </c>
      <c r="AH3689">
        <v>42.2189163512639</v>
      </c>
      <c r="AI3689">
        <v>91.507953993074693</v>
      </c>
      <c r="AJ3689">
        <v>91.563042338110193</v>
      </c>
      <c r="AK3689">
        <v>42.249262826804497</v>
      </c>
      <c r="AL3689">
        <v>80.145084290107505</v>
      </c>
      <c r="AM3689">
        <v>98.363121733089699</v>
      </c>
      <c r="AN3689">
        <v>1.00000003012398</v>
      </c>
    </row>
    <row r="3690" spans="1:40" x14ac:dyDescent="0.25">
      <c r="A3690" t="str">
        <f>"20190304154826812"</f>
        <v>20190304154826812</v>
      </c>
      <c r="B3690" t="str">
        <f>"1551685706800143"</f>
        <v>1551685706800143</v>
      </c>
      <c r="C3690" t="s">
        <v>40</v>
      </c>
      <c r="D3690">
        <v>4.3619430000000001</v>
      </c>
      <c r="E3690">
        <v>0.54469509999999999</v>
      </c>
      <c r="F3690" t="s">
        <v>54</v>
      </c>
      <c r="G3690">
        <v>-495.14049999999997</v>
      </c>
      <c r="H3690" s="1">
        <v>1.930164E-6</v>
      </c>
      <c r="I3690">
        <v>207.74039999999999</v>
      </c>
      <c r="J3690">
        <v>-492.14760000000001</v>
      </c>
      <c r="K3690">
        <v>1.111801</v>
      </c>
      <c r="L3690">
        <v>250.67679999999999</v>
      </c>
      <c r="M3690">
        <v>-9.4928670000000007E-2</v>
      </c>
      <c r="N3690">
        <v>-1.372375E-2</v>
      </c>
      <c r="O3690">
        <v>-0.99538979999999999</v>
      </c>
      <c r="P3690">
        <v>4.944639E-2</v>
      </c>
      <c r="Q3690">
        <v>0.1580802</v>
      </c>
      <c r="R3690">
        <v>-0.98618790000000001</v>
      </c>
      <c r="S3690">
        <v>-0.2138062</v>
      </c>
      <c r="T3690">
        <v>-7.9141970000000006E-2</v>
      </c>
      <c r="U3690">
        <v>-3.0650940000000002</v>
      </c>
      <c r="V3690">
        <v>-0.14328679999999999</v>
      </c>
      <c r="W3690">
        <v>0.17110880000000001</v>
      </c>
      <c r="X3690">
        <v>0.97477720000000001</v>
      </c>
      <c r="Y3690">
        <v>-2.543374E-2</v>
      </c>
      <c r="Z3690">
        <v>1.1925679999999999E-2</v>
      </c>
      <c r="AA3690">
        <v>0.99960539999999998</v>
      </c>
      <c r="AB3690">
        <v>23</v>
      </c>
      <c r="AC3690">
        <v>-2.9928999999999601</v>
      </c>
      <c r="AD3690">
        <v>-1.1117990698360001</v>
      </c>
      <c r="AE3690">
        <v>-42.9363999999999</v>
      </c>
      <c r="AF3690">
        <v>-1.09616473032323</v>
      </c>
      <c r="AG3690">
        <v>-1.1117990698360001</v>
      </c>
      <c r="AH3690">
        <v>42.997913857680103</v>
      </c>
      <c r="AI3690">
        <v>91.480688744009299</v>
      </c>
      <c r="AJ3690">
        <v>91.460350195046203</v>
      </c>
      <c r="AK3690">
        <v>43.026250945209902</v>
      </c>
      <c r="AL3690">
        <v>80.147706312534794</v>
      </c>
      <c r="AM3690">
        <v>98.362273626911303</v>
      </c>
      <c r="AN3690">
        <v>0.999999959065759</v>
      </c>
    </row>
    <row r="3691" spans="1:40" x14ac:dyDescent="0.25">
      <c r="A3691" t="str">
        <f>"20190304154826824"</f>
        <v>20190304154826824</v>
      </c>
      <c r="B3691" t="str">
        <f>"1551685706820639"</f>
        <v>1551685706820639</v>
      </c>
      <c r="C3691" t="s">
        <v>40</v>
      </c>
      <c r="D3691">
        <v>4.2883440000000004</v>
      </c>
      <c r="E3691">
        <v>0.54552469999999997</v>
      </c>
      <c r="F3691" t="s">
        <v>54</v>
      </c>
      <c r="G3691">
        <v>-495.16079999999999</v>
      </c>
      <c r="H3691" s="1">
        <v>1.9540919999999998E-6</v>
      </c>
      <c r="I3691">
        <v>207.94839999999999</v>
      </c>
      <c r="J3691">
        <v>-492.15879999999999</v>
      </c>
      <c r="K3691">
        <v>1.1117779999999999</v>
      </c>
      <c r="L3691">
        <v>250.54730000000001</v>
      </c>
      <c r="M3691">
        <v>-9.3954910000000003E-2</v>
      </c>
      <c r="N3691">
        <v>-1.37217E-2</v>
      </c>
      <c r="O3691">
        <v>-0.99548199999999998</v>
      </c>
      <c r="P3691">
        <v>5.0416589999999997E-2</v>
      </c>
      <c r="Q3691">
        <v>0.15796679999999999</v>
      </c>
      <c r="R3691">
        <v>-0.98615660000000005</v>
      </c>
      <c r="S3691">
        <v>-0.2161865</v>
      </c>
      <c r="T3691">
        <v>-7.9768779999999997E-2</v>
      </c>
      <c r="U3691">
        <v>-3.0656590000000001</v>
      </c>
      <c r="V3691">
        <v>-0.14328440000000001</v>
      </c>
      <c r="W3691">
        <v>0.17100119999999999</v>
      </c>
      <c r="X3691">
        <v>0.97479649999999995</v>
      </c>
      <c r="Y3691">
        <v>-2.3696849999999998E-2</v>
      </c>
      <c r="Z3691">
        <v>1.212914E-2</v>
      </c>
      <c r="AA3691">
        <v>0.99964560000000002</v>
      </c>
      <c r="AB3691">
        <v>23</v>
      </c>
      <c r="AC3691">
        <v>-3.0019999999999998</v>
      </c>
      <c r="AD3691">
        <v>-1.1117760459079999</v>
      </c>
      <c r="AE3691">
        <v>-42.5989</v>
      </c>
      <c r="AF3691">
        <v>-1.01334738414671</v>
      </c>
      <c r="AG3691">
        <v>-1.1117760459079999</v>
      </c>
      <c r="AH3691">
        <v>42.663589058532203</v>
      </c>
      <c r="AI3691">
        <v>91.492319672133505</v>
      </c>
      <c r="AJ3691">
        <v>91.360635961504002</v>
      </c>
      <c r="AK3691">
        <v>42.690101314620001</v>
      </c>
      <c r="AL3691">
        <v>80.153964197501494</v>
      </c>
      <c r="AM3691">
        <v>98.361972321510706</v>
      </c>
      <c r="AN3691">
        <v>1.00000002304852</v>
      </c>
    </row>
    <row r="3692" spans="1:40" x14ac:dyDescent="0.25">
      <c r="A3692" t="str">
        <f>"20190304154826842"</f>
        <v>20190304154826842</v>
      </c>
      <c r="B3692" t="str">
        <f>"1551685706830399"</f>
        <v>1551685706830399</v>
      </c>
      <c r="C3692" t="s">
        <v>40</v>
      </c>
      <c r="D3692">
        <v>4.2977819999999998</v>
      </c>
      <c r="E3692">
        <v>0.54591409999999996</v>
      </c>
      <c r="F3692" t="s">
        <v>54</v>
      </c>
      <c r="G3692">
        <v>-495.31740000000002</v>
      </c>
      <c r="H3692" s="1">
        <v>1.6520940000000001E-6</v>
      </c>
      <c r="I3692">
        <v>206.4838</v>
      </c>
      <c r="J3692">
        <v>-492.17329999999998</v>
      </c>
      <c r="K3692">
        <v>1.111747</v>
      </c>
      <c r="L3692">
        <v>250.37889999999999</v>
      </c>
      <c r="M3692">
        <v>-9.2710200000000006E-2</v>
      </c>
      <c r="N3692">
        <v>-1.3719159999999999E-2</v>
      </c>
      <c r="O3692">
        <v>-0.99559850000000005</v>
      </c>
      <c r="P3692">
        <v>5.165931E-2</v>
      </c>
      <c r="Q3692">
        <v>0.15767919999999999</v>
      </c>
      <c r="R3692">
        <v>-0.98613830000000002</v>
      </c>
      <c r="S3692">
        <v>-0.21975710000000001</v>
      </c>
      <c r="T3692">
        <v>-7.7352999999999894E-2</v>
      </c>
      <c r="U3692">
        <v>-3.0657649999999999</v>
      </c>
      <c r="V3692">
        <v>-0.14328589999999999</v>
      </c>
      <c r="W3692">
        <v>0.1707217</v>
      </c>
      <c r="X3692">
        <v>0.97484519999999997</v>
      </c>
      <c r="Y3692">
        <v>-2.1291049999999999E-2</v>
      </c>
      <c r="Z3692">
        <v>1.135384E-2</v>
      </c>
      <c r="AA3692">
        <v>0.99970879999999995</v>
      </c>
      <c r="AB3692">
        <v>23</v>
      </c>
      <c r="AC3692">
        <v>-3.1441000000000301</v>
      </c>
      <c r="AD3692">
        <v>-1.111745347906</v>
      </c>
      <c r="AE3692">
        <v>-43.8950999999999</v>
      </c>
      <c r="AF3692">
        <v>-0.93875165826348705</v>
      </c>
      <c r="AG3692">
        <v>-1.111745347906</v>
      </c>
      <c r="AH3692">
        <v>43.969470352666399</v>
      </c>
      <c r="AI3692">
        <v>91.448055738757802</v>
      </c>
      <c r="AJ3692">
        <v>91.223083594258796</v>
      </c>
      <c r="AK3692">
        <v>43.993539929045198</v>
      </c>
      <c r="AL3692">
        <v>80.1702167035413</v>
      </c>
      <c r="AM3692">
        <v>98.361646788492294</v>
      </c>
      <c r="AN3692">
        <v>0.99999995597636904</v>
      </c>
    </row>
    <row r="3693" spans="1:40" x14ac:dyDescent="0.25">
      <c r="A3693" t="str">
        <f>"20190304154826853"</f>
        <v>20190304154826853</v>
      </c>
      <c r="B3693" t="str">
        <f>"1551685706850896"</f>
        <v>1551685706850896</v>
      </c>
      <c r="C3693" t="s">
        <v>40</v>
      </c>
      <c r="D3693">
        <v>4.3101570000000002</v>
      </c>
      <c r="E3693">
        <v>0.54676239999999998</v>
      </c>
      <c r="F3693" t="s">
        <v>54</v>
      </c>
      <c r="G3693">
        <v>-495.32600000000002</v>
      </c>
      <c r="H3693" s="1">
        <v>1.5737920000000001E-6</v>
      </c>
      <c r="I3693">
        <v>206.23349999999999</v>
      </c>
      <c r="J3693">
        <v>-492.18299999999999</v>
      </c>
      <c r="K3693">
        <v>1.1117269999999999</v>
      </c>
      <c r="L3693">
        <v>250.26390000000001</v>
      </c>
      <c r="M3693">
        <v>-9.1871919999999996E-2</v>
      </c>
      <c r="N3693">
        <v>-1.3717490000000001E-2</v>
      </c>
      <c r="O3693">
        <v>-0.99567649999999996</v>
      </c>
      <c r="P3693">
        <v>5.221232E-2</v>
      </c>
      <c r="Q3693">
        <v>0.15795010000000001</v>
      </c>
      <c r="R3693">
        <v>-0.98606609999999995</v>
      </c>
      <c r="S3693">
        <v>-0.21896360000000001</v>
      </c>
      <c r="T3693">
        <v>-7.7212329999999996E-2</v>
      </c>
      <c r="U3693">
        <v>-3.0659640000000001</v>
      </c>
      <c r="V3693">
        <v>-0.14299999999999999</v>
      </c>
      <c r="W3693">
        <v>0.17099839999999999</v>
      </c>
      <c r="X3693">
        <v>0.97483869999999895</v>
      </c>
      <c r="Y3693">
        <v>-2.071141E-2</v>
      </c>
      <c r="Z3693">
        <v>1.1311130000000001E-2</v>
      </c>
      <c r="AA3693">
        <v>0.99972150000000004</v>
      </c>
      <c r="AB3693">
        <v>23</v>
      </c>
      <c r="AC3693">
        <v>-3.1429999999999101</v>
      </c>
      <c r="AD3693">
        <v>-1.1117254262080001</v>
      </c>
      <c r="AE3693">
        <v>-44.0304</v>
      </c>
      <c r="AF3693">
        <v>-0.91525164615422205</v>
      </c>
      <c r="AG3693">
        <v>-1.1117254262080001</v>
      </c>
      <c r="AH3693">
        <v>44.104958570912402</v>
      </c>
      <c r="AI3693">
        <v>91.443601581151199</v>
      </c>
      <c r="AJ3693">
        <v>91.188812612153498</v>
      </c>
      <c r="AK3693">
        <v>44.128460085765099</v>
      </c>
      <c r="AL3693">
        <v>80.154126515423101</v>
      </c>
      <c r="AM3693">
        <v>98.345252749904603</v>
      </c>
      <c r="AN3693">
        <v>0.99999997191012402</v>
      </c>
    </row>
    <row r="3694" spans="1:40" x14ac:dyDescent="0.25">
      <c r="A3694" t="str">
        <f>"20190304154826864"</f>
        <v>20190304154826864</v>
      </c>
      <c r="B3694" t="str">
        <f>"1551685706860655"</f>
        <v>1551685706860655</v>
      </c>
      <c r="C3694" t="s">
        <v>40</v>
      </c>
      <c r="D3694">
        <v>4.3256300000000003</v>
      </c>
      <c r="E3694">
        <v>0.54701009999999906</v>
      </c>
      <c r="F3694" t="s">
        <v>54</v>
      </c>
      <c r="G3694">
        <v>-495.50529999999998</v>
      </c>
      <c r="H3694" s="1">
        <v>1.103757E-6</v>
      </c>
      <c r="I3694">
        <v>204.76750000000001</v>
      </c>
      <c r="J3694">
        <v>-492.1925</v>
      </c>
      <c r="K3694">
        <v>1.1117140000000001</v>
      </c>
      <c r="L3694">
        <v>250.15180000000001</v>
      </c>
      <c r="M3694">
        <v>-9.1074379999999996E-2</v>
      </c>
      <c r="N3694">
        <v>-1.371586E-2</v>
      </c>
      <c r="O3694">
        <v>-0.99574969999999996</v>
      </c>
      <c r="P3694">
        <v>5.2759540000000001E-2</v>
      </c>
      <c r="Q3694">
        <v>0.15792919999999999</v>
      </c>
      <c r="R3694">
        <v>-0.98604020000000003</v>
      </c>
      <c r="S3694">
        <v>-0.22390750000000001</v>
      </c>
      <c r="T3694">
        <v>-7.4925069999999996E-2</v>
      </c>
      <c r="U3694">
        <v>-3.0662379999999998</v>
      </c>
      <c r="V3694">
        <v>-0.14275260000000001</v>
      </c>
      <c r="W3694">
        <v>0.17098289999999999</v>
      </c>
      <c r="X3694">
        <v>0.97487769999999996</v>
      </c>
      <c r="Y3694">
        <v>-1.83135E-2</v>
      </c>
      <c r="Z3694">
        <v>1.0573279999999999E-2</v>
      </c>
      <c r="AA3694">
        <v>0.99977640000000001</v>
      </c>
      <c r="AB3694">
        <v>23</v>
      </c>
      <c r="AC3694">
        <v>-3.3127999999999802</v>
      </c>
      <c r="AD3694">
        <v>-1.1117128962429901</v>
      </c>
      <c r="AE3694">
        <v>-45.384300000000003</v>
      </c>
      <c r="AF3694">
        <v>-0.83420794278117205</v>
      </c>
      <c r="AG3694">
        <v>-1.1117128962429901</v>
      </c>
      <c r="AH3694">
        <v>45.470252116154299</v>
      </c>
      <c r="AI3694">
        <v>91.400323425168196</v>
      </c>
      <c r="AJ3694">
        <v>91.051043939447496</v>
      </c>
      <c r="AK3694">
        <v>45.491489709198397</v>
      </c>
      <c r="AL3694">
        <v>80.155028088617897</v>
      </c>
      <c r="AM3694">
        <v>98.330689086129198</v>
      </c>
      <c r="AN3694">
        <v>0.99999999342822898</v>
      </c>
    </row>
    <row r="3695" spans="1:40" x14ac:dyDescent="0.25">
      <c r="A3695" t="str">
        <f>"20190304154826879"</f>
        <v>20190304154826879</v>
      </c>
      <c r="B3695" t="str">
        <f>"1551685706870414"</f>
        <v>1551685706870414</v>
      </c>
      <c r="C3695" t="s">
        <v>40</v>
      </c>
      <c r="D3695">
        <v>4.2881660000000004</v>
      </c>
      <c r="E3695">
        <v>0.54731079999999999</v>
      </c>
      <c r="F3695" t="s">
        <v>54</v>
      </c>
      <c r="G3695">
        <v>-495.53030000000001</v>
      </c>
      <c r="H3695" s="1">
        <v>1.0240409999999999E-6</v>
      </c>
      <c r="I3695">
        <v>204.38480000000001</v>
      </c>
      <c r="J3695">
        <v>-492.2045</v>
      </c>
      <c r="K3695">
        <v>1.111694</v>
      </c>
      <c r="L3695">
        <v>250.00749999999999</v>
      </c>
      <c r="M3695">
        <v>-9.0061760000000005E-2</v>
      </c>
      <c r="N3695">
        <v>-1.371378E-2</v>
      </c>
      <c r="O3695">
        <v>-0.99584220000000001</v>
      </c>
      <c r="P3695">
        <v>5.3706080000000003E-2</v>
      </c>
      <c r="Q3695">
        <v>0.15763489999999999</v>
      </c>
      <c r="R3695">
        <v>-0.98603629999999998</v>
      </c>
      <c r="S3695">
        <v>-0.22363279999999999</v>
      </c>
      <c r="T3695">
        <v>-7.4483750000000001E-2</v>
      </c>
      <c r="U3695">
        <v>-3.0663450000000001</v>
      </c>
      <c r="V3695">
        <v>-0.1426915</v>
      </c>
      <c r="W3695">
        <v>0.1706954</v>
      </c>
      <c r="X3695">
        <v>0.97493700000000005</v>
      </c>
      <c r="Y3695">
        <v>-1.7388520000000001E-2</v>
      </c>
      <c r="Z3695">
        <v>1.0434840000000001E-2</v>
      </c>
      <c r="AA3695">
        <v>0.99979439999999997</v>
      </c>
      <c r="AB3695">
        <v>23</v>
      </c>
      <c r="AC3695">
        <v>-3.3258000000000099</v>
      </c>
      <c r="AD3695">
        <v>-1.111692975959</v>
      </c>
      <c r="AE3695">
        <v>-45.622699999999902</v>
      </c>
      <c r="AF3695">
        <v>-0.79649284303843904</v>
      </c>
      <c r="AG3695">
        <v>-1.111692975959</v>
      </c>
      <c r="AH3695">
        <v>45.7098213251207</v>
      </c>
      <c r="AI3695">
        <v>91.392985091198597</v>
      </c>
      <c r="AJ3695">
        <v>90.998276935888001</v>
      </c>
      <c r="AK3695">
        <v>45.730274738910801</v>
      </c>
      <c r="AL3695">
        <v>80.171746158629503</v>
      </c>
      <c r="AM3695">
        <v>98.326674056588303</v>
      </c>
      <c r="AN3695">
        <v>0.99999996886120401</v>
      </c>
    </row>
    <row r="3696" spans="1:40" x14ac:dyDescent="0.25">
      <c r="A3696" t="str">
        <f>"20190304154826892"</f>
        <v>20190304154826892</v>
      </c>
      <c r="B3696" t="str">
        <f>"1551685706880175"</f>
        <v>1551685706880175</v>
      </c>
      <c r="C3696" t="s">
        <v>40</v>
      </c>
      <c r="D3696">
        <v>4.4276949999999999</v>
      </c>
      <c r="E3696">
        <v>0.54731079999999999</v>
      </c>
      <c r="F3696" t="s">
        <v>54</v>
      </c>
      <c r="G3696">
        <v>-495.55599999999998</v>
      </c>
      <c r="H3696" s="1">
        <v>9.7738779999999995E-7</v>
      </c>
      <c r="I3696">
        <v>204.0497</v>
      </c>
      <c r="J3696">
        <v>-492.21530000000001</v>
      </c>
      <c r="K3696">
        <v>1.111675</v>
      </c>
      <c r="L3696">
        <v>249.876</v>
      </c>
      <c r="M3696">
        <v>-8.9152549999999997E-2</v>
      </c>
      <c r="N3696">
        <v>-1.3711889999999999E-2</v>
      </c>
      <c r="O3696">
        <v>-0.99592389999999997</v>
      </c>
      <c r="P3696">
        <v>5.4105790000000001E-2</v>
      </c>
      <c r="Q3696">
        <v>0.157338899999999</v>
      </c>
      <c r="R3696">
        <v>-0.98606159999999998</v>
      </c>
      <c r="S3696">
        <v>-0.22363279999999999</v>
      </c>
      <c r="T3696">
        <v>-7.4177980000000004E-2</v>
      </c>
      <c r="U3696">
        <v>-3.0665439999999999</v>
      </c>
      <c r="V3696">
        <v>-0.1421906</v>
      </c>
      <c r="W3696">
        <v>0.1704068</v>
      </c>
      <c r="X3696">
        <v>0.9750607</v>
      </c>
      <c r="Y3696">
        <v>-1.6480539999999998E-2</v>
      </c>
      <c r="Z3696">
        <v>1.033895E-2</v>
      </c>
      <c r="AA3696">
        <v>0.9998108</v>
      </c>
      <c r="AB3696">
        <v>23</v>
      </c>
      <c r="AC3696">
        <v>-3.3406999999999698</v>
      </c>
      <c r="AD3696">
        <v>-1.1116740226121999</v>
      </c>
      <c r="AE3696">
        <v>-45.826299999999897</v>
      </c>
      <c r="AF3696">
        <v>-0.75807586135303895</v>
      </c>
      <c r="AG3696">
        <v>-1.1116740226121999</v>
      </c>
      <c r="AH3696">
        <v>45.914767770404403</v>
      </c>
      <c r="AI3696">
        <v>91.386767626686904</v>
      </c>
      <c r="AJ3696">
        <v>90.9458961344301</v>
      </c>
      <c r="AK3696">
        <v>45.934479397880203</v>
      </c>
      <c r="AL3696">
        <v>80.188527961174699</v>
      </c>
      <c r="AM3696">
        <v>98.296814008652007</v>
      </c>
      <c r="AN3696">
        <v>1.00000000644954</v>
      </c>
    </row>
    <row r="3697" spans="1:40" x14ac:dyDescent="0.25">
      <c r="A3697" t="str">
        <f>"20190304154826912"</f>
        <v>20190304154826912</v>
      </c>
      <c r="B3697" t="str">
        <f>"1551685706900671"</f>
        <v>1551685706900671</v>
      </c>
      <c r="C3697" t="s">
        <v>40</v>
      </c>
      <c r="D3697">
        <v>4.2882119999999997</v>
      </c>
      <c r="E3697">
        <v>0.5580311</v>
      </c>
      <c r="F3697" t="s">
        <v>54</v>
      </c>
      <c r="G3697">
        <v>-495.50490000000002</v>
      </c>
      <c r="H3697" s="1">
        <v>1.0294569999999999E-6</v>
      </c>
      <c r="I3697">
        <v>204.40870000000001</v>
      </c>
      <c r="J3697">
        <v>-492.2312</v>
      </c>
      <c r="K3697">
        <v>1.1116490000000001</v>
      </c>
      <c r="L3697">
        <v>249.6815</v>
      </c>
      <c r="M3697">
        <v>-8.7840500000000002E-2</v>
      </c>
      <c r="N3697">
        <v>-1.3708909999999999E-2</v>
      </c>
      <c r="O3697">
        <v>-0.99604040000000005</v>
      </c>
      <c r="P3697">
        <v>5.571077E-2</v>
      </c>
      <c r="Q3697">
        <v>0.15705039999999901</v>
      </c>
      <c r="R3697">
        <v>-0.98601810000000001</v>
      </c>
      <c r="S3697">
        <v>-0.2218628</v>
      </c>
      <c r="T3697">
        <v>-7.4976440000000005E-2</v>
      </c>
      <c r="U3697">
        <v>-3.0665279999999999</v>
      </c>
      <c r="V3697">
        <v>-0.1424859</v>
      </c>
      <c r="W3697">
        <v>0.17012449999999901</v>
      </c>
      <c r="X3697">
        <v>0.97506689999999996</v>
      </c>
      <c r="Y3697">
        <v>-1.5737460000000002E-2</v>
      </c>
      <c r="Z3697">
        <v>1.0604250000000001E-2</v>
      </c>
      <c r="AA3697">
        <v>0.99981989999999998</v>
      </c>
      <c r="AB3697">
        <v>23</v>
      </c>
      <c r="AC3697">
        <v>-3.2737000000000198</v>
      </c>
      <c r="AD3697">
        <v>-1.11164797054299</v>
      </c>
      <c r="AE3697">
        <v>-45.272799999999897</v>
      </c>
      <c r="AF3697">
        <v>-0.71568583729533697</v>
      </c>
      <c r="AG3697">
        <v>-1.11164797054299</v>
      </c>
      <c r="AH3697">
        <v>45.358152791799299</v>
      </c>
      <c r="AI3697">
        <v>91.403762343870497</v>
      </c>
      <c r="AJ3697">
        <v>90.903969252501597</v>
      </c>
      <c r="AK3697">
        <v>45.377417204071101</v>
      </c>
      <c r="AL3697">
        <v>80.204942355290896</v>
      </c>
      <c r="AM3697">
        <v>98.313752022169993</v>
      </c>
      <c r="AN3697">
        <v>1.0000000183373301</v>
      </c>
    </row>
    <row r="3698" spans="1:40" x14ac:dyDescent="0.25">
      <c r="A3698" t="str">
        <f>"20190304154826925"</f>
        <v>20190304154826925</v>
      </c>
      <c r="B3698" t="str">
        <f>"1551685706920191"</f>
        <v>1551685706920191</v>
      </c>
      <c r="C3698" t="s">
        <v>40</v>
      </c>
      <c r="D3698">
        <v>4.2666120000000003</v>
      </c>
      <c r="E3698">
        <v>0.55715419999999904</v>
      </c>
      <c r="F3698" t="s">
        <v>44</v>
      </c>
      <c r="G3698">
        <v>-498.11369999999999</v>
      </c>
      <c r="H3698" s="1">
        <v>-2.357396E-6</v>
      </c>
      <c r="I3698">
        <v>190.05189999999999</v>
      </c>
      <c r="J3698">
        <v>-492.2423</v>
      </c>
      <c r="K3698">
        <v>1.111631</v>
      </c>
      <c r="L3698">
        <v>249.54300000000001</v>
      </c>
      <c r="M3698">
        <v>-8.6926859999999995E-2</v>
      </c>
      <c r="N3698">
        <v>-1.370682E-2</v>
      </c>
      <c r="O3698">
        <v>-0.99612029999999996</v>
      </c>
      <c r="P3698">
        <v>5.652045E-2</v>
      </c>
      <c r="Q3698">
        <v>0.1569025</v>
      </c>
      <c r="R3698">
        <v>-0.98599530000000002</v>
      </c>
      <c r="S3698">
        <v>-0.30273440000000001</v>
      </c>
      <c r="T3698">
        <v>-5.7209610000000001E-2</v>
      </c>
      <c r="U3698">
        <v>-3.068756</v>
      </c>
      <c r="V3698">
        <v>-0.14238719999999999</v>
      </c>
      <c r="W3698">
        <v>0.1699812</v>
      </c>
      <c r="X3698">
        <v>0.97510629999999998</v>
      </c>
      <c r="Y3698">
        <v>1.128355E-2</v>
      </c>
      <c r="Z3698">
        <v>4.8406400000000002E-3</v>
      </c>
      <c r="AA3698">
        <v>0.99992460000000005</v>
      </c>
      <c r="AB3698">
        <v>22</v>
      </c>
      <c r="AC3698">
        <v>-5.8713999999999897</v>
      </c>
      <c r="AD3698">
        <v>-1.111633357396</v>
      </c>
      <c r="AE3698">
        <v>-59.491100000000003</v>
      </c>
      <c r="AF3698">
        <v>0.67707577755414305</v>
      </c>
      <c r="AG3698">
        <v>-1.111633357396</v>
      </c>
      <c r="AH3698">
        <v>59.755633286135001</v>
      </c>
      <c r="AI3698">
        <v>91.065681404399399</v>
      </c>
      <c r="AJ3698">
        <v>89.350823976289007</v>
      </c>
      <c r="AK3698">
        <v>59.769807342477499</v>
      </c>
      <c r="AL3698">
        <v>80.213274108571994</v>
      </c>
      <c r="AM3698">
        <v>98.3077424890336</v>
      </c>
      <c r="AN3698">
        <v>1.00000000968848</v>
      </c>
    </row>
    <row r="3699" spans="1:40" x14ac:dyDescent="0.25">
      <c r="A3699" t="str">
        <f>"20190304154826937"</f>
        <v>20190304154826937</v>
      </c>
      <c r="B3699" t="str">
        <f>"1551685706929951"</f>
        <v>1551685706929951</v>
      </c>
      <c r="C3699" t="s">
        <v>40</v>
      </c>
      <c r="D3699">
        <v>4.2606339999999996</v>
      </c>
      <c r="E3699">
        <v>0.55698769999999997</v>
      </c>
      <c r="F3699" t="s">
        <v>44</v>
      </c>
      <c r="G3699">
        <v>-498.4495</v>
      </c>
      <c r="H3699" s="1">
        <v>-4.0413529999999997E-6</v>
      </c>
      <c r="I3699">
        <v>184.45820000000001</v>
      </c>
      <c r="J3699">
        <v>-492.25139999999999</v>
      </c>
      <c r="K3699">
        <v>1.111618</v>
      </c>
      <c r="L3699">
        <v>249.42939999999999</v>
      </c>
      <c r="M3699">
        <v>-8.6185059999999994E-2</v>
      </c>
      <c r="N3699">
        <v>-1.3705169999999999E-2</v>
      </c>
      <c r="O3699">
        <v>-0.99618499999999999</v>
      </c>
      <c r="P3699">
        <v>5.7272259999999998E-2</v>
      </c>
      <c r="Q3699">
        <v>0.15686739999999999</v>
      </c>
      <c r="R3699">
        <v>-0.98595790000000005</v>
      </c>
      <c r="S3699">
        <v>-0.292572</v>
      </c>
      <c r="T3699">
        <v>-5.23963E-2</v>
      </c>
      <c r="U3699">
        <v>-3.0677340000000002</v>
      </c>
      <c r="V3699">
        <v>-0.14239959999999999</v>
      </c>
      <c r="W3699">
        <v>0.16994819999999999</v>
      </c>
      <c r="X3699">
        <v>0.97511020000000004</v>
      </c>
      <c r="Y3699">
        <v>8.7804430000000006E-3</v>
      </c>
      <c r="Z3699">
        <v>3.2947760000000001E-3</v>
      </c>
      <c r="AA3699">
        <v>0.99995599999999996</v>
      </c>
      <c r="AB3699">
        <v>22</v>
      </c>
      <c r="AC3699">
        <v>-6.1981000000000099</v>
      </c>
      <c r="AD3699">
        <v>-1.111622041353</v>
      </c>
      <c r="AE3699">
        <v>-64.971199999999897</v>
      </c>
      <c r="AF3699">
        <v>0.57479466253463196</v>
      </c>
      <c r="AG3699">
        <v>-1.111622041353</v>
      </c>
      <c r="AH3699">
        <v>65.244712828038502</v>
      </c>
      <c r="AI3699">
        <v>90.9760579219748</v>
      </c>
      <c r="AJ3699">
        <v>89.495247126643307</v>
      </c>
      <c r="AK3699">
        <v>65.256713405442895</v>
      </c>
      <c r="AL3699">
        <v>80.215192388177698</v>
      </c>
      <c r="AM3699">
        <v>98.308423115559705</v>
      </c>
      <c r="AN3699">
        <v>0.99999996945371905</v>
      </c>
    </row>
    <row r="3700" spans="1:40" x14ac:dyDescent="0.25">
      <c r="A3700" t="str">
        <f>"20190304154826955"</f>
        <v>20190304154826955</v>
      </c>
      <c r="B3700" t="str">
        <f>"1551685706950448"</f>
        <v>1551685706950448</v>
      </c>
      <c r="C3700" t="s">
        <v>40</v>
      </c>
      <c r="D3700">
        <v>4.2617849999999997</v>
      </c>
      <c r="E3700">
        <v>0.55654090000000001</v>
      </c>
      <c r="F3700" t="s">
        <v>44</v>
      </c>
      <c r="G3700">
        <v>-498.4384</v>
      </c>
      <c r="H3700" s="1">
        <v>-3.7971029999999999E-6</v>
      </c>
      <c r="I3700">
        <v>183.74619999999999</v>
      </c>
      <c r="J3700">
        <v>-492.2654</v>
      </c>
      <c r="K3700">
        <v>1.111599</v>
      </c>
      <c r="L3700">
        <v>249.2525</v>
      </c>
      <c r="M3700">
        <v>-8.5045540000000003E-2</v>
      </c>
      <c r="N3700">
        <v>-1.37027E-2</v>
      </c>
      <c r="O3700">
        <v>-0.99628309999999998</v>
      </c>
      <c r="P3700">
        <v>5.8428210000000001E-2</v>
      </c>
      <c r="Q3700">
        <v>0.15661249999999999</v>
      </c>
      <c r="R3700">
        <v>-0.98593070000000005</v>
      </c>
      <c r="S3700">
        <v>-0.28897089999999998</v>
      </c>
      <c r="T3700">
        <v>-5.1919100000000003E-2</v>
      </c>
      <c r="U3700">
        <v>-3.06778</v>
      </c>
      <c r="V3700">
        <v>-0.14242260000000001</v>
      </c>
      <c r="W3700">
        <v>0.1696983</v>
      </c>
      <c r="X3700">
        <v>0.97515039999999997</v>
      </c>
      <c r="Y3700">
        <v>8.7595580000000006E-3</v>
      </c>
      <c r="Z3700">
        <v>3.1446809999999999E-3</v>
      </c>
      <c r="AA3700">
        <v>0.99995670000000003</v>
      </c>
      <c r="AB3700">
        <v>22</v>
      </c>
      <c r="AC3700">
        <v>-6.173</v>
      </c>
      <c r="AD3700">
        <v>-1.111602797103</v>
      </c>
      <c r="AE3700">
        <v>-65.506299999999996</v>
      </c>
      <c r="AF3700">
        <v>0.578925896186683</v>
      </c>
      <c r="AG3700">
        <v>-1.111602797103</v>
      </c>
      <c r="AH3700">
        <v>65.775191748912306</v>
      </c>
      <c r="AI3700">
        <v>90.968170802010704</v>
      </c>
      <c r="AJ3700">
        <v>89.495719387153002</v>
      </c>
      <c r="AK3700">
        <v>65.787131458804197</v>
      </c>
      <c r="AL3700">
        <v>80.229722011889507</v>
      </c>
      <c r="AM3700">
        <v>98.309408550948604</v>
      </c>
      <c r="AN3700">
        <v>1.0000000063168999</v>
      </c>
    </row>
    <row r="3701" spans="1:40" x14ac:dyDescent="0.25">
      <c r="A3701" t="str">
        <f>"20190304154826966"</f>
        <v>20190304154826966</v>
      </c>
      <c r="B3701" t="str">
        <f>"1551685706960207"</f>
        <v>1551685706960207</v>
      </c>
      <c r="C3701" t="s">
        <v>40</v>
      </c>
      <c r="D3701">
        <v>4.2511349999999997</v>
      </c>
      <c r="E3701">
        <v>0.55653399999999997</v>
      </c>
      <c r="F3701" t="s">
        <v>44</v>
      </c>
      <c r="G3701">
        <v>-498.44139999999999</v>
      </c>
      <c r="H3701" s="1">
        <v>-3.2454240000000001E-6</v>
      </c>
      <c r="I3701">
        <v>182.12360000000001</v>
      </c>
      <c r="J3701">
        <v>-492.27429999999998</v>
      </c>
      <c r="K3701">
        <v>1.1115870000000001</v>
      </c>
      <c r="L3701">
        <v>249.13759999999999</v>
      </c>
      <c r="M3701">
        <v>-8.4317829999999996E-2</v>
      </c>
      <c r="N3701">
        <v>-1.3701090000000001E-2</v>
      </c>
      <c r="O3701">
        <v>-0.99634489999999998</v>
      </c>
      <c r="P3701">
        <v>5.9180770000000001E-2</v>
      </c>
      <c r="Q3701">
        <v>0.156444</v>
      </c>
      <c r="R3701">
        <v>-0.98591249999999997</v>
      </c>
      <c r="S3701">
        <v>-0.28222659999999899</v>
      </c>
      <c r="T3701">
        <v>-5.0797219999999997E-2</v>
      </c>
      <c r="U3701">
        <v>-3.067612</v>
      </c>
      <c r="V3701">
        <v>-0.14245179999999999</v>
      </c>
      <c r="W3701">
        <v>0.169532399999999</v>
      </c>
      <c r="X3701">
        <v>0.97517500000000001</v>
      </c>
      <c r="Y3701">
        <v>7.3158499999999996E-3</v>
      </c>
      <c r="Z3701">
        <v>2.7859389999999999E-3</v>
      </c>
      <c r="AA3701">
        <v>0.99996940000000001</v>
      </c>
      <c r="AB3701">
        <v>22</v>
      </c>
      <c r="AC3701">
        <v>-6.1670999999999996</v>
      </c>
      <c r="AD3701">
        <v>-1.1115902454240001</v>
      </c>
      <c r="AE3701">
        <v>-67.013999999999896</v>
      </c>
      <c r="AF3701">
        <v>0.49399508358928901</v>
      </c>
      <c r="AG3701">
        <v>-1.1115902454240001</v>
      </c>
      <c r="AH3701">
        <v>67.277002255703493</v>
      </c>
      <c r="AI3701">
        <v>90.946562961985506</v>
      </c>
      <c r="AJ3701">
        <v>89.579301636703207</v>
      </c>
      <c r="AK3701">
        <v>67.287998161115397</v>
      </c>
      <c r="AL3701">
        <v>80.239367224748605</v>
      </c>
      <c r="AM3701">
        <v>98.310881652327595</v>
      </c>
      <c r="AN3701">
        <v>1.0000000152989901</v>
      </c>
    </row>
    <row r="3702" spans="1:40" x14ac:dyDescent="0.25">
      <c r="A3702" t="str">
        <f>"20190304154826978"</f>
        <v>20190304154826978</v>
      </c>
      <c r="B3702" t="str">
        <f>"1551685706969968"</f>
        <v>1551685706969968</v>
      </c>
      <c r="C3702" t="s">
        <v>40</v>
      </c>
      <c r="D3702">
        <v>4.2671380000000001</v>
      </c>
      <c r="E3702">
        <v>0.55658790000000002</v>
      </c>
      <c r="F3702" t="s">
        <v>44</v>
      </c>
      <c r="G3702">
        <v>-498.43540000000002</v>
      </c>
      <c r="H3702" s="1">
        <v>-3.0186159999999998E-6</v>
      </c>
      <c r="I3702">
        <v>181.46019999999999</v>
      </c>
      <c r="J3702">
        <v>-492.28390000000002</v>
      </c>
      <c r="K3702">
        <v>1.1115740000000001</v>
      </c>
      <c r="L3702">
        <v>249.01390000000001</v>
      </c>
      <c r="M3702">
        <v>-8.3541790000000005E-2</v>
      </c>
      <c r="N3702">
        <v>-1.3699350000000001E-2</v>
      </c>
      <c r="O3702">
        <v>-0.99641009999999997</v>
      </c>
      <c r="P3702">
        <v>5.9980449999999998E-2</v>
      </c>
      <c r="Q3702">
        <v>0.1561119</v>
      </c>
      <c r="R3702">
        <v>-0.98591649999999997</v>
      </c>
      <c r="S3702">
        <v>-0.27926640000000003</v>
      </c>
      <c r="T3702">
        <v>-5.0385480000000003E-2</v>
      </c>
      <c r="U3702">
        <v>-3.0676420000000002</v>
      </c>
      <c r="V3702">
        <v>-0.14248279999999999</v>
      </c>
      <c r="W3702">
        <v>0.16920299999999999</v>
      </c>
      <c r="X3702">
        <v>0.97522770000000003</v>
      </c>
      <c r="Y3702">
        <v>7.1369179999999999E-3</v>
      </c>
      <c r="Z3702">
        <v>2.6556150000000001E-3</v>
      </c>
      <c r="AA3702">
        <v>0.99997100000000005</v>
      </c>
      <c r="AB3702">
        <v>22</v>
      </c>
      <c r="AC3702">
        <v>-6.1514999999999898</v>
      </c>
      <c r="AD3702">
        <v>-1.1115770186159999</v>
      </c>
      <c r="AE3702">
        <v>-67.553700000000006</v>
      </c>
      <c r="AF3702">
        <v>0.48577486536751102</v>
      </c>
      <c r="AG3702">
        <v>-1.1115770186159999</v>
      </c>
      <c r="AH3702">
        <v>67.813252000039697</v>
      </c>
      <c r="AI3702">
        <v>90.939069180204001</v>
      </c>
      <c r="AJ3702">
        <v>89.589573236856893</v>
      </c>
      <c r="AK3702">
        <v>67.824101376347201</v>
      </c>
      <c r="AL3702">
        <v>80.258517309587305</v>
      </c>
      <c r="AM3702">
        <v>98.312222046386694</v>
      </c>
      <c r="AN3702">
        <v>1.0000000351760601</v>
      </c>
    </row>
    <row r="3703" spans="1:40" x14ac:dyDescent="0.25">
      <c r="A3703" t="str">
        <f>"20190304154826989"</f>
        <v>20190304154826989</v>
      </c>
      <c r="B3703" t="str">
        <f>"1551685706980703"</f>
        <v>1551685706980703</v>
      </c>
      <c r="C3703" t="s">
        <v>40</v>
      </c>
      <c r="D3703">
        <v>4.2359929999999997</v>
      </c>
      <c r="E3703">
        <v>0.55682209999999999</v>
      </c>
      <c r="F3703" t="s">
        <v>44</v>
      </c>
      <c r="G3703">
        <v>-498.74020000000002</v>
      </c>
      <c r="H3703" s="1">
        <v>-5.1069189999999996E-6</v>
      </c>
      <c r="I3703">
        <v>177.43790000000001</v>
      </c>
      <c r="J3703">
        <v>-492.29250000000002</v>
      </c>
      <c r="K3703">
        <v>1.1115619999999999</v>
      </c>
      <c r="L3703">
        <v>248.9014</v>
      </c>
      <c r="M3703">
        <v>-8.2841719999999994E-2</v>
      </c>
      <c r="N3703">
        <v>-1.369776E-2</v>
      </c>
      <c r="O3703">
        <v>-0.99646880000000004</v>
      </c>
      <c r="P3703">
        <v>6.0489050000000003E-2</v>
      </c>
      <c r="Q3703">
        <v>0.15589410000000001</v>
      </c>
      <c r="R3703">
        <v>-0.98592040000000003</v>
      </c>
      <c r="S3703">
        <v>-0.27667239999999999</v>
      </c>
      <c r="T3703">
        <v>-4.7634240000000001E-2</v>
      </c>
      <c r="U3703">
        <v>-3.0672299999999999</v>
      </c>
      <c r="V3703">
        <v>-0.142298799999999</v>
      </c>
      <c r="W3703">
        <v>0.16898820000000001</v>
      </c>
      <c r="X3703">
        <v>0.97529180000000004</v>
      </c>
      <c r="Y3703">
        <v>7.0130610000000001E-3</v>
      </c>
      <c r="Z3703">
        <v>1.77022799999999E-3</v>
      </c>
      <c r="AA3703">
        <v>0.99997380000000002</v>
      </c>
      <c r="AB3703">
        <v>22</v>
      </c>
      <c r="AC3703">
        <v>-6.4476999999999904</v>
      </c>
      <c r="AD3703">
        <v>-1.1115671069190001</v>
      </c>
      <c r="AE3703">
        <v>-71.463499999999897</v>
      </c>
      <c r="AF3703">
        <v>0.504698753359345</v>
      </c>
      <c r="AG3703">
        <v>-1.1115671069190001</v>
      </c>
      <c r="AH3703">
        <v>71.734787050048496</v>
      </c>
      <c r="AI3703">
        <v>90.887734305509596</v>
      </c>
      <c r="AJ3703">
        <v>89.596895278226597</v>
      </c>
      <c r="AK3703">
        <v>71.745173882154901</v>
      </c>
      <c r="AL3703">
        <v>80.271004185399605</v>
      </c>
      <c r="AM3703">
        <v>98.301099461060403</v>
      </c>
      <c r="AN3703">
        <v>1.00000002768395</v>
      </c>
    </row>
    <row r="3704" spans="1:40" x14ac:dyDescent="0.25">
      <c r="A3704" t="str">
        <f>"20190304154827001"</f>
        <v>20190304154827001</v>
      </c>
      <c r="B3704" t="str">
        <f>"1551685706990463"</f>
        <v>1551685706990463</v>
      </c>
      <c r="C3704" t="s">
        <v>40</v>
      </c>
      <c r="D3704">
        <v>4.2390249999999998</v>
      </c>
      <c r="E3704">
        <v>0.55684690000000003</v>
      </c>
      <c r="F3704" t="s">
        <v>44</v>
      </c>
      <c r="G3704">
        <v>-498.88279999999997</v>
      </c>
      <c r="H3704" s="1">
        <v>-4.59994E-6</v>
      </c>
      <c r="I3704">
        <v>175.87379999999999</v>
      </c>
      <c r="J3704">
        <v>-492.30079999999998</v>
      </c>
      <c r="K3704">
        <v>1.111551</v>
      </c>
      <c r="L3704">
        <v>248.7929</v>
      </c>
      <c r="M3704">
        <v>-8.2175280000000003E-2</v>
      </c>
      <c r="N3704">
        <v>-1.369546E-2</v>
      </c>
      <c r="O3704">
        <v>-0.99652399999999997</v>
      </c>
      <c r="P3704">
        <v>6.0716989999999998E-2</v>
      </c>
      <c r="Q3704">
        <v>0.155362</v>
      </c>
      <c r="R3704">
        <v>-0.98599009999999998</v>
      </c>
      <c r="S3704">
        <v>-0.2767944</v>
      </c>
      <c r="T3704">
        <v>-4.6686650000000003E-2</v>
      </c>
      <c r="U3704">
        <v>-3.067215</v>
      </c>
      <c r="V3704">
        <v>-0.14187279999999999</v>
      </c>
      <c r="W3704">
        <v>0.16846040000000001</v>
      </c>
      <c r="X3704">
        <v>0.97544520000000001</v>
      </c>
      <c r="Y3704">
        <v>7.7216899999999998E-3</v>
      </c>
      <c r="Z3704">
        <v>1.4667479999999999E-3</v>
      </c>
      <c r="AA3704">
        <v>0.99996910000000006</v>
      </c>
      <c r="AB3704">
        <v>22</v>
      </c>
      <c r="AC3704">
        <v>-6.5819999999999901</v>
      </c>
      <c r="AD3704">
        <v>-1.11155559994</v>
      </c>
      <c r="AE3704">
        <v>-72.9191</v>
      </c>
      <c r="AF3704">
        <v>0.56689590262836498</v>
      </c>
      <c r="AG3704">
        <v>-1.11155559994</v>
      </c>
      <c r="AH3704">
        <v>73.196490627873402</v>
      </c>
      <c r="AI3704">
        <v>90.869995807985106</v>
      </c>
      <c r="AJ3704">
        <v>89.556261605427807</v>
      </c>
      <c r="AK3704">
        <v>73.207125111238597</v>
      </c>
      <c r="AL3704">
        <v>80.301685150502195</v>
      </c>
      <c r="AM3704">
        <v>98.275309666781993</v>
      </c>
      <c r="AN3704">
        <v>1.0000000679755101</v>
      </c>
    </row>
    <row r="3705" spans="1:40" x14ac:dyDescent="0.25">
      <c r="A3705" t="str">
        <f>"20190304154827012"</f>
        <v>20190304154827012</v>
      </c>
      <c r="B3705" t="str">
        <f>"1551685707009983"</f>
        <v>1551685707009983</v>
      </c>
      <c r="C3705" t="s">
        <v>40</v>
      </c>
      <c r="D3705">
        <v>4.237527</v>
      </c>
      <c r="E3705">
        <v>0.55706279999999997</v>
      </c>
      <c r="F3705" t="s">
        <v>44</v>
      </c>
      <c r="G3705">
        <v>-498.90690000000001</v>
      </c>
      <c r="H3705" s="1">
        <v>-4.5006249999999998E-6</v>
      </c>
      <c r="I3705">
        <v>175.5694</v>
      </c>
      <c r="J3705">
        <v>-492.30970000000002</v>
      </c>
      <c r="K3705">
        <v>1.1115389999999901</v>
      </c>
      <c r="L3705">
        <v>248.67509999999999</v>
      </c>
      <c r="M3705">
        <v>-8.1454680000000002E-2</v>
      </c>
      <c r="N3705">
        <v>-1.369246E-2</v>
      </c>
      <c r="O3705">
        <v>-0.9965832</v>
      </c>
      <c r="P3705">
        <v>6.1319060000000002E-2</v>
      </c>
      <c r="Q3705">
        <v>0.15549189999999999</v>
      </c>
      <c r="R3705">
        <v>-0.98593260000000005</v>
      </c>
      <c r="S3705">
        <v>-0.27670289999999997</v>
      </c>
      <c r="T3705">
        <v>-4.6558259999999997E-2</v>
      </c>
      <c r="U3705">
        <v>-3.0670169999999999</v>
      </c>
      <c r="V3705">
        <v>-0.14175699999999999</v>
      </c>
      <c r="W3705">
        <v>0.1685905</v>
      </c>
      <c r="X3705">
        <v>0.97543950000000001</v>
      </c>
      <c r="Y3705">
        <v>8.4208029999999993E-3</v>
      </c>
      <c r="Z3705">
        <v>1.4300179999999999E-3</v>
      </c>
      <c r="AA3705">
        <v>0.99996350000000001</v>
      </c>
      <c r="AB3705">
        <v>22</v>
      </c>
      <c r="AC3705">
        <v>-6.5971999999999804</v>
      </c>
      <c r="AD3705">
        <v>-1.1115435006249901</v>
      </c>
      <c r="AE3705">
        <v>-73.105699999999899</v>
      </c>
      <c r="AF3705">
        <v>0.61977314909774495</v>
      </c>
      <c r="AG3705">
        <v>-1.1115435006249901</v>
      </c>
      <c r="AH3705">
        <v>73.383322992173106</v>
      </c>
      <c r="AI3705">
        <v>90.867766789879596</v>
      </c>
      <c r="AJ3705">
        <v>89.516108838203095</v>
      </c>
      <c r="AK3705">
        <v>73.3943576924257</v>
      </c>
      <c r="AL3705">
        <v>80.294122249370204</v>
      </c>
      <c r="AM3705">
        <v>98.268696240317695</v>
      </c>
      <c r="AN3705">
        <v>1.00000001094975</v>
      </c>
    </row>
    <row r="3706" spans="1:40" x14ac:dyDescent="0.25">
      <c r="A3706" t="str">
        <f>"20190304154827025"</f>
        <v>20190304154827025</v>
      </c>
      <c r="B3706" t="str">
        <f>"1551685707020719"</f>
        <v>1551685707020719</v>
      </c>
      <c r="C3706" t="s">
        <v>40</v>
      </c>
      <c r="D3706">
        <v>4.211811</v>
      </c>
      <c r="E3706">
        <v>0.55736909999999995</v>
      </c>
      <c r="F3706" t="s">
        <v>44</v>
      </c>
      <c r="G3706">
        <v>-499.57240000000002</v>
      </c>
      <c r="H3706" s="1">
        <v>-5.831362E-6</v>
      </c>
      <c r="I3706">
        <v>168.0496</v>
      </c>
      <c r="J3706">
        <v>-492.3193</v>
      </c>
      <c r="K3706">
        <v>1.1115280000000001</v>
      </c>
      <c r="L3706">
        <v>248.5455</v>
      </c>
      <c r="M3706">
        <v>-8.0672519999999998E-2</v>
      </c>
      <c r="N3706">
        <v>-1.3685249999999999E-2</v>
      </c>
      <c r="O3706">
        <v>-0.99664710000000001</v>
      </c>
      <c r="P3706">
        <v>6.166638E-2</v>
      </c>
      <c r="Q3706">
        <v>0.15513740000000001</v>
      </c>
      <c r="R3706">
        <v>-0.98596689999999998</v>
      </c>
      <c r="S3706">
        <v>-0.27624510000000002</v>
      </c>
      <c r="T3706">
        <v>-4.2278650000000001E-2</v>
      </c>
      <c r="U3706">
        <v>-3.0666660000000001</v>
      </c>
      <c r="V3706">
        <v>-0.14133409999999999</v>
      </c>
      <c r="W3706">
        <v>0.1682352</v>
      </c>
      <c r="X3706">
        <v>0.97556220000000005</v>
      </c>
      <c r="Y3706">
        <v>9.0678319999999996E-3</v>
      </c>
      <c r="Z3706" s="1">
        <v>5.4276959999999999E-5</v>
      </c>
      <c r="AA3706">
        <v>0.99995889999999998</v>
      </c>
      <c r="AB3706">
        <v>22</v>
      </c>
      <c r="AC3706">
        <v>-7.2531000000000097</v>
      </c>
      <c r="AD3706">
        <v>-1.111533831362</v>
      </c>
      <c r="AE3706">
        <v>-80.495900000000006</v>
      </c>
      <c r="AF3706">
        <v>0.73490352468838704</v>
      </c>
      <c r="AG3706">
        <v>-1.111533831362</v>
      </c>
      <c r="AH3706">
        <v>80.803384701336</v>
      </c>
      <c r="AI3706">
        <v>90.788080197269196</v>
      </c>
      <c r="AJ3706">
        <v>89.478911563860905</v>
      </c>
      <c r="AK3706">
        <v>80.814371060108797</v>
      </c>
      <c r="AL3706">
        <v>80.314774397242502</v>
      </c>
      <c r="AM3706">
        <v>98.243345361279296</v>
      </c>
      <c r="AN3706">
        <v>1.00000000820534</v>
      </c>
    </row>
    <row r="3707" spans="1:40" x14ac:dyDescent="0.25">
      <c r="A3707" t="str">
        <f>"20190304154827038"</f>
        <v>20190304154827038</v>
      </c>
      <c r="B3707" t="str">
        <f>"1551685707030482"</f>
        <v>1551685707030482</v>
      </c>
      <c r="C3707" t="s">
        <v>40</v>
      </c>
      <c r="D3707">
        <v>4.1967639999999999</v>
      </c>
      <c r="E3707">
        <v>0.55761919999999898</v>
      </c>
      <c r="F3707" t="s">
        <v>44</v>
      </c>
      <c r="G3707">
        <v>-499.68979999999999</v>
      </c>
      <c r="H3707" s="1">
        <v>-5.546117E-6</v>
      </c>
      <c r="I3707">
        <v>167.2526</v>
      </c>
      <c r="J3707">
        <v>-492.32830000000001</v>
      </c>
      <c r="K3707">
        <v>1.1115139999999999</v>
      </c>
      <c r="L3707">
        <v>248.4246</v>
      </c>
      <c r="M3707">
        <v>-7.9947809999999994E-2</v>
      </c>
      <c r="N3707">
        <v>-1.3677E-2</v>
      </c>
      <c r="O3707">
        <v>-0.99670530000000002</v>
      </c>
      <c r="P3707">
        <v>6.2027649999999997E-2</v>
      </c>
      <c r="Q3707">
        <v>0.15532000000000001</v>
      </c>
      <c r="R3707">
        <v>-0.98591519999999999</v>
      </c>
      <c r="S3707">
        <v>-0.27804570000000001</v>
      </c>
      <c r="T3707">
        <v>-4.1931749999999997E-2</v>
      </c>
      <c r="U3707">
        <v>-3.0667110000000002</v>
      </c>
      <c r="V3707">
        <v>-0.14097570000000001</v>
      </c>
      <c r="W3707">
        <v>0.16841339999999999</v>
      </c>
      <c r="X3707">
        <v>0.97558330000000004</v>
      </c>
      <c r="Y3707">
        <v>1.037568E-2</v>
      </c>
      <c r="Z3707" s="1">
        <v>-4.9402800000000001E-5</v>
      </c>
      <c r="AA3707">
        <v>0.99994620000000001</v>
      </c>
      <c r="AB3707">
        <v>22</v>
      </c>
      <c r="AC3707">
        <v>-7.3614999999999702</v>
      </c>
      <c r="AD3707">
        <v>-1.111519546117</v>
      </c>
      <c r="AE3707">
        <v>-81.171999999999997</v>
      </c>
      <c r="AF3707">
        <v>0.84764401611381501</v>
      </c>
      <c r="AG3707">
        <v>-1.111519546117</v>
      </c>
      <c r="AH3707">
        <v>81.485560092672898</v>
      </c>
      <c r="AI3707">
        <v>90.781463421199206</v>
      </c>
      <c r="AJ3707">
        <v>89.404008846140499</v>
      </c>
      <c r="AK3707">
        <v>81.497548918332797</v>
      </c>
      <c r="AL3707">
        <v>80.304416402213604</v>
      </c>
      <c r="AM3707">
        <v>98.222552385515897</v>
      </c>
      <c r="AN3707">
        <v>0.99999999826446995</v>
      </c>
    </row>
    <row r="3708" spans="1:40" x14ac:dyDescent="0.25">
      <c r="A3708" t="str">
        <f>"20190304154827049"</f>
        <v>20190304154827049</v>
      </c>
      <c r="B3708" t="str">
        <f>"1551685707040239"</f>
        <v>1551685707040239</v>
      </c>
      <c r="C3708" t="s">
        <v>40</v>
      </c>
      <c r="D3708">
        <v>4.2213770000000004</v>
      </c>
      <c r="E3708">
        <v>0.55781819999999904</v>
      </c>
      <c r="F3708" t="s">
        <v>44</v>
      </c>
      <c r="G3708">
        <v>-499.95780000000002</v>
      </c>
      <c r="H3708">
        <v>2.055133E-2</v>
      </c>
      <c r="I3708">
        <v>164.3426</v>
      </c>
      <c r="J3708">
        <v>-492.33699999999999</v>
      </c>
      <c r="K3708">
        <v>1.111504</v>
      </c>
      <c r="L3708">
        <v>248.30619999999999</v>
      </c>
      <c r="M3708">
        <v>-7.9242170000000001E-2</v>
      </c>
      <c r="N3708">
        <v>-1.3667540000000001E-2</v>
      </c>
      <c r="O3708">
        <v>-0.99676200000000004</v>
      </c>
      <c r="P3708">
        <v>6.2414780000000003E-2</v>
      </c>
      <c r="Q3708">
        <v>0.1554063</v>
      </c>
      <c r="R3708">
        <v>-0.98587740000000001</v>
      </c>
      <c r="S3708">
        <v>-0.27825929999999999</v>
      </c>
      <c r="T3708">
        <v>-3.9789320000000003E-2</v>
      </c>
      <c r="U3708">
        <v>-3.0666199999999999</v>
      </c>
      <c r="V3708">
        <v>-0.14066400000000001</v>
      </c>
      <c r="W3708">
        <v>0.1684937</v>
      </c>
      <c r="X3708">
        <v>0.97561439999999999</v>
      </c>
      <c r="Y3708">
        <v>1.115529E-2</v>
      </c>
      <c r="Z3708">
        <v>-7.3269239999999999E-4</v>
      </c>
      <c r="AA3708">
        <v>0.99993750000000003</v>
      </c>
      <c r="AB3708">
        <v>22</v>
      </c>
      <c r="AC3708">
        <v>-7.6208000000000302</v>
      </c>
      <c r="AD3708">
        <v>-1.0909526700000001</v>
      </c>
      <c r="AE3708">
        <v>-83.9635999999999</v>
      </c>
      <c r="AF3708">
        <v>0.94259592517572799</v>
      </c>
      <c r="AG3708">
        <v>-1.0909526700000001</v>
      </c>
      <c r="AH3708">
        <v>84.289349699664797</v>
      </c>
      <c r="AI3708">
        <v>90.741488532049203</v>
      </c>
      <c r="AJ3708">
        <v>89.359296075199296</v>
      </c>
      <c r="AK3708">
        <v>84.301679328461205</v>
      </c>
      <c r="AL3708">
        <v>80.299748599130695</v>
      </c>
      <c r="AM3708">
        <v>98.204361963615298</v>
      </c>
      <c r="AN3708">
        <v>0.99999997266152396</v>
      </c>
    </row>
    <row r="3709" spans="1:40" x14ac:dyDescent="0.25">
      <c r="A3709" t="str">
        <f>"20190304154827066"</f>
        <v>20190304154827066</v>
      </c>
      <c r="B3709" t="str">
        <f>"1551685707060735"</f>
        <v>1551685707060735</v>
      </c>
      <c r="C3709" t="s">
        <v>40</v>
      </c>
      <c r="D3709">
        <v>4.2333220000000003</v>
      </c>
      <c r="E3709">
        <v>0.55843809999999905</v>
      </c>
      <c r="F3709" t="s">
        <v>44</v>
      </c>
      <c r="G3709">
        <v>-499.98050000000001</v>
      </c>
      <c r="H3709">
        <v>7.2768429999999995E-2</v>
      </c>
      <c r="I3709">
        <v>164.1455</v>
      </c>
      <c r="J3709">
        <v>-492.34899999999999</v>
      </c>
      <c r="K3709">
        <v>1.111494</v>
      </c>
      <c r="L3709">
        <v>248.1414</v>
      </c>
      <c r="M3709">
        <v>-7.8270560000000003E-2</v>
      </c>
      <c r="N3709">
        <v>-1.365076E-2</v>
      </c>
      <c r="O3709">
        <v>-0.99683869999999997</v>
      </c>
      <c r="P3709">
        <v>6.2272180000000003E-2</v>
      </c>
      <c r="Q3709">
        <v>0.15533359999999999</v>
      </c>
      <c r="R3709">
        <v>-0.98589729999999998</v>
      </c>
      <c r="S3709">
        <v>-0.27850340000000001</v>
      </c>
      <c r="T3709">
        <v>-3.7848E-2</v>
      </c>
      <c r="U3709">
        <v>-3.0665279999999999</v>
      </c>
      <c r="V3709">
        <v>-0.1395661</v>
      </c>
      <c r="W3709">
        <v>0.1684119</v>
      </c>
      <c r="X3709">
        <v>0.97578620000000005</v>
      </c>
      <c r="Y3709">
        <v>1.2211390000000001E-2</v>
      </c>
      <c r="Z3709">
        <v>-1.3435179999999999E-3</v>
      </c>
      <c r="AA3709">
        <v>0.99992449999999999</v>
      </c>
      <c r="AB3709">
        <v>22</v>
      </c>
      <c r="AC3709">
        <v>-7.6315000000000097</v>
      </c>
      <c r="AD3709">
        <v>-1.03872557</v>
      </c>
      <c r="AE3709">
        <v>-83.995900000000006</v>
      </c>
      <c r="AF3709">
        <v>1.0329079892864901</v>
      </c>
      <c r="AG3709">
        <v>-1.03872557</v>
      </c>
      <c r="AH3709">
        <v>84.322753153450705</v>
      </c>
      <c r="AI3709">
        <v>90.705706527261995</v>
      </c>
      <c r="AJ3709">
        <v>89.298192878783098</v>
      </c>
      <c r="AK3709">
        <v>84.335476219097103</v>
      </c>
      <c r="AL3709">
        <v>80.304503473341896</v>
      </c>
      <c r="AM3709">
        <v>98.139773489279804</v>
      </c>
      <c r="AN3709">
        <v>0.99999998622062902</v>
      </c>
    </row>
    <row r="3710" spans="1:40" x14ac:dyDescent="0.25">
      <c r="A3710" t="str">
        <f>"20190304154827078"</f>
        <v>20190304154827078</v>
      </c>
      <c r="B3710" t="str">
        <f>"1551685707070495"</f>
        <v>1551685707070495</v>
      </c>
      <c r="C3710" t="s">
        <v>40</v>
      </c>
      <c r="D3710">
        <v>4.2129940000000001</v>
      </c>
      <c r="E3710">
        <v>0.55865959999999903</v>
      </c>
      <c r="F3710" t="s">
        <v>68</v>
      </c>
      <c r="G3710">
        <v>-500.86529999999999</v>
      </c>
      <c r="H3710">
        <v>7.9987299999999997E-2</v>
      </c>
      <c r="I3710">
        <v>156.13249999999999</v>
      </c>
      <c r="J3710">
        <v>-492.35739999999998</v>
      </c>
      <c r="K3710">
        <v>1.111486</v>
      </c>
      <c r="L3710">
        <v>248.02379999999999</v>
      </c>
      <c r="M3710">
        <v>-7.7581720000000007E-2</v>
      </c>
      <c r="N3710">
        <v>-1.3635990000000001E-2</v>
      </c>
      <c r="O3710">
        <v>-0.99689289999999997</v>
      </c>
      <c r="P3710">
        <v>6.2780169999999996E-2</v>
      </c>
      <c r="Q3710">
        <v>0.15536720000000001</v>
      </c>
      <c r="R3710">
        <v>-0.98585999999999996</v>
      </c>
      <c r="S3710">
        <v>-0.2838135</v>
      </c>
      <c r="T3710">
        <v>-3.4375790000000003E-2</v>
      </c>
      <c r="U3710">
        <v>-3.0662690000000001</v>
      </c>
      <c r="V3710">
        <v>-0.13939199999999999</v>
      </c>
      <c r="W3710">
        <v>0.16843350000000001</v>
      </c>
      <c r="X3710">
        <v>0.97580739999999999</v>
      </c>
      <c r="Y3710">
        <v>1.462664E-2</v>
      </c>
      <c r="Z3710">
        <v>-2.4521130000000001E-3</v>
      </c>
      <c r="AA3710">
        <v>0.99988999999999995</v>
      </c>
      <c r="AB3710">
        <v>22</v>
      </c>
      <c r="AC3710">
        <v>-8.5078999999999994</v>
      </c>
      <c r="AD3710">
        <v>-1.0314987</v>
      </c>
      <c r="AE3710">
        <v>-91.891300000000001</v>
      </c>
      <c r="AF3710">
        <v>1.3523365773593401</v>
      </c>
      <c r="AG3710">
        <v>-1.0314987</v>
      </c>
      <c r="AH3710">
        <v>92.262879770063293</v>
      </c>
      <c r="AI3710">
        <v>90.640471154554007</v>
      </c>
      <c r="AJ3710">
        <v>89.160251333603696</v>
      </c>
      <c r="AK3710">
        <v>92.278555402930607</v>
      </c>
      <c r="AL3710">
        <v>80.303248355649998</v>
      </c>
      <c r="AM3710">
        <v>98.129581187786698</v>
      </c>
      <c r="AN3710">
        <v>1.0000000277404999</v>
      </c>
    </row>
    <row r="3711" spans="1:40" x14ac:dyDescent="0.25">
      <c r="A3711" t="str">
        <f>"20190304154827101"</f>
        <v>20190304154827101</v>
      </c>
      <c r="B3711" t="str">
        <f>"1551685707090015"</f>
        <v>1551685707090015</v>
      </c>
      <c r="C3711" t="s">
        <v>40</v>
      </c>
      <c r="D3711">
        <v>4.1882650000000003</v>
      </c>
      <c r="E3711">
        <v>0.55920899999999996</v>
      </c>
      <c r="F3711" t="s">
        <v>68</v>
      </c>
      <c r="G3711">
        <v>-501.49900000000002</v>
      </c>
      <c r="H3711">
        <v>7.9987520000000006E-2</v>
      </c>
      <c r="I3711">
        <v>149.6215</v>
      </c>
      <c r="J3711">
        <v>-492.3732</v>
      </c>
      <c r="K3711">
        <v>1.1114790000000001</v>
      </c>
      <c r="L3711">
        <v>247.8004</v>
      </c>
      <c r="M3711">
        <v>-7.6282909999999995E-2</v>
      </c>
      <c r="N3711">
        <v>-1.3602650000000001E-2</v>
      </c>
      <c r="O3711">
        <v>-0.99699369999999998</v>
      </c>
      <c r="P3711">
        <v>6.3709920000000003E-2</v>
      </c>
      <c r="Q3711">
        <v>0.15587960000000001</v>
      </c>
      <c r="R3711">
        <v>-0.98571929999999996</v>
      </c>
      <c r="S3711">
        <v>-0.28485110000000002</v>
      </c>
      <c r="T3711">
        <v>-3.2141570000000001E-2</v>
      </c>
      <c r="U3711">
        <v>-3.0662229999999999</v>
      </c>
      <c r="V3711">
        <v>-0.1390323</v>
      </c>
      <c r="W3711">
        <v>0.16891579999999901</v>
      </c>
      <c r="X3711">
        <v>0.97577530000000001</v>
      </c>
      <c r="Y3711">
        <v>1.6265789999999999E-2</v>
      </c>
      <c r="Z3711">
        <v>-3.1417799999999998E-3</v>
      </c>
      <c r="AA3711">
        <v>0.99986280000000005</v>
      </c>
      <c r="AB3711">
        <v>22</v>
      </c>
      <c r="AC3711">
        <v>-9.1258000000000195</v>
      </c>
      <c r="AD3711">
        <v>-1.0314914799999999</v>
      </c>
      <c r="AE3711">
        <v>-98.178899999999999</v>
      </c>
      <c r="AF3711">
        <v>1.60896527057467</v>
      </c>
      <c r="AG3711">
        <v>-1.0314914799999999</v>
      </c>
      <c r="AH3711">
        <v>98.578193640991401</v>
      </c>
      <c r="AI3711">
        <v>90.599423460511005</v>
      </c>
      <c r="AJ3711">
        <v>89.064917593424397</v>
      </c>
      <c r="AK3711">
        <v>98.596719039915399</v>
      </c>
      <c r="AL3711">
        <v>80.275212454595405</v>
      </c>
      <c r="AM3711">
        <v>98.109145435370905</v>
      </c>
      <c r="AN3711">
        <v>0.99999998201150897</v>
      </c>
    </row>
    <row r="3712" spans="1:40" x14ac:dyDescent="0.25">
      <c r="A3712" t="str">
        <f>"20190304154827114"</f>
        <v>20190304154827114</v>
      </c>
      <c r="B3712" t="str">
        <f>"1551685707110511"</f>
        <v>1551685707110511</v>
      </c>
      <c r="C3712" t="s">
        <v>40</v>
      </c>
      <c r="D3712">
        <v>4.3773780000000002</v>
      </c>
      <c r="E3712">
        <v>0.55906279999999997</v>
      </c>
      <c r="F3712" t="s">
        <v>68</v>
      </c>
      <c r="G3712">
        <v>-503.27269999999999</v>
      </c>
      <c r="H3712">
        <v>7.9987699999999995E-2</v>
      </c>
      <c r="I3712">
        <v>130.88829999999999</v>
      </c>
      <c r="J3712">
        <v>-492.38249999999999</v>
      </c>
      <c r="K3712">
        <v>1.1114710000000001</v>
      </c>
      <c r="L3712">
        <v>247.66829999999999</v>
      </c>
      <c r="M3712">
        <v>-7.5519030000000001E-2</v>
      </c>
      <c r="N3712">
        <v>-1.3581579999999999E-2</v>
      </c>
      <c r="O3712">
        <v>-0.9970521</v>
      </c>
      <c r="P3712">
        <v>6.4246769999999995E-2</v>
      </c>
      <c r="Q3712">
        <v>0.15607660000000001</v>
      </c>
      <c r="R3712">
        <v>-0.98565340000000001</v>
      </c>
      <c r="S3712">
        <v>-0.28585820000000001</v>
      </c>
      <c r="T3712">
        <v>-2.7052639999999999E-2</v>
      </c>
      <c r="U3712">
        <v>-3.0662229999999999</v>
      </c>
      <c r="V3712">
        <v>-0.13881209999999999</v>
      </c>
      <c r="W3712">
        <v>0.16909389999999999</v>
      </c>
      <c r="X3712">
        <v>0.97577579999999997</v>
      </c>
      <c r="Y3712">
        <v>1.7356880000000002E-2</v>
      </c>
      <c r="Z3712">
        <v>-4.7691410000000002E-3</v>
      </c>
      <c r="AA3712">
        <v>0.999838</v>
      </c>
      <c r="AB3712">
        <v>22</v>
      </c>
      <c r="AC3712">
        <v>-10.890199999999901</v>
      </c>
      <c r="AD3712">
        <v>-1.0314833000000001</v>
      </c>
      <c r="AE3712">
        <v>-116.78</v>
      </c>
      <c r="AF3712">
        <v>2.0390143485257899</v>
      </c>
      <c r="AG3712">
        <v>-1.0314833000000001</v>
      </c>
      <c r="AH3712">
        <v>117.259880640299</v>
      </c>
      <c r="AI3712">
        <v>90.503916452819695</v>
      </c>
      <c r="AJ3712">
        <v>89.003792746763096</v>
      </c>
      <c r="AK3712">
        <v>117.282143334306</v>
      </c>
      <c r="AL3712">
        <v>80.264859116331394</v>
      </c>
      <c r="AM3712">
        <v>98.0964684649758</v>
      </c>
      <c r="AN3712">
        <v>0.999999978994629</v>
      </c>
    </row>
    <row r="3713" spans="1:40" x14ac:dyDescent="0.25">
      <c r="A3713" t="str">
        <f>"20190304154827129"</f>
        <v>20190304154827129</v>
      </c>
      <c r="B3713" t="str">
        <f>"1551685707120272"</f>
        <v>1551685707120272</v>
      </c>
      <c r="C3713" t="s">
        <v>40</v>
      </c>
      <c r="D3713">
        <v>4.4863629999999999</v>
      </c>
      <c r="E3713">
        <v>0.52010119999999904</v>
      </c>
      <c r="F3713" t="s">
        <v>68</v>
      </c>
      <c r="G3713">
        <v>-503.61270000000002</v>
      </c>
      <c r="H3713">
        <v>7.9987249999999996E-2</v>
      </c>
      <c r="I3713">
        <v>126.0766</v>
      </c>
      <c r="J3713">
        <v>-492.39280000000002</v>
      </c>
      <c r="K3713">
        <v>1.1114649999999999</v>
      </c>
      <c r="L3713">
        <v>247.51920000000001</v>
      </c>
      <c r="M3713">
        <v>-7.4660409999999996E-2</v>
      </c>
      <c r="N3713">
        <v>-1.3558310000000001E-2</v>
      </c>
      <c r="O3713">
        <v>-0.99711700000000003</v>
      </c>
      <c r="P3713">
        <v>6.4922279999999999E-2</v>
      </c>
      <c r="Q3713">
        <v>0.15628420000000001</v>
      </c>
      <c r="R3713">
        <v>-0.98557649999999997</v>
      </c>
      <c r="S3713">
        <v>-0.28320309999999999</v>
      </c>
      <c r="T3713">
        <v>-2.6011820000000001E-2</v>
      </c>
      <c r="U3713">
        <v>-3.066284</v>
      </c>
      <c r="V3713">
        <v>-0.13863729999999999</v>
      </c>
      <c r="W3713">
        <v>0.1692796</v>
      </c>
      <c r="X3713">
        <v>0.97576850000000004</v>
      </c>
      <c r="Y3713">
        <v>1.7357600000000001E-2</v>
      </c>
      <c r="Z3713">
        <v>-5.0831519999999996E-3</v>
      </c>
      <c r="AA3713">
        <v>0.99983639999999996</v>
      </c>
      <c r="AB3713">
        <v>22</v>
      </c>
      <c r="AC3713">
        <v>-11.2198999999999</v>
      </c>
      <c r="AD3713">
        <v>-1.0314777500000001</v>
      </c>
      <c r="AE3713">
        <v>-121.4426</v>
      </c>
      <c r="AF3713">
        <v>2.1206416358862099</v>
      </c>
      <c r="AG3713">
        <v>-1.0314777500000001</v>
      </c>
      <c r="AH3713">
        <v>121.93263084758701</v>
      </c>
      <c r="AI3713">
        <v>90.484603474604896</v>
      </c>
      <c r="AJ3713">
        <v>89.003617274509395</v>
      </c>
      <c r="AK3713">
        <v>121.955432567437</v>
      </c>
      <c r="AL3713">
        <v>80.254064113069504</v>
      </c>
      <c r="AM3713">
        <v>98.086467567481606</v>
      </c>
      <c r="AN3713">
        <v>1.0000000247598499</v>
      </c>
    </row>
    <row r="3714" spans="1:40" x14ac:dyDescent="0.25">
      <c r="A3714" t="str">
        <f>"20190304154827144"</f>
        <v>20190304154827144</v>
      </c>
      <c r="B3714" t="str">
        <f>"1551685707140768"</f>
        <v>1551685707140768</v>
      </c>
      <c r="C3714" t="s">
        <v>40</v>
      </c>
      <c r="D3714">
        <v>4.3024659999999999</v>
      </c>
      <c r="E3714">
        <v>0.50675389999999998</v>
      </c>
      <c r="F3714" t="s">
        <v>54</v>
      </c>
      <c r="G3714">
        <v>-492.04309999999998</v>
      </c>
      <c r="H3714" s="1">
        <v>2.7299330000000002E-6</v>
      </c>
      <c r="I3714">
        <v>209.66139999999999</v>
      </c>
      <c r="J3714">
        <v>-492.40269999999998</v>
      </c>
      <c r="K3714">
        <v>1.111461</v>
      </c>
      <c r="L3714">
        <v>247.37370000000001</v>
      </c>
      <c r="M3714">
        <v>-7.3823589999999994E-2</v>
      </c>
      <c r="N3714">
        <v>-1.353439E-2</v>
      </c>
      <c r="O3714">
        <v>-0.9971795</v>
      </c>
      <c r="P3714">
        <v>6.5797640000000004E-2</v>
      </c>
      <c r="Q3714">
        <v>0.15641050000000001</v>
      </c>
      <c r="R3714">
        <v>-0.98549819999999999</v>
      </c>
      <c r="S3714">
        <v>2.8228759999999999E-2</v>
      </c>
      <c r="T3714">
        <v>-8.9728240000000001E-2</v>
      </c>
      <c r="U3714">
        <v>-3.0562589999999998</v>
      </c>
      <c r="V3714">
        <v>-0.13868279999999999</v>
      </c>
      <c r="W3714">
        <v>0.16938249999999999</v>
      </c>
      <c r="X3714">
        <v>0.97574419999999995</v>
      </c>
      <c r="Y3714">
        <v>-8.301269E-2</v>
      </c>
      <c r="Z3714">
        <v>1.5638949999999999E-2</v>
      </c>
      <c r="AA3714">
        <v>0.99642569999999997</v>
      </c>
      <c r="AB3714">
        <v>22</v>
      </c>
      <c r="AC3714">
        <v>0.35959999999999998</v>
      </c>
      <c r="AD3714">
        <v>-1.1114582700669999</v>
      </c>
      <c r="AE3714">
        <v>-37.712299999999999</v>
      </c>
      <c r="AF3714">
        <v>-3.1402035692408199</v>
      </c>
      <c r="AG3714">
        <v>-1.1114582700669999</v>
      </c>
      <c r="AH3714">
        <v>37.550213595351501</v>
      </c>
      <c r="AI3714">
        <v>91.689523198798497</v>
      </c>
      <c r="AJ3714">
        <v>94.780338765513704</v>
      </c>
      <c r="AK3714">
        <v>37.697675777146998</v>
      </c>
      <c r="AL3714">
        <v>80.248082210825601</v>
      </c>
      <c r="AM3714">
        <v>98.089285166762707</v>
      </c>
      <c r="AN3714">
        <v>1.0000000470778601</v>
      </c>
    </row>
    <row r="3715" spans="1:40" x14ac:dyDescent="0.25">
      <c r="A3715" t="str">
        <f>"20190304154827159"</f>
        <v>20190304154827159</v>
      </c>
      <c r="B3715" t="str">
        <f>"1551685707150527"</f>
        <v>1551685707150527</v>
      </c>
      <c r="C3715" t="s">
        <v>40</v>
      </c>
      <c r="D3715">
        <v>4.3053129999999999</v>
      </c>
      <c r="E3715">
        <v>0.50397479999999995</v>
      </c>
      <c r="F3715" t="s">
        <v>54</v>
      </c>
      <c r="G3715">
        <v>-490.92430000000002</v>
      </c>
      <c r="H3715" s="1">
        <v>3.1368490000000001E-6</v>
      </c>
      <c r="I3715">
        <v>214.4306</v>
      </c>
      <c r="J3715">
        <v>-492.4126</v>
      </c>
      <c r="K3715">
        <v>1.111456</v>
      </c>
      <c r="L3715">
        <v>247.22710000000001</v>
      </c>
      <c r="M3715">
        <v>-7.2980379999999997E-2</v>
      </c>
      <c r="N3715">
        <v>-1.35091E-2</v>
      </c>
      <c r="O3715">
        <v>-0.99724199999999996</v>
      </c>
      <c r="P3715">
        <v>6.6560090000000002E-2</v>
      </c>
      <c r="Q3715">
        <v>0.1562229</v>
      </c>
      <c r="R3715">
        <v>-0.98547700000000005</v>
      </c>
      <c r="S3715">
        <v>0.13693239999999901</v>
      </c>
      <c r="T3715">
        <v>-0.102948499999999</v>
      </c>
      <c r="U3715">
        <v>-3.0513460000000001</v>
      </c>
      <c r="V3715">
        <v>-0.1386144</v>
      </c>
      <c r="W3715">
        <v>0.16917099999999999</v>
      </c>
      <c r="X3715">
        <v>0.97579059999999995</v>
      </c>
      <c r="Y3715">
        <v>-0.1175785</v>
      </c>
      <c r="Z3715">
        <v>1.9924210000000001E-2</v>
      </c>
      <c r="AA3715">
        <v>0.99286370000000002</v>
      </c>
      <c r="AB3715">
        <v>22</v>
      </c>
      <c r="AC3715">
        <v>1.48829999999998</v>
      </c>
      <c r="AD3715">
        <v>-1.1114528631509999</v>
      </c>
      <c r="AE3715">
        <v>-32.796500000000002</v>
      </c>
      <c r="AF3715">
        <v>-3.8736100608464099</v>
      </c>
      <c r="AG3715">
        <v>-1.1114528631509999</v>
      </c>
      <c r="AH3715">
        <v>32.563080019499203</v>
      </c>
      <c r="AI3715">
        <v>91.941201955262301</v>
      </c>
      <c r="AJ3715">
        <v>96.783861494619899</v>
      </c>
      <c r="AK3715">
        <v>32.811497416710601</v>
      </c>
      <c r="AL3715">
        <v>80.260377611167002</v>
      </c>
      <c r="AM3715">
        <v>98.084968820152795</v>
      </c>
      <c r="AN3715">
        <v>1.0000000370883499</v>
      </c>
    </row>
    <row r="3716" spans="1:40" x14ac:dyDescent="0.25">
      <c r="A3716" t="str">
        <f>"20190304154827172"</f>
        <v>20190304154827172</v>
      </c>
      <c r="B3716" t="str">
        <f>"1551685707160288"</f>
        <v>1551685707160288</v>
      </c>
      <c r="C3716" t="s">
        <v>40</v>
      </c>
      <c r="D3716">
        <v>4.3193060000000001</v>
      </c>
      <c r="E3716">
        <v>0.50223669999999998</v>
      </c>
      <c r="F3716" t="s">
        <v>54</v>
      </c>
      <c r="G3716">
        <v>-490.77749999999997</v>
      </c>
      <c r="H3716" s="1">
        <v>3.2471869999999999E-6</v>
      </c>
      <c r="I3716">
        <v>216.35910000000001</v>
      </c>
      <c r="J3716">
        <v>-492.42140000000001</v>
      </c>
      <c r="K3716">
        <v>1.111453</v>
      </c>
      <c r="L3716">
        <v>247.09540000000001</v>
      </c>
      <c r="M3716">
        <v>-7.2222060000000005E-2</v>
      </c>
      <c r="N3716">
        <v>-1.3485540000000001E-2</v>
      </c>
      <c r="O3716">
        <v>-0.99729749999999995</v>
      </c>
      <c r="P3716">
        <v>6.7328330000000006E-2</v>
      </c>
      <c r="Q3716">
        <v>0.15598319999999999</v>
      </c>
      <c r="R3716">
        <v>-0.98546250000000002</v>
      </c>
      <c r="S3716">
        <v>0.1615906</v>
      </c>
      <c r="T3716">
        <v>-0.1098455</v>
      </c>
      <c r="U3716">
        <v>-3.0507049999999998</v>
      </c>
      <c r="V3716">
        <v>-0.1386356</v>
      </c>
      <c r="W3716">
        <v>0.16890920000000001</v>
      </c>
      <c r="X3716">
        <v>0.9758329</v>
      </c>
      <c r="Y3716">
        <v>-0.1248287</v>
      </c>
      <c r="Z3716">
        <v>2.2170659999999998E-2</v>
      </c>
      <c r="AA3716">
        <v>0.9919306</v>
      </c>
      <c r="AB3716">
        <v>22</v>
      </c>
      <c r="AC3716">
        <v>1.6439000000000299</v>
      </c>
      <c r="AD3716">
        <v>-1.1114497528129901</v>
      </c>
      <c r="AE3716">
        <v>-30.7363</v>
      </c>
      <c r="AF3716">
        <v>-3.8546209272346901</v>
      </c>
      <c r="AG3716">
        <v>-1.1114497528129901</v>
      </c>
      <c r="AH3716">
        <v>30.4975183420717</v>
      </c>
      <c r="AI3716">
        <v>92.070700863958507</v>
      </c>
      <c r="AJ3716">
        <v>97.203491969674303</v>
      </c>
      <c r="AK3716">
        <v>30.760234850707899</v>
      </c>
      <c r="AL3716">
        <v>80.275596277357394</v>
      </c>
      <c r="AM3716">
        <v>98.0858431194834</v>
      </c>
      <c r="AN3716">
        <v>0.99999999807720497</v>
      </c>
    </row>
    <row r="3717" spans="1:40" x14ac:dyDescent="0.25">
      <c r="A3717" t="str">
        <f>"20190304154827184"</f>
        <v>20190304154827184</v>
      </c>
      <c r="B3717" t="str">
        <f>"1551685707180783"</f>
        <v>1551685707180783</v>
      </c>
      <c r="C3717" t="s">
        <v>40</v>
      </c>
      <c r="D3717">
        <v>4.3537879999999998</v>
      </c>
      <c r="E3717">
        <v>0.49957079999999998</v>
      </c>
      <c r="F3717" t="s">
        <v>54</v>
      </c>
      <c r="G3717">
        <v>-490.70800000000003</v>
      </c>
      <c r="H3717" s="1">
        <v>3.3150559999999999E-6</v>
      </c>
      <c r="I3717">
        <v>217.62970000000001</v>
      </c>
      <c r="J3717">
        <v>-492.42939999999999</v>
      </c>
      <c r="K3717">
        <v>1.11145</v>
      </c>
      <c r="L3717">
        <v>246.97210000000001</v>
      </c>
      <c r="M3717">
        <v>-7.1511399999999906E-2</v>
      </c>
      <c r="N3717">
        <v>-1.3463889999999999E-2</v>
      </c>
      <c r="O3717">
        <v>-0.99734889999999998</v>
      </c>
      <c r="P3717">
        <v>6.8030690000000005E-2</v>
      </c>
      <c r="Q3717">
        <v>0.15609100000000001</v>
      </c>
      <c r="R3717">
        <v>-0.98539719999999997</v>
      </c>
      <c r="S3717">
        <v>0.1773682</v>
      </c>
      <c r="T3717">
        <v>-0.1150595</v>
      </c>
      <c r="U3717">
        <v>-3.0503390000000001</v>
      </c>
      <c r="V3717">
        <v>-0.13863490000000001</v>
      </c>
      <c r="W3717">
        <v>0.16899520000000001</v>
      </c>
      <c r="X3717">
        <v>0.97581810000000002</v>
      </c>
      <c r="Y3717">
        <v>-0.1292364</v>
      </c>
      <c r="Z3717">
        <v>2.387328E-2</v>
      </c>
      <c r="AA3717">
        <v>0.99132640000000005</v>
      </c>
      <c r="AB3717">
        <v>22</v>
      </c>
      <c r="AC3717">
        <v>1.7213999999999601</v>
      </c>
      <c r="AD3717">
        <v>-1.1114466849439999</v>
      </c>
      <c r="AE3717">
        <v>-29.342400000000001</v>
      </c>
      <c r="AF3717">
        <v>-3.8100505307388501</v>
      </c>
      <c r="AG3717">
        <v>-1.1114466849439999</v>
      </c>
      <c r="AH3717">
        <v>29.102539959652301</v>
      </c>
      <c r="AI3717">
        <v>92.168615926298401</v>
      </c>
      <c r="AJ3717">
        <v>97.458637582969004</v>
      </c>
      <c r="AK3717">
        <v>29.371919087513099</v>
      </c>
      <c r="AL3717">
        <v>80.270596879437207</v>
      </c>
      <c r="AM3717">
        <v>98.085923845907899</v>
      </c>
      <c r="AN3717">
        <v>0.99999998870432905</v>
      </c>
    </row>
    <row r="3718" spans="1:40" x14ac:dyDescent="0.25">
      <c r="A3718" t="str">
        <f>"20190304154827201"</f>
        <v>20190304154827201</v>
      </c>
      <c r="B3718" t="str">
        <f>"1551685707190544"</f>
        <v>1551685707190544</v>
      </c>
      <c r="C3718" t="s">
        <v>40</v>
      </c>
      <c r="D3718">
        <v>4.3319099999999997</v>
      </c>
      <c r="E3718">
        <v>0.4985386</v>
      </c>
      <c r="F3718" t="s">
        <v>54</v>
      </c>
      <c r="G3718">
        <v>-490.55560000000003</v>
      </c>
      <c r="H3718" s="1">
        <v>3.379854E-6</v>
      </c>
      <c r="I3718">
        <v>218.49340000000001</v>
      </c>
      <c r="J3718">
        <v>-492.43970000000002</v>
      </c>
      <c r="K3718">
        <v>1.111442</v>
      </c>
      <c r="L3718">
        <v>246.8142</v>
      </c>
      <c r="M3718">
        <v>-7.0600380000000004E-2</v>
      </c>
      <c r="N3718">
        <v>-1.3435239999999999E-2</v>
      </c>
      <c r="O3718">
        <v>-0.99741420000000003</v>
      </c>
      <c r="P3718">
        <v>6.9057519999999997E-2</v>
      </c>
      <c r="Q3718">
        <v>0.15579270000000001</v>
      </c>
      <c r="R3718">
        <v>-0.9853729</v>
      </c>
      <c r="S3718">
        <v>0.2006531</v>
      </c>
      <c r="T3718">
        <v>-0.1190131</v>
      </c>
      <c r="U3718">
        <v>-3.0494840000000001</v>
      </c>
      <c r="V3718">
        <v>-0.13876369999999999</v>
      </c>
      <c r="W3718">
        <v>0.16866900000000001</v>
      </c>
      <c r="X3718">
        <v>0.97585619999999995</v>
      </c>
      <c r="Y3718">
        <v>-0.13587869999999999</v>
      </c>
      <c r="Z3718">
        <v>2.5169219999999999E-2</v>
      </c>
      <c r="AA3718">
        <v>0.99040569999999895</v>
      </c>
      <c r="AB3718">
        <v>22</v>
      </c>
      <c r="AC3718">
        <v>1.8840999999999799</v>
      </c>
      <c r="AD3718">
        <v>-1.111438620146</v>
      </c>
      <c r="AE3718">
        <v>-28.320799999999899</v>
      </c>
      <c r="AF3718">
        <v>-3.8730986089619801</v>
      </c>
      <c r="AG3718">
        <v>-1.111438620146</v>
      </c>
      <c r="AH3718">
        <v>28.074040176639102</v>
      </c>
      <c r="AI3718">
        <v>92.245880094363201</v>
      </c>
      <c r="AJ3718">
        <v>97.854949976591001</v>
      </c>
      <c r="AK3718">
        <v>28.361733382863601</v>
      </c>
      <c r="AL3718">
        <v>80.289558681146502</v>
      </c>
      <c r="AM3718">
        <v>98.093024861417405</v>
      </c>
      <c r="AN3718">
        <v>0.99999995953856402</v>
      </c>
    </row>
    <row r="3719" spans="1:40" x14ac:dyDescent="0.25">
      <c r="A3719" t="str">
        <f>"20190304154827212"</f>
        <v>20190304154827212</v>
      </c>
      <c r="B3719" t="str">
        <f>"1551685707200302"</f>
        <v>1551685707200302</v>
      </c>
      <c r="C3719" t="s">
        <v>40</v>
      </c>
      <c r="D3719">
        <v>4.3498989999999997</v>
      </c>
      <c r="E3719">
        <v>0.49770769999999998</v>
      </c>
      <c r="F3719" t="s">
        <v>54</v>
      </c>
      <c r="G3719">
        <v>-490.48009999999999</v>
      </c>
      <c r="H3719" s="1">
        <v>3.3983569999999998E-6</v>
      </c>
      <c r="I3719">
        <v>218.6104</v>
      </c>
      <c r="J3719">
        <v>-492.44670000000002</v>
      </c>
      <c r="K3719">
        <v>1.11144</v>
      </c>
      <c r="L3719">
        <v>246.70529999999999</v>
      </c>
      <c r="M3719">
        <v>-6.9971220000000001E-2</v>
      </c>
      <c r="N3719">
        <v>-1.341497E-2</v>
      </c>
      <c r="O3719">
        <v>-0.99745899999999998</v>
      </c>
      <c r="P3719">
        <v>6.9580890000000006E-2</v>
      </c>
      <c r="Q3719">
        <v>0.1556022</v>
      </c>
      <c r="R3719">
        <v>-0.98536650000000003</v>
      </c>
      <c r="S3719">
        <v>0.2118225</v>
      </c>
      <c r="T3719">
        <v>-0.1201401</v>
      </c>
      <c r="U3719">
        <v>-3.0486759999999999</v>
      </c>
      <c r="V3719">
        <v>-0.13866779999999901</v>
      </c>
      <c r="W3719">
        <v>0.16845940000000001</v>
      </c>
      <c r="X3719">
        <v>0.9759061</v>
      </c>
      <c r="Y3719">
        <v>-0.13888029999999901</v>
      </c>
      <c r="Z3719">
        <v>2.5553409999999999E-2</v>
      </c>
      <c r="AA3719">
        <v>0.98997939999999995</v>
      </c>
      <c r="AB3719">
        <v>22</v>
      </c>
      <c r="AC3719">
        <v>1.9666000000000201</v>
      </c>
      <c r="AD3719">
        <v>-1.111436601643</v>
      </c>
      <c r="AE3719">
        <v>-28.094899999999999</v>
      </c>
      <c r="AF3719">
        <v>-3.9216824654398601</v>
      </c>
      <c r="AG3719">
        <v>-1.111436601643</v>
      </c>
      <c r="AH3719">
        <v>27.845044532649599</v>
      </c>
      <c r="AI3719">
        <v>92.263436361722398</v>
      </c>
      <c r="AJ3719">
        <v>98.016780757419596</v>
      </c>
      <c r="AK3719">
        <v>28.1418085720241</v>
      </c>
      <c r="AL3719">
        <v>80.301742827890806</v>
      </c>
      <c r="AM3719">
        <v>98.0870977110159</v>
      </c>
      <c r="AN3719">
        <v>1.0000000221112</v>
      </c>
    </row>
    <row r="3720" spans="1:40" x14ac:dyDescent="0.25">
      <c r="A3720" t="str">
        <f>"20190304154827223"</f>
        <v>20190304154827223</v>
      </c>
      <c r="B3720" t="str">
        <f>"1551685707220800"</f>
        <v>1551685707220800</v>
      </c>
      <c r="C3720" t="s">
        <v>40</v>
      </c>
      <c r="D3720">
        <v>4.3533809999999997</v>
      </c>
      <c r="E3720">
        <v>0.49648530000000002</v>
      </c>
      <c r="F3720" t="s">
        <v>54</v>
      </c>
      <c r="G3720">
        <v>-490.4246</v>
      </c>
      <c r="H3720" s="1">
        <v>3.4114859999999999E-6</v>
      </c>
      <c r="I3720">
        <v>218.6857</v>
      </c>
      <c r="J3720">
        <v>-492.45409999999998</v>
      </c>
      <c r="K3720">
        <v>1.111437</v>
      </c>
      <c r="L3720">
        <v>246.58920000000001</v>
      </c>
      <c r="M3720">
        <v>-6.9299269999999996E-2</v>
      </c>
      <c r="N3720">
        <v>-1.3392619999999999E-2</v>
      </c>
      <c r="O3720">
        <v>-0.99750620000000001</v>
      </c>
      <c r="P3720">
        <v>7.0296719999999993E-2</v>
      </c>
      <c r="Q3720">
        <v>0.15548909999999999</v>
      </c>
      <c r="R3720">
        <v>-0.98533360000000003</v>
      </c>
      <c r="S3720">
        <v>0.21997069999999999</v>
      </c>
      <c r="T3720">
        <v>-0.1209069</v>
      </c>
      <c r="U3720">
        <v>-3.0480960000000001</v>
      </c>
      <c r="V3720">
        <v>-0.13872089999999901</v>
      </c>
      <c r="W3720">
        <v>0.1683241</v>
      </c>
      <c r="X3720">
        <v>0.97592190000000001</v>
      </c>
      <c r="Y3720">
        <v>-0.14085780000000001</v>
      </c>
      <c r="Z3720">
        <v>2.58245E-2</v>
      </c>
      <c r="AA3720">
        <v>0.98969300000000004</v>
      </c>
      <c r="AB3720">
        <v>22</v>
      </c>
      <c r="AC3720">
        <v>2.0294999999999801</v>
      </c>
      <c r="AD3720">
        <v>-1.1114335885140001</v>
      </c>
      <c r="AE3720">
        <v>-27.903500000000001</v>
      </c>
      <c r="AF3720">
        <v>-3.95224791435913</v>
      </c>
      <c r="AG3720">
        <v>-1.1114335885140001</v>
      </c>
      <c r="AH3720">
        <v>27.652109972397302</v>
      </c>
      <c r="AI3720">
        <v>92.278544951542898</v>
      </c>
      <c r="AJ3720">
        <v>98.1340548213049</v>
      </c>
      <c r="AK3720">
        <v>27.955227313040901</v>
      </c>
      <c r="AL3720">
        <v>80.309607256352706</v>
      </c>
      <c r="AM3720">
        <v>98.090024265859</v>
      </c>
      <c r="AN3720">
        <v>1.0000000228186099</v>
      </c>
    </row>
    <row r="3721" spans="1:40" x14ac:dyDescent="0.25">
      <c r="A3721" t="str">
        <f>"20190304154827235"</f>
        <v>20190304154827235</v>
      </c>
      <c r="B3721" t="str">
        <f>"1551685707230559"</f>
        <v>1551685707230559</v>
      </c>
      <c r="C3721" t="s">
        <v>40</v>
      </c>
      <c r="D3721">
        <v>4.3462430000000003</v>
      </c>
      <c r="E3721">
        <v>0.49599389999999999</v>
      </c>
      <c r="F3721" t="s">
        <v>54</v>
      </c>
      <c r="G3721">
        <v>-490.33589999999998</v>
      </c>
      <c r="H3721" s="1">
        <v>3.4307609999999998E-6</v>
      </c>
      <c r="I3721">
        <v>218.76660000000001</v>
      </c>
      <c r="J3721">
        <v>-492.46140000000003</v>
      </c>
      <c r="K3721">
        <v>1.1114409999999999</v>
      </c>
      <c r="L3721">
        <v>246.4734</v>
      </c>
      <c r="M3721">
        <v>-6.8629029999999994E-2</v>
      </c>
      <c r="N3721">
        <v>-1.337064E-2</v>
      </c>
      <c r="O3721">
        <v>-0.99755280000000002</v>
      </c>
      <c r="P3721">
        <v>7.0899779999999996E-2</v>
      </c>
      <c r="Q3721">
        <v>0.1554721</v>
      </c>
      <c r="R3721">
        <v>-0.98529270000000002</v>
      </c>
      <c r="S3721">
        <v>0.2319946</v>
      </c>
      <c r="T3721">
        <v>-0.1217319</v>
      </c>
      <c r="U3721">
        <v>-3.0473180000000002</v>
      </c>
      <c r="V3721">
        <v>-0.13866310000000001</v>
      </c>
      <c r="W3721">
        <v>0.1682855</v>
      </c>
      <c r="X3721">
        <v>0.97593680000000005</v>
      </c>
      <c r="Y3721">
        <v>-0.14409179999999999</v>
      </c>
      <c r="Z3721">
        <v>2.6110270000000001E-2</v>
      </c>
      <c r="AA3721">
        <v>0.98921979999999998</v>
      </c>
      <c r="AB3721">
        <v>22</v>
      </c>
      <c r="AC3721">
        <v>2.1255000000000401</v>
      </c>
      <c r="AD3721">
        <v>-1.1114375692389999</v>
      </c>
      <c r="AE3721">
        <v>-27.706799999999902</v>
      </c>
      <c r="AF3721">
        <v>-4.01572410275572</v>
      </c>
      <c r="AG3721">
        <v>-1.1114375692389999</v>
      </c>
      <c r="AH3721">
        <v>27.4516630698445</v>
      </c>
      <c r="AI3721">
        <v>92.294083373206405</v>
      </c>
      <c r="AJ3721">
        <v>98.322396318184502</v>
      </c>
      <c r="AK3721">
        <v>27.766078924472399</v>
      </c>
      <c r="AL3721">
        <v>80.311851156301401</v>
      </c>
      <c r="AM3721">
        <v>98.086576211039997</v>
      </c>
      <c r="AN3721">
        <v>1.00000005120304</v>
      </c>
    </row>
    <row r="3722" spans="1:40" x14ac:dyDescent="0.25">
      <c r="A3722" t="str">
        <f>"20190304154827246"</f>
        <v>20190304154827246</v>
      </c>
      <c r="B3722" t="str">
        <f>"1551685707240319"</f>
        <v>1551685707240319</v>
      </c>
      <c r="C3722" t="s">
        <v>40</v>
      </c>
      <c r="D3722">
        <v>4.355531</v>
      </c>
      <c r="E3722">
        <v>0.49551460000000003</v>
      </c>
      <c r="F3722" t="s">
        <v>54</v>
      </c>
      <c r="G3722">
        <v>-490.298</v>
      </c>
      <c r="H3722" s="1">
        <v>3.4359480000000001E-6</v>
      </c>
      <c r="I3722">
        <v>218.73150000000001</v>
      </c>
      <c r="J3722">
        <v>-492.4683</v>
      </c>
      <c r="K3722">
        <v>1.11144</v>
      </c>
      <c r="L3722">
        <v>246.3621</v>
      </c>
      <c r="M3722">
        <v>-6.7984310000000006E-2</v>
      </c>
      <c r="N3722">
        <v>-1.335013E-2</v>
      </c>
      <c r="O3722">
        <v>-0.99759719999999996</v>
      </c>
      <c r="P3722">
        <v>7.1791820000000006E-2</v>
      </c>
      <c r="Q3722">
        <v>0.15555079999999999</v>
      </c>
      <c r="R3722">
        <v>-0.98521590000000003</v>
      </c>
      <c r="S3722">
        <v>0.23760990000000001</v>
      </c>
      <c r="T3722">
        <v>-0.12207170000000001</v>
      </c>
      <c r="U3722">
        <v>-3.046967</v>
      </c>
      <c r="V3722">
        <v>-0.13891579999999901</v>
      </c>
      <c r="W3722">
        <v>0.16834279999999999</v>
      </c>
      <c r="X3722">
        <v>0.97589090000000001</v>
      </c>
      <c r="Y3722">
        <v>-0.14527229999999999</v>
      </c>
      <c r="Z3722">
        <v>2.624143E-2</v>
      </c>
      <c r="AA3722">
        <v>0.98904369999999997</v>
      </c>
      <c r="AB3722">
        <v>22</v>
      </c>
      <c r="AC3722">
        <v>2.1702999999999899</v>
      </c>
      <c r="AD3722">
        <v>-1.1114365640520001</v>
      </c>
      <c r="AE3722">
        <v>-27.630599999999902</v>
      </c>
      <c r="AF3722">
        <v>-4.0373997115357696</v>
      </c>
      <c r="AG3722">
        <v>-1.1114365640520001</v>
      </c>
      <c r="AH3722">
        <v>27.375080388410801</v>
      </c>
      <c r="AI3722">
        <v>92.300095378704597</v>
      </c>
      <c r="AJ3722">
        <v>98.389757156607303</v>
      </c>
      <c r="AK3722">
        <v>27.6935175436161</v>
      </c>
      <c r="AL3722">
        <v>80.308519829757103</v>
      </c>
      <c r="AM3722">
        <v>98.101493726681696</v>
      </c>
      <c r="AN3722">
        <v>0.99999997325214396</v>
      </c>
    </row>
    <row r="3723" spans="1:40" x14ac:dyDescent="0.25">
      <c r="A3723" t="str">
        <f>"20190304154827258"</f>
        <v>20190304154827258</v>
      </c>
      <c r="B3723" t="str">
        <f>"1551685707250079"</f>
        <v>1551685707250079</v>
      </c>
      <c r="C3723" t="s">
        <v>40</v>
      </c>
      <c r="D3723">
        <v>4.3598790000000003</v>
      </c>
      <c r="E3723">
        <v>0.49514350000000001</v>
      </c>
      <c r="F3723" t="s">
        <v>54</v>
      </c>
      <c r="G3723">
        <v>-490.24540000000002</v>
      </c>
      <c r="H3723" s="1">
        <v>3.4407069999999999E-6</v>
      </c>
      <c r="I3723">
        <v>218.6268</v>
      </c>
      <c r="J3723">
        <v>-492.4753</v>
      </c>
      <c r="K3723">
        <v>1.1114389999999901</v>
      </c>
      <c r="L3723">
        <v>246.249</v>
      </c>
      <c r="M3723">
        <v>-6.7328239999999998E-2</v>
      </c>
      <c r="N3723">
        <v>-1.3330440000000001E-2</v>
      </c>
      <c r="O3723">
        <v>-0.99764200000000003</v>
      </c>
      <c r="P3723">
        <v>7.2375460000000003E-2</v>
      </c>
      <c r="Q3723">
        <v>0.15541720000000001</v>
      </c>
      <c r="R3723">
        <v>-0.98519429999999997</v>
      </c>
      <c r="S3723">
        <v>0.2441711</v>
      </c>
      <c r="T3723">
        <v>-0.12208280000000001</v>
      </c>
      <c r="U3723">
        <v>-3.0465089999999999</v>
      </c>
      <c r="V3723">
        <v>-0.13885339999999999</v>
      </c>
      <c r="W3723">
        <v>0.1681906</v>
      </c>
      <c r="X3723">
        <v>0.97592599999999996</v>
      </c>
      <c r="Y3723">
        <v>-0.1467494</v>
      </c>
      <c r="Z3723">
        <v>2.6265030000000002E-2</v>
      </c>
      <c r="AA3723">
        <v>0.98882499999999995</v>
      </c>
      <c r="AB3723">
        <v>22</v>
      </c>
      <c r="AC3723">
        <v>2.2298999999999798</v>
      </c>
      <c r="AD3723">
        <v>-1.1114355592930001</v>
      </c>
      <c r="AE3723">
        <v>-27.622199999999999</v>
      </c>
      <c r="AF3723">
        <v>-4.0781983041754897</v>
      </c>
      <c r="AG3723">
        <v>-1.1114355592930001</v>
      </c>
      <c r="AH3723">
        <v>27.365344063244599</v>
      </c>
      <c r="AI3723">
        <v>92.300396230500695</v>
      </c>
      <c r="AJ3723">
        <v>98.476283262493595</v>
      </c>
      <c r="AK3723">
        <v>27.689872627197001</v>
      </c>
      <c r="AL3723">
        <v>80.317366169150802</v>
      </c>
      <c r="AM3723">
        <v>98.097615487666701</v>
      </c>
      <c r="AN3723">
        <v>0.99999995104795802</v>
      </c>
    </row>
    <row r="3724" spans="1:40" x14ac:dyDescent="0.25">
      <c r="A3724" t="str">
        <f>"20190304154827270"</f>
        <v>20190304154827270</v>
      </c>
      <c r="B3724" t="str">
        <f>"1551685707260816"</f>
        <v>1551685707260816</v>
      </c>
      <c r="C3724" t="s">
        <v>40</v>
      </c>
      <c r="D3724">
        <v>4.3588750000000003</v>
      </c>
      <c r="E3724">
        <v>0.4948188</v>
      </c>
      <c r="F3724" t="s">
        <v>54</v>
      </c>
      <c r="G3724">
        <v>-490.22120000000001</v>
      </c>
      <c r="H3724" s="1">
        <v>3.4446430000000001E-6</v>
      </c>
      <c r="I3724">
        <v>218.61869999999999</v>
      </c>
      <c r="J3724">
        <v>-492.48239999999998</v>
      </c>
      <c r="K3724">
        <v>1.1114379999999999</v>
      </c>
      <c r="L3724">
        <v>246.1317</v>
      </c>
      <c r="M3724">
        <v>-6.6647250000000005E-2</v>
      </c>
      <c r="N3724">
        <v>-1.3310850000000001E-2</v>
      </c>
      <c r="O3724">
        <v>-0.99768800000000002</v>
      </c>
      <c r="P3724">
        <v>7.3108110000000004E-2</v>
      </c>
      <c r="Q3724">
        <v>0.15525269999999999</v>
      </c>
      <c r="R3724">
        <v>-0.98516619999999999</v>
      </c>
      <c r="S3724">
        <v>0.24850459999999999</v>
      </c>
      <c r="T3724">
        <v>-0.12253260000000001</v>
      </c>
      <c r="U3724">
        <v>-3.0461580000000001</v>
      </c>
      <c r="V3724">
        <v>-0.13891510000000001</v>
      </c>
      <c r="W3724">
        <v>0.16800670000000001</v>
      </c>
      <c r="X3724">
        <v>0.97594890000000001</v>
      </c>
      <c r="Y3724">
        <v>-0.1474801</v>
      </c>
      <c r="Z3724">
        <v>2.6433080000000001E-2</v>
      </c>
      <c r="AA3724">
        <v>0.98871169999999997</v>
      </c>
      <c r="AB3724">
        <v>22</v>
      </c>
      <c r="AC3724">
        <v>2.2611999999999699</v>
      </c>
      <c r="AD3724">
        <v>-1.111434555357</v>
      </c>
      <c r="AE3724">
        <v>-27.513000000000002</v>
      </c>
      <c r="AF3724">
        <v>-4.0833805292865399</v>
      </c>
      <c r="AG3724">
        <v>-1.111434555357</v>
      </c>
      <c r="AH3724">
        <v>27.256918725166798</v>
      </c>
      <c r="AI3724">
        <v>92.309271023378699</v>
      </c>
      <c r="AJ3724">
        <v>98.520162939223695</v>
      </c>
      <c r="AK3724">
        <v>27.5834896579121</v>
      </c>
      <c r="AL3724">
        <v>80.328055009903096</v>
      </c>
      <c r="AM3724">
        <v>98.100978372121702</v>
      </c>
      <c r="AN3724">
        <v>0.99999995583205403</v>
      </c>
    </row>
    <row r="3725" spans="1:40" x14ac:dyDescent="0.25">
      <c r="A3725" t="str">
        <f>"20190304154827281"</f>
        <v>20190304154827281</v>
      </c>
      <c r="B3725" t="str">
        <f>"1551685707270129"</f>
        <v>1551685707270129</v>
      </c>
      <c r="C3725" t="s">
        <v>40</v>
      </c>
      <c r="D3725">
        <v>4.3138300000000003</v>
      </c>
      <c r="E3725">
        <v>0.49447869999999999</v>
      </c>
      <c r="F3725" t="s">
        <v>54</v>
      </c>
      <c r="G3725">
        <v>-490.2011</v>
      </c>
      <c r="H3725" s="1">
        <v>3.4524639999999998E-6</v>
      </c>
      <c r="I3725">
        <v>218.71600000000001</v>
      </c>
      <c r="J3725">
        <v>-492.48919999999998</v>
      </c>
      <c r="K3725">
        <v>1.111434</v>
      </c>
      <c r="L3725">
        <v>246.01859999999999</v>
      </c>
      <c r="M3725">
        <v>-6.5990569999999998E-2</v>
      </c>
      <c r="N3725">
        <v>-1.3291229999999999E-2</v>
      </c>
      <c r="O3725">
        <v>-0.99773199999999995</v>
      </c>
      <c r="P3725">
        <v>7.3839260000000004E-2</v>
      </c>
      <c r="Q3725">
        <v>0.15511320000000001</v>
      </c>
      <c r="R3725">
        <v>-0.98513399999999995</v>
      </c>
      <c r="S3725">
        <v>0.25344850000000002</v>
      </c>
      <c r="T3725">
        <v>-0.123477</v>
      </c>
      <c r="U3725">
        <v>-3.0457920000000001</v>
      </c>
      <c r="V3725">
        <v>-0.1389985</v>
      </c>
      <c r="W3725">
        <v>0.16784789999999999</v>
      </c>
      <c r="X3725">
        <v>0.97596439999999995</v>
      </c>
      <c r="Y3725">
        <v>-0.14843139999999999</v>
      </c>
      <c r="Z3725">
        <v>2.6760470000000001E-2</v>
      </c>
      <c r="AA3725">
        <v>0.98856060000000001</v>
      </c>
      <c r="AB3725">
        <v>22</v>
      </c>
      <c r="AC3725">
        <v>2.28809999999998</v>
      </c>
      <c r="AD3725">
        <v>-1.111430547536</v>
      </c>
      <c r="AE3725">
        <v>-27.302600000000002</v>
      </c>
      <c r="AF3725">
        <v>-4.0782733301451497</v>
      </c>
      <c r="AG3725">
        <v>-1.111430547536</v>
      </c>
      <c r="AH3725">
        <v>27.047561519613101</v>
      </c>
      <c r="AI3725">
        <v>92.326785955726393</v>
      </c>
      <c r="AJ3725">
        <v>98.574554895751007</v>
      </c>
      <c r="AK3725">
        <v>27.3758684862166</v>
      </c>
      <c r="AL3725">
        <v>80.337285129256202</v>
      </c>
      <c r="AM3725">
        <v>98.105650290713399</v>
      </c>
      <c r="AN3725">
        <v>1.0000000053020099</v>
      </c>
    </row>
    <row r="3726" spans="1:40" x14ac:dyDescent="0.25">
      <c r="A3726" t="str">
        <f>"20190304154827295"</f>
        <v>20190304154827295</v>
      </c>
      <c r="B3726" t="str">
        <f>"1551685707290624"</f>
        <v>1551685707290624</v>
      </c>
      <c r="C3726" t="s">
        <v>40</v>
      </c>
      <c r="D3726">
        <v>4.3652150000000001</v>
      </c>
      <c r="E3726">
        <v>0.49399720000000003</v>
      </c>
      <c r="F3726" t="s">
        <v>54</v>
      </c>
      <c r="G3726">
        <v>-490.1789</v>
      </c>
      <c r="H3726" s="1">
        <v>3.4584549999999998E-6</v>
      </c>
      <c r="I3726">
        <v>218.76300000000001</v>
      </c>
      <c r="J3726">
        <v>-492.49680000000001</v>
      </c>
      <c r="K3726">
        <v>1.1114299999999999</v>
      </c>
      <c r="L3726">
        <v>245.89099999999999</v>
      </c>
      <c r="M3726">
        <v>-6.5248399999999998E-2</v>
      </c>
      <c r="N3726">
        <v>-1.326863E-2</v>
      </c>
      <c r="O3726">
        <v>-0.99778080000000002</v>
      </c>
      <c r="P3726">
        <v>7.4555629999999998E-2</v>
      </c>
      <c r="Q3726">
        <v>0.1549217</v>
      </c>
      <c r="R3726">
        <v>-0.98510960000000003</v>
      </c>
      <c r="S3726">
        <v>0.25814819999999999</v>
      </c>
      <c r="T3726">
        <v>-0.1241896</v>
      </c>
      <c r="U3726">
        <v>-3.0455019999999999</v>
      </c>
      <c r="V3726">
        <v>-0.138984</v>
      </c>
      <c r="W3726">
        <v>0.1676349</v>
      </c>
      <c r="X3726">
        <v>0.97600310000000001</v>
      </c>
      <c r="Y3726">
        <v>-0.1492174</v>
      </c>
      <c r="Z3726">
        <v>2.7015709999999998E-2</v>
      </c>
      <c r="AA3726">
        <v>0.98843530000000002</v>
      </c>
      <c r="AB3726">
        <v>22</v>
      </c>
      <c r="AC3726">
        <v>2.3178999999999998</v>
      </c>
      <c r="AD3726">
        <v>-1.111426541545</v>
      </c>
      <c r="AE3726">
        <v>-27.127999999999901</v>
      </c>
      <c r="AF3726">
        <v>-4.0763816053630197</v>
      </c>
      <c r="AG3726">
        <v>-1.111426541545</v>
      </c>
      <c r="AH3726">
        <v>26.874147074698499</v>
      </c>
      <c r="AI3726">
        <v>92.341463094683505</v>
      </c>
      <c r="AJ3726">
        <v>98.625112399248593</v>
      </c>
      <c r="AK3726">
        <v>27.2042632126348</v>
      </c>
      <c r="AL3726">
        <v>80.349664789676694</v>
      </c>
      <c r="AM3726">
        <v>98.104498864708106</v>
      </c>
      <c r="AN3726">
        <v>1.0000000315818001</v>
      </c>
    </row>
    <row r="3727" spans="1:40" x14ac:dyDescent="0.25">
      <c r="A3727" t="str">
        <f>"20190304154827313"</f>
        <v>20190304154827313</v>
      </c>
      <c r="B3727" t="str">
        <f>"1551685707310144"</f>
        <v>1551685707310144</v>
      </c>
      <c r="C3727" t="s">
        <v>40</v>
      </c>
      <c r="D3727">
        <v>4.2961029999999996</v>
      </c>
      <c r="E3727">
        <v>0.4936006</v>
      </c>
      <c r="F3727" t="s">
        <v>54</v>
      </c>
      <c r="G3727">
        <v>-490.14530000000002</v>
      </c>
      <c r="H3727" s="1">
        <v>3.465781E-6</v>
      </c>
      <c r="I3727">
        <v>218.79409999999999</v>
      </c>
      <c r="J3727">
        <v>-492.50740000000002</v>
      </c>
      <c r="K3727">
        <v>1.111429</v>
      </c>
      <c r="L3727">
        <v>245.7107</v>
      </c>
      <c r="M3727">
        <v>-6.4198519999999995E-2</v>
      </c>
      <c r="N3727">
        <v>-1.323535E-2</v>
      </c>
      <c r="O3727">
        <v>-0.99784949999999994</v>
      </c>
      <c r="P3727">
        <v>7.5807250000000007E-2</v>
      </c>
      <c r="Q3727">
        <v>0.15472820000000001</v>
      </c>
      <c r="R3727">
        <v>-0.98504460000000005</v>
      </c>
      <c r="S3727">
        <v>0.26425169999999998</v>
      </c>
      <c r="T3727">
        <v>-0.12489500000000001</v>
      </c>
      <c r="U3727">
        <v>-3.0449830000000002</v>
      </c>
      <c r="V3727">
        <v>-0.13919889999999999</v>
      </c>
      <c r="W3727">
        <v>0.16740829999999901</v>
      </c>
      <c r="X3727">
        <v>0.97601130000000003</v>
      </c>
      <c r="Y3727">
        <v>-0.15015680000000001</v>
      </c>
      <c r="Z3727">
        <v>2.7282190000000001E-2</v>
      </c>
      <c r="AA3727">
        <v>0.98828570000000004</v>
      </c>
      <c r="AB3727">
        <v>22</v>
      </c>
      <c r="AC3727">
        <v>2.3620999999999901</v>
      </c>
      <c r="AD3727">
        <v>-1.111425534219</v>
      </c>
      <c r="AE3727">
        <v>-26.916599999999999</v>
      </c>
      <c r="AF3727">
        <v>-4.07848291569666</v>
      </c>
      <c r="AG3727">
        <v>-1.111425534219</v>
      </c>
      <c r="AH3727">
        <v>26.664293944692599</v>
      </c>
      <c r="AI3727">
        <v>92.359421451811599</v>
      </c>
      <c r="AJ3727">
        <v>98.696373041532993</v>
      </c>
      <c r="AK3727">
        <v>26.9972935899271</v>
      </c>
      <c r="AL3727">
        <v>80.362833470661002</v>
      </c>
      <c r="AM3727">
        <v>98.116796061484195</v>
      </c>
      <c r="AN3727">
        <v>0.999999965198894</v>
      </c>
    </row>
    <row r="3728" spans="1:40" x14ac:dyDescent="0.25">
      <c r="A3728" t="str">
        <f>"20190304154827327"</f>
        <v>20190304154827327</v>
      </c>
      <c r="B3728" t="str">
        <f>"1551685707319904"</f>
        <v>1551685707319904</v>
      </c>
      <c r="C3728" t="s">
        <v>40</v>
      </c>
      <c r="D3728">
        <v>4.3424610000000001</v>
      </c>
      <c r="E3728">
        <v>0.49339110000000003</v>
      </c>
      <c r="F3728" t="s">
        <v>54</v>
      </c>
      <c r="G3728">
        <v>-490.1028</v>
      </c>
      <c r="H3728" s="1">
        <v>3.469907E-6</v>
      </c>
      <c r="I3728">
        <v>218.71639999999999</v>
      </c>
      <c r="J3728">
        <v>-492.51560000000001</v>
      </c>
      <c r="K3728">
        <v>1.1114250000000001</v>
      </c>
      <c r="L3728">
        <v>245.56809999999999</v>
      </c>
      <c r="M3728">
        <v>-6.3368830000000001E-2</v>
      </c>
      <c r="N3728">
        <v>-1.320994E-2</v>
      </c>
      <c r="O3728">
        <v>-0.99790290000000004</v>
      </c>
      <c r="P3728">
        <v>7.6662439999999998E-2</v>
      </c>
      <c r="Q3728">
        <v>0.1547895</v>
      </c>
      <c r="R3728">
        <v>-0.98496859999999997</v>
      </c>
      <c r="S3728">
        <v>0.27117920000000001</v>
      </c>
      <c r="T3728">
        <v>-0.12534480000000001</v>
      </c>
      <c r="U3728">
        <v>-3.0443730000000002</v>
      </c>
      <c r="V3728">
        <v>-0.13923429999999901</v>
      </c>
      <c r="W3728">
        <v>0.1674445</v>
      </c>
      <c r="X3728">
        <v>0.97600010000000004</v>
      </c>
      <c r="Y3728">
        <v>-0.151582299999999</v>
      </c>
      <c r="Z3728">
        <v>2.7455899999999998E-2</v>
      </c>
      <c r="AA3728">
        <v>0.98806320000000003</v>
      </c>
      <c r="AB3728">
        <v>22</v>
      </c>
      <c r="AC3728">
        <v>2.4127999999999998</v>
      </c>
      <c r="AD3728">
        <v>-1.1114215300929999</v>
      </c>
      <c r="AE3728">
        <v>-26.851699999999902</v>
      </c>
      <c r="AF3728">
        <v>-4.1026863618076996</v>
      </c>
      <c r="AG3728">
        <v>-1.1114215300929999</v>
      </c>
      <c r="AH3728">
        <v>26.599607693309402</v>
      </c>
      <c r="AI3728">
        <v>92.364689800830206</v>
      </c>
      <c r="AJ3728">
        <v>98.768126810958904</v>
      </c>
      <c r="AK3728">
        <v>26.937082667558599</v>
      </c>
      <c r="AL3728">
        <v>80.360730230146004</v>
      </c>
      <c r="AM3728">
        <v>98.118924670553398</v>
      </c>
      <c r="AN3728">
        <v>1.0000000230383701</v>
      </c>
    </row>
    <row r="3729" spans="1:40" x14ac:dyDescent="0.25">
      <c r="A3729" t="str">
        <f>"20190304154827340"</f>
        <v>20190304154827340</v>
      </c>
      <c r="B3729" t="str">
        <f>"1551685707330640"</f>
        <v>1551685707330640</v>
      </c>
      <c r="C3729" t="s">
        <v>40</v>
      </c>
      <c r="D3729">
        <v>4.31311</v>
      </c>
      <c r="E3729">
        <v>0.49323289999999997</v>
      </c>
      <c r="F3729" t="s">
        <v>54</v>
      </c>
      <c r="G3729">
        <v>-490.072</v>
      </c>
      <c r="H3729" s="1">
        <v>3.4671280000000002E-6</v>
      </c>
      <c r="I3729">
        <v>218.5275</v>
      </c>
      <c r="J3729">
        <v>-492.52289999999999</v>
      </c>
      <c r="K3729">
        <v>1.111423</v>
      </c>
      <c r="L3729">
        <v>245.4402</v>
      </c>
      <c r="M3729">
        <v>-6.2623830000000005E-2</v>
      </c>
      <c r="N3729">
        <v>-1.31889E-2</v>
      </c>
      <c r="O3729">
        <v>-0.99795020000000001</v>
      </c>
      <c r="P3729">
        <v>7.7520389999999995E-2</v>
      </c>
      <c r="Q3729">
        <v>0.15486</v>
      </c>
      <c r="R3729">
        <v>-0.98489059999999995</v>
      </c>
      <c r="S3729">
        <v>0.27508539999999998</v>
      </c>
      <c r="T3729">
        <v>-0.1251149</v>
      </c>
      <c r="U3729">
        <v>-3.044022</v>
      </c>
      <c r="V3729">
        <v>-0.1393556</v>
      </c>
      <c r="W3729">
        <v>0.167493899999999</v>
      </c>
      <c r="X3729">
        <v>0.97597429999999996</v>
      </c>
      <c r="Y3729">
        <v>-0.15211229999999901</v>
      </c>
      <c r="Z3729">
        <v>2.7405929999999998E-2</v>
      </c>
      <c r="AA3729">
        <v>0.98798319999999995</v>
      </c>
      <c r="AB3729">
        <v>22</v>
      </c>
      <c r="AC3729">
        <v>2.4509000000000398</v>
      </c>
      <c r="AD3729">
        <v>-1.111419532872</v>
      </c>
      <c r="AE3729">
        <v>-26.912700000000001</v>
      </c>
      <c r="AF3729">
        <v>-4.1246347070111096</v>
      </c>
      <c r="AG3729">
        <v>-1.111419532872</v>
      </c>
      <c r="AH3729">
        <v>26.661272809318401</v>
      </c>
      <c r="AI3729">
        <v>92.359056590404407</v>
      </c>
      <c r="AJ3729">
        <v>98.794231784793197</v>
      </c>
      <c r="AK3729">
        <v>27.001320942821099</v>
      </c>
      <c r="AL3729">
        <v>80.357859165852105</v>
      </c>
      <c r="AM3729">
        <v>98.126115339082304</v>
      </c>
      <c r="AN3729">
        <v>1.00000001202453</v>
      </c>
    </row>
    <row r="3730" spans="1:40" x14ac:dyDescent="0.25">
      <c r="A3730" t="str">
        <f>"20190304154827356"</f>
        <v>20190304154827356</v>
      </c>
      <c r="B3730" t="str">
        <f>"1551685707350160"</f>
        <v>1551685707350160</v>
      </c>
      <c r="C3730" t="s">
        <v>40</v>
      </c>
      <c r="D3730">
        <v>4.3027430000000004</v>
      </c>
      <c r="E3730">
        <v>0.49294349999999998</v>
      </c>
      <c r="F3730" t="s">
        <v>54</v>
      </c>
      <c r="G3730">
        <v>-490.03449999999998</v>
      </c>
      <c r="H3730" s="1">
        <v>3.4636889999999999E-6</v>
      </c>
      <c r="I3730">
        <v>218.297</v>
      </c>
      <c r="J3730">
        <v>-492.53160000000003</v>
      </c>
      <c r="K3730">
        <v>1.1114189999999999</v>
      </c>
      <c r="L3730">
        <v>245.2833</v>
      </c>
      <c r="M3730">
        <v>-6.1708659999999999E-2</v>
      </c>
      <c r="N3730">
        <v>-1.316493E-2</v>
      </c>
      <c r="O3730">
        <v>-0.99800759999999999</v>
      </c>
      <c r="P3730">
        <v>7.8671350000000001E-2</v>
      </c>
      <c r="Q3730">
        <v>0.15477589999999999</v>
      </c>
      <c r="R3730">
        <v>-0.98481260000000004</v>
      </c>
      <c r="S3730">
        <v>0.2790222</v>
      </c>
      <c r="T3730">
        <v>-0.1246271</v>
      </c>
      <c r="U3730">
        <v>-3.0436550000000002</v>
      </c>
      <c r="V3730">
        <v>-0.13960249999999999</v>
      </c>
      <c r="W3730">
        <v>0.16738529999999999</v>
      </c>
      <c r="X3730">
        <v>0.97595759999999998</v>
      </c>
      <c r="Y3730">
        <v>-0.1524845</v>
      </c>
      <c r="Z3730">
        <v>2.7276580000000002E-2</v>
      </c>
      <c r="AA3730">
        <v>0.98792939999999996</v>
      </c>
      <c r="AB3730">
        <v>22</v>
      </c>
      <c r="AC3730">
        <v>2.4971000000000401</v>
      </c>
      <c r="AD3730">
        <v>-1.1114155363110001</v>
      </c>
      <c r="AE3730">
        <v>-26.9863</v>
      </c>
      <c r="AF3730">
        <v>-4.1507919568990497</v>
      </c>
      <c r="AG3730">
        <v>-1.1114155363110001</v>
      </c>
      <c r="AH3730">
        <v>26.735791580654499</v>
      </c>
      <c r="AI3730">
        <v>92.352285726515703</v>
      </c>
      <c r="AJ3730">
        <v>98.824846555344905</v>
      </c>
      <c r="AK3730">
        <v>27.078900823482599</v>
      </c>
      <c r="AL3730">
        <v>80.364170150360394</v>
      </c>
      <c r="AM3730">
        <v>98.140457222372703</v>
      </c>
      <c r="AN3730">
        <v>0.99999996683004899</v>
      </c>
    </row>
    <row r="3731" spans="1:40" x14ac:dyDescent="0.25">
      <c r="A3731" t="str">
        <f>"20190304154827368"</f>
        <v>20190304154827368</v>
      </c>
      <c r="B3731" t="str">
        <f>"1551685707359920"</f>
        <v>1551685707359920</v>
      </c>
      <c r="C3731" t="s">
        <v>40</v>
      </c>
      <c r="D3731">
        <v>4.3617559999999997</v>
      </c>
      <c r="E3731">
        <v>0.49269540000000001</v>
      </c>
      <c r="F3731" t="s">
        <v>54</v>
      </c>
      <c r="G3731">
        <v>-489.99160000000001</v>
      </c>
      <c r="H3731" s="1">
        <v>3.4641380000000002E-6</v>
      </c>
      <c r="I3731">
        <v>218.13290000000001</v>
      </c>
      <c r="J3731">
        <v>-492.53809999999999</v>
      </c>
      <c r="K3731">
        <v>1.111418</v>
      </c>
      <c r="L3731">
        <v>245.16560000000001</v>
      </c>
      <c r="M3731">
        <v>-6.1020999999999999E-2</v>
      </c>
      <c r="N3731">
        <v>-1.3148409999999999E-2</v>
      </c>
      <c r="O3731">
        <v>-0.99804999999999999</v>
      </c>
      <c r="P3731">
        <v>7.9766770000000001E-2</v>
      </c>
      <c r="Q3731">
        <v>0.15463679999999999</v>
      </c>
      <c r="R3731">
        <v>-0.98474649999999997</v>
      </c>
      <c r="S3731">
        <v>0.28469850000000002</v>
      </c>
      <c r="T3731">
        <v>-0.1245713</v>
      </c>
      <c r="U3731">
        <v>-3.0431059999999999</v>
      </c>
      <c r="V3731">
        <v>-0.14001759999999999</v>
      </c>
      <c r="W3731">
        <v>0.16722879999999901</v>
      </c>
      <c r="X3731">
        <v>0.97592500000000004</v>
      </c>
      <c r="Y3731">
        <v>-0.15364639999999999</v>
      </c>
      <c r="Z3731">
        <v>2.727742E-2</v>
      </c>
      <c r="AA3731">
        <v>0.98774930000000005</v>
      </c>
      <c r="AB3731">
        <v>22</v>
      </c>
      <c r="AC3731">
        <v>2.54649999999998</v>
      </c>
      <c r="AD3731">
        <v>-1.111414535862</v>
      </c>
      <c r="AE3731">
        <v>-27.032699999999998</v>
      </c>
      <c r="AF3731">
        <v>-4.1844476103618602</v>
      </c>
      <c r="AG3731">
        <v>-1.111414535862</v>
      </c>
      <c r="AH3731">
        <v>26.782039507571501</v>
      </c>
      <c r="AI3731">
        <v>92.347873618592203</v>
      </c>
      <c r="AJ3731">
        <v>98.880145284569906</v>
      </c>
      <c r="AK3731">
        <v>27.129734319736901</v>
      </c>
      <c r="AL3731">
        <v>80.373265484458202</v>
      </c>
      <c r="AM3731">
        <v>98.164605598479199</v>
      </c>
      <c r="AN3731">
        <v>1.0000000027421001</v>
      </c>
    </row>
    <row r="3732" spans="1:40" x14ac:dyDescent="0.25">
      <c r="A3732" t="str">
        <f>"20190304154827380"</f>
        <v>20190304154827380</v>
      </c>
      <c r="B3732" t="str">
        <f>"1551685707370046"</f>
        <v>1551685707370046</v>
      </c>
      <c r="C3732" t="s">
        <v>40</v>
      </c>
      <c r="D3732">
        <v>4.4499899999999997</v>
      </c>
      <c r="E3732">
        <v>0.49269540000000001</v>
      </c>
      <c r="F3732" t="s">
        <v>54</v>
      </c>
      <c r="G3732">
        <v>-489.95949999999999</v>
      </c>
      <c r="H3732" s="1">
        <v>3.4690390000000002E-6</v>
      </c>
      <c r="I3732">
        <v>218.1148</v>
      </c>
      <c r="J3732">
        <v>-492.5444</v>
      </c>
      <c r="K3732">
        <v>1.111415</v>
      </c>
      <c r="L3732">
        <v>245.05070000000001</v>
      </c>
      <c r="M3732">
        <v>-6.0346049999999998E-2</v>
      </c>
      <c r="N3732">
        <v>-1.313333E-2</v>
      </c>
      <c r="O3732">
        <v>-0.99809130000000001</v>
      </c>
      <c r="P3732">
        <v>8.0883990000000003E-2</v>
      </c>
      <c r="Q3732">
        <v>0.1545791</v>
      </c>
      <c r="R3732">
        <v>-0.98466410000000004</v>
      </c>
      <c r="S3732">
        <v>0.29003909999999899</v>
      </c>
      <c r="T3732">
        <v>-0.12500929999999999</v>
      </c>
      <c r="U3732">
        <v>-3.0426030000000002</v>
      </c>
      <c r="V3732">
        <v>-0.14046710000000001</v>
      </c>
      <c r="W3732">
        <v>0.16715450000000001</v>
      </c>
      <c r="X3732">
        <v>0.97587310000000005</v>
      </c>
      <c r="Y3732">
        <v>-0.15471079999999901</v>
      </c>
      <c r="Z3732">
        <v>2.7436780000000001E-2</v>
      </c>
      <c r="AA3732">
        <v>0.98757870000000003</v>
      </c>
      <c r="AB3732">
        <v>22</v>
      </c>
      <c r="AC3732">
        <v>2.5849000000000002</v>
      </c>
      <c r="AD3732">
        <v>-1.111411530961</v>
      </c>
      <c r="AE3732">
        <v>-26.9359</v>
      </c>
      <c r="AF3732">
        <v>-4.1987202316786902</v>
      </c>
      <c r="AG3732">
        <v>-1.111411530961</v>
      </c>
      <c r="AH3732">
        <v>26.685781446547601</v>
      </c>
      <c r="AI3732">
        <v>92.355931130207097</v>
      </c>
      <c r="AJ3732">
        <v>98.941569808931405</v>
      </c>
      <c r="AK3732">
        <v>27.0369269442362</v>
      </c>
      <c r="AL3732">
        <v>80.377583020844199</v>
      </c>
      <c r="AM3732">
        <v>98.190891139005203</v>
      </c>
      <c r="AN3732">
        <v>0.99999997017813402</v>
      </c>
    </row>
    <row r="3733" spans="1:40" x14ac:dyDescent="0.25">
      <c r="A3733" t="str">
        <f>"20190304154827393"</f>
        <v>20190304154827393</v>
      </c>
      <c r="B3733" t="str">
        <f>"1551685707390542"</f>
        <v>1551685707390542</v>
      </c>
      <c r="C3733" t="s">
        <v>40</v>
      </c>
      <c r="D3733">
        <v>4.163157</v>
      </c>
      <c r="E3733">
        <v>0.43392760000000002</v>
      </c>
      <c r="F3733" t="s">
        <v>54</v>
      </c>
      <c r="G3733">
        <v>-489.94029999999998</v>
      </c>
      <c r="H3733" s="1">
        <v>3.462704E-6</v>
      </c>
      <c r="I3733">
        <v>218.03389999999999</v>
      </c>
      <c r="J3733">
        <v>-492.55079999999998</v>
      </c>
      <c r="K3733">
        <v>1.1114139999999999</v>
      </c>
      <c r="L3733">
        <v>244.9316</v>
      </c>
      <c r="M3733">
        <v>-5.9644790000000003E-2</v>
      </c>
      <c r="N3733">
        <v>-1.311789E-2</v>
      </c>
      <c r="O3733">
        <v>-0.99813370000000001</v>
      </c>
      <c r="P3733">
        <v>8.1644179999999997E-2</v>
      </c>
      <c r="Q3733">
        <v>0.15425069999999999</v>
      </c>
      <c r="R3733">
        <v>-0.98465320000000001</v>
      </c>
      <c r="S3733">
        <v>0.29324339999999999</v>
      </c>
      <c r="T3733">
        <v>-0.12515280000000001</v>
      </c>
      <c r="U3733">
        <v>-3.0422820000000002</v>
      </c>
      <c r="V3733">
        <v>-0.1405382</v>
      </c>
      <c r="W3733">
        <v>0.16681029999999999</v>
      </c>
      <c r="X3733">
        <v>0.97592179999999995</v>
      </c>
      <c r="Y3733">
        <v>-0.155057</v>
      </c>
      <c r="Z3733">
        <v>2.7502550000000001E-2</v>
      </c>
      <c r="AA3733">
        <v>0.98752269999999998</v>
      </c>
      <c r="AB3733">
        <v>22</v>
      </c>
      <c r="AC3733">
        <v>2.6105</v>
      </c>
      <c r="AD3733">
        <v>-1.1114105372959999</v>
      </c>
      <c r="AE3733">
        <v>-26.8977</v>
      </c>
      <c r="AF3733">
        <v>-4.2031876994097601</v>
      </c>
      <c r="AG3733">
        <v>-1.1114105372959999</v>
      </c>
      <c r="AH3733">
        <v>26.6490145346174</v>
      </c>
      <c r="AI3733">
        <v>92.359036412341496</v>
      </c>
      <c r="AJ3733">
        <v>98.963078734374605</v>
      </c>
      <c r="AK3733">
        <v>27.0013332242156</v>
      </c>
      <c r="AL3733">
        <v>80.397585453536095</v>
      </c>
      <c r="AM3733">
        <v>98.194577421736994</v>
      </c>
      <c r="AN3733">
        <v>1.00000001078028</v>
      </c>
    </row>
    <row r="3734" spans="1:40" x14ac:dyDescent="0.25">
      <c r="A3734" t="str">
        <f>"20190304154827405"</f>
        <v>20190304154827405</v>
      </c>
      <c r="B3734" t="str">
        <f>"1551685707400304"</f>
        <v>1551685707400304</v>
      </c>
      <c r="C3734" t="s">
        <v>40</v>
      </c>
      <c r="D3734">
        <v>4.1374719999999998</v>
      </c>
      <c r="E3734">
        <v>0.42715599999999998</v>
      </c>
      <c r="F3734" t="s">
        <v>44</v>
      </c>
      <c r="G3734">
        <v>-480.37909999999999</v>
      </c>
      <c r="H3734" s="1">
        <v>-5.1275219999999998E-6</v>
      </c>
      <c r="I3734">
        <v>197.19319999999999</v>
      </c>
      <c r="J3734">
        <v>-492.5575</v>
      </c>
      <c r="K3734">
        <v>1.1114090000000001</v>
      </c>
      <c r="L3734">
        <v>244.80459999999999</v>
      </c>
      <c r="M3734">
        <v>-5.8888000000000003E-2</v>
      </c>
      <c r="N3734">
        <v>-1.309972E-2</v>
      </c>
      <c r="O3734">
        <v>-0.99817900000000004</v>
      </c>
      <c r="P3734">
        <v>8.2681980000000002E-2</v>
      </c>
      <c r="Q3734">
        <v>0.15368109999999999</v>
      </c>
      <c r="R3734">
        <v>-0.98465539999999996</v>
      </c>
      <c r="S3734">
        <v>0.76345830000000003</v>
      </c>
      <c r="T3734">
        <v>-6.971252E-2</v>
      </c>
      <c r="U3734">
        <v>-2.9943390000000001</v>
      </c>
      <c r="V3734">
        <v>-0.1408344</v>
      </c>
      <c r="W3734">
        <v>0.1662217</v>
      </c>
      <c r="X3734">
        <v>0.9759795</v>
      </c>
      <c r="Y3734">
        <v>-0.30362129999999998</v>
      </c>
      <c r="Z3734">
        <v>9.1129460000000002E-3</v>
      </c>
      <c r="AA3734">
        <v>0.95274930000000002</v>
      </c>
      <c r="AB3734">
        <v>22</v>
      </c>
      <c r="AC3734">
        <v>12.1784</v>
      </c>
      <c r="AD3734">
        <v>-1.111414127522</v>
      </c>
      <c r="AE3734">
        <v>-47.611400000000003</v>
      </c>
      <c r="AF3734">
        <v>-14.953593588073099</v>
      </c>
      <c r="AG3734">
        <v>-1.111414127522</v>
      </c>
      <c r="AH3734">
        <v>46.787608259140598</v>
      </c>
      <c r="AI3734">
        <v>91.296204906844096</v>
      </c>
      <c r="AJ3734">
        <v>107.724184169964</v>
      </c>
      <c r="AK3734">
        <v>49.131715715726102</v>
      </c>
      <c r="AL3734">
        <v>80.431786981889402</v>
      </c>
      <c r="AM3734">
        <v>98.211134268793998</v>
      </c>
      <c r="AN3734">
        <v>0.99999998309724902</v>
      </c>
    </row>
    <row r="3735" spans="1:40" x14ac:dyDescent="0.25">
      <c r="A3735" t="str">
        <f>"20190304154827416"</f>
        <v>20190304154827416</v>
      </c>
      <c r="B3735" t="str">
        <f>"1551685707410062"</f>
        <v>1551685707410062</v>
      </c>
      <c r="C3735" t="s">
        <v>40</v>
      </c>
      <c r="D3735">
        <v>4.1186699999999998</v>
      </c>
      <c r="E3735">
        <v>0.4230295</v>
      </c>
      <c r="F3735" t="s">
        <v>44</v>
      </c>
      <c r="G3735">
        <v>-479.94560000000001</v>
      </c>
      <c r="H3735">
        <v>6.2167130000000001E-2</v>
      </c>
      <c r="I3735">
        <v>198.84110000000001</v>
      </c>
      <c r="J3735">
        <v>-492.5634</v>
      </c>
      <c r="K3735">
        <v>1.1114139999999999</v>
      </c>
      <c r="L3735">
        <v>244.69220000000001</v>
      </c>
      <c r="M3735">
        <v>-5.8214120000000001E-2</v>
      </c>
      <c r="N3735">
        <v>-1.3083010000000001E-2</v>
      </c>
      <c r="O3735">
        <v>-0.99821879999999996</v>
      </c>
      <c r="P3735">
        <v>8.3620940000000005E-2</v>
      </c>
      <c r="Q3735">
        <v>0.15325250000000001</v>
      </c>
      <c r="R3735">
        <v>-0.9846433</v>
      </c>
      <c r="S3735">
        <v>0.82003780000000004</v>
      </c>
      <c r="T3735">
        <v>-6.8222640000000001E-2</v>
      </c>
      <c r="U3735">
        <v>-2.9885860000000002</v>
      </c>
      <c r="V3735">
        <v>-0.14111179999999901</v>
      </c>
      <c r="W3735">
        <v>0.16577449999999999</v>
      </c>
      <c r="X3735">
        <v>0.97601550000000004</v>
      </c>
      <c r="Y3735">
        <v>-0.32022230000000002</v>
      </c>
      <c r="Z3735">
        <v>8.5761090000000002E-3</v>
      </c>
      <c r="AA3735">
        <v>0.94730360000000002</v>
      </c>
      <c r="AB3735">
        <v>22</v>
      </c>
      <c r="AC3735">
        <v>12.6177999999999</v>
      </c>
      <c r="AD3735">
        <v>-1.0492468699999999</v>
      </c>
      <c r="AE3735">
        <v>-45.851100000000002</v>
      </c>
      <c r="AF3735">
        <v>-15.258379070174</v>
      </c>
      <c r="AG3735">
        <v>-1.0492468699999999</v>
      </c>
      <c r="AH3735">
        <v>45.016817801340302</v>
      </c>
      <c r="AI3735">
        <v>91.264560933304907</v>
      </c>
      <c r="AJ3735">
        <v>108.724007904354</v>
      </c>
      <c r="AK3735">
        <v>47.5440105144949</v>
      </c>
      <c r="AL3735">
        <v>80.457770215887905</v>
      </c>
      <c r="AM3735">
        <v>98.226787170949095</v>
      </c>
      <c r="AN3735">
        <v>0.99999999059486999</v>
      </c>
    </row>
    <row r="3736" spans="1:40" x14ac:dyDescent="0.25">
      <c r="A3736" t="str">
        <f>"20190304154827428"</f>
        <v>20190304154827428</v>
      </c>
      <c r="B3736" t="str">
        <f>"1551685707419822"</f>
        <v>1551685707419822</v>
      </c>
      <c r="C3736" t="s">
        <v>40</v>
      </c>
      <c r="D3736">
        <v>4.1071489999999997</v>
      </c>
      <c r="E3736">
        <v>0.4203617</v>
      </c>
      <c r="F3736" t="s">
        <v>44</v>
      </c>
      <c r="G3736">
        <v>-479.61160000000001</v>
      </c>
      <c r="H3736">
        <v>7.9986779999999993E-2</v>
      </c>
      <c r="I3736">
        <v>199.49359999999999</v>
      </c>
      <c r="J3736">
        <v>-492.5693</v>
      </c>
      <c r="K3736">
        <v>1.1114200000000001</v>
      </c>
      <c r="L3736">
        <v>244.57689999999999</v>
      </c>
      <c r="M3736">
        <v>-5.7517459999999999E-2</v>
      </c>
      <c r="N3736">
        <v>-1.3065149999999999E-2</v>
      </c>
      <c r="O3736">
        <v>-0.99825909999999995</v>
      </c>
      <c r="P3736">
        <v>8.4452620000000006E-2</v>
      </c>
      <c r="Q3736">
        <v>0.1529585</v>
      </c>
      <c r="R3736">
        <v>-0.98461750000000003</v>
      </c>
      <c r="S3736">
        <v>0.85528559999999998</v>
      </c>
      <c r="T3736">
        <v>-6.8111539999999998E-2</v>
      </c>
      <c r="U3736">
        <v>-2.9847410000000001</v>
      </c>
      <c r="V3736">
        <v>-0.14125989999999999</v>
      </c>
      <c r="W3736">
        <v>0.16546129999999901</v>
      </c>
      <c r="X3736">
        <v>0.9760472</v>
      </c>
      <c r="Y3736">
        <v>-0.33022269999999998</v>
      </c>
      <c r="Z3736">
        <v>8.5114259999999903E-3</v>
      </c>
      <c r="AA3736">
        <v>0.9438647</v>
      </c>
      <c r="AB3736">
        <v>22</v>
      </c>
      <c r="AC3736">
        <v>12.9576999999999</v>
      </c>
      <c r="AD3736">
        <v>-1.03143322</v>
      </c>
      <c r="AE3736">
        <v>-45.083300000000001</v>
      </c>
      <c r="AF3736">
        <v>-15.522038269570601</v>
      </c>
      <c r="AG3736">
        <v>-1.03143322</v>
      </c>
      <c r="AH3736">
        <v>44.241904222462601</v>
      </c>
      <c r="AI3736">
        <v>91.260236989295706</v>
      </c>
      <c r="AJ3736">
        <v>109.333151644786</v>
      </c>
      <c r="AK3736">
        <v>46.897159996729997</v>
      </c>
      <c r="AL3736">
        <v>80.475966336971695</v>
      </c>
      <c r="AM3736">
        <v>98.235039205305696</v>
      </c>
      <c r="AN3736">
        <v>0.99999996888676901</v>
      </c>
    </row>
    <row r="3737" spans="1:40" x14ac:dyDescent="0.25">
      <c r="A3737" t="str">
        <f>"20190304154827440"</f>
        <v>20190304154827440</v>
      </c>
      <c r="B3737" t="str">
        <f>"1551685707430559"</f>
        <v>1551685707430559</v>
      </c>
      <c r="C3737" t="s">
        <v>40</v>
      </c>
      <c r="D3737">
        <v>4.2513730000000001</v>
      </c>
      <c r="E3737">
        <v>0.41900749999999998</v>
      </c>
      <c r="F3737" t="s">
        <v>54</v>
      </c>
      <c r="G3737">
        <v>-479.43380000000002</v>
      </c>
      <c r="H3737">
        <v>7.9998630000000001E-2</v>
      </c>
      <c r="I3737">
        <v>200.0325</v>
      </c>
      <c r="J3737">
        <v>-492.5752</v>
      </c>
      <c r="K3737">
        <v>1.1114269999999999</v>
      </c>
      <c r="L3737">
        <v>244.46119999999999</v>
      </c>
      <c r="M3737">
        <v>-5.6806429999999998E-2</v>
      </c>
      <c r="N3737">
        <v>-1.304805E-2</v>
      </c>
      <c r="O3737">
        <v>-0.99829990000000002</v>
      </c>
      <c r="P3737">
        <v>8.5360909999999998E-2</v>
      </c>
      <c r="Q3737">
        <v>0.15257399999999999</v>
      </c>
      <c r="R3737">
        <v>-0.9845988</v>
      </c>
      <c r="S3737">
        <v>0.87939449999999997</v>
      </c>
      <c r="T3737">
        <v>-6.9051379999999996E-2</v>
      </c>
      <c r="U3737">
        <v>-2.9821469999999999</v>
      </c>
      <c r="V3737">
        <v>-0.1414726</v>
      </c>
      <c r="W3737">
        <v>0.16505590000000001</v>
      </c>
      <c r="X3737">
        <v>0.97608510000000004</v>
      </c>
      <c r="Y3737">
        <v>-0.33679229999999999</v>
      </c>
      <c r="Z3737">
        <v>8.7952540000000006E-3</v>
      </c>
      <c r="AA3737">
        <v>0.94153790000000004</v>
      </c>
      <c r="AB3737">
        <v>22</v>
      </c>
      <c r="AC3737">
        <v>13.1413999999999</v>
      </c>
      <c r="AD3737">
        <v>-1.03142837</v>
      </c>
      <c r="AE3737">
        <v>-44.4286999999999</v>
      </c>
      <c r="AF3737">
        <v>-15.6364772704835</v>
      </c>
      <c r="AG3737">
        <v>-1.03142837</v>
      </c>
      <c r="AH3737">
        <v>43.588762862856903</v>
      </c>
      <c r="AI3737">
        <v>91.275936138732305</v>
      </c>
      <c r="AJ3737">
        <v>109.7342938024</v>
      </c>
      <c r="AK3737">
        <v>46.320012023175998</v>
      </c>
      <c r="AL3737">
        <v>80.499518503881205</v>
      </c>
      <c r="AM3737">
        <v>98.246952725662695</v>
      </c>
      <c r="AN3737">
        <v>1.0000000345587801</v>
      </c>
    </row>
    <row r="3738" spans="1:40" x14ac:dyDescent="0.25">
      <c r="A3738" t="str">
        <f>"20190304154827457"</f>
        <v>20190304154827457</v>
      </c>
      <c r="B3738" t="str">
        <f>"1551685707450078"</f>
        <v>1551685707450078</v>
      </c>
      <c r="C3738" t="s">
        <v>40</v>
      </c>
      <c r="D3738">
        <v>4.1309389999999997</v>
      </c>
      <c r="E3738">
        <v>0.41675240000000002</v>
      </c>
      <c r="F3738" t="s">
        <v>54</v>
      </c>
      <c r="G3738">
        <v>-479.87990000000002</v>
      </c>
      <c r="H3738">
        <v>7.9999360000000005E-2</v>
      </c>
      <c r="I3738">
        <v>202.04910000000001</v>
      </c>
      <c r="J3738">
        <v>-492.58330000000001</v>
      </c>
      <c r="K3738">
        <v>1.111443</v>
      </c>
      <c r="L3738">
        <v>244.29750000000001</v>
      </c>
      <c r="M3738">
        <v>-5.5784269999999997E-2</v>
      </c>
      <c r="N3738">
        <v>-1.302533E-2</v>
      </c>
      <c r="O3738">
        <v>-0.99835790000000002</v>
      </c>
      <c r="P3738">
        <v>8.6706389999999994E-2</v>
      </c>
      <c r="Q3738">
        <v>0.1518601</v>
      </c>
      <c r="R3738">
        <v>-0.98459180000000002</v>
      </c>
      <c r="S3738">
        <v>0.89224239999999999</v>
      </c>
      <c r="T3738">
        <v>-7.2490570000000004E-2</v>
      </c>
      <c r="U3738">
        <v>-2.9807890000000001</v>
      </c>
      <c r="V3738">
        <v>-0.14181939999999901</v>
      </c>
      <c r="W3738">
        <v>0.16431419999999999</v>
      </c>
      <c r="X3738">
        <v>0.97615989999999997</v>
      </c>
      <c r="Y3738">
        <v>-0.33966619999999997</v>
      </c>
      <c r="Z3738">
        <v>9.8974309999999999E-3</v>
      </c>
      <c r="AA3738">
        <v>0.94049400000000005</v>
      </c>
      <c r="AB3738">
        <v>22</v>
      </c>
      <c r="AC3738">
        <v>12.703399999999901</v>
      </c>
      <c r="AD3738">
        <v>-1.03144364</v>
      </c>
      <c r="AE3738">
        <v>-42.248399999999997</v>
      </c>
      <c r="AF3738">
        <v>-15.0323946275624</v>
      </c>
      <c r="AG3738">
        <v>-1.03144364</v>
      </c>
      <c r="AH3738">
        <v>41.451233723892202</v>
      </c>
      <c r="AI3738">
        <v>91.340049872293903</v>
      </c>
      <c r="AJ3738">
        <v>109.93330439600101</v>
      </c>
      <c r="AK3738">
        <v>44.104892488861097</v>
      </c>
      <c r="AL3738">
        <v>80.542602954279403</v>
      </c>
      <c r="AM3738">
        <v>98.266265174296706</v>
      </c>
      <c r="AN3738">
        <v>1.0000000244530001</v>
      </c>
    </row>
    <row r="3739" spans="1:40" x14ac:dyDescent="0.25">
      <c r="A3739" t="str">
        <f>"20190304154827469"</f>
        <v>20190304154827469</v>
      </c>
      <c r="B3739" t="str">
        <f>"1551685707459838"</f>
        <v>1551685707459838</v>
      </c>
      <c r="C3739" t="s">
        <v>40</v>
      </c>
      <c r="D3739">
        <v>4.1115209999999998</v>
      </c>
      <c r="E3739">
        <v>0.41586580000000001</v>
      </c>
      <c r="F3739" t="s">
        <v>54</v>
      </c>
      <c r="G3739">
        <v>-479.63080000000002</v>
      </c>
      <c r="H3739">
        <v>7.9999280000000006E-2</v>
      </c>
      <c r="I3739">
        <v>202.1147</v>
      </c>
      <c r="J3739">
        <v>-492.589</v>
      </c>
      <c r="K3739">
        <v>1.1114569999999999</v>
      </c>
      <c r="L3739">
        <v>244.18090000000001</v>
      </c>
      <c r="M3739">
        <v>-5.5041060000000003E-2</v>
      </c>
      <c r="N3739">
        <v>-1.301064E-2</v>
      </c>
      <c r="O3739">
        <v>-0.99839929999999999</v>
      </c>
      <c r="P3739">
        <v>8.7553610000000004E-2</v>
      </c>
      <c r="Q3739">
        <v>0.15162929999999999</v>
      </c>
      <c r="R3739">
        <v>-0.98455210000000004</v>
      </c>
      <c r="S3739">
        <v>0.91430659999999997</v>
      </c>
      <c r="T3739">
        <v>-7.2808739999999997E-2</v>
      </c>
      <c r="U3739">
        <v>-2.977646</v>
      </c>
      <c r="V3739">
        <v>-0.14194089999999901</v>
      </c>
      <c r="W3739">
        <v>0.1640635</v>
      </c>
      <c r="X3739">
        <v>0.97618439999999995</v>
      </c>
      <c r="Y3739">
        <v>-0.34561180000000002</v>
      </c>
      <c r="Z3739">
        <v>9.9867259999999996E-3</v>
      </c>
      <c r="AA3739">
        <v>0.93832450000000001</v>
      </c>
      <c r="AB3739">
        <v>22</v>
      </c>
      <c r="AC3739">
        <v>12.9581999999999</v>
      </c>
      <c r="AD3739">
        <v>-1.0314577199999999</v>
      </c>
      <c r="AE3739">
        <v>-42.066200000000002</v>
      </c>
      <c r="AF3739">
        <v>-15.2457457996945</v>
      </c>
      <c r="AG3739">
        <v>-1.0314577199999999</v>
      </c>
      <c r="AH3739">
        <v>41.266467088671099</v>
      </c>
      <c r="AI3739">
        <v>91.343118362499197</v>
      </c>
      <c r="AJ3739">
        <v>110.276566853265</v>
      </c>
      <c r="AK3739">
        <v>44.0047494709085</v>
      </c>
      <c r="AL3739">
        <v>80.5571645520441</v>
      </c>
      <c r="AM3739">
        <v>98.273044323657501</v>
      </c>
      <c r="AN3739">
        <v>1.0000000169642</v>
      </c>
    </row>
    <row r="3740" spans="1:40" x14ac:dyDescent="0.25">
      <c r="A3740" t="str">
        <f>"20190304154827481"</f>
        <v>20190304154827481</v>
      </c>
      <c r="B3740" t="str">
        <f>"1551685707470574"</f>
        <v>1551685707470574</v>
      </c>
      <c r="C3740" t="s">
        <v>40</v>
      </c>
      <c r="D3740">
        <v>4.1321690000000002</v>
      </c>
      <c r="E3740">
        <v>0.41524850000000002</v>
      </c>
      <c r="F3740" t="s">
        <v>54</v>
      </c>
      <c r="G3740">
        <v>-479.32499999999999</v>
      </c>
      <c r="H3740">
        <v>7.9998979999999997E-2</v>
      </c>
      <c r="I3740">
        <v>201.4341</v>
      </c>
      <c r="J3740">
        <v>-492.59429999999998</v>
      </c>
      <c r="K3740">
        <v>1.1114759999999999</v>
      </c>
      <c r="L3740">
        <v>244.0685</v>
      </c>
      <c r="M3740">
        <v>-5.4300840000000003E-2</v>
      </c>
      <c r="N3740">
        <v>-1.2997989999999999E-2</v>
      </c>
      <c r="O3740">
        <v>-0.99844029999999995</v>
      </c>
      <c r="P3740">
        <v>8.8698860000000004E-2</v>
      </c>
      <c r="Q3740">
        <v>0.15140509999999999</v>
      </c>
      <c r="R3740">
        <v>-0.9844849</v>
      </c>
      <c r="S3740">
        <v>0.92343140000000001</v>
      </c>
      <c r="T3740">
        <v>-7.1809650000000003E-2</v>
      </c>
      <c r="U3740">
        <v>-2.976013</v>
      </c>
      <c r="V3740">
        <v>-0.14236279999999901</v>
      </c>
      <c r="W3740">
        <v>0.1638194</v>
      </c>
      <c r="X3740">
        <v>0.97616389999999997</v>
      </c>
      <c r="Y3740">
        <v>-0.34768749999999998</v>
      </c>
      <c r="Z3740">
        <v>9.6772209999999997E-3</v>
      </c>
      <c r="AA3740">
        <v>0.93756059999999997</v>
      </c>
      <c r="AB3740">
        <v>22</v>
      </c>
      <c r="AC3740">
        <v>13.2692999999999</v>
      </c>
      <c r="AD3740">
        <v>-1.0314770200000001</v>
      </c>
      <c r="AE3740">
        <v>-42.634399999999999</v>
      </c>
      <c r="AF3740">
        <v>-15.556696517583299</v>
      </c>
      <c r="AG3740">
        <v>-1.0314770200000001</v>
      </c>
      <c r="AH3740">
        <v>41.828571475605798</v>
      </c>
      <c r="AI3740">
        <v>91.324034895941594</v>
      </c>
      <c r="AJ3740">
        <v>110.400950910563</v>
      </c>
      <c r="AK3740">
        <v>44.639714863256401</v>
      </c>
      <c r="AL3740">
        <v>80.571341744166602</v>
      </c>
      <c r="AM3740">
        <v>98.297464780348605</v>
      </c>
      <c r="AN3740">
        <v>0.99999996115170398</v>
      </c>
    </row>
    <row r="3741" spans="1:40" x14ac:dyDescent="0.25">
      <c r="A3741" t="str">
        <f>"20190304154827496"</f>
        <v>20190304154827496</v>
      </c>
      <c r="B3741" t="str">
        <f>"1551685707490094"</f>
        <v>1551685707490094</v>
      </c>
      <c r="C3741" t="s">
        <v>40</v>
      </c>
      <c r="D3741">
        <v>4.1201049999999997</v>
      </c>
      <c r="E3741">
        <v>0.4140354</v>
      </c>
      <c r="F3741" t="s">
        <v>54</v>
      </c>
      <c r="G3741">
        <v>-479.76010000000002</v>
      </c>
      <c r="H3741">
        <v>7.9999669999999995E-2</v>
      </c>
      <c r="I3741">
        <v>203.1019</v>
      </c>
      <c r="J3741">
        <v>-492.60109999999997</v>
      </c>
      <c r="K3741">
        <v>1.1115029999999999</v>
      </c>
      <c r="L3741">
        <v>243.92449999999999</v>
      </c>
      <c r="M3741">
        <v>-5.3331150000000001E-2</v>
      </c>
      <c r="N3741">
        <v>-1.2981589999999999E-2</v>
      </c>
      <c r="O3741">
        <v>-0.99849279999999996</v>
      </c>
      <c r="P3741">
        <v>8.9948360000000005E-2</v>
      </c>
      <c r="Q3741">
        <v>0.1515465</v>
      </c>
      <c r="R3741">
        <v>-0.98434949999999999</v>
      </c>
      <c r="S3741">
        <v>0.93197629999999998</v>
      </c>
      <c r="T3741">
        <v>-7.490194E-2</v>
      </c>
      <c r="U3741">
        <v>-2.9748380000000001</v>
      </c>
      <c r="V3741">
        <v>-0.14266400000000001</v>
      </c>
      <c r="W3741">
        <v>0.16393369999999999</v>
      </c>
      <c r="X3741">
        <v>0.97610079999999999</v>
      </c>
      <c r="Y3741">
        <v>-0.34933009999999998</v>
      </c>
      <c r="Z3741">
        <v>1.0668830000000001E-2</v>
      </c>
      <c r="AA3741">
        <v>0.93693899999999997</v>
      </c>
      <c r="AB3741">
        <v>22</v>
      </c>
      <c r="AC3741">
        <v>12.8409999999999</v>
      </c>
      <c r="AD3741">
        <v>-1.0315033300000001</v>
      </c>
      <c r="AE3741">
        <v>-40.822600000000001</v>
      </c>
      <c r="AF3741">
        <v>-14.9913119752306</v>
      </c>
      <c r="AG3741">
        <v>-1.0315033300000001</v>
      </c>
      <c r="AH3741">
        <v>40.056339970643897</v>
      </c>
      <c r="AI3741">
        <v>91.381568985662497</v>
      </c>
      <c r="AJ3741">
        <v>110.518646476323</v>
      </c>
      <c r="AK3741">
        <v>42.782166912187897</v>
      </c>
      <c r="AL3741">
        <v>80.564703679331004</v>
      </c>
      <c r="AM3741">
        <v>98.315304712546705</v>
      </c>
      <c r="AN3741">
        <v>1.0000000233261599</v>
      </c>
    </row>
    <row r="3742" spans="1:40" x14ac:dyDescent="0.25">
      <c r="A3742" t="str">
        <f>"20190304154827510"</f>
        <v>20190304154827510</v>
      </c>
      <c r="B3742" t="str">
        <f>"1551685707500831"</f>
        <v>1551685707500831</v>
      </c>
      <c r="C3742" t="s">
        <v>40</v>
      </c>
      <c r="D3742">
        <v>4.0658940000000001</v>
      </c>
      <c r="E3742">
        <v>0.41367409999999999</v>
      </c>
      <c r="F3742" t="s">
        <v>54</v>
      </c>
      <c r="G3742">
        <v>-479.84980000000002</v>
      </c>
      <c r="H3742">
        <v>7.9999940000000005E-2</v>
      </c>
      <c r="I3742">
        <v>203.82339999999999</v>
      </c>
      <c r="J3742">
        <v>-492.60770000000002</v>
      </c>
      <c r="K3742">
        <v>1.1115349999999999</v>
      </c>
      <c r="L3742">
        <v>243.77850000000001</v>
      </c>
      <c r="M3742">
        <v>-5.2311429999999999E-2</v>
      </c>
      <c r="N3742">
        <v>-1.2963479999999999E-2</v>
      </c>
      <c r="O3742">
        <v>-0.99854690000000002</v>
      </c>
      <c r="P3742">
        <v>9.1399720000000004E-2</v>
      </c>
      <c r="Q3742">
        <v>0.15156979999999901</v>
      </c>
      <c r="R3742">
        <v>-0.98421199999999998</v>
      </c>
      <c r="S3742">
        <v>0.94537349999999998</v>
      </c>
      <c r="T3742">
        <v>-7.6475020000000005E-2</v>
      </c>
      <c r="U3742">
        <v>-2.973068</v>
      </c>
      <c r="V3742">
        <v>-0.14312130000000001</v>
      </c>
      <c r="W3742">
        <v>0.16392570000000001</v>
      </c>
      <c r="X3742">
        <v>0.97603519999999999</v>
      </c>
      <c r="Y3742">
        <v>-0.35236640000000002</v>
      </c>
      <c r="Z3742">
        <v>1.1171830000000001E-2</v>
      </c>
      <c r="AA3742">
        <v>0.93579540000000005</v>
      </c>
      <c r="AB3742">
        <v>22</v>
      </c>
      <c r="AC3742">
        <v>12.757899999999999</v>
      </c>
      <c r="AD3742">
        <v>-1.0315350599999999</v>
      </c>
      <c r="AE3742">
        <v>-39.955100000000002</v>
      </c>
      <c r="AF3742">
        <v>-14.821747627430399</v>
      </c>
      <c r="AG3742">
        <v>-1.0315350599999999</v>
      </c>
      <c r="AH3742">
        <v>39.209228834831798</v>
      </c>
      <c r="AI3742">
        <v>91.409701584131895</v>
      </c>
      <c r="AJ3742">
        <v>110.70743488831801</v>
      </c>
      <c r="AK3742">
        <v>41.929844897560201</v>
      </c>
      <c r="AL3742">
        <v>80.565168362876605</v>
      </c>
      <c r="AM3742">
        <v>98.342137165008495</v>
      </c>
      <c r="AN3742">
        <v>1.0000000266366</v>
      </c>
    </row>
    <row r="3743" spans="1:40" x14ac:dyDescent="0.25">
      <c r="A3743" t="str">
        <f>"20190304154827526"</f>
        <v>20190304154827526</v>
      </c>
      <c r="B3743" t="str">
        <f>"1551685707520350"</f>
        <v>1551685707520350</v>
      </c>
      <c r="C3743" t="s">
        <v>40</v>
      </c>
      <c r="D3743">
        <v>4.0736699999999999</v>
      </c>
      <c r="E3743">
        <v>0.41303580000000001</v>
      </c>
      <c r="F3743" t="s">
        <v>54</v>
      </c>
      <c r="G3743">
        <v>-479.91030000000001</v>
      </c>
      <c r="H3743">
        <v>8.0000070000000006E-2</v>
      </c>
      <c r="I3743">
        <v>204.1748</v>
      </c>
      <c r="J3743">
        <v>-492.61399999999998</v>
      </c>
      <c r="K3743">
        <v>1.111567</v>
      </c>
      <c r="L3743">
        <v>243.63570000000001</v>
      </c>
      <c r="M3743">
        <v>-5.125942E-2</v>
      </c>
      <c r="N3743">
        <v>-1.294383E-2</v>
      </c>
      <c r="O3743">
        <v>-0.99860170000000004</v>
      </c>
      <c r="P3743">
        <v>9.3215679999999995E-2</v>
      </c>
      <c r="Q3743">
        <v>0.15165319999999999</v>
      </c>
      <c r="R3743">
        <v>-0.98402880000000004</v>
      </c>
      <c r="S3743">
        <v>0.95272829999999997</v>
      </c>
      <c r="T3743">
        <v>-7.7399129999999997E-2</v>
      </c>
      <c r="U3743">
        <v>-2.9715880000000001</v>
      </c>
      <c r="V3743">
        <v>-0.14391129999999999</v>
      </c>
      <c r="W3743">
        <v>0.16397220000000001</v>
      </c>
      <c r="X3743">
        <v>0.97591119999999998</v>
      </c>
      <c r="Y3743">
        <v>-0.353614599999999</v>
      </c>
      <c r="Z3743">
        <v>1.148447E-2</v>
      </c>
      <c r="AA3743">
        <v>0.9353207</v>
      </c>
      <c r="AB3743">
        <v>22</v>
      </c>
      <c r="AC3743">
        <v>12.7037</v>
      </c>
      <c r="AD3743">
        <v>-1.0315669300000001</v>
      </c>
      <c r="AE3743">
        <v>-39.460900000000002</v>
      </c>
      <c r="AF3743">
        <v>-14.700805656969999</v>
      </c>
      <c r="AG3743">
        <v>-1.0315669300000001</v>
      </c>
      <c r="AH3743">
        <v>38.733792094026199</v>
      </c>
      <c r="AI3743">
        <v>91.426324991526499</v>
      </c>
      <c r="AJ3743">
        <v>110.783475434069</v>
      </c>
      <c r="AK3743">
        <v>41.4425441699508</v>
      </c>
      <c r="AL3743">
        <v>80.562467381615306</v>
      </c>
      <c r="AM3743">
        <v>98.388581314359797</v>
      </c>
      <c r="AN3743">
        <v>1.00000000746298</v>
      </c>
    </row>
    <row r="3744" spans="1:40" x14ac:dyDescent="0.25">
      <c r="A3744" t="str">
        <f>"20190304154827539"</f>
        <v>20190304154827539</v>
      </c>
      <c r="B3744" t="str">
        <f>"1551685707530110"</f>
        <v>1551685707530110</v>
      </c>
      <c r="C3744" t="s">
        <v>40</v>
      </c>
      <c r="D3744">
        <v>4.0777760000000001</v>
      </c>
      <c r="E3744">
        <v>0.41282760000000002</v>
      </c>
      <c r="F3744" t="s">
        <v>54</v>
      </c>
      <c r="G3744">
        <v>-479.9332</v>
      </c>
      <c r="H3744">
        <v>7.4591980000000002E-2</v>
      </c>
      <c r="I3744">
        <v>204.5446</v>
      </c>
      <c r="J3744">
        <v>-492.62020000000001</v>
      </c>
      <c r="K3744">
        <v>1.1116109999999999</v>
      </c>
      <c r="L3744">
        <v>243.4915</v>
      </c>
      <c r="M3744">
        <v>-5.0152450000000001E-2</v>
      </c>
      <c r="N3744">
        <v>-1.292456E-2</v>
      </c>
      <c r="O3744">
        <v>-0.99865809999999999</v>
      </c>
      <c r="P3744">
        <v>9.4905749999999997E-2</v>
      </c>
      <c r="Q3744">
        <v>0.15152769999999999</v>
      </c>
      <c r="R3744">
        <v>-0.98388640000000005</v>
      </c>
      <c r="S3744">
        <v>0.96331789999999995</v>
      </c>
      <c r="T3744">
        <v>-7.8775170000000005E-2</v>
      </c>
      <c r="U3744">
        <v>-2.9696039999999999</v>
      </c>
      <c r="V3744">
        <v>-0.1445263</v>
      </c>
      <c r="W3744">
        <v>0.16380999999999901</v>
      </c>
      <c r="X3744">
        <v>0.97584749999999998</v>
      </c>
      <c r="Y3744">
        <v>-0.35577629999999999</v>
      </c>
      <c r="Z3744">
        <v>1.1935090000000001E-2</v>
      </c>
      <c r="AA3744">
        <v>0.93449490000000002</v>
      </c>
      <c r="AB3744">
        <v>22</v>
      </c>
      <c r="AC3744">
        <v>12.686999999999999</v>
      </c>
      <c r="AD3744">
        <v>-1.03701902</v>
      </c>
      <c r="AE3744">
        <v>-38.946899999999999</v>
      </c>
      <c r="AF3744">
        <v>-14.6151093642425</v>
      </c>
      <c r="AG3744">
        <v>-1.03701902</v>
      </c>
      <c r="AH3744">
        <v>38.237034614184502</v>
      </c>
      <c r="AI3744">
        <v>91.451182177817998</v>
      </c>
      <c r="AJ3744">
        <v>110.918052111264</v>
      </c>
      <c r="AK3744">
        <v>40.948109190327202</v>
      </c>
      <c r="AL3744">
        <v>80.571887644789996</v>
      </c>
      <c r="AM3744">
        <v>98.424458313574306</v>
      </c>
      <c r="AN3744">
        <v>0.99999995537396902</v>
      </c>
    </row>
    <row r="3745" spans="1:40" x14ac:dyDescent="0.25">
      <c r="A3745" t="str">
        <f>"20190304154827552"</f>
        <v>20190304154827552</v>
      </c>
      <c r="B3745" t="str">
        <f>"1551685707550607"</f>
        <v>1551685707550607</v>
      </c>
      <c r="C3745" t="s">
        <v>40</v>
      </c>
      <c r="D3745">
        <v>4.0734769999999996</v>
      </c>
      <c r="E3745">
        <v>0.41236479999999998</v>
      </c>
      <c r="F3745" t="s">
        <v>54</v>
      </c>
      <c r="G3745">
        <v>-479.93799999999999</v>
      </c>
      <c r="H3745">
        <v>6.9642770000000007E-2</v>
      </c>
      <c r="I3745">
        <v>204.7116</v>
      </c>
      <c r="J3745">
        <v>-492.62540000000001</v>
      </c>
      <c r="K3745">
        <v>1.111653</v>
      </c>
      <c r="L3745">
        <v>243.3681</v>
      </c>
      <c r="M3745">
        <v>-4.9172239999999999E-2</v>
      </c>
      <c r="N3745">
        <v>-1.29087E-2</v>
      </c>
      <c r="O3745">
        <v>-0.99870720000000002</v>
      </c>
      <c r="P3745">
        <v>9.646834E-2</v>
      </c>
      <c r="Q3745">
        <v>0.15119879999999999</v>
      </c>
      <c r="R3745">
        <v>-0.98378540000000003</v>
      </c>
      <c r="S3745">
        <v>0.97055049999999998</v>
      </c>
      <c r="T3745">
        <v>-7.9740759999999994E-2</v>
      </c>
      <c r="U3745">
        <v>-2.9677889999999998</v>
      </c>
      <c r="V3745">
        <v>-0.14513770000000001</v>
      </c>
      <c r="W3745">
        <v>0.16344819999999999</v>
      </c>
      <c r="X3745">
        <v>0.9758175</v>
      </c>
      <c r="Y3745">
        <v>-0.35708329999999999</v>
      </c>
      <c r="Z3745">
        <v>1.2258939999999999E-2</v>
      </c>
      <c r="AA3745">
        <v>0.93399209999999999</v>
      </c>
      <c r="AB3745">
        <v>22</v>
      </c>
      <c r="AC3745">
        <v>12.687399999999901</v>
      </c>
      <c r="AD3745">
        <v>-1.04201023</v>
      </c>
      <c r="AE3745">
        <v>-38.656500000000001</v>
      </c>
      <c r="AF3745">
        <v>-14.5634813117414</v>
      </c>
      <c r="AG3745">
        <v>-1.04201023</v>
      </c>
      <c r="AH3745">
        <v>37.960909989597603</v>
      </c>
      <c r="AI3745">
        <v>91.468069526888996</v>
      </c>
      <c r="AJ3745">
        <v>110.989019050135</v>
      </c>
      <c r="AK3745">
        <v>40.671998481451503</v>
      </c>
      <c r="AL3745">
        <v>80.592901176557803</v>
      </c>
      <c r="AM3745">
        <v>98.459838590598594</v>
      </c>
      <c r="AN3745">
        <v>1.0000000296753799</v>
      </c>
    </row>
    <row r="3746" spans="1:40" x14ac:dyDescent="0.25">
      <c r="A3746" t="str">
        <f>"20190304154827569"</f>
        <v>20190304154827569</v>
      </c>
      <c r="B3746" t="str">
        <f>"1551685707560366"</f>
        <v>1551685707560366</v>
      </c>
      <c r="C3746" t="s">
        <v>40</v>
      </c>
      <c r="D3746">
        <v>4.1052900000000001</v>
      </c>
      <c r="E3746">
        <v>0.41218320000000003</v>
      </c>
      <c r="F3746" t="s">
        <v>54</v>
      </c>
      <c r="G3746">
        <v>-479.95179999999999</v>
      </c>
      <c r="H3746">
        <v>5.5695330000000001E-2</v>
      </c>
      <c r="I3746">
        <v>204.97980000000001</v>
      </c>
      <c r="J3746">
        <v>-492.63200000000001</v>
      </c>
      <c r="K3746">
        <v>1.1117090000000001</v>
      </c>
      <c r="L3746">
        <v>243.2002</v>
      </c>
      <c r="M3746">
        <v>-4.775915E-2</v>
      </c>
      <c r="N3746">
        <v>-1.2890209999999999E-2</v>
      </c>
      <c r="O3746">
        <v>-0.99877579999999999</v>
      </c>
      <c r="P3746">
        <v>9.8954100000000003E-2</v>
      </c>
      <c r="Q3746">
        <v>0.15051210000000001</v>
      </c>
      <c r="R3746">
        <v>-0.9836435</v>
      </c>
      <c r="S3746">
        <v>0.97918700000000003</v>
      </c>
      <c r="T3746">
        <v>-8.1585759999999993E-2</v>
      </c>
      <c r="U3746">
        <v>-2.965973</v>
      </c>
      <c r="V3746">
        <v>-0.14625450000000001</v>
      </c>
      <c r="W3746">
        <v>0.16271669999999999</v>
      </c>
      <c r="X3746">
        <v>0.975773</v>
      </c>
      <c r="Y3746">
        <v>-0.3583809</v>
      </c>
      <c r="Z3746">
        <v>1.2863650000000001E-2</v>
      </c>
      <c r="AA3746">
        <v>0.93348679999999995</v>
      </c>
      <c r="AB3746">
        <v>22</v>
      </c>
      <c r="AC3746">
        <v>12.6801999999999</v>
      </c>
      <c r="AD3746">
        <v>-1.05601367</v>
      </c>
      <c r="AE3746">
        <v>-38.220399999999898</v>
      </c>
      <c r="AF3746">
        <v>-14.481294500530799</v>
      </c>
      <c r="AG3746">
        <v>-1.05601367</v>
      </c>
      <c r="AH3746">
        <v>37.545312978253897</v>
      </c>
      <c r="AI3746">
        <v>91.503214717163004</v>
      </c>
      <c r="AJ3746">
        <v>111.091716377483</v>
      </c>
      <c r="AK3746">
        <v>40.255106283766899</v>
      </c>
      <c r="AL3746">
        <v>80.635381709497395</v>
      </c>
      <c r="AM3746">
        <v>98.524365346264403</v>
      </c>
      <c r="AN3746">
        <v>1.00000002537906</v>
      </c>
    </row>
    <row r="3747" spans="1:40" x14ac:dyDescent="0.25">
      <c r="A3747" t="str">
        <f>"20190304154827582"</f>
        <v>20190304154827582</v>
      </c>
      <c r="B3747" t="str">
        <f>"1551685707580394"</f>
        <v>1551685707580394</v>
      </c>
      <c r="C3747" t="s">
        <v>40</v>
      </c>
      <c r="D3747">
        <v>4.1008909999999998</v>
      </c>
      <c r="E3747">
        <v>0.41190169999999998</v>
      </c>
      <c r="F3747" t="s">
        <v>54</v>
      </c>
      <c r="G3747">
        <v>-479.95740000000001</v>
      </c>
      <c r="H3747">
        <v>2.5689150000000001E-2</v>
      </c>
      <c r="I3747">
        <v>205.16460000000001</v>
      </c>
      <c r="J3747">
        <v>-492.63659999999999</v>
      </c>
      <c r="K3747">
        <v>1.111753</v>
      </c>
      <c r="L3747">
        <v>243.08</v>
      </c>
      <c r="M3747">
        <v>-4.6690299999999997E-2</v>
      </c>
      <c r="N3747">
        <v>-1.2878779999999999E-2</v>
      </c>
      <c r="O3747">
        <v>-0.99882660000000001</v>
      </c>
      <c r="P3747">
        <v>0.1007184</v>
      </c>
      <c r="Q3747">
        <v>0.1501449</v>
      </c>
      <c r="R3747">
        <v>-0.98352059999999997</v>
      </c>
      <c r="S3747">
        <v>0.98751829999999996</v>
      </c>
      <c r="T3747">
        <v>-8.461523E-2</v>
      </c>
      <c r="U3747">
        <v>-2.96347</v>
      </c>
      <c r="V3747">
        <v>-0.14698220000000001</v>
      </c>
      <c r="W3747">
        <v>0.16231909999999999</v>
      </c>
      <c r="X3747">
        <v>0.97572979999999998</v>
      </c>
      <c r="Y3747">
        <v>-0.3599734</v>
      </c>
      <c r="Z3747">
        <v>1.3839509999999999E-2</v>
      </c>
      <c r="AA3747">
        <v>0.93285989999999996</v>
      </c>
      <c r="AB3747">
        <v>22</v>
      </c>
      <c r="AC3747">
        <v>12.6791999999999</v>
      </c>
      <c r="AD3747">
        <v>-1.0860638499999999</v>
      </c>
      <c r="AE3747">
        <v>-37.915399999999998</v>
      </c>
      <c r="AF3747">
        <v>-14.4251523972854</v>
      </c>
      <c r="AG3747">
        <v>-1.0860638499999999</v>
      </c>
      <c r="AH3747">
        <v>37.2545056010227</v>
      </c>
      <c r="AI3747">
        <v>91.557244750031003</v>
      </c>
      <c r="AJ3747">
        <v>111.16668125338499</v>
      </c>
      <c r="AK3747">
        <v>39.964518562692803</v>
      </c>
      <c r="AL3747">
        <v>80.658468738050004</v>
      </c>
      <c r="AM3747">
        <v>98.566524894332105</v>
      </c>
      <c r="AN3747">
        <v>0.99999994997484298</v>
      </c>
    </row>
    <row r="3748" spans="1:40" x14ac:dyDescent="0.25">
      <c r="A3748" t="str">
        <f>"20190304154827596"</f>
        <v>20190304154827596</v>
      </c>
      <c r="B3748" t="str">
        <f>"1551685707590153"</f>
        <v>1551685707590153</v>
      </c>
      <c r="C3748" t="s">
        <v>40</v>
      </c>
      <c r="D3748">
        <v>4.0912680000000003</v>
      </c>
      <c r="E3748">
        <v>0.41177390000000003</v>
      </c>
      <c r="F3748" t="s">
        <v>54</v>
      </c>
      <c r="G3748">
        <v>-479.9665</v>
      </c>
      <c r="H3748" s="1">
        <v>7.6140509999999905E-7</v>
      </c>
      <c r="I3748">
        <v>205.3612</v>
      </c>
      <c r="J3748">
        <v>-492.64109999999999</v>
      </c>
      <c r="K3748">
        <v>1.111802</v>
      </c>
      <c r="L3748">
        <v>242.9572</v>
      </c>
      <c r="M3748">
        <v>-4.556814E-2</v>
      </c>
      <c r="N3748">
        <v>-1.286762E-2</v>
      </c>
      <c r="O3748">
        <v>-0.99887870000000001</v>
      </c>
      <c r="P3748">
        <v>0.1021603</v>
      </c>
      <c r="Q3748">
        <v>0.1501874</v>
      </c>
      <c r="R3748">
        <v>-0.98336559999999995</v>
      </c>
      <c r="S3748">
        <v>0.99487300000000001</v>
      </c>
      <c r="T3748">
        <v>-8.7296009999999993E-2</v>
      </c>
      <c r="U3748">
        <v>-2.9617309999999999</v>
      </c>
      <c r="V3748">
        <v>-0.14733640000000001</v>
      </c>
      <c r="W3748">
        <v>0.1623309</v>
      </c>
      <c r="X3748">
        <v>0.9756745</v>
      </c>
      <c r="Y3748">
        <v>-0.3611664</v>
      </c>
      <c r="Z3748">
        <v>1.470189E-2</v>
      </c>
      <c r="AA3748">
        <v>0.93238540000000003</v>
      </c>
      <c r="AB3748">
        <v>22</v>
      </c>
      <c r="AC3748">
        <v>12.6745999999999</v>
      </c>
      <c r="AD3748">
        <v>-1.1118012385949001</v>
      </c>
      <c r="AE3748">
        <v>-37.595999999999997</v>
      </c>
      <c r="AF3748">
        <v>-14.363473669711601</v>
      </c>
      <c r="AG3748">
        <v>-1.1118012385949001</v>
      </c>
      <c r="AH3748">
        <v>36.950318405907602</v>
      </c>
      <c r="AI3748">
        <v>91.606423557045204</v>
      </c>
      <c r="AJ3748">
        <v>111.24229613438899</v>
      </c>
      <c r="AK3748">
        <v>39.659444123091198</v>
      </c>
      <c r="AL3748">
        <v>80.657784342237505</v>
      </c>
      <c r="AM3748">
        <v>98.587340707828602</v>
      </c>
      <c r="AN3748">
        <v>1.0000000329050001</v>
      </c>
    </row>
    <row r="3749" spans="1:40" x14ac:dyDescent="0.25">
      <c r="A3749" t="str">
        <f>"20190304154827607"</f>
        <v>20190304154827607</v>
      </c>
      <c r="B3749" t="str">
        <f>"1551685707599912"</f>
        <v>1551685707599912</v>
      </c>
      <c r="C3749" t="s">
        <v>40</v>
      </c>
      <c r="D3749">
        <v>4.0817880000000004</v>
      </c>
      <c r="E3749">
        <v>0.41169109999999998</v>
      </c>
      <c r="F3749" t="s">
        <v>54</v>
      </c>
      <c r="G3749">
        <v>-479.98680000000002</v>
      </c>
      <c r="H3749" s="1">
        <v>7.8185570000000001E-7</v>
      </c>
      <c r="I3749">
        <v>205.50200000000001</v>
      </c>
      <c r="J3749">
        <v>-492.6456</v>
      </c>
      <c r="K3749">
        <v>1.1118520000000001</v>
      </c>
      <c r="L3749">
        <v>242.83029999999999</v>
      </c>
      <c r="M3749">
        <v>-4.4354009999999999E-2</v>
      </c>
      <c r="N3749">
        <v>-1.2857E-2</v>
      </c>
      <c r="O3749">
        <v>-0.99893339999999997</v>
      </c>
      <c r="P3749">
        <v>0.1038231</v>
      </c>
      <c r="Q3749">
        <v>0.14994479999999999</v>
      </c>
      <c r="R3749">
        <v>-0.9832284</v>
      </c>
      <c r="S3749">
        <v>1.000122</v>
      </c>
      <c r="T3749">
        <v>-8.7870480000000001E-2</v>
      </c>
      <c r="U3749">
        <v>-2.960251</v>
      </c>
      <c r="V3749">
        <v>-0.1478237</v>
      </c>
      <c r="W3749">
        <v>0.16205749999999999</v>
      </c>
      <c r="X3749">
        <v>0.97564620000000002</v>
      </c>
      <c r="Y3749">
        <v>-0.36165700000000001</v>
      </c>
      <c r="Z3749">
        <v>1.490174E-2</v>
      </c>
      <c r="AA3749">
        <v>0.93219209999999997</v>
      </c>
      <c r="AB3749">
        <v>22</v>
      </c>
      <c r="AC3749">
        <v>12.6587999999999</v>
      </c>
      <c r="AD3749">
        <v>-1.1118512181442901</v>
      </c>
      <c r="AE3749">
        <v>-37.328299999999899</v>
      </c>
      <c r="AF3749">
        <v>-14.290765404936399</v>
      </c>
      <c r="AG3749">
        <v>-1.1118512181442901</v>
      </c>
      <c r="AH3749">
        <v>36.700841189108402</v>
      </c>
      <c r="AI3749">
        <v>91.617049069611696</v>
      </c>
      <c r="AJ3749">
        <v>111.275203647349</v>
      </c>
      <c r="AK3749">
        <v>39.400684422714903</v>
      </c>
      <c r="AL3749">
        <v>80.673658839247594</v>
      </c>
      <c r="AM3749">
        <v>98.615563115819597</v>
      </c>
      <c r="AN3749">
        <v>0.99999999358118996</v>
      </c>
    </row>
    <row r="3750" spans="1:40" x14ac:dyDescent="0.25">
      <c r="A3750" t="str">
        <f>"20190304154827624"</f>
        <v>20190304154827624</v>
      </c>
      <c r="B3750" t="str">
        <f>"1551685707620408"</f>
        <v>1551685707620408</v>
      </c>
      <c r="C3750" t="s">
        <v>40</v>
      </c>
      <c r="D3750">
        <v>4.0668189999999997</v>
      </c>
      <c r="E3750">
        <v>0.41155760000000002</v>
      </c>
      <c r="F3750" t="s">
        <v>54</v>
      </c>
      <c r="G3750">
        <v>-480.16410000000002</v>
      </c>
      <c r="H3750" s="1">
        <v>8.7676649999999899E-7</v>
      </c>
      <c r="I3750">
        <v>206.1001</v>
      </c>
      <c r="J3750">
        <v>-492.6508</v>
      </c>
      <c r="K3750">
        <v>1.1119159999999999</v>
      </c>
      <c r="L3750">
        <v>242.67320000000001</v>
      </c>
      <c r="M3750">
        <v>-4.2775300000000002E-2</v>
      </c>
      <c r="N3750">
        <v>-1.284484E-2</v>
      </c>
      <c r="O3750">
        <v>-0.99900230000000001</v>
      </c>
      <c r="P3750">
        <v>0.1058434</v>
      </c>
      <c r="Q3750">
        <v>0.14934729999999999</v>
      </c>
      <c r="R3750">
        <v>-0.98310379999999997</v>
      </c>
      <c r="S3750">
        <v>1.0054019999999999</v>
      </c>
      <c r="T3750">
        <v>-8.9560870000000001E-2</v>
      </c>
      <c r="U3750">
        <v>-2.9586640000000002</v>
      </c>
      <c r="V3750">
        <v>-0.14831569999999999</v>
      </c>
      <c r="W3750">
        <v>0.16142319999999999</v>
      </c>
      <c r="X3750">
        <v>0.97567669999999995</v>
      </c>
      <c r="Y3750">
        <v>-0.36182340000000002</v>
      </c>
      <c r="Z3750">
        <v>1.546092E-2</v>
      </c>
      <c r="AA3750">
        <v>0.93211840000000001</v>
      </c>
      <c r="AB3750">
        <v>22</v>
      </c>
      <c r="AC3750">
        <v>12.4866999999999</v>
      </c>
      <c r="AD3750">
        <v>-1.1119151232334901</v>
      </c>
      <c r="AE3750">
        <v>-36.573099999999997</v>
      </c>
      <c r="AF3750">
        <v>-14.028210600742099</v>
      </c>
      <c r="AG3750">
        <v>-1.1119151232334901</v>
      </c>
      <c r="AH3750">
        <v>35.975672118917501</v>
      </c>
      <c r="AI3750">
        <v>91.649413994177905</v>
      </c>
      <c r="AJ3750">
        <v>111.30260199451099</v>
      </c>
      <c r="AK3750">
        <v>38.629988769192103</v>
      </c>
      <c r="AL3750">
        <v>80.710486599924494</v>
      </c>
      <c r="AM3750">
        <v>98.643539660984899</v>
      </c>
      <c r="AN3750">
        <v>1.00000000964381</v>
      </c>
    </row>
    <row r="3751" spans="1:40" x14ac:dyDescent="0.25">
      <c r="A3751" t="str">
        <f>"20190304154827636"</f>
        <v>20190304154827636</v>
      </c>
      <c r="B3751" t="str">
        <f>"1551685707630169"</f>
        <v>1551685707630169</v>
      </c>
      <c r="C3751" t="s">
        <v>40</v>
      </c>
      <c r="D3751">
        <v>4.0973769999999998</v>
      </c>
      <c r="E3751">
        <v>0.41148089999999998</v>
      </c>
      <c r="F3751" t="s">
        <v>54</v>
      </c>
      <c r="G3751">
        <v>-480.59989999999999</v>
      </c>
      <c r="H3751" s="1">
        <v>1.0978920000000001E-6</v>
      </c>
      <c r="I3751">
        <v>207.47819999999999</v>
      </c>
      <c r="J3751">
        <v>-492.65440000000001</v>
      </c>
      <c r="K3751">
        <v>1.1119589999999999</v>
      </c>
      <c r="L3751">
        <v>242.56110000000001</v>
      </c>
      <c r="M3751">
        <v>-4.1609529999999999E-2</v>
      </c>
      <c r="N3751">
        <v>-1.2836739999999999E-2</v>
      </c>
      <c r="O3751">
        <v>-0.99905160000000004</v>
      </c>
      <c r="P3751">
        <v>0.1072728</v>
      </c>
      <c r="Q3751">
        <v>0.14895029999999901</v>
      </c>
      <c r="R3751">
        <v>-0.98300900000000002</v>
      </c>
      <c r="S3751">
        <v>1.0123899999999999</v>
      </c>
      <c r="T3751">
        <v>-9.3411800000000003E-2</v>
      </c>
      <c r="U3751">
        <v>-2.9567260000000002</v>
      </c>
      <c r="V3751">
        <v>-0.1486159</v>
      </c>
      <c r="W3751">
        <v>0.16100059999999999</v>
      </c>
      <c r="X3751">
        <v>0.97570089999999998</v>
      </c>
      <c r="Y3751">
        <v>-0.36288540000000002</v>
      </c>
      <c r="Z3751">
        <v>1.669437E-2</v>
      </c>
      <c r="AA3751">
        <v>0.93168419999999996</v>
      </c>
      <c r="AB3751">
        <v>22</v>
      </c>
      <c r="AC3751">
        <v>12.054500000000001</v>
      </c>
      <c r="AD3751">
        <v>-1.1119579021079999</v>
      </c>
      <c r="AE3751">
        <v>-35.082900000000002</v>
      </c>
      <c r="AF3751">
        <v>-13.4918390855713</v>
      </c>
      <c r="AG3751">
        <v>-1.1119579021079999</v>
      </c>
      <c r="AH3751">
        <v>34.519871796926303</v>
      </c>
      <c r="AI3751">
        <v>91.718472065620503</v>
      </c>
      <c r="AJ3751">
        <v>111.347679312314</v>
      </c>
      <c r="AK3751">
        <v>37.079478437044401</v>
      </c>
      <c r="AL3751">
        <v>80.735021201871206</v>
      </c>
      <c r="AM3751">
        <v>98.6605581379618</v>
      </c>
      <c r="AN3751">
        <v>1.00000006259698</v>
      </c>
    </row>
    <row r="3752" spans="1:40" x14ac:dyDescent="0.25">
      <c r="A3752" t="str">
        <f>"20190304154827647"</f>
        <v>20190304154827647</v>
      </c>
      <c r="B3752" t="str">
        <f>"1551685707639929"</f>
        <v>1551685707639929</v>
      </c>
      <c r="C3752" t="s">
        <v>40</v>
      </c>
      <c r="D3752">
        <v>4.1002619999999999</v>
      </c>
      <c r="E3752">
        <v>0.4112885</v>
      </c>
      <c r="F3752" t="s">
        <v>54</v>
      </c>
      <c r="G3752">
        <v>-480.8023</v>
      </c>
      <c r="H3752" s="1">
        <v>1.1996469999999999E-6</v>
      </c>
      <c r="I3752">
        <v>208.1112</v>
      </c>
      <c r="J3752">
        <v>-492.65789999999998</v>
      </c>
      <c r="K3752">
        <v>1.112007</v>
      </c>
      <c r="L3752">
        <v>242.44399999999999</v>
      </c>
      <c r="M3752">
        <v>-4.0347670000000002E-2</v>
      </c>
      <c r="N3752">
        <v>-1.282901E-2</v>
      </c>
      <c r="O3752">
        <v>-0.99910350000000003</v>
      </c>
      <c r="P3752">
        <v>0.10869819999999999</v>
      </c>
      <c r="Q3752">
        <v>0.14870739999999999</v>
      </c>
      <c r="R3752">
        <v>-0.98288909999999996</v>
      </c>
      <c r="S3752">
        <v>1.0167539999999999</v>
      </c>
      <c r="T3752">
        <v>-9.5391509999999999E-2</v>
      </c>
      <c r="U3752">
        <v>-2.9553530000000001</v>
      </c>
      <c r="V3752">
        <v>-0.14881839999999999</v>
      </c>
      <c r="W3752">
        <v>0.16073280000000001</v>
      </c>
      <c r="X3752">
        <v>0.97571410000000003</v>
      </c>
      <c r="Y3752">
        <v>-0.36306690000000003</v>
      </c>
      <c r="Z3752">
        <v>1.733933E-2</v>
      </c>
      <c r="AA3752">
        <v>0.93160169999999998</v>
      </c>
      <c r="AB3752">
        <v>22</v>
      </c>
      <c r="AC3752">
        <v>11.8555999999999</v>
      </c>
      <c r="AD3752">
        <v>-1.112005800353</v>
      </c>
      <c r="AE3752">
        <v>-34.332799999999999</v>
      </c>
      <c r="AF3752">
        <v>-13.218916788923799</v>
      </c>
      <c r="AG3752">
        <v>-1.112005800353</v>
      </c>
      <c r="AH3752">
        <v>33.7947777771425</v>
      </c>
      <c r="AI3752">
        <v>91.755211586601405</v>
      </c>
      <c r="AJ3752">
        <v>111.363084233302</v>
      </c>
      <c r="AK3752">
        <v>36.305141825627899</v>
      </c>
      <c r="AL3752">
        <v>80.750566685105696</v>
      </c>
      <c r="AM3752">
        <v>98.672063955174806</v>
      </c>
      <c r="AN3752">
        <v>0.99999997705660404</v>
      </c>
    </row>
    <row r="3753" spans="1:40" x14ac:dyDescent="0.25">
      <c r="A3753" t="str">
        <f>"20190304154827659"</f>
        <v>20190304154827659</v>
      </c>
      <c r="B3753" t="str">
        <f>"1551685707650665"</f>
        <v>1551685707650665</v>
      </c>
      <c r="C3753" t="s">
        <v>40</v>
      </c>
      <c r="D3753">
        <v>4.0748280000000001</v>
      </c>
      <c r="E3753">
        <v>0.41121190000000002</v>
      </c>
      <c r="F3753" t="s">
        <v>54</v>
      </c>
      <c r="G3753">
        <v>-480.8383</v>
      </c>
      <c r="H3753" s="1">
        <v>1.2280440000000001E-6</v>
      </c>
      <c r="I3753">
        <v>208.3015</v>
      </c>
      <c r="J3753">
        <v>-492.66090000000003</v>
      </c>
      <c r="K3753">
        <v>1.1120479999999999</v>
      </c>
      <c r="L3753">
        <v>242.33340000000001</v>
      </c>
      <c r="M3753">
        <v>-3.9112109999999999E-2</v>
      </c>
      <c r="N3753">
        <v>-1.282252E-2</v>
      </c>
      <c r="O3753">
        <v>-0.9991527</v>
      </c>
      <c r="P3753">
        <v>0.109822</v>
      </c>
      <c r="Q3753">
        <v>0.1481316</v>
      </c>
      <c r="R3753">
        <v>-0.98285120000000004</v>
      </c>
      <c r="S3753">
        <v>1.0225219999999999</v>
      </c>
      <c r="T3753">
        <v>-9.6200469999999996E-2</v>
      </c>
      <c r="U3753">
        <v>-2.9536899999999999</v>
      </c>
      <c r="V3753">
        <v>-0.14874599999999999</v>
      </c>
      <c r="W3753">
        <v>0.16013549999999999</v>
      </c>
      <c r="X3753">
        <v>0.97582329999999995</v>
      </c>
      <c r="Y3753">
        <v>-0.3636992</v>
      </c>
      <c r="Z3753">
        <v>1.7609639999999999E-2</v>
      </c>
      <c r="AA3753">
        <v>0.93135000000000001</v>
      </c>
      <c r="AB3753">
        <v>22</v>
      </c>
      <c r="AC3753">
        <v>11.8226</v>
      </c>
      <c r="AD3753">
        <v>-1.1120467719560001</v>
      </c>
      <c r="AE3753">
        <v>-34.0319</v>
      </c>
      <c r="AF3753">
        <v>-13.1322088261853</v>
      </c>
      <c r="AG3753">
        <v>-1.1120467719560001</v>
      </c>
      <c r="AH3753">
        <v>33.511481822271499</v>
      </c>
      <c r="AI3753">
        <v>91.769673499486899</v>
      </c>
      <c r="AJ3753">
        <v>111.39881831663899</v>
      </c>
      <c r="AK3753">
        <v>36.009873237793997</v>
      </c>
      <c r="AL3753">
        <v>80.785238156133204</v>
      </c>
      <c r="AM3753">
        <v>98.666953841133804</v>
      </c>
      <c r="AN3753">
        <v>0.99999993184956704</v>
      </c>
    </row>
    <row r="3754" spans="1:40" x14ac:dyDescent="0.25">
      <c r="A3754" t="str">
        <f>"20190304154827670"</f>
        <v>20190304154827670</v>
      </c>
      <c r="B3754" t="str">
        <f>"1551685707660425"</f>
        <v>1551685707660425</v>
      </c>
      <c r="C3754" t="s">
        <v>40</v>
      </c>
      <c r="D3754">
        <v>4.0775790000000001</v>
      </c>
      <c r="E3754">
        <v>0.41116459999999999</v>
      </c>
      <c r="F3754" t="s">
        <v>54</v>
      </c>
      <c r="G3754">
        <v>-481.10570000000001</v>
      </c>
      <c r="H3754" s="1">
        <v>1.3612100000000001E-6</v>
      </c>
      <c r="I3754">
        <v>209.07900000000001</v>
      </c>
      <c r="J3754">
        <v>-492.66399999999999</v>
      </c>
      <c r="K3754">
        <v>1.1120890000000001</v>
      </c>
      <c r="L3754">
        <v>242.2225</v>
      </c>
      <c r="M3754">
        <v>-3.7854470000000001E-2</v>
      </c>
      <c r="N3754">
        <v>-1.2816309999999999E-2</v>
      </c>
      <c r="O3754">
        <v>-0.99920120000000001</v>
      </c>
      <c r="P3754">
        <v>0.11112569999999999</v>
      </c>
      <c r="Q3754">
        <v>0.14807139999999999</v>
      </c>
      <c r="R3754">
        <v>-0.98271390000000003</v>
      </c>
      <c r="S3754">
        <v>1.02597</v>
      </c>
      <c r="T3754">
        <v>-9.8737000000000005E-2</v>
      </c>
      <c r="U3754">
        <v>-2.9526059999999998</v>
      </c>
      <c r="V3754">
        <v>-0.14882989999999999</v>
      </c>
      <c r="W3754">
        <v>0.16005269999999999</v>
      </c>
      <c r="X3754">
        <v>0.97582420000000003</v>
      </c>
      <c r="Y3754">
        <v>-0.3635968</v>
      </c>
      <c r="Z3754">
        <v>1.843036E-2</v>
      </c>
      <c r="AA3754">
        <v>0.93137409999999998</v>
      </c>
      <c r="AB3754">
        <v>22</v>
      </c>
      <c r="AC3754">
        <v>11.5582999999999</v>
      </c>
      <c r="AD3754">
        <v>-1.1120876387899901</v>
      </c>
      <c r="AE3754">
        <v>-33.143499999999896</v>
      </c>
      <c r="AF3754">
        <v>-12.7919066793681</v>
      </c>
      <c r="AG3754">
        <v>-1.1120876387899901</v>
      </c>
      <c r="AH3754">
        <v>32.649399015357503</v>
      </c>
      <c r="AI3754">
        <v>91.816482966026101</v>
      </c>
      <c r="AJ3754">
        <v>111.395051407322</v>
      </c>
      <c r="AK3754">
        <v>35.083512815481299</v>
      </c>
      <c r="AL3754">
        <v>80.790045219519698</v>
      </c>
      <c r="AM3754">
        <v>98.671760255717302</v>
      </c>
      <c r="AN3754">
        <v>1.0000000376084599</v>
      </c>
    </row>
    <row r="3755" spans="1:40" x14ac:dyDescent="0.25">
      <c r="A3755" t="str">
        <f>"20190304154827682"</f>
        <v>20190304154827682</v>
      </c>
      <c r="B3755" t="str">
        <f>"1551685707670596"</f>
        <v>1551685707670596</v>
      </c>
      <c r="C3755" t="s">
        <v>40</v>
      </c>
      <c r="D3755">
        <v>4.0725049999999996</v>
      </c>
      <c r="E3755">
        <v>0.41109240000000002</v>
      </c>
      <c r="F3755" t="s">
        <v>54</v>
      </c>
      <c r="G3755">
        <v>-481.16230000000002</v>
      </c>
      <c r="H3755" s="1">
        <v>1.430711E-6</v>
      </c>
      <c r="I3755">
        <v>209.27099999999999</v>
      </c>
      <c r="J3755">
        <v>-492.66669999999999</v>
      </c>
      <c r="K3755">
        <v>1.1121270000000001</v>
      </c>
      <c r="L3755">
        <v>242.11359999999999</v>
      </c>
      <c r="M3755">
        <v>-3.6561150000000001E-2</v>
      </c>
      <c r="N3755">
        <v>-1.2811329999999999E-2</v>
      </c>
      <c r="O3755">
        <v>-0.99924950000000001</v>
      </c>
      <c r="P3755">
        <v>0.1125684</v>
      </c>
      <c r="Q3755">
        <v>0.14781129999999901</v>
      </c>
      <c r="R3755">
        <v>-0.98258889999999999</v>
      </c>
      <c r="S3755">
        <v>1.030151</v>
      </c>
      <c r="T3755">
        <v>-9.960389E-2</v>
      </c>
      <c r="U3755">
        <v>-2.9512939999999999</v>
      </c>
      <c r="V3755">
        <v>-0.14901639999999999</v>
      </c>
      <c r="W3755">
        <v>0.15977259999999999</v>
      </c>
      <c r="X3755">
        <v>0.97584159999999998</v>
      </c>
      <c r="Y3755">
        <v>-0.36369370000000001</v>
      </c>
      <c r="Z3755">
        <v>1.8720540000000001E-2</v>
      </c>
      <c r="AA3755">
        <v>0.9313304</v>
      </c>
      <c r="AB3755">
        <v>22</v>
      </c>
      <c r="AC3755">
        <v>11.504399999999899</v>
      </c>
      <c r="AD3755">
        <v>-1.112125569289</v>
      </c>
      <c r="AE3755">
        <v>-32.842599999999997</v>
      </c>
      <c r="AF3755">
        <v>-12.6846134003857</v>
      </c>
      <c r="AG3755">
        <v>-1.112125569289</v>
      </c>
      <c r="AH3755">
        <v>32.366932429803001</v>
      </c>
      <c r="AI3755">
        <v>91.832322248726499</v>
      </c>
      <c r="AJ3755">
        <v>111.400232149076</v>
      </c>
      <c r="AK3755">
        <v>34.7815260636239</v>
      </c>
      <c r="AL3755">
        <v>80.806302634027702</v>
      </c>
      <c r="AM3755">
        <v>98.682308960641507</v>
      </c>
      <c r="AN3755">
        <v>0.99999999973513998</v>
      </c>
    </row>
    <row r="3756" spans="1:40" x14ac:dyDescent="0.25">
      <c r="A3756" t="str">
        <f>"20190304154827696"</f>
        <v>20190304154827696</v>
      </c>
      <c r="B3756" t="str">
        <f>"1551685707690115"</f>
        <v>1551685707690115</v>
      </c>
      <c r="C3756" t="s">
        <v>40</v>
      </c>
      <c r="D3756">
        <v>4.0940779999999997</v>
      </c>
      <c r="E3756">
        <v>0.41097329999999999</v>
      </c>
      <c r="F3756" t="s">
        <v>54</v>
      </c>
      <c r="G3756">
        <v>-481.30630000000002</v>
      </c>
      <c r="H3756" s="1">
        <v>1.5677310000000001E-6</v>
      </c>
      <c r="I3756">
        <v>209.71889999999999</v>
      </c>
      <c r="J3756">
        <v>-492.66980000000001</v>
      </c>
      <c r="K3756">
        <v>1.112177</v>
      </c>
      <c r="L3756">
        <v>241.97839999999999</v>
      </c>
      <c r="M3756">
        <v>-3.4926869999999999E-2</v>
      </c>
      <c r="N3756">
        <v>-1.2805489999999999E-2</v>
      </c>
      <c r="O3756">
        <v>-0.99930790000000003</v>
      </c>
      <c r="P3756">
        <v>0.1142003</v>
      </c>
      <c r="Q3756">
        <v>0.1476412</v>
      </c>
      <c r="R3756">
        <v>-0.98242600000000002</v>
      </c>
      <c r="S3756">
        <v>1.0344850000000001</v>
      </c>
      <c r="T3756">
        <v>-0.10127129999999999</v>
      </c>
      <c r="U3756">
        <v>-2.9498899999999999</v>
      </c>
      <c r="V3756">
        <v>-0.14906159999999999</v>
      </c>
      <c r="W3756">
        <v>0.15957869999999999</v>
      </c>
      <c r="X3756">
        <v>0.97586640000000002</v>
      </c>
      <c r="Y3756">
        <v>-0.36352259999999997</v>
      </c>
      <c r="Z3756">
        <v>1.926928E-2</v>
      </c>
      <c r="AA3756">
        <v>0.93138609999999999</v>
      </c>
      <c r="AB3756">
        <v>22</v>
      </c>
      <c r="AC3756">
        <v>11.363499999999901</v>
      </c>
      <c r="AD3756">
        <v>-1.1121754322690001</v>
      </c>
      <c r="AE3756">
        <v>-32.259500000000003</v>
      </c>
      <c r="AF3756">
        <v>-12.470195529207301</v>
      </c>
      <c r="AG3756">
        <v>-1.1121754322690001</v>
      </c>
      <c r="AH3756">
        <v>31.809255662511202</v>
      </c>
      <c r="AI3756">
        <v>91.864425092886705</v>
      </c>
      <c r="AJ3756">
        <v>111.40668968675099</v>
      </c>
      <c r="AK3756">
        <v>34.184374449912198</v>
      </c>
      <c r="AL3756">
        <v>80.817556463950297</v>
      </c>
      <c r="AM3756">
        <v>98.684685002925903</v>
      </c>
      <c r="AN3756">
        <v>0.99999997636860405</v>
      </c>
    </row>
    <row r="3757" spans="1:40" x14ac:dyDescent="0.25">
      <c r="A3757" t="str">
        <f>"20190304154827709"</f>
        <v>20190304154827709</v>
      </c>
      <c r="B3757" t="str">
        <f>"1551685707699876"</f>
        <v>1551685707699876</v>
      </c>
      <c r="C3757" t="s">
        <v>40</v>
      </c>
      <c r="D3757">
        <v>4.0758000000000001</v>
      </c>
      <c r="E3757">
        <v>0.41090929999999998</v>
      </c>
      <c r="F3757" t="s">
        <v>54</v>
      </c>
      <c r="G3757">
        <v>-481.38490000000002</v>
      </c>
      <c r="H3757" s="1">
        <v>1.5938789999999999E-6</v>
      </c>
      <c r="I3757">
        <v>209.9984</v>
      </c>
      <c r="J3757">
        <v>-492.67270000000002</v>
      </c>
      <c r="K3757">
        <v>1.1122259999999999</v>
      </c>
      <c r="L3757">
        <v>241.8424</v>
      </c>
      <c r="M3757">
        <v>-3.3231530000000002E-2</v>
      </c>
      <c r="N3757">
        <v>-1.2800280000000001E-2</v>
      </c>
      <c r="O3757">
        <v>-0.99936570000000002</v>
      </c>
      <c r="P3757">
        <v>0.1162994</v>
      </c>
      <c r="Q3757">
        <v>0.14742920000000001</v>
      </c>
      <c r="R3757">
        <v>-0.98221159999999996</v>
      </c>
      <c r="S3757">
        <v>1.040314</v>
      </c>
      <c r="T3757">
        <v>-0.1025273</v>
      </c>
      <c r="U3757">
        <v>-2.9481199999999999</v>
      </c>
      <c r="V3757">
        <v>-0.1495118</v>
      </c>
      <c r="W3757">
        <v>0.15934089999999901</v>
      </c>
      <c r="X3757">
        <v>0.97583640000000005</v>
      </c>
      <c r="Y3757">
        <v>-0.36375180000000001</v>
      </c>
      <c r="Z3757">
        <v>1.9685669999999999E-2</v>
      </c>
      <c r="AA3757">
        <v>0.93128789999999995</v>
      </c>
      <c r="AB3757">
        <v>22</v>
      </c>
      <c r="AC3757">
        <v>11.287800000000001</v>
      </c>
      <c r="AD3757">
        <v>-1.112224406121</v>
      </c>
      <c r="AE3757">
        <v>-31.843999999999902</v>
      </c>
      <c r="AF3757">
        <v>-12.326517284612899</v>
      </c>
      <c r="AG3757">
        <v>-1.112224406121</v>
      </c>
      <c r="AH3757">
        <v>31.4172192645716</v>
      </c>
      <c r="AI3757">
        <v>91.887552131262098</v>
      </c>
      <c r="AJ3757">
        <v>111.42251447820701</v>
      </c>
      <c r="AK3757">
        <v>33.767169526266201</v>
      </c>
      <c r="AL3757">
        <v>80.831358126821996</v>
      </c>
      <c r="AM3757">
        <v>98.710776712489903</v>
      </c>
      <c r="AN3757">
        <v>0.99999999015850505</v>
      </c>
    </row>
    <row r="3758" spans="1:40" x14ac:dyDescent="0.25">
      <c r="A3758" t="str">
        <f>"20190304154827726"</f>
        <v>20190304154827726</v>
      </c>
      <c r="B3758" t="str">
        <f>"1551685707720374"</f>
        <v>1551685707720374</v>
      </c>
      <c r="C3758" t="s">
        <v>40</v>
      </c>
      <c r="D3758">
        <v>4.0683920000000002</v>
      </c>
      <c r="E3758">
        <v>0.41080939999999999</v>
      </c>
      <c r="F3758" t="s">
        <v>54</v>
      </c>
      <c r="G3758">
        <v>-481.44060000000002</v>
      </c>
      <c r="H3758" s="1">
        <v>1.6136019999999999E-6</v>
      </c>
      <c r="I3758">
        <v>210.2235</v>
      </c>
      <c r="J3758">
        <v>-492.67559999999997</v>
      </c>
      <c r="K3758">
        <v>1.112285</v>
      </c>
      <c r="L3758">
        <v>241.6876</v>
      </c>
      <c r="M3758">
        <v>-3.1235309999999999E-2</v>
      </c>
      <c r="N3758">
        <v>-1.2795330000000001E-2</v>
      </c>
      <c r="O3758">
        <v>-0.99943009999999999</v>
      </c>
      <c r="P3758">
        <v>0.119030399999999</v>
      </c>
      <c r="Q3758">
        <v>0.1473826</v>
      </c>
      <c r="R3758">
        <v>-0.98189130000000002</v>
      </c>
      <c r="S3758">
        <v>1.0465089999999999</v>
      </c>
      <c r="T3758">
        <v>-0.1036272</v>
      </c>
      <c r="U3758">
        <v>-2.9459689999999998</v>
      </c>
      <c r="V3758">
        <v>-0.1502986</v>
      </c>
      <c r="W3758">
        <v>0.15926560000000001</v>
      </c>
      <c r="X3758">
        <v>0.97572780000000003</v>
      </c>
      <c r="Y3758">
        <v>-0.36384159999999999</v>
      </c>
      <c r="Z3758">
        <v>2.0057740000000001E-2</v>
      </c>
      <c r="AA3758">
        <v>0.93124490000000004</v>
      </c>
      <c r="AB3758">
        <v>22</v>
      </c>
      <c r="AC3758">
        <v>11.2349999999999</v>
      </c>
      <c r="AD3758">
        <v>-1.112283386398</v>
      </c>
      <c r="AE3758">
        <v>-31.464099999999998</v>
      </c>
      <c r="AF3758">
        <v>-12.198867705622501</v>
      </c>
      <c r="AG3758">
        <v>-1.112283386398</v>
      </c>
      <c r="AH3758">
        <v>31.063357827215601</v>
      </c>
      <c r="AI3758">
        <v>91.908906037543801</v>
      </c>
      <c r="AJ3758">
        <v>111.440394862159</v>
      </c>
      <c r="AK3758">
        <v>33.3913423978818</v>
      </c>
      <c r="AL3758">
        <v>80.835728122182999</v>
      </c>
      <c r="AM3758">
        <v>98.756867722031302</v>
      </c>
      <c r="AN3758">
        <v>0.99999997009907904</v>
      </c>
    </row>
    <row r="3759" spans="1:40" x14ac:dyDescent="0.25">
      <c r="A3759" t="str">
        <f>"20190304154827748"</f>
        <v>20190304154827748</v>
      </c>
      <c r="B3759" t="str">
        <f>"1551685707739892"</f>
        <v>1551685707739892</v>
      </c>
      <c r="C3759" t="s">
        <v>40</v>
      </c>
      <c r="D3759">
        <v>4.0835410000000003</v>
      </c>
      <c r="E3759">
        <v>0.4106573</v>
      </c>
      <c r="F3759" t="s">
        <v>54</v>
      </c>
      <c r="G3759">
        <v>-481.49090000000001</v>
      </c>
      <c r="H3759" s="1">
        <v>1.634646E-6</v>
      </c>
      <c r="I3759">
        <v>210.50069999999999</v>
      </c>
      <c r="J3759">
        <v>-492.67910000000001</v>
      </c>
      <c r="K3759">
        <v>1.112355</v>
      </c>
      <c r="L3759">
        <v>241.47049999999999</v>
      </c>
      <c r="M3759">
        <v>-2.8344749999999998E-2</v>
      </c>
      <c r="N3759">
        <v>-1.278951E-2</v>
      </c>
      <c r="O3759">
        <v>-0.99951659999999998</v>
      </c>
      <c r="P3759">
        <v>0.12232750000000001</v>
      </c>
      <c r="Q3759">
        <v>0.147557299999999</v>
      </c>
      <c r="R3759">
        <v>-0.98146</v>
      </c>
      <c r="S3759">
        <v>1.0555110000000001</v>
      </c>
      <c r="T3759">
        <v>-0.1049674</v>
      </c>
      <c r="U3759">
        <v>-2.943146</v>
      </c>
      <c r="V3759">
        <v>-0.15078179999999999</v>
      </c>
      <c r="W3759">
        <v>0.15940589999999999</v>
      </c>
      <c r="X3759">
        <v>0.97563029999999995</v>
      </c>
      <c r="Y3759">
        <v>-0.36395189999999999</v>
      </c>
      <c r="Z3759">
        <v>2.0511999999999999E-2</v>
      </c>
      <c r="AA3759">
        <v>0.93119189999999996</v>
      </c>
      <c r="AB3759">
        <v>22</v>
      </c>
      <c r="AC3759">
        <v>11.188199999999901</v>
      </c>
      <c r="AD3759">
        <v>-1.1123533653540001</v>
      </c>
      <c r="AE3759">
        <v>-30.9697999999999</v>
      </c>
      <c r="AF3759">
        <v>-12.047858628382899</v>
      </c>
      <c r="AG3759">
        <v>-1.1123533653540001</v>
      </c>
      <c r="AH3759">
        <v>30.605277374198899</v>
      </c>
      <c r="AI3759">
        <v>91.936955404305493</v>
      </c>
      <c r="AJ3759">
        <v>111.487227169262</v>
      </c>
      <c r="AK3759">
        <v>32.9100475643924</v>
      </c>
      <c r="AL3759">
        <v>80.827585193407998</v>
      </c>
      <c r="AM3759">
        <v>98.785446229615701</v>
      </c>
      <c r="AN3759">
        <v>0.99999993722206804</v>
      </c>
    </row>
    <row r="3760" spans="1:40" x14ac:dyDescent="0.25">
      <c r="A3760" t="str">
        <f>"20190304154827761"</f>
        <v>20190304154827761</v>
      </c>
      <c r="B3760" t="str">
        <f>"1551685707750628"</f>
        <v>1551685707750628</v>
      </c>
      <c r="C3760" t="s">
        <v>40</v>
      </c>
      <c r="D3760">
        <v>4.0906770000000003</v>
      </c>
      <c r="E3760">
        <v>0.41059909999999999</v>
      </c>
      <c r="F3760" t="s">
        <v>54</v>
      </c>
      <c r="G3760">
        <v>-481.3639</v>
      </c>
      <c r="H3760" s="1">
        <v>1.602535E-6</v>
      </c>
      <c r="I3760">
        <v>210.28149999999999</v>
      </c>
      <c r="J3760">
        <v>-492.68079999999998</v>
      </c>
      <c r="K3760">
        <v>1.1123909999999999</v>
      </c>
      <c r="L3760">
        <v>241.34479999999999</v>
      </c>
      <c r="M3760">
        <v>-2.6611889999999999E-2</v>
      </c>
      <c r="N3760">
        <v>-1.2786860000000001E-2</v>
      </c>
      <c r="O3760">
        <v>-0.99956420000000001</v>
      </c>
      <c r="P3760">
        <v>0.12434290000000001</v>
      </c>
      <c r="Q3760">
        <v>0.14754819999999999</v>
      </c>
      <c r="R3760">
        <v>-0.98120790000000002</v>
      </c>
      <c r="S3760">
        <v>1.0664370000000001</v>
      </c>
      <c r="T3760">
        <v>-0.1048371</v>
      </c>
      <c r="U3760">
        <v>-2.9394990000000001</v>
      </c>
      <c r="V3760">
        <v>-0.1511091</v>
      </c>
      <c r="W3760">
        <v>0.1593782</v>
      </c>
      <c r="X3760">
        <v>0.97558429999999996</v>
      </c>
      <c r="Y3760">
        <v>-0.36576540000000002</v>
      </c>
      <c r="Z3760">
        <v>2.0485199999999999E-2</v>
      </c>
      <c r="AA3760">
        <v>0.93048160000000002</v>
      </c>
      <c r="AB3760">
        <v>22</v>
      </c>
      <c r="AC3760">
        <v>11.316899999999899</v>
      </c>
      <c r="AD3760">
        <v>-1.1123893974650001</v>
      </c>
      <c r="AE3760">
        <v>-31.063300000000002</v>
      </c>
      <c r="AF3760">
        <v>-12.1258839772052</v>
      </c>
      <c r="AG3760">
        <v>-1.1123893974650001</v>
      </c>
      <c r="AH3760">
        <v>30.716333542443099</v>
      </c>
      <c r="AI3760">
        <v>91.929285236776906</v>
      </c>
      <c r="AJ3760">
        <v>111.54261472569399</v>
      </c>
      <c r="AK3760">
        <v>33.0419070074784</v>
      </c>
      <c r="AL3760">
        <v>80.829193869758896</v>
      </c>
      <c r="AM3760">
        <v>98.804626836671403</v>
      </c>
      <c r="AN3760">
        <v>1.00000004857226</v>
      </c>
    </row>
    <row r="3761" spans="1:40" x14ac:dyDescent="0.25">
      <c r="A3761" t="str">
        <f>"20190304154827774"</f>
        <v>20190304154827774</v>
      </c>
      <c r="B3761" t="str">
        <f>"1551685707770148"</f>
        <v>1551685707770148</v>
      </c>
      <c r="C3761" t="s">
        <v>40</v>
      </c>
      <c r="D3761">
        <v>3.931435</v>
      </c>
      <c r="E3761">
        <v>0.41045690000000001</v>
      </c>
      <c r="F3761" t="s">
        <v>54</v>
      </c>
      <c r="G3761">
        <v>-481.31990000000002</v>
      </c>
      <c r="H3761" s="1">
        <v>1.592998E-6</v>
      </c>
      <c r="I3761">
        <v>210.24209999999999</v>
      </c>
      <c r="J3761">
        <v>-492.68209999999999</v>
      </c>
      <c r="K3761">
        <v>1.1124259999999999</v>
      </c>
      <c r="L3761">
        <v>241.22989999999999</v>
      </c>
      <c r="M3761">
        <v>-2.500577E-2</v>
      </c>
      <c r="N3761">
        <v>-1.278464E-2</v>
      </c>
      <c r="O3761">
        <v>-0.99960550000000004</v>
      </c>
      <c r="P3761">
        <v>0.12642320000000001</v>
      </c>
      <c r="Q3761">
        <v>0.14764099999999999</v>
      </c>
      <c r="R3761">
        <v>-0.98092809999999997</v>
      </c>
      <c r="S3761">
        <v>1.0729059999999999</v>
      </c>
      <c r="T3761">
        <v>-0.10505249999999999</v>
      </c>
      <c r="U3761">
        <v>-2.9373019999999999</v>
      </c>
      <c r="V3761">
        <v>-0.15162490000000001</v>
      </c>
      <c r="W3761">
        <v>0.15945299999999901</v>
      </c>
      <c r="X3761">
        <v>0.97549200000000003</v>
      </c>
      <c r="Y3761">
        <v>-0.36630180000000001</v>
      </c>
      <c r="Z3761">
        <v>2.0568900000000001E-2</v>
      </c>
      <c r="AA3761">
        <v>0.93026880000000001</v>
      </c>
      <c r="AB3761">
        <v>22</v>
      </c>
      <c r="AC3761">
        <v>11.3621999999999</v>
      </c>
      <c r="AD3761">
        <v>-1.112424407002</v>
      </c>
      <c r="AE3761">
        <v>-30.9878</v>
      </c>
      <c r="AF3761">
        <v>-12.1198156673247</v>
      </c>
      <c r="AG3761">
        <v>-1.112424407002</v>
      </c>
      <c r="AH3761">
        <v>30.6591363333619</v>
      </c>
      <c r="AI3761">
        <v>91.932587125231706</v>
      </c>
      <c r="AJ3761">
        <v>111.569305947842</v>
      </c>
      <c r="AK3761">
        <v>32.986513313457301</v>
      </c>
      <c r="AL3761">
        <v>80.824852232002499</v>
      </c>
      <c r="AM3761">
        <v>98.835030214988905</v>
      </c>
      <c r="AN3761">
        <v>1.0000000057864999</v>
      </c>
    </row>
    <row r="3762" spans="1:40" x14ac:dyDescent="0.25">
      <c r="A3762" t="str">
        <f>"20190304154827785"</f>
        <v>20190304154827785</v>
      </c>
      <c r="B3762" t="str">
        <f>"1551685707779908"</f>
        <v>1551685707779908</v>
      </c>
      <c r="C3762" t="s">
        <v>40</v>
      </c>
      <c r="D3762">
        <v>3.8566050000000001</v>
      </c>
      <c r="E3762">
        <v>0.41045690000000001</v>
      </c>
      <c r="F3762" t="s">
        <v>54</v>
      </c>
      <c r="G3762">
        <v>-481.34870000000001</v>
      </c>
      <c r="H3762" s="1">
        <v>1.6062749999999999E-6</v>
      </c>
      <c r="I3762">
        <v>210.429</v>
      </c>
      <c r="J3762">
        <v>-492.6832</v>
      </c>
      <c r="K3762">
        <v>1.1124639999999999</v>
      </c>
      <c r="L3762">
        <v>241.10679999999999</v>
      </c>
      <c r="M3762">
        <v>-2.3236840000000002E-2</v>
      </c>
      <c r="N3762">
        <v>-1.278292E-2</v>
      </c>
      <c r="O3762">
        <v>-0.99964830000000005</v>
      </c>
      <c r="P3762">
        <v>0.12865660000000001</v>
      </c>
      <c r="Q3762">
        <v>0.14801639999999999</v>
      </c>
      <c r="R3762">
        <v>-0.98058109999999998</v>
      </c>
      <c r="S3762">
        <v>1.079987</v>
      </c>
      <c r="T3762">
        <v>-0.1060048</v>
      </c>
      <c r="U3762">
        <v>-2.9350740000000002</v>
      </c>
      <c r="V3762">
        <v>-0.1521351</v>
      </c>
      <c r="W3762">
        <v>0.15980929999999999</v>
      </c>
      <c r="X3762">
        <v>0.97535430000000001</v>
      </c>
      <c r="Y3762">
        <v>-0.36685770000000001</v>
      </c>
      <c r="Z3762">
        <v>2.0885750000000002E-2</v>
      </c>
      <c r="AA3762">
        <v>0.93004260000000005</v>
      </c>
      <c r="AB3762">
        <v>22</v>
      </c>
      <c r="AC3762">
        <v>11.334499999999901</v>
      </c>
      <c r="AD3762">
        <v>-1.112462393725</v>
      </c>
      <c r="AE3762">
        <v>-30.677799999999898</v>
      </c>
      <c r="AF3762">
        <v>-12.0304326589929</v>
      </c>
      <c r="AG3762">
        <v>-1.112462393725</v>
      </c>
      <c r="AH3762">
        <v>30.370975241727699</v>
      </c>
      <c r="AI3762">
        <v>91.950437432120694</v>
      </c>
      <c r="AJ3762">
        <v>111.609316443363</v>
      </c>
      <c r="AK3762">
        <v>32.685853509946</v>
      </c>
      <c r="AL3762">
        <v>80.804173028464305</v>
      </c>
      <c r="AM3762">
        <v>98.865519286750001</v>
      </c>
      <c r="AN3762">
        <v>1.00000005577349</v>
      </c>
    </row>
    <row r="3763" spans="1:40" x14ac:dyDescent="0.25">
      <c r="A3763" t="str">
        <f>"20190304154827797"</f>
        <v>20190304154827797</v>
      </c>
      <c r="B3763" t="str">
        <f>"1551685707790644"</f>
        <v>1551685707790644</v>
      </c>
      <c r="C3763" t="s">
        <v>40</v>
      </c>
      <c r="D3763">
        <v>3.905716</v>
      </c>
      <c r="E3763">
        <v>0.389428</v>
      </c>
      <c r="F3763" t="s">
        <v>54</v>
      </c>
      <c r="G3763">
        <v>-481.15960000000001</v>
      </c>
      <c r="H3763" s="1">
        <v>1.5543779999999999E-6</v>
      </c>
      <c r="I3763">
        <v>210.00890000000001</v>
      </c>
      <c r="J3763">
        <v>-492.68400000000003</v>
      </c>
      <c r="K3763">
        <v>1.1125</v>
      </c>
      <c r="L3763">
        <v>241.0016</v>
      </c>
      <c r="M3763">
        <v>-2.1702820000000001E-2</v>
      </c>
      <c r="N3763">
        <v>-1.278164E-2</v>
      </c>
      <c r="O3763">
        <v>-0.99968299999999999</v>
      </c>
      <c r="P3763">
        <v>0.1305181</v>
      </c>
      <c r="Q3763">
        <v>0.14833629999999901</v>
      </c>
      <c r="R3763">
        <v>-0.98028680000000001</v>
      </c>
      <c r="S3763">
        <v>1.0867309999999999</v>
      </c>
      <c r="T3763">
        <v>-0.1049104</v>
      </c>
      <c r="U3763">
        <v>-2.9326780000000001</v>
      </c>
      <c r="V3763">
        <v>-0.15250279999999899</v>
      </c>
      <c r="W3763">
        <v>0.16011439999999999</v>
      </c>
      <c r="X3763">
        <v>0.97524679999999997</v>
      </c>
      <c r="Y3763">
        <v>-0.36756139999999998</v>
      </c>
      <c r="Z3763">
        <v>2.0552069999999999E-2</v>
      </c>
      <c r="AA3763">
        <v>0.92977209999999999</v>
      </c>
      <c r="AB3763">
        <v>22</v>
      </c>
      <c r="AC3763">
        <v>11.5244</v>
      </c>
      <c r="AD3763">
        <v>-1.112498445622</v>
      </c>
      <c r="AE3763">
        <v>-30.9926999999999</v>
      </c>
      <c r="AF3763">
        <v>-12.1805808631677</v>
      </c>
      <c r="AG3763">
        <v>-1.112498445622</v>
      </c>
      <c r="AH3763">
        <v>30.7005144832405</v>
      </c>
      <c r="AI3763">
        <v>91.929157896213894</v>
      </c>
      <c r="AJ3763">
        <v>111.640947514305</v>
      </c>
      <c r="AK3763">
        <v>33.047326555885597</v>
      </c>
      <c r="AL3763">
        <v>80.786463747499894</v>
      </c>
      <c r="AM3763">
        <v>98.887568964794198</v>
      </c>
      <c r="AN3763">
        <v>1.00000002300271</v>
      </c>
    </row>
    <row r="3764" spans="1:40" x14ac:dyDescent="0.25">
      <c r="A3764" t="str">
        <f>"20190304154827815"</f>
        <v>20190304154827815</v>
      </c>
      <c r="B3764" t="str">
        <f>"1551685707810164"</f>
        <v>1551685707810164</v>
      </c>
      <c r="C3764" t="s">
        <v>40</v>
      </c>
      <c r="D3764">
        <v>3.8246760000000002</v>
      </c>
      <c r="E3764">
        <v>0.38860509999999998</v>
      </c>
      <c r="F3764" t="s">
        <v>66</v>
      </c>
      <c r="G3764">
        <v>-473.4006</v>
      </c>
      <c r="H3764">
        <v>0.45980690000000002</v>
      </c>
      <c r="I3764">
        <v>196.6301</v>
      </c>
      <c r="J3764">
        <v>-492.6848</v>
      </c>
      <c r="K3764">
        <v>1.112549</v>
      </c>
      <c r="L3764">
        <v>240.8357</v>
      </c>
      <c r="M3764">
        <v>-1.9236679999999999E-2</v>
      </c>
      <c r="N3764">
        <v>-1.278E-2</v>
      </c>
      <c r="O3764">
        <v>-0.99973319999999999</v>
      </c>
      <c r="P3764">
        <v>0.13403180000000001</v>
      </c>
      <c r="Q3764">
        <v>0.14864040000000001</v>
      </c>
      <c r="R3764">
        <v>-0.97976600000000003</v>
      </c>
      <c r="S3764">
        <v>1.2598879999999999</v>
      </c>
      <c r="T3764">
        <v>-4.2641400000000003E-2</v>
      </c>
      <c r="U3764">
        <v>-2.8990170000000002</v>
      </c>
      <c r="V3764">
        <v>-0.1536141</v>
      </c>
      <c r="W3764">
        <v>0.16039200000000001</v>
      </c>
      <c r="X3764">
        <v>0.97502670000000002</v>
      </c>
      <c r="Y3764">
        <v>-0.41608200000000001</v>
      </c>
      <c r="Z3764">
        <v>5.9881789999999995E-4</v>
      </c>
      <c r="AA3764">
        <v>0.90932690000000005</v>
      </c>
      <c r="AB3764">
        <v>22</v>
      </c>
      <c r="AC3764">
        <v>19.284199999999998</v>
      </c>
      <c r="AD3764">
        <v>-0.65274209999999999</v>
      </c>
      <c r="AE3764">
        <v>-44.205599999999997</v>
      </c>
      <c r="AF3764">
        <v>-20.127382656124698</v>
      </c>
      <c r="AG3764">
        <v>-0.65274209999999999</v>
      </c>
      <c r="AH3764">
        <v>43.818397939658702</v>
      </c>
      <c r="AI3764">
        <v>90.775552103845499</v>
      </c>
      <c r="AJ3764">
        <v>114.67103840104799</v>
      </c>
      <c r="AK3764">
        <v>48.224367313977901</v>
      </c>
      <c r="AL3764">
        <v>80.770349744985197</v>
      </c>
      <c r="AM3764">
        <v>98.953276292629795</v>
      </c>
      <c r="AN3764">
        <v>0.99999997554784903</v>
      </c>
    </row>
    <row r="3765" spans="1:40" x14ac:dyDescent="0.25">
      <c r="A3765" t="str">
        <f>"20190304154827827"</f>
        <v>20190304154827827</v>
      </c>
      <c r="B3765" t="str">
        <f>"1551685707819924"</f>
        <v>1551685707819924</v>
      </c>
      <c r="C3765" t="s">
        <v>40</v>
      </c>
      <c r="D3765">
        <v>3.8518249999999998</v>
      </c>
      <c r="E3765">
        <v>0.38867279999999998</v>
      </c>
      <c r="F3765" t="s">
        <v>66</v>
      </c>
      <c r="G3765">
        <v>-473.17779999999999</v>
      </c>
      <c r="H3765">
        <v>0.50594280000000003</v>
      </c>
      <c r="I3765">
        <v>196.6301</v>
      </c>
      <c r="J3765">
        <v>-492.68509999999998</v>
      </c>
      <c r="K3765">
        <v>1.1125879999999999</v>
      </c>
      <c r="L3765">
        <v>240.70429999999999</v>
      </c>
      <c r="M3765">
        <v>-1.7233330000000002E-2</v>
      </c>
      <c r="N3765">
        <v>-1.2779159999999999E-2</v>
      </c>
      <c r="O3765">
        <v>-0.99977009999999999</v>
      </c>
      <c r="P3765">
        <v>0.1365854</v>
      </c>
      <c r="Q3765">
        <v>0.14894949999999901</v>
      </c>
      <c r="R3765">
        <v>-0.97936650000000003</v>
      </c>
      <c r="S3765">
        <v>1.276764</v>
      </c>
      <c r="T3765">
        <v>-3.970075E-2</v>
      </c>
      <c r="U3765">
        <v>-2.8933110000000002</v>
      </c>
      <c r="V3765">
        <v>-0.1542181</v>
      </c>
      <c r="W3765">
        <v>0.1606815</v>
      </c>
      <c r="X3765">
        <v>0.97488370000000002</v>
      </c>
      <c r="Y3765">
        <v>-0.4193634</v>
      </c>
      <c r="Z3765">
        <v>-3.2228980000000002E-4</v>
      </c>
      <c r="AA3765">
        <v>0.90781840000000003</v>
      </c>
      <c r="AB3765">
        <v>22</v>
      </c>
      <c r="AC3765">
        <v>19.507299999999901</v>
      </c>
      <c r="AD3765">
        <v>-0.606645199999999</v>
      </c>
      <c r="AE3765">
        <v>-44.074199999999898</v>
      </c>
      <c r="AF3765">
        <v>-20.260799956168398</v>
      </c>
      <c r="AG3765">
        <v>-0.606645199999999</v>
      </c>
      <c r="AH3765">
        <v>43.724523806842498</v>
      </c>
      <c r="AI3765">
        <v>90.721227236175295</v>
      </c>
      <c r="AJ3765">
        <v>114.86177183536699</v>
      </c>
      <c r="AK3765">
        <v>48.194418923747698</v>
      </c>
      <c r="AL3765">
        <v>80.753544858314697</v>
      </c>
      <c r="AM3765">
        <v>98.989203221636899</v>
      </c>
      <c r="AN3765">
        <v>0.99999999766777403</v>
      </c>
    </row>
    <row r="3766" spans="1:40" x14ac:dyDescent="0.25">
      <c r="A3766" t="str">
        <f>"20190304154827839"</f>
        <v>20190304154827839</v>
      </c>
      <c r="B3766" t="str">
        <f>"1551685707830660"</f>
        <v>1551685707830660</v>
      </c>
      <c r="C3766" t="s">
        <v>40</v>
      </c>
      <c r="D3766">
        <v>3.8547920000000002</v>
      </c>
      <c r="E3766">
        <v>0.38863979999999998</v>
      </c>
      <c r="F3766" t="s">
        <v>66</v>
      </c>
      <c r="G3766">
        <v>-473.11099999999999</v>
      </c>
      <c r="H3766">
        <v>0.50539160000000005</v>
      </c>
      <c r="I3766">
        <v>196.6301</v>
      </c>
      <c r="J3766">
        <v>-492.68509999999998</v>
      </c>
      <c r="K3766">
        <v>1.112619</v>
      </c>
      <c r="L3766">
        <v>240.5934</v>
      </c>
      <c r="M3766">
        <v>-1.5509770000000001E-2</v>
      </c>
      <c r="N3766">
        <v>-1.277876E-2</v>
      </c>
      <c r="O3766">
        <v>-0.99979830000000003</v>
      </c>
      <c r="P3766">
        <v>0.13935719999999999</v>
      </c>
      <c r="Q3766">
        <v>0.14909990000000001</v>
      </c>
      <c r="R3766">
        <v>-0.97895319999999997</v>
      </c>
      <c r="S3766">
        <v>1.2836299999999901</v>
      </c>
      <c r="T3766">
        <v>-3.9816020000000001E-2</v>
      </c>
      <c r="U3766">
        <v>-2.8902739999999998</v>
      </c>
      <c r="V3766">
        <v>-0.15531120000000001</v>
      </c>
      <c r="W3766">
        <v>0.16081229999999999</v>
      </c>
      <c r="X3766">
        <v>0.97468860000000002</v>
      </c>
      <c r="Y3766">
        <v>-0.41995329999999897</v>
      </c>
      <c r="Z3766">
        <v>-2.7612650000000003E-4</v>
      </c>
      <c r="AA3766">
        <v>0.90754570000000001</v>
      </c>
      <c r="AB3766">
        <v>22</v>
      </c>
      <c r="AC3766">
        <v>19.574099999999898</v>
      </c>
      <c r="AD3766">
        <v>-0.60722739999999997</v>
      </c>
      <c r="AE3766">
        <v>-43.963299999999997</v>
      </c>
      <c r="AF3766">
        <v>-20.250437213333399</v>
      </c>
      <c r="AG3766">
        <v>-0.60722739999999997</v>
      </c>
      <c r="AH3766">
        <v>43.647447304725702</v>
      </c>
      <c r="AI3766">
        <v>90.723033750108698</v>
      </c>
      <c r="AJ3766">
        <v>114.889163199781</v>
      </c>
      <c r="AK3766">
        <v>48.120147429795701</v>
      </c>
      <c r="AL3766">
        <v>80.745951997476396</v>
      </c>
      <c r="AM3766">
        <v>99.053649390238206</v>
      </c>
      <c r="AN3766">
        <v>1.00000001582334</v>
      </c>
    </row>
    <row r="3767" spans="1:40" x14ac:dyDescent="0.25">
      <c r="A3767" t="str">
        <f>"20190304154827852"</f>
        <v>20190304154827852</v>
      </c>
      <c r="B3767" t="str">
        <f>"1551685707840421"</f>
        <v>1551685707840421</v>
      </c>
      <c r="C3767" t="s">
        <v>40</v>
      </c>
      <c r="D3767">
        <v>3.8841549999999998</v>
      </c>
      <c r="E3767">
        <v>0.38900079999999998</v>
      </c>
      <c r="F3767" t="s">
        <v>66</v>
      </c>
      <c r="G3767">
        <v>-473.01510000000002</v>
      </c>
      <c r="H3767">
        <v>0.50716879999999998</v>
      </c>
      <c r="I3767">
        <v>196.6301</v>
      </c>
      <c r="J3767">
        <v>-492.685</v>
      </c>
      <c r="K3767">
        <v>1.112649</v>
      </c>
      <c r="L3767">
        <v>240.4734</v>
      </c>
      <c r="M3767">
        <v>-1.362673E-2</v>
      </c>
      <c r="N3767">
        <v>-1.277843E-2</v>
      </c>
      <c r="O3767">
        <v>-0.99982550000000003</v>
      </c>
      <c r="P3767">
        <v>0.14195829999999901</v>
      </c>
      <c r="Q3767">
        <v>0.1493275</v>
      </c>
      <c r="R3767">
        <v>-0.97854470000000005</v>
      </c>
      <c r="S3767">
        <v>1.2915650000000001</v>
      </c>
      <c r="T3767">
        <v>-3.9752240000000001E-2</v>
      </c>
      <c r="U3767">
        <v>-2.8866879999999999</v>
      </c>
      <c r="V3767">
        <v>-0.15608050000000001</v>
      </c>
      <c r="W3767">
        <v>0.1610222</v>
      </c>
      <c r="X3767">
        <v>0.97453100000000004</v>
      </c>
      <c r="Y3767">
        <v>-0.42074270000000003</v>
      </c>
      <c r="Z3767">
        <v>-2.8536380000000001E-4</v>
      </c>
      <c r="AA3767">
        <v>0.90717999999999999</v>
      </c>
      <c r="AB3767">
        <v>22</v>
      </c>
      <c r="AC3767">
        <v>19.669899999999899</v>
      </c>
      <c r="AD3767">
        <v>-0.60548019999999902</v>
      </c>
      <c r="AE3767">
        <v>-43.843299999999999</v>
      </c>
      <c r="AF3767">
        <v>-20.262346066587401</v>
      </c>
      <c r="AG3767">
        <v>-0.60548019999999902</v>
      </c>
      <c r="AH3767">
        <v>43.564253864910597</v>
      </c>
      <c r="AI3767">
        <v>90.722010326041399</v>
      </c>
      <c r="AJ3767">
        <v>114.943799739187</v>
      </c>
      <c r="AK3767">
        <v>48.0496981176898</v>
      </c>
      <c r="AL3767">
        <v>80.733766392914504</v>
      </c>
      <c r="AM3767">
        <v>99.0991931298054</v>
      </c>
      <c r="AN3767">
        <v>0.99999997066704405</v>
      </c>
    </row>
    <row r="3768" spans="1:40" x14ac:dyDescent="0.25">
      <c r="A3768" t="str">
        <f>"20190304154827863"</f>
        <v>20190304154827863</v>
      </c>
      <c r="B3768" t="str">
        <f>"1551685707859941"</f>
        <v>1551685707859941</v>
      </c>
      <c r="C3768" t="s">
        <v>40</v>
      </c>
      <c r="D3768">
        <v>3.8909419999999999</v>
      </c>
      <c r="E3768">
        <v>0.38937480000000002</v>
      </c>
      <c r="F3768" t="s">
        <v>66</v>
      </c>
      <c r="G3768">
        <v>-472.97410000000002</v>
      </c>
      <c r="H3768">
        <v>0.48463919999999999</v>
      </c>
      <c r="I3768">
        <v>196.6301</v>
      </c>
      <c r="J3768">
        <v>-492.68439999999998</v>
      </c>
      <c r="K3768">
        <v>1.1126780000000001</v>
      </c>
      <c r="L3768">
        <v>240.35499999999999</v>
      </c>
      <c r="M3768">
        <v>-1.1717699999999999E-2</v>
      </c>
      <c r="N3768">
        <v>-1.277874E-2</v>
      </c>
      <c r="O3768">
        <v>-0.99984969999999995</v>
      </c>
      <c r="P3768">
        <v>0.1447012</v>
      </c>
      <c r="Q3768">
        <v>0.14957190000000001</v>
      </c>
      <c r="R3768">
        <v>-0.97810529999999996</v>
      </c>
      <c r="S3768">
        <v>1.29657</v>
      </c>
      <c r="T3768">
        <v>-4.1307570000000002E-2</v>
      </c>
      <c r="U3768">
        <v>-2.883972</v>
      </c>
      <c r="V3768">
        <v>-0.156967299999999</v>
      </c>
      <c r="W3768">
        <v>0.16124769999999999</v>
      </c>
      <c r="X3768">
        <v>0.97435130000000003</v>
      </c>
      <c r="Y3768">
        <v>-0.42063820000000002</v>
      </c>
      <c r="Z3768">
        <v>2.1721549999999999E-4</v>
      </c>
      <c r="AA3768">
        <v>0.90722849999999999</v>
      </c>
      <c r="AB3768">
        <v>22</v>
      </c>
      <c r="AC3768">
        <v>19.710299999999901</v>
      </c>
      <c r="AD3768">
        <v>-0.62803880000000001</v>
      </c>
      <c r="AE3768">
        <v>-43.724899999999899</v>
      </c>
      <c r="AF3768">
        <v>-20.217877001611999</v>
      </c>
      <c r="AG3768">
        <v>-0.62803880000000001</v>
      </c>
      <c r="AH3768">
        <v>43.483463443330301</v>
      </c>
      <c r="AI3768">
        <v>90.7503442698345</v>
      </c>
      <c r="AJ3768">
        <v>114.936332886963</v>
      </c>
      <c r="AK3768">
        <v>47.9579876163926</v>
      </c>
      <c r="AL3768">
        <v>80.720675443137495</v>
      </c>
      <c r="AM3768">
        <v>99.151678732791396</v>
      </c>
      <c r="AN3768">
        <v>1.0000000049181299</v>
      </c>
    </row>
    <row r="3769" spans="1:40" x14ac:dyDescent="0.25">
      <c r="A3769" t="str">
        <f>"20190304154827881"</f>
        <v>20190304154827881</v>
      </c>
      <c r="B3769" t="str">
        <f>"1551685707870677"</f>
        <v>1551685707870677</v>
      </c>
      <c r="C3769" t="s">
        <v>40</v>
      </c>
      <c r="D3769">
        <v>3.8772609999999998</v>
      </c>
      <c r="E3769">
        <v>0.38959240000000001</v>
      </c>
      <c r="F3769" t="s">
        <v>66</v>
      </c>
      <c r="G3769">
        <v>-472.93349999999998</v>
      </c>
      <c r="H3769">
        <v>0.46050210000000003</v>
      </c>
      <c r="I3769">
        <v>196.6301</v>
      </c>
      <c r="J3769">
        <v>-492.68329999999997</v>
      </c>
      <c r="K3769">
        <v>1.1127199999999999</v>
      </c>
      <c r="L3769">
        <v>240.1935</v>
      </c>
      <c r="M3769">
        <v>-9.0731400000000004E-3</v>
      </c>
      <c r="N3769">
        <v>-1.277942E-2</v>
      </c>
      <c r="O3769">
        <v>-0.99987740000000003</v>
      </c>
      <c r="P3769">
        <v>0.14931259999999999</v>
      </c>
      <c r="Q3769">
        <v>0.14995349999999999</v>
      </c>
      <c r="R3769">
        <v>-0.97735380000000005</v>
      </c>
      <c r="S3769">
        <v>1.301453</v>
      </c>
      <c r="T3769">
        <v>-4.2971370000000002E-2</v>
      </c>
      <c r="U3769">
        <v>-2.8811650000000002</v>
      </c>
      <c r="V3769">
        <v>-0.15900810000000001</v>
      </c>
      <c r="W3769">
        <v>0.1615973</v>
      </c>
      <c r="X3769">
        <v>0.97396240000000001</v>
      </c>
      <c r="Y3769">
        <v>-0.41984549999999998</v>
      </c>
      <c r="Z3769">
        <v>7.5912850000000004E-4</v>
      </c>
      <c r="AA3769">
        <v>0.90759529999999999</v>
      </c>
      <c r="AB3769">
        <v>22</v>
      </c>
      <c r="AC3769">
        <v>19.7498</v>
      </c>
      <c r="AD3769">
        <v>-0.65221790000000002</v>
      </c>
      <c r="AE3769">
        <v>-43.563400000000001</v>
      </c>
      <c r="AF3769">
        <v>-20.140531104656901</v>
      </c>
      <c r="AG3769">
        <v>-0.65221790000000002</v>
      </c>
      <c r="AH3769">
        <v>43.374334430281401</v>
      </c>
      <c r="AI3769">
        <v>90.781371954350007</v>
      </c>
      <c r="AJ3769">
        <v>114.90742821065599</v>
      </c>
      <c r="AK3769">
        <v>47.826763100137001</v>
      </c>
      <c r="AL3769">
        <v>80.700378701131697</v>
      </c>
      <c r="AM3769">
        <v>99.272248270066498</v>
      </c>
      <c r="AN3769">
        <v>1.0000000099233299</v>
      </c>
    </row>
    <row r="3770" spans="1:40" x14ac:dyDescent="0.25">
      <c r="A3770" t="str">
        <f>"20190304154827895"</f>
        <v>20190304154827895</v>
      </c>
      <c r="B3770" t="str">
        <f>"1551685707890196"</f>
        <v>1551685707890196</v>
      </c>
      <c r="C3770" t="s">
        <v>40</v>
      </c>
      <c r="D3770">
        <v>3.8988849999999999</v>
      </c>
      <c r="E3770">
        <v>0.38998260000000001</v>
      </c>
      <c r="F3770" t="s">
        <v>66</v>
      </c>
      <c r="G3770">
        <v>-470.34609999999998</v>
      </c>
      <c r="H3770">
        <v>0.372525</v>
      </c>
      <c r="I3770">
        <v>191.26730000000001</v>
      </c>
      <c r="J3770">
        <v>-492.68209999999999</v>
      </c>
      <c r="K3770">
        <v>1.1127590000000001</v>
      </c>
      <c r="L3770">
        <v>240.06379999999999</v>
      </c>
      <c r="M3770">
        <v>-6.9118449999999998E-3</v>
      </c>
      <c r="N3770">
        <v>-1.27802E-2</v>
      </c>
      <c r="O3770">
        <v>-0.99989439999999996</v>
      </c>
      <c r="P3770">
        <v>0.15246080000000001</v>
      </c>
      <c r="Q3770">
        <v>0.14959259999999999</v>
      </c>
      <c r="R3770">
        <v>-0.97692259999999997</v>
      </c>
      <c r="S3770">
        <v>1.3128660000000001</v>
      </c>
      <c r="T3770">
        <v>-4.3502449999999998E-2</v>
      </c>
      <c r="U3770">
        <v>-2.87561</v>
      </c>
      <c r="V3770">
        <v>-0.16005559999999999</v>
      </c>
      <c r="W3770">
        <v>0.16121659999999999</v>
      </c>
      <c r="X3770">
        <v>0.97385390000000005</v>
      </c>
      <c r="Y3770">
        <v>-0.42152519999999999</v>
      </c>
      <c r="Z3770">
        <v>9.3988790000000002E-4</v>
      </c>
      <c r="AA3770">
        <v>0.90681619999999996</v>
      </c>
      <c r="AB3770">
        <v>22</v>
      </c>
      <c r="AC3770">
        <v>22.335999999999999</v>
      </c>
      <c r="AD3770">
        <v>-0.74023399999999995</v>
      </c>
      <c r="AE3770">
        <v>-48.796499999999902</v>
      </c>
      <c r="AF3770">
        <v>-22.668454888444899</v>
      </c>
      <c r="AG3770">
        <v>-0.74023399999999995</v>
      </c>
      <c r="AH3770">
        <v>48.631685978872397</v>
      </c>
      <c r="AI3770">
        <v>90.790407114941601</v>
      </c>
      <c r="AJ3770">
        <v>114.99141299955799</v>
      </c>
      <c r="AK3770">
        <v>53.660485224715202</v>
      </c>
      <c r="AL3770">
        <v>80.722480945281703</v>
      </c>
      <c r="AM3770">
        <v>99.333281441795506</v>
      </c>
      <c r="AN3770">
        <v>1.0000000028760601</v>
      </c>
    </row>
    <row r="3771" spans="1:40" x14ac:dyDescent="0.25">
      <c r="A3771" t="str">
        <f>"20190304154827908"</f>
        <v>20190304154827908</v>
      </c>
      <c r="B3771" t="str">
        <f>"1551685707899956"</f>
        <v>1551685707899956</v>
      </c>
      <c r="C3771" t="s">
        <v>40</v>
      </c>
      <c r="D3771">
        <v>3.8494920000000001</v>
      </c>
      <c r="E3771">
        <v>0.39009779999999999</v>
      </c>
      <c r="F3771" t="s">
        <v>66</v>
      </c>
      <c r="G3771">
        <v>-470.34609999999998</v>
      </c>
      <c r="H3771">
        <v>0.32344279999999997</v>
      </c>
      <c r="I3771">
        <v>191.43610000000001</v>
      </c>
      <c r="J3771">
        <v>-492.68049999999999</v>
      </c>
      <c r="K3771">
        <v>1.112795</v>
      </c>
      <c r="L3771">
        <v>239.92449999999999</v>
      </c>
      <c r="M3771">
        <v>-4.5432379999999998E-3</v>
      </c>
      <c r="N3771">
        <v>-1.278137E-2</v>
      </c>
      <c r="O3771">
        <v>-0.99990820000000002</v>
      </c>
      <c r="P3771">
        <v>0.155717299999999</v>
      </c>
      <c r="Q3771">
        <v>0.14915309999999901</v>
      </c>
      <c r="R3771">
        <v>-0.97647649999999997</v>
      </c>
      <c r="S3771">
        <v>1.3192440000000001</v>
      </c>
      <c r="T3771">
        <v>-4.6617270000000002E-2</v>
      </c>
      <c r="U3771">
        <v>-2.8721009999999998</v>
      </c>
      <c r="V3771">
        <v>-0.1610104</v>
      </c>
      <c r="W3771">
        <v>0.16075780000000001</v>
      </c>
      <c r="X3771">
        <v>0.97377230000000004</v>
      </c>
      <c r="Y3771">
        <v>-0.42145680000000002</v>
      </c>
      <c r="Z3771">
        <v>1.939297E-3</v>
      </c>
      <c r="AA3771">
        <v>0.90684640000000005</v>
      </c>
      <c r="AB3771">
        <v>22</v>
      </c>
      <c r="AC3771">
        <v>22.334399999999999</v>
      </c>
      <c r="AD3771">
        <v>-0.78935219999999995</v>
      </c>
      <c r="AE3771">
        <v>-48.488399999999899</v>
      </c>
      <c r="AF3771">
        <v>-22.549551803933799</v>
      </c>
      <c r="AG3771">
        <v>-0.78935219999999995</v>
      </c>
      <c r="AH3771">
        <v>48.375844448610202</v>
      </c>
      <c r="AI3771">
        <v>90.847301716767205</v>
      </c>
      <c r="AJ3771">
        <v>114.991754616367</v>
      </c>
      <c r="AK3771">
        <v>53.379094124667198</v>
      </c>
      <c r="AL3771">
        <v>80.749115218968498</v>
      </c>
      <c r="AM3771">
        <v>99.3887428164238</v>
      </c>
      <c r="AN3771">
        <v>0.99999995570814404</v>
      </c>
    </row>
    <row r="3772" spans="1:40" x14ac:dyDescent="0.25">
      <c r="A3772" t="str">
        <f>"20190304154827923"</f>
        <v>20190304154827923</v>
      </c>
      <c r="B3772" t="str">
        <f>"1551685707920452"</f>
        <v>1551685707920452</v>
      </c>
      <c r="C3772" t="s">
        <v>40</v>
      </c>
      <c r="D3772">
        <v>3.868347</v>
      </c>
      <c r="E3772">
        <v>0.39034469999999999</v>
      </c>
      <c r="F3772" t="s">
        <v>48</v>
      </c>
      <c r="G3772">
        <v>-476.7217</v>
      </c>
      <c r="H3772">
        <v>0.52790950000000003</v>
      </c>
      <c r="I3772">
        <v>205.44909999999999</v>
      </c>
      <c r="J3772">
        <v>-492.67840000000001</v>
      </c>
      <c r="K3772">
        <v>1.112827</v>
      </c>
      <c r="L3772">
        <v>239.791</v>
      </c>
      <c r="M3772">
        <v>-2.2284539999999999E-3</v>
      </c>
      <c r="N3772">
        <v>-1.2782740000000001E-2</v>
      </c>
      <c r="O3772">
        <v>-0.99991600000000003</v>
      </c>
      <c r="P3772">
        <v>0.1590249</v>
      </c>
      <c r="Q3772">
        <v>0.14870710000000001</v>
      </c>
      <c r="R3772">
        <v>-0.97601099999999996</v>
      </c>
      <c r="S3772">
        <v>1.3276059999999901</v>
      </c>
      <c r="T3772">
        <v>-4.8656459999999999E-2</v>
      </c>
      <c r="U3772">
        <v>-2.8679960000000002</v>
      </c>
      <c r="V3772">
        <v>-0.1620683</v>
      </c>
      <c r="W3772">
        <v>0.1602932</v>
      </c>
      <c r="X3772">
        <v>0.97367340000000002</v>
      </c>
      <c r="Y3772">
        <v>-0.42202699999999999</v>
      </c>
      <c r="Z3772">
        <v>2.5978500000000001E-3</v>
      </c>
      <c r="AA3772">
        <v>0.90657960000000004</v>
      </c>
      <c r="AB3772">
        <v>22</v>
      </c>
      <c r="AC3772">
        <v>15.9567</v>
      </c>
      <c r="AD3772">
        <v>-0.58491749999999998</v>
      </c>
      <c r="AE3772">
        <v>-34.341900000000003</v>
      </c>
      <c r="AF3772">
        <v>-16.029371568590999</v>
      </c>
      <c r="AG3772">
        <v>-0.58491749999999998</v>
      </c>
      <c r="AH3772">
        <v>34.298069996080102</v>
      </c>
      <c r="AI3772">
        <v>90.885144946038594</v>
      </c>
      <c r="AJ3772">
        <v>115.04926661851</v>
      </c>
      <c r="AK3772">
        <v>37.863445258214099</v>
      </c>
      <c r="AL3772">
        <v>80.776084690296003</v>
      </c>
      <c r="AM3772">
        <v>99.450263974315703</v>
      </c>
      <c r="AN3772">
        <v>0.999999966849344</v>
      </c>
    </row>
    <row r="3773" spans="1:40" x14ac:dyDescent="0.25">
      <c r="A3773" t="str">
        <f>"20190304154827939"</f>
        <v>20190304154827939</v>
      </c>
      <c r="B3773" t="str">
        <f>"1551685707930212"</f>
        <v>1551685707930212</v>
      </c>
      <c r="C3773" t="s">
        <v>40</v>
      </c>
      <c r="D3773">
        <v>3.8672680000000001</v>
      </c>
      <c r="E3773">
        <v>0.39042480000000002</v>
      </c>
      <c r="F3773" t="s">
        <v>48</v>
      </c>
      <c r="G3773">
        <v>-476.72879999999998</v>
      </c>
      <c r="H3773">
        <v>0.49628630000000001</v>
      </c>
      <c r="I3773">
        <v>205.57849999999999</v>
      </c>
      <c r="J3773">
        <v>-492.67559999999997</v>
      </c>
      <c r="K3773">
        <v>1.112865</v>
      </c>
      <c r="L3773">
        <v>239.63149999999999</v>
      </c>
      <c r="M3773">
        <v>5.8537200000000002E-4</v>
      </c>
      <c r="N3773">
        <v>-1.278254E-2</v>
      </c>
      <c r="O3773">
        <v>-0.99991810000000003</v>
      </c>
      <c r="P3773">
        <v>0.16370379999999901</v>
      </c>
      <c r="Q3773">
        <v>0.14791660000000001</v>
      </c>
      <c r="R3773">
        <v>-0.97535740000000004</v>
      </c>
      <c r="S3773">
        <v>1.335205</v>
      </c>
      <c r="T3773">
        <v>-5.1612970000000001E-2</v>
      </c>
      <c r="U3773">
        <v>-2.8640590000000001</v>
      </c>
      <c r="V3773">
        <v>-0.1640132</v>
      </c>
      <c r="W3773">
        <v>0.159472799999999</v>
      </c>
      <c r="X3773">
        <v>0.97348250000000003</v>
      </c>
      <c r="Y3773">
        <v>-0.4219251</v>
      </c>
      <c r="Z3773">
        <v>3.5528999999999999E-3</v>
      </c>
      <c r="AA3773">
        <v>0.90662370000000003</v>
      </c>
      <c r="AB3773">
        <v>22</v>
      </c>
      <c r="AC3773">
        <v>15.9467999999999</v>
      </c>
      <c r="AD3773">
        <v>-0.61657869999999904</v>
      </c>
      <c r="AE3773">
        <v>-34.052999999999997</v>
      </c>
      <c r="AF3773">
        <v>-15.922580725360101</v>
      </c>
      <c r="AG3773">
        <v>-0.61657869999999904</v>
      </c>
      <c r="AH3773">
        <v>34.0531735708432</v>
      </c>
      <c r="AI3773">
        <v>90.939676806020401</v>
      </c>
      <c r="AJ3773">
        <v>115.059847269735</v>
      </c>
      <c r="AK3773">
        <v>37.596906475066199</v>
      </c>
      <c r="AL3773">
        <v>80.823703394519697</v>
      </c>
      <c r="AM3773">
        <v>99.563430424223696</v>
      </c>
      <c r="AN3773">
        <v>1.0000000407601599</v>
      </c>
    </row>
    <row r="3774" spans="1:40" x14ac:dyDescent="0.25">
      <c r="A3774" t="str">
        <f>"20190304154827952"</f>
        <v>20190304154827952</v>
      </c>
      <c r="B3774" t="str">
        <f>"1551685707939972"</f>
        <v>1551685707939972</v>
      </c>
      <c r="C3774" t="s">
        <v>40</v>
      </c>
      <c r="D3774">
        <v>3.868967</v>
      </c>
      <c r="E3774">
        <v>0.39052609999999999</v>
      </c>
      <c r="F3774" t="s">
        <v>48</v>
      </c>
      <c r="G3774">
        <v>-476.73610000000002</v>
      </c>
      <c r="H3774">
        <v>0.46363169999999998</v>
      </c>
      <c r="I3774">
        <v>205.84049999999999</v>
      </c>
      <c r="J3774">
        <v>-492.67320000000001</v>
      </c>
      <c r="K3774">
        <v>1.1128899999999999</v>
      </c>
      <c r="L3774">
        <v>239.51050000000001</v>
      </c>
      <c r="M3774">
        <v>2.7471869999999999E-3</v>
      </c>
      <c r="N3774">
        <v>-1.2780710000000001E-2</v>
      </c>
      <c r="O3774">
        <v>-0.99991479999999999</v>
      </c>
      <c r="P3774">
        <v>0.16686799999999999</v>
      </c>
      <c r="Q3774">
        <v>0.1478293</v>
      </c>
      <c r="R3774">
        <v>-0.97483470000000005</v>
      </c>
      <c r="S3774">
        <v>1.3480829999999999</v>
      </c>
      <c r="T3774">
        <v>-5.4908869999999999E-2</v>
      </c>
      <c r="U3774">
        <v>-2.8578640000000002</v>
      </c>
      <c r="V3774">
        <v>-0.16508039999999999</v>
      </c>
      <c r="W3774">
        <v>0.15936400000000001</v>
      </c>
      <c r="X3774">
        <v>0.97331990000000002</v>
      </c>
      <c r="Y3774">
        <v>-0.42405890000000002</v>
      </c>
      <c r="Z3774">
        <v>4.6128769999999996E-3</v>
      </c>
      <c r="AA3774">
        <v>0.90562279999999995</v>
      </c>
      <c r="AB3774">
        <v>22</v>
      </c>
      <c r="AC3774">
        <v>15.9370999999999</v>
      </c>
      <c r="AD3774">
        <v>-0.64925829999999995</v>
      </c>
      <c r="AE3774">
        <v>-33.67</v>
      </c>
      <c r="AF3774">
        <v>-15.839722821778199</v>
      </c>
      <c r="AG3774">
        <v>-0.64925829999999995</v>
      </c>
      <c r="AH3774">
        <v>33.703420429683099</v>
      </c>
      <c r="AI3774">
        <v>90.9988183440434</v>
      </c>
      <c r="AJ3774">
        <v>115.172292531271</v>
      </c>
      <c r="AK3774">
        <v>37.2456561772089</v>
      </c>
      <c r="AL3774">
        <v>80.830017788444394</v>
      </c>
      <c r="AM3774">
        <v>99.626075109146896</v>
      </c>
      <c r="AN3774">
        <v>1.0000000253480801</v>
      </c>
    </row>
    <row r="3775" spans="1:40" x14ac:dyDescent="0.25">
      <c r="A3775" t="str">
        <f>"20190304154827964"</f>
        <v>20190304154827964</v>
      </c>
      <c r="B3775" t="str">
        <f>"1551685707960469"</f>
        <v>1551685707960469</v>
      </c>
      <c r="C3775" t="s">
        <v>40</v>
      </c>
      <c r="D3775">
        <v>3.848751</v>
      </c>
      <c r="E3775">
        <v>0.39063619999999999</v>
      </c>
      <c r="F3775" t="s">
        <v>48</v>
      </c>
      <c r="G3775">
        <v>-476.73750000000001</v>
      </c>
      <c r="H3775">
        <v>0.45743549999999999</v>
      </c>
      <c r="I3775">
        <v>205.99189999999999</v>
      </c>
      <c r="J3775">
        <v>-492.6703</v>
      </c>
      <c r="K3775">
        <v>1.112919</v>
      </c>
      <c r="L3775">
        <v>239.38910000000001</v>
      </c>
      <c r="M3775">
        <v>4.9655589999999996E-3</v>
      </c>
      <c r="N3775">
        <v>-1.277652E-2</v>
      </c>
      <c r="O3775">
        <v>-0.99990610000000002</v>
      </c>
      <c r="P3775">
        <v>0.17016879999999901</v>
      </c>
      <c r="Q3775">
        <v>0.14794399999999999</v>
      </c>
      <c r="R3775">
        <v>-0.97424619999999995</v>
      </c>
      <c r="S3775">
        <v>1.3567199999999999</v>
      </c>
      <c r="T3775">
        <v>-5.58033E-2</v>
      </c>
      <c r="U3775">
        <v>-2.8536679999999999</v>
      </c>
      <c r="V3775">
        <v>-0.16623209999999999</v>
      </c>
      <c r="W3775">
        <v>0.1594534</v>
      </c>
      <c r="X3775">
        <v>0.97310920000000001</v>
      </c>
      <c r="Y3775">
        <v>-0.42480010000000001</v>
      </c>
      <c r="Z3775">
        <v>4.9157990000000002E-3</v>
      </c>
      <c r="AA3775">
        <v>0.90527389999999996</v>
      </c>
      <c r="AB3775">
        <v>22</v>
      </c>
      <c r="AC3775">
        <v>15.932799999999901</v>
      </c>
      <c r="AD3775">
        <v>-0.6554835</v>
      </c>
      <c r="AE3775">
        <v>-33.397199999999998</v>
      </c>
      <c r="AF3775">
        <v>-15.7618082458371</v>
      </c>
      <c r="AG3775">
        <v>-0.6554835</v>
      </c>
      <c r="AH3775">
        <v>33.465408582158602</v>
      </c>
      <c r="AI3775">
        <v>91.015166938869797</v>
      </c>
      <c r="AJ3775">
        <v>115.219876217365</v>
      </c>
      <c r="AK3775">
        <v>36.997267863561603</v>
      </c>
      <c r="AL3775">
        <v>80.824829023110397</v>
      </c>
      <c r="AM3775">
        <v>99.694021601937806</v>
      </c>
      <c r="AN3775">
        <v>1.0000000064832999</v>
      </c>
    </row>
    <row r="3776" spans="1:40" x14ac:dyDescent="0.25">
      <c r="A3776" t="str">
        <f>"20190304154827981"</f>
        <v>20190304154827981</v>
      </c>
      <c r="B3776" t="str">
        <f>"1551685707970228"</f>
        <v>1551685707970228</v>
      </c>
      <c r="C3776" t="s">
        <v>40</v>
      </c>
      <c r="D3776">
        <v>4.0466100000000003</v>
      </c>
      <c r="E3776">
        <v>0.39063619999999999</v>
      </c>
      <c r="F3776" t="s">
        <v>48</v>
      </c>
      <c r="G3776">
        <v>-476.673</v>
      </c>
      <c r="H3776">
        <v>0.45537719999999998</v>
      </c>
      <c r="I3776">
        <v>206.0018</v>
      </c>
      <c r="J3776">
        <v>-492.66629999999998</v>
      </c>
      <c r="K3776">
        <v>1.1129560000000001</v>
      </c>
      <c r="L3776">
        <v>239.2302</v>
      </c>
      <c r="M3776">
        <v>7.9021709999999995E-3</v>
      </c>
      <c r="N3776">
        <v>-1.2770729999999999E-2</v>
      </c>
      <c r="O3776">
        <v>-0.99988739999999998</v>
      </c>
      <c r="P3776">
        <v>0.17466509999999999</v>
      </c>
      <c r="Q3776">
        <v>0.14834600000000001</v>
      </c>
      <c r="R3776">
        <v>-0.97338910000000001</v>
      </c>
      <c r="S3776">
        <v>1.365265</v>
      </c>
      <c r="T3776">
        <v>-5.6116699999999901E-2</v>
      </c>
      <c r="U3776">
        <v>-2.84938</v>
      </c>
      <c r="V3776">
        <v>-0.16788710000000001</v>
      </c>
      <c r="W3776">
        <v>0.15982109999999999</v>
      </c>
      <c r="X3776">
        <v>0.97276470000000004</v>
      </c>
      <c r="Y3776">
        <v>-0.42487950000000002</v>
      </c>
      <c r="Z3776">
        <v>5.041813E-3</v>
      </c>
      <c r="AA3776">
        <v>0.90523589999999998</v>
      </c>
      <c r="AB3776">
        <v>22</v>
      </c>
      <c r="AC3776">
        <v>15.9932999999999</v>
      </c>
      <c r="AD3776">
        <v>-0.65757880000000002</v>
      </c>
      <c r="AE3776">
        <v>-33.228399999999901</v>
      </c>
      <c r="AF3776">
        <v>-15.7252025715655</v>
      </c>
      <c r="AG3776">
        <v>-0.65757880000000002</v>
      </c>
      <c r="AH3776">
        <v>33.343152341684302</v>
      </c>
      <c r="AI3776">
        <v>91.021896744288597</v>
      </c>
      <c r="AJ3776">
        <v>115.24936884243</v>
      </c>
      <c r="AK3776">
        <v>36.871129815558199</v>
      </c>
      <c r="AL3776">
        <v>80.803487728901203</v>
      </c>
      <c r="AM3776">
        <v>99.7920762428367</v>
      </c>
      <c r="AN3776">
        <v>1.0000000119588499</v>
      </c>
    </row>
    <row r="3777" spans="1:40" x14ac:dyDescent="0.25">
      <c r="A3777" t="str">
        <f>"20190304154827992"</f>
        <v>20190304154827992</v>
      </c>
      <c r="B3777" t="str">
        <f>"1551685707990723"</f>
        <v>1551685707990723</v>
      </c>
      <c r="C3777" t="s">
        <v>40</v>
      </c>
      <c r="D3777">
        <v>3.8371249999999999</v>
      </c>
      <c r="E3777">
        <v>0.39217829999999998</v>
      </c>
      <c r="F3777" t="s">
        <v>48</v>
      </c>
      <c r="G3777">
        <v>-476.56470000000002</v>
      </c>
      <c r="H3777">
        <v>0.46351799999999999</v>
      </c>
      <c r="I3777">
        <v>205.9999</v>
      </c>
      <c r="J3777">
        <v>-492.66320000000002</v>
      </c>
      <c r="K3777">
        <v>1.1129770000000001</v>
      </c>
      <c r="L3777">
        <v>239.1207</v>
      </c>
      <c r="M3777">
        <v>9.9468850000000008E-3</v>
      </c>
      <c r="N3777">
        <v>-1.2766710000000001E-2</v>
      </c>
      <c r="O3777">
        <v>-0.99986909999999896</v>
      </c>
      <c r="P3777">
        <v>0.1774483</v>
      </c>
      <c r="Q3777">
        <v>0.1485445</v>
      </c>
      <c r="R3777">
        <v>-0.97285489999999997</v>
      </c>
      <c r="S3777">
        <v>1.3777159999999999</v>
      </c>
      <c r="T3777">
        <v>-5.556846E-2</v>
      </c>
      <c r="U3777">
        <v>-2.8433069999999998</v>
      </c>
      <c r="V3777">
        <v>-0.16869200000000001</v>
      </c>
      <c r="W3777">
        <v>0.159999</v>
      </c>
      <c r="X3777">
        <v>0.97259620000000002</v>
      </c>
      <c r="Y3777">
        <v>-0.4269965</v>
      </c>
      <c r="Z3777">
        <v>4.8865649999999998E-3</v>
      </c>
      <c r="AA3777">
        <v>0.90424009999999999</v>
      </c>
      <c r="AB3777">
        <v>22</v>
      </c>
      <c r="AC3777">
        <v>16.098500000000001</v>
      </c>
      <c r="AD3777">
        <v>-0.64945900000000001</v>
      </c>
      <c r="AE3777">
        <v>-33.120800000000003</v>
      </c>
      <c r="AF3777">
        <v>-15.763325040959</v>
      </c>
      <c r="AG3777">
        <v>-0.64945900000000001</v>
      </c>
      <c r="AH3777">
        <v>33.268956670798403</v>
      </c>
      <c r="AI3777">
        <v>91.010672993304198</v>
      </c>
      <c r="AJ3777">
        <v>115.352288073851</v>
      </c>
      <c r="AK3777">
        <v>36.820207648831499</v>
      </c>
      <c r="AL3777">
        <v>80.793162003852402</v>
      </c>
      <c r="AM3777">
        <v>99.839778236874096</v>
      </c>
      <c r="AN3777">
        <v>1.0000000195597101</v>
      </c>
    </row>
    <row r="3778" spans="1:40" x14ac:dyDescent="0.25">
      <c r="A3778" t="str">
        <f>"20190304154828007"</f>
        <v>20190304154828007</v>
      </c>
      <c r="B3778" t="str">
        <f>"1551685708000484"</f>
        <v>1551685708000484</v>
      </c>
      <c r="C3778" t="s">
        <v>40</v>
      </c>
      <c r="D3778">
        <v>3.8432849999999998</v>
      </c>
      <c r="E3778">
        <v>0.39159280000000002</v>
      </c>
      <c r="F3778" t="s">
        <v>48</v>
      </c>
      <c r="G3778">
        <v>-476.6644</v>
      </c>
      <c r="H3778">
        <v>0.3755349</v>
      </c>
      <c r="I3778">
        <v>206.0196</v>
      </c>
      <c r="J3778">
        <v>-492.65859999999998</v>
      </c>
      <c r="K3778">
        <v>1.1130059999999999</v>
      </c>
      <c r="L3778">
        <v>238.976</v>
      </c>
      <c r="M3778">
        <v>1.26929E-2</v>
      </c>
      <c r="N3778">
        <v>-1.2762570000000001E-2</v>
      </c>
      <c r="O3778">
        <v>-0.99983820000000001</v>
      </c>
      <c r="P3778">
        <v>0.18094370000000001</v>
      </c>
      <c r="Q3778">
        <v>0.14861759999999999</v>
      </c>
      <c r="R3778">
        <v>-0.97219990000000001</v>
      </c>
      <c r="S3778">
        <v>1.373993</v>
      </c>
      <c r="T3778">
        <v>-6.3332440000000004E-2</v>
      </c>
      <c r="U3778">
        <v>-2.8427579999999999</v>
      </c>
      <c r="V3778">
        <v>-0.1695304</v>
      </c>
      <c r="W3778">
        <v>0.16004989999999999</v>
      </c>
      <c r="X3778">
        <v>0.97244200000000003</v>
      </c>
      <c r="Y3778">
        <v>-0.42360700000000001</v>
      </c>
      <c r="Z3778">
        <v>7.385137E-3</v>
      </c>
      <c r="AA3778">
        <v>0.90581599999999995</v>
      </c>
      <c r="AB3778">
        <v>22</v>
      </c>
      <c r="AC3778">
        <v>15.9941999999999</v>
      </c>
      <c r="AD3778">
        <v>-0.73747109999999905</v>
      </c>
      <c r="AE3778">
        <v>-32.956400000000002</v>
      </c>
      <c r="AF3778">
        <v>-15.5682555203581</v>
      </c>
      <c r="AG3778">
        <v>-0.73747109999999905</v>
      </c>
      <c r="AH3778">
        <v>33.143341537983801</v>
      </c>
      <c r="AI3778">
        <v>91.153768192788306</v>
      </c>
      <c r="AJ3778">
        <v>115.16061682007999</v>
      </c>
      <c r="AK3778">
        <v>36.625066987978897</v>
      </c>
      <c r="AL3778">
        <v>80.790207255860295</v>
      </c>
      <c r="AM3778">
        <v>99.889256048344294</v>
      </c>
      <c r="AN3778">
        <v>0.99999998518908495</v>
      </c>
    </row>
    <row r="3779" spans="1:40" x14ac:dyDescent="0.25">
      <c r="A3779" t="str">
        <f>"20190304154828020"</f>
        <v>20190304154828020</v>
      </c>
      <c r="B3779" t="str">
        <f>"1551685708010244"</f>
        <v>1551685708010244</v>
      </c>
      <c r="C3779" t="s">
        <v>40</v>
      </c>
      <c r="D3779">
        <v>3.82965</v>
      </c>
      <c r="E3779">
        <v>0.39146890000000001</v>
      </c>
      <c r="F3779" t="s">
        <v>48</v>
      </c>
      <c r="G3779">
        <v>-476.51600000000002</v>
      </c>
      <c r="H3779">
        <v>0.4128018</v>
      </c>
      <c r="I3779">
        <v>206.01130000000001</v>
      </c>
      <c r="J3779">
        <v>-492.65480000000002</v>
      </c>
      <c r="K3779">
        <v>1.1130249999999999</v>
      </c>
      <c r="L3779">
        <v>238.86539999999999</v>
      </c>
      <c r="M3779">
        <v>1.4817540000000001E-2</v>
      </c>
      <c r="N3779">
        <v>-1.275983E-2</v>
      </c>
      <c r="O3779">
        <v>-0.99980880000000005</v>
      </c>
      <c r="P3779">
        <v>0.18386810000000001</v>
      </c>
      <c r="Q3779">
        <v>0.14877389999999999</v>
      </c>
      <c r="R3779">
        <v>-0.97162709999999997</v>
      </c>
      <c r="S3779">
        <v>1.389008</v>
      </c>
      <c r="T3779">
        <v>-6.0249919999999998E-2</v>
      </c>
      <c r="U3779">
        <v>-2.836487</v>
      </c>
      <c r="V3779">
        <v>-0.17040060000000001</v>
      </c>
      <c r="W3779">
        <v>0.16018729999999901</v>
      </c>
      <c r="X3779">
        <v>0.97226729999999995</v>
      </c>
      <c r="Y3779">
        <v>-0.42634490000000003</v>
      </c>
      <c r="Z3779">
        <v>6.419264E-3</v>
      </c>
      <c r="AA3779">
        <v>0.90453790000000001</v>
      </c>
      <c r="AB3779">
        <v>22</v>
      </c>
      <c r="AC3779">
        <v>16.1388</v>
      </c>
      <c r="AD3779">
        <v>-0.70022319999999905</v>
      </c>
      <c r="AE3779">
        <v>-32.854099999999903</v>
      </c>
      <c r="AF3779">
        <v>-15.644446318999799</v>
      </c>
      <c r="AG3779">
        <v>-0.70022319999999905</v>
      </c>
      <c r="AH3779">
        <v>33.077544718164198</v>
      </c>
      <c r="AI3779">
        <v>91.096317847889296</v>
      </c>
      <c r="AJ3779">
        <v>115.31240486898101</v>
      </c>
      <c r="AK3779">
        <v>36.597308340095701</v>
      </c>
      <c r="AL3779">
        <v>80.782232231425795</v>
      </c>
      <c r="AM3779">
        <v>99.940758170528994</v>
      </c>
      <c r="AN3779">
        <v>1.0000000191054601</v>
      </c>
    </row>
    <row r="3780" spans="1:40" x14ac:dyDescent="0.25">
      <c r="A3780" t="str">
        <f>"20190304154828030"</f>
        <v>20190304154828030</v>
      </c>
      <c r="B3780" t="str">
        <f>"1551685708020005"</f>
        <v>1551685708020005</v>
      </c>
      <c r="C3780" t="s">
        <v>40</v>
      </c>
      <c r="D3780">
        <v>3.834743</v>
      </c>
      <c r="E3780">
        <v>0.39116899999999999</v>
      </c>
      <c r="F3780" t="s">
        <v>48</v>
      </c>
      <c r="G3780">
        <v>-476.43799999999999</v>
      </c>
      <c r="H3780">
        <v>0.42107810000000001</v>
      </c>
      <c r="I3780">
        <v>206.0094</v>
      </c>
      <c r="J3780">
        <v>-492.6508</v>
      </c>
      <c r="K3780">
        <v>1.113043</v>
      </c>
      <c r="L3780">
        <v>238.75229999999999</v>
      </c>
      <c r="M3780">
        <v>1.700132E-2</v>
      </c>
      <c r="N3780">
        <v>-1.275716E-2</v>
      </c>
      <c r="O3780">
        <v>-0.99977419999999995</v>
      </c>
      <c r="P3780">
        <v>0.1866526</v>
      </c>
      <c r="Q3780">
        <v>0.14879679999999901</v>
      </c>
      <c r="R3780">
        <v>-0.97109259999999997</v>
      </c>
      <c r="S3780">
        <v>1.397888</v>
      </c>
      <c r="T3780">
        <v>-5.9645530000000002E-2</v>
      </c>
      <c r="U3780">
        <v>-2.8321689999999999</v>
      </c>
      <c r="V3780">
        <v>-0.171074</v>
      </c>
      <c r="W3780">
        <v>0.16019340000000001</v>
      </c>
      <c r="X3780">
        <v>0.97214800000000001</v>
      </c>
      <c r="Y3780">
        <v>-0.42719800000000002</v>
      </c>
      <c r="Z3780">
        <v>6.2452860000000001E-3</v>
      </c>
      <c r="AA3780">
        <v>0.90413650000000001</v>
      </c>
      <c r="AB3780">
        <v>22</v>
      </c>
      <c r="AC3780">
        <v>16.212799999999898</v>
      </c>
      <c r="AD3780">
        <v>-0.69196489999999999</v>
      </c>
      <c r="AE3780">
        <v>-32.742899999999899</v>
      </c>
      <c r="AF3780">
        <v>-15.648125971696301</v>
      </c>
      <c r="AG3780">
        <v>-0.69196489999999999</v>
      </c>
      <c r="AH3780">
        <v>33.001991181606201</v>
      </c>
      <c r="AI3780">
        <v>91.085369467675605</v>
      </c>
      <c r="AJ3780">
        <v>115.36829768072199</v>
      </c>
      <c r="AK3780">
        <v>36.530454196460902</v>
      </c>
      <c r="AL3780">
        <v>80.781877850492904</v>
      </c>
      <c r="AM3780">
        <v>99.980454541662496</v>
      </c>
      <c r="AN3780">
        <v>0.99999998639177901</v>
      </c>
    </row>
    <row r="3781" spans="1:40" x14ac:dyDescent="0.25">
      <c r="A3781" t="str">
        <f>"20190304154828044"</f>
        <v>20190304154828044</v>
      </c>
      <c r="B3781" t="str">
        <f>"1551685708040500"</f>
        <v>1551685708040500</v>
      </c>
      <c r="C3781" t="s">
        <v>40</v>
      </c>
      <c r="D3781">
        <v>3.8902510000000001</v>
      </c>
      <c r="E3781">
        <v>0.39144129999999999</v>
      </c>
      <c r="F3781" t="s">
        <v>48</v>
      </c>
      <c r="G3781">
        <v>-476.33940000000001</v>
      </c>
      <c r="H3781">
        <v>0.43819789999999997</v>
      </c>
      <c r="I3781">
        <v>206.00559999999999</v>
      </c>
      <c r="J3781">
        <v>-492.64620000000002</v>
      </c>
      <c r="K3781">
        <v>1.1130629999999999</v>
      </c>
      <c r="L3781">
        <v>238.63630000000001</v>
      </c>
      <c r="M3781">
        <v>1.9279190000000002E-2</v>
      </c>
      <c r="N3781">
        <v>-1.2754619999999999E-2</v>
      </c>
      <c r="O3781">
        <v>-0.99973270000000003</v>
      </c>
      <c r="P3781">
        <v>0.18949530000000001</v>
      </c>
      <c r="Q3781">
        <v>0.1488275</v>
      </c>
      <c r="R3781">
        <v>-0.97053699999999998</v>
      </c>
      <c r="S3781">
        <v>1.408417</v>
      </c>
      <c r="T3781">
        <v>-5.826986E-2</v>
      </c>
      <c r="U3781">
        <v>-2.8275299999999999</v>
      </c>
      <c r="V3781">
        <v>-0.17171510000000001</v>
      </c>
      <c r="W3781">
        <v>0.1602075</v>
      </c>
      <c r="X3781">
        <v>0.97203269999999997</v>
      </c>
      <c r="Y3781">
        <v>-0.42842940000000002</v>
      </c>
      <c r="Z3781">
        <v>5.8238819999999998E-3</v>
      </c>
      <c r="AA3781">
        <v>0.90355649999999998</v>
      </c>
      <c r="AB3781">
        <v>22</v>
      </c>
      <c r="AC3781">
        <v>16.306799999999999</v>
      </c>
      <c r="AD3781">
        <v>-0.674865099999999</v>
      </c>
      <c r="AE3781">
        <v>-32.630699999999997</v>
      </c>
      <c r="AF3781">
        <v>-15.669260982301701</v>
      </c>
      <c r="AG3781">
        <v>-0.674865099999999</v>
      </c>
      <c r="AH3781">
        <v>32.927771722741099</v>
      </c>
      <c r="AI3781">
        <v>91.060236520715605</v>
      </c>
      <c r="AJ3781">
        <v>115.448265034331</v>
      </c>
      <c r="AK3781">
        <v>36.472172039236</v>
      </c>
      <c r="AL3781">
        <v>80.781059947429796</v>
      </c>
      <c r="AM3781">
        <v>100.0182643051</v>
      </c>
      <c r="AN3781">
        <v>1.00000004424677</v>
      </c>
    </row>
    <row r="3782" spans="1:40" x14ac:dyDescent="0.25">
      <c r="A3782" t="str">
        <f>"20190304154828060"</f>
        <v>20190304154828060</v>
      </c>
      <c r="B3782" t="str">
        <f>"1551685708050260"</f>
        <v>1551685708050260</v>
      </c>
      <c r="C3782" t="s">
        <v>40</v>
      </c>
      <c r="D3782">
        <v>3.9032520000000002</v>
      </c>
      <c r="E3782">
        <v>0.3919031</v>
      </c>
      <c r="F3782" t="s">
        <v>48</v>
      </c>
      <c r="G3782">
        <v>-476.3082</v>
      </c>
      <c r="H3782">
        <v>0.4244983</v>
      </c>
      <c r="I3782">
        <v>206.0087</v>
      </c>
      <c r="J3782">
        <v>-492.63929999999999</v>
      </c>
      <c r="K3782">
        <v>1.113092</v>
      </c>
      <c r="L3782">
        <v>238.46960000000001</v>
      </c>
      <c r="M3782">
        <v>2.2584549999999998E-2</v>
      </c>
      <c r="N3782">
        <v>-1.275107E-2</v>
      </c>
      <c r="O3782">
        <v>-0.99966370000000004</v>
      </c>
      <c r="P3782">
        <v>0.19371759999999999</v>
      </c>
      <c r="Q3782">
        <v>0.14877290000000001</v>
      </c>
      <c r="R3782">
        <v>-0.96971169999999995</v>
      </c>
      <c r="S3782">
        <v>1.4141539999999999</v>
      </c>
      <c r="T3782">
        <v>-5.9599279999999998E-2</v>
      </c>
      <c r="U3782">
        <v>-2.824112</v>
      </c>
      <c r="V3782">
        <v>-0.172744799999999</v>
      </c>
      <c r="W3782">
        <v>0.16012850000000001</v>
      </c>
      <c r="X3782">
        <v>0.97186320000000004</v>
      </c>
      <c r="Y3782">
        <v>-0.42734480000000002</v>
      </c>
      <c r="Z3782">
        <v>6.2754819999999998E-3</v>
      </c>
      <c r="AA3782">
        <v>0.90406699999999995</v>
      </c>
      <c r="AB3782">
        <v>22</v>
      </c>
      <c r="AC3782">
        <v>16.3310999999999</v>
      </c>
      <c r="AD3782">
        <v>-0.68859369999999998</v>
      </c>
      <c r="AE3782">
        <v>-32.460900000000002</v>
      </c>
      <c r="AF3782">
        <v>-15.5881617790827</v>
      </c>
      <c r="AG3782">
        <v>-0.68859369999999998</v>
      </c>
      <c r="AH3782">
        <v>32.809697596466798</v>
      </c>
      <c r="AI3782">
        <v>91.086011413092507</v>
      </c>
      <c r="AJ3782">
        <v>115.412783763356</v>
      </c>
      <c r="AK3782">
        <v>36.330995104815599</v>
      </c>
      <c r="AL3782">
        <v>80.785645019413707</v>
      </c>
      <c r="AM3782">
        <v>100.078833235261</v>
      </c>
      <c r="AN3782">
        <v>0.99999999097676495</v>
      </c>
    </row>
    <row r="3783" spans="1:40" x14ac:dyDescent="0.25">
      <c r="A3783" t="str">
        <f>"20190304154828073"</f>
        <v>20190304154828073</v>
      </c>
      <c r="B3783" t="str">
        <f>"1551685708070757"</f>
        <v>1551685708070757</v>
      </c>
      <c r="C3783" t="s">
        <v>40</v>
      </c>
      <c r="D3783">
        <v>3.9255879999999999</v>
      </c>
      <c r="E3783">
        <v>0.3926212</v>
      </c>
      <c r="F3783" t="s">
        <v>48</v>
      </c>
      <c r="G3783">
        <v>-476.26440000000002</v>
      </c>
      <c r="H3783">
        <v>0.39369539999999997</v>
      </c>
      <c r="I3783">
        <v>206.0155</v>
      </c>
      <c r="J3783">
        <v>-492.63409999999999</v>
      </c>
      <c r="K3783">
        <v>1.1131120000000001</v>
      </c>
      <c r="L3783">
        <v>238.3527</v>
      </c>
      <c r="M3783">
        <v>2.4925360000000001E-2</v>
      </c>
      <c r="N3783">
        <v>-1.274867E-2</v>
      </c>
      <c r="O3783">
        <v>-0.99960830000000001</v>
      </c>
      <c r="P3783">
        <v>0.19690559999999999</v>
      </c>
      <c r="Q3783">
        <v>0.14865120000000001</v>
      </c>
      <c r="R3783">
        <v>-0.96908799999999995</v>
      </c>
      <c r="S3783">
        <v>1.4224239999999999</v>
      </c>
      <c r="T3783">
        <v>-6.2491419999999999E-2</v>
      </c>
      <c r="U3783">
        <v>-2.8191679999999999</v>
      </c>
      <c r="V3783">
        <v>-0.1736742</v>
      </c>
      <c r="W3783">
        <v>0.1599882</v>
      </c>
      <c r="X3783">
        <v>0.97172060000000005</v>
      </c>
      <c r="Y3783">
        <v>-0.4279733</v>
      </c>
      <c r="Z3783">
        <v>7.2190700000000002E-3</v>
      </c>
      <c r="AA3783">
        <v>0.90376259999999997</v>
      </c>
      <c r="AB3783">
        <v>22</v>
      </c>
      <c r="AC3783">
        <v>16.369699999999899</v>
      </c>
      <c r="AD3783">
        <v>-0.71941659999999996</v>
      </c>
      <c r="AE3783">
        <v>-32.337200000000003</v>
      </c>
      <c r="AF3783">
        <v>-15.552404337281899</v>
      </c>
      <c r="AG3783">
        <v>-0.71941659999999996</v>
      </c>
      <c r="AH3783">
        <v>32.722313368395902</v>
      </c>
      <c r="AI3783">
        <v>91.1375626867421</v>
      </c>
      <c r="AJ3783">
        <v>115.421010780459</v>
      </c>
      <c r="AK3783">
        <v>36.237337555264197</v>
      </c>
      <c r="AL3783">
        <v>80.793788117798201</v>
      </c>
      <c r="AM3783">
        <v>100.13339482674201</v>
      </c>
      <c r="AN3783">
        <v>0.99999993817461796</v>
      </c>
    </row>
    <row r="3784" spans="1:40" x14ac:dyDescent="0.25">
      <c r="A3784" t="str">
        <f>"20190304154828085"</f>
        <v>20190304154828085</v>
      </c>
      <c r="B3784" t="str">
        <f>"1551685708080516"</f>
        <v>1551685708080516</v>
      </c>
      <c r="C3784" t="s">
        <v>40</v>
      </c>
      <c r="D3784">
        <v>3.9061710000000001</v>
      </c>
      <c r="E3784">
        <v>0.3929145</v>
      </c>
      <c r="F3784" t="s">
        <v>48</v>
      </c>
      <c r="G3784">
        <v>-476.26859999999999</v>
      </c>
      <c r="H3784">
        <v>0.3472847</v>
      </c>
      <c r="I3784">
        <v>206.02590000000001</v>
      </c>
      <c r="J3784">
        <v>-492.62830000000002</v>
      </c>
      <c r="K3784">
        <v>1.113132</v>
      </c>
      <c r="L3784">
        <v>238.23099999999999</v>
      </c>
      <c r="M3784">
        <v>2.7393319999999999E-2</v>
      </c>
      <c r="N3784">
        <v>-1.2746469999999999E-2</v>
      </c>
      <c r="O3784">
        <v>-0.99954370000000003</v>
      </c>
      <c r="P3784">
        <v>0.1997226</v>
      </c>
      <c r="Q3784">
        <v>0.1485908</v>
      </c>
      <c r="R3784">
        <v>-0.96852050000000001</v>
      </c>
      <c r="S3784">
        <v>1.4257200000000001</v>
      </c>
      <c r="T3784">
        <v>-6.6716910000000004E-2</v>
      </c>
      <c r="U3784">
        <v>-2.8162229999999999</v>
      </c>
      <c r="V3784">
        <v>-0.1741096</v>
      </c>
      <c r="W3784">
        <v>0.15991240000000001</v>
      </c>
      <c r="X3784">
        <v>0.97165520000000005</v>
      </c>
      <c r="Y3784">
        <v>-0.4269559</v>
      </c>
      <c r="Z3784">
        <v>8.5913050000000005E-3</v>
      </c>
      <c r="AA3784">
        <v>0.90423169999999997</v>
      </c>
      <c r="AB3784">
        <v>22</v>
      </c>
      <c r="AC3784">
        <v>16.3597</v>
      </c>
      <c r="AD3784">
        <v>-0.76584730000000001</v>
      </c>
      <c r="AE3784">
        <v>-32.205099999999902</v>
      </c>
      <c r="AF3784">
        <v>-15.4643323216246</v>
      </c>
      <c r="AG3784">
        <v>-0.76584730000000001</v>
      </c>
      <c r="AH3784">
        <v>32.626529423742099</v>
      </c>
      <c r="AI3784">
        <v>91.215126598004503</v>
      </c>
      <c r="AJ3784">
        <v>115.36003028878901</v>
      </c>
      <c r="AK3784">
        <v>36.114021078784198</v>
      </c>
      <c r="AL3784">
        <v>80.798188154007804</v>
      </c>
      <c r="AM3784">
        <v>100.158940277318</v>
      </c>
      <c r="AN3784">
        <v>0.999999978086479</v>
      </c>
    </row>
    <row r="3785" spans="1:40" x14ac:dyDescent="0.25">
      <c r="A3785" t="str">
        <f>"20190304154828100"</f>
        <v>20190304154828100</v>
      </c>
      <c r="B3785" t="str">
        <f>"1551685708090276"</f>
        <v>1551685708090276</v>
      </c>
      <c r="C3785" t="s">
        <v>40</v>
      </c>
      <c r="D3785">
        <v>3.9227690000000002</v>
      </c>
      <c r="E3785">
        <v>0.3929145</v>
      </c>
      <c r="F3785" t="s">
        <v>48</v>
      </c>
      <c r="G3785">
        <v>-476.24200000000002</v>
      </c>
      <c r="H3785">
        <v>0.32673839999999998</v>
      </c>
      <c r="I3785">
        <v>206.03049999999999</v>
      </c>
      <c r="J3785">
        <v>-492.62169999999998</v>
      </c>
      <c r="K3785">
        <v>1.113159</v>
      </c>
      <c r="L3785">
        <v>238.10069999999999</v>
      </c>
      <c r="M3785">
        <v>3.0057830000000001E-2</v>
      </c>
      <c r="N3785">
        <v>-1.274435E-2</v>
      </c>
      <c r="O3785">
        <v>-0.99946699999999999</v>
      </c>
      <c r="P3785">
        <v>0.20274980000000001</v>
      </c>
      <c r="Q3785">
        <v>0.14857390000000001</v>
      </c>
      <c r="R3785">
        <v>-0.96789400000000003</v>
      </c>
      <c r="S3785">
        <v>1.431427</v>
      </c>
      <c r="T3785">
        <v>-6.8695660000000006E-2</v>
      </c>
      <c r="U3785">
        <v>-2.812881</v>
      </c>
      <c r="V3785">
        <v>-0.1745669</v>
      </c>
      <c r="W3785">
        <v>0.15987989999999999</v>
      </c>
      <c r="X3785">
        <v>0.97157850000000001</v>
      </c>
      <c r="Y3785">
        <v>-0.42643229999999999</v>
      </c>
      <c r="Z3785">
        <v>9.2459529999999995E-3</v>
      </c>
      <c r="AA3785">
        <v>0.90447219999999995</v>
      </c>
      <c r="AB3785">
        <v>22</v>
      </c>
      <c r="AC3785">
        <v>16.3797</v>
      </c>
      <c r="AD3785">
        <v>-0.78642060000000003</v>
      </c>
      <c r="AE3785">
        <v>-32.0702</v>
      </c>
      <c r="AF3785">
        <v>-15.4009140910638</v>
      </c>
      <c r="AG3785">
        <v>-0.78642060000000003</v>
      </c>
      <c r="AH3785">
        <v>32.532570062301602</v>
      </c>
      <c r="AI3785">
        <v>91.251642442893299</v>
      </c>
      <c r="AJ3785">
        <v>115.33286801526999</v>
      </c>
      <c r="AK3785">
        <v>36.002426682919499</v>
      </c>
      <c r="AL3785">
        <v>80.800074586058898</v>
      </c>
      <c r="AM3785">
        <v>100.18585215671899</v>
      </c>
      <c r="AN3785">
        <v>0.99999998333093398</v>
      </c>
    </row>
    <row r="3786" spans="1:40" x14ac:dyDescent="0.25">
      <c r="A3786" t="str">
        <f>"20190304154828118"</f>
        <v>20190304154828118</v>
      </c>
      <c r="B3786" t="str">
        <f>"1551685708110773"</f>
        <v>1551685708110773</v>
      </c>
      <c r="C3786" t="s">
        <v>40</v>
      </c>
      <c r="D3786">
        <v>3.8818600000000001</v>
      </c>
      <c r="E3786">
        <v>0.39697450000000001</v>
      </c>
      <c r="F3786" t="s">
        <v>48</v>
      </c>
      <c r="G3786">
        <v>-476.17599999999999</v>
      </c>
      <c r="H3786">
        <v>0.32480249999999999</v>
      </c>
      <c r="I3786">
        <v>206.03100000000001</v>
      </c>
      <c r="J3786">
        <v>-492.61250000000001</v>
      </c>
      <c r="K3786">
        <v>1.1131930000000001</v>
      </c>
      <c r="L3786">
        <v>237.93</v>
      </c>
      <c r="M3786">
        <v>3.3586730000000002E-2</v>
      </c>
      <c r="N3786">
        <v>-1.2742079999999999E-2</v>
      </c>
      <c r="O3786">
        <v>-0.99935469999999904</v>
      </c>
      <c r="P3786">
        <v>0.20727309999999999</v>
      </c>
      <c r="Q3786">
        <v>0.1484135</v>
      </c>
      <c r="R3786">
        <v>-0.96696009999999999</v>
      </c>
      <c r="S3786">
        <v>1.440186</v>
      </c>
      <c r="T3786">
        <v>-6.903803E-2</v>
      </c>
      <c r="U3786">
        <v>-2.808411</v>
      </c>
      <c r="V3786">
        <v>-0.1756914</v>
      </c>
      <c r="W3786">
        <v>0.159695</v>
      </c>
      <c r="X3786">
        <v>0.9714062</v>
      </c>
      <c r="Y3786">
        <v>-0.42605579999999998</v>
      </c>
      <c r="Z3786">
        <v>9.3833670000000001E-3</v>
      </c>
      <c r="AA3786">
        <v>0.90464820000000001</v>
      </c>
      <c r="AB3786">
        <v>22</v>
      </c>
      <c r="AC3786">
        <v>16.436499999999999</v>
      </c>
      <c r="AD3786">
        <v>-0.78839049999999999</v>
      </c>
      <c r="AE3786">
        <v>-31.899000000000001</v>
      </c>
      <c r="AF3786">
        <v>-15.3483467147709</v>
      </c>
      <c r="AG3786">
        <v>-0.78839049999999999</v>
      </c>
      <c r="AH3786">
        <v>32.417445406621397</v>
      </c>
      <c r="AI3786">
        <v>91.2592023279161</v>
      </c>
      <c r="AJ3786">
        <v>115.335658377971</v>
      </c>
      <c r="AK3786">
        <v>35.875953968481298</v>
      </c>
      <c r="AL3786">
        <v>80.810806464103393</v>
      </c>
      <c r="AM3786">
        <v>100.251858723007</v>
      </c>
      <c r="AN3786">
        <v>0.99999998322869899</v>
      </c>
    </row>
    <row r="3787" spans="1:40" x14ac:dyDescent="0.25">
      <c r="A3787" t="str">
        <f>"20190304154828134"</f>
        <v>20190304154828134</v>
      </c>
      <c r="B3787" t="str">
        <f>"1551685708130292"</f>
        <v>1551685708130292</v>
      </c>
      <c r="C3787" t="s">
        <v>40</v>
      </c>
      <c r="D3787">
        <v>4.009468</v>
      </c>
      <c r="E3787">
        <v>0.39693840000000002</v>
      </c>
      <c r="F3787" t="s">
        <v>48</v>
      </c>
      <c r="G3787">
        <v>-476.61239999999998</v>
      </c>
      <c r="H3787">
        <v>0.1044216</v>
      </c>
      <c r="I3787">
        <v>206.27760000000001</v>
      </c>
      <c r="J3787">
        <v>-492.60390000000001</v>
      </c>
      <c r="K3787">
        <v>1.113221</v>
      </c>
      <c r="L3787">
        <v>237.7765</v>
      </c>
      <c r="M3787">
        <v>3.680079E-2</v>
      </c>
      <c r="N3787">
        <v>-1.274056E-2</v>
      </c>
      <c r="O3787">
        <v>-0.99924139999999995</v>
      </c>
      <c r="P3787">
        <v>0.2107822</v>
      </c>
      <c r="Q3787">
        <v>0.1484743</v>
      </c>
      <c r="R3787">
        <v>-0.96619169999999999</v>
      </c>
      <c r="S3787">
        <v>1.421265</v>
      </c>
      <c r="T3787">
        <v>-8.9607359999999997E-2</v>
      </c>
      <c r="U3787">
        <v>-2.8116300000000001</v>
      </c>
      <c r="V3787">
        <v>-0.17610609999999999</v>
      </c>
      <c r="W3787">
        <v>0.159738299999999</v>
      </c>
      <c r="X3787">
        <v>0.97132399999999997</v>
      </c>
      <c r="Y3787">
        <v>-0.41782010000000003</v>
      </c>
      <c r="Z3787">
        <v>1.6015250000000002E-2</v>
      </c>
      <c r="AA3787">
        <v>0.90838859999999999</v>
      </c>
      <c r="AB3787">
        <v>22</v>
      </c>
      <c r="AC3787">
        <v>15.9915</v>
      </c>
      <c r="AD3787">
        <v>-1.0087994</v>
      </c>
      <c r="AE3787">
        <v>-31.4988999999999</v>
      </c>
      <c r="AF3787">
        <v>-14.809310372660301</v>
      </c>
      <c r="AG3787">
        <v>-1.0087994</v>
      </c>
      <c r="AH3787">
        <v>32.0399786882572</v>
      </c>
      <c r="AI3787">
        <v>91.637087326724497</v>
      </c>
      <c r="AJ3787">
        <v>114.807016733289</v>
      </c>
      <c r="AK3787">
        <v>35.311380379237498</v>
      </c>
      <c r="AL3787">
        <v>80.808293431585199</v>
      </c>
      <c r="AM3787">
        <v>100.276393195235</v>
      </c>
      <c r="AN3787">
        <v>0.99999999796004901</v>
      </c>
    </row>
    <row r="3788" spans="1:40" x14ac:dyDescent="0.25">
      <c r="A3788" t="str">
        <f>"20190304154828151"</f>
        <v>20190304154828151</v>
      </c>
      <c r="B3788" t="str">
        <f>"1551685708140053"</f>
        <v>1551685708140053</v>
      </c>
      <c r="C3788" t="s">
        <v>40</v>
      </c>
      <c r="D3788">
        <v>4.0574519999999996</v>
      </c>
      <c r="E3788">
        <v>0.40158630000000001</v>
      </c>
      <c r="F3788" t="s">
        <v>48</v>
      </c>
      <c r="G3788">
        <v>-476.5324</v>
      </c>
      <c r="H3788">
        <v>0.11408459999999999</v>
      </c>
      <c r="I3788">
        <v>206.27760000000001</v>
      </c>
      <c r="J3788">
        <v>-492.59359999999998</v>
      </c>
      <c r="K3788">
        <v>1.1132550000000001</v>
      </c>
      <c r="L3788">
        <v>237.60720000000001</v>
      </c>
      <c r="M3788">
        <v>4.0390410000000002E-2</v>
      </c>
      <c r="N3788">
        <v>-1.273941E-2</v>
      </c>
      <c r="O3788">
        <v>-0.99910299999999996</v>
      </c>
      <c r="P3788">
        <v>0.215089</v>
      </c>
      <c r="Q3788">
        <v>0.14897959999999999</v>
      </c>
      <c r="R3788">
        <v>-0.96516429999999998</v>
      </c>
      <c r="S3788">
        <v>1.431824</v>
      </c>
      <c r="T3788">
        <v>-8.9014289999999996E-2</v>
      </c>
      <c r="U3788">
        <v>-2.8062740000000002</v>
      </c>
      <c r="V3788">
        <v>-0.17696919999999999</v>
      </c>
      <c r="W3788">
        <v>0.16022069999999999</v>
      </c>
      <c r="X3788">
        <v>0.97108760000000005</v>
      </c>
      <c r="Y3788">
        <v>-0.4179718</v>
      </c>
      <c r="Z3788">
        <v>1.5857070000000001E-2</v>
      </c>
      <c r="AA3788">
        <v>0.90832159999999995</v>
      </c>
      <c r="AB3788">
        <v>22</v>
      </c>
      <c r="AC3788">
        <v>16.0611999999999</v>
      </c>
      <c r="AD3788">
        <v>-0.99917040000000001</v>
      </c>
      <c r="AE3788">
        <v>-31.329599999999999</v>
      </c>
      <c r="AF3788">
        <v>-14.7706769282137</v>
      </c>
      <c r="AG3788">
        <v>-0.99917040000000001</v>
      </c>
      <c r="AH3788">
        <v>31.927085858489601</v>
      </c>
      <c r="AI3788">
        <v>91.626937195155193</v>
      </c>
      <c r="AJ3788">
        <v>114.827045332125</v>
      </c>
      <c r="AK3788">
        <v>35.192471493506503</v>
      </c>
      <c r="AL3788">
        <v>80.780292856681996</v>
      </c>
      <c r="AM3788">
        <v>100.328136712983</v>
      </c>
      <c r="AN3788">
        <v>0.99999994866544295</v>
      </c>
    </row>
    <row r="3789" spans="1:40" x14ac:dyDescent="0.25">
      <c r="A3789" t="str">
        <f>"20190304154828167"</f>
        <v>20190304154828167</v>
      </c>
      <c r="B3789" t="str">
        <f>"1551685708160548"</f>
        <v>1551685708160548</v>
      </c>
      <c r="C3789" t="s">
        <v>40</v>
      </c>
      <c r="D3789">
        <v>4.0149470000000003</v>
      </c>
      <c r="E3789">
        <v>0.4013137</v>
      </c>
      <c r="F3789" t="s">
        <v>54</v>
      </c>
      <c r="G3789">
        <v>-478.3304</v>
      </c>
      <c r="H3789">
        <v>2.831914E-2</v>
      </c>
      <c r="I3789">
        <v>209.14109999999999</v>
      </c>
      <c r="J3789">
        <v>-492.584</v>
      </c>
      <c r="K3789">
        <v>1.1132820000000001</v>
      </c>
      <c r="L3789">
        <v>237.459</v>
      </c>
      <c r="M3789">
        <v>4.3582160000000002E-2</v>
      </c>
      <c r="N3789">
        <v>-1.273907E-2</v>
      </c>
      <c r="O3789">
        <v>-0.99896859999999998</v>
      </c>
      <c r="P3789">
        <v>0.2182964</v>
      </c>
      <c r="Q3789">
        <v>0.14954919999999999</v>
      </c>
      <c r="R3789">
        <v>-0.96435559999999998</v>
      </c>
      <c r="S3789">
        <v>1.408447</v>
      </c>
      <c r="T3789">
        <v>-0.1071336</v>
      </c>
      <c r="U3789">
        <v>-2.8109280000000001</v>
      </c>
      <c r="V3789">
        <v>-0.177113299999999</v>
      </c>
      <c r="W3789">
        <v>0.1607751</v>
      </c>
      <c r="X3789">
        <v>0.97096970000000005</v>
      </c>
      <c r="Y3789">
        <v>-0.40835890000000002</v>
      </c>
      <c r="Z3789">
        <v>2.1736689999999999E-2</v>
      </c>
      <c r="AA3789">
        <v>0.9125626</v>
      </c>
      <c r="AB3789">
        <v>21</v>
      </c>
      <c r="AC3789">
        <v>14.2536</v>
      </c>
      <c r="AD3789">
        <v>-1.0849628600000001</v>
      </c>
      <c r="AE3789">
        <v>-28.317900000000002</v>
      </c>
      <c r="AF3789">
        <v>-12.990584579594501</v>
      </c>
      <c r="AG3789">
        <v>-1.0849628600000001</v>
      </c>
      <c r="AH3789">
        <v>28.878419735657701</v>
      </c>
      <c r="AI3789">
        <v>91.962357584806199</v>
      </c>
      <c r="AJ3789">
        <v>114.219983101672</v>
      </c>
      <c r="AK3789">
        <v>31.684310921274601</v>
      </c>
      <c r="AL3789">
        <v>80.748110942092893</v>
      </c>
      <c r="AM3789">
        <v>100.337593383723</v>
      </c>
      <c r="AN3789">
        <v>0.99999995606749403</v>
      </c>
    </row>
    <row r="3790" spans="1:40" x14ac:dyDescent="0.25">
      <c r="A3790" t="str">
        <f>"20190304154828186"</f>
        <v>20190304154828186</v>
      </c>
      <c r="B3790" t="str">
        <f>"1551685708180068"</f>
        <v>1551685708180068</v>
      </c>
      <c r="C3790" t="s">
        <v>40</v>
      </c>
      <c r="D3790">
        <v>3.9262700000000001</v>
      </c>
      <c r="E3790">
        <v>0.40136749999999999</v>
      </c>
      <c r="F3790" t="s">
        <v>54</v>
      </c>
      <c r="G3790">
        <v>-478.25450000000001</v>
      </c>
      <c r="H3790">
        <v>6.5817790000000001E-2</v>
      </c>
      <c r="I3790">
        <v>209.1651</v>
      </c>
      <c r="J3790">
        <v>-492.57159999999999</v>
      </c>
      <c r="K3790">
        <v>1.113316</v>
      </c>
      <c r="L3790">
        <v>237.2791</v>
      </c>
      <c r="M3790">
        <v>4.7503400000000001E-2</v>
      </c>
      <c r="N3790">
        <v>-1.273558E-2</v>
      </c>
      <c r="O3790">
        <v>-0.99878999999999996</v>
      </c>
      <c r="P3790">
        <v>0.22286520000000001</v>
      </c>
      <c r="Q3790">
        <v>0.14957599999999999</v>
      </c>
      <c r="R3790">
        <v>-0.96330579999999999</v>
      </c>
      <c r="S3790">
        <v>1.420776</v>
      </c>
      <c r="T3790">
        <v>-0.1038567</v>
      </c>
      <c r="U3790">
        <v>-2.8053590000000002</v>
      </c>
      <c r="V3790">
        <v>-0.17791969999999999</v>
      </c>
      <c r="W3790">
        <v>0.16077659999999999</v>
      </c>
      <c r="X3790">
        <v>0.97082199999999996</v>
      </c>
      <c r="Y3790">
        <v>-0.40871089999999999</v>
      </c>
      <c r="Z3790">
        <v>2.071959E-2</v>
      </c>
      <c r="AA3790">
        <v>0.91242869999999998</v>
      </c>
      <c r="AB3790">
        <v>21</v>
      </c>
      <c r="AC3790">
        <v>14.3170999999999</v>
      </c>
      <c r="AD3790">
        <v>-1.0474982100000001</v>
      </c>
      <c r="AE3790">
        <v>-28.114000000000001</v>
      </c>
      <c r="AF3790">
        <v>-12.951039143944801</v>
      </c>
      <c r="AG3790">
        <v>-1.0474982100000001</v>
      </c>
      <c r="AH3790">
        <v>28.7307509794447</v>
      </c>
      <c r="AI3790">
        <v>91.903710419989693</v>
      </c>
      <c r="AJ3790">
        <v>114.264553252968</v>
      </c>
      <c r="AK3790">
        <v>31.532248877154501</v>
      </c>
      <c r="AL3790">
        <v>80.748023764393494</v>
      </c>
      <c r="AM3790">
        <v>100.3851844257</v>
      </c>
      <c r="AN3790">
        <v>0.99999994521982305</v>
      </c>
    </row>
    <row r="3791" spans="1:40" x14ac:dyDescent="0.25">
      <c r="A3791" t="str">
        <f>"20190304154828200"</f>
        <v>20190304154828200</v>
      </c>
      <c r="B3791" t="str">
        <f>"1551685708190804"</f>
        <v>1551685708190804</v>
      </c>
      <c r="C3791" t="s">
        <v>40</v>
      </c>
      <c r="D3791">
        <v>3.9500259999999998</v>
      </c>
      <c r="E3791">
        <v>0.4012232</v>
      </c>
      <c r="F3791" t="s">
        <v>54</v>
      </c>
      <c r="G3791">
        <v>-478.18990000000002</v>
      </c>
      <c r="H3791">
        <v>6.992603E-2</v>
      </c>
      <c r="I3791">
        <v>209.1962</v>
      </c>
      <c r="J3791">
        <v>-492.56209999999999</v>
      </c>
      <c r="K3791">
        <v>1.1133489999999999</v>
      </c>
      <c r="L3791">
        <v>237.14789999999999</v>
      </c>
      <c r="M3791">
        <v>5.040708E-2</v>
      </c>
      <c r="N3791">
        <v>-1.272886E-2</v>
      </c>
      <c r="O3791">
        <v>-0.99864779999999997</v>
      </c>
      <c r="P3791">
        <v>0.2262082</v>
      </c>
      <c r="Q3791">
        <v>0.14952599999999999</v>
      </c>
      <c r="R3791">
        <v>-0.96253409999999995</v>
      </c>
      <c r="S3791">
        <v>1.433319</v>
      </c>
      <c r="T3791">
        <v>-0.1039873</v>
      </c>
      <c r="U3791">
        <v>-2.7988279999999999</v>
      </c>
      <c r="V3791">
        <v>-0.17847969999999999</v>
      </c>
      <c r="W3791">
        <v>0.1607027</v>
      </c>
      <c r="X3791">
        <v>0.97073149999999997</v>
      </c>
      <c r="Y3791">
        <v>-0.410159</v>
      </c>
      <c r="Z3791">
        <v>2.07969E-2</v>
      </c>
      <c r="AA3791">
        <v>0.9117769</v>
      </c>
      <c r="AB3791">
        <v>21</v>
      </c>
      <c r="AC3791">
        <v>14.3721999999999</v>
      </c>
      <c r="AD3791">
        <v>-1.0434229699999999</v>
      </c>
      <c r="AE3791">
        <v>-27.951699999999899</v>
      </c>
      <c r="AF3791">
        <v>-12.930597962977499</v>
      </c>
      <c r="AG3791">
        <v>-1.0434229699999999</v>
      </c>
      <c r="AH3791">
        <v>28.609149471742601</v>
      </c>
      <c r="AI3791">
        <v>91.903506630765193</v>
      </c>
      <c r="AJ3791">
        <v>114.321741789604</v>
      </c>
      <c r="AK3791">
        <v>31.4129356901101</v>
      </c>
      <c r="AL3791">
        <v>80.752314245439194</v>
      </c>
      <c r="AM3791">
        <v>100.418107062274</v>
      </c>
      <c r="AN3791">
        <v>1.0000000030958101</v>
      </c>
    </row>
    <row r="3792" spans="1:40" x14ac:dyDescent="0.25">
      <c r="A3792" t="str">
        <f>"20190304154828218"</f>
        <v>20190304154828218</v>
      </c>
      <c r="B3792" t="str">
        <f>"1551685708210327"</f>
        <v>1551685708210327</v>
      </c>
      <c r="C3792" t="s">
        <v>40</v>
      </c>
      <c r="D3792">
        <v>3.9461110000000001</v>
      </c>
      <c r="E3792">
        <v>0.40096349999999997</v>
      </c>
      <c r="F3792" t="s">
        <v>54</v>
      </c>
      <c r="G3792">
        <v>-478.12090000000001</v>
      </c>
      <c r="H3792">
        <v>7.762906E-2</v>
      </c>
      <c r="I3792">
        <v>209.22569999999999</v>
      </c>
      <c r="J3792">
        <v>-492.54939999999999</v>
      </c>
      <c r="K3792">
        <v>1.113391</v>
      </c>
      <c r="L3792">
        <v>236.97929999999999</v>
      </c>
      <c r="M3792">
        <v>5.4190790000000003E-2</v>
      </c>
      <c r="N3792">
        <v>-1.271602E-2</v>
      </c>
      <c r="O3792">
        <v>-0.99844960000000005</v>
      </c>
      <c r="P3792">
        <v>0.2308018</v>
      </c>
      <c r="Q3792">
        <v>0.15017269999999999</v>
      </c>
      <c r="R3792">
        <v>-0.96134219999999904</v>
      </c>
      <c r="S3792">
        <v>1.4447019999999999</v>
      </c>
      <c r="T3792">
        <v>-0.10361389999999999</v>
      </c>
      <c r="U3792">
        <v>-2.7933500000000002</v>
      </c>
      <c r="V3792">
        <v>-0.1794647</v>
      </c>
      <c r="W3792">
        <v>0.16130839999999999</v>
      </c>
      <c r="X3792">
        <v>0.97044940000000002</v>
      </c>
      <c r="Y3792">
        <v>-0.41036610000000001</v>
      </c>
      <c r="Z3792">
        <v>2.071959E-2</v>
      </c>
      <c r="AA3792">
        <v>0.91168550000000004</v>
      </c>
      <c r="AB3792">
        <v>21</v>
      </c>
      <c r="AC3792">
        <v>14.4284999999999</v>
      </c>
      <c r="AD3792">
        <v>-1.03576194</v>
      </c>
      <c r="AE3792">
        <v>-27.753599999999999</v>
      </c>
      <c r="AF3792">
        <v>-12.8890521182427</v>
      </c>
      <c r="AG3792">
        <v>-1.03576194</v>
      </c>
      <c r="AH3792">
        <v>28.4635587856305</v>
      </c>
      <c r="AI3792">
        <v>91.8985914818049</v>
      </c>
      <c r="AJ3792">
        <v>114.362274986144</v>
      </c>
      <c r="AK3792">
        <v>31.262991636216999</v>
      </c>
      <c r="AL3792">
        <v>80.717151487676901</v>
      </c>
      <c r="AM3792">
        <v>100.47731114029</v>
      </c>
      <c r="AN3792">
        <v>1.0000000082085001</v>
      </c>
    </row>
    <row r="3793" spans="1:40" x14ac:dyDescent="0.25">
      <c r="A3793" t="str">
        <f>"20190304154828229"</f>
        <v>20190304154828229</v>
      </c>
      <c r="B3793" t="str">
        <f>"1551685708220085"</f>
        <v>1551685708220085</v>
      </c>
      <c r="C3793" t="s">
        <v>40</v>
      </c>
      <c r="D3793">
        <v>3.9629310000000002</v>
      </c>
      <c r="E3793">
        <v>0.40116360000000001</v>
      </c>
      <c r="F3793" t="s">
        <v>54</v>
      </c>
      <c r="G3793">
        <v>-477.55500000000001</v>
      </c>
      <c r="H3793">
        <v>7.9999799999999996E-2</v>
      </c>
      <c r="I3793">
        <v>208.36510000000001</v>
      </c>
      <c r="J3793">
        <v>-492.54</v>
      </c>
      <c r="K3793">
        <v>1.113426</v>
      </c>
      <c r="L3793">
        <v>236.86099999999999</v>
      </c>
      <c r="M3793">
        <v>5.6881710000000002E-2</v>
      </c>
      <c r="N3793">
        <v>-1.2705309999999999E-2</v>
      </c>
      <c r="O3793">
        <v>-0.99830030000000003</v>
      </c>
      <c r="P3793">
        <v>0.2338103</v>
      </c>
      <c r="Q3793">
        <v>0.1507211</v>
      </c>
      <c r="R3793">
        <v>-0.96052919999999997</v>
      </c>
      <c r="S3793">
        <v>1.4598390000000001</v>
      </c>
      <c r="T3793">
        <v>-0.1006103</v>
      </c>
      <c r="U3793">
        <v>-2.7858580000000002</v>
      </c>
      <c r="V3793">
        <v>-0.17990909999999999</v>
      </c>
      <c r="W3793">
        <v>0.1618269</v>
      </c>
      <c r="X3793">
        <v>0.97028080000000005</v>
      </c>
      <c r="Y3793">
        <v>-0.41281230000000002</v>
      </c>
      <c r="Z3793">
        <v>1.978951E-2</v>
      </c>
      <c r="AA3793">
        <v>0.91060110000000005</v>
      </c>
      <c r="AB3793">
        <v>21</v>
      </c>
      <c r="AC3793">
        <v>14.984999999999999</v>
      </c>
      <c r="AD3793">
        <v>-1.0334261999999901</v>
      </c>
      <c r="AE3793">
        <v>-28.495899999999899</v>
      </c>
      <c r="AF3793">
        <v>-13.325978551736601</v>
      </c>
      <c r="AG3793">
        <v>-1.0334261999999901</v>
      </c>
      <c r="AH3793">
        <v>29.272037757404402</v>
      </c>
      <c r="AI3793">
        <v>91.8403538623472</v>
      </c>
      <c r="AJ3793">
        <v>114.47721203277899</v>
      </c>
      <c r="AK3793">
        <v>32.179214852806801</v>
      </c>
      <c r="AL3793">
        <v>80.687048324848405</v>
      </c>
      <c r="AM3793">
        <v>100.50446338840401</v>
      </c>
      <c r="AN3793">
        <v>1.0000000303375201</v>
      </c>
    </row>
    <row r="3794" spans="1:40" x14ac:dyDescent="0.25">
      <c r="A3794" t="str">
        <f>"20190304154828241"</f>
        <v>20190304154828241</v>
      </c>
      <c r="B3794" t="str">
        <f>"1551685708230821"</f>
        <v>1551685708230821</v>
      </c>
      <c r="C3794" t="s">
        <v>40</v>
      </c>
      <c r="D3794">
        <v>4.0485709999999999</v>
      </c>
      <c r="E3794">
        <v>0.40148929999999999</v>
      </c>
      <c r="F3794" t="s">
        <v>54</v>
      </c>
      <c r="G3794">
        <v>-477.32499999999999</v>
      </c>
      <c r="H3794">
        <v>7.9999719999999996E-2</v>
      </c>
      <c r="I3794">
        <v>208.0188</v>
      </c>
      <c r="J3794">
        <v>-492.53109999999998</v>
      </c>
      <c r="K3794">
        <v>1.1134569999999999</v>
      </c>
      <c r="L3794">
        <v>236.7534</v>
      </c>
      <c r="M3794">
        <v>5.9367419999999997E-2</v>
      </c>
      <c r="N3794">
        <v>-1.2696560000000001E-2</v>
      </c>
      <c r="O3794">
        <v>-0.99815549999999997</v>
      </c>
      <c r="P3794">
        <v>0.23667060000000001</v>
      </c>
      <c r="Q3794">
        <v>0.15079589999999901</v>
      </c>
      <c r="R3794">
        <v>-0.95981680000000003</v>
      </c>
      <c r="S3794">
        <v>1.467438</v>
      </c>
      <c r="T3794">
        <v>-9.9670289999999995E-2</v>
      </c>
      <c r="U3794">
        <v>-2.7817229999999999</v>
      </c>
      <c r="V3794">
        <v>-0.18039810000000001</v>
      </c>
      <c r="W3794">
        <v>0.1618754</v>
      </c>
      <c r="X3794">
        <v>0.97018190000000004</v>
      </c>
      <c r="Y3794">
        <v>-0.41305219999999998</v>
      </c>
      <c r="Z3794">
        <v>1.9519149999999999E-2</v>
      </c>
      <c r="AA3794">
        <v>0.91049809999999998</v>
      </c>
      <c r="AB3794">
        <v>21</v>
      </c>
      <c r="AC3794">
        <v>15.2060999999999</v>
      </c>
      <c r="AD3794">
        <v>-1.0334572799999999</v>
      </c>
      <c r="AE3794">
        <v>-28.7346</v>
      </c>
      <c r="AF3794">
        <v>-13.4596372504979</v>
      </c>
      <c r="AG3794">
        <v>-1.0334572799999999</v>
      </c>
      <c r="AH3794">
        <v>29.556861217761199</v>
      </c>
      <c r="AI3794">
        <v>91.822593346519795</v>
      </c>
      <c r="AJ3794">
        <v>114.483624842371</v>
      </c>
      <c r="AK3794">
        <v>32.493659595536101</v>
      </c>
      <c r="AL3794">
        <v>80.684232248249302</v>
      </c>
      <c r="AM3794">
        <v>100.533426539779</v>
      </c>
      <c r="AN3794">
        <v>1.0000000193481899</v>
      </c>
    </row>
    <row r="3795" spans="1:40" x14ac:dyDescent="0.25">
      <c r="A3795" t="str">
        <f>"20190304154828255"</f>
        <v>20190304154828255</v>
      </c>
      <c r="B3795" t="str">
        <f>"1551685708250341"</f>
        <v>1551685708250341</v>
      </c>
      <c r="C3795" t="s">
        <v>40</v>
      </c>
      <c r="D3795">
        <v>3.975892</v>
      </c>
      <c r="E3795">
        <v>0.40184950000000003</v>
      </c>
      <c r="F3795" t="s">
        <v>54</v>
      </c>
      <c r="G3795">
        <v>-477.40109999999999</v>
      </c>
      <c r="H3795">
        <v>7.9999699999999896E-2</v>
      </c>
      <c r="I3795">
        <v>208.23509999999999</v>
      </c>
      <c r="J3795">
        <v>-492.52019999999999</v>
      </c>
      <c r="K3795">
        <v>1.1134900000000001</v>
      </c>
      <c r="L3795">
        <v>236.6259</v>
      </c>
      <c r="M3795">
        <v>6.233375E-2</v>
      </c>
      <c r="N3795">
        <v>-1.2685989999999999E-2</v>
      </c>
      <c r="O3795">
        <v>-0.99797480000000005</v>
      </c>
      <c r="P3795">
        <v>0.24004300000000001</v>
      </c>
      <c r="Q3795">
        <v>0.15096609999999999</v>
      </c>
      <c r="R3795">
        <v>-0.95895220000000003</v>
      </c>
      <c r="S3795">
        <v>1.473816</v>
      </c>
      <c r="T3795">
        <v>-0.1006696</v>
      </c>
      <c r="U3795">
        <v>-2.7779850000000001</v>
      </c>
      <c r="V3795">
        <v>-0.18094299999999999</v>
      </c>
      <c r="W3795">
        <v>0.16201370000000001</v>
      </c>
      <c r="X3795">
        <v>0.97005730000000001</v>
      </c>
      <c r="Y3795">
        <v>-0.41248020000000002</v>
      </c>
      <c r="Z3795">
        <v>1.9878010000000002E-2</v>
      </c>
      <c r="AA3795">
        <v>0.9107497</v>
      </c>
      <c r="AB3795">
        <v>21</v>
      </c>
      <c r="AC3795">
        <v>15.1191</v>
      </c>
      <c r="AD3795">
        <v>-1.0334903</v>
      </c>
      <c r="AE3795">
        <v>-28.390799999999999</v>
      </c>
      <c r="AF3795">
        <v>-13.3061100847281</v>
      </c>
      <c r="AG3795">
        <v>-1.0334903</v>
      </c>
      <c r="AH3795">
        <v>29.247892965203199</v>
      </c>
      <c r="AI3795">
        <v>91.842196866374593</v>
      </c>
      <c r="AJ3795">
        <v>114.46280648283501</v>
      </c>
      <c r="AK3795">
        <v>32.149026590101997</v>
      </c>
      <c r="AL3795">
        <v>80.6762019383644</v>
      </c>
      <c r="AM3795">
        <v>100.56585440272499</v>
      </c>
      <c r="AN3795">
        <v>0.99999998675998902</v>
      </c>
    </row>
    <row r="3796" spans="1:40" x14ac:dyDescent="0.25">
      <c r="A3796" t="str">
        <f>"20190304154828267"</f>
        <v>20190304154828267</v>
      </c>
      <c r="B3796" t="str">
        <f>"1551685708261077"</f>
        <v>1551685708261077</v>
      </c>
      <c r="C3796" t="s">
        <v>40</v>
      </c>
      <c r="D3796">
        <v>3.968423</v>
      </c>
      <c r="E3796">
        <v>0.40197240000000001</v>
      </c>
      <c r="F3796" t="s">
        <v>54</v>
      </c>
      <c r="G3796">
        <v>-477.49369999999999</v>
      </c>
      <c r="H3796">
        <v>7.9999829999999994E-2</v>
      </c>
      <c r="I3796">
        <v>208.47810000000001</v>
      </c>
      <c r="J3796">
        <v>-492.50959999999998</v>
      </c>
      <c r="K3796">
        <v>1.1135250000000001</v>
      </c>
      <c r="L3796">
        <v>236.5068</v>
      </c>
      <c r="M3796">
        <v>6.5149429999999994E-2</v>
      </c>
      <c r="N3796">
        <v>-1.267545E-2</v>
      </c>
      <c r="O3796">
        <v>-0.99779519999999999</v>
      </c>
      <c r="P3796">
        <v>0.2432492</v>
      </c>
      <c r="Q3796">
        <v>0.1506846</v>
      </c>
      <c r="R3796">
        <v>-0.95818780000000003</v>
      </c>
      <c r="S3796">
        <v>1.480774</v>
      </c>
      <c r="T3796">
        <v>-0.1018444</v>
      </c>
      <c r="U3796">
        <v>-2.7738040000000002</v>
      </c>
      <c r="V3796">
        <v>-0.18146119999999999</v>
      </c>
      <c r="W3796">
        <v>0.16170129999999999</v>
      </c>
      <c r="X3796">
        <v>0.97001269999999995</v>
      </c>
      <c r="Y3796">
        <v>-0.41225329999999899</v>
      </c>
      <c r="Z3796">
        <v>2.0293660000000002E-2</v>
      </c>
      <c r="AA3796">
        <v>0.91084330000000002</v>
      </c>
      <c r="AB3796">
        <v>21</v>
      </c>
      <c r="AC3796">
        <v>15.015899999999901</v>
      </c>
      <c r="AD3796">
        <v>-1.0335251700000001</v>
      </c>
      <c r="AE3796">
        <v>-28.028699999999901</v>
      </c>
      <c r="AF3796">
        <v>-13.143907639505301</v>
      </c>
      <c r="AG3796">
        <v>-1.0335251700000001</v>
      </c>
      <c r="AH3796">
        <v>28.9169500571494</v>
      </c>
      <c r="AI3796">
        <v>91.863610630719904</v>
      </c>
      <c r="AJ3796">
        <v>114.44369110881701</v>
      </c>
      <c r="AK3796">
        <v>31.780819418645301</v>
      </c>
      <c r="AL3796">
        <v>80.694340977578506</v>
      </c>
      <c r="AM3796">
        <v>100.59590571763199</v>
      </c>
      <c r="AN3796">
        <v>1.0000000578442001</v>
      </c>
    </row>
    <row r="3797" spans="1:40" x14ac:dyDescent="0.25">
      <c r="A3797" t="str">
        <f>"20190304154828286"</f>
        <v>20190304154828286</v>
      </c>
      <c r="B3797" t="str">
        <f>"1551685708280596"</f>
        <v>1551685708280596</v>
      </c>
      <c r="C3797" t="s">
        <v>40</v>
      </c>
      <c r="D3797">
        <v>3.9806210000000002</v>
      </c>
      <c r="E3797">
        <v>0.40220729999999999</v>
      </c>
      <c r="F3797" t="s">
        <v>54</v>
      </c>
      <c r="G3797">
        <v>-477.5874</v>
      </c>
      <c r="H3797">
        <v>7.9999990000000007E-2</v>
      </c>
      <c r="I3797">
        <v>208.75989999999999</v>
      </c>
      <c r="J3797">
        <v>-492.4941</v>
      </c>
      <c r="K3797">
        <v>1.113572</v>
      </c>
      <c r="L3797">
        <v>236.33949999999999</v>
      </c>
      <c r="M3797">
        <v>6.9163509999999997E-2</v>
      </c>
      <c r="N3797">
        <v>-1.265873E-2</v>
      </c>
      <c r="O3797">
        <v>-0.9975252</v>
      </c>
      <c r="P3797">
        <v>0.24820619999999999</v>
      </c>
      <c r="Q3797">
        <v>0.15091969999999999</v>
      </c>
      <c r="R3797">
        <v>-0.95687909999999998</v>
      </c>
      <c r="S3797">
        <v>1.4891970000000001</v>
      </c>
      <c r="T3797">
        <v>-0.103143</v>
      </c>
      <c r="U3797">
        <v>-2.7690579999999998</v>
      </c>
      <c r="V3797">
        <v>-0.18260580000000001</v>
      </c>
      <c r="W3797">
        <v>0.16188720000000001</v>
      </c>
      <c r="X3797">
        <v>0.96976680000000004</v>
      </c>
      <c r="Y3797">
        <v>-0.41138259999999999</v>
      </c>
      <c r="Z3797">
        <v>2.0762019999999999E-2</v>
      </c>
      <c r="AA3797">
        <v>0.91122630000000004</v>
      </c>
      <c r="AB3797">
        <v>21</v>
      </c>
      <c r="AC3797">
        <v>14.906700000000001</v>
      </c>
      <c r="AD3797">
        <v>-1.0335720100000001</v>
      </c>
      <c r="AE3797">
        <v>-27.579599999999999</v>
      </c>
      <c r="AF3797">
        <v>-12.9492685211313</v>
      </c>
      <c r="AG3797">
        <v>-1.0335720100000001</v>
      </c>
      <c r="AH3797">
        <v>28.513635719539</v>
      </c>
      <c r="AI3797">
        <v>91.8903196051279</v>
      </c>
      <c r="AJ3797">
        <v>114.424842143476</v>
      </c>
      <c r="AK3797">
        <v>31.3333567987662</v>
      </c>
      <c r="AL3797">
        <v>80.6835468930134</v>
      </c>
      <c r="AM3797">
        <v>100.663855242984</v>
      </c>
      <c r="AN3797">
        <v>0.99999999504986004</v>
      </c>
    </row>
    <row r="3798" spans="1:40" x14ac:dyDescent="0.25">
      <c r="A3798" t="str">
        <f>"20190304154828300"</f>
        <v>20190304154828300</v>
      </c>
      <c r="B3798" t="str">
        <f>"1551685708290356"</f>
        <v>1551685708290356</v>
      </c>
      <c r="C3798" t="s">
        <v>40</v>
      </c>
      <c r="D3798">
        <v>3.983352</v>
      </c>
      <c r="E3798">
        <v>0.40232259999999997</v>
      </c>
      <c r="F3798" t="s">
        <v>54</v>
      </c>
      <c r="G3798">
        <v>-477.55149999999998</v>
      </c>
      <c r="H3798">
        <v>7.9999979999999998E-2</v>
      </c>
      <c r="I3798">
        <v>208.85499999999999</v>
      </c>
      <c r="J3798">
        <v>-492.48079999999999</v>
      </c>
      <c r="K3798">
        <v>1.1136060000000001</v>
      </c>
      <c r="L3798">
        <v>236.20140000000001</v>
      </c>
      <c r="M3798">
        <v>7.2528040000000002E-2</v>
      </c>
      <c r="N3798">
        <v>-1.264238E-2</v>
      </c>
      <c r="O3798">
        <v>-0.99728629999999996</v>
      </c>
      <c r="P3798">
        <v>0.2519441</v>
      </c>
      <c r="Q3798">
        <v>0.15111629999999901</v>
      </c>
      <c r="R3798">
        <v>-0.95587040000000001</v>
      </c>
      <c r="S3798">
        <v>1.5016780000000001</v>
      </c>
      <c r="T3798">
        <v>-0.1038697</v>
      </c>
      <c r="U3798">
        <v>-2.76207</v>
      </c>
      <c r="V3798">
        <v>-0.18314530000000001</v>
      </c>
      <c r="W3798">
        <v>0.1620443</v>
      </c>
      <c r="X3798">
        <v>0.96963880000000002</v>
      </c>
      <c r="Y3798">
        <v>-0.41245009999999999</v>
      </c>
      <c r="Z3798">
        <v>2.104427E-2</v>
      </c>
      <c r="AA3798">
        <v>0.91073709999999997</v>
      </c>
      <c r="AB3798">
        <v>21</v>
      </c>
      <c r="AC3798">
        <v>14.9293</v>
      </c>
      <c r="AD3798">
        <v>-1.0336060199999999</v>
      </c>
      <c r="AE3798">
        <v>-27.346399999999999</v>
      </c>
      <c r="AF3798">
        <v>-12.8922473888556</v>
      </c>
      <c r="AG3798">
        <v>-1.0336060199999999</v>
      </c>
      <c r="AH3798">
        <v>28.3260725854241</v>
      </c>
      <c r="AI3798">
        <v>91.902177825182406</v>
      </c>
      <c r="AJ3798">
        <v>114.47204415610599</v>
      </c>
      <c r="AK3798">
        <v>31.139119644825399</v>
      </c>
      <c r="AL3798">
        <v>80.674425139318302</v>
      </c>
      <c r="AM3798">
        <v>100.69601461716999</v>
      </c>
      <c r="AN3798">
        <v>0.99999997927000905</v>
      </c>
    </row>
    <row r="3799" spans="1:40" x14ac:dyDescent="0.25">
      <c r="A3799" t="str">
        <f>"20190304154828314"</f>
        <v>20190304154828314</v>
      </c>
      <c r="B3799" t="str">
        <f>"1551685708310852"</f>
        <v>1551685708310852</v>
      </c>
      <c r="C3799" t="s">
        <v>40</v>
      </c>
      <c r="D3799">
        <v>4.0031150000000002</v>
      </c>
      <c r="E3799">
        <v>0.4079333</v>
      </c>
      <c r="F3799" t="s">
        <v>54</v>
      </c>
      <c r="G3799">
        <v>-477.42610000000002</v>
      </c>
      <c r="H3799">
        <v>7.999995E-2</v>
      </c>
      <c r="I3799">
        <v>208.74379999999999</v>
      </c>
      <c r="J3799">
        <v>-492.46730000000002</v>
      </c>
      <c r="K3799">
        <v>1.1136440000000001</v>
      </c>
      <c r="L3799">
        <v>236.06659999999999</v>
      </c>
      <c r="M3799">
        <v>7.5853530000000002E-2</v>
      </c>
      <c r="N3799">
        <v>-1.262457E-2</v>
      </c>
      <c r="O3799">
        <v>-0.99703920000000001</v>
      </c>
      <c r="P3799">
        <v>0.25548779999999999</v>
      </c>
      <c r="Q3799">
        <v>0.15130579999999999</v>
      </c>
      <c r="R3799">
        <v>-0.95489939999999995</v>
      </c>
      <c r="S3799">
        <v>1.5113829999999999</v>
      </c>
      <c r="T3799">
        <v>-0.1037666</v>
      </c>
      <c r="U3799">
        <v>-2.7565460000000002</v>
      </c>
      <c r="V3799">
        <v>-0.1835281</v>
      </c>
      <c r="W3799">
        <v>0.162194899999999</v>
      </c>
      <c r="X3799">
        <v>0.96954130000000005</v>
      </c>
      <c r="Y3799">
        <v>-0.41264669999999998</v>
      </c>
      <c r="Z3799">
        <v>2.1058759999999999E-2</v>
      </c>
      <c r="AA3799">
        <v>0.91064769999999995</v>
      </c>
      <c r="AB3799">
        <v>21</v>
      </c>
      <c r="AC3799">
        <v>15.0412</v>
      </c>
      <c r="AD3799">
        <v>-1.0336440499999999</v>
      </c>
      <c r="AE3799">
        <v>-27.322800000000001</v>
      </c>
      <c r="AF3799">
        <v>-12.910982823745799</v>
      </c>
      <c r="AG3799">
        <v>-1.0336440499999999</v>
      </c>
      <c r="AH3799">
        <v>28.3539467275086</v>
      </c>
      <c r="AI3799">
        <v>91.900226314130506</v>
      </c>
      <c r="AJ3799">
        <v>114.482168988048</v>
      </c>
      <c r="AK3799">
        <v>31.172234320362101</v>
      </c>
      <c r="AL3799">
        <v>80.665681294683097</v>
      </c>
      <c r="AM3799">
        <v>100.71890630341601</v>
      </c>
      <c r="AN3799">
        <v>1.00000004074065</v>
      </c>
    </row>
    <row r="3800" spans="1:40" x14ac:dyDescent="0.25">
      <c r="A3800" t="str">
        <f>"20190304154828330"</f>
        <v>20190304154828330</v>
      </c>
      <c r="B3800" t="str">
        <f>"1551685708320612"</f>
        <v>1551685708320612</v>
      </c>
      <c r="C3800" t="s">
        <v>40</v>
      </c>
      <c r="D3800">
        <v>4.0078839999999998</v>
      </c>
      <c r="E3800">
        <v>0.40812690000000001</v>
      </c>
      <c r="F3800" t="s">
        <v>54</v>
      </c>
      <c r="G3800">
        <v>-479.94119999999998</v>
      </c>
      <c r="H3800" s="1">
        <v>1.4630100000000001E-6</v>
      </c>
      <c r="I3800">
        <v>212.6277</v>
      </c>
      <c r="J3800">
        <v>-492.45119999999997</v>
      </c>
      <c r="K3800">
        <v>1.1136889999999999</v>
      </c>
      <c r="L3800">
        <v>235.91229999999999</v>
      </c>
      <c r="M3800">
        <v>7.9719479999999995E-2</v>
      </c>
      <c r="N3800">
        <v>-1.2602820000000001E-2</v>
      </c>
      <c r="O3800">
        <v>-0.99673800000000001</v>
      </c>
      <c r="P3800">
        <v>0.25983319999999999</v>
      </c>
      <c r="Q3800">
        <v>0.1516487</v>
      </c>
      <c r="R3800">
        <v>-0.95367190000000002</v>
      </c>
      <c r="S3800">
        <v>1.4786680000000001</v>
      </c>
      <c r="T3800">
        <v>-0.1314622</v>
      </c>
      <c r="U3800">
        <v>-2.7668910000000002</v>
      </c>
      <c r="V3800">
        <v>-0.18420880000000001</v>
      </c>
      <c r="W3800">
        <v>0.16248940000000001</v>
      </c>
      <c r="X3800">
        <v>0.96936290000000003</v>
      </c>
      <c r="Y3800">
        <v>-0.39917530000000001</v>
      </c>
      <c r="Z3800">
        <v>3.0084389999999999E-2</v>
      </c>
      <c r="AA3800">
        <v>0.91638090000000005</v>
      </c>
      <c r="AB3800">
        <v>21</v>
      </c>
      <c r="AC3800">
        <v>12.5099999999999</v>
      </c>
      <c r="AD3800">
        <v>-1.1136875369899999</v>
      </c>
      <c r="AE3800">
        <v>-23.284599999999902</v>
      </c>
      <c r="AF3800">
        <v>-10.594987102513601</v>
      </c>
      <c r="AG3800">
        <v>-1.1136875369899999</v>
      </c>
      <c r="AH3800">
        <v>24.164952626161799</v>
      </c>
      <c r="AI3800">
        <v>92.416916729330794</v>
      </c>
      <c r="AJ3800">
        <v>113.67477691329699</v>
      </c>
      <c r="AK3800">
        <v>26.409070166462101</v>
      </c>
      <c r="AL3800">
        <v>80.648581019696806</v>
      </c>
      <c r="AM3800">
        <v>100.759669881554</v>
      </c>
      <c r="AN3800">
        <v>1.0000000595031</v>
      </c>
    </row>
    <row r="3801" spans="1:40" x14ac:dyDescent="0.25">
      <c r="A3801" t="str">
        <f>"20190304154828346"</f>
        <v>20190304154828346</v>
      </c>
      <c r="B3801" t="str">
        <f>"1551685708340133"</f>
        <v>1551685708340133</v>
      </c>
      <c r="C3801" t="s">
        <v>40</v>
      </c>
      <c r="D3801">
        <v>4.0393030000000003</v>
      </c>
      <c r="E3801">
        <v>0.4081881</v>
      </c>
      <c r="F3801" t="s">
        <v>54</v>
      </c>
      <c r="G3801">
        <v>-479.83010000000002</v>
      </c>
      <c r="H3801" s="1">
        <v>1.507871E-6</v>
      </c>
      <c r="I3801">
        <v>212.5266</v>
      </c>
      <c r="J3801">
        <v>-492.43490000000003</v>
      </c>
      <c r="K3801">
        <v>1.1137239999999999</v>
      </c>
      <c r="L3801">
        <v>235.7628</v>
      </c>
      <c r="M3801">
        <v>8.3528160000000004E-2</v>
      </c>
      <c r="N3801">
        <v>-1.25798E-2</v>
      </c>
      <c r="O3801">
        <v>-0.99642600000000003</v>
      </c>
      <c r="P3801">
        <v>0.26389289999999999</v>
      </c>
      <c r="Q3801">
        <v>0.1520379</v>
      </c>
      <c r="R3801">
        <v>-0.95249399999999995</v>
      </c>
      <c r="S3801">
        <v>1.48996</v>
      </c>
      <c r="T3801">
        <v>-0.13147349999999999</v>
      </c>
      <c r="U3801">
        <v>-2.760742</v>
      </c>
      <c r="V3801">
        <v>-0.18465860000000001</v>
      </c>
      <c r="W3801">
        <v>0.16283239999999999</v>
      </c>
      <c r="X3801">
        <v>0.96921970000000002</v>
      </c>
      <c r="Y3801">
        <v>-0.39942660000000002</v>
      </c>
      <c r="Z3801">
        <v>3.0146329999999999E-2</v>
      </c>
      <c r="AA3801">
        <v>0.91626940000000001</v>
      </c>
      <c r="AB3801">
        <v>21</v>
      </c>
      <c r="AC3801">
        <v>12.604799999999999</v>
      </c>
      <c r="AD3801">
        <v>-1.1137224921290001</v>
      </c>
      <c r="AE3801">
        <v>-23.2362</v>
      </c>
      <c r="AF3801">
        <v>-10.600897196157399</v>
      </c>
      <c r="AG3801">
        <v>-1.1137224921290001</v>
      </c>
      <c r="AH3801">
        <v>24.165032298235101</v>
      </c>
      <c r="AI3801">
        <v>92.416768662391704</v>
      </c>
      <c r="AJ3801">
        <v>113.68645992874499</v>
      </c>
      <c r="AK3801">
        <v>26.411516145948902</v>
      </c>
      <c r="AL3801">
        <v>80.6286628175028</v>
      </c>
      <c r="AM3801">
        <v>100.786883373035</v>
      </c>
      <c r="AN3801">
        <v>1.0000000079558999</v>
      </c>
    </row>
    <row r="3802" spans="1:40" x14ac:dyDescent="0.25">
      <c r="A3802" t="str">
        <f>"20190304154828362"</f>
        <v>20190304154828362</v>
      </c>
      <c r="B3802" t="str">
        <f>"1551685708350871"</f>
        <v>1551685708350871</v>
      </c>
      <c r="C3802" t="s">
        <v>40</v>
      </c>
      <c r="D3802">
        <v>3.995193</v>
      </c>
      <c r="E3802">
        <v>0.4081494</v>
      </c>
      <c r="F3802" t="s">
        <v>54</v>
      </c>
      <c r="G3802">
        <v>-479.62529999999998</v>
      </c>
      <c r="H3802" s="1">
        <v>1.5872229999999901E-6</v>
      </c>
      <c r="I3802">
        <v>212.26439999999999</v>
      </c>
      <c r="J3802">
        <v>-492.41820000000001</v>
      </c>
      <c r="K3802">
        <v>1.1137589999999999</v>
      </c>
      <c r="L3802">
        <v>235.6146</v>
      </c>
      <c r="M3802">
        <v>8.7355020000000005E-2</v>
      </c>
      <c r="N3802">
        <v>-1.2556360000000001E-2</v>
      </c>
      <c r="O3802">
        <v>-0.99609829999999999</v>
      </c>
      <c r="P3802">
        <v>0.2678024</v>
      </c>
      <c r="Q3802">
        <v>0.151867</v>
      </c>
      <c r="R3802">
        <v>-0.95143</v>
      </c>
      <c r="S3802">
        <v>1.5015559999999999</v>
      </c>
      <c r="T3802">
        <v>-0.13055120000000001</v>
      </c>
      <c r="U3802">
        <v>-2.7545009999999999</v>
      </c>
      <c r="V3802">
        <v>-0.18492910000000001</v>
      </c>
      <c r="W3802">
        <v>0.1626174</v>
      </c>
      <c r="X3802">
        <v>0.96920419999999996</v>
      </c>
      <c r="Y3802">
        <v>-0.39975630000000001</v>
      </c>
      <c r="Z3802">
        <v>2.9905770000000002E-2</v>
      </c>
      <c r="AA3802">
        <v>0.91613350000000005</v>
      </c>
      <c r="AB3802">
        <v>21</v>
      </c>
      <c r="AC3802">
        <v>12.792899999999999</v>
      </c>
      <c r="AD3802">
        <v>-1.113757412777</v>
      </c>
      <c r="AE3802">
        <v>-23.350200000000001</v>
      </c>
      <c r="AF3802">
        <v>-10.685372677999601</v>
      </c>
      <c r="AG3802">
        <v>-1.113757412777</v>
      </c>
      <c r="AH3802">
        <v>24.335951321631399</v>
      </c>
      <c r="AI3802">
        <v>92.399545845687697</v>
      </c>
      <c r="AJ3802">
        <v>113.70520505317</v>
      </c>
      <c r="AK3802">
        <v>26.601807674875602</v>
      </c>
      <c r="AL3802">
        <v>80.641147609776894</v>
      </c>
      <c r="AM3802">
        <v>100.802481864161</v>
      </c>
      <c r="AN3802">
        <v>0.99999998605360396</v>
      </c>
    </row>
    <row r="3803" spans="1:40" x14ac:dyDescent="0.25">
      <c r="A3803" t="str">
        <f>"20190304154828376"</f>
        <v>20190304154828376</v>
      </c>
      <c r="B3803" t="str">
        <f>"1551685708370389"</f>
        <v>1551685708370389</v>
      </c>
      <c r="C3803" t="s">
        <v>40</v>
      </c>
      <c r="D3803">
        <v>4.0639440000000002</v>
      </c>
      <c r="E3803">
        <v>0.4082983</v>
      </c>
      <c r="F3803" t="s">
        <v>54</v>
      </c>
      <c r="G3803">
        <v>-479.48099999999999</v>
      </c>
      <c r="H3803" s="1">
        <v>1.6450910000000001E-6</v>
      </c>
      <c r="I3803">
        <v>212.1249</v>
      </c>
      <c r="J3803">
        <v>-492.40280000000001</v>
      </c>
      <c r="K3803">
        <v>1.113793</v>
      </c>
      <c r="L3803">
        <v>235.4829</v>
      </c>
      <c r="M3803">
        <v>9.0794509999999995E-2</v>
      </c>
      <c r="N3803">
        <v>-1.2534689999999999E-2</v>
      </c>
      <c r="O3803">
        <v>-0.99579070000000003</v>
      </c>
      <c r="P3803">
        <v>0.27120719999999998</v>
      </c>
      <c r="Q3803">
        <v>0.15187790000000001</v>
      </c>
      <c r="R3803">
        <v>-0.95046260000000005</v>
      </c>
      <c r="S3803">
        <v>1.513458</v>
      </c>
      <c r="T3803">
        <v>-0.1302931</v>
      </c>
      <c r="U3803">
        <v>-2.7479550000000001</v>
      </c>
      <c r="V3803">
        <v>-0.1850677</v>
      </c>
      <c r="W3803">
        <v>0.16258919999999999</v>
      </c>
      <c r="X3803">
        <v>0.96918249999999995</v>
      </c>
      <c r="Y3803">
        <v>-0.40055839999999998</v>
      </c>
      <c r="Z3803">
        <v>2.9876079999999999E-2</v>
      </c>
      <c r="AA3803">
        <v>0.91578400000000004</v>
      </c>
      <c r="AB3803">
        <v>21</v>
      </c>
      <c r="AC3803">
        <v>12.921799999999999</v>
      </c>
      <c r="AD3803">
        <v>-1.1137913549089999</v>
      </c>
      <c r="AE3803">
        <v>-23.358000000000001</v>
      </c>
      <c r="AF3803">
        <v>-10.728797036702399</v>
      </c>
      <c r="AG3803">
        <v>-1.1137913549089999</v>
      </c>
      <c r="AH3803">
        <v>24.392363457421698</v>
      </c>
      <c r="AI3803">
        <v>92.3934022465764</v>
      </c>
      <c r="AJ3803">
        <v>113.741931520756</v>
      </c>
      <c r="AK3803">
        <v>26.670864479352499</v>
      </c>
      <c r="AL3803">
        <v>80.642785369221698</v>
      </c>
      <c r="AM3803">
        <v>100.810623698301</v>
      </c>
      <c r="AN3803">
        <v>1.0000000099230899</v>
      </c>
    </row>
    <row r="3804" spans="1:40" x14ac:dyDescent="0.25">
      <c r="A3804" t="str">
        <f>"20190304154828388"</f>
        <v>20190304154828388</v>
      </c>
      <c r="B3804" t="str">
        <f>"1551685708380148"</f>
        <v>1551685708380148</v>
      </c>
      <c r="C3804" t="s">
        <v>40</v>
      </c>
      <c r="D3804">
        <v>4.1001219999999998</v>
      </c>
      <c r="E3804">
        <v>0.4082983</v>
      </c>
      <c r="F3804" t="s">
        <v>54</v>
      </c>
      <c r="G3804">
        <v>-479.44670000000002</v>
      </c>
      <c r="H3804" s="1">
        <v>1.6610099999999999E-6</v>
      </c>
      <c r="I3804">
        <v>212.1404</v>
      </c>
      <c r="J3804">
        <v>-492.38839999999999</v>
      </c>
      <c r="K3804">
        <v>1.113823</v>
      </c>
      <c r="L3804">
        <v>235.36340000000001</v>
      </c>
      <c r="M3804">
        <v>9.395307E-2</v>
      </c>
      <c r="N3804">
        <v>-1.251386E-2</v>
      </c>
      <c r="O3804">
        <v>-0.99549799999999999</v>
      </c>
      <c r="P3804">
        <v>0.2742985</v>
      </c>
      <c r="Q3804">
        <v>0.15223159999999999</v>
      </c>
      <c r="R3804">
        <v>-0.94951870000000005</v>
      </c>
      <c r="S3804">
        <v>1.5224</v>
      </c>
      <c r="T3804">
        <v>-0.13087480000000001</v>
      </c>
      <c r="U3804">
        <v>-2.7428439999999998</v>
      </c>
      <c r="V3804">
        <v>-0.18516830000000001</v>
      </c>
      <c r="W3804">
        <v>0.162905299999999</v>
      </c>
      <c r="X3804">
        <v>0.96911020000000003</v>
      </c>
      <c r="Y3804">
        <v>-0.40065489999999998</v>
      </c>
      <c r="Z3804">
        <v>3.011368E-2</v>
      </c>
      <c r="AA3804">
        <v>0.9157341</v>
      </c>
      <c r="AB3804">
        <v>21</v>
      </c>
      <c r="AC3804">
        <v>12.9416999999999</v>
      </c>
      <c r="AD3804">
        <v>-1.11382133898999</v>
      </c>
      <c r="AE3804">
        <v>-23.222999999999999</v>
      </c>
      <c r="AF3804">
        <v>-10.6836496916605</v>
      </c>
      <c r="AG3804">
        <v>-1.11382133898999</v>
      </c>
      <c r="AH3804">
        <v>24.293626295911501</v>
      </c>
      <c r="AI3804">
        <v>92.4032456222413</v>
      </c>
      <c r="AJ3804">
        <v>113.73853530496299</v>
      </c>
      <c r="AK3804">
        <v>26.5624028904524</v>
      </c>
      <c r="AL3804">
        <v>80.624429429509306</v>
      </c>
      <c r="AM3804">
        <v>100.817149510248</v>
      </c>
      <c r="AN3804">
        <v>1.0000000079185001</v>
      </c>
    </row>
    <row r="3805" spans="1:40" x14ac:dyDescent="0.25">
      <c r="A3805" t="str">
        <f>"20190304154828400"</f>
        <v>20190304154828400</v>
      </c>
      <c r="B3805" t="str">
        <f>"1551685708390885"</f>
        <v>1551685708390885</v>
      </c>
      <c r="C3805" t="s">
        <v>40</v>
      </c>
      <c r="D3805">
        <v>4.1081120000000002</v>
      </c>
      <c r="E3805">
        <v>0.40994360000000002</v>
      </c>
      <c r="F3805" t="s">
        <v>54</v>
      </c>
      <c r="G3805">
        <v>-479.22500000000002</v>
      </c>
      <c r="H3805" s="1">
        <v>1.745936E-6</v>
      </c>
      <c r="I3805">
        <v>211.8347</v>
      </c>
      <c r="J3805">
        <v>-492.37439999999998</v>
      </c>
      <c r="K3805">
        <v>1.1138589999999999</v>
      </c>
      <c r="L3805">
        <v>235.2508</v>
      </c>
      <c r="M3805">
        <v>9.6966650000000001E-2</v>
      </c>
      <c r="N3805">
        <v>-1.2493799999999999E-2</v>
      </c>
      <c r="O3805">
        <v>-0.99520920000000002</v>
      </c>
      <c r="P3805">
        <v>0.27708100000000002</v>
      </c>
      <c r="Q3805">
        <v>0.1528069</v>
      </c>
      <c r="R3805">
        <v>-0.94861819999999997</v>
      </c>
      <c r="S3805">
        <v>1.531677</v>
      </c>
      <c r="T3805">
        <v>-0.12960289999999999</v>
      </c>
      <c r="U3805">
        <v>-2.737778</v>
      </c>
      <c r="V3805">
        <v>-0.18510119999999999</v>
      </c>
      <c r="W3805">
        <v>0.163446799999999</v>
      </c>
      <c r="X3805">
        <v>0.9690318</v>
      </c>
      <c r="Y3805">
        <v>-0.40097310000000003</v>
      </c>
      <c r="Z3805">
        <v>2.9747820000000001E-2</v>
      </c>
      <c r="AA3805">
        <v>0.9156067</v>
      </c>
      <c r="AB3805">
        <v>21</v>
      </c>
      <c r="AC3805">
        <v>13.149399999999901</v>
      </c>
      <c r="AD3805">
        <v>-1.1138572540639999</v>
      </c>
      <c r="AE3805">
        <v>-23.4161</v>
      </c>
      <c r="AF3805">
        <v>-10.798092052134299</v>
      </c>
      <c r="AG3805">
        <v>-1.1138572540639999</v>
      </c>
      <c r="AH3805">
        <v>24.538677629518901</v>
      </c>
      <c r="AI3805">
        <v>92.379112073491399</v>
      </c>
      <c r="AJ3805">
        <v>113.75159520981801</v>
      </c>
      <c r="AK3805">
        <v>26.832558017346201</v>
      </c>
      <c r="AL3805">
        <v>80.592981917994294</v>
      </c>
      <c r="AM3805">
        <v>100.81417632924</v>
      </c>
      <c r="AN3805">
        <v>0.99999997004145902</v>
      </c>
    </row>
    <row r="3806" spans="1:40" x14ac:dyDescent="0.25">
      <c r="A3806" t="str">
        <f>"20190304154828419"</f>
        <v>20190304154828419</v>
      </c>
      <c r="B3806" t="str">
        <f>"1551685708410408"</f>
        <v>1551685708410408</v>
      </c>
      <c r="C3806" t="s">
        <v>40</v>
      </c>
      <c r="D3806">
        <v>4.5893069999999998</v>
      </c>
      <c r="E3806">
        <v>0.40973219999999999</v>
      </c>
      <c r="F3806" t="s">
        <v>54</v>
      </c>
      <c r="G3806">
        <v>-479.7253</v>
      </c>
      <c r="H3806" s="1">
        <v>1.556592E-6</v>
      </c>
      <c r="I3806">
        <v>212.57839999999999</v>
      </c>
      <c r="J3806">
        <v>-492.35199999999998</v>
      </c>
      <c r="K3806">
        <v>1.11391</v>
      </c>
      <c r="L3806">
        <v>235.07640000000001</v>
      </c>
      <c r="M3806">
        <v>0.1016827</v>
      </c>
      <c r="N3806">
        <v>-1.2461399999999999E-2</v>
      </c>
      <c r="O3806">
        <v>-0.99473889999999998</v>
      </c>
      <c r="P3806">
        <v>0.28191070000000001</v>
      </c>
      <c r="Q3806">
        <v>0.15422429999999901</v>
      </c>
      <c r="R3806">
        <v>-0.94696420000000003</v>
      </c>
      <c r="S3806">
        <v>1.5275570000000001</v>
      </c>
      <c r="T3806">
        <v>-0.13451389999999999</v>
      </c>
      <c r="U3806">
        <v>-2.7380070000000001</v>
      </c>
      <c r="V3806">
        <v>-0.1855</v>
      </c>
      <c r="W3806">
        <v>0.164803799999999</v>
      </c>
      <c r="X3806">
        <v>0.96872570000000002</v>
      </c>
      <c r="Y3806">
        <v>-0.39551579999999997</v>
      </c>
      <c r="Z3806">
        <v>3.1413679999999999E-2</v>
      </c>
      <c r="AA3806">
        <v>0.91792180000000001</v>
      </c>
      <c r="AB3806">
        <v>21</v>
      </c>
      <c r="AC3806">
        <v>12.6266999999999</v>
      </c>
      <c r="AD3806">
        <v>-1.113908443408</v>
      </c>
      <c r="AE3806">
        <v>-22.498000000000001</v>
      </c>
      <c r="AF3806">
        <v>-10.2542933330542</v>
      </c>
      <c r="AG3806">
        <v>-1.113908443408</v>
      </c>
      <c r="AH3806">
        <v>23.621353964003902</v>
      </c>
      <c r="AI3806">
        <v>92.476884584412105</v>
      </c>
      <c r="AJ3806">
        <v>113.466202725868</v>
      </c>
      <c r="AK3806">
        <v>25.775175787438901</v>
      </c>
      <c r="AL3806">
        <v>80.514163111508793</v>
      </c>
      <c r="AM3806">
        <v>100.840267459144</v>
      </c>
      <c r="AN3806">
        <v>1.0000000121674599</v>
      </c>
    </row>
    <row r="3807" spans="1:40" x14ac:dyDescent="0.25">
      <c r="A3807" t="str">
        <f>"20190304154828431"</f>
        <v>20190304154828431</v>
      </c>
      <c r="B3807" t="str">
        <f>"1551685708420165"</f>
        <v>1551685708420165</v>
      </c>
      <c r="C3807" t="s">
        <v>40</v>
      </c>
      <c r="D3807">
        <v>4.3139969999999996</v>
      </c>
      <c r="E3807">
        <v>0.4167401</v>
      </c>
      <c r="F3807" t="s">
        <v>54</v>
      </c>
      <c r="G3807">
        <v>-479.06830000000002</v>
      </c>
      <c r="H3807" s="1">
        <v>1.80426E-6</v>
      </c>
      <c r="I3807">
        <v>211.57939999999999</v>
      </c>
      <c r="J3807">
        <v>-492.33690000000001</v>
      </c>
      <c r="K3807">
        <v>1.1139410000000001</v>
      </c>
      <c r="L3807">
        <v>234.96080000000001</v>
      </c>
      <c r="M3807">
        <v>0.1048367</v>
      </c>
      <c r="N3807">
        <v>-1.2438909999999999E-2</v>
      </c>
      <c r="O3807">
        <v>-0.99441179999999996</v>
      </c>
      <c r="P3807">
        <v>0.28481840000000003</v>
      </c>
      <c r="Q3807">
        <v>0.15511659999999999</v>
      </c>
      <c r="R3807">
        <v>-0.94594809999999996</v>
      </c>
      <c r="S3807">
        <v>1.5431820000000001</v>
      </c>
      <c r="T3807">
        <v>-0.1294042</v>
      </c>
      <c r="U3807">
        <v>-2.7296749999999999</v>
      </c>
      <c r="V3807">
        <v>-0.18543979999999999</v>
      </c>
      <c r="W3807">
        <v>0.16565879999999999</v>
      </c>
      <c r="X3807">
        <v>0.96859139999999999</v>
      </c>
      <c r="Y3807">
        <v>-0.39781230000000001</v>
      </c>
      <c r="Z3807">
        <v>2.981139E-2</v>
      </c>
      <c r="AA3807">
        <v>0.91698239999999998</v>
      </c>
      <c r="AB3807">
        <v>21</v>
      </c>
      <c r="AC3807">
        <v>13.2685999999999</v>
      </c>
      <c r="AD3807">
        <v>-1.11393919574</v>
      </c>
      <c r="AE3807">
        <v>-23.381399999999999</v>
      </c>
      <c r="AF3807">
        <v>-10.72563873965</v>
      </c>
      <c r="AG3807">
        <v>-1.11393919574</v>
      </c>
      <c r="AH3807">
        <v>24.6014418494902</v>
      </c>
      <c r="AI3807">
        <v>92.376770035384297</v>
      </c>
      <c r="AJ3807">
        <v>113.55604725811401</v>
      </c>
      <c r="AK3807">
        <v>26.8609591783156</v>
      </c>
      <c r="AL3807">
        <v>80.464492648576197</v>
      </c>
      <c r="AM3807">
        <v>100.838299794145</v>
      </c>
      <c r="AN3807">
        <v>1.00000002879771</v>
      </c>
    </row>
    <row r="3808" spans="1:40" x14ac:dyDescent="0.25">
      <c r="A3808" t="str">
        <f>"20190304154828444"</f>
        <v>20190304154828444</v>
      </c>
      <c r="B3808" t="str">
        <f>"1551685708440661"</f>
        <v>1551685708440661</v>
      </c>
      <c r="C3808" t="s">
        <v>40</v>
      </c>
      <c r="D3808">
        <v>4.3352789999999999</v>
      </c>
      <c r="E3808">
        <v>0.41704330000000001</v>
      </c>
      <c r="F3808" t="s">
        <v>54</v>
      </c>
      <c r="G3808">
        <v>-479.98340000000002</v>
      </c>
      <c r="H3808" s="1">
        <v>1.448531E-6</v>
      </c>
      <c r="I3808">
        <v>212.36070000000001</v>
      </c>
      <c r="J3808">
        <v>-492.32060000000001</v>
      </c>
      <c r="K3808">
        <v>1.113974</v>
      </c>
      <c r="L3808">
        <v>234.84209999999999</v>
      </c>
      <c r="M3808">
        <v>0.1081206</v>
      </c>
      <c r="N3808">
        <v>-1.241548E-2</v>
      </c>
      <c r="O3808">
        <v>-0.99406030000000001</v>
      </c>
      <c r="P3808">
        <v>0.28830899999999998</v>
      </c>
      <c r="Q3808">
        <v>0.1559642</v>
      </c>
      <c r="R3808">
        <v>-0.94475039999999999</v>
      </c>
      <c r="S3808">
        <v>1.4989619999999999</v>
      </c>
      <c r="T3808">
        <v>-0.1351639</v>
      </c>
      <c r="U3808">
        <v>-2.742264</v>
      </c>
      <c r="V3808">
        <v>-0.18585160000000001</v>
      </c>
      <c r="W3808">
        <v>0.16646340000000001</v>
      </c>
      <c r="X3808">
        <v>0.96837450000000003</v>
      </c>
      <c r="Y3808">
        <v>-0.38158019999999998</v>
      </c>
      <c r="Z3808">
        <v>3.181519E-2</v>
      </c>
      <c r="AA3808">
        <v>0.9237881</v>
      </c>
      <c r="AB3808">
        <v>21</v>
      </c>
      <c r="AC3808">
        <v>12.3371999999999</v>
      </c>
      <c r="AD3808">
        <v>-1.113972551469</v>
      </c>
      <c r="AE3808">
        <v>-22.481399999999901</v>
      </c>
      <c r="AF3808">
        <v>-9.8154539421346101</v>
      </c>
      <c r="AG3808">
        <v>-1.113972551469</v>
      </c>
      <c r="AH3808">
        <v>23.6389900662627</v>
      </c>
      <c r="AI3808">
        <v>92.492036685199494</v>
      </c>
      <c r="AJ3808">
        <v>112.549352175159</v>
      </c>
      <c r="AK3808">
        <v>25.620029708969</v>
      </c>
      <c r="AL3808">
        <v>80.417743350249296</v>
      </c>
      <c r="AM3808">
        <v>100.864171112504</v>
      </c>
      <c r="AN3808">
        <v>1.0000000265061799</v>
      </c>
    </row>
    <row r="3809" spans="1:40" x14ac:dyDescent="0.25">
      <c r="A3809" t="str">
        <f>"20190304154828458"</f>
        <v>20190304154828458</v>
      </c>
      <c r="B3809" t="str">
        <f>"1551685708450421"</f>
        <v>1551685708450421</v>
      </c>
      <c r="C3809" t="s">
        <v>40</v>
      </c>
      <c r="D3809">
        <v>4.321707</v>
      </c>
      <c r="E3809">
        <v>0.41694910000000002</v>
      </c>
      <c r="F3809" t="s">
        <v>54</v>
      </c>
      <c r="G3809">
        <v>-480.12220000000002</v>
      </c>
      <c r="H3809" s="1">
        <v>1.4868760000000001E-6</v>
      </c>
      <c r="I3809">
        <v>212.67449999999999</v>
      </c>
      <c r="J3809">
        <v>-492.30349999999999</v>
      </c>
      <c r="K3809">
        <v>1.1140049999999999</v>
      </c>
      <c r="L3809">
        <v>234.71940000000001</v>
      </c>
      <c r="M3809">
        <v>0.1115387</v>
      </c>
      <c r="N3809">
        <v>-1.2391839999999999E-2</v>
      </c>
      <c r="O3809">
        <v>-0.99368290000000004</v>
      </c>
      <c r="P3809">
        <v>0.2915874</v>
      </c>
      <c r="Q3809">
        <v>0.15679939999999901</v>
      </c>
      <c r="R3809">
        <v>-0.94360549999999999</v>
      </c>
      <c r="S3809">
        <v>1.5068360000000001</v>
      </c>
      <c r="T3809">
        <v>-0.13760610000000001</v>
      </c>
      <c r="U3809">
        <v>-2.7383120000000001</v>
      </c>
      <c r="V3809">
        <v>-0.18591849999999999</v>
      </c>
      <c r="W3809">
        <v>0.167259299999999</v>
      </c>
      <c r="X3809">
        <v>0.96822450000000004</v>
      </c>
      <c r="Y3809">
        <v>-0.38098959999999998</v>
      </c>
      <c r="Z3809">
        <v>3.2649600000000001E-2</v>
      </c>
      <c r="AA3809">
        <v>0.92400260000000001</v>
      </c>
      <c r="AB3809">
        <v>21</v>
      </c>
      <c r="AC3809">
        <v>12.181299999999901</v>
      </c>
      <c r="AD3809">
        <v>-1.11400351312399</v>
      </c>
      <c r="AE3809">
        <v>-22.044899999999998</v>
      </c>
      <c r="AF3809">
        <v>-9.6273958715417205</v>
      </c>
      <c r="AG3809">
        <v>-1.11400351312399</v>
      </c>
      <c r="AH3809">
        <v>23.220684554207899</v>
      </c>
      <c r="AI3809">
        <v>92.537496377650001</v>
      </c>
      <c r="AJ3809">
        <v>112.519106820765</v>
      </c>
      <c r="AK3809">
        <v>25.162033825997799</v>
      </c>
      <c r="AL3809">
        <v>80.371493188179002</v>
      </c>
      <c r="AM3809">
        <v>100.869632308847</v>
      </c>
      <c r="AN3809">
        <v>1.00000002223949</v>
      </c>
    </row>
    <row r="3810" spans="1:40" x14ac:dyDescent="0.25">
      <c r="A3810" t="str">
        <f>"20190304154828473"</f>
        <v>20190304154828473</v>
      </c>
      <c r="B3810" t="str">
        <f>"1551685708470916"</f>
        <v>1551685708470916</v>
      </c>
      <c r="C3810" t="s">
        <v>40</v>
      </c>
      <c r="D3810">
        <v>4.3121530000000003</v>
      </c>
      <c r="E3810">
        <v>0.41694940000000003</v>
      </c>
      <c r="F3810" t="s">
        <v>54</v>
      </c>
      <c r="G3810">
        <v>-479.8777</v>
      </c>
      <c r="H3810" s="1">
        <v>1.4787029999999901E-6</v>
      </c>
      <c r="I3810">
        <v>212.3426</v>
      </c>
      <c r="J3810">
        <v>-492.28070000000002</v>
      </c>
      <c r="K3810">
        <v>1.114047</v>
      </c>
      <c r="L3810">
        <v>234.5617</v>
      </c>
      <c r="M3810">
        <v>0.11597059999999999</v>
      </c>
      <c r="N3810">
        <v>-1.236312E-2</v>
      </c>
      <c r="O3810">
        <v>-0.99317569999999999</v>
      </c>
      <c r="P3810">
        <v>0.2965006</v>
      </c>
      <c r="Q3810">
        <v>0.15899650000000001</v>
      </c>
      <c r="R3810">
        <v>-0.94170489999999996</v>
      </c>
      <c r="S3810">
        <v>1.517609</v>
      </c>
      <c r="T3810">
        <v>-0.1360577</v>
      </c>
      <c r="U3810">
        <v>-2.732971</v>
      </c>
      <c r="V3810">
        <v>-0.18672230000000001</v>
      </c>
      <c r="W3810">
        <v>0.16939889999999999</v>
      </c>
      <c r="X3810">
        <v>0.96769769999999999</v>
      </c>
      <c r="Y3810">
        <v>-0.38042490000000001</v>
      </c>
      <c r="Z3810">
        <v>3.2198989999999997E-2</v>
      </c>
      <c r="AA3810">
        <v>0.92425109999999999</v>
      </c>
      <c r="AB3810">
        <v>21</v>
      </c>
      <c r="AC3810">
        <v>12.403</v>
      </c>
      <c r="AD3810">
        <v>-1.114045521297</v>
      </c>
      <c r="AE3810">
        <v>-22.219100000000001</v>
      </c>
      <c r="AF3810">
        <v>-9.7237031515677597</v>
      </c>
      <c r="AG3810">
        <v>-1.114045521297</v>
      </c>
      <c r="AH3810">
        <v>23.4626796033298</v>
      </c>
      <c r="AI3810">
        <v>92.511605006502194</v>
      </c>
      <c r="AJ3810">
        <v>112.510719211024</v>
      </c>
      <c r="AK3810">
        <v>25.422211441411601</v>
      </c>
      <c r="AL3810">
        <v>80.247128531275294</v>
      </c>
      <c r="AM3810">
        <v>100.92129893684</v>
      </c>
      <c r="AN3810">
        <v>1.0000000216118901</v>
      </c>
    </row>
    <row r="3811" spans="1:40" x14ac:dyDescent="0.25">
      <c r="A3811" t="str">
        <f>"20190304154828486"</f>
        <v>20190304154828486</v>
      </c>
      <c r="B3811" t="str">
        <f>"1551685708480678"</f>
        <v>1551685708480678</v>
      </c>
      <c r="C3811" t="s">
        <v>40</v>
      </c>
      <c r="D3811">
        <v>4.3089279999999999</v>
      </c>
      <c r="E3811">
        <v>0.41706569999999998</v>
      </c>
      <c r="F3811" t="s">
        <v>54</v>
      </c>
      <c r="G3811">
        <v>-479.13470000000001</v>
      </c>
      <c r="H3811" s="1">
        <v>1.757481E-6</v>
      </c>
      <c r="I3811">
        <v>211.18270000000001</v>
      </c>
      <c r="J3811">
        <v>-492.26330000000002</v>
      </c>
      <c r="K3811">
        <v>1.1140749999999999</v>
      </c>
      <c r="L3811">
        <v>234.44409999999999</v>
      </c>
      <c r="M3811">
        <v>0.11931559999999999</v>
      </c>
      <c r="N3811">
        <v>-1.234388E-2</v>
      </c>
      <c r="O3811">
        <v>-0.99277959999999998</v>
      </c>
      <c r="P3811">
        <v>0.29997079999999998</v>
      </c>
      <c r="Q3811">
        <v>0.15965570000000001</v>
      </c>
      <c r="R3811">
        <v>-0.94049349999999998</v>
      </c>
      <c r="S3811">
        <v>1.532349</v>
      </c>
      <c r="T3811">
        <v>-0.12985739999999901</v>
      </c>
      <c r="U3811">
        <v>-2.7251430000000001</v>
      </c>
      <c r="V3811">
        <v>-0.18706130000000001</v>
      </c>
      <c r="W3811">
        <v>0.17002200000000001</v>
      </c>
      <c r="X3811">
        <v>0.96752289999999996</v>
      </c>
      <c r="Y3811">
        <v>-0.38227630000000001</v>
      </c>
      <c r="Z3811">
        <v>3.0232539999999999E-2</v>
      </c>
      <c r="AA3811">
        <v>0.92355330000000002</v>
      </c>
      <c r="AB3811">
        <v>21</v>
      </c>
      <c r="AC3811">
        <v>13.1286</v>
      </c>
      <c r="AD3811">
        <v>-1.1140732425190001</v>
      </c>
      <c r="AE3811">
        <v>-23.261399999999899</v>
      </c>
      <c r="AF3811">
        <v>-10.2413240765868</v>
      </c>
      <c r="AG3811">
        <v>-1.1140732425190001</v>
      </c>
      <c r="AH3811">
        <v>24.6189417574987</v>
      </c>
      <c r="AI3811">
        <v>92.392522717461404</v>
      </c>
      <c r="AJ3811">
        <v>112.587001637814</v>
      </c>
      <c r="AK3811">
        <v>26.687415972523201</v>
      </c>
      <c r="AL3811">
        <v>80.210901678701902</v>
      </c>
      <c r="AM3811">
        <v>100.942577736865</v>
      </c>
      <c r="AN3811">
        <v>0.99999998623304898</v>
      </c>
    </row>
    <row r="3812" spans="1:40" x14ac:dyDescent="0.25">
      <c r="A3812" t="str">
        <f>"20190304154828503"</f>
        <v>20190304154828503</v>
      </c>
      <c r="B3812" t="str">
        <f>"1551685708500691"</f>
        <v>1551685708500691</v>
      </c>
      <c r="C3812" t="s">
        <v>40</v>
      </c>
      <c r="D3812">
        <v>4.2348980000000003</v>
      </c>
      <c r="E3812">
        <v>0.41710829999999999</v>
      </c>
      <c r="F3812" t="s">
        <v>54</v>
      </c>
      <c r="G3812">
        <v>-478.9649</v>
      </c>
      <c r="H3812" s="1">
        <v>1.8241940000000001E-6</v>
      </c>
      <c r="I3812">
        <v>210.98589999999999</v>
      </c>
      <c r="J3812">
        <v>-492.24020000000002</v>
      </c>
      <c r="K3812">
        <v>1.114112</v>
      </c>
      <c r="L3812">
        <v>234.29310000000001</v>
      </c>
      <c r="M3812">
        <v>0.12364940000000001</v>
      </c>
      <c r="N3812">
        <v>-1.2318529999999999E-2</v>
      </c>
      <c r="O3812">
        <v>-0.99224970000000001</v>
      </c>
      <c r="P3812">
        <v>0.30433080000000001</v>
      </c>
      <c r="Q3812">
        <v>0.16063559999999999</v>
      </c>
      <c r="R3812">
        <v>-0.9389248</v>
      </c>
      <c r="S3812">
        <v>1.5419620000000001</v>
      </c>
      <c r="T3812">
        <v>-0.12917799999999999</v>
      </c>
      <c r="U3812">
        <v>-2.7200009999999999</v>
      </c>
      <c r="V3812">
        <v>-0.18736829999999999</v>
      </c>
      <c r="W3812">
        <v>0.17095659999999999</v>
      </c>
      <c r="X3812">
        <v>0.96729880000000001</v>
      </c>
      <c r="Y3812">
        <v>-0.381465</v>
      </c>
      <c r="Z3812">
        <v>3.006112E-2</v>
      </c>
      <c r="AA3812">
        <v>0.9238944</v>
      </c>
      <c r="AB3812">
        <v>21</v>
      </c>
      <c r="AC3812">
        <v>13.2753</v>
      </c>
      <c r="AD3812">
        <v>-1.1141101758059999</v>
      </c>
      <c r="AE3812">
        <v>-23.307200000000002</v>
      </c>
      <c r="AF3812">
        <v>-10.273545655950899</v>
      </c>
      <c r="AG3812">
        <v>-1.1141101758059999</v>
      </c>
      <c r="AH3812">
        <v>24.727259213238199</v>
      </c>
      <c r="AI3812">
        <v>92.382571201721703</v>
      </c>
      <c r="AJ3812">
        <v>112.561638656431</v>
      </c>
      <c r="AK3812">
        <v>26.799707648170699</v>
      </c>
      <c r="AL3812">
        <v>80.156557588216899</v>
      </c>
      <c r="AM3812">
        <v>100.962579528815</v>
      </c>
      <c r="AN3812">
        <v>1.0000000037049399</v>
      </c>
    </row>
    <row r="3813" spans="1:40" x14ac:dyDescent="0.25">
      <c r="A3813" t="str">
        <f>"20190304154828521"</f>
        <v>20190304154828521</v>
      </c>
      <c r="B3813" t="str">
        <f>"1551685708510451"</f>
        <v>1551685708510451</v>
      </c>
      <c r="C3813" t="s">
        <v>40</v>
      </c>
      <c r="D3813">
        <v>4.247865</v>
      </c>
      <c r="E3813">
        <v>0.41712949999999999</v>
      </c>
      <c r="F3813" t="s">
        <v>54</v>
      </c>
      <c r="G3813">
        <v>-478.70949999999999</v>
      </c>
      <c r="H3813" s="1">
        <v>1.9240460000000001E-6</v>
      </c>
      <c r="I3813">
        <v>210.67939999999999</v>
      </c>
      <c r="J3813">
        <v>-492.21379999999999</v>
      </c>
      <c r="K3813">
        <v>1.114155</v>
      </c>
      <c r="L3813">
        <v>234.12629999999999</v>
      </c>
      <c r="M3813">
        <v>0.12848889999999999</v>
      </c>
      <c r="N3813">
        <v>-1.2289599999999999E-2</v>
      </c>
      <c r="O3813">
        <v>-0.99163480000000004</v>
      </c>
      <c r="P3813">
        <v>0.30976049999999999</v>
      </c>
      <c r="Q3813">
        <v>0.16185089999999999</v>
      </c>
      <c r="R3813">
        <v>-0.93693800000000005</v>
      </c>
      <c r="S3813">
        <v>1.5546260000000001</v>
      </c>
      <c r="T3813">
        <v>-0.12800739999999999</v>
      </c>
      <c r="U3813">
        <v>-2.7131349999999999</v>
      </c>
      <c r="V3813">
        <v>-0.18830340000000001</v>
      </c>
      <c r="W3813">
        <v>0.17211360000000001</v>
      </c>
      <c r="X3813">
        <v>0.96691199999999999</v>
      </c>
      <c r="Y3813">
        <v>-0.38121749999999999</v>
      </c>
      <c r="Z3813">
        <v>2.9737610000000001E-2</v>
      </c>
      <c r="AA3813">
        <v>0.92400700000000002</v>
      </c>
      <c r="AB3813">
        <v>21</v>
      </c>
      <c r="AC3813">
        <v>13.504300000000001</v>
      </c>
      <c r="AD3813">
        <v>-1.1141530759539999</v>
      </c>
      <c r="AE3813">
        <v>-23.446899999999999</v>
      </c>
      <c r="AF3813">
        <v>-10.3618823686413</v>
      </c>
      <c r="AG3813">
        <v>-1.1141530759539999</v>
      </c>
      <c r="AH3813">
        <v>24.945505760645599</v>
      </c>
      <c r="AI3813">
        <v>92.361919170565798</v>
      </c>
      <c r="AJ3813">
        <v>112.557056729254</v>
      </c>
      <c r="AK3813">
        <v>27.034944071564599</v>
      </c>
      <c r="AL3813">
        <v>80.089269367650004</v>
      </c>
      <c r="AM3813">
        <v>101.020254295003</v>
      </c>
      <c r="AN3813">
        <v>1.0000000387502499</v>
      </c>
    </row>
    <row r="3814" spans="1:40" x14ac:dyDescent="0.25">
      <c r="A3814" t="str">
        <f>"20190304154828542"</f>
        <v>20190304154828542</v>
      </c>
      <c r="B3814" t="str">
        <f>"1551685708530947"</f>
        <v>1551685708530947</v>
      </c>
      <c r="C3814" t="s">
        <v>40</v>
      </c>
      <c r="D3814">
        <v>4.2370000000000001</v>
      </c>
      <c r="E3814">
        <v>0.41726600000000003</v>
      </c>
      <c r="F3814" t="s">
        <v>54</v>
      </c>
      <c r="G3814">
        <v>-478.28280000000001</v>
      </c>
      <c r="H3814" s="1">
        <v>2.0894420000000002E-6</v>
      </c>
      <c r="I3814">
        <v>210.1344</v>
      </c>
      <c r="J3814">
        <v>-492.18009999999998</v>
      </c>
      <c r="K3814">
        <v>1.1142069999999999</v>
      </c>
      <c r="L3814">
        <v>233.92080000000001</v>
      </c>
      <c r="M3814">
        <v>0.1345277</v>
      </c>
      <c r="N3814">
        <v>-1.2251919999999999E-2</v>
      </c>
      <c r="O3814">
        <v>-0.99083429999999995</v>
      </c>
      <c r="P3814">
        <v>0.31627670000000002</v>
      </c>
      <c r="Q3814">
        <v>0.16327159999999999</v>
      </c>
      <c r="R3814">
        <v>-0.93451150000000005</v>
      </c>
      <c r="S3814">
        <v>1.570343</v>
      </c>
      <c r="T3814">
        <v>-0.1255908</v>
      </c>
      <c r="U3814">
        <v>-2.704437</v>
      </c>
      <c r="V3814">
        <v>-0.18921270000000001</v>
      </c>
      <c r="W3814">
        <v>0.17346249999999999</v>
      </c>
      <c r="X3814">
        <v>0.9664933</v>
      </c>
      <c r="Y3814">
        <v>-0.38090550000000001</v>
      </c>
      <c r="Z3814">
        <v>2.9024439999999999E-2</v>
      </c>
      <c r="AA3814">
        <v>0.92415829999999999</v>
      </c>
      <c r="AB3814">
        <v>21</v>
      </c>
      <c r="AC3814">
        <v>13.8972999999999</v>
      </c>
      <c r="AD3814">
        <v>-1.1142049105580001</v>
      </c>
      <c r="AE3814">
        <v>-23.7864</v>
      </c>
      <c r="AF3814">
        <v>-10.5535195957961</v>
      </c>
      <c r="AG3814">
        <v>-1.1142049105580001</v>
      </c>
      <c r="AH3814">
        <v>25.398310382038201</v>
      </c>
      <c r="AI3814">
        <v>92.319849990229102</v>
      </c>
      <c r="AJ3814">
        <v>112.563888106747</v>
      </c>
      <c r="AK3814">
        <v>27.526212937923699</v>
      </c>
      <c r="AL3814">
        <v>80.010802401612594</v>
      </c>
      <c r="AM3814">
        <v>101.076836170617</v>
      </c>
      <c r="AN3814">
        <v>0.99999999184621502</v>
      </c>
    </row>
    <row r="3815" spans="1:40" x14ac:dyDescent="0.25">
      <c r="A3815" t="str">
        <f>"20190304154828559"</f>
        <v>20190304154828559</v>
      </c>
      <c r="B3815" t="str">
        <f>"1551685708550468"</f>
        <v>1551685708550468</v>
      </c>
      <c r="C3815" t="s">
        <v>40</v>
      </c>
      <c r="D3815">
        <v>4.3881459999999999</v>
      </c>
      <c r="E3815">
        <v>0.4216144</v>
      </c>
      <c r="F3815" t="s">
        <v>54</v>
      </c>
      <c r="G3815">
        <v>-477.87909999999999</v>
      </c>
      <c r="H3815" s="1">
        <v>2.2479359999999998E-6</v>
      </c>
      <c r="I3815">
        <v>209.66419999999999</v>
      </c>
      <c r="J3815">
        <v>-492.15550000000002</v>
      </c>
      <c r="K3815">
        <v>1.114241</v>
      </c>
      <c r="L3815">
        <v>233.77549999999999</v>
      </c>
      <c r="M3815">
        <v>0.1388489</v>
      </c>
      <c r="N3815">
        <v>-1.222431E-2</v>
      </c>
      <c r="O3815">
        <v>-0.99023819999999996</v>
      </c>
      <c r="P3815">
        <v>0.32095499999999999</v>
      </c>
      <c r="Q3815">
        <v>0.16391240000000001</v>
      </c>
      <c r="R3815">
        <v>-0.93280260000000004</v>
      </c>
      <c r="S3815">
        <v>1.58847</v>
      </c>
      <c r="T3815">
        <v>-0.12375890000000001</v>
      </c>
      <c r="U3815">
        <v>-2.6942750000000002</v>
      </c>
      <c r="V3815">
        <v>-0.18987699999999999</v>
      </c>
      <c r="W3815">
        <v>0.17405090000000001</v>
      </c>
      <c r="X3815">
        <v>0.96625720000000004</v>
      </c>
      <c r="Y3815">
        <v>-0.38302019999999998</v>
      </c>
      <c r="Z3815">
        <v>2.8487780000000001E-2</v>
      </c>
      <c r="AA3815">
        <v>0.92330060000000003</v>
      </c>
      <c r="AB3815">
        <v>21</v>
      </c>
      <c r="AC3815">
        <v>14.276400000000001</v>
      </c>
      <c r="AD3815">
        <v>-1.114238752064</v>
      </c>
      <c r="AE3815">
        <v>-24.1113</v>
      </c>
      <c r="AF3815">
        <v>-10.7729801441004</v>
      </c>
      <c r="AG3815">
        <v>-1.114238752064</v>
      </c>
      <c r="AH3815">
        <v>25.819297133547501</v>
      </c>
      <c r="AI3815">
        <v>92.280739253414396</v>
      </c>
      <c r="AJ3815">
        <v>112.648107622382</v>
      </c>
      <c r="AK3815">
        <v>27.998834505246698</v>
      </c>
      <c r="AL3815">
        <v>79.976568741728499</v>
      </c>
      <c r="AM3815">
        <v>101.11740691515099</v>
      </c>
      <c r="AN3815">
        <v>0.99999998373582399</v>
      </c>
    </row>
    <row r="3816" spans="1:40" x14ac:dyDescent="0.25">
      <c r="A3816" t="str">
        <f>"20190304154828574"</f>
        <v>20190304154828574</v>
      </c>
      <c r="B3816" t="str">
        <f>"1551685708570964"</f>
        <v>1551685708570964</v>
      </c>
      <c r="C3816" t="s">
        <v>40</v>
      </c>
      <c r="D3816">
        <v>4.3848539999999998</v>
      </c>
      <c r="E3816">
        <v>0.423182</v>
      </c>
      <c r="F3816" t="s">
        <v>54</v>
      </c>
      <c r="G3816">
        <v>-480.58640000000003</v>
      </c>
      <c r="H3816" s="1">
        <v>1.6210889999999999E-6</v>
      </c>
      <c r="I3816">
        <v>213.8612</v>
      </c>
      <c r="J3816">
        <v>-492.12950000000001</v>
      </c>
      <c r="K3816">
        <v>1.1142799999999999</v>
      </c>
      <c r="L3816">
        <v>233.62639999999999</v>
      </c>
      <c r="M3816">
        <v>0.1433219</v>
      </c>
      <c r="N3816">
        <v>-1.219578E-2</v>
      </c>
      <c r="O3816">
        <v>-0.98960110000000001</v>
      </c>
      <c r="P3816">
        <v>0.3257369</v>
      </c>
      <c r="Q3816">
        <v>0.1653241</v>
      </c>
      <c r="R3816">
        <v>-0.930894</v>
      </c>
      <c r="S3816">
        <v>1.5700069999999999</v>
      </c>
      <c r="T3816">
        <v>-0.1512097</v>
      </c>
      <c r="U3816">
        <v>-2.702499</v>
      </c>
      <c r="V3816">
        <v>-0.19053390000000001</v>
      </c>
      <c r="W3816">
        <v>0.1754077</v>
      </c>
      <c r="X3816">
        <v>0.96588249999999998</v>
      </c>
      <c r="Y3816">
        <v>-0.37272810000000001</v>
      </c>
      <c r="Z3816">
        <v>3.7444079999999998E-2</v>
      </c>
      <c r="AA3816">
        <v>0.92718480000000003</v>
      </c>
      <c r="AB3816">
        <v>21</v>
      </c>
      <c r="AC3816">
        <v>11.5430999999999</v>
      </c>
      <c r="AD3816">
        <v>-1.114278378911</v>
      </c>
      <c r="AE3816">
        <v>-19.7652</v>
      </c>
      <c r="AF3816">
        <v>-8.5706046684073502</v>
      </c>
      <c r="AG3816">
        <v>-1.114278378911</v>
      </c>
      <c r="AH3816">
        <v>21.165457506058399</v>
      </c>
      <c r="AI3816">
        <v>92.793657764643399</v>
      </c>
      <c r="AJ3816">
        <v>112.044678492285</v>
      </c>
      <c r="AK3816">
        <v>22.862053103966801</v>
      </c>
      <c r="AL3816">
        <v>79.897615569384499</v>
      </c>
      <c r="AM3816">
        <v>101.15912461152</v>
      </c>
      <c r="AN3816">
        <v>1.0000000160373701</v>
      </c>
    </row>
    <row r="3817" spans="1:40" x14ac:dyDescent="0.25">
      <c r="A3817" t="str">
        <f>"20190304154828587"</f>
        <v>20190304154828587</v>
      </c>
      <c r="B3817" t="str">
        <f>"1551685708580725"</f>
        <v>1551685708580725</v>
      </c>
      <c r="C3817" t="s">
        <v>40</v>
      </c>
      <c r="D3817">
        <v>4.3892249999999997</v>
      </c>
      <c r="E3817">
        <v>0.42373090000000002</v>
      </c>
      <c r="F3817" t="s">
        <v>54</v>
      </c>
      <c r="G3817">
        <v>-480.65620000000001</v>
      </c>
      <c r="H3817" s="1">
        <v>1.6364600000000001E-6</v>
      </c>
      <c r="I3817">
        <v>213.9297</v>
      </c>
      <c r="J3817">
        <v>-492.1069</v>
      </c>
      <c r="K3817">
        <v>1.114312</v>
      </c>
      <c r="L3817">
        <v>233.49969999999999</v>
      </c>
      <c r="M3817">
        <v>0.1471626</v>
      </c>
      <c r="N3817">
        <v>-1.2170780000000001E-2</v>
      </c>
      <c r="O3817">
        <v>-0.98903759999999996</v>
      </c>
      <c r="P3817">
        <v>0.32963490000000001</v>
      </c>
      <c r="Q3817">
        <v>0.16541620000000001</v>
      </c>
      <c r="R3817">
        <v>-0.92950460000000001</v>
      </c>
      <c r="S3817">
        <v>1.5725100000000001</v>
      </c>
      <c r="T3817">
        <v>-0.1527202</v>
      </c>
      <c r="U3817">
        <v>-2.69957</v>
      </c>
      <c r="V3817">
        <v>-0.19084909999999999</v>
      </c>
      <c r="W3817">
        <v>0.175457</v>
      </c>
      <c r="X3817">
        <v>0.96581130000000004</v>
      </c>
      <c r="Y3817">
        <v>-0.37019360000000001</v>
      </c>
      <c r="Z3817">
        <v>3.7990509999999998E-2</v>
      </c>
      <c r="AA3817">
        <v>0.92817749999999999</v>
      </c>
      <c r="AB3817">
        <v>21</v>
      </c>
      <c r="AC3817">
        <v>11.4506999999999</v>
      </c>
      <c r="AD3817">
        <v>-1.11431036354</v>
      </c>
      <c r="AE3817">
        <v>-19.57</v>
      </c>
      <c r="AF3817">
        <v>-8.4254752951690008</v>
      </c>
      <c r="AG3817">
        <v>-1.11431036354</v>
      </c>
      <c r="AH3817">
        <v>20.9914360974789</v>
      </c>
      <c r="AI3817">
        <v>92.820332100658604</v>
      </c>
      <c r="AJ3817">
        <v>111.869380987589</v>
      </c>
      <c r="AK3817">
        <v>22.646649000908202</v>
      </c>
      <c r="AL3817">
        <v>79.894746252716999</v>
      </c>
      <c r="AM3817">
        <v>101.177923944989</v>
      </c>
      <c r="AN3817">
        <v>1.0000000025137501</v>
      </c>
    </row>
    <row r="3818" spans="1:40" x14ac:dyDescent="0.25">
      <c r="A3818" t="str">
        <f>"20190304154828610"</f>
        <v>20190304154828610</v>
      </c>
      <c r="B3818" t="str">
        <f>"1551685708600247"</f>
        <v>1551685708600247</v>
      </c>
      <c r="C3818" t="s">
        <v>40</v>
      </c>
      <c r="D3818">
        <v>4.401402</v>
      </c>
      <c r="E3818">
        <v>0.42444219999999999</v>
      </c>
      <c r="F3818" t="s">
        <v>54</v>
      </c>
      <c r="G3818">
        <v>-480.74439999999998</v>
      </c>
      <c r="H3818" s="1">
        <v>1.6605100000000001E-6</v>
      </c>
      <c r="I3818">
        <v>214.1217</v>
      </c>
      <c r="J3818">
        <v>-492.06920000000002</v>
      </c>
      <c r="K3818">
        <v>1.1143510000000001</v>
      </c>
      <c r="L3818">
        <v>233.2955</v>
      </c>
      <c r="M3818">
        <v>0.1534161</v>
      </c>
      <c r="N3818">
        <v>-1.21303E-2</v>
      </c>
      <c r="O3818">
        <v>-0.9880871</v>
      </c>
      <c r="P3818">
        <v>0.33613169999999998</v>
      </c>
      <c r="Q3818">
        <v>0.16631969999999999</v>
      </c>
      <c r="R3818">
        <v>-0.92701319999999998</v>
      </c>
      <c r="S3818">
        <v>1.5800780000000001</v>
      </c>
      <c r="T3818">
        <v>-0.1549577</v>
      </c>
      <c r="U3818">
        <v>-2.6947329999999998</v>
      </c>
      <c r="V3818">
        <v>-0.19155469999999999</v>
      </c>
      <c r="W3818">
        <v>0.17628829999999901</v>
      </c>
      <c r="X3818">
        <v>0.96552020000000005</v>
      </c>
      <c r="Y3818">
        <v>-0.36696719999999999</v>
      </c>
      <c r="Z3818">
        <v>3.8782980000000002E-2</v>
      </c>
      <c r="AA3818">
        <v>0.9294251</v>
      </c>
      <c r="AB3818">
        <v>21</v>
      </c>
      <c r="AC3818">
        <v>11.3248</v>
      </c>
      <c r="AD3818">
        <v>-1.1143493394899999</v>
      </c>
      <c r="AE3818">
        <v>-19.1738</v>
      </c>
      <c r="AF3818">
        <v>-8.2283220799945909</v>
      </c>
      <c r="AG3818">
        <v>-1.1143493394899999</v>
      </c>
      <c r="AH3818">
        <v>20.6326480622856</v>
      </c>
      <c r="AI3818">
        <v>92.871940551762293</v>
      </c>
      <c r="AJ3818">
        <v>111.742166263443</v>
      </c>
      <c r="AK3818">
        <v>22.240800902051301</v>
      </c>
      <c r="AL3818">
        <v>79.846362201983197</v>
      </c>
      <c r="AM3818">
        <v>101.22150069600001</v>
      </c>
      <c r="AN3818">
        <v>1.00000001220851</v>
      </c>
    </row>
    <row r="3819" spans="1:40" x14ac:dyDescent="0.25">
      <c r="A3819" t="str">
        <f>"20190304154828623"</f>
        <v>20190304154828623</v>
      </c>
      <c r="B3819" t="str">
        <f>"1551685708620739"</f>
        <v>1551685708620739</v>
      </c>
      <c r="C3819" t="s">
        <v>40</v>
      </c>
      <c r="D3819">
        <v>4.4065969999999997</v>
      </c>
      <c r="E3819">
        <v>0.42529420000000001</v>
      </c>
      <c r="F3819" t="s">
        <v>54</v>
      </c>
      <c r="G3819">
        <v>-480.67939999999999</v>
      </c>
      <c r="H3819" s="1">
        <v>1.6482510000000001E-6</v>
      </c>
      <c r="I3819">
        <v>214.10499999999999</v>
      </c>
      <c r="J3819">
        <v>-492.04509999999999</v>
      </c>
      <c r="K3819">
        <v>1.114382</v>
      </c>
      <c r="L3819">
        <v>233.1694</v>
      </c>
      <c r="M3819">
        <v>0.1573357</v>
      </c>
      <c r="N3819">
        <v>-1.210439E-2</v>
      </c>
      <c r="O3819">
        <v>-0.98747099999999999</v>
      </c>
      <c r="P3819">
        <v>0.34012949999999997</v>
      </c>
      <c r="Q3819">
        <v>0.16632629999999901</v>
      </c>
      <c r="R3819">
        <v>-0.92555240000000005</v>
      </c>
      <c r="S3819">
        <v>1.5942379999999901</v>
      </c>
      <c r="T3819">
        <v>-0.155976799999999</v>
      </c>
      <c r="U3819">
        <v>-2.6861269999999999</v>
      </c>
      <c r="V3819">
        <v>-0.19190589999999999</v>
      </c>
      <c r="W3819">
        <v>0.17624989999999999</v>
      </c>
      <c r="X3819">
        <v>0.96545740000000002</v>
      </c>
      <c r="Y3819">
        <v>-0.36819770000000002</v>
      </c>
      <c r="Z3819">
        <v>3.9171839999999999E-2</v>
      </c>
      <c r="AA3819">
        <v>0.92892200000000003</v>
      </c>
      <c r="AB3819">
        <v>21</v>
      </c>
      <c r="AC3819">
        <v>11.3657</v>
      </c>
      <c r="AD3819">
        <v>-1.1143803517489901</v>
      </c>
      <c r="AE3819">
        <v>-19.064399999999999</v>
      </c>
      <c r="AF3819">
        <v>-8.2037106336056702</v>
      </c>
      <c r="AG3819">
        <v>-1.1143803517489901</v>
      </c>
      <c r="AH3819">
        <v>20.5634454447822</v>
      </c>
      <c r="AI3819">
        <v>92.881525572903698</v>
      </c>
      <c r="AJ3819">
        <v>111.749345650759</v>
      </c>
      <c r="AK3819">
        <v>22.167498737765399</v>
      </c>
      <c r="AL3819">
        <v>79.848596683410506</v>
      </c>
      <c r="AM3819">
        <v>101.242263527991</v>
      </c>
      <c r="AN3819">
        <v>0.99999994645978796</v>
      </c>
    </row>
    <row r="3820" spans="1:40" x14ac:dyDescent="0.25">
      <c r="A3820" t="str">
        <f>"20190304154828643"</f>
        <v>20190304154828643</v>
      </c>
      <c r="B3820" t="str">
        <f>"1551685708630503"</f>
        <v>1551685708630503</v>
      </c>
      <c r="C3820" t="s">
        <v>40</v>
      </c>
      <c r="D3820">
        <v>4.3836729999999999</v>
      </c>
      <c r="E3820">
        <v>0.42564289999999999</v>
      </c>
      <c r="F3820" t="s">
        <v>54</v>
      </c>
      <c r="G3820">
        <v>-480.91680000000002</v>
      </c>
      <c r="H3820" s="1">
        <v>1.7082950000000001E-6</v>
      </c>
      <c r="I3820">
        <v>214.5155</v>
      </c>
      <c r="J3820">
        <v>-492.01029999999997</v>
      </c>
      <c r="K3820">
        <v>1.114422</v>
      </c>
      <c r="L3820">
        <v>232.9915</v>
      </c>
      <c r="M3820">
        <v>0.16292010000000001</v>
      </c>
      <c r="N3820">
        <v>-1.2067680000000001E-2</v>
      </c>
      <c r="O3820">
        <v>-0.98656549999999998</v>
      </c>
      <c r="P3820">
        <v>0.34611930000000002</v>
      </c>
      <c r="Q3820">
        <v>0.1665055</v>
      </c>
      <c r="R3820">
        <v>-0.92329700000000003</v>
      </c>
      <c r="S3820">
        <v>1.6000669999999999</v>
      </c>
      <c r="T3820">
        <v>-0.16022939999999999</v>
      </c>
      <c r="U3820">
        <v>-2.6821290000000002</v>
      </c>
      <c r="V3820">
        <v>-0.19272880000000001</v>
      </c>
      <c r="W3820">
        <v>0.17636009999999999</v>
      </c>
      <c r="X3820">
        <v>0.96527339999999995</v>
      </c>
      <c r="Y3820">
        <v>-0.36500310000000002</v>
      </c>
      <c r="Z3820">
        <v>4.0609149999999997E-2</v>
      </c>
      <c r="AA3820">
        <v>0.93012019999999995</v>
      </c>
      <c r="AB3820">
        <v>21</v>
      </c>
      <c r="AC3820">
        <v>11.093499999999899</v>
      </c>
      <c r="AD3820">
        <v>-1.1144202917049999</v>
      </c>
      <c r="AE3820">
        <v>-18.475999999999999</v>
      </c>
      <c r="AF3820">
        <v>-7.9137678242542204</v>
      </c>
      <c r="AG3820">
        <v>-1.1144202917049999</v>
      </c>
      <c r="AH3820">
        <v>19.983159402104501</v>
      </c>
      <c r="AI3820">
        <v>92.968133024222993</v>
      </c>
      <c r="AJ3820">
        <v>111.60464809867599</v>
      </c>
      <c r="AK3820">
        <v>21.521996037837301</v>
      </c>
      <c r="AL3820">
        <v>79.842182820236005</v>
      </c>
      <c r="AM3820">
        <v>101.29133196437</v>
      </c>
      <c r="AN3820">
        <v>1.0000000059845</v>
      </c>
    </row>
    <row r="3821" spans="1:40" x14ac:dyDescent="0.25">
      <c r="A3821" t="str">
        <f>"20190304154828655"</f>
        <v>20190304154828655</v>
      </c>
      <c r="B3821" t="str">
        <f>"1551685708650019"</f>
        <v>1551685708650019</v>
      </c>
      <c r="C3821" t="s">
        <v>40</v>
      </c>
      <c r="D3821">
        <v>4.3690160000000002</v>
      </c>
      <c r="E3821">
        <v>0.42593760000000003</v>
      </c>
      <c r="F3821" t="s">
        <v>54</v>
      </c>
      <c r="G3821">
        <v>-480.85640000000001</v>
      </c>
      <c r="H3821" s="1">
        <v>1.6979699999999999E-6</v>
      </c>
      <c r="I3821">
        <v>214.52420000000001</v>
      </c>
      <c r="J3821">
        <v>-491.98480000000001</v>
      </c>
      <c r="K3821">
        <v>1.114455</v>
      </c>
      <c r="L3821">
        <v>232.8646</v>
      </c>
      <c r="M3821">
        <v>0.16694479999999901</v>
      </c>
      <c r="N3821">
        <v>-1.2042300000000001E-2</v>
      </c>
      <c r="O3821">
        <v>-0.98589280000000001</v>
      </c>
      <c r="P3821">
        <v>0.34995569999999998</v>
      </c>
      <c r="Q3821">
        <v>0.16634280000000001</v>
      </c>
      <c r="R3821">
        <v>-0.92187969999999997</v>
      </c>
      <c r="S3821">
        <v>1.6145020000000001</v>
      </c>
      <c r="T3821">
        <v>-0.16131099999999901</v>
      </c>
      <c r="U3821">
        <v>-2.6731259999999999</v>
      </c>
      <c r="V3821">
        <v>-0.19281290000000001</v>
      </c>
      <c r="W3821">
        <v>0.17615500000000001</v>
      </c>
      <c r="X3821">
        <v>0.96529410000000004</v>
      </c>
      <c r="Y3821">
        <v>-0.36626069999999999</v>
      </c>
      <c r="Z3821">
        <v>4.101871E-2</v>
      </c>
      <c r="AA3821">
        <v>0.92960770000000004</v>
      </c>
      <c r="AB3821">
        <v>21</v>
      </c>
      <c r="AC3821">
        <v>11.128399999999999</v>
      </c>
      <c r="AD3821">
        <v>-1.11445330203</v>
      </c>
      <c r="AE3821">
        <v>-18.340399999999899</v>
      </c>
      <c r="AF3821">
        <v>-7.8888575931677298</v>
      </c>
      <c r="AG3821">
        <v>-1.11445330203</v>
      </c>
      <c r="AH3821">
        <v>19.887269593454299</v>
      </c>
      <c r="AI3821">
        <v>92.981836949138696</v>
      </c>
      <c r="AJ3821">
        <v>111.637176502933</v>
      </c>
      <c r="AK3821">
        <v>21.4238085356086</v>
      </c>
      <c r="AL3821">
        <v>79.854121529768506</v>
      </c>
      <c r="AM3821">
        <v>101.295896428739</v>
      </c>
      <c r="AN3821">
        <v>1.0000000489631</v>
      </c>
    </row>
    <row r="3822" spans="1:40" x14ac:dyDescent="0.25">
      <c r="A3822" t="str">
        <f>"20190304154828676"</f>
        <v>20190304154828676</v>
      </c>
      <c r="B3822" t="str">
        <f>"1551685708670515"</f>
        <v>1551685708670515</v>
      </c>
      <c r="C3822" t="s">
        <v>40</v>
      </c>
      <c r="D3822">
        <v>4.3899160000000004</v>
      </c>
      <c r="E3822">
        <v>0.43005759999999998</v>
      </c>
      <c r="F3822" t="s">
        <v>54</v>
      </c>
      <c r="G3822">
        <v>-480.91719999999998</v>
      </c>
      <c r="H3822" s="1">
        <v>1.7155529999999999E-6</v>
      </c>
      <c r="I3822">
        <v>214.68</v>
      </c>
      <c r="J3822">
        <v>-491.94619999999998</v>
      </c>
      <c r="K3822">
        <v>1.1145130000000001</v>
      </c>
      <c r="L3822">
        <v>232.67789999999999</v>
      </c>
      <c r="M3822">
        <v>0.1729387</v>
      </c>
      <c r="N3822">
        <v>-1.200827E-2</v>
      </c>
      <c r="O3822">
        <v>-0.98485940000000005</v>
      </c>
      <c r="P3822">
        <v>0.35632170000000002</v>
      </c>
      <c r="Q3822">
        <v>0.16651629999999901</v>
      </c>
      <c r="R3822">
        <v>-0.9194059</v>
      </c>
      <c r="S3822">
        <v>1.6234740000000001</v>
      </c>
      <c r="T3822">
        <v>-0.16347490000000001</v>
      </c>
      <c r="U3822">
        <v>-2.6674349999999998</v>
      </c>
      <c r="V3822">
        <v>-0.19364770000000001</v>
      </c>
      <c r="W3822">
        <v>0.17626020000000001</v>
      </c>
      <c r="X3822">
        <v>0.96510770000000001</v>
      </c>
      <c r="Y3822">
        <v>-0.36374630000000002</v>
      </c>
      <c r="Z3822">
        <v>4.177355E-2</v>
      </c>
      <c r="AA3822">
        <v>0.93056090000000002</v>
      </c>
      <c r="AB3822">
        <v>21</v>
      </c>
      <c r="AC3822">
        <v>11.0289999999999</v>
      </c>
      <c r="AD3822">
        <v>-1.11451128444699</v>
      </c>
      <c r="AE3822">
        <v>-17.997899999999898</v>
      </c>
      <c r="AF3822">
        <v>-7.7284941736815602</v>
      </c>
      <c r="AG3822">
        <v>-1.11451128444699</v>
      </c>
      <c r="AH3822">
        <v>19.579573599991601</v>
      </c>
      <c r="AI3822">
        <v>93.030791946394402</v>
      </c>
      <c r="AJ3822">
        <v>111.540254657002</v>
      </c>
      <c r="AK3822">
        <v>21.079171234972101</v>
      </c>
      <c r="AL3822">
        <v>79.847997507402496</v>
      </c>
      <c r="AM3822">
        <v>101.345671654852</v>
      </c>
      <c r="AN3822">
        <v>0.999999981209309</v>
      </c>
    </row>
    <row r="3823" spans="1:40" x14ac:dyDescent="0.25">
      <c r="A3823" t="str">
        <f>"20190304154828690"</f>
        <v>20190304154828690</v>
      </c>
      <c r="B3823" t="str">
        <f>"1551685708680275"</f>
        <v>1551685708680275</v>
      </c>
      <c r="C3823" t="s">
        <v>40</v>
      </c>
      <c r="D3823">
        <v>4.3675300000000004</v>
      </c>
      <c r="E3823">
        <v>0.4299422</v>
      </c>
      <c r="F3823" t="s">
        <v>54</v>
      </c>
      <c r="G3823">
        <v>-482.2004</v>
      </c>
      <c r="H3823" s="1">
        <v>2.0237979999999999E-6</v>
      </c>
      <c r="I3823">
        <v>216.52430000000001</v>
      </c>
      <c r="J3823">
        <v>-491.91849999999999</v>
      </c>
      <c r="K3823">
        <v>1.114547</v>
      </c>
      <c r="L3823">
        <v>232.54730000000001</v>
      </c>
      <c r="M3823">
        <v>0.17716899999999999</v>
      </c>
      <c r="N3823">
        <v>-1.1986800000000001E-2</v>
      </c>
      <c r="O3823">
        <v>-0.98410739999999997</v>
      </c>
      <c r="P3823">
        <v>0.36042279999999999</v>
      </c>
      <c r="Q3823">
        <v>0.16631499999999999</v>
      </c>
      <c r="R3823">
        <v>-0.91784239999999995</v>
      </c>
      <c r="S3823">
        <v>1.611877</v>
      </c>
      <c r="T3823">
        <v>-0.184332</v>
      </c>
      <c r="U3823">
        <v>-2.6716769999999999</v>
      </c>
      <c r="V3823">
        <v>-0.1938173</v>
      </c>
      <c r="W3823">
        <v>0.17601939999999999</v>
      </c>
      <c r="X3823">
        <v>0.96511760000000002</v>
      </c>
      <c r="Y3823">
        <v>-0.3559503</v>
      </c>
      <c r="Z3823">
        <v>4.8576029999999999E-2</v>
      </c>
      <c r="AA3823">
        <v>0.93324149999999995</v>
      </c>
      <c r="AB3823">
        <v>21</v>
      </c>
      <c r="AC3823">
        <v>9.7180999999999909</v>
      </c>
      <c r="AD3823">
        <v>-1.1145449762020001</v>
      </c>
      <c r="AE3823">
        <v>-16.0229999999999</v>
      </c>
      <c r="AF3823">
        <v>-6.7016531693382904</v>
      </c>
      <c r="AG3823">
        <v>-1.1145449762020001</v>
      </c>
      <c r="AH3823">
        <v>17.429702825769901</v>
      </c>
      <c r="AI3823">
        <v>93.415664303741096</v>
      </c>
      <c r="AJ3823">
        <v>111.03155818802</v>
      </c>
      <c r="AK3823">
        <v>18.706921347478001</v>
      </c>
      <c r="AL3823">
        <v>79.862013439851793</v>
      </c>
      <c r="AM3823">
        <v>101.355236879288</v>
      </c>
      <c r="AN3823">
        <v>0.99999997839270405</v>
      </c>
    </row>
    <row r="3824" spans="1:40" x14ac:dyDescent="0.25">
      <c r="A3824" t="str">
        <f>"20190304154828703"</f>
        <v>20190304154828703</v>
      </c>
      <c r="B3824" t="str">
        <f>"1551685708691011"</f>
        <v>1551685708691011</v>
      </c>
      <c r="C3824" t="s">
        <v>40</v>
      </c>
      <c r="D3824">
        <v>4.4059239999999997</v>
      </c>
      <c r="E3824">
        <v>0.430172</v>
      </c>
      <c r="F3824" t="s">
        <v>54</v>
      </c>
      <c r="G3824">
        <v>-482.00659999999999</v>
      </c>
      <c r="H3824" s="1">
        <v>1.9795420000000002E-6</v>
      </c>
      <c r="I3824">
        <v>216.29839999999999</v>
      </c>
      <c r="J3824">
        <v>-491.8931</v>
      </c>
      <c r="K3824">
        <v>1.1145799999999999</v>
      </c>
      <c r="L3824">
        <v>232.4308</v>
      </c>
      <c r="M3824">
        <v>0.18098649999999999</v>
      </c>
      <c r="N3824">
        <v>-1.196706E-2</v>
      </c>
      <c r="O3824">
        <v>-0.98341290000000003</v>
      </c>
      <c r="P3824">
        <v>0.36405979999999999</v>
      </c>
      <c r="Q3824">
        <v>0.16645799999999999</v>
      </c>
      <c r="R3824">
        <v>-0.91638010000000003</v>
      </c>
      <c r="S3824">
        <v>1.624817</v>
      </c>
      <c r="T3824">
        <v>-0.18270230000000001</v>
      </c>
      <c r="U3824">
        <v>-2.663605</v>
      </c>
      <c r="V3824">
        <v>-0.19391929999999999</v>
      </c>
      <c r="W3824">
        <v>0.1761269</v>
      </c>
      <c r="X3824">
        <v>0.96507750000000003</v>
      </c>
      <c r="Y3824">
        <v>-0.35689880000000002</v>
      </c>
      <c r="Z3824">
        <v>4.80936E-2</v>
      </c>
      <c r="AA3824">
        <v>0.93290419999999996</v>
      </c>
      <c r="AB3824">
        <v>21</v>
      </c>
      <c r="AC3824">
        <v>9.8865000000000105</v>
      </c>
      <c r="AD3824">
        <v>-1.11457802045799</v>
      </c>
      <c r="AE3824">
        <v>-16.132400000000001</v>
      </c>
      <c r="AF3824">
        <v>-6.7797250331061996</v>
      </c>
      <c r="AG3824">
        <v>-1.11457802045799</v>
      </c>
      <c r="AH3824">
        <v>17.5943412809584</v>
      </c>
      <c r="AI3824">
        <v>93.382927130470705</v>
      </c>
      <c r="AJ3824">
        <v>111.07344706164299</v>
      </c>
      <c r="AK3824">
        <v>18.8882979857649</v>
      </c>
      <c r="AL3824">
        <v>79.855756410750004</v>
      </c>
      <c r="AM3824">
        <v>101.361517198361</v>
      </c>
      <c r="AN3824">
        <v>0.99999998041117399</v>
      </c>
    </row>
    <row r="3825" spans="1:40" x14ac:dyDescent="0.25">
      <c r="A3825" t="str">
        <f>"20190304154828727"</f>
        <v>20190304154828727</v>
      </c>
      <c r="B3825" t="str">
        <f>"1551685708720291"</f>
        <v>1551685708720291</v>
      </c>
      <c r="C3825" t="s">
        <v>40</v>
      </c>
      <c r="D3825">
        <v>4.3812369999999996</v>
      </c>
      <c r="E3825">
        <v>0.42186030000000002</v>
      </c>
      <c r="F3825" t="s">
        <v>54</v>
      </c>
      <c r="G3825">
        <v>-481.91789999999997</v>
      </c>
      <c r="H3825" s="1">
        <v>1.9597029999999999E-6</v>
      </c>
      <c r="I3825">
        <v>216.2046</v>
      </c>
      <c r="J3825">
        <v>-491.84410000000003</v>
      </c>
      <c r="K3825">
        <v>1.114638</v>
      </c>
      <c r="L3825">
        <v>232.21129999999999</v>
      </c>
      <c r="M3825">
        <v>0.18825439999999999</v>
      </c>
      <c r="N3825">
        <v>-1.1928920000000001E-2</v>
      </c>
      <c r="O3825">
        <v>-0.98204789999999997</v>
      </c>
      <c r="P3825">
        <v>0.37085859999999998</v>
      </c>
      <c r="Q3825">
        <v>0.16668839999999999</v>
      </c>
      <c r="R3825">
        <v>-0.91360759999999996</v>
      </c>
      <c r="S3825">
        <v>1.6338809999999999</v>
      </c>
      <c r="T3825">
        <v>-0.18256120000000001</v>
      </c>
      <c r="U3825">
        <v>-2.6577609999999998</v>
      </c>
      <c r="V3825">
        <v>-0.19398950000000001</v>
      </c>
      <c r="W3825">
        <v>0.17628929999999901</v>
      </c>
      <c r="X3825">
        <v>0.96503380000000005</v>
      </c>
      <c r="Y3825">
        <v>-0.3532148</v>
      </c>
      <c r="Z3825">
        <v>4.8092740000000002E-2</v>
      </c>
      <c r="AA3825">
        <v>0.93430530000000001</v>
      </c>
      <c r="AB3825">
        <v>21</v>
      </c>
      <c r="AC3825">
        <v>9.9262000000000494</v>
      </c>
      <c r="AD3825">
        <v>-1.1146360402969999</v>
      </c>
      <c r="AE3825">
        <v>-16.006699999999899</v>
      </c>
      <c r="AF3825">
        <v>-6.7116449766735897</v>
      </c>
      <c r="AG3825">
        <v>-1.1146360402969999</v>
      </c>
      <c r="AH3825">
        <v>17.527860085919301</v>
      </c>
      <c r="AI3825">
        <v>93.398653028705496</v>
      </c>
      <c r="AJ3825">
        <v>110.95249119730001</v>
      </c>
      <c r="AK3825">
        <v>18.801980507031701</v>
      </c>
      <c r="AL3825">
        <v>79.846304272312594</v>
      </c>
      <c r="AM3825">
        <v>101.36602438302199</v>
      </c>
      <c r="AN3825">
        <v>1.0000000392735799</v>
      </c>
    </row>
    <row r="3826" spans="1:40" x14ac:dyDescent="0.25">
      <c r="A3826" t="str">
        <f>"20190304154828744"</f>
        <v>20190304154828744</v>
      </c>
      <c r="B3826" t="str">
        <f>"1551685708740787"</f>
        <v>1551685708740787</v>
      </c>
      <c r="C3826" t="s">
        <v>40</v>
      </c>
      <c r="D3826">
        <v>4.3618860000000002</v>
      </c>
      <c r="E3826">
        <v>0.42520370000000002</v>
      </c>
      <c r="F3826" t="s">
        <v>54</v>
      </c>
      <c r="G3826">
        <v>-474.62119999999999</v>
      </c>
      <c r="H3826">
        <v>7.999945E-2</v>
      </c>
      <c r="I3826">
        <v>205.98269999999999</v>
      </c>
      <c r="J3826">
        <v>-491.80529999999999</v>
      </c>
      <c r="K3826">
        <v>1.114684</v>
      </c>
      <c r="L3826">
        <v>232.04320000000001</v>
      </c>
      <c r="M3826">
        <v>0.1939082</v>
      </c>
      <c r="N3826">
        <v>-1.190136E-2</v>
      </c>
      <c r="O3826">
        <v>-0.98094760000000003</v>
      </c>
      <c r="P3826">
        <v>0.37617240000000002</v>
      </c>
      <c r="Q3826">
        <v>0.16675319999999999</v>
      </c>
      <c r="R3826">
        <v>-0.91142109999999998</v>
      </c>
      <c r="S3826">
        <v>1.7121580000000001</v>
      </c>
      <c r="T3826">
        <v>-0.1028548</v>
      </c>
      <c r="U3826">
        <v>-2.6074220000000001</v>
      </c>
      <c r="V3826">
        <v>-0.19407559999999999</v>
      </c>
      <c r="W3826">
        <v>0.1763024</v>
      </c>
      <c r="X3826">
        <v>0.96501400000000004</v>
      </c>
      <c r="Y3826">
        <v>-0.37614150000000002</v>
      </c>
      <c r="Z3826">
        <v>2.2357780000000001E-2</v>
      </c>
      <c r="AA3826">
        <v>0.92629249999999996</v>
      </c>
      <c r="AB3826">
        <v>22</v>
      </c>
      <c r="AC3826">
        <v>17.184100000000001</v>
      </c>
      <c r="AD3826">
        <v>-1.0346845499999999</v>
      </c>
      <c r="AE3826">
        <v>-26.060500000000001</v>
      </c>
      <c r="AF3826">
        <v>-11.791237240273</v>
      </c>
      <c r="AG3826">
        <v>-1.0346845499999999</v>
      </c>
      <c r="AH3826">
        <v>28.8664520951084</v>
      </c>
      <c r="AI3826">
        <v>91.900509055636107</v>
      </c>
      <c r="AJ3826">
        <v>112.218809760977</v>
      </c>
      <c r="AK3826">
        <v>31.19897280895</v>
      </c>
      <c r="AL3826">
        <v>79.845540812474098</v>
      </c>
      <c r="AM3826">
        <v>101.371164896586</v>
      </c>
      <c r="AN3826">
        <v>0.99999994747855803</v>
      </c>
    </row>
    <row r="3827" spans="1:40" x14ac:dyDescent="0.25">
      <c r="A3827" t="str">
        <f>"20190304154828765"</f>
        <v>20190304154828765</v>
      </c>
      <c r="B3827" t="str">
        <f>"1551685708760308"</f>
        <v>1551685708760308</v>
      </c>
      <c r="C3827" t="s">
        <v>40</v>
      </c>
      <c r="D3827">
        <v>4.3820699999999997</v>
      </c>
      <c r="E3827">
        <v>0.42548419999999998</v>
      </c>
      <c r="F3827" t="s">
        <v>54</v>
      </c>
      <c r="G3827">
        <v>-477.8793</v>
      </c>
      <c r="H3827" s="1">
        <v>2.2926120000000002E-6</v>
      </c>
      <c r="I3827">
        <v>210.68899999999999</v>
      </c>
      <c r="J3827">
        <v>-491.7602</v>
      </c>
      <c r="K3827">
        <v>1.1147400000000001</v>
      </c>
      <c r="L3827">
        <v>231.8535</v>
      </c>
      <c r="M3827">
        <v>0.20036899999999999</v>
      </c>
      <c r="N3827">
        <v>-1.187153E-2</v>
      </c>
      <c r="O3827">
        <v>-0.97964870000000004</v>
      </c>
      <c r="P3827">
        <v>0.38221519999999998</v>
      </c>
      <c r="Q3827">
        <v>0.16721549999999999</v>
      </c>
      <c r="R3827">
        <v>-0.90881849999999997</v>
      </c>
      <c r="S3827">
        <v>1.7041630000000001</v>
      </c>
      <c r="T3827">
        <v>-0.1364071</v>
      </c>
      <c r="U3827">
        <v>-2.6131739999999999</v>
      </c>
      <c r="V3827">
        <v>-0.19417090000000001</v>
      </c>
      <c r="W3827">
        <v>0.17670420000000001</v>
      </c>
      <c r="X3827">
        <v>0.96492140000000004</v>
      </c>
      <c r="Y3827">
        <v>-0.36690970000000001</v>
      </c>
      <c r="Z3827">
        <v>3.3291029999999999E-2</v>
      </c>
      <c r="AA3827">
        <v>0.92966070000000001</v>
      </c>
      <c r="AB3827">
        <v>22</v>
      </c>
      <c r="AC3827">
        <v>13.880899999999899</v>
      </c>
      <c r="AD3827">
        <v>-1.114737707388</v>
      </c>
      <c r="AE3827">
        <v>-21.164499999999901</v>
      </c>
      <c r="AF3827">
        <v>-9.34023645236352</v>
      </c>
      <c r="AG3827">
        <v>-1.114737707388</v>
      </c>
      <c r="AH3827">
        <v>23.471202789263401</v>
      </c>
      <c r="AI3827">
        <v>92.526716817076206</v>
      </c>
      <c r="AJ3827">
        <v>111.699811276918</v>
      </c>
      <c r="AK3827">
        <v>25.285964832631102</v>
      </c>
      <c r="AL3827">
        <v>79.822152813876897</v>
      </c>
      <c r="AM3827">
        <v>101.37766638012999</v>
      </c>
      <c r="AN3827">
        <v>1.0000000104411999</v>
      </c>
    </row>
    <row r="3828" spans="1:40" x14ac:dyDescent="0.25">
      <c r="A3828" t="str">
        <f>"20190304154828778"</f>
        <v>20190304154828778</v>
      </c>
      <c r="B3828" t="str">
        <f>"1551685708770069"</f>
        <v>1551685708770069</v>
      </c>
      <c r="C3828" t="s">
        <v>40</v>
      </c>
      <c r="D3828">
        <v>4.3534649999999999</v>
      </c>
      <c r="E3828">
        <v>0.42562739999999999</v>
      </c>
      <c r="F3828" t="s">
        <v>54</v>
      </c>
      <c r="G3828">
        <v>-477.98250000000002</v>
      </c>
      <c r="H3828" s="1">
        <v>2.260623E-6</v>
      </c>
      <c r="I3828">
        <v>211.00309999999999</v>
      </c>
      <c r="J3828">
        <v>-491.7294</v>
      </c>
      <c r="K3828">
        <v>1.1147819999999999</v>
      </c>
      <c r="L3828">
        <v>231.72739999999999</v>
      </c>
      <c r="M3828">
        <v>0.20472270000000001</v>
      </c>
      <c r="N3828">
        <v>-1.185197E-2</v>
      </c>
      <c r="O3828">
        <v>-0.97874839999999996</v>
      </c>
      <c r="P3828">
        <v>0.38619619999999999</v>
      </c>
      <c r="Q3828">
        <v>0.1670942</v>
      </c>
      <c r="R3828">
        <v>-0.90715619999999997</v>
      </c>
      <c r="S3828">
        <v>1.720154</v>
      </c>
      <c r="T3828">
        <v>-0.1391751</v>
      </c>
      <c r="U3828">
        <v>-2.60318</v>
      </c>
      <c r="V3828">
        <v>-0.19412409999999999</v>
      </c>
      <c r="W3828">
        <v>0.1765447</v>
      </c>
      <c r="X3828">
        <v>0.96496000000000004</v>
      </c>
      <c r="Y3828">
        <v>-0.36837170000000002</v>
      </c>
      <c r="Z3828">
        <v>3.4230900000000002E-2</v>
      </c>
      <c r="AA3828">
        <v>0.92904819999999999</v>
      </c>
      <c r="AB3828">
        <v>22</v>
      </c>
      <c r="AC3828">
        <v>13.746899999999901</v>
      </c>
      <c r="AD3828">
        <v>-1.114779739377</v>
      </c>
      <c r="AE3828">
        <v>-20.724299999999999</v>
      </c>
      <c r="AF3828">
        <v>-9.1941930902752205</v>
      </c>
      <c r="AG3828">
        <v>-1.114779739377</v>
      </c>
      <c r="AH3828">
        <v>23.053474511373199</v>
      </c>
      <c r="AI3828">
        <v>92.571763325435796</v>
      </c>
      <c r="AJ3828">
        <v>111.743115836247</v>
      </c>
      <c r="AK3828">
        <v>24.844287220508601</v>
      </c>
      <c r="AL3828">
        <v>79.831437347948096</v>
      </c>
      <c r="AM3828">
        <v>101.374552423626</v>
      </c>
      <c r="AN3828">
        <v>0.99999999944944995</v>
      </c>
    </row>
    <row r="3829" spans="1:40" x14ac:dyDescent="0.25">
      <c r="A3829" t="str">
        <f>"20190304154828794"</f>
        <v>20190304154828794</v>
      </c>
      <c r="B3829" t="str">
        <f>"1551685708790563"</f>
        <v>1551685708790563</v>
      </c>
      <c r="C3829" t="s">
        <v>40</v>
      </c>
      <c r="D3829">
        <v>4.3636019999999904</v>
      </c>
      <c r="E3829">
        <v>0.42594009999999999</v>
      </c>
      <c r="F3829" t="s">
        <v>54</v>
      </c>
      <c r="G3829">
        <v>-477.96809999999999</v>
      </c>
      <c r="H3829" s="1">
        <v>2.2707929999999999E-6</v>
      </c>
      <c r="I3829">
        <v>211.09</v>
      </c>
      <c r="J3829">
        <v>-491.6936</v>
      </c>
      <c r="K3829">
        <v>1.1148309999999999</v>
      </c>
      <c r="L3829">
        <v>231.58369999999999</v>
      </c>
      <c r="M3829">
        <v>0.20972460000000001</v>
      </c>
      <c r="N3829">
        <v>-1.1830139999999999E-2</v>
      </c>
      <c r="O3829">
        <v>-0.97768900000000003</v>
      </c>
      <c r="P3829">
        <v>0.39072420000000002</v>
      </c>
      <c r="Q3829">
        <v>0.1669611</v>
      </c>
      <c r="R3829">
        <v>-0.90523980000000004</v>
      </c>
      <c r="S3829">
        <v>1.7310179999999999</v>
      </c>
      <c r="T3829">
        <v>-0.14022699999999999</v>
      </c>
      <c r="U3829">
        <v>-2.5959469999999998</v>
      </c>
      <c r="V3829">
        <v>-0.1940268</v>
      </c>
      <c r="W3829">
        <v>0.1763672</v>
      </c>
      <c r="X3829">
        <v>0.96501199999999998</v>
      </c>
      <c r="Y3829">
        <v>-0.36749730000000003</v>
      </c>
      <c r="Z3829">
        <v>3.4607359999999997E-2</v>
      </c>
      <c r="AA3829">
        <v>0.92938050000000005</v>
      </c>
      <c r="AB3829">
        <v>22</v>
      </c>
      <c r="AC3829">
        <v>13.7255</v>
      </c>
      <c r="AD3829">
        <v>-1.1148287292069901</v>
      </c>
      <c r="AE3829">
        <v>-20.493699999999901</v>
      </c>
      <c r="AF3829">
        <v>-9.1032782197187903</v>
      </c>
      <c r="AG3829">
        <v>-1.1148287292069901</v>
      </c>
      <c r="AH3829">
        <v>22.8699218539874</v>
      </c>
      <c r="AI3829">
        <v>92.593179331337296</v>
      </c>
      <c r="AJ3829">
        <v>111.70482492355001</v>
      </c>
      <c r="AK3829">
        <v>24.6403296051121</v>
      </c>
      <c r="AL3829">
        <v>79.841769216305195</v>
      </c>
      <c r="AM3829">
        <v>101.368403046952</v>
      </c>
      <c r="AN3829">
        <v>0.99999997424903897</v>
      </c>
    </row>
    <row r="3830" spans="1:40" x14ac:dyDescent="0.25">
      <c r="A3830" t="str">
        <f>"20190304154828810"</f>
        <v>20190304154828810</v>
      </c>
      <c r="B3830" t="str">
        <f>"1551685708800323"</f>
        <v>1551685708800323</v>
      </c>
      <c r="C3830" t="s">
        <v>40</v>
      </c>
      <c r="D3830">
        <v>4.3398209999999997</v>
      </c>
      <c r="E3830">
        <v>0.42615429999999999</v>
      </c>
      <c r="F3830" t="s">
        <v>54</v>
      </c>
      <c r="G3830">
        <v>-478.13670000000002</v>
      </c>
      <c r="H3830" s="1">
        <v>2.211021E-6</v>
      </c>
      <c r="I3830">
        <v>211.43379999999999</v>
      </c>
      <c r="J3830">
        <v>-491.65499999999997</v>
      </c>
      <c r="K3830">
        <v>1.114887</v>
      </c>
      <c r="L3830">
        <v>231.4324</v>
      </c>
      <c r="M3830">
        <v>0.21506059999999999</v>
      </c>
      <c r="N3830">
        <v>-1.1808910000000001E-2</v>
      </c>
      <c r="O3830">
        <v>-0.97652930000000004</v>
      </c>
      <c r="P3830">
        <v>0.39514329999999998</v>
      </c>
      <c r="Q3830">
        <v>0.16676469999999999</v>
      </c>
      <c r="R3830">
        <v>-0.90335600000000005</v>
      </c>
      <c r="S3830">
        <v>1.7416689999999999</v>
      </c>
      <c r="T3830">
        <v>-0.1432233</v>
      </c>
      <c r="U3830">
        <v>-2.5886840000000002</v>
      </c>
      <c r="V3830">
        <v>-0.19348609999999999</v>
      </c>
      <c r="W3830">
        <v>0.1761316</v>
      </c>
      <c r="X3830">
        <v>0.96516360000000001</v>
      </c>
      <c r="Y3830">
        <v>-0.36623729999999999</v>
      </c>
      <c r="Z3830">
        <v>3.5614130000000001E-2</v>
      </c>
      <c r="AA3830">
        <v>0.92983970000000005</v>
      </c>
      <c r="AB3830">
        <v>22</v>
      </c>
      <c r="AC3830">
        <v>13.518299999999901</v>
      </c>
      <c r="AD3830">
        <v>-1.1148847889789999</v>
      </c>
      <c r="AE3830">
        <v>-19.9986</v>
      </c>
      <c r="AF3830">
        <v>-8.8817795472530996</v>
      </c>
      <c r="AG3830">
        <v>-1.1148847889789999</v>
      </c>
      <c r="AH3830">
        <v>22.390275222227</v>
      </c>
      <c r="AI3830">
        <v>92.650025285961306</v>
      </c>
      <c r="AJ3830">
        <v>111.637248949849</v>
      </c>
      <c r="AK3830">
        <v>24.113344864323</v>
      </c>
      <c r="AL3830">
        <v>79.855482973888996</v>
      </c>
      <c r="AM3830">
        <v>101.335809326898</v>
      </c>
      <c r="AN3830">
        <v>0.99999999308836496</v>
      </c>
    </row>
    <row r="3831" spans="1:40" x14ac:dyDescent="0.25">
      <c r="A3831" t="str">
        <f>"20190304154828833"</f>
        <v>20190304154828833</v>
      </c>
      <c r="B3831" t="str">
        <f>"1551685708820819"</f>
        <v>1551685708820819</v>
      </c>
      <c r="C3831" t="s">
        <v>40</v>
      </c>
      <c r="D3831">
        <v>4.36348</v>
      </c>
      <c r="E3831">
        <v>0.42648930000000002</v>
      </c>
      <c r="F3831" t="s">
        <v>54</v>
      </c>
      <c r="G3831">
        <v>-478.09710000000001</v>
      </c>
      <c r="H3831" s="1">
        <v>2.2307099999999999E-6</v>
      </c>
      <c r="I3831">
        <v>211.4821</v>
      </c>
      <c r="J3831">
        <v>-491.60199999999998</v>
      </c>
      <c r="K3831">
        <v>1.1149579999999999</v>
      </c>
      <c r="L3831">
        <v>231.23070000000001</v>
      </c>
      <c r="M3831">
        <v>0.22227189999999999</v>
      </c>
      <c r="N3831">
        <v>-1.178483E-2</v>
      </c>
      <c r="O3831">
        <v>-0.97491349999999999</v>
      </c>
      <c r="P3831">
        <v>0.4013871</v>
      </c>
      <c r="Q3831">
        <v>0.1670364</v>
      </c>
      <c r="R3831">
        <v>-0.90054880000000004</v>
      </c>
      <c r="S3831">
        <v>1.7536619999999901</v>
      </c>
      <c r="T3831">
        <v>-0.1442058</v>
      </c>
      <c r="U3831">
        <v>-2.5804900000000002</v>
      </c>
      <c r="V3831">
        <v>-0.1930789</v>
      </c>
      <c r="W3831">
        <v>0.17634939999999999</v>
      </c>
      <c r="X3831">
        <v>0.96520539999999999</v>
      </c>
      <c r="Y3831">
        <v>-0.3636817</v>
      </c>
      <c r="Z3831">
        <v>3.5962699999999903E-2</v>
      </c>
      <c r="AA3831">
        <v>0.93082880000000001</v>
      </c>
      <c r="AB3831">
        <v>22</v>
      </c>
      <c r="AC3831">
        <v>13.5048999999999</v>
      </c>
      <c r="AD3831">
        <v>-1.1149557692899901</v>
      </c>
      <c r="AE3831">
        <v>-19.7486</v>
      </c>
      <c r="AF3831">
        <v>-8.7581388538816203</v>
      </c>
      <c r="AG3831">
        <v>-1.1149557692899901</v>
      </c>
      <c r="AH3831">
        <v>22.2082496652991</v>
      </c>
      <c r="AI3831">
        <v>92.673998421787203</v>
      </c>
      <c r="AJ3831">
        <v>111.522501617676</v>
      </c>
      <c r="AK3831">
        <v>23.898838376532002</v>
      </c>
      <c r="AL3831">
        <v>79.842805773741205</v>
      </c>
      <c r="AM3831">
        <v>101.312091151704</v>
      </c>
      <c r="AN3831">
        <v>1.0000000183473601</v>
      </c>
    </row>
    <row r="3832" spans="1:40" x14ac:dyDescent="0.25">
      <c r="A3832" t="str">
        <f>"20190304154828848"</f>
        <v>20190304154828848</v>
      </c>
      <c r="B3832" t="str">
        <f>"1551685708840340"</f>
        <v>1551685708840340</v>
      </c>
      <c r="C3832" t="s">
        <v>40</v>
      </c>
      <c r="D3832">
        <v>4.3891549999999997</v>
      </c>
      <c r="E3832">
        <v>0.42683359999999898</v>
      </c>
      <c r="F3832" t="s">
        <v>54</v>
      </c>
      <c r="G3832">
        <v>-477.9323</v>
      </c>
      <c r="H3832" s="1">
        <v>2.2996060000000001E-6</v>
      </c>
      <c r="I3832">
        <v>211.38560000000001</v>
      </c>
      <c r="J3832">
        <v>-491.56450000000001</v>
      </c>
      <c r="K3832">
        <v>1.115011</v>
      </c>
      <c r="L3832">
        <v>231.0925</v>
      </c>
      <c r="M3832">
        <v>0.22729369999999999</v>
      </c>
      <c r="N3832">
        <v>-1.1771790000000001E-2</v>
      </c>
      <c r="O3832">
        <v>-0.97375520000000004</v>
      </c>
      <c r="P3832">
        <v>0.40594209999999997</v>
      </c>
      <c r="Q3832">
        <v>0.16697579999999901</v>
      </c>
      <c r="R3832">
        <v>-0.89851579999999998</v>
      </c>
      <c r="S3832">
        <v>1.7697750000000001</v>
      </c>
      <c r="T3832">
        <v>-0.14434949999999999</v>
      </c>
      <c r="U3832">
        <v>-2.5692750000000002</v>
      </c>
      <c r="V3832">
        <v>-0.1930115</v>
      </c>
      <c r="W3832">
        <v>0.17625270000000001</v>
      </c>
      <c r="X3832">
        <v>0.96523650000000005</v>
      </c>
      <c r="Y3832">
        <v>-0.36473620000000001</v>
      </c>
      <c r="Z3832">
        <v>3.6046630000000003E-2</v>
      </c>
      <c r="AA3832">
        <v>0.93041289999999999</v>
      </c>
      <c r="AB3832">
        <v>22</v>
      </c>
      <c r="AC3832">
        <v>13.632199999999999</v>
      </c>
      <c r="AD3832">
        <v>-1.1150087003939999</v>
      </c>
      <c r="AE3832">
        <v>-19.706899999999901</v>
      </c>
      <c r="AF3832">
        <v>-8.7767767295964507</v>
      </c>
      <c r="AG3832">
        <v>-1.1150087003939999</v>
      </c>
      <c r="AH3832">
        <v>22.241594776063501</v>
      </c>
      <c r="AI3832">
        <v>92.669897319345594</v>
      </c>
      <c r="AJ3832">
        <v>111.53473471399199</v>
      </c>
      <c r="AK3832">
        <v>23.936657919303499</v>
      </c>
      <c r="AL3832">
        <v>79.848434018773503</v>
      </c>
      <c r="AM3832">
        <v>101.307889129106</v>
      </c>
      <c r="AN3832">
        <v>0.99999997716089395</v>
      </c>
    </row>
    <row r="3833" spans="1:40" x14ac:dyDescent="0.25">
      <c r="A3833" t="str">
        <f>"20190304154828866"</f>
        <v>20190304154828866</v>
      </c>
      <c r="B3833" t="str">
        <f>"1551685708860835"</f>
        <v>1551685708860835</v>
      </c>
      <c r="C3833" t="s">
        <v>40</v>
      </c>
      <c r="D3833">
        <v>4.3538220000000001</v>
      </c>
      <c r="E3833">
        <v>0.4271585</v>
      </c>
      <c r="F3833" t="s">
        <v>54</v>
      </c>
      <c r="G3833">
        <v>-477.98149999999998</v>
      </c>
      <c r="H3833" s="1">
        <v>2.284971E-6</v>
      </c>
      <c r="I3833">
        <v>211.55099999999999</v>
      </c>
      <c r="J3833">
        <v>-491.517</v>
      </c>
      <c r="K3833">
        <v>1.115073</v>
      </c>
      <c r="L3833">
        <v>230.92099999999999</v>
      </c>
      <c r="M3833">
        <v>0.2335931</v>
      </c>
      <c r="N3833">
        <v>-1.1757689999999999E-2</v>
      </c>
      <c r="O3833">
        <v>-0.97226349999999995</v>
      </c>
      <c r="P3833">
        <v>0.41135080000000002</v>
      </c>
      <c r="Q3833">
        <v>0.16714279999999901</v>
      </c>
      <c r="R3833">
        <v>-0.89602159999999997</v>
      </c>
      <c r="S3833">
        <v>1.780518</v>
      </c>
      <c r="T3833">
        <v>-0.1461605</v>
      </c>
      <c r="U3833">
        <v>-2.5615839999999999</v>
      </c>
      <c r="V3833">
        <v>-0.1926157</v>
      </c>
      <c r="W3833">
        <v>0.17638129999999999</v>
      </c>
      <c r="X3833">
        <v>0.96529209999999999</v>
      </c>
      <c r="Y3833">
        <v>-0.36263440000000002</v>
      </c>
      <c r="Z3833">
        <v>3.6653089999999999E-2</v>
      </c>
      <c r="AA3833">
        <v>0.93121039999999999</v>
      </c>
      <c r="AB3833">
        <v>22</v>
      </c>
      <c r="AC3833">
        <v>13.535500000000001</v>
      </c>
      <c r="AD3833">
        <v>-1.115070715029</v>
      </c>
      <c r="AE3833">
        <v>-19.37</v>
      </c>
      <c r="AF3833">
        <v>-8.6167832837391707</v>
      </c>
      <c r="AG3833">
        <v>-1.115070715029</v>
      </c>
      <c r="AH3833">
        <v>21.947191662701702</v>
      </c>
      <c r="AI3833">
        <v>92.707648181547796</v>
      </c>
      <c r="AJ3833">
        <v>111.435686273876</v>
      </c>
      <c r="AK3833">
        <v>23.604481751095602</v>
      </c>
      <c r="AL3833">
        <v>79.840948790848103</v>
      </c>
      <c r="AM3833">
        <v>101.284662897657</v>
      </c>
      <c r="AN3833">
        <v>1.0000000045992901</v>
      </c>
    </row>
    <row r="3834" spans="1:40" x14ac:dyDescent="0.25">
      <c r="A3834" t="str">
        <f>"20190304154828890"</f>
        <v>20190304154828890</v>
      </c>
      <c r="B3834" t="str">
        <f>"1551685708880356"</f>
        <v>1551685708880356</v>
      </c>
      <c r="C3834" t="s">
        <v>40</v>
      </c>
      <c r="D3834">
        <v>4.3526759999999998</v>
      </c>
      <c r="E3834">
        <v>0.427504</v>
      </c>
      <c r="F3834" t="s">
        <v>54</v>
      </c>
      <c r="G3834">
        <v>-477.93020000000001</v>
      </c>
      <c r="H3834" s="1">
        <v>2.3096439999999998E-6</v>
      </c>
      <c r="I3834">
        <v>211.59450000000001</v>
      </c>
      <c r="J3834">
        <v>-491.45530000000002</v>
      </c>
      <c r="K3834">
        <v>1.1151489999999999</v>
      </c>
      <c r="L3834">
        <v>230.70439999999999</v>
      </c>
      <c r="M3834">
        <v>0.24166850000000001</v>
      </c>
      <c r="N3834">
        <v>-1.174335E-2</v>
      </c>
      <c r="O3834">
        <v>-0.97028780000000003</v>
      </c>
      <c r="P3834">
        <v>0.4181262</v>
      </c>
      <c r="Q3834">
        <v>0.1662382</v>
      </c>
      <c r="R3834">
        <v>-0.89304810000000001</v>
      </c>
      <c r="S3834">
        <v>1.7940670000000001</v>
      </c>
      <c r="T3834">
        <v>-0.14723900000000001</v>
      </c>
      <c r="U3834">
        <v>-2.5519560000000001</v>
      </c>
      <c r="V3834">
        <v>-0.1918849</v>
      </c>
      <c r="W3834">
        <v>0.1754368</v>
      </c>
      <c r="X3834">
        <v>0.96560970000000002</v>
      </c>
      <c r="Y3834">
        <v>-0.35983979999999999</v>
      </c>
      <c r="Z3834">
        <v>3.701604E-2</v>
      </c>
      <c r="AA3834">
        <v>0.93227950000000004</v>
      </c>
      <c r="AB3834">
        <v>22</v>
      </c>
      <c r="AC3834">
        <v>13.5251</v>
      </c>
      <c r="AD3834">
        <v>-1.1151466903559999</v>
      </c>
      <c r="AE3834">
        <v>-19.1098999999999</v>
      </c>
      <c r="AF3834">
        <v>-8.48631171050571</v>
      </c>
      <c r="AG3834">
        <v>-1.1151466903559999</v>
      </c>
      <c r="AH3834">
        <v>21.762822789588999</v>
      </c>
      <c r="AI3834">
        <v>92.733208394238702</v>
      </c>
      <c r="AJ3834">
        <v>111.30306610300001</v>
      </c>
      <c r="AK3834">
        <v>23.385497522180898</v>
      </c>
      <c r="AL3834">
        <v>79.895921726409895</v>
      </c>
      <c r="AM3834">
        <v>101.239336781234</v>
      </c>
      <c r="AN3834">
        <v>0.99999998918816901</v>
      </c>
    </row>
    <row r="3835" spans="1:40" x14ac:dyDescent="0.25">
      <c r="A3835" t="str">
        <f>"20190304154828911"</f>
        <v>20190304154828911</v>
      </c>
      <c r="B3835" t="str">
        <f>"1551685708900851"</f>
        <v>1551685708900851</v>
      </c>
      <c r="C3835" t="s">
        <v>40</v>
      </c>
      <c r="D3835">
        <v>4.3446809999999996</v>
      </c>
      <c r="E3835">
        <v>0.42787890000000001</v>
      </c>
      <c r="F3835" t="s">
        <v>54</v>
      </c>
      <c r="G3835">
        <v>-478.10849999999999</v>
      </c>
      <c r="H3835" s="1">
        <v>2.2478540000000001E-6</v>
      </c>
      <c r="I3835">
        <v>211.99</v>
      </c>
      <c r="J3835">
        <v>-491.39760000000001</v>
      </c>
      <c r="K3835">
        <v>1.1152260000000001</v>
      </c>
      <c r="L3835">
        <v>230.5085</v>
      </c>
      <c r="M3835">
        <v>0.2491101</v>
      </c>
      <c r="N3835">
        <v>-1.1734420000000001E-2</v>
      </c>
      <c r="O3835">
        <v>-0.96840409999999999</v>
      </c>
      <c r="P3835">
        <v>0.42489470000000001</v>
      </c>
      <c r="Q3835">
        <v>0.16560649999999999</v>
      </c>
      <c r="R3835">
        <v>-0.88996600000000003</v>
      </c>
      <c r="S3835">
        <v>1.8111269999999999</v>
      </c>
      <c r="T3835">
        <v>-0.15132279999999901</v>
      </c>
      <c r="U3835">
        <v>-2.5395050000000001</v>
      </c>
      <c r="V3835">
        <v>-0.19180150000000001</v>
      </c>
      <c r="W3835">
        <v>0.17476169999999999</v>
      </c>
      <c r="X3835">
        <v>0.96574870000000002</v>
      </c>
      <c r="Y3835">
        <v>-0.35895719999999998</v>
      </c>
      <c r="Z3835">
        <v>3.836154E-2</v>
      </c>
      <c r="AA3835">
        <v>0.93256530000000004</v>
      </c>
      <c r="AB3835">
        <v>22</v>
      </c>
      <c r="AC3835">
        <v>13.289099999999999</v>
      </c>
      <c r="AD3835">
        <v>-1.115223752146</v>
      </c>
      <c r="AE3835">
        <v>-18.5184999999999</v>
      </c>
      <c r="AF3835">
        <v>-8.2369233355098093</v>
      </c>
      <c r="AG3835">
        <v>-1.115223752146</v>
      </c>
      <c r="AH3835">
        <v>21.194564649534801</v>
      </c>
      <c r="AI3835">
        <v>92.807810525811206</v>
      </c>
      <c r="AJ3835">
        <v>111.23780686919</v>
      </c>
      <c r="AK3835">
        <v>22.766207429779001</v>
      </c>
      <c r="AL3835">
        <v>79.935209272148001</v>
      </c>
      <c r="AM3835">
        <v>101.23300017349599</v>
      </c>
      <c r="AN3835">
        <v>1.00000000937041</v>
      </c>
    </row>
    <row r="3836" spans="1:40" x14ac:dyDescent="0.25">
      <c r="A3836" t="str">
        <f>"20190304154828935"</f>
        <v>20190304154828935</v>
      </c>
      <c r="B3836" t="str">
        <f>"1551685708930131"</f>
        <v>1551685708930131</v>
      </c>
      <c r="C3836" t="s">
        <v>40</v>
      </c>
      <c r="D3836">
        <v>4.3177880000000002</v>
      </c>
      <c r="E3836">
        <v>0.42841319999999999</v>
      </c>
      <c r="F3836" t="s">
        <v>54</v>
      </c>
      <c r="G3836">
        <v>-478.22300000000001</v>
      </c>
      <c r="H3836" s="1">
        <v>2.2102609999999998E-6</v>
      </c>
      <c r="I3836">
        <v>212.2911</v>
      </c>
      <c r="J3836">
        <v>-491.3322</v>
      </c>
      <c r="K3836">
        <v>1.1153139999999999</v>
      </c>
      <c r="L3836">
        <v>230.29419999999999</v>
      </c>
      <c r="M3836">
        <v>0.25741510000000001</v>
      </c>
      <c r="N3836">
        <v>-1.17298E-2</v>
      </c>
      <c r="O3836">
        <v>-0.96623000000000003</v>
      </c>
      <c r="P3836">
        <v>0.432145</v>
      </c>
      <c r="Q3836">
        <v>0.16489960000000001</v>
      </c>
      <c r="R3836">
        <v>-0.88659979999999905</v>
      </c>
      <c r="S3836">
        <v>1.8276060000000001</v>
      </c>
      <c r="T3836">
        <v>-0.1547058</v>
      </c>
      <c r="U3836">
        <v>-2.527161</v>
      </c>
      <c r="V3836">
        <v>-0.19139020000000001</v>
      </c>
      <c r="W3836">
        <v>0.1740138</v>
      </c>
      <c r="X3836">
        <v>0.96596530000000003</v>
      </c>
      <c r="Y3836">
        <v>-0.35707230000000001</v>
      </c>
      <c r="Z3836">
        <v>3.9465640000000003E-2</v>
      </c>
      <c r="AA3836">
        <v>0.93324269999999998</v>
      </c>
      <c r="AB3836">
        <v>22</v>
      </c>
      <c r="AC3836">
        <v>13.1091999999999</v>
      </c>
      <c r="AD3836">
        <v>-1.1153117897389999</v>
      </c>
      <c r="AE3836">
        <v>-18.0030999999999</v>
      </c>
      <c r="AF3836">
        <v>-8.0126864497571404</v>
      </c>
      <c r="AG3836">
        <v>-1.1153117897389999</v>
      </c>
      <c r="AH3836">
        <v>20.719099346530001</v>
      </c>
      <c r="AI3836">
        <v>92.874205264466198</v>
      </c>
      <c r="AJ3836">
        <v>111.142955425376</v>
      </c>
      <c r="AK3836">
        <v>22.242485073881301</v>
      </c>
      <c r="AL3836">
        <v>79.978727378953394</v>
      </c>
      <c r="AM3836">
        <v>101.20707278457201</v>
      </c>
      <c r="AN3836">
        <v>0.99999998602528495</v>
      </c>
    </row>
    <row r="3837" spans="1:40" x14ac:dyDescent="0.25">
      <c r="A3837" t="str">
        <f>"20190304154828957"</f>
        <v>20190304154828957</v>
      </c>
      <c r="B3837" t="str">
        <f>"1551685708950628"</f>
        <v>1551685708950628</v>
      </c>
      <c r="C3837" t="s">
        <v>40</v>
      </c>
      <c r="D3837">
        <v>4.3239859999999997</v>
      </c>
      <c r="E3837">
        <v>0.42865259999999999</v>
      </c>
      <c r="F3837" t="s">
        <v>54</v>
      </c>
      <c r="G3837">
        <v>-478.35840000000002</v>
      </c>
      <c r="H3837" s="1">
        <v>2.1641690000000002E-6</v>
      </c>
      <c r="I3837">
        <v>212.61080000000001</v>
      </c>
      <c r="J3837">
        <v>-491.27</v>
      </c>
      <c r="K3837">
        <v>1.115394</v>
      </c>
      <c r="L3837">
        <v>230.09630000000001</v>
      </c>
      <c r="M3837">
        <v>0.26520909999999998</v>
      </c>
      <c r="N3837">
        <v>-1.172868E-2</v>
      </c>
      <c r="O3837">
        <v>-0.96411959999999997</v>
      </c>
      <c r="P3837">
        <v>0.43939210000000001</v>
      </c>
      <c r="Q3837">
        <v>0.1638675</v>
      </c>
      <c r="R3837">
        <v>-0.88322279999999997</v>
      </c>
      <c r="S3837">
        <v>1.8445739999999999</v>
      </c>
      <c r="T3837">
        <v>-0.15857160000000001</v>
      </c>
      <c r="U3837">
        <v>-2.51416</v>
      </c>
      <c r="V3837">
        <v>-0.19147529999999999</v>
      </c>
      <c r="W3837">
        <v>0.17294209999999999</v>
      </c>
      <c r="X3837">
        <v>0.96614089999999997</v>
      </c>
      <c r="Y3837">
        <v>-0.3558926</v>
      </c>
      <c r="Z3837">
        <v>4.0724820000000002E-2</v>
      </c>
      <c r="AA3837">
        <v>0.93363910000000006</v>
      </c>
      <c r="AB3837">
        <v>22</v>
      </c>
      <c r="AC3837">
        <v>12.9115999999999</v>
      </c>
      <c r="AD3837">
        <v>-1.115391835831</v>
      </c>
      <c r="AE3837">
        <v>-17.485499999999998</v>
      </c>
      <c r="AF3837">
        <v>-7.7910341118263799</v>
      </c>
      <c r="AG3837">
        <v>-1.115391835831</v>
      </c>
      <c r="AH3837">
        <v>20.2305093404463</v>
      </c>
      <c r="AI3837">
        <v>92.945306723139595</v>
      </c>
      <c r="AJ3837">
        <v>111.062348867563</v>
      </c>
      <c r="AK3837">
        <v>21.707552134060801</v>
      </c>
      <c r="AL3837">
        <v>80.041076760823898</v>
      </c>
      <c r="AM3837">
        <v>101.20994349708501</v>
      </c>
      <c r="AN3837">
        <v>0.99999999955765495</v>
      </c>
    </row>
    <row r="3838" spans="1:40" x14ac:dyDescent="0.25">
      <c r="A3838" t="str">
        <f>"20190304154828978"</f>
        <v>20190304154828978</v>
      </c>
      <c r="B3838" t="str">
        <f>"1551685708970147"</f>
        <v>1551685708970147</v>
      </c>
      <c r="C3838" t="s">
        <v>40</v>
      </c>
      <c r="D3838">
        <v>4.3287389999999997</v>
      </c>
      <c r="E3838">
        <v>0.42886000000000002</v>
      </c>
      <c r="F3838" t="s">
        <v>54</v>
      </c>
      <c r="G3838">
        <v>-478.44450000000001</v>
      </c>
      <c r="H3838" s="1">
        <v>2.1382039999999998E-6</v>
      </c>
      <c r="I3838">
        <v>212.89</v>
      </c>
      <c r="J3838">
        <v>-491.20530000000002</v>
      </c>
      <c r="K3838">
        <v>1.1154649999999999</v>
      </c>
      <c r="L3838">
        <v>229.89670000000001</v>
      </c>
      <c r="M3838">
        <v>0.27317419999999998</v>
      </c>
      <c r="N3838">
        <v>-1.172894E-2</v>
      </c>
      <c r="O3838">
        <v>-0.9618932</v>
      </c>
      <c r="P3838">
        <v>0.44701950000000001</v>
      </c>
      <c r="Q3838">
        <v>0.16276849999999901</v>
      </c>
      <c r="R3838">
        <v>-0.87959100000000001</v>
      </c>
      <c r="S3838">
        <v>1.863281</v>
      </c>
      <c r="T3838">
        <v>-0.16204379999999999</v>
      </c>
      <c r="U3838">
        <v>-2.4997250000000002</v>
      </c>
      <c r="V3838">
        <v>-0.19180929999999999</v>
      </c>
      <c r="W3838">
        <v>0.17180589999999901</v>
      </c>
      <c r="X3838">
        <v>0.96627739999999995</v>
      </c>
      <c r="Y3838">
        <v>-0.35520740000000001</v>
      </c>
      <c r="Z3838">
        <v>4.1854349999999998E-2</v>
      </c>
      <c r="AA3838">
        <v>0.93384999999999996</v>
      </c>
      <c r="AB3838">
        <v>22</v>
      </c>
      <c r="AC3838">
        <v>12.7608</v>
      </c>
      <c r="AD3838">
        <v>-1.1154628617959901</v>
      </c>
      <c r="AE3838">
        <v>-17.006699999999999</v>
      </c>
      <c r="AF3838">
        <v>-7.6083179655273199</v>
      </c>
      <c r="AG3838">
        <v>-1.1154628617959901</v>
      </c>
      <c r="AH3838">
        <v>19.791439586577201</v>
      </c>
      <c r="AI3838">
        <v>93.011413750396798</v>
      </c>
      <c r="AJ3838">
        <v>111.02799225308701</v>
      </c>
      <c r="AK3838">
        <v>21.2328010533172</v>
      </c>
      <c r="AL3838">
        <v>80.107165920442299</v>
      </c>
      <c r="AM3838">
        <v>101.227455154566</v>
      </c>
      <c r="AN3838">
        <v>1.00000004429602</v>
      </c>
    </row>
    <row r="3839" spans="1:40" x14ac:dyDescent="0.25">
      <c r="A3839" t="str">
        <f>"20190304154829002"</f>
        <v>20190304154829002</v>
      </c>
      <c r="B3839" t="str">
        <f>"1551685708990647"</f>
        <v>1551685708990647</v>
      </c>
      <c r="C3839" t="s">
        <v>40</v>
      </c>
      <c r="D3839">
        <v>4.3525999999999998</v>
      </c>
      <c r="E3839">
        <v>0.42903609999999998</v>
      </c>
      <c r="F3839" t="s">
        <v>54</v>
      </c>
      <c r="G3839">
        <v>-478.53539999999998</v>
      </c>
      <c r="H3839" s="1">
        <v>2.1105980000000001E-6</v>
      </c>
      <c r="I3839">
        <v>213.18119999999999</v>
      </c>
      <c r="J3839">
        <v>-491.13630000000001</v>
      </c>
      <c r="K3839">
        <v>1.1155310000000001</v>
      </c>
      <c r="L3839">
        <v>229.6902</v>
      </c>
      <c r="M3839">
        <v>0.28152509999999997</v>
      </c>
      <c r="N3839">
        <v>-1.1729939999999999E-2</v>
      </c>
      <c r="O3839">
        <v>-0.95948239999999996</v>
      </c>
      <c r="P3839">
        <v>0.45505099999999998</v>
      </c>
      <c r="Q3839">
        <v>0.1619565</v>
      </c>
      <c r="R3839">
        <v>-0.87561369999999905</v>
      </c>
      <c r="S3839">
        <v>1.883057</v>
      </c>
      <c r="T3839">
        <v>-0.16578599999999999</v>
      </c>
      <c r="U3839">
        <v>-2.4843440000000001</v>
      </c>
      <c r="V3839">
        <v>-0.1922306</v>
      </c>
      <c r="W3839">
        <v>0.1709589</v>
      </c>
      <c r="X3839">
        <v>0.96634390000000003</v>
      </c>
      <c r="Y3839">
        <v>-0.35455209999999998</v>
      </c>
      <c r="Z3839">
        <v>4.3064459999999999E-2</v>
      </c>
      <c r="AA3839">
        <v>0.93404399999999999</v>
      </c>
      <c r="AB3839">
        <v>22</v>
      </c>
      <c r="AC3839">
        <v>12.600899999999999</v>
      </c>
      <c r="AD3839">
        <v>-1.1155288894019999</v>
      </c>
      <c r="AE3839">
        <v>-16.509</v>
      </c>
      <c r="AF3839">
        <v>-7.4217422588983304</v>
      </c>
      <c r="AG3839">
        <v>-1.1155288894019999</v>
      </c>
      <c r="AH3839">
        <v>19.333117271810501</v>
      </c>
      <c r="AI3839">
        <v>93.083403470170495</v>
      </c>
      <c r="AJ3839">
        <v>111.001172292926</v>
      </c>
      <c r="AK3839">
        <v>20.738758070486899</v>
      </c>
      <c r="AL3839">
        <v>80.156424210347396</v>
      </c>
      <c r="AM3839">
        <v>101.250732730766</v>
      </c>
      <c r="AN3839">
        <v>1.0000000410663801</v>
      </c>
    </row>
    <row r="3840" spans="1:40" x14ac:dyDescent="0.25">
      <c r="A3840" t="str">
        <f>"20190304154829015"</f>
        <v>20190304154829015</v>
      </c>
      <c r="B3840" t="str">
        <f>"1551685709010164"</f>
        <v>1551685709010164</v>
      </c>
      <c r="C3840" t="s">
        <v>40</v>
      </c>
      <c r="D3840">
        <v>4.3327859999999996</v>
      </c>
      <c r="E3840">
        <v>0.42916979999999999</v>
      </c>
      <c r="F3840" t="s">
        <v>54</v>
      </c>
      <c r="G3840">
        <v>-478.4871</v>
      </c>
      <c r="H3840" s="1">
        <v>2.1371319999999999E-6</v>
      </c>
      <c r="I3840">
        <v>213.29810000000001</v>
      </c>
      <c r="J3840">
        <v>-491.09480000000002</v>
      </c>
      <c r="K3840">
        <v>1.115567</v>
      </c>
      <c r="L3840">
        <v>229.5685</v>
      </c>
      <c r="M3840">
        <v>0.28649340000000001</v>
      </c>
      <c r="N3840">
        <v>-1.173105E-2</v>
      </c>
      <c r="O3840">
        <v>-0.95801040000000004</v>
      </c>
      <c r="P3840">
        <v>0.45977319999999999</v>
      </c>
      <c r="Q3840">
        <v>0.16163520000000001</v>
      </c>
      <c r="R3840">
        <v>-0.87320259999999905</v>
      </c>
      <c r="S3840">
        <v>1.904175</v>
      </c>
      <c r="T3840">
        <v>-0.1679291</v>
      </c>
      <c r="U3840">
        <v>-2.4676209999999998</v>
      </c>
      <c r="V3840">
        <v>-0.1924361</v>
      </c>
      <c r="W3840">
        <v>0.1706192</v>
      </c>
      <c r="X3840">
        <v>0.96636299999999997</v>
      </c>
      <c r="Y3840">
        <v>-0.35775400000000002</v>
      </c>
      <c r="Z3840">
        <v>4.3795180000000003E-2</v>
      </c>
      <c r="AA3840">
        <v>0.93278839999999996</v>
      </c>
      <c r="AB3840">
        <v>22</v>
      </c>
      <c r="AC3840">
        <v>12.607699999999999</v>
      </c>
      <c r="AD3840">
        <v>-1.1155648628679999</v>
      </c>
      <c r="AE3840">
        <v>-16.270399999999899</v>
      </c>
      <c r="AF3840">
        <v>-7.3957322099674601</v>
      </c>
      <c r="AG3840">
        <v>-1.1155648628679999</v>
      </c>
      <c r="AH3840">
        <v>19.144323288436699</v>
      </c>
      <c r="AI3840">
        <v>93.1113229085162</v>
      </c>
      <c r="AJ3840">
        <v>111.12227606392401</v>
      </c>
      <c r="AK3840">
        <v>20.553502233366402</v>
      </c>
      <c r="AL3840">
        <v>80.176177464340896</v>
      </c>
      <c r="AM3840">
        <v>101.262235904384</v>
      </c>
      <c r="AN3840">
        <v>1.0000000058804199</v>
      </c>
    </row>
    <row r="3841" spans="1:40" x14ac:dyDescent="0.25">
      <c r="A3841" t="str">
        <f>"20190304154829034"</f>
        <v>20190304154829034</v>
      </c>
      <c r="B3841" t="str">
        <f>"1551685709030660"</f>
        <v>1551685709030660</v>
      </c>
      <c r="C3841" t="s">
        <v>40</v>
      </c>
      <c r="D3841">
        <v>4.3081579999999997</v>
      </c>
      <c r="E3841">
        <v>0.42942849999999999</v>
      </c>
      <c r="F3841" t="s">
        <v>54</v>
      </c>
      <c r="G3841">
        <v>-478.38490000000002</v>
      </c>
      <c r="H3841" s="1">
        <v>2.1811819999999999E-6</v>
      </c>
      <c r="I3841">
        <v>213.2687</v>
      </c>
      <c r="J3841">
        <v>-491.03559999999999</v>
      </c>
      <c r="K3841">
        <v>1.115607</v>
      </c>
      <c r="L3841">
        <v>229.39940000000001</v>
      </c>
      <c r="M3841">
        <v>0.29347010000000001</v>
      </c>
      <c r="N3841">
        <v>-1.1734029999999999E-2</v>
      </c>
      <c r="O3841">
        <v>-0.95589639999999998</v>
      </c>
      <c r="P3841">
        <v>0.46655780000000002</v>
      </c>
      <c r="Q3841">
        <v>0.16031099999999901</v>
      </c>
      <c r="R3841">
        <v>-0.8698418</v>
      </c>
      <c r="S3841">
        <v>1.916412</v>
      </c>
      <c r="T3841">
        <v>-0.1682062</v>
      </c>
      <c r="U3841">
        <v>-2.457703</v>
      </c>
      <c r="V3841">
        <v>-0.1928474</v>
      </c>
      <c r="W3841">
        <v>0.16927200000000001</v>
      </c>
      <c r="X3841">
        <v>0.96651790000000004</v>
      </c>
      <c r="Y3841">
        <v>-0.35565780000000002</v>
      </c>
      <c r="Z3841">
        <v>4.3861280000000002E-2</v>
      </c>
      <c r="AA3841">
        <v>0.93358649999999999</v>
      </c>
      <c r="AB3841">
        <v>22</v>
      </c>
      <c r="AC3841">
        <v>12.650699999999899</v>
      </c>
      <c r="AD3841">
        <v>-1.1156048188179899</v>
      </c>
      <c r="AE3841">
        <v>-16.130700000000001</v>
      </c>
      <c r="AF3841">
        <v>-7.3376548895925797</v>
      </c>
      <c r="AG3841">
        <v>-1.1156048188179899</v>
      </c>
      <c r="AH3841">
        <v>19.076697295323399</v>
      </c>
      <c r="AI3841">
        <v>93.124194446337</v>
      </c>
      <c r="AJ3841">
        <v>111.038724037341</v>
      </c>
      <c r="AK3841">
        <v>20.4696393003866</v>
      </c>
      <c r="AL3841">
        <v>80.254505598411995</v>
      </c>
      <c r="AM3841">
        <v>101.283927583874</v>
      </c>
      <c r="AN3841">
        <v>0.99999999034558495</v>
      </c>
    </row>
    <row r="3842" spans="1:40" x14ac:dyDescent="0.25">
      <c r="A3842" t="str">
        <f>"20190304154829067"</f>
        <v>20190304154829067</v>
      </c>
      <c r="B3842" t="str">
        <f>"1551685709060916"</f>
        <v>1551685709060916</v>
      </c>
      <c r="C3842" t="s">
        <v>40</v>
      </c>
      <c r="D3842">
        <v>4.3454959999999998</v>
      </c>
      <c r="E3842">
        <v>0.43532569999999998</v>
      </c>
      <c r="F3842" t="s">
        <v>54</v>
      </c>
      <c r="G3842">
        <v>-478.52690000000001</v>
      </c>
      <c r="H3842" s="1">
        <v>2.1321330000000002E-6</v>
      </c>
      <c r="I3842">
        <v>213.58680000000001</v>
      </c>
      <c r="J3842">
        <v>-490.92540000000002</v>
      </c>
      <c r="K3842">
        <v>1.115688</v>
      </c>
      <c r="L3842">
        <v>229.09469999999999</v>
      </c>
      <c r="M3842">
        <v>0.30621409999999999</v>
      </c>
      <c r="N3842">
        <v>-1.1743429999999999E-2</v>
      </c>
      <c r="O3842">
        <v>-0.95189029999999997</v>
      </c>
      <c r="P3842">
        <v>0.4791493</v>
      </c>
      <c r="Q3842">
        <v>0.15800359999999999</v>
      </c>
      <c r="R3842">
        <v>-0.86339529999999998</v>
      </c>
      <c r="S3842">
        <v>1.9331670000000001</v>
      </c>
      <c r="T3842">
        <v>-0.1724108</v>
      </c>
      <c r="U3842">
        <v>-2.4437410000000002</v>
      </c>
      <c r="V3842">
        <v>-0.19385839999999999</v>
      </c>
      <c r="W3842">
        <v>0.16692370000000001</v>
      </c>
      <c r="X3842">
        <v>0.96672409999999998</v>
      </c>
      <c r="Y3842">
        <v>-0.34965950000000001</v>
      </c>
      <c r="Z3842">
        <v>4.5136580000000003E-2</v>
      </c>
      <c r="AA3842">
        <v>0.93578890000000003</v>
      </c>
      <c r="AB3842">
        <v>22</v>
      </c>
      <c r="AC3842">
        <v>12.3985</v>
      </c>
      <c r="AD3842">
        <v>-1.1156858678669901</v>
      </c>
      <c r="AE3842">
        <v>-15.5078999999999</v>
      </c>
      <c r="AF3842">
        <v>-7.0315578351359296</v>
      </c>
      <c r="AG3842">
        <v>-1.1156858678669901</v>
      </c>
      <c r="AH3842">
        <v>18.501275382318799</v>
      </c>
      <c r="AI3842">
        <v>93.226311145394504</v>
      </c>
      <c r="AJ3842">
        <v>110.80969511098699</v>
      </c>
      <c r="AK3842">
        <v>19.823843000715499</v>
      </c>
      <c r="AL3842">
        <v>80.390996034725305</v>
      </c>
      <c r="AM3842">
        <v>101.339197603191</v>
      </c>
      <c r="AN3842">
        <v>1.0000000431965199</v>
      </c>
    </row>
    <row r="3843" spans="1:40" x14ac:dyDescent="0.25">
      <c r="A3843" t="str">
        <f>"20190304154829090"</f>
        <v>20190304154829090</v>
      </c>
      <c r="B3843" t="str">
        <f>"1551685709080121"</f>
        <v>1551685709080121</v>
      </c>
      <c r="C3843" t="s">
        <v>40</v>
      </c>
      <c r="D3843">
        <v>4.3312119999999998</v>
      </c>
      <c r="E3843">
        <v>0.43567359999999999</v>
      </c>
      <c r="F3843" t="s">
        <v>54</v>
      </c>
      <c r="G3843">
        <v>-479.29059999999998</v>
      </c>
      <c r="H3843" s="1">
        <v>1.827718E-6</v>
      </c>
      <c r="I3843">
        <v>214.37110000000001</v>
      </c>
      <c r="J3843">
        <v>-490.84890000000001</v>
      </c>
      <c r="K3843">
        <v>1.11574</v>
      </c>
      <c r="L3843">
        <v>228.8905</v>
      </c>
      <c r="M3843">
        <v>0.3148552</v>
      </c>
      <c r="N3843">
        <v>-1.1750419999999999E-2</v>
      </c>
      <c r="O3843">
        <v>-0.94906699999999999</v>
      </c>
      <c r="P3843">
        <v>0.48807200000000001</v>
      </c>
      <c r="Q3843">
        <v>0.15747410000000001</v>
      </c>
      <c r="R3843">
        <v>-0.85847969999999896</v>
      </c>
      <c r="S3843">
        <v>1.9272769999999999</v>
      </c>
      <c r="T3843">
        <v>-0.18481139999999999</v>
      </c>
      <c r="U3843">
        <v>-2.4389340000000002</v>
      </c>
      <c r="V3843">
        <v>-0.19507659999999999</v>
      </c>
      <c r="W3843">
        <v>0.16635800000000001</v>
      </c>
      <c r="X3843">
        <v>0.96657649999999995</v>
      </c>
      <c r="Y3843">
        <v>-0.34050809999999998</v>
      </c>
      <c r="Z3843">
        <v>4.9128869999999998E-2</v>
      </c>
      <c r="AA3843">
        <v>0.93895720000000005</v>
      </c>
      <c r="AB3843">
        <v>22</v>
      </c>
      <c r="AC3843">
        <v>11.558299999999999</v>
      </c>
      <c r="AD3843">
        <v>-1.1157381722819999</v>
      </c>
      <c r="AE3843">
        <v>-14.5193999999999</v>
      </c>
      <c r="AF3843">
        <v>-6.3754897116415004</v>
      </c>
      <c r="AG3843">
        <v>-1.1157381722819999</v>
      </c>
      <c r="AH3843">
        <v>17.3575371806145</v>
      </c>
      <c r="AI3843">
        <v>93.452943644234296</v>
      </c>
      <c r="AJ3843">
        <v>110.168476598919</v>
      </c>
      <c r="AK3843">
        <v>18.525005741125899</v>
      </c>
      <c r="AL3843">
        <v>80.423867436861002</v>
      </c>
      <c r="AM3843">
        <v>101.410286266935</v>
      </c>
      <c r="AN3843">
        <v>0.99999999719190402</v>
      </c>
    </row>
    <row r="3844" spans="1:40" x14ac:dyDescent="0.25">
      <c r="A3844" t="str">
        <f>"20190304154829112"</f>
        <v>20190304154829112</v>
      </c>
      <c r="B3844" t="str">
        <f>"1551685709100617"</f>
        <v>1551685709100617</v>
      </c>
      <c r="C3844" t="s">
        <v>40</v>
      </c>
      <c r="D3844">
        <v>4.2639079999999998</v>
      </c>
      <c r="E3844">
        <v>0.43569330000000001</v>
      </c>
      <c r="F3844" t="s">
        <v>54</v>
      </c>
      <c r="G3844">
        <v>-479.18</v>
      </c>
      <c r="H3844" s="1">
        <v>1.8781010000000001E-6</v>
      </c>
      <c r="I3844">
        <v>214.4014</v>
      </c>
      <c r="J3844">
        <v>-490.77550000000002</v>
      </c>
      <c r="K3844">
        <v>1.1157859999999999</v>
      </c>
      <c r="L3844">
        <v>228.7004</v>
      </c>
      <c r="M3844">
        <v>0.3229842</v>
      </c>
      <c r="N3844">
        <v>-1.1757770000000001E-2</v>
      </c>
      <c r="O3844">
        <v>-0.94633160000000005</v>
      </c>
      <c r="P3844">
        <v>0.49683559999999999</v>
      </c>
      <c r="Q3844">
        <v>0.15708259999999999</v>
      </c>
      <c r="R3844">
        <v>-0.853510199999999</v>
      </c>
      <c r="S3844">
        <v>1.949371</v>
      </c>
      <c r="T3844">
        <v>-0.18639210000000001</v>
      </c>
      <c r="U3844">
        <v>-2.4205169999999998</v>
      </c>
      <c r="V3844">
        <v>-0.1966773</v>
      </c>
      <c r="W3844">
        <v>0.1659254</v>
      </c>
      <c r="X3844">
        <v>0.96632649999999998</v>
      </c>
      <c r="Y3844">
        <v>-0.34111429999999998</v>
      </c>
      <c r="Z3844">
        <v>4.9621270000000002E-2</v>
      </c>
      <c r="AA3844">
        <v>0.93871119999999997</v>
      </c>
      <c r="AB3844">
        <v>22</v>
      </c>
      <c r="AC3844">
        <v>11.595499999999999</v>
      </c>
      <c r="AD3844">
        <v>-1.1157841218989999</v>
      </c>
      <c r="AE3844">
        <v>-14.298999999999999</v>
      </c>
      <c r="AF3844">
        <v>-6.3320146418506003</v>
      </c>
      <c r="AG3844">
        <v>-1.1157841218989999</v>
      </c>
      <c r="AH3844">
        <v>17.2147122063325</v>
      </c>
      <c r="AI3844">
        <v>93.481077515933194</v>
      </c>
      <c r="AJ3844">
        <v>110.194822292157</v>
      </c>
      <c r="AK3844">
        <v>18.3762264890849</v>
      </c>
      <c r="AL3844">
        <v>80.449003452214001</v>
      </c>
      <c r="AM3844">
        <v>101.50432428495699</v>
      </c>
      <c r="AN3844">
        <v>1.0000000516513401</v>
      </c>
    </row>
    <row r="3845" spans="1:40" x14ac:dyDescent="0.25">
      <c r="A3845" t="str">
        <f>"20190304154829137"</f>
        <v>20190304154829137</v>
      </c>
      <c r="B3845" t="str">
        <f>"1551685709130873"</f>
        <v>1551685709130873</v>
      </c>
      <c r="C3845" t="s">
        <v>40</v>
      </c>
      <c r="D3845">
        <v>4.2598859999999998</v>
      </c>
      <c r="E3845">
        <v>0.43581449999999999</v>
      </c>
      <c r="F3845" t="s">
        <v>54</v>
      </c>
      <c r="G3845">
        <v>-479.11250000000001</v>
      </c>
      <c r="H3845" s="1">
        <v>1.9129860000000002E-6</v>
      </c>
      <c r="I3845">
        <v>214.51499999999999</v>
      </c>
      <c r="J3845">
        <v>-490.6866</v>
      </c>
      <c r="K3845">
        <v>1.115848</v>
      </c>
      <c r="L3845">
        <v>228.4769</v>
      </c>
      <c r="M3845">
        <v>0.3326595</v>
      </c>
      <c r="N3845">
        <v>-1.1768000000000001E-2</v>
      </c>
      <c r="O3845">
        <v>-0.94297370000000003</v>
      </c>
      <c r="P3845">
        <v>0.50690809999999997</v>
      </c>
      <c r="Q3845">
        <v>0.1562846</v>
      </c>
      <c r="R3845">
        <v>-0.84771430000000003</v>
      </c>
      <c r="S3845">
        <v>1.973816</v>
      </c>
      <c r="T3845">
        <v>-0.18883230000000001</v>
      </c>
      <c r="U3845">
        <v>-2.4006959999999999</v>
      </c>
      <c r="V3845">
        <v>-0.19819320000000001</v>
      </c>
      <c r="W3845">
        <v>0.16508510000000001</v>
      </c>
      <c r="X3845">
        <v>0.96616060000000004</v>
      </c>
      <c r="Y3845">
        <v>-0.34096729999999997</v>
      </c>
      <c r="Z3845">
        <v>5.0352729999999998E-2</v>
      </c>
      <c r="AA3845">
        <v>0.9387257</v>
      </c>
      <c r="AB3845">
        <v>22</v>
      </c>
      <c r="AC3845">
        <v>11.5740999999999</v>
      </c>
      <c r="AD3845">
        <v>-1.1158460870139999</v>
      </c>
      <c r="AE3845">
        <v>-13.9619</v>
      </c>
      <c r="AF3845">
        <v>-6.2462997427892404</v>
      </c>
      <c r="AG3845">
        <v>-1.1158460870139999</v>
      </c>
      <c r="AH3845">
        <v>16.9529356448421</v>
      </c>
      <c r="AI3845">
        <v>93.534177811216907</v>
      </c>
      <c r="AJ3845">
        <v>110.226291802509</v>
      </c>
      <c r="AK3845">
        <v>18.101475076491202</v>
      </c>
      <c r="AL3845">
        <v>80.497821576565201</v>
      </c>
      <c r="AM3845">
        <v>101.59254020463101</v>
      </c>
      <c r="AN3845">
        <v>0.99999996988030404</v>
      </c>
    </row>
    <row r="3846" spans="1:40" x14ac:dyDescent="0.25">
      <c r="A3846" t="str">
        <f>"20190304154829159"</f>
        <v>20190304154829159</v>
      </c>
      <c r="B3846" t="str">
        <f>"1551685709150394"</f>
        <v>1551685709150394</v>
      </c>
      <c r="C3846" t="s">
        <v>40</v>
      </c>
      <c r="D3846">
        <v>4.2584869999999997</v>
      </c>
      <c r="E3846">
        <v>0.43638939999999998</v>
      </c>
      <c r="F3846" t="s">
        <v>54</v>
      </c>
      <c r="G3846">
        <v>-478.8689</v>
      </c>
      <c r="H3846" s="1">
        <v>2.0175900000000001E-6</v>
      </c>
      <c r="I3846">
        <v>214.43610000000001</v>
      </c>
      <c r="J3846">
        <v>-490.60770000000002</v>
      </c>
      <c r="K3846">
        <v>1.1158950000000001</v>
      </c>
      <c r="L3846">
        <v>228.2841</v>
      </c>
      <c r="M3846">
        <v>0.34107939999999998</v>
      </c>
      <c r="N3846">
        <v>-1.17774E-2</v>
      </c>
      <c r="O3846">
        <v>-0.93996100000000005</v>
      </c>
      <c r="P3846">
        <v>0.51602970000000004</v>
      </c>
      <c r="Q3846">
        <v>0.15592729999999999</v>
      </c>
      <c r="R3846">
        <v>-0.8422596</v>
      </c>
      <c r="S3846">
        <v>2.0009160000000001</v>
      </c>
      <c r="T3846">
        <v>-0.1889284</v>
      </c>
      <c r="U3846">
        <v>-2.3773040000000001</v>
      </c>
      <c r="V3846">
        <v>-0.19997780000000001</v>
      </c>
      <c r="W3846">
        <v>0.16468579999999999</v>
      </c>
      <c r="X3846">
        <v>0.96586099999999997</v>
      </c>
      <c r="Y3846">
        <v>-0.3433698</v>
      </c>
      <c r="Z3846">
        <v>5.0380729999999999E-2</v>
      </c>
      <c r="AA3846">
        <v>0.93784800000000001</v>
      </c>
      <c r="AB3846">
        <v>22</v>
      </c>
      <c r="AC3846">
        <v>11.738799999999999</v>
      </c>
      <c r="AD3846">
        <v>-1.1158929824099999</v>
      </c>
      <c r="AE3846">
        <v>-13.8479999999999</v>
      </c>
      <c r="AF3846">
        <v>-6.2874265637987596</v>
      </c>
      <c r="AG3846">
        <v>-1.1158929824099999</v>
      </c>
      <c r="AH3846">
        <v>16.9575471743034</v>
      </c>
      <c r="AI3846">
        <v>93.530703492432806</v>
      </c>
      <c r="AJ3846">
        <v>110.343497408982</v>
      </c>
      <c r="AK3846">
        <v>18.1200263827645</v>
      </c>
      <c r="AL3846">
        <v>80.521017577879107</v>
      </c>
      <c r="AM3846">
        <v>101.697588351175</v>
      </c>
      <c r="AN3846">
        <v>1.00000000226774</v>
      </c>
    </row>
    <row r="3847" spans="1:40" x14ac:dyDescent="0.25">
      <c r="A3847" t="str">
        <f>"20190304154829181"</f>
        <v>20190304154829181</v>
      </c>
      <c r="B3847" t="str">
        <f>"1551685709170889"</f>
        <v>1551685709170889</v>
      </c>
      <c r="C3847" t="s">
        <v>40</v>
      </c>
      <c r="D3847">
        <v>4.2579929999999999</v>
      </c>
      <c r="E3847">
        <v>0.44334279999999998</v>
      </c>
      <c r="F3847" t="s">
        <v>54</v>
      </c>
      <c r="G3847">
        <v>-478.81659999999999</v>
      </c>
      <c r="H3847" s="1">
        <v>2.0449600000000001E-6</v>
      </c>
      <c r="I3847">
        <v>214.53139999999999</v>
      </c>
      <c r="J3847">
        <v>-490.52480000000003</v>
      </c>
      <c r="K3847">
        <v>1.115942</v>
      </c>
      <c r="L3847">
        <v>228.0866</v>
      </c>
      <c r="M3847">
        <v>0.34977399999999997</v>
      </c>
      <c r="N3847">
        <v>-1.1787000000000001E-2</v>
      </c>
      <c r="O3847">
        <v>-0.93676000000000004</v>
      </c>
      <c r="P3847">
        <v>0.52518140000000002</v>
      </c>
      <c r="Q3847">
        <v>0.1556514</v>
      </c>
      <c r="R3847">
        <v>-0.83663489999999996</v>
      </c>
      <c r="S3847">
        <v>2.0220639999999999</v>
      </c>
      <c r="T3847">
        <v>-0.1913639</v>
      </c>
      <c r="U3847">
        <v>-2.3584290000000001</v>
      </c>
      <c r="V3847">
        <v>-0.20155880000000001</v>
      </c>
      <c r="W3847">
        <v>0.16437209999999999</v>
      </c>
      <c r="X3847">
        <v>0.96558580000000005</v>
      </c>
      <c r="Y3847">
        <v>-0.34319519999999998</v>
      </c>
      <c r="Z3847">
        <v>5.1118139999999999E-2</v>
      </c>
      <c r="AA3847">
        <v>0.93787209999999999</v>
      </c>
      <c r="AB3847">
        <v>22</v>
      </c>
      <c r="AC3847">
        <v>11.7082</v>
      </c>
      <c r="AD3847">
        <v>-1.11593995504</v>
      </c>
      <c r="AE3847">
        <v>-13.555199999999999</v>
      </c>
      <c r="AF3847">
        <v>-6.2028720455758197</v>
      </c>
      <c r="AG3847">
        <v>-1.11593995504</v>
      </c>
      <c r="AH3847">
        <v>16.729421855106601</v>
      </c>
      <c r="AI3847">
        <v>93.578872764992695</v>
      </c>
      <c r="AJ3847">
        <v>110.34358333935801</v>
      </c>
      <c r="AK3847">
        <v>17.8772061352763</v>
      </c>
      <c r="AL3847">
        <v>80.539239921817</v>
      </c>
      <c r="AM3847">
        <v>101.79075577970799</v>
      </c>
      <c r="AN3847">
        <v>1.0000000371387401</v>
      </c>
    </row>
    <row r="3848" spans="1:40" x14ac:dyDescent="0.25">
      <c r="A3848" t="str">
        <f>"20190304154829203"</f>
        <v>20190304154829203</v>
      </c>
      <c r="B3848" t="str">
        <f>"1551685709200970"</f>
        <v>1551685709200970</v>
      </c>
      <c r="C3848" t="s">
        <v>40</v>
      </c>
      <c r="D3848">
        <v>4.3818599999999996</v>
      </c>
      <c r="E3848">
        <v>0.4280429</v>
      </c>
      <c r="F3848" t="s">
        <v>54</v>
      </c>
      <c r="G3848">
        <v>-479.6739</v>
      </c>
      <c r="H3848" s="1">
        <v>1.696372E-6</v>
      </c>
      <c r="I3848">
        <v>215.25409999999999</v>
      </c>
      <c r="J3848">
        <v>-490.44159999999999</v>
      </c>
      <c r="K3848">
        <v>1.1159870000000001</v>
      </c>
      <c r="L3848">
        <v>227.89349999999999</v>
      </c>
      <c r="M3848">
        <v>0.35835850000000002</v>
      </c>
      <c r="N3848">
        <v>-1.1796600000000001E-2</v>
      </c>
      <c r="O3848">
        <v>-0.93350949999999999</v>
      </c>
      <c r="P3848">
        <v>0.53429340000000003</v>
      </c>
      <c r="Q3848">
        <v>0.15493989999999999</v>
      </c>
      <c r="R3848">
        <v>-0.83097770000000004</v>
      </c>
      <c r="S3848">
        <v>2.0018310000000001</v>
      </c>
      <c r="T3848">
        <v>-0.20587279999999999</v>
      </c>
      <c r="U3848">
        <v>-2.3673860000000002</v>
      </c>
      <c r="V3848">
        <v>-0.20321220000000001</v>
      </c>
      <c r="W3848">
        <v>0.1636223</v>
      </c>
      <c r="X3848">
        <v>0.96536650000000002</v>
      </c>
      <c r="Y3848">
        <v>-0.32795289999999999</v>
      </c>
      <c r="Z3848">
        <v>5.5593299999999998E-2</v>
      </c>
      <c r="AA3848">
        <v>0.94305689999999998</v>
      </c>
      <c r="AB3848">
        <v>22</v>
      </c>
      <c r="AC3848">
        <v>10.7676999999999</v>
      </c>
      <c r="AD3848">
        <v>-1.1159853036280001</v>
      </c>
      <c r="AE3848">
        <v>-12.639399999999901</v>
      </c>
      <c r="AF3848">
        <v>-5.4978624442094199</v>
      </c>
      <c r="AG3848">
        <v>-1.1159853036280001</v>
      </c>
      <c r="AH3848">
        <v>15.5883685722797</v>
      </c>
      <c r="AI3848">
        <v>93.862454067272594</v>
      </c>
      <c r="AJ3848">
        <v>109.427238981101</v>
      </c>
      <c r="AK3848">
        <v>16.567110472215699</v>
      </c>
      <c r="AL3848">
        <v>80.582789265211304</v>
      </c>
      <c r="AM3848">
        <v>101.887359262742</v>
      </c>
      <c r="AN3848">
        <v>0.99999996730418905</v>
      </c>
    </row>
    <row r="3849" spans="1:40" x14ac:dyDescent="0.25">
      <c r="A3849" t="str">
        <f>"20190304154829224"</f>
        <v>20190304154829224</v>
      </c>
      <c r="B3849" t="str">
        <f>"1551685709220489"</f>
        <v>1551685709220489</v>
      </c>
      <c r="C3849" t="s">
        <v>40</v>
      </c>
      <c r="D3849">
        <v>3.98895</v>
      </c>
      <c r="E3849">
        <v>0.41983429999999999</v>
      </c>
      <c r="F3849" t="s">
        <v>54</v>
      </c>
      <c r="G3849">
        <v>-474.99990000000003</v>
      </c>
      <c r="H3849" s="1">
        <v>3.60065E-6</v>
      </c>
      <c r="I3849">
        <v>211.40129999999999</v>
      </c>
      <c r="J3849">
        <v>-490.36009999999999</v>
      </c>
      <c r="K3849">
        <v>1.116028</v>
      </c>
      <c r="L3849">
        <v>227.70949999999999</v>
      </c>
      <c r="M3849">
        <v>0.36661919999999998</v>
      </c>
      <c r="N3849">
        <v>-1.1807049999999999E-2</v>
      </c>
      <c r="O3849">
        <v>-0.93029640000000002</v>
      </c>
      <c r="P3849">
        <v>0.54337080000000004</v>
      </c>
      <c r="Q3849">
        <v>0.1544915</v>
      </c>
      <c r="R3849">
        <v>-0.82515499999999997</v>
      </c>
      <c r="S3849">
        <v>2.1267399999999999</v>
      </c>
      <c r="T3849">
        <v>-0.15370139999999999</v>
      </c>
      <c r="U3849">
        <v>-2.271423</v>
      </c>
      <c r="V3849">
        <v>-0.2052233</v>
      </c>
      <c r="W3849">
        <v>0.16312929999999901</v>
      </c>
      <c r="X3849">
        <v>0.96502449999999995</v>
      </c>
      <c r="Y3849">
        <v>-0.36757060000000003</v>
      </c>
      <c r="Z3849">
        <v>3.9199669999999999E-2</v>
      </c>
      <c r="AA3849">
        <v>0.92916909999999997</v>
      </c>
      <c r="AB3849">
        <v>22</v>
      </c>
      <c r="AC3849">
        <v>15.360199999999899</v>
      </c>
      <c r="AD3849">
        <v>-1.1160243993500001</v>
      </c>
      <c r="AE3849">
        <v>-16.308199999999999</v>
      </c>
      <c r="AF3849">
        <v>-8.2906427871758392</v>
      </c>
      <c r="AG3849">
        <v>-1.1160243993500001</v>
      </c>
      <c r="AH3849">
        <v>20.752749085791301</v>
      </c>
      <c r="AI3849">
        <v>92.858949401281293</v>
      </c>
      <c r="AJ3849">
        <v>111.776517176071</v>
      </c>
      <c r="AK3849">
        <v>22.3753628552099</v>
      </c>
      <c r="AL3849">
        <v>80.6114213610674</v>
      </c>
      <c r="AM3849">
        <v>102.005737857025</v>
      </c>
      <c r="AN3849">
        <v>1.0000000284908099</v>
      </c>
    </row>
    <row r="3850" spans="1:40" x14ac:dyDescent="0.25">
      <c r="A3850" t="str">
        <f>"20190304154829246"</f>
        <v>20190304154829246</v>
      </c>
      <c r="B3850" t="str">
        <f>"1551685709240986"</f>
        <v>1551685709240986</v>
      </c>
      <c r="C3850" t="s">
        <v>40</v>
      </c>
      <c r="D3850">
        <v>3.9906769999999998</v>
      </c>
      <c r="E3850">
        <v>0.41532530000000001</v>
      </c>
      <c r="F3850" t="s">
        <v>54</v>
      </c>
      <c r="G3850">
        <v>-472.5992</v>
      </c>
      <c r="H3850" s="1">
        <v>4.6001759999999998E-6</v>
      </c>
      <c r="I3850">
        <v>209.9119</v>
      </c>
      <c r="J3850">
        <v>-490.27249999999998</v>
      </c>
      <c r="K3850">
        <v>1.1160749999999999</v>
      </c>
      <c r="L3850">
        <v>227.5162</v>
      </c>
      <c r="M3850">
        <v>0.37538060000000001</v>
      </c>
      <c r="N3850">
        <v>-1.181974E-2</v>
      </c>
      <c r="O3850">
        <v>-0.92679560000000005</v>
      </c>
      <c r="P3850">
        <v>0.55305439999999995</v>
      </c>
      <c r="Q3850">
        <v>0.153611</v>
      </c>
      <c r="R3850">
        <v>-0.81886179999999997</v>
      </c>
      <c r="S3850">
        <v>2.2050480000000001</v>
      </c>
      <c r="T3850">
        <v>-0.13855590000000001</v>
      </c>
      <c r="U3850">
        <v>-2.2095950000000002</v>
      </c>
      <c r="V3850">
        <v>-0.20743900000000001</v>
      </c>
      <c r="W3850">
        <v>0.1621986</v>
      </c>
      <c r="X3850">
        <v>0.9647076</v>
      </c>
      <c r="Y3850">
        <v>-0.38843650000000002</v>
      </c>
      <c r="Z3850">
        <v>3.4417870000000003E-2</v>
      </c>
      <c r="AA3850">
        <v>0.92083250000000005</v>
      </c>
      <c r="AB3850">
        <v>22</v>
      </c>
      <c r="AC3850">
        <v>17.673299999999902</v>
      </c>
      <c r="AD3850">
        <v>-1.116070399824</v>
      </c>
      <c r="AE3850">
        <v>-17.604299999999899</v>
      </c>
      <c r="AF3850">
        <v>-9.7523827256377</v>
      </c>
      <c r="AG3850">
        <v>-1.116070399824</v>
      </c>
      <c r="AH3850">
        <v>22.905549036058801</v>
      </c>
      <c r="AI3850">
        <v>92.566889370290298</v>
      </c>
      <c r="AJ3850">
        <v>113.06261073706</v>
      </c>
      <c r="AK3850">
        <v>24.9202479644159</v>
      </c>
      <c r="AL3850">
        <v>80.665466439393796</v>
      </c>
      <c r="AM3850">
        <v>102.13540528483</v>
      </c>
      <c r="AN3850">
        <v>1.0000000390303501</v>
      </c>
    </row>
    <row r="3851" spans="1:40" x14ac:dyDescent="0.25">
      <c r="A3851" t="str">
        <f>"20190304154829270"</f>
        <v>20190304154829270</v>
      </c>
      <c r="B3851" t="str">
        <f>"1551685709260505"</f>
        <v>1551685709260505</v>
      </c>
      <c r="C3851" t="s">
        <v>40</v>
      </c>
      <c r="D3851">
        <v>3.9903360000000001</v>
      </c>
      <c r="E3851">
        <v>0.41410150000000001</v>
      </c>
      <c r="F3851" t="s">
        <v>54</v>
      </c>
      <c r="G3851">
        <v>-471.5607</v>
      </c>
      <c r="H3851">
        <v>4.5852799999999999E-2</v>
      </c>
      <c r="I3851">
        <v>209.6163</v>
      </c>
      <c r="J3851">
        <v>-490.17739999999998</v>
      </c>
      <c r="K3851">
        <v>1.1161430000000001</v>
      </c>
      <c r="L3851">
        <v>227.31200000000001</v>
      </c>
      <c r="M3851">
        <v>0.38473780000000002</v>
      </c>
      <c r="N3851">
        <v>-1.1834529999999999E-2</v>
      </c>
      <c r="O3851">
        <v>-0.92295000000000005</v>
      </c>
      <c r="P3851">
        <v>0.56299500000000002</v>
      </c>
      <c r="Q3851">
        <v>0.15253329999999901</v>
      </c>
      <c r="R3851">
        <v>-0.81226259999999995</v>
      </c>
      <c r="S3851">
        <v>2.259735</v>
      </c>
      <c r="T3851">
        <v>-0.12924559999999999</v>
      </c>
      <c r="U3851">
        <v>-2.1616819999999999</v>
      </c>
      <c r="V3851">
        <v>-0.20937529999999999</v>
      </c>
      <c r="W3851">
        <v>0.1610721</v>
      </c>
      <c r="X3851">
        <v>0.96447799999999995</v>
      </c>
      <c r="Y3851">
        <v>-0.40052450000000001</v>
      </c>
      <c r="Z3851">
        <v>3.1474719999999998E-2</v>
      </c>
      <c r="AA3851">
        <v>0.91574529999999998</v>
      </c>
      <c r="AB3851">
        <v>22</v>
      </c>
      <c r="AC3851">
        <v>18.616699999999899</v>
      </c>
      <c r="AD3851">
        <v>-1.0702902000000001</v>
      </c>
      <c r="AE3851">
        <v>-17.695699999999999</v>
      </c>
      <c r="AF3851">
        <v>-10.3568221336911</v>
      </c>
      <c r="AG3851">
        <v>-1.0702902000000001</v>
      </c>
      <c r="AH3851">
        <v>23.4557128186153</v>
      </c>
      <c r="AI3851">
        <v>92.390264579766097</v>
      </c>
      <c r="AJ3851">
        <v>113.823757994492</v>
      </c>
      <c r="AK3851">
        <v>25.662808685926901</v>
      </c>
      <c r="AL3851">
        <v>80.730870028393596</v>
      </c>
      <c r="AM3851">
        <v>102.248105077216</v>
      </c>
      <c r="AN3851">
        <v>1.00000002506624</v>
      </c>
    </row>
    <row r="3852" spans="1:40" x14ac:dyDescent="0.25">
      <c r="A3852" t="str">
        <f>"20190304154829291"</f>
        <v>20190304154829291</v>
      </c>
      <c r="B3852" t="str">
        <f>"1551685709280735"</f>
        <v>1551685709280735</v>
      </c>
      <c r="C3852" t="s">
        <v>40</v>
      </c>
      <c r="D3852">
        <v>3.9870939999999999</v>
      </c>
      <c r="E3852">
        <v>0.41352610000000001</v>
      </c>
      <c r="F3852" t="s">
        <v>54</v>
      </c>
      <c r="G3852">
        <v>-471.10950000000003</v>
      </c>
      <c r="H3852">
        <v>1.9581379999999999E-2</v>
      </c>
      <c r="I3852">
        <v>209.6163</v>
      </c>
      <c r="J3852">
        <v>-490.08920000000001</v>
      </c>
      <c r="K3852">
        <v>1.116201</v>
      </c>
      <c r="L3852">
        <v>227.1275</v>
      </c>
      <c r="M3852">
        <v>0.39328639999999998</v>
      </c>
      <c r="N3852">
        <v>-1.184852E-2</v>
      </c>
      <c r="O3852">
        <v>-0.91934000000000005</v>
      </c>
      <c r="P3852">
        <v>0.57201829999999998</v>
      </c>
      <c r="Q3852">
        <v>0.15078910000000001</v>
      </c>
      <c r="R3852">
        <v>-0.80626209999999998</v>
      </c>
      <c r="S3852">
        <v>2.2935180000000002</v>
      </c>
      <c r="T3852">
        <v>-0.1318965</v>
      </c>
      <c r="U3852">
        <v>-2.1284640000000001</v>
      </c>
      <c r="V3852">
        <v>-0.21105589999999999</v>
      </c>
      <c r="W3852">
        <v>0.15928399999999901</v>
      </c>
      <c r="X3852">
        <v>0.96440859999999995</v>
      </c>
      <c r="Y3852">
        <v>-0.40585070000000001</v>
      </c>
      <c r="Z3852">
        <v>3.2339260000000002E-2</v>
      </c>
      <c r="AA3852">
        <v>0.91336700000000004</v>
      </c>
      <c r="AB3852">
        <v>22</v>
      </c>
      <c r="AC3852">
        <v>18.979699999999902</v>
      </c>
      <c r="AD3852">
        <v>-1.09661962</v>
      </c>
      <c r="AE3852">
        <v>-17.511199999999999</v>
      </c>
      <c r="AF3852">
        <v>-10.5436054187228</v>
      </c>
      <c r="AG3852">
        <v>-1.09661962</v>
      </c>
      <c r="AH3852">
        <v>23.522433193758499</v>
      </c>
      <c r="AI3852">
        <v>92.4360059929664</v>
      </c>
      <c r="AJ3852">
        <v>114.143648388082</v>
      </c>
      <c r="AK3852">
        <v>25.800679316086299</v>
      </c>
      <c r="AL3852">
        <v>80.834660215904194</v>
      </c>
      <c r="AM3852">
        <v>102.344276034553</v>
      </c>
      <c r="AN3852">
        <v>0.999999966667384</v>
      </c>
    </row>
    <row r="3853" spans="1:40" x14ac:dyDescent="0.25">
      <c r="A3853" t="str">
        <f>"20190304154829313"</f>
        <v>20190304154829313</v>
      </c>
      <c r="B3853" t="str">
        <f>"1551685709310991"</f>
        <v>1551685709310991</v>
      </c>
      <c r="C3853" t="s">
        <v>40</v>
      </c>
      <c r="D3853">
        <v>4.0453169999999998</v>
      </c>
      <c r="E3853">
        <v>0.41308929999999999</v>
      </c>
      <c r="F3853" t="s">
        <v>54</v>
      </c>
      <c r="G3853">
        <v>-471.25560000000002</v>
      </c>
      <c r="H3853" s="1">
        <v>5.2035979999999898E-6</v>
      </c>
      <c r="I3853">
        <v>210.08580000000001</v>
      </c>
      <c r="J3853">
        <v>-489.9973</v>
      </c>
      <c r="K3853">
        <v>1.1162650000000001</v>
      </c>
      <c r="L3853">
        <v>226.94059999999999</v>
      </c>
      <c r="M3853">
        <v>0.40205540000000001</v>
      </c>
      <c r="N3853">
        <v>-1.186368E-2</v>
      </c>
      <c r="O3853">
        <v>-0.91553850000000003</v>
      </c>
      <c r="P3853">
        <v>0.58108530000000003</v>
      </c>
      <c r="Q3853">
        <v>0.1494907</v>
      </c>
      <c r="R3853">
        <v>-0.79999560000000003</v>
      </c>
      <c r="S3853">
        <v>2.3208310000000001</v>
      </c>
      <c r="T3853">
        <v>-0.137547</v>
      </c>
      <c r="U3853">
        <v>-2.1000209999999999</v>
      </c>
      <c r="V3853">
        <v>-0.2126403</v>
      </c>
      <c r="W3853">
        <v>0.15794079999999999</v>
      </c>
      <c r="X3853">
        <v>0.96428150000000001</v>
      </c>
      <c r="Y3853">
        <v>-0.4085683</v>
      </c>
      <c r="Z3853">
        <v>3.4137750000000001E-2</v>
      </c>
      <c r="AA3853">
        <v>0.91208909999999999</v>
      </c>
      <c r="AB3853">
        <v>22</v>
      </c>
      <c r="AC3853">
        <v>18.741699999999899</v>
      </c>
      <c r="AD3853">
        <v>-1.116259796402</v>
      </c>
      <c r="AE3853">
        <v>-16.854799999999901</v>
      </c>
      <c r="AF3853">
        <v>-10.362591695296899</v>
      </c>
      <c r="AG3853">
        <v>-1.116259796402</v>
      </c>
      <c r="AH3853">
        <v>22.923078666836702</v>
      </c>
      <c r="AI3853">
        <v>92.540694493416296</v>
      </c>
      <c r="AJ3853">
        <v>114.32579124081801</v>
      </c>
      <c r="AK3853">
        <v>25.181280311820601</v>
      </c>
      <c r="AL3853">
        <v>80.912606972647396</v>
      </c>
      <c r="AM3853">
        <v>102.43566059859501</v>
      </c>
      <c r="AN3853">
        <v>1.00000000236549</v>
      </c>
    </row>
    <row r="3854" spans="1:40" x14ac:dyDescent="0.25">
      <c r="A3854" t="str">
        <f>"20190304154829336"</f>
        <v>20190304154829336</v>
      </c>
      <c r="B3854" t="str">
        <f>"1551685709330511"</f>
        <v>1551685709330511</v>
      </c>
      <c r="C3854" t="s">
        <v>40</v>
      </c>
      <c r="D3854">
        <v>4.0702049999999996</v>
      </c>
      <c r="E3854">
        <v>0.41294029999999998</v>
      </c>
      <c r="F3854" t="s">
        <v>41</v>
      </c>
      <c r="G3854">
        <v>-489.19</v>
      </c>
      <c r="H3854">
        <v>1.067177</v>
      </c>
      <c r="I3854">
        <v>226.2276</v>
      </c>
      <c r="J3854">
        <v>-489.8954</v>
      </c>
      <c r="K3854">
        <v>1.1163350000000001</v>
      </c>
      <c r="L3854">
        <v>226.73869999999999</v>
      </c>
      <c r="M3854">
        <v>0.41164339999999999</v>
      </c>
      <c r="N3854">
        <v>-1.1881030000000001E-2</v>
      </c>
      <c r="O3854">
        <v>-0.91126750000000001</v>
      </c>
      <c r="P3854">
        <v>0.59049110000000005</v>
      </c>
      <c r="Q3854">
        <v>0.14847579999999999</v>
      </c>
      <c r="R3854">
        <v>-0.79326869999999905</v>
      </c>
      <c r="S3854">
        <v>2.346924</v>
      </c>
      <c r="T3854">
        <v>-0.1426432</v>
      </c>
      <c r="U3854">
        <v>-2.0719150000000002</v>
      </c>
      <c r="V3854">
        <v>-0.21384310000000001</v>
      </c>
      <c r="W3854">
        <v>0.15688650000000001</v>
      </c>
      <c r="X3854">
        <v>0.96418760000000003</v>
      </c>
      <c r="Y3854">
        <v>-0.41011189999999997</v>
      </c>
      <c r="Z3854">
        <v>3.5734790000000002E-2</v>
      </c>
      <c r="AA3854">
        <v>0.91133489999999995</v>
      </c>
      <c r="AB3854">
        <v>22</v>
      </c>
      <c r="AC3854">
        <v>0.70539999999999703</v>
      </c>
      <c r="AD3854">
        <v>-4.9158E-2</v>
      </c>
      <c r="AE3854">
        <v>-0.511099999999999</v>
      </c>
      <c r="AF3854">
        <v>-0.43107489813761601</v>
      </c>
      <c r="AG3854">
        <v>-4.9158E-2</v>
      </c>
      <c r="AH3854">
        <v>0.75377501512281597</v>
      </c>
      <c r="AI3854">
        <v>93.240165365088799</v>
      </c>
      <c r="AJ3854">
        <v>119.76472180572701</v>
      </c>
      <c r="AK3854">
        <v>0.86972343316238099</v>
      </c>
      <c r="AL3854">
        <v>80.973776388725099</v>
      </c>
      <c r="AM3854">
        <v>102.504976037993</v>
      </c>
      <c r="AN3854">
        <v>0.99999998664681</v>
      </c>
    </row>
    <row r="3855" spans="1:40" x14ac:dyDescent="0.25">
      <c r="A3855" t="str">
        <f>"20190304154829360"</f>
        <v>20190304154829360</v>
      </c>
      <c r="B3855" t="str">
        <f>"1551685709351008"</f>
        <v>1551685709351008</v>
      </c>
      <c r="C3855" t="s">
        <v>40</v>
      </c>
      <c r="D3855">
        <v>3.9905360000000001</v>
      </c>
      <c r="E3855">
        <v>0.41331109999999999</v>
      </c>
      <c r="F3855" t="s">
        <v>54</v>
      </c>
      <c r="G3855">
        <v>-471.79259999999999</v>
      </c>
      <c r="H3855" s="1">
        <v>5.0117440000000002E-6</v>
      </c>
      <c r="I3855">
        <v>211.14500000000001</v>
      </c>
      <c r="J3855">
        <v>-489.79039999999998</v>
      </c>
      <c r="K3855">
        <v>1.116395</v>
      </c>
      <c r="L3855">
        <v>226.53620000000001</v>
      </c>
      <c r="M3855">
        <v>0.4213633</v>
      </c>
      <c r="N3855">
        <v>-1.189834E-2</v>
      </c>
      <c r="O3855">
        <v>-0.90681420000000001</v>
      </c>
      <c r="P3855">
        <v>0.59938230000000003</v>
      </c>
      <c r="Q3855">
        <v>0.14730960000000001</v>
      </c>
      <c r="R3855">
        <v>-0.78679180000000004</v>
      </c>
      <c r="S3855">
        <v>2.372223</v>
      </c>
      <c r="T3855">
        <v>-0.14628579999999999</v>
      </c>
      <c r="U3855">
        <v>-2.0434269999999999</v>
      </c>
      <c r="V3855">
        <v>-0.2143032</v>
      </c>
      <c r="W3855">
        <v>0.1556968</v>
      </c>
      <c r="X3855">
        <v>0.96427830000000003</v>
      </c>
      <c r="Y3855">
        <v>-0.41141450000000002</v>
      </c>
      <c r="Z3855">
        <v>3.6861629999999999E-2</v>
      </c>
      <c r="AA3855">
        <v>0.91070269999999998</v>
      </c>
      <c r="AB3855">
        <v>22</v>
      </c>
      <c r="AC3855">
        <v>17.997799999999899</v>
      </c>
      <c r="AD3855">
        <v>-1.116389988256</v>
      </c>
      <c r="AE3855">
        <v>-15.3911999999999</v>
      </c>
      <c r="AF3855">
        <v>-9.8142562331205401</v>
      </c>
      <c r="AG3855">
        <v>-1.116389988256</v>
      </c>
      <c r="AH3855">
        <v>21.494321308178399</v>
      </c>
      <c r="AI3855">
        <v>92.705029486729401</v>
      </c>
      <c r="AJ3855">
        <v>114.54132681529801</v>
      </c>
      <c r="AK3855">
        <v>23.655270036810698</v>
      </c>
      <c r="AL3855">
        <v>81.042789383554705</v>
      </c>
      <c r="AM3855">
        <v>102.529891075009</v>
      </c>
      <c r="AN3855">
        <v>0.99999999745568502</v>
      </c>
    </row>
    <row r="3856" spans="1:40" x14ac:dyDescent="0.25">
      <c r="A3856" t="str">
        <f>"20190304154829381"</f>
        <v>20190304154829381</v>
      </c>
      <c r="B3856" t="str">
        <f>"1551685709370530"</f>
        <v>1551685709370530</v>
      </c>
      <c r="C3856" t="s">
        <v>40</v>
      </c>
      <c r="D3856">
        <v>3.9700220000000002</v>
      </c>
      <c r="E3856">
        <v>0.41333799999999998</v>
      </c>
      <c r="F3856" t="s">
        <v>54</v>
      </c>
      <c r="G3856">
        <v>-472.3134</v>
      </c>
      <c r="H3856" s="1">
        <v>4.8089130000000004E-6</v>
      </c>
      <c r="I3856">
        <v>211.78829999999999</v>
      </c>
      <c r="J3856">
        <v>-489.69720000000001</v>
      </c>
      <c r="K3856">
        <v>1.1164480000000001</v>
      </c>
      <c r="L3856">
        <v>226.36070000000001</v>
      </c>
      <c r="M3856">
        <v>0.42986970000000002</v>
      </c>
      <c r="N3856">
        <v>-1.1912900000000001E-2</v>
      </c>
      <c r="O3856">
        <v>-0.90281230000000001</v>
      </c>
      <c r="P3856">
        <v>0.60688619999999904</v>
      </c>
      <c r="Q3856">
        <v>0.1465186</v>
      </c>
      <c r="R3856">
        <v>-0.78116660000000004</v>
      </c>
      <c r="S3856">
        <v>2.392487</v>
      </c>
      <c r="T3856">
        <v>-0.1528264</v>
      </c>
      <c r="U3856">
        <v>-2.0188899999999999</v>
      </c>
      <c r="V3856">
        <v>-0.21441299999999999</v>
      </c>
      <c r="W3856">
        <v>0.1548918</v>
      </c>
      <c r="X3856">
        <v>0.96438349999999995</v>
      </c>
      <c r="Y3856">
        <v>-0.41203339999999999</v>
      </c>
      <c r="Z3856">
        <v>3.8909239999999998E-2</v>
      </c>
      <c r="AA3856">
        <v>0.91033759999999997</v>
      </c>
      <c r="AB3856">
        <v>22</v>
      </c>
      <c r="AC3856">
        <v>17.383800000000001</v>
      </c>
      <c r="AD3856">
        <v>-1.1164431910870001</v>
      </c>
      <c r="AE3856">
        <v>-14.5724</v>
      </c>
      <c r="AF3856">
        <v>-9.4079550520883295</v>
      </c>
      <c r="AG3856">
        <v>-1.1164431910870001</v>
      </c>
      <c r="AH3856">
        <v>20.5805214732869</v>
      </c>
      <c r="AI3856">
        <v>92.824513505936295</v>
      </c>
      <c r="AJ3856">
        <v>114.566518865175</v>
      </c>
      <c r="AK3856">
        <v>22.656432370818202</v>
      </c>
      <c r="AL3856">
        <v>81.0894786636687</v>
      </c>
      <c r="AM3856">
        <v>102.534783700807</v>
      </c>
      <c r="AN3856">
        <v>0.99999996967424398</v>
      </c>
    </row>
    <row r="3857" spans="1:40" x14ac:dyDescent="0.25">
      <c r="A3857" t="str">
        <f>"20190304154829403"</f>
        <v>20190304154829403</v>
      </c>
      <c r="B3857" t="str">
        <f>"1551685709400678"</f>
        <v>1551685709400678</v>
      </c>
      <c r="C3857" t="s">
        <v>40</v>
      </c>
      <c r="D3857">
        <v>4.0619230000000002</v>
      </c>
      <c r="E3857">
        <v>0.41331790000000002</v>
      </c>
      <c r="F3857" t="s">
        <v>54</v>
      </c>
      <c r="G3857">
        <v>-472.38119999999998</v>
      </c>
      <c r="H3857" s="1">
        <v>4.789604E-6</v>
      </c>
      <c r="I3857">
        <v>212.03440000000001</v>
      </c>
      <c r="J3857">
        <v>-489.5942</v>
      </c>
      <c r="K3857">
        <v>1.1165020000000001</v>
      </c>
      <c r="L3857">
        <v>226.17169999999999</v>
      </c>
      <c r="M3857">
        <v>0.43912849999999998</v>
      </c>
      <c r="N3857">
        <v>-1.192914E-2</v>
      </c>
      <c r="O3857">
        <v>-0.89834530000000001</v>
      </c>
      <c r="P3857">
        <v>0.61479519999999999</v>
      </c>
      <c r="Q3857">
        <v>0.14623639999999999</v>
      </c>
      <c r="R3857">
        <v>-0.77501129999999996</v>
      </c>
      <c r="S3857">
        <v>2.4120789999999999</v>
      </c>
      <c r="T3857">
        <v>-0.1555182</v>
      </c>
      <c r="U3857">
        <v>-1.9956210000000001</v>
      </c>
      <c r="V3857">
        <v>-0.2142956</v>
      </c>
      <c r="W3857">
        <v>0.15459729999999999</v>
      </c>
      <c r="X3857">
        <v>0.96445689999999995</v>
      </c>
      <c r="Y3857">
        <v>-0.41148469999999998</v>
      </c>
      <c r="Z3857">
        <v>3.9694180000000003E-2</v>
      </c>
      <c r="AA3857">
        <v>0.91055180000000002</v>
      </c>
      <c r="AB3857">
        <v>22</v>
      </c>
      <c r="AC3857">
        <v>17.213000000000001</v>
      </c>
      <c r="AD3857">
        <v>-1.116497210396</v>
      </c>
      <c r="AE3857">
        <v>-14.1372999999999</v>
      </c>
      <c r="AF3857">
        <v>-9.2325863036411793</v>
      </c>
      <c r="AG3857">
        <v>-1.116497210396</v>
      </c>
      <c r="AH3857">
        <v>20.209557217183299</v>
      </c>
      <c r="AI3857">
        <v>92.876723640699893</v>
      </c>
      <c r="AJ3857">
        <v>114.55293911854601</v>
      </c>
      <c r="AK3857">
        <v>22.246649608190701</v>
      </c>
      <c r="AL3857">
        <v>81.106558457259595</v>
      </c>
      <c r="AM3857">
        <v>102.527213766518</v>
      </c>
      <c r="AN3857">
        <v>1.00000002065212</v>
      </c>
    </row>
    <row r="3858" spans="1:40" x14ac:dyDescent="0.25">
      <c r="A3858" t="str">
        <f>"20190304154829425"</f>
        <v>20190304154829425</v>
      </c>
      <c r="B3858" t="str">
        <f>"1551685709420199"</f>
        <v>1551685709420199</v>
      </c>
      <c r="C3858" t="s">
        <v>40</v>
      </c>
      <c r="D3858">
        <v>4.0523809999999996</v>
      </c>
      <c r="E3858">
        <v>0.413242</v>
      </c>
      <c r="F3858" t="s">
        <v>54</v>
      </c>
      <c r="G3858">
        <v>-472.23250000000002</v>
      </c>
      <c r="H3858" s="1">
        <v>4.8588370000000004E-6</v>
      </c>
      <c r="I3858">
        <v>212.10990000000001</v>
      </c>
      <c r="J3858">
        <v>-489.49439999999998</v>
      </c>
      <c r="K3858">
        <v>1.1165620000000001</v>
      </c>
      <c r="L3858">
        <v>225.99299999999999</v>
      </c>
      <c r="M3858">
        <v>0.44798060000000001</v>
      </c>
      <c r="N3858">
        <v>-1.1945890000000001E-2</v>
      </c>
      <c r="O3858">
        <v>-0.89396369999999903</v>
      </c>
      <c r="P3858">
        <v>0.62211329999999998</v>
      </c>
      <c r="Q3858">
        <v>0.1464607</v>
      </c>
      <c r="R3858">
        <v>-0.76910639999999997</v>
      </c>
      <c r="S3858">
        <v>2.432922</v>
      </c>
      <c r="T3858">
        <v>-0.15645690000000001</v>
      </c>
      <c r="U3858">
        <v>-1.970505</v>
      </c>
      <c r="V3858">
        <v>-0.2139558</v>
      </c>
      <c r="W3858">
        <v>0.1548117</v>
      </c>
      <c r="X3858">
        <v>0.96449790000000002</v>
      </c>
      <c r="Y3858">
        <v>-0.4119661</v>
      </c>
      <c r="Z3858">
        <v>3.9933589999999998E-2</v>
      </c>
      <c r="AA3858">
        <v>0.91032369999999996</v>
      </c>
      <c r="AB3858">
        <v>22</v>
      </c>
      <c r="AC3858">
        <v>17.261899999999901</v>
      </c>
      <c r="AD3858">
        <v>-1.116557141163</v>
      </c>
      <c r="AE3858">
        <v>-13.883099999999899</v>
      </c>
      <c r="AF3858">
        <v>-9.1894613617361802</v>
      </c>
      <c r="AG3858">
        <v>-1.116557141163</v>
      </c>
      <c r="AH3858">
        <v>20.0943655624644</v>
      </c>
      <c r="AI3858">
        <v>92.892825426984999</v>
      </c>
      <c r="AJ3858">
        <v>114.57534446181999</v>
      </c>
      <c r="AK3858">
        <v>22.124114159131398</v>
      </c>
      <c r="AL3858">
        <v>81.094124119672202</v>
      </c>
      <c r="AM3858">
        <v>102.507460479759</v>
      </c>
      <c r="AN3858">
        <v>0.99999997295746901</v>
      </c>
    </row>
    <row r="3859" spans="1:40" x14ac:dyDescent="0.25">
      <c r="A3859" t="str">
        <f>"20190304154829448"</f>
        <v>20190304154829448</v>
      </c>
      <c r="B3859" t="str">
        <f>"1551685709440694"</f>
        <v>1551685709440694</v>
      </c>
      <c r="C3859" t="s">
        <v>40</v>
      </c>
      <c r="D3859">
        <v>4.2064120000000003</v>
      </c>
      <c r="E3859">
        <v>0.41362529999999997</v>
      </c>
      <c r="F3859" t="s">
        <v>54</v>
      </c>
      <c r="G3859">
        <v>-471.89580000000001</v>
      </c>
      <c r="H3859" s="1">
        <v>5.0043100000000004E-6</v>
      </c>
      <c r="I3859">
        <v>212.02119999999999</v>
      </c>
      <c r="J3859">
        <v>-489.38229999999999</v>
      </c>
      <c r="K3859">
        <v>1.11663</v>
      </c>
      <c r="L3859">
        <v>225.797</v>
      </c>
      <c r="M3859">
        <v>0.45779059999999999</v>
      </c>
      <c r="N3859">
        <v>-1.1965770000000001E-2</v>
      </c>
      <c r="O3859">
        <v>-0.88897969999999904</v>
      </c>
      <c r="P3859">
        <v>0.63019530000000001</v>
      </c>
      <c r="Q3859">
        <v>0.14630209999999999</v>
      </c>
      <c r="R3859">
        <v>-0.76252869999999995</v>
      </c>
      <c r="S3859">
        <v>2.452118</v>
      </c>
      <c r="T3859">
        <v>-0.15557589999999999</v>
      </c>
      <c r="U3859">
        <v>-1.9467620000000001</v>
      </c>
      <c r="V3859">
        <v>-0.2135319</v>
      </c>
      <c r="W3859">
        <v>0.15464259999999999</v>
      </c>
      <c r="X3859">
        <v>0.964619</v>
      </c>
      <c r="Y3859">
        <v>-0.41082990000000003</v>
      </c>
      <c r="Z3859">
        <v>3.9562149999999997E-2</v>
      </c>
      <c r="AA3859">
        <v>0.91085329999999998</v>
      </c>
      <c r="AB3859">
        <v>22</v>
      </c>
      <c r="AC3859">
        <v>17.4864999999999</v>
      </c>
      <c r="AD3859">
        <v>-1.1166249956899901</v>
      </c>
      <c r="AE3859">
        <v>-13.7758</v>
      </c>
      <c r="AF3859">
        <v>-9.2161829813324907</v>
      </c>
      <c r="AG3859">
        <v>-1.1166249956899901</v>
      </c>
      <c r="AH3859">
        <v>20.2021780136314</v>
      </c>
      <c r="AI3859">
        <v>92.878801775303501</v>
      </c>
      <c r="AJ3859">
        <v>114.522352796169</v>
      </c>
      <c r="AK3859">
        <v>22.2331481491231</v>
      </c>
      <c r="AL3859">
        <v>81.103931275064198</v>
      </c>
      <c r="AM3859">
        <v>102.48193954089901</v>
      </c>
      <c r="AN3859">
        <v>1.00000001060668</v>
      </c>
    </row>
    <row r="3860" spans="1:40" x14ac:dyDescent="0.25">
      <c r="A3860" t="str">
        <f>"20190304154829470"</f>
        <v>20190304154829470</v>
      </c>
      <c r="B3860" t="str">
        <f>"1551685709460218"</f>
        <v>1551685709460218</v>
      </c>
      <c r="C3860" t="s">
        <v>40</v>
      </c>
      <c r="D3860">
        <v>4.2097220000000002</v>
      </c>
      <c r="E3860">
        <v>0.41396670000000002</v>
      </c>
      <c r="F3860" t="s">
        <v>54</v>
      </c>
      <c r="G3860">
        <v>-471.92469999999997</v>
      </c>
      <c r="H3860" s="1">
        <v>4.9994409999999996E-6</v>
      </c>
      <c r="I3860">
        <v>212.20330000000001</v>
      </c>
      <c r="J3860">
        <v>-489.27319999999997</v>
      </c>
      <c r="K3860">
        <v>1.1167009999999999</v>
      </c>
      <c r="L3860">
        <v>225.6113</v>
      </c>
      <c r="M3860">
        <v>0.46720080000000003</v>
      </c>
      <c r="N3860">
        <v>-1.1985529999999999E-2</v>
      </c>
      <c r="O3860">
        <v>-0.88407029999999998</v>
      </c>
      <c r="P3860">
        <v>0.63809419999999994</v>
      </c>
      <c r="Q3860">
        <v>0.14526420000000001</v>
      </c>
      <c r="R3860">
        <v>-0.75613109999999994</v>
      </c>
      <c r="S3860">
        <v>2.46991</v>
      </c>
      <c r="T3860">
        <v>-0.15798039999999999</v>
      </c>
      <c r="U3860">
        <v>-1.9232480000000001</v>
      </c>
      <c r="V3860">
        <v>-0.21324760000000001</v>
      </c>
      <c r="W3860">
        <v>0.15359139999999999</v>
      </c>
      <c r="X3860">
        <v>0.96484979999999998</v>
      </c>
      <c r="Y3860">
        <v>-0.4097054</v>
      </c>
      <c r="Z3860">
        <v>4.0230429999999998E-2</v>
      </c>
      <c r="AA3860">
        <v>0.91133030000000004</v>
      </c>
      <c r="AB3860">
        <v>22</v>
      </c>
      <c r="AC3860">
        <v>17.348500000000001</v>
      </c>
      <c r="AD3860">
        <v>-1.1166960005590001</v>
      </c>
      <c r="AE3860">
        <v>-13.4079999999999</v>
      </c>
      <c r="AF3860">
        <v>-9.0502390756035407</v>
      </c>
      <c r="AG3860">
        <v>-1.1166960005590001</v>
      </c>
      <c r="AH3860">
        <v>19.908634796440499</v>
      </c>
      <c r="AI3860">
        <v>92.923130968658398</v>
      </c>
      <c r="AJ3860">
        <v>114.446005066509</v>
      </c>
      <c r="AK3860">
        <v>21.8976614445764</v>
      </c>
      <c r="AL3860">
        <v>81.164888762658705</v>
      </c>
      <c r="AM3860">
        <v>102.46295196178301</v>
      </c>
      <c r="AN3860">
        <v>0.99999999680987905</v>
      </c>
    </row>
    <row r="3861" spans="1:40" x14ac:dyDescent="0.25">
      <c r="A3861" t="str">
        <f>"20190304154829493"</f>
        <v>20190304154829493</v>
      </c>
      <c r="B3861" t="str">
        <f>"1551685709480710"</f>
        <v>1551685709480710</v>
      </c>
      <c r="C3861" t="s">
        <v>40</v>
      </c>
      <c r="D3861">
        <v>4.1278110000000003</v>
      </c>
      <c r="E3861">
        <v>0.41373169999999998</v>
      </c>
      <c r="F3861" t="s">
        <v>54</v>
      </c>
      <c r="G3861">
        <v>-472.20609999999999</v>
      </c>
      <c r="H3861" s="1">
        <v>4.8908660000000004E-6</v>
      </c>
      <c r="I3861">
        <v>212.57409999999999</v>
      </c>
      <c r="J3861">
        <v>-489.16570000000002</v>
      </c>
      <c r="K3861">
        <v>1.116778</v>
      </c>
      <c r="L3861">
        <v>225.43299999999999</v>
      </c>
      <c r="M3861">
        <v>0.47634120000000002</v>
      </c>
      <c r="N3861">
        <v>-1.2004890000000001E-2</v>
      </c>
      <c r="O3861">
        <v>-0.87917860000000003</v>
      </c>
      <c r="P3861">
        <v>0.64560649999999997</v>
      </c>
      <c r="Q3861">
        <v>0.14466960000000001</v>
      </c>
      <c r="R3861">
        <v>-0.74984200000000001</v>
      </c>
      <c r="S3861">
        <v>2.4871829999999999</v>
      </c>
      <c r="T3861">
        <v>-0.16273570000000001</v>
      </c>
      <c r="U3861">
        <v>-1.899902</v>
      </c>
      <c r="V3861">
        <v>-0.21283450000000001</v>
      </c>
      <c r="W3861">
        <v>0.1529855</v>
      </c>
      <c r="X3861">
        <v>0.96503729999999999</v>
      </c>
      <c r="Y3861">
        <v>-0.40864840000000002</v>
      </c>
      <c r="Z3861">
        <v>4.1627270000000001E-2</v>
      </c>
      <c r="AA3861">
        <v>0.9117421</v>
      </c>
      <c r="AB3861">
        <v>22</v>
      </c>
      <c r="AC3861">
        <v>16.959599999999998</v>
      </c>
      <c r="AD3861">
        <v>-1.1167731091339901</v>
      </c>
      <c r="AE3861">
        <v>-12.8589</v>
      </c>
      <c r="AF3861">
        <v>-8.7618026010689292</v>
      </c>
      <c r="AG3861">
        <v>-1.1167731091339901</v>
      </c>
      <c r="AH3861">
        <v>19.331995656407301</v>
      </c>
      <c r="AI3861">
        <v>93.011911313103795</v>
      </c>
      <c r="AJ3861">
        <v>114.381366747417</v>
      </c>
      <c r="AK3861">
        <v>21.2542330620687</v>
      </c>
      <c r="AL3861">
        <v>81.200019843055898</v>
      </c>
      <c r="AM3861">
        <v>102.437219483798</v>
      </c>
      <c r="AN3861">
        <v>1.0000000389958901</v>
      </c>
    </row>
    <row r="3862" spans="1:40" x14ac:dyDescent="0.25">
      <c r="A3862" t="str">
        <f>"20190304154829514"</f>
        <v>20190304154829514</v>
      </c>
      <c r="B3862" t="str">
        <f>"1551685709509990"</f>
        <v>1551685709509990</v>
      </c>
      <c r="C3862" t="s">
        <v>40</v>
      </c>
      <c r="D3862">
        <v>4.1509669999999996</v>
      </c>
      <c r="E3862">
        <v>0.41359849999999998</v>
      </c>
      <c r="F3862" t="s">
        <v>41</v>
      </c>
      <c r="G3862">
        <v>-488.29640000000001</v>
      </c>
      <c r="H3862">
        <v>1.060622</v>
      </c>
      <c r="I3862">
        <v>224.78370000000001</v>
      </c>
      <c r="J3862">
        <v>-489.05290000000002</v>
      </c>
      <c r="K3862">
        <v>1.1168530000000001</v>
      </c>
      <c r="L3862">
        <v>225.25069999999999</v>
      </c>
      <c r="M3862">
        <v>0.4857995</v>
      </c>
      <c r="N3862">
        <v>-1.202514E-2</v>
      </c>
      <c r="O3862">
        <v>-0.87398770000000003</v>
      </c>
      <c r="P3862">
        <v>0.65349729999999995</v>
      </c>
      <c r="Q3862">
        <v>0.14400189999999999</v>
      </c>
      <c r="R3862">
        <v>-0.74310480000000001</v>
      </c>
      <c r="S3862">
        <v>2.507355</v>
      </c>
      <c r="T3862">
        <v>-0.16201889999999999</v>
      </c>
      <c r="U3862">
        <v>-1.8733219999999999</v>
      </c>
      <c r="V3862">
        <v>-0.21257909999999999</v>
      </c>
      <c r="W3862">
        <v>0.15230450000000001</v>
      </c>
      <c r="X3862">
        <v>0.96520130000000004</v>
      </c>
      <c r="Y3862">
        <v>-0.40853339999999999</v>
      </c>
      <c r="Z3862">
        <v>4.1307360000000001E-2</v>
      </c>
      <c r="AA3862">
        <v>0.91180819999999996</v>
      </c>
      <c r="AB3862">
        <v>22</v>
      </c>
      <c r="AC3862">
        <v>0.75650000000001605</v>
      </c>
      <c r="AD3862">
        <v>-5.62310000000001E-2</v>
      </c>
      <c r="AE3862">
        <v>-0.46699999999998398</v>
      </c>
      <c r="AF3862">
        <v>-0.43260404163000499</v>
      </c>
      <c r="AG3862">
        <v>-5.62310000000001E-2</v>
      </c>
      <c r="AH3862">
        <v>0.772624675340849</v>
      </c>
      <c r="AI3862">
        <v>93.633551322652806</v>
      </c>
      <c r="AJ3862">
        <v>119.245112884305</v>
      </c>
      <c r="AK3862">
        <v>0.887275082001725</v>
      </c>
      <c r="AL3862">
        <v>81.239500970336493</v>
      </c>
      <c r="AM3862">
        <v>102.420713257665</v>
      </c>
      <c r="AN3862">
        <v>1.00000004199937</v>
      </c>
    </row>
    <row r="3863" spans="1:40" x14ac:dyDescent="0.25">
      <c r="A3863" t="str">
        <f>"20190304154829539"</f>
        <v>20190304154829539</v>
      </c>
      <c r="B3863" t="str">
        <f>"1551685709530486"</f>
        <v>1551685709530486</v>
      </c>
      <c r="C3863" t="s">
        <v>40</v>
      </c>
      <c r="D3863">
        <v>4.1269910000000003</v>
      </c>
      <c r="E3863">
        <v>0.41357830000000001</v>
      </c>
      <c r="F3863" t="s">
        <v>54</v>
      </c>
      <c r="G3863">
        <v>-471.66750000000002</v>
      </c>
      <c r="H3863" s="1">
        <v>5.128581E-6</v>
      </c>
      <c r="I3863">
        <v>212.54859999999999</v>
      </c>
      <c r="J3863">
        <v>-488.92840000000001</v>
      </c>
      <c r="K3863">
        <v>1.116924</v>
      </c>
      <c r="L3863">
        <v>225.0547</v>
      </c>
      <c r="M3863">
        <v>0.4960811</v>
      </c>
      <c r="N3863">
        <v>-1.204644E-2</v>
      </c>
      <c r="O3863">
        <v>-0.86819259999999998</v>
      </c>
      <c r="P3863">
        <v>0.66226609999999997</v>
      </c>
      <c r="Q3863">
        <v>0.143589299999999</v>
      </c>
      <c r="R3863">
        <v>-0.73538159999999997</v>
      </c>
      <c r="S3863">
        <v>2.5269780000000002</v>
      </c>
      <c r="T3863">
        <v>-0.16233439999999999</v>
      </c>
      <c r="U3863">
        <v>-1.846268</v>
      </c>
      <c r="V3863">
        <v>-0.2126159</v>
      </c>
      <c r="W3863">
        <v>0.15187610000000001</v>
      </c>
      <c r="X3863">
        <v>0.96526060000000002</v>
      </c>
      <c r="Y3863">
        <v>-0.4074972</v>
      </c>
      <c r="Z3863">
        <v>4.1285280000000001E-2</v>
      </c>
      <c r="AA3863">
        <v>0.91227279999999999</v>
      </c>
      <c r="AB3863">
        <v>22</v>
      </c>
      <c r="AC3863">
        <v>17.2608999999999</v>
      </c>
      <c r="AD3863">
        <v>-1.1169188714189999</v>
      </c>
      <c r="AE3863">
        <v>-12.5061</v>
      </c>
      <c r="AF3863">
        <v>-8.7583350098898496</v>
      </c>
      <c r="AG3863">
        <v>-1.1169188714189999</v>
      </c>
      <c r="AH3863">
        <v>19.368737617320701</v>
      </c>
      <c r="AI3863">
        <v>93.007771443463099</v>
      </c>
      <c r="AJ3863">
        <v>114.331971666068</v>
      </c>
      <c r="AK3863">
        <v>21.286238202167301</v>
      </c>
      <c r="AL3863">
        <v>81.264334565166706</v>
      </c>
      <c r="AM3863">
        <v>102.42205718981999</v>
      </c>
      <c r="AN3863">
        <v>0.99999994829818795</v>
      </c>
    </row>
    <row r="3864" spans="1:40" x14ac:dyDescent="0.25">
      <c r="A3864" t="str">
        <f>"20190304154829560"</f>
        <v>20190304154829560</v>
      </c>
      <c r="B3864" t="str">
        <f>"1551685709550006"</f>
        <v>1551685709550006</v>
      </c>
      <c r="C3864" t="s">
        <v>40</v>
      </c>
      <c r="D3864">
        <v>4.1213259999999998</v>
      </c>
      <c r="E3864">
        <v>0.41356130000000002</v>
      </c>
      <c r="F3864" t="s">
        <v>54</v>
      </c>
      <c r="G3864">
        <v>-471.3655</v>
      </c>
      <c r="H3864" s="1">
        <v>5.2623509999999999E-6</v>
      </c>
      <c r="I3864">
        <v>212.5446</v>
      </c>
      <c r="J3864">
        <v>-488.81240000000003</v>
      </c>
      <c r="K3864">
        <v>1.1169770000000001</v>
      </c>
      <c r="L3864">
        <v>224.8768</v>
      </c>
      <c r="M3864">
        <v>0.50550200000000001</v>
      </c>
      <c r="N3864">
        <v>-1.206488E-2</v>
      </c>
      <c r="O3864">
        <v>-0.86274119999999999</v>
      </c>
      <c r="P3864">
        <v>0.670207</v>
      </c>
      <c r="Q3864">
        <v>0.1439918</v>
      </c>
      <c r="R3864">
        <v>-0.72807239999999995</v>
      </c>
      <c r="S3864">
        <v>2.54895</v>
      </c>
      <c r="T3864">
        <v>-0.162101</v>
      </c>
      <c r="U3864">
        <v>-1.815628</v>
      </c>
      <c r="V3864">
        <v>-0.21265129999999999</v>
      </c>
      <c r="W3864">
        <v>0.15226589999999901</v>
      </c>
      <c r="X3864">
        <v>0.96519140000000003</v>
      </c>
      <c r="Y3864">
        <v>-0.408553</v>
      </c>
      <c r="Z3864">
        <v>4.1132059999999998E-2</v>
      </c>
      <c r="AA3864">
        <v>0.91180740000000005</v>
      </c>
      <c r="AB3864">
        <v>22</v>
      </c>
      <c r="AC3864">
        <v>17.446899999999999</v>
      </c>
      <c r="AD3864">
        <v>-1.116971737649</v>
      </c>
      <c r="AE3864">
        <v>-12.3322</v>
      </c>
      <c r="AF3864">
        <v>-8.7948109868474802</v>
      </c>
      <c r="AG3864">
        <v>-1.116971737649</v>
      </c>
      <c r="AH3864">
        <v>19.407310920362999</v>
      </c>
      <c r="AI3864">
        <v>93.000842202798594</v>
      </c>
      <c r="AJ3864">
        <v>114.37860743270301</v>
      </c>
      <c r="AK3864">
        <v>21.3363549679115</v>
      </c>
      <c r="AL3864">
        <v>81.241737955535598</v>
      </c>
      <c r="AM3864">
        <v>102.42492429740901</v>
      </c>
      <c r="AN3864">
        <v>0.99999995916422901</v>
      </c>
    </row>
    <row r="3865" spans="1:40" x14ac:dyDescent="0.25">
      <c r="A3865" t="str">
        <f>"20190304154829582"</f>
        <v>20190304154829582</v>
      </c>
      <c r="B3865" t="str">
        <f>"1551685709570505"</f>
        <v>1551685709570505</v>
      </c>
      <c r="C3865" t="s">
        <v>40</v>
      </c>
      <c r="D3865">
        <v>4.1106800000000003</v>
      </c>
      <c r="E3865">
        <v>0.41363240000000001</v>
      </c>
      <c r="F3865" t="s">
        <v>54</v>
      </c>
      <c r="G3865">
        <v>-470.82389999999998</v>
      </c>
      <c r="H3865" s="1">
        <v>5.4942599999999896E-6</v>
      </c>
      <c r="I3865">
        <v>212.35509999999999</v>
      </c>
      <c r="J3865">
        <v>-488.69819999999999</v>
      </c>
      <c r="K3865">
        <v>1.1170230000000001</v>
      </c>
      <c r="L3865">
        <v>224.7056</v>
      </c>
      <c r="M3865">
        <v>0.51465760000000005</v>
      </c>
      <c r="N3865">
        <v>-1.208244E-2</v>
      </c>
      <c r="O3865">
        <v>-0.85731080000000004</v>
      </c>
      <c r="P3865">
        <v>0.6781855</v>
      </c>
      <c r="Q3865">
        <v>0.14303440000000001</v>
      </c>
      <c r="R3865">
        <v>-0.7208369</v>
      </c>
      <c r="S3865">
        <v>2.56839</v>
      </c>
      <c r="T3865">
        <v>-0.1594797</v>
      </c>
      <c r="U3865">
        <v>-1.7878419999999999</v>
      </c>
      <c r="V3865">
        <v>-0.21291399999999999</v>
      </c>
      <c r="W3865">
        <v>0.15129589999999901</v>
      </c>
      <c r="X3865">
        <v>0.96528610000000004</v>
      </c>
      <c r="Y3865">
        <v>-0.40875250000000002</v>
      </c>
      <c r="Z3865">
        <v>4.0225869999999997E-2</v>
      </c>
      <c r="AA3865">
        <v>0.91175839999999997</v>
      </c>
      <c r="AB3865">
        <v>22</v>
      </c>
      <c r="AC3865">
        <v>17.874300000000002</v>
      </c>
      <c r="AD3865">
        <v>-1.11701750573999</v>
      </c>
      <c r="AE3865">
        <v>-12.3505</v>
      </c>
      <c r="AF3865">
        <v>-8.9445617115660099</v>
      </c>
      <c r="AG3865">
        <v>-1.11701750573999</v>
      </c>
      <c r="AH3865">
        <v>19.736632693977601</v>
      </c>
      <c r="AI3865">
        <v>92.950951922234793</v>
      </c>
      <c r="AJ3865">
        <v>114.37984047800801</v>
      </c>
      <c r="AK3865">
        <v>21.6976400195304</v>
      </c>
      <c r="AL3865">
        <v>81.297967008634203</v>
      </c>
      <c r="AM3865">
        <v>102.438613514721</v>
      </c>
      <c r="AN3865">
        <v>1.0000000378030001</v>
      </c>
    </row>
    <row r="3866" spans="1:40" x14ac:dyDescent="0.25">
      <c r="A3866" t="str">
        <f>"20190304154829603"</f>
        <v>20190304154829603</v>
      </c>
      <c r="B3866" t="str">
        <f>"1551685709600760"</f>
        <v>1551685709600760</v>
      </c>
      <c r="C3866" t="s">
        <v>40</v>
      </c>
      <c r="D3866">
        <v>4.070354</v>
      </c>
      <c r="E3866">
        <v>0.41385260000000001</v>
      </c>
      <c r="F3866" t="s">
        <v>54</v>
      </c>
      <c r="G3866">
        <v>-470.79649999999998</v>
      </c>
      <c r="H3866" s="1">
        <v>5.5138999999999998E-6</v>
      </c>
      <c r="I3866">
        <v>212.52670000000001</v>
      </c>
      <c r="J3866">
        <v>-488.57990000000001</v>
      </c>
      <c r="K3866">
        <v>1.117078</v>
      </c>
      <c r="L3866">
        <v>224.5325</v>
      </c>
      <c r="M3866">
        <v>0.52399419999999997</v>
      </c>
      <c r="N3866">
        <v>-1.210082E-2</v>
      </c>
      <c r="O3866">
        <v>-0.85163580000000005</v>
      </c>
      <c r="P3866">
        <v>0.68607369999999901</v>
      </c>
      <c r="Q3866">
        <v>0.14274529999999999</v>
      </c>
      <c r="R3866">
        <v>-0.71339090000000005</v>
      </c>
      <c r="S3866">
        <v>2.5869450000000001</v>
      </c>
      <c r="T3866">
        <v>-0.16141839999999999</v>
      </c>
      <c r="U3866">
        <v>-1.759949</v>
      </c>
      <c r="V3866">
        <v>-0.21296979999999999</v>
      </c>
      <c r="W3866">
        <v>0.15099660000000001</v>
      </c>
      <c r="X3866">
        <v>0.96532059999999997</v>
      </c>
      <c r="Y3866">
        <v>-0.4085203</v>
      </c>
      <c r="Z3866">
        <v>4.0717209999999997E-2</v>
      </c>
      <c r="AA3866">
        <v>0.9118406</v>
      </c>
      <c r="AB3866">
        <v>22</v>
      </c>
      <c r="AC3866">
        <v>17.7834</v>
      </c>
      <c r="AD3866">
        <v>-1.1170724861000001</v>
      </c>
      <c r="AE3866">
        <v>-12.005799999999899</v>
      </c>
      <c r="AF3866">
        <v>-8.8307242751281301</v>
      </c>
      <c r="AG3866">
        <v>-1.1170724861000001</v>
      </c>
      <c r="AH3866">
        <v>19.491569105410299</v>
      </c>
      <c r="AI3866">
        <v>92.988293316919695</v>
      </c>
      <c r="AJ3866">
        <v>114.37307136377299</v>
      </c>
      <c r="AK3866">
        <v>21.427804562145901</v>
      </c>
      <c r="AL3866">
        <v>81.315314474667801</v>
      </c>
      <c r="AM3866">
        <v>102.44134107893601</v>
      </c>
      <c r="AN3866">
        <v>0.99999998485397901</v>
      </c>
    </row>
    <row r="3867" spans="1:40" x14ac:dyDescent="0.25">
      <c r="A3867" t="str">
        <f>"20190304154829628"</f>
        <v>20190304154829628</v>
      </c>
      <c r="B3867" t="str">
        <f>"1551685709620278"</f>
        <v>1551685709620278</v>
      </c>
      <c r="C3867" t="s">
        <v>40</v>
      </c>
      <c r="D3867">
        <v>4.1430439999999997</v>
      </c>
      <c r="E3867">
        <v>0.41409649999999998</v>
      </c>
      <c r="F3867" t="s">
        <v>54</v>
      </c>
      <c r="G3867">
        <v>-470.39850000000001</v>
      </c>
      <c r="H3867" s="1">
        <v>5.6868910000000001E-6</v>
      </c>
      <c r="I3867">
        <v>212.44669999999999</v>
      </c>
      <c r="J3867">
        <v>-488.44749999999999</v>
      </c>
      <c r="K3867">
        <v>1.1171489999999999</v>
      </c>
      <c r="L3867">
        <v>224.34370000000001</v>
      </c>
      <c r="M3867">
        <v>0.53427789999999997</v>
      </c>
      <c r="N3867">
        <v>-1.212185E-2</v>
      </c>
      <c r="O3867">
        <v>-0.84522219999999904</v>
      </c>
      <c r="P3867">
        <v>0.69471669999999996</v>
      </c>
      <c r="Q3867">
        <v>0.1429607</v>
      </c>
      <c r="R3867">
        <v>-0.70493380000000005</v>
      </c>
      <c r="S3867">
        <v>2.6051639999999998</v>
      </c>
      <c r="T3867">
        <v>-0.16006239999999999</v>
      </c>
      <c r="U3867">
        <v>-1.7317499999999999</v>
      </c>
      <c r="V3867">
        <v>-0.2130843</v>
      </c>
      <c r="W3867">
        <v>0.15119739999999901</v>
      </c>
      <c r="X3867">
        <v>0.96526389999999995</v>
      </c>
      <c r="Y3867">
        <v>-0.40726190000000001</v>
      </c>
      <c r="Z3867">
        <v>4.015962E-2</v>
      </c>
      <c r="AA3867">
        <v>0.91242800000000002</v>
      </c>
      <c r="AB3867">
        <v>22</v>
      </c>
      <c r="AC3867">
        <v>18.0489999999999</v>
      </c>
      <c r="AD3867">
        <v>-1.1171433131090001</v>
      </c>
      <c r="AE3867">
        <v>-11.897</v>
      </c>
      <c r="AF3867">
        <v>-8.8760586359766194</v>
      </c>
      <c r="AG3867">
        <v>-1.1171433131090001</v>
      </c>
      <c r="AH3867">
        <v>19.6477616596815</v>
      </c>
      <c r="AI3867">
        <v>92.966206449271198</v>
      </c>
      <c r="AJ3867">
        <v>114.311514844725</v>
      </c>
      <c r="AK3867">
        <v>21.588584120478298</v>
      </c>
      <c r="AL3867">
        <v>81.303675856584604</v>
      </c>
      <c r="AM3867">
        <v>102.44852992879299</v>
      </c>
      <c r="AN3867">
        <v>0.99999998465822904</v>
      </c>
    </row>
    <row r="3868" spans="1:40" x14ac:dyDescent="0.25">
      <c r="A3868" t="str">
        <f>"20190304154829649"</f>
        <v>20190304154829649</v>
      </c>
      <c r="B3868" t="str">
        <f>"1551685709640775"</f>
        <v>1551685709640775</v>
      </c>
      <c r="C3868" t="s">
        <v>40</v>
      </c>
      <c r="D3868">
        <v>4.1183160000000001</v>
      </c>
      <c r="E3868">
        <v>0.4143848</v>
      </c>
      <c r="F3868" t="s">
        <v>60</v>
      </c>
      <c r="G3868">
        <v>-469.93599999999998</v>
      </c>
      <c r="H3868" s="1">
        <v>3.8498589999999997E-6</v>
      </c>
      <c r="I3868">
        <v>212.3466</v>
      </c>
      <c r="J3868">
        <v>-488.32679999999999</v>
      </c>
      <c r="K3868">
        <v>1.1172120000000001</v>
      </c>
      <c r="L3868">
        <v>224.17580000000001</v>
      </c>
      <c r="M3868">
        <v>0.54351309999999997</v>
      </c>
      <c r="N3868">
        <v>-1.214105E-2</v>
      </c>
      <c r="O3868">
        <v>-0.83931309999999903</v>
      </c>
      <c r="P3868">
        <v>0.70258319999999996</v>
      </c>
      <c r="Q3868">
        <v>0.14399529999999999</v>
      </c>
      <c r="R3868">
        <v>-0.69688079999999997</v>
      </c>
      <c r="S3868">
        <v>2.6248170000000002</v>
      </c>
      <c r="T3868">
        <v>-0.15840379999999901</v>
      </c>
      <c r="U3868">
        <v>-1.701111</v>
      </c>
      <c r="V3868">
        <v>-0.21348800000000001</v>
      </c>
      <c r="W3868">
        <v>0.15220980000000001</v>
      </c>
      <c r="X3868">
        <v>0.96501559999999997</v>
      </c>
      <c r="Y3868">
        <v>-0.4078889</v>
      </c>
      <c r="Z3868">
        <v>3.9552990000000003E-2</v>
      </c>
      <c r="AA3868">
        <v>0.9121745</v>
      </c>
      <c r="AB3868">
        <v>22</v>
      </c>
      <c r="AC3868">
        <v>18.390799999999999</v>
      </c>
      <c r="AD3868">
        <v>-1.1172081501410001</v>
      </c>
      <c r="AE3868">
        <v>-11.8292</v>
      </c>
      <c r="AF3868">
        <v>-8.9835260112682498</v>
      </c>
      <c r="AG3868">
        <v>-1.1172081501410001</v>
      </c>
      <c r="AH3868">
        <v>19.873630521857201</v>
      </c>
      <c r="AI3868">
        <v>92.932423741095107</v>
      </c>
      <c r="AJ3868">
        <v>114.324512492382</v>
      </c>
      <c r="AK3868">
        <v>21.8383397666848</v>
      </c>
      <c r="AL3868">
        <v>81.244990771397795</v>
      </c>
      <c r="AM3868">
        <v>102.474485581522</v>
      </c>
      <c r="AN3868">
        <v>1.0000000288016899</v>
      </c>
    </row>
    <row r="3869" spans="1:40" x14ac:dyDescent="0.25">
      <c r="A3869" t="str">
        <f>"20190304154829672"</f>
        <v>20190304154829672</v>
      </c>
      <c r="B3869" t="str">
        <f>"1551685709670054"</f>
        <v>1551685709670054</v>
      </c>
      <c r="C3869" t="s">
        <v>40</v>
      </c>
      <c r="D3869">
        <v>4.1825049999999999</v>
      </c>
      <c r="E3869">
        <v>0.41458159999999999</v>
      </c>
      <c r="F3869" t="s">
        <v>60</v>
      </c>
      <c r="G3869">
        <v>-469.2278</v>
      </c>
      <c r="H3869" s="1">
        <v>3.4845260000000001E-6</v>
      </c>
      <c r="I3869">
        <v>212.08330000000001</v>
      </c>
      <c r="J3869">
        <v>-488.19479999999999</v>
      </c>
      <c r="K3869">
        <v>1.1172839999999999</v>
      </c>
      <c r="L3869">
        <v>223.99680000000001</v>
      </c>
      <c r="M3869">
        <v>0.55345149999999999</v>
      </c>
      <c r="N3869">
        <v>-1.216182E-2</v>
      </c>
      <c r="O3869">
        <v>-0.83279269999999905</v>
      </c>
      <c r="P3869">
        <v>0.71062289999999995</v>
      </c>
      <c r="Q3869">
        <v>0.14435300000000001</v>
      </c>
      <c r="R3869">
        <v>-0.68860549999999998</v>
      </c>
      <c r="S3869">
        <v>2.6422729999999999</v>
      </c>
      <c r="T3869">
        <v>-0.1545619</v>
      </c>
      <c r="U3869">
        <v>-1.6729579999999999</v>
      </c>
      <c r="V3869">
        <v>-0.2132878</v>
      </c>
      <c r="W3869">
        <v>0.1525562</v>
      </c>
      <c r="X3869">
        <v>0.96500520000000001</v>
      </c>
      <c r="Y3869">
        <v>-0.40674690000000002</v>
      </c>
      <c r="Z3869">
        <v>3.8240709999999997E-2</v>
      </c>
      <c r="AA3869">
        <v>0.9127402</v>
      </c>
      <c r="AB3869">
        <v>22</v>
      </c>
      <c r="AC3869">
        <v>18.966999999999899</v>
      </c>
      <c r="AD3869">
        <v>-1.117280515474</v>
      </c>
      <c r="AE3869">
        <v>-11.913500000000001</v>
      </c>
      <c r="AF3869">
        <v>-9.1798725239835104</v>
      </c>
      <c r="AG3869">
        <v>-1.117280515474</v>
      </c>
      <c r="AH3869">
        <v>20.369613836366302</v>
      </c>
      <c r="AI3869">
        <v>92.8627918150179</v>
      </c>
      <c r="AJ3869">
        <v>114.259424010777</v>
      </c>
      <c r="AK3869">
        <v>22.370506099539401</v>
      </c>
      <c r="AL3869">
        <v>81.224909246520099</v>
      </c>
      <c r="AM3869">
        <v>102.463283349691</v>
      </c>
      <c r="AN3869">
        <v>1.00000005790715</v>
      </c>
    </row>
    <row r="3870" spans="1:40" x14ac:dyDescent="0.25">
      <c r="A3870" t="str">
        <f>"20190304154829694"</f>
        <v>20190304154829694</v>
      </c>
      <c r="B3870" t="str">
        <f>"1551685709690550"</f>
        <v>1551685709690550</v>
      </c>
      <c r="C3870" t="s">
        <v>40</v>
      </c>
      <c r="D3870">
        <v>4.137804</v>
      </c>
      <c r="E3870">
        <v>0.42612450000000002</v>
      </c>
      <c r="F3870" t="s">
        <v>41</v>
      </c>
      <c r="G3870">
        <v>-487.25720000000001</v>
      </c>
      <c r="H3870">
        <v>1.0637270000000001</v>
      </c>
      <c r="I3870">
        <v>223.41730000000001</v>
      </c>
      <c r="J3870">
        <v>-488.06819999999999</v>
      </c>
      <c r="K3870">
        <v>1.11734</v>
      </c>
      <c r="L3870">
        <v>223.8295</v>
      </c>
      <c r="M3870">
        <v>0.56283159999999999</v>
      </c>
      <c r="N3870">
        <v>-1.218139E-2</v>
      </c>
      <c r="O3870">
        <v>-0.82648189999999999</v>
      </c>
      <c r="P3870">
        <v>0.71846399999999999</v>
      </c>
      <c r="Q3870">
        <v>0.14383319999999999</v>
      </c>
      <c r="R3870">
        <v>-0.68053069999999904</v>
      </c>
      <c r="S3870">
        <v>2.660339</v>
      </c>
      <c r="T3870">
        <v>-0.15188299999999999</v>
      </c>
      <c r="U3870">
        <v>-1.6430659999999999</v>
      </c>
      <c r="V3870">
        <v>-0.2133842</v>
      </c>
      <c r="W3870">
        <v>0.1520222</v>
      </c>
      <c r="X3870">
        <v>0.96506809999999998</v>
      </c>
      <c r="Y3870">
        <v>-0.4066475</v>
      </c>
      <c r="Z3870">
        <v>3.7312280000000003E-2</v>
      </c>
      <c r="AA3870">
        <v>0.91282289999999999</v>
      </c>
      <c r="AB3870">
        <v>22</v>
      </c>
      <c r="AC3870">
        <v>0.81099999999997796</v>
      </c>
      <c r="AD3870">
        <v>-5.3612999999999897E-2</v>
      </c>
      <c r="AE3870">
        <v>-0.41219999999998402</v>
      </c>
      <c r="AF3870">
        <v>-0.436793148156703</v>
      </c>
      <c r="AG3870">
        <v>-5.3612999999999897E-2</v>
      </c>
      <c r="AH3870">
        <v>0.79443230545459398</v>
      </c>
      <c r="AI3870">
        <v>93.384346808428106</v>
      </c>
      <c r="AJ3870">
        <v>118.80278527813</v>
      </c>
      <c r="AK3870">
        <v>0.90817690787398098</v>
      </c>
      <c r="AL3870">
        <v>81.2558657810808</v>
      </c>
      <c r="AM3870">
        <v>102.467953005461</v>
      </c>
      <c r="AN3870">
        <v>1.0000000018700399</v>
      </c>
    </row>
    <row r="3871" spans="1:40" x14ac:dyDescent="0.25">
      <c r="A3871" t="str">
        <f>"20190304154829715"</f>
        <v>20190304154829715</v>
      </c>
      <c r="B3871" t="str">
        <f>"1551685709710070"</f>
        <v>1551685709710070</v>
      </c>
      <c r="C3871" t="s">
        <v>40</v>
      </c>
      <c r="D3871">
        <v>4.3348490000000002</v>
      </c>
      <c r="E3871">
        <v>0.42564629999999998</v>
      </c>
      <c r="F3871" t="s">
        <v>60</v>
      </c>
      <c r="G3871">
        <v>-469.33510000000001</v>
      </c>
      <c r="H3871" s="1">
        <v>3.5535529999999999E-6</v>
      </c>
      <c r="I3871">
        <v>211.81030000000001</v>
      </c>
      <c r="J3871">
        <v>-487.94200000000001</v>
      </c>
      <c r="K3871">
        <v>1.1173900000000001</v>
      </c>
      <c r="L3871">
        <v>223.66679999999999</v>
      </c>
      <c r="M3871">
        <v>0.5720326</v>
      </c>
      <c r="N3871">
        <v>-1.2199679999999999E-2</v>
      </c>
      <c r="O3871">
        <v>-0.82014030000000004</v>
      </c>
      <c r="P3871">
        <v>0.7261706</v>
      </c>
      <c r="Q3871">
        <v>0.14373749999999999</v>
      </c>
      <c r="R3871">
        <v>-0.67232139999999996</v>
      </c>
      <c r="S3871">
        <v>2.616638</v>
      </c>
      <c r="T3871">
        <v>-0.15606989999999901</v>
      </c>
      <c r="U3871">
        <v>-1.6788479999999999</v>
      </c>
      <c r="V3871">
        <v>-0.21360090000000001</v>
      </c>
      <c r="W3871">
        <v>0.15191289999999999</v>
      </c>
      <c r="X3871">
        <v>0.96503729999999999</v>
      </c>
      <c r="Y3871">
        <v>-0.38056240000000002</v>
      </c>
      <c r="Z3871">
        <v>3.8188300000000001E-2</v>
      </c>
      <c r="AA3871">
        <v>0.92396639999999997</v>
      </c>
      <c r="AB3871">
        <v>22</v>
      </c>
      <c r="AC3871">
        <v>18.6068999999999</v>
      </c>
      <c r="AD3871">
        <v>-1.11738644644699</v>
      </c>
      <c r="AE3871">
        <v>-11.856499999999899</v>
      </c>
      <c r="AF3871">
        <v>-8.4569032795857293</v>
      </c>
      <c r="AG3871">
        <v>-1.11738644644699</v>
      </c>
      <c r="AH3871">
        <v>20.3171498036345</v>
      </c>
      <c r="AI3871">
        <v>92.906654486151695</v>
      </c>
      <c r="AJ3871">
        <v>112.599255060793</v>
      </c>
      <c r="AK3871">
        <v>22.035297631171201</v>
      </c>
      <c r="AL3871">
        <v>81.262201184534902</v>
      </c>
      <c r="AM3871">
        <v>102.48060401287</v>
      </c>
      <c r="AN3871">
        <v>0.99999993202925197</v>
      </c>
    </row>
    <row r="3872" spans="1:40" x14ac:dyDescent="0.25">
      <c r="A3872" t="str">
        <f>"20190304154829740"</f>
        <v>20190304154829740</v>
      </c>
      <c r="B3872" t="str">
        <f>"1551685709730567"</f>
        <v>1551685709730567</v>
      </c>
      <c r="C3872" t="s">
        <v>40</v>
      </c>
      <c r="D3872">
        <v>4.0634240000000004</v>
      </c>
      <c r="E3872">
        <v>0.42314309999999999</v>
      </c>
      <c r="F3872" t="s">
        <v>60</v>
      </c>
      <c r="G3872">
        <v>-468.64949999999999</v>
      </c>
      <c r="H3872" s="1">
        <v>3.1962719999999999E-6</v>
      </c>
      <c r="I3872">
        <v>211.63730000000001</v>
      </c>
      <c r="J3872">
        <v>-487.79149999999998</v>
      </c>
      <c r="K3872">
        <v>1.117443</v>
      </c>
      <c r="L3872">
        <v>223.4777</v>
      </c>
      <c r="M3872">
        <v>0.58280379999999998</v>
      </c>
      <c r="N3872">
        <v>-1.221915E-2</v>
      </c>
      <c r="O3872">
        <v>-0.812521099999999</v>
      </c>
      <c r="P3872">
        <v>0.73502230000000002</v>
      </c>
      <c r="Q3872">
        <v>0.14380190000000001</v>
      </c>
      <c r="R3872">
        <v>-0.6626185</v>
      </c>
      <c r="S3872">
        <v>2.6383969999999999</v>
      </c>
      <c r="T3872">
        <v>-0.1528118</v>
      </c>
      <c r="U3872">
        <v>-1.6451260000000001</v>
      </c>
      <c r="V3872">
        <v>-0.21369389999999999</v>
      </c>
      <c r="W3872">
        <v>0.15196799999999999</v>
      </c>
      <c r="X3872">
        <v>0.96500810000000004</v>
      </c>
      <c r="Y3872">
        <v>-0.38033099999999997</v>
      </c>
      <c r="Z3872">
        <v>3.7038750000000002E-2</v>
      </c>
      <c r="AA3872">
        <v>0.92410840000000005</v>
      </c>
      <c r="AB3872">
        <v>22</v>
      </c>
      <c r="AC3872">
        <v>19.141999999999999</v>
      </c>
      <c r="AD3872">
        <v>-1.117439803728</v>
      </c>
      <c r="AE3872">
        <v>-11.840399999999899</v>
      </c>
      <c r="AF3872">
        <v>-8.6320185150896407</v>
      </c>
      <c r="AG3872">
        <v>-1.117439803728</v>
      </c>
      <c r="AH3872">
        <v>20.727068095581199</v>
      </c>
      <c r="AI3872">
        <v>92.849182616556007</v>
      </c>
      <c r="AJ3872">
        <v>112.609830641583</v>
      </c>
      <c r="AK3872">
        <v>22.4804752440571</v>
      </c>
      <c r="AL3872">
        <v>81.259007652726297</v>
      </c>
      <c r="AM3872">
        <v>102.48623354679999</v>
      </c>
      <c r="AN3872">
        <v>0.99999999449340904</v>
      </c>
    </row>
    <row r="3873" spans="1:40" x14ac:dyDescent="0.25">
      <c r="A3873" t="str">
        <f>"20190304154829762"</f>
        <v>20190304154829762</v>
      </c>
      <c r="B3873" t="str">
        <f>"1551685709750086"</f>
        <v>1551685709750086</v>
      </c>
      <c r="C3873" t="s">
        <v>40</v>
      </c>
      <c r="D3873">
        <v>3.9069240000000001</v>
      </c>
      <c r="E3873">
        <v>0.40658319999999998</v>
      </c>
      <c r="F3873" t="s">
        <v>60</v>
      </c>
      <c r="G3873">
        <v>-467.6114</v>
      </c>
      <c r="H3873" s="1">
        <v>2.6524210000000002E-6</v>
      </c>
      <c r="I3873">
        <v>211.44030000000001</v>
      </c>
      <c r="J3873">
        <v>-487.65890000000002</v>
      </c>
      <c r="K3873">
        <v>1.117478</v>
      </c>
      <c r="L3873">
        <v>223.3152</v>
      </c>
      <c r="M3873">
        <v>0.59212180000000003</v>
      </c>
      <c r="N3873">
        <v>-1.223481E-2</v>
      </c>
      <c r="O3873">
        <v>-0.80575549999999996</v>
      </c>
      <c r="P3873">
        <v>0.74236020000000003</v>
      </c>
      <c r="Q3873">
        <v>0.14454549999999999</v>
      </c>
      <c r="R3873">
        <v>-0.6542232</v>
      </c>
      <c r="S3873">
        <v>2.6730649999999998</v>
      </c>
      <c r="T3873">
        <v>-0.14801619999999999</v>
      </c>
      <c r="U3873">
        <v>-1.594482</v>
      </c>
      <c r="V3873">
        <v>-0.2134569</v>
      </c>
      <c r="W3873">
        <v>0.15271219999999999</v>
      </c>
      <c r="X3873">
        <v>0.96494310000000005</v>
      </c>
      <c r="Y3873">
        <v>-0.38792919999999997</v>
      </c>
      <c r="Z3873">
        <v>3.5577640000000001E-2</v>
      </c>
      <c r="AA3873">
        <v>0.92100230000000005</v>
      </c>
      <c r="AB3873">
        <v>22</v>
      </c>
      <c r="AC3873">
        <v>20.047499999999999</v>
      </c>
      <c r="AD3873">
        <v>-1.117475347579</v>
      </c>
      <c r="AE3873">
        <v>-11.874899999999901</v>
      </c>
      <c r="AF3873">
        <v>-9.1017449814923204</v>
      </c>
      <c r="AG3873">
        <v>-1.117475347579</v>
      </c>
      <c r="AH3873">
        <v>21.391232610443101</v>
      </c>
      <c r="AI3873">
        <v>92.7520610067143</v>
      </c>
      <c r="AJ3873">
        <v>113.049243534814</v>
      </c>
      <c r="AK3873">
        <v>23.273919855809599</v>
      </c>
      <c r="AL3873">
        <v>81.215864843863102</v>
      </c>
      <c r="AM3873">
        <v>102.47363302141601</v>
      </c>
      <c r="AN3873">
        <v>1.00000002521202</v>
      </c>
    </row>
    <row r="3874" spans="1:40" x14ac:dyDescent="0.25">
      <c r="A3874" t="str">
        <f>"20190304154829786"</f>
        <v>20190304154829786</v>
      </c>
      <c r="B3874" t="str">
        <f>"1551685709780343"</f>
        <v>1551685709780343</v>
      </c>
      <c r="C3874" t="s">
        <v>40</v>
      </c>
      <c r="D3874">
        <v>3.8592900000000001</v>
      </c>
      <c r="E3874">
        <v>0.4065995</v>
      </c>
      <c r="F3874" t="s">
        <v>60</v>
      </c>
      <c r="G3874">
        <v>-463.05450000000002</v>
      </c>
      <c r="H3874" s="1">
        <v>2.7508209999999999E-7</v>
      </c>
      <c r="I3874">
        <v>210.35159999999999</v>
      </c>
      <c r="J3874">
        <v>-487.51729999999998</v>
      </c>
      <c r="K3874">
        <v>1.1175120000000001</v>
      </c>
      <c r="L3874">
        <v>223.14590000000001</v>
      </c>
      <c r="M3874">
        <v>0.60188909999999995</v>
      </c>
      <c r="N3874">
        <v>-1.2250250000000001E-2</v>
      </c>
      <c r="O3874">
        <v>-0.79848589999999997</v>
      </c>
      <c r="P3874">
        <v>0.75018099999999999</v>
      </c>
      <c r="Q3874">
        <v>0.14540149999999999</v>
      </c>
      <c r="R3874">
        <v>-0.64504819999999996</v>
      </c>
      <c r="S3874">
        <v>2.7764890000000002</v>
      </c>
      <c r="T3874">
        <v>-0.12610189999999999</v>
      </c>
      <c r="U3874">
        <v>-1.4628749999999999</v>
      </c>
      <c r="V3874">
        <v>-0.21346380000000001</v>
      </c>
      <c r="W3874">
        <v>0.15356510000000001</v>
      </c>
      <c r="X3874">
        <v>0.96480619999999995</v>
      </c>
      <c r="Y3874">
        <v>-0.42533979999999999</v>
      </c>
      <c r="Z3874">
        <v>2.933268E-2</v>
      </c>
      <c r="AA3874">
        <v>0.90455830000000004</v>
      </c>
      <c r="AB3874">
        <v>22</v>
      </c>
      <c r="AC3874">
        <v>24.462799999999898</v>
      </c>
      <c r="AD3874">
        <v>-1.1175117249179001</v>
      </c>
      <c r="AE3874">
        <v>-12.7943</v>
      </c>
      <c r="AF3874">
        <v>-11.813978719391899</v>
      </c>
      <c r="AG3874">
        <v>-1.1175117249179001</v>
      </c>
      <c r="AH3874">
        <v>24.901025359444301</v>
      </c>
      <c r="AI3874">
        <v>92.321857233592397</v>
      </c>
      <c r="AJ3874">
        <v>115.38141369028899</v>
      </c>
      <c r="AK3874">
        <v>27.584053175508199</v>
      </c>
      <c r="AL3874">
        <v>81.166413928114906</v>
      </c>
      <c r="AM3874">
        <v>102.475738183852</v>
      </c>
      <c r="AN3874">
        <v>1.0000000187034399</v>
      </c>
    </row>
    <row r="3875" spans="1:40" x14ac:dyDescent="0.25">
      <c r="A3875" t="str">
        <f>"20190304154829805"</f>
        <v>20190304154829805</v>
      </c>
      <c r="B3875" t="str">
        <f>"1551685709800838"</f>
        <v>1551685709800838</v>
      </c>
      <c r="C3875" t="s">
        <v>40</v>
      </c>
      <c r="D3875">
        <v>3.8590789999999999</v>
      </c>
      <c r="E3875">
        <v>0.406976</v>
      </c>
      <c r="F3875" t="s">
        <v>60</v>
      </c>
      <c r="G3875">
        <v>-462.13799999999998</v>
      </c>
      <c r="H3875" s="1">
        <v>-2.0443310000000001E-7</v>
      </c>
      <c r="I3875">
        <v>210.16399999999999</v>
      </c>
      <c r="J3875">
        <v>-487.38780000000003</v>
      </c>
      <c r="K3875">
        <v>1.1175360000000001</v>
      </c>
      <c r="L3875">
        <v>222.99459999999999</v>
      </c>
      <c r="M3875">
        <v>0.61064989999999997</v>
      </c>
      <c r="N3875">
        <v>-1.2262810000000001E-2</v>
      </c>
      <c r="O3875">
        <v>-0.79180569999999995</v>
      </c>
      <c r="P3875">
        <v>0.75723450000000003</v>
      </c>
      <c r="Q3875">
        <v>0.1462463</v>
      </c>
      <c r="R3875">
        <v>-0.63655980000000001</v>
      </c>
      <c r="S3875">
        <v>2.794006</v>
      </c>
      <c r="T3875">
        <v>-0.12302680000000001</v>
      </c>
      <c r="U3875">
        <v>-1.4291689999999999</v>
      </c>
      <c r="V3875">
        <v>-0.2135928</v>
      </c>
      <c r="W3875">
        <v>0.1544065</v>
      </c>
      <c r="X3875">
        <v>0.96464329999999998</v>
      </c>
      <c r="Y3875">
        <v>-0.42634879999999997</v>
      </c>
      <c r="Z3875">
        <v>2.8350719999999999E-2</v>
      </c>
      <c r="AA3875">
        <v>0.90411450000000004</v>
      </c>
      <c r="AB3875">
        <v>22</v>
      </c>
      <c r="AC3875">
        <v>25.2498</v>
      </c>
      <c r="AD3875">
        <v>-1.1175362044331001</v>
      </c>
      <c r="AE3875">
        <v>-12.830599999999899</v>
      </c>
      <c r="AF3875">
        <v>-12.139945185796501</v>
      </c>
      <c r="AG3875">
        <v>-1.1175362044331001</v>
      </c>
      <c r="AH3875">
        <v>25.540291187460301</v>
      </c>
      <c r="AI3875">
        <v>92.263074749996406</v>
      </c>
      <c r="AJ3875">
        <v>115.42292085119701</v>
      </c>
      <c r="AK3875">
        <v>28.300770841491602</v>
      </c>
      <c r="AL3875">
        <v>81.117622934490498</v>
      </c>
      <c r="AM3875">
        <v>102.48508316371399</v>
      </c>
      <c r="AN3875">
        <v>0.99999997384448902</v>
      </c>
    </row>
    <row r="3876" spans="1:40" x14ac:dyDescent="0.25">
      <c r="A3876" t="str">
        <f>"20190304154829829"</f>
        <v>20190304154829829</v>
      </c>
      <c r="B3876" t="str">
        <f>"1551685709820359"</f>
        <v>1551685709820359</v>
      </c>
      <c r="C3876" t="s">
        <v>40</v>
      </c>
      <c r="D3876">
        <v>3.9353539999999998</v>
      </c>
      <c r="E3876">
        <v>0.41406870000000001</v>
      </c>
      <c r="F3876" t="s">
        <v>60</v>
      </c>
      <c r="G3876">
        <v>-461.62950000000001</v>
      </c>
      <c r="H3876" s="1">
        <v>-4.7440439999999999E-7</v>
      </c>
      <c r="I3876">
        <v>210.1489</v>
      </c>
      <c r="J3876">
        <v>-487.2407</v>
      </c>
      <c r="K3876">
        <v>1.1175469999999901</v>
      </c>
      <c r="L3876">
        <v>222.82689999999999</v>
      </c>
      <c r="M3876">
        <v>0.62038970000000004</v>
      </c>
      <c r="N3876">
        <v>-1.2270980000000001E-2</v>
      </c>
      <c r="O3876">
        <v>-0.7841979</v>
      </c>
      <c r="P3876">
        <v>0.76538909999999905</v>
      </c>
      <c r="Q3876">
        <v>0.14728559999999999</v>
      </c>
      <c r="R3876">
        <v>-0.62648740000000003</v>
      </c>
      <c r="S3876">
        <v>2.8081049999999999</v>
      </c>
      <c r="T3876">
        <v>-0.12183090000000001</v>
      </c>
      <c r="U3876">
        <v>-1.400406</v>
      </c>
      <c r="V3876">
        <v>-0.2143004</v>
      </c>
      <c r="W3876">
        <v>0.15542919999999999</v>
      </c>
      <c r="X3876">
        <v>0.96432209999999996</v>
      </c>
      <c r="Y3876">
        <v>-0.42441089999999998</v>
      </c>
      <c r="Z3876">
        <v>2.7870389999999998E-2</v>
      </c>
      <c r="AA3876">
        <v>0.90504070000000003</v>
      </c>
      <c r="AB3876">
        <v>22</v>
      </c>
      <c r="AC3876">
        <v>25.6112</v>
      </c>
      <c r="AD3876">
        <v>-1.1175474744043901</v>
      </c>
      <c r="AE3876">
        <v>-12.6779999999999</v>
      </c>
      <c r="AF3876">
        <v>-12.2012077364131</v>
      </c>
      <c r="AG3876">
        <v>-1.1175474744043901</v>
      </c>
      <c r="AH3876">
        <v>25.793481204722699</v>
      </c>
      <c r="AI3876">
        <v>92.242891737900095</v>
      </c>
      <c r="AJ3876">
        <v>115.315766800201</v>
      </c>
      <c r="AK3876">
        <v>28.555595865662401</v>
      </c>
      <c r="AL3876">
        <v>81.058310759977502</v>
      </c>
      <c r="AM3876">
        <v>102.529181397805</v>
      </c>
      <c r="AN3876">
        <v>1.0000000051005999</v>
      </c>
    </row>
    <row r="3877" spans="1:40" x14ac:dyDescent="0.25">
      <c r="A3877" t="str">
        <f>"20190304154829851"</f>
        <v>20190304154829851</v>
      </c>
      <c r="B3877" t="str">
        <f>"1551685709840854"</f>
        <v>1551685709840854</v>
      </c>
      <c r="C3877" t="s">
        <v>40</v>
      </c>
      <c r="D3877">
        <v>4.0372919999999999</v>
      </c>
      <c r="E3877">
        <v>0.41448620000000003</v>
      </c>
      <c r="F3877" t="s">
        <v>60</v>
      </c>
      <c r="G3877">
        <v>-466.00130000000001</v>
      </c>
      <c r="H3877" s="1">
        <v>1.766969E-6</v>
      </c>
      <c r="I3877">
        <v>212.09649999999999</v>
      </c>
      <c r="J3877">
        <v>-487.0958</v>
      </c>
      <c r="K3877">
        <v>1.1175580000000001</v>
      </c>
      <c r="L3877">
        <v>222.66569999999999</v>
      </c>
      <c r="M3877">
        <v>0.62977759999999905</v>
      </c>
      <c r="N3877">
        <v>-1.227134E-2</v>
      </c>
      <c r="O3877">
        <v>-0.77667889999999995</v>
      </c>
      <c r="P3877">
        <v>0.77329190000000003</v>
      </c>
      <c r="Q3877">
        <v>0.14736009999999999</v>
      </c>
      <c r="R3877">
        <v>-0.61668849999999997</v>
      </c>
      <c r="S3877">
        <v>2.7929080000000002</v>
      </c>
      <c r="T3877">
        <v>-0.14695349999999999</v>
      </c>
      <c r="U3877">
        <v>-1.411011</v>
      </c>
      <c r="V3877">
        <v>-0.21497849999999999</v>
      </c>
      <c r="W3877">
        <v>0.15548480000000001</v>
      </c>
      <c r="X3877">
        <v>0.96416219999999997</v>
      </c>
      <c r="Y3877">
        <v>-0.40849360000000001</v>
      </c>
      <c r="Z3877">
        <v>3.4885529999999998E-2</v>
      </c>
      <c r="AA3877">
        <v>0.91209430000000002</v>
      </c>
      <c r="AB3877">
        <v>22</v>
      </c>
      <c r="AC3877">
        <v>21.094499999999901</v>
      </c>
      <c r="AD3877">
        <v>-1.117556233031</v>
      </c>
      <c r="AE3877">
        <v>-10.569199999999899</v>
      </c>
      <c r="AF3877">
        <v>-9.7063612349398003</v>
      </c>
      <c r="AG3877">
        <v>-1.117556233031</v>
      </c>
      <c r="AH3877">
        <v>21.447213980094599</v>
      </c>
      <c r="AI3877">
        <v>92.717904738256195</v>
      </c>
      <c r="AJ3877">
        <v>114.350071078678</v>
      </c>
      <c r="AK3877">
        <v>23.567888489745901</v>
      </c>
      <c r="AL3877">
        <v>81.055085982096301</v>
      </c>
      <c r="AM3877">
        <v>102.56958731963999</v>
      </c>
      <c r="AN3877">
        <v>1.00000001320106</v>
      </c>
    </row>
    <row r="3878" spans="1:40" x14ac:dyDescent="0.25">
      <c r="A3878" t="str">
        <f>"20190304154829874"</f>
        <v>20190304154829874</v>
      </c>
      <c r="B3878" t="str">
        <f>"1551685709870135"</f>
        <v>1551685709870135</v>
      </c>
      <c r="C3878" t="s">
        <v>40</v>
      </c>
      <c r="D3878">
        <v>4.0278939999999999</v>
      </c>
      <c r="E3878">
        <v>0.40591959999999999</v>
      </c>
      <c r="F3878" t="s">
        <v>60</v>
      </c>
      <c r="G3878">
        <v>-465.89679999999998</v>
      </c>
      <c r="H3878" s="1">
        <v>1.7038910000000001E-6</v>
      </c>
      <c r="I3878">
        <v>212.267</v>
      </c>
      <c r="J3878">
        <v>-486.95080000000002</v>
      </c>
      <c r="K3878">
        <v>1.1175649999999999</v>
      </c>
      <c r="L3878">
        <v>222.50829999999999</v>
      </c>
      <c r="M3878">
        <v>0.63895649999999904</v>
      </c>
      <c r="N3878">
        <v>-1.226844E-2</v>
      </c>
      <c r="O3878">
        <v>-0.76914510000000003</v>
      </c>
      <c r="P3878">
        <v>0.78072079999999999</v>
      </c>
      <c r="Q3878">
        <v>0.1474299</v>
      </c>
      <c r="R3878">
        <v>-0.60723939999999998</v>
      </c>
      <c r="S3878">
        <v>2.8089900000000001</v>
      </c>
      <c r="T3878">
        <v>-0.14808260000000001</v>
      </c>
      <c r="U3878">
        <v>-1.3778840000000001</v>
      </c>
      <c r="V3878">
        <v>-0.21524589999999999</v>
      </c>
      <c r="W3878">
        <v>0.15554370000000001</v>
      </c>
      <c r="X3878">
        <v>0.96409299999999998</v>
      </c>
      <c r="Y3878">
        <v>-0.40837839999999997</v>
      </c>
      <c r="Z3878">
        <v>3.507118E-2</v>
      </c>
      <c r="AA3878">
        <v>0.91213880000000003</v>
      </c>
      <c r="AB3878">
        <v>22</v>
      </c>
      <c r="AC3878">
        <v>21.053999999999998</v>
      </c>
      <c r="AD3878">
        <v>-1.1175632961089901</v>
      </c>
      <c r="AE3878">
        <v>-10.241299999999899</v>
      </c>
      <c r="AF3878">
        <v>-9.6286231114077498</v>
      </c>
      <c r="AG3878">
        <v>-1.1175632961089901</v>
      </c>
      <c r="AH3878">
        <v>21.282748280830798</v>
      </c>
      <c r="AI3878">
        <v>92.739052741462999</v>
      </c>
      <c r="AJ3878">
        <v>114.342683704753</v>
      </c>
      <c r="AK3878">
        <v>23.386207583264799</v>
      </c>
      <c r="AL3878">
        <v>81.051669364656505</v>
      </c>
      <c r="AM3878">
        <v>102.58559873681899</v>
      </c>
      <c r="AN3878">
        <v>0.99999997636274895</v>
      </c>
    </row>
    <row r="3879" spans="1:40" x14ac:dyDescent="0.25">
      <c r="A3879" t="str">
        <f>"20190304154829894"</f>
        <v>20190304154829894</v>
      </c>
      <c r="B3879" t="str">
        <f>"1551685709890631"</f>
        <v>1551685709890631</v>
      </c>
      <c r="C3879" t="s">
        <v>40</v>
      </c>
      <c r="D3879">
        <v>4.0217229999999997</v>
      </c>
      <c r="E3879">
        <v>0.40876990000000002</v>
      </c>
      <c r="F3879" t="s">
        <v>60</v>
      </c>
      <c r="G3879">
        <v>-451.9547</v>
      </c>
      <c r="H3879">
        <v>8.0001240000000001E-2</v>
      </c>
      <c r="I3879">
        <v>206.8098</v>
      </c>
      <c r="J3879">
        <v>-486.81020000000001</v>
      </c>
      <c r="K3879">
        <v>1.117561</v>
      </c>
      <c r="L3879">
        <v>222.35910000000001</v>
      </c>
      <c r="M3879">
        <v>0.64766309999999905</v>
      </c>
      <c r="N3879">
        <v>-1.2265669999999999E-2</v>
      </c>
      <c r="O3879">
        <v>-0.76182830000000001</v>
      </c>
      <c r="P3879">
        <v>0.78735089999999996</v>
      </c>
      <c r="Q3879">
        <v>0.148122799999999</v>
      </c>
      <c r="R3879">
        <v>-0.59844679999999995</v>
      </c>
      <c r="S3879">
        <v>2.860535</v>
      </c>
      <c r="T3879">
        <v>-8.4808949999999994E-2</v>
      </c>
      <c r="U3879">
        <v>-1.2831729999999999</v>
      </c>
      <c r="V3879">
        <v>-0.2150051</v>
      </c>
      <c r="W3879">
        <v>0.15623699999999999</v>
      </c>
      <c r="X3879">
        <v>0.96403470000000002</v>
      </c>
      <c r="Y3879">
        <v>-0.42980889999999999</v>
      </c>
      <c r="Z3879">
        <v>1.7011559999999998E-2</v>
      </c>
      <c r="AA3879">
        <v>0.9027596</v>
      </c>
      <c r="AB3879">
        <v>22</v>
      </c>
      <c r="AC3879">
        <v>34.855499999999999</v>
      </c>
      <c r="AD3879">
        <v>-1.0375597599999999</v>
      </c>
      <c r="AE3879">
        <v>-15.549300000000001</v>
      </c>
      <c r="AF3879">
        <v>-16.4722626456958</v>
      </c>
      <c r="AG3879">
        <v>-1.0375597599999999</v>
      </c>
      <c r="AH3879">
        <v>34.397681578329099</v>
      </c>
      <c r="AI3879">
        <v>91.558355061830696</v>
      </c>
      <c r="AJ3879">
        <v>115.58869394669399</v>
      </c>
      <c r="AK3879">
        <v>38.152489628967501</v>
      </c>
      <c r="AL3879">
        <v>81.011455196501402</v>
      </c>
      <c r="AM3879">
        <v>102.572702917954</v>
      </c>
      <c r="AN3879">
        <v>1.0000000479995399</v>
      </c>
    </row>
    <row r="3880" spans="1:40" x14ac:dyDescent="0.25">
      <c r="A3880" t="str">
        <f>"20190304154829917"</f>
        <v>20190304154829917</v>
      </c>
      <c r="B3880" t="str">
        <f>"1551685709910150"</f>
        <v>1551685709910150</v>
      </c>
      <c r="C3880" t="s">
        <v>40</v>
      </c>
      <c r="D3880">
        <v>3.9829590000000001</v>
      </c>
      <c r="E3880">
        <v>0.41063699999999997</v>
      </c>
      <c r="F3880" t="s">
        <v>60</v>
      </c>
      <c r="G3880">
        <v>-456.42570000000001</v>
      </c>
      <c r="H3880">
        <v>8.0001290000000003E-2</v>
      </c>
      <c r="I3880">
        <v>208.876</v>
      </c>
      <c r="J3880">
        <v>-486.65609999999998</v>
      </c>
      <c r="K3880">
        <v>1.1175630000000001</v>
      </c>
      <c r="L3880">
        <v>222.1996</v>
      </c>
      <c r="M3880">
        <v>0.65698190000000001</v>
      </c>
      <c r="N3880">
        <v>-1.226261E-2</v>
      </c>
      <c r="O3880">
        <v>-0.75380669999999905</v>
      </c>
      <c r="P3880">
        <v>0.79413489999999998</v>
      </c>
      <c r="Q3880">
        <v>0.1488236</v>
      </c>
      <c r="R3880">
        <v>-0.58923789999999998</v>
      </c>
      <c r="S3880">
        <v>2.8630070000000001</v>
      </c>
      <c r="T3880">
        <v>-9.7765210000000005E-2</v>
      </c>
      <c r="U3880">
        <v>-1.270462</v>
      </c>
      <c r="V3880">
        <v>-0.21428820000000001</v>
      </c>
      <c r="W3880">
        <v>0.15694910000000001</v>
      </c>
      <c r="X3880">
        <v>0.96407860000000001</v>
      </c>
      <c r="Y3880">
        <v>-0.42224060000000002</v>
      </c>
      <c r="Z3880">
        <v>2.060435E-2</v>
      </c>
      <c r="AA3880">
        <v>0.90624959999999999</v>
      </c>
      <c r="AB3880">
        <v>22</v>
      </c>
      <c r="AC3880">
        <v>30.2303999999999</v>
      </c>
      <c r="AD3880">
        <v>-1.0375617100000001</v>
      </c>
      <c r="AE3880">
        <v>-13.323600000000001</v>
      </c>
      <c r="AF3880">
        <v>-14.021737617967201</v>
      </c>
      <c r="AG3880">
        <v>-1.0375617100000001</v>
      </c>
      <c r="AH3880">
        <v>29.877021071902998</v>
      </c>
      <c r="AI3880">
        <v>91.800655634983897</v>
      </c>
      <c r="AJ3880">
        <v>115.141375051021</v>
      </c>
      <c r="AK3880">
        <v>33.020024958502297</v>
      </c>
      <c r="AL3880">
        <v>80.970144801977398</v>
      </c>
      <c r="AM3880">
        <v>102.531555052108</v>
      </c>
      <c r="AN3880">
        <v>0.999999999814005</v>
      </c>
    </row>
    <row r="3881" spans="1:40" x14ac:dyDescent="0.25">
      <c r="A3881" t="str">
        <f>"20190304154829941"</f>
        <v>20190304154829941</v>
      </c>
      <c r="B3881" t="str">
        <f>"1551685709930646"</f>
        <v>1551685709930646</v>
      </c>
      <c r="C3881" t="s">
        <v>40</v>
      </c>
      <c r="D3881">
        <v>4.026008</v>
      </c>
      <c r="E3881">
        <v>0.41229830000000001</v>
      </c>
      <c r="F3881" t="s">
        <v>60</v>
      </c>
      <c r="G3881">
        <v>-457.72890000000001</v>
      </c>
      <c r="H3881">
        <v>6.5810560000000004E-2</v>
      </c>
      <c r="I3881">
        <v>209.60050000000001</v>
      </c>
      <c r="J3881">
        <v>-486.4948</v>
      </c>
      <c r="K3881">
        <v>1.117567</v>
      </c>
      <c r="L3881">
        <v>222.0368</v>
      </c>
      <c r="M3881">
        <v>0.66650140000000002</v>
      </c>
      <c r="N3881">
        <v>-1.225909E-2</v>
      </c>
      <c r="O3881">
        <v>-0.74540309999999999</v>
      </c>
      <c r="P3881">
        <v>0.80089659999999996</v>
      </c>
      <c r="Q3881">
        <v>0.14933829999999901</v>
      </c>
      <c r="R3881">
        <v>-0.57988169999999895</v>
      </c>
      <c r="S3881">
        <v>2.8697810000000001</v>
      </c>
      <c r="T3881">
        <v>-0.1043413</v>
      </c>
      <c r="U3881">
        <v>-1.249924</v>
      </c>
      <c r="V3881">
        <v>-0.21329020000000001</v>
      </c>
      <c r="W3881">
        <v>0.157479799999999</v>
      </c>
      <c r="X3881">
        <v>0.9642134</v>
      </c>
      <c r="Y3881">
        <v>-0.41690539999999998</v>
      </c>
      <c r="Z3881">
        <v>2.2338279999999999E-2</v>
      </c>
      <c r="AA3881">
        <v>0.90867540000000002</v>
      </c>
      <c r="AB3881">
        <v>22</v>
      </c>
      <c r="AC3881">
        <v>28.765899999999899</v>
      </c>
      <c r="AD3881">
        <v>-1.0517564399999999</v>
      </c>
      <c r="AE3881">
        <v>-12.4362999999999</v>
      </c>
      <c r="AF3881">
        <v>-13.139567746074601</v>
      </c>
      <c r="AG3881">
        <v>-1.0517564399999999</v>
      </c>
      <c r="AH3881">
        <v>28.412702596971801</v>
      </c>
      <c r="AI3881">
        <v>91.924318557496903</v>
      </c>
      <c r="AJ3881">
        <v>114.81836975335101</v>
      </c>
      <c r="AK3881">
        <v>31.321495829968502</v>
      </c>
      <c r="AL3881">
        <v>80.939355401024699</v>
      </c>
      <c r="AM3881">
        <v>102.473333813482</v>
      </c>
      <c r="AN3881">
        <v>1.00000003878181</v>
      </c>
    </row>
    <row r="3882" spans="1:40" x14ac:dyDescent="0.25">
      <c r="A3882" t="str">
        <f>"20190304154829964"</f>
        <v>20190304154829964</v>
      </c>
      <c r="B3882" t="str">
        <f>"1551685709960903"</f>
        <v>1551685709960903</v>
      </c>
      <c r="C3882" t="s">
        <v>40</v>
      </c>
      <c r="D3882">
        <v>4.0561350000000003</v>
      </c>
      <c r="E3882">
        <v>0.41400049999999999</v>
      </c>
      <c r="F3882" t="s">
        <v>60</v>
      </c>
      <c r="G3882">
        <v>-457.3614</v>
      </c>
      <c r="H3882">
        <v>2.4995940000000001E-2</v>
      </c>
      <c r="I3882">
        <v>209.6163</v>
      </c>
      <c r="J3882">
        <v>-486.3329</v>
      </c>
      <c r="K3882">
        <v>1.11757</v>
      </c>
      <c r="L3882">
        <v>221.87719999999999</v>
      </c>
      <c r="M3882">
        <v>0.67583300000000002</v>
      </c>
      <c r="N3882">
        <v>-1.2255139999999999E-2</v>
      </c>
      <c r="O3882">
        <v>-0.73695279999999996</v>
      </c>
      <c r="P3882">
        <v>0.80783319999999903</v>
      </c>
      <c r="Q3882">
        <v>0.14970120000000001</v>
      </c>
      <c r="R3882">
        <v>-0.57008369999999997</v>
      </c>
      <c r="S3882">
        <v>2.8776250000000001</v>
      </c>
      <c r="T3882">
        <v>-0.10791779999999999</v>
      </c>
      <c r="U3882">
        <v>-1.2268220000000001</v>
      </c>
      <c r="V3882">
        <v>-0.21285190000000001</v>
      </c>
      <c r="W3882">
        <v>0.15784570000000001</v>
      </c>
      <c r="X3882">
        <v>0.96425039999999995</v>
      </c>
      <c r="Y3882">
        <v>-0.4124932</v>
      </c>
      <c r="Z3882">
        <v>2.3204010000000001E-2</v>
      </c>
      <c r="AA3882">
        <v>0.91066510000000001</v>
      </c>
      <c r="AB3882">
        <v>22</v>
      </c>
      <c r="AC3882">
        <v>28.971499999999899</v>
      </c>
      <c r="AD3882">
        <v>-1.09257406</v>
      </c>
      <c r="AE3882">
        <v>-12.2608999999999</v>
      </c>
      <c r="AF3882">
        <v>-13.0495493242663</v>
      </c>
      <c r="AG3882">
        <v>-1.09257406</v>
      </c>
      <c r="AH3882">
        <v>28.5832751776375</v>
      </c>
      <c r="AI3882">
        <v>91.991476791385693</v>
      </c>
      <c r="AJ3882">
        <v>114.53882797348599</v>
      </c>
      <c r="AK3882">
        <v>31.440230207865799</v>
      </c>
      <c r="AL3882">
        <v>80.918125135428895</v>
      </c>
      <c r="AM3882">
        <v>102.44803883841099</v>
      </c>
      <c r="AN3882">
        <v>1.0000000151211299</v>
      </c>
    </row>
    <row r="3883" spans="1:40" x14ac:dyDescent="0.25">
      <c r="A3883" t="str">
        <f>"20190304154829988"</f>
        <v>20190304154829988</v>
      </c>
      <c r="B3883" t="str">
        <f>"1551685709980424"</f>
        <v>1551685709980424</v>
      </c>
      <c r="C3883" t="s">
        <v>40</v>
      </c>
      <c r="D3883">
        <v>4.0467769999999996</v>
      </c>
      <c r="E3883">
        <v>0.41502879999999998</v>
      </c>
      <c r="F3883" t="s">
        <v>60</v>
      </c>
      <c r="G3883">
        <v>-457.5471</v>
      </c>
      <c r="H3883" s="1">
        <v>2.6866529999999998E-6</v>
      </c>
      <c r="I3883">
        <v>209.875</v>
      </c>
      <c r="J3883">
        <v>-486.1694</v>
      </c>
      <c r="K3883">
        <v>1.1175759999999999</v>
      </c>
      <c r="L3883">
        <v>221.72</v>
      </c>
      <c r="M3883">
        <v>0.6850233</v>
      </c>
      <c r="N3883">
        <v>-1.225149E-2</v>
      </c>
      <c r="O3883">
        <v>-0.72841820000000002</v>
      </c>
      <c r="P3883">
        <v>0.81470529999999997</v>
      </c>
      <c r="Q3883">
        <v>0.15014350000000001</v>
      </c>
      <c r="R3883">
        <v>-0.56010059999999995</v>
      </c>
      <c r="S3883">
        <v>2.8854060000000001</v>
      </c>
      <c r="T3883">
        <v>-0.11202189999999999</v>
      </c>
      <c r="U3883">
        <v>-1.2030639999999999</v>
      </c>
      <c r="V3883">
        <v>-0.21257129999999999</v>
      </c>
      <c r="W3883">
        <v>0.15828780000000001</v>
      </c>
      <c r="X3883">
        <v>0.96423979999999998</v>
      </c>
      <c r="Y3883">
        <v>-0.40828690000000001</v>
      </c>
      <c r="Z3883">
        <v>2.4198899999999999E-2</v>
      </c>
      <c r="AA3883">
        <v>0.91253289999999998</v>
      </c>
      <c r="AB3883">
        <v>22</v>
      </c>
      <c r="AC3883">
        <v>28.622299999999999</v>
      </c>
      <c r="AD3883">
        <v>-1.1175733133470001</v>
      </c>
      <c r="AE3883">
        <v>-11.845000000000001</v>
      </c>
      <c r="AF3883">
        <v>-12.7193026320844</v>
      </c>
      <c r="AG3883">
        <v>-1.1175733133470001</v>
      </c>
      <c r="AH3883">
        <v>28.200467217367901</v>
      </c>
      <c r="AI3883">
        <v>92.068917649883304</v>
      </c>
      <c r="AJ3883">
        <v>114.276880528676</v>
      </c>
      <c r="AK3883">
        <v>30.956356065194399</v>
      </c>
      <c r="AL3883">
        <v>80.892471929459902</v>
      </c>
      <c r="AM3883">
        <v>102.432271724641</v>
      </c>
      <c r="AN3883">
        <v>0.99999998855828398</v>
      </c>
    </row>
    <row r="3884" spans="1:40" x14ac:dyDescent="0.25">
      <c r="A3884" t="str">
        <f>"20190304154830007"</f>
        <v>20190304154830007</v>
      </c>
      <c r="B3884" t="str">
        <f>"1551685710000919"</f>
        <v>1551685710000919</v>
      </c>
      <c r="C3884" t="s">
        <v>40</v>
      </c>
      <c r="D3884">
        <v>4.1329549999999999</v>
      </c>
      <c r="E3884">
        <v>0.41599009999999997</v>
      </c>
      <c r="F3884" t="s">
        <v>60</v>
      </c>
      <c r="G3884">
        <v>-457.64170000000001</v>
      </c>
      <c r="H3884" s="1">
        <v>2.7251509999999999E-6</v>
      </c>
      <c r="I3884">
        <v>210.14619999999999</v>
      </c>
      <c r="J3884">
        <v>-486.03230000000002</v>
      </c>
      <c r="K3884">
        <v>1.1175759999999999</v>
      </c>
      <c r="L3884">
        <v>221.59129999999999</v>
      </c>
      <c r="M3884">
        <v>0.69256200000000001</v>
      </c>
      <c r="N3884">
        <v>-1.2249090000000001E-2</v>
      </c>
      <c r="O3884">
        <v>-0.72125450000000002</v>
      </c>
      <c r="P3884">
        <v>0.81996119999999995</v>
      </c>
      <c r="Q3884">
        <v>0.14999109999999999</v>
      </c>
      <c r="R3884">
        <v>-0.55241879999999999</v>
      </c>
      <c r="S3884">
        <v>2.8955989999999998</v>
      </c>
      <c r="T3884">
        <v>-0.1134351</v>
      </c>
      <c r="U3884">
        <v>-1.1747590000000001</v>
      </c>
      <c r="V3884">
        <v>-0.2116228</v>
      </c>
      <c r="W3884">
        <v>0.15815029999999999</v>
      </c>
      <c r="X3884">
        <v>0.96447099999999997</v>
      </c>
      <c r="Y3884">
        <v>-0.40755710000000001</v>
      </c>
      <c r="Z3884">
        <v>2.4500810000000001E-2</v>
      </c>
      <c r="AA3884">
        <v>0.91285099999999997</v>
      </c>
      <c r="AB3884">
        <v>22</v>
      </c>
      <c r="AC3884">
        <v>28.390599999999999</v>
      </c>
      <c r="AD3884">
        <v>-1.1175732748489999</v>
      </c>
      <c r="AE3884">
        <v>-11.445099999999901</v>
      </c>
      <c r="AF3884">
        <v>-12.5346392348071</v>
      </c>
      <c r="AG3884">
        <v>-1.1175732748489999</v>
      </c>
      <c r="AH3884">
        <v>27.882007586471001</v>
      </c>
      <c r="AI3884">
        <v>92.093679290174805</v>
      </c>
      <c r="AJ3884">
        <v>114.20678376454499</v>
      </c>
      <c r="AK3884">
        <v>30.590398784969299</v>
      </c>
      <c r="AL3884">
        <v>80.900450871703299</v>
      </c>
      <c r="AM3884">
        <v>102.37563640538001</v>
      </c>
      <c r="AN3884">
        <v>1.00000001835546</v>
      </c>
    </row>
    <row r="3885" spans="1:40" x14ac:dyDescent="0.25">
      <c r="A3885" t="str">
        <f>"20190304154830030"</f>
        <v>20190304154830030</v>
      </c>
      <c r="B3885" t="str">
        <f>"1551685710020439"</f>
        <v>1551685710020439</v>
      </c>
      <c r="C3885" t="s">
        <v>40</v>
      </c>
      <c r="D3885">
        <v>4.2196170000000004</v>
      </c>
      <c r="E3885">
        <v>0.43057659999999998</v>
      </c>
      <c r="F3885" t="s">
        <v>60</v>
      </c>
      <c r="G3885">
        <v>-457.96600000000001</v>
      </c>
      <c r="H3885" s="1">
        <v>2.8848439999999998E-6</v>
      </c>
      <c r="I3885">
        <v>210.44049999999999</v>
      </c>
      <c r="J3885">
        <v>-485.86900000000003</v>
      </c>
      <c r="K3885">
        <v>1.117583</v>
      </c>
      <c r="L3885">
        <v>221.44130000000001</v>
      </c>
      <c r="M3885">
        <v>0.70135400000000003</v>
      </c>
      <c r="N3885">
        <v>-1.224654E-2</v>
      </c>
      <c r="O3885">
        <v>-0.71270800000000001</v>
      </c>
      <c r="P3885">
        <v>0.82608919999999997</v>
      </c>
      <c r="Q3885">
        <v>0.14885470000000001</v>
      </c>
      <c r="R3885">
        <v>-0.54352469999999997</v>
      </c>
      <c r="S3885">
        <v>2.9028320000000001</v>
      </c>
      <c r="T3885">
        <v>-0.1155877</v>
      </c>
      <c r="U3885">
        <v>-1.153305</v>
      </c>
      <c r="V3885">
        <v>-0.21034610000000001</v>
      </c>
      <c r="W3885">
        <v>0.1570358</v>
      </c>
      <c r="X3885">
        <v>0.96493229999999997</v>
      </c>
      <c r="Y3885">
        <v>-0.40294439999999998</v>
      </c>
      <c r="Z3885">
        <v>2.4903049999999999E-2</v>
      </c>
      <c r="AA3885">
        <v>0.91488559999999997</v>
      </c>
      <c r="AB3885">
        <v>22</v>
      </c>
      <c r="AC3885">
        <v>27.902999999999999</v>
      </c>
      <c r="AD3885">
        <v>-1.1175801151559901</v>
      </c>
      <c r="AE3885">
        <v>-11.0008</v>
      </c>
      <c r="AF3885">
        <v>-12.1552722033232</v>
      </c>
      <c r="AG3885">
        <v>-1.1175801151559901</v>
      </c>
      <c r="AH3885">
        <v>27.3742870095999</v>
      </c>
      <c r="AI3885">
        <v>92.136873942824593</v>
      </c>
      <c r="AJ3885">
        <v>113.94312461406599</v>
      </c>
      <c r="AK3885">
        <v>29.972507685120799</v>
      </c>
      <c r="AL3885">
        <v>80.965115196710201</v>
      </c>
      <c r="AM3885">
        <v>102.297553222213</v>
      </c>
      <c r="AN3885">
        <v>1.0000000339250601</v>
      </c>
    </row>
    <row r="3886" spans="1:40" x14ac:dyDescent="0.25">
      <c r="A3886" t="str">
        <f>"20190304154830052"</f>
        <v>20190304154830052</v>
      </c>
      <c r="B3886" t="str">
        <f>"1551685710039962"</f>
        <v>1551685710039962</v>
      </c>
      <c r="C3886" t="s">
        <v>40</v>
      </c>
      <c r="D3886">
        <v>4.2764230000000003</v>
      </c>
      <c r="E3886">
        <v>0.43075950000000002</v>
      </c>
      <c r="F3886" t="s">
        <v>60</v>
      </c>
      <c r="G3886">
        <v>-467.9828</v>
      </c>
      <c r="H3886" s="1">
        <v>2.7473599999999999E-6</v>
      </c>
      <c r="I3886">
        <v>213.79079999999999</v>
      </c>
      <c r="J3886">
        <v>-485.7079</v>
      </c>
      <c r="K3886">
        <v>1.1175870000000001</v>
      </c>
      <c r="L3886">
        <v>221.29679999999999</v>
      </c>
      <c r="M3886">
        <v>0.70983030000000003</v>
      </c>
      <c r="N3886">
        <v>-1.2244629999999999E-2</v>
      </c>
      <c r="O3886">
        <v>-0.70426619999999995</v>
      </c>
      <c r="P3886">
        <v>0.83177889999999999</v>
      </c>
      <c r="Q3886">
        <v>0.14887429999999999</v>
      </c>
      <c r="R3886">
        <v>-0.53477129999999995</v>
      </c>
      <c r="S3886">
        <v>2.8591310000000001</v>
      </c>
      <c r="T3886">
        <v>-0.17864669999999999</v>
      </c>
      <c r="U3886">
        <v>-1.222931</v>
      </c>
      <c r="V3886">
        <v>-0.20898849999999999</v>
      </c>
      <c r="W3886">
        <v>0.15707769999999999</v>
      </c>
      <c r="X3886">
        <v>0.96522039999999998</v>
      </c>
      <c r="Y3886">
        <v>-0.36721939999999997</v>
      </c>
      <c r="Z3886">
        <v>4.1204369999999997E-2</v>
      </c>
      <c r="AA3886">
        <v>0.92922130000000003</v>
      </c>
      <c r="AB3886">
        <v>22</v>
      </c>
      <c r="AC3886">
        <v>17.725099999999902</v>
      </c>
      <c r="AD3886">
        <v>-1.1175842526399999</v>
      </c>
      <c r="AE3886">
        <v>-7.5060000000000002</v>
      </c>
      <c r="AF3886">
        <v>-7.1316990588483504</v>
      </c>
      <c r="AG3886">
        <v>-1.1175842526399999</v>
      </c>
      <c r="AH3886">
        <v>17.809341922454301</v>
      </c>
      <c r="AI3886">
        <v>93.334022233501102</v>
      </c>
      <c r="AJ3886">
        <v>111.823488912656</v>
      </c>
      <c r="AK3886">
        <v>19.216731921391201</v>
      </c>
      <c r="AL3886">
        <v>80.962684106410805</v>
      </c>
      <c r="AM3886">
        <v>102.217037961117</v>
      </c>
      <c r="AN3886">
        <v>1.00000000877285</v>
      </c>
    </row>
    <row r="3887" spans="1:40" x14ac:dyDescent="0.25">
      <c r="A3887" t="str">
        <f>"20190304154830075"</f>
        <v>20190304154830075</v>
      </c>
      <c r="B3887" t="str">
        <f>"1551685710070215"</f>
        <v>1551685710070215</v>
      </c>
      <c r="C3887" t="s">
        <v>40</v>
      </c>
      <c r="D3887">
        <v>4.3096740000000002</v>
      </c>
      <c r="E3887">
        <v>0.43143310000000001</v>
      </c>
      <c r="F3887" t="s">
        <v>60</v>
      </c>
      <c r="G3887">
        <v>-468.23390000000001</v>
      </c>
      <c r="H3887" s="1">
        <v>2.8702690000000001E-6</v>
      </c>
      <c r="I3887">
        <v>214.03620000000001</v>
      </c>
      <c r="J3887">
        <v>-485.54590000000002</v>
      </c>
      <c r="K3887">
        <v>1.1175900000000001</v>
      </c>
      <c r="L3887">
        <v>221.15530000000001</v>
      </c>
      <c r="M3887">
        <v>0.71815390000000001</v>
      </c>
      <c r="N3887">
        <v>-1.2243250000000001E-2</v>
      </c>
      <c r="O3887">
        <v>-0.69577659999999997</v>
      </c>
      <c r="P3887">
        <v>0.83774020000000005</v>
      </c>
      <c r="Q3887">
        <v>0.1491556</v>
      </c>
      <c r="R3887">
        <v>-0.52530369999999904</v>
      </c>
      <c r="S3887">
        <v>2.8722840000000001</v>
      </c>
      <c r="T3887">
        <v>-0.18370330000000001</v>
      </c>
      <c r="U3887">
        <v>-1.1934659999999999</v>
      </c>
      <c r="V3887">
        <v>-0.20843030000000001</v>
      </c>
      <c r="W3887">
        <v>0.1573649</v>
      </c>
      <c r="X3887">
        <v>0.96529430000000005</v>
      </c>
      <c r="Y3887">
        <v>-0.36573549999999999</v>
      </c>
      <c r="Z3887">
        <v>4.2229219999999998E-2</v>
      </c>
      <c r="AA3887">
        <v>0.92976029999999998</v>
      </c>
      <c r="AB3887">
        <v>22</v>
      </c>
      <c r="AC3887">
        <v>17.312000000000001</v>
      </c>
      <c r="AD3887">
        <v>-1.1175871297309901</v>
      </c>
      <c r="AE3887">
        <v>-7.1191000000000004</v>
      </c>
      <c r="AF3887">
        <v>-6.9085682141410798</v>
      </c>
      <c r="AG3887">
        <v>-1.1175871297309901</v>
      </c>
      <c r="AH3887">
        <v>17.325527569089399</v>
      </c>
      <c r="AI3887">
        <v>93.428913359337301</v>
      </c>
      <c r="AJ3887">
        <v>111.739681964973</v>
      </c>
      <c r="AK3887">
        <v>18.685588599486401</v>
      </c>
      <c r="AL3887">
        <v>80.9460213948351</v>
      </c>
      <c r="AM3887">
        <v>102.18447807013</v>
      </c>
      <c r="AN3887">
        <v>0.99999999366129499</v>
      </c>
    </row>
    <row r="3888" spans="1:40" x14ac:dyDescent="0.25">
      <c r="A3888" t="str">
        <f>"20190304154830096"</f>
        <v>20190304154830096</v>
      </c>
      <c r="B3888" t="str">
        <f>"1551685710090711"</f>
        <v>1551685710090711</v>
      </c>
      <c r="C3888" t="s">
        <v>40</v>
      </c>
      <c r="D3888">
        <v>4.2902329999999997</v>
      </c>
      <c r="E3888">
        <v>0.43141580000000002</v>
      </c>
      <c r="F3888" t="s">
        <v>60</v>
      </c>
      <c r="G3888">
        <v>-468.21179999999998</v>
      </c>
      <c r="H3888" s="1">
        <v>2.8535840000000001E-6</v>
      </c>
      <c r="I3888">
        <v>214.14859999999999</v>
      </c>
      <c r="J3888">
        <v>-485.38260000000002</v>
      </c>
      <c r="K3888">
        <v>1.1175889999999999</v>
      </c>
      <c r="L3888">
        <v>221.01589999999999</v>
      </c>
      <c r="M3888">
        <v>0.72636099999999904</v>
      </c>
      <c r="N3888">
        <v>-1.2242289999999999E-2</v>
      </c>
      <c r="O3888">
        <v>-0.68720419999999904</v>
      </c>
      <c r="P3888">
        <v>0.84323979999999998</v>
      </c>
      <c r="Q3888">
        <v>0.14905489999999999</v>
      </c>
      <c r="R3888">
        <v>-0.51645870000000005</v>
      </c>
      <c r="S3888">
        <v>2.8833310000000001</v>
      </c>
      <c r="T3888">
        <v>-0.18589810000000001</v>
      </c>
      <c r="U3888">
        <v>-1.1654819999999999</v>
      </c>
      <c r="V3888">
        <v>-0.20714299999999999</v>
      </c>
      <c r="W3888">
        <v>0.15728629999999999</v>
      </c>
      <c r="X3888">
        <v>0.9655842</v>
      </c>
      <c r="Y3888">
        <v>-0.36366090000000001</v>
      </c>
      <c r="Z3888">
        <v>4.2466169999999998E-2</v>
      </c>
      <c r="AA3888">
        <v>0.93056300000000003</v>
      </c>
      <c r="AB3888">
        <v>22</v>
      </c>
      <c r="AC3888">
        <v>17.1708</v>
      </c>
      <c r="AD3888">
        <v>-1.117586146416</v>
      </c>
      <c r="AE3888">
        <v>-6.8673000000000002</v>
      </c>
      <c r="AF3888">
        <v>-6.7874299432385197</v>
      </c>
      <c r="AG3888">
        <v>-1.117586146416</v>
      </c>
      <c r="AH3888">
        <v>17.130166289900998</v>
      </c>
      <c r="AI3888">
        <v>93.470919081929097</v>
      </c>
      <c r="AJ3888">
        <v>111.614795028256</v>
      </c>
      <c r="AK3888">
        <v>18.459707504418699</v>
      </c>
      <c r="AL3888">
        <v>80.9505819183032</v>
      </c>
      <c r="AM3888">
        <v>102.107924125582</v>
      </c>
      <c r="AN3888">
        <v>1.00000002495316</v>
      </c>
    </row>
    <row r="3889" spans="1:40" x14ac:dyDescent="0.25">
      <c r="A3889" t="str">
        <f>"20190304154830131"</f>
        <v>20190304154830131</v>
      </c>
      <c r="B3889" t="str">
        <f>"1551685710120966"</f>
        <v>1551685710120966</v>
      </c>
      <c r="C3889" t="s">
        <v>40</v>
      </c>
      <c r="D3889">
        <v>4.2122529999999996</v>
      </c>
      <c r="E3889">
        <v>0.43147410000000003</v>
      </c>
      <c r="F3889" t="s">
        <v>60</v>
      </c>
      <c r="G3889">
        <v>-467.77260000000001</v>
      </c>
      <c r="H3889" s="1">
        <v>2.6211720000000001E-6</v>
      </c>
      <c r="I3889">
        <v>214.11850000000001</v>
      </c>
      <c r="J3889">
        <v>-485.12270000000001</v>
      </c>
      <c r="K3889">
        <v>1.1176029999999999</v>
      </c>
      <c r="L3889">
        <v>220.8005</v>
      </c>
      <c r="M3889">
        <v>0.73905859999999901</v>
      </c>
      <c r="N3889">
        <v>-1.2241439999999999E-2</v>
      </c>
      <c r="O3889">
        <v>-0.67353019999999997</v>
      </c>
      <c r="P3889">
        <v>0.85205180000000003</v>
      </c>
      <c r="Q3889">
        <v>0.14842159999999999</v>
      </c>
      <c r="R3889">
        <v>-0.50197519999999995</v>
      </c>
      <c r="S3889">
        <v>2.8955380000000002</v>
      </c>
      <c r="T3889">
        <v>-0.1837599</v>
      </c>
      <c r="U3889">
        <v>-1.134109</v>
      </c>
      <c r="V3889">
        <v>-0.2056877</v>
      </c>
      <c r="W3889">
        <v>0.15667639999999999</v>
      </c>
      <c r="X3889">
        <v>0.96599440000000003</v>
      </c>
      <c r="Y3889">
        <v>-0.35639700000000002</v>
      </c>
      <c r="Z3889">
        <v>4.1224719999999999E-2</v>
      </c>
      <c r="AA3889">
        <v>0.9334247</v>
      </c>
      <c r="AB3889">
        <v>22</v>
      </c>
      <c r="AC3889">
        <v>17.350099999999902</v>
      </c>
      <c r="AD3889">
        <v>-1.117600378828</v>
      </c>
      <c r="AE3889">
        <v>-6.68199999999998</v>
      </c>
      <c r="AF3889">
        <v>-6.7236364643148496</v>
      </c>
      <c r="AG3889">
        <v>-1.117600378828</v>
      </c>
      <c r="AH3889">
        <v>17.262190473787701</v>
      </c>
      <c r="AI3889">
        <v>93.452355433288801</v>
      </c>
      <c r="AJ3889">
        <v>111.280951865587</v>
      </c>
      <c r="AK3889">
        <v>18.559082355126002</v>
      </c>
      <c r="AL3889">
        <v>80.985965563302699</v>
      </c>
      <c r="AM3889">
        <v>102.020385568737</v>
      </c>
      <c r="AN3889">
        <v>1.0000000525398001</v>
      </c>
    </row>
    <row r="3890" spans="1:40" x14ac:dyDescent="0.25">
      <c r="A3890" t="str">
        <f>"20190304154830157"</f>
        <v>20190304154830157</v>
      </c>
      <c r="B3890" t="str">
        <f>"1551685710150246"</f>
        <v>1551685710150246</v>
      </c>
      <c r="C3890" t="s">
        <v>40</v>
      </c>
      <c r="D3890">
        <v>4.2065720000000004</v>
      </c>
      <c r="E3890">
        <v>0.4319289</v>
      </c>
      <c r="F3890" t="s">
        <v>60</v>
      </c>
      <c r="G3890">
        <v>-467.38810000000001</v>
      </c>
      <c r="H3890" s="1">
        <v>2.4127179999999999E-6</v>
      </c>
      <c r="I3890">
        <v>214.20590000000001</v>
      </c>
      <c r="J3890">
        <v>-484.93720000000002</v>
      </c>
      <c r="K3890">
        <v>1.1176140000000001</v>
      </c>
      <c r="L3890">
        <v>220.65190000000001</v>
      </c>
      <c r="M3890">
        <v>0.74784300000000004</v>
      </c>
      <c r="N3890">
        <v>-1.224131E-2</v>
      </c>
      <c r="O3890">
        <v>-0.66376269999999904</v>
      </c>
      <c r="P3890">
        <v>0.85831049999999998</v>
      </c>
      <c r="Q3890">
        <v>0.1484114</v>
      </c>
      <c r="R3890">
        <v>-0.49120000000000003</v>
      </c>
      <c r="S3890">
        <v>2.9144899999999998</v>
      </c>
      <c r="T3890">
        <v>-0.18366489999999999</v>
      </c>
      <c r="U3890">
        <v>-1.0837399999999999</v>
      </c>
      <c r="V3890">
        <v>-0.2051714</v>
      </c>
      <c r="W3890">
        <v>0.1566726</v>
      </c>
      <c r="X3890">
        <v>0.96610469999999904</v>
      </c>
      <c r="Y3890">
        <v>-0.36027910000000002</v>
      </c>
      <c r="Z3890">
        <v>4.0977810000000003E-2</v>
      </c>
      <c r="AA3890">
        <v>0.93194410000000005</v>
      </c>
      <c r="AB3890">
        <v>22</v>
      </c>
      <c r="AC3890">
        <v>17.549099999999999</v>
      </c>
      <c r="AD3890">
        <v>-1.1176115872819901</v>
      </c>
      <c r="AE3890">
        <v>-6.44599999999999</v>
      </c>
      <c r="AF3890">
        <v>-6.8040389114680098</v>
      </c>
      <c r="AG3890">
        <v>-1.1176115872819901</v>
      </c>
      <c r="AH3890">
        <v>17.341917350264598</v>
      </c>
      <c r="AI3890">
        <v>93.433249650678306</v>
      </c>
      <c r="AJ3890">
        <v>111.42238127817301</v>
      </c>
      <c r="AK3890">
        <v>18.662424776866601</v>
      </c>
      <c r="AL3890">
        <v>80.986185070139797</v>
      </c>
      <c r="AM3890">
        <v>101.989758002263</v>
      </c>
      <c r="AN3890">
        <v>0.99999994916540302</v>
      </c>
    </row>
    <row r="3891" spans="1:40" x14ac:dyDescent="0.25">
      <c r="A3891" t="str">
        <f>"20190304154830177"</f>
        <v>20190304154830177</v>
      </c>
      <c r="B3891" t="str">
        <f>"1551685710170743"</f>
        <v>1551685710170743</v>
      </c>
      <c r="C3891" t="s">
        <v>40</v>
      </c>
      <c r="D3891">
        <v>4.248634</v>
      </c>
      <c r="E3891">
        <v>0.43228260000000002</v>
      </c>
      <c r="F3891" t="s">
        <v>60</v>
      </c>
      <c r="G3891">
        <v>-467.04070000000002</v>
      </c>
      <c r="H3891" s="1">
        <v>2.226614E-6</v>
      </c>
      <c r="I3891">
        <v>214.2346</v>
      </c>
      <c r="J3891">
        <v>-484.76909999999998</v>
      </c>
      <c r="K3891">
        <v>1.117631</v>
      </c>
      <c r="L3891">
        <v>220.5206</v>
      </c>
      <c r="M3891">
        <v>0.75561769999999995</v>
      </c>
      <c r="N3891">
        <v>-1.224129E-2</v>
      </c>
      <c r="O3891">
        <v>-0.65489849999999905</v>
      </c>
      <c r="P3891">
        <v>0.86371419999999999</v>
      </c>
      <c r="Q3891">
        <v>0.1495148</v>
      </c>
      <c r="R3891">
        <v>-0.48129359999999999</v>
      </c>
      <c r="S3891">
        <v>2.9263309999999998</v>
      </c>
      <c r="T3891">
        <v>-0.18274550000000001</v>
      </c>
      <c r="U3891">
        <v>-1.0493159999999999</v>
      </c>
      <c r="V3891">
        <v>-0.2047899</v>
      </c>
      <c r="W3891">
        <v>0.15777840000000001</v>
      </c>
      <c r="X3891">
        <v>0.96600569999999997</v>
      </c>
      <c r="Y3891">
        <v>-0.36021209999999998</v>
      </c>
      <c r="Z3891">
        <v>4.0440619999999997E-2</v>
      </c>
      <c r="AA3891">
        <v>0.93199350000000003</v>
      </c>
      <c r="AB3891">
        <v>22</v>
      </c>
      <c r="AC3891">
        <v>17.728399999999901</v>
      </c>
      <c r="AD3891">
        <v>-1.117628773386</v>
      </c>
      <c r="AE3891">
        <v>-6.2859999999999996</v>
      </c>
      <c r="AF3891">
        <v>-6.8368668318992896</v>
      </c>
      <c r="AG3891">
        <v>-1.117628773386</v>
      </c>
      <c r="AH3891">
        <v>17.452283339825101</v>
      </c>
      <c r="AI3891">
        <v>93.412336190216294</v>
      </c>
      <c r="AJ3891">
        <v>111.392576853078</v>
      </c>
      <c r="AK3891">
        <v>18.776954916220099</v>
      </c>
      <c r="AL3891">
        <v>80.922029656178395</v>
      </c>
      <c r="AM3891">
        <v>101.969298584893</v>
      </c>
      <c r="AN3891">
        <v>0.99999996954052905</v>
      </c>
    </row>
    <row r="3892" spans="1:40" x14ac:dyDescent="0.25">
      <c r="A3892" t="str">
        <f>"20190304154830199"</f>
        <v>20190304154830199</v>
      </c>
      <c r="B3892" t="str">
        <f>"1551685710190263"</f>
        <v>1551685710190263</v>
      </c>
      <c r="C3892" t="s">
        <v>40</v>
      </c>
      <c r="D3892">
        <v>4.2174779999999998</v>
      </c>
      <c r="E3892">
        <v>0.43244369999999999</v>
      </c>
      <c r="F3892" t="s">
        <v>60</v>
      </c>
      <c r="G3892">
        <v>-466.45690000000002</v>
      </c>
      <c r="H3892" s="1">
        <v>1.9185739999999999E-6</v>
      </c>
      <c r="I3892">
        <v>214.1747</v>
      </c>
      <c r="J3892">
        <v>-484.6071</v>
      </c>
      <c r="K3892">
        <v>1.11764</v>
      </c>
      <c r="L3892">
        <v>220.39699999999999</v>
      </c>
      <c r="M3892">
        <v>0.76294130000000004</v>
      </c>
      <c r="N3892">
        <v>-1.224136E-2</v>
      </c>
      <c r="O3892">
        <v>-0.64635169999999997</v>
      </c>
      <c r="P3892">
        <v>0.86891810000000003</v>
      </c>
      <c r="Q3892">
        <v>0.15063399999999999</v>
      </c>
      <c r="R3892">
        <v>-0.47147729999999999</v>
      </c>
      <c r="S3892">
        <v>2.9372560000000001</v>
      </c>
      <c r="T3892">
        <v>-0.17926700000000001</v>
      </c>
      <c r="U3892">
        <v>-1.017868</v>
      </c>
      <c r="V3892">
        <v>-0.20475789999999999</v>
      </c>
      <c r="W3892">
        <v>0.15889329999999999</v>
      </c>
      <c r="X3892">
        <v>0.96582979999999996</v>
      </c>
      <c r="Y3892">
        <v>-0.35975289999999999</v>
      </c>
      <c r="Z3892">
        <v>3.9249329999999999E-2</v>
      </c>
      <c r="AA3892">
        <v>0.93222169999999904</v>
      </c>
      <c r="AB3892">
        <v>22</v>
      </c>
      <c r="AC3892">
        <v>18.150199999999899</v>
      </c>
      <c r="AD3892">
        <v>-1.1176380814260001</v>
      </c>
      <c r="AE3892">
        <v>-6.2223000000000104</v>
      </c>
      <c r="AF3892">
        <v>-6.9610682597439704</v>
      </c>
      <c r="AG3892">
        <v>-1.1176380814260001</v>
      </c>
      <c r="AH3892">
        <v>17.810242380185901</v>
      </c>
      <c r="AI3892">
        <v>93.344957375435996</v>
      </c>
      <c r="AJ3892">
        <v>111.347861988443</v>
      </c>
      <c r="AK3892">
        <v>19.154903284507601</v>
      </c>
      <c r="AL3892">
        <v>80.857335130743607</v>
      </c>
      <c r="AM3892">
        <v>101.96959891649099</v>
      </c>
      <c r="AN3892">
        <v>1.0000000404826599</v>
      </c>
    </row>
    <row r="3893" spans="1:40" x14ac:dyDescent="0.25">
      <c r="A3893" t="str">
        <f>"20190304154830220"</f>
        <v>20190304154830220</v>
      </c>
      <c r="B3893" t="str">
        <f>"1551685710210759"</f>
        <v>1551685710210759</v>
      </c>
      <c r="C3893" t="s">
        <v>40</v>
      </c>
      <c r="D3893">
        <v>4.2070589999999903</v>
      </c>
      <c r="E3893">
        <v>0.43742029999999898</v>
      </c>
      <c r="F3893" t="s">
        <v>60</v>
      </c>
      <c r="G3893">
        <v>-465.86630000000002</v>
      </c>
      <c r="H3893" s="1">
        <v>1.6063359999999999E-6</v>
      </c>
      <c r="I3893">
        <v>214.1276</v>
      </c>
      <c r="J3893">
        <v>-484.43220000000002</v>
      </c>
      <c r="K3893">
        <v>1.1176459999999999</v>
      </c>
      <c r="L3893">
        <v>220.26679999999999</v>
      </c>
      <c r="M3893">
        <v>0.77066650000000003</v>
      </c>
      <c r="N3893">
        <v>-1.22414E-2</v>
      </c>
      <c r="O3893">
        <v>-0.6371213</v>
      </c>
      <c r="P3893">
        <v>0.8746119</v>
      </c>
      <c r="Q3893">
        <v>0.15082490000000001</v>
      </c>
      <c r="R3893">
        <v>-0.46076729999999999</v>
      </c>
      <c r="S3893">
        <v>2.947937</v>
      </c>
      <c r="T3893">
        <v>-0.17580570000000001</v>
      </c>
      <c r="U3893">
        <v>-0.98617549999999998</v>
      </c>
      <c r="V3893">
        <v>-0.20498250000000001</v>
      </c>
      <c r="W3893">
        <v>0.15907689999999999</v>
      </c>
      <c r="X3893">
        <v>0.9657519</v>
      </c>
      <c r="Y3893">
        <v>-0.35861110000000002</v>
      </c>
      <c r="Z3893">
        <v>3.8032410000000003E-2</v>
      </c>
      <c r="AA3893">
        <v>0.93271199999999999</v>
      </c>
      <c r="AB3893">
        <v>22</v>
      </c>
      <c r="AC3893">
        <v>18.565899999999999</v>
      </c>
      <c r="AD3893">
        <v>-1.1176443936639999</v>
      </c>
      <c r="AE3893">
        <v>-6.1391999999999802</v>
      </c>
      <c r="AF3893">
        <v>-7.0748740006063997</v>
      </c>
      <c r="AG3893">
        <v>-1.1176443936639999</v>
      </c>
      <c r="AH3893">
        <v>18.161566778059299</v>
      </c>
      <c r="AI3893">
        <v>93.281847486100702</v>
      </c>
      <c r="AJ3893">
        <v>111.283498671271</v>
      </c>
      <c r="AK3893">
        <v>19.522947496447699</v>
      </c>
      <c r="AL3893">
        <v>80.846679812885597</v>
      </c>
      <c r="AM3893">
        <v>101.98328773084501</v>
      </c>
      <c r="AN3893">
        <v>1.00000000888673</v>
      </c>
    </row>
    <row r="3894" spans="1:40" x14ac:dyDescent="0.25">
      <c r="A3894" t="str">
        <f>"20190304154830242"</f>
        <v>20190304154830242</v>
      </c>
      <c r="B3894" t="str">
        <f>"1551685710230282"</f>
        <v>1551685710230282</v>
      </c>
      <c r="C3894" t="s">
        <v>40</v>
      </c>
      <c r="D3894">
        <v>4.2221970000000004</v>
      </c>
      <c r="E3894">
        <v>0.4380482</v>
      </c>
      <c r="F3894" t="s">
        <v>60</v>
      </c>
      <c r="G3894">
        <v>-466.23860000000002</v>
      </c>
      <c r="H3894" s="1">
        <v>1.8026150000000001E-6</v>
      </c>
      <c r="I3894">
        <v>214.1696</v>
      </c>
      <c r="J3894">
        <v>-484.2611</v>
      </c>
      <c r="K3894">
        <v>1.11765</v>
      </c>
      <c r="L3894">
        <v>220.14250000000001</v>
      </c>
      <c r="M3894">
        <v>0.77804930000000005</v>
      </c>
      <c r="N3894">
        <v>-1.224137E-2</v>
      </c>
      <c r="O3894">
        <v>-0.62808419999999998</v>
      </c>
      <c r="P3894">
        <v>0.880044099999999</v>
      </c>
      <c r="Q3894">
        <v>0.15107139999999999</v>
      </c>
      <c r="R3894">
        <v>-0.45022210000000001</v>
      </c>
      <c r="S3894">
        <v>2.9418030000000002</v>
      </c>
      <c r="T3894">
        <v>-0.18071660000000001</v>
      </c>
      <c r="U3894">
        <v>-0.98588560000000003</v>
      </c>
      <c r="V3894">
        <v>-0.2052986</v>
      </c>
      <c r="W3894">
        <v>0.1593146</v>
      </c>
      <c r="X3894">
        <v>0.96564559999999999</v>
      </c>
      <c r="Y3894">
        <v>-0.34714149999999999</v>
      </c>
      <c r="Z3894">
        <v>3.8681809999999997E-2</v>
      </c>
      <c r="AA3894">
        <v>0.93701469999999998</v>
      </c>
      <c r="AB3894">
        <v>22</v>
      </c>
      <c r="AC3894">
        <v>18.022499999999901</v>
      </c>
      <c r="AD3894">
        <v>-1.1176481973850001</v>
      </c>
      <c r="AE3894">
        <v>-5.9729000000000099</v>
      </c>
      <c r="AF3894">
        <v>-6.64989286963515</v>
      </c>
      <c r="AG3894">
        <v>-1.1176481973850001</v>
      </c>
      <c r="AH3894">
        <v>17.713825563639901</v>
      </c>
      <c r="AI3894">
        <v>93.380504122161199</v>
      </c>
      <c r="AJ3894">
        <v>110.57648334741199</v>
      </c>
      <c r="AK3894">
        <v>18.953886904004801</v>
      </c>
      <c r="AL3894">
        <v>80.832884973035107</v>
      </c>
      <c r="AM3894">
        <v>102.00251437308501</v>
      </c>
      <c r="AN3894">
        <v>1.00000004086723</v>
      </c>
    </row>
    <row r="3895" spans="1:40" x14ac:dyDescent="0.25">
      <c r="A3895" t="str">
        <f>"20190304154830264"</f>
        <v>20190304154830264</v>
      </c>
      <c r="B3895" t="str">
        <f>"1551685710260534"</f>
        <v>1551685710260534</v>
      </c>
      <c r="C3895" t="s">
        <v>40</v>
      </c>
      <c r="D3895">
        <v>4.2640750000000001</v>
      </c>
      <c r="E3895">
        <v>0.44180340000000001</v>
      </c>
      <c r="F3895" t="s">
        <v>60</v>
      </c>
      <c r="G3895">
        <v>-465.96960000000001</v>
      </c>
      <c r="H3895" s="1">
        <v>1.6570500000000001E-6</v>
      </c>
      <c r="I3895">
        <v>214.22470000000001</v>
      </c>
      <c r="J3895">
        <v>-484.08749999999998</v>
      </c>
      <c r="K3895">
        <v>1.1176459999999999</v>
      </c>
      <c r="L3895">
        <v>220.01939999999999</v>
      </c>
      <c r="M3895">
        <v>0.78536419999999996</v>
      </c>
      <c r="N3895">
        <v>-1.224098E-2</v>
      </c>
      <c r="O3895">
        <v>-0.61891309999999999</v>
      </c>
      <c r="P3895">
        <v>0.88521879999999997</v>
      </c>
      <c r="Q3895">
        <v>0.15056449999999999</v>
      </c>
      <c r="R3895">
        <v>-0.44013439999999998</v>
      </c>
      <c r="S3895">
        <v>2.9513850000000001</v>
      </c>
      <c r="T3895">
        <v>-0.1803353</v>
      </c>
      <c r="U3895">
        <v>-0.95484919999999995</v>
      </c>
      <c r="V3895">
        <v>-0.2050507</v>
      </c>
      <c r="W3895">
        <v>0.1588128</v>
      </c>
      <c r="X3895">
        <v>0.96578090000000005</v>
      </c>
      <c r="Y3895">
        <v>-0.34596470000000001</v>
      </c>
      <c r="Z3895">
        <v>3.8232950000000002E-2</v>
      </c>
      <c r="AA3895">
        <v>0.93746819999999997</v>
      </c>
      <c r="AB3895">
        <v>22</v>
      </c>
      <c r="AC3895">
        <v>18.117899999999899</v>
      </c>
      <c r="AD3895">
        <v>-1.11764434294999</v>
      </c>
      <c r="AE3895">
        <v>-5.7946999999999704</v>
      </c>
      <c r="AF3895">
        <v>-6.6400316537872301</v>
      </c>
      <c r="AG3895">
        <v>-1.11764434294999</v>
      </c>
      <c r="AH3895">
        <v>17.755603278265198</v>
      </c>
      <c r="AI3895">
        <v>93.374147699283</v>
      </c>
      <c r="AJ3895">
        <v>110.504200211762</v>
      </c>
      <c r="AK3895">
        <v>18.989486486363099</v>
      </c>
      <c r="AL3895">
        <v>80.862006579651904</v>
      </c>
      <c r="AM3895">
        <v>101.986809862979</v>
      </c>
      <c r="AN3895">
        <v>1.0000000209095701</v>
      </c>
    </row>
    <row r="3896" spans="1:40" x14ac:dyDescent="0.25">
      <c r="A3896" t="str">
        <f>"20190304154830286"</f>
        <v>20190304154830286</v>
      </c>
      <c r="B3896" t="str">
        <f>"1551685710280055"</f>
        <v>1551685710280055</v>
      </c>
      <c r="C3896" t="s">
        <v>40</v>
      </c>
      <c r="D3896">
        <v>4.1989549999999998</v>
      </c>
      <c r="E3896">
        <v>0.44230720000000001</v>
      </c>
      <c r="F3896" t="s">
        <v>60</v>
      </c>
      <c r="G3896">
        <v>-466.50040000000001</v>
      </c>
      <c r="H3896" s="1">
        <v>1.9330899999999999E-6</v>
      </c>
      <c r="I3896">
        <v>214.3716</v>
      </c>
      <c r="J3896">
        <v>-483.90699999999998</v>
      </c>
      <c r="K3896">
        <v>1.1176379999999999</v>
      </c>
      <c r="L3896">
        <v>219.8946</v>
      </c>
      <c r="M3896">
        <v>0.79277969999999998</v>
      </c>
      <c r="N3896">
        <v>-1.224007E-2</v>
      </c>
      <c r="O3896">
        <v>-0.60938549999999903</v>
      </c>
      <c r="P3896">
        <v>0.89060930000000005</v>
      </c>
      <c r="Q3896">
        <v>0.15029149999999999</v>
      </c>
      <c r="R3896">
        <v>-0.42921779999999998</v>
      </c>
      <c r="S3896">
        <v>2.9498899999999999</v>
      </c>
      <c r="T3896">
        <v>-0.1874623</v>
      </c>
      <c r="U3896">
        <v>-0.94731140000000003</v>
      </c>
      <c r="V3896">
        <v>-0.20528650000000001</v>
      </c>
      <c r="W3896">
        <v>0.15853639999999999</v>
      </c>
      <c r="X3896">
        <v>0.96577619999999997</v>
      </c>
      <c r="Y3896">
        <v>-0.33657100000000001</v>
      </c>
      <c r="Z3896">
        <v>3.9367869999999999E-2</v>
      </c>
      <c r="AA3896">
        <v>0.94083479999999997</v>
      </c>
      <c r="AB3896">
        <v>22</v>
      </c>
      <c r="AC3896">
        <v>17.406599999999901</v>
      </c>
      <c r="AD3896">
        <v>-1.1176360669099901</v>
      </c>
      <c r="AE3896">
        <v>-5.5229999999999899</v>
      </c>
      <c r="AF3896">
        <v>-6.2060286217542497</v>
      </c>
      <c r="AG3896">
        <v>-1.1176360669099901</v>
      </c>
      <c r="AH3896">
        <v>17.102462002244501</v>
      </c>
      <c r="AI3896">
        <v>93.515262338601801</v>
      </c>
      <c r="AJ3896">
        <v>109.944488079119</v>
      </c>
      <c r="AK3896">
        <v>18.227948545305601</v>
      </c>
      <c r="AL3896">
        <v>80.878046175470303</v>
      </c>
      <c r="AM3896">
        <v>102.000251543804</v>
      </c>
      <c r="AN3896">
        <v>1.0000000028468199</v>
      </c>
    </row>
    <row r="3897" spans="1:40" x14ac:dyDescent="0.25">
      <c r="A3897" t="str">
        <f>"20190304154830310"</f>
        <v>20190304154830310</v>
      </c>
      <c r="B3897" t="str">
        <f>"1551685710300552"</f>
        <v>1551685710300552</v>
      </c>
      <c r="C3897" t="s">
        <v>40</v>
      </c>
      <c r="D3897">
        <v>4.2285640000000004</v>
      </c>
      <c r="E3897">
        <v>0.4348786</v>
      </c>
      <c r="F3897" t="s">
        <v>60</v>
      </c>
      <c r="G3897">
        <v>-466.43169999999998</v>
      </c>
      <c r="H3897" s="1">
        <v>1.8913279999999999E-6</v>
      </c>
      <c r="I3897">
        <v>214.49029999999999</v>
      </c>
      <c r="J3897">
        <v>-483.71440000000001</v>
      </c>
      <c r="K3897">
        <v>1.1176299999999999</v>
      </c>
      <c r="L3897">
        <v>219.7647</v>
      </c>
      <c r="M3897">
        <v>0.80049369999999997</v>
      </c>
      <c r="N3897">
        <v>-1.2238229999999999E-2</v>
      </c>
      <c r="O3897">
        <v>-0.59921630000000004</v>
      </c>
      <c r="P3897">
        <v>0.89600489999999999</v>
      </c>
      <c r="Q3897">
        <v>0.15065110000000001</v>
      </c>
      <c r="R3897">
        <v>-0.41770750000000001</v>
      </c>
      <c r="S3897">
        <v>2.9593509999999998</v>
      </c>
      <c r="T3897">
        <v>-0.18926490000000001</v>
      </c>
      <c r="U3897">
        <v>-0.91519170000000005</v>
      </c>
      <c r="V3897">
        <v>-0.20536879999999999</v>
      </c>
      <c r="W3897">
        <v>0.1588956</v>
      </c>
      <c r="X3897">
        <v>0.96569970000000005</v>
      </c>
      <c r="Y3897">
        <v>-0.3347059</v>
      </c>
      <c r="Z3897">
        <v>3.9353539999999999E-2</v>
      </c>
      <c r="AA3897">
        <v>0.94150049999999996</v>
      </c>
      <c r="AB3897">
        <v>22</v>
      </c>
      <c r="AC3897">
        <v>17.282699999999998</v>
      </c>
      <c r="AD3897">
        <v>-1.1176281086719999</v>
      </c>
      <c r="AE3897">
        <v>-5.2744000000000097</v>
      </c>
      <c r="AF3897">
        <v>-6.1110324213495204</v>
      </c>
      <c r="AG3897">
        <v>-1.1176281086719999</v>
      </c>
      <c r="AH3897">
        <v>16.931697343659302</v>
      </c>
      <c r="AI3897">
        <v>93.552811471004503</v>
      </c>
      <c r="AJ3897">
        <v>109.845659455825</v>
      </c>
      <c r="AK3897">
        <v>18.035414738268599</v>
      </c>
      <c r="AL3897">
        <v>80.857201587071401</v>
      </c>
      <c r="AM3897">
        <v>102.005846340137</v>
      </c>
      <c r="AN3897">
        <v>1.00000003314644</v>
      </c>
    </row>
    <row r="3898" spans="1:40" x14ac:dyDescent="0.25">
      <c r="A3898" t="str">
        <f>"20190304154830331"</f>
        <v>20190304154830331</v>
      </c>
      <c r="B3898" t="str">
        <f>"1551685710320071"</f>
        <v>1551685710320071</v>
      </c>
      <c r="C3898" t="s">
        <v>40</v>
      </c>
      <c r="D3898">
        <v>4.28172</v>
      </c>
      <c r="E3898">
        <v>0.4295834</v>
      </c>
      <c r="F3898" t="s">
        <v>60</v>
      </c>
      <c r="G3898">
        <v>-463.47539999999998</v>
      </c>
      <c r="H3898" s="1">
        <v>3.3050460000000001E-7</v>
      </c>
      <c r="I3898">
        <v>214.2073</v>
      </c>
      <c r="J3898">
        <v>-483.54</v>
      </c>
      <c r="K3898">
        <v>1.1176170000000001</v>
      </c>
      <c r="L3898">
        <v>219.65020000000001</v>
      </c>
      <c r="M3898">
        <v>0.80729050000000002</v>
      </c>
      <c r="N3898">
        <v>-1.223607E-2</v>
      </c>
      <c r="O3898">
        <v>-0.59002759999999999</v>
      </c>
      <c r="P3898">
        <v>0.90071460000000003</v>
      </c>
      <c r="Q3898">
        <v>0.15006630000000001</v>
      </c>
      <c r="R3898">
        <v>-0.4076689</v>
      </c>
      <c r="S3898">
        <v>2.9928889999999999</v>
      </c>
      <c r="T3898">
        <v>-0.16527220000000001</v>
      </c>
      <c r="U3898">
        <v>-0.82180789999999904</v>
      </c>
      <c r="V3898">
        <v>-0.20516619999999999</v>
      </c>
      <c r="W3898">
        <v>0.15831799999999999</v>
      </c>
      <c r="X3898">
        <v>0.96583759999999996</v>
      </c>
      <c r="Y3898">
        <v>-0.35425299999999998</v>
      </c>
      <c r="Z3898">
        <v>3.3851630000000001E-2</v>
      </c>
      <c r="AA3898">
        <v>0.93453679999999995</v>
      </c>
      <c r="AB3898">
        <v>22</v>
      </c>
      <c r="AC3898">
        <v>20.064599999999999</v>
      </c>
      <c r="AD3898">
        <v>-1.1176166694954</v>
      </c>
      <c r="AE3898">
        <v>-5.4428999999999998</v>
      </c>
      <c r="AF3898">
        <v>-7.4237686123413997</v>
      </c>
      <c r="AG3898">
        <v>-1.1176166694954</v>
      </c>
      <c r="AH3898">
        <v>19.354938560961202</v>
      </c>
      <c r="AI3898">
        <v>93.086025009112007</v>
      </c>
      <c r="AJ3898">
        <v>110.984785738185</v>
      </c>
      <c r="AK3898">
        <v>20.759938683148899</v>
      </c>
      <c r="AL3898">
        <v>80.8907197350064</v>
      </c>
      <c r="AM3898">
        <v>101.99268259095599</v>
      </c>
      <c r="AN3898">
        <v>1.0000000141601</v>
      </c>
    </row>
    <row r="3899" spans="1:40" x14ac:dyDescent="0.25">
      <c r="A3899" t="str">
        <f>"20190304154830356"</f>
        <v>20190304154830356</v>
      </c>
      <c r="B3899" t="str">
        <f>"1551685710350327"</f>
        <v>1551685710350327</v>
      </c>
      <c r="C3899" t="s">
        <v>40</v>
      </c>
      <c r="D3899">
        <v>4.2797070000000001</v>
      </c>
      <c r="E3899">
        <v>0.42519659999999898</v>
      </c>
      <c r="F3899" t="s">
        <v>60</v>
      </c>
      <c r="G3899">
        <v>-461.58920000000001</v>
      </c>
      <c r="H3899" s="1">
        <v>-6.7319719999999902E-7</v>
      </c>
      <c r="I3899">
        <v>214.2064</v>
      </c>
      <c r="J3899">
        <v>-483.34230000000002</v>
      </c>
      <c r="K3899">
        <v>1.1176010000000001</v>
      </c>
      <c r="L3899">
        <v>219.524</v>
      </c>
      <c r="M3899">
        <v>0.81478509999999904</v>
      </c>
      <c r="N3899">
        <v>-1.223316E-2</v>
      </c>
      <c r="O3899">
        <v>-0.57963419999999999</v>
      </c>
      <c r="P3899">
        <v>0.90590519999999997</v>
      </c>
      <c r="Q3899">
        <v>0.14925949999999999</v>
      </c>
      <c r="R3899">
        <v>-0.39630470000000001</v>
      </c>
      <c r="S3899">
        <v>3.0176090000000002</v>
      </c>
      <c r="T3899">
        <v>-0.1536402</v>
      </c>
      <c r="U3899">
        <v>-0.74836729999999996</v>
      </c>
      <c r="V3899">
        <v>-0.20499829999999999</v>
      </c>
      <c r="W3899">
        <v>0.1575203</v>
      </c>
      <c r="X3899">
        <v>0.96600370000000002</v>
      </c>
      <c r="Y3899">
        <v>-0.36564219999999997</v>
      </c>
      <c r="Z3899">
        <v>3.104639E-2</v>
      </c>
      <c r="AA3899">
        <v>0.9302376</v>
      </c>
      <c r="AB3899">
        <v>22</v>
      </c>
      <c r="AC3899">
        <v>21.7531</v>
      </c>
      <c r="AD3899">
        <v>-1.1176016731972001</v>
      </c>
      <c r="AE3899">
        <v>-5.3175999999999899</v>
      </c>
      <c r="AF3899">
        <v>-8.2561940160358898</v>
      </c>
      <c r="AG3899">
        <v>-1.1176016731972001</v>
      </c>
      <c r="AH3899">
        <v>20.756221352441699</v>
      </c>
      <c r="AI3899">
        <v>92.8642027230552</v>
      </c>
      <c r="AJ3899">
        <v>111.691159234479</v>
      </c>
      <c r="AK3899">
        <v>22.3659226941773</v>
      </c>
      <c r="AL3899">
        <v>80.937005679806902</v>
      </c>
      <c r="AM3899">
        <v>101.981151161554</v>
      </c>
      <c r="AN3899">
        <v>1.0000000481643301</v>
      </c>
    </row>
    <row r="3900" spans="1:40" x14ac:dyDescent="0.25">
      <c r="A3900" t="str">
        <f>"20190304154830377"</f>
        <v>20190304154830377</v>
      </c>
      <c r="B3900" t="str">
        <f>"1551685710370823"</f>
        <v>1551685710370823</v>
      </c>
      <c r="C3900" t="s">
        <v>40</v>
      </c>
      <c r="D3900">
        <v>4.2927269999999904</v>
      </c>
      <c r="E3900">
        <v>0.42367149999999998</v>
      </c>
      <c r="F3900" t="s">
        <v>60</v>
      </c>
      <c r="G3900">
        <v>-459.71510000000001</v>
      </c>
      <c r="H3900" s="1">
        <v>3.648596E-6</v>
      </c>
      <c r="I3900">
        <v>214.262</v>
      </c>
      <c r="J3900">
        <v>-483.15809999999999</v>
      </c>
      <c r="K3900">
        <v>1.1175889999999999</v>
      </c>
      <c r="L3900">
        <v>219.40950000000001</v>
      </c>
      <c r="M3900">
        <v>0.82157449999999999</v>
      </c>
      <c r="N3900">
        <v>-1.222991E-2</v>
      </c>
      <c r="O3900">
        <v>-0.56996999999999998</v>
      </c>
      <c r="P3900">
        <v>0.91032389999999996</v>
      </c>
      <c r="Q3900">
        <v>0.1493033</v>
      </c>
      <c r="R3900">
        <v>-0.38603029999999999</v>
      </c>
      <c r="S3900">
        <v>3.039215</v>
      </c>
      <c r="T3900">
        <v>-0.1437591</v>
      </c>
      <c r="U3900">
        <v>-0.67686459999999904</v>
      </c>
      <c r="V3900">
        <v>-0.2045081</v>
      </c>
      <c r="W3900">
        <v>0.15757779999999999</v>
      </c>
      <c r="X3900">
        <v>0.96609820000000002</v>
      </c>
      <c r="Y3900">
        <v>-0.37702150000000001</v>
      </c>
      <c r="Z3900">
        <v>2.8720909999999999E-2</v>
      </c>
      <c r="AA3900">
        <v>0.92575909999999995</v>
      </c>
      <c r="AB3900">
        <v>22</v>
      </c>
      <c r="AC3900">
        <v>23.442999999999898</v>
      </c>
      <c r="AD3900">
        <v>-1.1175853514039999</v>
      </c>
      <c r="AE3900">
        <v>-5.1475</v>
      </c>
      <c r="AF3900">
        <v>-9.1136752681871194</v>
      </c>
      <c r="AG3900">
        <v>-1.1175853514039999</v>
      </c>
      <c r="AH3900">
        <v>22.147732047864999</v>
      </c>
      <c r="AI3900">
        <v>92.671720224069404</v>
      </c>
      <c r="AJ3900">
        <v>112.366908339023</v>
      </c>
      <c r="AK3900">
        <v>23.975614877947599</v>
      </c>
      <c r="AL3900">
        <v>80.933669332804499</v>
      </c>
      <c r="AM3900">
        <v>101.95219080619501</v>
      </c>
      <c r="AN3900">
        <v>1.00000002903084</v>
      </c>
    </row>
    <row r="3901" spans="1:40" x14ac:dyDescent="0.25">
      <c r="A3901" t="str">
        <f>"20190304154830406"</f>
        <v>20190304154830406</v>
      </c>
      <c r="B3901" t="str">
        <f>"1551685710401080"</f>
        <v>1551685710401080</v>
      </c>
      <c r="C3901" t="s">
        <v>40</v>
      </c>
      <c r="D3901">
        <v>4.2529729999999999</v>
      </c>
      <c r="E3901">
        <v>0.4062057</v>
      </c>
      <c r="F3901" t="s">
        <v>60</v>
      </c>
      <c r="G3901">
        <v>-458.59649999999999</v>
      </c>
      <c r="H3901" s="1">
        <v>3.050122E-6</v>
      </c>
      <c r="I3901">
        <v>214.33500000000001</v>
      </c>
      <c r="J3901">
        <v>-482.97219999999999</v>
      </c>
      <c r="K3901">
        <v>1.117577</v>
      </c>
      <c r="L3901">
        <v>219.29679999999999</v>
      </c>
      <c r="M3901">
        <v>0.82824660000000005</v>
      </c>
      <c r="N3901">
        <v>-1.222637E-2</v>
      </c>
      <c r="O3901">
        <v>-0.56023040000000002</v>
      </c>
      <c r="P3901">
        <v>0.91466170000000002</v>
      </c>
      <c r="Q3901">
        <v>0.1500446</v>
      </c>
      <c r="R3901">
        <v>-0.37534089999999998</v>
      </c>
      <c r="S3901">
        <v>3.0510250000000001</v>
      </c>
      <c r="T3901">
        <v>-0.1388257</v>
      </c>
      <c r="U3901">
        <v>-0.63035580000000002</v>
      </c>
      <c r="V3901">
        <v>-0.20435719999999999</v>
      </c>
      <c r="W3901">
        <v>0.15832360000000001</v>
      </c>
      <c r="X3901">
        <v>0.96600819999999998</v>
      </c>
      <c r="Y3901">
        <v>-0.38039430000000002</v>
      </c>
      <c r="Z3901">
        <v>2.7396130000000001E-2</v>
      </c>
      <c r="AA3901">
        <v>0.92441859999999998</v>
      </c>
      <c r="AB3901">
        <v>22</v>
      </c>
      <c r="AC3901">
        <v>24.375699999999899</v>
      </c>
      <c r="AD3901">
        <v>-1.117573949878</v>
      </c>
      <c r="AE3901">
        <v>-4.9617999999999798</v>
      </c>
      <c r="AF3901">
        <v>-9.5278966404985095</v>
      </c>
      <c r="AG3901">
        <v>-1.117573949878</v>
      </c>
      <c r="AH3901">
        <v>22.9242883144831</v>
      </c>
      <c r="AI3901">
        <v>92.577557488686693</v>
      </c>
      <c r="AJ3901">
        <v>112.568969122298</v>
      </c>
      <c r="AK3901">
        <v>24.850609261163299</v>
      </c>
      <c r="AL3901">
        <v>80.890394971576697</v>
      </c>
      <c r="AM3901">
        <v>101.944705817037</v>
      </c>
      <c r="AN3901">
        <v>1.00000003498801</v>
      </c>
    </row>
    <row r="3902" spans="1:40" x14ac:dyDescent="0.25">
      <c r="A3902" t="str">
        <f>"20190304154830421"</f>
        <v>20190304154830421</v>
      </c>
      <c r="B3902" t="str">
        <f>"1551685710410838"</f>
        <v>1551685710410838</v>
      </c>
      <c r="C3902" t="s">
        <v>40</v>
      </c>
      <c r="D3902">
        <v>4.275328</v>
      </c>
      <c r="E3902">
        <v>0.40720210000000001</v>
      </c>
      <c r="F3902" t="s">
        <v>61</v>
      </c>
      <c r="G3902">
        <v>-409.32459999999998</v>
      </c>
      <c r="H3902" s="1">
        <v>5.4784269999999996E-6</v>
      </c>
      <c r="I3902">
        <v>208.3417</v>
      </c>
      <c r="J3902">
        <v>-482.7851</v>
      </c>
      <c r="K3902">
        <v>1.1175619999999999</v>
      </c>
      <c r="L3902">
        <v>219.18639999999999</v>
      </c>
      <c r="M3902">
        <v>0.83478039999999998</v>
      </c>
      <c r="N3902">
        <v>-1.222269E-2</v>
      </c>
      <c r="O3902">
        <v>-0.55044759999999904</v>
      </c>
      <c r="P3902">
        <v>0.91877799999999998</v>
      </c>
      <c r="Q3902">
        <v>0.1509712</v>
      </c>
      <c r="R3902">
        <v>-0.36476710000000001</v>
      </c>
      <c r="S3902">
        <v>3.0985109999999998</v>
      </c>
      <c r="T3902">
        <v>-4.7018650000000002E-2</v>
      </c>
      <c r="U3902">
        <v>-0.46090700000000001</v>
      </c>
      <c r="V3902">
        <v>-0.20406089999999999</v>
      </c>
      <c r="W3902">
        <v>0.1592567</v>
      </c>
      <c r="X3902">
        <v>0.96591740000000004</v>
      </c>
      <c r="Y3902">
        <v>-0.42158499999999999</v>
      </c>
      <c r="Z3902">
        <v>6.5600919999999896E-3</v>
      </c>
      <c r="AA3902">
        <v>0.90676520000000005</v>
      </c>
      <c r="AB3902">
        <v>22</v>
      </c>
      <c r="AC3902">
        <v>73.460499999999996</v>
      </c>
      <c r="AD3902">
        <v>-1.1175565215729999</v>
      </c>
      <c r="AE3902">
        <v>-10.8446999999999</v>
      </c>
      <c r="AF3902">
        <v>-31.378445947712301</v>
      </c>
      <c r="AG3902">
        <v>-1.1175565215729999</v>
      </c>
      <c r="AH3902">
        <v>67.282603185978999</v>
      </c>
      <c r="AI3902">
        <v>90.862426780285702</v>
      </c>
      <c r="AJ3902">
        <v>115.002834775848</v>
      </c>
      <c r="AK3902">
        <v>74.248262566570006</v>
      </c>
      <c r="AL3902">
        <v>80.836244789778604</v>
      </c>
      <c r="AM3902">
        <v>101.928972601323</v>
      </c>
      <c r="AN3902">
        <v>0.99999998551322999</v>
      </c>
    </row>
    <row r="3903" spans="1:40" x14ac:dyDescent="0.25">
      <c r="A3903" t="str">
        <f>"20190304154830444"</f>
        <v>20190304154830444</v>
      </c>
      <c r="B3903" t="str">
        <f>"1551685710441095"</f>
        <v>1551685710441095</v>
      </c>
      <c r="C3903" t="s">
        <v>40</v>
      </c>
      <c r="D3903">
        <v>4.3663679999999996</v>
      </c>
      <c r="E3903">
        <v>0.4186878</v>
      </c>
      <c r="F3903" t="s">
        <v>61</v>
      </c>
      <c r="G3903">
        <v>-409.9248</v>
      </c>
      <c r="H3903" s="1">
        <v>5.1066320000000004E-6</v>
      </c>
      <c r="I3903">
        <v>209.01419999999999</v>
      </c>
      <c r="J3903">
        <v>-482.59739999999999</v>
      </c>
      <c r="K3903">
        <v>1.11754</v>
      </c>
      <c r="L3903">
        <v>219.07839999999999</v>
      </c>
      <c r="M3903">
        <v>0.84115720000000005</v>
      </c>
      <c r="N3903">
        <v>-1.221846E-2</v>
      </c>
      <c r="O3903">
        <v>-0.54065269999999899</v>
      </c>
      <c r="P3903">
        <v>0.92273000000000005</v>
      </c>
      <c r="Q3903">
        <v>0.151307</v>
      </c>
      <c r="R3903">
        <v>-0.35450759999999998</v>
      </c>
      <c r="S3903">
        <v>3.101105</v>
      </c>
      <c r="T3903">
        <v>-4.7565820000000002E-2</v>
      </c>
      <c r="U3903">
        <v>-0.43295289999999997</v>
      </c>
      <c r="V3903">
        <v>-0.20350199999999999</v>
      </c>
      <c r="W3903">
        <v>0.15960650000000001</v>
      </c>
      <c r="X3903">
        <v>0.96597759999999999</v>
      </c>
      <c r="Y3903">
        <v>-0.4191008</v>
      </c>
      <c r="Z3903">
        <v>6.6715269999999896E-3</v>
      </c>
      <c r="AA3903">
        <v>0.90791520000000003</v>
      </c>
      <c r="AB3903">
        <v>22</v>
      </c>
      <c r="AC3903">
        <v>72.672599999999903</v>
      </c>
      <c r="AD3903">
        <v>-1.117534893368</v>
      </c>
      <c r="AE3903">
        <v>-10.0642</v>
      </c>
      <c r="AF3903">
        <v>-30.820212284357201</v>
      </c>
      <c r="AG3903">
        <v>-1.117534893368</v>
      </c>
      <c r="AH3903">
        <v>66.559841704371607</v>
      </c>
      <c r="AI3903">
        <v>90.872880979079</v>
      </c>
      <c r="AJ3903">
        <v>114.846267085465</v>
      </c>
      <c r="AK3903">
        <v>73.357664202193305</v>
      </c>
      <c r="AL3903">
        <v>80.815943284260001</v>
      </c>
      <c r="AM3903">
        <v>101.896512467284</v>
      </c>
      <c r="AN3903">
        <v>1.000000011274</v>
      </c>
    </row>
    <row r="3904" spans="1:40" x14ac:dyDescent="0.25">
      <c r="A3904" t="str">
        <f>"20190304154830465"</f>
        <v>20190304154830465</v>
      </c>
      <c r="B3904" t="str">
        <f>"1551685710460615"</f>
        <v>1551685710460615</v>
      </c>
      <c r="C3904" t="s">
        <v>40</v>
      </c>
      <c r="D3904">
        <v>4.3150870000000001</v>
      </c>
      <c r="E3904">
        <v>0.4217418</v>
      </c>
      <c r="F3904" t="s">
        <v>60</v>
      </c>
      <c r="G3904">
        <v>-446.38440000000003</v>
      </c>
      <c r="H3904" s="1">
        <v>1.9152080000000001E-6</v>
      </c>
      <c r="I3904">
        <v>213.3682</v>
      </c>
      <c r="J3904">
        <v>-482.41059999999999</v>
      </c>
      <c r="K3904">
        <v>1.1175299999999999</v>
      </c>
      <c r="L3904">
        <v>218.97389999999999</v>
      </c>
      <c r="M3904">
        <v>0.84731840000000003</v>
      </c>
      <c r="N3904">
        <v>-1.221333E-2</v>
      </c>
      <c r="O3904">
        <v>-0.53094469999999905</v>
      </c>
      <c r="P3904">
        <v>0.92667869999999997</v>
      </c>
      <c r="Q3904">
        <v>0.15195139999999999</v>
      </c>
      <c r="R3904">
        <v>-0.3437694</v>
      </c>
      <c r="S3904">
        <v>3.0802</v>
      </c>
      <c r="T3904">
        <v>-9.5055459999999994E-2</v>
      </c>
      <c r="U3904">
        <v>-0.48570249999999998</v>
      </c>
      <c r="V3904">
        <v>-0.20355870000000001</v>
      </c>
      <c r="W3904">
        <v>0.16025320000000001</v>
      </c>
      <c r="X3904">
        <v>0.96585860000000001</v>
      </c>
      <c r="Y3904">
        <v>-0.39220090000000002</v>
      </c>
      <c r="Z3904">
        <v>1.708784E-2</v>
      </c>
      <c r="AA3904">
        <v>0.91972089999999995</v>
      </c>
      <c r="AB3904">
        <v>22</v>
      </c>
      <c r="AC3904">
        <v>36.026199999999903</v>
      </c>
      <c r="AD3904">
        <v>-1.1175280847919999</v>
      </c>
      <c r="AE3904">
        <v>-5.6056999999999801</v>
      </c>
      <c r="AF3904">
        <v>-14.365683956650299</v>
      </c>
      <c r="AG3904">
        <v>-1.1175280847919999</v>
      </c>
      <c r="AH3904">
        <v>33.473031843976599</v>
      </c>
      <c r="AI3904">
        <v>91.757273676685202</v>
      </c>
      <c r="AJ3904">
        <v>113.22764900715801</v>
      </c>
      <c r="AK3904">
        <v>36.442634446353203</v>
      </c>
      <c r="AL3904">
        <v>80.778407159787307</v>
      </c>
      <c r="AM3904">
        <v>101.901156921385</v>
      </c>
      <c r="AN3904">
        <v>1.00000003382494</v>
      </c>
    </row>
    <row r="3905" spans="1:40" x14ac:dyDescent="0.25">
      <c r="A3905" t="str">
        <f>"20190304154830487"</f>
        <v>20190304154830487</v>
      </c>
      <c r="B3905" t="str">
        <f>"1551685710481111"</f>
        <v>1551685710481111</v>
      </c>
      <c r="C3905" t="s">
        <v>40</v>
      </c>
      <c r="D3905">
        <v>4.3998989999999996</v>
      </c>
      <c r="E3905">
        <v>0.4229136</v>
      </c>
      <c r="F3905" t="s">
        <v>60</v>
      </c>
      <c r="G3905">
        <v>-444.86489999999998</v>
      </c>
      <c r="H3905" s="1">
        <v>1.113754E-6</v>
      </c>
      <c r="I3905">
        <v>213.20490000000001</v>
      </c>
      <c r="J3905">
        <v>-482.21420000000001</v>
      </c>
      <c r="K3905">
        <v>1.1175040000000001</v>
      </c>
      <c r="L3905">
        <v>218.86680000000001</v>
      </c>
      <c r="M3905">
        <v>0.8536108</v>
      </c>
      <c r="N3905">
        <v>-1.2206720000000001E-2</v>
      </c>
      <c r="O3905">
        <v>-0.52076820000000001</v>
      </c>
      <c r="P3905">
        <v>0.93081069999999999</v>
      </c>
      <c r="Q3905">
        <v>0.1533041</v>
      </c>
      <c r="R3905">
        <v>-0.33179690000000001</v>
      </c>
      <c r="S3905">
        <v>3.077026</v>
      </c>
      <c r="T3905">
        <v>-9.1585990000000006E-2</v>
      </c>
      <c r="U3905">
        <v>-0.47279359999999998</v>
      </c>
      <c r="V3905">
        <v>-0.20434920000000001</v>
      </c>
      <c r="W3905">
        <v>0.16159490000000001</v>
      </c>
      <c r="X3905">
        <v>0.96546799999999999</v>
      </c>
      <c r="Y3905">
        <v>-0.38483139999999999</v>
      </c>
      <c r="Z3905">
        <v>1.6071789999999999E-2</v>
      </c>
      <c r="AA3905">
        <v>0.92284699999999997</v>
      </c>
      <c r="AB3905">
        <v>22</v>
      </c>
      <c r="AC3905">
        <v>37.349299999999999</v>
      </c>
      <c r="AD3905">
        <v>-1.1175028862459999</v>
      </c>
      <c r="AE3905">
        <v>-5.6619000000000002</v>
      </c>
      <c r="AF3905">
        <v>-14.6055769097543</v>
      </c>
      <c r="AG3905">
        <v>-1.1175028862459999</v>
      </c>
      <c r="AH3905">
        <v>34.802443801747003</v>
      </c>
      <c r="AI3905">
        <v>91.695930979917193</v>
      </c>
      <c r="AJ3905">
        <v>112.766380846096</v>
      </c>
      <c r="AK3905">
        <v>37.7595257404178</v>
      </c>
      <c r="AL3905">
        <v>80.700517791040298</v>
      </c>
      <c r="AM3905">
        <v>101.950742608035</v>
      </c>
      <c r="AN3905">
        <v>0.99999998313532401</v>
      </c>
    </row>
    <row r="3906" spans="1:40" x14ac:dyDescent="0.25">
      <c r="A3906" t="str">
        <f>"20190304154830511"</f>
        <v>20190304154830511</v>
      </c>
      <c r="B3906" t="str">
        <f>"1551685710500631"</f>
        <v>1551685710500631</v>
      </c>
      <c r="C3906" t="s">
        <v>40</v>
      </c>
      <c r="D3906">
        <v>4.4321820000000001</v>
      </c>
      <c r="E3906">
        <v>0.4242243</v>
      </c>
      <c r="F3906" t="s">
        <v>60</v>
      </c>
      <c r="G3906">
        <v>-446.10750000000002</v>
      </c>
      <c r="H3906" s="1">
        <v>1.754795E-6</v>
      </c>
      <c r="I3906">
        <v>213.6669</v>
      </c>
      <c r="J3906">
        <v>-482.01080000000002</v>
      </c>
      <c r="K3906">
        <v>1.1174740000000001</v>
      </c>
      <c r="L3906">
        <v>218.75890000000001</v>
      </c>
      <c r="M3906">
        <v>0.85991379999999995</v>
      </c>
      <c r="N3906">
        <v>-1.219775E-2</v>
      </c>
      <c r="O3906">
        <v>-0.51029369999999996</v>
      </c>
      <c r="P3906">
        <v>0.93485459999999998</v>
      </c>
      <c r="Q3906">
        <v>0.15368419999999999</v>
      </c>
      <c r="R3906">
        <v>-0.320044</v>
      </c>
      <c r="S3906">
        <v>3.0805660000000001</v>
      </c>
      <c r="T3906">
        <v>-9.534347E-2</v>
      </c>
      <c r="U3906">
        <v>-0.44364930000000002</v>
      </c>
      <c r="V3906">
        <v>-0.20466899999999999</v>
      </c>
      <c r="W3906">
        <v>0.16197839999999999</v>
      </c>
      <c r="X3906">
        <v>0.96533599999999997</v>
      </c>
      <c r="Y3906">
        <v>-0.38222420000000001</v>
      </c>
      <c r="Z3906">
        <v>1.672154E-2</v>
      </c>
      <c r="AA3906">
        <v>0.92391829999999997</v>
      </c>
      <c r="AB3906">
        <v>22</v>
      </c>
      <c r="AC3906">
        <v>35.903300000000002</v>
      </c>
      <c r="AD3906">
        <v>-1.1174722452050001</v>
      </c>
      <c r="AE3906">
        <v>-5.0920000000000103</v>
      </c>
      <c r="AF3906">
        <v>-13.930354024878801</v>
      </c>
      <c r="AG3906">
        <v>-1.1174722452050001</v>
      </c>
      <c r="AH3906">
        <v>33.442887378954403</v>
      </c>
      <c r="AI3906">
        <v>91.766750032163102</v>
      </c>
      <c r="AJ3906">
        <v>112.613759216042</v>
      </c>
      <c r="AK3906">
        <v>36.245416589117703</v>
      </c>
      <c r="AL3906">
        <v>80.678251650689404</v>
      </c>
      <c r="AM3906">
        <v>101.97049559815299</v>
      </c>
      <c r="AN3906">
        <v>0.99999999726177902</v>
      </c>
    </row>
    <row r="3907" spans="1:40" x14ac:dyDescent="0.25">
      <c r="A3907" t="str">
        <f>"20190304154830533"</f>
        <v>20190304154830533</v>
      </c>
      <c r="B3907" t="str">
        <f>"1551685710530887"</f>
        <v>1551685710530887</v>
      </c>
      <c r="C3907" t="s">
        <v>40</v>
      </c>
      <c r="D3907">
        <v>4.3786519999999998</v>
      </c>
      <c r="E3907">
        <v>0.42552410000000002</v>
      </c>
      <c r="F3907" t="s">
        <v>60</v>
      </c>
      <c r="G3907">
        <v>-447.18329999999997</v>
      </c>
      <c r="H3907" s="1">
        <v>2.3099690000000001E-6</v>
      </c>
      <c r="I3907">
        <v>214.0633</v>
      </c>
      <c r="J3907">
        <v>-481.81920000000002</v>
      </c>
      <c r="K3907">
        <v>1.1174230000000001</v>
      </c>
      <c r="L3907">
        <v>218.66030000000001</v>
      </c>
      <c r="M3907">
        <v>0.86564979999999903</v>
      </c>
      <c r="N3907">
        <v>-1.2186870000000001E-2</v>
      </c>
      <c r="O3907">
        <v>-0.5005018</v>
      </c>
      <c r="P3907">
        <v>0.93843290000000001</v>
      </c>
      <c r="Q3907">
        <v>0.15345</v>
      </c>
      <c r="R3907">
        <v>-0.30951070000000003</v>
      </c>
      <c r="S3907">
        <v>3.083008</v>
      </c>
      <c r="T3907">
        <v>-9.8920939999999999E-2</v>
      </c>
      <c r="U3907">
        <v>-0.4156647</v>
      </c>
      <c r="V3907">
        <v>-0.2045632</v>
      </c>
      <c r="W3907">
        <v>0.1617625</v>
      </c>
      <c r="X3907">
        <v>0.96539459999999999</v>
      </c>
      <c r="Y3907">
        <v>-0.38004300000000002</v>
      </c>
      <c r="Z3907">
        <v>1.7329250000000001E-2</v>
      </c>
      <c r="AA3907">
        <v>0.92480649999999998</v>
      </c>
      <c r="AB3907">
        <v>22</v>
      </c>
      <c r="AC3907">
        <v>34.635899999999999</v>
      </c>
      <c r="AD3907">
        <v>-1.117420690031</v>
      </c>
      <c r="AE3907">
        <v>-4.5970000000000004</v>
      </c>
      <c r="AF3907">
        <v>-13.343281400511</v>
      </c>
      <c r="AG3907">
        <v>-1.117420690031</v>
      </c>
      <c r="AH3907">
        <v>32.252773328935199</v>
      </c>
      <c r="AI3907">
        <v>91.833650953190798</v>
      </c>
      <c r="AJ3907">
        <v>112.47534848826101</v>
      </c>
      <c r="AK3907">
        <v>34.921815172459297</v>
      </c>
      <c r="AL3907">
        <v>80.690786884816404</v>
      </c>
      <c r="AM3907">
        <v>101.963780707132</v>
      </c>
      <c r="AN3907">
        <v>0.999999971454824</v>
      </c>
    </row>
    <row r="3908" spans="1:40" x14ac:dyDescent="0.25">
      <c r="A3908" t="str">
        <f>"20190304154830557"</f>
        <v>20190304154830557</v>
      </c>
      <c r="B3908" t="str">
        <f>"1551685710550407"</f>
        <v>1551685710550407</v>
      </c>
      <c r="C3908" t="s">
        <v>40</v>
      </c>
      <c r="D3908">
        <v>4.3867890000000003</v>
      </c>
      <c r="E3908">
        <v>0.4328457</v>
      </c>
      <c r="F3908" t="s">
        <v>60</v>
      </c>
      <c r="G3908">
        <v>-448.81420000000003</v>
      </c>
      <c r="H3908" s="1">
        <v>3.1600930000000001E-6</v>
      </c>
      <c r="I3908">
        <v>214.47</v>
      </c>
      <c r="J3908">
        <v>-481.6096</v>
      </c>
      <c r="K3908">
        <v>1.117345</v>
      </c>
      <c r="L3908">
        <v>218.55529999999999</v>
      </c>
      <c r="M3908">
        <v>0.87169640000000004</v>
      </c>
      <c r="N3908">
        <v>-1.217157E-2</v>
      </c>
      <c r="O3908">
        <v>-0.48989519999999998</v>
      </c>
      <c r="P3908">
        <v>0.94231089999999995</v>
      </c>
      <c r="Q3908">
        <v>0.1524799</v>
      </c>
      <c r="R3908">
        <v>-0.29799350000000002</v>
      </c>
      <c r="S3908">
        <v>3.084686</v>
      </c>
      <c r="T3908">
        <v>-0.1044354</v>
      </c>
      <c r="U3908">
        <v>-0.39163209999999998</v>
      </c>
      <c r="V3908">
        <v>-0.2046316</v>
      </c>
      <c r="W3908">
        <v>0.1608137</v>
      </c>
      <c r="X3908">
        <v>0.96553860000000002</v>
      </c>
      <c r="Y3908">
        <v>-0.37585950000000001</v>
      </c>
      <c r="Z3908">
        <v>1.8268240000000002E-2</v>
      </c>
      <c r="AA3908">
        <v>0.9264966</v>
      </c>
      <c r="AB3908">
        <v>23</v>
      </c>
      <c r="AC3908">
        <v>32.795399999999901</v>
      </c>
      <c r="AD3908">
        <v>-1.1173418399070001</v>
      </c>
      <c r="AE3908">
        <v>-4.0852999999999797</v>
      </c>
      <c r="AF3908">
        <v>-12.4918151605163</v>
      </c>
      <c r="AG3908">
        <v>-1.1173418399070001</v>
      </c>
      <c r="AH3908">
        <v>30.5563391168637</v>
      </c>
      <c r="AI3908">
        <v>91.938574143777103</v>
      </c>
      <c r="AJ3908">
        <v>112.235360386395</v>
      </c>
      <c r="AK3908">
        <v>33.030043279058702</v>
      </c>
      <c r="AL3908">
        <v>80.745870232103698</v>
      </c>
      <c r="AM3908">
        <v>101.965932323738</v>
      </c>
      <c r="AN3908">
        <v>0.99999996295810401</v>
      </c>
    </row>
    <row r="3909" spans="1:40" x14ac:dyDescent="0.25">
      <c r="A3909" t="str">
        <f>"20190304154830578"</f>
        <v>20190304154830578</v>
      </c>
      <c r="B3909" t="str">
        <f>"1551685710570903"</f>
        <v>1551685710570903</v>
      </c>
      <c r="C3909" t="s">
        <v>40</v>
      </c>
      <c r="D3909">
        <v>4.2624129999999996</v>
      </c>
      <c r="E3909">
        <v>0.4337511</v>
      </c>
      <c r="F3909" t="s">
        <v>60</v>
      </c>
      <c r="G3909">
        <v>-450.56509999999997</v>
      </c>
      <c r="H3909" s="1">
        <v>-1.22729E-6</v>
      </c>
      <c r="I3909">
        <v>214.41489999999999</v>
      </c>
      <c r="J3909">
        <v>-481.42290000000003</v>
      </c>
      <c r="K3909">
        <v>1.1172789999999999</v>
      </c>
      <c r="L3909">
        <v>218.46430000000001</v>
      </c>
      <c r="M3909">
        <v>0.8768939</v>
      </c>
      <c r="N3909">
        <v>-1.215687E-2</v>
      </c>
      <c r="O3909">
        <v>-0.48053010000000002</v>
      </c>
      <c r="P3909">
        <v>0.9454958</v>
      </c>
      <c r="Q3909">
        <v>0.15228159999999999</v>
      </c>
      <c r="R3909">
        <v>-0.28783300000000001</v>
      </c>
      <c r="S3909">
        <v>3.0719910000000001</v>
      </c>
      <c r="T3909">
        <v>-0.1105664</v>
      </c>
      <c r="U3909">
        <v>-0.40971370000000001</v>
      </c>
      <c r="V3909">
        <v>-0.20466860000000001</v>
      </c>
      <c r="W3909">
        <v>0.160634</v>
      </c>
      <c r="X3909">
        <v>0.96556070000000005</v>
      </c>
      <c r="Y3909">
        <v>-0.36000349999999998</v>
      </c>
      <c r="Z3909">
        <v>1.9108489999999999E-2</v>
      </c>
      <c r="AA3909">
        <v>0.93275520000000001</v>
      </c>
      <c r="AB3909">
        <v>23</v>
      </c>
      <c r="AC3909">
        <v>30.857800000000001</v>
      </c>
      <c r="AD3909">
        <v>-1.11728022729</v>
      </c>
      <c r="AE3909">
        <v>-4.0494000000000199</v>
      </c>
      <c r="AF3909">
        <v>-11.263525448976299</v>
      </c>
      <c r="AG3909">
        <v>-1.11728022729</v>
      </c>
      <c r="AH3909">
        <v>28.969684906494798</v>
      </c>
      <c r="AI3909">
        <v>92.058659823140502</v>
      </c>
      <c r="AJ3909">
        <v>111.246273814646</v>
      </c>
      <c r="AK3909">
        <v>31.102378755130999</v>
      </c>
      <c r="AL3909">
        <v>80.756302168827006</v>
      </c>
      <c r="AM3909">
        <v>101.967767506117</v>
      </c>
      <c r="AN3909">
        <v>0.99999999158322495</v>
      </c>
    </row>
    <row r="3910" spans="1:40" x14ac:dyDescent="0.25">
      <c r="A3910" t="str">
        <f>"20190304154830601"</f>
        <v>20190304154830601</v>
      </c>
      <c r="B3910" t="str">
        <f>"1551685710590423"</f>
        <v>1551685710590423</v>
      </c>
      <c r="C3910" t="s">
        <v>40</v>
      </c>
      <c r="D3910">
        <v>4.2604369999999996</v>
      </c>
      <c r="E3910">
        <v>0.43516500000000002</v>
      </c>
      <c r="F3910" t="s">
        <v>60</v>
      </c>
      <c r="G3910">
        <v>-447.84370000000001</v>
      </c>
      <c r="H3910" s="1">
        <v>2.6520260000000001E-6</v>
      </c>
      <c r="I3910">
        <v>214.27760000000001</v>
      </c>
      <c r="J3910">
        <v>-481.21749999999997</v>
      </c>
      <c r="K3910">
        <v>1.1171979999999999</v>
      </c>
      <c r="L3910">
        <v>218.36689999999999</v>
      </c>
      <c r="M3910">
        <v>0.88240189999999996</v>
      </c>
      <c r="N3910">
        <v>-1.213971E-2</v>
      </c>
      <c r="O3910">
        <v>-0.47034009999999998</v>
      </c>
      <c r="P3910">
        <v>0.94877829999999996</v>
      </c>
      <c r="Q3910">
        <v>0.15322349999999901</v>
      </c>
      <c r="R3910">
        <v>-0.276302299999999</v>
      </c>
      <c r="S3910">
        <v>3.0727540000000002</v>
      </c>
      <c r="T3910">
        <v>-0.10223939999999999</v>
      </c>
      <c r="U3910">
        <v>-0.38311770000000001</v>
      </c>
      <c r="V3910">
        <v>-0.2051519</v>
      </c>
      <c r="W3910">
        <v>0.16158689999999901</v>
      </c>
      <c r="X3910">
        <v>0.96529909999999997</v>
      </c>
      <c r="Y3910">
        <v>-0.35723329999999998</v>
      </c>
      <c r="Z3910">
        <v>1.7175940000000001E-2</v>
      </c>
      <c r="AA3910">
        <v>0.9338573</v>
      </c>
      <c r="AB3910">
        <v>23</v>
      </c>
      <c r="AC3910">
        <v>33.373799999999903</v>
      </c>
      <c r="AD3910">
        <v>-1.117195347974</v>
      </c>
      <c r="AE3910">
        <v>-4.0892999999999802</v>
      </c>
      <c r="AF3910">
        <v>-12.0761871252946</v>
      </c>
      <c r="AG3910">
        <v>-1.117195347974</v>
      </c>
      <c r="AH3910">
        <v>31.340173616705702</v>
      </c>
      <c r="AI3910">
        <v>91.905150339419095</v>
      </c>
      <c r="AJ3910">
        <v>111.07297641874101</v>
      </c>
      <c r="AK3910">
        <v>33.604894037266703</v>
      </c>
      <c r="AL3910">
        <v>80.7009823295204</v>
      </c>
      <c r="AM3910">
        <v>101.998366850341</v>
      </c>
      <c r="AN3910">
        <v>0.99999999039301501</v>
      </c>
    </row>
    <row r="3911" spans="1:40" x14ac:dyDescent="0.25">
      <c r="A3911" t="str">
        <f>"20190304154830622"</f>
        <v>20190304154830622</v>
      </c>
      <c r="B3911" t="str">
        <f>"1551685710610919"</f>
        <v>1551685710610919</v>
      </c>
      <c r="C3911" t="s">
        <v>40</v>
      </c>
      <c r="D3911">
        <v>4.3192459999999997</v>
      </c>
      <c r="E3911">
        <v>0.43581370000000003</v>
      </c>
      <c r="F3911" t="s">
        <v>60</v>
      </c>
      <c r="G3911">
        <v>-446.50450000000001</v>
      </c>
      <c r="H3911" s="1">
        <v>1.9372170000000001E-6</v>
      </c>
      <c r="I3911">
        <v>214.32740000000001</v>
      </c>
      <c r="J3911">
        <v>-481.02170000000001</v>
      </c>
      <c r="K3911">
        <v>1.11711</v>
      </c>
      <c r="L3911">
        <v>218.2765</v>
      </c>
      <c r="M3911">
        <v>0.88744129999999999</v>
      </c>
      <c r="N3911">
        <v>-1.2121130000000001E-2</v>
      </c>
      <c r="O3911">
        <v>-0.46076129999999998</v>
      </c>
      <c r="P3911">
        <v>0.95187960000000005</v>
      </c>
      <c r="Q3911">
        <v>0.1527714</v>
      </c>
      <c r="R3911">
        <v>-0.26568009999999997</v>
      </c>
      <c r="S3911">
        <v>3.0737920000000001</v>
      </c>
      <c r="T3911">
        <v>-9.8926420000000001E-2</v>
      </c>
      <c r="U3911">
        <v>-0.35769649999999997</v>
      </c>
      <c r="V3911">
        <v>-0.20548420000000001</v>
      </c>
      <c r="W3911">
        <v>0.16115450000000001</v>
      </c>
      <c r="X3911">
        <v>0.96530070000000001</v>
      </c>
      <c r="Y3911">
        <v>-0.3548</v>
      </c>
      <c r="Z3911">
        <v>1.6315969999999999E-2</v>
      </c>
      <c r="AA3911">
        <v>0.93479979999999996</v>
      </c>
      <c r="AB3911">
        <v>23</v>
      </c>
      <c r="AC3911">
        <v>34.517200000000003</v>
      </c>
      <c r="AD3911">
        <v>-1.1171080627829999</v>
      </c>
      <c r="AE3911">
        <v>-3.9490999999999801</v>
      </c>
      <c r="AF3911">
        <v>-12.3876993184986</v>
      </c>
      <c r="AG3911">
        <v>-1.1171080627829999</v>
      </c>
      <c r="AH3911">
        <v>32.420447200957703</v>
      </c>
      <c r="AI3911">
        <v>91.843559694947402</v>
      </c>
      <c r="AJ3911">
        <v>110.911619884738</v>
      </c>
      <c r="AK3911">
        <v>34.7244643088925</v>
      </c>
      <c r="AL3911">
        <v>80.726085990681696</v>
      </c>
      <c r="AM3911">
        <v>102.017217632615</v>
      </c>
      <c r="AN3911">
        <v>0.99999998537018897</v>
      </c>
    </row>
    <row r="3912" spans="1:40" x14ac:dyDescent="0.25">
      <c r="A3912" t="str">
        <f>"20190304154830645"</f>
        <v>20190304154830645</v>
      </c>
      <c r="B3912" t="str">
        <f>"1551685710640200"</f>
        <v>1551685710640200</v>
      </c>
      <c r="C3912" t="s">
        <v>40</v>
      </c>
      <c r="D3912">
        <v>4.4782060000000001</v>
      </c>
      <c r="E3912">
        <v>0.4441138</v>
      </c>
      <c r="F3912" t="s">
        <v>60</v>
      </c>
      <c r="G3912">
        <v>-447.88170000000002</v>
      </c>
      <c r="H3912" s="1">
        <v>2.652346E-6</v>
      </c>
      <c r="I3912">
        <v>214.73330000000001</v>
      </c>
      <c r="J3912">
        <v>-480.82670000000002</v>
      </c>
      <c r="K3912">
        <v>1.116995</v>
      </c>
      <c r="L3912">
        <v>218.18879999999999</v>
      </c>
      <c r="M3912">
        <v>0.89225059999999901</v>
      </c>
      <c r="N3912">
        <v>-1.209847E-2</v>
      </c>
      <c r="O3912">
        <v>-0.45137870000000002</v>
      </c>
      <c r="P3912">
        <v>0.95464090000000001</v>
      </c>
      <c r="Q3912">
        <v>0.152613</v>
      </c>
      <c r="R3912">
        <v>-0.25567669999999998</v>
      </c>
      <c r="S3912">
        <v>3.0765690000000001</v>
      </c>
      <c r="T3912">
        <v>-0.1037073</v>
      </c>
      <c r="U3912">
        <v>-0.3289337</v>
      </c>
      <c r="V3912">
        <v>-0.20540240000000001</v>
      </c>
      <c r="W3912">
        <v>0.1610279</v>
      </c>
      <c r="X3912">
        <v>0.96533919999999995</v>
      </c>
      <c r="Y3912">
        <v>-0.35363919999999999</v>
      </c>
      <c r="Z3912">
        <v>1.7101539999999998E-2</v>
      </c>
      <c r="AA3912">
        <v>0.93522550000000004</v>
      </c>
      <c r="AB3912">
        <v>23</v>
      </c>
      <c r="AC3912">
        <v>32.944999999999901</v>
      </c>
      <c r="AD3912">
        <v>-1.116992347654</v>
      </c>
      <c r="AE3912">
        <v>-3.45549999999997</v>
      </c>
      <c r="AF3912">
        <v>-11.774972279227001</v>
      </c>
      <c r="AG3912">
        <v>-1.116992347654</v>
      </c>
      <c r="AH3912">
        <v>30.922038075136001</v>
      </c>
      <c r="AI3912">
        <v>91.933464028837193</v>
      </c>
      <c r="AJ3912">
        <v>110.846607079653</v>
      </c>
      <c r="AK3912">
        <v>33.106949161791498</v>
      </c>
      <c r="AL3912">
        <v>80.733435302863498</v>
      </c>
      <c r="AM3912">
        <v>102.012107583268</v>
      </c>
      <c r="AN3912">
        <v>0.99999995078040305</v>
      </c>
    </row>
    <row r="3913" spans="1:40" x14ac:dyDescent="0.25">
      <c r="A3913" t="str">
        <f>"20190304154830666"</f>
        <v>20190304154830666</v>
      </c>
      <c r="B3913" t="str">
        <f>"1551685710660695"</f>
        <v>1551685710660695</v>
      </c>
      <c r="C3913" t="s">
        <v>40</v>
      </c>
      <c r="D3913">
        <v>4.32822</v>
      </c>
      <c r="E3913">
        <v>0.44625280000000001</v>
      </c>
      <c r="F3913" t="s">
        <v>60</v>
      </c>
      <c r="G3913">
        <v>-452.1071</v>
      </c>
      <c r="H3913" s="1">
        <v>-4.2359440000000002E-7</v>
      </c>
      <c r="I3913">
        <v>214.8013</v>
      </c>
      <c r="J3913">
        <v>-480.6232</v>
      </c>
      <c r="K3913">
        <v>1.1168640000000001</v>
      </c>
      <c r="L3913">
        <v>218.09960000000001</v>
      </c>
      <c r="M3913">
        <v>0.89704130000000004</v>
      </c>
      <c r="N3913">
        <v>-1.2069949999999999E-2</v>
      </c>
      <c r="O3913">
        <v>-0.44178210000000001</v>
      </c>
      <c r="P3913">
        <v>0.9571075</v>
      </c>
      <c r="Q3913">
        <v>0.15320149999999999</v>
      </c>
      <c r="R3913">
        <v>-0.245916</v>
      </c>
      <c r="S3913">
        <v>3.0647579999999999</v>
      </c>
      <c r="T3913">
        <v>-0.1191981</v>
      </c>
      <c r="U3913">
        <v>-0.36149599999999998</v>
      </c>
      <c r="V3913">
        <v>-0.20481779999999999</v>
      </c>
      <c r="W3913">
        <v>0.16166510000000001</v>
      </c>
      <c r="X3913">
        <v>0.96535689999999996</v>
      </c>
      <c r="Y3913">
        <v>-0.33322980000000002</v>
      </c>
      <c r="Z3913">
        <v>1.952547E-2</v>
      </c>
      <c r="AA3913">
        <v>0.94264340000000002</v>
      </c>
      <c r="AB3913">
        <v>23</v>
      </c>
      <c r="AC3913">
        <v>28.516099999999899</v>
      </c>
      <c r="AD3913">
        <v>-1.1168644235944001</v>
      </c>
      <c r="AE3913">
        <v>-3.29830000000001</v>
      </c>
      <c r="AF3913">
        <v>-9.6253223030511297</v>
      </c>
      <c r="AG3913">
        <v>-1.1168644235944001</v>
      </c>
      <c r="AH3913">
        <v>26.998347979007299</v>
      </c>
      <c r="AI3913">
        <v>92.231435921968099</v>
      </c>
      <c r="AJ3913">
        <v>109.621925370545</v>
      </c>
      <c r="AK3913">
        <v>28.6845778977811</v>
      </c>
      <c r="AL3913">
        <v>80.696441632650604</v>
      </c>
      <c r="AM3913">
        <v>101.978695311667</v>
      </c>
      <c r="AN3913">
        <v>0.99999994006622805</v>
      </c>
    </row>
    <row r="3914" spans="1:40" x14ac:dyDescent="0.25">
      <c r="A3914" t="str">
        <f>"20190304154830689"</f>
        <v>20190304154830689</v>
      </c>
      <c r="B3914" t="str">
        <f>"1551685710680215"</f>
        <v>1551685710680215</v>
      </c>
      <c r="C3914" t="s">
        <v>40</v>
      </c>
      <c r="D3914">
        <v>4.322514</v>
      </c>
      <c r="E3914">
        <v>0.44817099999999999</v>
      </c>
      <c r="F3914" t="s">
        <v>60</v>
      </c>
      <c r="G3914">
        <v>-452.80579999999998</v>
      </c>
      <c r="H3914" s="1">
        <v>-5.7942970000000002E-8</v>
      </c>
      <c r="I3914">
        <v>214.94290000000001</v>
      </c>
      <c r="J3914">
        <v>-480.4135</v>
      </c>
      <c r="K3914">
        <v>1.1166940000000001</v>
      </c>
      <c r="L3914">
        <v>218.01</v>
      </c>
      <c r="M3914">
        <v>0.90173300000000001</v>
      </c>
      <c r="N3914">
        <v>-1.20366E-2</v>
      </c>
      <c r="O3914">
        <v>-0.4321257</v>
      </c>
      <c r="P3914">
        <v>0.95958750000000004</v>
      </c>
      <c r="Q3914">
        <v>0.15371319999999999</v>
      </c>
      <c r="R3914">
        <v>-0.2357206</v>
      </c>
      <c r="S3914">
        <v>3.0648499999999999</v>
      </c>
      <c r="T3914">
        <v>-0.12305339999999999</v>
      </c>
      <c r="U3914">
        <v>-0.34779359999999998</v>
      </c>
      <c r="V3914">
        <v>-0.20462920000000001</v>
      </c>
      <c r="W3914">
        <v>0.16222879999999901</v>
      </c>
      <c r="X3914">
        <v>0.9653024</v>
      </c>
      <c r="Y3914">
        <v>-0.32723920000000001</v>
      </c>
      <c r="Z3914">
        <v>1.9909969999999999E-2</v>
      </c>
      <c r="AA3914">
        <v>0.94473180000000001</v>
      </c>
      <c r="AB3914">
        <v>23</v>
      </c>
      <c r="AC3914">
        <v>27.607700000000001</v>
      </c>
      <c r="AD3914">
        <v>-1.1166940579429701</v>
      </c>
      <c r="AE3914">
        <v>-3.06709999999998</v>
      </c>
      <c r="AF3914">
        <v>-9.1501677708210796</v>
      </c>
      <c r="AG3914">
        <v>-1.1166940579429701</v>
      </c>
      <c r="AH3914">
        <v>26.179737455805899</v>
      </c>
      <c r="AI3914">
        <v>92.305842748011997</v>
      </c>
      <c r="AJ3914">
        <v>109.265202429322</v>
      </c>
      <c r="AK3914">
        <v>27.755201838721099</v>
      </c>
      <c r="AL3914">
        <v>80.663712592196603</v>
      </c>
      <c r="AM3914">
        <v>101.968639515682</v>
      </c>
      <c r="AN3914">
        <v>1.00000000824392</v>
      </c>
    </row>
    <row r="3915" spans="1:40" x14ac:dyDescent="0.25">
      <c r="A3915" t="str">
        <f>"20190304154830711"</f>
        <v>20190304154830711</v>
      </c>
      <c r="B3915" t="str">
        <f>"1551685710700711"</f>
        <v>1551685710700711</v>
      </c>
      <c r="C3915" t="s">
        <v>40</v>
      </c>
      <c r="D3915">
        <v>4.3139830000000003</v>
      </c>
      <c r="E3915">
        <v>0.44899529999999899</v>
      </c>
      <c r="F3915" t="s">
        <v>60</v>
      </c>
      <c r="G3915">
        <v>-452.75670000000002</v>
      </c>
      <c r="H3915" s="1">
        <v>-8.7486850000000006E-8</v>
      </c>
      <c r="I3915">
        <v>215.02080000000001</v>
      </c>
      <c r="J3915">
        <v>-480.21300000000002</v>
      </c>
      <c r="K3915">
        <v>1.1165149999999999</v>
      </c>
      <c r="L3915">
        <v>217.9264</v>
      </c>
      <c r="M3915">
        <v>0.90598369999999995</v>
      </c>
      <c r="N3915">
        <v>-1.1996730000000001E-2</v>
      </c>
      <c r="O3915">
        <v>-0.42314269999999998</v>
      </c>
      <c r="P3915">
        <v>0.96168659999999995</v>
      </c>
      <c r="Q3915">
        <v>0.15378249999999999</v>
      </c>
      <c r="R3915">
        <v>-0.2269581</v>
      </c>
      <c r="S3915">
        <v>3.064819</v>
      </c>
      <c r="T3915">
        <v>-0.1237477</v>
      </c>
      <c r="U3915">
        <v>-0.33125310000000002</v>
      </c>
      <c r="V3915">
        <v>-0.2037629</v>
      </c>
      <c r="W3915">
        <v>0.1623638</v>
      </c>
      <c r="X3915">
        <v>0.96546290000000001</v>
      </c>
      <c r="Y3915">
        <v>-0.32288169999999999</v>
      </c>
      <c r="Z3915">
        <v>1.9739219999999998E-2</v>
      </c>
      <c r="AA3915">
        <v>0.94623349999999995</v>
      </c>
      <c r="AB3915">
        <v>23</v>
      </c>
      <c r="AC3915">
        <v>27.456299999999999</v>
      </c>
      <c r="AD3915">
        <v>-1.1165150874868499</v>
      </c>
      <c r="AE3915">
        <v>-2.90559999999999</v>
      </c>
      <c r="AF3915">
        <v>-8.9714813261475204</v>
      </c>
      <c r="AG3915">
        <v>-1.1165150874868499</v>
      </c>
      <c r="AH3915">
        <v>26.0636976377934</v>
      </c>
      <c r="AI3915">
        <v>92.319525483907</v>
      </c>
      <c r="AJ3915">
        <v>108.99416391465</v>
      </c>
      <c r="AK3915">
        <v>27.587142252874202</v>
      </c>
      <c r="AL3915">
        <v>80.655873347299305</v>
      </c>
      <c r="AM3915">
        <v>101.91749755234601</v>
      </c>
      <c r="AN3915">
        <v>0.99999996712162897</v>
      </c>
    </row>
    <row r="3916" spans="1:40" x14ac:dyDescent="0.25">
      <c r="A3916" t="str">
        <f>"20190304154830734"</f>
        <v>20190304154830734</v>
      </c>
      <c r="B3916" t="str">
        <f>"1551685710730967"</f>
        <v>1551685710730967</v>
      </c>
      <c r="C3916" t="s">
        <v>40</v>
      </c>
      <c r="D3916">
        <v>4.2968089999999997</v>
      </c>
      <c r="E3916">
        <v>0.46001120000000001</v>
      </c>
      <c r="F3916" t="s">
        <v>60</v>
      </c>
      <c r="G3916">
        <v>-452.75080000000003</v>
      </c>
      <c r="H3916" s="1">
        <v>-9.6113689999999997E-8</v>
      </c>
      <c r="I3916">
        <v>215.14570000000001</v>
      </c>
      <c r="J3916">
        <v>-480.00729999999999</v>
      </c>
      <c r="K3916">
        <v>1.1163069999999999</v>
      </c>
      <c r="L3916">
        <v>217.84280000000001</v>
      </c>
      <c r="M3916">
        <v>0.91009260000000003</v>
      </c>
      <c r="N3916">
        <v>-1.194717E-2</v>
      </c>
      <c r="O3916">
        <v>-0.41423280000000001</v>
      </c>
      <c r="P3916">
        <v>0.96365559999999995</v>
      </c>
      <c r="Q3916">
        <v>0.1540715</v>
      </c>
      <c r="R3916">
        <v>-0.21824379999999999</v>
      </c>
      <c r="S3916">
        <v>3.0662229999999999</v>
      </c>
      <c r="T3916">
        <v>-0.1246613</v>
      </c>
      <c r="U3916">
        <v>-0.31047059999999999</v>
      </c>
      <c r="V3916">
        <v>-0.20293140000000001</v>
      </c>
      <c r="W3916">
        <v>0.1627181</v>
      </c>
      <c r="X3916">
        <v>0.96557839999999995</v>
      </c>
      <c r="Y3916">
        <v>-0.31998219999999999</v>
      </c>
      <c r="Z3916">
        <v>1.9635199999999998E-2</v>
      </c>
      <c r="AA3916">
        <v>0.94721999999999995</v>
      </c>
      <c r="AB3916">
        <v>23</v>
      </c>
      <c r="AC3916">
        <v>27.2564999999999</v>
      </c>
      <c r="AD3916">
        <v>-1.1163070961136801</v>
      </c>
      <c r="AE3916">
        <v>-2.6970999999999998</v>
      </c>
      <c r="AF3916">
        <v>-8.8219017879116404</v>
      </c>
      <c r="AG3916">
        <v>-1.1163070961136801</v>
      </c>
      <c r="AH3916">
        <v>25.882022768822999</v>
      </c>
      <c r="AI3916">
        <v>92.337760765877604</v>
      </c>
      <c r="AJ3916">
        <v>108.821705228686</v>
      </c>
      <c r="AK3916">
        <v>27.366972709714599</v>
      </c>
      <c r="AL3916">
        <v>80.635300076313698</v>
      </c>
      <c r="AM3916">
        <v>101.86886830196801</v>
      </c>
      <c r="AN3916">
        <v>0.999999989860065</v>
      </c>
    </row>
    <row r="3917" spans="1:40" x14ac:dyDescent="0.25">
      <c r="A3917" t="str">
        <f>"20190304154830756"</f>
        <v>20190304154830756</v>
      </c>
      <c r="B3917" t="str">
        <f>"1551685710750487"</f>
        <v>1551685710750487</v>
      </c>
      <c r="C3917" t="s">
        <v>40</v>
      </c>
      <c r="D3917">
        <v>4.305294</v>
      </c>
      <c r="E3917">
        <v>0.46211479999999999</v>
      </c>
      <c r="F3917" t="s">
        <v>60</v>
      </c>
      <c r="G3917">
        <v>-452.8809</v>
      </c>
      <c r="H3917" s="1">
        <v>-1.1585020000000001E-9</v>
      </c>
      <c r="I3917">
        <v>214.55789999999999</v>
      </c>
      <c r="J3917">
        <v>-479.80119999999999</v>
      </c>
      <c r="K3917">
        <v>1.1160920000000001</v>
      </c>
      <c r="L3917">
        <v>217.7611</v>
      </c>
      <c r="M3917">
        <v>0.91396889999999997</v>
      </c>
      <c r="N3917">
        <v>-1.1895599999999999E-2</v>
      </c>
      <c r="O3917">
        <v>-0.40561000000000003</v>
      </c>
      <c r="P3917">
        <v>0.96543350000000006</v>
      </c>
      <c r="Q3917">
        <v>0.1545308</v>
      </c>
      <c r="R3917">
        <v>-0.20990139999999999</v>
      </c>
      <c r="S3917">
        <v>3.0495299999999999</v>
      </c>
      <c r="T3917">
        <v>-0.12549460000000001</v>
      </c>
      <c r="U3917">
        <v>-0.36929319999999999</v>
      </c>
      <c r="V3917">
        <v>-0.20204420000000001</v>
      </c>
      <c r="W3917">
        <v>0.1632431</v>
      </c>
      <c r="X3917">
        <v>0.96567579999999997</v>
      </c>
      <c r="Y3917">
        <v>-0.29234939999999998</v>
      </c>
      <c r="Z3917">
        <v>1.894347E-2</v>
      </c>
      <c r="AA3917">
        <v>0.95612390000000003</v>
      </c>
      <c r="AB3917">
        <v>23</v>
      </c>
      <c r="AC3917">
        <v>26.920300000000001</v>
      </c>
      <c r="AD3917">
        <v>-1.1160920011585</v>
      </c>
      <c r="AE3917">
        <v>-3.2031999999999998</v>
      </c>
      <c r="AF3917">
        <v>-7.9785601108129498</v>
      </c>
      <c r="AG3917">
        <v>-1.1160920011585</v>
      </c>
      <c r="AH3917">
        <v>25.861566417558699</v>
      </c>
      <c r="AI3917">
        <v>92.361453054397103</v>
      </c>
      <c r="AJ3917">
        <v>107.145534225465</v>
      </c>
      <c r="AK3917">
        <v>27.087334685544501</v>
      </c>
      <c r="AL3917">
        <v>80.604811858520506</v>
      </c>
      <c r="AM3917">
        <v>101.817282481882</v>
      </c>
      <c r="AN3917">
        <v>0.99999995957844401</v>
      </c>
    </row>
    <row r="3918" spans="1:40" x14ac:dyDescent="0.25">
      <c r="A3918" t="str">
        <f>"20190304154830781"</f>
        <v>20190304154830781</v>
      </c>
      <c r="B3918" t="str">
        <f>"1551685710770983"</f>
        <v>1551685710770983</v>
      </c>
      <c r="C3918" t="s">
        <v>40</v>
      </c>
      <c r="D3918">
        <v>4.3152520000000001</v>
      </c>
      <c r="E3918">
        <v>0.4631112</v>
      </c>
      <c r="F3918" t="s">
        <v>60</v>
      </c>
      <c r="G3918">
        <v>-452.81580000000002</v>
      </c>
      <c r="H3918" s="1">
        <v>-3.6073080000000001E-8</v>
      </c>
      <c r="I3918">
        <v>214.56360000000001</v>
      </c>
      <c r="J3918">
        <v>-479.5659</v>
      </c>
      <c r="K3918">
        <v>1.1158809999999999</v>
      </c>
      <c r="L3918">
        <v>217.66990000000001</v>
      </c>
      <c r="M3918">
        <v>0.91814229999999997</v>
      </c>
      <c r="N3918">
        <v>-1.1840069999999999E-2</v>
      </c>
      <c r="O3918">
        <v>-0.39607419999999999</v>
      </c>
      <c r="P3918">
        <v>0.96746120000000002</v>
      </c>
      <c r="Q3918">
        <v>0.1532801</v>
      </c>
      <c r="R3918">
        <v>-0.2013054</v>
      </c>
      <c r="S3918">
        <v>3.049042</v>
      </c>
      <c r="T3918">
        <v>-0.12610539999999901</v>
      </c>
      <c r="U3918">
        <v>-0.3612823</v>
      </c>
      <c r="V3918">
        <v>-0.20055700000000001</v>
      </c>
      <c r="W3918">
        <v>0.1620655</v>
      </c>
      <c r="X3918">
        <v>0.96618409999999999</v>
      </c>
      <c r="Y3918">
        <v>-0.2848502</v>
      </c>
      <c r="Z3918">
        <v>1.863654E-2</v>
      </c>
      <c r="AA3918">
        <v>0.95839090000000005</v>
      </c>
      <c r="AB3918">
        <v>23</v>
      </c>
      <c r="AC3918">
        <v>26.7500999999999</v>
      </c>
      <c r="AD3918">
        <v>-1.11588103607308</v>
      </c>
      <c r="AE3918">
        <v>-3.1063000000000001</v>
      </c>
      <c r="AF3918">
        <v>-7.7302680894525198</v>
      </c>
      <c r="AG3918">
        <v>-1.11588103607308</v>
      </c>
      <c r="AH3918">
        <v>25.748318843757499</v>
      </c>
      <c r="AI3918">
        <v>92.376853248639307</v>
      </c>
      <c r="AJ3918">
        <v>106.711027877753</v>
      </c>
      <c r="AK3918">
        <v>26.906842224632602</v>
      </c>
      <c r="AL3918">
        <v>80.673194635868199</v>
      </c>
      <c r="AM3918">
        <v>101.72671663085001</v>
      </c>
      <c r="AN3918">
        <v>1.00000002581602</v>
      </c>
    </row>
    <row r="3919" spans="1:40" x14ac:dyDescent="0.25">
      <c r="A3919" t="str">
        <f>"20190304154830803"</f>
        <v>20190304154830803</v>
      </c>
      <c r="B3919" t="str">
        <f>"1551685710800265"</f>
        <v>1551685710800265</v>
      </c>
      <c r="C3919" t="s">
        <v>40</v>
      </c>
      <c r="D3919">
        <v>4.3229899999999999</v>
      </c>
      <c r="E3919">
        <v>0.47316380000000002</v>
      </c>
      <c r="F3919" t="s">
        <v>60</v>
      </c>
      <c r="G3919">
        <v>-453.8032</v>
      </c>
      <c r="H3919" s="1">
        <v>4.8007030000000001E-7</v>
      </c>
      <c r="I3919">
        <v>214.77719999999999</v>
      </c>
      <c r="J3919">
        <v>-479.3646</v>
      </c>
      <c r="K3919">
        <v>1.115721</v>
      </c>
      <c r="L3919">
        <v>217.59379999999999</v>
      </c>
      <c r="M3919">
        <v>0.92150889999999996</v>
      </c>
      <c r="N3919">
        <v>-1.1795409999999999E-2</v>
      </c>
      <c r="O3919">
        <v>-0.38817810000000003</v>
      </c>
      <c r="P3919">
        <v>0.96873549999999997</v>
      </c>
      <c r="Q3919">
        <v>0.15312490000000001</v>
      </c>
      <c r="R3919">
        <v>-0.19520380000000001</v>
      </c>
      <c r="S3919">
        <v>3.0505979999999999</v>
      </c>
      <c r="T3919">
        <v>-0.13213320000000001</v>
      </c>
      <c r="U3919">
        <v>-0.34252929999999998</v>
      </c>
      <c r="V3919">
        <v>-0.1982921</v>
      </c>
      <c r="W3919">
        <v>0.16197890000000001</v>
      </c>
      <c r="X3919">
        <v>0.96666600000000003</v>
      </c>
      <c r="Y3919">
        <v>-0.28244979999999997</v>
      </c>
      <c r="Z3919">
        <v>1.9407009999999999E-2</v>
      </c>
      <c r="AA3919">
        <v>0.95908579999999999</v>
      </c>
      <c r="AB3919">
        <v>23</v>
      </c>
      <c r="AC3919">
        <v>25.5613999999999</v>
      </c>
      <c r="AD3919">
        <v>-1.1157205199297</v>
      </c>
      <c r="AE3919">
        <v>-2.81659999999999</v>
      </c>
      <c r="AF3919">
        <v>-7.3135966457455002</v>
      </c>
      <c r="AG3919">
        <v>-1.1157205199297</v>
      </c>
      <c r="AH3919">
        <v>24.6038016796664</v>
      </c>
      <c r="AI3919">
        <v>92.488950000551696</v>
      </c>
      <c r="AJ3919">
        <v>106.55483095533501</v>
      </c>
      <c r="AK3919">
        <v>25.692033498102202</v>
      </c>
      <c r="AL3919">
        <v>80.678223005021593</v>
      </c>
      <c r="AM3919">
        <v>101.59226860306499</v>
      </c>
      <c r="AN3919">
        <v>1.0000000382618</v>
      </c>
    </row>
    <row r="3920" spans="1:40" x14ac:dyDescent="0.25">
      <c r="A3920" t="str">
        <f>"20190304154830824"</f>
        <v>20190304154830824</v>
      </c>
      <c r="B3920" t="str">
        <f>"1551685710820759"</f>
        <v>1551685710820759</v>
      </c>
      <c r="C3920" t="s">
        <v>40</v>
      </c>
      <c r="D3920">
        <v>4.2869279999999996</v>
      </c>
      <c r="E3920">
        <v>0.47386129999999999</v>
      </c>
      <c r="F3920" t="s">
        <v>60</v>
      </c>
      <c r="G3920">
        <v>-454.49849999999998</v>
      </c>
      <c r="H3920" s="1">
        <v>8.7067999999999996E-7</v>
      </c>
      <c r="I3920">
        <v>214.30529999999999</v>
      </c>
      <c r="J3920">
        <v>-479.15679999999998</v>
      </c>
      <c r="K3920">
        <v>1.115558</v>
      </c>
      <c r="L3920">
        <v>217.51689999999999</v>
      </c>
      <c r="M3920">
        <v>0.92478780000000005</v>
      </c>
      <c r="N3920">
        <v>-1.174945E-2</v>
      </c>
      <c r="O3920">
        <v>-0.38030209999999998</v>
      </c>
      <c r="P3920">
        <v>0.96989979999999998</v>
      </c>
      <c r="Q3920">
        <v>0.15426589999999901</v>
      </c>
      <c r="R3920">
        <v>-0.18840560000000001</v>
      </c>
      <c r="S3920">
        <v>3.0374150000000002</v>
      </c>
      <c r="T3920">
        <v>-0.13628589999999999</v>
      </c>
      <c r="U3920">
        <v>-0.40168759999999998</v>
      </c>
      <c r="V3920">
        <v>-0.19670199999999999</v>
      </c>
      <c r="W3920">
        <v>0.16317400000000001</v>
      </c>
      <c r="X3920">
        <v>0.96678980000000003</v>
      </c>
      <c r="Y3920">
        <v>-0.25529239999999997</v>
      </c>
      <c r="Z3920">
        <v>1.918926E-2</v>
      </c>
      <c r="AA3920">
        <v>0.96667349999999996</v>
      </c>
      <c r="AB3920">
        <v>23</v>
      </c>
      <c r="AC3920">
        <v>24.658300000000001</v>
      </c>
      <c r="AD3920">
        <v>-1.11555712932</v>
      </c>
      <c r="AE3920">
        <v>-3.2115999999999998</v>
      </c>
      <c r="AF3920">
        <v>-6.3951257534187604</v>
      </c>
      <c r="AG3920">
        <v>-1.11555712932</v>
      </c>
      <c r="AH3920">
        <v>23.9784707241846</v>
      </c>
      <c r="AI3920">
        <v>92.573828036468896</v>
      </c>
      <c r="AJ3920">
        <v>104.933351053729</v>
      </c>
      <c r="AK3920">
        <v>24.841681895181701</v>
      </c>
      <c r="AL3920">
        <v>80.608824943124404</v>
      </c>
      <c r="AM3920">
        <v>101.50036376513</v>
      </c>
      <c r="AN3920">
        <v>0.99999997423201903</v>
      </c>
    </row>
    <row r="3921" spans="1:40" x14ac:dyDescent="0.25">
      <c r="A3921" t="str">
        <f>"20190304154830845"</f>
        <v>20190304154830845</v>
      </c>
      <c r="B3921" t="str">
        <f>"1551685710840280"</f>
        <v>1551685710840280</v>
      </c>
      <c r="C3921" t="s">
        <v>40</v>
      </c>
      <c r="D3921">
        <v>4.3435269999999999</v>
      </c>
      <c r="E3921">
        <v>0.47347240000000002</v>
      </c>
      <c r="F3921" t="s">
        <v>60</v>
      </c>
      <c r="G3921">
        <v>-452.78910000000002</v>
      </c>
      <c r="H3921" s="1">
        <v>-3.2873570000000002E-8</v>
      </c>
      <c r="I3921">
        <v>214.16540000000001</v>
      </c>
      <c r="J3921">
        <v>-478.96440000000001</v>
      </c>
      <c r="K3921">
        <v>1.1153999999999999</v>
      </c>
      <c r="L3921">
        <v>217.44720000000001</v>
      </c>
      <c r="M3921">
        <v>0.92765089999999994</v>
      </c>
      <c r="N3921">
        <v>-1.1705760000000001E-2</v>
      </c>
      <c r="O3921">
        <v>-0.37326490000000001</v>
      </c>
      <c r="P3921">
        <v>0.97094429999999998</v>
      </c>
      <c r="Q3921">
        <v>0.15480769999999999</v>
      </c>
      <c r="R3921">
        <v>-0.1824887</v>
      </c>
      <c r="S3921">
        <v>3.038513</v>
      </c>
      <c r="T3921">
        <v>-0.12855269999999999</v>
      </c>
      <c r="U3921">
        <v>-0.38621519999999998</v>
      </c>
      <c r="V3921">
        <v>-0.19516</v>
      </c>
      <c r="W3921">
        <v>0.1637691</v>
      </c>
      <c r="X3921">
        <v>0.96700169999999996</v>
      </c>
      <c r="Y3921">
        <v>-0.25289669999999997</v>
      </c>
      <c r="Z3921">
        <v>1.7689880000000002E-2</v>
      </c>
      <c r="AA3921">
        <v>0.96733150000000001</v>
      </c>
      <c r="AB3921">
        <v>23</v>
      </c>
      <c r="AC3921">
        <v>26.1753</v>
      </c>
      <c r="AD3921">
        <v>-1.11540003287357</v>
      </c>
      <c r="AE3921">
        <v>-3.2818000000000001</v>
      </c>
      <c r="AF3921">
        <v>-6.7144135796756803</v>
      </c>
      <c r="AG3921">
        <v>-1.11540003287357</v>
      </c>
      <c r="AH3921">
        <v>25.462749532330498</v>
      </c>
      <c r="AI3921">
        <v>92.425441987592706</v>
      </c>
      <c r="AJ3921">
        <v>104.772368890295</v>
      </c>
      <c r="AK3921">
        <v>26.356765368657602</v>
      </c>
      <c r="AL3921">
        <v>80.574263696747096</v>
      </c>
      <c r="AM3921">
        <v>101.410148787411</v>
      </c>
      <c r="AN3921">
        <v>1.00000001575884</v>
      </c>
    </row>
    <row r="3922" spans="1:40" x14ac:dyDescent="0.25">
      <c r="A3922" t="str">
        <f>"20190304154830867"</f>
        <v>20190304154830867</v>
      </c>
      <c r="B3922" t="str">
        <f>"1551685710860776"</f>
        <v>1551685710860776</v>
      </c>
      <c r="C3922" t="s">
        <v>40</v>
      </c>
      <c r="D3922">
        <v>4.360233</v>
      </c>
      <c r="E3922">
        <v>0.47383180000000003</v>
      </c>
      <c r="F3922" t="s">
        <v>60</v>
      </c>
      <c r="G3922">
        <v>-454.29469999999998</v>
      </c>
      <c r="H3922" s="1">
        <v>7.5475939999999996E-7</v>
      </c>
      <c r="I3922">
        <v>214.47630000000001</v>
      </c>
      <c r="J3922">
        <v>-478.75060000000002</v>
      </c>
      <c r="K3922">
        <v>1.1152120000000001</v>
      </c>
      <c r="L3922">
        <v>217.37129999999999</v>
      </c>
      <c r="M3922">
        <v>0.93065430000000005</v>
      </c>
      <c r="N3922">
        <v>-1.1657320000000001E-2</v>
      </c>
      <c r="O3922">
        <v>-0.36571369999999997</v>
      </c>
      <c r="P3922">
        <v>0.97225859999999997</v>
      </c>
      <c r="Q3922">
        <v>0.15347920000000001</v>
      </c>
      <c r="R3922">
        <v>-0.1765149</v>
      </c>
      <c r="S3922">
        <v>3.0428470000000001</v>
      </c>
      <c r="T3922">
        <v>-0.13757749999999999</v>
      </c>
      <c r="U3922">
        <v>-0.36643979999999998</v>
      </c>
      <c r="V3922">
        <v>-0.1932305</v>
      </c>
      <c r="W3922">
        <v>0.16251009999999999</v>
      </c>
      <c r="X3922">
        <v>0.96760139999999994</v>
      </c>
      <c r="Y3922">
        <v>-0.25133519999999998</v>
      </c>
      <c r="Z3922">
        <v>1.8865969999999999E-2</v>
      </c>
      <c r="AA3922">
        <v>0.96771620000000003</v>
      </c>
      <c r="AB3922">
        <v>23</v>
      </c>
      <c r="AC3922">
        <v>24.4559</v>
      </c>
      <c r="AD3922">
        <v>-1.1152112452406</v>
      </c>
      <c r="AE3922">
        <v>-2.89499999999998</v>
      </c>
      <c r="AF3922">
        <v>-6.2372479290366396</v>
      </c>
      <c r="AG3922">
        <v>-1.1152112452406</v>
      </c>
      <c r="AH3922">
        <v>23.7716016780074</v>
      </c>
      <c r="AI3922">
        <v>92.598162110803599</v>
      </c>
      <c r="AJ3922">
        <v>104.701995648288</v>
      </c>
      <c r="AK3922">
        <v>24.601544752060299</v>
      </c>
      <c r="AL3922">
        <v>80.647378591540999</v>
      </c>
      <c r="AM3922">
        <v>101.29343238778</v>
      </c>
      <c r="AN3922">
        <v>1.0000000140071099</v>
      </c>
    </row>
    <row r="3923" spans="1:40" x14ac:dyDescent="0.25">
      <c r="A3923" t="str">
        <f>"20190304154830891"</f>
        <v>20190304154830891</v>
      </c>
      <c r="B3923" t="str">
        <f>"1551685710880296"</f>
        <v>1551685710880296</v>
      </c>
      <c r="C3923" t="s">
        <v>40</v>
      </c>
      <c r="D3923">
        <v>4.3213499999999998</v>
      </c>
      <c r="E3923">
        <v>0.47451179999999898</v>
      </c>
      <c r="F3923" t="s">
        <v>60</v>
      </c>
      <c r="G3923">
        <v>-455.81279999999998</v>
      </c>
      <c r="H3923" s="1">
        <v>1.551794E-6</v>
      </c>
      <c r="I3923">
        <v>214.7234</v>
      </c>
      <c r="J3923">
        <v>-478.52859999999998</v>
      </c>
      <c r="K3923">
        <v>1.11501299999999</v>
      </c>
      <c r="L3923">
        <v>217.29409999999999</v>
      </c>
      <c r="M3923">
        <v>0.93359230000000004</v>
      </c>
      <c r="N3923">
        <v>-1.1609329999999999E-2</v>
      </c>
      <c r="O3923">
        <v>-0.3581492</v>
      </c>
      <c r="P3923">
        <v>0.97345970000000004</v>
      </c>
      <c r="Q3923">
        <v>0.15258160000000001</v>
      </c>
      <c r="R3923">
        <v>-0.17057429999999901</v>
      </c>
      <c r="S3923">
        <v>3.045166</v>
      </c>
      <c r="T3923">
        <v>-0.1480523</v>
      </c>
      <c r="U3923">
        <v>-0.35153200000000001</v>
      </c>
      <c r="V3923">
        <v>-0.19124469999999999</v>
      </c>
      <c r="W3923">
        <v>0.1616862</v>
      </c>
      <c r="X3923">
        <v>0.96813380000000004</v>
      </c>
      <c r="Y3923">
        <v>-0.24816289999999999</v>
      </c>
      <c r="Z3923">
        <v>2.017944E-2</v>
      </c>
      <c r="AA3923">
        <v>0.96850809999999998</v>
      </c>
      <c r="AB3923">
        <v>23</v>
      </c>
      <c r="AC3923">
        <v>22.715800000000002</v>
      </c>
      <c r="AD3923">
        <v>-1.1150114482059901</v>
      </c>
      <c r="AE3923">
        <v>-2.57069999999998</v>
      </c>
      <c r="AF3923">
        <v>-5.72243274250315</v>
      </c>
      <c r="AG3923">
        <v>-1.1150114482059901</v>
      </c>
      <c r="AH3923">
        <v>22.0769602803196</v>
      </c>
      <c r="AI3923">
        <v>92.798960901583499</v>
      </c>
      <c r="AJ3923">
        <v>104.531479402106</v>
      </c>
      <c r="AK3923">
        <v>22.833783353638701</v>
      </c>
      <c r="AL3923">
        <v>80.695217218303398</v>
      </c>
      <c r="AM3923">
        <v>101.17431634683</v>
      </c>
      <c r="AN3923">
        <v>1.0000000086254801</v>
      </c>
    </row>
    <row r="3924" spans="1:40" x14ac:dyDescent="0.25">
      <c r="A3924" t="str">
        <f>"20190304154830913"</f>
        <v>20190304154830913</v>
      </c>
      <c r="B3924" t="str">
        <f>"1551685710910552"</f>
        <v>1551685710910552</v>
      </c>
      <c r="C3924" t="s">
        <v>40</v>
      </c>
      <c r="D3924">
        <v>4.322139</v>
      </c>
      <c r="E3924">
        <v>0.47584320000000002</v>
      </c>
      <c r="F3924" t="s">
        <v>60</v>
      </c>
      <c r="G3924">
        <v>-456.41489999999999</v>
      </c>
      <c r="H3924" s="1">
        <v>1.867143E-6</v>
      </c>
      <c r="I3924">
        <v>214.8398</v>
      </c>
      <c r="J3924">
        <v>-478.32119999999998</v>
      </c>
      <c r="K3924">
        <v>1.1148389999999999</v>
      </c>
      <c r="L3924">
        <v>217.2236</v>
      </c>
      <c r="M3924">
        <v>0.93617110000000003</v>
      </c>
      <c r="N3924">
        <v>-1.15678E-2</v>
      </c>
      <c r="O3924">
        <v>-0.35135460000000002</v>
      </c>
      <c r="P3924">
        <v>0.97430240000000001</v>
      </c>
      <c r="Q3924">
        <v>0.1525755</v>
      </c>
      <c r="R3924">
        <v>-0.16569729999999999</v>
      </c>
      <c r="S3924">
        <v>3.0466609999999998</v>
      </c>
      <c r="T3924">
        <v>-0.153618</v>
      </c>
      <c r="U3924">
        <v>-0.33813480000000001</v>
      </c>
      <c r="V3924">
        <v>-0.18898200000000001</v>
      </c>
      <c r="W3924">
        <v>0.1617507</v>
      </c>
      <c r="X3924">
        <v>0.96856730000000002</v>
      </c>
      <c r="Y3924">
        <v>-0.2453418</v>
      </c>
      <c r="Z3924">
        <v>2.0725159999999999E-2</v>
      </c>
      <c r="AA3924">
        <v>0.9692151</v>
      </c>
      <c r="AB3924">
        <v>23</v>
      </c>
      <c r="AC3924">
        <v>21.906299999999899</v>
      </c>
      <c r="AD3924">
        <v>-1.1148371328569999</v>
      </c>
      <c r="AE3924">
        <v>-2.3837999999999999</v>
      </c>
      <c r="AF3924">
        <v>-5.4516457246107004</v>
      </c>
      <c r="AG3924">
        <v>-1.1148371328569999</v>
      </c>
      <c r="AH3924">
        <v>21.292529877496101</v>
      </c>
      <c r="AI3924">
        <v>92.903668204726799</v>
      </c>
      <c r="AJ3924">
        <v>104.361250959983</v>
      </c>
      <c r="AK3924">
        <v>22.007615307514001</v>
      </c>
      <c r="AL3924">
        <v>80.691472734688205</v>
      </c>
      <c r="AM3924">
        <v>101.04055601349501</v>
      </c>
      <c r="AN3924">
        <v>1.00000004995188</v>
      </c>
    </row>
    <row r="3925" spans="1:40" x14ac:dyDescent="0.25">
      <c r="A3925" t="str">
        <f>"20190304154830935"</f>
        <v>20190304154830935</v>
      </c>
      <c r="B3925" t="str">
        <f>"1551685710931048"</f>
        <v>1551685710931048</v>
      </c>
      <c r="C3925" t="s">
        <v>40</v>
      </c>
      <c r="D3925">
        <v>4.3294540000000001</v>
      </c>
      <c r="E3925">
        <v>0.47632180000000002</v>
      </c>
      <c r="F3925" t="s">
        <v>60</v>
      </c>
      <c r="G3925">
        <v>-456.4393</v>
      </c>
      <c r="H3925" s="1">
        <v>1.8800959999999999E-6</v>
      </c>
      <c r="I3925">
        <v>214.8399</v>
      </c>
      <c r="J3925">
        <v>-478.10849999999999</v>
      </c>
      <c r="K3925">
        <v>1.1146739999999999</v>
      </c>
      <c r="L3925">
        <v>217.15260000000001</v>
      </c>
      <c r="M3925">
        <v>0.93866479999999997</v>
      </c>
      <c r="N3925">
        <v>-1.1528299999999899E-2</v>
      </c>
      <c r="O3925">
        <v>-0.3446381</v>
      </c>
      <c r="P3925">
        <v>0.9750818</v>
      </c>
      <c r="Q3925">
        <v>0.1537084</v>
      </c>
      <c r="R3925">
        <v>-0.15996640000000001</v>
      </c>
      <c r="S3925">
        <v>3.0469970000000002</v>
      </c>
      <c r="T3925">
        <v>-0.15523770000000001</v>
      </c>
      <c r="U3925">
        <v>-0.33192440000000001</v>
      </c>
      <c r="V3925">
        <v>-0.18762010000000001</v>
      </c>
      <c r="W3925">
        <v>0.16293550000000001</v>
      </c>
      <c r="X3925">
        <v>0.96863339999999998</v>
      </c>
      <c r="Y3925">
        <v>-0.2403547</v>
      </c>
      <c r="Z3925">
        <v>2.0588459999999999E-2</v>
      </c>
      <c r="AA3925">
        <v>0.97046670000000002</v>
      </c>
      <c r="AB3925">
        <v>23</v>
      </c>
      <c r="AC3925">
        <v>21.669199999999901</v>
      </c>
      <c r="AD3925">
        <v>-1.1146721199039999</v>
      </c>
      <c r="AE3925">
        <v>-2.3127</v>
      </c>
      <c r="AF3925">
        <v>-5.2837102258522703</v>
      </c>
      <c r="AG3925">
        <v>-1.1146721199039999</v>
      </c>
      <c r="AH3925">
        <v>21.083404531904101</v>
      </c>
      <c r="AI3925">
        <v>92.9357689061531</v>
      </c>
      <c r="AJ3925">
        <v>104.069128700405</v>
      </c>
      <c r="AK3925">
        <v>21.763961825494501</v>
      </c>
      <c r="AL3925">
        <v>80.622675319212803</v>
      </c>
      <c r="AM3925">
        <v>100.962196664091</v>
      </c>
      <c r="AN3925">
        <v>0.99999997133990903</v>
      </c>
    </row>
    <row r="3926" spans="1:40" x14ac:dyDescent="0.25">
      <c r="A3926" t="str">
        <f>"20190304154830958"</f>
        <v>20190304154830958</v>
      </c>
      <c r="B3926" t="str">
        <f>"1551685710950568"</f>
        <v>1551685710950568</v>
      </c>
      <c r="C3926" t="s">
        <v>40</v>
      </c>
      <c r="D3926">
        <v>4.3206040000000003</v>
      </c>
      <c r="E3926">
        <v>0.48927100000000001</v>
      </c>
      <c r="F3926" t="s">
        <v>60</v>
      </c>
      <c r="G3926">
        <v>-455.80959999999999</v>
      </c>
      <c r="H3926" s="1">
        <v>1.5456299999999901E-6</v>
      </c>
      <c r="I3926">
        <v>214.82579999999999</v>
      </c>
      <c r="J3926">
        <v>-477.88339999999999</v>
      </c>
      <c r="K3926">
        <v>1.114541</v>
      </c>
      <c r="L3926">
        <v>217.07910000000001</v>
      </c>
      <c r="M3926">
        <v>0.94116679999999997</v>
      </c>
      <c r="N3926">
        <v>-1.149025E-2</v>
      </c>
      <c r="O3926">
        <v>-0.33774690000000002</v>
      </c>
      <c r="P3926">
        <v>0.97610750000000002</v>
      </c>
      <c r="Q3926">
        <v>0.15407860000000001</v>
      </c>
      <c r="R3926">
        <v>-0.15321129999999999</v>
      </c>
      <c r="S3926">
        <v>3.048492</v>
      </c>
      <c r="T3926">
        <v>-0.15238740000000001</v>
      </c>
      <c r="U3926">
        <v>-0.31809999999999999</v>
      </c>
      <c r="V3926">
        <v>-0.18715399999999999</v>
      </c>
      <c r="W3926">
        <v>0.1633348</v>
      </c>
      <c r="X3926">
        <v>0.96865639999999997</v>
      </c>
      <c r="Y3926">
        <v>-0.23767260000000001</v>
      </c>
      <c r="Z3926">
        <v>1.984555E-2</v>
      </c>
      <c r="AA3926">
        <v>0.97114259999999997</v>
      </c>
      <c r="AB3926">
        <v>23</v>
      </c>
      <c r="AC3926">
        <v>22.073799999999999</v>
      </c>
      <c r="AD3926">
        <v>-1.11453945437</v>
      </c>
      <c r="AE3926">
        <v>-2.2533000000000198</v>
      </c>
      <c r="AF3926">
        <v>-5.3215519092832304</v>
      </c>
      <c r="AG3926">
        <v>-1.11453945437</v>
      </c>
      <c r="AH3926">
        <v>21.483390497254501</v>
      </c>
      <c r="AI3926">
        <v>92.882820593445402</v>
      </c>
      <c r="AJ3926">
        <v>103.912439687385</v>
      </c>
      <c r="AK3926">
        <v>22.160712537643501</v>
      </c>
      <c r="AL3926">
        <v>80.599487205592993</v>
      </c>
      <c r="AM3926">
        <v>100.935367509757</v>
      </c>
      <c r="AN3926">
        <v>1.00000004893399</v>
      </c>
    </row>
    <row r="3927" spans="1:40" x14ac:dyDescent="0.25">
      <c r="A3927" t="str">
        <f>"20190304154830981"</f>
        <v>20190304154830981</v>
      </c>
      <c r="B3927" t="str">
        <f>"1551685710971063"</f>
        <v>1551685710971063</v>
      </c>
      <c r="C3927" t="s">
        <v>40</v>
      </c>
      <c r="D3927">
        <v>4.3368669999999998</v>
      </c>
      <c r="E3927">
        <v>0.49540790000000001</v>
      </c>
      <c r="F3927" t="s">
        <v>60</v>
      </c>
      <c r="G3927">
        <v>-453.30739999999997</v>
      </c>
      <c r="H3927" s="1">
        <v>2.5701800000000001E-7</v>
      </c>
      <c r="I3927">
        <v>213.8434</v>
      </c>
      <c r="J3927">
        <v>-477.66050000000001</v>
      </c>
      <c r="K3927">
        <v>1.1144400000000001</v>
      </c>
      <c r="L3927">
        <v>217.0077</v>
      </c>
      <c r="M3927">
        <v>0.94351929999999995</v>
      </c>
      <c r="N3927">
        <v>-1.1456890000000001E-2</v>
      </c>
      <c r="O3927">
        <v>-0.3311192</v>
      </c>
      <c r="P3927">
        <v>0.9771088</v>
      </c>
      <c r="Q3927">
        <v>0.1534317</v>
      </c>
      <c r="R3927">
        <v>-0.14736659999999999</v>
      </c>
      <c r="S3927">
        <v>3.0325009999999999</v>
      </c>
      <c r="T3927">
        <v>-0.13752639999999999</v>
      </c>
      <c r="U3927">
        <v>-0.39926149999999999</v>
      </c>
      <c r="V3927">
        <v>-0.18612380000000001</v>
      </c>
      <c r="W3927">
        <v>0.16271479999999999</v>
      </c>
      <c r="X3927">
        <v>0.96895920000000002</v>
      </c>
      <c r="Y3927">
        <v>-0.20470769999999999</v>
      </c>
      <c r="Z3927">
        <v>1.659366E-2</v>
      </c>
      <c r="AA3927">
        <v>0.97868250000000001</v>
      </c>
      <c r="AB3927">
        <v>23</v>
      </c>
      <c r="AC3927">
        <v>24.353100000000001</v>
      </c>
      <c r="AD3927">
        <v>-1.1144397429820001</v>
      </c>
      <c r="AE3927">
        <v>-3.1642999999999901</v>
      </c>
      <c r="AF3927">
        <v>-5.0680974817900699</v>
      </c>
      <c r="AG3927">
        <v>-1.1144397429820001</v>
      </c>
      <c r="AH3927">
        <v>23.977580406944099</v>
      </c>
      <c r="AI3927">
        <v>92.603657587033794</v>
      </c>
      <c r="AJ3927">
        <v>101.93483822485901</v>
      </c>
      <c r="AK3927">
        <v>24.532671077506802</v>
      </c>
      <c r="AL3927">
        <v>80.635492304420694</v>
      </c>
      <c r="AM3927">
        <v>100.873294799994</v>
      </c>
      <c r="AN3927">
        <v>1.0000000531650499</v>
      </c>
    </row>
    <row r="3928" spans="1:40" x14ac:dyDescent="0.25">
      <c r="A3928" t="str">
        <f>"20190304154831005"</f>
        <v>20190304154831005</v>
      </c>
      <c r="B3928" t="str">
        <f>"1551685711000305"</f>
        <v>1551685711000305</v>
      </c>
      <c r="C3928" t="s">
        <v>40</v>
      </c>
      <c r="D3928">
        <v>4.310257</v>
      </c>
      <c r="E3928">
        <v>0.51360819999999996</v>
      </c>
      <c r="F3928" t="s">
        <v>60</v>
      </c>
      <c r="G3928">
        <v>-456.9307</v>
      </c>
      <c r="H3928" s="1">
        <v>2.175662E-6</v>
      </c>
      <c r="I3928">
        <v>214.06049999999999</v>
      </c>
      <c r="J3928">
        <v>-477.43610000000001</v>
      </c>
      <c r="K3928">
        <v>1.114357</v>
      </c>
      <c r="L3928">
        <v>216.9374</v>
      </c>
      <c r="M3928">
        <v>0.9457738</v>
      </c>
      <c r="N3928">
        <v>-1.1426459999999999E-2</v>
      </c>
      <c r="O3928">
        <v>-0.32462489999999999</v>
      </c>
      <c r="P3928">
        <v>0.97799950000000002</v>
      </c>
      <c r="Q3928">
        <v>0.15260460000000001</v>
      </c>
      <c r="R3928">
        <v>-0.14222799999999999</v>
      </c>
      <c r="S3928">
        <v>3.0308839999999999</v>
      </c>
      <c r="T3928">
        <v>-0.16294040000000001</v>
      </c>
      <c r="U3928">
        <v>-0.43090820000000002</v>
      </c>
      <c r="V3928">
        <v>-0.1845523</v>
      </c>
      <c r="W3928">
        <v>0.16191630000000001</v>
      </c>
      <c r="X3928">
        <v>0.96939339999999996</v>
      </c>
      <c r="Y3928">
        <v>-0.18769479999999999</v>
      </c>
      <c r="Z3928">
        <v>1.934553E-2</v>
      </c>
      <c r="AA3928">
        <v>0.98203689999999999</v>
      </c>
      <c r="AB3928">
        <v>23</v>
      </c>
      <c r="AC3928">
        <v>20.505400000000002</v>
      </c>
      <c r="AD3928">
        <v>-1.1143548243379999</v>
      </c>
      <c r="AE3928">
        <v>-2.8769</v>
      </c>
      <c r="AF3928">
        <v>-3.9245570604890001</v>
      </c>
      <c r="AG3928">
        <v>-1.1143548243379999</v>
      </c>
      <c r="AH3928">
        <v>20.270002702931698</v>
      </c>
      <c r="AI3928">
        <v>93.089441197786698</v>
      </c>
      <c r="AJ3928">
        <v>100.95768826080599</v>
      </c>
      <c r="AK3928">
        <v>20.676482882067202</v>
      </c>
      <c r="AL3928">
        <v>80.681857358233302</v>
      </c>
      <c r="AM3928">
        <v>100.778932907705</v>
      </c>
      <c r="AN3928">
        <v>1.0000000018022599</v>
      </c>
    </row>
    <row r="3929" spans="1:40" x14ac:dyDescent="0.25">
      <c r="A3929" t="str">
        <f>"20190304154831026"</f>
        <v>20190304154831026</v>
      </c>
      <c r="B3929" t="str">
        <f>"1551685711020801"</f>
        <v>1551685711020801</v>
      </c>
      <c r="C3929" t="s">
        <v>40</v>
      </c>
      <c r="D3929">
        <v>4.2756980000000002</v>
      </c>
      <c r="E3929">
        <v>0.51270099999999996</v>
      </c>
      <c r="F3929" t="s">
        <v>60</v>
      </c>
      <c r="G3929">
        <v>-458.41430000000003</v>
      </c>
      <c r="H3929" s="1">
        <v>2.9933359999999999E-6</v>
      </c>
      <c r="I3929">
        <v>213.41659999999999</v>
      </c>
      <c r="J3929">
        <v>-477.2296</v>
      </c>
      <c r="K3929">
        <v>1.114279</v>
      </c>
      <c r="L3929">
        <v>216.874</v>
      </c>
      <c r="M3929">
        <v>0.94775480000000001</v>
      </c>
      <c r="N3929">
        <v>-1.140014E-2</v>
      </c>
      <c r="O3929">
        <v>-0.31879629999999998</v>
      </c>
      <c r="P3929">
        <v>0.97871609999999998</v>
      </c>
      <c r="Q3929">
        <v>0.15223139999999999</v>
      </c>
      <c r="R3929">
        <v>-0.13762669999999999</v>
      </c>
      <c r="S3929">
        <v>3.0139469999999999</v>
      </c>
      <c r="T3929">
        <v>-0.1765659</v>
      </c>
      <c r="U3929">
        <v>-0.5578613</v>
      </c>
      <c r="V3929">
        <v>-0.18312639999999999</v>
      </c>
      <c r="W3929">
        <v>0.16156909999999999</v>
      </c>
      <c r="X3929">
        <v>0.96972170000000002</v>
      </c>
      <c r="Y3929">
        <v>-0.14039119999999999</v>
      </c>
      <c r="Z3929">
        <v>1.932729E-2</v>
      </c>
      <c r="AA3929">
        <v>0.98990739999999999</v>
      </c>
      <c r="AB3929">
        <v>23</v>
      </c>
      <c r="AC3929">
        <v>18.815299999999901</v>
      </c>
      <c r="AD3929">
        <v>-1.1142760066640001</v>
      </c>
      <c r="AE3929">
        <v>-3.45740000000003</v>
      </c>
      <c r="AF3929">
        <v>-2.7124547093847302</v>
      </c>
      <c r="AG3929">
        <v>-1.1142760066640001</v>
      </c>
      <c r="AH3929">
        <v>18.871700412329002</v>
      </c>
      <c r="AI3929">
        <v>93.344801591742893</v>
      </c>
      <c r="AJ3929">
        <v>98.179182151106303</v>
      </c>
      <c r="AK3929">
        <v>19.098170017627002</v>
      </c>
      <c r="AL3929">
        <v>80.702015994910795</v>
      </c>
      <c r="AM3929">
        <v>100.69404307979801</v>
      </c>
      <c r="AN3929">
        <v>1.0000000139513201</v>
      </c>
    </row>
    <row r="3930" spans="1:40" x14ac:dyDescent="0.25">
      <c r="A3930" t="str">
        <f>"20190304154831047"</f>
        <v>20190304154831047</v>
      </c>
      <c r="B3930" t="str">
        <f>"1551685711040321"</f>
        <v>1551685711040321</v>
      </c>
      <c r="C3930" t="s">
        <v>40</v>
      </c>
      <c r="D3930">
        <v>4.2835970000000003</v>
      </c>
      <c r="E3930">
        <v>0.51349880000000003</v>
      </c>
      <c r="F3930" t="s">
        <v>60</v>
      </c>
      <c r="G3930">
        <v>-459.10950000000003</v>
      </c>
      <c r="H3930" s="1">
        <v>3.352666E-6</v>
      </c>
      <c r="I3930">
        <v>213.65899999999999</v>
      </c>
      <c r="J3930">
        <v>-477.02670000000001</v>
      </c>
      <c r="K3930">
        <v>1.1142030000000001</v>
      </c>
      <c r="L3930">
        <v>216.81290000000001</v>
      </c>
      <c r="M3930">
        <v>0.94962230000000003</v>
      </c>
      <c r="N3930">
        <v>-1.13758E-2</v>
      </c>
      <c r="O3930">
        <v>-0.31319010000000003</v>
      </c>
      <c r="P3930">
        <v>0.97930629999999996</v>
      </c>
      <c r="Q3930">
        <v>0.15256500000000001</v>
      </c>
      <c r="R3930">
        <v>-0.1329775</v>
      </c>
      <c r="S3930">
        <v>3.0188290000000002</v>
      </c>
      <c r="T3930">
        <v>-0.1856389</v>
      </c>
      <c r="U3930">
        <v>-0.53562929999999997</v>
      </c>
      <c r="V3930">
        <v>-0.18195439999999999</v>
      </c>
      <c r="W3930">
        <v>0.16192570000000001</v>
      </c>
      <c r="X3930">
        <v>0.96988280000000004</v>
      </c>
      <c r="Y3930">
        <v>-0.14181969999999999</v>
      </c>
      <c r="Z3930">
        <v>2.024946E-2</v>
      </c>
      <c r="AA3930">
        <v>0.98968540000000005</v>
      </c>
      <c r="AB3930">
        <v>23</v>
      </c>
      <c r="AC3930">
        <v>17.917199999999902</v>
      </c>
      <c r="AD3930">
        <v>-1.1141996473339999</v>
      </c>
      <c r="AE3930">
        <v>-3.1538999999999899</v>
      </c>
      <c r="AF3930">
        <v>-2.60686720519602</v>
      </c>
      <c r="AG3930">
        <v>-1.1141996473339999</v>
      </c>
      <c r="AH3930">
        <v>17.936231562651798</v>
      </c>
      <c r="AI3930">
        <v>93.517782870820795</v>
      </c>
      <c r="AJ3930">
        <v>98.269513621630594</v>
      </c>
      <c r="AK3930">
        <v>18.158898649111698</v>
      </c>
      <c r="AL3930">
        <v>80.681311472806101</v>
      </c>
      <c r="AM3930">
        <v>100.62544049923</v>
      </c>
      <c r="AN3930">
        <v>0.99999999086784497</v>
      </c>
    </row>
    <row r="3931" spans="1:40" x14ac:dyDescent="0.25">
      <c r="A3931" t="str">
        <f>"20190304154831069"</f>
        <v>20190304154831069</v>
      </c>
      <c r="B3931" t="str">
        <f>"1551685711060817"</f>
        <v>1551685711060817</v>
      </c>
      <c r="C3931" t="s">
        <v>40</v>
      </c>
      <c r="D3931">
        <v>4.2629640000000002</v>
      </c>
      <c r="E3931">
        <v>0.51393149999999999</v>
      </c>
      <c r="F3931" t="s">
        <v>60</v>
      </c>
      <c r="G3931">
        <v>-459.05189999999999</v>
      </c>
      <c r="H3931" s="1">
        <v>3.3213919999999999E-6</v>
      </c>
      <c r="I3931">
        <v>213.67330000000001</v>
      </c>
      <c r="J3931">
        <v>-476.80939999999998</v>
      </c>
      <c r="K3931">
        <v>1.114114</v>
      </c>
      <c r="L3931">
        <v>216.74870000000001</v>
      </c>
      <c r="M3931">
        <v>0.95154360000000004</v>
      </c>
      <c r="N3931">
        <v>-1.1352030000000001E-2</v>
      </c>
      <c r="O3931">
        <v>-0.30730459999999998</v>
      </c>
      <c r="P3931">
        <v>0.97992889999999999</v>
      </c>
      <c r="Q3931">
        <v>0.15267939999999999</v>
      </c>
      <c r="R3931">
        <v>-0.1281745</v>
      </c>
      <c r="S3931">
        <v>3.020905</v>
      </c>
      <c r="T3931">
        <v>-0.18725559999999999</v>
      </c>
      <c r="U3931">
        <v>-0.52764889999999998</v>
      </c>
      <c r="V3931">
        <v>-0.1806643</v>
      </c>
      <c r="W3931">
        <v>0.1620683</v>
      </c>
      <c r="X3931">
        <v>0.97010010000000002</v>
      </c>
      <c r="Y3931">
        <v>-0.13834460000000001</v>
      </c>
      <c r="Z3931">
        <v>2.0046850000000001E-2</v>
      </c>
      <c r="AA3931">
        <v>0.99018130000000004</v>
      </c>
      <c r="AB3931">
        <v>23</v>
      </c>
      <c r="AC3931">
        <v>17.757499999999901</v>
      </c>
      <c r="AD3931">
        <v>-1.1141106786079999</v>
      </c>
      <c r="AE3931">
        <v>-3.0754000000000001</v>
      </c>
      <c r="AF3931">
        <v>-2.52111208609361</v>
      </c>
      <c r="AG3931">
        <v>-1.1141106786079999</v>
      </c>
      <c r="AH3931">
        <v>17.7753356902927</v>
      </c>
      <c r="AI3931">
        <v>93.551008815088096</v>
      </c>
      <c r="AJ3931">
        <v>98.072534610330806</v>
      </c>
      <c r="AK3931">
        <v>17.987768278956398</v>
      </c>
      <c r="AL3931">
        <v>80.673031472813904</v>
      </c>
      <c r="AM3931">
        <v>100.549490820542</v>
      </c>
      <c r="AN3931">
        <v>0.99999996358969401</v>
      </c>
    </row>
    <row r="3932" spans="1:40" x14ac:dyDescent="0.25">
      <c r="A3932" t="str">
        <f>"20190304154831092"</f>
        <v>20190304154831092</v>
      </c>
      <c r="B3932" t="str">
        <f>"1551685711080340"</f>
        <v>1551685711080340</v>
      </c>
      <c r="C3932" t="s">
        <v>40</v>
      </c>
      <c r="D3932">
        <v>4.2702150000000003</v>
      </c>
      <c r="E3932">
        <v>0.5150055</v>
      </c>
      <c r="F3932" t="s">
        <v>60</v>
      </c>
      <c r="G3932">
        <v>-459.42720000000003</v>
      </c>
      <c r="H3932" s="1">
        <v>3.5164829999999999E-6</v>
      </c>
      <c r="I3932">
        <v>213.77969999999999</v>
      </c>
      <c r="J3932">
        <v>-476.58600000000001</v>
      </c>
      <c r="K3932">
        <v>1.114036</v>
      </c>
      <c r="L3932">
        <v>216.6841</v>
      </c>
      <c r="M3932">
        <v>0.95343730000000004</v>
      </c>
      <c r="N3932">
        <v>-1.13302E-2</v>
      </c>
      <c r="O3932">
        <v>-0.3013787</v>
      </c>
      <c r="P3932">
        <v>0.98051500000000003</v>
      </c>
      <c r="Q3932">
        <v>0.15272239999999901</v>
      </c>
      <c r="R3932">
        <v>-0.12355679999999999</v>
      </c>
      <c r="S3932">
        <v>3.0241090000000002</v>
      </c>
      <c r="T3932">
        <v>-0.19383049999999999</v>
      </c>
      <c r="U3932">
        <v>-0.51654049999999996</v>
      </c>
      <c r="V3932">
        <v>-0.17916179999999901</v>
      </c>
      <c r="W3932">
        <v>0.1621417</v>
      </c>
      <c r="X3932">
        <v>0.97036650000000002</v>
      </c>
      <c r="Y3932">
        <v>-0.13585429999999901</v>
      </c>
      <c r="Z3932">
        <v>2.0454150000000001E-2</v>
      </c>
      <c r="AA3932">
        <v>0.99051769999999995</v>
      </c>
      <c r="AB3932">
        <v>23</v>
      </c>
      <c r="AC3932">
        <v>17.1587999999999</v>
      </c>
      <c r="AD3932">
        <v>-1.1140324835169999</v>
      </c>
      <c r="AE3932">
        <v>-2.9043999999999999</v>
      </c>
      <c r="AF3932">
        <v>-2.3924835390792598</v>
      </c>
      <c r="AG3932">
        <v>-1.1140324835169999</v>
      </c>
      <c r="AH3932">
        <v>17.1659260364553</v>
      </c>
      <c r="AI3932">
        <v>93.677719154307894</v>
      </c>
      <c r="AJ3932">
        <v>97.934428925472801</v>
      </c>
      <c r="AK3932">
        <v>17.367615338558998</v>
      </c>
      <c r="AL3932">
        <v>80.668770056889699</v>
      </c>
      <c r="AM3932">
        <v>100.46089207786</v>
      </c>
      <c r="AN3932">
        <v>1.00000001289018</v>
      </c>
    </row>
    <row r="3933" spans="1:40" x14ac:dyDescent="0.25">
      <c r="A3933" t="str">
        <f>"20190304154831113"</f>
        <v>20190304154831113</v>
      </c>
      <c r="B3933" t="str">
        <f>"1551685711100435"</f>
        <v>1551685711100435</v>
      </c>
      <c r="C3933" t="s">
        <v>40</v>
      </c>
      <c r="D3933">
        <v>4.2549640000000002</v>
      </c>
      <c r="E3933">
        <v>0.51663000000000003</v>
      </c>
      <c r="F3933" t="s">
        <v>60</v>
      </c>
      <c r="G3933">
        <v>-458.97500000000002</v>
      </c>
      <c r="H3933" s="1">
        <v>3.278822E-6</v>
      </c>
      <c r="I3933">
        <v>213.71170000000001</v>
      </c>
      <c r="J3933">
        <v>-476.3802</v>
      </c>
      <c r="K3933">
        <v>1.1139709999999901</v>
      </c>
      <c r="L3933">
        <v>216.62569999999999</v>
      </c>
      <c r="M3933">
        <v>0.9551113</v>
      </c>
      <c r="N3933">
        <v>-1.1312330000000001E-2</v>
      </c>
      <c r="O3933">
        <v>-0.29603170000000001</v>
      </c>
      <c r="P3933">
        <v>0.98106550000000003</v>
      </c>
      <c r="Q3933">
        <v>0.1527027</v>
      </c>
      <c r="R3933">
        <v>-0.11913360000000001</v>
      </c>
      <c r="S3933">
        <v>3.0251160000000001</v>
      </c>
      <c r="T3933">
        <v>-0.19136259999999999</v>
      </c>
      <c r="U3933">
        <v>-0.51057429999999904</v>
      </c>
      <c r="V3933">
        <v>-0.1780737</v>
      </c>
      <c r="W3933">
        <v>0.16214500000000001</v>
      </c>
      <c r="X3933">
        <v>0.97056620000000005</v>
      </c>
      <c r="Y3933">
        <v>-0.132289299999999</v>
      </c>
      <c r="Z3933">
        <v>1.9773059999999999E-2</v>
      </c>
      <c r="AA3933">
        <v>0.9910139</v>
      </c>
      <c r="AB3933">
        <v>23</v>
      </c>
      <c r="AC3933">
        <v>17.405199999999901</v>
      </c>
      <c r="AD3933">
        <v>-1.1139677211779999</v>
      </c>
      <c r="AE3933">
        <v>-2.9139999999999802</v>
      </c>
      <c r="AF3933">
        <v>-2.3600440758482599</v>
      </c>
      <c r="AG3933">
        <v>-1.1139677211779999</v>
      </c>
      <c r="AH3933">
        <v>17.418251406542598</v>
      </c>
      <c r="AI3933">
        <v>93.6262686116183</v>
      </c>
      <c r="AJ3933">
        <v>97.716164378894405</v>
      </c>
      <c r="AK3933">
        <v>17.6126719774512</v>
      </c>
      <c r="AL3933">
        <v>80.668578287371801</v>
      </c>
      <c r="AM3933">
        <v>100.39665725809699</v>
      </c>
      <c r="AN3933">
        <v>0.99999999611956403</v>
      </c>
    </row>
    <row r="3934" spans="1:40" x14ac:dyDescent="0.25">
      <c r="A3934" t="str">
        <f>"20190304154831138"</f>
        <v>20190304154831138</v>
      </c>
      <c r="B3934" t="str">
        <f>"1551685711130688"</f>
        <v>1551685711130688</v>
      </c>
      <c r="C3934" t="s">
        <v>40</v>
      </c>
      <c r="D3934">
        <v>4.224062</v>
      </c>
      <c r="E3934">
        <v>0.52732239999999997</v>
      </c>
      <c r="F3934" t="s">
        <v>60</v>
      </c>
      <c r="G3934">
        <v>-458.41680000000002</v>
      </c>
      <c r="H3934" s="1">
        <v>2.9866950000000002E-6</v>
      </c>
      <c r="I3934">
        <v>213.5984</v>
      </c>
      <c r="J3934">
        <v>-476.13069999999999</v>
      </c>
      <c r="K3934">
        <v>1.1139250000000001</v>
      </c>
      <c r="L3934">
        <v>216.5565</v>
      </c>
      <c r="M3934">
        <v>0.95706290000000005</v>
      </c>
      <c r="N3934">
        <v>-1.1293330000000001E-2</v>
      </c>
      <c r="O3934">
        <v>-0.28966019999999998</v>
      </c>
      <c r="P3934">
        <v>0.98159370000000001</v>
      </c>
      <c r="Q3934">
        <v>0.15272259999999999</v>
      </c>
      <c r="R3934">
        <v>-0.11467289999999999</v>
      </c>
      <c r="S3934">
        <v>3.0252080000000001</v>
      </c>
      <c r="T3934">
        <v>-0.18760279999999999</v>
      </c>
      <c r="U3934">
        <v>-0.50982669999999997</v>
      </c>
      <c r="V3934">
        <v>-0.17599119999999999</v>
      </c>
      <c r="W3934">
        <v>0.1621911</v>
      </c>
      <c r="X3934">
        <v>0.97093830000000003</v>
      </c>
      <c r="Y3934">
        <v>-0.12597349999999999</v>
      </c>
      <c r="Z3934">
        <v>1.8808809999999999E-2</v>
      </c>
      <c r="AA3934">
        <v>0.9918553</v>
      </c>
      <c r="AB3934">
        <v>23</v>
      </c>
      <c r="AC3934">
        <v>17.713899999999899</v>
      </c>
      <c r="AD3934">
        <v>-1.1139220133050001</v>
      </c>
      <c r="AE3934">
        <v>-2.9581</v>
      </c>
      <c r="AF3934">
        <v>-2.29125603038637</v>
      </c>
      <c r="AG3934">
        <v>-1.1139220133050001</v>
      </c>
      <c r="AH3934">
        <v>17.743036882006599</v>
      </c>
      <c r="AI3934">
        <v>93.562852979920805</v>
      </c>
      <c r="AJ3934">
        <v>97.358198026869204</v>
      </c>
      <c r="AK3934">
        <v>17.9250114154706</v>
      </c>
      <c r="AL3934">
        <v>80.665901734522393</v>
      </c>
      <c r="AM3934">
        <v>100.273823884072</v>
      </c>
      <c r="AN3934">
        <v>1.0000000189017699</v>
      </c>
    </row>
    <row r="3935" spans="1:40" x14ac:dyDescent="0.25">
      <c r="A3935" t="str">
        <f>"20190304154831172"</f>
        <v>20190304154831172</v>
      </c>
      <c r="B3935" t="str">
        <f>"1551685711160945"</f>
        <v>1551685711160945</v>
      </c>
      <c r="C3935" t="s">
        <v>40</v>
      </c>
      <c r="D3935">
        <v>4.2804449999999896</v>
      </c>
      <c r="E3935">
        <v>0.52636139999999998</v>
      </c>
      <c r="F3935" t="s">
        <v>60</v>
      </c>
      <c r="G3935">
        <v>-455.18369999999999</v>
      </c>
      <c r="H3935" s="1">
        <v>1.313093E-6</v>
      </c>
      <c r="I3935">
        <v>212.5265</v>
      </c>
      <c r="J3935">
        <v>-475.80500000000001</v>
      </c>
      <c r="K3935">
        <v>1.1138920000000001</v>
      </c>
      <c r="L3935">
        <v>216.46850000000001</v>
      </c>
      <c r="M3935">
        <v>0.95950290000000005</v>
      </c>
      <c r="N3935">
        <v>-1.127296E-2</v>
      </c>
      <c r="O3935">
        <v>-0.28147349999999999</v>
      </c>
      <c r="P3935">
        <v>0.98206490000000002</v>
      </c>
      <c r="Q3935">
        <v>0.1543601</v>
      </c>
      <c r="R3935">
        <v>-0.1082675</v>
      </c>
      <c r="S3935">
        <v>3.0134280000000002</v>
      </c>
      <c r="T3935">
        <v>-0.160248799999999</v>
      </c>
      <c r="U3935">
        <v>-0.57975769999999904</v>
      </c>
      <c r="V3935">
        <v>-0.17395139999999901</v>
      </c>
      <c r="W3935">
        <v>0.1638453</v>
      </c>
      <c r="X3935">
        <v>0.97102809999999995</v>
      </c>
      <c r="Y3935">
        <v>-9.4754060000000001E-2</v>
      </c>
      <c r="Z3935">
        <v>1.4408489999999999E-2</v>
      </c>
      <c r="AA3935">
        <v>0.99539639999999996</v>
      </c>
      <c r="AB3935">
        <v>23</v>
      </c>
      <c r="AC3935">
        <v>20.621300000000002</v>
      </c>
      <c r="AD3935">
        <v>-1.113890686907</v>
      </c>
      <c r="AE3935">
        <v>-3.9420000000000002</v>
      </c>
      <c r="AF3935">
        <v>-2.01644119640163</v>
      </c>
      <c r="AG3935">
        <v>-1.113890686907</v>
      </c>
      <c r="AH3935">
        <v>20.838432674522899</v>
      </c>
      <c r="AI3935">
        <v>93.045559203703405</v>
      </c>
      <c r="AJ3935">
        <v>95.527046231811696</v>
      </c>
      <c r="AK3935">
        <v>20.965377742639099</v>
      </c>
      <c r="AL3935">
        <v>80.569837555718905</v>
      </c>
      <c r="AM3935">
        <v>100.15632012632101</v>
      </c>
      <c r="AN3935">
        <v>0.99999997144182895</v>
      </c>
    </row>
    <row r="3936" spans="1:40" x14ac:dyDescent="0.25">
      <c r="A3936" t="str">
        <f>"20190304154831196"</f>
        <v>20190304154831196</v>
      </c>
      <c r="B3936" t="str">
        <f>"1551685711190907"</f>
        <v>1551685711190907</v>
      </c>
      <c r="C3936" t="s">
        <v>40</v>
      </c>
      <c r="D3936">
        <v>4.2791810000000003</v>
      </c>
      <c r="E3936">
        <v>0.49139169999999999</v>
      </c>
      <c r="F3936" t="s">
        <v>60</v>
      </c>
      <c r="G3936">
        <v>-454.83609999999999</v>
      </c>
      <c r="H3936" s="1">
        <v>1.123211E-6</v>
      </c>
      <c r="I3936">
        <v>212.63759999999999</v>
      </c>
      <c r="J3936">
        <v>-475.5675</v>
      </c>
      <c r="K3936">
        <v>1.1138760000000001</v>
      </c>
      <c r="L3936">
        <v>216.40629999999999</v>
      </c>
      <c r="M3936">
        <v>0.96120779999999995</v>
      </c>
      <c r="N3936">
        <v>-1.126067E-2</v>
      </c>
      <c r="O3936">
        <v>-0.2755958</v>
      </c>
      <c r="P3936">
        <v>0.98239589999999999</v>
      </c>
      <c r="Q3936">
        <v>0.15541179999999999</v>
      </c>
      <c r="R3936">
        <v>-0.1036613</v>
      </c>
      <c r="S3936">
        <v>3.019196</v>
      </c>
      <c r="T3936">
        <v>-0.16038269999999999</v>
      </c>
      <c r="U3936">
        <v>-0.55158999999999903</v>
      </c>
      <c r="V3936">
        <v>-0.17251449999999999</v>
      </c>
      <c r="W3936">
        <v>0.16490589999999999</v>
      </c>
      <c r="X3936">
        <v>0.97110490000000005</v>
      </c>
      <c r="Y3936">
        <v>-9.7984160000000001E-2</v>
      </c>
      <c r="Z3936">
        <v>1.428664E-2</v>
      </c>
      <c r="AA3936">
        <v>0.99508540000000001</v>
      </c>
      <c r="AB3936">
        <v>23</v>
      </c>
      <c r="AC3936">
        <v>20.731400000000001</v>
      </c>
      <c r="AD3936">
        <v>-1.1138748767890001</v>
      </c>
      <c r="AE3936">
        <v>-3.7686999999999902</v>
      </c>
      <c r="AF3936">
        <v>-2.08528799661994</v>
      </c>
      <c r="AG3936">
        <v>-1.1138748767890001</v>
      </c>
      <c r="AH3936">
        <v>20.908719422047302</v>
      </c>
      <c r="AI3936">
        <v>93.034422716128603</v>
      </c>
      <c r="AJ3936">
        <v>95.695442654623093</v>
      </c>
      <c r="AK3936">
        <v>21.041950744640701</v>
      </c>
      <c r="AL3936">
        <v>80.508231636798897</v>
      </c>
      <c r="AM3936">
        <v>100.07337027926</v>
      </c>
      <c r="AN3936">
        <v>0.99999996768453403</v>
      </c>
    </row>
    <row r="3937" spans="1:40" x14ac:dyDescent="0.25">
      <c r="A3937" t="str">
        <f>"20190304154831217"</f>
        <v>20190304154831217</v>
      </c>
      <c r="B3937" t="str">
        <f>"1551685711210426"</f>
        <v>1551685711210426</v>
      </c>
      <c r="C3937" t="s">
        <v>40</v>
      </c>
      <c r="D3937">
        <v>4.2896640000000001</v>
      </c>
      <c r="E3937">
        <v>0.4888304</v>
      </c>
      <c r="F3937" t="s">
        <v>60</v>
      </c>
      <c r="G3937">
        <v>-451.94869999999997</v>
      </c>
      <c r="H3937" s="1">
        <v>-4.9007819999999999E-7</v>
      </c>
      <c r="I3937">
        <v>214.39420000000001</v>
      </c>
      <c r="J3937">
        <v>-475.35919999999999</v>
      </c>
      <c r="K3937">
        <v>1.113861</v>
      </c>
      <c r="L3937">
        <v>216.3528</v>
      </c>
      <c r="M3937">
        <v>0.9626595</v>
      </c>
      <c r="N3937">
        <v>-1.125086E-2</v>
      </c>
      <c r="O3937">
        <v>-0.27048149999999999</v>
      </c>
      <c r="P3937">
        <v>0.98268319999999998</v>
      </c>
      <c r="Q3937">
        <v>0.15601609999999999</v>
      </c>
      <c r="R3937">
        <v>-9.9964600000000001E-2</v>
      </c>
      <c r="S3937">
        <v>3.0491329999999999</v>
      </c>
      <c r="T3937">
        <v>-0.14379890000000001</v>
      </c>
      <c r="U3937">
        <v>-0.25975039999999999</v>
      </c>
      <c r="V3937">
        <v>-0.1709753</v>
      </c>
      <c r="W3937">
        <v>0.16552149999999999</v>
      </c>
      <c r="X3937">
        <v>0.97127240000000004</v>
      </c>
      <c r="Y3937">
        <v>-0.18738560000000001</v>
      </c>
      <c r="Z3937">
        <v>1.495956E-2</v>
      </c>
      <c r="AA3937">
        <v>0.9821725</v>
      </c>
      <c r="AB3937">
        <v>23</v>
      </c>
      <c r="AC3937">
        <v>23.410499999999999</v>
      </c>
      <c r="AD3937">
        <v>-1.1138614900782</v>
      </c>
      <c r="AE3937">
        <v>-1.9585999999999899</v>
      </c>
      <c r="AF3937">
        <v>-4.4369487990745196</v>
      </c>
      <c r="AG3937">
        <v>-1.1138614900782</v>
      </c>
      <c r="AH3937">
        <v>23.015822323098401</v>
      </c>
      <c r="AI3937">
        <v>92.720677960147995</v>
      </c>
      <c r="AJ3937">
        <v>100.911521473966</v>
      </c>
      <c r="AK3937">
        <v>23.466045241435999</v>
      </c>
      <c r="AL3937">
        <v>80.472469181660898</v>
      </c>
      <c r="AM3937">
        <v>99.983623498469996</v>
      </c>
      <c r="AN3937">
        <v>0.99999999758705005</v>
      </c>
    </row>
    <row r="3938" spans="1:40" x14ac:dyDescent="0.25">
      <c r="A3938" t="str">
        <f>"20190304154831237"</f>
        <v>20190304154831237</v>
      </c>
      <c r="B3938" t="str">
        <f>"1551685711230922"</f>
        <v>1551685711230922</v>
      </c>
      <c r="C3938" t="s">
        <v>40</v>
      </c>
      <c r="D3938">
        <v>4.2997809999999896</v>
      </c>
      <c r="E3938">
        <v>0.4884059</v>
      </c>
      <c r="F3938" t="s">
        <v>60</v>
      </c>
      <c r="G3938">
        <v>-450.57549999999998</v>
      </c>
      <c r="H3938" s="1">
        <v>-1.2255679999999999E-6</v>
      </c>
      <c r="I3938">
        <v>214.50239999999999</v>
      </c>
      <c r="J3938">
        <v>-475.15679999999998</v>
      </c>
      <c r="K3938">
        <v>1.1138509999999999</v>
      </c>
      <c r="L3938">
        <v>216.30199999999999</v>
      </c>
      <c r="M3938">
        <v>0.96403510000000003</v>
      </c>
      <c r="N3938">
        <v>-1.1242780000000001E-2</v>
      </c>
      <c r="O3938">
        <v>-0.26553729999999998</v>
      </c>
      <c r="P3938">
        <v>0.98301539999999998</v>
      </c>
      <c r="Q3938">
        <v>0.15576589999999901</v>
      </c>
      <c r="R3938">
        <v>-9.7045500000000007E-2</v>
      </c>
      <c r="S3938">
        <v>3.051453</v>
      </c>
      <c r="T3938">
        <v>-0.1371424</v>
      </c>
      <c r="U3938">
        <v>-0.227829</v>
      </c>
      <c r="V3938">
        <v>-0.16887469999999999</v>
      </c>
      <c r="W3938">
        <v>0.1652901</v>
      </c>
      <c r="X3938">
        <v>0.97167919999999997</v>
      </c>
      <c r="Y3938">
        <v>-0.19265080000000001</v>
      </c>
      <c r="Z3938">
        <v>1.4164629999999999E-2</v>
      </c>
      <c r="AA3938">
        <v>0.98116510000000001</v>
      </c>
      <c r="AB3938">
        <v>23</v>
      </c>
      <c r="AC3938">
        <v>24.581299999999999</v>
      </c>
      <c r="AD3938">
        <v>-1.1138522255679999</v>
      </c>
      <c r="AE3938">
        <v>-1.7996000000000201</v>
      </c>
      <c r="AF3938">
        <v>-4.7829088230593904</v>
      </c>
      <c r="AG3938">
        <v>-1.1138522255679999</v>
      </c>
      <c r="AH3938">
        <v>24.127347561461601</v>
      </c>
      <c r="AI3938">
        <v>92.592830243197596</v>
      </c>
      <c r="AJ3938">
        <v>101.21271702207</v>
      </c>
      <c r="AK3938">
        <v>24.622058889168301</v>
      </c>
      <c r="AL3938">
        <v>80.485912379343901</v>
      </c>
      <c r="AM3938">
        <v>99.859340049278998</v>
      </c>
      <c r="AN3938">
        <v>0.99999997458536904</v>
      </c>
    </row>
    <row r="3939" spans="1:40" x14ac:dyDescent="0.25">
      <c r="A3939" t="str">
        <f>"20190304154831260"</f>
        <v>20190304154831260</v>
      </c>
      <c r="B3939" t="str">
        <f>"1551685711250442"</f>
        <v>1551685711250442</v>
      </c>
      <c r="C3939" t="s">
        <v>40</v>
      </c>
      <c r="D3939">
        <v>4.2855860000000003</v>
      </c>
      <c r="E3939">
        <v>0.48856430000000001</v>
      </c>
      <c r="F3939" t="s">
        <v>60</v>
      </c>
      <c r="G3939">
        <v>-449.96949999999998</v>
      </c>
      <c r="H3939" s="1">
        <v>-1.549186E-6</v>
      </c>
      <c r="I3939">
        <v>214.52780000000001</v>
      </c>
      <c r="J3939">
        <v>-474.92989999999998</v>
      </c>
      <c r="K3939">
        <v>1.1138399999999999</v>
      </c>
      <c r="L3939">
        <v>216.24629999999999</v>
      </c>
      <c r="M3939">
        <v>0.96553860000000002</v>
      </c>
      <c r="N3939">
        <v>-1.12354E-2</v>
      </c>
      <c r="O3939">
        <v>-0.2600172</v>
      </c>
      <c r="P3939">
        <v>0.98330039999999996</v>
      </c>
      <c r="Q3939">
        <v>0.15614900000000001</v>
      </c>
      <c r="R3939">
        <v>-9.3475329999999995E-2</v>
      </c>
      <c r="S3939">
        <v>3.0520019999999999</v>
      </c>
      <c r="T3939">
        <v>-0.1349677</v>
      </c>
      <c r="U3939">
        <v>-0.21498110000000001</v>
      </c>
      <c r="V3939">
        <v>-0.1668229</v>
      </c>
      <c r="W3939">
        <v>0.1656908</v>
      </c>
      <c r="X3939">
        <v>0.97196539999999998</v>
      </c>
      <c r="Y3939">
        <v>-0.1911757</v>
      </c>
      <c r="Z3939">
        <v>1.3699029999999999E-2</v>
      </c>
      <c r="AA3939">
        <v>0.9814602</v>
      </c>
      <c r="AB3939">
        <v>23</v>
      </c>
      <c r="AC3939">
        <v>24.9604</v>
      </c>
      <c r="AD3939">
        <v>-1.1138415491860001</v>
      </c>
      <c r="AE3939">
        <v>-1.7184999999999699</v>
      </c>
      <c r="AF3939">
        <v>-4.8216041355485304</v>
      </c>
      <c r="AG3939">
        <v>-1.1138415491860001</v>
      </c>
      <c r="AH3939">
        <v>24.500061533849198</v>
      </c>
      <c r="AI3939">
        <v>92.554110635022894</v>
      </c>
      <c r="AJ3939">
        <v>101.133511815981</v>
      </c>
      <c r="AK3939">
        <v>24.994829957393801</v>
      </c>
      <c r="AL3939">
        <v>80.462633502356994</v>
      </c>
      <c r="AM3939">
        <v>99.739046140789199</v>
      </c>
      <c r="AN3939">
        <v>1.0000000299831</v>
      </c>
    </row>
    <row r="3940" spans="1:40" x14ac:dyDescent="0.25">
      <c r="A3940" t="str">
        <f>"20190304154831282"</f>
        <v>20190304154831282</v>
      </c>
      <c r="B3940" t="str">
        <f>"1551685711270939"</f>
        <v>1551685711270939</v>
      </c>
      <c r="C3940" t="s">
        <v>40</v>
      </c>
      <c r="D3940">
        <v>4.2958790000000002</v>
      </c>
      <c r="E3940">
        <v>0.48976259999999999</v>
      </c>
      <c r="F3940" t="s">
        <v>60</v>
      </c>
      <c r="G3940">
        <v>-449.01049999999998</v>
      </c>
      <c r="H3940" s="1">
        <v>3.2629870000000002E-6</v>
      </c>
      <c r="I3940">
        <v>214.50550000000001</v>
      </c>
      <c r="J3940">
        <v>-474.70600000000002</v>
      </c>
      <c r="K3940">
        <v>1.1138269999999999</v>
      </c>
      <c r="L3940">
        <v>216.1926</v>
      </c>
      <c r="M3940">
        <v>0.96698260000000003</v>
      </c>
      <c r="N3940">
        <v>-1.122924E-2</v>
      </c>
      <c r="O3940">
        <v>-0.25459520000000002</v>
      </c>
      <c r="P3940">
        <v>0.98359350000000001</v>
      </c>
      <c r="Q3940">
        <v>0.1566611</v>
      </c>
      <c r="R3940">
        <v>-8.9448780000000006E-2</v>
      </c>
      <c r="S3940">
        <v>3.0522770000000001</v>
      </c>
      <c r="T3940">
        <v>-0.13116549999999999</v>
      </c>
      <c r="U3940">
        <v>-0.20500180000000001</v>
      </c>
      <c r="V3940">
        <v>-0.165325799999999</v>
      </c>
      <c r="W3940">
        <v>0.16621420000000001</v>
      </c>
      <c r="X3940">
        <v>0.97213179999999999</v>
      </c>
      <c r="Y3940">
        <v>-0.18889429999999999</v>
      </c>
      <c r="Z3940">
        <v>1.303843E-2</v>
      </c>
      <c r="AA3940">
        <v>0.98191090000000003</v>
      </c>
      <c r="AB3940">
        <v>23</v>
      </c>
      <c r="AC3940">
        <v>25.6954999999999</v>
      </c>
      <c r="AD3940">
        <v>-1.113823737013</v>
      </c>
      <c r="AE3940">
        <v>-1.6870999999999801</v>
      </c>
      <c r="AF3940">
        <v>-4.90169327390847</v>
      </c>
      <c r="AG3940">
        <v>-1.113823737013</v>
      </c>
      <c r="AH3940">
        <v>25.231016009664199</v>
      </c>
      <c r="AI3940">
        <v>92.481350246434602</v>
      </c>
      <c r="AJ3940">
        <v>100.994049331388</v>
      </c>
      <c r="AK3940">
        <v>25.726860849092098</v>
      </c>
      <c r="AL3940">
        <v>80.432223007693807</v>
      </c>
      <c r="AM3940">
        <v>99.651676663434998</v>
      </c>
      <c r="AN3940">
        <v>1.00000000849926</v>
      </c>
    </row>
    <row r="3941" spans="1:40" x14ac:dyDescent="0.25">
      <c r="A3941" t="str">
        <f>"20190304154831303"</f>
        <v>20190304154831303</v>
      </c>
      <c r="B3941" t="str">
        <f>"1551685711301195"</f>
        <v>1551685711301195</v>
      </c>
      <c r="C3941" t="s">
        <v>40</v>
      </c>
      <c r="D3941">
        <v>4.2997969999999999</v>
      </c>
      <c r="E3941">
        <v>0.49034299999999997</v>
      </c>
      <c r="F3941" t="s">
        <v>60</v>
      </c>
      <c r="G3941">
        <v>-446.85410000000002</v>
      </c>
      <c r="H3941" s="1">
        <v>2.1224639999999999E-6</v>
      </c>
      <c r="I3941">
        <v>214.3449</v>
      </c>
      <c r="J3941">
        <v>-474.49599999999998</v>
      </c>
      <c r="K3941">
        <v>1.11382</v>
      </c>
      <c r="L3941">
        <v>216.14349999999999</v>
      </c>
      <c r="M3941">
        <v>0.96830090000000002</v>
      </c>
      <c r="N3941">
        <v>-1.1224029999999999E-2</v>
      </c>
      <c r="O3941">
        <v>-0.24953439999999999</v>
      </c>
      <c r="P3941">
        <v>0.98403600000000002</v>
      </c>
      <c r="Q3941">
        <v>0.15590970000000001</v>
      </c>
      <c r="R3941">
        <v>-8.5822129999999996E-2</v>
      </c>
      <c r="S3941">
        <v>3.051056</v>
      </c>
      <c r="T3941">
        <v>-0.1220146</v>
      </c>
      <c r="U3941">
        <v>-0.2024078</v>
      </c>
      <c r="V3941">
        <v>-0.16384290000000001</v>
      </c>
      <c r="W3941">
        <v>0.16547729999999999</v>
      </c>
      <c r="X3941">
        <v>0.9725085</v>
      </c>
      <c r="Y3941">
        <v>-0.18461630000000001</v>
      </c>
      <c r="Z3941">
        <v>1.176204E-2</v>
      </c>
      <c r="AA3941">
        <v>0.98274030000000001</v>
      </c>
      <c r="AB3941">
        <v>23</v>
      </c>
      <c r="AC3941">
        <v>27.6418999999999</v>
      </c>
      <c r="AD3941">
        <v>-1.1138178775359999</v>
      </c>
      <c r="AE3941">
        <v>-1.79859999999999</v>
      </c>
      <c r="AF3941">
        <v>-5.1480203174949999</v>
      </c>
      <c r="AG3941">
        <v>-1.1138178775359999</v>
      </c>
      <c r="AH3941">
        <v>27.1722709445717</v>
      </c>
      <c r="AI3941">
        <v>92.3063141047258</v>
      </c>
      <c r="AJ3941">
        <v>100.728024793728</v>
      </c>
      <c r="AK3941">
        <v>27.6780601151684</v>
      </c>
      <c r="AL3941">
        <v>80.475037163122806</v>
      </c>
      <c r="AM3941">
        <v>99.563075252768996</v>
      </c>
      <c r="AN3941">
        <v>1.0000000076339699</v>
      </c>
    </row>
    <row r="3942" spans="1:40" x14ac:dyDescent="0.25">
      <c r="A3942" t="str">
        <f>"20190304154831324"</f>
        <v>20190304154831324</v>
      </c>
      <c r="B3942" t="str">
        <f>"1551685711320716"</f>
        <v>1551685711320716</v>
      </c>
      <c r="C3942" t="s">
        <v>40</v>
      </c>
      <c r="D3942">
        <v>4.2964760000000002</v>
      </c>
      <c r="E3942">
        <v>0.49071740000000003</v>
      </c>
      <c r="F3942" t="s">
        <v>60</v>
      </c>
      <c r="G3942">
        <v>-446.37569999999999</v>
      </c>
      <c r="H3942" s="1">
        <v>1.8684650000000001E-6</v>
      </c>
      <c r="I3942">
        <v>214.3321</v>
      </c>
      <c r="J3942">
        <v>-474.28179999999998</v>
      </c>
      <c r="K3942">
        <v>1.113809</v>
      </c>
      <c r="L3942">
        <v>216.09450000000001</v>
      </c>
      <c r="M3942">
        <v>0.96960900000000005</v>
      </c>
      <c r="N3942">
        <v>-1.1219140000000001E-2</v>
      </c>
      <c r="O3942">
        <v>-0.24440229999999999</v>
      </c>
      <c r="P3942">
        <v>0.9844349</v>
      </c>
      <c r="Q3942">
        <v>0.1553418</v>
      </c>
      <c r="R3942">
        <v>-8.2199599999999998E-2</v>
      </c>
      <c r="S3942">
        <v>3.0507200000000001</v>
      </c>
      <c r="T3942">
        <v>-0.12083629999999999</v>
      </c>
      <c r="U3942">
        <v>-0.1965179</v>
      </c>
      <c r="V3942">
        <v>-0.1622817</v>
      </c>
      <c r="W3942">
        <v>0.16492519999999999</v>
      </c>
      <c r="X3942">
        <v>0.97286399999999995</v>
      </c>
      <c r="Y3942">
        <v>-0.18130309999999999</v>
      </c>
      <c r="Z3942">
        <v>1.141255E-2</v>
      </c>
      <c r="AA3942">
        <v>0.98336109999999999</v>
      </c>
      <c r="AB3942">
        <v>23</v>
      </c>
      <c r="AC3942">
        <v>27.906099999999899</v>
      </c>
      <c r="AD3942">
        <v>-1.113807131535</v>
      </c>
      <c r="AE3942">
        <v>-1.76240000000001</v>
      </c>
      <c r="AF3942">
        <v>-5.1036999217511001</v>
      </c>
      <c r="AG3942">
        <v>-1.113807131535</v>
      </c>
      <c r="AH3942">
        <v>27.446921105149901</v>
      </c>
      <c r="AI3942">
        <v>92.284690559353805</v>
      </c>
      <c r="AJ3942">
        <v>100.53372783256199</v>
      </c>
      <c r="AK3942">
        <v>27.939609828518801</v>
      </c>
      <c r="AL3942">
        <v>80.507110950606005</v>
      </c>
      <c r="AM3942">
        <v>99.470212539448696</v>
      </c>
      <c r="AN3942">
        <v>1.0000000171229599</v>
      </c>
    </row>
    <row r="3943" spans="1:40" x14ac:dyDescent="0.25">
      <c r="A3943" t="str">
        <f>"20190304154831349"</f>
        <v>20190304154831349</v>
      </c>
      <c r="B3943" t="str">
        <f>"1551685711340235"</f>
        <v>1551685711340235</v>
      </c>
      <c r="C3943" t="s">
        <v>40</v>
      </c>
      <c r="D3943">
        <v>4.2730350000000001</v>
      </c>
      <c r="E3943">
        <v>0.49112119999999998</v>
      </c>
      <c r="F3943" t="s">
        <v>60</v>
      </c>
      <c r="G3943">
        <v>-446.39609999999999</v>
      </c>
      <c r="H3943" s="1">
        <v>1.877738E-6</v>
      </c>
      <c r="I3943">
        <v>214.3681</v>
      </c>
      <c r="J3943">
        <v>-474.04090000000002</v>
      </c>
      <c r="K3943">
        <v>1.113801</v>
      </c>
      <c r="L3943">
        <v>216.04069999999999</v>
      </c>
      <c r="M3943">
        <v>0.97103799999999996</v>
      </c>
      <c r="N3943">
        <v>-1.1213900000000001E-2</v>
      </c>
      <c r="O3943">
        <v>-0.23866190000000001</v>
      </c>
      <c r="P3943">
        <v>0.98482230000000004</v>
      </c>
      <c r="Q3943">
        <v>0.15515870000000001</v>
      </c>
      <c r="R3943">
        <v>-7.778699E-2</v>
      </c>
      <c r="S3943">
        <v>3.0509029999999999</v>
      </c>
      <c r="T3943">
        <v>-0.1218587</v>
      </c>
      <c r="U3943">
        <v>-0.18887329999999999</v>
      </c>
      <c r="V3943">
        <v>-0.16088329999999901</v>
      </c>
      <c r="W3943">
        <v>0.16475680000000001</v>
      </c>
      <c r="X3943">
        <v>0.97312469999999995</v>
      </c>
      <c r="Y3943">
        <v>-0.17794270000000001</v>
      </c>
      <c r="Z3943">
        <v>1.1282820000000001E-2</v>
      </c>
      <c r="AA3943">
        <v>0.98397619999999997</v>
      </c>
      <c r="AB3943">
        <v>23</v>
      </c>
      <c r="AC3943">
        <v>27.6448</v>
      </c>
      <c r="AD3943">
        <v>-1.1137991222620001</v>
      </c>
      <c r="AE3943">
        <v>-1.6725999999999801</v>
      </c>
      <c r="AF3943">
        <v>-4.9658834584447096</v>
      </c>
      <c r="AG3943">
        <v>-1.1137991222620001</v>
      </c>
      <c r="AH3943">
        <v>27.201056385749901</v>
      </c>
      <c r="AI3943">
        <v>92.306692536641904</v>
      </c>
      <c r="AJ3943">
        <v>100.34610350635199</v>
      </c>
      <c r="AK3943">
        <v>27.673055767449199</v>
      </c>
      <c r="AL3943">
        <v>80.516892840511701</v>
      </c>
      <c r="AM3943">
        <v>99.387595370068198</v>
      </c>
      <c r="AN3943">
        <v>0.99999996055760898</v>
      </c>
    </row>
    <row r="3944" spans="1:40" x14ac:dyDescent="0.25">
      <c r="A3944" t="str">
        <f>"20190304154831371"</f>
        <v>20190304154831371</v>
      </c>
      <c r="B3944" t="str">
        <f>"1551685711360730"</f>
        <v>1551685711360730</v>
      </c>
      <c r="C3944" t="s">
        <v>40</v>
      </c>
      <c r="D3944">
        <v>4.2449050000000002</v>
      </c>
      <c r="E3944">
        <v>0.4914714</v>
      </c>
      <c r="F3944" t="s">
        <v>60</v>
      </c>
      <c r="G3944">
        <v>-445.98590000000002</v>
      </c>
      <c r="H3944" s="1">
        <v>1.657992E-6</v>
      </c>
      <c r="I3944">
        <v>214.40129999999999</v>
      </c>
      <c r="J3944">
        <v>-473.81319999999999</v>
      </c>
      <c r="K3944">
        <v>1.113785</v>
      </c>
      <c r="L3944">
        <v>215.99109999999999</v>
      </c>
      <c r="M3944">
        <v>0.97234589999999999</v>
      </c>
      <c r="N3944">
        <v>-1.120966E-2</v>
      </c>
      <c r="O3944">
        <v>-0.2332765</v>
      </c>
      <c r="P3944">
        <v>0.98519769999999895</v>
      </c>
      <c r="Q3944">
        <v>0.15468789999999999</v>
      </c>
      <c r="R3944">
        <v>-7.3873899999999895E-2</v>
      </c>
      <c r="S3944">
        <v>3.0512079999999999</v>
      </c>
      <c r="T3944">
        <v>-0.1211348</v>
      </c>
      <c r="U3944">
        <v>-0.17829900000000001</v>
      </c>
      <c r="V3944">
        <v>-0.15936029999999901</v>
      </c>
      <c r="W3944">
        <v>0.16430439999999999</v>
      </c>
      <c r="X3944">
        <v>0.97345179999999998</v>
      </c>
      <c r="Y3944">
        <v>-0.1759</v>
      </c>
      <c r="Z3944">
        <v>1.1009049999999999E-2</v>
      </c>
      <c r="AA3944">
        <v>0.98434639999999995</v>
      </c>
      <c r="AB3944">
        <v>23</v>
      </c>
      <c r="AC3944">
        <v>27.827299999999902</v>
      </c>
      <c r="AD3944">
        <v>-1.1137833420080001</v>
      </c>
      <c r="AE3944">
        <v>-1.5897999999999901</v>
      </c>
      <c r="AF3944">
        <v>-4.9380451124085596</v>
      </c>
      <c r="AG3944">
        <v>-1.1137833420080001</v>
      </c>
      <c r="AH3944">
        <v>27.386615398264901</v>
      </c>
      <c r="AI3944">
        <v>92.291953810325197</v>
      </c>
      <c r="AJ3944">
        <v>100.22110511295</v>
      </c>
      <c r="AK3944">
        <v>27.850520746255299</v>
      </c>
      <c r="AL3944">
        <v>80.543172185125698</v>
      </c>
      <c r="AM3944">
        <v>99.297217283559505</v>
      </c>
      <c r="AN3944">
        <v>1.0000000239993401</v>
      </c>
    </row>
    <row r="3945" spans="1:40" x14ac:dyDescent="0.25">
      <c r="A3945" t="str">
        <f>"20190304154831395"</f>
        <v>20190304154831395</v>
      </c>
      <c r="B3945" t="str">
        <f>"1551685711390986"</f>
        <v>1551685711390986</v>
      </c>
      <c r="C3945" t="s">
        <v>40</v>
      </c>
      <c r="D3945">
        <v>4.2552399999999997</v>
      </c>
      <c r="E3945">
        <v>0.49210009999999998</v>
      </c>
      <c r="F3945" t="s">
        <v>60</v>
      </c>
      <c r="G3945">
        <v>-445.89449999999999</v>
      </c>
      <c r="H3945" s="1">
        <v>1.6075259999999999E-6</v>
      </c>
      <c r="I3945">
        <v>214.4436</v>
      </c>
      <c r="J3945">
        <v>-473.57459999999998</v>
      </c>
      <c r="K3945">
        <v>1.1137629999999901</v>
      </c>
      <c r="L3945">
        <v>215.94069999999999</v>
      </c>
      <c r="M3945">
        <v>0.97367199999999998</v>
      </c>
      <c r="N3945">
        <v>-1.120546E-2</v>
      </c>
      <c r="O3945">
        <v>-0.22767789999999999</v>
      </c>
      <c r="P3945">
        <v>0.98544509999999996</v>
      </c>
      <c r="Q3945">
        <v>0.15522330000000001</v>
      </c>
      <c r="R3945">
        <v>-6.9308120000000001E-2</v>
      </c>
      <c r="S3945">
        <v>3.0515140000000001</v>
      </c>
      <c r="T3945">
        <v>-0.12173639999999999</v>
      </c>
      <c r="U3945">
        <v>-0.16914370000000001</v>
      </c>
      <c r="V3945">
        <v>-0.15824440000000001</v>
      </c>
      <c r="W3945">
        <v>0.16485369999999999</v>
      </c>
      <c r="X3945">
        <v>0.97354099999999999</v>
      </c>
      <c r="Y3945">
        <v>-0.1731868</v>
      </c>
      <c r="Z3945">
        <v>1.0850200000000001E-2</v>
      </c>
      <c r="AA3945">
        <v>0.98482919999999996</v>
      </c>
      <c r="AB3945">
        <v>23</v>
      </c>
      <c r="AC3945">
        <v>27.6800999999999</v>
      </c>
      <c r="AD3945">
        <v>-1.11376139247399</v>
      </c>
      <c r="AE3945">
        <v>-1.4970999999999799</v>
      </c>
      <c r="AF3945">
        <v>-4.8369587404366303</v>
      </c>
      <c r="AG3945">
        <v>-1.11376139247399</v>
      </c>
      <c r="AH3945">
        <v>27.249920003055401</v>
      </c>
      <c r="AI3945">
        <v>92.304512547620106</v>
      </c>
      <c r="AJ3945">
        <v>100.065368991536</v>
      </c>
      <c r="AK3945">
        <v>27.698281074264699</v>
      </c>
      <c r="AL3945">
        <v>80.511264820215303</v>
      </c>
      <c r="AM3945">
        <v>99.232408419044603</v>
      </c>
      <c r="AN3945">
        <v>1.00000005560802</v>
      </c>
    </row>
    <row r="3946" spans="1:40" x14ac:dyDescent="0.25">
      <c r="A3946" t="str">
        <f>"20190304154831418"</f>
        <v>20190304154831418</v>
      </c>
      <c r="B3946" t="str">
        <f>"1551685711410507"</f>
        <v>1551685711410507</v>
      </c>
      <c r="C3946" t="s">
        <v>40</v>
      </c>
      <c r="D3946">
        <v>4.2396000000000003</v>
      </c>
      <c r="E3946">
        <v>0.4925891</v>
      </c>
      <c r="F3946" t="s">
        <v>60</v>
      </c>
      <c r="G3946">
        <v>-445.05759999999998</v>
      </c>
      <c r="H3946" s="1">
        <v>1.1620099999999999E-6</v>
      </c>
      <c r="I3946">
        <v>214.44749999999999</v>
      </c>
      <c r="J3946">
        <v>-473.34500000000003</v>
      </c>
      <c r="K3946">
        <v>1.113748</v>
      </c>
      <c r="L3946">
        <v>215.89349999999999</v>
      </c>
      <c r="M3946">
        <v>0.97490639999999995</v>
      </c>
      <c r="N3946">
        <v>-1.1201620000000001E-2</v>
      </c>
      <c r="O3946">
        <v>-0.22233310000000001</v>
      </c>
      <c r="P3946">
        <v>0.98562119999999998</v>
      </c>
      <c r="Q3946">
        <v>0.15603689999999901</v>
      </c>
      <c r="R3946">
        <v>-6.4835219999999999E-2</v>
      </c>
      <c r="S3946">
        <v>3.0518489999999998</v>
      </c>
      <c r="T3946">
        <v>-0.1191933</v>
      </c>
      <c r="U3946">
        <v>-0.15980529999999901</v>
      </c>
      <c r="V3946">
        <v>-0.15729019999999999</v>
      </c>
      <c r="W3946">
        <v>0.1656791</v>
      </c>
      <c r="X3946">
        <v>0.97355539999999996</v>
      </c>
      <c r="Y3946">
        <v>-0.170810299999999</v>
      </c>
      <c r="Z3946">
        <v>1.0388929999999999E-2</v>
      </c>
      <c r="AA3946">
        <v>0.98524920000000005</v>
      </c>
      <c r="AB3946">
        <v>23</v>
      </c>
      <c r="AC3946">
        <v>28.287400000000002</v>
      </c>
      <c r="AD3946">
        <v>-1.11374683799</v>
      </c>
      <c r="AE3946">
        <v>-1.44599999999999</v>
      </c>
      <c r="AF3946">
        <v>-4.8722835915621197</v>
      </c>
      <c r="AG3946">
        <v>-1.11374683799</v>
      </c>
      <c r="AH3946">
        <v>27.857739412842299</v>
      </c>
      <c r="AI3946">
        <v>92.255256807104502</v>
      </c>
      <c r="AJ3946">
        <v>99.920616176452</v>
      </c>
      <c r="AK3946">
        <v>28.302530357011701</v>
      </c>
      <c r="AL3946">
        <v>80.463312430687097</v>
      </c>
      <c r="AM3946">
        <v>99.177554540884898</v>
      </c>
      <c r="AN3946">
        <v>0.99999994403100301</v>
      </c>
    </row>
    <row r="3947" spans="1:40" x14ac:dyDescent="0.25">
      <c r="A3947" t="str">
        <f>"20190304154831436"</f>
        <v>20190304154831436</v>
      </c>
      <c r="B3947" t="str">
        <f>"1551685711431003"</f>
        <v>1551685711431003</v>
      </c>
      <c r="C3947" t="s">
        <v>40</v>
      </c>
      <c r="D3947">
        <v>4.2411629999999896</v>
      </c>
      <c r="E3947">
        <v>0.49311539999999998</v>
      </c>
      <c r="F3947" t="s">
        <v>60</v>
      </c>
      <c r="G3947">
        <v>-443.99579999999997</v>
      </c>
      <c r="H3947" s="1">
        <v>5.9671240000000002E-7</v>
      </c>
      <c r="I3947">
        <v>214.45249999999999</v>
      </c>
      <c r="J3947">
        <v>-473.1481</v>
      </c>
      <c r="K3947">
        <v>1.113731</v>
      </c>
      <c r="L3947">
        <v>215.85400000000001</v>
      </c>
      <c r="M3947">
        <v>0.97593339999999995</v>
      </c>
      <c r="N3947">
        <v>-1.1198680000000001E-2</v>
      </c>
      <c r="O3947">
        <v>-0.2177809</v>
      </c>
      <c r="P3947">
        <v>0.98578659999999996</v>
      </c>
      <c r="Q3947">
        <v>0.156471</v>
      </c>
      <c r="R3947">
        <v>-6.1168510000000002E-2</v>
      </c>
      <c r="S3947">
        <v>3.0522459999999998</v>
      </c>
      <c r="T3947">
        <v>-0.115827</v>
      </c>
      <c r="U3947">
        <v>-0.14985660000000001</v>
      </c>
      <c r="V3947">
        <v>-0.1563484</v>
      </c>
      <c r="W3947">
        <v>0.16612479999999999</v>
      </c>
      <c r="X3947">
        <v>0.97363120000000003</v>
      </c>
      <c r="Y3947">
        <v>-0.16943929999999999</v>
      </c>
      <c r="Z3947">
        <v>9.9020029999999995E-3</v>
      </c>
      <c r="AA3947">
        <v>0.98549089999999995</v>
      </c>
      <c r="AB3947">
        <v>23</v>
      </c>
      <c r="AC3947">
        <v>29.1523</v>
      </c>
      <c r="AD3947">
        <v>-1.1137304032876001</v>
      </c>
      <c r="AE3947">
        <v>-1.40150000000002</v>
      </c>
      <c r="AF3947">
        <v>-4.9741128558476104</v>
      </c>
      <c r="AG3947">
        <v>-1.1137304032876001</v>
      </c>
      <c r="AH3947">
        <v>28.715912247236201</v>
      </c>
      <c r="AI3947">
        <v>92.188513609849295</v>
      </c>
      <c r="AJ3947">
        <v>99.827148411035395</v>
      </c>
      <c r="AK3947">
        <v>29.1648043076734</v>
      </c>
      <c r="AL3947">
        <v>80.437417313284698</v>
      </c>
      <c r="AM3947">
        <v>99.122831048543702</v>
      </c>
      <c r="AN3947">
        <v>0.99999999248551996</v>
      </c>
    </row>
    <row r="3948" spans="1:40" x14ac:dyDescent="0.25">
      <c r="A3948" t="str">
        <f>"20190304154831460"</f>
        <v>20190304154831460</v>
      </c>
      <c r="B3948" t="str">
        <f>"1551685711450523"</f>
        <v>1551685711450523</v>
      </c>
      <c r="C3948" t="s">
        <v>40</v>
      </c>
      <c r="D3948">
        <v>4.1983079999999999</v>
      </c>
      <c r="E3948">
        <v>0.49366260000000001</v>
      </c>
      <c r="F3948" t="s">
        <v>60</v>
      </c>
      <c r="G3948">
        <v>-443.28500000000003</v>
      </c>
      <c r="H3948" s="1">
        <v>2.1805700000000001E-7</v>
      </c>
      <c r="I3948">
        <v>214.46270000000001</v>
      </c>
      <c r="J3948">
        <v>-472.91109999999998</v>
      </c>
      <c r="K3948">
        <v>1.113712</v>
      </c>
      <c r="L3948">
        <v>215.80760000000001</v>
      </c>
      <c r="M3948">
        <v>0.977132</v>
      </c>
      <c r="N3948">
        <v>-1.1195419999999999E-2</v>
      </c>
      <c r="O3948">
        <v>-0.21233920000000001</v>
      </c>
      <c r="P3948">
        <v>0.98617829999999995</v>
      </c>
      <c r="Q3948">
        <v>0.15579390000000001</v>
      </c>
      <c r="R3948">
        <v>-5.6396719999999997E-2</v>
      </c>
      <c r="S3948">
        <v>3.0524900000000001</v>
      </c>
      <c r="T3948">
        <v>-0.1138412</v>
      </c>
      <c r="U3948">
        <v>-0.1422119</v>
      </c>
      <c r="V3948">
        <v>-0.15564359999999999</v>
      </c>
      <c r="W3948">
        <v>0.16545940000000001</v>
      </c>
      <c r="X3948">
        <v>0.97385739999999998</v>
      </c>
      <c r="Y3948">
        <v>-0.16642579999999901</v>
      </c>
      <c r="Z3948">
        <v>9.4977570000000008E-3</v>
      </c>
      <c r="AA3948">
        <v>0.9860082</v>
      </c>
      <c r="AB3948">
        <v>23</v>
      </c>
      <c r="AC3948">
        <v>29.626099999999902</v>
      </c>
      <c r="AD3948">
        <v>-1.113711781943</v>
      </c>
      <c r="AE3948">
        <v>-1.34489999999999</v>
      </c>
      <c r="AF3948">
        <v>-4.9699399482818496</v>
      </c>
      <c r="AG3948">
        <v>-1.113711781943</v>
      </c>
      <c r="AH3948">
        <v>29.194841738217502</v>
      </c>
      <c r="AI3948">
        <v>92.153680934208197</v>
      </c>
      <c r="AJ3948">
        <v>99.661047326021105</v>
      </c>
      <c r="AK3948">
        <v>29.635779745812901</v>
      </c>
      <c r="AL3948">
        <v>80.476076917638494</v>
      </c>
      <c r="AM3948">
        <v>99.080318946187106</v>
      </c>
      <c r="AN3948">
        <v>0.99999998940203905</v>
      </c>
    </row>
    <row r="3949" spans="1:40" x14ac:dyDescent="0.25">
      <c r="A3949" t="str">
        <f>"20190304154831482"</f>
        <v>20190304154831482</v>
      </c>
      <c r="B3949" t="str">
        <f>"1551685711471018"</f>
        <v>1551685711471018</v>
      </c>
      <c r="C3949" t="s">
        <v>40</v>
      </c>
      <c r="D3949">
        <v>4.16615</v>
      </c>
      <c r="E3949">
        <v>0.49429580000000001</v>
      </c>
      <c r="F3949" t="s">
        <v>60</v>
      </c>
      <c r="G3949">
        <v>-443.46749999999997</v>
      </c>
      <c r="H3949" s="1">
        <v>3.1199490000000002E-7</v>
      </c>
      <c r="I3949">
        <v>214.535</v>
      </c>
      <c r="J3949">
        <v>-472.69170000000003</v>
      </c>
      <c r="K3949">
        <v>1.113696</v>
      </c>
      <c r="L3949">
        <v>215.76589999999999</v>
      </c>
      <c r="M3949">
        <v>0.97820419999999997</v>
      </c>
      <c r="N3949">
        <v>-1.1192540000000001E-2</v>
      </c>
      <c r="O3949">
        <v>-0.2073439</v>
      </c>
      <c r="P3949">
        <v>0.98635530000000005</v>
      </c>
      <c r="Q3949">
        <v>0.15608329999999901</v>
      </c>
      <c r="R3949">
        <v>-5.235894E-2</v>
      </c>
      <c r="S3949">
        <v>3.052673</v>
      </c>
      <c r="T3949">
        <v>-0.1154683</v>
      </c>
      <c r="U3949">
        <v>-0.1319427</v>
      </c>
      <c r="V3949">
        <v>-0.15463940000000001</v>
      </c>
      <c r="W3949">
        <v>0.165762299999999</v>
      </c>
      <c r="X3949">
        <v>0.97396590000000005</v>
      </c>
      <c r="Y3949">
        <v>-0.16469700000000001</v>
      </c>
      <c r="Z3949">
        <v>9.4849840000000001E-3</v>
      </c>
      <c r="AA3949">
        <v>0.98629860000000003</v>
      </c>
      <c r="AB3949">
        <v>23</v>
      </c>
      <c r="AC3949">
        <v>29.2242</v>
      </c>
      <c r="AD3949">
        <v>-1.1136956880051001</v>
      </c>
      <c r="AE3949">
        <v>-1.2308999999999899</v>
      </c>
      <c r="AF3949">
        <v>-4.8486625601752804</v>
      </c>
      <c r="AG3949">
        <v>-1.1136956880051001</v>
      </c>
      <c r="AH3949">
        <v>28.8025033550025</v>
      </c>
      <c r="AI3949">
        <v>92.183637048278101</v>
      </c>
      <c r="AJ3949">
        <v>99.555675612087398</v>
      </c>
      <c r="AK3949">
        <v>29.228993246823599</v>
      </c>
      <c r="AL3949">
        <v>80.458479403326905</v>
      </c>
      <c r="AM3949">
        <v>99.021711674088095</v>
      </c>
      <c r="AN3949">
        <v>1.0000000292482201</v>
      </c>
    </row>
    <row r="3950" spans="1:40" x14ac:dyDescent="0.25">
      <c r="A3950" t="str">
        <f>"20190304154831505"</f>
        <v>20190304154831505</v>
      </c>
      <c r="B3950" t="str">
        <f>"1551685711500298"</f>
        <v>1551685711500298</v>
      </c>
      <c r="C3950" t="s">
        <v>40</v>
      </c>
      <c r="D3950">
        <v>4.141222</v>
      </c>
      <c r="E3950">
        <v>0.49466549999999998</v>
      </c>
      <c r="F3950" t="s">
        <v>60</v>
      </c>
      <c r="G3950">
        <v>-442.81079999999997</v>
      </c>
      <c r="H3950" s="1">
        <v>-3.8155429999999998E-8</v>
      </c>
      <c r="I3950">
        <v>214.5505</v>
      </c>
      <c r="J3950">
        <v>-472.46940000000001</v>
      </c>
      <c r="K3950">
        <v>1.113677</v>
      </c>
      <c r="L3950">
        <v>215.72470000000001</v>
      </c>
      <c r="M3950">
        <v>0.97925479999999998</v>
      </c>
      <c r="N3950">
        <v>-1.1189630000000001E-2</v>
      </c>
      <c r="O3950">
        <v>-0.2023237</v>
      </c>
      <c r="P3950">
        <v>0.98658990000000002</v>
      </c>
      <c r="Q3950">
        <v>0.1560406</v>
      </c>
      <c r="R3950">
        <v>-4.7874890000000003E-2</v>
      </c>
      <c r="S3950">
        <v>3.0529480000000002</v>
      </c>
      <c r="T3950">
        <v>-0.1137867</v>
      </c>
      <c r="U3950">
        <v>-0.12417599999999999</v>
      </c>
      <c r="V3950">
        <v>-0.15406199999999901</v>
      </c>
      <c r="W3950">
        <v>0.16572979999999901</v>
      </c>
      <c r="X3950">
        <v>0.97406289999999995</v>
      </c>
      <c r="Y3950">
        <v>-0.16215669999999999</v>
      </c>
      <c r="Z3950">
        <v>9.1389469999999997E-3</v>
      </c>
      <c r="AA3950">
        <v>0.98672269999999895</v>
      </c>
      <c r="AB3950">
        <v>23</v>
      </c>
      <c r="AC3950">
        <v>29.6586</v>
      </c>
      <c r="AD3950">
        <v>-1.11367703815543</v>
      </c>
      <c r="AE3950">
        <v>-1.1742000000000099</v>
      </c>
      <c r="AF3950">
        <v>-4.8442805701591398</v>
      </c>
      <c r="AG3950">
        <v>-1.11367703815543</v>
      </c>
      <c r="AH3950">
        <v>29.241561527880101</v>
      </c>
      <c r="AI3950">
        <v>92.151780044138803</v>
      </c>
      <c r="AJ3950">
        <v>99.406429667973697</v>
      </c>
      <c r="AK3950">
        <v>29.6610224263516</v>
      </c>
      <c r="AL3950">
        <v>80.460367349708093</v>
      </c>
      <c r="AM3950">
        <v>98.987696470081701</v>
      </c>
      <c r="AN3950">
        <v>0.99999999980422505</v>
      </c>
    </row>
    <row r="3951" spans="1:40" x14ac:dyDescent="0.25">
      <c r="A3951" t="str">
        <f>"20190304154831573"</f>
        <v>20190304154831573</v>
      </c>
      <c r="B3951" t="str">
        <f>"1551685711570570"</f>
        <v>1551685711570570</v>
      </c>
      <c r="C3951" t="s">
        <v>40</v>
      </c>
      <c r="D3951">
        <v>3.1319680000000001</v>
      </c>
      <c r="E3951">
        <v>0.52022139999999994</v>
      </c>
      <c r="F3951" t="s">
        <v>60</v>
      </c>
      <c r="G3951">
        <v>-441.79809999999998</v>
      </c>
      <c r="H3951" s="1">
        <v>-5.7879599999999996E-7</v>
      </c>
      <c r="I3951">
        <v>214.59030000000001</v>
      </c>
      <c r="J3951">
        <v>-471.76940000000002</v>
      </c>
      <c r="K3951">
        <v>1.1135569999999999</v>
      </c>
      <c r="L3951">
        <v>215.60220000000001</v>
      </c>
      <c r="M3951">
        <v>0.98231970000000002</v>
      </c>
      <c r="N3951">
        <v>-1.1178169999999999E-2</v>
      </c>
      <c r="O3951">
        <v>-0.18687799999999999</v>
      </c>
      <c r="P3951">
        <v>0.98704369999999997</v>
      </c>
      <c r="Q3951">
        <v>0.1566475</v>
      </c>
      <c r="R3951">
        <v>-3.4736290000000003E-2</v>
      </c>
      <c r="S3951">
        <v>3.0528559999999998</v>
      </c>
      <c r="T3951">
        <v>-0.1108494</v>
      </c>
      <c r="U3951">
        <v>-0.112915</v>
      </c>
      <c r="V3951">
        <v>-0.1516265</v>
      </c>
      <c r="W3951">
        <v>0.1663895</v>
      </c>
      <c r="X3951">
        <v>0.97433259999999999</v>
      </c>
      <c r="Y3951">
        <v>-0.15026510000000001</v>
      </c>
      <c r="Z3951">
        <v>8.2128519999999997E-3</v>
      </c>
      <c r="AA3951">
        <v>0.98861160000000003</v>
      </c>
      <c r="AB3951">
        <v>23</v>
      </c>
      <c r="AC3951">
        <v>29.971299999999999</v>
      </c>
      <c r="AD3951">
        <v>-1.1135575787959999</v>
      </c>
      <c r="AE3951">
        <v>-1.01189999999999</v>
      </c>
      <c r="AF3951">
        <v>-4.6009103837875296</v>
      </c>
      <c r="AG3951">
        <v>-1.1135575787959999</v>
      </c>
      <c r="AH3951">
        <v>29.591544196906501</v>
      </c>
      <c r="AI3951">
        <v>92.129515094062498</v>
      </c>
      <c r="AJ3951">
        <v>98.837620086724201</v>
      </c>
      <c r="AK3951">
        <v>29.967780611823901</v>
      </c>
      <c r="AL3951">
        <v>80.422037507717107</v>
      </c>
      <c r="AM3951">
        <v>98.845469105526504</v>
      </c>
      <c r="AN3951">
        <v>1.00000003831762</v>
      </c>
    </row>
    <row r="3952" spans="1:40" x14ac:dyDescent="0.25">
      <c r="A3952" t="str">
        <f>"20190304154831595"</f>
        <v>20190304154831595</v>
      </c>
      <c r="B3952" t="str">
        <f>"1551685711591068"</f>
        <v>1551685711591068</v>
      </c>
      <c r="C3952" t="s">
        <v>40</v>
      </c>
      <c r="D3952">
        <v>4.45845</v>
      </c>
      <c r="E3952">
        <v>0.52170059999999996</v>
      </c>
      <c r="F3952" t="s">
        <v>41</v>
      </c>
      <c r="G3952">
        <v>-470.8569</v>
      </c>
      <c r="H3952">
        <v>0.98319199999999995</v>
      </c>
      <c r="I3952">
        <v>215.5188</v>
      </c>
      <c r="J3952">
        <v>-471.53410000000002</v>
      </c>
      <c r="K3952">
        <v>1.11349599999999</v>
      </c>
      <c r="L3952">
        <v>215.5634</v>
      </c>
      <c r="M3952">
        <v>0.98326080000000005</v>
      </c>
      <c r="N3952">
        <v>-1.117315E-2</v>
      </c>
      <c r="O3952">
        <v>-0.1818611</v>
      </c>
      <c r="P3952">
        <v>0.98726199999999997</v>
      </c>
      <c r="Q3952">
        <v>0.15601470000000001</v>
      </c>
      <c r="R3952">
        <v>-3.1198279999999998E-2</v>
      </c>
      <c r="S3952">
        <v>3.099701</v>
      </c>
      <c r="T3952">
        <v>-0.44296180000000002</v>
      </c>
      <c r="U3952">
        <v>-0.2830048</v>
      </c>
      <c r="V3952">
        <v>-0.15013270000000001</v>
      </c>
      <c r="W3952">
        <v>0.16578770000000001</v>
      </c>
      <c r="X3952">
        <v>0.97466640000000004</v>
      </c>
      <c r="Y3952">
        <v>-8.9212949999999999E-2</v>
      </c>
      <c r="Z3952">
        <v>3.044291E-2</v>
      </c>
      <c r="AA3952">
        <v>0.99554719999999997</v>
      </c>
      <c r="AB3952">
        <v>23</v>
      </c>
      <c r="AC3952">
        <v>0.677200000000027</v>
      </c>
      <c r="AD3952">
        <v>-0.130303999999999</v>
      </c>
      <c r="AE3952">
        <v>-4.4600000000002603E-2</v>
      </c>
      <c r="AF3952">
        <v>-7.6488194407171597E-2</v>
      </c>
      <c r="AG3952">
        <v>-0.130303999999999</v>
      </c>
      <c r="AH3952">
        <v>0.650053707448773</v>
      </c>
      <c r="AI3952">
        <v>101.25911530735399</v>
      </c>
      <c r="AJ3952">
        <v>96.710818117739393</v>
      </c>
      <c r="AK3952">
        <v>0.66738249817294704</v>
      </c>
      <c r="AL3952">
        <v>80.457003295492996</v>
      </c>
      <c r="AM3952">
        <v>98.756729639494907</v>
      </c>
      <c r="AN3952">
        <v>0.99999999018477004</v>
      </c>
    </row>
    <row r="3953" spans="1:40" x14ac:dyDescent="0.25">
      <c r="A3953" t="str">
        <f>"20190304154831616"</f>
        <v>20190304154831616</v>
      </c>
      <c r="B3953" t="str">
        <f>"1551685711610589"</f>
        <v>1551685711610589</v>
      </c>
      <c r="C3953" t="s">
        <v>40</v>
      </c>
      <c r="D3953">
        <v>4.054335</v>
      </c>
      <c r="E3953">
        <v>0.51951590000000003</v>
      </c>
      <c r="F3953" t="s">
        <v>60</v>
      </c>
      <c r="G3953">
        <v>-460.9572</v>
      </c>
      <c r="H3953" s="1">
        <v>-1.026743E-6</v>
      </c>
      <c r="I3953">
        <v>214.6003</v>
      </c>
      <c r="J3953">
        <v>-471.31720000000001</v>
      </c>
      <c r="K3953">
        <v>1.1134379999999999</v>
      </c>
      <c r="L3953">
        <v>215.52860000000001</v>
      </c>
      <c r="M3953">
        <v>0.98409159999999996</v>
      </c>
      <c r="N3953">
        <v>-1.116865E-2</v>
      </c>
      <c r="O3953">
        <v>-0.17731060000000001</v>
      </c>
      <c r="P3953">
        <v>0.98747059999999998</v>
      </c>
      <c r="Q3953">
        <v>0.1553522</v>
      </c>
      <c r="R3953">
        <v>-2.7707260000000001E-2</v>
      </c>
      <c r="S3953">
        <v>3.0811160000000002</v>
      </c>
      <c r="T3953">
        <v>-0.32436619999999999</v>
      </c>
      <c r="U3953">
        <v>-0.28057860000000001</v>
      </c>
      <c r="V3953">
        <v>-0.14905979999999999</v>
      </c>
      <c r="W3953">
        <v>0.16515089999999999</v>
      </c>
      <c r="X3953">
        <v>0.97493920000000001</v>
      </c>
      <c r="Y3953">
        <v>-8.6054439999999996E-2</v>
      </c>
      <c r="Z3953">
        <v>2.1473039999999999E-2</v>
      </c>
      <c r="AA3953">
        <v>0.99605900000000003</v>
      </c>
      <c r="AB3953">
        <v>23</v>
      </c>
      <c r="AC3953">
        <v>10.36</v>
      </c>
      <c r="AD3953">
        <v>-1.1134390267430001</v>
      </c>
      <c r="AE3953">
        <v>-0.92830000000000701</v>
      </c>
      <c r="AF3953">
        <v>-0.91300122320846799</v>
      </c>
      <c r="AG3953">
        <v>-1.1134390267430001</v>
      </c>
      <c r="AH3953">
        <v>10.2430587681028</v>
      </c>
      <c r="AI3953">
        <v>96.179488391431207</v>
      </c>
      <c r="AJ3953">
        <v>95.093521446163393</v>
      </c>
      <c r="AK3953">
        <v>10.3437696526296</v>
      </c>
      <c r="AL3953">
        <v>80.493999753850304</v>
      </c>
      <c r="AM3953">
        <v>98.692714958212903</v>
      </c>
      <c r="AN3953">
        <v>1.00000004372174</v>
      </c>
    </row>
    <row r="3954" spans="1:40" x14ac:dyDescent="0.25">
      <c r="A3954" t="str">
        <f>"20190304154831638"</f>
        <v>20190304154831638</v>
      </c>
      <c r="B3954" t="str">
        <f>"1551685711630107"</f>
        <v>1551685711630107</v>
      </c>
      <c r="C3954" t="s">
        <v>40</v>
      </c>
      <c r="D3954">
        <v>4.0681279999999997</v>
      </c>
      <c r="E3954">
        <v>0.52015009999999995</v>
      </c>
      <c r="F3954" t="s">
        <v>60</v>
      </c>
      <c r="G3954">
        <v>-455.95030000000003</v>
      </c>
      <c r="H3954" s="1">
        <v>1.644587E-6</v>
      </c>
      <c r="I3954">
        <v>214.2748</v>
      </c>
      <c r="J3954">
        <v>-471.0917</v>
      </c>
      <c r="K3954">
        <v>1.113375</v>
      </c>
      <c r="L3954">
        <v>215.49350000000001</v>
      </c>
      <c r="M3954">
        <v>0.98491569999999995</v>
      </c>
      <c r="N3954">
        <v>-1.116372E-2</v>
      </c>
      <c r="O3954">
        <v>-0.17267489999999999</v>
      </c>
      <c r="P3954">
        <v>0.98769030000000002</v>
      </c>
      <c r="Q3954">
        <v>0.1544845</v>
      </c>
      <c r="R3954">
        <v>-2.4547289999999999E-2</v>
      </c>
      <c r="S3954">
        <v>3.0660099999999999</v>
      </c>
      <c r="T3954">
        <v>-0.2221534</v>
      </c>
      <c r="U3954">
        <v>-0.2501678</v>
      </c>
      <c r="V3954">
        <v>-0.14758080000000001</v>
      </c>
      <c r="W3954">
        <v>0.16431370000000001</v>
      </c>
      <c r="X3954">
        <v>0.97530559999999999</v>
      </c>
      <c r="Y3954">
        <v>-9.1420840000000003E-2</v>
      </c>
      <c r="Z3954">
        <v>1.4286409999999999E-2</v>
      </c>
      <c r="AA3954">
        <v>0.99570979999999998</v>
      </c>
      <c r="AB3954">
        <v>23</v>
      </c>
      <c r="AC3954">
        <v>15.1413999999999</v>
      </c>
      <c r="AD3954">
        <v>-1.1133733554130001</v>
      </c>
      <c r="AE3954">
        <v>-1.2187000000000101</v>
      </c>
      <c r="AF3954">
        <v>-1.40675372999968</v>
      </c>
      <c r="AG3954">
        <v>-1.1133733554130001</v>
      </c>
      <c r="AH3954">
        <v>15.043566824790799</v>
      </c>
      <c r="AI3954">
        <v>94.214420066103699</v>
      </c>
      <c r="AJ3954">
        <v>95.342306057112907</v>
      </c>
      <c r="AK3954">
        <v>15.1501636656955</v>
      </c>
      <c r="AL3954">
        <v>80.542632230849705</v>
      </c>
      <c r="AM3954">
        <v>98.604577110737907</v>
      </c>
      <c r="AN3954">
        <v>1.0000000489638401</v>
      </c>
    </row>
    <row r="3955" spans="1:40" x14ac:dyDescent="0.25">
      <c r="A3955" t="str">
        <f>"20190304154831661"</f>
        <v>20190304154831661</v>
      </c>
      <c r="B3955" t="str">
        <f>"1551685711650602"</f>
        <v>1551685711650602</v>
      </c>
      <c r="C3955" t="s">
        <v>40</v>
      </c>
      <c r="D3955">
        <v>4.0552960000000002</v>
      </c>
      <c r="E3955">
        <v>0.51845620000000003</v>
      </c>
      <c r="F3955" t="s">
        <v>60</v>
      </c>
      <c r="G3955">
        <v>-451.20400000000001</v>
      </c>
      <c r="H3955" s="1">
        <v>-8.6496599999999999E-7</v>
      </c>
      <c r="I3955">
        <v>213.9041</v>
      </c>
      <c r="J3955">
        <v>-470.85759999999999</v>
      </c>
      <c r="K3955">
        <v>1.1133059999999999</v>
      </c>
      <c r="L3955">
        <v>215.458</v>
      </c>
      <c r="M3955">
        <v>0.98572680000000001</v>
      </c>
      <c r="N3955">
        <v>-1.1158090000000001E-2</v>
      </c>
      <c r="O3955">
        <v>-0.16798289999999999</v>
      </c>
      <c r="P3955">
        <v>0.98782309999999995</v>
      </c>
      <c r="Q3955">
        <v>0.15420120000000001</v>
      </c>
      <c r="R3955">
        <v>-2.068511E-2</v>
      </c>
      <c r="S3955">
        <v>3.0581360000000002</v>
      </c>
      <c r="T3955">
        <v>-0.17120350000000001</v>
      </c>
      <c r="U3955">
        <v>-0.24440000000000001</v>
      </c>
      <c r="V3955">
        <v>-0.1467263</v>
      </c>
      <c r="W3955">
        <v>0.16405739999999999</v>
      </c>
      <c r="X3955">
        <v>0.97547759999999994</v>
      </c>
      <c r="Y3955">
        <v>-8.8597910000000002E-2</v>
      </c>
      <c r="Z3955">
        <v>1.042219E-2</v>
      </c>
      <c r="AA3955">
        <v>0.99601289999999998</v>
      </c>
      <c r="AB3955">
        <v>23</v>
      </c>
      <c r="AC3955">
        <v>19.653599999999901</v>
      </c>
      <c r="AD3955">
        <v>-1.1133068649659901</v>
      </c>
      <c r="AE3955">
        <v>-1.5538999999999901</v>
      </c>
      <c r="AF3955">
        <v>-1.76423201939118</v>
      </c>
      <c r="AG3955">
        <v>-1.1133068649659901</v>
      </c>
      <c r="AH3955">
        <v>19.572914611883</v>
      </c>
      <c r="AI3955">
        <v>93.242358076854302</v>
      </c>
      <c r="AJ3955">
        <v>95.150516693999293</v>
      </c>
      <c r="AK3955">
        <v>19.683773855586999</v>
      </c>
      <c r="AL3955">
        <v>80.557518627280899</v>
      </c>
      <c r="AM3955">
        <v>98.554009340885699</v>
      </c>
      <c r="AN3955">
        <v>0.99999999285410401</v>
      </c>
    </row>
    <row r="3956" spans="1:40" x14ac:dyDescent="0.25">
      <c r="A3956" t="str">
        <f>"20190304154831682"</f>
        <v>20190304154831682</v>
      </c>
      <c r="B3956" t="str">
        <f>"1551685711680859"</f>
        <v>1551685711680859</v>
      </c>
      <c r="C3956" t="s">
        <v>40</v>
      </c>
      <c r="D3956">
        <v>4.0507499999999999</v>
      </c>
      <c r="E3956">
        <v>0.51991670000000001</v>
      </c>
      <c r="F3956" t="s">
        <v>60</v>
      </c>
      <c r="G3956">
        <v>-447.37569999999999</v>
      </c>
      <c r="H3956" s="1">
        <v>2.424952E-6</v>
      </c>
      <c r="I3956">
        <v>213.77500000000001</v>
      </c>
      <c r="J3956">
        <v>-470.63589999999999</v>
      </c>
      <c r="K3956">
        <v>1.1132340000000001</v>
      </c>
      <c r="L3956">
        <v>215.42529999999999</v>
      </c>
      <c r="M3956">
        <v>0.98645159999999998</v>
      </c>
      <c r="N3956">
        <v>-1.1151650000000001E-2</v>
      </c>
      <c r="O3956">
        <v>-0.1636735</v>
      </c>
      <c r="P3956">
        <v>0.98782409999999998</v>
      </c>
      <c r="Q3956">
        <v>0.15456300000000001</v>
      </c>
      <c r="R3956">
        <v>-1.771876E-2</v>
      </c>
      <c r="S3956">
        <v>3.0550229999999998</v>
      </c>
      <c r="T3956">
        <v>-0.14484169999999999</v>
      </c>
      <c r="U3956">
        <v>-0.21896360000000001</v>
      </c>
      <c r="V3956">
        <v>-0.14535129999999999</v>
      </c>
      <c r="W3956">
        <v>0.16445199999999999</v>
      </c>
      <c r="X3956">
        <v>0.97561699999999996</v>
      </c>
      <c r="Y3956">
        <v>-9.2506480000000002E-2</v>
      </c>
      <c r="Z3956">
        <v>8.5827090000000009E-3</v>
      </c>
      <c r="AA3956">
        <v>0.99567510000000004</v>
      </c>
      <c r="AB3956">
        <v>23</v>
      </c>
      <c r="AC3956">
        <v>23.260200000000001</v>
      </c>
      <c r="AD3956">
        <v>-1.113231575048</v>
      </c>
      <c r="AE3956">
        <v>-1.6502999999999799</v>
      </c>
      <c r="AF3956">
        <v>-2.1743171477505401</v>
      </c>
      <c r="AG3956">
        <v>-1.113231575048</v>
      </c>
      <c r="AH3956">
        <v>23.163821309914599</v>
      </c>
      <c r="AI3956">
        <v>92.739440840983093</v>
      </c>
      <c r="AJ3956">
        <v>95.362467064769504</v>
      </c>
      <c r="AK3956">
        <v>23.292263893325998</v>
      </c>
      <c r="AL3956">
        <v>80.534598436262598</v>
      </c>
      <c r="AM3956">
        <v>98.473824261156693</v>
      </c>
      <c r="AN3956">
        <v>0.99999999570234499</v>
      </c>
    </row>
    <row r="3957" spans="1:40" x14ac:dyDescent="0.25">
      <c r="A3957" t="str">
        <f>"20190304154831705"</f>
        <v>20190304154831705</v>
      </c>
      <c r="B3957" t="str">
        <f>"1551685711700379"</f>
        <v>1551685711700379</v>
      </c>
      <c r="C3957" t="s">
        <v>40</v>
      </c>
      <c r="D3957">
        <v>4.0154839999999998</v>
      </c>
      <c r="E3957">
        <v>0.52104070000000002</v>
      </c>
      <c r="F3957" t="s">
        <v>61</v>
      </c>
      <c r="G3957">
        <v>-438.10469999999998</v>
      </c>
      <c r="H3957" s="1">
        <v>5.9466939999999996E-6</v>
      </c>
      <c r="I3957">
        <v>213.06530000000001</v>
      </c>
      <c r="J3957">
        <v>-470.40379999999999</v>
      </c>
      <c r="K3957">
        <v>1.1131279999999999</v>
      </c>
      <c r="L3957">
        <v>215.392</v>
      </c>
      <c r="M3957">
        <v>0.98716389999999998</v>
      </c>
      <c r="N3957">
        <v>-1.1143999999999999E-2</v>
      </c>
      <c r="O3957">
        <v>-0.1593215</v>
      </c>
      <c r="P3957">
        <v>0.98787320000000001</v>
      </c>
      <c r="Q3957">
        <v>0.1545348</v>
      </c>
      <c r="R3957">
        <v>-1.5020189999999999E-2</v>
      </c>
      <c r="S3957">
        <v>3.049347</v>
      </c>
      <c r="T3957">
        <v>-0.1043497</v>
      </c>
      <c r="U3957">
        <v>-0.2212219</v>
      </c>
      <c r="V3957">
        <v>-0.14366989999999999</v>
      </c>
      <c r="W3957">
        <v>0.16446659999999999</v>
      </c>
      <c r="X3957">
        <v>0.97586360000000005</v>
      </c>
      <c r="Y3957">
        <v>-8.7372259999999993E-2</v>
      </c>
      <c r="Z3957">
        <v>5.6170780000000002E-3</v>
      </c>
      <c r="AA3957">
        <v>0.99615989999999999</v>
      </c>
      <c r="AB3957">
        <v>23</v>
      </c>
      <c r="AC3957">
        <v>32.299100000000003</v>
      </c>
      <c r="AD3957">
        <v>-1.113122053306</v>
      </c>
      <c r="AE3957">
        <v>-2.3266999999999798</v>
      </c>
      <c r="AF3957">
        <v>-2.8459209745355998</v>
      </c>
      <c r="AG3957">
        <v>-1.113122053306</v>
      </c>
      <c r="AH3957">
        <v>32.219131447028097</v>
      </c>
      <c r="AI3957">
        <v>91.971026988340697</v>
      </c>
      <c r="AJ3957">
        <v>95.047844340645497</v>
      </c>
      <c r="AK3957">
        <v>32.363725652337003</v>
      </c>
      <c r="AL3957">
        <v>80.533750738698501</v>
      </c>
      <c r="AM3957">
        <v>98.375112550296095</v>
      </c>
      <c r="AN3957">
        <v>1.00000003424326</v>
      </c>
    </row>
    <row r="3958" spans="1:40" x14ac:dyDescent="0.25">
      <c r="A3958" t="str">
        <f>"20190304154831728"</f>
        <v>20190304154831728</v>
      </c>
      <c r="B3958" t="str">
        <f>"1551685711720875"</f>
        <v>1551685711720875</v>
      </c>
      <c r="C3958" t="s">
        <v>40</v>
      </c>
      <c r="D3958">
        <v>4.0217309999999999</v>
      </c>
      <c r="E3958">
        <v>0.52196229999999999</v>
      </c>
      <c r="F3958" t="s">
        <v>61</v>
      </c>
      <c r="G3958">
        <v>-431.2099</v>
      </c>
      <c r="H3958" s="1">
        <v>2.9352770000000001E-6</v>
      </c>
      <c r="I3958">
        <v>212.53720000000001</v>
      </c>
      <c r="J3958">
        <v>-470.16430000000003</v>
      </c>
      <c r="K3958">
        <v>1.113002</v>
      </c>
      <c r="L3958">
        <v>215.35839999999999</v>
      </c>
      <c r="M3958">
        <v>0.98784910000000004</v>
      </c>
      <c r="N3958">
        <v>-1.1135050000000001E-2</v>
      </c>
      <c r="O3958">
        <v>-0.15501760000000001</v>
      </c>
      <c r="P3958">
        <v>0.98801430000000001</v>
      </c>
      <c r="Q3958">
        <v>0.15387419999999999</v>
      </c>
      <c r="R3958">
        <v>-1.2281439999999999E-2</v>
      </c>
      <c r="S3958">
        <v>3.0469970000000002</v>
      </c>
      <c r="T3958">
        <v>-8.6536050000000003E-2</v>
      </c>
      <c r="U3958">
        <v>-0.2219391</v>
      </c>
      <c r="V3958">
        <v>-0.14208090000000001</v>
      </c>
      <c r="W3958">
        <v>0.16385469999999999</v>
      </c>
      <c r="X3958">
        <v>0.97619909999999999</v>
      </c>
      <c r="Y3958">
        <v>-8.278112E-2</v>
      </c>
      <c r="Z3958">
        <v>4.2802999999999999E-3</v>
      </c>
      <c r="AA3958">
        <v>0.99655850000000001</v>
      </c>
      <c r="AB3958">
        <v>23</v>
      </c>
      <c r="AC3958">
        <v>38.9544</v>
      </c>
      <c r="AD3958">
        <v>-1.1129990647229999</v>
      </c>
      <c r="AE3958">
        <v>-2.82119999999997</v>
      </c>
      <c r="AF3958">
        <v>-3.2492601572994202</v>
      </c>
      <c r="AG3958">
        <v>-1.1129990647229999</v>
      </c>
      <c r="AH3958">
        <v>38.889230361414597</v>
      </c>
      <c r="AI3958">
        <v>91.633652791393104</v>
      </c>
      <c r="AJ3958">
        <v>94.776064984100302</v>
      </c>
      <c r="AK3958">
        <v>39.040603179139801</v>
      </c>
      <c r="AL3958">
        <v>80.569292000466106</v>
      </c>
      <c r="AM3958">
        <v>98.280968161820894</v>
      </c>
      <c r="AN3958">
        <v>1.0000000138488501</v>
      </c>
    </row>
    <row r="3959" spans="1:40" x14ac:dyDescent="0.25">
      <c r="A3959" t="str">
        <f>"20190304154831750"</f>
        <v>20190304154831750</v>
      </c>
      <c r="B3959" t="str">
        <f>"1551685711740395"</f>
        <v>1551685711740395</v>
      </c>
      <c r="C3959" t="s">
        <v>40</v>
      </c>
      <c r="D3959">
        <v>4.0082529999999998</v>
      </c>
      <c r="E3959">
        <v>0.52302470000000001</v>
      </c>
      <c r="F3959" t="s">
        <v>61</v>
      </c>
      <c r="G3959">
        <v>-424.62130000000002</v>
      </c>
      <c r="H3959" s="1">
        <v>3.3689219999999998E-6</v>
      </c>
      <c r="I3959">
        <v>212.05330000000001</v>
      </c>
      <c r="J3959">
        <v>-469.9427</v>
      </c>
      <c r="K3959">
        <v>1.1128709999999999</v>
      </c>
      <c r="L3959">
        <v>215.32810000000001</v>
      </c>
      <c r="M3959">
        <v>0.98843599999999998</v>
      </c>
      <c r="N3959">
        <v>-1.1126280000000001E-2</v>
      </c>
      <c r="O3959">
        <v>-0.15122949999999999</v>
      </c>
      <c r="P3959">
        <v>0.98817940000000004</v>
      </c>
      <c r="Q3959">
        <v>0.15296080000000001</v>
      </c>
      <c r="R3959">
        <v>-1.0219789999999999E-2</v>
      </c>
      <c r="S3959">
        <v>3.0451969999999999</v>
      </c>
      <c r="T3959">
        <v>-7.4419739999999998E-2</v>
      </c>
      <c r="U3959">
        <v>-0.22099299999999999</v>
      </c>
      <c r="V3959">
        <v>-0.140336299999999</v>
      </c>
      <c r="W3959">
        <v>0.16299240000000001</v>
      </c>
      <c r="X3959">
        <v>0.97659580000000001</v>
      </c>
      <c r="Y3959">
        <v>-7.9246869999999997E-2</v>
      </c>
      <c r="Z3959">
        <v>3.3956530000000002E-3</v>
      </c>
      <c r="AA3959">
        <v>0.99684919999999999</v>
      </c>
      <c r="AB3959">
        <v>24</v>
      </c>
      <c r="AC3959">
        <v>45.321399999999898</v>
      </c>
      <c r="AD3959">
        <v>-1.1128676310779999</v>
      </c>
      <c r="AE3959">
        <v>-3.2747999999999902</v>
      </c>
      <c r="AF3959">
        <v>-3.6150581913142998</v>
      </c>
      <c r="AG3959">
        <v>-1.1128676310779999</v>
      </c>
      <c r="AH3959">
        <v>45.268203469298797</v>
      </c>
      <c r="AI3959">
        <v>91.403800946406193</v>
      </c>
      <c r="AJ3959">
        <v>94.565874635858805</v>
      </c>
      <c r="AK3959">
        <v>45.425954755279797</v>
      </c>
      <c r="AL3959">
        <v>80.619372027640907</v>
      </c>
      <c r="AM3959">
        <v>98.177393386326898</v>
      </c>
      <c r="AN3959">
        <v>1.0000000780665399</v>
      </c>
    </row>
    <row r="3960" spans="1:40" x14ac:dyDescent="0.25">
      <c r="A3960" t="str">
        <f>"20190304154831772"</f>
        <v>20190304154831772</v>
      </c>
      <c r="B3960" t="str">
        <f>"1551685711760890"</f>
        <v>1551685711760890</v>
      </c>
      <c r="C3960" t="s">
        <v>40</v>
      </c>
      <c r="D3960">
        <v>4.020435</v>
      </c>
      <c r="E3960">
        <v>0.52397740000000004</v>
      </c>
      <c r="F3960" t="s">
        <v>61</v>
      </c>
      <c r="G3960">
        <v>-418.57029999999997</v>
      </c>
      <c r="H3960" s="1">
        <v>3.9929539999999997E-6</v>
      </c>
      <c r="I3960">
        <v>211.5625</v>
      </c>
      <c r="J3960">
        <v>-469.71190000000001</v>
      </c>
      <c r="K3960">
        <v>1.1127209999999901</v>
      </c>
      <c r="L3960">
        <v>215.29730000000001</v>
      </c>
      <c r="M3960">
        <v>0.98899879999999996</v>
      </c>
      <c r="N3960">
        <v>-1.111674E-2</v>
      </c>
      <c r="O3960">
        <v>-0.1475052</v>
      </c>
      <c r="P3960">
        <v>0.98813899999999999</v>
      </c>
      <c r="Q3960">
        <v>0.15335779999999999</v>
      </c>
      <c r="R3960">
        <v>-7.9246330000000004E-3</v>
      </c>
      <c r="S3960">
        <v>3.043793</v>
      </c>
      <c r="T3960">
        <v>-6.5936919999999996E-2</v>
      </c>
      <c r="U3960">
        <v>-0.22311400000000001</v>
      </c>
      <c r="V3960">
        <v>-0.13885839999999999</v>
      </c>
      <c r="W3960">
        <v>0.16343929999999901</v>
      </c>
      <c r="X3960">
        <v>0.9767323</v>
      </c>
      <c r="Y3960">
        <v>-7.4779940000000003E-2</v>
      </c>
      <c r="Z3960">
        <v>2.7584699999999998E-3</v>
      </c>
      <c r="AA3960">
        <v>0.99719630000000004</v>
      </c>
      <c r="AB3960">
        <v>24</v>
      </c>
      <c r="AC3960">
        <v>51.141599999999997</v>
      </c>
      <c r="AD3960">
        <v>-1.11271700704599</v>
      </c>
      <c r="AE3960">
        <v>-3.7347999999999999</v>
      </c>
      <c r="AF3960">
        <v>-3.8483650258034499</v>
      </c>
      <c r="AG3960">
        <v>-1.11271700704599</v>
      </c>
      <c r="AH3960">
        <v>51.108977077440301</v>
      </c>
      <c r="AI3960">
        <v>91.243696107477405</v>
      </c>
      <c r="AJ3960">
        <v>94.306088414715902</v>
      </c>
      <c r="AK3960">
        <v>51.265735051903</v>
      </c>
      <c r="AL3960">
        <v>80.593417995840397</v>
      </c>
      <c r="AM3960">
        <v>98.091306887627894</v>
      </c>
      <c r="AN3960">
        <v>1.0000000229491599</v>
      </c>
    </row>
    <row r="3961" spans="1:40" x14ac:dyDescent="0.25">
      <c r="A3961" t="str">
        <f>"20190304154831796"</f>
        <v>20190304154831796</v>
      </c>
      <c r="B3961" t="str">
        <f>"1551685711790171"</f>
        <v>1551685711790171</v>
      </c>
      <c r="C3961" t="s">
        <v>40</v>
      </c>
      <c r="D3961">
        <v>4.2097680000000004</v>
      </c>
      <c r="E3961">
        <v>0.52452650000000001</v>
      </c>
      <c r="F3961" t="s">
        <v>61</v>
      </c>
      <c r="G3961">
        <v>-409.54349999999999</v>
      </c>
      <c r="H3961" s="1">
        <v>4.9426680000000001E-6</v>
      </c>
      <c r="I3961">
        <v>210.87739999999999</v>
      </c>
      <c r="J3961">
        <v>-469.47320000000002</v>
      </c>
      <c r="K3961">
        <v>1.112571</v>
      </c>
      <c r="L3961">
        <v>215.26599999999999</v>
      </c>
      <c r="M3961">
        <v>0.98952870000000004</v>
      </c>
      <c r="N3961">
        <v>-1.110674E-2</v>
      </c>
      <c r="O3961">
        <v>-0.14390939999999999</v>
      </c>
      <c r="P3961">
        <v>0.98813030000000002</v>
      </c>
      <c r="Q3961">
        <v>0.15351219999999999</v>
      </c>
      <c r="R3961">
        <v>-5.7449509999999999E-3</v>
      </c>
      <c r="S3961">
        <v>3.0429080000000002</v>
      </c>
      <c r="T3961">
        <v>-5.6273700000000003E-2</v>
      </c>
      <c r="U3961">
        <v>-0.223526</v>
      </c>
      <c r="V3961">
        <v>-0.1373962</v>
      </c>
      <c r="W3961">
        <v>0.16364489999999901</v>
      </c>
      <c r="X3961">
        <v>0.97690460000000001</v>
      </c>
      <c r="Y3961">
        <v>-7.1010459999999997E-2</v>
      </c>
      <c r="Z3961">
        <v>2.09523E-3</v>
      </c>
      <c r="AA3961">
        <v>0.99747339999999995</v>
      </c>
      <c r="AB3961">
        <v>24</v>
      </c>
      <c r="AC3961">
        <v>59.929699999999997</v>
      </c>
      <c r="AD3961">
        <v>-1.112566057332</v>
      </c>
      <c r="AE3961">
        <v>-4.3885999999999896</v>
      </c>
      <c r="AF3961">
        <v>-4.2805975474961198</v>
      </c>
      <c r="AG3961">
        <v>-1.112566057332</v>
      </c>
      <c r="AH3961">
        <v>59.9168665953855</v>
      </c>
      <c r="AI3961">
        <v>91.061070381936901</v>
      </c>
      <c r="AJ3961">
        <v>94.086398223552905</v>
      </c>
      <c r="AK3961">
        <v>60.079882000589699</v>
      </c>
      <c r="AL3961">
        <v>80.581476840464603</v>
      </c>
      <c r="AM3961">
        <v>98.005821062000905</v>
      </c>
      <c r="AN3961">
        <v>0.99999998328580397</v>
      </c>
    </row>
    <row r="3962" spans="1:40" x14ac:dyDescent="0.25">
      <c r="A3962" t="str">
        <f>"20190304154831823"</f>
        <v>20190304154831823</v>
      </c>
      <c r="B3962" t="str">
        <f>"1551685711820427"</f>
        <v>1551685711820427</v>
      </c>
      <c r="C3962" t="s">
        <v>40</v>
      </c>
      <c r="D3962">
        <v>4.011266</v>
      </c>
      <c r="E3962">
        <v>0.52536430000000001</v>
      </c>
      <c r="F3962" t="s">
        <v>61</v>
      </c>
      <c r="G3962">
        <v>-401.64620000000002</v>
      </c>
      <c r="H3962" s="1">
        <v>8.5611220000000003E-6</v>
      </c>
      <c r="I3962">
        <v>210.31450000000001</v>
      </c>
      <c r="J3962">
        <v>-469.17989999999998</v>
      </c>
      <c r="K3962">
        <v>1.1124069999999999</v>
      </c>
      <c r="L3962">
        <v>215.2285</v>
      </c>
      <c r="M3962">
        <v>0.99012259999999996</v>
      </c>
      <c r="N3962">
        <v>-1.1095030000000001E-2</v>
      </c>
      <c r="O3962">
        <v>-0.13976420000000001</v>
      </c>
      <c r="P3962">
        <v>0.98814429999999998</v>
      </c>
      <c r="Q3962">
        <v>0.1534962</v>
      </c>
      <c r="R3962">
        <v>-3.1356190000000001E-3</v>
      </c>
      <c r="S3962">
        <v>3.0424799999999999</v>
      </c>
      <c r="T3962">
        <v>-4.9905659999999998E-2</v>
      </c>
      <c r="U3962">
        <v>-0.2221069</v>
      </c>
      <c r="V3962">
        <v>-0.13581789999999999</v>
      </c>
      <c r="W3962">
        <v>0.16368150000000001</v>
      </c>
      <c r="X3962">
        <v>0.97711910000000002</v>
      </c>
      <c r="Y3962">
        <v>-6.7291480000000001E-2</v>
      </c>
      <c r="Z3962">
        <v>1.651317E-3</v>
      </c>
      <c r="AA3962">
        <v>0.99773199999999995</v>
      </c>
      <c r="AB3962">
        <v>24</v>
      </c>
      <c r="AC3962">
        <v>67.533699999999897</v>
      </c>
      <c r="AD3962">
        <v>-1.1123984388779999</v>
      </c>
      <c r="AE3962">
        <v>-4.9139999999999802</v>
      </c>
      <c r="AF3962">
        <v>-4.5723788146605999</v>
      </c>
      <c r="AG3962">
        <v>-1.1123984388779999</v>
      </c>
      <c r="AH3962">
        <v>67.539377585526196</v>
      </c>
      <c r="AI3962">
        <v>90.941442723555596</v>
      </c>
      <c r="AJ3962">
        <v>93.8729831526651</v>
      </c>
      <c r="AK3962">
        <v>67.703113687273301</v>
      </c>
      <c r="AL3962">
        <v>80.579350698370902</v>
      </c>
      <c r="AM3962">
        <v>97.913313125649694</v>
      </c>
      <c r="AN3962">
        <v>0.99999993549373201</v>
      </c>
    </row>
    <row r="3963" spans="1:40" x14ac:dyDescent="0.25">
      <c r="A3963" t="str">
        <f>"20190304154831840"</f>
        <v>20190304154831840</v>
      </c>
      <c r="B3963" t="str">
        <f>"1551685711830188"</f>
        <v>1551685711830188</v>
      </c>
      <c r="C3963" t="s">
        <v>40</v>
      </c>
      <c r="D3963">
        <v>4.169575</v>
      </c>
      <c r="E3963">
        <v>0.52529919999999997</v>
      </c>
      <c r="F3963" t="s">
        <v>60</v>
      </c>
      <c r="G3963">
        <v>-393.07530000000003</v>
      </c>
      <c r="H3963" s="1">
        <v>9.9707560000000001E-8</v>
      </c>
      <c r="I3963">
        <v>209.70240000000001</v>
      </c>
      <c r="J3963">
        <v>-469.00170000000003</v>
      </c>
      <c r="K3963">
        <v>1.1123179999999999</v>
      </c>
      <c r="L3963">
        <v>215.20609999999999</v>
      </c>
      <c r="M3963">
        <v>0.99045369999999999</v>
      </c>
      <c r="N3963">
        <v>-1.108834E-2</v>
      </c>
      <c r="O3963">
        <v>-0.13739879999999999</v>
      </c>
      <c r="P3963">
        <v>0.98825730000000001</v>
      </c>
      <c r="Q3963">
        <v>0.1527752</v>
      </c>
      <c r="R3963">
        <v>-2.6732520000000001E-3</v>
      </c>
      <c r="S3963">
        <v>3.0422359999999999</v>
      </c>
      <c r="T3963">
        <v>-4.4467810000000003E-2</v>
      </c>
      <c r="U3963">
        <v>-0.2209015</v>
      </c>
      <c r="V3963">
        <v>-0.13391339999999999</v>
      </c>
      <c r="W3963">
        <v>0.16299659999999999</v>
      </c>
      <c r="X3963">
        <v>0.97749640000000004</v>
      </c>
      <c r="Y3963">
        <v>-6.5299510000000005E-2</v>
      </c>
      <c r="Z3963">
        <v>1.310372E-3</v>
      </c>
      <c r="AA3963">
        <v>0.9978648</v>
      </c>
      <c r="AB3963">
        <v>24</v>
      </c>
      <c r="AC3963">
        <v>75.926400000000001</v>
      </c>
      <c r="AD3963">
        <v>-1.1123179002924399</v>
      </c>
      <c r="AE3963">
        <v>-5.5036999999999798</v>
      </c>
      <c r="AF3963">
        <v>-4.9802793904071603</v>
      </c>
      <c r="AG3963">
        <v>-1.1123179002924399</v>
      </c>
      <c r="AH3963">
        <v>75.946244395965294</v>
      </c>
      <c r="AI3963">
        <v>90.837302814234604</v>
      </c>
      <c r="AJ3963">
        <v>93.751877649937398</v>
      </c>
      <c r="AK3963">
        <v>76.117491234075302</v>
      </c>
      <c r="AL3963">
        <v>80.619126922424897</v>
      </c>
      <c r="AM3963">
        <v>97.800750782233493</v>
      </c>
      <c r="AN3963">
        <v>0.99999995116203799</v>
      </c>
    </row>
    <row r="3964" spans="1:40" x14ac:dyDescent="0.25">
      <c r="A3964" t="str">
        <f>"20190304154831863"</f>
        <v>20190304154831863</v>
      </c>
      <c r="B3964" t="str">
        <f>"1551685711850683"</f>
        <v>1551685711850683</v>
      </c>
      <c r="C3964" t="s">
        <v>40</v>
      </c>
      <c r="D3964">
        <v>4.2693320000000003</v>
      </c>
      <c r="E3964">
        <v>0.5256016</v>
      </c>
      <c r="F3964" t="s">
        <v>60</v>
      </c>
      <c r="G3964">
        <v>-396.10309999999998</v>
      </c>
      <c r="H3964" s="1">
        <v>1.7109549999999901E-6</v>
      </c>
      <c r="I3964">
        <v>209.9684</v>
      </c>
      <c r="J3964">
        <v>-468.77140000000003</v>
      </c>
      <c r="K3964">
        <v>1.112195</v>
      </c>
      <c r="L3964">
        <v>215.17760000000001</v>
      </c>
      <c r="M3964">
        <v>0.99084660000000002</v>
      </c>
      <c r="N3964">
        <v>-1.1077190000000001E-2</v>
      </c>
      <c r="O3964">
        <v>-0.1345374</v>
      </c>
      <c r="P3964">
        <v>0.98831199999999997</v>
      </c>
      <c r="Q3964">
        <v>0.1524431</v>
      </c>
      <c r="R3964">
        <v>-8.2417669999999897E-4</v>
      </c>
      <c r="S3964">
        <v>3.0422669999999998</v>
      </c>
      <c r="T3964">
        <v>-4.6420099999999999E-2</v>
      </c>
      <c r="U3964">
        <v>-0.2185822</v>
      </c>
      <c r="V3964">
        <v>-0.13287399999999999</v>
      </c>
      <c r="W3964">
        <v>0.16270019999999999</v>
      </c>
      <c r="X3964">
        <v>0.97768770000000005</v>
      </c>
      <c r="Y3964">
        <v>-6.3173839999999995E-2</v>
      </c>
      <c r="Z3964">
        <v>1.381017E-3</v>
      </c>
      <c r="AA3964">
        <v>0.99800160000000004</v>
      </c>
      <c r="AB3964">
        <v>24</v>
      </c>
      <c r="AC3964">
        <v>72.668300000000002</v>
      </c>
      <c r="AD3964">
        <v>-1.1121932890449999</v>
      </c>
      <c r="AE3964">
        <v>-5.2092000000000098</v>
      </c>
      <c r="AF3964">
        <v>-4.6142938549313701</v>
      </c>
      <c r="AG3964">
        <v>-1.1121932890449999</v>
      </c>
      <c r="AH3964">
        <v>72.691490550672697</v>
      </c>
      <c r="AI3964">
        <v>90.874807218634501</v>
      </c>
      <c r="AJ3964">
        <v>93.632135177531495</v>
      </c>
      <c r="AK3964">
        <v>72.846286660133799</v>
      </c>
      <c r="AL3964">
        <v>80.636340060733104</v>
      </c>
      <c r="AM3964">
        <v>97.739444086815595</v>
      </c>
      <c r="AN3964">
        <v>1.0000000468436601</v>
      </c>
    </row>
    <row r="3965" spans="1:40" x14ac:dyDescent="0.25">
      <c r="A3965" t="str">
        <f>"20190304154831884"</f>
        <v>20190304154831884</v>
      </c>
      <c r="B3965" t="str">
        <f>"1551685711880939"</f>
        <v>1551685711880939</v>
      </c>
      <c r="C3965" t="s">
        <v>40</v>
      </c>
      <c r="D3965">
        <v>4.258051</v>
      </c>
      <c r="E3965">
        <v>0.52521130000000005</v>
      </c>
      <c r="F3965" t="s">
        <v>60</v>
      </c>
      <c r="G3965">
        <v>-391.10059999999999</v>
      </c>
      <c r="H3965" s="1">
        <v>-9.5110850000000001E-7</v>
      </c>
      <c r="I3965">
        <v>209.6748</v>
      </c>
      <c r="J3965">
        <v>-468.53919999999999</v>
      </c>
      <c r="K3965">
        <v>1.1120429999999999</v>
      </c>
      <c r="L3965">
        <v>215.14930000000001</v>
      </c>
      <c r="M3965">
        <v>0.99120299999999995</v>
      </c>
      <c r="N3965">
        <v>-1.1059879999999999E-2</v>
      </c>
      <c r="O3965">
        <v>-0.13188839999999999</v>
      </c>
      <c r="P3965">
        <v>0.98830850000000003</v>
      </c>
      <c r="Q3965">
        <v>0.1524597</v>
      </c>
      <c r="R3965">
        <v>1.605427E-3</v>
      </c>
      <c r="S3965">
        <v>3.0419619999999998</v>
      </c>
      <c r="T3965">
        <v>-4.3558960000000001E-2</v>
      </c>
      <c r="U3965">
        <v>-0.21551509999999999</v>
      </c>
      <c r="V3965">
        <v>-0.13260620000000001</v>
      </c>
      <c r="W3965">
        <v>0.16274720000000001</v>
      </c>
      <c r="X3965">
        <v>0.97771609999999998</v>
      </c>
      <c r="Y3965">
        <v>-6.1502080000000001E-2</v>
      </c>
      <c r="Z3965">
        <v>1.198321E-3</v>
      </c>
      <c r="AA3965">
        <v>0.99810620000000005</v>
      </c>
      <c r="AB3965">
        <v>24</v>
      </c>
      <c r="AC3965">
        <v>77.438599999999994</v>
      </c>
      <c r="AD3965">
        <v>-1.1120439511085001</v>
      </c>
      <c r="AE3965">
        <v>-5.4744999999999999</v>
      </c>
      <c r="AF3965">
        <v>-4.7862223050583204</v>
      </c>
      <c r="AG3965">
        <v>-1.1120439511085001</v>
      </c>
      <c r="AH3965">
        <v>77.468228802541404</v>
      </c>
      <c r="AI3965">
        <v>90.820850258703103</v>
      </c>
      <c r="AJ3965">
        <v>93.535413337573004</v>
      </c>
      <c r="AK3965">
        <v>77.623907654185601</v>
      </c>
      <c r="AL3965">
        <v>80.633609525094798</v>
      </c>
      <c r="AM3965">
        <v>97.723812510803</v>
      </c>
      <c r="AN3965">
        <v>0.999999913792741</v>
      </c>
    </row>
    <row r="3966" spans="1:40" x14ac:dyDescent="0.25">
      <c r="A3966" t="str">
        <f>"20190304154831905"</f>
        <v>20190304154831905</v>
      </c>
      <c r="B3966" t="str">
        <f>"1551685711900459"</f>
        <v>1551685711900459</v>
      </c>
      <c r="C3966" t="s">
        <v>40</v>
      </c>
      <c r="D3966">
        <v>3.4553349999999998</v>
      </c>
      <c r="E3966">
        <v>0.5231382</v>
      </c>
      <c r="F3966" t="s">
        <v>60</v>
      </c>
      <c r="G3966">
        <v>-395.35989999999998</v>
      </c>
      <c r="H3966" s="1">
        <v>1.315465E-6</v>
      </c>
      <c r="I3966">
        <v>210.20570000000001</v>
      </c>
      <c r="J3966">
        <v>-468.32240000000002</v>
      </c>
      <c r="K3966">
        <v>1.111874</v>
      </c>
      <c r="L3966">
        <v>215.1232</v>
      </c>
      <c r="M3966">
        <v>0.99150090000000002</v>
      </c>
      <c r="N3966">
        <v>-1.104138E-2</v>
      </c>
      <c r="O3966">
        <v>-0.12963139999999901</v>
      </c>
      <c r="P3966">
        <v>0.98844779999999999</v>
      </c>
      <c r="Q3966">
        <v>0.1515174</v>
      </c>
      <c r="R3966">
        <v>3.6934559999999999E-3</v>
      </c>
      <c r="S3966">
        <v>3.0429689999999998</v>
      </c>
      <c r="T3966">
        <v>-4.6241280000000003E-2</v>
      </c>
      <c r="U3966">
        <v>-0.20556640000000001</v>
      </c>
      <c r="V3966">
        <v>-0.13240109999999999</v>
      </c>
      <c r="W3966">
        <v>0.1618387</v>
      </c>
      <c r="X3966">
        <v>0.97789479999999995</v>
      </c>
      <c r="Y3966">
        <v>-6.2498829999999998E-2</v>
      </c>
      <c r="Z3966">
        <v>1.3466979999999999E-3</v>
      </c>
      <c r="AA3966">
        <v>0.99804409999999999</v>
      </c>
      <c r="AB3966">
        <v>24</v>
      </c>
      <c r="AC3966">
        <v>72.962500000000006</v>
      </c>
      <c r="AD3966">
        <v>-1.111872684535</v>
      </c>
      <c r="AE3966">
        <v>-4.9174999999999898</v>
      </c>
      <c r="AF3966">
        <v>-4.5817449509791999</v>
      </c>
      <c r="AG3966">
        <v>-1.111872684535</v>
      </c>
      <c r="AH3966">
        <v>72.967418489950902</v>
      </c>
      <c r="AI3966">
        <v>90.871286029705104</v>
      </c>
      <c r="AJ3966">
        <v>93.592979637713199</v>
      </c>
      <c r="AK3966">
        <v>73.119578833237796</v>
      </c>
      <c r="AL3966">
        <v>80.686363181409106</v>
      </c>
      <c r="AM3966">
        <v>97.710617749564705</v>
      </c>
      <c r="AN3966">
        <v>1.0000000279829599</v>
      </c>
    </row>
    <row r="3967" spans="1:40" x14ac:dyDescent="0.25">
      <c r="A3967" t="str">
        <f>"20190304154831928"</f>
        <v>20190304154831928</v>
      </c>
      <c r="B3967" t="str">
        <f>"1551685711920955"</f>
        <v>1551685711920955</v>
      </c>
      <c r="C3967" t="s">
        <v>40</v>
      </c>
      <c r="D3967">
        <v>4.2424280000000003</v>
      </c>
      <c r="E3967">
        <v>0.52292399999999895</v>
      </c>
      <c r="F3967" t="s">
        <v>61</v>
      </c>
      <c r="G3967">
        <v>-403.88780000000003</v>
      </c>
      <c r="H3967" s="1">
        <v>7.3751899999999901E-6</v>
      </c>
      <c r="I3967">
        <v>211.2431</v>
      </c>
      <c r="J3967">
        <v>-468.08269999999999</v>
      </c>
      <c r="K3967">
        <v>1.1116900000000001</v>
      </c>
      <c r="L3967">
        <v>215.09469999999999</v>
      </c>
      <c r="M3967">
        <v>0.99179320000000004</v>
      </c>
      <c r="N3967">
        <v>-1.102245E-2</v>
      </c>
      <c r="O3967">
        <v>-0.1273772</v>
      </c>
      <c r="P3967">
        <v>0.98876710000000001</v>
      </c>
      <c r="Q3967">
        <v>0.1493496</v>
      </c>
      <c r="R3967">
        <v>5.8703330000000001E-3</v>
      </c>
      <c r="S3967">
        <v>3.043793</v>
      </c>
      <c r="T3967">
        <v>-5.2522899999999997E-2</v>
      </c>
      <c r="U3967">
        <v>-0.1832886</v>
      </c>
      <c r="V3967">
        <v>-0.13229399999999999</v>
      </c>
      <c r="W3967">
        <v>0.1597152</v>
      </c>
      <c r="X3967">
        <v>0.97825830000000003</v>
      </c>
      <c r="Y3967">
        <v>-6.7517259999999996E-2</v>
      </c>
      <c r="Z3967">
        <v>1.7367420000000001E-3</v>
      </c>
      <c r="AA3967">
        <v>0.99771659999999995</v>
      </c>
      <c r="AB3967">
        <v>24</v>
      </c>
      <c r="AC3967">
        <v>64.194899999999905</v>
      </c>
      <c r="AD3967">
        <v>-1.11168262481</v>
      </c>
      <c r="AE3967">
        <v>-3.8515999999999901</v>
      </c>
      <c r="AF3967">
        <v>-4.3559385833986504</v>
      </c>
      <c r="AG3967">
        <v>-1.11168262481</v>
      </c>
      <c r="AH3967">
        <v>64.143395907332106</v>
      </c>
      <c r="AI3967">
        <v>90.990624605579697</v>
      </c>
      <c r="AJ3967">
        <v>93.884956425766205</v>
      </c>
      <c r="AK3967">
        <v>64.300740880066002</v>
      </c>
      <c r="AL3967">
        <v>80.809633960406501</v>
      </c>
      <c r="AM3967">
        <v>97.701627085217098</v>
      </c>
      <c r="AN3967">
        <v>0.99999997453296396</v>
      </c>
    </row>
    <row r="3968" spans="1:40" x14ac:dyDescent="0.25">
      <c r="A3968" t="str">
        <f>"20190304154831951"</f>
        <v>20190304154831951</v>
      </c>
      <c r="B3968" t="str">
        <f>"1551685711940478"</f>
        <v>1551685711940478</v>
      </c>
      <c r="C3968" t="s">
        <v>40</v>
      </c>
      <c r="D3968">
        <v>3.4667629999999998</v>
      </c>
      <c r="E3968">
        <v>0.51970229999999995</v>
      </c>
      <c r="F3968" t="s">
        <v>61</v>
      </c>
      <c r="G3968">
        <v>-413.45400000000001</v>
      </c>
      <c r="H3968" s="1">
        <v>3.0510370000000001E-6</v>
      </c>
      <c r="I3968">
        <v>211.9556</v>
      </c>
      <c r="J3968">
        <v>-467.84800000000001</v>
      </c>
      <c r="K3968">
        <v>1.1114980000000001</v>
      </c>
      <c r="L3968">
        <v>215.0669</v>
      </c>
      <c r="M3968">
        <v>0.99204179999999997</v>
      </c>
      <c r="N3968">
        <v>-1.100598E-2</v>
      </c>
      <c r="O3968">
        <v>-0.12542780000000001</v>
      </c>
      <c r="P3968">
        <v>0.98899550000000003</v>
      </c>
      <c r="Q3968">
        <v>0.1477406</v>
      </c>
      <c r="R3968">
        <v>7.7861229999999998E-3</v>
      </c>
      <c r="S3968">
        <v>3.0445250000000001</v>
      </c>
      <c r="T3968">
        <v>-6.1955690000000001E-2</v>
      </c>
      <c r="U3968">
        <v>-0.17494199999999999</v>
      </c>
      <c r="V3968">
        <v>-0.1322219</v>
      </c>
      <c r="W3968">
        <v>0.15815079999999901</v>
      </c>
      <c r="X3968">
        <v>0.97852220000000001</v>
      </c>
      <c r="Y3968">
        <v>-6.8288340000000003E-2</v>
      </c>
      <c r="Z3968">
        <v>2.2298069999999999E-3</v>
      </c>
      <c r="AA3968">
        <v>0.99766310000000002</v>
      </c>
      <c r="AB3968">
        <v>24</v>
      </c>
      <c r="AC3968">
        <v>54.393999999999998</v>
      </c>
      <c r="AD3968">
        <v>-1.1114949489629999</v>
      </c>
      <c r="AE3968">
        <v>-3.1113</v>
      </c>
      <c r="AF3968">
        <v>-3.7346516903593301</v>
      </c>
      <c r="AG3968">
        <v>-1.1114949489629999</v>
      </c>
      <c r="AH3968">
        <v>54.3320393512194</v>
      </c>
      <c r="AI3968">
        <v>91.169203906200096</v>
      </c>
      <c r="AJ3968">
        <v>93.932186734543706</v>
      </c>
      <c r="AK3968">
        <v>54.471584742251899</v>
      </c>
      <c r="AL3968">
        <v>80.900421700669895</v>
      </c>
      <c r="AM3968">
        <v>97.695428976112197</v>
      </c>
      <c r="AN3968">
        <v>1.00000000113654</v>
      </c>
    </row>
    <row r="3969" spans="1:40" x14ac:dyDescent="0.25">
      <c r="A3969" t="str">
        <f>"20190304154831974"</f>
        <v>20190304154831974</v>
      </c>
      <c r="B3969" t="str">
        <f>"1551685711970731"</f>
        <v>1551685711970731</v>
      </c>
      <c r="C3969" t="s">
        <v>40</v>
      </c>
      <c r="D3969">
        <v>4.3149150000000001</v>
      </c>
      <c r="E3969">
        <v>0.51833739999999995</v>
      </c>
      <c r="F3969" t="s">
        <v>61</v>
      </c>
      <c r="G3969">
        <v>-419.37450000000001</v>
      </c>
      <c r="H3969" s="1">
        <v>4.0288929999999997E-6</v>
      </c>
      <c r="I3969">
        <v>212.78309999999999</v>
      </c>
      <c r="J3969">
        <v>-467.60359999999997</v>
      </c>
      <c r="K3969">
        <v>1.1113120000000001</v>
      </c>
      <c r="L3969">
        <v>215.03819999999999</v>
      </c>
      <c r="M3969">
        <v>0.99225960000000002</v>
      </c>
      <c r="N3969">
        <v>-1.098323E-2</v>
      </c>
      <c r="O3969">
        <v>-0.12369570000000001</v>
      </c>
      <c r="P3969">
        <v>0.98907489999999998</v>
      </c>
      <c r="Q3969">
        <v>0.14710379999999901</v>
      </c>
      <c r="R3969">
        <v>9.5818640000000007E-3</v>
      </c>
      <c r="S3969">
        <v>3.0449220000000001</v>
      </c>
      <c r="T3969">
        <v>-6.9819809999999996E-2</v>
      </c>
      <c r="U3969">
        <v>-0.14346310000000001</v>
      </c>
      <c r="V3969">
        <v>-0.13223190000000001</v>
      </c>
      <c r="W3969">
        <v>0.15755089999999999</v>
      </c>
      <c r="X3969">
        <v>0.97861759999999998</v>
      </c>
      <c r="Y3969">
        <v>-7.6825840000000006E-2</v>
      </c>
      <c r="Z3969">
        <v>2.7679100000000002E-3</v>
      </c>
      <c r="AA3969">
        <v>0.9970407</v>
      </c>
      <c r="AB3969">
        <v>24</v>
      </c>
      <c r="AC3969">
        <v>48.229099999999903</v>
      </c>
      <c r="AD3969">
        <v>-1.111307971107</v>
      </c>
      <c r="AE3969">
        <v>-2.2550999999999899</v>
      </c>
      <c r="AF3969">
        <v>-3.7263376822661201</v>
      </c>
      <c r="AG3969">
        <v>-1.111307971107</v>
      </c>
      <c r="AH3969">
        <v>48.112139018876903</v>
      </c>
      <c r="AI3969">
        <v>91.319249487931401</v>
      </c>
      <c r="AJ3969">
        <v>94.428779186851898</v>
      </c>
      <c r="AK3969">
        <v>48.269022352857498</v>
      </c>
      <c r="AL3969">
        <v>80.935229675660196</v>
      </c>
      <c r="AM3969">
        <v>97.695262759206202</v>
      </c>
      <c r="AN3969">
        <v>0.99999998424908898</v>
      </c>
    </row>
    <row r="3970" spans="1:40" x14ac:dyDescent="0.25">
      <c r="A3970" t="str">
        <f>"20190304154831998"</f>
        <v>20190304154831998</v>
      </c>
      <c r="B3970" t="str">
        <f>"1551685711990252"</f>
        <v>1551685711990252</v>
      </c>
      <c r="C3970" t="s">
        <v>40</v>
      </c>
      <c r="D3970">
        <v>4.6897820000000001</v>
      </c>
      <c r="E3970">
        <v>0.57123829999999998</v>
      </c>
      <c r="F3970" t="s">
        <v>61</v>
      </c>
      <c r="G3970">
        <v>-421.2287</v>
      </c>
      <c r="H3970" s="1">
        <v>3.8792099999999999E-6</v>
      </c>
      <c r="I3970">
        <v>213.1</v>
      </c>
      <c r="J3970">
        <v>-467.35</v>
      </c>
      <c r="K3970">
        <v>1.1111340000000001</v>
      </c>
      <c r="L3970">
        <v>215.0085</v>
      </c>
      <c r="M3970">
        <v>0.99244679999999996</v>
      </c>
      <c r="N3970">
        <v>-1.094941E-2</v>
      </c>
      <c r="O3970">
        <v>-0.12218809999999999</v>
      </c>
      <c r="P3970">
        <v>0.9891742</v>
      </c>
      <c r="Q3970">
        <v>0.1463614</v>
      </c>
      <c r="R3970">
        <v>1.064765E-2</v>
      </c>
      <c r="S3970">
        <v>3.0451969999999999</v>
      </c>
      <c r="T3970">
        <v>-7.2973730000000001E-2</v>
      </c>
      <c r="U3970">
        <v>-0.12727359999999999</v>
      </c>
      <c r="V3970">
        <v>-0.1317469</v>
      </c>
      <c r="W3970">
        <v>0.15683139999999901</v>
      </c>
      <c r="X3970">
        <v>0.97879859999999996</v>
      </c>
      <c r="Y3970">
        <v>-8.0599519999999994E-2</v>
      </c>
      <c r="Z3970">
        <v>2.9851069999999999E-3</v>
      </c>
      <c r="AA3970">
        <v>0.99674209999999996</v>
      </c>
      <c r="AB3970">
        <v>24</v>
      </c>
      <c r="AC3970">
        <v>46.121299999999998</v>
      </c>
      <c r="AD3970">
        <v>-1.11113012079</v>
      </c>
      <c r="AE3970">
        <v>-1.9085000000000001</v>
      </c>
      <c r="AF3970">
        <v>-3.7394460509175</v>
      </c>
      <c r="AG3970">
        <v>-1.11113012079</v>
      </c>
      <c r="AH3970">
        <v>45.982237366729798</v>
      </c>
      <c r="AI3970">
        <v>91.379691901705399</v>
      </c>
      <c r="AJ3970">
        <v>94.649273869217794</v>
      </c>
      <c r="AK3970">
        <v>46.1474183477617</v>
      </c>
      <c r="AL3970">
        <v>80.976973228314904</v>
      </c>
      <c r="AM3970">
        <v>97.6659734580346</v>
      </c>
      <c r="AN3970">
        <v>1.0000000165237599</v>
      </c>
    </row>
    <row r="3971" spans="1:40" x14ac:dyDescent="0.25">
      <c r="A3971" t="str">
        <f>"20190304154832020"</f>
        <v>20190304154832020</v>
      </c>
      <c r="B3971" t="str">
        <f>"1551685712010748"</f>
        <v>1551685712010748</v>
      </c>
      <c r="C3971" t="s">
        <v>40</v>
      </c>
      <c r="D3971">
        <v>4.5557720000000002</v>
      </c>
      <c r="E3971">
        <v>0.58418539999999997</v>
      </c>
      <c r="F3971" t="s">
        <v>41</v>
      </c>
      <c r="G3971">
        <v>-466.4853</v>
      </c>
      <c r="H3971">
        <v>1.0471790000000001</v>
      </c>
      <c r="I3971">
        <v>214.8536</v>
      </c>
      <c r="J3971">
        <v>-467.13069999999999</v>
      </c>
      <c r="K3971">
        <v>1.111008</v>
      </c>
      <c r="L3971">
        <v>214.983</v>
      </c>
      <c r="M3971">
        <v>0.9925853</v>
      </c>
      <c r="N3971">
        <v>-1.091627E-2</v>
      </c>
      <c r="O3971">
        <v>-0.1210603</v>
      </c>
      <c r="P3971">
        <v>0.98942209999999997</v>
      </c>
      <c r="Q3971">
        <v>0.1446305</v>
      </c>
      <c r="R3971">
        <v>1.1232310000000001E-2</v>
      </c>
      <c r="S3971">
        <v>3.0724490000000002</v>
      </c>
      <c r="T3971">
        <v>-0.22745870000000001</v>
      </c>
      <c r="U3971">
        <v>-0.54943850000000005</v>
      </c>
      <c r="V3971">
        <v>-0.13119639999999999</v>
      </c>
      <c r="W3971">
        <v>0.15510940000000001</v>
      </c>
      <c r="X3971">
        <v>0.97914690000000004</v>
      </c>
      <c r="Y3971">
        <v>5.5624710000000001E-2</v>
      </c>
      <c r="Z3971">
        <v>5.1775909999999996E-3</v>
      </c>
      <c r="AA3971">
        <v>0.9984383</v>
      </c>
      <c r="AB3971">
        <v>24</v>
      </c>
      <c r="AC3971">
        <v>0.64539999999999498</v>
      </c>
      <c r="AD3971">
        <v>-6.38289999999999E-2</v>
      </c>
      <c r="AE3971">
        <v>-0.12940000000000301</v>
      </c>
      <c r="AF3971">
        <v>4.9842544868341401E-2</v>
      </c>
      <c r="AG3971">
        <v>-6.38289999999999E-2</v>
      </c>
      <c r="AH3971">
        <v>0.65020493721817596</v>
      </c>
      <c r="AI3971">
        <v>95.590323366353005</v>
      </c>
      <c r="AJ3971">
        <v>85.616469196151996</v>
      </c>
      <c r="AK3971">
        <v>0.65522887673151597</v>
      </c>
      <c r="AL3971">
        <v>81.076859181752496</v>
      </c>
      <c r="AM3971">
        <v>97.631636357236204</v>
      </c>
      <c r="AN3971">
        <v>1.00000003656046</v>
      </c>
    </row>
    <row r="3972" spans="1:40" x14ac:dyDescent="0.25">
      <c r="A3972" t="str">
        <f>"20190304154832040"</f>
        <v>20190304154832040</v>
      </c>
      <c r="B3972" t="str">
        <f>"1551685712030267"</f>
        <v>1551685712030267</v>
      </c>
      <c r="C3972" t="s">
        <v>40</v>
      </c>
      <c r="D3972">
        <v>4.4671719999999997</v>
      </c>
      <c r="E3972">
        <v>0.59322399999999997</v>
      </c>
      <c r="F3972" t="s">
        <v>41</v>
      </c>
      <c r="G3972">
        <v>-466.28859999999997</v>
      </c>
      <c r="H3972">
        <v>1.024939</v>
      </c>
      <c r="I3972">
        <v>214.80439999999999</v>
      </c>
      <c r="J3972">
        <v>-466.9051</v>
      </c>
      <c r="K3972">
        <v>1.1109059999999999</v>
      </c>
      <c r="L3972">
        <v>214.95670000000001</v>
      </c>
      <c r="M3972">
        <v>0.99270740000000002</v>
      </c>
      <c r="N3972">
        <v>-1.087581E-2</v>
      </c>
      <c r="O3972">
        <v>-0.120057399999999</v>
      </c>
      <c r="P3972">
        <v>0.98956310000000003</v>
      </c>
      <c r="Q3972">
        <v>0.14367189999999999</v>
      </c>
      <c r="R3972">
        <v>1.1101379999999999E-2</v>
      </c>
      <c r="S3972">
        <v>3.0856020000000002</v>
      </c>
      <c r="T3972">
        <v>-0.31554110000000002</v>
      </c>
      <c r="U3972">
        <v>-0.65272519999999901</v>
      </c>
      <c r="V3972">
        <v>-0.130054</v>
      </c>
      <c r="W3972">
        <v>0.1541469</v>
      </c>
      <c r="X3972">
        <v>0.97945119999999997</v>
      </c>
      <c r="Y3972">
        <v>8.7984850000000003E-2</v>
      </c>
      <c r="Z3972">
        <v>5.83426E-3</v>
      </c>
      <c r="AA3972">
        <v>0.99610469999999895</v>
      </c>
      <c r="AB3972">
        <v>24</v>
      </c>
      <c r="AC3972">
        <v>0.61650000000003002</v>
      </c>
      <c r="AD3972">
        <v>-8.5966999999999905E-2</v>
      </c>
      <c r="AE3972">
        <v>-0.152300000000025</v>
      </c>
      <c r="AF3972">
        <v>7.5789584573477495E-2</v>
      </c>
      <c r="AG3972">
        <v>-8.5966999999999905E-2</v>
      </c>
      <c r="AH3972">
        <v>0.618982577211039</v>
      </c>
      <c r="AI3972">
        <v>97.849029121353894</v>
      </c>
      <c r="AJ3972">
        <v>83.019325656806998</v>
      </c>
      <c r="AK3972">
        <v>0.62950283328166201</v>
      </c>
      <c r="AL3972">
        <v>81.132677221075994</v>
      </c>
      <c r="AM3972">
        <v>97.5636331916171</v>
      </c>
      <c r="AN3972">
        <v>0.99999998143852398</v>
      </c>
    </row>
    <row r="3973" spans="1:40" x14ac:dyDescent="0.25">
      <c r="A3973" t="str">
        <f>"20190304154832063"</f>
        <v>20190304154832063</v>
      </c>
      <c r="B3973" t="str">
        <f>"1551685712050763"</f>
        <v>1551685712050763</v>
      </c>
      <c r="C3973" t="s">
        <v>40</v>
      </c>
      <c r="D3973">
        <v>4.4903440000000003</v>
      </c>
      <c r="E3973">
        <v>0.5996378</v>
      </c>
      <c r="F3973" t="s">
        <v>41</v>
      </c>
      <c r="G3973">
        <v>-466.08359999999999</v>
      </c>
      <c r="H3973">
        <v>1.0157149999999999</v>
      </c>
      <c r="I3973">
        <v>214.76339999999999</v>
      </c>
      <c r="J3973">
        <v>-466.66500000000002</v>
      </c>
      <c r="K3973">
        <v>1.110806</v>
      </c>
      <c r="L3973">
        <v>214.9289</v>
      </c>
      <c r="M3973">
        <v>0.99281750000000002</v>
      </c>
      <c r="N3973">
        <v>-1.0819280000000001E-2</v>
      </c>
      <c r="O3973">
        <v>-0.1191482</v>
      </c>
      <c r="P3973">
        <v>0.98956230000000001</v>
      </c>
      <c r="Q3973">
        <v>0.14367939999999901</v>
      </c>
      <c r="R3973">
        <v>1.1070150000000001E-2</v>
      </c>
      <c r="S3973">
        <v>3.0918580000000002</v>
      </c>
      <c r="T3973">
        <v>-0.35846270000000002</v>
      </c>
      <c r="U3973">
        <v>-0.725769</v>
      </c>
      <c r="V3973">
        <v>-0.12909029999999999</v>
      </c>
      <c r="W3973">
        <v>0.15412999999999999</v>
      </c>
      <c r="X3973">
        <v>0.97958140000000005</v>
      </c>
      <c r="Y3973">
        <v>0.1107409</v>
      </c>
      <c r="Z3973">
        <v>5.3168119999999998E-3</v>
      </c>
      <c r="AA3973">
        <v>0.99383509999999997</v>
      </c>
      <c r="AB3973">
        <v>24</v>
      </c>
      <c r="AC3973">
        <v>0.58140000000003</v>
      </c>
      <c r="AD3973">
        <v>-9.5090999999999995E-2</v>
      </c>
      <c r="AE3973">
        <v>-0.165500000000008</v>
      </c>
      <c r="AF3973">
        <v>9.2749005657303304E-2</v>
      </c>
      <c r="AG3973">
        <v>-9.5090999999999995E-2</v>
      </c>
      <c r="AH3973">
        <v>0.58256245491874403</v>
      </c>
      <c r="AI3973">
        <v>99.157227772727097</v>
      </c>
      <c r="AJ3973">
        <v>80.953935516732002</v>
      </c>
      <c r="AK3973">
        <v>0.59751459414174302</v>
      </c>
      <c r="AL3973">
        <v>81.133657762539102</v>
      </c>
      <c r="AM3973">
        <v>97.507241889556695</v>
      </c>
      <c r="AN3973">
        <v>1.00000004084002</v>
      </c>
    </row>
    <row r="3974" spans="1:40" x14ac:dyDescent="0.25">
      <c r="A3974" t="str">
        <f>"20190304154832084"</f>
        <v>20190304154832084</v>
      </c>
      <c r="B3974" t="str">
        <f>"1551685712081019"</f>
        <v>1551685712081019</v>
      </c>
      <c r="C3974" t="s">
        <v>40</v>
      </c>
      <c r="D3974">
        <v>4.4636129999999996</v>
      </c>
      <c r="E3974">
        <v>0.61120490000000005</v>
      </c>
      <c r="F3974" t="s">
        <v>41</v>
      </c>
      <c r="G3974">
        <v>-465.8741</v>
      </c>
      <c r="H3974">
        <v>1.0128629999999901</v>
      </c>
      <c r="I3974">
        <v>214.7304</v>
      </c>
      <c r="J3974">
        <v>-466.43729999999999</v>
      </c>
      <c r="K3974">
        <v>1.110717</v>
      </c>
      <c r="L3974">
        <v>214.9025</v>
      </c>
      <c r="M3974">
        <v>0.99290590000000001</v>
      </c>
      <c r="N3974">
        <v>-1.0757650000000001E-2</v>
      </c>
      <c r="O3974">
        <v>-0.11841649999999999</v>
      </c>
      <c r="P3974">
        <v>0.98956659999999996</v>
      </c>
      <c r="Q3974">
        <v>0.14367469999999999</v>
      </c>
      <c r="R3974">
        <v>1.0762229999999999E-2</v>
      </c>
      <c r="S3974">
        <v>3.0959780000000001</v>
      </c>
      <c r="T3974">
        <v>-0.383461</v>
      </c>
      <c r="U3974">
        <v>-0.77676389999999995</v>
      </c>
      <c r="V3974">
        <v>-0.1280316</v>
      </c>
      <c r="W3974">
        <v>0.15409329999999999</v>
      </c>
      <c r="X3974">
        <v>0.97972610000000004</v>
      </c>
      <c r="Y3974">
        <v>0.1264912</v>
      </c>
      <c r="Z3974">
        <v>4.6763289999999999E-3</v>
      </c>
      <c r="AA3974">
        <v>0.99195670000000002</v>
      </c>
      <c r="AB3974">
        <v>24</v>
      </c>
      <c r="AC3974">
        <v>0.56319999999999404</v>
      </c>
      <c r="AD3974">
        <v>-9.7854000000000094E-2</v>
      </c>
      <c r="AE3974">
        <v>-0.1721</v>
      </c>
      <c r="AF3974">
        <v>0.10139349744132101</v>
      </c>
      <c r="AG3974">
        <v>-9.7854000000000094E-2</v>
      </c>
      <c r="AH3974">
        <v>0.56404441255884896</v>
      </c>
      <c r="AI3974">
        <v>99.689774661967704</v>
      </c>
      <c r="AJ3974">
        <v>79.809260286393396</v>
      </c>
      <c r="AK3974">
        <v>0.58137951974440905</v>
      </c>
      <c r="AL3974">
        <v>81.135785875165993</v>
      </c>
      <c r="AM3974">
        <v>97.445279533643003</v>
      </c>
      <c r="AN3974">
        <v>1.00000003336232</v>
      </c>
    </row>
    <row r="3975" spans="1:40" x14ac:dyDescent="0.25">
      <c r="A3975" t="str">
        <f>"20190304154832108"</f>
        <v>20190304154832108</v>
      </c>
      <c r="B3975" t="str">
        <f>"1551685712100539"</f>
        <v>1551685712100539</v>
      </c>
      <c r="C3975" t="s">
        <v>40</v>
      </c>
      <c r="D3975">
        <v>4.1592609999999999</v>
      </c>
      <c r="E3975">
        <v>0.62258029999999998</v>
      </c>
      <c r="F3975" t="s">
        <v>41</v>
      </c>
      <c r="G3975">
        <v>-465.66320000000002</v>
      </c>
      <c r="H3975">
        <v>1.0147820000000001</v>
      </c>
      <c r="I3975">
        <v>214.68469999999999</v>
      </c>
      <c r="J3975">
        <v>-466.18680000000001</v>
      </c>
      <c r="K3975">
        <v>1.1106130000000001</v>
      </c>
      <c r="L3975">
        <v>214.87360000000001</v>
      </c>
      <c r="M3975">
        <v>0.99298750000000002</v>
      </c>
      <c r="N3975">
        <v>-1.068821E-2</v>
      </c>
      <c r="O3975">
        <v>-0.1177347</v>
      </c>
      <c r="P3975">
        <v>0.98966580000000004</v>
      </c>
      <c r="Q3975">
        <v>0.1429984</v>
      </c>
      <c r="R3975">
        <v>1.063509E-2</v>
      </c>
      <c r="S3975">
        <v>3.096832</v>
      </c>
      <c r="T3975">
        <v>-0.38395560000000001</v>
      </c>
      <c r="U3975">
        <v>-0.86982729999999997</v>
      </c>
      <c r="V3975">
        <v>-0.12721009999999999</v>
      </c>
      <c r="W3975">
        <v>0.1533785</v>
      </c>
      <c r="X3975">
        <v>0.97994519999999996</v>
      </c>
      <c r="Y3975">
        <v>0.1546749</v>
      </c>
      <c r="Z3975">
        <v>2.7302860000000002E-3</v>
      </c>
      <c r="AA3975">
        <v>0.9879616</v>
      </c>
      <c r="AB3975">
        <v>24</v>
      </c>
      <c r="AC3975">
        <v>0.52359999999998696</v>
      </c>
      <c r="AD3975">
        <v>-9.5830999999999694E-2</v>
      </c>
      <c r="AE3975">
        <v>-0.188900000000018</v>
      </c>
      <c r="AF3975">
        <v>0.12231137468006401</v>
      </c>
      <c r="AG3975">
        <v>-9.5830999999999694E-2</v>
      </c>
      <c r="AH3975">
        <v>0.52659131793337199</v>
      </c>
      <c r="AI3975">
        <v>100.052103289032</v>
      </c>
      <c r="AJ3975">
        <v>76.923769094936006</v>
      </c>
      <c r="AK3975">
        <v>0.549037402241352</v>
      </c>
      <c r="AL3975">
        <v>81.177233194510904</v>
      </c>
      <c r="AM3975">
        <v>97.396402869032798</v>
      </c>
      <c r="AN3975">
        <v>0.99999998440364901</v>
      </c>
    </row>
    <row r="3976" spans="1:40" x14ac:dyDescent="0.25">
      <c r="A3976" t="str">
        <f>"20190304154832130"</f>
        <v>20190304154832130</v>
      </c>
      <c r="B3976" t="str">
        <f>"1551685712121036"</f>
        <v>1551685712121036</v>
      </c>
      <c r="C3976" t="s">
        <v>40</v>
      </c>
      <c r="D3976">
        <v>4.1391989999999996</v>
      </c>
      <c r="E3976">
        <v>0.62946199999999997</v>
      </c>
      <c r="F3976" t="s">
        <v>41</v>
      </c>
      <c r="G3976">
        <v>-465.4502</v>
      </c>
      <c r="H3976">
        <v>1.0189680000000001</v>
      </c>
      <c r="I3976">
        <v>214.64519999999999</v>
      </c>
      <c r="J3976">
        <v>-465.94499999999999</v>
      </c>
      <c r="K3976">
        <v>1.1105179999999999</v>
      </c>
      <c r="L3976">
        <v>214.84559999999999</v>
      </c>
      <c r="M3976">
        <v>0.99305310000000002</v>
      </c>
      <c r="N3976">
        <v>-1.0617710000000001E-2</v>
      </c>
      <c r="O3976">
        <v>-0.1171874</v>
      </c>
      <c r="P3976">
        <v>0.98980780000000002</v>
      </c>
      <c r="Q3976">
        <v>0.14204549999999999</v>
      </c>
      <c r="R3976">
        <v>1.018164E-2</v>
      </c>
      <c r="S3976">
        <v>3.0972900000000001</v>
      </c>
      <c r="T3976">
        <v>-0.38528649999999998</v>
      </c>
      <c r="U3976">
        <v>-0.96055599999999997</v>
      </c>
      <c r="V3976">
        <v>-0.1262054</v>
      </c>
      <c r="W3976">
        <v>0.15238370000000001</v>
      </c>
      <c r="X3976">
        <v>0.9802303</v>
      </c>
      <c r="Y3976">
        <v>0.181531</v>
      </c>
      <c r="Z3976">
        <v>9.0386440000000002E-4</v>
      </c>
      <c r="AA3976">
        <v>0.98338479999999995</v>
      </c>
      <c r="AB3976">
        <v>24</v>
      </c>
      <c r="AC3976">
        <v>0.49479999999999702</v>
      </c>
      <c r="AD3976">
        <v>-9.1550000000000006E-2</v>
      </c>
      <c r="AE3976">
        <v>-0.20040000000000099</v>
      </c>
      <c r="AF3976">
        <v>0.137002257574668</v>
      </c>
      <c r="AG3976">
        <v>-9.1550000000000006E-2</v>
      </c>
      <c r="AH3976">
        <v>0.50016626586402402</v>
      </c>
      <c r="AI3976">
        <v>100.01162945575</v>
      </c>
      <c r="AJ3976">
        <v>74.681643593147299</v>
      </c>
      <c r="AK3976">
        <v>0.52660926177662104</v>
      </c>
      <c r="AL3976">
        <v>81.234909339742302</v>
      </c>
      <c r="AM3976">
        <v>97.336514500168406</v>
      </c>
      <c r="AN3976">
        <v>1.0000000180264601</v>
      </c>
    </row>
    <row r="3977" spans="1:40" x14ac:dyDescent="0.25">
      <c r="A3977" t="str">
        <f>"20190304154832154"</f>
        <v>20190304154832154</v>
      </c>
      <c r="B3977" t="str">
        <f>"1551685712151292"</f>
        <v>1551685712151292</v>
      </c>
      <c r="C3977" t="s">
        <v>40</v>
      </c>
      <c r="D3977">
        <v>4.1410739999999997</v>
      </c>
      <c r="E3977">
        <v>0.63662240000000003</v>
      </c>
      <c r="F3977" t="s">
        <v>41</v>
      </c>
      <c r="G3977">
        <v>-465.23649999999998</v>
      </c>
      <c r="H3977">
        <v>1.0224139999999999</v>
      </c>
      <c r="I3977">
        <v>214.61269999999999</v>
      </c>
      <c r="J3977">
        <v>-465.70519999999999</v>
      </c>
      <c r="K3977">
        <v>1.1104350000000001</v>
      </c>
      <c r="L3977">
        <v>214.81790000000001</v>
      </c>
      <c r="M3977">
        <v>0.99310580000000004</v>
      </c>
      <c r="N3977">
        <v>-1.054071E-2</v>
      </c>
      <c r="O3977">
        <v>-0.11674619999999999</v>
      </c>
      <c r="P3977">
        <v>0.98988869999999896</v>
      </c>
      <c r="Q3977">
        <v>0.1415457</v>
      </c>
      <c r="R3977">
        <v>9.2357169999999992E-3</v>
      </c>
      <c r="S3977">
        <v>3.096619</v>
      </c>
      <c r="T3977">
        <v>-0.38519629999999999</v>
      </c>
      <c r="U3977">
        <v>-1.016327</v>
      </c>
      <c r="V3977">
        <v>-0.1248147</v>
      </c>
      <c r="W3977">
        <v>0.15183179999999999</v>
      </c>
      <c r="X3977">
        <v>0.98049399999999998</v>
      </c>
      <c r="Y3977">
        <v>0.19795470000000001</v>
      </c>
      <c r="Z3977">
        <v>-2.2029689999999999E-4</v>
      </c>
      <c r="AA3977">
        <v>0.9802111</v>
      </c>
      <c r="AB3977">
        <v>24</v>
      </c>
      <c r="AC3977">
        <v>0.468700000000012</v>
      </c>
      <c r="AD3977">
        <v>-8.8021000000000099E-2</v>
      </c>
      <c r="AE3977">
        <v>-0.20520000000001901</v>
      </c>
      <c r="AF3977">
        <v>0.144789542739793</v>
      </c>
      <c r="AG3977">
        <v>-8.8021000000000099E-2</v>
      </c>
      <c r="AH3977">
        <v>0.47538304590119101</v>
      </c>
      <c r="AI3977">
        <v>100.04432104794699</v>
      </c>
      <c r="AJ3977">
        <v>73.060602429167901</v>
      </c>
      <c r="AK3977">
        <v>0.50467885675753499</v>
      </c>
      <c r="AL3977">
        <v>81.266903395498403</v>
      </c>
      <c r="AM3977">
        <v>97.254606596624896</v>
      </c>
      <c r="AN3977">
        <v>1.0000000444316599</v>
      </c>
    </row>
    <row r="3978" spans="1:40" x14ac:dyDescent="0.25">
      <c r="A3978" t="str">
        <f>"20190304154832177"</f>
        <v>20190304154832177</v>
      </c>
      <c r="B3978" t="str">
        <f>"1551685712170812"</f>
        <v>1551685712170812</v>
      </c>
      <c r="C3978" t="s">
        <v>40</v>
      </c>
      <c r="D3978">
        <v>4.5300859999999998</v>
      </c>
      <c r="E3978">
        <v>0.69251609999999997</v>
      </c>
      <c r="F3978" t="s">
        <v>41</v>
      </c>
      <c r="G3978">
        <v>-464.81380000000001</v>
      </c>
      <c r="H3978">
        <v>0.99956920000000005</v>
      </c>
      <c r="I3978">
        <v>214.5077</v>
      </c>
      <c r="J3978">
        <v>-465.45850000000002</v>
      </c>
      <c r="K3978">
        <v>1.110379</v>
      </c>
      <c r="L3978">
        <v>214.7894</v>
      </c>
      <c r="M3978">
        <v>0.99315019999999998</v>
      </c>
      <c r="N3978">
        <v>-1.046218E-2</v>
      </c>
      <c r="O3978">
        <v>-0.1163763</v>
      </c>
      <c r="P3978">
        <v>0.9900407</v>
      </c>
      <c r="Q3978">
        <v>0.1405585</v>
      </c>
      <c r="R3978">
        <v>7.9322379999999994E-3</v>
      </c>
      <c r="S3978">
        <v>3.095764</v>
      </c>
      <c r="T3978">
        <v>-0.38520779999999999</v>
      </c>
      <c r="U3978">
        <v>-1.0755159999999999</v>
      </c>
      <c r="V3978">
        <v>-0.1231532</v>
      </c>
      <c r="W3978">
        <v>0.1507868</v>
      </c>
      <c r="X3978">
        <v>0.98086519999999999</v>
      </c>
      <c r="Y3978">
        <v>0.2150666</v>
      </c>
      <c r="Z3978">
        <v>-1.3752860000000001E-3</v>
      </c>
      <c r="AA3978">
        <v>0.97659839999999998</v>
      </c>
      <c r="AB3978">
        <v>24</v>
      </c>
      <c r="AC3978">
        <v>0.64470000000000005</v>
      </c>
      <c r="AD3978">
        <v>-0.1108098</v>
      </c>
      <c r="AE3978">
        <v>-0.28170000000000001</v>
      </c>
      <c r="AF3978">
        <v>0.19979760848483999</v>
      </c>
      <c r="AG3978">
        <v>-0.1108098</v>
      </c>
      <c r="AH3978">
        <v>0.65681102713662898</v>
      </c>
      <c r="AI3978">
        <v>99.168820183329402</v>
      </c>
      <c r="AJ3978">
        <v>73.080582846222896</v>
      </c>
      <c r="AK3978">
        <v>0.69541255489139298</v>
      </c>
      <c r="AL3978">
        <v>81.327474096809198</v>
      </c>
      <c r="AM3978">
        <v>97.156362666010693</v>
      </c>
      <c r="AN3978">
        <v>0.99999995514775897</v>
      </c>
    </row>
    <row r="3979" spans="1:40" x14ac:dyDescent="0.25">
      <c r="A3979" t="str">
        <f>"20190304154832209"</f>
        <v>20190304154832209</v>
      </c>
      <c r="B3979" t="str">
        <f>"1551685712201067"</f>
        <v>1551685712201067</v>
      </c>
      <c r="C3979" t="s">
        <v>40</v>
      </c>
      <c r="D3979">
        <v>4.585019</v>
      </c>
      <c r="E3979">
        <v>0.6911429</v>
      </c>
      <c r="F3979" t="s">
        <v>60</v>
      </c>
      <c r="G3979">
        <v>-456.73509999999999</v>
      </c>
      <c r="H3979" s="1">
        <v>2.2274699999999999E-6</v>
      </c>
      <c r="I3979">
        <v>210.49459999999999</v>
      </c>
      <c r="J3979">
        <v>-465.10129999999998</v>
      </c>
      <c r="K3979">
        <v>1.110322</v>
      </c>
      <c r="L3979">
        <v>214.74809999999999</v>
      </c>
      <c r="M3979">
        <v>0.99320330000000001</v>
      </c>
      <c r="N3979">
        <v>-1.036071E-2</v>
      </c>
      <c r="O3979">
        <v>-0.1159314</v>
      </c>
      <c r="P3979">
        <v>0.99016139999999997</v>
      </c>
      <c r="Q3979">
        <v>0.1397852</v>
      </c>
      <c r="R3979">
        <v>6.3915250000000003E-3</v>
      </c>
      <c r="S3979">
        <v>3.0983580000000002</v>
      </c>
      <c r="T3979">
        <v>-0.39438060000000003</v>
      </c>
      <c r="U3979">
        <v>-1.525406</v>
      </c>
      <c r="V3979">
        <v>-0.1211844</v>
      </c>
      <c r="W3979">
        <v>0.14992839999999999</v>
      </c>
      <c r="X3979">
        <v>0.98124199999999995</v>
      </c>
      <c r="Y3979">
        <v>0.33298489999999997</v>
      </c>
      <c r="Z3979">
        <v>-9.1497460000000003E-3</v>
      </c>
      <c r="AA3979">
        <v>0.94288780000000005</v>
      </c>
      <c r="AB3979">
        <v>24</v>
      </c>
      <c r="AC3979">
        <v>8.3661999999999903</v>
      </c>
      <c r="AD3979">
        <v>-1.11031977252999</v>
      </c>
      <c r="AE3979">
        <v>-4.2534999999999998</v>
      </c>
      <c r="AF3979">
        <v>3.2099343402974698</v>
      </c>
      <c r="AG3979">
        <v>-1.11031977252999</v>
      </c>
      <c r="AH3979">
        <v>8.6814214655877393</v>
      </c>
      <c r="AI3979">
        <v>96.840440998251907</v>
      </c>
      <c r="AJ3979">
        <v>69.708249798482797</v>
      </c>
      <c r="AK3979">
        <v>9.3222082753744306</v>
      </c>
      <c r="AL3979">
        <v>81.377222943781504</v>
      </c>
      <c r="AM3979">
        <v>97.040437587719495</v>
      </c>
      <c r="AN3979">
        <v>1.0000000232469499</v>
      </c>
    </row>
    <row r="3980" spans="1:40" x14ac:dyDescent="0.25">
      <c r="A3980" t="str">
        <f>"20190304154832233"</f>
        <v>20190304154832233</v>
      </c>
      <c r="B3980" t="str">
        <f>"1551685712220587"</f>
        <v>1551685712220587</v>
      </c>
      <c r="C3980" t="s">
        <v>40</v>
      </c>
      <c r="D3980">
        <v>4.5341670000000001</v>
      </c>
      <c r="E3980">
        <v>0.69015369999999998</v>
      </c>
      <c r="F3980" t="s">
        <v>60</v>
      </c>
      <c r="G3980">
        <v>-457.09410000000003</v>
      </c>
      <c r="H3980" s="1">
        <v>2.4040409999999998E-6</v>
      </c>
      <c r="I3980">
        <v>210.82570000000001</v>
      </c>
      <c r="J3980">
        <v>-464.86320000000001</v>
      </c>
      <c r="K3980">
        <v>1.110309</v>
      </c>
      <c r="L3980">
        <v>214.72059999999999</v>
      </c>
      <c r="M3980">
        <v>0.99323470000000003</v>
      </c>
      <c r="N3980">
        <v>-1.029687E-2</v>
      </c>
      <c r="O3980">
        <v>-0.1156672</v>
      </c>
      <c r="P3980">
        <v>0.99030609999999997</v>
      </c>
      <c r="Q3980">
        <v>0.13881470000000001</v>
      </c>
      <c r="R3980">
        <v>4.9438140000000004E-3</v>
      </c>
      <c r="S3980">
        <v>3.100311</v>
      </c>
      <c r="T3980">
        <v>-0.42990339999999999</v>
      </c>
      <c r="U3980">
        <v>-1.518707</v>
      </c>
      <c r="V3980">
        <v>-0.1195008</v>
      </c>
      <c r="W3980">
        <v>0.14889959999999999</v>
      </c>
      <c r="X3980">
        <v>0.98160510000000001</v>
      </c>
      <c r="Y3980">
        <v>0.33108290000000001</v>
      </c>
      <c r="Z3980">
        <v>-9.5794309999999994E-3</v>
      </c>
      <c r="AA3980">
        <v>0.94355299999999998</v>
      </c>
      <c r="AB3980">
        <v>24</v>
      </c>
      <c r="AC3980">
        <v>7.7690999999999804</v>
      </c>
      <c r="AD3980">
        <v>-1.1103065959589999</v>
      </c>
      <c r="AE3980">
        <v>-3.8948999999999701</v>
      </c>
      <c r="AF3980">
        <v>2.9223782856697298</v>
      </c>
      <c r="AG3980">
        <v>-1.1103065959589999</v>
      </c>
      <c r="AH3980">
        <v>8.0363163918127398</v>
      </c>
      <c r="AI3980">
        <v>97.398038051998498</v>
      </c>
      <c r="AJ3980">
        <v>70.016380807599305</v>
      </c>
      <c r="AK3980">
        <v>8.6229610187511696</v>
      </c>
      <c r="AL3980">
        <v>81.436838288936002</v>
      </c>
      <c r="AM3980">
        <v>96.941043746618902</v>
      </c>
      <c r="AN3980">
        <v>1.0000000522134</v>
      </c>
    </row>
    <row r="3981" spans="1:40" x14ac:dyDescent="0.25">
      <c r="A3981" t="str">
        <f>"20190304154832252"</f>
        <v>20190304154832252</v>
      </c>
      <c r="B3981" t="str">
        <f>"1551685712250843"</f>
        <v>1551685712250843</v>
      </c>
      <c r="C3981" t="s">
        <v>40</v>
      </c>
      <c r="D3981">
        <v>4.5631709999999996</v>
      </c>
      <c r="E3981">
        <v>0.6898611</v>
      </c>
      <c r="F3981" t="s">
        <v>60</v>
      </c>
      <c r="G3981">
        <v>-457.05529999999999</v>
      </c>
      <c r="H3981" s="1">
        <v>2.379913E-6</v>
      </c>
      <c r="I3981">
        <v>210.90459999999999</v>
      </c>
      <c r="J3981">
        <v>-464.6388</v>
      </c>
      <c r="K3981">
        <v>1.1103069999999999</v>
      </c>
      <c r="L3981">
        <v>214.69470000000001</v>
      </c>
      <c r="M3981">
        <v>0.99326360000000002</v>
      </c>
      <c r="N3981">
        <v>-1.023778E-2</v>
      </c>
      <c r="O3981">
        <v>-0.1154239</v>
      </c>
      <c r="P3981">
        <v>0.99043669999999995</v>
      </c>
      <c r="Q3981">
        <v>0.1379195</v>
      </c>
      <c r="R3981">
        <v>3.6398889999999999E-3</v>
      </c>
      <c r="S3981">
        <v>3.0986940000000001</v>
      </c>
      <c r="T3981">
        <v>-0.44064320000000001</v>
      </c>
      <c r="U3981">
        <v>-1.5144500000000001</v>
      </c>
      <c r="V3981">
        <v>-0.1179825</v>
      </c>
      <c r="W3981">
        <v>0.14794749999999901</v>
      </c>
      <c r="X3981">
        <v>0.98193260000000004</v>
      </c>
      <c r="Y3981">
        <v>0.33037430000000001</v>
      </c>
      <c r="Z3981">
        <v>-9.7102899999999999E-3</v>
      </c>
      <c r="AA3981">
        <v>0.94379999999999997</v>
      </c>
      <c r="AB3981">
        <v>24</v>
      </c>
      <c r="AC3981">
        <v>7.5835000000000097</v>
      </c>
      <c r="AD3981">
        <v>-1.1103046200869999</v>
      </c>
      <c r="AE3981">
        <v>-3.7901000000000198</v>
      </c>
      <c r="AF3981">
        <v>2.8406796953774101</v>
      </c>
      <c r="AG3981">
        <v>-1.1103046200869999</v>
      </c>
      <c r="AH3981">
        <v>7.8359000350302699</v>
      </c>
      <c r="AI3981">
        <v>97.587772705297994</v>
      </c>
      <c r="AJ3981">
        <v>70.073346973064304</v>
      </c>
      <c r="AK3981">
        <v>8.4085413027530205</v>
      </c>
      <c r="AL3981">
        <v>81.491999982101305</v>
      </c>
      <c r="AM3981">
        <v>96.851435333188903</v>
      </c>
      <c r="AN3981">
        <v>0.99999998200262896</v>
      </c>
    </row>
    <row r="3982" spans="1:40" x14ac:dyDescent="0.25">
      <c r="A3982" t="str">
        <f>"20190304154832275"</f>
        <v>20190304154832275</v>
      </c>
      <c r="B3982" t="str">
        <f>"1551685712270363"</f>
        <v>1551685712270363</v>
      </c>
      <c r="C3982" t="s">
        <v>40</v>
      </c>
      <c r="D3982">
        <v>4.5093839999999998</v>
      </c>
      <c r="E3982">
        <v>0.68919319999999995</v>
      </c>
      <c r="F3982" t="s">
        <v>60</v>
      </c>
      <c r="G3982">
        <v>-457.0222</v>
      </c>
      <c r="H3982" s="1">
        <v>2.3595839999999998E-6</v>
      </c>
      <c r="I3982">
        <v>210.9676</v>
      </c>
      <c r="J3982">
        <v>-464.4051</v>
      </c>
      <c r="K3982">
        <v>1.1103130000000001</v>
      </c>
      <c r="L3982">
        <v>214.6679</v>
      </c>
      <c r="M3982">
        <v>0.99329440000000002</v>
      </c>
      <c r="N3982">
        <v>-1.0181259999999999E-2</v>
      </c>
      <c r="O3982">
        <v>-0.1151634</v>
      </c>
      <c r="P3982">
        <v>0.99055139999999997</v>
      </c>
      <c r="Q3982">
        <v>0.1371202</v>
      </c>
      <c r="R3982">
        <v>2.504175E-3</v>
      </c>
      <c r="S3982">
        <v>3.0974119999999998</v>
      </c>
      <c r="T3982">
        <v>-0.45152569999999997</v>
      </c>
      <c r="U3982">
        <v>-1.5156860000000001</v>
      </c>
      <c r="V3982">
        <v>-0.1166148</v>
      </c>
      <c r="W3982">
        <v>0.147092</v>
      </c>
      <c r="X3982">
        <v>0.98222449999999994</v>
      </c>
      <c r="Y3982">
        <v>0.3309782</v>
      </c>
      <c r="Z3982">
        <v>-9.9401690000000004E-3</v>
      </c>
      <c r="AA3982">
        <v>0.94358609999999998</v>
      </c>
      <c r="AB3982">
        <v>24</v>
      </c>
      <c r="AC3982">
        <v>7.3829000000000002</v>
      </c>
      <c r="AD3982">
        <v>-1.1103106404159999</v>
      </c>
      <c r="AE3982">
        <v>-3.7002999999999902</v>
      </c>
      <c r="AF3982">
        <v>2.7752280930185802</v>
      </c>
      <c r="AG3982">
        <v>-1.1103106404159999</v>
      </c>
      <c r="AH3982">
        <v>7.6221544920001101</v>
      </c>
      <c r="AI3982">
        <v>97.794110619593795</v>
      </c>
      <c r="AJ3982">
        <v>69.993424076756398</v>
      </c>
      <c r="AK3982">
        <v>8.18730235098338</v>
      </c>
      <c r="AL3982">
        <v>81.541559049529695</v>
      </c>
      <c r="AM3982">
        <v>96.770758773561496</v>
      </c>
      <c r="AN3982">
        <v>1.00000001822164</v>
      </c>
    </row>
    <row r="3983" spans="1:40" x14ac:dyDescent="0.25">
      <c r="A3983" t="str">
        <f>"20190304154832296"</f>
        <v>20190304154832296</v>
      </c>
      <c r="B3983" t="str">
        <f>"1551685712290861"</f>
        <v>1551685712290861</v>
      </c>
      <c r="C3983" t="s">
        <v>40</v>
      </c>
      <c r="D3983">
        <v>4.5244410000000004</v>
      </c>
      <c r="E3983">
        <v>0.68786749999999997</v>
      </c>
      <c r="F3983" t="s">
        <v>60</v>
      </c>
      <c r="G3983">
        <v>-456.88650000000001</v>
      </c>
      <c r="H3983" s="1">
        <v>2.2862050000000002E-6</v>
      </c>
      <c r="I3983">
        <v>210.994</v>
      </c>
      <c r="J3983">
        <v>-464.16969999999998</v>
      </c>
      <c r="K3983">
        <v>1.1103270000000001</v>
      </c>
      <c r="L3983">
        <v>214.64089999999999</v>
      </c>
      <c r="M3983">
        <v>0.99332699999999996</v>
      </c>
      <c r="N3983">
        <v>-1.013113E-2</v>
      </c>
      <c r="O3983">
        <v>-0.1148865</v>
      </c>
      <c r="P3983">
        <v>0.99078480000000002</v>
      </c>
      <c r="Q3983">
        <v>0.13543529999999901</v>
      </c>
      <c r="R3983">
        <v>1.6934369999999999E-3</v>
      </c>
      <c r="S3983">
        <v>3.0957340000000002</v>
      </c>
      <c r="T3983">
        <v>-0.45716259999999997</v>
      </c>
      <c r="U3983">
        <v>-1.51268</v>
      </c>
      <c r="V3983">
        <v>-0.1155665</v>
      </c>
      <c r="W3983">
        <v>0.14535799999999999</v>
      </c>
      <c r="X3983">
        <v>0.98260650000000005</v>
      </c>
      <c r="Y3983">
        <v>0.33065329999999998</v>
      </c>
      <c r="Z3983">
        <v>-1.0028499999999999E-2</v>
      </c>
      <c r="AA3983">
        <v>0.94369899999999995</v>
      </c>
      <c r="AB3983">
        <v>24</v>
      </c>
      <c r="AC3983">
        <v>7.2831999999999599</v>
      </c>
      <c r="AD3983">
        <v>-1.1103247137950001</v>
      </c>
      <c r="AE3983">
        <v>-3.6468999999999601</v>
      </c>
      <c r="AF3983">
        <v>2.7351413400664102</v>
      </c>
      <c r="AG3983">
        <v>-1.1103247137950001</v>
      </c>
      <c r="AH3983">
        <v>7.5143397965342196</v>
      </c>
      <c r="AI3983">
        <v>97.904912164084195</v>
      </c>
      <c r="AJ3983">
        <v>69.999021551486905</v>
      </c>
      <c r="AK3983">
        <v>8.0733587618773797</v>
      </c>
      <c r="AL3983">
        <v>81.641989691928998</v>
      </c>
      <c r="AM3983">
        <v>96.707866101081706</v>
      </c>
      <c r="AN3983">
        <v>1.00000004896424</v>
      </c>
    </row>
    <row r="3984" spans="1:40" x14ac:dyDescent="0.25">
      <c r="A3984" t="str">
        <f>"20190304154832320"</f>
        <v>20190304154832320</v>
      </c>
      <c r="B3984" t="str">
        <f>"1551685712310380"</f>
        <v>1551685712310380</v>
      </c>
      <c r="C3984" t="s">
        <v>40</v>
      </c>
      <c r="D3984">
        <v>4.5171590000000004</v>
      </c>
      <c r="E3984">
        <v>0.68615389999999998</v>
      </c>
      <c r="F3984" t="s">
        <v>60</v>
      </c>
      <c r="G3984">
        <v>-456.77429999999998</v>
      </c>
      <c r="H3984" s="1">
        <v>2.2242790000000001E-6</v>
      </c>
      <c r="I3984">
        <v>211.04490000000001</v>
      </c>
      <c r="J3984">
        <v>-463.92079999999999</v>
      </c>
      <c r="K3984">
        <v>1.110336</v>
      </c>
      <c r="L3984">
        <v>214.61250000000001</v>
      </c>
      <c r="M3984">
        <v>0.99336360000000001</v>
      </c>
      <c r="N3984">
        <v>-1.008471E-2</v>
      </c>
      <c r="O3984">
        <v>-0.114574</v>
      </c>
      <c r="P3984">
        <v>0.99091850000000004</v>
      </c>
      <c r="Q3984">
        <v>0.134455399999999</v>
      </c>
      <c r="R3984">
        <v>1.5202359999999999E-3</v>
      </c>
      <c r="S3984">
        <v>3.0939939999999999</v>
      </c>
      <c r="T3984">
        <v>-0.4645263</v>
      </c>
      <c r="U3984">
        <v>-1.5044709999999999</v>
      </c>
      <c r="V3984">
        <v>-0.1151051</v>
      </c>
      <c r="W3984">
        <v>0.1443304</v>
      </c>
      <c r="X3984">
        <v>0.98281200000000002</v>
      </c>
      <c r="Y3984">
        <v>0.32907890000000001</v>
      </c>
      <c r="Z3984">
        <v>-1.0056910000000001E-2</v>
      </c>
      <c r="AA3984">
        <v>0.94424889999999995</v>
      </c>
      <c r="AB3984">
        <v>24</v>
      </c>
      <c r="AC3984">
        <v>7.1464999999999996</v>
      </c>
      <c r="AD3984">
        <v>-1.1103337757209999</v>
      </c>
      <c r="AE3984">
        <v>-3.5675999999999899</v>
      </c>
      <c r="AF3984">
        <v>2.6735961535120398</v>
      </c>
      <c r="AG3984">
        <v>-1.1103337757209999</v>
      </c>
      <c r="AH3984">
        <v>7.3658742730090401</v>
      </c>
      <c r="AI3984">
        <v>98.064836047502297</v>
      </c>
      <c r="AJ3984">
        <v>70.050588783911294</v>
      </c>
      <c r="AK3984">
        <v>7.9143579203468999</v>
      </c>
      <c r="AL3984">
        <v>81.7014934142626</v>
      </c>
      <c r="AM3984">
        <v>96.679943105911605</v>
      </c>
      <c r="AN3984">
        <v>0.99999993787708297</v>
      </c>
    </row>
    <row r="3985" spans="1:40" x14ac:dyDescent="0.25">
      <c r="A3985" t="str">
        <f>"20190304154832342"</f>
        <v>20190304154832342</v>
      </c>
      <c r="B3985" t="str">
        <f>"1551685712330875"</f>
        <v>1551685712330875</v>
      </c>
      <c r="C3985" t="s">
        <v>40</v>
      </c>
      <c r="D3985">
        <v>4.4931549999999998</v>
      </c>
      <c r="E3985">
        <v>0.68473459999999997</v>
      </c>
      <c r="F3985" t="s">
        <v>60</v>
      </c>
      <c r="G3985">
        <v>-456.57569999999998</v>
      </c>
      <c r="H3985" s="1">
        <v>2.1175200000000002E-6</v>
      </c>
      <c r="I3985">
        <v>211.0694</v>
      </c>
      <c r="J3985">
        <v>-463.6773</v>
      </c>
      <c r="K3985">
        <v>1.110341</v>
      </c>
      <c r="L3985">
        <v>214.5847</v>
      </c>
      <c r="M3985">
        <v>0.99340150000000005</v>
      </c>
      <c r="N3985">
        <v>-1.0044539999999999E-2</v>
      </c>
      <c r="O3985">
        <v>-0.1142476</v>
      </c>
      <c r="P3985">
        <v>0.99088259999999995</v>
      </c>
      <c r="Q3985">
        <v>0.13471250000000001</v>
      </c>
      <c r="R3985">
        <v>2.0893909999999999E-3</v>
      </c>
      <c r="S3985">
        <v>3.0932010000000001</v>
      </c>
      <c r="T3985">
        <v>-0.46758949999999999</v>
      </c>
      <c r="U3985">
        <v>-1.492065</v>
      </c>
      <c r="V3985">
        <v>-0.11534850000000001</v>
      </c>
      <c r="W3985">
        <v>0.1445427</v>
      </c>
      <c r="X3985">
        <v>0.98275230000000002</v>
      </c>
      <c r="Y3985">
        <v>0.32640730000000001</v>
      </c>
      <c r="Z3985">
        <v>-9.9369209999999996E-3</v>
      </c>
      <c r="AA3985">
        <v>0.94517700000000004</v>
      </c>
      <c r="AB3985">
        <v>24</v>
      </c>
      <c r="AC3985">
        <v>7.1016000000000101</v>
      </c>
      <c r="AD3985">
        <v>-1.11033888248</v>
      </c>
      <c r="AE3985">
        <v>-3.5152999999999901</v>
      </c>
      <c r="AF3985">
        <v>2.6292743214699299</v>
      </c>
      <c r="AG3985">
        <v>-1.11033888248</v>
      </c>
      <c r="AH3985">
        <v>7.3131410602366298</v>
      </c>
      <c r="AI3985">
        <v>98.131075408167405</v>
      </c>
      <c r="AJ3985">
        <v>70.225100430924499</v>
      </c>
      <c r="AK3985">
        <v>7.8503482762490897</v>
      </c>
      <c r="AL3985">
        <v>81.689200935947994</v>
      </c>
      <c r="AM3985">
        <v>96.694343340083904</v>
      </c>
      <c r="AN3985">
        <v>0.999999975865414</v>
      </c>
    </row>
    <row r="3986" spans="1:40" x14ac:dyDescent="0.25">
      <c r="A3986" t="str">
        <f>"20190304154832364"</f>
        <v>20190304154832364</v>
      </c>
      <c r="B3986" t="str">
        <f>"1551685712360155"</f>
        <v>1551685712360155</v>
      </c>
      <c r="C3986" t="s">
        <v>40</v>
      </c>
      <c r="D3986">
        <v>4.5091780000000004</v>
      </c>
      <c r="E3986">
        <v>0.6829693</v>
      </c>
      <c r="F3986" t="s">
        <v>60</v>
      </c>
      <c r="G3986">
        <v>-456.3057</v>
      </c>
      <c r="H3986" s="1">
        <v>1.9742099999999999E-6</v>
      </c>
      <c r="I3986">
        <v>211.06020000000001</v>
      </c>
      <c r="J3986">
        <v>-463.43849999999998</v>
      </c>
      <c r="K3986">
        <v>1.110352</v>
      </c>
      <c r="L3986">
        <v>214.55760000000001</v>
      </c>
      <c r="M3986">
        <v>0.99344080000000001</v>
      </c>
      <c r="N3986">
        <v>-1.0010079999999999E-2</v>
      </c>
      <c r="O3986">
        <v>-0.11390939999999999</v>
      </c>
      <c r="P3986">
        <v>0.99088690000000001</v>
      </c>
      <c r="Q3986">
        <v>0.1346841</v>
      </c>
      <c r="R3986">
        <v>1.9263570000000001E-3</v>
      </c>
      <c r="S3986">
        <v>3.094055</v>
      </c>
      <c r="T3986">
        <v>-0.46603539999999999</v>
      </c>
      <c r="U3986">
        <v>-1.4793240000000001</v>
      </c>
      <c r="V3986">
        <v>-0.114857</v>
      </c>
      <c r="W3986">
        <v>0.14447670000000001</v>
      </c>
      <c r="X3986">
        <v>0.98281960000000002</v>
      </c>
      <c r="Y3986">
        <v>0.3234998</v>
      </c>
      <c r="Z3986">
        <v>-9.7285659999999993E-3</v>
      </c>
      <c r="AA3986">
        <v>0.94617830000000003</v>
      </c>
      <c r="AB3986">
        <v>24</v>
      </c>
      <c r="AC3986">
        <v>7.1327999999999703</v>
      </c>
      <c r="AD3986">
        <v>-1.1103500257899901</v>
      </c>
      <c r="AE3986">
        <v>-3.4973999999999901</v>
      </c>
      <c r="AF3986">
        <v>2.6110903161505798</v>
      </c>
      <c r="AG3986">
        <v>-1.1103500257899901</v>
      </c>
      <c r="AH3986">
        <v>7.3413564210433</v>
      </c>
      <c r="AI3986">
        <v>98.110104930679</v>
      </c>
      <c r="AJ3986">
        <v>70.421121860213205</v>
      </c>
      <c r="AK3986">
        <v>7.8705898076104104</v>
      </c>
      <c r="AL3986">
        <v>81.693022829836707</v>
      </c>
      <c r="AM3986">
        <v>96.6656236334059</v>
      </c>
      <c r="AN3986">
        <v>1.0000000067180199</v>
      </c>
    </row>
    <row r="3987" spans="1:40" x14ac:dyDescent="0.25">
      <c r="A3987" t="str">
        <f>"20190304154832388"</f>
        <v>20190304154832388</v>
      </c>
      <c r="B3987" t="str">
        <f>"1551685712380651"</f>
        <v>1551685712380651</v>
      </c>
      <c r="C3987" t="s">
        <v>40</v>
      </c>
      <c r="D3987">
        <v>4.4948100000000002</v>
      </c>
      <c r="E3987">
        <v>0.68208649999999904</v>
      </c>
      <c r="F3987" t="s">
        <v>60</v>
      </c>
      <c r="G3987">
        <v>-456.09100000000001</v>
      </c>
      <c r="H3987" s="1">
        <v>1.8592149999999999E-6</v>
      </c>
      <c r="I3987">
        <v>211.07740000000001</v>
      </c>
      <c r="J3987">
        <v>-463.18430000000001</v>
      </c>
      <c r="K3987">
        <v>1.1103639999999999</v>
      </c>
      <c r="L3987">
        <v>214.52889999999999</v>
      </c>
      <c r="M3987">
        <v>0.99348460000000005</v>
      </c>
      <c r="N3987">
        <v>-9.9783330000000007E-3</v>
      </c>
      <c r="O3987">
        <v>-0.1135292</v>
      </c>
      <c r="P3987">
        <v>0.99089559999999999</v>
      </c>
      <c r="Q3987">
        <v>0.1346203</v>
      </c>
      <c r="R3987">
        <v>1.7680979999999901E-3</v>
      </c>
      <c r="S3987">
        <v>3.0939939999999999</v>
      </c>
      <c r="T3987">
        <v>-0.4675589</v>
      </c>
      <c r="U3987">
        <v>-1.4654849999999999</v>
      </c>
      <c r="V3987">
        <v>-0.1143305</v>
      </c>
      <c r="W3987">
        <v>0.14437759999999999</v>
      </c>
      <c r="X3987">
        <v>0.98289559999999998</v>
      </c>
      <c r="Y3987">
        <v>0.32042619999999999</v>
      </c>
      <c r="Z3987">
        <v>-9.5612739999999998E-3</v>
      </c>
      <c r="AA3987">
        <v>0.94722519999999999</v>
      </c>
      <c r="AB3987">
        <v>24</v>
      </c>
      <c r="AC3987">
        <v>7.0932999999999904</v>
      </c>
      <c r="AD3987">
        <v>-1.110362140785</v>
      </c>
      <c r="AE3987">
        <v>-3.4514999999999798</v>
      </c>
      <c r="AF3987">
        <v>2.5728702432556201</v>
      </c>
      <c r="AG3987">
        <v>-1.110362140785</v>
      </c>
      <c r="AH3987">
        <v>7.2947707540886801</v>
      </c>
      <c r="AI3987">
        <v>98.168813501527495</v>
      </c>
      <c r="AJ3987">
        <v>70.572221721942796</v>
      </c>
      <c r="AK3987">
        <v>7.8144894732174599</v>
      </c>
      <c r="AL3987">
        <v>81.698761428794896</v>
      </c>
      <c r="AM3987">
        <v>96.634833268959895</v>
      </c>
      <c r="AN3987">
        <v>1.00000005755568</v>
      </c>
    </row>
    <row r="3988" spans="1:40" x14ac:dyDescent="0.25">
      <c r="A3988" t="str">
        <f>"20190304154832410"</f>
        <v>20190304154832410</v>
      </c>
      <c r="B3988" t="str">
        <f>"1551685712400172"</f>
        <v>1551685712400172</v>
      </c>
      <c r="C3988" t="s">
        <v>40</v>
      </c>
      <c r="D3988">
        <v>4.4988700000000001</v>
      </c>
      <c r="E3988">
        <v>0.68098119999999995</v>
      </c>
      <c r="F3988" t="s">
        <v>60</v>
      </c>
      <c r="G3988">
        <v>-455.87470000000002</v>
      </c>
      <c r="H3988" s="1">
        <v>1.7438079999999999E-6</v>
      </c>
      <c r="I3988">
        <v>211.08449999999999</v>
      </c>
      <c r="J3988">
        <v>-462.935</v>
      </c>
      <c r="K3988">
        <v>1.1103860000000001</v>
      </c>
      <c r="L3988">
        <v>214.5008</v>
      </c>
      <c r="M3988">
        <v>0.99353000000000002</v>
      </c>
      <c r="N3988">
        <v>-9.9515929999999999E-3</v>
      </c>
      <c r="O3988">
        <v>-0.1131344</v>
      </c>
      <c r="P3988">
        <v>0.99086510000000005</v>
      </c>
      <c r="Q3988">
        <v>0.13484769999999999</v>
      </c>
      <c r="R3988">
        <v>1.624335E-3</v>
      </c>
      <c r="S3988">
        <v>3.094055</v>
      </c>
      <c r="T3988">
        <v>-0.46999879999999999</v>
      </c>
      <c r="U3988">
        <v>-1.4579470000000001</v>
      </c>
      <c r="V3988">
        <v>-0.1138</v>
      </c>
      <c r="W3988">
        <v>0.14457390000000001</v>
      </c>
      <c r="X3988">
        <v>0.98292829999999998</v>
      </c>
      <c r="Y3988">
        <v>0.31889689999999998</v>
      </c>
      <c r="Z3988">
        <v>-9.5255630000000008E-3</v>
      </c>
      <c r="AA3988">
        <v>0.94774159999999996</v>
      </c>
      <c r="AB3988">
        <v>24</v>
      </c>
      <c r="AC3988">
        <v>7.0602999999999803</v>
      </c>
      <c r="AD3988">
        <v>-1.1103842561920001</v>
      </c>
      <c r="AE3988">
        <v>-3.4163000000000001</v>
      </c>
      <c r="AF3988">
        <v>2.5445641253892002</v>
      </c>
      <c r="AG3988">
        <v>-1.1103842561920001</v>
      </c>
      <c r="AH3988">
        <v>7.2560614832507797</v>
      </c>
      <c r="AI3988">
        <v>98.217081741493601</v>
      </c>
      <c r="AJ3988">
        <v>70.675192236749098</v>
      </c>
      <c r="AK3988">
        <v>7.7690532263160801</v>
      </c>
      <c r="AL3988">
        <v>81.687394933310102</v>
      </c>
      <c r="AM3988">
        <v>96.604102088890102</v>
      </c>
      <c r="AN3988">
        <v>1.00000004775104</v>
      </c>
    </row>
    <row r="3989" spans="1:40" x14ac:dyDescent="0.25">
      <c r="A3989" t="str">
        <f>"20190304154832434"</f>
        <v>20190304154832434</v>
      </c>
      <c r="B3989" t="str">
        <f>"1551685712430427"</f>
        <v>1551685712430427</v>
      </c>
      <c r="C3989" t="s">
        <v>40</v>
      </c>
      <c r="D3989">
        <v>4.3461600000000002</v>
      </c>
      <c r="E3989">
        <v>0.68030859999999904</v>
      </c>
      <c r="F3989" t="s">
        <v>60</v>
      </c>
      <c r="G3989">
        <v>-455.63780000000003</v>
      </c>
      <c r="H3989" s="1">
        <v>1.617794E-6</v>
      </c>
      <c r="I3989">
        <v>211.08420000000001</v>
      </c>
      <c r="J3989">
        <v>-462.68740000000003</v>
      </c>
      <c r="K3989">
        <v>1.1104099999999999</v>
      </c>
      <c r="L3989">
        <v>214.47309999999999</v>
      </c>
      <c r="M3989">
        <v>0.99357770000000001</v>
      </c>
      <c r="N3989">
        <v>-9.9294129999999998E-3</v>
      </c>
      <c r="O3989">
        <v>-0.1127147</v>
      </c>
      <c r="P3989">
        <v>0.99082269999999995</v>
      </c>
      <c r="Q3989">
        <v>0.13515739999999901</v>
      </c>
      <c r="R3989">
        <v>1.7072379999999901E-3</v>
      </c>
      <c r="S3989">
        <v>3.0941770000000002</v>
      </c>
      <c r="T3989">
        <v>-0.47083209999999998</v>
      </c>
      <c r="U3989">
        <v>-1.4487300000000001</v>
      </c>
      <c r="V3989">
        <v>-0.11347</v>
      </c>
      <c r="W3989">
        <v>0.1448556</v>
      </c>
      <c r="X3989">
        <v>0.98292489999999999</v>
      </c>
      <c r="Y3989">
        <v>0.31697540000000002</v>
      </c>
      <c r="Z3989">
        <v>-9.4412679999999992E-3</v>
      </c>
      <c r="AA3989">
        <v>0.94838679999999997</v>
      </c>
      <c r="AB3989">
        <v>24</v>
      </c>
      <c r="AC3989">
        <v>7.0495999999999901</v>
      </c>
      <c r="AD3989">
        <v>-1.110408382206</v>
      </c>
      <c r="AE3989">
        <v>-3.3888999999999698</v>
      </c>
      <c r="AF3989">
        <v>2.52184553761222</v>
      </c>
      <c r="AG3989">
        <v>-1.110408382206</v>
      </c>
      <c r="AH3989">
        <v>7.2407443217176999</v>
      </c>
      <c r="AI3989">
        <v>98.240464593706307</v>
      </c>
      <c r="AJ3989">
        <v>70.797518835924706</v>
      </c>
      <c r="AK3989">
        <v>7.7473279279591099</v>
      </c>
      <c r="AL3989">
        <v>81.671082371971096</v>
      </c>
      <c r="AM3989">
        <v>96.585142374030596</v>
      </c>
      <c r="AN3989">
        <v>0.99999997239568394</v>
      </c>
    </row>
    <row r="3990" spans="1:40" x14ac:dyDescent="0.25">
      <c r="A3990" t="str">
        <f>"20190304154832453"</f>
        <v>20190304154832453</v>
      </c>
      <c r="B3990" t="str">
        <f>"1551685712450924"</f>
        <v>1551685712450924</v>
      </c>
      <c r="C3990" t="s">
        <v>40</v>
      </c>
      <c r="D3990">
        <v>5.520886</v>
      </c>
      <c r="E3990">
        <v>0.68063189999999996</v>
      </c>
      <c r="F3990" t="s">
        <v>60</v>
      </c>
      <c r="G3990">
        <v>-455.40690000000001</v>
      </c>
      <c r="H3990" s="1">
        <v>1.495126E-6</v>
      </c>
      <c r="I3990">
        <v>211.07830000000001</v>
      </c>
      <c r="J3990">
        <v>-462.46809999999999</v>
      </c>
      <c r="K3990">
        <v>1.1104339999999999</v>
      </c>
      <c r="L3990">
        <v>214.4486</v>
      </c>
      <c r="M3990">
        <v>0.99362300000000003</v>
      </c>
      <c r="N3990">
        <v>-9.9124929999999997E-3</v>
      </c>
      <c r="O3990">
        <v>-0.1123176</v>
      </c>
      <c r="P3990">
        <v>0.99067260000000001</v>
      </c>
      <c r="Q3990">
        <v>0.136246799999999</v>
      </c>
      <c r="R3990">
        <v>2.2163590000000002E-3</v>
      </c>
      <c r="S3990">
        <v>3.0946959999999999</v>
      </c>
      <c r="T3990">
        <v>-0.47199259999999899</v>
      </c>
      <c r="U3990">
        <v>-1.442993</v>
      </c>
      <c r="V3990">
        <v>-0.1135743</v>
      </c>
      <c r="W3990">
        <v>0.14592079999999999</v>
      </c>
      <c r="X3990">
        <v>0.9827553</v>
      </c>
      <c r="Y3990">
        <v>0.31584659999999998</v>
      </c>
      <c r="Z3990">
        <v>-9.4190939999999994E-3</v>
      </c>
      <c r="AA3990">
        <v>0.94876349999999998</v>
      </c>
      <c r="AB3990">
        <v>25</v>
      </c>
      <c r="AC3990">
        <v>7.0611999999999799</v>
      </c>
      <c r="AD3990">
        <v>-1.110432504874</v>
      </c>
      <c r="AE3990">
        <v>-3.3702999999999799</v>
      </c>
      <c r="AF3990">
        <v>2.50537358698277</v>
      </c>
      <c r="AG3990">
        <v>-1.110432504874</v>
      </c>
      <c r="AH3990">
        <v>7.2490693083944304</v>
      </c>
      <c r="AI3990">
        <v>98.238028125087993</v>
      </c>
      <c r="AJ3990">
        <v>70.934178014962498</v>
      </c>
      <c r="AK3990">
        <v>7.7497718028428304</v>
      </c>
      <c r="AL3990">
        <v>81.609395613752298</v>
      </c>
      <c r="AM3990">
        <v>96.5922695682994</v>
      </c>
      <c r="AN3990">
        <v>0.99999999058560995</v>
      </c>
    </row>
    <row r="3991" spans="1:40" x14ac:dyDescent="0.25">
      <c r="A3991" t="str">
        <f>"20190304154832475"</f>
        <v>20190304154832475</v>
      </c>
      <c r="B3991" t="str">
        <f>"1551685712470443"</f>
        <v>1551685712470443</v>
      </c>
      <c r="C3991" t="s">
        <v>40</v>
      </c>
      <c r="D3991">
        <v>4.3189909999999996</v>
      </c>
      <c r="E3991">
        <v>0.55464499999999906</v>
      </c>
      <c r="F3991" t="s">
        <v>60</v>
      </c>
      <c r="G3991">
        <v>-454.91919999999999</v>
      </c>
      <c r="H3991" s="1">
        <v>1.2421980000000001E-6</v>
      </c>
      <c r="I3991">
        <v>210.92769999999999</v>
      </c>
      <c r="J3991">
        <v>-462.22840000000002</v>
      </c>
      <c r="K3991">
        <v>1.1104590000000001</v>
      </c>
      <c r="L3991">
        <v>214.422</v>
      </c>
      <c r="M3991">
        <v>0.99367490000000003</v>
      </c>
      <c r="N3991">
        <v>-9.8968110000000001E-3</v>
      </c>
      <c r="O3991">
        <v>-0.11185920000000001</v>
      </c>
      <c r="P3991">
        <v>0.99051699999999998</v>
      </c>
      <c r="Q3991">
        <v>0.1373529</v>
      </c>
      <c r="R3991">
        <v>3.2552219999999999E-3</v>
      </c>
      <c r="S3991">
        <v>3.094055</v>
      </c>
      <c r="T3991">
        <v>-0.4551325</v>
      </c>
      <c r="U3991">
        <v>-1.4431</v>
      </c>
      <c r="V3991">
        <v>-0.11414389999999899</v>
      </c>
      <c r="W3991">
        <v>0.14700239999999901</v>
      </c>
      <c r="X3991">
        <v>0.98252810000000002</v>
      </c>
      <c r="Y3991">
        <v>0.3165229</v>
      </c>
      <c r="Z3991">
        <v>-9.2875070000000004E-3</v>
      </c>
      <c r="AA3991">
        <v>0.94853940000000003</v>
      </c>
      <c r="AB3991">
        <v>25</v>
      </c>
      <c r="AC3991">
        <v>7.3092000000000299</v>
      </c>
      <c r="AD3991">
        <v>-1.1104577578020001</v>
      </c>
      <c r="AE3991">
        <v>-3.4943</v>
      </c>
      <c r="AF3991">
        <v>2.60577042926688</v>
      </c>
      <c r="AG3991">
        <v>-1.1104577578020001</v>
      </c>
      <c r="AH3991">
        <v>7.5130596722178202</v>
      </c>
      <c r="AI3991">
        <v>97.949553724892695</v>
      </c>
      <c r="AJ3991">
        <v>70.871811254210897</v>
      </c>
      <c r="AK3991">
        <v>8.0292727939838997</v>
      </c>
      <c r="AL3991">
        <v>81.546749027386994</v>
      </c>
      <c r="AM3991">
        <v>96.626556416740996</v>
      </c>
      <c r="AN3991">
        <v>1.00000000140129</v>
      </c>
    </row>
    <row r="3992" spans="1:40" x14ac:dyDescent="0.25">
      <c r="A3992" t="str">
        <f>"20190304154832498"</f>
        <v>20190304154832498</v>
      </c>
      <c r="B3992" t="str">
        <f>"1551685712490940"</f>
        <v>1551685712490940</v>
      </c>
      <c r="C3992" t="s">
        <v>40</v>
      </c>
      <c r="D3992">
        <v>4.3122530000000001</v>
      </c>
      <c r="E3992">
        <v>0.53597399999999995</v>
      </c>
      <c r="F3992" t="s">
        <v>69</v>
      </c>
      <c r="G3992">
        <v>-230.46129999999999</v>
      </c>
      <c r="H3992">
        <v>1.3716699999999999</v>
      </c>
      <c r="I3992">
        <v>181.529</v>
      </c>
      <c r="J3992">
        <v>-461.98180000000002</v>
      </c>
      <c r="K3992">
        <v>1.110482</v>
      </c>
      <c r="L3992">
        <v>214.3948</v>
      </c>
      <c r="M3992">
        <v>0.99373140000000004</v>
      </c>
      <c r="N3992">
        <v>-9.8832940000000008E-3</v>
      </c>
      <c r="O3992">
        <v>-0.11135689999999999</v>
      </c>
      <c r="P3992">
        <v>0.99050609999999994</v>
      </c>
      <c r="Q3992">
        <v>0.13739970000000001</v>
      </c>
      <c r="R3992">
        <v>4.4019599999999999E-3</v>
      </c>
      <c r="S3992">
        <v>3.0296630000000002</v>
      </c>
      <c r="T3992">
        <v>3.415108E-3</v>
      </c>
      <c r="U3992">
        <v>-0.42997740000000001</v>
      </c>
      <c r="V3992">
        <v>-0.1147928</v>
      </c>
      <c r="W3992">
        <v>0.147028399999999</v>
      </c>
      <c r="X3992">
        <v>0.98244860000000001</v>
      </c>
      <c r="Y3992">
        <v>2.9389740000000001E-2</v>
      </c>
      <c r="Z3992">
        <v>-1.3529389999999901E-3</v>
      </c>
      <c r="AA3992">
        <v>0.99956710000000004</v>
      </c>
      <c r="AB3992">
        <v>25</v>
      </c>
      <c r="AC3992">
        <v>231.5205</v>
      </c>
      <c r="AD3992">
        <v>0.26118799999999998</v>
      </c>
      <c r="AE3992">
        <v>-32.865799999999901</v>
      </c>
      <c r="AF3992">
        <v>6.8786991996484703</v>
      </c>
      <c r="AG3992">
        <v>0.26118799999999998</v>
      </c>
      <c r="AH3992">
        <v>233.74013303051601</v>
      </c>
      <c r="AI3992">
        <v>89.936003767950595</v>
      </c>
      <c r="AJ3992">
        <v>88.314338621076601</v>
      </c>
      <c r="AK3992">
        <v>233.841473034562</v>
      </c>
      <c r="AL3992">
        <v>81.5452429137774</v>
      </c>
      <c r="AM3992">
        <v>96.664424447978405</v>
      </c>
      <c r="AN3992">
        <v>0.99999999449017996</v>
      </c>
    </row>
    <row r="3993" spans="1:40" x14ac:dyDescent="0.25">
      <c r="A3993" t="str">
        <f>"20190304154832521"</f>
        <v>20190304154832521</v>
      </c>
      <c r="B3993" t="str">
        <f>"1551685712510463"</f>
        <v>1551685712510463</v>
      </c>
      <c r="C3993" t="s">
        <v>40</v>
      </c>
      <c r="D3993">
        <v>4.2700740000000001</v>
      </c>
      <c r="E3993">
        <v>0.52958769999999999</v>
      </c>
      <c r="F3993" t="s">
        <v>57</v>
      </c>
      <c r="G3993">
        <v>-279.2355</v>
      </c>
      <c r="H3993">
        <v>0.43411899999999998</v>
      </c>
      <c r="I3993">
        <v>197.6421</v>
      </c>
      <c r="J3993">
        <v>-461.726</v>
      </c>
      <c r="K3993">
        <v>1.110503</v>
      </c>
      <c r="L3993">
        <v>214.36680000000001</v>
      </c>
      <c r="M3993">
        <v>0.99379399999999996</v>
      </c>
      <c r="N3993">
        <v>-9.8714079999999999E-3</v>
      </c>
      <c r="O3993">
        <v>-0.1107971</v>
      </c>
      <c r="P3993">
        <v>0.9905138</v>
      </c>
      <c r="Q3993">
        <v>0.13729810000000001</v>
      </c>
      <c r="R3993">
        <v>5.6162159999999899E-3</v>
      </c>
      <c r="S3993">
        <v>3.031555</v>
      </c>
      <c r="T3993">
        <v>-1.12201E-2</v>
      </c>
      <c r="U3993">
        <v>-0.2779083</v>
      </c>
      <c r="V3993">
        <v>-0.1154554</v>
      </c>
      <c r="W3993">
        <v>0.1469067</v>
      </c>
      <c r="X3993">
        <v>0.98238919999999996</v>
      </c>
      <c r="Y3993">
        <v>-1.9610220000000001E-2</v>
      </c>
      <c r="Z3993">
        <v>-5.5327230000000005E-4</v>
      </c>
      <c r="AA3993">
        <v>0.99980749999999996</v>
      </c>
      <c r="AB3993">
        <v>25</v>
      </c>
      <c r="AC3993">
        <v>182.4905</v>
      </c>
      <c r="AD3993">
        <v>-0.67638399999999999</v>
      </c>
      <c r="AE3993">
        <v>-16.724699999999999</v>
      </c>
      <c r="AF3993">
        <v>-3.5986380604332799</v>
      </c>
      <c r="AG3993">
        <v>-0.67638399999999999</v>
      </c>
      <c r="AH3993">
        <v>183.21744734745101</v>
      </c>
      <c r="AI3993">
        <v>90.211477127323505</v>
      </c>
      <c r="AJ3993">
        <v>91.125221792751503</v>
      </c>
      <c r="AK3993">
        <v>183.254033253627</v>
      </c>
      <c r="AL3993">
        <v>81.552292694820906</v>
      </c>
      <c r="AM3993">
        <v>96.702945014558594</v>
      </c>
      <c r="AN3993">
        <v>1.0000000340853401</v>
      </c>
    </row>
    <row r="3994" spans="1:40" x14ac:dyDescent="0.25">
      <c r="A3994" t="str">
        <f>"20190304154832542"</f>
        <v>20190304154832542</v>
      </c>
      <c r="B3994" t="str">
        <f>"1551685712530955"</f>
        <v>1551685712530955</v>
      </c>
      <c r="C3994" t="s">
        <v>40</v>
      </c>
      <c r="D3994">
        <v>4.2094300000000002</v>
      </c>
      <c r="E3994">
        <v>0.52704569999999995</v>
      </c>
      <c r="F3994" t="s">
        <v>48</v>
      </c>
      <c r="G3994">
        <v>-356.98070000000001</v>
      </c>
      <c r="H3994">
        <v>9.34146E-2</v>
      </c>
      <c r="I3994">
        <v>206.6601</v>
      </c>
      <c r="J3994">
        <v>-461.4896</v>
      </c>
      <c r="K3994">
        <v>1.11053</v>
      </c>
      <c r="L3994">
        <v>214.34100000000001</v>
      </c>
      <c r="M3994">
        <v>0.99385639999999997</v>
      </c>
      <c r="N3994">
        <v>-9.8624449999999992E-3</v>
      </c>
      <c r="O3994">
        <v>-0.110236899999999</v>
      </c>
      <c r="P3994">
        <v>0.99045030000000001</v>
      </c>
      <c r="Q3994">
        <v>0.13770760000000001</v>
      </c>
      <c r="R3994">
        <v>6.7115660000000004E-3</v>
      </c>
      <c r="S3994">
        <v>3.034119</v>
      </c>
      <c r="T3994">
        <v>-2.9460190000000001E-2</v>
      </c>
      <c r="U3994">
        <v>-0.22323609999999999</v>
      </c>
      <c r="V3994">
        <v>-0.1159934</v>
      </c>
      <c r="W3994">
        <v>0.14729809999999999</v>
      </c>
      <c r="X3994">
        <v>0.98226720000000001</v>
      </c>
      <c r="Y3994">
        <v>-3.7011929999999998E-2</v>
      </c>
      <c r="Z3994">
        <v>3.3986070000000001E-4</v>
      </c>
      <c r="AA3994">
        <v>0.99931479999999995</v>
      </c>
      <c r="AB3994">
        <v>25</v>
      </c>
      <c r="AC3994">
        <v>104.508899999999</v>
      </c>
      <c r="AD3994">
        <v>-1.0171154</v>
      </c>
      <c r="AE3994">
        <v>-7.6808999999999799</v>
      </c>
      <c r="AF3994">
        <v>-3.8868484406040098</v>
      </c>
      <c r="AG3994">
        <v>-1.0171154</v>
      </c>
      <c r="AH3994">
        <v>104.708786919221</v>
      </c>
      <c r="AI3994">
        <v>90.556156586595193</v>
      </c>
      <c r="AJ3994">
        <v>92.125875139248905</v>
      </c>
      <c r="AK3994">
        <v>104.78583956161199</v>
      </c>
      <c r="AL3994">
        <v>81.529620410472205</v>
      </c>
      <c r="AM3994">
        <v>96.734721957748505</v>
      </c>
      <c r="AN3994">
        <v>1.0000000256515</v>
      </c>
    </row>
    <row r="3995" spans="1:40" x14ac:dyDescent="0.25">
      <c r="A3995" t="str">
        <f>"20190304154832564"</f>
        <v>20190304154832564</v>
      </c>
      <c r="B3995" t="str">
        <f>"1551685712561211"</f>
        <v>1551685712561211</v>
      </c>
      <c r="C3995" t="s">
        <v>40</v>
      </c>
      <c r="D3995">
        <v>4.3379349999999999</v>
      </c>
      <c r="E3995">
        <v>0.52462629999999999</v>
      </c>
      <c r="F3995" t="s">
        <v>60</v>
      </c>
      <c r="G3995">
        <v>-397.8383</v>
      </c>
      <c r="H3995" s="1">
        <v>2.6343419999999998E-6</v>
      </c>
      <c r="I3995">
        <v>210.155</v>
      </c>
      <c r="J3995">
        <v>-461.25580000000002</v>
      </c>
      <c r="K3995">
        <v>1.110557</v>
      </c>
      <c r="L3995">
        <v>214.31569999999999</v>
      </c>
      <c r="M3995">
        <v>0.99392320000000001</v>
      </c>
      <c r="N3995">
        <v>-9.8554999999999997E-3</v>
      </c>
      <c r="O3995">
        <v>-0.1096348</v>
      </c>
      <c r="P3995">
        <v>0.99041469999999998</v>
      </c>
      <c r="Q3995">
        <v>0.13791239999999999</v>
      </c>
      <c r="R3995">
        <v>7.6806280000000001E-3</v>
      </c>
      <c r="S3995">
        <v>3.0376590000000001</v>
      </c>
      <c r="T3995">
        <v>-5.2998190000000001E-2</v>
      </c>
      <c r="U3995">
        <v>-0.1997681</v>
      </c>
      <c r="V3995">
        <v>-0.1163695</v>
      </c>
      <c r="W3995">
        <v>0.1474849</v>
      </c>
      <c r="X3995">
        <v>0.98219469999999998</v>
      </c>
      <c r="Y3995">
        <v>-4.416374E-2</v>
      </c>
      <c r="Z3995">
        <v>1.426765E-3</v>
      </c>
      <c r="AA3995">
        <v>0.99902329999999995</v>
      </c>
      <c r="AB3995">
        <v>25</v>
      </c>
      <c r="AC3995">
        <v>63.417499999999997</v>
      </c>
      <c r="AD3995">
        <v>-1.1105543656579999</v>
      </c>
      <c r="AE3995">
        <v>-4.1606999999999896</v>
      </c>
      <c r="AF3995">
        <v>-2.8166251047162301</v>
      </c>
      <c r="AG3995">
        <v>-1.1105543656579999</v>
      </c>
      <c r="AH3995">
        <v>63.471976659699799</v>
      </c>
      <c r="AI3995">
        <v>91.001403298915804</v>
      </c>
      <c r="AJ3995">
        <v>92.540883916068097</v>
      </c>
      <c r="AK3995">
        <v>63.5441463005765</v>
      </c>
      <c r="AL3995">
        <v>81.518799518062394</v>
      </c>
      <c r="AM3995">
        <v>96.756851351225194</v>
      </c>
      <c r="AN3995">
        <v>1.0000000424831701</v>
      </c>
    </row>
    <row r="3996" spans="1:40" x14ac:dyDescent="0.25">
      <c r="A3996" t="str">
        <f>"20190304154832586"</f>
        <v>20190304154832586</v>
      </c>
      <c r="B3996" t="str">
        <f>"1551685712580732"</f>
        <v>1551685712580732</v>
      </c>
      <c r="C3996" t="s">
        <v>40</v>
      </c>
      <c r="D3996">
        <v>4.2952059999999896</v>
      </c>
      <c r="E3996">
        <v>0.5238275</v>
      </c>
      <c r="F3996" t="s">
        <v>61</v>
      </c>
      <c r="G3996">
        <v>-402.61529999999999</v>
      </c>
      <c r="H3996" s="1">
        <v>8.0122760000000005E-6</v>
      </c>
      <c r="I3996">
        <v>210.89080000000001</v>
      </c>
      <c r="J3996">
        <v>-461.01029999999997</v>
      </c>
      <c r="K3996">
        <v>1.1105969999999901</v>
      </c>
      <c r="L3996">
        <v>214.2893</v>
      </c>
      <c r="M3996">
        <v>0.99399919999999997</v>
      </c>
      <c r="N3996">
        <v>-9.8498260000000008E-3</v>
      </c>
      <c r="O3996">
        <v>-0.1089435</v>
      </c>
      <c r="P3996">
        <v>0.99038329999999997</v>
      </c>
      <c r="Q3996">
        <v>0.13807130000000001</v>
      </c>
      <c r="R3996">
        <v>8.8059839999999993E-3</v>
      </c>
      <c r="S3996">
        <v>3.0384220000000002</v>
      </c>
      <c r="T3996">
        <v>-5.754244E-2</v>
      </c>
      <c r="U3996">
        <v>-0.1774597</v>
      </c>
      <c r="V3996">
        <v>-0.1168162</v>
      </c>
      <c r="W3996">
        <v>0.14762449999999999</v>
      </c>
      <c r="X3996">
        <v>0.98212060000000001</v>
      </c>
      <c r="Y3996">
        <v>-5.0786409999999997E-2</v>
      </c>
      <c r="Z3996">
        <v>1.7127749999999999E-3</v>
      </c>
      <c r="AA3996">
        <v>0.99870809999999999</v>
      </c>
      <c r="AB3996">
        <v>25</v>
      </c>
      <c r="AC3996">
        <v>58.394999999999897</v>
      </c>
      <c r="AD3996">
        <v>-1.1105889877239901</v>
      </c>
      <c r="AE3996">
        <v>-3.3984999999999799</v>
      </c>
      <c r="AF3996">
        <v>-2.98271875125891</v>
      </c>
      <c r="AG3996">
        <v>-1.1105889877239901</v>
      </c>
      <c r="AH3996">
        <v>58.396607209109099</v>
      </c>
      <c r="AI3996">
        <v>91.088103976085804</v>
      </c>
      <c r="AJ3996">
        <v>92.923950913191206</v>
      </c>
      <c r="AK3996">
        <v>58.483277546523802</v>
      </c>
      <c r="AL3996">
        <v>81.510711674897806</v>
      </c>
      <c r="AM3996">
        <v>96.783054227581303</v>
      </c>
      <c r="AN3996">
        <v>0.99999994526352298</v>
      </c>
    </row>
    <row r="3997" spans="1:40" x14ac:dyDescent="0.25">
      <c r="A3997" t="str">
        <f>"20190304154832612"</f>
        <v>20190304154832612</v>
      </c>
      <c r="B3997" t="str">
        <f>"1551685712601228"</f>
        <v>1551685712601228</v>
      </c>
      <c r="C3997" t="s">
        <v>40</v>
      </c>
      <c r="D3997">
        <v>4.3175160000000004</v>
      </c>
      <c r="E3997">
        <v>0.52337670000000003</v>
      </c>
      <c r="F3997" t="s">
        <v>61</v>
      </c>
      <c r="G3997">
        <v>-407.15719999999999</v>
      </c>
      <c r="H3997" s="1">
        <v>5.9100220000000004E-6</v>
      </c>
      <c r="I3997">
        <v>211.31729999999999</v>
      </c>
      <c r="J3997">
        <v>-460.7319</v>
      </c>
      <c r="K3997">
        <v>1.1106469999999999</v>
      </c>
      <c r="L3997">
        <v>214.25980000000001</v>
      </c>
      <c r="M3997">
        <v>0.99409349999999996</v>
      </c>
      <c r="N3997">
        <v>-9.8446330000000002E-3</v>
      </c>
      <c r="O3997">
        <v>-0.10808</v>
      </c>
      <c r="P3997">
        <v>0.99040830000000002</v>
      </c>
      <c r="Q3997">
        <v>0.13783280000000001</v>
      </c>
      <c r="R3997">
        <v>9.6692500000000008E-3</v>
      </c>
      <c r="S3997">
        <v>3.0393979999999998</v>
      </c>
      <c r="T3997">
        <v>-6.2680360000000004E-2</v>
      </c>
      <c r="U3997">
        <v>-0.1677399</v>
      </c>
      <c r="V3997">
        <v>-0.11684319999999999</v>
      </c>
      <c r="W3997">
        <v>0.14736459999999901</v>
      </c>
      <c r="X3997">
        <v>0.98215649999999999</v>
      </c>
      <c r="Y3997">
        <v>-5.3116429999999999E-2</v>
      </c>
      <c r="Z3997">
        <v>1.9654410000000001E-3</v>
      </c>
      <c r="AA3997">
        <v>0.99858639999999999</v>
      </c>
      <c r="AB3997">
        <v>25</v>
      </c>
      <c r="AC3997">
        <v>53.5747</v>
      </c>
      <c r="AD3997">
        <v>-1.1106410899779999</v>
      </c>
      <c r="AE3997">
        <v>-2.9425000000000199</v>
      </c>
      <c r="AF3997">
        <v>-2.8641449794529499</v>
      </c>
      <c r="AG3997">
        <v>-1.1106410899779999</v>
      </c>
      <c r="AH3997">
        <v>53.555933352817497</v>
      </c>
      <c r="AI3997">
        <v>91.186332807198497</v>
      </c>
      <c r="AJ3997">
        <v>93.061233900235194</v>
      </c>
      <c r="AK3997">
        <v>53.643963755351898</v>
      </c>
      <c r="AL3997">
        <v>81.525768193904696</v>
      </c>
      <c r="AM3997">
        <v>96.784361717073494</v>
      </c>
      <c r="AN3997">
        <v>1.00000002460582</v>
      </c>
    </row>
    <row r="3998" spans="1:40" x14ac:dyDescent="0.25">
      <c r="A3998" t="str">
        <f>"20190304154832633"</f>
        <v>20190304154832633</v>
      </c>
      <c r="B3998" t="str">
        <f>"1551685712630510"</f>
        <v>1551685712630510</v>
      </c>
      <c r="C3998" t="s">
        <v>40</v>
      </c>
      <c r="D3998">
        <v>4.2876139999999996</v>
      </c>
      <c r="E3998">
        <v>0.52286390000000005</v>
      </c>
      <c r="F3998" t="s">
        <v>61</v>
      </c>
      <c r="G3998">
        <v>-409.26330000000002</v>
      </c>
      <c r="H3998" s="1">
        <v>4.9326260000000003E-6</v>
      </c>
      <c r="I3998">
        <v>211.5274</v>
      </c>
      <c r="J3998">
        <v>-460.4923</v>
      </c>
      <c r="K3998">
        <v>1.1107089999999999</v>
      </c>
      <c r="L3998">
        <v>214.2346</v>
      </c>
      <c r="M3998">
        <v>0.99418320000000004</v>
      </c>
      <c r="N3998">
        <v>-9.8414669999999996E-3</v>
      </c>
      <c r="O3998">
        <v>-0.1072512</v>
      </c>
      <c r="P3998">
        <v>0.99044889999999997</v>
      </c>
      <c r="Q3998">
        <v>0.13748350000000001</v>
      </c>
      <c r="R3998">
        <v>1.0451129999999999E-2</v>
      </c>
      <c r="S3998">
        <v>3.0397949999999998</v>
      </c>
      <c r="T3998">
        <v>-6.5595870000000001E-2</v>
      </c>
      <c r="U3998">
        <v>-0.16137699999999999</v>
      </c>
      <c r="V3998">
        <v>-0.11682389999999999</v>
      </c>
      <c r="W3998">
        <v>0.14699719999999999</v>
      </c>
      <c r="X3998">
        <v>0.98221380000000003</v>
      </c>
      <c r="Y3998">
        <v>-5.4372330000000003E-2</v>
      </c>
      <c r="Z3998">
        <v>2.104454E-3</v>
      </c>
      <c r="AA3998">
        <v>0.99851849999999998</v>
      </c>
      <c r="AB3998">
        <v>25</v>
      </c>
      <c r="AC3998">
        <v>51.2289999999999</v>
      </c>
      <c r="AD3998">
        <v>-1.1107040673739901</v>
      </c>
      <c r="AE3998">
        <v>-2.7071999999999998</v>
      </c>
      <c r="AF3998">
        <v>-2.8017414857182099</v>
      </c>
      <c r="AG3998">
        <v>-1.1107040673739901</v>
      </c>
      <c r="AH3998">
        <v>51.199843986505101</v>
      </c>
      <c r="AI3998">
        <v>91.240895412842505</v>
      </c>
      <c r="AJ3998">
        <v>93.132197396699993</v>
      </c>
      <c r="AK3998">
        <v>51.288472809399799</v>
      </c>
      <c r="AL3998">
        <v>81.5470500099742</v>
      </c>
      <c r="AM3998">
        <v>96.7828594966916</v>
      </c>
      <c r="AN3998">
        <v>0.999999974664744</v>
      </c>
    </row>
    <row r="3999" spans="1:40" x14ac:dyDescent="0.25">
      <c r="A3999" t="str">
        <f>"20190304154832654"</f>
        <v>20190304154832654</v>
      </c>
      <c r="B3999" t="str">
        <f>"1551685712651004"</f>
        <v>1551685712651004</v>
      </c>
      <c r="C3999" t="s">
        <v>40</v>
      </c>
      <c r="D3999">
        <v>4.2395399999999999</v>
      </c>
      <c r="E3999">
        <v>0.52279259999999905</v>
      </c>
      <c r="F3999" t="s">
        <v>61</v>
      </c>
      <c r="G3999">
        <v>-411.82459999999998</v>
      </c>
      <c r="H3999" s="1">
        <v>2.7788910000000002E-6</v>
      </c>
      <c r="I3999">
        <v>211.76240000000001</v>
      </c>
      <c r="J3999">
        <v>-460.26350000000002</v>
      </c>
      <c r="K3999">
        <v>1.110757</v>
      </c>
      <c r="L3999">
        <v>214.21080000000001</v>
      </c>
      <c r="M3999">
        <v>0.99427460000000001</v>
      </c>
      <c r="N3999">
        <v>-9.8388529999999998E-3</v>
      </c>
      <c r="O3999">
        <v>-0.10640139999999999</v>
      </c>
      <c r="P3999">
        <v>0.99033400000000005</v>
      </c>
      <c r="Q3999">
        <v>0.1382371</v>
      </c>
      <c r="R3999">
        <v>1.1364300000000001E-2</v>
      </c>
      <c r="S3999">
        <v>3.040222</v>
      </c>
      <c r="T3999">
        <v>-6.9384570000000007E-2</v>
      </c>
      <c r="U3999">
        <v>-0.15443419999999999</v>
      </c>
      <c r="V3999">
        <v>-0.1168976</v>
      </c>
      <c r="W3999">
        <v>0.14773339999999999</v>
      </c>
      <c r="X3999">
        <v>0.98209460000000004</v>
      </c>
      <c r="Y3999">
        <v>-5.579638E-2</v>
      </c>
      <c r="Z3999">
        <v>2.2839319999999998E-3</v>
      </c>
      <c r="AA3999">
        <v>0.99843959999999998</v>
      </c>
      <c r="AB3999">
        <v>25</v>
      </c>
      <c r="AC3999">
        <v>48.438899999999997</v>
      </c>
      <c r="AD3999">
        <v>-1.110754221109</v>
      </c>
      <c r="AE3999">
        <v>-2.4483999999999901</v>
      </c>
      <c r="AF3999">
        <v>-2.7182907065127502</v>
      </c>
      <c r="AG3999">
        <v>-1.110754221109</v>
      </c>
      <c r="AH3999">
        <v>48.399039055394702</v>
      </c>
      <c r="AI3999">
        <v>91.312635004875901</v>
      </c>
      <c r="AJ3999">
        <v>93.214591329245394</v>
      </c>
      <c r="AK3999">
        <v>48.488038326895101</v>
      </c>
      <c r="AL3999">
        <v>81.504403501676407</v>
      </c>
      <c r="AM3999">
        <v>96.787914740211704</v>
      </c>
      <c r="AN3999">
        <v>1.00000000485524</v>
      </c>
    </row>
    <row r="4000" spans="1:40" x14ac:dyDescent="0.25">
      <c r="A4000" t="str">
        <f>"20190304154832676"</f>
        <v>20190304154832676</v>
      </c>
      <c r="B4000" t="str">
        <f>"1551685712670524"</f>
        <v>1551685712670524</v>
      </c>
      <c r="C4000" t="s">
        <v>40</v>
      </c>
      <c r="D4000">
        <v>4.26511</v>
      </c>
      <c r="E4000">
        <v>0.52269209999999899</v>
      </c>
      <c r="F4000" t="s">
        <v>61</v>
      </c>
      <c r="G4000">
        <v>-411.61399999999998</v>
      </c>
      <c r="H4000" s="1">
        <v>2.7392110000000001E-6</v>
      </c>
      <c r="I4000">
        <v>211.78909999999999</v>
      </c>
      <c r="J4000">
        <v>-460.01369999999997</v>
      </c>
      <c r="K4000">
        <v>1.110811</v>
      </c>
      <c r="L4000">
        <v>214.18520000000001</v>
      </c>
      <c r="M4000">
        <v>0.99438130000000002</v>
      </c>
      <c r="N4000">
        <v>-9.8311719999999991E-3</v>
      </c>
      <c r="O4000">
        <v>-0.1054011</v>
      </c>
      <c r="P4000">
        <v>0.99026440000000004</v>
      </c>
      <c r="Q4000">
        <v>0.138626799999999</v>
      </c>
      <c r="R4000">
        <v>1.2629019999999999E-2</v>
      </c>
      <c r="S4000">
        <v>3.0407099999999998</v>
      </c>
      <c r="T4000">
        <v>-6.942487E-2</v>
      </c>
      <c r="U4000">
        <v>-0.15136720000000001</v>
      </c>
      <c r="V4000">
        <v>-0.1171772</v>
      </c>
      <c r="W4000">
        <v>0.14810029999999999</v>
      </c>
      <c r="X4000">
        <v>0.98200600000000005</v>
      </c>
      <c r="Y4000">
        <v>-5.5804619999999999E-2</v>
      </c>
      <c r="Z4000">
        <v>2.2732339999999998E-3</v>
      </c>
      <c r="AA4000">
        <v>0.99843910000000002</v>
      </c>
      <c r="AB4000">
        <v>25</v>
      </c>
      <c r="AC4000">
        <v>48.399699999999903</v>
      </c>
      <c r="AD4000">
        <v>-1.110808260789</v>
      </c>
      <c r="AE4000">
        <v>-2.3961000000000099</v>
      </c>
      <c r="AF4000">
        <v>-2.7174478142588998</v>
      </c>
      <c r="AG4000">
        <v>-1.110808260789</v>
      </c>
      <c r="AH4000">
        <v>48.3572319966054</v>
      </c>
      <c r="AI4000">
        <v>91.313831045699501</v>
      </c>
      <c r="AJ4000">
        <v>93.216369104727804</v>
      </c>
      <c r="AK4000">
        <v>48.446262022874102</v>
      </c>
      <c r="AL4000">
        <v>81.483147732555096</v>
      </c>
      <c r="AM4000">
        <v>96.8046064219333</v>
      </c>
      <c r="AN4000">
        <v>0.99999998954796498</v>
      </c>
    </row>
    <row r="4001" spans="1:40" x14ac:dyDescent="0.25">
      <c r="A4001" t="str">
        <f>"20190304154832699"</f>
        <v>20190304154832699</v>
      </c>
      <c r="B4001" t="str">
        <f>"1551685712691020"</f>
        <v>1551685712691020</v>
      </c>
      <c r="C4001" t="s">
        <v>40</v>
      </c>
      <c r="D4001">
        <v>4.2352369999999997</v>
      </c>
      <c r="E4001">
        <v>0.52260980000000001</v>
      </c>
      <c r="F4001" t="s">
        <v>61</v>
      </c>
      <c r="G4001">
        <v>-411.54090000000002</v>
      </c>
      <c r="H4001" s="1">
        <v>2.7217199999999998E-6</v>
      </c>
      <c r="I4001">
        <v>211.8409</v>
      </c>
      <c r="J4001">
        <v>-459.7586</v>
      </c>
      <c r="K4001">
        <v>1.110852</v>
      </c>
      <c r="L4001">
        <v>214.15940000000001</v>
      </c>
      <c r="M4001">
        <v>0.99449779999999999</v>
      </c>
      <c r="N4001">
        <v>-9.8184670000000009E-3</v>
      </c>
      <c r="O4001">
        <v>-0.1042965</v>
      </c>
      <c r="P4001">
        <v>0.99027909999999997</v>
      </c>
      <c r="Q4001">
        <v>0.1384435</v>
      </c>
      <c r="R4001">
        <v>1.3454789999999999E-2</v>
      </c>
      <c r="S4001">
        <v>3.0411380000000001</v>
      </c>
      <c r="T4001">
        <v>-6.9691059999999999E-2</v>
      </c>
      <c r="U4001">
        <v>-0.1470795</v>
      </c>
      <c r="V4001">
        <v>-0.11692569999999999</v>
      </c>
      <c r="W4001">
        <v>0.14789040000000001</v>
      </c>
      <c r="X4001">
        <v>0.98206760000000004</v>
      </c>
      <c r="Y4001">
        <v>-5.610656E-2</v>
      </c>
      <c r="Z4001">
        <v>2.276237E-3</v>
      </c>
      <c r="AA4001">
        <v>0.99842220000000004</v>
      </c>
      <c r="AB4001">
        <v>25</v>
      </c>
      <c r="AC4001">
        <v>48.217699999999901</v>
      </c>
      <c r="AD4001">
        <v>-1.1108492782799999</v>
      </c>
      <c r="AE4001">
        <v>-2.3184999999999998</v>
      </c>
      <c r="AF4001">
        <v>-2.7218840879714601</v>
      </c>
      <c r="AG4001">
        <v>-1.1108492782799999</v>
      </c>
      <c r="AH4001">
        <v>48.171022090519998</v>
      </c>
      <c r="AI4001">
        <v>91.318933776380902</v>
      </c>
      <c r="AJ4001">
        <v>93.234035891543698</v>
      </c>
      <c r="AK4001">
        <v>48.260646580343</v>
      </c>
      <c r="AL4001">
        <v>81.495307946485795</v>
      </c>
      <c r="AM4001">
        <v>96.789716119900405</v>
      </c>
      <c r="AN4001">
        <v>0.99999998035120397</v>
      </c>
    </row>
    <row r="4002" spans="1:40" x14ac:dyDescent="0.25">
      <c r="A4002" t="str">
        <f>"20190304154832721"</f>
        <v>20190304154832721</v>
      </c>
      <c r="B4002" t="str">
        <f>"1551685712711153"</f>
        <v>1551685712711153</v>
      </c>
      <c r="C4002" t="s">
        <v>40</v>
      </c>
      <c r="D4002">
        <v>4.2650009999999998</v>
      </c>
      <c r="E4002">
        <v>0.52253000000000005</v>
      </c>
      <c r="F4002" t="s">
        <v>61</v>
      </c>
      <c r="G4002">
        <v>-412.25799999999998</v>
      </c>
      <c r="H4002" s="1">
        <v>2.8425220000000001E-6</v>
      </c>
      <c r="I4002">
        <v>211.91399999999999</v>
      </c>
      <c r="J4002">
        <v>-459.5102</v>
      </c>
      <c r="K4002">
        <v>1.1109</v>
      </c>
      <c r="L4002">
        <v>214.13460000000001</v>
      </c>
      <c r="M4002">
        <v>0.99461869999999997</v>
      </c>
      <c r="N4002">
        <v>-9.8015949999999998E-3</v>
      </c>
      <c r="O4002">
        <v>-0.1031386</v>
      </c>
      <c r="P4002">
        <v>0.99021110000000001</v>
      </c>
      <c r="Q4002">
        <v>0.13889299999999999</v>
      </c>
      <c r="R4002">
        <v>1.380463E-2</v>
      </c>
      <c r="S4002">
        <v>3.0413510000000001</v>
      </c>
      <c r="T4002">
        <v>-7.112491E-2</v>
      </c>
      <c r="U4002">
        <v>-0.14376829999999999</v>
      </c>
      <c r="V4002">
        <v>-0.11614190000000001</v>
      </c>
      <c r="W4002">
        <v>0.14830969999999999</v>
      </c>
      <c r="X4002">
        <v>0.98209740000000001</v>
      </c>
      <c r="Y4002">
        <v>-5.6030839999999998E-2</v>
      </c>
      <c r="Z4002">
        <v>2.3228820000000001E-3</v>
      </c>
      <c r="AA4002">
        <v>0.99842629999999999</v>
      </c>
      <c r="AB4002">
        <v>25</v>
      </c>
      <c r="AC4002">
        <v>47.252199999999903</v>
      </c>
      <c r="AD4002">
        <v>-1.110897157478</v>
      </c>
      <c r="AE4002">
        <v>-2.2205999999999899</v>
      </c>
      <c r="AF4002">
        <v>-2.6635345478208499</v>
      </c>
      <c r="AG4002">
        <v>-1.110897157478</v>
      </c>
      <c r="AH4002">
        <v>47.203187479549001</v>
      </c>
      <c r="AI4002">
        <v>91.346030668211</v>
      </c>
      <c r="AJ4002">
        <v>93.229604511084105</v>
      </c>
      <c r="AK4002">
        <v>47.291324965699303</v>
      </c>
      <c r="AL4002">
        <v>81.471016159234793</v>
      </c>
      <c r="AM4002">
        <v>96.744419844435598</v>
      </c>
      <c r="AN4002">
        <v>1.0000000055682201</v>
      </c>
    </row>
    <row r="4003" spans="1:40" x14ac:dyDescent="0.25">
      <c r="A4003" t="str">
        <f>"20190304154832743"</f>
        <v>20190304154832743</v>
      </c>
      <c r="B4003" t="str">
        <f>"1551685712740433"</f>
        <v>1551685712740433</v>
      </c>
      <c r="C4003" t="s">
        <v>40</v>
      </c>
      <c r="D4003">
        <v>4.2038469999999997</v>
      </c>
      <c r="E4003">
        <v>0.52253369999999999</v>
      </c>
      <c r="F4003" t="s">
        <v>61</v>
      </c>
      <c r="G4003">
        <v>-411.84550000000002</v>
      </c>
      <c r="H4003" s="1">
        <v>2.7700819999999999E-6</v>
      </c>
      <c r="I4003">
        <v>211.9057</v>
      </c>
      <c r="J4003">
        <v>-459.27089999999998</v>
      </c>
      <c r="K4003">
        <v>1.1109549999999999</v>
      </c>
      <c r="L4003">
        <v>214.11099999999999</v>
      </c>
      <c r="M4003">
        <v>0.99474200000000002</v>
      </c>
      <c r="N4003">
        <v>-9.7815769999999996E-3</v>
      </c>
      <c r="O4003">
        <v>-0.1019448</v>
      </c>
      <c r="P4003">
        <v>0.99007469999999997</v>
      </c>
      <c r="Q4003">
        <v>0.13980429999999999</v>
      </c>
      <c r="R4003">
        <v>1.4390969999999999E-2</v>
      </c>
      <c r="S4003">
        <v>3.0415649999999999</v>
      </c>
      <c r="T4003">
        <v>-7.0888279999999998E-2</v>
      </c>
      <c r="U4003">
        <v>-0.1422272</v>
      </c>
      <c r="V4003">
        <v>-0.1155533</v>
      </c>
      <c r="W4003">
        <v>0.14918580000000001</v>
      </c>
      <c r="X4003">
        <v>0.98203410000000002</v>
      </c>
      <c r="Y4003">
        <v>-5.5341120000000001E-2</v>
      </c>
      <c r="Z4003">
        <v>2.2866990000000001E-3</v>
      </c>
      <c r="AA4003">
        <v>0.99846489999999999</v>
      </c>
      <c r="AB4003">
        <v>25</v>
      </c>
      <c r="AC4003">
        <v>47.425399999999897</v>
      </c>
      <c r="AD4003">
        <v>-1.1109522299179999</v>
      </c>
      <c r="AE4003">
        <v>-2.20529999999999</v>
      </c>
      <c r="AF4003">
        <v>-2.6397492344740598</v>
      </c>
      <c r="AG4003">
        <v>-1.1109522299179999</v>
      </c>
      <c r="AH4003">
        <v>47.377180513945497</v>
      </c>
      <c r="AI4003">
        <v>91.341208782266193</v>
      </c>
      <c r="AJ4003">
        <v>93.189093697805802</v>
      </c>
      <c r="AK4003">
        <v>47.463667413391498</v>
      </c>
      <c r="AL4003">
        <v>81.420254311437304</v>
      </c>
      <c r="AM4003">
        <v>96.710980645800007</v>
      </c>
      <c r="AN4003">
        <v>0.999999970812669</v>
      </c>
    </row>
    <row r="4004" spans="1:40" x14ac:dyDescent="0.25">
      <c r="A4004" t="str">
        <f>"20190304154832765"</f>
        <v>20190304154832765</v>
      </c>
      <c r="B4004" t="str">
        <f>"1551685712760929"</f>
        <v>1551685712760929</v>
      </c>
      <c r="C4004" t="s">
        <v>40</v>
      </c>
      <c r="D4004">
        <v>4.200914</v>
      </c>
      <c r="E4004">
        <v>0.52260150000000005</v>
      </c>
      <c r="F4004" t="s">
        <v>61</v>
      </c>
      <c r="G4004">
        <v>-411.0412</v>
      </c>
      <c r="H4004" s="1">
        <v>2.6291310000000002E-6</v>
      </c>
      <c r="I4004">
        <v>211.8861</v>
      </c>
      <c r="J4004">
        <v>-459.02910000000003</v>
      </c>
      <c r="K4004">
        <v>1.111013</v>
      </c>
      <c r="L4004">
        <v>214.08760000000001</v>
      </c>
      <c r="M4004">
        <v>0.99487340000000002</v>
      </c>
      <c r="N4004">
        <v>-9.7579659999999999E-3</v>
      </c>
      <c r="O4004">
        <v>-0.100657</v>
      </c>
      <c r="P4004">
        <v>0.99005310000000002</v>
      </c>
      <c r="Q4004">
        <v>0.1398517</v>
      </c>
      <c r="R4004">
        <v>1.538748E-2</v>
      </c>
      <c r="S4004">
        <v>3.0420530000000001</v>
      </c>
      <c r="T4004">
        <v>-7.007265E-2</v>
      </c>
      <c r="U4004">
        <v>-0.14033509999999999</v>
      </c>
      <c r="V4004">
        <v>-0.1152923</v>
      </c>
      <c r="W4004">
        <v>0.1491934</v>
      </c>
      <c r="X4004">
        <v>0.98206369999999998</v>
      </c>
      <c r="Y4004">
        <v>-5.4676910000000002E-2</v>
      </c>
      <c r="Z4004">
        <v>2.225594E-3</v>
      </c>
      <c r="AA4004">
        <v>0.99850159999999999</v>
      </c>
      <c r="AB4004">
        <v>25</v>
      </c>
      <c r="AC4004">
        <v>47.987900000000003</v>
      </c>
      <c r="AD4004">
        <v>-1.111010370869</v>
      </c>
      <c r="AE4004">
        <v>-2.20150000000001</v>
      </c>
      <c r="AF4004">
        <v>-2.6388183261471698</v>
      </c>
      <c r="AG4004">
        <v>-1.111010370869</v>
      </c>
      <c r="AH4004">
        <v>47.940119708804602</v>
      </c>
      <c r="AI4004">
        <v>91.325583853994104</v>
      </c>
      <c r="AJ4004">
        <v>93.150612336899698</v>
      </c>
      <c r="AK4004">
        <v>48.025543035941801</v>
      </c>
      <c r="AL4004">
        <v>81.419814601922795</v>
      </c>
      <c r="AM4004">
        <v>96.695760374129904</v>
      </c>
      <c r="AN4004">
        <v>1.00000004795026</v>
      </c>
    </row>
    <row r="4005" spans="1:40" x14ac:dyDescent="0.25">
      <c r="A4005" t="str">
        <f>"20190304154832789"</f>
        <v>20190304154832789</v>
      </c>
      <c r="B4005" t="str">
        <f>"1551685712780449"</f>
        <v>1551685712780449</v>
      </c>
      <c r="C4005" t="s">
        <v>40</v>
      </c>
      <c r="D4005">
        <v>4.211449</v>
      </c>
      <c r="E4005">
        <v>0.52258549999999904</v>
      </c>
      <c r="F4005" t="s">
        <v>61</v>
      </c>
      <c r="G4005">
        <v>-411.42149999999998</v>
      </c>
      <c r="H4005" s="1">
        <v>2.6928439999999998E-6</v>
      </c>
      <c r="I4005">
        <v>211.9289</v>
      </c>
      <c r="J4005">
        <v>-458.76170000000002</v>
      </c>
      <c r="K4005">
        <v>1.1110819999999999</v>
      </c>
      <c r="L4005">
        <v>214.06219999999999</v>
      </c>
      <c r="M4005">
        <v>0.99502610000000002</v>
      </c>
      <c r="N4005">
        <v>-9.7273359999999996E-3</v>
      </c>
      <c r="O4005">
        <v>-9.9138320000000002E-2</v>
      </c>
      <c r="P4005">
        <v>0.9900118</v>
      </c>
      <c r="Q4005">
        <v>0.13998139999999901</v>
      </c>
      <c r="R4005">
        <v>1.6784380000000002E-2</v>
      </c>
      <c r="S4005">
        <v>3.0423580000000001</v>
      </c>
      <c r="T4005">
        <v>-7.0999030000000005E-2</v>
      </c>
      <c r="U4005">
        <v>-0.13795470000000001</v>
      </c>
      <c r="V4005">
        <v>-0.115203399999999</v>
      </c>
      <c r="W4005">
        <v>0.14927260000000001</v>
      </c>
      <c r="X4005">
        <v>0.98206199999999999</v>
      </c>
      <c r="Y4005">
        <v>-5.3936480000000002E-2</v>
      </c>
      <c r="Z4005">
        <v>2.2338509999999998E-3</v>
      </c>
      <c r="AA4005">
        <v>0.99854189999999998</v>
      </c>
      <c r="AB4005">
        <v>25</v>
      </c>
      <c r="AC4005">
        <v>47.340200000000003</v>
      </c>
      <c r="AD4005">
        <v>-1.1110793071559999</v>
      </c>
      <c r="AE4005">
        <v>-2.13329999999999</v>
      </c>
      <c r="AF4005">
        <v>-2.5692479906253101</v>
      </c>
      <c r="AG4005">
        <v>-1.1110793071559999</v>
      </c>
      <c r="AH4005">
        <v>47.292467789975703</v>
      </c>
      <c r="AI4005">
        <v>91.343866476978405</v>
      </c>
      <c r="AJ4005">
        <v>93.109638952148003</v>
      </c>
      <c r="AK4005">
        <v>47.375236591810399</v>
      </c>
      <c r="AL4005">
        <v>81.415224558124194</v>
      </c>
      <c r="AM4005">
        <v>96.690655685447396</v>
      </c>
      <c r="AN4005">
        <v>0.99999995216315796</v>
      </c>
    </row>
    <row r="4006" spans="1:40" x14ac:dyDescent="0.25">
      <c r="A4006" t="str">
        <f>"20190304154832813"</f>
        <v>20190304154832813</v>
      </c>
      <c r="B4006" t="str">
        <f>"1551685712800608"</f>
        <v>1551685712800608</v>
      </c>
      <c r="C4006" t="s">
        <v>40</v>
      </c>
      <c r="D4006">
        <v>4.1813609999999999</v>
      </c>
      <c r="E4006">
        <v>0.52258340000000003</v>
      </c>
      <c r="F4006" t="s">
        <v>61</v>
      </c>
      <c r="G4006">
        <v>-411.36669999999998</v>
      </c>
      <c r="H4006" s="1">
        <v>2.678883E-6</v>
      </c>
      <c r="I4006">
        <v>211.97749999999999</v>
      </c>
      <c r="J4006">
        <v>-458.49790000000002</v>
      </c>
      <c r="K4006">
        <v>1.1111489999999999</v>
      </c>
      <c r="L4006">
        <v>214.0377</v>
      </c>
      <c r="M4006">
        <v>0.99518499999999999</v>
      </c>
      <c r="N4006">
        <v>-9.688795E-3</v>
      </c>
      <c r="O4006">
        <v>-9.7535330000000003E-2</v>
      </c>
      <c r="P4006">
        <v>0.98991530000000005</v>
      </c>
      <c r="Q4006">
        <v>0.1403942</v>
      </c>
      <c r="R4006">
        <v>1.8906530000000001E-2</v>
      </c>
      <c r="S4006">
        <v>3.0426329999999999</v>
      </c>
      <c r="T4006">
        <v>-7.13284E-2</v>
      </c>
      <c r="U4006">
        <v>-0.1338348</v>
      </c>
      <c r="V4006">
        <v>-0.1157483</v>
      </c>
      <c r="W4006">
        <v>0.14962529999999999</v>
      </c>
      <c r="X4006">
        <v>0.98194429999999999</v>
      </c>
      <c r="Y4006">
        <v>-5.3681300000000001E-2</v>
      </c>
      <c r="Z4006">
        <v>2.224092E-3</v>
      </c>
      <c r="AA4006">
        <v>0.99855570000000005</v>
      </c>
      <c r="AB4006">
        <v>25</v>
      </c>
      <c r="AC4006">
        <v>47.1312</v>
      </c>
      <c r="AD4006">
        <v>-1.1111463211169901</v>
      </c>
      <c r="AE4006">
        <v>-2.0602</v>
      </c>
      <c r="AF4006">
        <v>-2.5453842476823301</v>
      </c>
      <c r="AG4006">
        <v>-1.1111463211169901</v>
      </c>
      <c r="AH4006">
        <v>47.081293710505797</v>
      </c>
      <c r="AI4006">
        <v>91.349992485865002</v>
      </c>
      <c r="AJ4006">
        <v>93.0946034282982</v>
      </c>
      <c r="AK4006">
        <v>47.1631407411572</v>
      </c>
      <c r="AL4006">
        <v>81.394787256229193</v>
      </c>
      <c r="AM4006">
        <v>96.722811219196103</v>
      </c>
      <c r="AN4006">
        <v>1.0000000038277299</v>
      </c>
    </row>
    <row r="4007" spans="1:40" x14ac:dyDescent="0.25">
      <c r="A4007" t="str">
        <f>"20190304154832834"</f>
        <v>20190304154832834</v>
      </c>
      <c r="B4007" t="str">
        <f>"1551685712821104"</f>
        <v>1551685712821104</v>
      </c>
      <c r="C4007" t="s">
        <v>40</v>
      </c>
      <c r="D4007">
        <v>4.1725180000000002</v>
      </c>
      <c r="E4007">
        <v>0.5226364</v>
      </c>
      <c r="F4007" t="s">
        <v>61</v>
      </c>
      <c r="G4007">
        <v>-410.50119999999998</v>
      </c>
      <c r="H4007" s="1">
        <v>2.521095E-6</v>
      </c>
      <c r="I4007">
        <v>212.02610000000001</v>
      </c>
      <c r="J4007">
        <v>-458.25139999999999</v>
      </c>
      <c r="K4007">
        <v>1.11121</v>
      </c>
      <c r="L4007">
        <v>214.01519999999999</v>
      </c>
      <c r="M4007">
        <v>0.99534049999999996</v>
      </c>
      <c r="N4007">
        <v>-9.6442660000000003E-3</v>
      </c>
      <c r="O4007">
        <v>-9.5938239999999994E-2</v>
      </c>
      <c r="P4007">
        <v>0.98971399999999998</v>
      </c>
      <c r="Q4007">
        <v>0.14150470000000001</v>
      </c>
      <c r="R4007">
        <v>2.1040260000000002E-2</v>
      </c>
      <c r="S4007">
        <v>3.0429689999999998</v>
      </c>
      <c r="T4007">
        <v>-7.0446129999999996E-2</v>
      </c>
      <c r="U4007">
        <v>-0.12753299999999901</v>
      </c>
      <c r="V4007">
        <v>-0.1163013</v>
      </c>
      <c r="W4007">
        <v>0.15067039999999901</v>
      </c>
      <c r="X4007">
        <v>0.98171909999999896</v>
      </c>
      <c r="Y4007">
        <v>-5.4148630000000003E-2</v>
      </c>
      <c r="Z4007">
        <v>2.1774369999999999E-3</v>
      </c>
      <c r="AA4007">
        <v>0.99853049999999999</v>
      </c>
      <c r="AB4007">
        <v>25</v>
      </c>
      <c r="AC4007">
        <v>47.7502</v>
      </c>
      <c r="AD4007">
        <v>-1.1112074789049999</v>
      </c>
      <c r="AE4007">
        <v>-1.9890999999999699</v>
      </c>
      <c r="AF4007">
        <v>-2.5999539408990802</v>
      </c>
      <c r="AG4007">
        <v>-1.1112074789049999</v>
      </c>
      <c r="AH4007">
        <v>47.694976626582097</v>
      </c>
      <c r="AI4007">
        <v>91.332669652976605</v>
      </c>
      <c r="AJ4007">
        <v>93.120225778222903</v>
      </c>
      <c r="AK4007">
        <v>47.778712184048899</v>
      </c>
      <c r="AL4007">
        <v>81.334220588151894</v>
      </c>
      <c r="AM4007">
        <v>96.756169247657297</v>
      </c>
      <c r="AN4007">
        <v>0.999999976561329</v>
      </c>
    </row>
    <row r="4008" spans="1:40" x14ac:dyDescent="0.25">
      <c r="A4008" t="str">
        <f>"20190304154832855"</f>
        <v>20190304154832855</v>
      </c>
      <c r="B4008" t="str">
        <f>"1551685712850384"</f>
        <v>1551685712850384</v>
      </c>
      <c r="C4008" t="s">
        <v>40</v>
      </c>
      <c r="D4008">
        <v>4.1624809999999997</v>
      </c>
      <c r="E4008">
        <v>0.52281840000000002</v>
      </c>
      <c r="F4008" t="s">
        <v>61</v>
      </c>
      <c r="G4008">
        <v>-408.22329999999999</v>
      </c>
      <c r="H4008" s="1">
        <v>5.2921520000000003E-6</v>
      </c>
      <c r="I4008">
        <v>212.01949999999999</v>
      </c>
      <c r="J4008">
        <v>-458.02370000000002</v>
      </c>
      <c r="K4008">
        <v>1.1112569999999999</v>
      </c>
      <c r="L4008">
        <v>213.9949</v>
      </c>
      <c r="M4008">
        <v>0.99548809999999999</v>
      </c>
      <c r="N4008">
        <v>-9.6017080000000005E-3</v>
      </c>
      <c r="O4008">
        <v>-9.439968E-2</v>
      </c>
      <c r="P4008">
        <v>0.98957090000000003</v>
      </c>
      <c r="Q4008">
        <v>0.14215079999999999</v>
      </c>
      <c r="R4008">
        <v>2.3294180000000001E-2</v>
      </c>
      <c r="S4008">
        <v>3.0434570000000001</v>
      </c>
      <c r="T4008">
        <v>-6.7600129999999994E-2</v>
      </c>
      <c r="U4008">
        <v>-0.1214142</v>
      </c>
      <c r="V4008">
        <v>-0.1170331</v>
      </c>
      <c r="W4008">
        <v>0.1512558</v>
      </c>
      <c r="X4008">
        <v>0.98154209999999997</v>
      </c>
      <c r="Y4008">
        <v>-5.461854E-2</v>
      </c>
      <c r="Z4008">
        <v>2.0535520000000002E-3</v>
      </c>
      <c r="AA4008">
        <v>0.99850519999999998</v>
      </c>
      <c r="AB4008">
        <v>25</v>
      </c>
      <c r="AC4008">
        <v>49.800400000000003</v>
      </c>
      <c r="AD4008">
        <v>-1.111251707848</v>
      </c>
      <c r="AE4008">
        <v>-1.9754</v>
      </c>
      <c r="AF4008">
        <v>-2.7334217435591501</v>
      </c>
      <c r="AG4008">
        <v>-1.111251707848</v>
      </c>
      <c r="AH4008">
        <v>49.7397479956526</v>
      </c>
      <c r="AI4008">
        <v>91.277922962826693</v>
      </c>
      <c r="AJ4008">
        <v>93.145495575985393</v>
      </c>
      <c r="AK4008">
        <v>49.827191426543301</v>
      </c>
      <c r="AL4008">
        <v>81.300290801138104</v>
      </c>
      <c r="AM4008">
        <v>96.799498733509097</v>
      </c>
      <c r="AN4008">
        <v>0.99999997880082903</v>
      </c>
    </row>
    <row r="4009" spans="1:40" x14ac:dyDescent="0.25">
      <c r="A4009" t="str">
        <f>"20190304154832876"</f>
        <v>20190304154832876</v>
      </c>
      <c r="B4009" t="str">
        <f>"1551685712870880"</f>
        <v>1551685712870880</v>
      </c>
      <c r="C4009" t="s">
        <v>40</v>
      </c>
      <c r="D4009">
        <v>4.1346829999999999</v>
      </c>
      <c r="E4009">
        <v>0.52289649999999999</v>
      </c>
      <c r="F4009" t="s">
        <v>61</v>
      </c>
      <c r="G4009">
        <v>-407.2072</v>
      </c>
      <c r="H4009" s="1">
        <v>5.7353629999999998E-6</v>
      </c>
      <c r="I4009">
        <v>212.05529999999999</v>
      </c>
      <c r="J4009">
        <v>-457.77440000000001</v>
      </c>
      <c r="K4009">
        <v>1.1113</v>
      </c>
      <c r="L4009">
        <v>213.97319999999999</v>
      </c>
      <c r="M4009">
        <v>0.99565369999999997</v>
      </c>
      <c r="N4009">
        <v>-9.5573610000000003E-3</v>
      </c>
      <c r="O4009">
        <v>-9.2642509999999997E-2</v>
      </c>
      <c r="P4009">
        <v>0.98947200000000002</v>
      </c>
      <c r="Q4009">
        <v>0.14240630000000001</v>
      </c>
      <c r="R4009">
        <v>2.5803920000000001E-2</v>
      </c>
      <c r="S4009">
        <v>3.0438839999999998</v>
      </c>
      <c r="T4009">
        <v>-6.6563369999999997E-2</v>
      </c>
      <c r="U4009">
        <v>-0.1161804</v>
      </c>
      <c r="V4009">
        <v>-0.11780789999999999</v>
      </c>
      <c r="W4009">
        <v>0.1514491</v>
      </c>
      <c r="X4009">
        <v>0.98141959999999995</v>
      </c>
      <c r="Y4009">
        <v>-5.4577000000000001E-2</v>
      </c>
      <c r="Z4009">
        <v>1.9928459999999999E-3</v>
      </c>
      <c r="AA4009">
        <v>0.99850760000000005</v>
      </c>
      <c r="AB4009">
        <v>25</v>
      </c>
      <c r="AC4009">
        <v>50.5672</v>
      </c>
      <c r="AD4009">
        <v>-1.1112942646370001</v>
      </c>
      <c r="AE4009">
        <v>-1.9178999999999999</v>
      </c>
      <c r="AF4009">
        <v>-2.7738966955711302</v>
      </c>
      <c r="AG4009">
        <v>-1.1112942646370001</v>
      </c>
      <c r="AH4009">
        <v>50.5030433650956</v>
      </c>
      <c r="AI4009">
        <v>91.258665081557993</v>
      </c>
      <c r="AJ4009">
        <v>93.143831130604497</v>
      </c>
      <c r="AK4009">
        <v>50.591371467445299</v>
      </c>
      <c r="AL4009">
        <v>81.289086472343399</v>
      </c>
      <c r="AM4009">
        <v>96.844934356609897</v>
      </c>
      <c r="AN4009">
        <v>0.99999998122868905</v>
      </c>
    </row>
    <row r="4010" spans="1:40" x14ac:dyDescent="0.25">
      <c r="A4010" t="str">
        <f>"20190304154832900"</f>
        <v>20190304154832900</v>
      </c>
      <c r="B4010" t="str">
        <f>"1551685712890404"</f>
        <v>1551685712890404</v>
      </c>
      <c r="C4010" t="s">
        <v>40</v>
      </c>
      <c r="D4010">
        <v>4.1611630000000002</v>
      </c>
      <c r="E4010">
        <v>0.52300789999999997</v>
      </c>
      <c r="F4010" t="s">
        <v>61</v>
      </c>
      <c r="G4010">
        <v>-406.84570000000002</v>
      </c>
      <c r="H4010" s="1">
        <v>5.8762639999999998E-6</v>
      </c>
      <c r="I4010">
        <v>212.149</v>
      </c>
      <c r="J4010">
        <v>-457.50869999999998</v>
      </c>
      <c r="K4010">
        <v>1.1113500000000001</v>
      </c>
      <c r="L4010">
        <v>213.95060000000001</v>
      </c>
      <c r="M4010">
        <v>0.99583429999999995</v>
      </c>
      <c r="N4010">
        <v>-9.5069509999999996E-3</v>
      </c>
      <c r="O4010">
        <v>-9.0684559999999997E-2</v>
      </c>
      <c r="P4010">
        <v>0.98926789999999998</v>
      </c>
      <c r="Q4010">
        <v>0.1433382</v>
      </c>
      <c r="R4010">
        <v>2.833915E-2</v>
      </c>
      <c r="S4010">
        <v>3.0442499999999999</v>
      </c>
      <c r="T4010">
        <v>-6.6427470000000002E-2</v>
      </c>
      <c r="U4010">
        <v>-0.10903930000000001</v>
      </c>
      <c r="V4010">
        <v>-0.118405</v>
      </c>
      <c r="W4010">
        <v>0.15231159999999999</v>
      </c>
      <c r="X4010">
        <v>0.98121429999999998</v>
      </c>
      <c r="Y4010">
        <v>-5.4957319999999997E-2</v>
      </c>
      <c r="Z4010">
        <v>1.972733E-3</v>
      </c>
      <c r="AA4010">
        <v>0.99848680000000001</v>
      </c>
      <c r="AB4010">
        <v>25</v>
      </c>
      <c r="AC4010">
        <v>50.662999999999897</v>
      </c>
      <c r="AD4010">
        <v>-1.111344123736</v>
      </c>
      <c r="AE4010">
        <v>-1.8016000000000001</v>
      </c>
      <c r="AF4010">
        <v>-2.7990381449456101</v>
      </c>
      <c r="AG4010">
        <v>-1.111344123736</v>
      </c>
      <c r="AH4010">
        <v>50.593303163915003</v>
      </c>
      <c r="AI4010">
        <v>91.256449122986396</v>
      </c>
      <c r="AJ4010">
        <v>93.166619694504504</v>
      </c>
      <c r="AK4010">
        <v>50.6828573122514</v>
      </c>
      <c r="AL4010">
        <v>81.239089306577299</v>
      </c>
      <c r="AM4010">
        <v>96.880721289033104</v>
      </c>
      <c r="AN4010">
        <v>1.00000003502202</v>
      </c>
    </row>
    <row r="4011" spans="1:40" x14ac:dyDescent="0.25">
      <c r="A4011" t="str">
        <f>"20190304154832922"</f>
        <v>20190304154832922</v>
      </c>
      <c r="B4011" t="str">
        <f>"1551685712910734"</f>
        <v>1551685712910734</v>
      </c>
      <c r="C4011" t="s">
        <v>40</v>
      </c>
      <c r="D4011">
        <v>4.158982</v>
      </c>
      <c r="E4011">
        <v>0.52315500000000004</v>
      </c>
      <c r="F4011" t="s">
        <v>61</v>
      </c>
      <c r="G4011">
        <v>-404.38099999999997</v>
      </c>
      <c r="H4011" s="1">
        <v>6.96559E-6</v>
      </c>
      <c r="I4011">
        <v>212.167</v>
      </c>
      <c r="J4011">
        <v>-457.26519999999999</v>
      </c>
      <c r="K4011">
        <v>1.111402</v>
      </c>
      <c r="L4011">
        <v>213.93049999999999</v>
      </c>
      <c r="M4011">
        <v>0.99600390000000005</v>
      </c>
      <c r="N4011">
        <v>-9.4542910000000001E-3</v>
      </c>
      <c r="O4011">
        <v>-8.880971E-2</v>
      </c>
      <c r="P4011">
        <v>0.9891221</v>
      </c>
      <c r="Q4011">
        <v>0.14385979999999901</v>
      </c>
      <c r="R4011">
        <v>3.069473E-2</v>
      </c>
      <c r="S4011">
        <v>3.044708</v>
      </c>
      <c r="T4011">
        <v>-6.3690189999999994E-2</v>
      </c>
      <c r="U4011">
        <v>-0.10221860000000001</v>
      </c>
      <c r="V4011">
        <v>-0.1189108</v>
      </c>
      <c r="W4011">
        <v>0.1527626</v>
      </c>
      <c r="X4011">
        <v>0.98108300000000004</v>
      </c>
      <c r="Y4011">
        <v>-5.531929E-2</v>
      </c>
      <c r="Z4011">
        <v>1.853976E-3</v>
      </c>
      <c r="AA4011">
        <v>0.99846699999999999</v>
      </c>
      <c r="AB4011">
        <v>25</v>
      </c>
      <c r="AC4011">
        <v>52.8842</v>
      </c>
      <c r="AD4011">
        <v>-1.1113950344100001</v>
      </c>
      <c r="AE4011">
        <v>-1.7634999999999901</v>
      </c>
      <c r="AF4011">
        <v>-2.9390119393529899</v>
      </c>
      <c r="AG4011">
        <v>-1.1113950344100001</v>
      </c>
      <c r="AH4011">
        <v>52.808540849835801</v>
      </c>
      <c r="AI4011">
        <v>91.203792018368304</v>
      </c>
      <c r="AJ4011">
        <v>93.185459033352203</v>
      </c>
      <c r="AK4011">
        <v>52.9019373633041</v>
      </c>
      <c r="AL4011">
        <v>81.212942820395995</v>
      </c>
      <c r="AM4011">
        <v>96.910746447717202</v>
      </c>
      <c r="AN4011">
        <v>1.00000002160219</v>
      </c>
    </row>
    <row r="4012" spans="1:40" x14ac:dyDescent="0.25">
      <c r="A4012" t="str">
        <f>"20190304154832943"</f>
        <v>20190304154832943</v>
      </c>
      <c r="B4012" t="str">
        <f>"1551685712940987"</f>
        <v>1551685712940987</v>
      </c>
      <c r="C4012" t="s">
        <v>40</v>
      </c>
      <c r="D4012">
        <v>4.1896069999999996</v>
      </c>
      <c r="E4012">
        <v>0.51303889999999996</v>
      </c>
      <c r="F4012" t="s">
        <v>61</v>
      </c>
      <c r="G4012">
        <v>-402.77179999999998</v>
      </c>
      <c r="H4012" s="1">
        <v>7.671234E-6</v>
      </c>
      <c r="I4012">
        <v>212.2055</v>
      </c>
      <c r="J4012">
        <v>-457.0172</v>
      </c>
      <c r="K4012">
        <v>1.1114630000000001</v>
      </c>
      <c r="L4012">
        <v>213.91050000000001</v>
      </c>
      <c r="M4012">
        <v>0.99618019999999996</v>
      </c>
      <c r="N4012">
        <v>-9.3970389999999994E-3</v>
      </c>
      <c r="O4012">
        <v>-8.6814279999999994E-2</v>
      </c>
      <c r="P4012">
        <v>0.98898839999999999</v>
      </c>
      <c r="Q4012">
        <v>0.14444689999999999</v>
      </c>
      <c r="R4012">
        <v>3.2203700000000002E-2</v>
      </c>
      <c r="S4012">
        <v>3.045013</v>
      </c>
      <c r="T4012">
        <v>-6.2103150000000003E-2</v>
      </c>
      <c r="U4012">
        <v>-9.638977E-2</v>
      </c>
      <c r="V4012">
        <v>-0.1184601</v>
      </c>
      <c r="W4012">
        <v>0.15327569999999999</v>
      </c>
      <c r="X4012">
        <v>0.98105750000000003</v>
      </c>
      <c r="Y4012">
        <v>-5.5233039999999997E-2</v>
      </c>
      <c r="Z4012">
        <v>1.7737180000000001E-3</v>
      </c>
      <c r="AA4012">
        <v>0.99847189999999997</v>
      </c>
      <c r="AB4012">
        <v>25</v>
      </c>
      <c r="AC4012">
        <v>54.245399999999997</v>
      </c>
      <c r="AD4012">
        <v>-1.1114553287659901</v>
      </c>
      <c r="AE4012">
        <v>-1.7050000000000101</v>
      </c>
      <c r="AF4012">
        <v>-3.0096587696397901</v>
      </c>
      <c r="AG4012">
        <v>-1.1114553287659901</v>
      </c>
      <c r="AH4012">
        <v>54.165886753427898</v>
      </c>
      <c r="AI4012">
        <v>91.173704206123404</v>
      </c>
      <c r="AJ4012">
        <v>93.180297105997496</v>
      </c>
      <c r="AK4012">
        <v>54.260820733220399</v>
      </c>
      <c r="AL4012">
        <v>81.183194058271297</v>
      </c>
      <c r="AM4012">
        <v>96.884982203681801</v>
      </c>
      <c r="AN4012">
        <v>1.0000000269043701</v>
      </c>
    </row>
    <row r="4013" spans="1:40" x14ac:dyDescent="0.25">
      <c r="A4013" t="str">
        <f>"20190304154832966"</f>
        <v>20190304154832966</v>
      </c>
      <c r="B4013" t="str">
        <f>"1551685712960507"</f>
        <v>1551685712960507</v>
      </c>
      <c r="C4013" t="s">
        <v>40</v>
      </c>
      <c r="D4013">
        <v>4.1972250000000004</v>
      </c>
      <c r="E4013">
        <v>0.51328469999999904</v>
      </c>
      <c r="F4013" t="s">
        <v>60</v>
      </c>
      <c r="G4013">
        <v>-399.27980000000002</v>
      </c>
      <c r="H4013" s="1">
        <v>3.4014479999999998E-6</v>
      </c>
      <c r="I4013">
        <v>213.7063</v>
      </c>
      <c r="J4013">
        <v>-456.76519999999999</v>
      </c>
      <c r="K4013">
        <v>1.1115250000000001</v>
      </c>
      <c r="L4013">
        <v>213.89080000000001</v>
      </c>
      <c r="M4013">
        <v>0.99636369999999996</v>
      </c>
      <c r="N4013">
        <v>-9.3388329999999995E-3</v>
      </c>
      <c r="O4013">
        <v>-8.4690879999999996E-2</v>
      </c>
      <c r="P4013">
        <v>0.98892460000000004</v>
      </c>
      <c r="Q4013">
        <v>0.1446046</v>
      </c>
      <c r="R4013">
        <v>3.343645E-2</v>
      </c>
      <c r="S4013">
        <v>3.0423279999999999</v>
      </c>
      <c r="T4013">
        <v>-5.8565619999999999E-2</v>
      </c>
      <c r="U4013">
        <v>-1.075745E-2</v>
      </c>
      <c r="V4013">
        <v>-0.1176175</v>
      </c>
      <c r="W4013">
        <v>0.1533582</v>
      </c>
      <c r="X4013">
        <v>0.98114599999999996</v>
      </c>
      <c r="Y4013">
        <v>-8.1144389999999997E-2</v>
      </c>
      <c r="Z4013">
        <v>1.9969139999999998E-3</v>
      </c>
      <c r="AA4013">
        <v>0.99670029999999998</v>
      </c>
      <c r="AB4013">
        <v>26</v>
      </c>
      <c r="AC4013">
        <v>57.485399999999899</v>
      </c>
      <c r="AD4013">
        <v>-1.1115215985519999</v>
      </c>
      <c r="AE4013">
        <v>-0.18450000000001399</v>
      </c>
      <c r="AF4013">
        <v>-4.6831125557650202</v>
      </c>
      <c r="AG4013">
        <v>-1.1115215985519999</v>
      </c>
      <c r="AH4013">
        <v>57.273066398565497</v>
      </c>
      <c r="AI4013">
        <v>91.108125445067799</v>
      </c>
      <c r="AJ4013">
        <v>94.674570169722699</v>
      </c>
      <c r="AK4013">
        <v>57.474961141078701</v>
      </c>
      <c r="AL4013">
        <v>81.178410750244794</v>
      </c>
      <c r="AM4013">
        <v>96.835864023393</v>
      </c>
      <c r="AN4013">
        <v>1.00000004356474</v>
      </c>
    </row>
    <row r="4014" spans="1:40" x14ac:dyDescent="0.25">
      <c r="A4014" t="str">
        <f>"20190304154832989"</f>
        <v>20190304154832989</v>
      </c>
      <c r="B4014" t="str">
        <f>"1551685712981004"</f>
        <v>1551685712981004</v>
      </c>
      <c r="C4014" t="s">
        <v>40</v>
      </c>
      <c r="D4014">
        <v>4.1988669999999999</v>
      </c>
      <c r="E4014">
        <v>0.50713069999999905</v>
      </c>
      <c r="F4014" t="s">
        <v>60</v>
      </c>
      <c r="G4014">
        <v>-399.22680000000003</v>
      </c>
      <c r="H4014" s="1">
        <v>3.3732390000000002E-6</v>
      </c>
      <c r="I4014">
        <v>213.72540000000001</v>
      </c>
      <c r="J4014">
        <v>-456.49259999999998</v>
      </c>
      <c r="K4014">
        <v>1.1116029999999999</v>
      </c>
      <c r="L4014">
        <v>213.87020000000001</v>
      </c>
      <c r="M4014">
        <v>0.99656619999999996</v>
      </c>
      <c r="N4014">
        <v>-9.2770979999999992E-3</v>
      </c>
      <c r="O4014">
        <v>-8.2279069999999996E-2</v>
      </c>
      <c r="P4014">
        <v>0.98879859999999997</v>
      </c>
      <c r="Q4014">
        <v>0.1449279</v>
      </c>
      <c r="R4014">
        <v>3.568847E-2</v>
      </c>
      <c r="S4014">
        <v>3.0424500000000001</v>
      </c>
      <c r="T4014">
        <v>-5.8773760000000001E-2</v>
      </c>
      <c r="U4014">
        <v>-8.7432859999999994E-3</v>
      </c>
      <c r="V4014">
        <v>-0.1175073</v>
      </c>
      <c r="W4014">
        <v>0.1535957</v>
      </c>
      <c r="X4014">
        <v>0.98112200000000005</v>
      </c>
      <c r="Y4014">
        <v>-7.9392219999999999E-2</v>
      </c>
      <c r="Z4014">
        <v>1.9590480000000001E-3</v>
      </c>
      <c r="AA4014">
        <v>0.99684150000000005</v>
      </c>
      <c r="AB4014">
        <v>26</v>
      </c>
      <c r="AC4014">
        <v>57.265799999999899</v>
      </c>
      <c r="AD4014">
        <v>-1.111599626761</v>
      </c>
      <c r="AE4014">
        <v>-0.14480000000000301</v>
      </c>
      <c r="AF4014">
        <v>-4.5659498920804804</v>
      </c>
      <c r="AG4014">
        <v>-1.111599626761</v>
      </c>
      <c r="AH4014">
        <v>57.062027714232798</v>
      </c>
      <c r="AI4014">
        <v>91.112457258508599</v>
      </c>
      <c r="AJ4014">
        <v>94.574906672797496</v>
      </c>
      <c r="AK4014">
        <v>57.255205518861601</v>
      </c>
      <c r="AL4014">
        <v>81.164639387196999</v>
      </c>
      <c r="AM4014">
        <v>96.829685266646706</v>
      </c>
      <c r="AN4014">
        <v>0.99999999174789</v>
      </c>
    </row>
    <row r="4015" spans="1:40" x14ac:dyDescent="0.25">
      <c r="A4015" t="str">
        <f>"20190304154833007"</f>
        <v>20190304154833007</v>
      </c>
      <c r="B4015" t="str">
        <f>"1551685713000523"</f>
        <v>1551685713000523</v>
      </c>
      <c r="C4015" t="s">
        <v>40</v>
      </c>
      <c r="D4015">
        <v>4.1802710000000003</v>
      </c>
      <c r="E4015">
        <v>0.50789269999999997</v>
      </c>
      <c r="F4015" t="s">
        <v>61</v>
      </c>
      <c r="G4015">
        <v>-429.8245</v>
      </c>
      <c r="H4015" s="1">
        <v>2.251541E-6</v>
      </c>
      <c r="I4015">
        <v>214.2773</v>
      </c>
      <c r="J4015">
        <v>-456.29840000000002</v>
      </c>
      <c r="K4015">
        <v>1.111669</v>
      </c>
      <c r="L4015">
        <v>213.85599999999999</v>
      </c>
      <c r="M4015">
        <v>0.99671390000000004</v>
      </c>
      <c r="N4015">
        <v>-9.2360680000000001E-3</v>
      </c>
      <c r="O4015">
        <v>-8.0474119999999996E-2</v>
      </c>
      <c r="P4015">
        <v>0.98870100000000005</v>
      </c>
      <c r="Q4015">
        <v>0.1451691</v>
      </c>
      <c r="R4015">
        <v>3.736656E-2</v>
      </c>
      <c r="S4015">
        <v>3.0509339999999998</v>
      </c>
      <c r="T4015">
        <v>-0.12717129999999999</v>
      </c>
      <c r="U4015">
        <v>4.6569819999999998E-2</v>
      </c>
      <c r="V4015">
        <v>-0.11741790000000001</v>
      </c>
      <c r="W4015">
        <v>0.153778</v>
      </c>
      <c r="X4015">
        <v>0.98110410000000003</v>
      </c>
      <c r="Y4015">
        <v>-9.5537449999999996E-2</v>
      </c>
      <c r="Z4015">
        <v>5.0386620000000002E-3</v>
      </c>
      <c r="AA4015">
        <v>0.99541310000000005</v>
      </c>
      <c r="AB4015">
        <v>26</v>
      </c>
      <c r="AC4015">
        <v>26.4739</v>
      </c>
      <c r="AD4015">
        <v>-1.1116667484589999</v>
      </c>
      <c r="AE4015">
        <v>0.42130000000000201</v>
      </c>
      <c r="AF4015">
        <v>-2.54600008179629</v>
      </c>
      <c r="AG4015">
        <v>-1.1116667484589999</v>
      </c>
      <c r="AH4015">
        <v>26.307749289193801</v>
      </c>
      <c r="AI4015">
        <v>92.408426202573196</v>
      </c>
      <c r="AJ4015">
        <v>95.5277318851725</v>
      </c>
      <c r="AK4015">
        <v>26.454027898208899</v>
      </c>
      <c r="AL4015">
        <v>81.154068373646496</v>
      </c>
      <c r="AM4015">
        <v>96.824661578378993</v>
      </c>
      <c r="AN4015">
        <v>0.99999994578060802</v>
      </c>
    </row>
    <row r="4016" spans="1:40" x14ac:dyDescent="0.25">
      <c r="A4016" t="str">
        <f>"20190304154833024"</f>
        <v>20190304154833024</v>
      </c>
      <c r="B4016" t="str">
        <f>"1551685713021019"</f>
        <v>1551685713021019</v>
      </c>
      <c r="C4016" t="s">
        <v>40</v>
      </c>
      <c r="D4016">
        <v>4.2340260000000001</v>
      </c>
      <c r="E4016">
        <v>0.50780110000000001</v>
      </c>
      <c r="F4016" t="s">
        <v>61</v>
      </c>
      <c r="G4016">
        <v>-429.21359999999999</v>
      </c>
      <c r="H4016" s="1">
        <v>2.361064E-6</v>
      </c>
      <c r="I4016">
        <v>214.26400000000001</v>
      </c>
      <c r="J4016">
        <v>-456.0958</v>
      </c>
      <c r="K4016">
        <v>1.1117319999999999</v>
      </c>
      <c r="L4016">
        <v>213.84180000000001</v>
      </c>
      <c r="M4016">
        <v>0.99686980000000003</v>
      </c>
      <c r="N4016">
        <v>-9.1967790000000004E-3</v>
      </c>
      <c r="O4016">
        <v>-7.8523280000000001E-2</v>
      </c>
      <c r="P4016">
        <v>0.98858509999999999</v>
      </c>
      <c r="Q4016">
        <v>0.14547289999999999</v>
      </c>
      <c r="R4016">
        <v>3.920481E-2</v>
      </c>
      <c r="S4016">
        <v>3.0509339999999998</v>
      </c>
      <c r="T4016">
        <v>-0.12522220000000001</v>
      </c>
      <c r="U4016">
        <v>4.5959470000000002E-2</v>
      </c>
      <c r="V4016">
        <v>-0.11734459999999999</v>
      </c>
      <c r="W4016">
        <v>0.15402349999999901</v>
      </c>
      <c r="X4016">
        <v>0.98107440000000001</v>
      </c>
      <c r="Y4016">
        <v>-9.3397610000000006E-2</v>
      </c>
      <c r="Z4016">
        <v>4.8425159999999998E-3</v>
      </c>
      <c r="AA4016">
        <v>0.99561710000000003</v>
      </c>
      <c r="AB4016">
        <v>26</v>
      </c>
      <c r="AC4016">
        <v>26.882200000000001</v>
      </c>
      <c r="AD4016">
        <v>-1.1117296389360001</v>
      </c>
      <c r="AE4016">
        <v>0.42220000000000302</v>
      </c>
      <c r="AF4016">
        <v>-2.52754241476672</v>
      </c>
      <c r="AG4016">
        <v>-1.1117296389360001</v>
      </c>
      <c r="AH4016">
        <v>26.720346159840801</v>
      </c>
      <c r="AI4016">
        <v>92.371904572667702</v>
      </c>
      <c r="AJ4016">
        <v>95.403668312765404</v>
      </c>
      <c r="AK4016">
        <v>26.862637851675199</v>
      </c>
      <c r="AL4016">
        <v>81.139833018471194</v>
      </c>
      <c r="AM4016">
        <v>96.820645849975804</v>
      </c>
      <c r="AN4016">
        <v>0.99999998601838402</v>
      </c>
    </row>
    <row r="4017" spans="1:40" x14ac:dyDescent="0.25">
      <c r="A4017" t="str">
        <f>"20190304154833047"</f>
        <v>20190304154833047</v>
      </c>
      <c r="B4017" t="str">
        <f>"1551685713040539"</f>
        <v>1551685713040539</v>
      </c>
      <c r="C4017" t="s">
        <v>40</v>
      </c>
      <c r="D4017">
        <v>4.2850359999999998</v>
      </c>
      <c r="E4017">
        <v>0.50804380000000005</v>
      </c>
      <c r="F4017" t="s">
        <v>61</v>
      </c>
      <c r="G4017">
        <v>-429.37700000000001</v>
      </c>
      <c r="H4017" s="1">
        <v>2.3289560000000001E-6</v>
      </c>
      <c r="I4017">
        <v>214.2998</v>
      </c>
      <c r="J4017">
        <v>-455.84949999999998</v>
      </c>
      <c r="K4017">
        <v>1.111807</v>
      </c>
      <c r="L4017">
        <v>213.82499999999999</v>
      </c>
      <c r="M4017">
        <v>0.99706110000000003</v>
      </c>
      <c r="N4017">
        <v>-9.1537100000000007E-3</v>
      </c>
      <c r="O4017">
        <v>-7.6062409999999997E-2</v>
      </c>
      <c r="P4017">
        <v>0.98849299999999996</v>
      </c>
      <c r="Q4017">
        <v>0.1453699</v>
      </c>
      <c r="R4017">
        <v>4.1825750000000002E-2</v>
      </c>
      <c r="S4017">
        <v>3.0512389999999998</v>
      </c>
      <c r="T4017">
        <v>-0.12695719999999999</v>
      </c>
      <c r="U4017">
        <v>5.230713E-2</v>
      </c>
      <c r="V4017">
        <v>-0.1175554</v>
      </c>
      <c r="W4017">
        <v>0.15385480000000001</v>
      </c>
      <c r="X4017">
        <v>0.98107560000000005</v>
      </c>
      <c r="Y4017">
        <v>-9.3007039999999999E-2</v>
      </c>
      <c r="Z4017">
        <v>4.824984E-3</v>
      </c>
      <c r="AA4017">
        <v>0.99565369999999997</v>
      </c>
      <c r="AB4017">
        <v>26</v>
      </c>
      <c r="AC4017">
        <v>26.4725</v>
      </c>
      <c r="AD4017">
        <v>-1.1118046710439999</v>
      </c>
      <c r="AE4017">
        <v>0.47480000000001599</v>
      </c>
      <c r="AF4017">
        <v>-2.4826930664738298</v>
      </c>
      <c r="AG4017">
        <v>-1.1118046710439999</v>
      </c>
      <c r="AH4017">
        <v>26.313290002374298</v>
      </c>
      <c r="AI4017">
        <v>92.408770799222495</v>
      </c>
      <c r="AJ4017">
        <v>95.389974807129207</v>
      </c>
      <c r="AK4017">
        <v>26.453527274031401</v>
      </c>
      <c r="AL4017">
        <v>81.149615118213902</v>
      </c>
      <c r="AM4017">
        <v>96.832774568159394</v>
      </c>
      <c r="AN4017">
        <v>0.99999995223377802</v>
      </c>
    </row>
    <row r="4018" spans="1:40" x14ac:dyDescent="0.25">
      <c r="A4018" t="str">
        <f>"20190304154833067"</f>
        <v>20190304154833067</v>
      </c>
      <c r="B4018" t="str">
        <f>"1551685713061035"</f>
        <v>1551685713061035</v>
      </c>
      <c r="C4018" t="s">
        <v>40</v>
      </c>
      <c r="D4018">
        <v>4.2800140000000004</v>
      </c>
      <c r="E4018">
        <v>0.50793169999999999</v>
      </c>
      <c r="F4018" t="s">
        <v>61</v>
      </c>
      <c r="G4018">
        <v>-429.6071</v>
      </c>
      <c r="H4018" s="1">
        <v>2.2856179999999998E-6</v>
      </c>
      <c r="I4018">
        <v>214.32859999999999</v>
      </c>
      <c r="J4018">
        <v>-455.60629999999998</v>
      </c>
      <c r="K4018">
        <v>1.1118699999999999</v>
      </c>
      <c r="L4018">
        <v>213.8091</v>
      </c>
      <c r="M4018">
        <v>0.99725059999999999</v>
      </c>
      <c r="N4018">
        <v>-9.1160100000000008E-3</v>
      </c>
      <c r="O4018">
        <v>-7.3539510000000002E-2</v>
      </c>
      <c r="P4018">
        <v>0.98844620000000005</v>
      </c>
      <c r="Q4018">
        <v>0.14496800000000001</v>
      </c>
      <c r="R4018">
        <v>4.425664E-2</v>
      </c>
      <c r="S4018">
        <v>3.051453</v>
      </c>
      <c r="T4018">
        <v>-0.12927959999999999</v>
      </c>
      <c r="U4018">
        <v>5.8563230000000001E-2</v>
      </c>
      <c r="V4018">
        <v>-0.1175157</v>
      </c>
      <c r="W4018">
        <v>0.153395899999999</v>
      </c>
      <c r="X4018">
        <v>0.98115220000000003</v>
      </c>
      <c r="Y4018">
        <v>-9.2524060000000005E-2</v>
      </c>
      <c r="Z4018">
        <v>4.8228400000000001E-3</v>
      </c>
      <c r="AA4018">
        <v>0.99569879999999999</v>
      </c>
      <c r="AB4018">
        <v>26</v>
      </c>
      <c r="AC4018">
        <v>25.999199999999899</v>
      </c>
      <c r="AD4018">
        <v>-1.1118677143819999</v>
      </c>
      <c r="AE4018">
        <v>0.51949999999999297</v>
      </c>
      <c r="AF4018">
        <v>-2.4257066216893501</v>
      </c>
      <c r="AG4018">
        <v>-1.1118677143819999</v>
      </c>
      <c r="AH4018">
        <v>25.843345223188098</v>
      </c>
      <c r="AI4018">
        <v>92.452770475130606</v>
      </c>
      <c r="AJ4018">
        <v>95.362183013309604</v>
      </c>
      <c r="AK4018">
        <v>25.9807389185464</v>
      </c>
      <c r="AL4018">
        <v>81.176223920449701</v>
      </c>
      <c r="AM4018">
        <v>96.829960626565494</v>
      </c>
      <c r="AN4018">
        <v>0.99999994072406795</v>
      </c>
    </row>
    <row r="4019" spans="1:40" x14ac:dyDescent="0.25">
      <c r="A4019" t="str">
        <f>"20190304154833090"</f>
        <v>20190304154833090</v>
      </c>
      <c r="B4019" t="str">
        <f>"1551685713080558"</f>
        <v>1551685713080558</v>
      </c>
      <c r="C4019" t="s">
        <v>40</v>
      </c>
      <c r="D4019">
        <v>4.268383</v>
      </c>
      <c r="E4019">
        <v>0.50824380000000002</v>
      </c>
      <c r="F4019" t="s">
        <v>61</v>
      </c>
      <c r="G4019">
        <v>-429.92070000000001</v>
      </c>
      <c r="H4019" s="1">
        <v>2.2262500000000001E-6</v>
      </c>
      <c r="I4019">
        <v>214.37139999999999</v>
      </c>
      <c r="J4019">
        <v>-455.34019999999998</v>
      </c>
      <c r="K4019">
        <v>1.1119399999999999</v>
      </c>
      <c r="L4019">
        <v>213.79249999999999</v>
      </c>
      <c r="M4019">
        <v>0.99745700000000004</v>
      </c>
      <c r="N4019">
        <v>-9.0797780000000002E-3</v>
      </c>
      <c r="O4019">
        <v>-7.0689779999999994E-2</v>
      </c>
      <c r="P4019">
        <v>0.98830340000000005</v>
      </c>
      <c r="Q4019">
        <v>0.1453371</v>
      </c>
      <c r="R4019">
        <v>4.619297E-2</v>
      </c>
      <c r="S4019">
        <v>3.0514830000000002</v>
      </c>
      <c r="T4019">
        <v>-0.1320914</v>
      </c>
      <c r="U4019">
        <v>6.6802979999999998E-2</v>
      </c>
      <c r="V4019">
        <v>-0.116657399999999</v>
      </c>
      <c r="W4019">
        <v>0.15371299999999999</v>
      </c>
      <c r="X4019">
        <v>0.98120499999999999</v>
      </c>
      <c r="Y4019">
        <v>-9.2361849999999995E-2</v>
      </c>
      <c r="Z4019">
        <v>4.8325410000000001E-3</v>
      </c>
      <c r="AA4019">
        <v>0.99571379999999998</v>
      </c>
      <c r="AB4019">
        <v>26</v>
      </c>
      <c r="AC4019">
        <v>25.4194999999999</v>
      </c>
      <c r="AD4019">
        <v>-1.11193777375</v>
      </c>
      <c r="AE4019">
        <v>0.57890000000000397</v>
      </c>
      <c r="AF4019">
        <v>-2.3698922306611601</v>
      </c>
      <c r="AG4019">
        <v>-1.11193777375</v>
      </c>
      <c r="AH4019">
        <v>25.266657493344201</v>
      </c>
      <c r="AI4019">
        <v>92.508855348998793</v>
      </c>
      <c r="AJ4019">
        <v>95.358394570676495</v>
      </c>
      <c r="AK4019">
        <v>25.401904961707299</v>
      </c>
      <c r="AL4019">
        <v>81.157837392889306</v>
      </c>
      <c r="AM4019">
        <v>96.780181266983604</v>
      </c>
      <c r="AN4019">
        <v>0.99999994368437795</v>
      </c>
    </row>
    <row r="4020" spans="1:40" x14ac:dyDescent="0.25">
      <c r="A4020" t="str">
        <f>"20190304154833112"</f>
        <v>20190304154833112</v>
      </c>
      <c r="B4020" t="str">
        <f>"1551685713101051"</f>
        <v>1551685713101051</v>
      </c>
      <c r="C4020" t="s">
        <v>40</v>
      </c>
      <c r="D4020">
        <v>4.2820269999999896</v>
      </c>
      <c r="E4020">
        <v>0.50865199999999999</v>
      </c>
      <c r="F4020" t="s">
        <v>61</v>
      </c>
      <c r="G4020">
        <v>-429.56990000000002</v>
      </c>
      <c r="H4020" s="1">
        <v>2.2873309999999999E-6</v>
      </c>
      <c r="I4020">
        <v>214.3845</v>
      </c>
      <c r="J4020">
        <v>-455.0883</v>
      </c>
      <c r="K4020">
        <v>1.111999</v>
      </c>
      <c r="L4020">
        <v>213.77760000000001</v>
      </c>
      <c r="M4020">
        <v>0.9976507</v>
      </c>
      <c r="N4020">
        <v>-9.0502220000000001E-3</v>
      </c>
      <c r="O4020">
        <v>-6.7906629999999996E-2</v>
      </c>
      <c r="P4020">
        <v>0.98816630000000005</v>
      </c>
      <c r="Q4020">
        <v>0.14561740000000001</v>
      </c>
      <c r="R4020">
        <v>4.8196990000000002E-2</v>
      </c>
      <c r="S4020">
        <v>3.0516049999999999</v>
      </c>
      <c r="T4020">
        <v>-0.13167039999999999</v>
      </c>
      <c r="U4020">
        <v>7.0098880000000002E-2</v>
      </c>
      <c r="V4020">
        <v>-0.1159297</v>
      </c>
      <c r="W4020">
        <v>0.1539509</v>
      </c>
      <c r="X4020">
        <v>0.98125399999999996</v>
      </c>
      <c r="Y4020">
        <v>-9.066217E-2</v>
      </c>
      <c r="Z4020">
        <v>4.6779719999999999E-3</v>
      </c>
      <c r="AA4020">
        <v>0.9958707</v>
      </c>
      <c r="AB4020">
        <v>26</v>
      </c>
      <c r="AC4020">
        <v>25.5183999999999</v>
      </c>
      <c r="AD4020">
        <v>-1.111996712669</v>
      </c>
      <c r="AE4020">
        <v>0.606899999999996</v>
      </c>
      <c r="AF4020">
        <v>-2.3340088424341099</v>
      </c>
      <c r="AG4020">
        <v>-1.111996712669</v>
      </c>
      <c r="AH4020">
        <v>25.370128456662599</v>
      </c>
      <c r="AI4020">
        <v>92.499181418949405</v>
      </c>
      <c r="AJ4020">
        <v>95.256318700169999</v>
      </c>
      <c r="AK4020">
        <v>25.501520579626401</v>
      </c>
      <c r="AL4020">
        <v>81.144042972975498</v>
      </c>
      <c r="AM4020">
        <v>96.737943727211899</v>
      </c>
      <c r="AN4020">
        <v>0.99999999373445003</v>
      </c>
    </row>
    <row r="4021" spans="1:40" x14ac:dyDescent="0.25">
      <c r="A4021" t="str">
        <f>"20190304154833135"</f>
        <v>20190304154833135</v>
      </c>
      <c r="B4021" t="str">
        <f>"1551685713130331"</f>
        <v>1551685713130331</v>
      </c>
      <c r="C4021" t="s">
        <v>40</v>
      </c>
      <c r="D4021">
        <v>4.3330659999999996</v>
      </c>
      <c r="E4021">
        <v>0.50933530000000005</v>
      </c>
      <c r="F4021" t="s">
        <v>61</v>
      </c>
      <c r="G4021">
        <v>-429.36419999999998</v>
      </c>
      <c r="H4021" s="1">
        <v>2.322885E-6</v>
      </c>
      <c r="I4021">
        <v>214.39510000000001</v>
      </c>
      <c r="J4021">
        <v>-454.82940000000002</v>
      </c>
      <c r="K4021">
        <v>1.112053</v>
      </c>
      <c r="L4021">
        <v>213.76320000000001</v>
      </c>
      <c r="M4021">
        <v>0.99784620000000002</v>
      </c>
      <c r="N4021">
        <v>-9.0191760000000003E-3</v>
      </c>
      <c r="O4021">
        <v>-6.4973810000000007E-2</v>
      </c>
      <c r="P4021">
        <v>0.98800460000000001</v>
      </c>
      <c r="Q4021">
        <v>0.14613209999999999</v>
      </c>
      <c r="R4021">
        <v>4.9923759999999998E-2</v>
      </c>
      <c r="S4021">
        <v>3.0517880000000002</v>
      </c>
      <c r="T4021">
        <v>-0.13192209999999999</v>
      </c>
      <c r="U4021">
        <v>7.3257450000000002E-2</v>
      </c>
      <c r="V4021">
        <v>-0.114777</v>
      </c>
      <c r="W4021">
        <v>0.154425799999999</v>
      </c>
      <c r="X4021">
        <v>0.98131489999999999</v>
      </c>
      <c r="Y4021">
        <v>-8.876676E-2</v>
      </c>
      <c r="Z4021">
        <v>4.5381249999999996E-3</v>
      </c>
      <c r="AA4021">
        <v>0.99604210000000004</v>
      </c>
      <c r="AB4021">
        <v>26</v>
      </c>
      <c r="AC4021">
        <v>25.465199999999999</v>
      </c>
      <c r="AD4021">
        <v>-1.1120506771150001</v>
      </c>
      <c r="AE4021">
        <v>0.63190000000000102</v>
      </c>
      <c r="AF4021">
        <v>-2.2808560912164002</v>
      </c>
      <c r="AG4021">
        <v>-1.1120506771150001</v>
      </c>
      <c r="AH4021">
        <v>25.3220683086635</v>
      </c>
      <c r="AI4021">
        <v>92.5044746540229</v>
      </c>
      <c r="AJ4021">
        <v>95.146961620491396</v>
      </c>
      <c r="AK4021">
        <v>25.448892012147201</v>
      </c>
      <c r="AL4021">
        <v>81.116504027285401</v>
      </c>
      <c r="AM4021">
        <v>96.671144333420202</v>
      </c>
      <c r="AN4021">
        <v>1.00000001019832</v>
      </c>
    </row>
    <row r="4022" spans="1:40" x14ac:dyDescent="0.25">
      <c r="A4022" t="str">
        <f>"20190304154833157"</f>
        <v>20190304154833157</v>
      </c>
      <c r="B4022" t="str">
        <f>"1551685713150827"</f>
        <v>1551685713150827</v>
      </c>
      <c r="C4022" t="s">
        <v>40</v>
      </c>
      <c r="D4022">
        <v>4.3413360000000001</v>
      </c>
      <c r="E4022">
        <v>0.51455649999999997</v>
      </c>
      <c r="F4022" t="s">
        <v>61</v>
      </c>
      <c r="G4022">
        <v>-429.25749999999999</v>
      </c>
      <c r="H4022" s="1">
        <v>2.3433270000000002E-6</v>
      </c>
      <c r="I4022">
        <v>214.37780000000001</v>
      </c>
      <c r="J4022">
        <v>-454.56630000000001</v>
      </c>
      <c r="K4022">
        <v>1.1120989999999999</v>
      </c>
      <c r="L4022">
        <v>213.74930000000001</v>
      </c>
      <c r="M4022">
        <v>0.99803920000000002</v>
      </c>
      <c r="N4022">
        <v>-8.9877529999999994E-3</v>
      </c>
      <c r="O4022">
        <v>-6.194471E-2</v>
      </c>
      <c r="P4022">
        <v>0.98786119999999999</v>
      </c>
      <c r="Q4022">
        <v>0.14617079999999999</v>
      </c>
      <c r="R4022">
        <v>5.2580540000000002E-2</v>
      </c>
      <c r="S4022">
        <v>3.0523380000000002</v>
      </c>
      <c r="T4022">
        <v>-0.13273760000000001</v>
      </c>
      <c r="U4022">
        <v>7.3364260000000001E-2</v>
      </c>
      <c r="V4022">
        <v>-0.11445470000000001</v>
      </c>
      <c r="W4022">
        <v>0.15442249999999999</v>
      </c>
      <c r="X4022">
        <v>0.98135300000000003</v>
      </c>
      <c r="Y4022">
        <v>-8.5777080000000006E-2</v>
      </c>
      <c r="Z4022">
        <v>4.3844259999999899E-3</v>
      </c>
      <c r="AA4022">
        <v>0.99630469999999904</v>
      </c>
      <c r="AB4022">
        <v>26</v>
      </c>
      <c r="AC4022">
        <v>25.308800000000002</v>
      </c>
      <c r="AD4022">
        <v>-1.112096656673</v>
      </c>
      <c r="AE4022">
        <v>0.62850000000000195</v>
      </c>
      <c r="AF4022">
        <v>-2.1908748075407098</v>
      </c>
      <c r="AG4022">
        <v>-1.112096656673</v>
      </c>
      <c r="AH4022">
        <v>25.172684807323499</v>
      </c>
      <c r="AI4022">
        <v>92.520094207334907</v>
      </c>
      <c r="AJ4022">
        <v>94.9741360751202</v>
      </c>
      <c r="AK4022">
        <v>25.292306178064401</v>
      </c>
      <c r="AL4022">
        <v>81.116694848499407</v>
      </c>
      <c r="AM4022">
        <v>96.652323579925095</v>
      </c>
      <c r="AN4022">
        <v>0.99999994873366804</v>
      </c>
    </row>
    <row r="4023" spans="1:40" x14ac:dyDescent="0.25">
      <c r="A4023" t="str">
        <f>"20190304154833181"</f>
        <v>20190304154833181</v>
      </c>
      <c r="B4023" t="str">
        <f>"1551685713170347"</f>
        <v>1551685713170347</v>
      </c>
      <c r="C4023" t="s">
        <v>40</v>
      </c>
      <c r="D4023">
        <v>4.3525280000000004</v>
      </c>
      <c r="E4023">
        <v>0.51418149999999996</v>
      </c>
      <c r="F4023" t="s">
        <v>61</v>
      </c>
      <c r="G4023">
        <v>-431.03519999999997</v>
      </c>
      <c r="H4023" s="1">
        <v>2.7255570000000001E-6</v>
      </c>
      <c r="I4023">
        <v>214.05</v>
      </c>
      <c r="J4023">
        <v>-454.29700000000003</v>
      </c>
      <c r="K4023">
        <v>1.112133</v>
      </c>
      <c r="L4023">
        <v>213.73599999999999</v>
      </c>
      <c r="M4023">
        <v>0.99822940000000004</v>
      </c>
      <c r="N4023">
        <v>-8.9588910000000001E-3</v>
      </c>
      <c r="O4023">
        <v>-5.8804080000000002E-2</v>
      </c>
      <c r="P4023">
        <v>0.98763889999999999</v>
      </c>
      <c r="Q4023">
        <v>0.1466218</v>
      </c>
      <c r="R4023">
        <v>5.5421930000000001E-2</v>
      </c>
      <c r="S4023">
        <v>3.0561829999999999</v>
      </c>
      <c r="T4023">
        <v>-0.14443699999999901</v>
      </c>
      <c r="U4023">
        <v>3.9047239999999997E-2</v>
      </c>
      <c r="V4023">
        <v>-0.114202</v>
      </c>
      <c r="W4023">
        <v>0.15483520000000001</v>
      </c>
      <c r="X4023">
        <v>0.98131749999999995</v>
      </c>
      <c r="Y4023">
        <v>-7.1417079999999994E-2</v>
      </c>
      <c r="Z4023">
        <v>4.2564959999999898E-3</v>
      </c>
      <c r="AA4023">
        <v>0.99743749999999998</v>
      </c>
      <c r="AB4023">
        <v>26</v>
      </c>
      <c r="AC4023">
        <v>23.261799999999901</v>
      </c>
      <c r="AD4023">
        <v>-1.1121302744429999</v>
      </c>
      <c r="AE4023">
        <v>0.31400000000002098</v>
      </c>
      <c r="AF4023">
        <v>-1.6775663959313301</v>
      </c>
      <c r="AG4023">
        <v>-1.1121302744429999</v>
      </c>
      <c r="AH4023">
        <v>23.150172626187299</v>
      </c>
      <c r="AI4023">
        <v>92.743182901277606</v>
      </c>
      <c r="AJ4023">
        <v>94.144667208057896</v>
      </c>
      <c r="AK4023">
        <v>23.237503208872599</v>
      </c>
      <c r="AL4023">
        <v>81.092761800433905</v>
      </c>
      <c r="AM4023">
        <v>96.6380053700193</v>
      </c>
      <c r="AN4023">
        <v>1.0000000358846399</v>
      </c>
    </row>
    <row r="4024" spans="1:40" x14ac:dyDescent="0.25">
      <c r="A4024" t="str">
        <f>"20190304154833202"</f>
        <v>20190304154833202</v>
      </c>
      <c r="B4024" t="str">
        <f>"1551685713190843"</f>
        <v>1551685713190843</v>
      </c>
      <c r="C4024" t="s">
        <v>40</v>
      </c>
      <c r="D4024">
        <v>4.3726609999999999</v>
      </c>
      <c r="E4024">
        <v>0.51432829999999996</v>
      </c>
      <c r="F4024" t="s">
        <v>61</v>
      </c>
      <c r="G4024">
        <v>-430.9323</v>
      </c>
      <c r="H4024" s="1">
        <v>2.6733119999999998E-6</v>
      </c>
      <c r="I4024">
        <v>214.12540000000001</v>
      </c>
      <c r="J4024">
        <v>-454.0419</v>
      </c>
      <c r="K4024">
        <v>1.11216</v>
      </c>
      <c r="L4024">
        <v>213.7242</v>
      </c>
      <c r="M4024">
        <v>0.99840200000000001</v>
      </c>
      <c r="N4024">
        <v>-8.9352909999999997E-3</v>
      </c>
      <c r="O4024">
        <v>-5.5801070000000001E-2</v>
      </c>
      <c r="P4024">
        <v>0.98746290000000003</v>
      </c>
      <c r="Q4024">
        <v>0.14684259999999999</v>
      </c>
      <c r="R4024">
        <v>5.791864E-2</v>
      </c>
      <c r="S4024">
        <v>3.0562740000000002</v>
      </c>
      <c r="T4024">
        <v>-0.1454742</v>
      </c>
      <c r="U4024">
        <v>5.0933840000000001E-2</v>
      </c>
      <c r="V4024">
        <v>-0.11374040000000001</v>
      </c>
      <c r="W4024">
        <v>0.1550269</v>
      </c>
      <c r="X4024">
        <v>0.98134080000000001</v>
      </c>
      <c r="Y4024">
        <v>-7.2293759999999999E-2</v>
      </c>
      <c r="Z4024">
        <v>4.1978279999999998E-3</v>
      </c>
      <c r="AA4024">
        <v>0.99737450000000005</v>
      </c>
      <c r="AB4024">
        <v>26</v>
      </c>
      <c r="AC4024">
        <v>23.1096</v>
      </c>
      <c r="AD4024">
        <v>-1.112157326688</v>
      </c>
      <c r="AE4024">
        <v>0.40120000000001699</v>
      </c>
      <c r="AF4024">
        <v>-1.68626234498169</v>
      </c>
      <c r="AG4024">
        <v>-1.112157326688</v>
      </c>
      <c r="AH4024">
        <v>22.9979536078121</v>
      </c>
      <c r="AI4024">
        <v>92.761207085625998</v>
      </c>
      <c r="AJ4024">
        <v>94.193552744993696</v>
      </c>
      <c r="AK4024">
        <v>23.0864948565711</v>
      </c>
      <c r="AL4024">
        <v>81.081643560779</v>
      </c>
      <c r="AM4024">
        <v>96.611257236460602</v>
      </c>
      <c r="AN4024">
        <v>0.99999999203020495</v>
      </c>
    </row>
    <row r="4025" spans="1:40" x14ac:dyDescent="0.25">
      <c r="A4025" t="str">
        <f>"20190304154833225"</f>
        <v>20190304154833225</v>
      </c>
      <c r="B4025" t="str">
        <f>"1551685713221099"</f>
        <v>1551685713221099</v>
      </c>
      <c r="C4025" t="s">
        <v>40</v>
      </c>
      <c r="D4025">
        <v>4.3821329999999996</v>
      </c>
      <c r="E4025">
        <v>0.51512089999999999</v>
      </c>
      <c r="F4025" t="s">
        <v>61</v>
      </c>
      <c r="G4025">
        <v>-430.38170000000002</v>
      </c>
      <c r="H4025" s="1">
        <v>2.425444E-6</v>
      </c>
      <c r="I4025">
        <v>214.1678</v>
      </c>
      <c r="J4025">
        <v>-453.77809999999999</v>
      </c>
      <c r="K4025">
        <v>1.112185</v>
      </c>
      <c r="L4025">
        <v>213.71279999999999</v>
      </c>
      <c r="M4025">
        <v>0.99857189999999996</v>
      </c>
      <c r="N4025">
        <v>-8.9140590000000002E-3</v>
      </c>
      <c r="O4025">
        <v>-5.2676380000000002E-2</v>
      </c>
      <c r="P4025">
        <v>0.98728009999999999</v>
      </c>
      <c r="Q4025">
        <v>0.147035</v>
      </c>
      <c r="R4025">
        <v>6.0485860000000002E-2</v>
      </c>
      <c r="S4025">
        <v>3.0561219999999998</v>
      </c>
      <c r="T4025">
        <v>-0.143653799999999</v>
      </c>
      <c r="U4025">
        <v>5.729675E-2</v>
      </c>
      <c r="V4025">
        <v>-0.1132292</v>
      </c>
      <c r="W4025">
        <v>0.1551951</v>
      </c>
      <c r="X4025">
        <v>0.9813733</v>
      </c>
      <c r="Y4025">
        <v>-7.1256330000000007E-2</v>
      </c>
      <c r="Z4025">
        <v>3.9959790000000002E-3</v>
      </c>
      <c r="AA4025">
        <v>0.99745010000000001</v>
      </c>
      <c r="AB4025">
        <v>26</v>
      </c>
      <c r="AC4025">
        <v>23.3963999999999</v>
      </c>
      <c r="AD4025">
        <v>-1.1121825745559999</v>
      </c>
      <c r="AE4025">
        <v>0.45500000000001201</v>
      </c>
      <c r="AF4025">
        <v>-1.6830530207885801</v>
      </c>
      <c r="AG4025">
        <v>-1.1121825745559999</v>
      </c>
      <c r="AH4025">
        <v>23.287343074255201</v>
      </c>
      <c r="AI4025">
        <v>92.727214617002701</v>
      </c>
      <c r="AJ4025">
        <v>94.133767305198901</v>
      </c>
      <c r="AK4025">
        <v>23.374558070859699</v>
      </c>
      <c r="AL4025">
        <v>81.071888076719205</v>
      </c>
      <c r="AM4025">
        <v>96.5815885425625</v>
      </c>
      <c r="AN4025">
        <v>0.99999996237476896</v>
      </c>
    </row>
    <row r="4026" spans="1:40" x14ac:dyDescent="0.25">
      <c r="A4026" t="str">
        <f>"20190304154833257"</f>
        <v>20190304154833257</v>
      </c>
      <c r="B4026" t="str">
        <f>"1551685713250380"</f>
        <v>1551685713250380</v>
      </c>
      <c r="C4026" t="s">
        <v>40</v>
      </c>
      <c r="D4026">
        <v>4.3959219999999997</v>
      </c>
      <c r="E4026">
        <v>0.51541729999999997</v>
      </c>
      <c r="F4026" t="s">
        <v>61</v>
      </c>
      <c r="G4026">
        <v>-429.6703</v>
      </c>
      <c r="H4026" s="1">
        <v>2.2880590000000001E-6</v>
      </c>
      <c r="I4026">
        <v>214.17230000000001</v>
      </c>
      <c r="J4026">
        <v>-453.40699999999998</v>
      </c>
      <c r="K4026">
        <v>1.1121920000000001</v>
      </c>
      <c r="L4026">
        <v>213.69820000000001</v>
      </c>
      <c r="M4026">
        <v>0.99879499999999999</v>
      </c>
      <c r="N4026">
        <v>-8.8888869999999998E-3</v>
      </c>
      <c r="O4026">
        <v>-4.8267570000000003E-2</v>
      </c>
      <c r="P4026">
        <v>0.98709040000000003</v>
      </c>
      <c r="Q4026">
        <v>0.14640120000000001</v>
      </c>
      <c r="R4026">
        <v>6.4956879999999995E-2</v>
      </c>
      <c r="S4026">
        <v>3.0560610000000001</v>
      </c>
      <c r="T4026">
        <v>-0.1409878</v>
      </c>
      <c r="U4026">
        <v>5.8242799999999997E-2</v>
      </c>
      <c r="V4026">
        <v>-0.1133516</v>
      </c>
      <c r="W4026">
        <v>0.15453039999999901</v>
      </c>
      <c r="X4026">
        <v>0.98146409999999995</v>
      </c>
      <c r="Y4026">
        <v>-6.717455E-2</v>
      </c>
      <c r="Z4026">
        <v>3.6434039999999998E-3</v>
      </c>
      <c r="AA4026">
        <v>0.99773460000000003</v>
      </c>
      <c r="AB4026">
        <v>26</v>
      </c>
      <c r="AC4026">
        <v>23.7366999999999</v>
      </c>
      <c r="AD4026">
        <v>-1.112189711941</v>
      </c>
      <c r="AE4026">
        <v>0.47409999999999197</v>
      </c>
      <c r="AF4026">
        <v>-1.6157594802144599</v>
      </c>
      <c r="AG4026">
        <v>-1.112189711941</v>
      </c>
      <c r="AH4026">
        <v>23.634280336999399</v>
      </c>
      <c r="AI4026">
        <v>92.687990962626898</v>
      </c>
      <c r="AJ4026">
        <v>93.910945188636603</v>
      </c>
      <c r="AK4026">
        <v>23.715540299582599</v>
      </c>
      <c r="AL4026">
        <v>81.110438024838103</v>
      </c>
      <c r="AM4026">
        <v>96.588036485422904</v>
      </c>
      <c r="AN4026">
        <v>1.00000000466776</v>
      </c>
    </row>
    <row r="4027" spans="1:40" x14ac:dyDescent="0.25">
      <c r="A4027" t="str">
        <f>"20190304154833279"</f>
        <v>20190304154833279</v>
      </c>
      <c r="B4027" t="str">
        <f>"1551685713270875"</f>
        <v>1551685713270875</v>
      </c>
      <c r="C4027" t="s">
        <v>40</v>
      </c>
      <c r="D4027">
        <v>4.5228650000000004</v>
      </c>
      <c r="E4027">
        <v>0.51552869999999995</v>
      </c>
      <c r="F4027" t="s">
        <v>61</v>
      </c>
      <c r="G4027">
        <v>-429.54849999999999</v>
      </c>
      <c r="H4027" s="1">
        <v>2.3036919999999998E-6</v>
      </c>
      <c r="I4027">
        <v>214.2407</v>
      </c>
      <c r="J4027">
        <v>-453.137</v>
      </c>
      <c r="K4027">
        <v>1.112201</v>
      </c>
      <c r="L4027">
        <v>213.68870000000001</v>
      </c>
      <c r="M4027">
        <v>0.99894499999999997</v>
      </c>
      <c r="N4027">
        <v>-8.8741540000000004E-3</v>
      </c>
      <c r="O4027">
        <v>-4.5058790000000001E-2</v>
      </c>
      <c r="P4027">
        <v>0.9870196</v>
      </c>
      <c r="Q4027">
        <v>0.14557529999999999</v>
      </c>
      <c r="R4027">
        <v>6.782552E-2</v>
      </c>
      <c r="S4027">
        <v>3.0558169999999998</v>
      </c>
      <c r="T4027">
        <v>-0.14245050000000001</v>
      </c>
      <c r="U4027">
        <v>6.9473270000000004E-2</v>
      </c>
      <c r="V4027">
        <v>-0.1130563</v>
      </c>
      <c r="W4027">
        <v>0.15368989999999999</v>
      </c>
      <c r="X4027">
        <v>0.98163009999999995</v>
      </c>
      <c r="Y4027">
        <v>-6.7635280000000006E-2</v>
      </c>
      <c r="Z4027">
        <v>3.5748339999999998E-3</v>
      </c>
      <c r="AA4027">
        <v>0.99770369999999997</v>
      </c>
      <c r="AB4027">
        <v>26</v>
      </c>
      <c r="AC4027">
        <v>23.5884999999999</v>
      </c>
      <c r="AD4027">
        <v>-1.1121986963079999</v>
      </c>
      <c r="AE4027">
        <v>0.55199999999999205</v>
      </c>
      <c r="AF4027">
        <v>-1.6107713589449399</v>
      </c>
      <c r="AG4027">
        <v>-1.1121986963079999</v>
      </c>
      <c r="AH4027">
        <v>23.487479665802201</v>
      </c>
      <c r="AI4027">
        <v>92.704748741550503</v>
      </c>
      <c r="AJ4027">
        <v>93.923201706920693</v>
      </c>
      <c r="AK4027">
        <v>23.568904755256199</v>
      </c>
      <c r="AL4027">
        <v>81.159177190093004</v>
      </c>
      <c r="AM4027">
        <v>96.569922346966294</v>
      </c>
      <c r="AN4027">
        <v>0.99999998277885405</v>
      </c>
    </row>
    <row r="4028" spans="1:40" x14ac:dyDescent="0.25">
      <c r="A4028" t="str">
        <f>"20190304154833302"</f>
        <v>20190304154833302</v>
      </c>
      <c r="B4028" t="str">
        <f>"1551685713290399"</f>
        <v>1551685713290399</v>
      </c>
      <c r="C4028" t="s">
        <v>40</v>
      </c>
      <c r="D4028">
        <v>4.3485100000000001</v>
      </c>
      <c r="E4028">
        <v>0.52029669999999995</v>
      </c>
      <c r="F4028" t="s">
        <v>61</v>
      </c>
      <c r="G4028">
        <v>-429.74930000000001</v>
      </c>
      <c r="H4028" s="1">
        <v>2.2641320000000001E-6</v>
      </c>
      <c r="I4028">
        <v>214.2859</v>
      </c>
      <c r="J4028">
        <v>-452.87610000000001</v>
      </c>
      <c r="K4028">
        <v>1.112204</v>
      </c>
      <c r="L4028">
        <v>213.68029999999999</v>
      </c>
      <c r="M4028">
        <v>0.99908010000000003</v>
      </c>
      <c r="N4028">
        <v>-8.8623820000000002E-3</v>
      </c>
      <c r="O4028">
        <v>-4.1960879999999999E-2</v>
      </c>
      <c r="P4028">
        <v>0.98688319999999996</v>
      </c>
      <c r="Q4028">
        <v>0.1452435</v>
      </c>
      <c r="R4028">
        <v>7.0470270000000002E-2</v>
      </c>
      <c r="S4028">
        <v>3.0555729999999999</v>
      </c>
      <c r="T4028">
        <v>-0.145307399999999</v>
      </c>
      <c r="U4028">
        <v>7.8018190000000001E-2</v>
      </c>
      <c r="V4028">
        <v>-0.1126458</v>
      </c>
      <c r="W4028">
        <v>0.15334739999999999</v>
      </c>
      <c r="X4028">
        <v>0.98173089999999996</v>
      </c>
      <c r="Y4028">
        <v>-6.7329509999999995E-2</v>
      </c>
      <c r="Z4028">
        <v>3.5205029999999999E-3</v>
      </c>
      <c r="AA4028">
        <v>0.99772459999999996</v>
      </c>
      <c r="AB4028">
        <v>26</v>
      </c>
      <c r="AC4028">
        <v>23.126799999999999</v>
      </c>
      <c r="AD4028">
        <v>-1.1122017358679901</v>
      </c>
      <c r="AE4028">
        <v>0.60560000000000902</v>
      </c>
      <c r="AF4028">
        <v>-1.5718924578758</v>
      </c>
      <c r="AG4028">
        <v>-1.1122017358679901</v>
      </c>
      <c r="AH4028">
        <v>23.027795134855602</v>
      </c>
      <c r="AI4028">
        <v>92.758726207878496</v>
      </c>
      <c r="AJ4028">
        <v>93.904990028971895</v>
      </c>
      <c r="AK4028">
        <v>23.108162786627499</v>
      </c>
      <c r="AL4028">
        <v>81.1790368370918</v>
      </c>
      <c r="AM4028">
        <v>96.545608511996306</v>
      </c>
      <c r="AN4028">
        <v>1.0000000306796</v>
      </c>
    </row>
    <row r="4029" spans="1:40" x14ac:dyDescent="0.25">
      <c r="A4029" t="str">
        <f>"20190304154833324"</f>
        <v>20190304154833324</v>
      </c>
      <c r="B4029" t="str">
        <f>"1551685713320651"</f>
        <v>1551685713320651</v>
      </c>
      <c r="C4029" t="s">
        <v>40</v>
      </c>
      <c r="D4029">
        <v>4.4931169999999998</v>
      </c>
      <c r="E4029">
        <v>0.52273429999999999</v>
      </c>
      <c r="F4029" t="s">
        <v>61</v>
      </c>
      <c r="G4029">
        <v>-432.16669999999999</v>
      </c>
      <c r="H4029" s="1">
        <v>3.2309089999999999E-6</v>
      </c>
      <c r="I4029">
        <v>214.0094</v>
      </c>
      <c r="J4029">
        <v>-452.6139</v>
      </c>
      <c r="K4029">
        <v>1.1122099999999999</v>
      </c>
      <c r="L4029">
        <v>213.67259999999999</v>
      </c>
      <c r="M4029">
        <v>0.99920580000000003</v>
      </c>
      <c r="N4029">
        <v>-8.8526519999999904E-3</v>
      </c>
      <c r="O4029">
        <v>-3.8851530000000002E-2</v>
      </c>
      <c r="P4029">
        <v>0.98663160000000005</v>
      </c>
      <c r="Q4029">
        <v>0.1455235</v>
      </c>
      <c r="R4029">
        <v>7.3354909999999995E-2</v>
      </c>
      <c r="S4029">
        <v>3.0606080000000002</v>
      </c>
      <c r="T4029">
        <v>-0.16437079999999901</v>
      </c>
      <c r="U4029">
        <v>4.8645019999999997E-2</v>
      </c>
      <c r="V4029">
        <v>-0.1124626</v>
      </c>
      <c r="W4029">
        <v>0.15361639999999999</v>
      </c>
      <c r="X4029">
        <v>0.98170979999999997</v>
      </c>
      <c r="Y4029">
        <v>-5.4597369999999999E-2</v>
      </c>
      <c r="Z4029">
        <v>3.4477330000000001E-3</v>
      </c>
      <c r="AA4029">
        <v>0.99850249999999996</v>
      </c>
      <c r="AB4029">
        <v>26</v>
      </c>
      <c r="AC4029">
        <v>20.447199999999999</v>
      </c>
      <c r="AD4029">
        <v>-1.112206769091</v>
      </c>
      <c r="AE4029">
        <v>0.33680000000000998</v>
      </c>
      <c r="AF4029">
        <v>-1.1276463311964799</v>
      </c>
      <c r="AG4029">
        <v>-1.112206769091</v>
      </c>
      <c r="AH4029">
        <v>20.358456762713899</v>
      </c>
      <c r="AI4029">
        <v>93.1222519022662</v>
      </c>
      <c r="AJ4029">
        <v>93.170349487009602</v>
      </c>
      <c r="AK4029">
        <v>20.4199743365354</v>
      </c>
      <c r="AL4029">
        <v>81.1634390427906</v>
      </c>
      <c r="AM4029">
        <v>96.535194551926693</v>
      </c>
      <c r="AN4029">
        <v>0.99999998308187898</v>
      </c>
    </row>
    <row r="4030" spans="1:40" x14ac:dyDescent="0.25">
      <c r="A4030" t="str">
        <f>"20190304154833346"</f>
        <v>20190304154833346</v>
      </c>
      <c r="B4030" t="str">
        <f>"1551685713341147"</f>
        <v>1551685713341147</v>
      </c>
      <c r="C4030" t="s">
        <v>40</v>
      </c>
      <c r="D4030">
        <v>4.4306519999999896</v>
      </c>
      <c r="E4030">
        <v>0.52276929999999999</v>
      </c>
      <c r="F4030" t="s">
        <v>61</v>
      </c>
      <c r="G4030">
        <v>-430.47070000000002</v>
      </c>
      <c r="H4030" s="1">
        <v>2.4842669999999998E-6</v>
      </c>
      <c r="I4030">
        <v>213.94659999999999</v>
      </c>
      <c r="J4030">
        <v>-452.35329999999999</v>
      </c>
      <c r="K4030">
        <v>1.1122110000000001</v>
      </c>
      <c r="L4030">
        <v>213.66579999999999</v>
      </c>
      <c r="M4030">
        <v>0.99932129999999997</v>
      </c>
      <c r="N4030">
        <v>-8.8449340000000005E-3</v>
      </c>
      <c r="O4030">
        <v>-3.5764369999999997E-2</v>
      </c>
      <c r="P4030">
        <v>0.98648119999999995</v>
      </c>
      <c r="Q4030">
        <v>0.14511569999999999</v>
      </c>
      <c r="R4030">
        <v>7.6135670000000003E-2</v>
      </c>
      <c r="S4030">
        <v>3.0605159999999998</v>
      </c>
      <c r="T4030">
        <v>-0.1537232</v>
      </c>
      <c r="U4030">
        <v>3.7872309999999999E-2</v>
      </c>
      <c r="V4030">
        <v>-0.1121989</v>
      </c>
      <c r="W4030">
        <v>0.15320129999999901</v>
      </c>
      <c r="X4030">
        <v>0.98180480000000003</v>
      </c>
      <c r="Y4030">
        <v>-4.8026850000000003E-2</v>
      </c>
      <c r="Z4030">
        <v>2.8966869999999998E-3</v>
      </c>
      <c r="AA4030">
        <v>0.9988418</v>
      </c>
      <c r="AB4030">
        <v>27</v>
      </c>
      <c r="AC4030">
        <v>21.882599999999901</v>
      </c>
      <c r="AD4030">
        <v>-1.1122085157329999</v>
      </c>
      <c r="AE4030">
        <v>0.28079999999999899</v>
      </c>
      <c r="AF4030">
        <v>-1.06052900019339</v>
      </c>
      <c r="AG4030">
        <v>-1.1122085157329999</v>
      </c>
      <c r="AH4030">
        <v>21.8022440651011</v>
      </c>
      <c r="AI4030">
        <v>92.916883163930905</v>
      </c>
      <c r="AJ4030">
        <v>92.784849945176603</v>
      </c>
      <c r="AK4030">
        <v>21.8563394880515</v>
      </c>
      <c r="AL4030">
        <v>81.187507115508197</v>
      </c>
      <c r="AM4030">
        <v>96.519377612342396</v>
      </c>
      <c r="AN4030">
        <v>0.99999994839296802</v>
      </c>
    </row>
    <row r="4031" spans="1:40" x14ac:dyDescent="0.25">
      <c r="A4031" t="str">
        <f>"20190304154833369"</f>
        <v>20190304154833369</v>
      </c>
      <c r="B4031" t="str">
        <f>"1551685713360668"</f>
        <v>1551685713360668</v>
      </c>
      <c r="C4031" t="s">
        <v>40</v>
      </c>
      <c r="D4031">
        <v>4.3850809999999996</v>
      </c>
      <c r="E4031">
        <v>0.52303959999999905</v>
      </c>
      <c r="F4031" t="s">
        <v>61</v>
      </c>
      <c r="G4031">
        <v>-429.82769999999999</v>
      </c>
      <c r="H4031" s="1">
        <v>2.274815E-6</v>
      </c>
      <c r="I4031">
        <v>214.00460000000001</v>
      </c>
      <c r="J4031">
        <v>-452.0727</v>
      </c>
      <c r="K4031">
        <v>1.1122110000000001</v>
      </c>
      <c r="L4031">
        <v>213.6593</v>
      </c>
      <c r="M4031">
        <v>0.99943439999999995</v>
      </c>
      <c r="N4031">
        <v>-8.8383569999999998E-3</v>
      </c>
      <c r="O4031">
        <v>-3.244582E-2</v>
      </c>
      <c r="P4031">
        <v>0.98636049999999997</v>
      </c>
      <c r="Q4031">
        <v>0.144679799999999</v>
      </c>
      <c r="R4031">
        <v>7.8488740000000001E-2</v>
      </c>
      <c r="S4031">
        <v>3.0597840000000001</v>
      </c>
      <c r="T4031">
        <v>-0.15107770000000001</v>
      </c>
      <c r="U4031">
        <v>4.6020510000000001E-2</v>
      </c>
      <c r="V4031">
        <v>-0.1112819</v>
      </c>
      <c r="W4031">
        <v>0.1527635</v>
      </c>
      <c r="X4031">
        <v>0.9819774</v>
      </c>
      <c r="Y4031">
        <v>-4.7379549999999999E-2</v>
      </c>
      <c r="Z4031">
        <v>2.6926649999999999E-3</v>
      </c>
      <c r="AA4031">
        <v>0.99887340000000002</v>
      </c>
      <c r="AB4031">
        <v>27</v>
      </c>
      <c r="AC4031">
        <v>22.245000000000001</v>
      </c>
      <c r="AD4031">
        <v>-1.1122087251849999</v>
      </c>
      <c r="AE4031">
        <v>0.34530000000000799</v>
      </c>
      <c r="AF4031">
        <v>-1.0642438823185101</v>
      </c>
      <c r="AG4031">
        <v>-1.1122087251849999</v>
      </c>
      <c r="AH4031">
        <v>22.166683770499102</v>
      </c>
      <c r="AI4031">
        <v>92.869095676770101</v>
      </c>
      <c r="AJ4031">
        <v>92.748714993195307</v>
      </c>
      <c r="AK4031">
        <v>22.220069591941801</v>
      </c>
      <c r="AL4031">
        <v>81.212890283542706</v>
      </c>
      <c r="AM4031">
        <v>96.465421005434905</v>
      </c>
      <c r="AN4031">
        <v>0.99999998115530897</v>
      </c>
    </row>
    <row r="4032" spans="1:40" x14ac:dyDescent="0.25">
      <c r="A4032" t="str">
        <f>"20190304154833391"</f>
        <v>20190304154833391</v>
      </c>
      <c r="B4032" t="str">
        <f>"1551685713381163"</f>
        <v>1551685713381163</v>
      </c>
      <c r="C4032" t="s">
        <v>40</v>
      </c>
      <c r="D4032">
        <v>4.4483889999999997</v>
      </c>
      <c r="E4032">
        <v>0.52323940000000002</v>
      </c>
      <c r="F4032" t="s">
        <v>61</v>
      </c>
      <c r="G4032">
        <v>-429.01209999999998</v>
      </c>
      <c r="H4032" s="1">
        <v>2.4161180000000001E-6</v>
      </c>
      <c r="I4032">
        <v>214.04310000000001</v>
      </c>
      <c r="J4032">
        <v>-451.80880000000002</v>
      </c>
      <c r="K4032">
        <v>1.11222</v>
      </c>
      <c r="L4032">
        <v>213.6541</v>
      </c>
      <c r="M4032">
        <v>0.9995309</v>
      </c>
      <c r="N4032">
        <v>-8.8340459999999999E-3</v>
      </c>
      <c r="O4032">
        <v>-2.93285E-2</v>
      </c>
      <c r="P4032">
        <v>0.98626329999999995</v>
      </c>
      <c r="Q4032">
        <v>0.14478339999999901</v>
      </c>
      <c r="R4032">
        <v>7.9514290000000001E-2</v>
      </c>
      <c r="S4032">
        <v>3.0590519999999999</v>
      </c>
      <c r="T4032">
        <v>-0.14753769999999999</v>
      </c>
      <c r="U4032">
        <v>5.0903320000000002E-2</v>
      </c>
      <c r="V4032">
        <v>-0.10924010000000001</v>
      </c>
      <c r="W4032">
        <v>0.15287429999999999</v>
      </c>
      <c r="X4032">
        <v>0.98218939999999999</v>
      </c>
      <c r="Y4032">
        <v>-4.587053E-2</v>
      </c>
      <c r="Z4032">
        <v>2.462774E-3</v>
      </c>
      <c r="AA4032">
        <v>0.99894430000000001</v>
      </c>
      <c r="AB4032">
        <v>27</v>
      </c>
      <c r="AC4032">
        <v>22.796700000000001</v>
      </c>
      <c r="AD4032">
        <v>-1.1122175838820001</v>
      </c>
      <c r="AE4032">
        <v>0.38900000000001</v>
      </c>
      <c r="AF4032">
        <v>-1.05494131367821</v>
      </c>
      <c r="AG4032">
        <v>-1.1122175838820001</v>
      </c>
      <c r="AH4032">
        <v>22.721414961892499</v>
      </c>
      <c r="AI4032">
        <v>92.799391556408295</v>
      </c>
      <c r="AJ4032">
        <v>92.658298725167</v>
      </c>
      <c r="AK4032">
        <v>22.773068019037598</v>
      </c>
      <c r="AL4032">
        <v>81.206466485664507</v>
      </c>
      <c r="AM4032">
        <v>96.346411792121401</v>
      </c>
      <c r="AN4032">
        <v>0.99999998426042902</v>
      </c>
    </row>
    <row r="4033" spans="1:40" x14ac:dyDescent="0.25">
      <c r="A4033" t="str">
        <f>"20190304154833414"</f>
        <v>20190304154833414</v>
      </c>
      <c r="B4033" t="str">
        <f>"1551685713410443"</f>
        <v>1551685713410443</v>
      </c>
      <c r="C4033" t="s">
        <v>40</v>
      </c>
      <c r="D4033">
        <v>4.400023</v>
      </c>
      <c r="E4033">
        <v>0.52384179999999902</v>
      </c>
      <c r="F4033" t="s">
        <v>61</v>
      </c>
      <c r="G4033">
        <v>-428.43090000000001</v>
      </c>
      <c r="H4033" s="1">
        <v>2.5183710000000002E-6</v>
      </c>
      <c r="I4033">
        <v>214.05269999999999</v>
      </c>
      <c r="J4033">
        <v>-451.54</v>
      </c>
      <c r="K4033">
        <v>1.112225</v>
      </c>
      <c r="L4033">
        <v>213.6497</v>
      </c>
      <c r="M4033">
        <v>0.99961909999999998</v>
      </c>
      <c r="N4033">
        <v>-8.8310400000000001E-3</v>
      </c>
      <c r="O4033">
        <v>-2.6155500000000002E-2</v>
      </c>
      <c r="P4033">
        <v>0.98604669999999905</v>
      </c>
      <c r="Q4033">
        <v>0.1455456</v>
      </c>
      <c r="R4033">
        <v>8.0799620000000003E-2</v>
      </c>
      <c r="S4033">
        <v>3.0588679999999999</v>
      </c>
      <c r="T4033">
        <v>-0.14552770000000001</v>
      </c>
      <c r="U4033">
        <v>5.2154539999999999E-2</v>
      </c>
      <c r="V4033">
        <v>-0.1074037</v>
      </c>
      <c r="W4033">
        <v>0.1536418</v>
      </c>
      <c r="X4033">
        <v>0.98227209999999998</v>
      </c>
      <c r="Y4033">
        <v>-4.3117240000000001E-2</v>
      </c>
      <c r="Z4033">
        <v>2.2282080000000002E-3</v>
      </c>
      <c r="AA4033">
        <v>0.9990675</v>
      </c>
      <c r="AB4033">
        <v>27</v>
      </c>
      <c r="AC4033">
        <v>23.109100000000002</v>
      </c>
      <c r="AD4033">
        <v>-1.1122224816290001</v>
      </c>
      <c r="AE4033">
        <v>0.40299999999999098</v>
      </c>
      <c r="AF4033">
        <v>-1.00498835193414</v>
      </c>
      <c r="AG4033">
        <v>-1.1122224816290001</v>
      </c>
      <c r="AH4033">
        <v>23.037304528905299</v>
      </c>
      <c r="AI4033">
        <v>92.761425503381503</v>
      </c>
      <c r="AJ4033">
        <v>92.497909640694502</v>
      </c>
      <c r="AK4033">
        <v>23.086022619621701</v>
      </c>
      <c r="AL4033">
        <v>81.161965665619405</v>
      </c>
      <c r="AM4033">
        <v>96.2400519286453</v>
      </c>
      <c r="AN4033">
        <v>0.99999991795966603</v>
      </c>
    </row>
    <row r="4034" spans="1:40" x14ac:dyDescent="0.25">
      <c r="A4034" t="str">
        <f>"20190304154833436"</f>
        <v>20190304154833436</v>
      </c>
      <c r="B4034" t="str">
        <f>"1551685713430939"</f>
        <v>1551685713430939</v>
      </c>
      <c r="C4034" t="s">
        <v>40</v>
      </c>
      <c r="D4034">
        <v>4.2866980000000003</v>
      </c>
      <c r="E4034">
        <v>0.52414539999999998</v>
      </c>
      <c r="F4034" t="s">
        <v>61</v>
      </c>
      <c r="G4034">
        <v>-427.34820000000002</v>
      </c>
      <c r="H4034" s="1">
        <v>2.710388E-6</v>
      </c>
      <c r="I4034">
        <v>214.0531</v>
      </c>
      <c r="J4034">
        <v>-451.27609999999999</v>
      </c>
      <c r="K4034">
        <v>1.112233</v>
      </c>
      <c r="L4034">
        <v>213.64609999999999</v>
      </c>
      <c r="M4034">
        <v>0.99969549999999996</v>
      </c>
      <c r="N4034">
        <v>-8.8292379999999997E-3</v>
      </c>
      <c r="O4034">
        <v>-2.3040689999999999E-2</v>
      </c>
      <c r="P4034">
        <v>0.98600290000000002</v>
      </c>
      <c r="Q4034">
        <v>0.14536589999999999</v>
      </c>
      <c r="R4034">
        <v>8.1653539999999997E-2</v>
      </c>
      <c r="S4034">
        <v>3.0589900000000001</v>
      </c>
      <c r="T4034">
        <v>-0.14063789999999901</v>
      </c>
      <c r="U4034">
        <v>5.1010130000000001E-2</v>
      </c>
      <c r="V4034">
        <v>-0.1051931</v>
      </c>
      <c r="W4034">
        <v>0.1534732</v>
      </c>
      <c r="X4034">
        <v>0.98253769999999996</v>
      </c>
      <c r="Y4034">
        <v>-3.9641320000000001E-2</v>
      </c>
      <c r="Z4034">
        <v>1.9411540000000001E-3</v>
      </c>
      <c r="AA4034">
        <v>0.99921210000000005</v>
      </c>
      <c r="AB4034">
        <v>27</v>
      </c>
      <c r="AC4034">
        <v>23.927899999999902</v>
      </c>
      <c r="AD4034">
        <v>-1.112230289612</v>
      </c>
      <c r="AE4034">
        <v>0.40700000000001002</v>
      </c>
      <c r="AF4034">
        <v>-0.95616346535367203</v>
      </c>
      <c r="AG4034">
        <v>-1.112230289612</v>
      </c>
      <c r="AH4034">
        <v>23.860630325275999</v>
      </c>
      <c r="AI4034">
        <v>92.666694502448095</v>
      </c>
      <c r="AJ4034">
        <v>92.294777373318993</v>
      </c>
      <c r="AK4034">
        <v>23.905668455600399</v>
      </c>
      <c r="AL4034">
        <v>81.171742159111304</v>
      </c>
      <c r="AM4034">
        <v>96.110960736060704</v>
      </c>
      <c r="AN4034">
        <v>0.99999997166356902</v>
      </c>
    </row>
    <row r="4035" spans="1:40" x14ac:dyDescent="0.25">
      <c r="A4035" t="str">
        <f>"20190304154833460"</f>
        <v>20190304154833460</v>
      </c>
      <c r="B4035" t="str">
        <f>"1551685713450460"</f>
        <v>1551685713450460</v>
      </c>
      <c r="C4035" t="s">
        <v>40</v>
      </c>
      <c r="D4035">
        <v>4.3941819999999998</v>
      </c>
      <c r="E4035">
        <v>0.52456769999999997</v>
      </c>
      <c r="F4035" t="s">
        <v>61</v>
      </c>
      <c r="G4035">
        <v>-427.71980000000002</v>
      </c>
      <c r="H4035" s="1">
        <v>2.6456819999999999E-6</v>
      </c>
      <c r="I4035">
        <v>214.0393</v>
      </c>
      <c r="J4035">
        <v>-450.99529999999999</v>
      </c>
      <c r="K4035">
        <v>1.1122350000000001</v>
      </c>
      <c r="L4035">
        <v>213.64320000000001</v>
      </c>
      <c r="M4035">
        <v>0.9997663</v>
      </c>
      <c r="N4035">
        <v>-8.8283879999999995E-3</v>
      </c>
      <c r="O4035">
        <v>-1.9732880000000001E-2</v>
      </c>
      <c r="P4035">
        <v>0.98597699999999999</v>
      </c>
      <c r="Q4035">
        <v>0.1448525</v>
      </c>
      <c r="R4035">
        <v>8.2868990000000003E-2</v>
      </c>
      <c r="S4035">
        <v>3.059631</v>
      </c>
      <c r="T4035">
        <v>-0.14446320000000001</v>
      </c>
      <c r="U4035">
        <v>5.1071169999999999E-2</v>
      </c>
      <c r="V4035">
        <v>-0.1031522</v>
      </c>
      <c r="W4035">
        <v>0.15297089999999999</v>
      </c>
      <c r="X4035">
        <v>0.98283240000000005</v>
      </c>
      <c r="Y4035">
        <v>-3.6354659999999997E-2</v>
      </c>
      <c r="Z4035">
        <v>1.77531E-3</v>
      </c>
      <c r="AA4035">
        <v>0.99933740000000004</v>
      </c>
      <c r="AB4035">
        <v>27</v>
      </c>
      <c r="AC4035">
        <v>23.275499999999901</v>
      </c>
      <c r="AD4035">
        <v>-1.1122323543179999</v>
      </c>
      <c r="AE4035">
        <v>0.39609999999998902</v>
      </c>
      <c r="AF4035">
        <v>-0.85338531565806597</v>
      </c>
      <c r="AG4035">
        <v>-1.1122323543179999</v>
      </c>
      <c r="AH4035">
        <v>23.2101670288185</v>
      </c>
      <c r="AI4035">
        <v>92.741668140475895</v>
      </c>
      <c r="AJ4035">
        <v>92.105687621250794</v>
      </c>
      <c r="AK4035">
        <v>23.2524661232444</v>
      </c>
      <c r="AL4035">
        <v>81.200865975025593</v>
      </c>
      <c r="AM4035">
        <v>95.991486549523501</v>
      </c>
      <c r="AN4035">
        <v>0.99999999955070495</v>
      </c>
    </row>
    <row r="4036" spans="1:40" x14ac:dyDescent="0.25">
      <c r="A4036" t="str">
        <f>"20190304154833481"</f>
        <v>20190304154833481</v>
      </c>
      <c r="B4036" t="str">
        <f>"1551685713470955"</f>
        <v>1551685713470955</v>
      </c>
      <c r="C4036" t="s">
        <v>40</v>
      </c>
      <c r="D4036">
        <v>4.37242</v>
      </c>
      <c r="E4036">
        <v>0.52491149999999998</v>
      </c>
      <c r="F4036" t="s">
        <v>61</v>
      </c>
      <c r="G4036">
        <v>-427.4085</v>
      </c>
      <c r="H4036" s="1">
        <v>2.7009900000000002E-6</v>
      </c>
      <c r="I4036">
        <v>214.03829999999999</v>
      </c>
      <c r="J4036">
        <v>-450.73239999999998</v>
      </c>
      <c r="K4036">
        <v>1.1122369999999999</v>
      </c>
      <c r="L4036">
        <v>213.6414</v>
      </c>
      <c r="M4036">
        <v>0.99982260000000001</v>
      </c>
      <c r="N4036">
        <v>-8.8280609999999999E-3</v>
      </c>
      <c r="O4036">
        <v>-1.6647410000000001E-2</v>
      </c>
      <c r="P4036">
        <v>0.98592999999999997</v>
      </c>
      <c r="Q4036">
        <v>0.1442737</v>
      </c>
      <c r="R4036">
        <v>8.4422860000000002E-2</v>
      </c>
      <c r="S4036">
        <v>3.0595400000000001</v>
      </c>
      <c r="T4036">
        <v>-0.14427219999999999</v>
      </c>
      <c r="U4036">
        <v>5.1239010000000001E-2</v>
      </c>
      <c r="V4036">
        <v>-0.1016652</v>
      </c>
      <c r="W4036">
        <v>0.1524016</v>
      </c>
      <c r="X4036">
        <v>0.9830757</v>
      </c>
      <c r="Y4036">
        <v>-3.333216E-2</v>
      </c>
      <c r="Z4036">
        <v>1.57026E-3</v>
      </c>
      <c r="AA4036">
        <v>0.99944310000000003</v>
      </c>
      <c r="AB4036">
        <v>27</v>
      </c>
      <c r="AC4036">
        <v>23.323899999999899</v>
      </c>
      <c r="AD4036">
        <v>-1.11223429901</v>
      </c>
      <c r="AE4036">
        <v>0.39689999999998798</v>
      </c>
      <c r="AF4036">
        <v>-0.78336174487258303</v>
      </c>
      <c r="AG4036">
        <v>-1.11223429901</v>
      </c>
      <c r="AH4036">
        <v>23.261179381860199</v>
      </c>
      <c r="AI4036">
        <v>92.735966540422098</v>
      </c>
      <c r="AJ4036">
        <v>91.928808717505802</v>
      </c>
      <c r="AK4036">
        <v>23.300926741104199</v>
      </c>
      <c r="AL4036">
        <v>81.233870990688402</v>
      </c>
      <c r="AM4036">
        <v>95.904279321484694</v>
      </c>
      <c r="AN4036">
        <v>0.99999994625204303</v>
      </c>
    </row>
    <row r="4037" spans="1:40" x14ac:dyDescent="0.25">
      <c r="A4037" t="str">
        <f>"20190304154833502"</f>
        <v>20190304154833502</v>
      </c>
      <c r="B4037" t="str">
        <f>"1551685713490479"</f>
        <v>1551685713490479</v>
      </c>
      <c r="C4037" t="s">
        <v>40</v>
      </c>
      <c r="D4037">
        <v>4.3320100000000004</v>
      </c>
      <c r="E4037">
        <v>0.52515999999999996</v>
      </c>
      <c r="F4037" t="s">
        <v>61</v>
      </c>
      <c r="G4037">
        <v>-427.06869999999998</v>
      </c>
      <c r="H4037" s="1">
        <v>2.7602400000000001E-6</v>
      </c>
      <c r="I4037">
        <v>214.05009999999999</v>
      </c>
      <c r="J4037">
        <v>-450.48570000000001</v>
      </c>
      <c r="K4037">
        <v>1.1122299999999901</v>
      </c>
      <c r="L4037">
        <v>213.6403</v>
      </c>
      <c r="M4037">
        <v>0.99986620000000004</v>
      </c>
      <c r="N4037">
        <v>-8.8280029999999992E-3</v>
      </c>
      <c r="O4037">
        <v>-1.37707E-2</v>
      </c>
      <c r="P4037">
        <v>0.98589899999999997</v>
      </c>
      <c r="Q4037">
        <v>0.143541</v>
      </c>
      <c r="R4037">
        <v>8.6018289999999997E-2</v>
      </c>
      <c r="S4037">
        <v>3.059326</v>
      </c>
      <c r="T4037">
        <v>-0.14379320000000001</v>
      </c>
      <c r="U4037">
        <v>5.2841190000000003E-2</v>
      </c>
      <c r="V4037">
        <v>-0.1004215</v>
      </c>
      <c r="W4037">
        <v>0.1516786</v>
      </c>
      <c r="X4037">
        <v>0.9833153</v>
      </c>
      <c r="Y4037">
        <v>-3.098648E-2</v>
      </c>
      <c r="Z4037">
        <v>1.3899660000000001E-3</v>
      </c>
      <c r="AA4037">
        <v>0.99951880000000004</v>
      </c>
      <c r="AB4037">
        <v>27</v>
      </c>
      <c r="AC4037">
        <v>23.417000000000002</v>
      </c>
      <c r="AD4037">
        <v>-1.1122272397599999</v>
      </c>
      <c r="AE4037">
        <v>0.40979999999999001</v>
      </c>
      <c r="AF4037">
        <v>-0.73059452890014298</v>
      </c>
      <c r="AG4037">
        <v>-1.1122272397599999</v>
      </c>
      <c r="AH4037">
        <v>23.356461680213201</v>
      </c>
      <c r="AI4037">
        <v>92.725016355773704</v>
      </c>
      <c r="AJ4037">
        <v>91.791638604656299</v>
      </c>
      <c r="AK4037">
        <v>23.394339486674799</v>
      </c>
      <c r="AL4037">
        <v>81.275782932315195</v>
      </c>
      <c r="AM4037">
        <v>95.831140160748902</v>
      </c>
      <c r="AN4037">
        <v>0.99999992728714704</v>
      </c>
    </row>
    <row r="4038" spans="1:40" x14ac:dyDescent="0.25">
      <c r="A4038" t="str">
        <f>"20190304154833524"</f>
        <v>20190304154833524</v>
      </c>
      <c r="B4038" t="str">
        <f>"1551685713520731"</f>
        <v>1551685713520731</v>
      </c>
      <c r="C4038" t="s">
        <v>40</v>
      </c>
      <c r="D4038">
        <v>4.3819720000000002</v>
      </c>
      <c r="E4038">
        <v>0.525402699999999</v>
      </c>
      <c r="F4038" t="s">
        <v>61</v>
      </c>
      <c r="G4038">
        <v>-426.96480000000003</v>
      </c>
      <c r="H4038" s="1">
        <v>2.777089E-6</v>
      </c>
      <c r="I4038">
        <v>214.06819999999999</v>
      </c>
      <c r="J4038">
        <v>-450.21230000000003</v>
      </c>
      <c r="K4038">
        <v>1.1122129999999999</v>
      </c>
      <c r="L4038">
        <v>213.64</v>
      </c>
      <c r="M4038">
        <v>0.99990460000000003</v>
      </c>
      <c r="N4038">
        <v>-8.8279959999999994E-3</v>
      </c>
      <c r="O4038">
        <v>-1.0618300000000001E-2</v>
      </c>
      <c r="P4038">
        <v>0.98567199999999999</v>
      </c>
      <c r="Q4038">
        <v>0.14347770000000001</v>
      </c>
      <c r="R4038">
        <v>8.868355E-2</v>
      </c>
      <c r="S4038">
        <v>3.059113</v>
      </c>
      <c r="T4038">
        <v>-0.14465529999999999</v>
      </c>
      <c r="U4038">
        <v>5.5648799999999998E-2</v>
      </c>
      <c r="V4038">
        <v>-9.9974160000000006E-2</v>
      </c>
      <c r="W4038">
        <v>0.1516216</v>
      </c>
      <c r="X4038">
        <v>0.98336979999999996</v>
      </c>
      <c r="Y4038">
        <v>-2.875811E-2</v>
      </c>
      <c r="Z4038">
        <v>1.214637E-3</v>
      </c>
      <c r="AA4038">
        <v>0.99958570000000002</v>
      </c>
      <c r="AB4038">
        <v>27</v>
      </c>
      <c r="AC4038">
        <v>23.247499999999999</v>
      </c>
      <c r="AD4038">
        <v>-1.11221022291099</v>
      </c>
      <c r="AE4038">
        <v>0.42820000000000302</v>
      </c>
      <c r="AF4038">
        <v>-0.67349340372858701</v>
      </c>
      <c r="AG4038">
        <v>-1.11221022291099</v>
      </c>
      <c r="AH4038">
        <v>23.1885846987694</v>
      </c>
      <c r="AI4038">
        <v>92.744857165004504</v>
      </c>
      <c r="AJ4038">
        <v>91.663641182668201</v>
      </c>
      <c r="AK4038">
        <v>23.225009478508699</v>
      </c>
      <c r="AL4038">
        <v>81.279088110140194</v>
      </c>
      <c r="AM4038">
        <v>95.805022889016001</v>
      </c>
      <c r="AN4038">
        <v>1.0000000529031501</v>
      </c>
    </row>
    <row r="4039" spans="1:40" x14ac:dyDescent="0.25">
      <c r="A4039" t="str">
        <f>"20190304154833547"</f>
        <v>20190304154833547</v>
      </c>
      <c r="B4039" t="str">
        <f>"1551685713541228"</f>
        <v>1551685713541228</v>
      </c>
      <c r="C4039" t="s">
        <v>40</v>
      </c>
      <c r="D4039">
        <v>4.3614269999999999</v>
      </c>
      <c r="E4039">
        <v>0.52557279999999995</v>
      </c>
      <c r="F4039" t="s">
        <v>61</v>
      </c>
      <c r="G4039">
        <v>-426.31830000000002</v>
      </c>
      <c r="H4039" s="1">
        <v>2.8869950000000001E-6</v>
      </c>
      <c r="I4039">
        <v>214.12270000000001</v>
      </c>
      <c r="J4039">
        <v>-449.94490000000002</v>
      </c>
      <c r="K4039">
        <v>1.1121859999999999</v>
      </c>
      <c r="L4039">
        <v>213.6404</v>
      </c>
      <c r="M4039">
        <v>0.99993220000000005</v>
      </c>
      <c r="N4039">
        <v>-8.8278909999999992E-3</v>
      </c>
      <c r="O4039">
        <v>-7.5889829999999997E-3</v>
      </c>
      <c r="P4039">
        <v>0.9853362</v>
      </c>
      <c r="Q4039">
        <v>0.144088299999999</v>
      </c>
      <c r="R4039">
        <v>9.1385049999999995E-2</v>
      </c>
      <c r="S4039">
        <v>3.0588069999999998</v>
      </c>
      <c r="T4039">
        <v>-0.14238049999999999</v>
      </c>
      <c r="U4039">
        <v>6.1798100000000002E-2</v>
      </c>
      <c r="V4039">
        <v>-9.9682759999999995E-2</v>
      </c>
      <c r="W4039">
        <v>0.15223999999999999</v>
      </c>
      <c r="X4039">
        <v>0.98330379999999995</v>
      </c>
      <c r="Y4039">
        <v>-2.7745240000000001E-2</v>
      </c>
      <c r="Z4039">
        <v>1.053951E-3</v>
      </c>
      <c r="AA4039">
        <v>0.99961449999999996</v>
      </c>
      <c r="AB4039">
        <v>27</v>
      </c>
      <c r="AC4039">
        <v>23.6266</v>
      </c>
      <c r="AD4039">
        <v>-1.1121831130049999</v>
      </c>
      <c r="AE4039">
        <v>0.482300000000009</v>
      </c>
      <c r="AF4039">
        <v>-0.66013279054572505</v>
      </c>
      <c r="AG4039">
        <v>-1.1121831130049999</v>
      </c>
      <c r="AH4039">
        <v>23.570052147653499</v>
      </c>
      <c r="AI4039">
        <v>92.700513532235504</v>
      </c>
      <c r="AJ4039">
        <v>91.604278927101703</v>
      </c>
      <c r="AK4039">
        <v>23.605509628498101</v>
      </c>
      <c r="AL4039">
        <v>81.243239928535303</v>
      </c>
      <c r="AM4039">
        <v>95.788603604409403</v>
      </c>
      <c r="AN4039">
        <v>1.00000001666782</v>
      </c>
    </row>
    <row r="4040" spans="1:40" x14ac:dyDescent="0.25">
      <c r="A4040" t="str">
        <f>"20190304154833570"</f>
        <v>20190304154833570</v>
      </c>
      <c r="B4040" t="str">
        <f>"1551685713560751"</f>
        <v>1551685713560751</v>
      </c>
      <c r="C4040" t="s">
        <v>40</v>
      </c>
      <c r="D4040">
        <v>4.3459589999999997</v>
      </c>
      <c r="E4040">
        <v>0.52582419999999996</v>
      </c>
      <c r="F4040" t="s">
        <v>61</v>
      </c>
      <c r="G4040">
        <v>-425.48450000000003</v>
      </c>
      <c r="H4040" s="1">
        <v>3.0292679999999999E-6</v>
      </c>
      <c r="I4040">
        <v>214.18700000000001</v>
      </c>
      <c r="J4040">
        <v>-449.66180000000003</v>
      </c>
      <c r="K4040">
        <v>1.112134</v>
      </c>
      <c r="L4040">
        <v>213.64160000000001</v>
      </c>
      <c r="M4040">
        <v>0.99995120000000004</v>
      </c>
      <c r="N4040">
        <v>-8.8279650000000001E-3</v>
      </c>
      <c r="O4040">
        <v>-4.4653409999999899E-3</v>
      </c>
      <c r="P4040">
        <v>0.98519809999999997</v>
      </c>
      <c r="Q4040">
        <v>0.143984</v>
      </c>
      <c r="R4040">
        <v>9.3024190000000007E-2</v>
      </c>
      <c r="S4040">
        <v>3.0586850000000001</v>
      </c>
      <c r="T4040">
        <v>-0.1390747</v>
      </c>
      <c r="U4040">
        <v>6.8359379999999997E-2</v>
      </c>
      <c r="V4040">
        <v>-9.8227120000000001E-2</v>
      </c>
      <c r="W4040">
        <v>0.15215609999999999</v>
      </c>
      <c r="X4040">
        <v>0.98346319999999998</v>
      </c>
      <c r="Y4040">
        <v>-2.677185E-2</v>
      </c>
      <c r="Z4040">
        <v>8.9001839999999896E-4</v>
      </c>
      <c r="AA4040">
        <v>0.99964120000000001</v>
      </c>
      <c r="AB4040">
        <v>27</v>
      </c>
      <c r="AC4040">
        <v>24.177299999999999</v>
      </c>
      <c r="AD4040">
        <v>-1.112130970732</v>
      </c>
      <c r="AE4040">
        <v>0.5454</v>
      </c>
      <c r="AF4040">
        <v>-0.651979817269842</v>
      </c>
      <c r="AG4040">
        <v>-1.112130970732</v>
      </c>
      <c r="AH4040">
        <v>24.123606139915498</v>
      </c>
      <c r="AI4040">
        <v>92.638582130335493</v>
      </c>
      <c r="AJ4040">
        <v>91.548135062212594</v>
      </c>
      <c r="AK4040">
        <v>24.158027365079999</v>
      </c>
      <c r="AL4040">
        <v>81.248103170521006</v>
      </c>
      <c r="AM4040">
        <v>95.703717315742097</v>
      </c>
      <c r="AN4040">
        <v>0.99999995581247103</v>
      </c>
    </row>
    <row r="4041" spans="1:40" x14ac:dyDescent="0.25">
      <c r="A4041" t="str">
        <f>"20190304154833592"</f>
        <v>20190304154833592</v>
      </c>
      <c r="B4041" t="str">
        <f>"1551685713581247"</f>
        <v>1551685713581247</v>
      </c>
      <c r="C4041" t="s">
        <v>40</v>
      </c>
      <c r="D4041">
        <v>4.3496119999999996</v>
      </c>
      <c r="E4041">
        <v>0.5260901</v>
      </c>
      <c r="F4041" t="s">
        <v>61</v>
      </c>
      <c r="G4041">
        <v>-425.03039999999999</v>
      </c>
      <c r="H4041" s="1">
        <v>3.1077950000000002E-6</v>
      </c>
      <c r="I4041">
        <v>214.21029999999999</v>
      </c>
      <c r="J4041">
        <v>-449.39780000000002</v>
      </c>
      <c r="K4041">
        <v>1.112066</v>
      </c>
      <c r="L4041">
        <v>213.64340000000001</v>
      </c>
      <c r="M4041">
        <v>0.99995979999999995</v>
      </c>
      <c r="N4041">
        <v>-8.8276099999999996E-3</v>
      </c>
      <c r="O4041">
        <v>-1.6657950000000001E-3</v>
      </c>
      <c r="P4041">
        <v>0.98526170000000002</v>
      </c>
      <c r="Q4041">
        <v>0.14363919999999999</v>
      </c>
      <c r="R4041">
        <v>9.2883590000000002E-2</v>
      </c>
      <c r="S4041">
        <v>3.0585939999999998</v>
      </c>
      <c r="T4041">
        <v>-0.13809839999999901</v>
      </c>
      <c r="U4041">
        <v>7.0617680000000002E-2</v>
      </c>
      <c r="V4041">
        <v>-9.5303180000000001E-2</v>
      </c>
      <c r="W4041">
        <v>0.15184449999999999</v>
      </c>
      <c r="X4041">
        <v>0.98379899999999998</v>
      </c>
      <c r="Y4041">
        <v>-2.471632E-2</v>
      </c>
      <c r="Z4041">
        <v>7.2726720000000004E-4</v>
      </c>
      <c r="AA4041">
        <v>0.99969419999999998</v>
      </c>
      <c r="AB4041">
        <v>27</v>
      </c>
      <c r="AC4041">
        <v>24.3674</v>
      </c>
      <c r="AD4041">
        <v>-1.112062892205</v>
      </c>
      <c r="AE4041">
        <v>0.56689999999997498</v>
      </c>
      <c r="AF4041">
        <v>-0.60622993040782303</v>
      </c>
      <c r="AG4041">
        <v>-1.112062892205</v>
      </c>
      <c r="AH4041">
        <v>24.315805096599099</v>
      </c>
      <c r="AI4041">
        <v>92.617737324011699</v>
      </c>
      <c r="AJ4041">
        <v>91.428174893878193</v>
      </c>
      <c r="AK4041">
        <v>24.3487694986941</v>
      </c>
      <c r="AL4041">
        <v>81.266166463155997</v>
      </c>
      <c r="AM4041">
        <v>95.533126809050003</v>
      </c>
      <c r="AN4041">
        <v>0.99999996034967997</v>
      </c>
    </row>
    <row r="4042" spans="1:40" x14ac:dyDescent="0.25">
      <c r="A4042" t="str">
        <f>"20190304154833614"</f>
        <v>20190304154833614</v>
      </c>
      <c r="B4042" t="str">
        <f>"1551685713610524"</f>
        <v>1551685713610524</v>
      </c>
      <c r="C4042" t="s">
        <v>40</v>
      </c>
      <c r="D4042">
        <v>4.2622030000000004</v>
      </c>
      <c r="E4042">
        <v>0.52663169999999904</v>
      </c>
      <c r="F4042" t="s">
        <v>61</v>
      </c>
      <c r="G4042">
        <v>-424.65010000000001</v>
      </c>
      <c r="H4042" s="1">
        <v>3.1769270000000001E-6</v>
      </c>
      <c r="I4042">
        <v>214.191</v>
      </c>
      <c r="J4042">
        <v>-449.13119999999998</v>
      </c>
      <c r="K4042">
        <v>1.1119749999999999</v>
      </c>
      <c r="L4042">
        <v>213.64590000000001</v>
      </c>
      <c r="M4042">
        <v>0.99996059999999998</v>
      </c>
      <c r="N4042">
        <v>-8.8266560000000004E-3</v>
      </c>
      <c r="O4042">
        <v>1.0145340000000001E-3</v>
      </c>
      <c r="P4042">
        <v>0.98534109999999997</v>
      </c>
      <c r="Q4042">
        <v>0.1429406</v>
      </c>
      <c r="R4042">
        <v>9.3118090000000001E-2</v>
      </c>
      <c r="S4042">
        <v>3.0585330000000002</v>
      </c>
      <c r="T4042">
        <v>-0.13743839999999999</v>
      </c>
      <c r="U4042">
        <v>6.767273E-2</v>
      </c>
      <c r="V4042">
        <v>-9.2859929999999993E-2</v>
      </c>
      <c r="W4042">
        <v>0.15118000000000001</v>
      </c>
      <c r="X4042">
        <v>0.98413499999999998</v>
      </c>
      <c r="Y4042">
        <v>-2.1081349999999999E-2</v>
      </c>
      <c r="Z4042">
        <v>5.2985779999999995E-4</v>
      </c>
      <c r="AA4042">
        <v>0.99977760000000004</v>
      </c>
      <c r="AB4042">
        <v>27</v>
      </c>
      <c r="AC4042">
        <v>24.481099999999898</v>
      </c>
      <c r="AD4042">
        <v>-1.111971823073</v>
      </c>
      <c r="AE4042">
        <v>0.54509999999996195</v>
      </c>
      <c r="AF4042">
        <v>-0.51919121931053303</v>
      </c>
      <c r="AG4042">
        <v>-1.111971823073</v>
      </c>
      <c r="AH4042">
        <v>24.431260657344101</v>
      </c>
      <c r="AI4042">
        <v>92.605391609986697</v>
      </c>
      <c r="AJ4042">
        <v>91.217415227935007</v>
      </c>
      <c r="AK4042">
        <v>24.462063244227998</v>
      </c>
      <c r="AL4042">
        <v>81.304684781565797</v>
      </c>
      <c r="AM4042">
        <v>95.390293073599693</v>
      </c>
      <c r="AN4042">
        <v>1.0000000286123001</v>
      </c>
    </row>
    <row r="4043" spans="1:40" x14ac:dyDescent="0.25">
      <c r="A4043" t="str">
        <f>"20190304154833638"</f>
        <v>20190304154833638</v>
      </c>
      <c r="B4043" t="str">
        <f>"1551685713631019"</f>
        <v>1551685713631019</v>
      </c>
      <c r="C4043" t="s">
        <v>40</v>
      </c>
      <c r="D4043">
        <v>4.2449120000000002</v>
      </c>
      <c r="E4043">
        <v>0.52697309999999997</v>
      </c>
      <c r="F4043" t="s">
        <v>61</v>
      </c>
      <c r="G4043">
        <v>-424.32490000000001</v>
      </c>
      <c r="H4043" s="1">
        <v>3.2375820000000001E-6</v>
      </c>
      <c r="I4043">
        <v>214.15719999999999</v>
      </c>
      <c r="J4043">
        <v>-448.83879999999999</v>
      </c>
      <c r="K4043">
        <v>1.1118669999999999</v>
      </c>
      <c r="L4043">
        <v>213.64930000000001</v>
      </c>
      <c r="M4043">
        <v>0.99995389999999995</v>
      </c>
      <c r="N4043">
        <v>-8.8260159999999904E-3</v>
      </c>
      <c r="O4043">
        <v>3.8040819999999999E-3</v>
      </c>
      <c r="P4043">
        <v>0.98538079999999995</v>
      </c>
      <c r="Q4043">
        <v>0.14273859999999999</v>
      </c>
      <c r="R4043">
        <v>9.300833E-2</v>
      </c>
      <c r="S4043">
        <v>3.0585939999999998</v>
      </c>
      <c r="T4043">
        <v>-0.137105</v>
      </c>
      <c r="U4043">
        <v>6.3034060000000003E-2</v>
      </c>
      <c r="V4043">
        <v>-8.9962159999999999E-2</v>
      </c>
      <c r="W4043">
        <v>0.15101679999999901</v>
      </c>
      <c r="X4043">
        <v>0.98442909999999995</v>
      </c>
      <c r="Y4043">
        <v>-1.6783180000000002E-2</v>
      </c>
      <c r="Z4043">
        <v>3.1319440000000001E-4</v>
      </c>
      <c r="AA4043">
        <v>0.9998591</v>
      </c>
      <c r="AB4043">
        <v>27</v>
      </c>
      <c r="AC4043">
        <v>24.5138999999999</v>
      </c>
      <c r="AD4043">
        <v>-1.1118637624179999</v>
      </c>
      <c r="AE4043">
        <v>0.50789999999997704</v>
      </c>
      <c r="AF4043">
        <v>-0.41378892981755699</v>
      </c>
      <c r="AG4043">
        <v>-1.1118637624179999</v>
      </c>
      <c r="AH4043">
        <v>24.465346058791098</v>
      </c>
      <c r="AI4043">
        <v>92.601729224253205</v>
      </c>
      <c r="AJ4043">
        <v>90.968966429443498</v>
      </c>
      <c r="AK4043">
        <v>24.4940935754117</v>
      </c>
      <c r="AL4043">
        <v>81.314143443529801</v>
      </c>
      <c r="AM4043">
        <v>95.221477981409706</v>
      </c>
      <c r="AN4043">
        <v>0.99999995852045598</v>
      </c>
    </row>
    <row r="4044" spans="1:40" x14ac:dyDescent="0.25">
      <c r="A4044" t="str">
        <f>"20190304154833662"</f>
        <v>20190304154833662</v>
      </c>
      <c r="B4044" t="str">
        <f>"1551685713650540"</f>
        <v>1551685713650540</v>
      </c>
      <c r="C4044" t="s">
        <v>40</v>
      </c>
      <c r="D4044">
        <v>4.2198830000000003</v>
      </c>
      <c r="E4044">
        <v>0.5273215</v>
      </c>
      <c r="F4044" t="s">
        <v>61</v>
      </c>
      <c r="G4044">
        <v>-423.89269999999999</v>
      </c>
      <c r="H4044" s="1">
        <v>3.3165969999999999E-6</v>
      </c>
      <c r="I4044">
        <v>214.1302</v>
      </c>
      <c r="J4044">
        <v>-448.55500000000001</v>
      </c>
      <c r="K4044">
        <v>1.1117589999999999</v>
      </c>
      <c r="L4044">
        <v>213.6532</v>
      </c>
      <c r="M4044">
        <v>0.99994099999999997</v>
      </c>
      <c r="N4044">
        <v>-8.8258399999999997E-3</v>
      </c>
      <c r="O4044">
        <v>6.3430040000000002E-3</v>
      </c>
      <c r="P4044">
        <v>0.98541809999999996</v>
      </c>
      <c r="Q4044">
        <v>0.14236309999999999</v>
      </c>
      <c r="R4044">
        <v>9.3188950000000007E-2</v>
      </c>
      <c r="S4044">
        <v>3.0587460000000002</v>
      </c>
      <c r="T4044">
        <v>-0.13633039999999999</v>
      </c>
      <c r="U4044">
        <v>5.8959959999999999E-2</v>
      </c>
      <c r="V4044">
        <v>-8.7598819999999994E-2</v>
      </c>
      <c r="W4044">
        <v>0.15067649999999999</v>
      </c>
      <c r="X4044">
        <v>0.98469439999999997</v>
      </c>
      <c r="Y4044">
        <v>-1.2918499999999999E-2</v>
      </c>
      <c r="Z4044">
        <v>1.181896E-4</v>
      </c>
      <c r="AA4044">
        <v>0.99991660000000004</v>
      </c>
      <c r="AB4044">
        <v>27</v>
      </c>
      <c r="AC4044">
        <v>24.662299999999998</v>
      </c>
      <c r="AD4044">
        <v>-1.111755683403</v>
      </c>
      <c r="AE4044">
        <v>0.47700000000000298</v>
      </c>
      <c r="AF4044">
        <v>-0.31990141489520402</v>
      </c>
      <c r="AG4044">
        <v>-1.111755683403</v>
      </c>
      <c r="AH4044">
        <v>24.614827725416099</v>
      </c>
      <c r="AI4044">
        <v>92.585851079270299</v>
      </c>
      <c r="AJ4044">
        <v>90.7445905898051</v>
      </c>
      <c r="AK4044">
        <v>24.641998327383</v>
      </c>
      <c r="AL4044">
        <v>81.333867349821801</v>
      </c>
      <c r="AM4044">
        <v>95.083673709373599</v>
      </c>
      <c r="AN4044">
        <v>1.0000000111545</v>
      </c>
    </row>
    <row r="4045" spans="1:40" x14ac:dyDescent="0.25">
      <c r="A4045" t="str">
        <f>"20190304154833682"</f>
        <v>20190304154833682</v>
      </c>
      <c r="B4045" t="str">
        <f>"1551685713671036"</f>
        <v>1551685713671036</v>
      </c>
      <c r="C4045" t="s">
        <v>40</v>
      </c>
      <c r="D4045">
        <v>4.2381500000000001</v>
      </c>
      <c r="E4045">
        <v>0.52757690000000002</v>
      </c>
      <c r="F4045" t="s">
        <v>61</v>
      </c>
      <c r="G4045">
        <v>-423.5428</v>
      </c>
      <c r="H4045" s="1">
        <v>3.3802330000000001E-6</v>
      </c>
      <c r="I4045">
        <v>214.1123</v>
      </c>
      <c r="J4045">
        <v>-448.29770000000002</v>
      </c>
      <c r="K4045">
        <v>1.11165</v>
      </c>
      <c r="L4045">
        <v>213.65719999999999</v>
      </c>
      <c r="M4045">
        <v>0.99992519999999996</v>
      </c>
      <c r="N4045">
        <v>-8.8258090000000004E-3</v>
      </c>
      <c r="O4045">
        <v>8.4687640000000002E-3</v>
      </c>
      <c r="P4045">
        <v>0.98553139999999995</v>
      </c>
      <c r="Q4045">
        <v>0.14166049999999999</v>
      </c>
      <c r="R4045">
        <v>9.3060539999999997E-2</v>
      </c>
      <c r="S4045">
        <v>3.058716</v>
      </c>
      <c r="T4045">
        <v>-0.13595560000000001</v>
      </c>
      <c r="U4045">
        <v>5.6137079999999999E-2</v>
      </c>
      <c r="V4045">
        <v>-8.5330520000000007E-2</v>
      </c>
      <c r="W4045">
        <v>0.150009</v>
      </c>
      <c r="X4045">
        <v>0.98499539999999997</v>
      </c>
      <c r="Y4045">
        <v>-9.8754229999999995E-3</v>
      </c>
      <c r="Z4045" s="1">
        <v>-3.8527939999999997E-5</v>
      </c>
      <c r="AA4045">
        <v>0.99995120000000004</v>
      </c>
      <c r="AB4045">
        <v>27</v>
      </c>
      <c r="AC4045">
        <v>24.754899999999999</v>
      </c>
      <c r="AD4045">
        <v>-1.1116466197669901</v>
      </c>
      <c r="AE4045">
        <v>0.45510000000001499</v>
      </c>
      <c r="AF4045">
        <v>-0.24493834322152799</v>
      </c>
      <c r="AG4045">
        <v>-1.1116466197669901</v>
      </c>
      <c r="AH4045">
        <v>24.708058041711599</v>
      </c>
      <c r="AI4045">
        <v>92.575945575912698</v>
      </c>
      <c r="AJ4045">
        <v>90.5679715334078</v>
      </c>
      <c r="AK4045">
        <v>24.7342654063509</v>
      </c>
      <c r="AL4045">
        <v>81.372551598690606</v>
      </c>
      <c r="AM4045">
        <v>94.951193563396899</v>
      </c>
      <c r="AN4045">
        <v>0.99999996787281398</v>
      </c>
    </row>
    <row r="4046" spans="1:40" x14ac:dyDescent="0.25">
      <c r="A4046" t="str">
        <f>"20190304154833704"</f>
        <v>20190304154833704</v>
      </c>
      <c r="B4046" t="str">
        <f>"1551685713700316"</f>
        <v>1551685713700316</v>
      </c>
      <c r="C4046" t="s">
        <v>40</v>
      </c>
      <c r="D4046">
        <v>4.1567210000000001</v>
      </c>
      <c r="E4046">
        <v>0.52789459999999999</v>
      </c>
      <c r="F4046" t="s">
        <v>61</v>
      </c>
      <c r="G4046">
        <v>-423.48820000000001</v>
      </c>
      <c r="H4046" s="1">
        <v>3.3917749999999998E-6</v>
      </c>
      <c r="I4046">
        <v>214.09110000000001</v>
      </c>
      <c r="J4046">
        <v>-448.03530000000001</v>
      </c>
      <c r="K4046">
        <v>1.111518</v>
      </c>
      <c r="L4046">
        <v>213.66159999999999</v>
      </c>
      <c r="M4046">
        <v>0.99990650000000003</v>
      </c>
      <c r="N4046">
        <v>-8.8254119999999995E-3</v>
      </c>
      <c r="O4046">
        <v>1.044554E-2</v>
      </c>
      <c r="P4046">
        <v>0.98546959999999995</v>
      </c>
      <c r="Q4046">
        <v>0.141793899999999</v>
      </c>
      <c r="R4046">
        <v>9.3511830000000004E-2</v>
      </c>
      <c r="S4046">
        <v>3.0586850000000001</v>
      </c>
      <c r="T4046">
        <v>-0.13705110000000001</v>
      </c>
      <c r="U4046">
        <v>5.3497309999999999E-2</v>
      </c>
      <c r="V4046">
        <v>-8.3787269999999997E-2</v>
      </c>
      <c r="W4046">
        <v>0.1501749</v>
      </c>
      <c r="X4046">
        <v>0.9851027</v>
      </c>
      <c r="Y4046">
        <v>-7.0406189999999997E-3</v>
      </c>
      <c r="Z4046">
        <v>-1.868669E-4</v>
      </c>
      <c r="AA4046">
        <v>0.99997519999999995</v>
      </c>
      <c r="AB4046">
        <v>28</v>
      </c>
      <c r="AC4046">
        <v>24.5471</v>
      </c>
      <c r="AD4046">
        <v>-1.111514608225</v>
      </c>
      <c r="AE4046">
        <v>0.42950000000001798</v>
      </c>
      <c r="AF4046">
        <v>-0.172704867377247</v>
      </c>
      <c r="AG4046">
        <v>-1.111514608225</v>
      </c>
      <c r="AH4046">
        <v>24.500028747827301</v>
      </c>
      <c r="AI4046">
        <v>92.597542978180002</v>
      </c>
      <c r="AJ4046">
        <v>90.403880999801899</v>
      </c>
      <c r="AK4046">
        <v>24.525837403438</v>
      </c>
      <c r="AL4046">
        <v>81.362938193066</v>
      </c>
      <c r="AM4046">
        <v>94.861554602736305</v>
      </c>
      <c r="AN4046">
        <v>1.00000006837567</v>
      </c>
    </row>
    <row r="4047" spans="1:40" x14ac:dyDescent="0.25">
      <c r="A4047" t="str">
        <f>"20190304154833726"</f>
        <v>20190304154833726</v>
      </c>
      <c r="B4047" t="str">
        <f>"1551685713720811"</f>
        <v>1551685713720811</v>
      </c>
      <c r="C4047" t="s">
        <v>40</v>
      </c>
      <c r="D4047">
        <v>4.1435240000000002</v>
      </c>
      <c r="E4047">
        <v>0.52809949999999894</v>
      </c>
      <c r="F4047" t="s">
        <v>61</v>
      </c>
      <c r="G4047">
        <v>-422.86930000000001</v>
      </c>
      <c r="H4047" s="1">
        <v>3.5016979999999998E-6</v>
      </c>
      <c r="I4047">
        <v>214.08940000000001</v>
      </c>
      <c r="J4047">
        <v>-447.75369999999998</v>
      </c>
      <c r="K4047">
        <v>1.1113649999999999</v>
      </c>
      <c r="L4047">
        <v>213.66669999999999</v>
      </c>
      <c r="M4047">
        <v>0.99988489999999997</v>
      </c>
      <c r="N4047">
        <v>-8.8248219999999995E-3</v>
      </c>
      <c r="O4047">
        <v>1.2343160000000001E-2</v>
      </c>
      <c r="P4047">
        <v>0.9853712</v>
      </c>
      <c r="Q4047">
        <v>0.14180909999999999</v>
      </c>
      <c r="R4047">
        <v>9.4519629999999993E-2</v>
      </c>
      <c r="S4047">
        <v>3.0587460000000002</v>
      </c>
      <c r="T4047">
        <v>-0.1350963</v>
      </c>
      <c r="U4047">
        <v>5.2001949999999998E-2</v>
      </c>
      <c r="V4047">
        <v>-8.2866850000000006E-2</v>
      </c>
      <c r="W4047">
        <v>0.15022489999999999</v>
      </c>
      <c r="X4047">
        <v>0.98517290000000002</v>
      </c>
      <c r="Y4047">
        <v>-4.6577099999999998E-3</v>
      </c>
      <c r="Z4047">
        <v>-3.1258350000000002E-4</v>
      </c>
      <c r="AA4047">
        <v>0.99998909999999996</v>
      </c>
      <c r="AB4047">
        <v>28</v>
      </c>
      <c r="AC4047">
        <v>24.8843999999999</v>
      </c>
      <c r="AD4047">
        <v>-1.1113614983019999</v>
      </c>
      <c r="AE4047">
        <v>0.42270000000002</v>
      </c>
      <c r="AF4047">
        <v>-0.115273852438935</v>
      </c>
      <c r="AG4047">
        <v>-1.1113614983019999</v>
      </c>
      <c r="AH4047">
        <v>24.838193791985599</v>
      </c>
      <c r="AI4047">
        <v>92.5619091515712</v>
      </c>
      <c r="AJ4047">
        <v>90.2659073308525</v>
      </c>
      <c r="AK4047">
        <v>24.863311993561801</v>
      </c>
      <c r="AL4047">
        <v>81.360040277779603</v>
      </c>
      <c r="AM4047">
        <v>94.808060205950198</v>
      </c>
      <c r="AN4047">
        <v>1.0000000391516699</v>
      </c>
    </row>
    <row r="4048" spans="1:40" x14ac:dyDescent="0.25">
      <c r="A4048" t="str">
        <f>"20190304154833749"</f>
        <v>20190304154833749</v>
      </c>
      <c r="B4048" t="str">
        <f>"1551685713740332"</f>
        <v>1551685713740332</v>
      </c>
      <c r="C4048" t="s">
        <v>40</v>
      </c>
      <c r="D4048">
        <v>4.1705379999999996</v>
      </c>
      <c r="E4048">
        <v>0.52824309999999997</v>
      </c>
      <c r="F4048" t="s">
        <v>61</v>
      </c>
      <c r="G4048">
        <v>-422.4076</v>
      </c>
      <c r="H4048" s="1">
        <v>3.5821590000000001E-6</v>
      </c>
      <c r="I4048">
        <v>214.10579999999999</v>
      </c>
      <c r="J4048">
        <v>-447.47739999999999</v>
      </c>
      <c r="K4048">
        <v>1.111197</v>
      </c>
      <c r="L4048">
        <v>213.67189999999999</v>
      </c>
      <c r="M4048">
        <v>0.99986339999999996</v>
      </c>
      <c r="N4048">
        <v>-8.8246039999999998E-3</v>
      </c>
      <c r="O4048">
        <v>1.3974220000000001E-2</v>
      </c>
      <c r="P4048">
        <v>0.9851955</v>
      </c>
      <c r="Q4048">
        <v>0.1417776</v>
      </c>
      <c r="R4048">
        <v>9.6378530000000004E-2</v>
      </c>
      <c r="S4048">
        <v>3.0587770000000001</v>
      </c>
      <c r="T4048">
        <v>-0.1341195</v>
      </c>
      <c r="U4048">
        <v>5.2993770000000003E-2</v>
      </c>
      <c r="V4048">
        <v>-8.305804E-2</v>
      </c>
      <c r="W4048">
        <v>0.1502259</v>
      </c>
      <c r="X4048">
        <v>0.98515660000000005</v>
      </c>
      <c r="Y4048">
        <v>-3.3528910000000002E-3</v>
      </c>
      <c r="Z4048">
        <v>-4.0081950000000002E-4</v>
      </c>
      <c r="AA4048">
        <v>0.9999943</v>
      </c>
      <c r="AB4048">
        <v>28</v>
      </c>
      <c r="AC4048">
        <v>25.069799999999901</v>
      </c>
      <c r="AD4048">
        <v>-1.1111934178409999</v>
      </c>
      <c r="AE4048">
        <v>0.43389999999999401</v>
      </c>
      <c r="AF4048">
        <v>-8.3349381252101604E-2</v>
      </c>
      <c r="AG4048">
        <v>-1.1111934178409999</v>
      </c>
      <c r="AH4048">
        <v>25.024267197153701</v>
      </c>
      <c r="AI4048">
        <v>92.542513798844695</v>
      </c>
      <c r="AJ4048">
        <v>90.190836761510894</v>
      </c>
      <c r="AK4048">
        <v>25.0490647866492</v>
      </c>
      <c r="AL4048">
        <v>81.359981920629806</v>
      </c>
      <c r="AM4048">
        <v>94.819180514633601</v>
      </c>
      <c r="AN4048">
        <v>0.99999999278150498</v>
      </c>
    </row>
    <row r="4049" spans="1:40" x14ac:dyDescent="0.25">
      <c r="A4049" t="str">
        <f>"20190304154833770"</f>
        <v>20190304154833770</v>
      </c>
      <c r="B4049" t="str">
        <f>"1551685713760829"</f>
        <v>1551685713760829</v>
      </c>
      <c r="C4049" t="s">
        <v>40</v>
      </c>
      <c r="D4049">
        <v>4.1438059999999997</v>
      </c>
      <c r="E4049">
        <v>0.52845500000000001</v>
      </c>
      <c r="F4049" t="s">
        <v>61</v>
      </c>
      <c r="G4049">
        <v>-421.9529</v>
      </c>
      <c r="H4049" s="1">
        <v>3.6590449999999998E-6</v>
      </c>
      <c r="I4049">
        <v>214.1491</v>
      </c>
      <c r="J4049">
        <v>-447.20049999999998</v>
      </c>
      <c r="K4049">
        <v>1.111022</v>
      </c>
      <c r="L4049">
        <v>213.67740000000001</v>
      </c>
      <c r="M4049">
        <v>0.99984289999999998</v>
      </c>
      <c r="N4049">
        <v>-8.8250039999999991E-3</v>
      </c>
      <c r="O4049">
        <v>1.537346E-2</v>
      </c>
      <c r="P4049">
        <v>0.98525300000000005</v>
      </c>
      <c r="Q4049">
        <v>0.14075170000000001</v>
      </c>
      <c r="R4049">
        <v>9.7292190000000001E-2</v>
      </c>
      <c r="S4049">
        <v>3.0586549999999999</v>
      </c>
      <c r="T4049">
        <v>-0.1331562</v>
      </c>
      <c r="U4049">
        <v>5.7174679999999999E-2</v>
      </c>
      <c r="V4049">
        <v>-8.2524180000000003E-2</v>
      </c>
      <c r="W4049">
        <v>0.14923819999999999</v>
      </c>
      <c r="X4049">
        <v>0.98535159999999999</v>
      </c>
      <c r="Y4049">
        <v>-3.3213769999999999E-3</v>
      </c>
      <c r="Z4049">
        <v>-4.4631180000000002E-4</v>
      </c>
      <c r="AA4049">
        <v>0.99999439999999995</v>
      </c>
      <c r="AB4049">
        <v>28</v>
      </c>
      <c r="AC4049">
        <v>25.247599999999899</v>
      </c>
      <c r="AD4049">
        <v>-1.1110183409550001</v>
      </c>
      <c r="AE4049">
        <v>0.47169999999999801</v>
      </c>
      <c r="AF4049">
        <v>-8.3324879583627595E-2</v>
      </c>
      <c r="AG4049">
        <v>-1.1110183409550001</v>
      </c>
      <c r="AH4049">
        <v>25.2030809608789</v>
      </c>
      <c r="AI4049">
        <v>92.524101262206898</v>
      </c>
      <c r="AJ4049">
        <v>90.189427099859401</v>
      </c>
      <c r="AK4049">
        <v>25.227694993996401</v>
      </c>
      <c r="AL4049">
        <v>81.417218517528894</v>
      </c>
      <c r="AM4049">
        <v>94.787406260064301</v>
      </c>
      <c r="AN4049">
        <v>1.00000002812323</v>
      </c>
    </row>
    <row r="4050" spans="1:40" x14ac:dyDescent="0.25">
      <c r="A4050" t="str">
        <f>"20190304154833794"</f>
        <v>20190304154833794</v>
      </c>
      <c r="B4050" t="str">
        <f>"1551685713791084"</f>
        <v>1551685713791084</v>
      </c>
      <c r="C4050" t="s">
        <v>40</v>
      </c>
      <c r="D4050">
        <v>4.1649330000000004</v>
      </c>
      <c r="E4050">
        <v>0.52865229999999996</v>
      </c>
      <c r="F4050" t="s">
        <v>61</v>
      </c>
      <c r="G4050">
        <v>-422.13369999999998</v>
      </c>
      <c r="H4050" s="1">
        <v>3.6263930000000001E-6</v>
      </c>
      <c r="I4050">
        <v>214.1557</v>
      </c>
      <c r="J4050">
        <v>-446.92430000000002</v>
      </c>
      <c r="K4050">
        <v>1.110851</v>
      </c>
      <c r="L4050">
        <v>213.68299999999999</v>
      </c>
      <c r="M4050">
        <v>0.99982479999999996</v>
      </c>
      <c r="N4050">
        <v>-8.8256559999999994E-3</v>
      </c>
      <c r="O4050">
        <v>1.6517159999999999E-2</v>
      </c>
      <c r="P4050">
        <v>0.98529739999999999</v>
      </c>
      <c r="Q4050">
        <v>0.1401529</v>
      </c>
      <c r="R4050">
        <v>9.770645E-2</v>
      </c>
      <c r="S4050">
        <v>3.0584720000000001</v>
      </c>
      <c r="T4050">
        <v>-0.1355584</v>
      </c>
      <c r="U4050">
        <v>5.8349610000000003E-2</v>
      </c>
      <c r="V4050">
        <v>-8.1746040000000006E-2</v>
      </c>
      <c r="W4050">
        <v>0.14867659999999999</v>
      </c>
      <c r="X4050">
        <v>0.98550130000000002</v>
      </c>
      <c r="Y4050">
        <v>-2.5645310000000001E-3</v>
      </c>
      <c r="Z4050">
        <v>-5.177561E-4</v>
      </c>
      <c r="AA4050">
        <v>0.99999660000000001</v>
      </c>
      <c r="AB4050">
        <v>28</v>
      </c>
      <c r="AC4050">
        <v>24.790600000000001</v>
      </c>
      <c r="AD4050">
        <v>-1.1108473736069999</v>
      </c>
      <c r="AE4050">
        <v>0.47270000000000301</v>
      </c>
      <c r="AF4050">
        <v>-6.3022829611702497E-2</v>
      </c>
      <c r="AG4050">
        <v>-1.1108473736069999</v>
      </c>
      <c r="AH4050">
        <v>24.745358523812399</v>
      </c>
      <c r="AI4050">
        <v>92.570338906800501</v>
      </c>
      <c r="AJ4050">
        <v>90.145923702776699</v>
      </c>
      <c r="AK4050">
        <v>24.770359751859001</v>
      </c>
      <c r="AL4050">
        <v>81.449758439501494</v>
      </c>
      <c r="AM4050">
        <v>94.741754439119504</v>
      </c>
      <c r="AN4050">
        <v>0.99999997937246499</v>
      </c>
    </row>
    <row r="4051" spans="1:40" x14ac:dyDescent="0.25">
      <c r="A4051" t="str">
        <f>"20190304154833816"</f>
        <v>20190304154833816</v>
      </c>
      <c r="B4051" t="str">
        <f>"1551685713810608"</f>
        <v>1551685713810608</v>
      </c>
      <c r="C4051" t="s">
        <v>40</v>
      </c>
      <c r="D4051">
        <v>4.1405839999999996</v>
      </c>
      <c r="E4051">
        <v>0.52879049999999905</v>
      </c>
      <c r="F4051" t="s">
        <v>61</v>
      </c>
      <c r="G4051">
        <v>-421.95089999999999</v>
      </c>
      <c r="H4051" s="1">
        <v>3.6585959999999999E-6</v>
      </c>
      <c r="I4051">
        <v>214.15819999999999</v>
      </c>
      <c r="J4051">
        <v>-446.6463</v>
      </c>
      <c r="K4051">
        <v>1.1106910000000001</v>
      </c>
      <c r="L4051">
        <v>213.68870000000001</v>
      </c>
      <c r="M4051">
        <v>0.99980899999999995</v>
      </c>
      <c r="N4051">
        <v>-8.8267880000000003E-3</v>
      </c>
      <c r="O4051">
        <v>1.7438470000000001E-2</v>
      </c>
      <c r="P4051">
        <v>0.98509219999999997</v>
      </c>
      <c r="Q4051">
        <v>0.14084579999999999</v>
      </c>
      <c r="R4051">
        <v>9.8773420000000001E-2</v>
      </c>
      <c r="S4051">
        <v>3.0583499999999999</v>
      </c>
      <c r="T4051">
        <v>-0.13603899999999999</v>
      </c>
      <c r="U4051">
        <v>5.8197020000000002E-2</v>
      </c>
      <c r="V4051">
        <v>-8.1850240000000005E-2</v>
      </c>
      <c r="W4051">
        <v>0.149401799999999</v>
      </c>
      <c r="X4051">
        <v>0.98538300000000001</v>
      </c>
      <c r="Y4051">
        <v>-1.5957510000000001E-3</v>
      </c>
      <c r="Z4051">
        <v>-5.7878539999999998E-4</v>
      </c>
      <c r="AA4051">
        <v>0.99999859999999896</v>
      </c>
      <c r="AB4051">
        <v>28</v>
      </c>
      <c r="AC4051">
        <v>24.695399999999999</v>
      </c>
      <c r="AD4051">
        <v>-1.1106873414039999</v>
      </c>
      <c r="AE4051">
        <v>0.46949999999998199</v>
      </c>
      <c r="AF4051">
        <v>-3.8683621853248397E-2</v>
      </c>
      <c r="AG4051">
        <v>-1.1106873414039999</v>
      </c>
      <c r="AH4051">
        <v>24.649988347471002</v>
      </c>
      <c r="AI4051">
        <v>92.579904031915405</v>
      </c>
      <c r="AJ4051">
        <v>90.089915111428894</v>
      </c>
      <c r="AK4051">
        <v>24.675028841389601</v>
      </c>
      <c r="AL4051">
        <v>81.407738475910307</v>
      </c>
      <c r="AM4051">
        <v>94.748338430094094</v>
      </c>
      <c r="AN4051">
        <v>1.0000000081601399</v>
      </c>
    </row>
    <row r="4052" spans="1:40" x14ac:dyDescent="0.25">
      <c r="A4052" t="str">
        <f>"20190304154833838"</f>
        <v>20190304154833838</v>
      </c>
      <c r="B4052" t="str">
        <f>"1551685713831102"</f>
        <v>1551685713831102</v>
      </c>
      <c r="C4052" t="s">
        <v>40</v>
      </c>
      <c r="D4052">
        <v>4.1292869999999997</v>
      </c>
      <c r="E4052">
        <v>0.52898230000000002</v>
      </c>
      <c r="F4052" t="s">
        <v>61</v>
      </c>
      <c r="G4052">
        <v>-421.02080000000001</v>
      </c>
      <c r="H4052" s="1">
        <v>3.8206859999999997E-6</v>
      </c>
      <c r="I4052">
        <v>214.19130000000001</v>
      </c>
      <c r="J4052">
        <v>-446.35860000000002</v>
      </c>
      <c r="K4052">
        <v>1.11056</v>
      </c>
      <c r="L4052">
        <v>213.69470000000001</v>
      </c>
      <c r="M4052">
        <v>0.99979530000000005</v>
      </c>
      <c r="N4052">
        <v>-8.8284569999999996E-3</v>
      </c>
      <c r="O4052">
        <v>1.8205260000000001E-2</v>
      </c>
      <c r="P4052">
        <v>0.98499519999999996</v>
      </c>
      <c r="Q4052">
        <v>0.1411782</v>
      </c>
      <c r="R4052">
        <v>9.9263450000000003E-2</v>
      </c>
      <c r="S4052">
        <v>3.0583499999999999</v>
      </c>
      <c r="T4052">
        <v>-0.13255819999999999</v>
      </c>
      <c r="U4052">
        <v>5.9982300000000002E-2</v>
      </c>
      <c r="V4052">
        <v>-8.1533720000000004E-2</v>
      </c>
      <c r="W4052">
        <v>0.14976389999999901</v>
      </c>
      <c r="X4052">
        <v>0.98535419999999996</v>
      </c>
      <c r="Y4052">
        <v>-1.41238E-3</v>
      </c>
      <c r="Z4052">
        <v>-5.9106220000000001E-4</v>
      </c>
      <c r="AA4052">
        <v>0.99999879999999997</v>
      </c>
      <c r="AB4052">
        <v>28</v>
      </c>
      <c r="AC4052">
        <v>25.337800000000001</v>
      </c>
      <c r="AD4052">
        <v>-1.110556179314</v>
      </c>
      <c r="AE4052">
        <v>0.49659999999999999</v>
      </c>
      <c r="AF4052">
        <v>-3.5150979832873901E-2</v>
      </c>
      <c r="AG4052">
        <v>-1.110556179314</v>
      </c>
      <c r="AH4052">
        <v>25.294068511122401</v>
      </c>
      <c r="AI4052">
        <v>92.513999708183903</v>
      </c>
      <c r="AJ4052">
        <v>90.079623469540905</v>
      </c>
      <c r="AK4052">
        <v>25.3184610998408</v>
      </c>
      <c r="AL4052">
        <v>81.386754976726806</v>
      </c>
      <c r="AM4052">
        <v>94.730197407826594</v>
      </c>
      <c r="AN4052">
        <v>0.99999993634894202</v>
      </c>
    </row>
    <row r="4053" spans="1:40" x14ac:dyDescent="0.25">
      <c r="A4053" t="str">
        <f>"20190304154833862"</f>
        <v>20190304154833862</v>
      </c>
      <c r="B4053" t="str">
        <f>"1551685713850622"</f>
        <v>1551685713850622</v>
      </c>
      <c r="C4053" t="s">
        <v>40</v>
      </c>
      <c r="D4053">
        <v>4.0906269999999996</v>
      </c>
      <c r="E4053">
        <v>0.52924159999999998</v>
      </c>
      <c r="F4053" t="s">
        <v>61</v>
      </c>
      <c r="G4053">
        <v>-420.30990000000003</v>
      </c>
      <c r="H4053" s="1">
        <v>3.945232E-6</v>
      </c>
      <c r="I4053">
        <v>214.209</v>
      </c>
      <c r="J4053">
        <v>-446.07330000000002</v>
      </c>
      <c r="K4053">
        <v>1.1104339999999999</v>
      </c>
      <c r="L4053">
        <v>213.70070000000001</v>
      </c>
      <c r="M4053">
        <v>0.99978449999999996</v>
      </c>
      <c r="N4053">
        <v>-8.8303069999999904E-3</v>
      </c>
      <c r="O4053">
        <v>1.8793199999999999E-2</v>
      </c>
      <c r="P4053">
        <v>0.9850314</v>
      </c>
      <c r="Q4053">
        <v>0.14109639999999901</v>
      </c>
      <c r="R4053">
        <v>9.9020639999999993E-2</v>
      </c>
      <c r="S4053">
        <v>3.0582889999999998</v>
      </c>
      <c r="T4053">
        <v>-0.13038710000000001</v>
      </c>
      <c r="U4053">
        <v>6.037903E-2</v>
      </c>
      <c r="V4053">
        <v>-8.0665130000000002E-2</v>
      </c>
      <c r="W4053">
        <v>0.1497097</v>
      </c>
      <c r="X4053">
        <v>0.98543400000000003</v>
      </c>
      <c r="Y4053">
        <v>-9.5482749999999995E-4</v>
      </c>
      <c r="Z4053">
        <v>-6.1026159999999995E-4</v>
      </c>
      <c r="AA4053">
        <v>0.99999930000000004</v>
      </c>
      <c r="AB4053">
        <v>28</v>
      </c>
      <c r="AC4053">
        <v>25.763399999999901</v>
      </c>
      <c r="AD4053">
        <v>-1.1104300547679999</v>
      </c>
      <c r="AE4053">
        <v>0.50829999999999098</v>
      </c>
      <c r="AF4053">
        <v>-2.3970154210420501E-2</v>
      </c>
      <c r="AG4053">
        <v>-1.1104300547679999</v>
      </c>
      <c r="AH4053">
        <v>25.720639890405799</v>
      </c>
      <c r="AI4053">
        <v>92.472078603827697</v>
      </c>
      <c r="AJ4053">
        <v>90.0533963493437</v>
      </c>
      <c r="AK4053">
        <v>25.744610034855</v>
      </c>
      <c r="AL4053">
        <v>81.389896482605707</v>
      </c>
      <c r="AM4053">
        <v>94.679653693620295</v>
      </c>
      <c r="AN4053">
        <v>1.0000000129140001</v>
      </c>
    </row>
    <row r="4054" spans="1:40" x14ac:dyDescent="0.25">
      <c r="A4054" t="str">
        <f>"20190304154833881"</f>
        <v>20190304154833881</v>
      </c>
      <c r="B4054" t="str">
        <f>"1551685713871119"</f>
        <v>1551685713871119</v>
      </c>
      <c r="C4054" t="s">
        <v>40</v>
      </c>
      <c r="D4054">
        <v>4.0702590000000001</v>
      </c>
      <c r="E4054">
        <v>0.5421011</v>
      </c>
      <c r="F4054" t="s">
        <v>61</v>
      </c>
      <c r="G4054">
        <v>-419.91419999999999</v>
      </c>
      <c r="H4054" s="1">
        <v>4.0010149999999997E-6</v>
      </c>
      <c r="I4054">
        <v>214.19710000000001</v>
      </c>
      <c r="J4054">
        <v>-445.81349999999998</v>
      </c>
      <c r="K4054">
        <v>1.11032999999999</v>
      </c>
      <c r="L4054">
        <v>213.70599999999999</v>
      </c>
      <c r="M4054">
        <v>0.99977700000000003</v>
      </c>
      <c r="N4054">
        <v>-8.8322999999999995E-3</v>
      </c>
      <c r="O4054">
        <v>1.9184570000000001E-2</v>
      </c>
      <c r="P4054">
        <v>0.98506309999999997</v>
      </c>
      <c r="Q4054">
        <v>0.14109749999999999</v>
      </c>
      <c r="R4054">
        <v>9.8703739999999998E-2</v>
      </c>
      <c r="S4054">
        <v>3.0583499999999999</v>
      </c>
      <c r="T4054">
        <v>-0.12982399999999999</v>
      </c>
      <c r="U4054">
        <v>5.8044430000000001E-2</v>
      </c>
      <c r="V4054">
        <v>-7.9923759999999996E-2</v>
      </c>
      <c r="W4054">
        <v>0.1497346</v>
      </c>
      <c r="X4054">
        <v>0.98549059999999999</v>
      </c>
      <c r="Y4054">
        <v>1.9872649999999999E-4</v>
      </c>
      <c r="Z4054">
        <v>-6.4955939999999999E-4</v>
      </c>
      <c r="AA4054">
        <v>0.99999979999999999</v>
      </c>
      <c r="AB4054">
        <v>28</v>
      </c>
      <c r="AC4054">
        <v>25.899299999999901</v>
      </c>
      <c r="AD4054">
        <v>-1.1103259989849901</v>
      </c>
      <c r="AE4054">
        <v>0.49110000000001702</v>
      </c>
      <c r="AF4054">
        <v>5.86590086862032E-3</v>
      </c>
      <c r="AG4054">
        <v>-1.1103259989849901</v>
      </c>
      <c r="AH4054">
        <v>25.8564501829159</v>
      </c>
      <c r="AI4054">
        <v>92.458880909655704</v>
      </c>
      <c r="AJ4054">
        <v>89.987001643509799</v>
      </c>
      <c r="AK4054">
        <v>25.880279640962598</v>
      </c>
      <c r="AL4054">
        <v>81.388453356684394</v>
      </c>
      <c r="AM4054">
        <v>94.636567601908794</v>
      </c>
      <c r="AN4054">
        <v>0.99999999026902797</v>
      </c>
    </row>
    <row r="4055" spans="1:40" x14ac:dyDescent="0.25">
      <c r="A4055" t="str">
        <f>"20190304154833898"</f>
        <v>20190304154833898</v>
      </c>
      <c r="B4055" t="str">
        <f>"1551685713890641"</f>
        <v>1551685713890641</v>
      </c>
      <c r="C4055" t="s">
        <v>40</v>
      </c>
      <c r="D4055">
        <v>3.7145039999999998</v>
      </c>
      <c r="E4055">
        <v>0.54683649999999995</v>
      </c>
      <c r="F4055" t="s">
        <v>60</v>
      </c>
      <c r="G4055">
        <v>-396.69409999999999</v>
      </c>
      <c r="H4055" s="1">
        <v>2.0254959999999998E-6</v>
      </c>
      <c r="I4055">
        <v>212.99760000000001</v>
      </c>
      <c r="J4055">
        <v>-445.61579999999998</v>
      </c>
      <c r="K4055">
        <v>1.1102559999999999</v>
      </c>
      <c r="L4055">
        <v>213.71019999999999</v>
      </c>
      <c r="M4055">
        <v>0.99977300000000002</v>
      </c>
      <c r="N4055">
        <v>-8.8340499999999995E-3</v>
      </c>
      <c r="O4055">
        <v>1.9397660000000001E-2</v>
      </c>
      <c r="P4055">
        <v>0.98507639999999996</v>
      </c>
      <c r="Q4055">
        <v>0.1411685</v>
      </c>
      <c r="R4055">
        <v>9.8470169999999996E-2</v>
      </c>
      <c r="S4055">
        <v>3.0597840000000001</v>
      </c>
      <c r="T4055">
        <v>-6.9165470000000007E-2</v>
      </c>
      <c r="U4055">
        <v>-4.4128420000000002E-2</v>
      </c>
      <c r="V4055">
        <v>-7.9451359999999999E-2</v>
      </c>
      <c r="W4055">
        <v>0.14982329999999999</v>
      </c>
      <c r="X4055">
        <v>0.98551540000000004</v>
      </c>
      <c r="Y4055">
        <v>3.3800410000000003E-2</v>
      </c>
      <c r="Z4055">
        <v>-7.9834079999999998E-4</v>
      </c>
      <c r="AA4055">
        <v>0.99942830000000005</v>
      </c>
      <c r="AB4055">
        <v>28</v>
      </c>
      <c r="AC4055">
        <v>48.921699999999902</v>
      </c>
      <c r="AD4055">
        <v>-1.1102539745040001</v>
      </c>
      <c r="AE4055">
        <v>-0.71259999999998003</v>
      </c>
      <c r="AF4055">
        <v>1.66061417258295</v>
      </c>
      <c r="AG4055">
        <v>-1.1102539745040001</v>
      </c>
      <c r="AH4055">
        <v>48.873504737739502</v>
      </c>
      <c r="AI4055">
        <v>91.300607731556696</v>
      </c>
      <c r="AJ4055">
        <v>88.053964122136605</v>
      </c>
      <c r="AK4055">
        <v>48.9143104691044</v>
      </c>
      <c r="AL4055">
        <v>81.383313945211597</v>
      </c>
      <c r="AM4055">
        <v>94.609165497328206</v>
      </c>
      <c r="AN4055">
        <v>1.00000007173294</v>
      </c>
    </row>
    <row r="4056" spans="1:40" x14ac:dyDescent="0.25">
      <c r="A4056" t="str">
        <f>"20190304154833961"</f>
        <v>20190304154833961</v>
      </c>
      <c r="B4056" t="str">
        <f>"1551685713950175"</f>
        <v>1551685713950175</v>
      </c>
      <c r="C4056" t="s">
        <v>40</v>
      </c>
      <c r="D4056">
        <v>3.8083309999999999</v>
      </c>
      <c r="E4056">
        <v>0.56951830000000003</v>
      </c>
      <c r="F4056" t="s">
        <v>60</v>
      </c>
      <c r="G4056">
        <v>-368.529</v>
      </c>
      <c r="H4056" s="1">
        <v>3.0019290000000002E-6</v>
      </c>
      <c r="I4056">
        <v>211.6413</v>
      </c>
      <c r="J4056">
        <v>-444.81400000000002</v>
      </c>
      <c r="K4056">
        <v>1.1099889999999999</v>
      </c>
      <c r="L4056">
        <v>213.72640000000001</v>
      </c>
      <c r="M4056">
        <v>0.99976710000000002</v>
      </c>
      <c r="N4056">
        <v>-8.8429230000000008E-3</v>
      </c>
      <c r="O4056">
        <v>1.9690360000000001E-2</v>
      </c>
      <c r="P4056">
        <v>0.98541270000000003</v>
      </c>
      <c r="Q4056">
        <v>0.140348</v>
      </c>
      <c r="R4056">
        <v>9.6251320000000001E-2</v>
      </c>
      <c r="S4056">
        <v>3.0599669999999999</v>
      </c>
      <c r="T4056">
        <v>-4.4071560000000003E-2</v>
      </c>
      <c r="U4056">
        <v>-8.2122799999999996E-2</v>
      </c>
      <c r="V4056">
        <v>-7.684059E-2</v>
      </c>
      <c r="W4056">
        <v>0.14906559999999999</v>
      </c>
      <c r="X4056">
        <v>0.98583719999999997</v>
      </c>
      <c r="Y4056">
        <v>4.6498900000000003E-2</v>
      </c>
      <c r="Z4056">
        <v>-6.4987309999999996E-4</v>
      </c>
      <c r="AA4056">
        <v>0.99891810000000003</v>
      </c>
      <c r="AB4056">
        <v>28</v>
      </c>
      <c r="AC4056">
        <v>76.284999999999997</v>
      </c>
      <c r="AD4056">
        <v>-1.1099859980709901</v>
      </c>
      <c r="AE4056">
        <v>-2.0851000000000099</v>
      </c>
      <c r="AF4056">
        <v>3.58607477778654</v>
      </c>
      <c r="AG4056">
        <v>-1.1099859980709901</v>
      </c>
      <c r="AH4056">
        <v>76.213027617416699</v>
      </c>
      <c r="AI4056">
        <v>90.833489333183707</v>
      </c>
      <c r="AJ4056">
        <v>87.306031241766306</v>
      </c>
      <c r="AK4056">
        <v>76.305423004141105</v>
      </c>
      <c r="AL4056">
        <v>81.427219457141106</v>
      </c>
      <c r="AM4056">
        <v>94.456879904768797</v>
      </c>
      <c r="AN4056">
        <v>1.00000000713937</v>
      </c>
    </row>
    <row r="4057" spans="1:40" x14ac:dyDescent="0.25">
      <c r="A4057" t="str">
        <f>"20190304154833974"</f>
        <v>20190304154833974</v>
      </c>
      <c r="B4057" t="str">
        <f>"1551685713970671"</f>
        <v>1551685713970671</v>
      </c>
      <c r="C4057" t="s">
        <v>40</v>
      </c>
      <c r="D4057">
        <v>3.9059379999999999</v>
      </c>
      <c r="E4057">
        <v>0.57039659999999903</v>
      </c>
      <c r="F4057" t="s">
        <v>41</v>
      </c>
      <c r="G4057">
        <v>-443.95620000000002</v>
      </c>
      <c r="H4057">
        <v>1.038456</v>
      </c>
      <c r="I4057">
        <v>213.65110000000001</v>
      </c>
      <c r="J4057">
        <v>-444.6524</v>
      </c>
      <c r="K4057">
        <v>1.109952</v>
      </c>
      <c r="L4057">
        <v>213.7296</v>
      </c>
      <c r="M4057">
        <v>0.99976730000000003</v>
      </c>
      <c r="N4057">
        <v>-8.8449040000000007E-3</v>
      </c>
      <c r="O4057">
        <v>1.9673630000000001E-2</v>
      </c>
      <c r="P4057">
        <v>0.98547839999999998</v>
      </c>
      <c r="Q4057">
        <v>0.1402881</v>
      </c>
      <c r="R4057">
        <v>9.5663170000000006E-2</v>
      </c>
      <c r="S4057">
        <v>3.1078800000000002</v>
      </c>
      <c r="T4057">
        <v>-0.25934859999999998</v>
      </c>
      <c r="U4057">
        <v>-0.27157589999999998</v>
      </c>
      <c r="V4057">
        <v>-7.6254489999999994E-2</v>
      </c>
      <c r="W4057">
        <v>0.1490147</v>
      </c>
      <c r="X4057">
        <v>0.98589039999999994</v>
      </c>
      <c r="Y4057">
        <v>0.1061743</v>
      </c>
      <c r="Z4057">
        <v>-6.3480259999999997E-3</v>
      </c>
      <c r="AA4057">
        <v>0.99432719999999997</v>
      </c>
      <c r="AB4057">
        <v>28</v>
      </c>
      <c r="AC4057">
        <v>0.69619999999997595</v>
      </c>
      <c r="AD4057">
        <v>-7.1496000000000004E-2</v>
      </c>
      <c r="AE4057">
        <v>-7.8499999999991105E-2</v>
      </c>
      <c r="AF4057">
        <v>9.1232051647271203E-2</v>
      </c>
      <c r="AG4057">
        <v>-7.1496000000000004E-2</v>
      </c>
      <c r="AH4057">
        <v>0.68736275259344304</v>
      </c>
      <c r="AI4057">
        <v>95.887002455996296</v>
      </c>
      <c r="AJ4057">
        <v>82.439455543479099</v>
      </c>
      <c r="AK4057">
        <v>0.69706708351248703</v>
      </c>
      <c r="AL4057">
        <v>81.430168729213904</v>
      </c>
      <c r="AM4057">
        <v>94.422782830904097</v>
      </c>
      <c r="AN4057">
        <v>1.0000000044366999</v>
      </c>
    </row>
    <row r="4058" spans="1:40" x14ac:dyDescent="0.25">
      <c r="A4058" t="str">
        <f>"20190304154833994"</f>
        <v>20190304154833994</v>
      </c>
      <c r="B4058" t="str">
        <f>"1551685713990191"</f>
        <v>1551685713990191</v>
      </c>
      <c r="C4058" t="s">
        <v>40</v>
      </c>
      <c r="D4058">
        <v>3.9700329999999999</v>
      </c>
      <c r="E4058">
        <v>0.56890459999999998</v>
      </c>
      <c r="F4058" t="s">
        <v>61</v>
      </c>
      <c r="G4058">
        <v>-418.02030000000002</v>
      </c>
      <c r="H4058" s="1">
        <v>3.9158790000000001E-6</v>
      </c>
      <c r="I4058">
        <v>211.32810000000001</v>
      </c>
      <c r="J4058">
        <v>-444.40320000000003</v>
      </c>
      <c r="K4058">
        <v>1.1099030000000001</v>
      </c>
      <c r="L4058">
        <v>213.7345</v>
      </c>
      <c r="M4058">
        <v>0.99976889999999996</v>
      </c>
      <c r="N4058">
        <v>-8.8481419999999998E-3</v>
      </c>
      <c r="O4058">
        <v>1.9597650000000001E-2</v>
      </c>
      <c r="P4058">
        <v>0.98567519999999997</v>
      </c>
      <c r="Q4058">
        <v>0.1400226</v>
      </c>
      <c r="R4058">
        <v>9.4012139999999994E-2</v>
      </c>
      <c r="S4058">
        <v>3.0895999999999999</v>
      </c>
      <c r="T4058">
        <v>-0.1287652</v>
      </c>
      <c r="U4058">
        <v>-0.27859499999999998</v>
      </c>
      <c r="V4058">
        <v>-7.4658429999999998E-2</v>
      </c>
      <c r="W4058">
        <v>0.14876239999999999</v>
      </c>
      <c r="X4058">
        <v>0.98605069999999995</v>
      </c>
      <c r="Y4058">
        <v>0.1091848</v>
      </c>
      <c r="Z4058">
        <v>-3.3958830000000001E-3</v>
      </c>
      <c r="AA4058">
        <v>0.99401569999999995</v>
      </c>
      <c r="AB4058">
        <v>28</v>
      </c>
      <c r="AC4058">
        <v>26.382899999999999</v>
      </c>
      <c r="AD4058">
        <v>-1.1098990841209999</v>
      </c>
      <c r="AE4058">
        <v>-2.4063999999999899</v>
      </c>
      <c r="AF4058">
        <v>2.9178794064988298</v>
      </c>
      <c r="AG4058">
        <v>-1.1098990841209999</v>
      </c>
      <c r="AH4058">
        <v>26.2845367576214</v>
      </c>
      <c r="AI4058">
        <v>92.403207945088695</v>
      </c>
      <c r="AJ4058">
        <v>83.665459890420607</v>
      </c>
      <c r="AK4058">
        <v>26.4692797176378</v>
      </c>
      <c r="AL4058">
        <v>81.444787855045703</v>
      </c>
      <c r="AM4058">
        <v>94.329865446739305</v>
      </c>
      <c r="AN4058">
        <v>1.00000005789715</v>
      </c>
    </row>
    <row r="4059" spans="1:40" x14ac:dyDescent="0.25">
      <c r="A4059" t="str">
        <f>"20190304154834016"</f>
        <v>20190304154834016</v>
      </c>
      <c r="B4059" t="str">
        <f>"1551685714010688"</f>
        <v>1551685714010688</v>
      </c>
      <c r="C4059" t="s">
        <v>40</v>
      </c>
      <c r="D4059">
        <v>4.0307230000000001</v>
      </c>
      <c r="E4059">
        <v>0.5664382</v>
      </c>
      <c r="F4059" t="s">
        <v>60</v>
      </c>
      <c r="G4059">
        <v>-398.31990000000002</v>
      </c>
      <c r="H4059" s="1">
        <v>2.8906330000000002E-6</v>
      </c>
      <c r="I4059">
        <v>209.67910000000001</v>
      </c>
      <c r="J4059">
        <v>-444.11869999999999</v>
      </c>
      <c r="K4059">
        <v>1.109861</v>
      </c>
      <c r="L4059">
        <v>213.74</v>
      </c>
      <c r="M4059">
        <v>0.99977150000000004</v>
      </c>
      <c r="N4059">
        <v>-8.8521599999999995E-3</v>
      </c>
      <c r="O4059">
        <v>1.9454590000000001E-2</v>
      </c>
      <c r="P4059">
        <v>0.98575330000000005</v>
      </c>
      <c r="Q4059">
        <v>0.14026420000000001</v>
      </c>
      <c r="R4059">
        <v>9.2823619999999996E-2</v>
      </c>
      <c r="S4059">
        <v>3.0799560000000001</v>
      </c>
      <c r="T4059">
        <v>-7.4179529999999994E-2</v>
      </c>
      <c r="U4059">
        <v>-0.2710419</v>
      </c>
      <c r="V4059">
        <v>-7.3594350000000003E-2</v>
      </c>
      <c r="W4059">
        <v>0.1490156</v>
      </c>
      <c r="X4059">
        <v>0.98609239999999998</v>
      </c>
      <c r="Y4059">
        <v>0.10698249999999999</v>
      </c>
      <c r="Z4059">
        <v>-2.0559950000000001E-3</v>
      </c>
      <c r="AA4059">
        <v>0.9942588</v>
      </c>
      <c r="AB4059">
        <v>28</v>
      </c>
      <c r="AC4059">
        <v>45.7987999999999</v>
      </c>
      <c r="AD4059">
        <v>-1.1098581093669999</v>
      </c>
      <c r="AE4059">
        <v>-4.0609000000000002</v>
      </c>
      <c r="AF4059">
        <v>4.9482799814228899</v>
      </c>
      <c r="AG4059">
        <v>-1.1098581093669999</v>
      </c>
      <c r="AH4059">
        <v>45.684506092823597</v>
      </c>
      <c r="AI4059">
        <v>91.383579106836393</v>
      </c>
      <c r="AJ4059">
        <v>83.818154306693501</v>
      </c>
      <c r="AK4059">
        <v>45.965110211362699</v>
      </c>
      <c r="AL4059">
        <v>81.430116536992898</v>
      </c>
      <c r="AM4059">
        <v>94.268203296641502</v>
      </c>
      <c r="AN4059">
        <v>0.99999999936652095</v>
      </c>
    </row>
    <row r="4060" spans="1:40" x14ac:dyDescent="0.25">
      <c r="A4060" t="str">
        <f>"20190304154834040"</f>
        <v>20190304154834040</v>
      </c>
      <c r="B4060" t="str">
        <f>"1551685714030207"</f>
        <v>1551685714030207</v>
      </c>
      <c r="C4060" t="s">
        <v>40</v>
      </c>
      <c r="D4060">
        <v>4.3550789999999999</v>
      </c>
      <c r="E4060">
        <v>0.56378280000000003</v>
      </c>
      <c r="F4060" t="s">
        <v>60</v>
      </c>
      <c r="G4060">
        <v>-380.53969999999998</v>
      </c>
      <c r="H4060">
        <v>8.0001569999999994E-2</v>
      </c>
      <c r="I4060">
        <v>208.4794</v>
      </c>
      <c r="J4060">
        <v>-443.80239999999998</v>
      </c>
      <c r="K4060">
        <v>1.109826</v>
      </c>
      <c r="L4060">
        <v>213.74590000000001</v>
      </c>
      <c r="M4060">
        <v>0.99977559999999999</v>
      </c>
      <c r="N4060">
        <v>-8.8568910000000004E-3</v>
      </c>
      <c r="O4060">
        <v>1.9250300000000001E-2</v>
      </c>
      <c r="P4060">
        <v>0.98574969999999995</v>
      </c>
      <c r="Q4060">
        <v>0.14127579999999901</v>
      </c>
      <c r="R4060">
        <v>9.131889E-2</v>
      </c>
      <c r="S4060">
        <v>3.0744319999999998</v>
      </c>
      <c r="T4060">
        <v>-4.9800039999999997E-2</v>
      </c>
      <c r="U4060">
        <v>-0.25437929999999997</v>
      </c>
      <c r="V4060">
        <v>-7.2277220000000003E-2</v>
      </c>
      <c r="W4060">
        <v>0.1500378</v>
      </c>
      <c r="X4060">
        <v>0.98603479999999999</v>
      </c>
      <c r="Y4060">
        <v>0.1016077</v>
      </c>
      <c r="Z4060">
        <v>-1.41339E-3</v>
      </c>
      <c r="AA4060">
        <v>0.99482360000000003</v>
      </c>
      <c r="AB4060">
        <v>28</v>
      </c>
      <c r="AC4060">
        <v>63.262700000000002</v>
      </c>
      <c r="AD4060">
        <v>-1.0298244299999999</v>
      </c>
      <c r="AE4060">
        <v>-5.2664999999999997</v>
      </c>
      <c r="AF4060">
        <v>6.4816918100445999</v>
      </c>
      <c r="AG4060">
        <v>-1.0298244299999999</v>
      </c>
      <c r="AH4060">
        <v>63.132976051418296</v>
      </c>
      <c r="AI4060">
        <v>90.929639502840502</v>
      </c>
      <c r="AJ4060">
        <v>84.138135592875798</v>
      </c>
      <c r="AK4060">
        <v>63.473187506111501</v>
      </c>
      <c r="AL4060">
        <v>81.370882717289504</v>
      </c>
      <c r="AM4060">
        <v>94.192333374913105</v>
      </c>
      <c r="AN4060">
        <v>0.999999982385404</v>
      </c>
    </row>
    <row r="4061" spans="1:40" x14ac:dyDescent="0.25">
      <c r="A4061" t="str">
        <f>"20190304154834063"</f>
        <v>20190304154834063</v>
      </c>
      <c r="B4061" t="str">
        <f>"1551685714060463"</f>
        <v>1551685714060463</v>
      </c>
      <c r="C4061" t="s">
        <v>40</v>
      </c>
      <c r="D4061">
        <v>3.9171589999999998</v>
      </c>
      <c r="E4061">
        <v>0.56177500000000002</v>
      </c>
      <c r="F4061" t="s">
        <v>60</v>
      </c>
      <c r="G4061">
        <v>-367.42680000000001</v>
      </c>
      <c r="H4061">
        <v>8.0000760000000004E-2</v>
      </c>
      <c r="I4061">
        <v>207.8349</v>
      </c>
      <c r="J4061">
        <v>-443.5181</v>
      </c>
      <c r="K4061">
        <v>1.1098059999999901</v>
      </c>
      <c r="L4061">
        <v>213.75120000000001</v>
      </c>
      <c r="M4061">
        <v>0.99977939999999998</v>
      </c>
      <c r="N4061">
        <v>-8.8613149999999998E-3</v>
      </c>
      <c r="O4061">
        <v>1.9041120000000002E-2</v>
      </c>
      <c r="P4061">
        <v>0.98588690000000001</v>
      </c>
      <c r="Q4061">
        <v>0.1411451</v>
      </c>
      <c r="R4061">
        <v>9.0027590000000005E-2</v>
      </c>
      <c r="S4061">
        <v>3.0713200000000001</v>
      </c>
      <c r="T4061">
        <v>-4.1412709999999998E-2</v>
      </c>
      <c r="U4061">
        <v>-0.23770140000000001</v>
      </c>
      <c r="V4061">
        <v>-7.1180140000000003E-2</v>
      </c>
      <c r="W4061">
        <v>0.14991750000000001</v>
      </c>
      <c r="X4061">
        <v>0.98613289999999998</v>
      </c>
      <c r="Y4061">
        <v>9.6119640000000006E-2</v>
      </c>
      <c r="Z4061">
        <v>-1.161507E-3</v>
      </c>
      <c r="AA4061">
        <v>0.99536910000000001</v>
      </c>
      <c r="AB4061">
        <v>28</v>
      </c>
      <c r="AC4061">
        <v>76.091299999999904</v>
      </c>
      <c r="AD4061">
        <v>-1.02980524</v>
      </c>
      <c r="AE4061">
        <v>-5.9162999999999997</v>
      </c>
      <c r="AF4061">
        <v>7.36280731011062</v>
      </c>
      <c r="AG4061">
        <v>-1.02980524</v>
      </c>
      <c r="AH4061">
        <v>75.951018369228606</v>
      </c>
      <c r="AI4061">
        <v>90.773190693441293</v>
      </c>
      <c r="AJ4061">
        <v>84.462961746288002</v>
      </c>
      <c r="AK4061">
        <v>76.314013271751406</v>
      </c>
      <c r="AL4061">
        <v>81.377854255621102</v>
      </c>
      <c r="AM4061">
        <v>94.128511312826106</v>
      </c>
      <c r="AN4061">
        <v>0.99999998279953894</v>
      </c>
    </row>
    <row r="4062" spans="1:40" x14ac:dyDescent="0.25">
      <c r="A4062" t="str">
        <f>"20190304154834082"</f>
        <v>20190304154834082</v>
      </c>
      <c r="B4062" t="str">
        <f>"1551685714080959"</f>
        <v>1551685714080959</v>
      </c>
      <c r="C4062" t="s">
        <v>40</v>
      </c>
      <c r="D4062">
        <v>4.0419229999999997</v>
      </c>
      <c r="E4062">
        <v>0.56025000000000003</v>
      </c>
      <c r="F4062" t="s">
        <v>61</v>
      </c>
      <c r="G4062">
        <v>-298.4427</v>
      </c>
      <c r="H4062" s="1">
        <v>4.0599199999999996E-6</v>
      </c>
      <c r="I4062">
        <v>203.09520000000001</v>
      </c>
      <c r="J4062">
        <v>-443.2654</v>
      </c>
      <c r="K4062">
        <v>1.109788</v>
      </c>
      <c r="L4062">
        <v>213.7559</v>
      </c>
      <c r="M4062">
        <v>0.99978319999999998</v>
      </c>
      <c r="N4062">
        <v>-8.8653759999999995E-3</v>
      </c>
      <c r="O4062">
        <v>1.8840860000000001E-2</v>
      </c>
      <c r="P4062">
        <v>0.98594539999999997</v>
      </c>
      <c r="Q4062">
        <v>0.1410815</v>
      </c>
      <c r="R4062">
        <v>8.9486579999999996E-2</v>
      </c>
      <c r="S4062">
        <v>3.0668639999999998</v>
      </c>
      <c r="T4062">
        <v>-2.3460979999999999E-2</v>
      </c>
      <c r="U4062">
        <v>-0.22526550000000001</v>
      </c>
      <c r="V4062">
        <v>-7.0829489999999995E-2</v>
      </c>
      <c r="W4062">
        <v>0.14986089999999999</v>
      </c>
      <c r="X4062">
        <v>0.98616680000000001</v>
      </c>
      <c r="Y4062">
        <v>9.2026239999999995E-2</v>
      </c>
      <c r="Z4062">
        <v>-7.3716999999999999E-4</v>
      </c>
      <c r="AA4062">
        <v>0.99575630000000004</v>
      </c>
      <c r="AB4062">
        <v>29</v>
      </c>
      <c r="AC4062">
        <v>144.8227</v>
      </c>
      <c r="AD4062">
        <v>-1.10978394007999</v>
      </c>
      <c r="AE4062">
        <v>-10.660699999999901</v>
      </c>
      <c r="AF4062">
        <v>13.3867170843348</v>
      </c>
      <c r="AG4062">
        <v>-1.10978394007999</v>
      </c>
      <c r="AH4062">
        <v>144.58768184213099</v>
      </c>
      <c r="AI4062">
        <v>90.437892845370598</v>
      </c>
      <c r="AJ4062">
        <v>84.710323968565206</v>
      </c>
      <c r="AK4062">
        <v>145.210308019682</v>
      </c>
      <c r="AL4062">
        <v>81.381134676349504</v>
      </c>
      <c r="AM4062">
        <v>94.108102370073794</v>
      </c>
      <c r="AN4062">
        <v>1.0000000317123501</v>
      </c>
    </row>
    <row r="4063" spans="1:40" x14ac:dyDescent="0.25">
      <c r="A4063" t="str">
        <f>"20190304154834105"</f>
        <v>20190304154834105</v>
      </c>
      <c r="B4063" t="str">
        <f>"1551685714100479"</f>
        <v>1551685714100479</v>
      </c>
      <c r="C4063" t="s">
        <v>40</v>
      </c>
      <c r="D4063">
        <v>4.0913309999999896</v>
      </c>
      <c r="E4063">
        <v>0.55857239999999997</v>
      </c>
      <c r="F4063" t="s">
        <v>45</v>
      </c>
      <c r="G4063">
        <v>-236.8546</v>
      </c>
      <c r="H4063">
        <v>-0.05</v>
      </c>
      <c r="I4063">
        <v>199.31360000000001</v>
      </c>
      <c r="J4063">
        <v>-442.9871</v>
      </c>
      <c r="K4063">
        <v>1.1097760000000001</v>
      </c>
      <c r="L4063">
        <v>213.76089999999999</v>
      </c>
      <c r="M4063">
        <v>0.9997876</v>
      </c>
      <c r="N4063">
        <v>-8.8699999999999994E-3</v>
      </c>
      <c r="O4063">
        <v>1.8609899999999999E-2</v>
      </c>
      <c r="P4063">
        <v>0.98607089999999997</v>
      </c>
      <c r="Q4063">
        <v>0.14059569999999999</v>
      </c>
      <c r="R4063">
        <v>8.8866490000000006E-2</v>
      </c>
      <c r="S4063">
        <v>3.0646969999999998</v>
      </c>
      <c r="T4063">
        <v>-1.7220019999999999E-2</v>
      </c>
      <c r="U4063">
        <v>-0.21443180000000001</v>
      </c>
      <c r="V4063">
        <v>-7.0430229999999996E-2</v>
      </c>
      <c r="W4063">
        <v>0.14938290000000001</v>
      </c>
      <c r="X4063">
        <v>0.98626789999999998</v>
      </c>
      <c r="Y4063">
        <v>8.8347170000000003E-2</v>
      </c>
      <c r="Z4063">
        <v>-5.7981000000000005E-4</v>
      </c>
      <c r="AA4063">
        <v>0.99608960000000002</v>
      </c>
      <c r="AB4063">
        <v>29</v>
      </c>
      <c r="AC4063">
        <v>206.13249999999999</v>
      </c>
      <c r="AD4063">
        <v>-1.1597759999999999</v>
      </c>
      <c r="AE4063">
        <v>-14.447299999999901</v>
      </c>
      <c r="AF4063">
        <v>18.280477621826002</v>
      </c>
      <c r="AG4063">
        <v>-1.1597759999999999</v>
      </c>
      <c r="AH4063">
        <v>205.821442366501</v>
      </c>
      <c r="AI4063">
        <v>90.321584663777401</v>
      </c>
      <c r="AJ4063">
        <v>84.924469256742398</v>
      </c>
      <c r="AK4063">
        <v>206.63491253967501</v>
      </c>
      <c r="AL4063">
        <v>81.408833753029299</v>
      </c>
      <c r="AM4063">
        <v>94.084606623708595</v>
      </c>
      <c r="AN4063">
        <v>1.00000001934033</v>
      </c>
    </row>
    <row r="4064" spans="1:40" x14ac:dyDescent="0.25">
      <c r="A4064" t="str">
        <f>"20190304154834128"</f>
        <v>20190304154834128</v>
      </c>
      <c r="B4064" t="str">
        <f>"1551685714120975"</f>
        <v>1551685714120975</v>
      </c>
      <c r="C4064" t="s">
        <v>40</v>
      </c>
      <c r="D4064">
        <v>4.0921289999999999</v>
      </c>
      <c r="E4064">
        <v>0.55716739999999998</v>
      </c>
      <c r="F4064" t="s">
        <v>45</v>
      </c>
      <c r="G4064">
        <v>-203.1207</v>
      </c>
      <c r="H4064">
        <v>-0.05</v>
      </c>
      <c r="I4064">
        <v>197.85380000000001</v>
      </c>
      <c r="J4064">
        <v>-442.68549999999999</v>
      </c>
      <c r="K4064">
        <v>1.1097709999999901</v>
      </c>
      <c r="L4064">
        <v>213.7662</v>
      </c>
      <c r="M4064">
        <v>0.99979220000000002</v>
      </c>
      <c r="N4064">
        <v>-8.8752629999999996E-3</v>
      </c>
      <c r="O4064">
        <v>1.8353060000000001E-2</v>
      </c>
      <c r="P4064">
        <v>0.98598229999999998</v>
      </c>
      <c r="Q4064">
        <v>0.14120940000000001</v>
      </c>
      <c r="R4064">
        <v>8.8876529999999995E-2</v>
      </c>
      <c r="S4064">
        <v>3.0627439999999999</v>
      </c>
      <c r="T4064">
        <v>-1.480865E-2</v>
      </c>
      <c r="U4064">
        <v>-0.2031097</v>
      </c>
      <c r="V4064">
        <v>-7.0691599999999993E-2</v>
      </c>
      <c r="W4064">
        <v>0.15000189999999999</v>
      </c>
      <c r="X4064">
        <v>0.98615520000000001</v>
      </c>
      <c r="Y4064">
        <v>8.4470379999999998E-2</v>
      </c>
      <c r="Z4064">
        <v>-5.0521419999999999E-4</v>
      </c>
      <c r="AA4064">
        <v>0.99642589999999998</v>
      </c>
      <c r="AB4064">
        <v>29</v>
      </c>
      <c r="AC4064">
        <v>239.56479999999999</v>
      </c>
      <c r="AD4064">
        <v>-1.1597710000000001</v>
      </c>
      <c r="AE4064">
        <v>-15.9123999999999</v>
      </c>
      <c r="AF4064">
        <v>20.3061660357486</v>
      </c>
      <c r="AG4064">
        <v>-1.1597710000000001</v>
      </c>
      <c r="AH4064">
        <v>239.226811729659</v>
      </c>
      <c r="AI4064">
        <v>90.276772350996794</v>
      </c>
      <c r="AJ4064">
        <v>85.148222015872406</v>
      </c>
      <c r="AK4064">
        <v>240.08988503929399</v>
      </c>
      <c r="AL4064">
        <v>81.372963119726506</v>
      </c>
      <c r="AM4064">
        <v>94.100180132568099</v>
      </c>
      <c r="AN4064">
        <v>0.99999997540060404</v>
      </c>
    </row>
    <row r="4065" spans="1:40" x14ac:dyDescent="0.25">
      <c r="A4065" t="str">
        <f>"20190304154834152"</f>
        <v>20190304154834152</v>
      </c>
      <c r="B4065" t="str">
        <f>"1551685714140495"</f>
        <v>1551685714140495</v>
      </c>
      <c r="C4065" t="s">
        <v>40</v>
      </c>
      <c r="D4065">
        <v>3.9854039999999999</v>
      </c>
      <c r="E4065">
        <v>0.55576630000000005</v>
      </c>
      <c r="F4065" t="s">
        <v>57</v>
      </c>
      <c r="G4065">
        <v>-216.51480000000001</v>
      </c>
      <c r="H4065">
        <v>0.35384199999999999</v>
      </c>
      <c r="I4065">
        <v>199.57599999999999</v>
      </c>
      <c r="J4065">
        <v>-442.38920000000002</v>
      </c>
      <c r="K4065">
        <v>1.1097699999999999</v>
      </c>
      <c r="L4065">
        <v>213.7714</v>
      </c>
      <c r="M4065">
        <v>0.99979680000000004</v>
      </c>
      <c r="N4065">
        <v>-8.8804030000000003E-3</v>
      </c>
      <c r="O4065">
        <v>1.809825E-2</v>
      </c>
      <c r="P4065">
        <v>0.98590820000000001</v>
      </c>
      <c r="Q4065">
        <v>0.14160349999999999</v>
      </c>
      <c r="R4065">
        <v>8.9071800000000007E-2</v>
      </c>
      <c r="S4065">
        <v>3.0614319999999999</v>
      </c>
      <c r="T4065">
        <v>-1.023221E-2</v>
      </c>
      <c r="U4065">
        <v>-0.19207759999999999</v>
      </c>
      <c r="V4065">
        <v>-7.1138660000000006E-2</v>
      </c>
      <c r="W4065">
        <v>0.15040120000000001</v>
      </c>
      <c r="X4065">
        <v>0.9860622</v>
      </c>
      <c r="Y4065">
        <v>8.0669260000000007E-2</v>
      </c>
      <c r="Z4065">
        <v>-3.9311439999999999E-4</v>
      </c>
      <c r="AA4065">
        <v>0.99674079999999998</v>
      </c>
      <c r="AB4065">
        <v>29</v>
      </c>
      <c r="AC4065">
        <v>225.87440000000001</v>
      </c>
      <c r="AD4065">
        <v>-0.75592800000000004</v>
      </c>
      <c r="AE4065">
        <v>-14.195399999999999</v>
      </c>
      <c r="AF4065">
        <v>18.280963311481202</v>
      </c>
      <c r="AG4065">
        <v>-0.75592800000000004</v>
      </c>
      <c r="AH4065">
        <v>225.57796324500799</v>
      </c>
      <c r="AI4065">
        <v>90.191374166013105</v>
      </c>
      <c r="AJ4065">
        <v>85.366843395225203</v>
      </c>
      <c r="AK4065">
        <v>226.31876313841701</v>
      </c>
      <c r="AL4065">
        <v>81.349822136358696</v>
      </c>
      <c r="AM4065">
        <v>94.126408565512193</v>
      </c>
      <c r="AN4065">
        <v>0.99999994608843601</v>
      </c>
    </row>
    <row r="4066" spans="1:40" x14ac:dyDescent="0.25">
      <c r="A4066" t="str">
        <f>"20190304154834174"</f>
        <v>20190304154834174</v>
      </c>
      <c r="B4066" t="str">
        <f>"1551685714170751"</f>
        <v>1551685714170751</v>
      </c>
      <c r="C4066" t="s">
        <v>40</v>
      </c>
      <c r="D4066">
        <v>3.9654989999999999</v>
      </c>
      <c r="E4066">
        <v>0.55504390000000003</v>
      </c>
      <c r="F4066" t="s">
        <v>70</v>
      </c>
      <c r="G4066">
        <v>-168.4135</v>
      </c>
      <c r="H4066">
        <v>0.1527481</v>
      </c>
      <c r="I4066">
        <v>197.6172</v>
      </c>
      <c r="J4066">
        <v>-442.10120000000001</v>
      </c>
      <c r="K4066">
        <v>1.109766</v>
      </c>
      <c r="L4066">
        <v>213.7764</v>
      </c>
      <c r="M4066">
        <v>0.9998013</v>
      </c>
      <c r="N4066">
        <v>-8.8854789999999999E-3</v>
      </c>
      <c r="O4066">
        <v>1.7851450000000001E-2</v>
      </c>
      <c r="P4066">
        <v>0.98583370000000003</v>
      </c>
      <c r="Q4066">
        <v>0.1417919</v>
      </c>
      <c r="R4066">
        <v>8.9595560000000005E-2</v>
      </c>
      <c r="S4066">
        <v>3.0606990000000001</v>
      </c>
      <c r="T4066">
        <v>-1.069093E-2</v>
      </c>
      <c r="U4066">
        <v>-0.18046570000000001</v>
      </c>
      <c r="V4066">
        <v>-7.1907139999999994E-2</v>
      </c>
      <c r="W4066">
        <v>0.15059449999999999</v>
      </c>
      <c r="X4066">
        <v>0.98597699999999999</v>
      </c>
      <c r="Y4066">
        <v>7.6669940000000006E-2</v>
      </c>
      <c r="Z4066">
        <v>-3.7855229999999998E-4</v>
      </c>
      <c r="AA4066">
        <v>0.99705650000000001</v>
      </c>
      <c r="AB4066">
        <v>29</v>
      </c>
      <c r="AC4066">
        <v>273.68770000000001</v>
      </c>
      <c r="AD4066">
        <v>-0.95701789999999998</v>
      </c>
      <c r="AE4066">
        <v>-16.159199999999998</v>
      </c>
      <c r="AF4066">
        <v>21.042282958769398</v>
      </c>
      <c r="AG4066">
        <v>-0.95701789999999998</v>
      </c>
      <c r="AH4066">
        <v>273.352277237213</v>
      </c>
      <c r="AI4066">
        <v>90.2000024331562</v>
      </c>
      <c r="AJ4066">
        <v>85.598130602061801</v>
      </c>
      <c r="AK4066">
        <v>274.16265432430401</v>
      </c>
      <c r="AL4066">
        <v>81.338619668561606</v>
      </c>
      <c r="AM4066">
        <v>94.171187028166599</v>
      </c>
      <c r="AN4066">
        <v>0.99999999237111403</v>
      </c>
    </row>
    <row r="4067" spans="1:40" x14ac:dyDescent="0.25">
      <c r="A4067" t="str">
        <f>"20190304154834197"</f>
        <v>20190304154834197</v>
      </c>
      <c r="B4067" t="str">
        <f>"1551685714190271"</f>
        <v>1551685714190271</v>
      </c>
      <c r="C4067" t="s">
        <v>40</v>
      </c>
      <c r="D4067">
        <v>4.0158449999999997</v>
      </c>
      <c r="E4067">
        <v>0.55456159999999999</v>
      </c>
      <c r="F4067" t="s">
        <v>70</v>
      </c>
      <c r="G4067">
        <v>-168.41329999999999</v>
      </c>
      <c r="H4067">
        <v>0.27689649999999999</v>
      </c>
      <c r="I4067">
        <v>198.2739</v>
      </c>
      <c r="J4067">
        <v>-441.80430000000001</v>
      </c>
      <c r="K4067">
        <v>1.1097619999999999</v>
      </c>
      <c r="L4067">
        <v>213.78139999999999</v>
      </c>
      <c r="M4067">
        <v>0.99980570000000002</v>
      </c>
      <c r="N4067">
        <v>-8.8907780000000002E-3</v>
      </c>
      <c r="O4067">
        <v>1.7599299999999998E-2</v>
      </c>
      <c r="P4067">
        <v>0.98581909999999895</v>
      </c>
      <c r="Q4067">
        <v>0.14188870000000001</v>
      </c>
      <c r="R4067">
        <v>8.9603150000000006E-2</v>
      </c>
      <c r="S4067">
        <v>3.0602109999999998</v>
      </c>
      <c r="T4067">
        <v>-9.3122719999999999E-3</v>
      </c>
      <c r="U4067">
        <v>-0.17333979999999999</v>
      </c>
      <c r="V4067">
        <v>-7.2163660000000004E-2</v>
      </c>
      <c r="W4067">
        <v>0.15069679999999999</v>
      </c>
      <c r="X4067">
        <v>0.98594269999999995</v>
      </c>
      <c r="Y4067">
        <v>7.4113879999999993E-2</v>
      </c>
      <c r="Z4067">
        <v>-3.3959270000000002E-4</v>
      </c>
      <c r="AA4067">
        <v>0.99724970000000002</v>
      </c>
      <c r="AB4067">
        <v>29</v>
      </c>
      <c r="AC4067">
        <v>273.390999999999</v>
      </c>
      <c r="AD4067">
        <v>-0.83286550000000004</v>
      </c>
      <c r="AE4067">
        <v>-15.507499999999901</v>
      </c>
      <c r="AF4067">
        <v>20.3165899412957</v>
      </c>
      <c r="AG4067">
        <v>-0.83286550000000004</v>
      </c>
      <c r="AH4067">
        <v>273.07319586472698</v>
      </c>
      <c r="AI4067">
        <v>90.174268312426193</v>
      </c>
      <c r="AJ4067">
        <v>85.745045022905899</v>
      </c>
      <c r="AK4067">
        <v>273.829194556679</v>
      </c>
      <c r="AL4067">
        <v>81.332691268649597</v>
      </c>
      <c r="AM4067">
        <v>94.186159540707095</v>
      </c>
      <c r="AN4067">
        <v>1.00000006351906</v>
      </c>
    </row>
    <row r="4068" spans="1:40" x14ac:dyDescent="0.25">
      <c r="A4068" t="str">
        <f>"20190304154834218"</f>
        <v>20190304154834218</v>
      </c>
      <c r="B4068" t="str">
        <f>"1551685714210448"</f>
        <v>1551685714210448</v>
      </c>
      <c r="C4068" t="s">
        <v>40</v>
      </c>
      <c r="D4068">
        <v>4.0294460000000001</v>
      </c>
      <c r="E4068">
        <v>0.55409969999999997</v>
      </c>
      <c r="F4068" t="s">
        <v>70</v>
      </c>
      <c r="G4068">
        <v>-168.41319999999999</v>
      </c>
      <c r="H4068">
        <v>0.43036750000000001</v>
      </c>
      <c r="I4068">
        <v>198.61490000000001</v>
      </c>
      <c r="J4068">
        <v>-441.53359999999998</v>
      </c>
      <c r="K4068">
        <v>1.109761</v>
      </c>
      <c r="L4068">
        <v>213.786</v>
      </c>
      <c r="M4068">
        <v>0.99980959999999997</v>
      </c>
      <c r="N4068">
        <v>-8.8956230000000001E-3</v>
      </c>
      <c r="O4068">
        <v>1.7372019999999998E-2</v>
      </c>
      <c r="P4068">
        <v>0.98584819999999995</v>
      </c>
      <c r="Q4068">
        <v>0.14175399999999999</v>
      </c>
      <c r="R4068">
        <v>8.9493669999999997E-2</v>
      </c>
      <c r="S4068">
        <v>3.0596920000000001</v>
      </c>
      <c r="T4068">
        <v>-7.6031680000000004E-3</v>
      </c>
      <c r="U4068">
        <v>-0.1697388</v>
      </c>
      <c r="V4068">
        <v>-7.2277910000000001E-2</v>
      </c>
      <c r="W4068">
        <v>0.1505667</v>
      </c>
      <c r="X4068">
        <v>0.9859542</v>
      </c>
      <c r="Y4068">
        <v>7.27268999999999E-2</v>
      </c>
      <c r="Z4068">
        <v>-3.0275620000000001E-4</v>
      </c>
      <c r="AA4068">
        <v>0.99735180000000001</v>
      </c>
      <c r="AB4068">
        <v>29</v>
      </c>
      <c r="AC4068">
        <v>273.12040000000002</v>
      </c>
      <c r="AD4068">
        <v>-0.67939349999999998</v>
      </c>
      <c r="AE4068">
        <v>-15.1710999999999</v>
      </c>
      <c r="AF4068">
        <v>19.913528004801599</v>
      </c>
      <c r="AG4068">
        <v>-0.67939349999999998</v>
      </c>
      <c r="AH4068">
        <v>272.81393555179301</v>
      </c>
      <c r="AI4068">
        <v>90.142305828912697</v>
      </c>
      <c r="AJ4068">
        <v>85.825208788915504</v>
      </c>
      <c r="AK4068">
        <v>273.54058858674699</v>
      </c>
      <c r="AL4068">
        <v>81.340231417402705</v>
      </c>
      <c r="AM4068">
        <v>94.192714751584703</v>
      </c>
      <c r="AN4068">
        <v>1.00000005596024</v>
      </c>
    </row>
    <row r="4069" spans="1:40" x14ac:dyDescent="0.25">
      <c r="A4069" t="str">
        <f>"20190304154834232"</f>
        <v>20190304154834232</v>
      </c>
      <c r="B4069" t="str">
        <f>"1551685714220208"</f>
        <v>1551685714220208</v>
      </c>
      <c r="C4069" t="s">
        <v>40</v>
      </c>
      <c r="D4069">
        <v>4.0377599999999996</v>
      </c>
      <c r="E4069">
        <v>0.55393079999999995</v>
      </c>
      <c r="F4069" t="s">
        <v>70</v>
      </c>
      <c r="G4069">
        <v>-168.41309999999999</v>
      </c>
      <c r="H4069">
        <v>0.47259040000000002</v>
      </c>
      <c r="I4069">
        <v>198.91239999999999</v>
      </c>
      <c r="J4069">
        <v>-441.3356</v>
      </c>
      <c r="K4069">
        <v>1.109764</v>
      </c>
      <c r="L4069">
        <v>213.78919999999999</v>
      </c>
      <c r="M4069">
        <v>0.99981240000000005</v>
      </c>
      <c r="N4069">
        <v>-8.8991439999999995E-3</v>
      </c>
      <c r="O4069">
        <v>1.720708E-2</v>
      </c>
      <c r="P4069">
        <v>0.98582610000000004</v>
      </c>
      <c r="Q4069">
        <v>0.14213700000000001</v>
      </c>
      <c r="R4069">
        <v>8.9130070000000006E-2</v>
      </c>
      <c r="S4069">
        <v>3.0591740000000001</v>
      </c>
      <c r="T4069">
        <v>-7.1364640000000003E-3</v>
      </c>
      <c r="U4069">
        <v>-0.16659549999999901</v>
      </c>
      <c r="V4069">
        <v>-7.2078039999999996E-2</v>
      </c>
      <c r="W4069">
        <v>0.150952799999999</v>
      </c>
      <c r="X4069">
        <v>0.98590979999999995</v>
      </c>
      <c r="Y4069">
        <v>7.1550050000000004E-2</v>
      </c>
      <c r="Z4069">
        <v>-2.8911349999999998E-4</v>
      </c>
      <c r="AA4069">
        <v>0.99743689999999996</v>
      </c>
      <c r="AB4069">
        <v>29</v>
      </c>
      <c r="AC4069">
        <v>272.92250000000001</v>
      </c>
      <c r="AD4069">
        <v>-0.63717359999999901</v>
      </c>
      <c r="AE4069">
        <v>-14.876799999999999</v>
      </c>
      <c r="AF4069">
        <v>19.570875912163</v>
      </c>
      <c r="AG4069">
        <v>-0.63717359999999901</v>
      </c>
      <c r="AH4069">
        <v>272.624611924063</v>
      </c>
      <c r="AI4069">
        <v>90.133566761028902</v>
      </c>
      <c r="AJ4069">
        <v>85.893957209916294</v>
      </c>
      <c r="AK4069">
        <v>273.32691817841902</v>
      </c>
      <c r="AL4069">
        <v>81.317853810004195</v>
      </c>
      <c r="AM4069">
        <v>94.181349447143603</v>
      </c>
      <c r="AN4069">
        <v>1.00000006270705</v>
      </c>
    </row>
    <row r="4070" spans="1:40" x14ac:dyDescent="0.25">
      <c r="A4070" t="str">
        <f>"20190304154834252"</f>
        <v>20190304154834252</v>
      </c>
      <c r="B4070" t="str">
        <f>"1551685714240703"</f>
        <v>1551685714240703</v>
      </c>
      <c r="C4070" t="s">
        <v>40</v>
      </c>
      <c r="D4070">
        <v>4.0409600000000001</v>
      </c>
      <c r="E4070">
        <v>0.55364069999999899</v>
      </c>
      <c r="F4070" t="s">
        <v>70</v>
      </c>
      <c r="G4070">
        <v>-168.41319999999999</v>
      </c>
      <c r="H4070">
        <v>0.60641669999999903</v>
      </c>
      <c r="I4070">
        <v>198.9323</v>
      </c>
      <c r="J4070">
        <v>-441.08449999999999</v>
      </c>
      <c r="K4070">
        <v>1.1097649999999999</v>
      </c>
      <c r="L4070">
        <v>213.79339999999999</v>
      </c>
      <c r="M4070">
        <v>0.99981600000000004</v>
      </c>
      <c r="N4070">
        <v>-8.9041499999999996E-3</v>
      </c>
      <c r="O4070">
        <v>1.699898E-2</v>
      </c>
      <c r="P4070">
        <v>0.98578480000000002</v>
      </c>
      <c r="Q4070">
        <v>0.14274770000000001</v>
      </c>
      <c r="R4070">
        <v>8.861144E-2</v>
      </c>
      <c r="S4070">
        <v>3.0589599999999999</v>
      </c>
      <c r="T4070">
        <v>-5.6412220000000004E-3</v>
      </c>
      <c r="U4070">
        <v>-0.16651920000000001</v>
      </c>
      <c r="V4070">
        <v>-7.1765159999999995E-2</v>
      </c>
      <c r="W4070">
        <v>0.15156739999999999</v>
      </c>
      <c r="X4070">
        <v>0.98583829999999995</v>
      </c>
      <c r="Y4070">
        <v>7.1321590000000004E-2</v>
      </c>
      <c r="Z4070">
        <v>-2.635747E-4</v>
      </c>
      <c r="AA4070">
        <v>0.99745329999999999</v>
      </c>
      <c r="AB4070">
        <v>29</v>
      </c>
      <c r="AC4070">
        <v>272.67129999999997</v>
      </c>
      <c r="AD4070">
        <v>-0.50334829999999997</v>
      </c>
      <c r="AE4070">
        <v>-14.861099999999899</v>
      </c>
      <c r="AF4070">
        <v>19.494203346557502</v>
      </c>
      <c r="AG4070">
        <v>-0.50334829999999997</v>
      </c>
      <c r="AH4070">
        <v>272.37833881632901</v>
      </c>
      <c r="AI4070">
        <v>90.105610895095495</v>
      </c>
      <c r="AJ4070">
        <v>85.906303251811195</v>
      </c>
      <c r="AK4070">
        <v>273.07551479393197</v>
      </c>
      <c r="AL4070">
        <v>81.282229687955393</v>
      </c>
      <c r="AM4070">
        <v>94.163563681018999</v>
      </c>
      <c r="AN4070">
        <v>1.0000000343397299</v>
      </c>
    </row>
    <row r="4071" spans="1:40" x14ac:dyDescent="0.25">
      <c r="A4071" t="str">
        <f>"20190304154834274"</f>
        <v>20190304154834274</v>
      </c>
      <c r="B4071" t="str">
        <f>"1551685714270960"</f>
        <v>1551685714270960</v>
      </c>
      <c r="C4071" t="s">
        <v>40</v>
      </c>
      <c r="D4071">
        <v>4.066967</v>
      </c>
      <c r="E4071">
        <v>0.55315239999999999</v>
      </c>
      <c r="F4071" t="s">
        <v>70</v>
      </c>
      <c r="G4071">
        <v>-168.41319999999999</v>
      </c>
      <c r="H4071">
        <v>0.79324340000000004</v>
      </c>
      <c r="I4071">
        <v>199.0556</v>
      </c>
      <c r="J4071">
        <v>-440.79469999999998</v>
      </c>
      <c r="K4071">
        <v>1.1097589999999999</v>
      </c>
      <c r="L4071">
        <v>213.798</v>
      </c>
      <c r="M4071">
        <v>0.99981989999999998</v>
      </c>
      <c r="N4071">
        <v>-8.9095609999999999E-3</v>
      </c>
      <c r="O4071">
        <v>1.675989E-2</v>
      </c>
      <c r="P4071">
        <v>0.98583719999999997</v>
      </c>
      <c r="Q4071">
        <v>0.14277200000000001</v>
      </c>
      <c r="R4071">
        <v>8.798446E-2</v>
      </c>
      <c r="S4071">
        <v>3.0585629999999999</v>
      </c>
      <c r="T4071">
        <v>-3.5500530000000001E-3</v>
      </c>
      <c r="U4071">
        <v>-0.16531370000000001</v>
      </c>
      <c r="V4071">
        <v>-7.1373249999999999E-2</v>
      </c>
      <c r="W4071">
        <v>0.1515976</v>
      </c>
      <c r="X4071">
        <v>0.98586209999999996</v>
      </c>
      <c r="Y4071">
        <v>7.0698319999999995E-2</v>
      </c>
      <c r="Z4071">
        <v>-2.2641640000000001E-4</v>
      </c>
      <c r="AA4071">
        <v>0.99749770000000004</v>
      </c>
      <c r="AB4071">
        <v>29</v>
      </c>
      <c r="AC4071">
        <v>272.38150000000002</v>
      </c>
      <c r="AD4071">
        <v>-0.31651559999999901</v>
      </c>
      <c r="AE4071">
        <v>-14.7424</v>
      </c>
      <c r="AF4071">
        <v>19.305568106975599</v>
      </c>
      <c r="AG4071">
        <v>-0.31651559999999901</v>
      </c>
      <c r="AH4071">
        <v>272.095781989047</v>
      </c>
      <c r="AI4071">
        <v>90.066482195019503</v>
      </c>
      <c r="AJ4071">
        <v>85.941587061428194</v>
      </c>
      <c r="AK4071">
        <v>272.77998408660699</v>
      </c>
      <c r="AL4071">
        <v>81.280479059740202</v>
      </c>
      <c r="AM4071">
        <v>94.140806122840999</v>
      </c>
      <c r="AN4071">
        <v>1.00000002667886</v>
      </c>
    </row>
    <row r="4072" spans="1:40" x14ac:dyDescent="0.25">
      <c r="A4072" t="str">
        <f>"20190304154834295"</f>
        <v>20190304154834295</v>
      </c>
      <c r="B4072" t="str">
        <f>"1551685714290479"</f>
        <v>1551685714290479</v>
      </c>
      <c r="C4072" t="s">
        <v>40</v>
      </c>
      <c r="D4072">
        <v>4.0366309999999999</v>
      </c>
      <c r="E4072">
        <v>0.55282019999999998</v>
      </c>
      <c r="F4072" t="s">
        <v>70</v>
      </c>
      <c r="G4072">
        <v>-168.41309999999999</v>
      </c>
      <c r="H4072">
        <v>0.79402159999999999</v>
      </c>
      <c r="I4072">
        <v>199.2276</v>
      </c>
      <c r="J4072">
        <v>-440.52600000000001</v>
      </c>
      <c r="K4072">
        <v>1.1097589999999999</v>
      </c>
      <c r="L4072">
        <v>213.8023</v>
      </c>
      <c r="M4072">
        <v>0.99982349999999998</v>
      </c>
      <c r="N4072">
        <v>-8.9142900000000001E-3</v>
      </c>
      <c r="O4072">
        <v>1.6536519999999999E-2</v>
      </c>
      <c r="P4072">
        <v>0.98585489999999998</v>
      </c>
      <c r="Q4072">
        <v>0.1425476</v>
      </c>
      <c r="R4072">
        <v>8.8151010000000002E-2</v>
      </c>
      <c r="S4072">
        <v>3.0581670000000001</v>
      </c>
      <c r="T4072">
        <v>-3.544569E-3</v>
      </c>
      <c r="U4072">
        <v>-0.1635895</v>
      </c>
      <c r="V4072">
        <v>-7.1760210000000005E-2</v>
      </c>
      <c r="W4072">
        <v>0.15137790000000001</v>
      </c>
      <c r="X4072">
        <v>0.98586770000000001</v>
      </c>
      <c r="Y4072">
        <v>6.9921659999999997E-2</v>
      </c>
      <c r="Z4072">
        <v>-2.2422960000000001E-4</v>
      </c>
      <c r="AA4072">
        <v>0.99755249999999995</v>
      </c>
      <c r="AB4072">
        <v>29</v>
      </c>
      <c r="AC4072">
        <v>272.11290000000002</v>
      </c>
      <c r="AD4072">
        <v>-0.315737399999999</v>
      </c>
      <c r="AE4072">
        <v>-14.5747</v>
      </c>
      <c r="AF4072">
        <v>19.0726606459477</v>
      </c>
      <c r="AG4072">
        <v>-0.315737399999999</v>
      </c>
      <c r="AH4072">
        <v>271.83429964331998</v>
      </c>
      <c r="AI4072">
        <v>90.066386207264998</v>
      </c>
      <c r="AJ4072">
        <v>85.986543836298196</v>
      </c>
      <c r="AK4072">
        <v>272.502756934302</v>
      </c>
      <c r="AL4072">
        <v>81.293213320667306</v>
      </c>
      <c r="AM4072">
        <v>94.163153790734995</v>
      </c>
      <c r="AN4072">
        <v>0.99999995912547102</v>
      </c>
    </row>
    <row r="4073" spans="1:40" x14ac:dyDescent="0.25">
      <c r="A4073" t="str">
        <f>"20190304154834319"</f>
        <v>20190304154834319</v>
      </c>
      <c r="B4073" t="str">
        <f>"1551685714310611"</f>
        <v>1551685714310611</v>
      </c>
      <c r="C4073" t="s">
        <v>40</v>
      </c>
      <c r="D4073">
        <v>4.0851360000000003</v>
      </c>
      <c r="E4073">
        <v>0.55255030000000005</v>
      </c>
      <c r="F4073" t="s">
        <v>48</v>
      </c>
      <c r="G4073">
        <v>-285.68619999999999</v>
      </c>
      <c r="H4073">
        <v>0.90905460000000005</v>
      </c>
      <c r="I4073">
        <v>205.65870000000001</v>
      </c>
      <c r="J4073">
        <v>-440.22199999999998</v>
      </c>
      <c r="K4073">
        <v>1.1097539999999999</v>
      </c>
      <c r="L4073">
        <v>213.80709999999999</v>
      </c>
      <c r="M4073">
        <v>0.99982769999999999</v>
      </c>
      <c r="N4073">
        <v>-8.9196880000000003E-3</v>
      </c>
      <c r="O4073">
        <v>1.6277469999999999E-2</v>
      </c>
      <c r="P4073">
        <v>0.98587800000000003</v>
      </c>
      <c r="Q4073">
        <v>0.14240849999999999</v>
      </c>
      <c r="R4073">
        <v>8.8116990000000006E-2</v>
      </c>
      <c r="S4073">
        <v>3.057922</v>
      </c>
      <c r="T4073">
        <v>-3.9637090000000002E-3</v>
      </c>
      <c r="U4073">
        <v>-0.16082759999999999</v>
      </c>
      <c r="V4073">
        <v>-7.1980299999999997E-2</v>
      </c>
      <c r="W4073">
        <v>0.1512445</v>
      </c>
      <c r="X4073">
        <v>0.98587210000000003</v>
      </c>
      <c r="Y4073">
        <v>6.8768930000000006E-2</v>
      </c>
      <c r="Z4073">
        <v>-2.274601E-4</v>
      </c>
      <c r="AA4073">
        <v>0.99763259999999998</v>
      </c>
      <c r="AB4073">
        <v>29</v>
      </c>
      <c r="AC4073">
        <v>154.53579999999999</v>
      </c>
      <c r="AD4073">
        <v>-0.2006994</v>
      </c>
      <c r="AE4073">
        <v>-8.1483999999999792</v>
      </c>
      <c r="AF4073">
        <v>10.662854411012701</v>
      </c>
      <c r="AG4073">
        <v>-0.2006994</v>
      </c>
      <c r="AH4073">
        <v>154.382424128248</v>
      </c>
      <c r="AI4073">
        <v>90.074308278351396</v>
      </c>
      <c r="AJ4073">
        <v>86.048981176365501</v>
      </c>
      <c r="AK4073">
        <v>154.75034611965799</v>
      </c>
      <c r="AL4073">
        <v>81.300945350502005</v>
      </c>
      <c r="AM4073">
        <v>94.175858595552796</v>
      </c>
      <c r="AN4073">
        <v>0.99999992996337195</v>
      </c>
    </row>
    <row r="4074" spans="1:40" x14ac:dyDescent="0.25">
      <c r="A4074" t="str">
        <f>"20190304154834340"</f>
        <v>20190304154834340</v>
      </c>
      <c r="B4074" t="str">
        <f>"1551685714331106"</f>
        <v>1551685714331106</v>
      </c>
      <c r="C4074" t="s">
        <v>40</v>
      </c>
      <c r="D4074">
        <v>4.0897930000000002</v>
      </c>
      <c r="E4074">
        <v>0.55224569999999995</v>
      </c>
      <c r="F4074" t="s">
        <v>48</v>
      </c>
      <c r="G4074">
        <v>-285.69400000000002</v>
      </c>
      <c r="H4074">
        <v>0.87437129999999996</v>
      </c>
      <c r="I4074">
        <v>205.77070000000001</v>
      </c>
      <c r="J4074">
        <v>-439.93</v>
      </c>
      <c r="K4074">
        <v>1.1097459999999999</v>
      </c>
      <c r="L4074">
        <v>213.8116</v>
      </c>
      <c r="M4074">
        <v>0.9998319</v>
      </c>
      <c r="N4074">
        <v>-8.9249759999999994E-3</v>
      </c>
      <c r="O4074">
        <v>1.6018029999999999E-2</v>
      </c>
      <c r="P4074">
        <v>0.98588929999999997</v>
      </c>
      <c r="Q4074">
        <v>0.14232999999999901</v>
      </c>
      <c r="R4074">
        <v>8.8116840000000002E-2</v>
      </c>
      <c r="S4074">
        <v>3.0578609999999999</v>
      </c>
      <c r="T4074">
        <v>-4.6578649999999997E-3</v>
      </c>
      <c r="U4074">
        <v>-0.1590271</v>
      </c>
      <c r="V4074">
        <v>-7.2233549999999994E-2</v>
      </c>
      <c r="W4074">
        <v>0.15117340000000001</v>
      </c>
      <c r="X4074">
        <v>0.98586459999999998</v>
      </c>
      <c r="Y4074">
        <v>6.792521E-2</v>
      </c>
      <c r="Z4074">
        <v>-2.3655329999999999E-4</v>
      </c>
      <c r="AA4074">
        <v>0.99769039999999998</v>
      </c>
      <c r="AB4074">
        <v>29</v>
      </c>
      <c r="AC4074">
        <v>154.23599999999999</v>
      </c>
      <c r="AD4074">
        <v>-0.23537469999999899</v>
      </c>
      <c r="AE4074">
        <v>-8.0408999999999899</v>
      </c>
      <c r="AF4074">
        <v>10.5104990864249</v>
      </c>
      <c r="AG4074">
        <v>-0.23537469999999899</v>
      </c>
      <c r="AH4074">
        <v>154.08704804639299</v>
      </c>
      <c r="AI4074">
        <v>90.087318836651406</v>
      </c>
      <c r="AJ4074">
        <v>86.097817037366298</v>
      </c>
      <c r="AK4074">
        <v>154.44527952626601</v>
      </c>
      <c r="AL4074">
        <v>81.305067483424395</v>
      </c>
      <c r="AM4074">
        <v>94.190530137753498</v>
      </c>
      <c r="AN4074">
        <v>1.00000004607316</v>
      </c>
    </row>
    <row r="4075" spans="1:40" x14ac:dyDescent="0.25">
      <c r="A4075" t="str">
        <f>"20190304154834362"</f>
        <v>20190304154834362</v>
      </c>
      <c r="B4075" t="str">
        <f>"1551685714350630"</f>
        <v>1551685714350630</v>
      </c>
      <c r="C4075" t="s">
        <v>40</v>
      </c>
      <c r="D4075">
        <v>4.0652150000000002</v>
      </c>
      <c r="E4075">
        <v>0.55198910000000001</v>
      </c>
      <c r="F4075" t="s">
        <v>48</v>
      </c>
      <c r="G4075">
        <v>-285.70330000000001</v>
      </c>
      <c r="H4075">
        <v>0.83283790000000002</v>
      </c>
      <c r="I4075">
        <v>205.90979999999999</v>
      </c>
      <c r="J4075">
        <v>-439.64780000000002</v>
      </c>
      <c r="K4075">
        <v>1.1097319999999999</v>
      </c>
      <c r="L4075">
        <v>213.8158</v>
      </c>
      <c r="M4075">
        <v>0.99983619999999995</v>
      </c>
      <c r="N4075">
        <v>-8.9301199999999997E-3</v>
      </c>
      <c r="O4075">
        <v>1.575114E-2</v>
      </c>
      <c r="P4075">
        <v>0.98584349999999998</v>
      </c>
      <c r="Q4075">
        <v>0.14231959999999999</v>
      </c>
      <c r="R4075">
        <v>8.8644769999999998E-2</v>
      </c>
      <c r="S4075">
        <v>3.0577390000000002</v>
      </c>
      <c r="T4075">
        <v>-5.4900649999999997E-3</v>
      </c>
      <c r="U4075">
        <v>-0.156662</v>
      </c>
      <c r="V4075">
        <v>-7.3020959999999996E-2</v>
      </c>
      <c r="W4075">
        <v>0.15116959999999999</v>
      </c>
      <c r="X4075">
        <v>0.98580710000000005</v>
      </c>
      <c r="Y4075">
        <v>6.6891210000000006E-2</v>
      </c>
      <c r="Z4075">
        <v>-2.4659060000000002E-4</v>
      </c>
      <c r="AA4075">
        <v>0.99776019999999999</v>
      </c>
      <c r="AB4075">
        <v>29</v>
      </c>
      <c r="AC4075">
        <v>153.94450000000001</v>
      </c>
      <c r="AD4075">
        <v>-0.27689409999999898</v>
      </c>
      <c r="AE4075">
        <v>-7.9059999999999997</v>
      </c>
      <c r="AF4075">
        <v>10.329883529739501</v>
      </c>
      <c r="AG4075">
        <v>-0.27689409999999898</v>
      </c>
      <c r="AH4075">
        <v>153.800370879165</v>
      </c>
      <c r="AI4075">
        <v>90.102920320222594</v>
      </c>
      <c r="AJ4075">
        <v>86.157543952049906</v>
      </c>
      <c r="AK4075">
        <v>154.14712857088699</v>
      </c>
      <c r="AL4075">
        <v>81.305287102642396</v>
      </c>
      <c r="AM4075">
        <v>94.236291437797703</v>
      </c>
      <c r="AN4075">
        <v>0.99999997348694503</v>
      </c>
    </row>
    <row r="4076" spans="1:40" x14ac:dyDescent="0.25">
      <c r="A4076" t="str">
        <f>"20190304154834384"</f>
        <v>20190304154834384</v>
      </c>
      <c r="B4076" t="str">
        <f>"1551685714380883"</f>
        <v>1551685714380883</v>
      </c>
      <c r="C4076" t="s">
        <v>40</v>
      </c>
      <c r="D4076">
        <v>4.060651</v>
      </c>
      <c r="E4076">
        <v>0.55169699999999999</v>
      </c>
      <c r="F4076" t="s">
        <v>70</v>
      </c>
      <c r="G4076">
        <v>-168.4128</v>
      </c>
      <c r="H4076">
        <v>0.59593200000000002</v>
      </c>
      <c r="I4076">
        <v>200.21940000000001</v>
      </c>
      <c r="J4076">
        <v>-439.3614</v>
      </c>
      <c r="K4076">
        <v>1.1097109999999999</v>
      </c>
      <c r="L4076">
        <v>213.82</v>
      </c>
      <c r="M4076">
        <v>0.99984059999999997</v>
      </c>
      <c r="N4076">
        <v>-8.9353769999999996E-3</v>
      </c>
      <c r="O4076">
        <v>1.5458029999999999E-2</v>
      </c>
      <c r="P4076">
        <v>0.98590230000000001</v>
      </c>
      <c r="Q4076">
        <v>0.14168420000000001</v>
      </c>
      <c r="R4076">
        <v>8.9008019999999993E-2</v>
      </c>
      <c r="S4076">
        <v>3.0576780000000001</v>
      </c>
      <c r="T4076">
        <v>-5.791783E-3</v>
      </c>
      <c r="U4076">
        <v>-0.15327449999999901</v>
      </c>
      <c r="V4076">
        <v>-7.3666889999999999E-2</v>
      </c>
      <c r="W4076">
        <v>0.1505436</v>
      </c>
      <c r="X4076">
        <v>0.98585489999999998</v>
      </c>
      <c r="Y4076">
        <v>6.5497120000000006E-2</v>
      </c>
      <c r="Z4076">
        <v>-2.4603739999999998E-4</v>
      </c>
      <c r="AA4076">
        <v>0.99785270000000004</v>
      </c>
      <c r="AB4076">
        <v>29</v>
      </c>
      <c r="AC4076">
        <v>270.9486</v>
      </c>
      <c r="AD4076">
        <v>-0.51377899999999999</v>
      </c>
      <c r="AE4076">
        <v>-13.600599999999901</v>
      </c>
      <c r="AF4076">
        <v>17.7874098017748</v>
      </c>
      <c r="AG4076">
        <v>-0.51377899999999999</v>
      </c>
      <c r="AH4076">
        <v>270.705006012046</v>
      </c>
      <c r="AI4076">
        <v>90.108509224354407</v>
      </c>
      <c r="AJ4076">
        <v>86.240628890082803</v>
      </c>
      <c r="AK4076">
        <v>271.289248213598</v>
      </c>
      <c r="AL4076">
        <v>81.3415700271959</v>
      </c>
      <c r="AM4076">
        <v>94.273420221700505</v>
      </c>
      <c r="AN4076">
        <v>1.00000003501862</v>
      </c>
    </row>
    <row r="4077" spans="1:40" x14ac:dyDescent="0.25">
      <c r="A4077" t="str">
        <f>"20190304154834408"</f>
        <v>20190304154834408</v>
      </c>
      <c r="B4077" t="str">
        <f>"1551685714400403"</f>
        <v>1551685714400403</v>
      </c>
      <c r="C4077" t="s">
        <v>40</v>
      </c>
      <c r="D4077">
        <v>4.1438370000000004</v>
      </c>
      <c r="E4077">
        <v>0.55112240000000001</v>
      </c>
      <c r="F4077" t="s">
        <v>70</v>
      </c>
      <c r="G4077">
        <v>-168.4126</v>
      </c>
      <c r="H4077">
        <v>0.42736049999999998</v>
      </c>
      <c r="I4077">
        <v>200.5402</v>
      </c>
      <c r="J4077">
        <v>-439.0548</v>
      </c>
      <c r="K4077">
        <v>1.109699</v>
      </c>
      <c r="L4077">
        <v>213.8244</v>
      </c>
      <c r="M4077">
        <v>0.99984589999999995</v>
      </c>
      <c r="N4077">
        <v>-8.9410719999999996E-3</v>
      </c>
      <c r="O4077">
        <v>1.511347E-2</v>
      </c>
      <c r="P4077">
        <v>0.98580159999999994</v>
      </c>
      <c r="Q4077">
        <v>0.14232700000000001</v>
      </c>
      <c r="R4077">
        <v>8.9098189999999994E-2</v>
      </c>
      <c r="S4077">
        <v>3.0575260000000002</v>
      </c>
      <c r="T4077">
        <v>-7.6996089999999996E-3</v>
      </c>
      <c r="U4077">
        <v>-0.14985660000000001</v>
      </c>
      <c r="V4077">
        <v>-7.4090059999999999E-2</v>
      </c>
      <c r="W4077">
        <v>0.15119460000000001</v>
      </c>
      <c r="X4077">
        <v>0.98572349999999997</v>
      </c>
      <c r="Y4077">
        <v>6.4042730000000006E-2</v>
      </c>
      <c r="Z4077">
        <v>-2.7006900000000001E-4</v>
      </c>
      <c r="AA4077">
        <v>0.99794709999999998</v>
      </c>
      <c r="AB4077">
        <v>29</v>
      </c>
      <c r="AC4077">
        <v>270.6422</v>
      </c>
      <c r="AD4077">
        <v>-0.68233849999999996</v>
      </c>
      <c r="AE4077">
        <v>-13.284199999999901</v>
      </c>
      <c r="AF4077">
        <v>17.373078361325302</v>
      </c>
      <c r="AG4077">
        <v>-0.68233849999999996</v>
      </c>
      <c r="AH4077">
        <v>270.40879308175403</v>
      </c>
      <c r="AI4077">
        <v>90.144280055061003</v>
      </c>
      <c r="AJ4077">
        <v>86.323944020243104</v>
      </c>
      <c r="AK4077">
        <v>270.96716556348298</v>
      </c>
      <c r="AL4077">
        <v>81.303838120718197</v>
      </c>
      <c r="AM4077">
        <v>94.298447388681097</v>
      </c>
      <c r="AN4077">
        <v>0.99999998125610601</v>
      </c>
    </row>
    <row r="4078" spans="1:40" x14ac:dyDescent="0.25">
      <c r="A4078" t="str">
        <f>"20190304154834430"</f>
        <v>20190304154834430</v>
      </c>
      <c r="B4078" t="str">
        <f>"1551685714421057"</f>
        <v>1551685714421057</v>
      </c>
      <c r="C4078" t="s">
        <v>40</v>
      </c>
      <c r="D4078">
        <v>4.0224589999999996</v>
      </c>
      <c r="E4078">
        <v>0.52413849999999995</v>
      </c>
      <c r="F4078" t="s">
        <v>70</v>
      </c>
      <c r="G4078">
        <v>-168.41249999999999</v>
      </c>
      <c r="H4078">
        <v>0.50995159999999995</v>
      </c>
      <c r="I4078">
        <v>200.9736</v>
      </c>
      <c r="J4078">
        <v>-438.7534</v>
      </c>
      <c r="K4078">
        <v>1.1096809999999999</v>
      </c>
      <c r="L4078">
        <v>213.82859999999999</v>
      </c>
      <c r="M4078">
        <v>0.9998513</v>
      </c>
      <c r="N4078">
        <v>-8.9467820000000003E-3</v>
      </c>
      <c r="O4078">
        <v>1.47393E-2</v>
      </c>
      <c r="P4078">
        <v>0.98575060000000003</v>
      </c>
      <c r="Q4078">
        <v>0.14307779999999901</v>
      </c>
      <c r="R4078">
        <v>8.8456090000000001E-2</v>
      </c>
      <c r="S4078">
        <v>3.0573730000000001</v>
      </c>
      <c r="T4078">
        <v>-6.7747830000000004E-3</v>
      </c>
      <c r="U4078">
        <v>-0.1451721</v>
      </c>
      <c r="V4078">
        <v>-7.3807780000000003E-2</v>
      </c>
      <c r="W4078">
        <v>0.151954799999999</v>
      </c>
      <c r="X4078">
        <v>0.98562780000000005</v>
      </c>
      <c r="Y4078">
        <v>6.2146239999999998E-2</v>
      </c>
      <c r="Z4078">
        <v>-2.4783770000000001E-4</v>
      </c>
      <c r="AA4078">
        <v>0.99806700000000004</v>
      </c>
      <c r="AB4078">
        <v>29</v>
      </c>
      <c r="AC4078">
        <v>270.34089999999998</v>
      </c>
      <c r="AD4078">
        <v>-0.59972939999999997</v>
      </c>
      <c r="AE4078">
        <v>-12.854999999999899</v>
      </c>
      <c r="AF4078">
        <v>16.838316059755702</v>
      </c>
      <c r="AG4078">
        <v>-0.59972939999999997</v>
      </c>
      <c r="AH4078">
        <v>270.120723019678</v>
      </c>
      <c r="AI4078">
        <v>90.126963007025097</v>
      </c>
      <c r="AJ4078">
        <v>86.433010734208494</v>
      </c>
      <c r="AK4078">
        <v>270.64569748613201</v>
      </c>
      <c r="AL4078">
        <v>81.2597729351303</v>
      </c>
      <c r="AM4078">
        <v>94.282545746096304</v>
      </c>
      <c r="AN4078">
        <v>1.0000000048822</v>
      </c>
    </row>
    <row r="4079" spans="1:40" x14ac:dyDescent="0.25">
      <c r="A4079" t="str">
        <f>"20190304154834455"</f>
        <v>20190304154834455</v>
      </c>
      <c r="B4079" t="str">
        <f>"1551685714451313"</f>
        <v>1551685714451313</v>
      </c>
      <c r="C4079" t="s">
        <v>40</v>
      </c>
      <c r="D4079">
        <v>4.036092</v>
      </c>
      <c r="E4079">
        <v>0.52745889999999995</v>
      </c>
      <c r="F4079" t="s">
        <v>71</v>
      </c>
      <c r="G4079">
        <v>-157.8382</v>
      </c>
      <c r="H4079">
        <v>2.793682</v>
      </c>
      <c r="I4079">
        <v>220.08869999999999</v>
      </c>
      <c r="J4079">
        <v>-438.44139999999999</v>
      </c>
      <c r="K4079">
        <v>1.1096490000000001</v>
      </c>
      <c r="L4079">
        <v>213.83269999999999</v>
      </c>
      <c r="M4079">
        <v>0.99985760000000001</v>
      </c>
      <c r="N4079">
        <v>-8.9530830000000006E-3</v>
      </c>
      <c r="O4079">
        <v>1.4306839999999999E-2</v>
      </c>
      <c r="P4079">
        <v>0.98567159999999998</v>
      </c>
      <c r="Q4079">
        <v>0.14397889999999999</v>
      </c>
      <c r="R4079">
        <v>8.7872989999999998E-2</v>
      </c>
      <c r="S4079">
        <v>3.0346679999999999</v>
      </c>
      <c r="T4079">
        <v>1.8192529999999998E-2</v>
      </c>
      <c r="U4079">
        <v>6.7626950000000005E-2</v>
      </c>
      <c r="V4079">
        <v>-7.3640800000000006E-2</v>
      </c>
      <c r="W4079">
        <v>0.15286669999999999</v>
      </c>
      <c r="X4079">
        <v>0.98549929999999997</v>
      </c>
      <c r="Y4079">
        <v>-7.9747889999999995E-3</v>
      </c>
      <c r="Z4079">
        <v>2.2563720000000001E-4</v>
      </c>
      <c r="AA4079">
        <v>0.99996819999999997</v>
      </c>
      <c r="AB4079">
        <v>29</v>
      </c>
      <c r="AC4079">
        <v>280.60320000000002</v>
      </c>
      <c r="AD4079">
        <v>1.6840329999999999</v>
      </c>
      <c r="AE4079">
        <v>6.2560000000000002</v>
      </c>
      <c r="AF4079">
        <v>-2.2405731328346001</v>
      </c>
      <c r="AG4079">
        <v>1.6840329999999999</v>
      </c>
      <c r="AH4079">
        <v>280.653882193448</v>
      </c>
      <c r="AI4079">
        <v>89.656218007158898</v>
      </c>
      <c r="AJ4079">
        <v>90.457405598595003</v>
      </c>
      <c r="AK4079">
        <v>280.66787797210202</v>
      </c>
      <c r="AL4079">
        <v>81.206907543236298</v>
      </c>
      <c r="AM4079">
        <v>94.273448077854198</v>
      </c>
      <c r="AN4079">
        <v>1.000000032847</v>
      </c>
    </row>
    <row r="4080" spans="1:40" x14ac:dyDescent="0.25">
      <c r="A4080" t="str">
        <f>"20190304154834475"</f>
        <v>20190304154834475</v>
      </c>
      <c r="B4080" t="str">
        <f>"1551685714470833"</f>
        <v>1551685714470833</v>
      </c>
      <c r="C4080" t="s">
        <v>40</v>
      </c>
      <c r="D4080">
        <v>4.0431059999999999</v>
      </c>
      <c r="E4080">
        <v>0.52801390000000004</v>
      </c>
      <c r="F4080" t="s">
        <v>72</v>
      </c>
      <c r="G4080">
        <v>-107.39749999999999</v>
      </c>
      <c r="H4080">
        <v>20.38503</v>
      </c>
      <c r="I4080">
        <v>218.4195</v>
      </c>
      <c r="J4080">
        <v>-438.1574</v>
      </c>
      <c r="K4080">
        <v>1.1096159999999999</v>
      </c>
      <c r="L4080">
        <v>213.8364</v>
      </c>
      <c r="M4080">
        <v>0.99986359999999996</v>
      </c>
      <c r="N4080">
        <v>-8.9586600000000002E-3</v>
      </c>
      <c r="O4080">
        <v>1.3874579999999999E-2</v>
      </c>
      <c r="P4080">
        <v>0.98570259999999998</v>
      </c>
      <c r="Q4080">
        <v>0.14418539999999999</v>
      </c>
      <c r="R4080">
        <v>8.7184319999999996E-2</v>
      </c>
      <c r="S4080">
        <v>3.014221</v>
      </c>
      <c r="T4080">
        <v>0.17550669999999999</v>
      </c>
      <c r="U4080">
        <v>4.1763309999999998E-2</v>
      </c>
      <c r="V4080">
        <v>-7.3367160000000001E-2</v>
      </c>
      <c r="W4080">
        <v>0.15308350000000001</v>
      </c>
      <c r="X4080">
        <v>0.98548599999999997</v>
      </c>
      <c r="Y4080" s="1">
        <v>-1.0219690000000001E-5</v>
      </c>
      <c r="Z4080">
        <v>9.3103049999999996E-4</v>
      </c>
      <c r="AA4080">
        <v>0.99999959999999999</v>
      </c>
      <c r="AB4080">
        <v>30</v>
      </c>
      <c r="AC4080">
        <v>330.75990000000002</v>
      </c>
      <c r="AD4080">
        <v>19.275414000000001</v>
      </c>
      <c r="AE4080">
        <v>4.5831</v>
      </c>
      <c r="AF4080">
        <v>6.6574910871164397E-3</v>
      </c>
      <c r="AG4080">
        <v>19.275414000000001</v>
      </c>
      <c r="AH4080">
        <v>329.67226246562399</v>
      </c>
      <c r="AI4080">
        <v>86.653816268597097</v>
      </c>
      <c r="AJ4080">
        <v>89.998842953487994</v>
      </c>
      <c r="AK4080">
        <v>330.235283197294</v>
      </c>
      <c r="AL4080">
        <v>81.194337379976901</v>
      </c>
      <c r="AM4080">
        <v>94.257684229499503</v>
      </c>
      <c r="AN4080">
        <v>0.999999977167357</v>
      </c>
    </row>
    <row r="4081" spans="1:40" x14ac:dyDescent="0.25">
      <c r="A4081" t="str">
        <f>"20190304154834496"</f>
        <v>20190304154834496</v>
      </c>
      <c r="B4081" t="str">
        <f>"1551685714490354"</f>
        <v>1551685714490354</v>
      </c>
      <c r="C4081" t="s">
        <v>40</v>
      </c>
      <c r="D4081">
        <v>3.989897</v>
      </c>
      <c r="E4081">
        <v>0.52831600000000001</v>
      </c>
      <c r="F4081" t="s">
        <v>72</v>
      </c>
      <c r="G4081">
        <v>-107.39749999999999</v>
      </c>
      <c r="H4081">
        <v>25.208629999999999</v>
      </c>
      <c r="I4081">
        <v>217.78569999999999</v>
      </c>
      <c r="J4081">
        <v>-437.88209999999998</v>
      </c>
      <c r="K4081">
        <v>1.1095870000000001</v>
      </c>
      <c r="L4081">
        <v>213.83969999999999</v>
      </c>
      <c r="M4081">
        <v>0.99986980000000003</v>
      </c>
      <c r="N4081">
        <v>-8.9640929999999994E-3</v>
      </c>
      <c r="O4081">
        <v>1.342638E-2</v>
      </c>
      <c r="P4081">
        <v>0.98580369999999995</v>
      </c>
      <c r="Q4081">
        <v>0.14405190000000001</v>
      </c>
      <c r="R4081">
        <v>8.6257340000000002E-2</v>
      </c>
      <c r="S4081">
        <v>3.0082399999999998</v>
      </c>
      <c r="T4081">
        <v>0.2191794</v>
      </c>
      <c r="U4081">
        <v>3.5919189999999997E-2</v>
      </c>
      <c r="V4081">
        <v>-7.2871859999999997E-2</v>
      </c>
      <c r="W4081">
        <v>0.15295999999999901</v>
      </c>
      <c r="X4081">
        <v>0.98554189999999997</v>
      </c>
      <c r="Y4081">
        <v>1.4394010000000001E-3</v>
      </c>
      <c r="Z4081">
        <v>1.142957E-3</v>
      </c>
      <c r="AA4081">
        <v>0.99999830000000001</v>
      </c>
      <c r="AB4081">
        <v>30</v>
      </c>
      <c r="AC4081">
        <v>330.4846</v>
      </c>
      <c r="AD4081">
        <v>24.099043000000002</v>
      </c>
      <c r="AE4081">
        <v>3.94599999999999</v>
      </c>
      <c r="AF4081">
        <v>0.48914469738608801</v>
      </c>
      <c r="AG4081">
        <v>24.099043000000002</v>
      </c>
      <c r="AH4081">
        <v>328.75990115420501</v>
      </c>
      <c r="AI4081">
        <v>85.807558148033095</v>
      </c>
      <c r="AJ4081">
        <v>89.914752663105105</v>
      </c>
      <c r="AK4081">
        <v>329.64234519092599</v>
      </c>
      <c r="AL4081">
        <v>81.201497524451995</v>
      </c>
      <c r="AM4081">
        <v>94.228806335917199</v>
      </c>
      <c r="AN4081">
        <v>0.99999995311773304</v>
      </c>
    </row>
    <row r="4082" spans="1:40" x14ac:dyDescent="0.25">
      <c r="A4082" t="str">
        <f>"20190304154834518"</f>
        <v>20190304154834518</v>
      </c>
      <c r="B4082" t="str">
        <f>"1551685714510849"</f>
        <v>1551685714510849</v>
      </c>
      <c r="C4082" t="s">
        <v>40</v>
      </c>
      <c r="D4082">
        <v>3.994551</v>
      </c>
      <c r="E4082">
        <v>0.52855629999999998</v>
      </c>
      <c r="F4082" t="s">
        <v>72</v>
      </c>
      <c r="G4082">
        <v>-107.39749999999999</v>
      </c>
      <c r="H4082">
        <v>27.634679999999999</v>
      </c>
      <c r="I4082">
        <v>217.25450000000001</v>
      </c>
      <c r="J4082">
        <v>-437.58260000000001</v>
      </c>
      <c r="K4082">
        <v>1.109556</v>
      </c>
      <c r="L4082">
        <v>213.8432</v>
      </c>
      <c r="M4082">
        <v>0.9998766</v>
      </c>
      <c r="N4082">
        <v>-8.9699840000000003E-3</v>
      </c>
      <c r="O4082">
        <v>1.290756E-2</v>
      </c>
      <c r="P4082">
        <v>0.98591980000000001</v>
      </c>
      <c r="Q4082">
        <v>0.1437148</v>
      </c>
      <c r="R4082">
        <v>8.5488419999999996E-2</v>
      </c>
      <c r="S4082">
        <v>3.0052189999999999</v>
      </c>
      <c r="T4082">
        <v>0.24120279999999999</v>
      </c>
      <c r="U4082">
        <v>3.1051639999999998E-2</v>
      </c>
      <c r="V4082">
        <v>-7.2604409999999994E-2</v>
      </c>
      <c r="W4082">
        <v>0.152633399999999</v>
      </c>
      <c r="X4082">
        <v>0.9856123</v>
      </c>
      <c r="Y4082">
        <v>2.517741E-3</v>
      </c>
      <c r="Z4082">
        <v>1.2393910000000001E-3</v>
      </c>
      <c r="AA4082">
        <v>0.99999610000000005</v>
      </c>
      <c r="AB4082">
        <v>30</v>
      </c>
      <c r="AC4082">
        <v>330.18509999999998</v>
      </c>
      <c r="AD4082">
        <v>26.525124000000002</v>
      </c>
      <c r="AE4082">
        <v>3.41130000000001</v>
      </c>
      <c r="AF4082">
        <v>0.84558261979789096</v>
      </c>
      <c r="AG4082">
        <v>26.525124000000002</v>
      </c>
      <c r="AH4082">
        <v>328.08453477259002</v>
      </c>
      <c r="AI4082">
        <v>85.377794197700993</v>
      </c>
      <c r="AJ4082">
        <v>89.852330107229193</v>
      </c>
      <c r="AK4082">
        <v>329.156131904191</v>
      </c>
      <c r="AL4082">
        <v>81.220432912839101</v>
      </c>
      <c r="AM4082">
        <v>94.213042148987498</v>
      </c>
      <c r="AN4082">
        <v>0.99999998052914796</v>
      </c>
    </row>
    <row r="4083" spans="1:40" x14ac:dyDescent="0.25">
      <c r="A4083" t="str">
        <f>"20190304154834542"</f>
        <v>20190304154834542</v>
      </c>
      <c r="B4083" t="str">
        <f>"1551685714530373"</f>
        <v>1551685714530373</v>
      </c>
      <c r="C4083" t="s">
        <v>40</v>
      </c>
      <c r="D4083">
        <v>3.9714640000000001</v>
      </c>
      <c r="E4083">
        <v>0.52954619999999997</v>
      </c>
      <c r="F4083" t="s">
        <v>72</v>
      </c>
      <c r="G4083">
        <v>-107.39749999999999</v>
      </c>
      <c r="H4083">
        <v>29.099460000000001</v>
      </c>
      <c r="I4083">
        <v>216.8158</v>
      </c>
      <c r="J4083">
        <v>-437.27879999999999</v>
      </c>
      <c r="K4083">
        <v>1.1095410000000001</v>
      </c>
      <c r="L4083">
        <v>213.8466</v>
      </c>
      <c r="M4083">
        <v>0.99988350000000004</v>
      </c>
      <c r="N4083">
        <v>-8.9761340000000002E-3</v>
      </c>
      <c r="O4083">
        <v>1.2351910000000001E-2</v>
      </c>
      <c r="P4083">
        <v>0.98596530000000004</v>
      </c>
      <c r="Q4083">
        <v>0.14388020000000001</v>
      </c>
      <c r="R4083">
        <v>8.4681489999999998E-2</v>
      </c>
      <c r="S4083">
        <v>3.0033569999999998</v>
      </c>
      <c r="T4083">
        <v>0.25459609999999999</v>
      </c>
      <c r="U4083">
        <v>2.7038570000000001E-2</v>
      </c>
      <c r="V4083">
        <v>-7.2336429999999993E-2</v>
      </c>
      <c r="W4083">
        <v>0.15280879999999999</v>
      </c>
      <c r="X4083">
        <v>0.98560479999999995</v>
      </c>
      <c r="Y4083">
        <v>3.285474E-3</v>
      </c>
      <c r="Z4083">
        <v>1.280039E-3</v>
      </c>
      <c r="AA4083">
        <v>0.99999380000000004</v>
      </c>
      <c r="AB4083">
        <v>30</v>
      </c>
      <c r="AC4083">
        <v>329.88130000000001</v>
      </c>
      <c r="AD4083">
        <v>27.989919</v>
      </c>
      <c r="AE4083">
        <v>2.9691999999999998</v>
      </c>
      <c r="AF4083">
        <v>1.0979507127118799</v>
      </c>
      <c r="AG4083">
        <v>27.989919</v>
      </c>
      <c r="AH4083">
        <v>327.53499014002</v>
      </c>
      <c r="AI4083">
        <v>85.115610492622494</v>
      </c>
      <c r="AJ4083">
        <v>89.807935920695499</v>
      </c>
      <c r="AK4083">
        <v>328.730605249066</v>
      </c>
      <c r="AL4083">
        <v>81.210263718982105</v>
      </c>
      <c r="AM4083">
        <v>94.197579487647104</v>
      </c>
      <c r="AN4083">
        <v>0.99999995512281104</v>
      </c>
    </row>
    <row r="4084" spans="1:40" x14ac:dyDescent="0.25">
      <c r="A4084" t="str">
        <f>"20190304154834563"</f>
        <v>20190304154834563</v>
      </c>
      <c r="B4084" t="str">
        <f>"1551685714560626"</f>
        <v>1551685714560626</v>
      </c>
      <c r="C4084" t="s">
        <v>40</v>
      </c>
      <c r="D4084">
        <v>3.968172</v>
      </c>
      <c r="E4084">
        <v>0.53095990000000004</v>
      </c>
      <c r="F4084" t="s">
        <v>72</v>
      </c>
      <c r="G4084">
        <v>-107.39749999999999</v>
      </c>
      <c r="H4084">
        <v>31.238</v>
      </c>
      <c r="I4084">
        <v>215.69649999999999</v>
      </c>
      <c r="J4084">
        <v>-436.99340000000001</v>
      </c>
      <c r="K4084">
        <v>1.1095200000000001</v>
      </c>
      <c r="L4084">
        <v>213.84960000000001</v>
      </c>
      <c r="M4084">
        <v>0.99988999999999995</v>
      </c>
      <c r="N4084">
        <v>-8.9819840000000001E-3</v>
      </c>
      <c r="O4084">
        <v>1.1807939999999999E-2</v>
      </c>
      <c r="P4084">
        <v>0.98601919999999998</v>
      </c>
      <c r="Q4084">
        <v>0.14393729999999999</v>
      </c>
      <c r="R4084">
        <v>8.3954269999999998E-2</v>
      </c>
      <c r="S4084">
        <v>3.0012210000000001</v>
      </c>
      <c r="T4084">
        <v>0.2741055</v>
      </c>
      <c r="U4084">
        <v>1.6830439999999999E-2</v>
      </c>
      <c r="V4084">
        <v>-7.2138270000000004E-2</v>
      </c>
      <c r="W4084">
        <v>0.15287519999999999</v>
      </c>
      <c r="X4084">
        <v>0.98560910000000002</v>
      </c>
      <c r="Y4084">
        <v>6.1186119999999998E-3</v>
      </c>
      <c r="Z4084">
        <v>1.4332780000000001E-3</v>
      </c>
      <c r="AA4084">
        <v>0.99998030000000004</v>
      </c>
      <c r="AB4084">
        <v>30</v>
      </c>
      <c r="AC4084">
        <v>329.59589999999997</v>
      </c>
      <c r="AD4084">
        <v>30.12848</v>
      </c>
      <c r="AE4084">
        <v>1.84689999999997</v>
      </c>
      <c r="AF4084">
        <v>2.0282866199082101</v>
      </c>
      <c r="AG4084">
        <v>30.12848</v>
      </c>
      <c r="AH4084">
        <v>326.86359027606397</v>
      </c>
      <c r="AI4084">
        <v>84.733773226520398</v>
      </c>
      <c r="AJ4084">
        <v>89.644467065644804</v>
      </c>
      <c r="AK4084">
        <v>328.25545829716401</v>
      </c>
      <c r="AL4084">
        <v>81.206414688375503</v>
      </c>
      <c r="AM4084">
        <v>94.186103281318907</v>
      </c>
      <c r="AN4084">
        <v>1.0000000273882199</v>
      </c>
    </row>
    <row r="4085" spans="1:40" x14ac:dyDescent="0.25">
      <c r="A4085" t="str">
        <f>"20190304154834586"</f>
        <v>20190304154834586</v>
      </c>
      <c r="B4085" t="str">
        <f>"1551685714581121"</f>
        <v>1551685714581121</v>
      </c>
      <c r="C4085" t="s">
        <v>40</v>
      </c>
      <c r="D4085">
        <v>3.9542890000000002</v>
      </c>
      <c r="E4085">
        <v>0.53156340000000002</v>
      </c>
      <c r="F4085" t="s">
        <v>72</v>
      </c>
      <c r="G4085">
        <v>-107.39749999999999</v>
      </c>
      <c r="H4085">
        <v>33.576700000000002</v>
      </c>
      <c r="I4085">
        <v>214.27889999999999</v>
      </c>
      <c r="J4085">
        <v>-436.6936</v>
      </c>
      <c r="K4085">
        <v>1.1095010000000001</v>
      </c>
      <c r="L4085">
        <v>213.85249999999999</v>
      </c>
      <c r="M4085">
        <v>0.99989680000000003</v>
      </c>
      <c r="N4085">
        <v>-8.9880819999999997E-3</v>
      </c>
      <c r="O4085">
        <v>1.122006E-2</v>
      </c>
      <c r="P4085">
        <v>0.9861105</v>
      </c>
      <c r="Q4085">
        <v>0.1435447</v>
      </c>
      <c r="R4085">
        <v>8.3553559999999999E-2</v>
      </c>
      <c r="S4085">
        <v>2.9991150000000002</v>
      </c>
      <c r="T4085">
        <v>0.29543140000000001</v>
      </c>
      <c r="U4085">
        <v>3.90625E-3</v>
      </c>
      <c r="V4085">
        <v>-7.2310379999999994E-2</v>
      </c>
      <c r="W4085">
        <v>0.15249209999999999</v>
      </c>
      <c r="X4085">
        <v>0.98565579999999997</v>
      </c>
      <c r="Y4085">
        <v>9.8103289999999996E-3</v>
      </c>
      <c r="Z4085">
        <v>1.6409790000000001E-3</v>
      </c>
      <c r="AA4085">
        <v>0.99995049999999996</v>
      </c>
      <c r="AB4085">
        <v>30</v>
      </c>
      <c r="AC4085">
        <v>329.29610000000002</v>
      </c>
      <c r="AD4085">
        <v>32.467199000000001</v>
      </c>
      <c r="AE4085">
        <v>0.426400000000001</v>
      </c>
      <c r="AF4085">
        <v>3.2370300463921202</v>
      </c>
      <c r="AG4085">
        <v>32.467199000000001</v>
      </c>
      <c r="AH4085">
        <v>326.11000421420698</v>
      </c>
      <c r="AI4085">
        <v>84.314701184343804</v>
      </c>
      <c r="AJ4085">
        <v>89.431289851792499</v>
      </c>
      <c r="AK4085">
        <v>327.73820684048599</v>
      </c>
      <c r="AL4085">
        <v>81.228624819211902</v>
      </c>
      <c r="AM4085">
        <v>94.195856905010501</v>
      </c>
      <c r="AN4085">
        <v>0.999999993845897</v>
      </c>
    </row>
    <row r="4086" spans="1:40" x14ac:dyDescent="0.25">
      <c r="A4086" t="str">
        <f>"20190304154834608"</f>
        <v>20190304154834608</v>
      </c>
      <c r="B4086" t="str">
        <f>"1551685714600642"</f>
        <v>1551685714600642</v>
      </c>
      <c r="C4086" t="s">
        <v>40</v>
      </c>
      <c r="D4086">
        <v>3.92869</v>
      </c>
      <c r="E4086">
        <v>0.53198719999999999</v>
      </c>
      <c r="F4086" t="s">
        <v>72</v>
      </c>
      <c r="G4086">
        <v>-107.39749999999999</v>
      </c>
      <c r="H4086">
        <v>34.477089999999997</v>
      </c>
      <c r="I4086">
        <v>213.61449999999999</v>
      </c>
      <c r="J4086">
        <v>-436.38229999999999</v>
      </c>
      <c r="K4086">
        <v>1.109483</v>
      </c>
      <c r="L4086">
        <v>213.8554</v>
      </c>
      <c r="M4086">
        <v>0.9999034</v>
      </c>
      <c r="N4086">
        <v>-8.99438199999999E-3</v>
      </c>
      <c r="O4086">
        <v>1.05973E-2</v>
      </c>
      <c r="P4086">
        <v>0.98620019999999997</v>
      </c>
      <c r="Q4086">
        <v>0.14334469999999999</v>
      </c>
      <c r="R4086">
        <v>8.2838170000000003E-2</v>
      </c>
      <c r="S4086">
        <v>2.9981990000000001</v>
      </c>
      <c r="T4086">
        <v>0.30380810000000003</v>
      </c>
      <c r="U4086">
        <v>-2.166748E-3</v>
      </c>
      <c r="V4086">
        <v>-7.2203970000000006E-2</v>
      </c>
      <c r="W4086">
        <v>0.1523012</v>
      </c>
      <c r="X4086">
        <v>0.98569309999999999</v>
      </c>
      <c r="Y4086">
        <v>1.120379E-2</v>
      </c>
      <c r="Z4086">
        <v>1.6818110000000001E-3</v>
      </c>
      <c r="AA4086">
        <v>0.99993580000000004</v>
      </c>
      <c r="AB4086">
        <v>30</v>
      </c>
      <c r="AC4086">
        <v>328.98480000000001</v>
      </c>
      <c r="AD4086">
        <v>33.367607</v>
      </c>
      <c r="AE4086">
        <v>-0.24090000000001</v>
      </c>
      <c r="AF4086">
        <v>3.6894241677032502</v>
      </c>
      <c r="AG4086">
        <v>33.367607</v>
      </c>
      <c r="AH4086">
        <v>325.61410657012698</v>
      </c>
      <c r="AI4086">
        <v>84.149358974335797</v>
      </c>
      <c r="AJ4086">
        <v>89.350828530520801</v>
      </c>
      <c r="AK4086">
        <v>327.34012196041198</v>
      </c>
      <c r="AL4086">
        <v>81.239691714009993</v>
      </c>
      <c r="AM4086">
        <v>94.189546418951096</v>
      </c>
      <c r="AN4086">
        <v>0.99999997809640495</v>
      </c>
    </row>
    <row r="4087" spans="1:40" x14ac:dyDescent="0.25">
      <c r="A4087" t="str">
        <f>"20190304154834630"</f>
        <v>20190304154834630</v>
      </c>
      <c r="B4087" t="str">
        <f>"1551685714620670"</f>
        <v>1551685714620670</v>
      </c>
      <c r="C4087" t="s">
        <v>40</v>
      </c>
      <c r="D4087">
        <v>3.9099810000000002</v>
      </c>
      <c r="E4087">
        <v>0.53219519999999998</v>
      </c>
      <c r="F4087" t="s">
        <v>72</v>
      </c>
      <c r="G4087">
        <v>-107.39749999999999</v>
      </c>
      <c r="H4087">
        <v>35.316499999999998</v>
      </c>
      <c r="I4087">
        <v>213.04810000000001</v>
      </c>
      <c r="J4087">
        <v>-436.08550000000002</v>
      </c>
      <c r="K4087">
        <v>1.1094710000000001</v>
      </c>
      <c r="L4087">
        <v>213.8579</v>
      </c>
      <c r="M4087">
        <v>0.99990950000000001</v>
      </c>
      <c r="N4087">
        <v>-9.0002509999999904E-3</v>
      </c>
      <c r="O4087">
        <v>9.9959190000000007E-3</v>
      </c>
      <c r="P4087">
        <v>0.98628099999999996</v>
      </c>
      <c r="Q4087">
        <v>0.14292539999999901</v>
      </c>
      <c r="R4087">
        <v>8.2596699999999995E-2</v>
      </c>
      <c r="S4087">
        <v>2.9973139999999998</v>
      </c>
      <c r="T4087">
        <v>0.31165359999999998</v>
      </c>
      <c r="U4087">
        <v>-7.3547359999999997E-3</v>
      </c>
      <c r="V4087">
        <v>-7.2552179999999994E-2</v>
      </c>
      <c r="W4087">
        <v>0.1518902</v>
      </c>
      <c r="X4087">
        <v>0.98573089999999997</v>
      </c>
      <c r="Y4087">
        <v>1.232565E-2</v>
      </c>
      <c r="Z4087">
        <v>1.7097200000000001E-3</v>
      </c>
      <c r="AA4087">
        <v>0.99992259999999999</v>
      </c>
      <c r="AB4087">
        <v>30</v>
      </c>
      <c r="AC4087">
        <v>328.68799999999999</v>
      </c>
      <c r="AD4087">
        <v>34.207028999999999</v>
      </c>
      <c r="AE4087">
        <v>-0.80979999999999497</v>
      </c>
      <c r="AF4087">
        <v>4.0515498459688901</v>
      </c>
      <c r="AG4087">
        <v>34.207028999999999</v>
      </c>
      <c r="AH4087">
        <v>325.14193624724999</v>
      </c>
      <c r="AI4087">
        <v>83.994670360846001</v>
      </c>
      <c r="AJ4087">
        <v>89.286081962872998</v>
      </c>
      <c r="AK4087">
        <v>326.96148793974498</v>
      </c>
      <c r="AL4087">
        <v>81.263517046092005</v>
      </c>
      <c r="AM4087">
        <v>94.209517565647104</v>
      </c>
      <c r="AN4087">
        <v>0.99999992944679805</v>
      </c>
    </row>
    <row r="4088" spans="1:40" x14ac:dyDescent="0.25">
      <c r="A4088" t="str">
        <f>"20190304154834654"</f>
        <v>20190304154834654</v>
      </c>
      <c r="B4088" t="str">
        <f>"1551685714650926"</f>
        <v>1551685714650926</v>
      </c>
      <c r="C4088" t="s">
        <v>40</v>
      </c>
      <c r="D4088">
        <v>3.9223750000000002</v>
      </c>
      <c r="E4088">
        <v>0.53249729999999995</v>
      </c>
      <c r="F4088" t="s">
        <v>72</v>
      </c>
      <c r="G4088">
        <v>-107.39749999999999</v>
      </c>
      <c r="H4088">
        <v>35.692659999999997</v>
      </c>
      <c r="I4088">
        <v>212.81020000000001</v>
      </c>
      <c r="J4088">
        <v>-435.77789999999999</v>
      </c>
      <c r="K4088">
        <v>1.109464</v>
      </c>
      <c r="L4088">
        <v>213.8603</v>
      </c>
      <c r="M4088">
        <v>0.99991569999999996</v>
      </c>
      <c r="N4088">
        <v>-9.0066119999999902E-3</v>
      </c>
      <c r="O4088">
        <v>9.3683480000000003E-3</v>
      </c>
      <c r="P4088">
        <v>0.98624829999999997</v>
      </c>
      <c r="Q4088">
        <v>0.1433191</v>
      </c>
      <c r="R4088">
        <v>8.2306959999999998E-2</v>
      </c>
      <c r="S4088">
        <v>2.996826</v>
      </c>
      <c r="T4088">
        <v>0.31531409999999999</v>
      </c>
      <c r="U4088">
        <v>-9.5520020000000004E-3</v>
      </c>
      <c r="V4088">
        <v>-7.2878540000000006E-2</v>
      </c>
      <c r="W4088">
        <v>0.15229129999999999</v>
      </c>
      <c r="X4088">
        <v>0.98564499999999999</v>
      </c>
      <c r="Y4088">
        <v>1.2432230000000001E-2</v>
      </c>
      <c r="Z4088">
        <v>1.6632089999999999E-3</v>
      </c>
      <c r="AA4088">
        <v>0.99992130000000001</v>
      </c>
      <c r="AB4088">
        <v>30</v>
      </c>
      <c r="AC4088">
        <v>328.38040000000001</v>
      </c>
      <c r="AD4088">
        <v>34.583195999999901</v>
      </c>
      <c r="AE4088">
        <v>-1.05009999999998</v>
      </c>
      <c r="AF4088">
        <v>4.0812944080584197</v>
      </c>
      <c r="AG4088">
        <v>34.583195999999901</v>
      </c>
      <c r="AH4088">
        <v>324.75429483116397</v>
      </c>
      <c r="AI4088">
        <v>83.921937390285393</v>
      </c>
      <c r="AJ4088">
        <v>89.279982932799797</v>
      </c>
      <c r="AK4088">
        <v>326.61599229202898</v>
      </c>
      <c r="AL4088">
        <v>81.240265776081202</v>
      </c>
      <c r="AM4088">
        <v>94.228751799399305</v>
      </c>
      <c r="AN4088">
        <v>0.99999999383660998</v>
      </c>
    </row>
    <row r="4089" spans="1:40" x14ac:dyDescent="0.25">
      <c r="A4089" t="str">
        <f>"20190304154834676"</f>
        <v>20190304154834676</v>
      </c>
      <c r="B4089" t="str">
        <f>"1551685714671424"</f>
        <v>1551685714671424</v>
      </c>
      <c r="C4089" t="s">
        <v>40</v>
      </c>
      <c r="D4089">
        <v>3.940188</v>
      </c>
      <c r="E4089">
        <v>0.53268470000000001</v>
      </c>
      <c r="F4089" t="s">
        <v>72</v>
      </c>
      <c r="G4089">
        <v>-107.39749999999999</v>
      </c>
      <c r="H4089">
        <v>36.596710000000002</v>
      </c>
      <c r="I4089">
        <v>212.43700000000001</v>
      </c>
      <c r="J4089">
        <v>-435.47430000000003</v>
      </c>
      <c r="K4089">
        <v>1.109451</v>
      </c>
      <c r="L4089">
        <v>213.86250000000001</v>
      </c>
      <c r="M4089">
        <v>0.99992110000000001</v>
      </c>
      <c r="N4089">
        <v>-9.0127290000000006E-3</v>
      </c>
      <c r="O4089">
        <v>8.7476640000000005E-3</v>
      </c>
      <c r="P4089">
        <v>0.98629549999999999</v>
      </c>
      <c r="Q4089">
        <v>0.1431799</v>
      </c>
      <c r="R4089">
        <v>8.1980029999999995E-2</v>
      </c>
      <c r="S4089">
        <v>2.995911</v>
      </c>
      <c r="T4089">
        <v>0.32376100000000002</v>
      </c>
      <c r="U4089">
        <v>-1.298523E-2</v>
      </c>
      <c r="V4089">
        <v>-7.3162500000000005E-2</v>
      </c>
      <c r="W4089">
        <v>0.1521594</v>
      </c>
      <c r="X4089">
        <v>0.98564430000000003</v>
      </c>
      <c r="Y4089">
        <v>1.295318E-2</v>
      </c>
      <c r="Z4089">
        <v>1.6605260000000001E-3</v>
      </c>
      <c r="AA4089">
        <v>0.99991470000000005</v>
      </c>
      <c r="AB4089">
        <v>30</v>
      </c>
      <c r="AC4089">
        <v>328.07679999999999</v>
      </c>
      <c r="AD4089">
        <v>35.487258999999902</v>
      </c>
      <c r="AE4089">
        <v>-1.42549999999999</v>
      </c>
      <c r="AF4089">
        <v>4.2457919509291804</v>
      </c>
      <c r="AG4089">
        <v>35.487258999999902</v>
      </c>
      <c r="AH4089">
        <v>324.25795947782399</v>
      </c>
      <c r="AI4089">
        <v>83.754854887335398</v>
      </c>
      <c r="AJ4089">
        <v>89.249819314552596</v>
      </c>
      <c r="AK4089">
        <v>326.22169852011098</v>
      </c>
      <c r="AL4089">
        <v>81.247911906249698</v>
      </c>
      <c r="AM4089">
        <v>94.245171364572997</v>
      </c>
      <c r="AN4089">
        <v>0.99999996026854898</v>
      </c>
    </row>
    <row r="4090" spans="1:40" x14ac:dyDescent="0.25">
      <c r="A4090" t="str">
        <f>"20190304154834697"</f>
        <v>20190304154834697</v>
      </c>
      <c r="B4090" t="str">
        <f>"1551685714690943"</f>
        <v>1551685714690943</v>
      </c>
      <c r="C4090" t="s">
        <v>40</v>
      </c>
      <c r="D4090">
        <v>3.9175979999999999</v>
      </c>
      <c r="E4090">
        <v>0.53280280000000002</v>
      </c>
      <c r="F4090" t="s">
        <v>72</v>
      </c>
      <c r="G4090">
        <v>-107.39749999999999</v>
      </c>
      <c r="H4090">
        <v>36.966450000000002</v>
      </c>
      <c r="I4090">
        <v>212.18799999999999</v>
      </c>
      <c r="J4090">
        <v>-435.1866</v>
      </c>
      <c r="K4090">
        <v>1.109448</v>
      </c>
      <c r="L4090">
        <v>213.86449999999999</v>
      </c>
      <c r="M4090">
        <v>0.99992599999999998</v>
      </c>
      <c r="N4090">
        <v>-9.0184630000000009E-3</v>
      </c>
      <c r="O4090">
        <v>8.1597240000000001E-3</v>
      </c>
      <c r="P4090">
        <v>0.98633800000000005</v>
      </c>
      <c r="Q4090">
        <v>0.1430979</v>
      </c>
      <c r="R4090">
        <v>8.1611859999999994E-2</v>
      </c>
      <c r="S4090">
        <v>2.995422</v>
      </c>
      <c r="T4090">
        <v>0.3273836</v>
      </c>
      <c r="U4090">
        <v>-1.528931E-2</v>
      </c>
      <c r="V4090">
        <v>-7.3372969999999996E-2</v>
      </c>
      <c r="W4090">
        <v>0.15208350000000001</v>
      </c>
      <c r="X4090">
        <v>0.98564039999999997</v>
      </c>
      <c r="Y4090">
        <v>1.3135269999999999E-2</v>
      </c>
      <c r="Z4090">
        <v>1.6187899999999999E-3</v>
      </c>
      <c r="AA4090">
        <v>0.99991240000000003</v>
      </c>
      <c r="AB4090">
        <v>30</v>
      </c>
      <c r="AC4090">
        <v>327.78910000000002</v>
      </c>
      <c r="AD4090">
        <v>35.857002000000001</v>
      </c>
      <c r="AE4090">
        <v>-1.6765000000000001</v>
      </c>
      <c r="AF4090">
        <v>4.2997707644611403</v>
      </c>
      <c r="AG4090">
        <v>35.857002000000001</v>
      </c>
      <c r="AH4090">
        <v>323.88886486605099</v>
      </c>
      <c r="AI4090">
        <v>83.683191375464304</v>
      </c>
      <c r="AJ4090">
        <v>89.239417363875603</v>
      </c>
      <c r="AK4090">
        <v>325.89601010947302</v>
      </c>
      <c r="AL4090">
        <v>81.252312133744098</v>
      </c>
      <c r="AM4090">
        <v>94.257355594898897</v>
      </c>
      <c r="AN4090">
        <v>0.99999999090551495</v>
      </c>
    </row>
    <row r="4091" spans="1:40" x14ac:dyDescent="0.25">
      <c r="A4091" t="str">
        <f>"20190304154834720"</f>
        <v>20190304154834720</v>
      </c>
      <c r="B4091" t="str">
        <f>"1551685714710466"</f>
        <v>1551685714710466</v>
      </c>
      <c r="C4091" t="s">
        <v>40</v>
      </c>
      <c r="D4091">
        <v>3.9278580000000001</v>
      </c>
      <c r="E4091">
        <v>0.53290419999999905</v>
      </c>
      <c r="F4091" t="s">
        <v>72</v>
      </c>
      <c r="G4091">
        <v>-107.39749999999999</v>
      </c>
      <c r="H4091">
        <v>37.307749999999999</v>
      </c>
      <c r="I4091">
        <v>211.96729999999999</v>
      </c>
      <c r="J4091">
        <v>-434.87979999999999</v>
      </c>
      <c r="K4091">
        <v>1.1094469999999901</v>
      </c>
      <c r="L4091">
        <v>213.8663</v>
      </c>
      <c r="M4091">
        <v>0.99993100000000001</v>
      </c>
      <c r="N4091">
        <v>-9.0244680000000008E-3</v>
      </c>
      <c r="O4091">
        <v>7.5338219999999999E-3</v>
      </c>
      <c r="P4091">
        <v>0.98640890000000003</v>
      </c>
      <c r="Q4091">
        <v>0.1428102</v>
      </c>
      <c r="R4091">
        <v>8.1257259999999998E-2</v>
      </c>
      <c r="S4091">
        <v>2.9949949999999999</v>
      </c>
      <c r="T4091">
        <v>0.3307428</v>
      </c>
      <c r="U4091">
        <v>-1.7333979999999999E-2</v>
      </c>
      <c r="V4091">
        <v>-7.363517E-2</v>
      </c>
      <c r="W4091">
        <v>0.15180299999999999</v>
      </c>
      <c r="X4091">
        <v>0.98566410000000004</v>
      </c>
      <c r="Y4091">
        <v>1.319419E-2</v>
      </c>
      <c r="Z4091">
        <v>1.5638239999999999E-3</v>
      </c>
      <c r="AA4091">
        <v>0.99991169999999996</v>
      </c>
      <c r="AB4091">
        <v>30</v>
      </c>
      <c r="AC4091">
        <v>327.48230000000001</v>
      </c>
      <c r="AD4091">
        <v>36.198303000000003</v>
      </c>
      <c r="AE4091">
        <v>-1.899</v>
      </c>
      <c r="AF4091">
        <v>4.3135385592024003</v>
      </c>
      <c r="AG4091">
        <v>36.198303000000003</v>
      </c>
      <c r="AH4091">
        <v>323.50622613950202</v>
      </c>
      <c r="AI4091">
        <v>83.616083607121396</v>
      </c>
      <c r="AJ4091">
        <v>89.236079898338801</v>
      </c>
      <c r="AK4091">
        <v>325.55368544374397</v>
      </c>
      <c r="AL4091">
        <v>81.2685725056878</v>
      </c>
      <c r="AM4091">
        <v>94.272410766358902</v>
      </c>
      <c r="AN4091">
        <v>1.0000000035493599</v>
      </c>
    </row>
    <row r="4092" spans="1:40" x14ac:dyDescent="0.25">
      <c r="A4092" t="str">
        <f>"20190304154834741"</f>
        <v>20190304154834741</v>
      </c>
      <c r="B4092" t="str">
        <f>"1551685714730962"</f>
        <v>1551685714730962</v>
      </c>
      <c r="C4092" t="s">
        <v>40</v>
      </c>
      <c r="D4092">
        <v>3.9232680000000002</v>
      </c>
      <c r="E4092">
        <v>0.53294739999999996</v>
      </c>
      <c r="F4092" t="s">
        <v>72</v>
      </c>
      <c r="G4092">
        <v>-107.39749999999999</v>
      </c>
      <c r="H4092">
        <v>37.479309999999998</v>
      </c>
      <c r="I4092">
        <v>211.7705</v>
      </c>
      <c r="J4092">
        <v>-434.58429999999998</v>
      </c>
      <c r="K4092">
        <v>1.1094469999999901</v>
      </c>
      <c r="L4092">
        <v>213.86799999999999</v>
      </c>
      <c r="M4092">
        <v>0.99993520000000002</v>
      </c>
      <c r="N4092">
        <v>-9.0301800000000005E-3</v>
      </c>
      <c r="O4092">
        <v>6.9321259999999899E-3</v>
      </c>
      <c r="P4092">
        <v>0.98638780000000004</v>
      </c>
      <c r="Q4092">
        <v>0.1431404</v>
      </c>
      <c r="R4092">
        <v>8.0933430000000001E-2</v>
      </c>
      <c r="S4092">
        <v>2.9946899999999999</v>
      </c>
      <c r="T4092">
        <v>0.33258769999999999</v>
      </c>
      <c r="U4092">
        <v>-1.9165040000000001E-2</v>
      </c>
      <c r="V4092">
        <v>-7.3904369999999997E-2</v>
      </c>
      <c r="W4092">
        <v>0.1521391</v>
      </c>
      <c r="X4092">
        <v>0.98559209999999997</v>
      </c>
      <c r="Y4092">
        <v>1.320727E-2</v>
      </c>
      <c r="Z4092">
        <v>1.50123799999999E-3</v>
      </c>
      <c r="AA4092">
        <v>0.99991169999999996</v>
      </c>
      <c r="AB4092">
        <v>30</v>
      </c>
      <c r="AC4092">
        <v>327.18680000000001</v>
      </c>
      <c r="AD4092">
        <v>36.369863000000002</v>
      </c>
      <c r="AE4092">
        <v>-2.0974999999999899</v>
      </c>
      <c r="AF4092">
        <v>4.3123591756940503</v>
      </c>
      <c r="AG4092">
        <v>36.369863000000002</v>
      </c>
      <c r="AH4092">
        <v>323.17132868455599</v>
      </c>
      <c r="AI4092">
        <v>83.579488603929306</v>
      </c>
      <c r="AJ4092">
        <v>89.235497412048801</v>
      </c>
      <c r="AK4092">
        <v>325.24002069247302</v>
      </c>
      <c r="AL4092">
        <v>81.249088838099993</v>
      </c>
      <c r="AM4092">
        <v>94.288284037201606</v>
      </c>
      <c r="AN4092">
        <v>0.99999997461815804</v>
      </c>
    </row>
    <row r="4093" spans="1:40" x14ac:dyDescent="0.25">
      <c r="A4093" t="str">
        <f>"20190304154834764"</f>
        <v>20190304154834764</v>
      </c>
      <c r="B4093" t="str">
        <f>"1551685714761214"</f>
        <v>1551685714761214</v>
      </c>
      <c r="C4093" t="s">
        <v>40</v>
      </c>
      <c r="D4093">
        <v>3.9086370000000001</v>
      </c>
      <c r="E4093">
        <v>0.53306189999999998</v>
      </c>
      <c r="F4093" t="s">
        <v>72</v>
      </c>
      <c r="G4093">
        <v>-107.39749999999999</v>
      </c>
      <c r="H4093">
        <v>37.84122</v>
      </c>
      <c r="I4093">
        <v>211.637</v>
      </c>
      <c r="J4093">
        <v>-434.2878</v>
      </c>
      <c r="K4093">
        <v>1.109448</v>
      </c>
      <c r="L4093">
        <v>213.86940000000001</v>
      </c>
      <c r="M4093">
        <v>0.99993909999999997</v>
      </c>
      <c r="N4093">
        <v>-9.035876E-3</v>
      </c>
      <c r="O4093">
        <v>6.3298369999999996E-3</v>
      </c>
      <c r="P4093">
        <v>0.98644449999999995</v>
      </c>
      <c r="Q4093">
        <v>0.14293339999999999</v>
      </c>
      <c r="R4093">
        <v>8.0606360000000002E-2</v>
      </c>
      <c r="S4093">
        <v>2.9942319999999998</v>
      </c>
      <c r="T4093">
        <v>0.33614929999999998</v>
      </c>
      <c r="U4093">
        <v>-2.0416259999999999E-2</v>
      </c>
      <c r="V4093">
        <v>-7.4170319999999998E-2</v>
      </c>
      <c r="W4093">
        <v>0.151938299999999</v>
      </c>
      <c r="X4093">
        <v>0.98560309999999995</v>
      </c>
      <c r="Y4093">
        <v>1.302656E-2</v>
      </c>
      <c r="Z4093">
        <v>1.4352879999999901E-3</v>
      </c>
      <c r="AA4093">
        <v>0.99991410000000003</v>
      </c>
      <c r="AB4093">
        <v>30</v>
      </c>
      <c r="AC4093">
        <v>326.89030000000002</v>
      </c>
      <c r="AD4093">
        <v>36.731771999999999</v>
      </c>
      <c r="AE4093">
        <v>-2.2324000000000099</v>
      </c>
      <c r="AF4093">
        <v>4.2479680888296496</v>
      </c>
      <c r="AG4093">
        <v>36.731771999999999</v>
      </c>
      <c r="AH4093">
        <v>322.794080858352</v>
      </c>
      <c r="AI4093">
        <v>83.508612140809404</v>
      </c>
      <c r="AJ4093">
        <v>89.246031422765398</v>
      </c>
      <c r="AK4093">
        <v>324.905042965375</v>
      </c>
      <c r="AL4093">
        <v>81.260729176413193</v>
      </c>
      <c r="AM4093">
        <v>94.303609998818203</v>
      </c>
      <c r="AN4093">
        <v>0.99999997705270005</v>
      </c>
    </row>
    <row r="4094" spans="1:40" x14ac:dyDescent="0.25">
      <c r="A4094" t="str">
        <f>"20190304154834777"</f>
        <v>20190304154834777</v>
      </c>
      <c r="B4094" t="str">
        <f>"1551685714770976"</f>
        <v>1551685714770976</v>
      </c>
      <c r="C4094" t="s">
        <v>40</v>
      </c>
      <c r="D4094">
        <v>3.8778100000000002</v>
      </c>
      <c r="E4094">
        <v>0.53310139999999995</v>
      </c>
      <c r="F4094" t="s">
        <v>72</v>
      </c>
      <c r="G4094">
        <v>-107.39749999999999</v>
      </c>
      <c r="H4094">
        <v>38.129809999999999</v>
      </c>
      <c r="I4094">
        <v>211.43029999999999</v>
      </c>
      <c r="J4094">
        <v>-434.10660000000001</v>
      </c>
      <c r="K4094">
        <v>1.109442</v>
      </c>
      <c r="L4094">
        <v>213.87020000000001</v>
      </c>
      <c r="M4094">
        <v>0.99994150000000004</v>
      </c>
      <c r="N4094">
        <v>-9.0393550000000007E-3</v>
      </c>
      <c r="O4094">
        <v>5.9617530000000002E-3</v>
      </c>
      <c r="P4094">
        <v>0.98644160000000003</v>
      </c>
      <c r="Q4094">
        <v>0.14288799999999999</v>
      </c>
      <c r="R4094">
        <v>8.0723119999999995E-2</v>
      </c>
      <c r="S4094">
        <v>2.9939269999999998</v>
      </c>
      <c r="T4094">
        <v>0.3390629</v>
      </c>
      <c r="U4094">
        <v>-2.233887E-2</v>
      </c>
      <c r="V4094">
        <v>-7.4650179999999997E-2</v>
      </c>
      <c r="W4094">
        <v>0.1518969</v>
      </c>
      <c r="X4094">
        <v>0.98557329999999999</v>
      </c>
      <c r="Y4094">
        <v>1.330026E-2</v>
      </c>
      <c r="Z4094">
        <v>1.417144E-3</v>
      </c>
      <c r="AA4094">
        <v>0.99991050000000004</v>
      </c>
      <c r="AB4094">
        <v>30</v>
      </c>
      <c r="AC4094">
        <v>326.70909999999998</v>
      </c>
      <c r="AD4094">
        <v>37.020367999999998</v>
      </c>
      <c r="AE4094">
        <v>-2.4399000000000202</v>
      </c>
      <c r="AF4094">
        <v>4.3320749554536704</v>
      </c>
      <c r="AG4094">
        <v>37.020367999999998</v>
      </c>
      <c r="AH4094">
        <v>322.54752495768997</v>
      </c>
      <c r="AI4094">
        <v>83.453116779824896</v>
      </c>
      <c r="AJ4094">
        <v>89.230517460770599</v>
      </c>
      <c r="AK4094">
        <v>324.69397958170799</v>
      </c>
      <c r="AL4094">
        <v>81.263129487194405</v>
      </c>
      <c r="AM4094">
        <v>94.331477927137996</v>
      </c>
      <c r="AN4094">
        <v>1.00000002363826</v>
      </c>
    </row>
    <row r="4095" spans="1:40" x14ac:dyDescent="0.25">
      <c r="A4095" t="str">
        <f>"20190304154834798"</f>
        <v>20190304154834798</v>
      </c>
      <c r="B4095" t="str">
        <f>"1551685714790495"</f>
        <v>1551685714790495</v>
      </c>
      <c r="C4095" t="s">
        <v>40</v>
      </c>
      <c r="D4095">
        <v>3.8911090000000002</v>
      </c>
      <c r="E4095">
        <v>0.52887759999999995</v>
      </c>
      <c r="F4095" t="s">
        <v>72</v>
      </c>
      <c r="G4095">
        <v>-107.39749999999999</v>
      </c>
      <c r="H4095">
        <v>38.01193</v>
      </c>
      <c r="I4095">
        <v>211.42259999999999</v>
      </c>
      <c r="J4095">
        <v>-433.82600000000002</v>
      </c>
      <c r="K4095">
        <v>1.1094389999999901</v>
      </c>
      <c r="L4095">
        <v>213.87129999999999</v>
      </c>
      <c r="M4095">
        <v>0.99994470000000002</v>
      </c>
      <c r="N4095">
        <v>-9.0446729999999996E-3</v>
      </c>
      <c r="O4095">
        <v>5.3924919999999996E-3</v>
      </c>
      <c r="P4095">
        <v>0.9864984</v>
      </c>
      <c r="Q4095">
        <v>0.14257420000000001</v>
      </c>
      <c r="R4095">
        <v>8.0584649999999994E-2</v>
      </c>
      <c r="S4095">
        <v>2.9940799999999999</v>
      </c>
      <c r="T4095">
        <v>0.33818819999999999</v>
      </c>
      <c r="U4095">
        <v>-2.243042E-2</v>
      </c>
      <c r="V4095">
        <v>-7.5072949999999999E-2</v>
      </c>
      <c r="W4095">
        <v>0.1515891</v>
      </c>
      <c r="X4095">
        <v>0.98558860000000004</v>
      </c>
      <c r="Y4095">
        <v>1.276918E-2</v>
      </c>
      <c r="Z4095">
        <v>1.316705E-3</v>
      </c>
      <c r="AA4095">
        <v>0.99991759999999996</v>
      </c>
      <c r="AB4095">
        <v>30</v>
      </c>
      <c r="AC4095">
        <v>326.42849999999999</v>
      </c>
      <c r="AD4095">
        <v>36.902490999999998</v>
      </c>
      <c r="AE4095">
        <v>-2.4487000000000001</v>
      </c>
      <c r="AF4095">
        <v>4.15588940688788</v>
      </c>
      <c r="AG4095">
        <v>36.902490999999998</v>
      </c>
      <c r="AH4095">
        <v>322.291848805749</v>
      </c>
      <c r="AI4095">
        <v>83.468604420379407</v>
      </c>
      <c r="AJ4095">
        <v>89.261223243016701</v>
      </c>
      <c r="AK4095">
        <v>324.42426090752701</v>
      </c>
      <c r="AL4095">
        <v>81.280971935733604</v>
      </c>
      <c r="AM4095">
        <v>94.355847088998402</v>
      </c>
      <c r="AN4095">
        <v>1.00000004575523</v>
      </c>
    </row>
    <row r="4096" spans="1:40" x14ac:dyDescent="0.25">
      <c r="A4096" t="str">
        <f>"20190304154834821"</f>
        <v>20190304154834821</v>
      </c>
      <c r="B4096" t="str">
        <f>"1551685714810994"</f>
        <v>1551685714810994</v>
      </c>
      <c r="C4096" t="s">
        <v>40</v>
      </c>
      <c r="D4096">
        <v>3.9005139999999998</v>
      </c>
      <c r="E4096">
        <v>0.53092850000000003</v>
      </c>
      <c r="F4096" t="s">
        <v>72</v>
      </c>
      <c r="G4096">
        <v>-107.39749999999999</v>
      </c>
      <c r="H4096">
        <v>7.2094129999999996</v>
      </c>
      <c r="I4096">
        <v>214.55789999999999</v>
      </c>
      <c r="J4096">
        <v>-433.50560000000002</v>
      </c>
      <c r="K4096">
        <v>1.1094349999999999</v>
      </c>
      <c r="L4096">
        <v>213.8723</v>
      </c>
      <c r="M4096">
        <v>0.9999479</v>
      </c>
      <c r="N4096">
        <v>-9.0506849999999993E-3</v>
      </c>
      <c r="O4096">
        <v>4.7430609999999998E-3</v>
      </c>
      <c r="P4096">
        <v>0.98653760000000001</v>
      </c>
      <c r="Q4096">
        <v>0.14230400000000001</v>
      </c>
      <c r="R4096">
        <v>8.0581079999999999E-2</v>
      </c>
      <c r="S4096">
        <v>3.032349</v>
      </c>
      <c r="T4096">
        <v>5.6666019999999998E-2</v>
      </c>
      <c r="U4096">
        <v>6.3781740000000003E-3</v>
      </c>
      <c r="V4096">
        <v>-7.5710009999999994E-2</v>
      </c>
      <c r="W4096">
        <v>0.15132609999999999</v>
      </c>
      <c r="X4096">
        <v>0.98558029999999996</v>
      </c>
      <c r="Y4096">
        <v>2.637833E-3</v>
      </c>
      <c r="Z4096">
        <v>1.4425629999999999E-4</v>
      </c>
      <c r="AA4096">
        <v>0.99999649999999995</v>
      </c>
      <c r="AB4096">
        <v>30</v>
      </c>
      <c r="AC4096">
        <v>326.10809999999998</v>
      </c>
      <c r="AD4096">
        <v>6.0999780000000001</v>
      </c>
      <c r="AE4096">
        <v>0.68559999999999299</v>
      </c>
      <c r="AF4096">
        <v>0.86092028521500097</v>
      </c>
      <c r="AG4096">
        <v>6.0999780000000001</v>
      </c>
      <c r="AH4096">
        <v>325.99362160286103</v>
      </c>
      <c r="AI4096">
        <v>88.928012788486299</v>
      </c>
      <c r="AJ4096">
        <v>89.848687272094097</v>
      </c>
      <c r="AK4096">
        <v>326.05182447133598</v>
      </c>
      <c r="AL4096">
        <v>81.296216724458006</v>
      </c>
      <c r="AM4096">
        <v>94.392703064624598</v>
      </c>
      <c r="AN4096">
        <v>1.0000000609517401</v>
      </c>
    </row>
    <row r="4097" spans="1:40" x14ac:dyDescent="0.25">
      <c r="A4097" t="str">
        <f>"20190304154834842"</f>
        <v>20190304154834842</v>
      </c>
      <c r="B4097" t="str">
        <f>"1551685714830514"</f>
        <v>1551685714830514</v>
      </c>
      <c r="C4097" t="s">
        <v>40</v>
      </c>
      <c r="D4097">
        <v>3.9022760000000001</v>
      </c>
      <c r="E4097">
        <v>0.53139599999999998</v>
      </c>
      <c r="F4097" t="s">
        <v>72</v>
      </c>
      <c r="G4097">
        <v>-107.39749999999999</v>
      </c>
      <c r="H4097">
        <v>2.5977899999999998</v>
      </c>
      <c r="I4097">
        <v>212.7363</v>
      </c>
      <c r="J4097">
        <v>-433.22190000000001</v>
      </c>
      <c r="K4097">
        <v>1.109432</v>
      </c>
      <c r="L4097">
        <v>213.87309999999999</v>
      </c>
      <c r="M4097">
        <v>0.99995040000000002</v>
      </c>
      <c r="N4097">
        <v>-9.0561300000000008E-3</v>
      </c>
      <c r="O4097">
        <v>4.1677210000000001E-3</v>
      </c>
      <c r="P4097">
        <v>0.98654649999999999</v>
      </c>
      <c r="Q4097">
        <v>0.142123</v>
      </c>
      <c r="R4097">
        <v>8.0792539999999996E-2</v>
      </c>
      <c r="S4097">
        <v>3.0397639999999999</v>
      </c>
      <c r="T4097">
        <v>1.387393E-2</v>
      </c>
      <c r="U4097">
        <v>-1.0589599999999999E-2</v>
      </c>
      <c r="V4097">
        <v>-7.6488890000000004E-2</v>
      </c>
      <c r="W4097">
        <v>0.1511517</v>
      </c>
      <c r="X4097">
        <v>0.9855469</v>
      </c>
      <c r="Y4097">
        <v>7.6511969999999898E-3</v>
      </c>
      <c r="Z4097" s="1">
        <v>3.9580129999999999E-5</v>
      </c>
      <c r="AA4097">
        <v>0.99997069999999999</v>
      </c>
      <c r="AB4097">
        <v>30</v>
      </c>
      <c r="AC4097">
        <v>325.82440000000003</v>
      </c>
      <c r="AD4097">
        <v>1.4883580000000001</v>
      </c>
      <c r="AE4097">
        <v>-1.13679999999999</v>
      </c>
      <c r="AF4097">
        <v>2.4947388268338799</v>
      </c>
      <c r="AG4097">
        <v>1.4883580000000001</v>
      </c>
      <c r="AH4097">
        <v>325.81003352778799</v>
      </c>
      <c r="AI4097">
        <v>89.7382722135129</v>
      </c>
      <c r="AJ4097">
        <v>89.561292785180001</v>
      </c>
      <c r="AK4097">
        <v>325.822983963269</v>
      </c>
      <c r="AL4097">
        <v>81.306325196497596</v>
      </c>
      <c r="AM4097">
        <v>94.437863959557305</v>
      </c>
      <c r="AN4097">
        <v>1.00000003940296</v>
      </c>
    </row>
    <row r="4098" spans="1:40" x14ac:dyDescent="0.25">
      <c r="A4098" t="str">
        <f>"20190304154834865"</f>
        <v>20190304154834865</v>
      </c>
      <c r="B4098" t="str">
        <f>"1551685714860767"</f>
        <v>1551685714860767</v>
      </c>
      <c r="C4098" t="s">
        <v>40</v>
      </c>
      <c r="D4098">
        <v>3.89439</v>
      </c>
      <c r="E4098">
        <v>0.53165229999999997</v>
      </c>
      <c r="F4098" t="s">
        <v>72</v>
      </c>
      <c r="G4098">
        <v>-107.39749999999999</v>
      </c>
      <c r="H4098">
        <v>0.66433160000000002</v>
      </c>
      <c r="I4098">
        <v>212.3535</v>
      </c>
      <c r="J4098">
        <v>-432.90100000000001</v>
      </c>
      <c r="K4098">
        <v>1.109426</v>
      </c>
      <c r="L4098">
        <v>213.87379999999999</v>
      </c>
      <c r="M4098">
        <v>0.99995290000000003</v>
      </c>
      <c r="N4098">
        <v>-9.0622819999999996E-3</v>
      </c>
      <c r="O4098">
        <v>3.5175739999999999E-3</v>
      </c>
      <c r="P4098">
        <v>0.98652680000000004</v>
      </c>
      <c r="Q4098">
        <v>0.142269799999999</v>
      </c>
      <c r="R4098">
        <v>8.0774369999999998E-2</v>
      </c>
      <c r="S4098">
        <v>3.0426329999999999</v>
      </c>
      <c r="T4098">
        <v>-4.1559930000000002E-3</v>
      </c>
      <c r="U4098">
        <v>-1.4190670000000001E-2</v>
      </c>
      <c r="V4098">
        <v>-7.7111620000000006E-2</v>
      </c>
      <c r="W4098">
        <v>0.15130489999999999</v>
      </c>
      <c r="X4098">
        <v>0.98547479999999998</v>
      </c>
      <c r="Y4098">
        <v>8.1813839999999999E-3</v>
      </c>
      <c r="Z4098" s="1">
        <v>-1.5586529999999999E-5</v>
      </c>
      <c r="AA4098">
        <v>0.99996649999999998</v>
      </c>
      <c r="AB4098">
        <v>30</v>
      </c>
      <c r="AC4098">
        <v>325.50349999999997</v>
      </c>
      <c r="AD4098">
        <v>-0.4450944</v>
      </c>
      <c r="AE4098">
        <v>-1.52029999999999</v>
      </c>
      <c r="AF4098">
        <v>2.6653151053192001</v>
      </c>
      <c r="AG4098">
        <v>-0.4450944</v>
      </c>
      <c r="AH4098">
        <v>325.49552946667399</v>
      </c>
      <c r="AI4098">
        <v>90.078345652931503</v>
      </c>
      <c r="AJ4098">
        <v>89.530844881857504</v>
      </c>
      <c r="AK4098">
        <v>325.50674603827503</v>
      </c>
      <c r="AL4098">
        <v>81.297444817240105</v>
      </c>
      <c r="AM4098">
        <v>94.474174477641199</v>
      </c>
      <c r="AN4098">
        <v>0.99999997806903695</v>
      </c>
    </row>
    <row r="4099" spans="1:40" x14ac:dyDescent="0.25">
      <c r="A4099" t="str">
        <f>"20190304154834889"</f>
        <v>20190304154834889</v>
      </c>
      <c r="B4099" t="str">
        <f>"1551685714881263"</f>
        <v>1551685714881263</v>
      </c>
      <c r="C4099" t="s">
        <v>40</v>
      </c>
      <c r="D4099">
        <v>3.885732</v>
      </c>
      <c r="E4099">
        <v>0.53207130000000002</v>
      </c>
      <c r="F4099" t="s">
        <v>60</v>
      </c>
      <c r="G4099">
        <v>-234.98009999999999</v>
      </c>
      <c r="H4099" s="1">
        <v>1.192938E-6</v>
      </c>
      <c r="I4099">
        <v>212.79560000000001</v>
      </c>
      <c r="J4099">
        <v>-432.58749999999998</v>
      </c>
      <c r="K4099">
        <v>1.1094219999999999</v>
      </c>
      <c r="L4099">
        <v>213.8742</v>
      </c>
      <c r="M4099">
        <v>0.99995469999999997</v>
      </c>
      <c r="N4099">
        <v>-9.0682829999999999E-3</v>
      </c>
      <c r="O4099">
        <v>2.8824480000000001E-3</v>
      </c>
      <c r="P4099">
        <v>0.98651160000000004</v>
      </c>
      <c r="Q4099">
        <v>0.14241400000000001</v>
      </c>
      <c r="R4099">
        <v>8.0703800000000006E-2</v>
      </c>
      <c r="S4099">
        <v>3.0448</v>
      </c>
      <c r="T4099">
        <v>-1.7067309999999999E-2</v>
      </c>
      <c r="U4099">
        <v>-1.6586299999999998E-2</v>
      </c>
      <c r="V4099">
        <v>-7.7667100000000003E-2</v>
      </c>
      <c r="W4099">
        <v>0.15145520000000001</v>
      </c>
      <c r="X4099">
        <v>0.98540810000000001</v>
      </c>
      <c r="Y4099">
        <v>8.3294819999999992E-3</v>
      </c>
      <c r="Z4099" s="1">
        <v>-5.1131280000000001E-5</v>
      </c>
      <c r="AA4099">
        <v>0.99996529999999995</v>
      </c>
      <c r="AB4099">
        <v>31</v>
      </c>
      <c r="AC4099">
        <v>197.60740000000001</v>
      </c>
      <c r="AD4099">
        <v>-1.109420807062</v>
      </c>
      <c r="AE4099">
        <v>-1.07859999999999</v>
      </c>
      <c r="AF4099">
        <v>1.6481600624961701</v>
      </c>
      <c r="AG4099">
        <v>-1.109420807062</v>
      </c>
      <c r="AH4099">
        <v>197.597241803754</v>
      </c>
      <c r="AI4099">
        <v>90.321675800989595</v>
      </c>
      <c r="AJ4099">
        <v>89.522106559765703</v>
      </c>
      <c r="AK4099">
        <v>197.60722966169601</v>
      </c>
      <c r="AL4099">
        <v>81.288732964495196</v>
      </c>
      <c r="AM4099">
        <v>94.506576055484501</v>
      </c>
      <c r="AN4099">
        <v>0.99999998978753002</v>
      </c>
    </row>
    <row r="4100" spans="1:40" x14ac:dyDescent="0.25">
      <c r="A4100" t="str">
        <f>"20190304154834910"</f>
        <v>20190304154834910</v>
      </c>
      <c r="B4100" t="str">
        <f>"1551685714900783"</f>
        <v>1551685714900783</v>
      </c>
      <c r="C4100" t="s">
        <v>40</v>
      </c>
      <c r="D4100">
        <v>3.8939159999999999</v>
      </c>
      <c r="E4100">
        <v>0.53229589999999904</v>
      </c>
      <c r="F4100" t="s">
        <v>60</v>
      </c>
      <c r="G4100">
        <v>-256.66640000000001</v>
      </c>
      <c r="H4100" s="1">
        <v>2.0945839999999998E-6</v>
      </c>
      <c r="I4100">
        <v>212.69749999999999</v>
      </c>
      <c r="J4100">
        <v>-432.28480000000002</v>
      </c>
      <c r="K4100">
        <v>1.109423</v>
      </c>
      <c r="L4100">
        <v>213.87450000000001</v>
      </c>
      <c r="M4100">
        <v>0.99995639999999997</v>
      </c>
      <c r="N4100">
        <v>-9.0740839999999996E-3</v>
      </c>
      <c r="O4100">
        <v>2.269554E-3</v>
      </c>
      <c r="P4100">
        <v>0.9864018</v>
      </c>
      <c r="Q4100">
        <v>0.14309089999999999</v>
      </c>
      <c r="R4100">
        <v>8.0849850000000001E-2</v>
      </c>
      <c r="S4100">
        <v>3.045471</v>
      </c>
      <c r="T4100">
        <v>-1.920581E-2</v>
      </c>
      <c r="U4100">
        <v>-2.037048E-2</v>
      </c>
      <c r="V4100">
        <v>-7.8416680000000002E-2</v>
      </c>
      <c r="W4100">
        <v>0.15213769999999999</v>
      </c>
      <c r="X4100">
        <v>0.9852436</v>
      </c>
      <c r="Y4100">
        <v>8.9577679999999996E-3</v>
      </c>
      <c r="Z4100" s="1">
        <v>-6.2606780000000004E-5</v>
      </c>
      <c r="AA4100">
        <v>0.99995990000000001</v>
      </c>
      <c r="AB4100">
        <v>31</v>
      </c>
      <c r="AC4100">
        <v>175.61840000000001</v>
      </c>
      <c r="AD4100">
        <v>-1.109420905416</v>
      </c>
      <c r="AE4100">
        <v>-1.17700000000002</v>
      </c>
      <c r="AF4100">
        <v>1.5755258904557401</v>
      </c>
      <c r="AG4100">
        <v>-1.109420905416</v>
      </c>
      <c r="AH4100">
        <v>175.60826855128099</v>
      </c>
      <c r="AI4100">
        <v>90.361951817096596</v>
      </c>
      <c r="AJ4100">
        <v>89.485966333928502</v>
      </c>
      <c r="AK4100">
        <v>175.618840333706</v>
      </c>
      <c r="AL4100">
        <v>81.249170250808902</v>
      </c>
      <c r="AM4100">
        <v>94.550644605429596</v>
      </c>
      <c r="AN4100">
        <v>1.0000000034022301</v>
      </c>
    </row>
    <row r="4101" spans="1:40" x14ac:dyDescent="0.25">
      <c r="A4101" t="str">
        <f>"20190304154834932"</f>
        <v>20190304154834932</v>
      </c>
      <c r="B4101" t="str">
        <f>"1551685714921279"</f>
        <v>1551685714921279</v>
      </c>
      <c r="C4101" t="s">
        <v>40</v>
      </c>
      <c r="D4101">
        <v>3.9028339999999999</v>
      </c>
      <c r="E4101">
        <v>0.53244780000000003</v>
      </c>
      <c r="F4101" t="s">
        <v>60</v>
      </c>
      <c r="G4101">
        <v>-270.38490000000002</v>
      </c>
      <c r="H4101" s="1">
        <v>-1.2484810000000001E-6</v>
      </c>
      <c r="I4101">
        <v>212.70590000000001</v>
      </c>
      <c r="J4101">
        <v>-431.98559999999998</v>
      </c>
      <c r="K4101">
        <v>1.109423</v>
      </c>
      <c r="L4101">
        <v>213.87459999999999</v>
      </c>
      <c r="M4101">
        <v>0.9999574</v>
      </c>
      <c r="N4101">
        <v>-9.0798370000000003E-3</v>
      </c>
      <c r="O4101">
        <v>1.6640520000000001E-3</v>
      </c>
      <c r="P4101">
        <v>0.98635759999999995</v>
      </c>
      <c r="Q4101">
        <v>0.14359469999999999</v>
      </c>
      <c r="R4101">
        <v>8.0495529999999996E-2</v>
      </c>
      <c r="S4101">
        <v>3.0461429999999998</v>
      </c>
      <c r="T4101">
        <v>-2.087379E-2</v>
      </c>
      <c r="U4101">
        <v>-2.1987920000000001E-2</v>
      </c>
      <c r="V4101">
        <v>-7.865896E-2</v>
      </c>
      <c r="W4101">
        <v>0.1526467</v>
      </c>
      <c r="X4101">
        <v>0.98514559999999995</v>
      </c>
      <c r="Y4101">
        <v>8.8816720000000002E-3</v>
      </c>
      <c r="Z4101" s="1">
        <v>-6.7047959999999996E-5</v>
      </c>
      <c r="AA4101">
        <v>0.99996050000000003</v>
      </c>
      <c r="AB4101">
        <v>31</v>
      </c>
      <c r="AC4101">
        <v>161.60069999999899</v>
      </c>
      <c r="AD4101">
        <v>-1.109424248481</v>
      </c>
      <c r="AE4101">
        <v>-1.1686999999999701</v>
      </c>
      <c r="AF4101">
        <v>1.43755368343053</v>
      </c>
      <c r="AG4101">
        <v>-1.109424248481</v>
      </c>
      <c r="AH4101">
        <v>161.59091580058401</v>
      </c>
      <c r="AI4101">
        <v>90.393350164300401</v>
      </c>
      <c r="AJ4101">
        <v>89.490295690946894</v>
      </c>
      <c r="AK4101">
        <v>161.601118350175</v>
      </c>
      <c r="AL4101">
        <v>81.219662459170095</v>
      </c>
      <c r="AM4101">
        <v>94.565097334332407</v>
      </c>
      <c r="AN4101">
        <v>1.0000000501042601</v>
      </c>
    </row>
    <row r="4102" spans="1:40" x14ac:dyDescent="0.25">
      <c r="A4102" t="str">
        <f>"20190304154834953"</f>
        <v>20190304154834953</v>
      </c>
      <c r="B4102" t="str">
        <f>"1551685714950559"</f>
        <v>1551685714950559</v>
      </c>
      <c r="C4102" t="s">
        <v>40</v>
      </c>
      <c r="D4102">
        <v>3.9095599999999999</v>
      </c>
      <c r="E4102">
        <v>0.53268369999999998</v>
      </c>
      <c r="F4102" t="s">
        <v>60</v>
      </c>
      <c r="G4102">
        <v>-270.1542</v>
      </c>
      <c r="H4102" s="1">
        <v>-1.365627E-6</v>
      </c>
      <c r="I4102">
        <v>212.57769999999999</v>
      </c>
      <c r="J4102">
        <v>-431.69170000000003</v>
      </c>
      <c r="K4102">
        <v>1.109421</v>
      </c>
      <c r="L4102">
        <v>213.87450000000001</v>
      </c>
      <c r="M4102">
        <v>0.99995820000000002</v>
      </c>
      <c r="N4102">
        <v>-9.0854709999999995E-3</v>
      </c>
      <c r="O4102">
        <v>1.071195E-3</v>
      </c>
      <c r="P4102">
        <v>0.98639900000000003</v>
      </c>
      <c r="Q4102">
        <v>0.14342849999999999</v>
      </c>
      <c r="R4102">
        <v>8.0283220000000002E-2</v>
      </c>
      <c r="S4102">
        <v>3.0465390000000001</v>
      </c>
      <c r="T4102">
        <v>-2.088535E-2</v>
      </c>
      <c r="U4102">
        <v>-2.4414060000000001E-2</v>
      </c>
      <c r="V4102">
        <v>-7.9030619999999996E-2</v>
      </c>
      <c r="W4102">
        <v>0.15248689999999901</v>
      </c>
      <c r="X4102">
        <v>0.98514060000000003</v>
      </c>
      <c r="Y4102">
        <v>9.0841489999999997E-3</v>
      </c>
      <c r="Z4102" s="1">
        <v>-7.0017479999999997E-5</v>
      </c>
      <c r="AA4102">
        <v>0.99995880000000004</v>
      </c>
      <c r="AB4102">
        <v>31</v>
      </c>
      <c r="AC4102">
        <v>161.53749999999999</v>
      </c>
      <c r="AD4102">
        <v>-1.1094223656269999</v>
      </c>
      <c r="AE4102">
        <v>-1.2968000000000099</v>
      </c>
      <c r="AF4102">
        <v>1.4697752304110001</v>
      </c>
      <c r="AG4102">
        <v>-1.1094223656269999</v>
      </c>
      <c r="AH4102">
        <v>161.52839965601899</v>
      </c>
      <c r="AI4102">
        <v>90.393501011162797</v>
      </c>
      <c r="AJ4102">
        <v>89.478670043646403</v>
      </c>
      <c r="AK4102">
        <v>161.53889609827101</v>
      </c>
      <c r="AL4102">
        <v>81.228926758664201</v>
      </c>
      <c r="AM4102">
        <v>94.586598575049706</v>
      </c>
      <c r="AN4102">
        <v>1.00000004766877</v>
      </c>
    </row>
    <row r="4103" spans="1:40" x14ac:dyDescent="0.25">
      <c r="A4103" t="str">
        <f>"20190304154834976"</f>
        <v>20190304154834976</v>
      </c>
      <c r="B4103" t="str">
        <f>"1551685714971056"</f>
        <v>1551685714971056</v>
      </c>
      <c r="C4103" t="s">
        <v>40</v>
      </c>
      <c r="D4103">
        <v>3.9314469999999999</v>
      </c>
      <c r="E4103">
        <v>0.53236119999999898</v>
      </c>
      <c r="F4103" t="s">
        <v>61</v>
      </c>
      <c r="G4103">
        <v>-282.91840000000002</v>
      </c>
      <c r="H4103" s="1">
        <v>6.040429E-6</v>
      </c>
      <c r="I4103">
        <v>212.57210000000001</v>
      </c>
      <c r="J4103">
        <v>-431.38279999999997</v>
      </c>
      <c r="K4103">
        <v>1.1094219999999999</v>
      </c>
      <c r="L4103">
        <v>213.8742</v>
      </c>
      <c r="M4103">
        <v>0.99995860000000003</v>
      </c>
      <c r="N4103">
        <v>-9.0914010000000007E-3</v>
      </c>
      <c r="O4103">
        <v>4.4967340000000002E-4</v>
      </c>
      <c r="P4103">
        <v>0.98647640000000003</v>
      </c>
      <c r="Q4103">
        <v>0.1428131</v>
      </c>
      <c r="R4103">
        <v>8.042829E-2</v>
      </c>
      <c r="S4103">
        <v>3.0468139999999999</v>
      </c>
      <c r="T4103">
        <v>-2.2720339999999999E-2</v>
      </c>
      <c r="U4103">
        <v>-2.6672359999999999E-2</v>
      </c>
      <c r="V4103">
        <v>-7.9789760000000001E-2</v>
      </c>
      <c r="W4103">
        <v>0.1518785</v>
      </c>
      <c r="X4103">
        <v>0.98517330000000003</v>
      </c>
      <c r="Y4103">
        <v>9.2029520000000004E-3</v>
      </c>
      <c r="Z4103" s="1">
        <v>-7.5414229999999996E-5</v>
      </c>
      <c r="AA4103">
        <v>0.9999576</v>
      </c>
      <c r="AB4103">
        <v>31</v>
      </c>
      <c r="AC4103">
        <v>148.46439999999899</v>
      </c>
      <c r="AD4103">
        <v>-1.10941595957099</v>
      </c>
      <c r="AE4103">
        <v>-1.30209999999999</v>
      </c>
      <c r="AF4103">
        <v>1.36878669016737</v>
      </c>
      <c r="AG4103">
        <v>-1.10941595957099</v>
      </c>
      <c r="AH4103">
        <v>148.45551035032801</v>
      </c>
      <c r="AI4103">
        <v>90.428148252962998</v>
      </c>
      <c r="AJ4103">
        <v>89.471737506003194</v>
      </c>
      <c r="AK4103">
        <v>148.46596557511401</v>
      </c>
      <c r="AL4103">
        <v>81.264195525000304</v>
      </c>
      <c r="AM4103">
        <v>94.630312101040204</v>
      </c>
      <c r="AN4103">
        <v>0.999999957797997</v>
      </c>
    </row>
    <row r="4104" spans="1:40" x14ac:dyDescent="0.25">
      <c r="A4104" t="str">
        <f>"20190304154835000"</f>
        <v>20190304154835000</v>
      </c>
      <c r="B4104" t="str">
        <f>"1551685714990578"</f>
        <v>1551685714990578</v>
      </c>
      <c r="C4104" t="s">
        <v>40</v>
      </c>
      <c r="D4104">
        <v>3.938901</v>
      </c>
      <c r="E4104">
        <v>0.53184909999999996</v>
      </c>
      <c r="F4104" t="s">
        <v>61</v>
      </c>
      <c r="G4104">
        <v>-308.98660000000001</v>
      </c>
      <c r="H4104" s="1">
        <v>1.0591829999999999E-6</v>
      </c>
      <c r="I4104">
        <v>212.89109999999999</v>
      </c>
      <c r="J4104">
        <v>-431.05860000000001</v>
      </c>
      <c r="K4104">
        <v>1.109418</v>
      </c>
      <c r="L4104">
        <v>213.87360000000001</v>
      </c>
      <c r="M4104">
        <v>0.99995860000000003</v>
      </c>
      <c r="N4104">
        <v>-9.097628E-3</v>
      </c>
      <c r="O4104">
        <v>-1.9920149999999999E-4</v>
      </c>
      <c r="P4104">
        <v>0.98656120000000003</v>
      </c>
      <c r="Q4104">
        <v>0.1422572</v>
      </c>
      <c r="R4104">
        <v>8.0374269999999998E-2</v>
      </c>
      <c r="S4104">
        <v>3.0470890000000002</v>
      </c>
      <c r="T4104">
        <v>-2.7619359999999999E-2</v>
      </c>
      <c r="U4104">
        <v>-2.44751E-2</v>
      </c>
      <c r="V4104">
        <v>-8.0376299999999998E-2</v>
      </c>
      <c r="W4104">
        <v>0.15132979999999999</v>
      </c>
      <c r="X4104">
        <v>0.98521009999999998</v>
      </c>
      <c r="Y4104">
        <v>7.8321840000000007E-3</v>
      </c>
      <c r="Z4104" s="1">
        <v>-7.1131530000000004E-5</v>
      </c>
      <c r="AA4104">
        <v>0.99996929999999995</v>
      </c>
      <c r="AB4104">
        <v>31</v>
      </c>
      <c r="AC4104">
        <v>122.072</v>
      </c>
      <c r="AD4104">
        <v>-1.109416940817</v>
      </c>
      <c r="AE4104">
        <v>-0.98250000000001603</v>
      </c>
      <c r="AF4104">
        <v>0.95810291865666897</v>
      </c>
      <c r="AG4104">
        <v>-1.109416940817</v>
      </c>
      <c r="AH4104">
        <v>122.062112148179</v>
      </c>
      <c r="AI4104">
        <v>90.520728333591094</v>
      </c>
      <c r="AJ4104">
        <v>89.550277106804202</v>
      </c>
      <c r="AK4104">
        <v>122.070913772388</v>
      </c>
      <c r="AL4104">
        <v>81.296001721695106</v>
      </c>
      <c r="AM4104">
        <v>94.664026759619603</v>
      </c>
      <c r="AN4104">
        <v>0.99999999955586905</v>
      </c>
    </row>
    <row r="4105" spans="1:40" x14ac:dyDescent="0.25">
      <c r="A4105" t="str">
        <f>"20190304154835021"</f>
        <v>20190304154835021</v>
      </c>
      <c r="B4105" t="str">
        <f>"1551685715011070"</f>
        <v>1551685715011070</v>
      </c>
      <c r="C4105" t="s">
        <v>40</v>
      </c>
      <c r="D4105">
        <v>3.968016</v>
      </c>
      <c r="E4105">
        <v>0.53135900000000003</v>
      </c>
      <c r="F4105" t="s">
        <v>60</v>
      </c>
      <c r="G4105">
        <v>-332.892</v>
      </c>
      <c r="H4105" s="1">
        <v>6.4399409999999998E-8</v>
      </c>
      <c r="I4105">
        <v>213.19290000000001</v>
      </c>
      <c r="J4105">
        <v>-430.74599999999998</v>
      </c>
      <c r="K4105">
        <v>1.109416</v>
      </c>
      <c r="L4105">
        <v>213.87289999999999</v>
      </c>
      <c r="M4105">
        <v>0.99995820000000002</v>
      </c>
      <c r="N4105">
        <v>-9.1036169999999996E-3</v>
      </c>
      <c r="O4105">
        <v>-8.2040349999999999E-4</v>
      </c>
      <c r="P4105">
        <v>0.98657810000000001</v>
      </c>
      <c r="Q4105">
        <v>0.1420196</v>
      </c>
      <c r="R4105">
        <v>8.0586779999999997E-2</v>
      </c>
      <c r="S4105">
        <v>3.047577</v>
      </c>
      <c r="T4105">
        <v>-3.444183E-2</v>
      </c>
      <c r="U4105">
        <v>-2.113342E-2</v>
      </c>
      <c r="V4105">
        <v>-8.1202679999999999E-2</v>
      </c>
      <c r="W4105">
        <v>0.15109890000000001</v>
      </c>
      <c r="X4105">
        <v>0.98517779999999999</v>
      </c>
      <c r="Y4105">
        <v>6.1132119999999998E-3</v>
      </c>
      <c r="Z4105" s="1">
        <v>-6.0568420000000002E-5</v>
      </c>
      <c r="AA4105">
        <v>0.99998129999999996</v>
      </c>
      <c r="AB4105">
        <v>31</v>
      </c>
      <c r="AC4105">
        <v>97.8539999999999</v>
      </c>
      <c r="AD4105">
        <v>-1.1094159356005899</v>
      </c>
      <c r="AE4105">
        <v>-0.67999999999997796</v>
      </c>
      <c r="AF4105">
        <v>0.59963960546588102</v>
      </c>
      <c r="AG4105">
        <v>-1.1094159356005899</v>
      </c>
      <c r="AH4105">
        <v>97.841949159950005</v>
      </c>
      <c r="AI4105">
        <v>90.649628649521603</v>
      </c>
      <c r="AJ4105">
        <v>89.648858298770705</v>
      </c>
      <c r="AK4105">
        <v>97.850076069427999</v>
      </c>
      <c r="AL4105">
        <v>81.309385438780197</v>
      </c>
      <c r="AM4105">
        <v>94.711918405889307</v>
      </c>
      <c r="AN4105">
        <v>1.0000000252166099</v>
      </c>
    </row>
    <row r="4106" spans="1:40" x14ac:dyDescent="0.25">
      <c r="A4106" t="str">
        <f>"20190304154835044"</f>
        <v>20190304154835044</v>
      </c>
      <c r="B4106" t="str">
        <f>"1551685715041327"</f>
        <v>1551685715041327</v>
      </c>
      <c r="C4106" t="s">
        <v>40</v>
      </c>
      <c r="D4106">
        <v>3.9778530000000001</v>
      </c>
      <c r="E4106">
        <v>0.53091160000000004</v>
      </c>
      <c r="F4106" t="s">
        <v>60</v>
      </c>
      <c r="G4106">
        <v>-345.66590000000002</v>
      </c>
      <c r="H4106" s="1">
        <v>1.4783290000000001E-6</v>
      </c>
      <c r="I4106">
        <v>213.41079999999999</v>
      </c>
      <c r="J4106">
        <v>-430.44299999999998</v>
      </c>
      <c r="K4106">
        <v>1.109413</v>
      </c>
      <c r="L4106">
        <v>213.87209999999999</v>
      </c>
      <c r="M4106">
        <v>0.9999576</v>
      </c>
      <c r="N4106">
        <v>-9.1094000000000001E-3</v>
      </c>
      <c r="O4106">
        <v>-1.4148769999999999E-3</v>
      </c>
      <c r="P4106">
        <v>0.98657660000000003</v>
      </c>
      <c r="Q4106">
        <v>0.14195729999999901</v>
      </c>
      <c r="R4106">
        <v>8.0714880000000003E-2</v>
      </c>
      <c r="S4106">
        <v>3.047882</v>
      </c>
      <c r="T4106">
        <v>-3.9743300000000002E-2</v>
      </c>
      <c r="U4106">
        <v>-1.6555790000000001E-2</v>
      </c>
      <c r="V4106">
        <v>-8.1918389999999994E-2</v>
      </c>
      <c r="W4106">
        <v>0.15104189999999901</v>
      </c>
      <c r="X4106">
        <v>0.98512730000000004</v>
      </c>
      <c r="Y4106">
        <v>4.0163289999999999E-3</v>
      </c>
      <c r="Z4106" s="1">
        <v>-3.891961E-5</v>
      </c>
      <c r="AA4106">
        <v>0.99999199999999999</v>
      </c>
      <c r="AB4106">
        <v>31</v>
      </c>
      <c r="AC4106">
        <v>84.777100000000004</v>
      </c>
      <c r="AD4106">
        <v>-1.1094115216710001</v>
      </c>
      <c r="AE4106">
        <v>-0.46129999999999399</v>
      </c>
      <c r="AF4106">
        <v>0.34128695998298098</v>
      </c>
      <c r="AG4106">
        <v>-1.1094115216710001</v>
      </c>
      <c r="AH4106">
        <v>84.763152664445002</v>
      </c>
      <c r="AI4106">
        <v>90.7498594791454</v>
      </c>
      <c r="AJ4106">
        <v>89.769307816809999</v>
      </c>
      <c r="AK4106">
        <v>84.7710995583369</v>
      </c>
      <c r="AL4106">
        <v>81.312689324756505</v>
      </c>
      <c r="AM4106">
        <v>94.753501733449994</v>
      </c>
      <c r="AN4106">
        <v>1.00000003769054</v>
      </c>
    </row>
    <row r="4107" spans="1:40" x14ac:dyDescent="0.25">
      <c r="A4107" t="str">
        <f>"20190304154835067"</f>
        <v>20190304154835067</v>
      </c>
      <c r="B4107" t="str">
        <f>"1551685715060849"</f>
        <v>1551685715060849</v>
      </c>
      <c r="C4107" t="s">
        <v>40</v>
      </c>
      <c r="D4107">
        <v>4.0079949999999904</v>
      </c>
      <c r="E4107">
        <v>0.53058890000000003</v>
      </c>
      <c r="F4107" t="s">
        <v>60</v>
      </c>
      <c r="G4107">
        <v>-354.61759999999998</v>
      </c>
      <c r="H4107" s="1">
        <v>9.6650599999999993E-7</v>
      </c>
      <c r="I4107">
        <v>213.5635</v>
      </c>
      <c r="J4107">
        <v>-430.12580000000003</v>
      </c>
      <c r="K4107">
        <v>1.109421</v>
      </c>
      <c r="L4107">
        <v>213.87100000000001</v>
      </c>
      <c r="M4107">
        <v>0.99995650000000003</v>
      </c>
      <c r="N4107">
        <v>-9.1153899999999993E-3</v>
      </c>
      <c r="O4107">
        <v>-2.0250480000000002E-3</v>
      </c>
      <c r="P4107">
        <v>0.98663500000000004</v>
      </c>
      <c r="Q4107">
        <v>0.1415197</v>
      </c>
      <c r="R4107">
        <v>8.0769579999999994E-2</v>
      </c>
      <c r="S4107">
        <v>3.0482179999999999</v>
      </c>
      <c r="T4107">
        <v>-4.4598939999999997E-2</v>
      </c>
      <c r="U4107">
        <v>-1.24054E-2</v>
      </c>
      <c r="V4107">
        <v>-8.2578230000000002E-2</v>
      </c>
      <c r="W4107">
        <v>0.15060960000000001</v>
      </c>
      <c r="X4107">
        <v>0.98513839999999997</v>
      </c>
      <c r="Y4107">
        <v>2.0442400000000001E-3</v>
      </c>
      <c r="Z4107" s="1">
        <v>-1.3104030000000001E-5</v>
      </c>
      <c r="AA4107">
        <v>0.9999979</v>
      </c>
      <c r="AB4107">
        <v>31</v>
      </c>
      <c r="AC4107">
        <v>75.508200000000002</v>
      </c>
      <c r="AD4107">
        <v>-1.1094200334940001</v>
      </c>
      <c r="AE4107">
        <v>-0.30749999999997601</v>
      </c>
      <c r="AF4107">
        <v>0.15455193838468601</v>
      </c>
      <c r="AG4107">
        <v>-1.1094200334940001</v>
      </c>
      <c r="AH4107">
        <v>75.492371193598601</v>
      </c>
      <c r="AI4107">
        <v>90.841944372183605</v>
      </c>
      <c r="AJ4107">
        <v>89.882701241547494</v>
      </c>
      <c r="AK4107">
        <v>75.500680841595397</v>
      </c>
      <c r="AL4107">
        <v>81.337744948884307</v>
      </c>
      <c r="AM4107">
        <v>94.791559151096195</v>
      </c>
      <c r="AN4107">
        <v>1.0000000414183201</v>
      </c>
    </row>
    <row r="4108" spans="1:40" x14ac:dyDescent="0.25">
      <c r="A4108" t="str">
        <f>"20190304154835090"</f>
        <v>20190304154835090</v>
      </c>
      <c r="B4108" t="str">
        <f>"1551685715081343"</f>
        <v>1551685715081343</v>
      </c>
      <c r="C4108" t="s">
        <v>40</v>
      </c>
      <c r="D4108">
        <v>4.002777</v>
      </c>
      <c r="E4108">
        <v>0.53033660000000005</v>
      </c>
      <c r="F4108" t="s">
        <v>60</v>
      </c>
      <c r="G4108">
        <v>-361.07639999999998</v>
      </c>
      <c r="H4108" s="1">
        <v>-9.6399990000000006E-7</v>
      </c>
      <c r="I4108">
        <v>213.64779999999999</v>
      </c>
      <c r="J4108">
        <v>-429.79899999999998</v>
      </c>
      <c r="K4108">
        <v>1.109426</v>
      </c>
      <c r="L4108">
        <v>213.8698</v>
      </c>
      <c r="M4108">
        <v>0.99995489999999998</v>
      </c>
      <c r="N4108">
        <v>-9.121512E-3</v>
      </c>
      <c r="O4108">
        <v>-2.6374359999999999E-3</v>
      </c>
      <c r="P4108">
        <v>0.9867165</v>
      </c>
      <c r="Q4108">
        <v>0.14104330000000001</v>
      </c>
      <c r="R4108">
        <v>8.0607509999999993E-2</v>
      </c>
      <c r="S4108">
        <v>3.048492</v>
      </c>
      <c r="T4108">
        <v>-4.8980360000000001E-2</v>
      </c>
      <c r="U4108">
        <v>-9.8571779999999994E-3</v>
      </c>
      <c r="V4108">
        <v>-8.3024379999999995E-2</v>
      </c>
      <c r="W4108">
        <v>0.15013859999999901</v>
      </c>
      <c r="X4108">
        <v>0.98517270000000001</v>
      </c>
      <c r="Y4108">
        <v>5.9584239999999999E-4</v>
      </c>
      <c r="Z4108" s="1">
        <v>1.081151E-5</v>
      </c>
      <c r="AA4108">
        <v>0.99999979999999999</v>
      </c>
      <c r="AB4108">
        <v>31</v>
      </c>
      <c r="AC4108">
        <v>68.7226</v>
      </c>
      <c r="AD4108">
        <v>-1.1094269639998999</v>
      </c>
      <c r="AE4108">
        <v>-0.222000000000008</v>
      </c>
      <c r="AF4108">
        <v>4.0729609619856597E-2</v>
      </c>
      <c r="AG4108">
        <v>-1.1094269639998999</v>
      </c>
      <c r="AH4108">
        <v>68.705041164764793</v>
      </c>
      <c r="AI4108">
        <v>90.925113303004096</v>
      </c>
      <c r="AJ4108">
        <v>89.966034014105801</v>
      </c>
      <c r="AK4108">
        <v>68.714009987349598</v>
      </c>
      <c r="AL4108">
        <v>81.365040832259993</v>
      </c>
      <c r="AM4108">
        <v>94.817158337694096</v>
      </c>
      <c r="AN4108">
        <v>0.99999994785481505</v>
      </c>
    </row>
    <row r="4109" spans="1:40" x14ac:dyDescent="0.25">
      <c r="A4109" t="str">
        <f>"20190304154835111"</f>
        <v>20190304154835111</v>
      </c>
      <c r="B4109" t="str">
        <f>"1551685715100863"</f>
        <v>1551685715100863</v>
      </c>
      <c r="C4109" t="s">
        <v>40</v>
      </c>
      <c r="D4109">
        <v>4.0086459999999997</v>
      </c>
      <c r="E4109">
        <v>0.53021319999999905</v>
      </c>
      <c r="F4109" t="s">
        <v>60</v>
      </c>
      <c r="G4109">
        <v>-365.19979999999998</v>
      </c>
      <c r="H4109" s="1">
        <v>1.2302770000000001E-6</v>
      </c>
      <c r="I4109">
        <v>213.6858</v>
      </c>
      <c r="J4109">
        <v>-429.50200000000001</v>
      </c>
      <c r="K4109">
        <v>1.1094409999999999</v>
      </c>
      <c r="L4109">
        <v>213.86840000000001</v>
      </c>
      <c r="M4109">
        <v>0.99995330000000004</v>
      </c>
      <c r="N4109">
        <v>-9.1270789999999997E-3</v>
      </c>
      <c r="O4109">
        <v>-3.1732589999999999E-3</v>
      </c>
      <c r="P4109">
        <v>0.98675250000000003</v>
      </c>
      <c r="Q4109">
        <v>0.141094</v>
      </c>
      <c r="R4109">
        <v>8.0074989999999999E-2</v>
      </c>
      <c r="S4109">
        <v>3.0486149999999999</v>
      </c>
      <c r="T4109">
        <v>-5.2356840000000002E-2</v>
      </c>
      <c r="U4109">
        <v>-8.6822510000000002E-3</v>
      </c>
      <c r="V4109">
        <v>-8.3025600000000005E-2</v>
      </c>
      <c r="W4109">
        <v>0.1501914</v>
      </c>
      <c r="X4109">
        <v>0.98516459999999995</v>
      </c>
      <c r="Y4109">
        <v>-3.2529480000000001E-4</v>
      </c>
      <c r="Z4109" s="1">
        <v>2.980882E-5</v>
      </c>
      <c r="AA4109">
        <v>0.99999990000000005</v>
      </c>
      <c r="AB4109">
        <v>31</v>
      </c>
      <c r="AC4109">
        <v>64.3021999999999</v>
      </c>
      <c r="AD4109">
        <v>-1.1094397697229901</v>
      </c>
      <c r="AE4109">
        <v>-0.18260000000000701</v>
      </c>
      <c r="AF4109">
        <v>-2.1450570848988802E-2</v>
      </c>
      <c r="AG4109">
        <v>-1.1094397697229901</v>
      </c>
      <c r="AH4109">
        <v>64.283319710811796</v>
      </c>
      <c r="AI4109">
        <v>90.988746428252298</v>
      </c>
      <c r="AJ4109">
        <v>90.019118911993104</v>
      </c>
      <c r="AK4109">
        <v>64.292896262122696</v>
      </c>
      <c r="AL4109">
        <v>81.361981354812599</v>
      </c>
      <c r="AM4109">
        <v>94.817268210967796</v>
      </c>
      <c r="AN4109">
        <v>0.99999999799123995</v>
      </c>
    </row>
    <row r="4110" spans="1:40" x14ac:dyDescent="0.25">
      <c r="A4110" t="str">
        <f>"20190304154835135"</f>
        <v>20190304154835135</v>
      </c>
      <c r="B4110" t="str">
        <f>"1551685715131120"</f>
        <v>1551685715131120</v>
      </c>
      <c r="C4110" t="s">
        <v>40</v>
      </c>
      <c r="D4110">
        <v>4.0007760000000001</v>
      </c>
      <c r="E4110">
        <v>0.52995439999999905</v>
      </c>
      <c r="F4110" t="s">
        <v>60</v>
      </c>
      <c r="G4110">
        <v>-365.66910000000001</v>
      </c>
      <c r="H4110" s="1">
        <v>1.4800339999999999E-6</v>
      </c>
      <c r="I4110">
        <v>213.67</v>
      </c>
      <c r="J4110">
        <v>-429.1927</v>
      </c>
      <c r="K4110">
        <v>1.1094569999999999</v>
      </c>
      <c r="L4110">
        <v>213.86689999999999</v>
      </c>
      <c r="M4110">
        <v>0.99995149999999999</v>
      </c>
      <c r="N4110">
        <v>-9.1328610000000008E-3</v>
      </c>
      <c r="O4110">
        <v>-3.7022169999999998E-3</v>
      </c>
      <c r="P4110">
        <v>0.98683149999999997</v>
      </c>
      <c r="Q4110">
        <v>0.141092</v>
      </c>
      <c r="R4110">
        <v>7.9100110000000001E-2</v>
      </c>
      <c r="S4110">
        <v>3.0486149999999999</v>
      </c>
      <c r="T4110">
        <v>-5.2986030000000003E-2</v>
      </c>
      <c r="U4110">
        <v>-9.4757079999999994E-3</v>
      </c>
      <c r="V4110">
        <v>-8.2579310000000003E-2</v>
      </c>
      <c r="W4110">
        <v>0.1501914</v>
      </c>
      <c r="X4110">
        <v>0.98520209999999997</v>
      </c>
      <c r="Y4110">
        <v>-5.9392500000000003E-4</v>
      </c>
      <c r="Z4110" s="1">
        <v>3.8402719999999999E-5</v>
      </c>
      <c r="AA4110">
        <v>0.99999979999999999</v>
      </c>
      <c r="AB4110">
        <v>31</v>
      </c>
      <c r="AC4110">
        <v>63.523599999999902</v>
      </c>
      <c r="AD4110">
        <v>-1.1094555199659999</v>
      </c>
      <c r="AE4110">
        <v>-0.19689999999999899</v>
      </c>
      <c r="AF4110">
        <v>-3.8277620186488802E-2</v>
      </c>
      <c r="AG4110">
        <v>-1.1094555199659999</v>
      </c>
      <c r="AH4110">
        <v>63.504522706798198</v>
      </c>
      <c r="AI4110">
        <v>91.000883693023994</v>
      </c>
      <c r="AJ4110">
        <v>90.034535269732103</v>
      </c>
      <c r="AK4110">
        <v>63.514224870852601</v>
      </c>
      <c r="AL4110">
        <v>81.361981271845295</v>
      </c>
      <c r="AM4110">
        <v>94.791313157285799</v>
      </c>
      <c r="AN4110">
        <v>0.999999988459223</v>
      </c>
    </row>
    <row r="4111" spans="1:40" x14ac:dyDescent="0.25">
      <c r="A4111" t="str">
        <f>"20190304154835156"</f>
        <v>20190304154835156</v>
      </c>
      <c r="B4111" t="str">
        <f>"1551685715150640"</f>
        <v>1551685715150640</v>
      </c>
      <c r="C4111" t="s">
        <v>40</v>
      </c>
      <c r="D4111">
        <v>4.0260280000000002</v>
      </c>
      <c r="E4111">
        <v>0.52984709999999902</v>
      </c>
      <c r="F4111" t="s">
        <v>60</v>
      </c>
      <c r="G4111">
        <v>-368.5401</v>
      </c>
      <c r="H4111" s="1">
        <v>3.0078210000000002E-6</v>
      </c>
      <c r="I4111">
        <v>213.65870000000001</v>
      </c>
      <c r="J4111">
        <v>-428.87439999999998</v>
      </c>
      <c r="K4111">
        <v>1.1094809999999999</v>
      </c>
      <c r="L4111">
        <v>213.86519999999999</v>
      </c>
      <c r="M4111">
        <v>0.99994939999999999</v>
      </c>
      <c r="N4111">
        <v>-9.1387780000000002E-3</v>
      </c>
      <c r="O4111">
        <v>-4.2118030000000001E-3</v>
      </c>
      <c r="P4111">
        <v>0.98682630000000005</v>
      </c>
      <c r="Q4111">
        <v>0.14125950000000001</v>
      </c>
      <c r="R4111">
        <v>7.8866759999999994E-2</v>
      </c>
      <c r="S4111">
        <v>3.0488590000000002</v>
      </c>
      <c r="T4111">
        <v>-5.5769560000000003E-2</v>
      </c>
      <c r="U4111">
        <v>-1.0467529999999999E-2</v>
      </c>
      <c r="V4111">
        <v>-8.2857150000000004E-2</v>
      </c>
      <c r="W4111">
        <v>0.1503602</v>
      </c>
      <c r="X4111">
        <v>0.98515299999999995</v>
      </c>
      <c r="Y4111">
        <v>-7.7837169999999995E-4</v>
      </c>
      <c r="Z4111" s="1">
        <v>4.9220710000000002E-5</v>
      </c>
      <c r="AA4111">
        <v>0.99999970000000005</v>
      </c>
      <c r="AB4111">
        <v>31</v>
      </c>
      <c r="AC4111">
        <v>60.334299999999899</v>
      </c>
      <c r="AD4111">
        <v>-1.1094779921789999</v>
      </c>
      <c r="AE4111">
        <v>-0.20649999999997701</v>
      </c>
      <c r="AF4111">
        <v>-4.7612522218008699E-2</v>
      </c>
      <c r="AG4111">
        <v>-1.1094779921789999</v>
      </c>
      <c r="AH4111">
        <v>60.314239588234599</v>
      </c>
      <c r="AI4111">
        <v>91.0538343602948</v>
      </c>
      <c r="AJ4111">
        <v>90.0452297173441</v>
      </c>
      <c r="AK4111">
        <v>60.324461916161098</v>
      </c>
      <c r="AL4111">
        <v>81.352198451416001</v>
      </c>
      <c r="AM4111">
        <v>94.807596691152398</v>
      </c>
      <c r="AN4111">
        <v>0.99999996522958001</v>
      </c>
    </row>
    <row r="4112" spans="1:40" x14ac:dyDescent="0.25">
      <c r="A4112" t="str">
        <f>"20190304154835179"</f>
        <v>20190304154835179</v>
      </c>
      <c r="B4112" t="str">
        <f>"1551685715171135"</f>
        <v>1551685715171135</v>
      </c>
      <c r="C4112" t="s">
        <v>40</v>
      </c>
      <c r="D4112">
        <v>4.0933549999999999</v>
      </c>
      <c r="E4112">
        <v>0.52966119999999905</v>
      </c>
      <c r="F4112" t="s">
        <v>60</v>
      </c>
      <c r="G4112">
        <v>-368.63420000000002</v>
      </c>
      <c r="H4112" s="1">
        <v>3.057909E-6</v>
      </c>
      <c r="I4112">
        <v>213.6617</v>
      </c>
      <c r="J4112">
        <v>-428.55439999999999</v>
      </c>
      <c r="K4112">
        <v>1.1095010000000001</v>
      </c>
      <c r="L4112">
        <v>213.86330000000001</v>
      </c>
      <c r="M4112">
        <v>0.99994720000000004</v>
      </c>
      <c r="N4112">
        <v>-9.1447100000000003E-3</v>
      </c>
      <c r="O4112">
        <v>-4.6938470000000001E-3</v>
      </c>
      <c r="P4112">
        <v>0.98678049999999995</v>
      </c>
      <c r="Q4112">
        <v>0.1416857</v>
      </c>
      <c r="R4112">
        <v>7.8673259999999995E-2</v>
      </c>
      <c r="S4112">
        <v>3.04895</v>
      </c>
      <c r="T4112">
        <v>-5.6154250000000003E-2</v>
      </c>
      <c r="U4112">
        <v>-1.029968E-2</v>
      </c>
      <c r="V4112">
        <v>-8.3147609999999997E-2</v>
      </c>
      <c r="W4112">
        <v>0.15078730000000001</v>
      </c>
      <c r="X4112">
        <v>0.98506329999999998</v>
      </c>
      <c r="Y4112">
        <v>-1.3154289999999999E-3</v>
      </c>
      <c r="Z4112" s="1">
        <v>6.164621E-5</v>
      </c>
      <c r="AA4112">
        <v>0.99999910000000003</v>
      </c>
      <c r="AB4112">
        <v>31</v>
      </c>
      <c r="AC4112">
        <v>59.920199999999902</v>
      </c>
      <c r="AD4112">
        <v>-1.1094979420909901</v>
      </c>
      <c r="AE4112">
        <v>-0.20160000000001299</v>
      </c>
      <c r="AF4112">
        <v>-7.9642918967794504E-2</v>
      </c>
      <c r="AG4112">
        <v>-1.1094979420909901</v>
      </c>
      <c r="AH4112">
        <v>59.899949597497297</v>
      </c>
      <c r="AI4112">
        <v>91.061139872746693</v>
      </c>
      <c r="AJ4112">
        <v>90.076180371880497</v>
      </c>
      <c r="AK4112">
        <v>59.9102770020367</v>
      </c>
      <c r="AL4112">
        <v>81.327445683896499</v>
      </c>
      <c r="AM4112">
        <v>94.824807795478193</v>
      </c>
      <c r="AN4112">
        <v>1.00000001994844</v>
      </c>
    </row>
    <row r="4113" spans="1:40" x14ac:dyDescent="0.25">
      <c r="A4113" t="str">
        <f>"20190304154835200"</f>
        <v>20190304154835200</v>
      </c>
      <c r="B4113" t="str">
        <f>"1551685715190655"</f>
        <v>1551685715190655</v>
      </c>
      <c r="C4113" t="s">
        <v>40</v>
      </c>
      <c r="D4113">
        <v>4.090795</v>
      </c>
      <c r="E4113">
        <v>0.52377689999999999</v>
      </c>
      <c r="F4113" t="s">
        <v>60</v>
      </c>
      <c r="G4113">
        <v>-366.60180000000003</v>
      </c>
      <c r="H4113" s="1">
        <v>1.9763419999999999E-6</v>
      </c>
      <c r="I4113">
        <v>213.67080000000001</v>
      </c>
      <c r="J4113">
        <v>-428.25189999999998</v>
      </c>
      <c r="K4113">
        <v>1.109526</v>
      </c>
      <c r="L4113">
        <v>213.86150000000001</v>
      </c>
      <c r="M4113">
        <v>0.99994499999999997</v>
      </c>
      <c r="N4113">
        <v>-9.1503360000000002E-3</v>
      </c>
      <c r="O4113">
        <v>-5.1150930000000002E-3</v>
      </c>
      <c r="P4113">
        <v>0.98684260000000001</v>
      </c>
      <c r="Q4113">
        <v>0.1412668</v>
      </c>
      <c r="R4113">
        <v>7.8648800000000005E-2</v>
      </c>
      <c r="S4113">
        <v>3.0487669999999998</v>
      </c>
      <c r="T4113">
        <v>-5.4599880000000003E-2</v>
      </c>
      <c r="U4113">
        <v>-9.4757079999999994E-3</v>
      </c>
      <c r="V4113">
        <v>-8.3548020000000001E-2</v>
      </c>
      <c r="W4113">
        <v>0.15036959999999999</v>
      </c>
      <c r="X4113">
        <v>0.9850932</v>
      </c>
      <c r="Y4113">
        <v>-2.0066099999999998E-3</v>
      </c>
      <c r="Z4113" s="1">
        <v>7.1941700000000003E-5</v>
      </c>
      <c r="AA4113">
        <v>0.99999800000000005</v>
      </c>
      <c r="AB4113">
        <v>31</v>
      </c>
      <c r="AC4113">
        <v>61.650099999999902</v>
      </c>
      <c r="AD4113">
        <v>-1.109524023658</v>
      </c>
      <c r="AE4113">
        <v>-0.19069999999999199</v>
      </c>
      <c r="AF4113">
        <v>-0.12462134494525599</v>
      </c>
      <c r="AG4113">
        <v>-1.109524023658</v>
      </c>
      <c r="AH4113">
        <v>61.6303072730081</v>
      </c>
      <c r="AI4113">
        <v>91.031376447193907</v>
      </c>
      <c r="AJ4113">
        <v>90.115856429844996</v>
      </c>
      <c r="AK4113">
        <v>61.640419763366999</v>
      </c>
      <c r="AL4113">
        <v>81.351653548655904</v>
      </c>
      <c r="AM4113">
        <v>94.847785475153003</v>
      </c>
      <c r="AN4113">
        <v>0.99999995046815804</v>
      </c>
    </row>
    <row r="4114" spans="1:40" x14ac:dyDescent="0.25">
      <c r="A4114" t="str">
        <f>"20190304154835222"</f>
        <v>20190304154835222</v>
      </c>
      <c r="B4114" t="str">
        <f>"1551685715211151"</f>
        <v>1551685715211151</v>
      </c>
      <c r="C4114" t="s">
        <v>40</v>
      </c>
      <c r="D4114">
        <v>4.0346479999999998</v>
      </c>
      <c r="E4114">
        <v>0.5236788</v>
      </c>
      <c r="F4114" t="s">
        <v>72</v>
      </c>
      <c r="G4114">
        <v>-107.39749999999999</v>
      </c>
      <c r="H4114">
        <v>0.14182979999999901</v>
      </c>
      <c r="I4114">
        <v>217.90119999999999</v>
      </c>
      <c r="J4114">
        <v>-427.94099999999997</v>
      </c>
      <c r="K4114">
        <v>1.109551</v>
      </c>
      <c r="L4114">
        <v>213.8595</v>
      </c>
      <c r="M4114">
        <v>0.99994309999999997</v>
      </c>
      <c r="N4114">
        <v>-9.1561119999999992E-3</v>
      </c>
      <c r="O4114">
        <v>-5.5072050000000003E-3</v>
      </c>
      <c r="P4114">
        <v>0.98687720000000001</v>
      </c>
      <c r="Q4114">
        <v>0.14095139999999901</v>
      </c>
      <c r="R4114">
        <v>7.8782089999999999E-2</v>
      </c>
      <c r="S4114">
        <v>3.0383</v>
      </c>
      <c r="T4114">
        <v>-9.1630219999999998E-3</v>
      </c>
      <c r="U4114">
        <v>3.8253780000000001E-2</v>
      </c>
      <c r="V4114">
        <v>-8.4078650000000005E-2</v>
      </c>
      <c r="W4114">
        <v>0.1500543</v>
      </c>
      <c r="X4114">
        <v>0.98509619999999998</v>
      </c>
      <c r="Y4114">
        <v>-1.8095900000000002E-2</v>
      </c>
      <c r="Z4114" s="1">
        <v>7.6320419999999895E-5</v>
      </c>
      <c r="AA4114">
        <v>0.99983630000000001</v>
      </c>
      <c r="AB4114">
        <v>31</v>
      </c>
      <c r="AC4114">
        <v>320.54349999999999</v>
      </c>
      <c r="AD4114">
        <v>-0.96772119999999995</v>
      </c>
      <c r="AE4114">
        <v>4.0416999999999899</v>
      </c>
      <c r="AF4114">
        <v>-5.80695822812564</v>
      </c>
      <c r="AG4114">
        <v>-0.96772119999999995</v>
      </c>
      <c r="AH4114">
        <v>320.513458413585</v>
      </c>
      <c r="AI4114">
        <v>90.172963327298604</v>
      </c>
      <c r="AJ4114">
        <v>91.037952673207101</v>
      </c>
      <c r="AK4114">
        <v>320.56751905397499</v>
      </c>
      <c r="AL4114">
        <v>81.369926819629995</v>
      </c>
      <c r="AM4114">
        <v>94.878411808897894</v>
      </c>
      <c r="AN4114">
        <v>1.00000001779437</v>
      </c>
    </row>
    <row r="4115" spans="1:40" x14ac:dyDescent="0.25">
      <c r="A4115" t="str">
        <f>"20190304154835244"</f>
        <v>20190304154835244</v>
      </c>
      <c r="B4115" t="str">
        <f>"1551685715240431"</f>
        <v>1551685715240431</v>
      </c>
      <c r="C4115" t="s">
        <v>40</v>
      </c>
      <c r="D4115">
        <v>4.0266159999999998</v>
      </c>
      <c r="E4115">
        <v>0.52407179999999998</v>
      </c>
      <c r="F4115" t="s">
        <v>72</v>
      </c>
      <c r="G4115">
        <v>-107.39749999999999</v>
      </c>
      <c r="H4115">
        <v>0.12559289999999901</v>
      </c>
      <c r="I4115">
        <v>217.99539999999999</v>
      </c>
      <c r="J4115">
        <v>-427.6361</v>
      </c>
      <c r="K4115">
        <v>1.1095820000000001</v>
      </c>
      <c r="L4115">
        <v>213.85749999999999</v>
      </c>
      <c r="M4115">
        <v>0.99994110000000003</v>
      </c>
      <c r="N4115">
        <v>-9.1617699999999996E-3</v>
      </c>
      <c r="O4115">
        <v>-5.8492120000000003E-3</v>
      </c>
      <c r="P4115">
        <v>0.98684249999999996</v>
      </c>
      <c r="Q4115">
        <v>0.14079410000000001</v>
      </c>
      <c r="R4115">
        <v>7.9493679999999997E-2</v>
      </c>
      <c r="S4115">
        <v>3.0380859999999998</v>
      </c>
      <c r="T4115">
        <v>-9.3253850000000003E-3</v>
      </c>
      <c r="U4115">
        <v>3.9199829999999998E-2</v>
      </c>
      <c r="V4115">
        <v>-8.513896E-2</v>
      </c>
      <c r="W4115">
        <v>0.1498968</v>
      </c>
      <c r="X4115">
        <v>0.98502909999999999</v>
      </c>
      <c r="Y4115">
        <v>-1.8750019999999999E-2</v>
      </c>
      <c r="Z4115" s="1">
        <v>7.9038549999999996E-5</v>
      </c>
      <c r="AA4115">
        <v>0.99982420000000005</v>
      </c>
      <c r="AB4115">
        <v>31</v>
      </c>
      <c r="AC4115">
        <v>320.23860000000002</v>
      </c>
      <c r="AD4115">
        <v>-0.98398909999999995</v>
      </c>
      <c r="AE4115">
        <v>4.1379000000000001</v>
      </c>
      <c r="AF4115">
        <v>-6.0109942141978099</v>
      </c>
      <c r="AG4115">
        <v>-0.98398909999999995</v>
      </c>
      <c r="AH4115">
        <v>320.20589415756899</v>
      </c>
      <c r="AI4115">
        <v>90.176037714999794</v>
      </c>
      <c r="AJ4115">
        <v>91.075446011785004</v>
      </c>
      <c r="AK4115">
        <v>320.263820840319</v>
      </c>
      <c r="AL4115">
        <v>81.379054074064996</v>
      </c>
      <c r="AM4115">
        <v>94.939965431412006</v>
      </c>
      <c r="AN4115">
        <v>1.0000000105034601</v>
      </c>
    </row>
    <row r="4116" spans="1:40" x14ac:dyDescent="0.25">
      <c r="A4116" t="str">
        <f>"20190304154835258"</f>
        <v>20190304154835258</v>
      </c>
      <c r="B4116" t="str">
        <f>"1551685715251168"</f>
        <v>1551685715251168</v>
      </c>
      <c r="C4116" t="s">
        <v>40</v>
      </c>
      <c r="D4116">
        <v>4.0039129999999998</v>
      </c>
      <c r="E4116">
        <v>0.52425929999999998</v>
      </c>
      <c r="F4116" t="s">
        <v>54</v>
      </c>
      <c r="G4116">
        <v>-179.95769999999999</v>
      </c>
      <c r="H4116">
        <v>1.201145E-2</v>
      </c>
      <c r="I4116">
        <v>216.93799999999999</v>
      </c>
      <c r="J4116">
        <v>-427.43369999999999</v>
      </c>
      <c r="K4116">
        <v>1.1096029999999999</v>
      </c>
      <c r="L4116">
        <v>213.8561</v>
      </c>
      <c r="M4116">
        <v>0.99993980000000005</v>
      </c>
      <c r="N4116">
        <v>-9.1655199999999999E-3</v>
      </c>
      <c r="O4116">
        <v>-6.0532819999999897E-3</v>
      </c>
      <c r="P4116">
        <v>0.98684260000000001</v>
      </c>
      <c r="Q4116">
        <v>0.14059050000000001</v>
      </c>
      <c r="R4116">
        <v>7.9851599999999995E-2</v>
      </c>
      <c r="S4116">
        <v>3.0388790000000001</v>
      </c>
      <c r="T4116">
        <v>-1.34666E-2</v>
      </c>
      <c r="U4116">
        <v>3.779602E-2</v>
      </c>
      <c r="V4116">
        <v>-8.5706199999999996E-2</v>
      </c>
      <c r="W4116">
        <v>0.14969270000000001</v>
      </c>
      <c r="X4116">
        <v>0.98501090000000002</v>
      </c>
      <c r="Y4116">
        <v>-1.848874E-2</v>
      </c>
      <c r="Z4116" s="1">
        <v>9.7042989999999998E-5</v>
      </c>
      <c r="AA4116">
        <v>0.99982910000000003</v>
      </c>
      <c r="AB4116">
        <v>31</v>
      </c>
      <c r="AC4116">
        <v>247.476</v>
      </c>
      <c r="AD4116">
        <v>-1.09759155</v>
      </c>
      <c r="AE4116">
        <v>3.0818999999999899</v>
      </c>
      <c r="AF4116">
        <v>-4.5798582105944803</v>
      </c>
      <c r="AG4116">
        <v>-1.09759155</v>
      </c>
      <c r="AH4116">
        <v>247.44794248293499</v>
      </c>
      <c r="AI4116">
        <v>90.254098627858696</v>
      </c>
      <c r="AJ4116">
        <v>91.060330453549497</v>
      </c>
      <c r="AK4116">
        <v>247.49275554544599</v>
      </c>
      <c r="AL4116">
        <v>81.390881197531797</v>
      </c>
      <c r="AM4116">
        <v>94.972804981840895</v>
      </c>
      <c r="AN4116">
        <v>0.99999996513526901</v>
      </c>
    </row>
    <row r="4117" spans="1:40" x14ac:dyDescent="0.25">
      <c r="A4117" t="str">
        <f>"20190304154835279"</f>
        <v>20190304154835279</v>
      </c>
      <c r="B4117" t="str">
        <f>"1551685715270687"</f>
        <v>1551685715270687</v>
      </c>
      <c r="C4117" t="s">
        <v>40</v>
      </c>
      <c r="D4117">
        <v>3.9886400000000002</v>
      </c>
      <c r="E4117">
        <v>0.52450509999999995</v>
      </c>
      <c r="F4117" t="s">
        <v>54</v>
      </c>
      <c r="G4117">
        <v>-184.90639999999999</v>
      </c>
      <c r="H4117" s="1">
        <v>2.8813790000000001E-6</v>
      </c>
      <c r="I4117">
        <v>216.8432</v>
      </c>
      <c r="J4117">
        <v>-427.14089999999999</v>
      </c>
      <c r="K4117">
        <v>1.1096239999999999</v>
      </c>
      <c r="L4117">
        <v>213.85400000000001</v>
      </c>
      <c r="M4117">
        <v>0.99993799999999999</v>
      </c>
      <c r="N4117">
        <v>-9.1709489999999994E-3</v>
      </c>
      <c r="O4117">
        <v>-6.3187549999999997E-3</v>
      </c>
      <c r="P4117">
        <v>0.98679329999999998</v>
      </c>
      <c r="Q4117">
        <v>0.14017079999999901</v>
      </c>
      <c r="R4117">
        <v>8.1187010000000004E-2</v>
      </c>
      <c r="S4117">
        <v>3.0389400000000002</v>
      </c>
      <c r="T4117">
        <v>-1.390362E-2</v>
      </c>
      <c r="U4117">
        <v>3.7429810000000001E-2</v>
      </c>
      <c r="V4117">
        <v>-8.7315229999999994E-2</v>
      </c>
      <c r="W4117">
        <v>0.1492716</v>
      </c>
      <c r="X4117">
        <v>0.98493350000000002</v>
      </c>
      <c r="Y4117">
        <v>-1.8633449999999999E-2</v>
      </c>
      <c r="Z4117" s="1">
        <v>9.9033260000000003E-5</v>
      </c>
      <c r="AA4117">
        <v>0.9998264</v>
      </c>
      <c r="AB4117">
        <v>32</v>
      </c>
      <c r="AC4117">
        <v>242.2345</v>
      </c>
      <c r="AD4117">
        <v>-1.1096211186210001</v>
      </c>
      <c r="AE4117">
        <v>2.9891999999999799</v>
      </c>
      <c r="AF4117">
        <v>-4.5197302961274497</v>
      </c>
      <c r="AG4117">
        <v>-1.1096211186210001</v>
      </c>
      <c r="AH4117">
        <v>242.20569337730399</v>
      </c>
      <c r="AI4117">
        <v>90.262442616501403</v>
      </c>
      <c r="AJ4117">
        <v>91.069055869291503</v>
      </c>
      <c r="AK4117">
        <v>242.25040170319099</v>
      </c>
      <c r="AL4117">
        <v>81.415282741202205</v>
      </c>
      <c r="AM4117">
        <v>95.066078064808295</v>
      </c>
      <c r="AN4117">
        <v>0.99999997968938104</v>
      </c>
    </row>
    <row r="4118" spans="1:40" x14ac:dyDescent="0.25">
      <c r="A4118" t="str">
        <f>"20190304154835302"</f>
        <v>20190304154835302</v>
      </c>
      <c r="B4118" t="str">
        <f>"1551685715291183"</f>
        <v>1551685715291183</v>
      </c>
      <c r="C4118" t="s">
        <v>40</v>
      </c>
      <c r="D4118">
        <v>4.0378150000000002</v>
      </c>
      <c r="E4118">
        <v>0.52411450000000004</v>
      </c>
      <c r="F4118" t="s">
        <v>54</v>
      </c>
      <c r="G4118">
        <v>-200.19380000000001</v>
      </c>
      <c r="H4118" s="1">
        <v>2.114269E-6</v>
      </c>
      <c r="I4118">
        <v>216.77459999999999</v>
      </c>
      <c r="J4118">
        <v>-426.81639999999999</v>
      </c>
      <c r="K4118">
        <v>1.1096600000000001</v>
      </c>
      <c r="L4118">
        <v>213.85169999999999</v>
      </c>
      <c r="M4118">
        <v>0.9999363</v>
      </c>
      <c r="N4118">
        <v>-9.1769820000000002E-3</v>
      </c>
      <c r="O4118">
        <v>-6.5781609999999999E-3</v>
      </c>
      <c r="P4118">
        <v>0.98685369999999994</v>
      </c>
      <c r="Q4118">
        <v>0.13930049999999999</v>
      </c>
      <c r="R4118">
        <v>8.1948229999999997E-2</v>
      </c>
      <c r="S4118">
        <v>3.0390009999999998</v>
      </c>
      <c r="T4118">
        <v>-1.4858720000000001E-2</v>
      </c>
      <c r="U4118">
        <v>3.9108280000000002E-2</v>
      </c>
      <c r="V4118">
        <v>-8.8345080000000006E-2</v>
      </c>
      <c r="W4118">
        <v>0.14840159999999999</v>
      </c>
      <c r="X4118">
        <v>0.98497310000000005</v>
      </c>
      <c r="Y4118">
        <v>-1.9444619999999999E-2</v>
      </c>
      <c r="Z4118">
        <v>1.085571E-4</v>
      </c>
      <c r="AA4118">
        <v>0.99981089999999995</v>
      </c>
      <c r="AB4118">
        <v>32</v>
      </c>
      <c r="AC4118">
        <v>226.62260000000001</v>
      </c>
      <c r="AD4118">
        <v>-1.109657885731</v>
      </c>
      <c r="AE4118">
        <v>2.9228999999999901</v>
      </c>
      <c r="AF4118">
        <v>-4.4135536104283801</v>
      </c>
      <c r="AG4118">
        <v>-1.109657885731</v>
      </c>
      <c r="AH4118">
        <v>226.593036360344</v>
      </c>
      <c r="AI4118">
        <v>90.280530017835403</v>
      </c>
      <c r="AJ4118">
        <v>91.115859632043595</v>
      </c>
      <c r="AK4118">
        <v>226.638732177657</v>
      </c>
      <c r="AL4118">
        <v>81.465691261712195</v>
      </c>
      <c r="AM4118">
        <v>95.125309130553703</v>
      </c>
      <c r="AN4118">
        <v>0.99999994788318602</v>
      </c>
    </row>
    <row r="4119" spans="1:40" x14ac:dyDescent="0.25">
      <c r="A4119" t="str">
        <f>"20190304154835323"</f>
        <v>20190304154835323</v>
      </c>
      <c r="B4119" t="str">
        <f>"1551685715310707"</f>
        <v>1551685715310707</v>
      </c>
      <c r="C4119" t="s">
        <v>40</v>
      </c>
      <c r="D4119">
        <v>3.980324</v>
      </c>
      <c r="E4119">
        <v>0.52464909999999998</v>
      </c>
      <c r="F4119" t="s">
        <v>60</v>
      </c>
      <c r="G4119">
        <v>-278.98500000000001</v>
      </c>
      <c r="H4119" s="1">
        <v>3.1842259999999998E-6</v>
      </c>
      <c r="I4119">
        <v>215.99719999999999</v>
      </c>
      <c r="J4119">
        <v>-426.52859999999998</v>
      </c>
      <c r="K4119">
        <v>1.1096779999999999</v>
      </c>
      <c r="L4119">
        <v>213.84960000000001</v>
      </c>
      <c r="M4119">
        <v>0.99993500000000002</v>
      </c>
      <c r="N4119">
        <v>-9.182338E-3</v>
      </c>
      <c r="O4119">
        <v>-6.7846319999999996E-3</v>
      </c>
      <c r="P4119">
        <v>0.9868498</v>
      </c>
      <c r="Q4119">
        <v>0.1389215</v>
      </c>
      <c r="R4119">
        <v>8.2635509999999995E-2</v>
      </c>
      <c r="S4119">
        <v>3.03952</v>
      </c>
      <c r="T4119">
        <v>-2.2815350000000002E-2</v>
      </c>
      <c r="U4119">
        <v>4.4113159999999998E-2</v>
      </c>
      <c r="V4119">
        <v>-8.924348E-2</v>
      </c>
      <c r="W4119">
        <v>0.1480235</v>
      </c>
      <c r="X4119">
        <v>0.98494910000000002</v>
      </c>
      <c r="Y4119">
        <v>-2.1294199999999999E-2</v>
      </c>
      <c r="Z4119">
        <v>1.66317099999999E-4</v>
      </c>
      <c r="AA4119">
        <v>0.99977329999999998</v>
      </c>
      <c r="AB4119">
        <v>32</v>
      </c>
      <c r="AC4119">
        <v>147.543599999999</v>
      </c>
      <c r="AD4119">
        <v>-1.109674815774</v>
      </c>
      <c r="AE4119">
        <v>2.1475999999999802</v>
      </c>
      <c r="AF4119">
        <v>-3.1484435698367199</v>
      </c>
      <c r="AG4119">
        <v>-1.109674815774</v>
      </c>
      <c r="AH4119">
        <v>147.51728997752801</v>
      </c>
      <c r="AI4119">
        <v>90.430891926635795</v>
      </c>
      <c r="AJ4119">
        <v>91.222671223077199</v>
      </c>
      <c r="AK4119">
        <v>147.55505724109599</v>
      </c>
      <c r="AL4119">
        <v>81.487597542367794</v>
      </c>
      <c r="AM4119">
        <v>95.177273140216101</v>
      </c>
      <c r="AN4119">
        <v>1.00000004243278</v>
      </c>
    </row>
    <row r="4120" spans="1:40" x14ac:dyDescent="0.25">
      <c r="A4120" t="str">
        <f>"20190304154835344"</f>
        <v>20190304154835344</v>
      </c>
      <c r="B4120" t="str">
        <f>"1551685715340961"</f>
        <v>1551685715340961</v>
      </c>
      <c r="C4120" t="s">
        <v>40</v>
      </c>
      <c r="D4120">
        <v>3.9871690000000002</v>
      </c>
      <c r="E4120">
        <v>0.52471939999999995</v>
      </c>
      <c r="F4120" t="s">
        <v>61</v>
      </c>
      <c r="G4120">
        <v>-288.53059999999999</v>
      </c>
      <c r="H4120" s="1">
        <v>3.1726910000000001E-6</v>
      </c>
      <c r="I4120">
        <v>215.751</v>
      </c>
      <c r="J4120">
        <v>-426.2176</v>
      </c>
      <c r="K4120">
        <v>1.109696</v>
      </c>
      <c r="L4120">
        <v>213.84729999999999</v>
      </c>
      <c r="M4120">
        <v>0.99993350000000003</v>
      </c>
      <c r="N4120">
        <v>-9.1881659999999993E-3</v>
      </c>
      <c r="O4120">
        <v>-6.9896189999999999E-3</v>
      </c>
      <c r="P4120">
        <v>0.98685699999999998</v>
      </c>
      <c r="Q4120">
        <v>0.13844960000000001</v>
      </c>
      <c r="R4120">
        <v>8.3338220000000005E-2</v>
      </c>
      <c r="S4120">
        <v>3.0399479999999999</v>
      </c>
      <c r="T4120">
        <v>-2.4444939999999998E-2</v>
      </c>
      <c r="U4120">
        <v>4.188538E-2</v>
      </c>
      <c r="V4120">
        <v>-9.0154890000000001E-2</v>
      </c>
      <c r="W4120">
        <v>0.14755379999999901</v>
      </c>
      <c r="X4120">
        <v>0.98493649999999999</v>
      </c>
      <c r="Y4120">
        <v>-2.076449E-2</v>
      </c>
      <c r="Z4120">
        <v>1.7086649999999999E-4</v>
      </c>
      <c r="AA4120">
        <v>0.99978440000000002</v>
      </c>
      <c r="AB4120">
        <v>32</v>
      </c>
      <c r="AC4120">
        <v>137.68700000000001</v>
      </c>
      <c r="AD4120">
        <v>-1.1096928273090001</v>
      </c>
      <c r="AE4120">
        <v>1.90369999999998</v>
      </c>
      <c r="AF4120">
        <v>-2.8658875334239999</v>
      </c>
      <c r="AG4120">
        <v>-1.1096928273090001</v>
      </c>
      <c r="AH4120">
        <v>137.66138941217801</v>
      </c>
      <c r="AI4120">
        <v>90.461753044859606</v>
      </c>
      <c r="AJ4120">
        <v>91.192633206137202</v>
      </c>
      <c r="AK4120">
        <v>137.69568934580499</v>
      </c>
      <c r="AL4120">
        <v>81.514807538478394</v>
      </c>
      <c r="AM4120">
        <v>95.229921484418</v>
      </c>
      <c r="AN4120">
        <v>0.99999996855880002</v>
      </c>
    </row>
    <row r="4121" spans="1:40" x14ac:dyDescent="0.25">
      <c r="A4121" t="str">
        <f>"20190304154835367"</f>
        <v>20190304154835367</v>
      </c>
      <c r="B4121" t="str">
        <f>"1551685715360479"</f>
        <v>1551685715360479</v>
      </c>
      <c r="C4121" t="s">
        <v>40</v>
      </c>
      <c r="D4121">
        <v>4.0033300000000001</v>
      </c>
      <c r="E4121">
        <v>0.52470309999999998</v>
      </c>
      <c r="F4121" t="s">
        <v>61</v>
      </c>
      <c r="G4121">
        <v>-313.12979999999999</v>
      </c>
      <c r="H4121" s="1">
        <v>2.2935970000000001E-6</v>
      </c>
      <c r="I4121">
        <v>215.44370000000001</v>
      </c>
      <c r="J4121">
        <v>-425.89429999999999</v>
      </c>
      <c r="K4121">
        <v>1.1096999999999999</v>
      </c>
      <c r="L4121">
        <v>213.84479999999999</v>
      </c>
      <c r="M4121">
        <v>0.99993200000000004</v>
      </c>
      <c r="N4121">
        <v>-9.1942640000000006E-3</v>
      </c>
      <c r="O4121">
        <v>-7.1906230000000002E-3</v>
      </c>
      <c r="P4121">
        <v>0.98693379999999997</v>
      </c>
      <c r="Q4121">
        <v>0.1376346</v>
      </c>
      <c r="R4121">
        <v>8.3776310000000007E-2</v>
      </c>
      <c r="S4121">
        <v>3.040527</v>
      </c>
      <c r="T4121">
        <v>-2.98357E-2</v>
      </c>
      <c r="U4121">
        <v>4.2922969999999998E-2</v>
      </c>
      <c r="V4121">
        <v>-9.0796189999999999E-2</v>
      </c>
      <c r="W4121">
        <v>0.14674389999999901</v>
      </c>
      <c r="X4121">
        <v>0.98499859999999995</v>
      </c>
      <c r="Y4121">
        <v>-2.1303409999999998E-2</v>
      </c>
      <c r="Z4121">
        <v>2.069044E-4</v>
      </c>
      <c r="AA4121">
        <v>0.99977300000000002</v>
      </c>
      <c r="AB4121">
        <v>32</v>
      </c>
      <c r="AC4121">
        <v>112.7645</v>
      </c>
      <c r="AD4121">
        <v>-1.10969770640299</v>
      </c>
      <c r="AE4121">
        <v>1.59890000000001</v>
      </c>
      <c r="AF4121">
        <v>-2.40950654811556</v>
      </c>
      <c r="AG4121">
        <v>-1.10969770640299</v>
      </c>
      <c r="AH4121">
        <v>112.73917118419899</v>
      </c>
      <c r="AI4121">
        <v>90.563818469959898</v>
      </c>
      <c r="AJ4121">
        <v>91.224361861671397</v>
      </c>
      <c r="AK4121">
        <v>112.770376740104</v>
      </c>
      <c r="AL4121">
        <v>81.561722195162105</v>
      </c>
      <c r="AM4121">
        <v>95.266584875681502</v>
      </c>
      <c r="AN4121">
        <v>0.99999998115384203</v>
      </c>
    </row>
    <row r="4122" spans="1:40" x14ac:dyDescent="0.25">
      <c r="A4122" t="str">
        <f>"20190304154835389"</f>
        <v>20190304154835389</v>
      </c>
      <c r="B4122" t="str">
        <f>"1551685715380979"</f>
        <v>1551685715380979</v>
      </c>
      <c r="C4122" t="s">
        <v>40</v>
      </c>
      <c r="D4122">
        <v>3.9598909999999998</v>
      </c>
      <c r="E4122">
        <v>0.52507680000000001</v>
      </c>
      <c r="F4122" t="s">
        <v>60</v>
      </c>
      <c r="G4122">
        <v>-328.70310000000001</v>
      </c>
      <c r="H4122" s="1">
        <v>3.0945880000000001E-6</v>
      </c>
      <c r="I4122">
        <v>215.2543</v>
      </c>
      <c r="J4122">
        <v>-425.57170000000002</v>
      </c>
      <c r="K4122">
        <v>1.109704</v>
      </c>
      <c r="L4122">
        <v>213.84229999999999</v>
      </c>
      <c r="M4122">
        <v>0.99993050000000006</v>
      </c>
      <c r="N4122">
        <v>-9.2003659999999998E-3</v>
      </c>
      <c r="O4122">
        <v>-7.3860710000000001E-3</v>
      </c>
      <c r="P4122">
        <v>0.98694660000000001</v>
      </c>
      <c r="Q4122">
        <v>0.1374879</v>
      </c>
      <c r="R4122">
        <v>8.3866289999999996E-2</v>
      </c>
      <c r="S4122">
        <v>3.0408330000000001</v>
      </c>
      <c r="T4122">
        <v>-3.4719229999999997E-2</v>
      </c>
      <c r="U4122">
        <v>4.4097900000000002E-2</v>
      </c>
      <c r="V4122">
        <v>-9.108136E-2</v>
      </c>
      <c r="W4122">
        <v>0.1466015</v>
      </c>
      <c r="X4122">
        <v>0.98499349999999997</v>
      </c>
      <c r="Y4122">
        <v>-2.1883010000000001E-2</v>
      </c>
      <c r="Z4122">
        <v>2.4196870000000001E-4</v>
      </c>
      <c r="AA4122">
        <v>0.99976050000000005</v>
      </c>
      <c r="AB4122">
        <v>32</v>
      </c>
      <c r="AC4122">
        <v>96.868600000000001</v>
      </c>
      <c r="AD4122">
        <v>-1.1097009054119999</v>
      </c>
      <c r="AE4122">
        <v>1.4119999999999999</v>
      </c>
      <c r="AF4122">
        <v>-2.1271909480150502</v>
      </c>
      <c r="AG4122">
        <v>-1.1097009054119999</v>
      </c>
      <c r="AH4122">
        <v>96.842821525718804</v>
      </c>
      <c r="AI4122">
        <v>90.6563528827987</v>
      </c>
      <c r="AJ4122">
        <v>91.2583221548513</v>
      </c>
      <c r="AK4122">
        <v>96.872537173808993</v>
      </c>
      <c r="AL4122">
        <v>81.569970515296006</v>
      </c>
      <c r="AM4122">
        <v>95.283059758850897</v>
      </c>
      <c r="AN4122">
        <v>1.0000000044919699</v>
      </c>
    </row>
    <row r="4123" spans="1:40" x14ac:dyDescent="0.25">
      <c r="A4123" t="str">
        <f>"20190304154835413"</f>
        <v>20190304154835413</v>
      </c>
      <c r="B4123" t="str">
        <f>"1551685715400499"</f>
        <v>1551685715400499</v>
      </c>
      <c r="C4123" t="s">
        <v>40</v>
      </c>
      <c r="D4123">
        <v>4.01572</v>
      </c>
      <c r="E4123">
        <v>0.52519689999999997</v>
      </c>
      <c r="F4123" t="s">
        <v>60</v>
      </c>
      <c r="G4123">
        <v>-328.32010000000002</v>
      </c>
      <c r="H4123" s="1">
        <v>2.8907710000000002E-6</v>
      </c>
      <c r="I4123">
        <v>215.1593</v>
      </c>
      <c r="J4123">
        <v>-425.25009999999997</v>
      </c>
      <c r="K4123">
        <v>1.109702</v>
      </c>
      <c r="L4123">
        <v>213.83969999999999</v>
      </c>
      <c r="M4123">
        <v>0.99992890000000001</v>
      </c>
      <c r="N4123">
        <v>-9.2063969999999998E-3</v>
      </c>
      <c r="O4123">
        <v>-7.5799969999999998E-3</v>
      </c>
      <c r="P4123">
        <v>0.98685750000000005</v>
      </c>
      <c r="Q4123">
        <v>0.13803509999999999</v>
      </c>
      <c r="R4123">
        <v>8.4016049999999995E-2</v>
      </c>
      <c r="S4123">
        <v>3.0410159999999999</v>
      </c>
      <c r="T4123">
        <v>-3.4699920000000002E-2</v>
      </c>
      <c r="U4123">
        <v>4.118347E-2</v>
      </c>
      <c r="V4123">
        <v>-9.1423219999999999E-2</v>
      </c>
      <c r="W4123">
        <v>0.147152799999999</v>
      </c>
      <c r="X4123">
        <v>0.98487959999999997</v>
      </c>
      <c r="Y4123">
        <v>-2.111816E-2</v>
      </c>
      <c r="Z4123">
        <v>2.3440409999999999E-4</v>
      </c>
      <c r="AA4123">
        <v>0.99977700000000003</v>
      </c>
      <c r="AB4123">
        <v>32</v>
      </c>
      <c r="AC4123">
        <v>96.929999999999893</v>
      </c>
      <c r="AD4123">
        <v>-1.1096991092290001</v>
      </c>
      <c r="AE4123">
        <v>1.3196000000000001</v>
      </c>
      <c r="AF4123">
        <v>-2.0540531585573798</v>
      </c>
      <c r="AG4123">
        <v>-1.1096991092290001</v>
      </c>
      <c r="AH4123">
        <v>96.904513463422205</v>
      </c>
      <c r="AI4123">
        <v>90.655944882291706</v>
      </c>
      <c r="AJ4123">
        <v>91.214297989256394</v>
      </c>
      <c r="AK4123">
        <v>96.932632771805899</v>
      </c>
      <c r="AL4123">
        <v>81.538036893598104</v>
      </c>
      <c r="AM4123">
        <v>95.303385850516406</v>
      </c>
      <c r="AN4123">
        <v>0.99999998909958399</v>
      </c>
    </row>
    <row r="4124" spans="1:40" x14ac:dyDescent="0.25">
      <c r="A4124" t="str">
        <f>"20190304154835433"</f>
        <v>20190304154835433</v>
      </c>
      <c r="B4124" t="str">
        <f>"1551685715430752"</f>
        <v>1551685715430752</v>
      </c>
      <c r="C4124" t="s">
        <v>40</v>
      </c>
      <c r="D4124">
        <v>3.980092</v>
      </c>
      <c r="E4124">
        <v>0.52545350000000002</v>
      </c>
      <c r="F4124" t="s">
        <v>60</v>
      </c>
      <c r="G4124">
        <v>-325.89499999999998</v>
      </c>
      <c r="H4124" s="1">
        <v>1.600232E-6</v>
      </c>
      <c r="I4124">
        <v>215.1677</v>
      </c>
      <c r="J4124">
        <v>-424.95049999999998</v>
      </c>
      <c r="K4124">
        <v>1.1097109999999999</v>
      </c>
      <c r="L4124">
        <v>213.8373</v>
      </c>
      <c r="M4124">
        <v>0.99992760000000003</v>
      </c>
      <c r="N4124">
        <v>-9.2119839999999995E-3</v>
      </c>
      <c r="O4124">
        <v>-7.7623759999999997E-3</v>
      </c>
      <c r="P4124">
        <v>0.98681620000000003</v>
      </c>
      <c r="Q4124">
        <v>0.13821020000000001</v>
      </c>
      <c r="R4124">
        <v>8.4214819999999996E-2</v>
      </c>
      <c r="S4124">
        <v>3.041229</v>
      </c>
      <c r="T4124">
        <v>-3.3967610000000002E-2</v>
      </c>
      <c r="U4124">
        <v>4.0649409999999997E-2</v>
      </c>
      <c r="V4124">
        <v>-9.1802079999999994E-2</v>
      </c>
      <c r="W4124">
        <v>0.14733250000000001</v>
      </c>
      <c r="X4124">
        <v>0.98481750000000001</v>
      </c>
      <c r="Y4124">
        <v>-2.1124110000000001E-2</v>
      </c>
      <c r="Z4124">
        <v>2.304563E-4</v>
      </c>
      <c r="AA4124">
        <v>0.99977680000000002</v>
      </c>
      <c r="AB4124">
        <v>32</v>
      </c>
      <c r="AC4124">
        <v>99.055499999999995</v>
      </c>
      <c r="AD4124">
        <v>-1.1097093997679901</v>
      </c>
      <c r="AE4124">
        <v>1.33039999999999</v>
      </c>
      <c r="AF4124">
        <v>-2.0990350623477601</v>
      </c>
      <c r="AG4124">
        <v>-1.1097093997679901</v>
      </c>
      <c r="AH4124">
        <v>99.029761434699907</v>
      </c>
      <c r="AI4124">
        <v>90.641874997655094</v>
      </c>
      <c r="AJ4124">
        <v>91.214259658917001</v>
      </c>
      <c r="AK4124">
        <v>99.058220521865195</v>
      </c>
      <c r="AL4124">
        <v>81.527627457301094</v>
      </c>
      <c r="AM4124">
        <v>95.3255709833781</v>
      </c>
      <c r="AN4124">
        <v>0.999999997877413</v>
      </c>
    </row>
    <row r="4125" spans="1:40" x14ac:dyDescent="0.25">
      <c r="A4125" t="str">
        <f>"20190304154835456"</f>
        <v>20190304154835456</v>
      </c>
      <c r="B4125" t="str">
        <f>"1551685715451248"</f>
        <v>1551685715451248</v>
      </c>
      <c r="C4125" t="s">
        <v>40</v>
      </c>
      <c r="D4125">
        <v>3.9680689999999998</v>
      </c>
      <c r="E4125">
        <v>0.52576009999999995</v>
      </c>
      <c r="F4125" t="s">
        <v>60</v>
      </c>
      <c r="G4125">
        <v>-325.81849999999997</v>
      </c>
      <c r="H4125" s="1">
        <v>1.559498E-6</v>
      </c>
      <c r="I4125">
        <v>215.101</v>
      </c>
      <c r="J4125">
        <v>-424.62619999999998</v>
      </c>
      <c r="K4125">
        <v>1.1097090000000001</v>
      </c>
      <c r="L4125">
        <v>213.83449999999999</v>
      </c>
      <c r="M4125">
        <v>0.99992579999999998</v>
      </c>
      <c r="N4125">
        <v>-9.21808E-3</v>
      </c>
      <c r="O4125">
        <v>-7.9616889999999992E-3</v>
      </c>
      <c r="P4125">
        <v>0.98672470000000001</v>
      </c>
      <c r="Q4125">
        <v>0.138558399999999</v>
      </c>
      <c r="R4125">
        <v>8.4711120000000001E-2</v>
      </c>
      <c r="S4125">
        <v>3.0415040000000002</v>
      </c>
      <c r="T4125">
        <v>-3.404737E-2</v>
      </c>
      <c r="U4125">
        <v>3.8772580000000001E-2</v>
      </c>
      <c r="V4125">
        <v>-9.2495419999999995E-2</v>
      </c>
      <c r="W4125">
        <v>0.14768580000000001</v>
      </c>
      <c r="X4125">
        <v>0.98469969999999996</v>
      </c>
      <c r="Y4125">
        <v>-2.0705399999999999E-2</v>
      </c>
      <c r="Z4125">
        <v>2.270556E-4</v>
      </c>
      <c r="AA4125">
        <v>0.99978560000000005</v>
      </c>
      <c r="AB4125">
        <v>32</v>
      </c>
      <c r="AC4125">
        <v>98.807699999999997</v>
      </c>
      <c r="AD4125">
        <v>-1.109707440502</v>
      </c>
      <c r="AE4125">
        <v>1.2665</v>
      </c>
      <c r="AF4125">
        <v>-2.05291057040324</v>
      </c>
      <c r="AG4125">
        <v>-1.109707440502</v>
      </c>
      <c r="AH4125">
        <v>98.782026322377504</v>
      </c>
      <c r="AI4125">
        <v>90.643489068193304</v>
      </c>
      <c r="AJ4125">
        <v>91.190562557998703</v>
      </c>
      <c r="AK4125">
        <v>98.809587676340698</v>
      </c>
      <c r="AL4125">
        <v>81.507160976137499</v>
      </c>
      <c r="AM4125">
        <v>95.366196902410607</v>
      </c>
      <c r="AN4125">
        <v>0.99999999871135303</v>
      </c>
    </row>
    <row r="4126" spans="1:40" x14ac:dyDescent="0.25">
      <c r="A4126" t="str">
        <f>"20190304154835480"</f>
        <v>20190304154835480</v>
      </c>
      <c r="B4126" t="str">
        <f>"1551685715470767"</f>
        <v>1551685715470767</v>
      </c>
      <c r="C4126" t="s">
        <v>40</v>
      </c>
      <c r="D4126">
        <v>4.0252280000000003</v>
      </c>
      <c r="E4126">
        <v>0.52565969999999995</v>
      </c>
      <c r="F4126" t="s">
        <v>60</v>
      </c>
      <c r="G4126">
        <v>-321.06760000000003</v>
      </c>
      <c r="H4126" s="1">
        <v>-9.6867309999999997E-7</v>
      </c>
      <c r="I4126">
        <v>215.113</v>
      </c>
      <c r="J4126">
        <v>-424.27929999999998</v>
      </c>
      <c r="K4126">
        <v>1.1097129999999999</v>
      </c>
      <c r="L4126">
        <v>213.83160000000001</v>
      </c>
      <c r="M4126">
        <v>0.99992409999999998</v>
      </c>
      <c r="N4126">
        <v>-9.2246069999999993E-3</v>
      </c>
      <c r="O4126">
        <v>-8.1773419999999902E-3</v>
      </c>
      <c r="P4126">
        <v>0.98676019999999998</v>
      </c>
      <c r="Q4126">
        <v>0.13812240000000001</v>
      </c>
      <c r="R4126">
        <v>8.5010290000000002E-2</v>
      </c>
      <c r="S4126">
        <v>3.0417179999999999</v>
      </c>
      <c r="T4126">
        <v>-3.2594320000000003E-2</v>
      </c>
      <c r="U4126">
        <v>3.7551880000000003E-2</v>
      </c>
      <c r="V4126">
        <v>-9.3008530000000006E-2</v>
      </c>
      <c r="W4126">
        <v>0.14725569999999999</v>
      </c>
      <c r="X4126">
        <v>0.98471580000000003</v>
      </c>
      <c r="Y4126">
        <v>-2.051913E-2</v>
      </c>
      <c r="Z4126">
        <v>2.1677299999999999E-4</v>
      </c>
      <c r="AA4126">
        <v>0.99978940000000005</v>
      </c>
      <c r="AB4126">
        <v>32</v>
      </c>
      <c r="AC4126">
        <v>103.211699999999</v>
      </c>
      <c r="AD4126">
        <v>-1.1097139686730999</v>
      </c>
      <c r="AE4126">
        <v>1.2813999999999901</v>
      </c>
      <c r="AF4126">
        <v>-2.1251447301881199</v>
      </c>
      <c r="AG4126">
        <v>-1.1097139686730999</v>
      </c>
      <c r="AH4126">
        <v>103.18584330947699</v>
      </c>
      <c r="AI4126">
        <v>90.616034088469206</v>
      </c>
      <c r="AJ4126">
        <v>91.179857707129301</v>
      </c>
      <c r="AK4126">
        <v>103.21369078133201</v>
      </c>
      <c r="AL4126">
        <v>81.532076463537294</v>
      </c>
      <c r="AM4126">
        <v>95.395702480622901</v>
      </c>
      <c r="AN4126">
        <v>1.0000000173024399</v>
      </c>
    </row>
    <row r="4127" spans="1:40" x14ac:dyDescent="0.25">
      <c r="A4127" t="str">
        <f>"20190304154835502"</f>
        <v>20190304154835502</v>
      </c>
      <c r="B4127" t="str">
        <f>"1551685715491263"</f>
        <v>1551685715491263</v>
      </c>
      <c r="C4127" t="s">
        <v>40</v>
      </c>
      <c r="D4127">
        <v>3.972801</v>
      </c>
      <c r="E4127">
        <v>0.5258235</v>
      </c>
      <c r="F4127" t="s">
        <v>60</v>
      </c>
      <c r="G4127">
        <v>-329.51850000000002</v>
      </c>
      <c r="H4127" s="1">
        <v>3.5284899999999999E-6</v>
      </c>
      <c r="I4127">
        <v>215.05420000000001</v>
      </c>
      <c r="J4127">
        <v>-423.96080000000001</v>
      </c>
      <c r="K4127">
        <v>1.1097079999999999</v>
      </c>
      <c r="L4127">
        <v>213.8288</v>
      </c>
      <c r="M4127">
        <v>0.99992239999999999</v>
      </c>
      <c r="N4127">
        <v>-9.2305979999999996E-3</v>
      </c>
      <c r="O4127">
        <v>-8.3763120000000003E-3</v>
      </c>
      <c r="P4127">
        <v>0.98676070000000005</v>
      </c>
      <c r="Q4127">
        <v>0.1376047</v>
      </c>
      <c r="R4127">
        <v>8.5839470000000001E-2</v>
      </c>
      <c r="S4127">
        <v>3.0418400000000001</v>
      </c>
      <c r="T4127">
        <v>-3.5621880000000002E-2</v>
      </c>
      <c r="U4127">
        <v>3.924561E-2</v>
      </c>
      <c r="V4127">
        <v>-9.4034160000000006E-2</v>
      </c>
      <c r="W4127">
        <v>0.1467444</v>
      </c>
      <c r="X4127">
        <v>0.98469470000000003</v>
      </c>
      <c r="Y4127">
        <v>-2.1273739999999999E-2</v>
      </c>
      <c r="Z4127">
        <v>2.435211E-4</v>
      </c>
      <c r="AA4127">
        <v>0.99977369999999999</v>
      </c>
      <c r="AB4127">
        <v>32</v>
      </c>
      <c r="AC4127">
        <v>94.442300000000003</v>
      </c>
      <c r="AD4127">
        <v>-1.10970447151</v>
      </c>
      <c r="AE4127">
        <v>1.2254</v>
      </c>
      <c r="AF4127">
        <v>-2.01619049595813</v>
      </c>
      <c r="AG4127">
        <v>-1.10970447151</v>
      </c>
      <c r="AH4127">
        <v>94.415688485450801</v>
      </c>
      <c r="AI4127">
        <v>90.673235203801795</v>
      </c>
      <c r="AJ4127">
        <v>91.223331137510499</v>
      </c>
      <c r="AK4127">
        <v>94.443732985898905</v>
      </c>
      <c r="AL4127">
        <v>81.5616933700814</v>
      </c>
      <c r="AM4127">
        <v>95.454961572023393</v>
      </c>
      <c r="AN4127">
        <v>0.999999997193177</v>
      </c>
    </row>
    <row r="4128" spans="1:40" x14ac:dyDescent="0.25">
      <c r="A4128" t="str">
        <f>"20190304154835523"</f>
        <v>20190304154835523</v>
      </c>
      <c r="B4128" t="str">
        <f>"1551685715520544"</f>
        <v>1551685715520544</v>
      </c>
      <c r="C4128" t="s">
        <v>40</v>
      </c>
      <c r="D4128">
        <v>4.0382699999999998</v>
      </c>
      <c r="E4128">
        <v>0.52580490000000002</v>
      </c>
      <c r="F4128" t="s">
        <v>60</v>
      </c>
      <c r="G4128">
        <v>-331.45310000000001</v>
      </c>
      <c r="H4128" s="1">
        <v>-7.8229930000000001E-7</v>
      </c>
      <c r="I4128">
        <v>215.04599999999999</v>
      </c>
      <c r="J4128">
        <v>-423.65870000000001</v>
      </c>
      <c r="K4128">
        <v>1.1097079999999999</v>
      </c>
      <c r="L4128">
        <v>213.8261</v>
      </c>
      <c r="M4128">
        <v>0.9999207</v>
      </c>
      <c r="N4128">
        <v>-9.2362820000000002E-3</v>
      </c>
      <c r="O4128">
        <v>-8.5650380000000005E-3</v>
      </c>
      <c r="P4128">
        <v>0.98673219999999995</v>
      </c>
      <c r="Q4128">
        <v>0.13739289999999901</v>
      </c>
      <c r="R4128">
        <v>8.6501090000000003E-2</v>
      </c>
      <c r="S4128">
        <v>3.0418400000000001</v>
      </c>
      <c r="T4128">
        <v>-3.6489489999999999E-2</v>
      </c>
      <c r="U4128">
        <v>4.0023799999999998E-2</v>
      </c>
      <c r="V4128">
        <v>-9.4881770000000004E-2</v>
      </c>
      <c r="W4128">
        <v>0.1465378</v>
      </c>
      <c r="X4128">
        <v>0.98464419999999997</v>
      </c>
      <c r="Y4128">
        <v>-2.1718000000000001E-2</v>
      </c>
      <c r="Z4128">
        <v>2.541935E-4</v>
      </c>
      <c r="AA4128">
        <v>0.99976410000000004</v>
      </c>
      <c r="AB4128">
        <v>32</v>
      </c>
      <c r="AC4128">
        <v>92.205600000000004</v>
      </c>
      <c r="AD4128">
        <v>-1.1097087822992999</v>
      </c>
      <c r="AE4128">
        <v>1.21989999999999</v>
      </c>
      <c r="AF4128">
        <v>-2.00934238372461</v>
      </c>
      <c r="AG4128">
        <v>-1.1097087822992999</v>
      </c>
      <c r="AH4128">
        <v>92.178419374084498</v>
      </c>
      <c r="AI4128">
        <v>90.689569861261006</v>
      </c>
      <c r="AJ4128">
        <v>91.248758757285202</v>
      </c>
      <c r="AK4128">
        <v>92.206994901152399</v>
      </c>
      <c r="AL4128">
        <v>81.573660394298798</v>
      </c>
      <c r="AM4128">
        <v>95.504111746702904</v>
      </c>
      <c r="AN4128">
        <v>1.0000000388504</v>
      </c>
    </row>
    <row r="4129" spans="1:40" x14ac:dyDescent="0.25">
      <c r="A4129" t="str">
        <f>"20190304154835545"</f>
        <v>20190304154835545</v>
      </c>
      <c r="B4129" t="str">
        <f>"1551685715541041"</f>
        <v>1551685715541041</v>
      </c>
      <c r="C4129" t="s">
        <v>40</v>
      </c>
      <c r="D4129">
        <v>4.0365919999999997</v>
      </c>
      <c r="E4129">
        <v>0.5257174</v>
      </c>
      <c r="F4129" t="s">
        <v>60</v>
      </c>
      <c r="G4129">
        <v>-335.38310000000001</v>
      </c>
      <c r="H4129" s="1">
        <v>1.3095529999999999E-6</v>
      </c>
      <c r="I4129">
        <v>215.03399999999999</v>
      </c>
      <c r="J4129">
        <v>-423.33980000000003</v>
      </c>
      <c r="K4129">
        <v>1.1097090000000001</v>
      </c>
      <c r="L4129">
        <v>213.82310000000001</v>
      </c>
      <c r="M4129">
        <v>0.999919</v>
      </c>
      <c r="N4129">
        <v>-9.2422900000000002E-3</v>
      </c>
      <c r="O4129">
        <v>-8.7643779999999998E-3</v>
      </c>
      <c r="P4129">
        <v>0.98668520000000004</v>
      </c>
      <c r="Q4129">
        <v>0.13751949999999999</v>
      </c>
      <c r="R4129">
        <v>8.6836540000000004E-2</v>
      </c>
      <c r="S4129">
        <v>3.041992</v>
      </c>
      <c r="T4129">
        <v>-3.8240669999999997E-2</v>
      </c>
      <c r="U4129">
        <v>4.162598E-2</v>
      </c>
      <c r="V4129">
        <v>-9.5413239999999996E-2</v>
      </c>
      <c r="W4129">
        <v>0.14666940000000001</v>
      </c>
      <c r="X4129">
        <v>0.98457320000000004</v>
      </c>
      <c r="Y4129">
        <v>-2.2442790000000001E-2</v>
      </c>
      <c r="Z4129">
        <v>2.7394460000000002E-4</v>
      </c>
      <c r="AA4129">
        <v>0.99974810000000003</v>
      </c>
      <c r="AB4129">
        <v>32</v>
      </c>
      <c r="AC4129">
        <v>87.956699999999998</v>
      </c>
      <c r="AD4129">
        <v>-1.109707690447</v>
      </c>
      <c r="AE4129">
        <v>1.2109000000000001</v>
      </c>
      <c r="AF4129">
        <v>-1.98145674626492</v>
      </c>
      <c r="AG4129">
        <v>-1.109707690447</v>
      </c>
      <c r="AH4129">
        <v>87.928714697559499</v>
      </c>
      <c r="AI4129">
        <v>90.722881674986496</v>
      </c>
      <c r="AJ4129">
        <v>91.290930928909205</v>
      </c>
      <c r="AK4129">
        <v>87.958038236197396</v>
      </c>
      <c r="AL4129">
        <v>81.566037519560595</v>
      </c>
      <c r="AM4129">
        <v>95.535148168970593</v>
      </c>
      <c r="AN4129">
        <v>0.99999999271094797</v>
      </c>
    </row>
    <row r="4130" spans="1:40" x14ac:dyDescent="0.25">
      <c r="A4130" t="str">
        <f>"20190304154835569"</f>
        <v>20190304154835569</v>
      </c>
      <c r="B4130" t="str">
        <f>"1551685715560559"</f>
        <v>1551685715560559</v>
      </c>
      <c r="C4130" t="s">
        <v>40</v>
      </c>
      <c r="D4130">
        <v>4.008464</v>
      </c>
      <c r="E4130">
        <v>0.53375030000000001</v>
      </c>
      <c r="F4130" t="s">
        <v>60</v>
      </c>
      <c r="G4130">
        <v>-335.08580000000001</v>
      </c>
      <c r="H4130" s="1">
        <v>1.1491580000000001E-6</v>
      </c>
      <c r="I4130">
        <v>215.08439999999999</v>
      </c>
      <c r="J4130">
        <v>-423.00549999999998</v>
      </c>
      <c r="K4130">
        <v>1.109704</v>
      </c>
      <c r="L4130">
        <v>213.82</v>
      </c>
      <c r="M4130">
        <v>0.99991699999999994</v>
      </c>
      <c r="N4130">
        <v>-9.2486070000000007E-3</v>
      </c>
      <c r="O4130">
        <v>-8.9730230000000001E-3</v>
      </c>
      <c r="P4130">
        <v>0.98667249999999995</v>
      </c>
      <c r="Q4130">
        <v>0.13761860000000001</v>
      </c>
      <c r="R4130">
        <v>8.6826199999999895E-2</v>
      </c>
      <c r="S4130">
        <v>3.041992</v>
      </c>
      <c r="T4130">
        <v>-3.825009E-2</v>
      </c>
      <c r="U4130">
        <v>4.3472289999999997E-2</v>
      </c>
      <c r="V4130">
        <v>-9.5608440000000003E-2</v>
      </c>
      <c r="W4130">
        <v>0.14677460000000001</v>
      </c>
      <c r="X4130">
        <v>0.98453860000000004</v>
      </c>
      <c r="Y4130">
        <v>-2.3257949999999999E-2</v>
      </c>
      <c r="Z4130">
        <v>2.8361009999999998E-4</v>
      </c>
      <c r="AA4130">
        <v>0.99972950000000005</v>
      </c>
      <c r="AB4130">
        <v>32</v>
      </c>
      <c r="AC4130">
        <v>87.919699999999906</v>
      </c>
      <c r="AD4130">
        <v>-1.1097028508419999</v>
      </c>
      <c r="AE4130">
        <v>1.26439999999999</v>
      </c>
      <c r="AF4130">
        <v>-2.0529613142750902</v>
      </c>
      <c r="AG4130">
        <v>-1.1097028508419999</v>
      </c>
      <c r="AH4130">
        <v>87.890815292331197</v>
      </c>
      <c r="AI4130">
        <v>90.723176548882606</v>
      </c>
      <c r="AJ4130">
        <v>91.338076489103898</v>
      </c>
      <c r="AK4130">
        <v>87.921791970624398</v>
      </c>
      <c r="AL4130">
        <v>81.559944171183702</v>
      </c>
      <c r="AM4130">
        <v>95.5465953476387</v>
      </c>
      <c r="AN4130">
        <v>1.0000000059471701</v>
      </c>
    </row>
    <row r="4131" spans="1:40" x14ac:dyDescent="0.25">
      <c r="A4131" t="str">
        <f>"20190304154835591"</f>
        <v>20190304154835591</v>
      </c>
      <c r="B4131" t="str">
        <f>"1551685715581055"</f>
        <v>1551685715581055</v>
      </c>
      <c r="C4131" t="s">
        <v>40</v>
      </c>
      <c r="D4131">
        <v>4.0077829999999999</v>
      </c>
      <c r="E4131">
        <v>0.53399790000000003</v>
      </c>
      <c r="F4131" t="s">
        <v>72</v>
      </c>
      <c r="G4131">
        <v>-109.68</v>
      </c>
      <c r="H4131">
        <v>7.756202</v>
      </c>
      <c r="I4131">
        <v>211.96</v>
      </c>
      <c r="J4131">
        <v>-422.68189999999998</v>
      </c>
      <c r="K4131">
        <v>1.109699</v>
      </c>
      <c r="L4131">
        <v>213.8169</v>
      </c>
      <c r="M4131">
        <v>0.99991509999999995</v>
      </c>
      <c r="N4131">
        <v>-9.2547359999999995E-3</v>
      </c>
      <c r="O4131">
        <v>-9.1746350000000004E-3</v>
      </c>
      <c r="P4131">
        <v>0.98669819999999997</v>
      </c>
      <c r="Q4131">
        <v>0.137457</v>
      </c>
      <c r="R4131">
        <v>8.6789439999999995E-2</v>
      </c>
      <c r="S4131">
        <v>3.0331419999999998</v>
      </c>
      <c r="T4131">
        <v>6.4341780000000001E-2</v>
      </c>
      <c r="U4131">
        <v>-1.800537E-2</v>
      </c>
      <c r="V4131">
        <v>-9.5770759999999996E-2</v>
      </c>
      <c r="W4131">
        <v>0.14661939999999901</v>
      </c>
      <c r="X4131">
        <v>0.98454589999999997</v>
      </c>
      <c r="Y4131">
        <v>-3.2343419999999999E-3</v>
      </c>
      <c r="Z4131">
        <v>-2.9882429999999999E-4</v>
      </c>
      <c r="AA4131">
        <v>0.99999470000000001</v>
      </c>
      <c r="AB4131">
        <v>32</v>
      </c>
      <c r="AC4131">
        <v>313.00189999999998</v>
      </c>
      <c r="AD4131">
        <v>6.646503</v>
      </c>
      <c r="AE4131">
        <v>-1.85689999999999</v>
      </c>
      <c r="AF4131">
        <v>-1.01452184455459</v>
      </c>
      <c r="AG4131">
        <v>6.646503</v>
      </c>
      <c r="AH4131">
        <v>312.86469270747199</v>
      </c>
      <c r="AI4131">
        <v>88.782996915213104</v>
      </c>
      <c r="AJ4131">
        <v>90.185791549940802</v>
      </c>
      <c r="AK4131">
        <v>312.93692846904901</v>
      </c>
      <c r="AL4131">
        <v>81.568933323267302</v>
      </c>
      <c r="AM4131">
        <v>95.555912316250797</v>
      </c>
      <c r="AN4131">
        <v>0.99999995806707198</v>
      </c>
    </row>
    <row r="4132" spans="1:40" x14ac:dyDescent="0.25">
      <c r="A4132" t="str">
        <f>"20190304154835612"</f>
        <v>20190304154835612</v>
      </c>
      <c r="B4132" t="str">
        <f>"1551685715600584"</f>
        <v>1551685715600584</v>
      </c>
      <c r="C4132" t="s">
        <v>40</v>
      </c>
      <c r="D4132">
        <v>4.0069400000000002</v>
      </c>
      <c r="E4132">
        <v>0.53394370000000002</v>
      </c>
      <c r="F4132" t="s">
        <v>72</v>
      </c>
      <c r="G4132">
        <v>-109.2146</v>
      </c>
      <c r="H4132">
        <v>7.5438140000000002</v>
      </c>
      <c r="I4132">
        <v>211.6694</v>
      </c>
      <c r="J4132">
        <v>-422.37849999999997</v>
      </c>
      <c r="K4132">
        <v>1.1097030000000001</v>
      </c>
      <c r="L4132">
        <v>213.81389999999999</v>
      </c>
      <c r="M4132">
        <v>0.9999133</v>
      </c>
      <c r="N4132">
        <v>-9.2604690000000003E-3</v>
      </c>
      <c r="O4132">
        <v>-9.3616919999999996E-3</v>
      </c>
      <c r="P4132">
        <v>0.98680279999999998</v>
      </c>
      <c r="Q4132">
        <v>0.13697819999999999</v>
      </c>
      <c r="R4132">
        <v>8.635524E-2</v>
      </c>
      <c r="S4132">
        <v>3.03363</v>
      </c>
      <c r="T4132">
        <v>6.2267660000000002E-2</v>
      </c>
      <c r="U4132">
        <v>-2.0782470000000001E-2</v>
      </c>
      <c r="V4132">
        <v>-9.5522579999999996E-2</v>
      </c>
      <c r="W4132">
        <v>0.14614669999999999</v>
      </c>
      <c r="X4132">
        <v>0.98464030000000002</v>
      </c>
      <c r="Y4132">
        <v>-2.5071989999999999E-3</v>
      </c>
      <c r="Z4132">
        <v>-2.9293100000000002E-4</v>
      </c>
      <c r="AA4132">
        <v>0.99999680000000002</v>
      </c>
      <c r="AB4132">
        <v>32</v>
      </c>
      <c r="AC4132">
        <v>313.16390000000001</v>
      </c>
      <c r="AD4132">
        <v>6.4341109999999997</v>
      </c>
      <c r="AE4132">
        <v>-2.1444999999999901</v>
      </c>
      <c r="AF4132">
        <v>-0.78713142253269797</v>
      </c>
      <c r="AG4132">
        <v>6.4341109999999997</v>
      </c>
      <c r="AH4132">
        <v>313.03811970932202</v>
      </c>
      <c r="AI4132">
        <v>88.822525699996504</v>
      </c>
      <c r="AJ4132">
        <v>90.144069397766103</v>
      </c>
      <c r="AK4132">
        <v>313.10522472706299</v>
      </c>
      <c r="AL4132">
        <v>81.596312070600504</v>
      </c>
      <c r="AM4132">
        <v>95.541076500561701</v>
      </c>
      <c r="AN4132">
        <v>0.99999997079741698</v>
      </c>
    </row>
    <row r="4133" spans="1:40" x14ac:dyDescent="0.25">
      <c r="A4133" t="str">
        <f>"20190304154835634"</f>
        <v>20190304154835634</v>
      </c>
      <c r="B4133" t="str">
        <f>"1551685715630832"</f>
        <v>1551685715630832</v>
      </c>
      <c r="C4133" t="s">
        <v>40</v>
      </c>
      <c r="D4133">
        <v>3.9951530000000002</v>
      </c>
      <c r="E4133">
        <v>0.53384849999999995</v>
      </c>
      <c r="F4133" t="s">
        <v>72</v>
      </c>
      <c r="G4133">
        <v>-107.39749999999999</v>
      </c>
      <c r="H4133">
        <v>7.2827419999999998</v>
      </c>
      <c r="I4133">
        <v>211.58019999999999</v>
      </c>
      <c r="J4133">
        <v>-422.06180000000001</v>
      </c>
      <c r="K4133">
        <v>1.109707</v>
      </c>
      <c r="L4133">
        <v>213.8108</v>
      </c>
      <c r="M4133">
        <v>0.99991149999999995</v>
      </c>
      <c r="N4133">
        <v>-9.2664449999999999E-3</v>
      </c>
      <c r="O4133">
        <v>-9.5520669999999992E-3</v>
      </c>
      <c r="P4133">
        <v>0.98687519999999995</v>
      </c>
      <c r="Q4133">
        <v>0.1370181</v>
      </c>
      <c r="R4133">
        <v>8.5461339999999997E-2</v>
      </c>
      <c r="S4133">
        <v>3.0337519999999998</v>
      </c>
      <c r="T4133">
        <v>5.9456349999999998E-2</v>
      </c>
      <c r="U4133">
        <v>-2.1514889999999998E-2</v>
      </c>
      <c r="V4133">
        <v>-9.4818120000000006E-2</v>
      </c>
      <c r="W4133">
        <v>0.1461925</v>
      </c>
      <c r="X4133">
        <v>0.98470159999999995</v>
      </c>
      <c r="Y4133">
        <v>-2.4566689999999999E-3</v>
      </c>
      <c r="Z4133">
        <v>-2.8837120000000001E-4</v>
      </c>
      <c r="AA4133">
        <v>0.99999700000000002</v>
      </c>
      <c r="AB4133">
        <v>32</v>
      </c>
      <c r="AC4133">
        <v>314.66430000000003</v>
      </c>
      <c r="AD4133">
        <v>6.1730349999999996</v>
      </c>
      <c r="AE4133">
        <v>-2.2305999999999999</v>
      </c>
      <c r="AF4133">
        <v>-0.775026865372479</v>
      </c>
      <c r="AG4133">
        <v>6.1730349999999996</v>
      </c>
      <c r="AH4133">
        <v>314.55019925924199</v>
      </c>
      <c r="AI4133">
        <v>88.875720365273907</v>
      </c>
      <c r="AJ4133">
        <v>90.141171993020194</v>
      </c>
      <c r="AK4133">
        <v>314.61172082708799</v>
      </c>
      <c r="AL4133">
        <v>81.593659528055497</v>
      </c>
      <c r="AM4133">
        <v>95.500123384222604</v>
      </c>
      <c r="AN4133">
        <v>0.99999998198957196</v>
      </c>
    </row>
    <row r="4134" spans="1:40" x14ac:dyDescent="0.25">
      <c r="A4134" t="str">
        <f>"20190304154835658"</f>
        <v>20190304154835658</v>
      </c>
      <c r="B4134" t="str">
        <f>"1551685715651328"</f>
        <v>1551685715651328</v>
      </c>
      <c r="C4134" t="s">
        <v>40</v>
      </c>
      <c r="D4134">
        <v>4.0098659999999997</v>
      </c>
      <c r="E4134">
        <v>0.53393939999999995</v>
      </c>
      <c r="F4134" t="s">
        <v>72</v>
      </c>
      <c r="G4134">
        <v>-107.39749999999999</v>
      </c>
      <c r="H4134">
        <v>7.1430800000000003</v>
      </c>
      <c r="I4134">
        <v>211.34829999999999</v>
      </c>
      <c r="J4134">
        <v>-421.72329999999999</v>
      </c>
      <c r="K4134">
        <v>1.109715</v>
      </c>
      <c r="L4134">
        <v>213.8074</v>
      </c>
      <c r="M4134">
        <v>0.99990950000000001</v>
      </c>
      <c r="N4134">
        <v>-9.2728180000000004E-3</v>
      </c>
      <c r="O4134">
        <v>-9.7487419999999995E-3</v>
      </c>
      <c r="P4134">
        <v>0.98688140000000002</v>
      </c>
      <c r="Q4134">
        <v>0.13720389999999999</v>
      </c>
      <c r="R4134">
        <v>8.5089899999999899E-2</v>
      </c>
      <c r="S4134">
        <v>3.0338440000000002</v>
      </c>
      <c r="T4134">
        <v>5.8171390000000003E-2</v>
      </c>
      <c r="U4134">
        <v>-2.3742679999999999E-2</v>
      </c>
      <c r="V4134">
        <v>-9.4641680000000006E-2</v>
      </c>
      <c r="W4134">
        <v>0.14638309999999999</v>
      </c>
      <c r="X4134">
        <v>0.98469019999999996</v>
      </c>
      <c r="Y4134">
        <v>-1.919409E-3</v>
      </c>
      <c r="Z4134">
        <v>-2.8678800000000001E-4</v>
      </c>
      <c r="AA4134">
        <v>0.9999981</v>
      </c>
      <c r="AB4134">
        <v>32</v>
      </c>
      <c r="AC4134">
        <v>314.32580000000002</v>
      </c>
      <c r="AD4134">
        <v>6.0333649999999999</v>
      </c>
      <c r="AE4134">
        <v>-2.4590999999999998</v>
      </c>
      <c r="AF4134">
        <v>-0.60520673195385599</v>
      </c>
      <c r="AG4134">
        <v>6.0333649999999999</v>
      </c>
      <c r="AH4134">
        <v>314.21907432425297</v>
      </c>
      <c r="AI4134">
        <v>88.899992825242094</v>
      </c>
      <c r="AJ4134">
        <v>90.110355326675304</v>
      </c>
      <c r="AK4134">
        <v>314.27757546093198</v>
      </c>
      <c r="AL4134">
        <v>81.582619706736097</v>
      </c>
      <c r="AM4134">
        <v>95.490014369815597</v>
      </c>
      <c r="AN4134">
        <v>0.99999992476743305</v>
      </c>
    </row>
    <row r="4135" spans="1:40" x14ac:dyDescent="0.25">
      <c r="A4135" t="str">
        <f>"20190304154835681"</f>
        <v>20190304154835681</v>
      </c>
      <c r="B4135" t="str">
        <f>"1551685715670851"</f>
        <v>1551685715670851</v>
      </c>
      <c r="C4135" t="s">
        <v>40</v>
      </c>
      <c r="D4135">
        <v>4.000006</v>
      </c>
      <c r="E4135">
        <v>0.53382619999999903</v>
      </c>
      <c r="F4135" t="s">
        <v>72</v>
      </c>
      <c r="G4135">
        <v>-107.39749999999999</v>
      </c>
      <c r="H4135">
        <v>7.3462539999999903</v>
      </c>
      <c r="I4135">
        <v>211.13399999999999</v>
      </c>
      <c r="J4135">
        <v>-421.3784</v>
      </c>
      <c r="K4135">
        <v>1.1097220000000001</v>
      </c>
      <c r="L4135">
        <v>213.8038</v>
      </c>
      <c r="M4135">
        <v>0.99990769999999995</v>
      </c>
      <c r="N4135">
        <v>-9.2792680000000002E-3</v>
      </c>
      <c r="O4135">
        <v>-9.9352369999999995E-3</v>
      </c>
      <c r="P4135">
        <v>0.98677420000000005</v>
      </c>
      <c r="Q4135">
        <v>0.13799520000000001</v>
      </c>
      <c r="R4135">
        <v>8.5055190000000003E-2</v>
      </c>
      <c r="S4135">
        <v>3.0338129999999999</v>
      </c>
      <c r="T4135">
        <v>6.0194369999999997E-2</v>
      </c>
      <c r="U4135">
        <v>-2.580261E-2</v>
      </c>
      <c r="V4135">
        <v>-9.4792849999999998E-2</v>
      </c>
      <c r="W4135">
        <v>0.1471779</v>
      </c>
      <c r="X4135">
        <v>0.98455729999999997</v>
      </c>
      <c r="Y4135">
        <v>-1.4266610000000001E-3</v>
      </c>
      <c r="Z4135">
        <v>-2.9681180000000002E-4</v>
      </c>
      <c r="AA4135">
        <v>0.99999890000000002</v>
      </c>
      <c r="AB4135">
        <v>32</v>
      </c>
      <c r="AC4135">
        <v>313.98090000000002</v>
      </c>
      <c r="AD4135">
        <v>6.2365320000000004</v>
      </c>
      <c r="AE4135">
        <v>-2.66979999999998</v>
      </c>
      <c r="AF4135">
        <v>-0.449762966861673</v>
      </c>
      <c r="AG4135">
        <v>6.2365320000000004</v>
      </c>
      <c r="AH4135">
        <v>313.86810678172299</v>
      </c>
      <c r="AI4135">
        <v>88.861688800920703</v>
      </c>
      <c r="AJ4135">
        <v>90.082102964867403</v>
      </c>
      <c r="AK4135">
        <v>313.93038252589702</v>
      </c>
      <c r="AL4135">
        <v>81.536583439350494</v>
      </c>
      <c r="AM4135">
        <v>95.499467492662902</v>
      </c>
      <c r="AN4135">
        <v>1.0000000478214099</v>
      </c>
    </row>
    <row r="4136" spans="1:40" x14ac:dyDescent="0.25">
      <c r="A4136" t="str">
        <f>"20190304154835704"</f>
        <v>20190304154835704</v>
      </c>
      <c r="B4136" t="str">
        <f>"1551685715701103"</f>
        <v>1551685715701103</v>
      </c>
      <c r="C4136" t="s">
        <v>40</v>
      </c>
      <c r="D4136">
        <v>3.9709050000000001</v>
      </c>
      <c r="E4136">
        <v>0.53360750000000001</v>
      </c>
      <c r="F4136" t="s">
        <v>72</v>
      </c>
      <c r="G4136">
        <v>-109.68</v>
      </c>
      <c r="H4136">
        <v>7.5579999999999998</v>
      </c>
      <c r="I4136">
        <v>211.2294</v>
      </c>
      <c r="J4136">
        <v>-421.05290000000002</v>
      </c>
      <c r="K4136">
        <v>1.1097330000000001</v>
      </c>
      <c r="L4136">
        <v>213.8004</v>
      </c>
      <c r="M4136">
        <v>0.99990610000000002</v>
      </c>
      <c r="N4136">
        <v>-9.2853280000000007E-3</v>
      </c>
      <c r="O4136">
        <v>-1.0089600000000001E-2</v>
      </c>
      <c r="P4136">
        <v>0.98687360000000002</v>
      </c>
      <c r="Q4136">
        <v>0.13747609999999999</v>
      </c>
      <c r="R4136">
        <v>8.4739480000000006E-2</v>
      </c>
      <c r="S4136">
        <v>3.0335999999999999</v>
      </c>
      <c r="T4136">
        <v>6.2758209999999995E-2</v>
      </c>
      <c r="U4136">
        <v>-2.505493E-2</v>
      </c>
      <c r="V4136">
        <v>-9.4634910000000003E-2</v>
      </c>
      <c r="W4136">
        <v>0.1466623</v>
      </c>
      <c r="X4136">
        <v>0.98464940000000001</v>
      </c>
      <c r="Y4136">
        <v>-1.8265040000000001E-3</v>
      </c>
      <c r="Z4136">
        <v>-3.1278330000000001E-4</v>
      </c>
      <c r="AA4136">
        <v>0.99999830000000001</v>
      </c>
      <c r="AB4136">
        <v>33</v>
      </c>
      <c r="AC4136">
        <v>311.37290000000002</v>
      </c>
      <c r="AD4136">
        <v>6.4482670000000004</v>
      </c>
      <c r="AE4136">
        <v>-2.57099999999999</v>
      </c>
      <c r="AF4136">
        <v>-0.57064925823481205</v>
      </c>
      <c r="AG4136">
        <v>6.4482670000000004</v>
      </c>
      <c r="AH4136">
        <v>311.24951473582502</v>
      </c>
      <c r="AI4136">
        <v>88.813154715339806</v>
      </c>
      <c r="AJ4136">
        <v>90.105046774040105</v>
      </c>
      <c r="AK4136">
        <v>311.31682609708997</v>
      </c>
      <c r="AL4136">
        <v>81.566448987361397</v>
      </c>
      <c r="AM4136">
        <v>95.489850130706103</v>
      </c>
      <c r="AN4136">
        <v>1.0000000186761699</v>
      </c>
    </row>
    <row r="4137" spans="1:40" x14ac:dyDescent="0.25">
      <c r="A4137" t="str">
        <f>"20190304154835725"</f>
        <v>20190304154835725</v>
      </c>
      <c r="B4137" t="str">
        <f>"1551685715720624"</f>
        <v>1551685715720624</v>
      </c>
      <c r="C4137" t="s">
        <v>40</v>
      </c>
      <c r="D4137">
        <v>4.012607</v>
      </c>
      <c r="E4137">
        <v>0.53358700000000003</v>
      </c>
      <c r="F4137" t="s">
        <v>72</v>
      </c>
      <c r="G4137">
        <v>-107.39749999999999</v>
      </c>
      <c r="H4137">
        <v>7.2484250000000001</v>
      </c>
      <c r="I4137">
        <v>211.32669999999999</v>
      </c>
      <c r="J4137">
        <v>-420.73540000000003</v>
      </c>
      <c r="K4137">
        <v>1.1097440000000001</v>
      </c>
      <c r="L4137">
        <v>213.7971</v>
      </c>
      <c r="M4137">
        <v>0.99990469999999998</v>
      </c>
      <c r="N4137">
        <v>-9.2912900000000007E-3</v>
      </c>
      <c r="O4137">
        <v>-1.0212890000000001E-2</v>
      </c>
      <c r="P4137">
        <v>0.98699769999999998</v>
      </c>
      <c r="Q4137">
        <v>0.13656450000000001</v>
      </c>
      <c r="R4137">
        <v>8.4768650000000001E-2</v>
      </c>
      <c r="S4137">
        <v>3.0336609999999999</v>
      </c>
      <c r="T4137">
        <v>5.9373620000000002E-2</v>
      </c>
      <c r="U4137">
        <v>-2.3925780000000001E-2</v>
      </c>
      <c r="V4137">
        <v>-9.479427E-2</v>
      </c>
      <c r="W4137">
        <v>0.14575379999999999</v>
      </c>
      <c r="X4137">
        <v>0.98476889999999995</v>
      </c>
      <c r="Y4137">
        <v>-2.322419E-3</v>
      </c>
      <c r="Z4137">
        <v>-3.0667040000000002E-4</v>
      </c>
      <c r="AA4137">
        <v>0.99999729999999998</v>
      </c>
      <c r="AB4137">
        <v>33</v>
      </c>
      <c r="AC4137">
        <v>313.33789999999999</v>
      </c>
      <c r="AD4137">
        <v>6.1386810000000001</v>
      </c>
      <c r="AE4137">
        <v>-2.4704000000000099</v>
      </c>
      <c r="AF4137">
        <v>-0.72967238502130904</v>
      </c>
      <c r="AG4137">
        <v>6.1386810000000001</v>
      </c>
      <c r="AH4137">
        <v>313.22657388486698</v>
      </c>
      <c r="AI4137">
        <v>88.877251906365203</v>
      </c>
      <c r="AJ4137">
        <v>90.1334723039148</v>
      </c>
      <c r="AK4137">
        <v>313.28757143216097</v>
      </c>
      <c r="AL4137">
        <v>81.619067114894904</v>
      </c>
      <c r="AM4137">
        <v>95.498374908986307</v>
      </c>
      <c r="AN4137">
        <v>0.99999995512324003</v>
      </c>
    </row>
    <row r="4138" spans="1:40" x14ac:dyDescent="0.25">
      <c r="A4138" t="str">
        <f>"20190304154835747"</f>
        <v>20190304154835747</v>
      </c>
      <c r="B4138" t="str">
        <f>"1551685715741120"</f>
        <v>1551685715741120</v>
      </c>
      <c r="C4138" t="s">
        <v>40</v>
      </c>
      <c r="D4138">
        <v>4.0143589999999998</v>
      </c>
      <c r="E4138">
        <v>0.53348490000000004</v>
      </c>
      <c r="F4138" t="s">
        <v>72</v>
      </c>
      <c r="G4138">
        <v>-107.39749999999999</v>
      </c>
      <c r="H4138">
        <v>6.8995569999999997</v>
      </c>
      <c r="I4138">
        <v>211.3716</v>
      </c>
      <c r="J4138">
        <v>-420.41570000000002</v>
      </c>
      <c r="K4138">
        <v>1.109772</v>
      </c>
      <c r="L4138">
        <v>213.7937</v>
      </c>
      <c r="M4138">
        <v>0.99990389999999996</v>
      </c>
      <c r="N4138">
        <v>-9.297352E-3</v>
      </c>
      <c r="O4138">
        <v>-1.0304300000000001E-2</v>
      </c>
      <c r="P4138">
        <v>0.98706269999999996</v>
      </c>
      <c r="Q4138">
        <v>0.13619539999999999</v>
      </c>
      <c r="R4138">
        <v>8.4607879999999996E-2</v>
      </c>
      <c r="S4138">
        <v>3.0337830000000001</v>
      </c>
      <c r="T4138">
        <v>5.6058289999999997E-2</v>
      </c>
      <c r="U4138">
        <v>-2.3483279999999999E-2</v>
      </c>
      <c r="V4138">
        <v>-9.4733719999999993E-2</v>
      </c>
      <c r="W4138">
        <v>0.14538489999999901</v>
      </c>
      <c r="X4138">
        <v>0.98482930000000002</v>
      </c>
      <c r="Y4138">
        <v>-2.5602910000000001E-3</v>
      </c>
      <c r="Z4138">
        <v>-2.9792190000000002E-4</v>
      </c>
      <c r="AA4138">
        <v>0.99999669999999896</v>
      </c>
      <c r="AB4138">
        <v>33</v>
      </c>
      <c r="AC4138">
        <v>313.01819999999998</v>
      </c>
      <c r="AD4138">
        <v>5.7897850000000002</v>
      </c>
      <c r="AE4138">
        <v>-2.4220999999999999</v>
      </c>
      <c r="AF4138">
        <v>-0.80332594054268402</v>
      </c>
      <c r="AG4138">
        <v>5.7897850000000002</v>
      </c>
      <c r="AH4138">
        <v>312.91948794291699</v>
      </c>
      <c r="AI4138">
        <v>88.940010713397996</v>
      </c>
      <c r="AJ4138">
        <v>90.1470892246289</v>
      </c>
      <c r="AK4138">
        <v>312.97407700538099</v>
      </c>
      <c r="AL4138">
        <v>81.640431462294501</v>
      </c>
      <c r="AM4138">
        <v>95.494549373882606</v>
      </c>
      <c r="AN4138">
        <v>0.99999999849576904</v>
      </c>
    </row>
    <row r="4139" spans="1:40" x14ac:dyDescent="0.25">
      <c r="A4139" t="str">
        <f>"20190304154835770"</f>
        <v>20190304154835770</v>
      </c>
      <c r="B4139" t="str">
        <f>"1551685715760643"</f>
        <v>1551685715760643</v>
      </c>
      <c r="C4139" t="s">
        <v>40</v>
      </c>
      <c r="D4139">
        <v>3.9902760000000002</v>
      </c>
      <c r="E4139">
        <v>0.53341870000000002</v>
      </c>
      <c r="F4139" t="s">
        <v>72</v>
      </c>
      <c r="G4139">
        <v>-107.39749999999999</v>
      </c>
      <c r="H4139">
        <v>6.6446300000000003</v>
      </c>
      <c r="I4139">
        <v>211.45269999999999</v>
      </c>
      <c r="J4139">
        <v>-420.0813</v>
      </c>
      <c r="K4139">
        <v>1.1098079999999999</v>
      </c>
      <c r="L4139">
        <v>213.7902</v>
      </c>
      <c r="M4139">
        <v>0.99990310000000004</v>
      </c>
      <c r="N4139">
        <v>-9.3036969999999997E-3</v>
      </c>
      <c r="O4139">
        <v>-1.0367060000000001E-2</v>
      </c>
      <c r="P4139">
        <v>0.98695520000000003</v>
      </c>
      <c r="Q4139">
        <v>0.13718949999999999</v>
      </c>
      <c r="R4139">
        <v>8.4254700000000002E-2</v>
      </c>
      <c r="S4139">
        <v>3.0339049999999999</v>
      </c>
      <c r="T4139">
        <v>5.3646680000000002E-2</v>
      </c>
      <c r="U4139">
        <v>-2.2689819999999999E-2</v>
      </c>
      <c r="V4139">
        <v>-9.4451129999999994E-2</v>
      </c>
      <c r="W4139">
        <v>0.14637790000000001</v>
      </c>
      <c r="X4139">
        <v>0.98470930000000001</v>
      </c>
      <c r="Y4139">
        <v>-2.8850920000000001E-3</v>
      </c>
      <c r="Z4139">
        <v>-2.9182010000000001E-4</v>
      </c>
      <c r="AA4139">
        <v>0.99999579999999999</v>
      </c>
      <c r="AB4139">
        <v>33</v>
      </c>
      <c r="AC4139">
        <v>312.68380000000002</v>
      </c>
      <c r="AD4139">
        <v>5.5348220000000001</v>
      </c>
      <c r="AE4139">
        <v>-2.3374999999999999</v>
      </c>
      <c r="AF4139">
        <v>-0.90409399033347804</v>
      </c>
      <c r="AG4139">
        <v>5.5348220000000001</v>
      </c>
      <c r="AH4139">
        <v>312.59329099566997</v>
      </c>
      <c r="AI4139">
        <v>88.985622883355106</v>
      </c>
      <c r="AJ4139">
        <v>90.165712531214297</v>
      </c>
      <c r="AK4139">
        <v>312.64359455459601</v>
      </c>
      <c r="AL4139">
        <v>81.582921149905303</v>
      </c>
      <c r="AM4139">
        <v>95.478922567712502</v>
      </c>
      <c r="AN4139">
        <v>0.99999995553658705</v>
      </c>
    </row>
    <row r="4140" spans="1:40" x14ac:dyDescent="0.25">
      <c r="A4140" t="str">
        <f>"20190304154835792"</f>
        <v>20190304154835792</v>
      </c>
      <c r="B4140" t="str">
        <f>"1551685715781136"</f>
        <v>1551685715781136</v>
      </c>
      <c r="C4140" t="s">
        <v>40</v>
      </c>
      <c r="D4140">
        <v>4.0121779999999996</v>
      </c>
      <c r="E4140">
        <v>0.53340509999999997</v>
      </c>
      <c r="F4140" t="s">
        <v>72</v>
      </c>
      <c r="G4140">
        <v>-107.39749999999999</v>
      </c>
      <c r="H4140">
        <v>6.8691329999999997</v>
      </c>
      <c r="I4140">
        <v>211.41069999999999</v>
      </c>
      <c r="J4140">
        <v>-419.7561</v>
      </c>
      <c r="K4140">
        <v>1.1098319999999999</v>
      </c>
      <c r="L4140">
        <v>213.7868</v>
      </c>
      <c r="M4140">
        <v>0.99990270000000003</v>
      </c>
      <c r="N4140">
        <v>-9.3098880000000005E-3</v>
      </c>
      <c r="O4140">
        <v>-1.040164E-2</v>
      </c>
      <c r="P4140">
        <v>0.98677119999999996</v>
      </c>
      <c r="Q4140">
        <v>0.13854269999999999</v>
      </c>
      <c r="R4140">
        <v>8.4195980000000004E-2</v>
      </c>
      <c r="S4140">
        <v>3.0338129999999999</v>
      </c>
      <c r="T4140">
        <v>5.5880310000000002E-2</v>
      </c>
      <c r="U4140">
        <v>-2.3086550000000001E-2</v>
      </c>
      <c r="V4140">
        <v>-9.4431940000000006E-2</v>
      </c>
      <c r="W4140">
        <v>0.1477301</v>
      </c>
      <c r="X4140">
        <v>0.98450919999999997</v>
      </c>
      <c r="Y4140">
        <v>-2.7884419999999999E-3</v>
      </c>
      <c r="Z4140">
        <v>-3.0109149999999998E-4</v>
      </c>
      <c r="AA4140">
        <v>0.99999610000000005</v>
      </c>
      <c r="AB4140">
        <v>33</v>
      </c>
      <c r="AC4140">
        <v>312.35860000000002</v>
      </c>
      <c r="AD4140">
        <v>5.7593009999999998</v>
      </c>
      <c r="AE4140">
        <v>-2.3761000000000001</v>
      </c>
      <c r="AF4140">
        <v>-0.87291388267319503</v>
      </c>
      <c r="AG4140">
        <v>5.7593009999999998</v>
      </c>
      <c r="AH4140">
        <v>312.26026577609099</v>
      </c>
      <c r="AI4140">
        <v>88.943365591393999</v>
      </c>
      <c r="AJ4140">
        <v>90.160168156363198</v>
      </c>
      <c r="AK4140">
        <v>312.31459317362999</v>
      </c>
      <c r="AL4140">
        <v>81.5045943712162</v>
      </c>
      <c r="AM4140">
        <v>95.478922749234599</v>
      </c>
      <c r="AN4140">
        <v>0.999999969311406</v>
      </c>
    </row>
    <row r="4141" spans="1:40" x14ac:dyDescent="0.25">
      <c r="A4141" t="str">
        <f>"20190304154835814"</f>
        <v>20190304154835814</v>
      </c>
      <c r="B4141" t="str">
        <f>"1551685715811391"</f>
        <v>1551685715811391</v>
      </c>
      <c r="C4141" t="s">
        <v>40</v>
      </c>
      <c r="D4141">
        <v>4.0233780000000001</v>
      </c>
      <c r="E4141">
        <v>0.53325419999999901</v>
      </c>
      <c r="F4141" t="s">
        <v>72</v>
      </c>
      <c r="G4141">
        <v>-107.39749999999999</v>
      </c>
      <c r="H4141">
        <v>7.2533619999999903</v>
      </c>
      <c r="I4141">
        <v>211.43020000000001</v>
      </c>
      <c r="J4141">
        <v>-419.43819999999999</v>
      </c>
      <c r="K4141">
        <v>1.10985</v>
      </c>
      <c r="L4141">
        <v>213.7835</v>
      </c>
      <c r="M4141">
        <v>0.99990250000000003</v>
      </c>
      <c r="N4141">
        <v>-9.3158430000000007E-3</v>
      </c>
      <c r="O4141">
        <v>-1.0416150000000001E-2</v>
      </c>
      <c r="P4141">
        <v>0.98669110000000004</v>
      </c>
      <c r="Q4141">
        <v>0.1393924</v>
      </c>
      <c r="R4141">
        <v>8.3730949999999998E-2</v>
      </c>
      <c r="S4141">
        <v>3.0337519999999998</v>
      </c>
      <c r="T4141">
        <v>5.9668899999999997E-2</v>
      </c>
      <c r="U4141">
        <v>-2.2888180000000001E-2</v>
      </c>
      <c r="V4141">
        <v>-9.3986020000000003E-2</v>
      </c>
      <c r="W4141">
        <v>0.14858180000000001</v>
      </c>
      <c r="X4141">
        <v>0.98442379999999996</v>
      </c>
      <c r="Y4141">
        <v>-2.8677529999999998E-3</v>
      </c>
      <c r="Z4141">
        <v>-3.167054E-4</v>
      </c>
      <c r="AA4141">
        <v>0.99999579999999999</v>
      </c>
      <c r="AB4141">
        <v>33</v>
      </c>
      <c r="AC4141">
        <v>312.04070000000002</v>
      </c>
      <c r="AD4141">
        <v>6.1435119999999896</v>
      </c>
      <c r="AE4141">
        <v>-2.3532999999999902</v>
      </c>
      <c r="AF4141">
        <v>-0.896883353621162</v>
      </c>
      <c r="AG4141">
        <v>6.1435119999999896</v>
      </c>
      <c r="AH4141">
        <v>311.92738011126602</v>
      </c>
      <c r="AI4141">
        <v>88.871691382015499</v>
      </c>
      <c r="AJ4141">
        <v>90.164741835896706</v>
      </c>
      <c r="AK4141">
        <v>311.989162636336</v>
      </c>
      <c r="AL4141">
        <v>81.455251871933299</v>
      </c>
      <c r="AM4141">
        <v>95.4536771048123</v>
      </c>
      <c r="AN4141">
        <v>1.0000000706265499</v>
      </c>
    </row>
    <row r="4142" spans="1:40" x14ac:dyDescent="0.25">
      <c r="A4142" t="str">
        <f>"20190304154835836"</f>
        <v>20190304154835836</v>
      </c>
      <c r="B4142" t="str">
        <f>"1551685715830912"</f>
        <v>1551685715830912</v>
      </c>
      <c r="C4142" t="s">
        <v>40</v>
      </c>
      <c r="D4142">
        <v>4.0323039999999999</v>
      </c>
      <c r="E4142">
        <v>0.53313710000000003</v>
      </c>
      <c r="F4142" t="s">
        <v>72</v>
      </c>
      <c r="G4142">
        <v>-107.39749999999999</v>
      </c>
      <c r="H4142">
        <v>7.4732529999999997</v>
      </c>
      <c r="I4142">
        <v>211.38220000000001</v>
      </c>
      <c r="J4142">
        <v>-419.11130000000003</v>
      </c>
      <c r="K4142">
        <v>1.1098680000000001</v>
      </c>
      <c r="L4142">
        <v>213.78</v>
      </c>
      <c r="M4142">
        <v>0.99990239999999997</v>
      </c>
      <c r="N4142">
        <v>-9.3218759999999998E-3</v>
      </c>
      <c r="O4142">
        <v>-1.041797E-2</v>
      </c>
      <c r="P4142">
        <v>0.98660499999999995</v>
      </c>
      <c r="Q4142">
        <v>0.14014670000000001</v>
      </c>
      <c r="R4142">
        <v>8.3483199999999994E-2</v>
      </c>
      <c r="S4142">
        <v>3.033722</v>
      </c>
      <c r="T4142">
        <v>6.186676E-2</v>
      </c>
      <c r="U4142">
        <v>-2.3345950000000001E-2</v>
      </c>
      <c r="V4142">
        <v>-9.3742389999999995E-2</v>
      </c>
      <c r="W4142">
        <v>0.14933859999999999</v>
      </c>
      <c r="X4142">
        <v>0.9843324</v>
      </c>
      <c r="Y4142">
        <v>-2.7183789999999999E-3</v>
      </c>
      <c r="Z4142">
        <v>-3.245705E-4</v>
      </c>
      <c r="AA4142">
        <v>0.9999962</v>
      </c>
      <c r="AB4142">
        <v>33</v>
      </c>
      <c r="AC4142">
        <v>311.71379999999999</v>
      </c>
      <c r="AD4142">
        <v>6.3633849999999903</v>
      </c>
      <c r="AE4142">
        <v>-2.3977999999999802</v>
      </c>
      <c r="AF4142">
        <v>-0.84954185107837699</v>
      </c>
      <c r="AG4142">
        <v>6.3633849999999903</v>
      </c>
      <c r="AH4142">
        <v>311.59201865603802</v>
      </c>
      <c r="AI4142">
        <v>88.830062859112402</v>
      </c>
      <c r="AJ4142">
        <v>90.156214020458705</v>
      </c>
      <c r="AK4142">
        <v>311.65814682141701</v>
      </c>
      <c r="AL4142">
        <v>81.411400266631503</v>
      </c>
      <c r="AM4142">
        <v>95.440127086007195</v>
      </c>
      <c r="AN4142">
        <v>0.99999996341131503</v>
      </c>
    </row>
    <row r="4143" spans="1:40" x14ac:dyDescent="0.25">
      <c r="A4143" t="str">
        <f>"20190304154835859"</f>
        <v>20190304154835859</v>
      </c>
      <c r="B4143" t="str">
        <f>"1551685715851408"</f>
        <v>1551685715851408</v>
      </c>
      <c r="C4143" t="s">
        <v>40</v>
      </c>
      <c r="D4143">
        <v>4.0254960000000004</v>
      </c>
      <c r="E4143">
        <v>0.53304319999999905</v>
      </c>
      <c r="F4143" t="s">
        <v>72</v>
      </c>
      <c r="G4143">
        <v>-109.68</v>
      </c>
      <c r="H4143">
        <v>7.6204210000000003</v>
      </c>
      <c r="I4143">
        <v>211.36920000000001</v>
      </c>
      <c r="J4143">
        <v>-418.76679999999999</v>
      </c>
      <c r="K4143">
        <v>1.1098790000000001</v>
      </c>
      <c r="L4143">
        <v>213.7765</v>
      </c>
      <c r="M4143">
        <v>0.99990230000000002</v>
      </c>
      <c r="N4143">
        <v>-9.3281470000000002E-3</v>
      </c>
      <c r="O4143">
        <v>-1.041304E-2</v>
      </c>
      <c r="P4143">
        <v>0.98648670000000005</v>
      </c>
      <c r="Q4143">
        <v>0.1409861</v>
      </c>
      <c r="R4143">
        <v>8.3469699999999994E-2</v>
      </c>
      <c r="S4143">
        <v>3.0336910000000001</v>
      </c>
      <c r="T4143">
        <v>6.3830490000000004E-2</v>
      </c>
      <c r="U4143">
        <v>-2.3635860000000002E-2</v>
      </c>
      <c r="V4143">
        <v>-9.3725119999999995E-2</v>
      </c>
      <c r="W4143">
        <v>0.1501815</v>
      </c>
      <c r="X4143">
        <v>0.98420580000000002</v>
      </c>
      <c r="Y4143">
        <v>-2.6175909999999998E-3</v>
      </c>
      <c r="Z4143">
        <v>-3.3150950000000002E-4</v>
      </c>
      <c r="AA4143">
        <v>0.99999649999999995</v>
      </c>
      <c r="AB4143">
        <v>33</v>
      </c>
      <c r="AC4143">
        <v>309.08679999999998</v>
      </c>
      <c r="AD4143">
        <v>6.5105420000000001</v>
      </c>
      <c r="AE4143">
        <v>-2.40729999999999</v>
      </c>
      <c r="AF4143">
        <v>-0.81114382026670895</v>
      </c>
      <c r="AG4143">
        <v>6.5105420000000001</v>
      </c>
      <c r="AH4143">
        <v>308.95803783304899</v>
      </c>
      <c r="AI4143">
        <v>88.792813106094499</v>
      </c>
      <c r="AJ4143">
        <v>90.150424993064803</v>
      </c>
      <c r="AK4143">
        <v>309.02769172531902</v>
      </c>
      <c r="AL4143">
        <v>81.362554837388402</v>
      </c>
      <c r="AM4143">
        <v>95.439826319345798</v>
      </c>
      <c r="AN4143">
        <v>0.99999996890745102</v>
      </c>
    </row>
    <row r="4144" spans="1:40" x14ac:dyDescent="0.25">
      <c r="A4144" t="str">
        <f>"20190304154835881"</f>
        <v>20190304154835881</v>
      </c>
      <c r="B4144" t="str">
        <f>"1551685715870931"</f>
        <v>1551685715870931</v>
      </c>
      <c r="C4144" t="s">
        <v>40</v>
      </c>
      <c r="D4144">
        <v>4.0514460000000003</v>
      </c>
      <c r="E4144">
        <v>0.53309910000000005</v>
      </c>
      <c r="F4144" t="s">
        <v>72</v>
      </c>
      <c r="G4144">
        <v>-109.68</v>
      </c>
      <c r="H4144">
        <v>7.7826149999999998</v>
      </c>
      <c r="I4144">
        <v>211.44290000000001</v>
      </c>
      <c r="J4144">
        <v>-418.44290000000001</v>
      </c>
      <c r="K4144">
        <v>1.1098840000000001</v>
      </c>
      <c r="L4144">
        <v>213.7731</v>
      </c>
      <c r="M4144">
        <v>0.99990219999999996</v>
      </c>
      <c r="N4144">
        <v>-9.3340369999999999E-3</v>
      </c>
      <c r="O4144">
        <v>-1.0406230000000001E-2</v>
      </c>
      <c r="P4144">
        <v>0.98637050000000004</v>
      </c>
      <c r="Q4144">
        <v>0.14201050000000001</v>
      </c>
      <c r="R4144">
        <v>8.3103999999999997E-2</v>
      </c>
      <c r="S4144">
        <v>3.0336910000000001</v>
      </c>
      <c r="T4144">
        <v>6.5493460000000003E-2</v>
      </c>
      <c r="U4144">
        <v>-2.2903440000000001E-2</v>
      </c>
      <c r="V4144">
        <v>-9.3353169999999999E-2</v>
      </c>
      <c r="W4144">
        <v>0.1512097</v>
      </c>
      <c r="X4144">
        <v>0.98408379999999995</v>
      </c>
      <c r="Y4144">
        <v>-2.851962E-3</v>
      </c>
      <c r="Z4144">
        <v>-3.392108E-4</v>
      </c>
      <c r="AA4144">
        <v>0.99999590000000005</v>
      </c>
      <c r="AB4144">
        <v>33</v>
      </c>
      <c r="AC4144">
        <v>308.7629</v>
      </c>
      <c r="AD4144">
        <v>6.6727309999999997</v>
      </c>
      <c r="AE4144">
        <v>-2.3301999999999898</v>
      </c>
      <c r="AF4144">
        <v>-0.882711954900675</v>
      </c>
      <c r="AG4144">
        <v>6.6727309999999997</v>
      </c>
      <c r="AH4144">
        <v>308.62629624425603</v>
      </c>
      <c r="AI4144">
        <v>88.7614204949748</v>
      </c>
      <c r="AJ4144">
        <v>90.163873047270101</v>
      </c>
      <c r="AK4144">
        <v>308.69968456874199</v>
      </c>
      <c r="AL4144">
        <v>81.302963551913606</v>
      </c>
      <c r="AM4144">
        <v>95.419034728209496</v>
      </c>
      <c r="AN4144">
        <v>1.00000005657278</v>
      </c>
    </row>
    <row r="4145" spans="1:40" x14ac:dyDescent="0.25">
      <c r="A4145" t="str">
        <f>"20190304154835906"</f>
        <v>20190304154835906</v>
      </c>
      <c r="B4145" t="str">
        <f>"1551685715901184"</f>
        <v>1551685715901184</v>
      </c>
      <c r="C4145" t="s">
        <v>40</v>
      </c>
      <c r="D4145">
        <v>4.1108779999999996</v>
      </c>
      <c r="E4145">
        <v>0.52132479999999903</v>
      </c>
      <c r="F4145" t="s">
        <v>72</v>
      </c>
      <c r="G4145">
        <v>-109.68</v>
      </c>
      <c r="H4145">
        <v>8.1157990000000009</v>
      </c>
      <c r="I4145">
        <v>211.2944</v>
      </c>
      <c r="J4145">
        <v>-418.09309999999999</v>
      </c>
      <c r="K4145">
        <v>1.109891</v>
      </c>
      <c r="L4145">
        <v>213.76939999999999</v>
      </c>
      <c r="M4145">
        <v>0.99990239999999997</v>
      </c>
      <c r="N4145">
        <v>-9.3403779999999999E-3</v>
      </c>
      <c r="O4145">
        <v>-1.040025E-2</v>
      </c>
      <c r="P4145">
        <v>0.98625669999999999</v>
      </c>
      <c r="Q4145">
        <v>0.14314399999999999</v>
      </c>
      <c r="R4145">
        <v>8.2510420000000001E-2</v>
      </c>
      <c r="S4145">
        <v>3.033569</v>
      </c>
      <c r="T4145">
        <v>6.8832989999999997E-2</v>
      </c>
      <c r="U4145">
        <v>-2.4353030000000001E-2</v>
      </c>
      <c r="V4145">
        <v>-9.2753940000000007E-2</v>
      </c>
      <c r="W4145">
        <v>0.15234739999999999</v>
      </c>
      <c r="X4145">
        <v>0.98396490000000003</v>
      </c>
      <c r="Y4145">
        <v>-2.367526E-3</v>
      </c>
      <c r="Z4145">
        <v>-3.4887219999999998E-4</v>
      </c>
      <c r="AA4145">
        <v>0.99999709999999997</v>
      </c>
      <c r="AB4145">
        <v>33</v>
      </c>
      <c r="AC4145">
        <v>308.41309999999999</v>
      </c>
      <c r="AD4145">
        <v>7.0059079999999998</v>
      </c>
      <c r="AE4145">
        <v>-2.4749999999999899</v>
      </c>
      <c r="AF4145">
        <v>-0.73246885070709999</v>
      </c>
      <c r="AG4145">
        <v>7.0059079999999998</v>
      </c>
      <c r="AH4145">
        <v>308.26310158290403</v>
      </c>
      <c r="AI4145">
        <v>88.698064299187905</v>
      </c>
      <c r="AJ4145">
        <v>90.136141155310199</v>
      </c>
      <c r="AK4145">
        <v>308.34357307236598</v>
      </c>
      <c r="AL4145">
        <v>81.237013358744804</v>
      </c>
      <c r="AM4145">
        <v>95.385102090874895</v>
      </c>
      <c r="AN4145">
        <v>0.99999997405214602</v>
      </c>
    </row>
    <row r="4146" spans="1:40" x14ac:dyDescent="0.25">
      <c r="A4146" t="str">
        <f>"20190304154835927"</f>
        <v>20190304154835927</v>
      </c>
      <c r="B4146" t="str">
        <f>"1551685715921161"</f>
        <v>1551685715921161</v>
      </c>
      <c r="C4146" t="s">
        <v>40</v>
      </c>
      <c r="D4146">
        <v>4.1057139999999999</v>
      </c>
      <c r="E4146">
        <v>0.52174109999999996</v>
      </c>
      <c r="F4146" t="s">
        <v>60</v>
      </c>
      <c r="G4146">
        <v>-383.47649999999999</v>
      </c>
      <c r="H4146" s="1">
        <v>3.191797E-7</v>
      </c>
      <c r="I4146">
        <v>214.4802</v>
      </c>
      <c r="J4146">
        <v>-417.77390000000003</v>
      </c>
      <c r="K4146">
        <v>1.109893</v>
      </c>
      <c r="L4146">
        <v>213.76609999999999</v>
      </c>
      <c r="M4146">
        <v>0.99990239999999997</v>
      </c>
      <c r="N4146">
        <v>-9.3461480000000003E-3</v>
      </c>
      <c r="O4146">
        <v>-1.039667E-2</v>
      </c>
      <c r="P4146">
        <v>0.98628039999999995</v>
      </c>
      <c r="Q4146">
        <v>0.14342739999999901</v>
      </c>
      <c r="R4146">
        <v>8.1729889999999999E-2</v>
      </c>
      <c r="S4146">
        <v>3.0507200000000001</v>
      </c>
      <c r="T4146">
        <v>-9.7813250000000004E-2</v>
      </c>
      <c r="U4146">
        <v>6.2637330000000005E-2</v>
      </c>
      <c r="V4146">
        <v>-9.1970919999999998E-2</v>
      </c>
      <c r="W4146">
        <v>0.152636299999999</v>
      </c>
      <c r="X4146">
        <v>0.98399360000000002</v>
      </c>
      <c r="Y4146">
        <v>-3.08983E-2</v>
      </c>
      <c r="Z4146">
        <v>8.7569639999999995E-4</v>
      </c>
      <c r="AA4146">
        <v>0.99952209999999997</v>
      </c>
      <c r="AB4146">
        <v>33</v>
      </c>
      <c r="AC4146">
        <v>34.297400000000003</v>
      </c>
      <c r="AD4146">
        <v>-1.1098926808203</v>
      </c>
      <c r="AE4146">
        <v>0.71410000000000196</v>
      </c>
      <c r="AF4146">
        <v>-1.06953612288417</v>
      </c>
      <c r="AG4146">
        <v>-1.1098926808203</v>
      </c>
      <c r="AH4146">
        <v>34.252267334622097</v>
      </c>
      <c r="AI4146">
        <v>91.855029804726499</v>
      </c>
      <c r="AJ4146">
        <v>91.788494776201304</v>
      </c>
      <c r="AK4146">
        <v>34.286930262762198</v>
      </c>
      <c r="AL4146">
        <v>81.220264492981201</v>
      </c>
      <c r="AM4146">
        <v>95.339750619019995</v>
      </c>
      <c r="AN4146">
        <v>0.99999994752214605</v>
      </c>
    </row>
    <row r="4147" spans="1:40" x14ac:dyDescent="0.25">
      <c r="A4147" t="str">
        <f>"20190304154835948"</f>
        <v>20190304154835948</v>
      </c>
      <c r="B4147" t="str">
        <f>"1551685715940682"</f>
        <v>1551685715940682</v>
      </c>
      <c r="C4147" t="s">
        <v>40</v>
      </c>
      <c r="D4147">
        <v>4.1318720000000004</v>
      </c>
      <c r="E4147">
        <v>0.52252390000000004</v>
      </c>
      <c r="F4147" t="s">
        <v>60</v>
      </c>
      <c r="G4147">
        <v>-382.86829999999998</v>
      </c>
      <c r="H4147" s="1">
        <v>-1.6734320000000001E-9</v>
      </c>
      <c r="I4147">
        <v>214.41560000000001</v>
      </c>
      <c r="J4147">
        <v>-417.45299999999997</v>
      </c>
      <c r="K4147">
        <v>1.1098920000000001</v>
      </c>
      <c r="L4147">
        <v>213.7628</v>
      </c>
      <c r="M4147">
        <v>0.99990239999999997</v>
      </c>
      <c r="N4147">
        <v>-9.3519559999999998E-3</v>
      </c>
      <c r="O4147">
        <v>-1.0395120000000001E-2</v>
      </c>
      <c r="P4147">
        <v>0.98635870000000003</v>
      </c>
      <c r="Q4147">
        <v>0.1430797</v>
      </c>
      <c r="R4147">
        <v>8.1393670000000001E-2</v>
      </c>
      <c r="S4147">
        <v>3.0511469999999998</v>
      </c>
      <c r="T4147">
        <v>-9.701717E-2</v>
      </c>
      <c r="U4147">
        <v>5.6777950000000001E-2</v>
      </c>
      <c r="V4147">
        <v>-9.1635149999999999E-2</v>
      </c>
      <c r="W4147">
        <v>0.1522946</v>
      </c>
      <c r="X4147">
        <v>0.98407789999999995</v>
      </c>
      <c r="Y4147">
        <v>-2.8976700000000001E-2</v>
      </c>
      <c r="Z4147">
        <v>8.2931699999999999E-4</v>
      </c>
      <c r="AA4147">
        <v>0.99957969999999896</v>
      </c>
      <c r="AB4147">
        <v>33</v>
      </c>
      <c r="AC4147">
        <v>34.584699999999998</v>
      </c>
      <c r="AD4147">
        <v>-1.1098920016734299</v>
      </c>
      <c r="AE4147">
        <v>0.65280000000001304</v>
      </c>
      <c r="AF4147">
        <v>-1.0112513829194001</v>
      </c>
      <c r="AG4147">
        <v>-1.1098920016734299</v>
      </c>
      <c r="AH4147">
        <v>34.540484529787101</v>
      </c>
      <c r="AI4147">
        <v>91.839668612353293</v>
      </c>
      <c r="AJ4147">
        <v>91.676985451785896</v>
      </c>
      <c r="AK4147">
        <v>34.573104592548503</v>
      </c>
      <c r="AL4147">
        <v>81.240074342669104</v>
      </c>
      <c r="AM4147">
        <v>95.3199150320185</v>
      </c>
      <c r="AN4147">
        <v>0.99999997958654596</v>
      </c>
    </row>
    <row r="4148" spans="1:40" x14ac:dyDescent="0.25">
      <c r="A4148" t="str">
        <f>"20190304154835970"</f>
        <v>20190304154835970</v>
      </c>
      <c r="B4148" t="str">
        <f>"1551685715961177"</f>
        <v>1551685715961177</v>
      </c>
      <c r="C4148" t="s">
        <v>40</v>
      </c>
      <c r="D4148">
        <v>4.1256979999999999</v>
      </c>
      <c r="E4148">
        <v>0.522350599999999</v>
      </c>
      <c r="F4148" t="s">
        <v>60</v>
      </c>
      <c r="G4148">
        <v>-382.79590000000002</v>
      </c>
      <c r="H4148" s="1">
        <v>-3.641602E-8</v>
      </c>
      <c r="I4148">
        <v>214.33</v>
      </c>
      <c r="J4148">
        <v>-417.1164</v>
      </c>
      <c r="K4148">
        <v>1.1098920000000001</v>
      </c>
      <c r="L4148">
        <v>213.7593</v>
      </c>
      <c r="M4148">
        <v>0.99990239999999997</v>
      </c>
      <c r="N4148">
        <v>-9.3581010000000006E-3</v>
      </c>
      <c r="O4148">
        <v>-1.039464E-2</v>
      </c>
      <c r="P4148">
        <v>0.98645309999999997</v>
      </c>
      <c r="Q4148">
        <v>0.14254720000000001</v>
      </c>
      <c r="R4148">
        <v>8.1185370000000007E-2</v>
      </c>
      <c r="S4148">
        <v>3.0515439999999998</v>
      </c>
      <c r="T4148">
        <v>-9.772575E-2</v>
      </c>
      <c r="U4148">
        <v>4.9942019999999997E-2</v>
      </c>
      <c r="V4148">
        <v>-9.1428209999999996E-2</v>
      </c>
      <c r="W4148">
        <v>0.15176819999999999</v>
      </c>
      <c r="X4148">
        <v>0.98417849999999996</v>
      </c>
      <c r="Y4148">
        <v>-2.67364E-2</v>
      </c>
      <c r="Z4148">
        <v>7.8866419999999997E-4</v>
      </c>
      <c r="AA4148">
        <v>0.99964219999999904</v>
      </c>
      <c r="AB4148">
        <v>33</v>
      </c>
      <c r="AC4148">
        <v>34.320499999999903</v>
      </c>
      <c r="AD4148">
        <v>-1.1098920364160101</v>
      </c>
      <c r="AE4148">
        <v>0.57070000000001597</v>
      </c>
      <c r="AF4148">
        <v>-0.92646530975172603</v>
      </c>
      <c r="AG4148">
        <v>-1.1098920364160101</v>
      </c>
      <c r="AH4148">
        <v>34.276875857432103</v>
      </c>
      <c r="AI4148">
        <v>91.853924108076598</v>
      </c>
      <c r="AJ4148">
        <v>91.548263363784997</v>
      </c>
      <c r="AK4148">
        <v>34.307352227306602</v>
      </c>
      <c r="AL4148">
        <v>81.270589846226599</v>
      </c>
      <c r="AM4148">
        <v>95.307430279442798</v>
      </c>
      <c r="AN4148">
        <v>1.0000000119886401</v>
      </c>
    </row>
    <row r="4149" spans="1:40" x14ac:dyDescent="0.25">
      <c r="A4149" t="str">
        <f>"20190304154835993"</f>
        <v>20190304154835993</v>
      </c>
      <c r="B4149" t="str">
        <f>"1551685715990457"</f>
        <v>1551685715990457</v>
      </c>
      <c r="C4149" t="s">
        <v>40</v>
      </c>
      <c r="D4149">
        <v>4.1029929999999997</v>
      </c>
      <c r="E4149">
        <v>0.52277240000000003</v>
      </c>
      <c r="F4149" t="s">
        <v>60</v>
      </c>
      <c r="G4149">
        <v>-383.91019999999997</v>
      </c>
      <c r="H4149" s="1">
        <v>5.5715759999999997E-7</v>
      </c>
      <c r="I4149">
        <v>214.31610000000001</v>
      </c>
      <c r="J4149">
        <v>-416.79700000000003</v>
      </c>
      <c r="K4149">
        <v>1.1098969999999999</v>
      </c>
      <c r="L4149">
        <v>213.7559</v>
      </c>
      <c r="M4149">
        <v>0.99990219999999996</v>
      </c>
      <c r="N4149">
        <v>-9.3639080000000006E-3</v>
      </c>
      <c r="O4149">
        <v>-1.03943E-2</v>
      </c>
      <c r="P4149">
        <v>0.98646509999999998</v>
      </c>
      <c r="Q4149">
        <v>0.1423152</v>
      </c>
      <c r="R4149">
        <v>8.1444559999999999E-2</v>
      </c>
      <c r="S4149">
        <v>3.0517270000000001</v>
      </c>
      <c r="T4149">
        <v>-0.1020018</v>
      </c>
      <c r="U4149">
        <v>5.1177979999999998E-2</v>
      </c>
      <c r="V4149">
        <v>-9.1687660000000004E-2</v>
      </c>
      <c r="W4149">
        <v>0.1515415</v>
      </c>
      <c r="X4149">
        <v>0.98418930000000004</v>
      </c>
      <c r="Y4149">
        <v>-2.7137789999999998E-2</v>
      </c>
      <c r="Z4149">
        <v>8.3048460000000003E-4</v>
      </c>
      <c r="AA4149">
        <v>0.9996313</v>
      </c>
      <c r="AB4149">
        <v>33</v>
      </c>
      <c r="AC4149">
        <v>32.886799999999901</v>
      </c>
      <c r="AD4149">
        <v>-1.1098964428424001</v>
      </c>
      <c r="AE4149">
        <v>0.56020000000000802</v>
      </c>
      <c r="AF4149">
        <v>-0.90099403430186698</v>
      </c>
      <c r="AG4149">
        <v>-1.1098964428424001</v>
      </c>
      <c r="AH4149">
        <v>32.841804296996102</v>
      </c>
      <c r="AI4149">
        <v>91.934860138267894</v>
      </c>
      <c r="AJ4149">
        <v>91.571479131243507</v>
      </c>
      <c r="AK4149">
        <v>32.8729032768004</v>
      </c>
      <c r="AL4149">
        <v>81.283730826768902</v>
      </c>
      <c r="AM4149">
        <v>95.322346973283999</v>
      </c>
      <c r="AN4149">
        <v>1.0000000157265001</v>
      </c>
    </row>
    <row r="4150" spans="1:40" x14ac:dyDescent="0.25">
      <c r="A4150" t="str">
        <f>"20190304154836015"</f>
        <v>20190304154836015</v>
      </c>
      <c r="B4150" t="str">
        <f>"1551685716010953"</f>
        <v>1551685716010953</v>
      </c>
      <c r="C4150" t="s">
        <v>40</v>
      </c>
      <c r="D4150">
        <v>4.1150320000000002</v>
      </c>
      <c r="E4150">
        <v>0.52427659999999998</v>
      </c>
      <c r="F4150" t="s">
        <v>60</v>
      </c>
      <c r="G4150">
        <v>-382.67540000000002</v>
      </c>
      <c r="H4150" s="1">
        <v>-9.934699E-8</v>
      </c>
      <c r="I4150">
        <v>214.30189999999999</v>
      </c>
      <c r="J4150">
        <v>-416.46129999999999</v>
      </c>
      <c r="K4150">
        <v>1.1098980000000001</v>
      </c>
      <c r="L4150">
        <v>213.75239999999999</v>
      </c>
      <c r="M4150">
        <v>0.99990210000000002</v>
      </c>
      <c r="N4150">
        <v>-9.3700229999999999E-3</v>
      </c>
      <c r="O4150">
        <v>-1.0394199999999999E-2</v>
      </c>
      <c r="P4150">
        <v>0.9864366</v>
      </c>
      <c r="Q4150">
        <v>0.14205390000000001</v>
      </c>
      <c r="R4150">
        <v>8.224149E-2</v>
      </c>
      <c r="S4150">
        <v>3.0513919999999999</v>
      </c>
      <c r="T4150">
        <v>-9.9254729999999999E-2</v>
      </c>
      <c r="U4150">
        <v>4.8828129999999997E-2</v>
      </c>
      <c r="V4150">
        <v>-9.2484880000000005E-2</v>
      </c>
      <c r="W4150">
        <v>0.151286</v>
      </c>
      <c r="X4150">
        <v>0.98415399999999997</v>
      </c>
      <c r="Y4150">
        <v>-2.6371579999999999E-2</v>
      </c>
      <c r="Z4150">
        <v>7.9298649999999895E-4</v>
      </c>
      <c r="AA4150">
        <v>0.99965190000000004</v>
      </c>
      <c r="AB4150">
        <v>33</v>
      </c>
      <c r="AC4150">
        <v>33.785899999999899</v>
      </c>
      <c r="AD4150">
        <v>-1.10989809934699</v>
      </c>
      <c r="AE4150">
        <v>0.54949999999999399</v>
      </c>
      <c r="AF4150">
        <v>-0.89969244732151998</v>
      </c>
      <c r="AG4150">
        <v>-1.10989809934699</v>
      </c>
      <c r="AH4150">
        <v>33.741958693126797</v>
      </c>
      <c r="AI4150">
        <v>91.883322397407298</v>
      </c>
      <c r="AJ4150">
        <v>91.527367435152698</v>
      </c>
      <c r="AK4150">
        <v>33.7721941356995</v>
      </c>
      <c r="AL4150">
        <v>81.298540521713306</v>
      </c>
      <c r="AM4150">
        <v>95.368546752692495</v>
      </c>
      <c r="AN4150">
        <v>1.0000000012703001</v>
      </c>
    </row>
    <row r="4151" spans="1:40" x14ac:dyDescent="0.25">
      <c r="A4151" t="str">
        <f>"20190304154836037"</f>
        <v>20190304154836037</v>
      </c>
      <c r="B4151" t="str">
        <f>"1551685716030980"</f>
        <v>1551685716030980</v>
      </c>
      <c r="C4151" t="s">
        <v>40</v>
      </c>
      <c r="D4151">
        <v>4.1342869999999996</v>
      </c>
      <c r="E4151">
        <v>0.52542849999999997</v>
      </c>
      <c r="F4151" t="s">
        <v>60</v>
      </c>
      <c r="G4151">
        <v>-378.72070000000002</v>
      </c>
      <c r="H4151" s="1">
        <v>3.1039410000000001E-6</v>
      </c>
      <c r="I4151">
        <v>214.2415</v>
      </c>
      <c r="J4151">
        <v>-416.1232</v>
      </c>
      <c r="K4151">
        <v>1.1099019999999999</v>
      </c>
      <c r="L4151">
        <v>213.74889999999999</v>
      </c>
      <c r="M4151">
        <v>0.99990199999999996</v>
      </c>
      <c r="N4151">
        <v>-9.3761869999999994E-3</v>
      </c>
      <c r="O4151">
        <v>-1.039386E-2</v>
      </c>
      <c r="P4151">
        <v>0.98642240000000003</v>
      </c>
      <c r="Q4151">
        <v>0.141851799999999</v>
      </c>
      <c r="R4151">
        <v>8.2757380000000005E-2</v>
      </c>
      <c r="S4151">
        <v>3.0508730000000002</v>
      </c>
      <c r="T4151">
        <v>-8.9721679999999998E-2</v>
      </c>
      <c r="U4151">
        <v>3.9535519999999998E-2</v>
      </c>
      <c r="V4151">
        <v>-9.300013E-2</v>
      </c>
      <c r="W4151">
        <v>0.15108940000000001</v>
      </c>
      <c r="X4151">
        <v>0.9841356</v>
      </c>
      <c r="Y4151">
        <v>-2.333503E-2</v>
      </c>
      <c r="Z4151">
        <v>6.6062309999999997E-4</v>
      </c>
      <c r="AA4151">
        <v>0.99972749999999999</v>
      </c>
      <c r="AB4151">
        <v>33</v>
      </c>
      <c r="AC4151">
        <v>37.402499999999897</v>
      </c>
      <c r="AD4151">
        <v>-1.1098988960589999</v>
      </c>
      <c r="AE4151">
        <v>0.49260000000000997</v>
      </c>
      <c r="AF4151">
        <v>-0.88057156204301701</v>
      </c>
      <c r="AG4151">
        <v>-1.1098988960589999</v>
      </c>
      <c r="AH4151">
        <v>37.362464499898003</v>
      </c>
      <c r="AI4151">
        <v>91.701070535214498</v>
      </c>
      <c r="AJ4151">
        <v>91.350116920447107</v>
      </c>
      <c r="AK4151">
        <v>37.389317128579499</v>
      </c>
      <c r="AL4151">
        <v>81.309935456054404</v>
      </c>
      <c r="AM4151">
        <v>95.398380028086706</v>
      </c>
      <c r="AN4151">
        <v>0.99999995507986705</v>
      </c>
    </row>
    <row r="4152" spans="1:40" x14ac:dyDescent="0.25">
      <c r="A4152" t="str">
        <f>"20190304154836051"</f>
        <v>20190304154836051</v>
      </c>
      <c r="B4152" t="str">
        <f>"1551685716040739"</f>
        <v>1551685716040739</v>
      </c>
      <c r="C4152" t="s">
        <v>40</v>
      </c>
      <c r="D4152">
        <v>4.1440229999999998</v>
      </c>
      <c r="E4152">
        <v>0.52588559999999995</v>
      </c>
      <c r="F4152" t="s">
        <v>60</v>
      </c>
      <c r="G4152">
        <v>-375.42689999999999</v>
      </c>
      <c r="H4152" s="1">
        <v>1.3511390000000001E-6</v>
      </c>
      <c r="I4152">
        <v>214.17740000000001</v>
      </c>
      <c r="J4152">
        <v>-415.91879999999998</v>
      </c>
      <c r="K4152">
        <v>1.1099000000000001</v>
      </c>
      <c r="L4152">
        <v>213.74680000000001</v>
      </c>
      <c r="M4152">
        <v>0.99990199999999996</v>
      </c>
      <c r="N4152">
        <v>-9.3799139999999996E-3</v>
      </c>
      <c r="O4152">
        <v>-1.039376E-2</v>
      </c>
      <c r="P4152">
        <v>0.98638650000000005</v>
      </c>
      <c r="Q4152">
        <v>0.14196589999999901</v>
      </c>
      <c r="R4152">
        <v>8.2990179999999997E-2</v>
      </c>
      <c r="S4152">
        <v>3.0505369999999998</v>
      </c>
      <c r="T4152">
        <v>-8.3196640000000002E-2</v>
      </c>
      <c r="U4152">
        <v>3.2119750000000002E-2</v>
      </c>
      <c r="V4152">
        <v>-9.3232609999999994E-2</v>
      </c>
      <c r="W4152">
        <v>0.1512068</v>
      </c>
      <c r="X4152">
        <v>0.98409559999999996</v>
      </c>
      <c r="Y4152">
        <v>-2.0909589999999999E-2</v>
      </c>
      <c r="Z4152">
        <v>5.6909110000000001E-4</v>
      </c>
      <c r="AA4152">
        <v>0.99978120000000004</v>
      </c>
      <c r="AB4152">
        <v>33</v>
      </c>
      <c r="AC4152">
        <v>40.491900000000001</v>
      </c>
      <c r="AD4152">
        <v>-1.1098986488609901</v>
      </c>
      <c r="AE4152">
        <v>0.43059999999999798</v>
      </c>
      <c r="AF4152">
        <v>-0.85081916666923596</v>
      </c>
      <c r="AG4152">
        <v>-1.1098986488609901</v>
      </c>
      <c r="AH4152">
        <v>40.4548453492691</v>
      </c>
      <c r="AI4152">
        <v>91.571196494383699</v>
      </c>
      <c r="AJ4152">
        <v>91.204828777878902</v>
      </c>
      <c r="AK4152">
        <v>40.479010369553201</v>
      </c>
      <c r="AL4152">
        <v>81.303130997011493</v>
      </c>
      <c r="AM4152">
        <v>95.412013442316805</v>
      </c>
      <c r="AN4152">
        <v>0.99999998293650505</v>
      </c>
    </row>
    <row r="4153" spans="1:40" x14ac:dyDescent="0.25">
      <c r="A4153" t="str">
        <f>"20190304154836071"</f>
        <v>20190304154836071</v>
      </c>
      <c r="B4153" t="str">
        <f>"1551685716061235"</f>
        <v>1551685716061235</v>
      </c>
      <c r="C4153" t="s">
        <v>40</v>
      </c>
      <c r="D4153">
        <v>4.114954</v>
      </c>
      <c r="E4153">
        <v>0.5266575</v>
      </c>
      <c r="F4153" t="s">
        <v>60</v>
      </c>
      <c r="G4153">
        <v>-373.65449999999998</v>
      </c>
      <c r="H4153" s="1">
        <v>4.0797200000000002E-7</v>
      </c>
      <c r="I4153">
        <v>214.15119999999999</v>
      </c>
      <c r="J4153">
        <v>-415.61810000000003</v>
      </c>
      <c r="K4153">
        <v>1.109891</v>
      </c>
      <c r="L4153">
        <v>213.74369999999999</v>
      </c>
      <c r="M4153">
        <v>0.99990210000000002</v>
      </c>
      <c r="N4153">
        <v>-9.3852450000000004E-3</v>
      </c>
      <c r="O4153">
        <v>-1.039342E-2</v>
      </c>
      <c r="P4153">
        <v>0.98633249999999995</v>
      </c>
      <c r="Q4153">
        <v>0.1422484</v>
      </c>
      <c r="R4153">
        <v>8.3149970000000004E-2</v>
      </c>
      <c r="S4153">
        <v>3.0505070000000001</v>
      </c>
      <c r="T4153">
        <v>-8.0109239999999998E-2</v>
      </c>
      <c r="U4153">
        <v>2.919006E-2</v>
      </c>
      <c r="V4153">
        <v>-9.3391749999999996E-2</v>
      </c>
      <c r="W4153">
        <v>0.1514943</v>
      </c>
      <c r="X4153">
        <v>0.98403629999999997</v>
      </c>
      <c r="Y4153">
        <v>-1.9950559999999999E-2</v>
      </c>
      <c r="Z4153">
        <v>5.3090940000000001E-4</v>
      </c>
      <c r="AA4153">
        <v>0.99980080000000005</v>
      </c>
      <c r="AB4153">
        <v>33</v>
      </c>
      <c r="AC4153">
        <v>41.9636</v>
      </c>
      <c r="AD4153">
        <v>-1.109890592028</v>
      </c>
      <c r="AE4153">
        <v>0.40749999999999797</v>
      </c>
      <c r="AF4153">
        <v>-0.84305275150655901</v>
      </c>
      <c r="AG4153">
        <v>-1.109890592028</v>
      </c>
      <c r="AH4153">
        <v>41.927770171771499</v>
      </c>
      <c r="AI4153">
        <v>91.516044294633602</v>
      </c>
      <c r="AJ4153">
        <v>91.151906152705493</v>
      </c>
      <c r="AK4153">
        <v>41.950929747086498</v>
      </c>
      <c r="AL4153">
        <v>81.286466556567404</v>
      </c>
      <c r="AM4153">
        <v>95.421521037237994</v>
      </c>
      <c r="AN4153">
        <v>0.99999999080912105</v>
      </c>
    </row>
    <row r="4154" spans="1:40" x14ac:dyDescent="0.25">
      <c r="A4154" t="str">
        <f>"20190304154836094"</f>
        <v>20190304154836094</v>
      </c>
      <c r="B4154" t="str">
        <f>"1551685716090516"</f>
        <v>1551685716090516</v>
      </c>
      <c r="C4154" t="s">
        <v>40</v>
      </c>
      <c r="D4154">
        <v>3.8934519999999999</v>
      </c>
      <c r="E4154">
        <v>0.52737519999999904</v>
      </c>
      <c r="F4154" t="s">
        <v>60</v>
      </c>
      <c r="G4154">
        <v>-371.1739</v>
      </c>
      <c r="H4154" s="1">
        <v>-9.1209960000000005E-7</v>
      </c>
      <c r="I4154">
        <v>214.08</v>
      </c>
      <c r="J4154">
        <v>-415.28809999999999</v>
      </c>
      <c r="K4154">
        <v>1.1098870000000001</v>
      </c>
      <c r="L4154">
        <v>213.74019999999999</v>
      </c>
      <c r="M4154">
        <v>0.99990199999999996</v>
      </c>
      <c r="N4154">
        <v>-9.3912419999999993E-3</v>
      </c>
      <c r="O4154">
        <v>-1.039285E-2</v>
      </c>
      <c r="P4154">
        <v>0.98637810000000004</v>
      </c>
      <c r="Q4154">
        <v>0.1419271</v>
      </c>
      <c r="R4154">
        <v>8.3157670000000003E-2</v>
      </c>
      <c r="S4154">
        <v>3.050659</v>
      </c>
      <c r="T4154">
        <v>-7.6183199999999895E-2</v>
      </c>
      <c r="U4154">
        <v>2.3086550000000001E-2</v>
      </c>
      <c r="V4154">
        <v>-9.3399120000000002E-2</v>
      </c>
      <c r="W4154">
        <v>0.15117900000000001</v>
      </c>
      <c r="X4154">
        <v>0.98408410000000002</v>
      </c>
      <c r="Y4154">
        <v>-1.7951149999999999E-2</v>
      </c>
      <c r="Z4154">
        <v>4.7031820000000002E-4</v>
      </c>
      <c r="AA4154">
        <v>0.99983880000000003</v>
      </c>
      <c r="AB4154">
        <v>33</v>
      </c>
      <c r="AC4154">
        <v>44.114199999999897</v>
      </c>
      <c r="AD4154">
        <v>-1.1098879120995999</v>
      </c>
      <c r="AE4154">
        <v>0.33980000000002503</v>
      </c>
      <c r="AF4154">
        <v>-0.79776912430457503</v>
      </c>
      <c r="AG4154">
        <v>-1.1098879120995999</v>
      </c>
      <c r="AH4154">
        <v>44.080384582161003</v>
      </c>
      <c r="AI4154">
        <v>91.442093918167004</v>
      </c>
      <c r="AJ4154">
        <v>91.036828847626197</v>
      </c>
      <c r="AK4154">
        <v>44.101571306069502</v>
      </c>
      <c r="AL4154">
        <v>81.304742499526398</v>
      </c>
      <c r="AM4154">
        <v>95.421684535146596</v>
      </c>
      <c r="AN4154">
        <v>1.0000000007652901</v>
      </c>
    </row>
    <row r="4155" spans="1:40" x14ac:dyDescent="0.25">
      <c r="A4155" t="str">
        <f>"20190304154836161"</f>
        <v>20190304154836161</v>
      </c>
      <c r="B4155" t="str">
        <f>"1551685716151027"</f>
        <v>1551685716151027</v>
      </c>
      <c r="C4155" t="s">
        <v>40</v>
      </c>
      <c r="D4155">
        <v>3.434825</v>
      </c>
      <c r="E4155">
        <v>0.52737519999999904</v>
      </c>
      <c r="F4155" t="s">
        <v>60</v>
      </c>
      <c r="G4155">
        <v>-368.39550000000003</v>
      </c>
      <c r="H4155" s="1">
        <v>2.9309039999999999E-6</v>
      </c>
      <c r="I4155">
        <v>214.00579999999999</v>
      </c>
      <c r="J4155">
        <v>-414.26670000000001</v>
      </c>
      <c r="K4155">
        <v>1.109899</v>
      </c>
      <c r="L4155">
        <v>213.7296</v>
      </c>
      <c r="M4155">
        <v>0.99990190000000001</v>
      </c>
      <c r="N4155">
        <v>-9.4097290000000004E-3</v>
      </c>
      <c r="O4155">
        <v>-1.0391620000000001E-2</v>
      </c>
      <c r="P4155">
        <v>0.98627419999999999</v>
      </c>
      <c r="Q4155">
        <v>0.1427283</v>
      </c>
      <c r="R4155">
        <v>8.3020389999999999E-2</v>
      </c>
      <c r="S4155">
        <v>3.050354</v>
      </c>
      <c r="T4155">
        <v>-7.2197789999999998E-2</v>
      </c>
      <c r="U4155">
        <v>1.7272949999999999E-2</v>
      </c>
      <c r="V4155">
        <v>-9.3259649999999999E-2</v>
      </c>
      <c r="W4155">
        <v>0.15199770000000001</v>
      </c>
      <c r="X4155">
        <v>0.98397120000000005</v>
      </c>
      <c r="Y4155">
        <v>-1.6046789999999998E-2</v>
      </c>
      <c r="Z4155">
        <v>4.1353169999999999E-4</v>
      </c>
      <c r="AA4155">
        <v>0.99987110000000001</v>
      </c>
      <c r="AB4155">
        <v>34</v>
      </c>
      <c r="AC4155">
        <v>45.871199999999902</v>
      </c>
      <c r="AD4155">
        <v>-1.109896069096</v>
      </c>
      <c r="AE4155">
        <v>0.27619999999998801</v>
      </c>
      <c r="AF4155">
        <v>-0.75244169314105502</v>
      </c>
      <c r="AG4155">
        <v>-1.109896069096</v>
      </c>
      <c r="AH4155">
        <v>45.839017557217197</v>
      </c>
      <c r="AI4155">
        <v>91.386839863008404</v>
      </c>
      <c r="AJ4155">
        <v>90.940418537418793</v>
      </c>
      <c r="AK4155">
        <v>45.858625888666197</v>
      </c>
      <c r="AL4155">
        <v>81.257285952344006</v>
      </c>
      <c r="AM4155">
        <v>95.414254102192402</v>
      </c>
      <c r="AN4155">
        <v>0.99999999277642604</v>
      </c>
    </row>
    <row r="4156" spans="1:40" x14ac:dyDescent="0.25">
      <c r="A4156" t="str">
        <f>"20190304154836183"</f>
        <v>20190304154836183</v>
      </c>
      <c r="B4156" t="str">
        <f>"1551685716180308"</f>
        <v>1551685716180308</v>
      </c>
      <c r="C4156" t="s">
        <v>40</v>
      </c>
      <c r="D4156">
        <v>4.0639830000000003</v>
      </c>
      <c r="E4156">
        <v>0.5517879</v>
      </c>
      <c r="F4156" t="s">
        <v>60</v>
      </c>
      <c r="G4156">
        <v>-365.53149999999999</v>
      </c>
      <c r="H4156" s="1">
        <v>1.4068E-6</v>
      </c>
      <c r="I4156">
        <v>213.9888</v>
      </c>
      <c r="J4156">
        <v>-413.93720000000002</v>
      </c>
      <c r="K4156">
        <v>1.109899</v>
      </c>
      <c r="L4156">
        <v>213.72620000000001</v>
      </c>
      <c r="M4156">
        <v>0.99990179999999995</v>
      </c>
      <c r="N4156">
        <v>-9.4157230000000008E-3</v>
      </c>
      <c r="O4156">
        <v>-1.0391289999999999E-2</v>
      </c>
      <c r="P4156">
        <v>0.98616170000000003</v>
      </c>
      <c r="Q4156">
        <v>0.1433711</v>
      </c>
      <c r="R4156">
        <v>8.3245840000000002E-2</v>
      </c>
      <c r="S4156">
        <v>3.050446</v>
      </c>
      <c r="T4156">
        <v>-6.9471000000000005E-2</v>
      </c>
      <c r="U4156">
        <v>1.622009E-2</v>
      </c>
      <c r="V4156">
        <v>-9.348339E-2</v>
      </c>
      <c r="W4156">
        <v>0.15264520000000001</v>
      </c>
      <c r="X4156">
        <v>0.98384970000000005</v>
      </c>
      <c r="Y4156">
        <v>-1.570185E-2</v>
      </c>
      <c r="Z4156">
        <v>3.9149239999999999E-4</v>
      </c>
      <c r="AA4156">
        <v>0.9998766</v>
      </c>
      <c r="AB4156">
        <v>34</v>
      </c>
      <c r="AC4156">
        <v>48.405700000000003</v>
      </c>
      <c r="AD4156">
        <v>-1.1098975931999999</v>
      </c>
      <c r="AE4156">
        <v>0.26259999999999101</v>
      </c>
      <c r="AF4156">
        <v>-0.76520343606485197</v>
      </c>
      <c r="AG4156">
        <v>-1.1098975931999999</v>
      </c>
      <c r="AH4156">
        <v>48.374925438089001</v>
      </c>
      <c r="AI4156">
        <v>91.314179648292793</v>
      </c>
      <c r="AJ4156">
        <v>90.906239560869096</v>
      </c>
      <c r="AK4156">
        <v>48.393706410096598</v>
      </c>
      <c r="AL4156">
        <v>81.219748684209605</v>
      </c>
      <c r="AM4156">
        <v>95.427832241952999</v>
      </c>
      <c r="AN4156">
        <v>0.99999996673950997</v>
      </c>
    </row>
    <row r="4157" spans="1:40" x14ac:dyDescent="0.25">
      <c r="A4157" t="str">
        <f>"20190304154836204"</f>
        <v>20190304154836204</v>
      </c>
      <c r="B4157" t="str">
        <f>"1551685716200804"</f>
        <v>1551685716200804</v>
      </c>
      <c r="C4157" t="s">
        <v>40</v>
      </c>
      <c r="D4157">
        <v>4.1097919999999997</v>
      </c>
      <c r="E4157">
        <v>0.55290589999999995</v>
      </c>
      <c r="F4157" t="s">
        <v>41</v>
      </c>
      <c r="G4157">
        <v>-413.09120000000001</v>
      </c>
      <c r="H4157">
        <v>1.032837</v>
      </c>
      <c r="I4157">
        <v>213.67570000000001</v>
      </c>
      <c r="J4157">
        <v>-413.62119999999999</v>
      </c>
      <c r="K4157">
        <v>1.1098980000000001</v>
      </c>
      <c r="L4157">
        <v>213.72290000000001</v>
      </c>
      <c r="M4157">
        <v>0.99990179999999995</v>
      </c>
      <c r="N4157">
        <v>-9.4214910000000006E-3</v>
      </c>
      <c r="O4157">
        <v>-1.0390720000000001E-2</v>
      </c>
      <c r="P4157">
        <v>0.98603830000000003</v>
      </c>
      <c r="Q4157">
        <v>0.14423620000000001</v>
      </c>
      <c r="R4157">
        <v>8.3214150000000001E-2</v>
      </c>
      <c r="S4157">
        <v>3.0986940000000001</v>
      </c>
      <c r="T4157">
        <v>-0.28243550000000001</v>
      </c>
      <c r="U4157">
        <v>-0.18386839999999999</v>
      </c>
      <c r="V4157">
        <v>-9.345001E-2</v>
      </c>
      <c r="W4157">
        <v>0.1535146</v>
      </c>
      <c r="X4157">
        <v>0.98371759999999997</v>
      </c>
      <c r="Y4157">
        <v>4.866964E-2</v>
      </c>
      <c r="Z4157">
        <v>-1.594945E-3</v>
      </c>
      <c r="AA4157">
        <v>0.99881359999999997</v>
      </c>
      <c r="AB4157">
        <v>34</v>
      </c>
      <c r="AC4157">
        <v>0.52999999999997205</v>
      </c>
      <c r="AD4157">
        <v>-7.7061000000000004E-2</v>
      </c>
      <c r="AE4157">
        <v>-4.72000000000036E-2</v>
      </c>
      <c r="AF4157">
        <v>4.0833670454881899E-2</v>
      </c>
      <c r="AG4157">
        <v>-7.7061000000000004E-2</v>
      </c>
      <c r="AH4157">
        <v>0.51956436946996498</v>
      </c>
      <c r="AI4157">
        <v>98.410955368497397</v>
      </c>
      <c r="AJ4157">
        <v>85.506239696476101</v>
      </c>
      <c r="AK4157">
        <v>0.52683291505613095</v>
      </c>
      <c r="AL4157">
        <v>81.169341711494496</v>
      </c>
      <c r="AM4157">
        <v>95.426629977815793</v>
      </c>
      <c r="AN4157">
        <v>0.99999997666595897</v>
      </c>
    </row>
    <row r="4158" spans="1:40" x14ac:dyDescent="0.25">
      <c r="A4158" t="str">
        <f>"20190304154836228"</f>
        <v>20190304154836228</v>
      </c>
      <c r="B4158" t="str">
        <f>"1551685716221300"</f>
        <v>1551685716221300</v>
      </c>
      <c r="C4158" t="s">
        <v>40</v>
      </c>
      <c r="D4158">
        <v>4.3580360000000002</v>
      </c>
      <c r="E4158">
        <v>0.55308419999999903</v>
      </c>
      <c r="F4158" t="s">
        <v>60</v>
      </c>
      <c r="G4158">
        <v>-393.50060000000002</v>
      </c>
      <c r="H4158" s="1">
        <v>3.2608140000000002E-7</v>
      </c>
      <c r="I4158">
        <v>212.48769999999999</v>
      </c>
      <c r="J4158">
        <v>-413.27300000000002</v>
      </c>
      <c r="K4158">
        <v>1.1098950000000001</v>
      </c>
      <c r="L4158">
        <v>213.7193</v>
      </c>
      <c r="M4158">
        <v>0.99990159999999995</v>
      </c>
      <c r="N4158">
        <v>-9.4278509999999992E-3</v>
      </c>
      <c r="O4158">
        <v>-1.0390160000000001E-2</v>
      </c>
      <c r="P4158">
        <v>0.98593220000000004</v>
      </c>
      <c r="Q4158">
        <v>0.14489340000000001</v>
      </c>
      <c r="R4158">
        <v>8.3329979999999998E-2</v>
      </c>
      <c r="S4158">
        <v>3.0833439999999999</v>
      </c>
      <c r="T4158">
        <v>-0.17008499999999999</v>
      </c>
      <c r="U4158">
        <v>-0.18928529999999999</v>
      </c>
      <c r="V4158">
        <v>-9.3564079999999994E-2</v>
      </c>
      <c r="W4158">
        <v>0.15417709999999901</v>
      </c>
      <c r="X4158">
        <v>0.98360320000000001</v>
      </c>
      <c r="Y4158">
        <v>5.0820499999999998E-2</v>
      </c>
      <c r="Z4158">
        <v>-1.1650149999999999E-3</v>
      </c>
      <c r="AA4158">
        <v>0.99870709999999996</v>
      </c>
      <c r="AB4158">
        <v>34</v>
      </c>
      <c r="AC4158">
        <v>19.772400000000001</v>
      </c>
      <c r="AD4158">
        <v>-1.1098946739186</v>
      </c>
      <c r="AE4158">
        <v>-1.23160000000001</v>
      </c>
      <c r="AF4158">
        <v>1.0228753915870801</v>
      </c>
      <c r="AG4158">
        <v>-1.1098946739186</v>
      </c>
      <c r="AH4158">
        <v>19.7222256667614</v>
      </c>
      <c r="AI4158">
        <v>93.216685042955305</v>
      </c>
      <c r="AJ4158">
        <v>87.031066353439698</v>
      </c>
      <c r="AK4158">
        <v>19.779897004397402</v>
      </c>
      <c r="AL4158">
        <v>81.130926433244795</v>
      </c>
      <c r="AM4158">
        <v>95.433842532370704</v>
      </c>
      <c r="AN4158">
        <v>1.0000000351404399</v>
      </c>
    </row>
    <row r="4159" spans="1:40" x14ac:dyDescent="0.25">
      <c r="A4159" t="str">
        <f>"20190304154836241"</f>
        <v>20190304154836241</v>
      </c>
      <c r="B4159" t="str">
        <f>"1551685716231061"</f>
        <v>1551685716231061</v>
      </c>
      <c r="C4159" t="s">
        <v>40</v>
      </c>
      <c r="D4159">
        <v>4.1981529999999996</v>
      </c>
      <c r="E4159">
        <v>0.55206250000000001</v>
      </c>
      <c r="F4159" t="s">
        <v>60</v>
      </c>
      <c r="G4159">
        <v>-382.9905</v>
      </c>
      <c r="H4159" s="1">
        <v>1.7501999999999999E-7</v>
      </c>
      <c r="I4159">
        <v>211.86170000000001</v>
      </c>
      <c r="J4159">
        <v>-413.05650000000003</v>
      </c>
      <c r="K4159">
        <v>1.1098969999999999</v>
      </c>
      <c r="L4159">
        <v>213.71709999999999</v>
      </c>
      <c r="M4159">
        <v>0.9999017</v>
      </c>
      <c r="N4159">
        <v>-9.4318079999999999E-3</v>
      </c>
      <c r="O4159">
        <v>-1.0389580000000001E-2</v>
      </c>
      <c r="P4159">
        <v>0.98588410000000004</v>
      </c>
      <c r="Q4159">
        <v>0.14513579999999901</v>
      </c>
      <c r="R4159">
        <v>8.3477469999999998E-2</v>
      </c>
      <c r="S4159">
        <v>3.0752869999999999</v>
      </c>
      <c r="T4159">
        <v>-0.1127136</v>
      </c>
      <c r="U4159">
        <v>-0.18864439999999999</v>
      </c>
      <c r="V4159">
        <v>-9.3711000000000003E-2</v>
      </c>
      <c r="W4159">
        <v>0.154423</v>
      </c>
      <c r="X4159">
        <v>0.98355060000000005</v>
      </c>
      <c r="Y4159">
        <v>5.0814190000000002E-2</v>
      </c>
      <c r="Z4159">
        <v>-8.8760110000000005E-4</v>
      </c>
      <c r="AA4159">
        <v>0.99870769999999998</v>
      </c>
      <c r="AB4159">
        <v>34</v>
      </c>
      <c r="AC4159">
        <v>30.065999999999999</v>
      </c>
      <c r="AD4159">
        <v>-1.1098968249800001</v>
      </c>
      <c r="AE4159">
        <v>-1.85539999999997</v>
      </c>
      <c r="AF4159">
        <v>1.5408211137124601</v>
      </c>
      <c r="AG4159">
        <v>-1.1098968249800001</v>
      </c>
      <c r="AH4159">
        <v>30.042869395735501</v>
      </c>
      <c r="AI4159">
        <v>92.112985180161203</v>
      </c>
      <c r="AJ4159">
        <v>87.064020035213204</v>
      </c>
      <c r="AK4159">
        <v>30.1028238242824</v>
      </c>
      <c r="AL4159">
        <v>81.116666299410497</v>
      </c>
      <c r="AM4159">
        <v>95.442613197541505</v>
      </c>
      <c r="AN4159">
        <v>0.99999999860517996</v>
      </c>
    </row>
    <row r="4160" spans="1:40" x14ac:dyDescent="0.25">
      <c r="A4160" t="str">
        <f>"20190304154836260"</f>
        <v>20190304154836260</v>
      </c>
      <c r="B4160" t="str">
        <f>"1551685716250583"</f>
        <v>1551685716250583</v>
      </c>
      <c r="C4160" t="s">
        <v>40</v>
      </c>
      <c r="D4160">
        <v>4.2867100000000002</v>
      </c>
      <c r="E4160">
        <v>0.54807810000000001</v>
      </c>
      <c r="F4160" t="s">
        <v>60</v>
      </c>
      <c r="G4160">
        <v>-378.101</v>
      </c>
      <c r="H4160" s="1">
        <v>2.7741319999999999E-6</v>
      </c>
      <c r="I4160">
        <v>211.673</v>
      </c>
      <c r="J4160">
        <v>-412.76940000000002</v>
      </c>
      <c r="K4160">
        <v>1.1098980000000001</v>
      </c>
      <c r="L4160">
        <v>213.7141</v>
      </c>
      <c r="M4160">
        <v>0.9999015</v>
      </c>
      <c r="N4160">
        <v>-9.4370649999999997E-3</v>
      </c>
      <c r="O4160">
        <v>-1.0387209999999999E-2</v>
      </c>
      <c r="P4160">
        <v>0.98573739999999999</v>
      </c>
      <c r="Q4160">
        <v>0.1463486</v>
      </c>
      <c r="R4160">
        <v>8.3090570000000002E-2</v>
      </c>
      <c r="S4160">
        <v>3.0725709999999999</v>
      </c>
      <c r="T4160">
        <v>-9.7558859999999997E-2</v>
      </c>
      <c r="U4160">
        <v>-0.1796722</v>
      </c>
      <c r="V4160">
        <v>-9.3320120000000006E-2</v>
      </c>
      <c r="W4160">
        <v>0.1556389</v>
      </c>
      <c r="X4160">
        <v>0.9833961</v>
      </c>
      <c r="Y4160">
        <v>4.7974679999999999E-2</v>
      </c>
      <c r="Z4160">
        <v>-7.5595440000000001E-4</v>
      </c>
      <c r="AA4160">
        <v>0.99884830000000002</v>
      </c>
      <c r="AB4160">
        <v>34</v>
      </c>
      <c r="AC4160">
        <v>34.668399999999998</v>
      </c>
      <c r="AD4160">
        <v>-1.1098952258679999</v>
      </c>
      <c r="AE4160">
        <v>-2.0411000000000001</v>
      </c>
      <c r="AF4160">
        <v>1.6791508057926201</v>
      </c>
      <c r="AG4160">
        <v>-1.1098952258679999</v>
      </c>
      <c r="AH4160">
        <v>34.652338089241198</v>
      </c>
      <c r="AI4160">
        <v>91.832376406009502</v>
      </c>
      <c r="AJ4160">
        <v>87.225784355594698</v>
      </c>
      <c r="AK4160">
        <v>34.710746893319303</v>
      </c>
      <c r="AL4160">
        <v>81.046147779179705</v>
      </c>
      <c r="AM4160">
        <v>95.420893331476606</v>
      </c>
      <c r="AN4160">
        <v>1.00000000074261</v>
      </c>
    </row>
    <row r="4161" spans="1:40" x14ac:dyDescent="0.25">
      <c r="A4161" t="str">
        <f>"20190304154836282"</f>
        <v>20190304154836282</v>
      </c>
      <c r="B4161" t="str">
        <f>"1551685716280837"</f>
        <v>1551685716280837</v>
      </c>
      <c r="C4161" t="s">
        <v>40</v>
      </c>
      <c r="D4161">
        <v>4.291023</v>
      </c>
      <c r="E4161">
        <v>0.54611109999999996</v>
      </c>
      <c r="F4161" t="s">
        <v>60</v>
      </c>
      <c r="G4161">
        <v>-372.49700000000001</v>
      </c>
      <c r="H4161" s="1">
        <v>-2.079951E-7</v>
      </c>
      <c r="I4161">
        <v>211.75810000000001</v>
      </c>
      <c r="J4161">
        <v>-412.43680000000001</v>
      </c>
      <c r="K4161">
        <v>1.109904</v>
      </c>
      <c r="L4161">
        <v>213.7106</v>
      </c>
      <c r="M4161">
        <v>0.9999017</v>
      </c>
      <c r="N4161">
        <v>-9.4431649999999999E-3</v>
      </c>
      <c r="O4161">
        <v>-1.037969E-2</v>
      </c>
      <c r="P4161">
        <v>0.98576350000000001</v>
      </c>
      <c r="Q4161">
        <v>0.14643249999999999</v>
      </c>
      <c r="R4161">
        <v>8.2632449999999996E-2</v>
      </c>
      <c r="S4161">
        <v>3.0684809999999998</v>
      </c>
      <c r="T4161">
        <v>-8.4566710000000003E-2</v>
      </c>
      <c r="U4161">
        <v>-0.14903259999999999</v>
      </c>
      <c r="V4161">
        <v>-9.285641E-2</v>
      </c>
      <c r="W4161">
        <v>0.15572829999999999</v>
      </c>
      <c r="X4161">
        <v>0.98342589999999996</v>
      </c>
      <c r="Y4161">
        <v>3.8123410000000003E-2</v>
      </c>
      <c r="Z4161">
        <v>-5.1722550000000002E-4</v>
      </c>
      <c r="AA4161">
        <v>0.99927290000000002</v>
      </c>
      <c r="AB4161">
        <v>34</v>
      </c>
      <c r="AC4161">
        <v>39.939799999999998</v>
      </c>
      <c r="AD4161">
        <v>-1.1099042079951</v>
      </c>
      <c r="AE4161">
        <v>-1.9524999999999799</v>
      </c>
      <c r="AF4161">
        <v>1.5366298105480201</v>
      </c>
      <c r="AG4161">
        <v>-1.1099042079951</v>
      </c>
      <c r="AH4161">
        <v>39.927155153741197</v>
      </c>
      <c r="AI4161">
        <v>91.591133824857096</v>
      </c>
      <c r="AJ4161">
        <v>87.796011942402899</v>
      </c>
      <c r="AK4161">
        <v>39.972125752785601</v>
      </c>
      <c r="AL4161">
        <v>81.040962832043704</v>
      </c>
      <c r="AM4161">
        <v>95.393953563351502</v>
      </c>
      <c r="AN4161">
        <v>1.00000005854489</v>
      </c>
    </row>
    <row r="4162" spans="1:40" x14ac:dyDescent="0.25">
      <c r="A4162" t="str">
        <f>"20190304154836306"</f>
        <v>20190304154836306</v>
      </c>
      <c r="B4162" t="str">
        <f>"1551685716300356"</f>
        <v>1551685716300356</v>
      </c>
      <c r="C4162" t="s">
        <v>40</v>
      </c>
      <c r="D4162">
        <v>4.3169440000000003</v>
      </c>
      <c r="E4162">
        <v>0.54469000000000001</v>
      </c>
      <c r="F4162" t="s">
        <v>60</v>
      </c>
      <c r="G4162">
        <v>-358.54430000000002</v>
      </c>
      <c r="H4162" s="1">
        <v>3.1523880000000002E-6</v>
      </c>
      <c r="I4162">
        <v>211.3603</v>
      </c>
      <c r="J4162">
        <v>-412.08760000000001</v>
      </c>
      <c r="K4162">
        <v>1.109915</v>
      </c>
      <c r="L4162">
        <v>213.70699999999999</v>
      </c>
      <c r="M4162">
        <v>0.9999017</v>
      </c>
      <c r="N4162">
        <v>-9.4495269999999992E-3</v>
      </c>
      <c r="O4162">
        <v>-1.0361169999999999E-2</v>
      </c>
      <c r="P4162">
        <v>0.98579850000000002</v>
      </c>
      <c r="Q4162">
        <v>0.1464551</v>
      </c>
      <c r="R4162">
        <v>8.2171869999999994E-2</v>
      </c>
      <c r="S4162">
        <v>3.0639340000000002</v>
      </c>
      <c r="T4162">
        <v>-6.3100809999999993E-2</v>
      </c>
      <c r="U4162">
        <v>-0.1336212</v>
      </c>
      <c r="V4162">
        <v>-9.2380480000000001E-2</v>
      </c>
      <c r="W4162">
        <v>0.1557566</v>
      </c>
      <c r="X4162">
        <v>0.98346619999999996</v>
      </c>
      <c r="Y4162">
        <v>3.320584E-2</v>
      </c>
      <c r="Z4162">
        <v>-3.8334429999999997E-4</v>
      </c>
      <c r="AA4162">
        <v>0.99944849999999996</v>
      </c>
      <c r="AB4162">
        <v>34</v>
      </c>
      <c r="AC4162">
        <v>53.543299999999903</v>
      </c>
      <c r="AD4162">
        <v>-1.109911847612</v>
      </c>
      <c r="AE4162">
        <v>-2.34669999999999</v>
      </c>
      <c r="AF4162">
        <v>1.7910099096419601</v>
      </c>
      <c r="AG4162">
        <v>-1.109911847612</v>
      </c>
      <c r="AH4162">
        <v>53.541778404969797</v>
      </c>
      <c r="AI4162">
        <v>91.186897891571405</v>
      </c>
      <c r="AJ4162">
        <v>88.084130503324502</v>
      </c>
      <c r="AK4162">
        <v>53.583221772984103</v>
      </c>
      <c r="AL4162">
        <v>81.039320974547095</v>
      </c>
      <c r="AM4162">
        <v>95.366250371687102</v>
      </c>
      <c r="AN4162">
        <v>1.0000000190355101</v>
      </c>
    </row>
    <row r="4163" spans="1:40" x14ac:dyDescent="0.25">
      <c r="A4163" t="str">
        <f>"20190304154836340"</f>
        <v>20190304154836340</v>
      </c>
      <c r="B4163" t="str">
        <f>"1551685716330612"</f>
        <v>1551685716330612</v>
      </c>
      <c r="C4163" t="s">
        <v>40</v>
      </c>
      <c r="D4163">
        <v>4.2605449999999996</v>
      </c>
      <c r="E4163">
        <v>0.5435565</v>
      </c>
      <c r="F4163" t="s">
        <v>60</v>
      </c>
      <c r="G4163">
        <v>-351.54649999999998</v>
      </c>
      <c r="H4163" s="1">
        <v>-5.6657640000000005E-7</v>
      </c>
      <c r="I4163">
        <v>211.24809999999999</v>
      </c>
      <c r="J4163">
        <v>-411.56389999999999</v>
      </c>
      <c r="K4163">
        <v>1.1099319999999999</v>
      </c>
      <c r="L4163">
        <v>213.70160000000001</v>
      </c>
      <c r="M4163">
        <v>0.99990250000000003</v>
      </c>
      <c r="N4163">
        <v>-9.4590799999999999E-3</v>
      </c>
      <c r="O4163">
        <v>-1.0289299999999999E-2</v>
      </c>
      <c r="P4163">
        <v>0.98583390000000004</v>
      </c>
      <c r="Q4163">
        <v>0.1463961</v>
      </c>
      <c r="R4163">
        <v>8.1856120000000004E-2</v>
      </c>
      <c r="S4163">
        <v>3.06189</v>
      </c>
      <c r="T4163">
        <v>-5.6134459999999997E-2</v>
      </c>
      <c r="U4163">
        <v>-0.1243591</v>
      </c>
      <c r="V4163">
        <v>-9.2002849999999997E-2</v>
      </c>
      <c r="W4163">
        <v>0.15570200000000001</v>
      </c>
      <c r="X4163">
        <v>0.98351029999999995</v>
      </c>
      <c r="Y4163">
        <v>3.029097E-2</v>
      </c>
      <c r="Z4163">
        <v>-3.2963259999999999E-4</v>
      </c>
      <c r="AA4163">
        <v>0.99954100000000001</v>
      </c>
      <c r="AB4163">
        <v>34</v>
      </c>
      <c r="AC4163">
        <v>60.017400000000002</v>
      </c>
      <c r="AD4163">
        <v>-1.1099325665763999</v>
      </c>
      <c r="AE4163">
        <v>-2.45350000000002</v>
      </c>
      <c r="AF4163">
        <v>1.8351789535386001</v>
      </c>
      <c r="AG4163">
        <v>-1.1099325665763999</v>
      </c>
      <c r="AH4163">
        <v>60.018975698929999</v>
      </c>
      <c r="AI4163">
        <v>91.0589568635083</v>
      </c>
      <c r="AJ4163">
        <v>88.248632917932198</v>
      </c>
      <c r="AK4163">
        <v>60.057283288895199</v>
      </c>
      <c r="AL4163">
        <v>81.042488455793006</v>
      </c>
      <c r="AM4163">
        <v>95.344203406959494</v>
      </c>
      <c r="AN4163">
        <v>1.0000000737090999</v>
      </c>
    </row>
    <row r="4164" spans="1:40" x14ac:dyDescent="0.25">
      <c r="A4164" t="str">
        <f>"20190304154836361"</f>
        <v>20190304154836361</v>
      </c>
      <c r="B4164" t="str">
        <f>"1551685716351108"</f>
        <v>1551685716351108</v>
      </c>
      <c r="C4164" t="s">
        <v>40</v>
      </c>
      <c r="D4164">
        <v>4.3486050000000001</v>
      </c>
      <c r="E4164">
        <v>0.54221379999999997</v>
      </c>
      <c r="F4164" t="s">
        <v>60</v>
      </c>
      <c r="G4164">
        <v>-343.2672</v>
      </c>
      <c r="H4164" s="1">
        <v>2.0182280000000001E-7</v>
      </c>
      <c r="I4164">
        <v>211.1097</v>
      </c>
      <c r="J4164">
        <v>-411.23649999999998</v>
      </c>
      <c r="K4164">
        <v>1.109953</v>
      </c>
      <c r="L4164">
        <v>213.69829999999999</v>
      </c>
      <c r="M4164">
        <v>0.99990310000000004</v>
      </c>
      <c r="N4164">
        <v>-9.4650970000000004E-3</v>
      </c>
      <c r="O4164">
        <v>-1.020537E-2</v>
      </c>
      <c r="P4164">
        <v>0.98587599999999997</v>
      </c>
      <c r="Q4164">
        <v>0.146217299999999</v>
      </c>
      <c r="R4164">
        <v>8.1664169999999994E-2</v>
      </c>
      <c r="S4164">
        <v>3.06012</v>
      </c>
      <c r="T4164">
        <v>-4.9731850000000001E-2</v>
      </c>
      <c r="U4164">
        <v>-0.1161346</v>
      </c>
      <c r="V4164">
        <v>-9.1737650000000004E-2</v>
      </c>
      <c r="W4164">
        <v>0.15552439999999901</v>
      </c>
      <c r="X4164">
        <v>0.98356310000000002</v>
      </c>
      <c r="Y4164">
        <v>2.7717700000000001E-2</v>
      </c>
      <c r="Z4164">
        <v>-2.8716460000000001E-4</v>
      </c>
      <c r="AA4164">
        <v>0.9996157</v>
      </c>
      <c r="AB4164">
        <v>34</v>
      </c>
      <c r="AC4164">
        <v>67.969299999999905</v>
      </c>
      <c r="AD4164">
        <v>-1.1099527981771999</v>
      </c>
      <c r="AE4164">
        <v>-2.58859999999998</v>
      </c>
      <c r="AF4164">
        <v>1.8942778103480999</v>
      </c>
      <c r="AG4164">
        <v>-1.1099527981771999</v>
      </c>
      <c r="AH4164">
        <v>67.974078128735997</v>
      </c>
      <c r="AI4164">
        <v>90.935140095979705</v>
      </c>
      <c r="AJ4164">
        <v>88.403714419538304</v>
      </c>
      <c r="AK4164">
        <v>68.009525664339606</v>
      </c>
      <c r="AL4164">
        <v>81.052789041380706</v>
      </c>
      <c r="AM4164">
        <v>95.328603026368299</v>
      </c>
      <c r="AN4164">
        <v>1.0000000035522401</v>
      </c>
    </row>
    <row r="4165" spans="1:40" x14ac:dyDescent="0.25">
      <c r="A4165" t="str">
        <f>"20190304154836383"</f>
        <v>20190304154836383</v>
      </c>
      <c r="B4165" t="str">
        <f>"1551685716370628"</f>
        <v>1551685716370628</v>
      </c>
      <c r="C4165" t="s">
        <v>40</v>
      </c>
      <c r="D4165">
        <v>4.3387840000000004</v>
      </c>
      <c r="E4165">
        <v>0.54120880000000005</v>
      </c>
      <c r="F4165" t="s">
        <v>60</v>
      </c>
      <c r="G4165">
        <v>-344.20119999999997</v>
      </c>
      <c r="H4165" s="1">
        <v>6.988904E-7</v>
      </c>
      <c r="I4165">
        <v>211.3982</v>
      </c>
      <c r="J4165">
        <v>-410.91269999999997</v>
      </c>
      <c r="K4165">
        <v>1.1099810000000001</v>
      </c>
      <c r="L4165">
        <v>213.6951</v>
      </c>
      <c r="M4165">
        <v>0.99990440000000003</v>
      </c>
      <c r="N4165">
        <v>-9.4711110000000008E-3</v>
      </c>
      <c r="O4165">
        <v>-1.008706E-2</v>
      </c>
      <c r="P4165">
        <v>0.98595630000000001</v>
      </c>
      <c r="Q4165">
        <v>0.1456692</v>
      </c>
      <c r="R4165">
        <v>8.1676789999999999E-2</v>
      </c>
      <c r="S4165">
        <v>3.0592039999999998</v>
      </c>
      <c r="T4165">
        <v>-5.0653459999999997E-2</v>
      </c>
      <c r="U4165">
        <v>-0.10496519999999999</v>
      </c>
      <c r="V4165">
        <v>-9.1645740000000003E-2</v>
      </c>
      <c r="W4165">
        <v>0.15497649999999999</v>
      </c>
      <c r="X4165">
        <v>0.98365809999999998</v>
      </c>
      <c r="Y4165">
        <v>2.4202830000000002E-2</v>
      </c>
      <c r="Z4165">
        <v>-2.435251E-4</v>
      </c>
      <c r="AA4165">
        <v>0.99970700000000001</v>
      </c>
      <c r="AB4165">
        <v>34</v>
      </c>
      <c r="AC4165">
        <v>66.711500000000001</v>
      </c>
      <c r="AD4165">
        <v>-1.1099803011096001</v>
      </c>
      <c r="AE4165">
        <v>-2.2968999999999902</v>
      </c>
      <c r="AF4165">
        <v>1.6233812491316799</v>
      </c>
      <c r="AG4165">
        <v>-1.1099803011096001</v>
      </c>
      <c r="AH4165">
        <v>66.712828783541099</v>
      </c>
      <c r="AI4165">
        <v>90.952927714907204</v>
      </c>
      <c r="AJ4165">
        <v>88.606047089690307</v>
      </c>
      <c r="AK4165">
        <v>66.741808090963104</v>
      </c>
      <c r="AL4165">
        <v>81.084566284517294</v>
      </c>
      <c r="AM4165">
        <v>95.322783935263303</v>
      </c>
      <c r="AN4165">
        <v>0.99999995745400205</v>
      </c>
    </row>
    <row r="4166" spans="1:40" x14ac:dyDescent="0.25">
      <c r="A4166" t="str">
        <f>"20190304154836405"</f>
        <v>20190304154836405</v>
      </c>
      <c r="B4166" t="str">
        <f>"1551685716400884"</f>
        <v>1551685716400884</v>
      </c>
      <c r="C4166" t="s">
        <v>40</v>
      </c>
      <c r="D4166">
        <v>4.3486180000000001</v>
      </c>
      <c r="E4166">
        <v>0.53984860000000001</v>
      </c>
      <c r="F4166" t="s">
        <v>60</v>
      </c>
      <c r="G4166">
        <v>-347.78840000000002</v>
      </c>
      <c r="H4166" s="1">
        <v>2.607797E-6</v>
      </c>
      <c r="I4166">
        <v>211.70240000000001</v>
      </c>
      <c r="J4166">
        <v>-410.56790000000001</v>
      </c>
      <c r="K4166">
        <v>1.1100159999999999</v>
      </c>
      <c r="L4166">
        <v>213.6918</v>
      </c>
      <c r="M4166">
        <v>0.99990610000000002</v>
      </c>
      <c r="N4166">
        <v>-9.4774830000000001E-3</v>
      </c>
      <c r="O4166">
        <v>-9.9103509999999995E-3</v>
      </c>
      <c r="P4166">
        <v>0.98594440000000005</v>
      </c>
      <c r="Q4166">
        <v>0.14551329999999901</v>
      </c>
      <c r="R4166">
        <v>8.2094310000000004E-2</v>
      </c>
      <c r="S4166">
        <v>3.058716</v>
      </c>
      <c r="T4166">
        <v>-5.3784489999999997E-2</v>
      </c>
      <c r="U4166">
        <v>-9.6557619999999997E-2</v>
      </c>
      <c r="V4166">
        <v>-9.1903219999999994E-2</v>
      </c>
      <c r="W4166">
        <v>0.15481829999999999</v>
      </c>
      <c r="X4166">
        <v>0.98365899999999995</v>
      </c>
      <c r="Y4166">
        <v>2.1640079999999999E-2</v>
      </c>
      <c r="Z4166">
        <v>-2.1249189999999999E-4</v>
      </c>
      <c r="AA4166">
        <v>0.99976580000000004</v>
      </c>
      <c r="AB4166">
        <v>34</v>
      </c>
      <c r="AC4166">
        <v>62.779499999999899</v>
      </c>
      <c r="AD4166">
        <v>-1.110013392203</v>
      </c>
      <c r="AE4166">
        <v>-1.9893999999999801</v>
      </c>
      <c r="AF4166">
        <v>1.3666807191783299</v>
      </c>
      <c r="AG4166">
        <v>-1.110013392203</v>
      </c>
      <c r="AH4166">
        <v>62.776527547293398</v>
      </c>
      <c r="AI4166">
        <v>91.012757420542897</v>
      </c>
      <c r="AJ4166">
        <v>88.752835293132904</v>
      </c>
      <c r="AK4166">
        <v>62.801213020252497</v>
      </c>
      <c r="AL4166">
        <v>81.093741308805306</v>
      </c>
      <c r="AM4166">
        <v>95.337647262811998</v>
      </c>
      <c r="AN4166">
        <v>0.99999996807112801</v>
      </c>
    </row>
    <row r="4167" spans="1:40" x14ac:dyDescent="0.25">
      <c r="A4167" t="str">
        <f>"20190304154836429"</f>
        <v>20190304154836429</v>
      </c>
      <c r="B4167" t="str">
        <f>"1551685716420404"</f>
        <v>1551685716420404</v>
      </c>
      <c r="C4167" t="s">
        <v>40</v>
      </c>
      <c r="D4167">
        <v>4.3455940000000002</v>
      </c>
      <c r="E4167">
        <v>0.53909490000000004</v>
      </c>
      <c r="F4167" t="s">
        <v>60</v>
      </c>
      <c r="G4167">
        <v>-349.57580000000002</v>
      </c>
      <c r="H4167" s="1">
        <v>3.5590020000000002E-6</v>
      </c>
      <c r="I4167">
        <v>212.0067</v>
      </c>
      <c r="J4167">
        <v>-410.209</v>
      </c>
      <c r="K4167">
        <v>1.1100680000000001</v>
      </c>
      <c r="L4167">
        <v>213.6884</v>
      </c>
      <c r="M4167">
        <v>0.99990840000000003</v>
      </c>
      <c r="N4167">
        <v>-9.4840429999999993E-3</v>
      </c>
      <c r="O4167">
        <v>-9.6652549999999993E-3</v>
      </c>
      <c r="P4167">
        <v>0.98595270000000002</v>
      </c>
      <c r="Q4167">
        <v>0.1452707</v>
      </c>
      <c r="R4167">
        <v>8.2423670000000004E-2</v>
      </c>
      <c r="S4167">
        <v>3.058014</v>
      </c>
      <c r="T4167">
        <v>-5.5653689999999999E-2</v>
      </c>
      <c r="U4167">
        <v>-8.4487919999999994E-2</v>
      </c>
      <c r="V4167">
        <v>-9.2008580000000006E-2</v>
      </c>
      <c r="W4167">
        <v>0.1545724</v>
      </c>
      <c r="X4167">
        <v>0.98368789999999995</v>
      </c>
      <c r="Y4167">
        <v>1.7950379999999998E-2</v>
      </c>
      <c r="Z4167">
        <v>-1.6425329999999999E-4</v>
      </c>
      <c r="AA4167">
        <v>0.99983889999999997</v>
      </c>
      <c r="AB4167">
        <v>34</v>
      </c>
      <c r="AC4167">
        <v>60.633199999999903</v>
      </c>
      <c r="AD4167">
        <v>-1.1100644409980001</v>
      </c>
      <c r="AE4167">
        <v>-1.6817</v>
      </c>
      <c r="AF4167">
        <v>1.0951929922172301</v>
      </c>
      <c r="AG4167">
        <v>-1.1100644409980001</v>
      </c>
      <c r="AH4167">
        <v>60.626317394926502</v>
      </c>
      <c r="AI4167">
        <v>91.048794192961196</v>
      </c>
      <c r="AJ4167">
        <v>88.965084562624597</v>
      </c>
      <c r="AK4167">
        <v>60.646368824718103</v>
      </c>
      <c r="AL4167">
        <v>81.108002699331294</v>
      </c>
      <c r="AM4167">
        <v>95.343574977021603</v>
      </c>
      <c r="AN4167">
        <v>1.0000000451208899</v>
      </c>
    </row>
    <row r="4168" spans="1:40" x14ac:dyDescent="0.25">
      <c r="A4168" t="str">
        <f>"20190304154836450"</f>
        <v>20190304154836450</v>
      </c>
      <c r="B4168" t="str">
        <f>"1551685716440915"</f>
        <v>1551685716440915</v>
      </c>
      <c r="C4168" t="s">
        <v>40</v>
      </c>
      <c r="D4168">
        <v>4.4958019999999896</v>
      </c>
      <c r="E4168">
        <v>0.5381804</v>
      </c>
      <c r="F4168" t="s">
        <v>60</v>
      </c>
      <c r="G4168">
        <v>-350.69900000000001</v>
      </c>
      <c r="H4168" s="1">
        <v>-1.0581859999999999E-6</v>
      </c>
      <c r="I4168">
        <v>212.1771</v>
      </c>
      <c r="J4168">
        <v>-409.8777</v>
      </c>
      <c r="K4168">
        <v>1.1101129999999999</v>
      </c>
      <c r="L4168">
        <v>213.68549999999999</v>
      </c>
      <c r="M4168">
        <v>0.99991099999999999</v>
      </c>
      <c r="N4168">
        <v>-9.4901120000000002E-3</v>
      </c>
      <c r="O4168">
        <v>-9.3814250000000005E-3</v>
      </c>
      <c r="P4168">
        <v>0.9859192</v>
      </c>
      <c r="Q4168">
        <v>0.14543789999999901</v>
      </c>
      <c r="R4168">
        <v>8.2529499999999895E-2</v>
      </c>
      <c r="S4168">
        <v>3.0576780000000001</v>
      </c>
      <c r="T4168">
        <v>-5.7036400000000001E-2</v>
      </c>
      <c r="U4168">
        <v>-7.7651979999999995E-2</v>
      </c>
      <c r="V4168">
        <v>-9.1851420000000003E-2</v>
      </c>
      <c r="W4168">
        <v>0.15473489999999901</v>
      </c>
      <c r="X4168">
        <v>0.98367700000000002</v>
      </c>
      <c r="Y4168">
        <v>1.6003799999999999E-2</v>
      </c>
      <c r="Z4168">
        <v>-1.392617E-4</v>
      </c>
      <c r="AA4168">
        <v>0.99987190000000004</v>
      </c>
      <c r="AB4168">
        <v>34</v>
      </c>
      <c r="AC4168">
        <v>59.1786999999999</v>
      </c>
      <c r="AD4168">
        <v>-1.1101140581859901</v>
      </c>
      <c r="AE4168">
        <v>-1.50839999999999</v>
      </c>
      <c r="AF4168">
        <v>0.95279304071693005</v>
      </c>
      <c r="AG4168">
        <v>-1.1101140581859901</v>
      </c>
      <c r="AH4168">
        <v>59.169439601232199</v>
      </c>
      <c r="AI4168">
        <v>91.074695780941298</v>
      </c>
      <c r="AJ4168">
        <v>89.077457846423101</v>
      </c>
      <c r="AK4168">
        <v>59.187521915725497</v>
      </c>
      <c r="AL4168">
        <v>81.098578406982796</v>
      </c>
      <c r="AM4168">
        <v>95.334559078231905</v>
      </c>
      <c r="AN4168">
        <v>1.00000000648151</v>
      </c>
    </row>
    <row r="4169" spans="1:40" x14ac:dyDescent="0.25">
      <c r="A4169" t="str">
        <f>"20190304154836483"</f>
        <v>20190304154836483</v>
      </c>
      <c r="B4169" t="str">
        <f>"1551685716480916"</f>
        <v>1551685716480916</v>
      </c>
      <c r="C4169" t="s">
        <v>40</v>
      </c>
      <c r="D4169">
        <v>4.2773640000000004</v>
      </c>
      <c r="E4169">
        <v>0.53762849999999995</v>
      </c>
      <c r="F4169" t="s">
        <v>60</v>
      </c>
      <c r="G4169">
        <v>-350.32119999999998</v>
      </c>
      <c r="H4169" s="1">
        <v>-1.265078E-6</v>
      </c>
      <c r="I4169">
        <v>212.31039999999999</v>
      </c>
      <c r="J4169">
        <v>-409.37959999999998</v>
      </c>
      <c r="K4169">
        <v>1.110187</v>
      </c>
      <c r="L4169">
        <v>213.6814</v>
      </c>
      <c r="M4169">
        <v>0.99991569999999996</v>
      </c>
      <c r="N4169">
        <v>-9.4992519999999997E-3</v>
      </c>
      <c r="O4169">
        <v>-8.8506160000000004E-3</v>
      </c>
      <c r="P4169">
        <v>0.98579950000000005</v>
      </c>
      <c r="Q4169">
        <v>0.14585319999999999</v>
      </c>
      <c r="R4169">
        <v>8.3224660000000006E-2</v>
      </c>
      <c r="S4169">
        <v>3.0571899999999999</v>
      </c>
      <c r="T4169">
        <v>-5.6985019999999997E-2</v>
      </c>
      <c r="U4169">
        <v>-7.0587159999999996E-2</v>
      </c>
      <c r="V4169">
        <v>-9.2048539999999998E-2</v>
      </c>
      <c r="W4169">
        <v>0.15514330000000001</v>
      </c>
      <c r="X4169">
        <v>0.98359419999999997</v>
      </c>
      <c r="Y4169">
        <v>1.4229830000000001E-2</v>
      </c>
      <c r="Z4169">
        <v>-1.193301E-4</v>
      </c>
      <c r="AA4169">
        <v>0.99989870000000003</v>
      </c>
      <c r="AB4169">
        <v>34</v>
      </c>
      <c r="AC4169">
        <v>59.058399999999999</v>
      </c>
      <c r="AD4169">
        <v>-1.1101882650779999</v>
      </c>
      <c r="AE4169">
        <v>-1.371</v>
      </c>
      <c r="AF4169">
        <v>0.84792001724494004</v>
      </c>
      <c r="AG4169">
        <v>-1.1101882650779999</v>
      </c>
      <c r="AH4169">
        <v>59.047367024478099</v>
      </c>
      <c r="AI4169">
        <v>91.077017595493999</v>
      </c>
      <c r="AJ4169">
        <v>89.177289321427594</v>
      </c>
      <c r="AK4169">
        <v>59.063889466094103</v>
      </c>
      <c r="AL4169">
        <v>81.074892399175894</v>
      </c>
      <c r="AM4169">
        <v>95.346388601388895</v>
      </c>
      <c r="AN4169">
        <v>0.99999996376233002</v>
      </c>
    </row>
    <row r="4170" spans="1:40" x14ac:dyDescent="0.25">
      <c r="A4170" t="str">
        <f>"20190304154836506"</f>
        <v>20190304154836506</v>
      </c>
      <c r="B4170" t="str">
        <f>"1551685716501413"</f>
        <v>1551685716501413</v>
      </c>
      <c r="C4170" t="s">
        <v>40</v>
      </c>
      <c r="D4170">
        <v>4.1688989999999997</v>
      </c>
      <c r="E4170">
        <v>0.53783939999999997</v>
      </c>
      <c r="F4170" t="s">
        <v>60</v>
      </c>
      <c r="G4170">
        <v>-342.7276</v>
      </c>
      <c r="H4170" s="1">
        <v>-8.5275589999999997E-8</v>
      </c>
      <c r="I4170">
        <v>212.274</v>
      </c>
      <c r="J4170">
        <v>-409.03030000000001</v>
      </c>
      <c r="K4170">
        <v>1.110228</v>
      </c>
      <c r="L4170">
        <v>213.67859999999999</v>
      </c>
      <c r="M4170">
        <v>0.99991949999999996</v>
      </c>
      <c r="N4170">
        <v>-9.505622E-3</v>
      </c>
      <c r="O4170">
        <v>-8.4236769999999992E-3</v>
      </c>
      <c r="P4170">
        <v>0.98565380000000002</v>
      </c>
      <c r="Q4170">
        <v>0.14656050000000001</v>
      </c>
      <c r="R4170">
        <v>8.3708820000000003E-2</v>
      </c>
      <c r="S4170">
        <v>3.0561829999999999</v>
      </c>
      <c r="T4170">
        <v>-5.0905230000000003E-2</v>
      </c>
      <c r="U4170">
        <v>-6.4529420000000004E-2</v>
      </c>
      <c r="V4170">
        <v>-9.2127810000000004E-2</v>
      </c>
      <c r="W4170">
        <v>0.1558466</v>
      </c>
      <c r="X4170">
        <v>0.98347560000000001</v>
      </c>
      <c r="Y4170">
        <v>1.268421E-2</v>
      </c>
      <c r="Z4170">
        <v>-1.057045E-4</v>
      </c>
      <c r="AA4170">
        <v>0.99991949999999996</v>
      </c>
      <c r="AB4170">
        <v>34</v>
      </c>
      <c r="AC4170">
        <v>66.302700000000002</v>
      </c>
      <c r="AD4170">
        <v>-1.1102280852755899</v>
      </c>
      <c r="AE4170">
        <v>-1.4045999999999801</v>
      </c>
      <c r="AF4170">
        <v>0.84577544666832705</v>
      </c>
      <c r="AG4170">
        <v>-1.1102280852755899</v>
      </c>
      <c r="AH4170">
        <v>66.293600109808096</v>
      </c>
      <c r="AI4170">
        <v>90.959372589218304</v>
      </c>
      <c r="AJ4170">
        <v>89.269058634803599</v>
      </c>
      <c r="AK4170">
        <v>66.308290266200203</v>
      </c>
      <c r="AL4170">
        <v>81.034100215790602</v>
      </c>
      <c r="AM4170">
        <v>95.351607610674606</v>
      </c>
      <c r="AN4170">
        <v>0.99999997595115697</v>
      </c>
    </row>
    <row r="4171" spans="1:40" x14ac:dyDescent="0.25">
      <c r="A4171" t="str">
        <f>"20190304154836531"</f>
        <v>20190304154836531</v>
      </c>
      <c r="B4171" t="str">
        <f>"1551685716520932"</f>
        <v>1551685716520932</v>
      </c>
      <c r="C4171" t="s">
        <v>40</v>
      </c>
      <c r="D4171">
        <v>4.1384299999999996</v>
      </c>
      <c r="E4171">
        <v>0.58805540000000001</v>
      </c>
      <c r="F4171" t="s">
        <v>60</v>
      </c>
      <c r="G4171">
        <v>-337.3501</v>
      </c>
      <c r="H4171" s="1">
        <v>2.4819579999999998E-6</v>
      </c>
      <c r="I4171">
        <v>212.15979999999999</v>
      </c>
      <c r="J4171">
        <v>-408.6456</v>
      </c>
      <c r="K4171">
        <v>1.110263</v>
      </c>
      <c r="L4171">
        <v>213.67590000000001</v>
      </c>
      <c r="M4171">
        <v>0.99992329999999996</v>
      </c>
      <c r="N4171">
        <v>-9.5125810000000009E-3</v>
      </c>
      <c r="O4171">
        <v>-7.9091509999999997E-3</v>
      </c>
      <c r="P4171">
        <v>0.9855389</v>
      </c>
      <c r="Q4171">
        <v>0.1470979</v>
      </c>
      <c r="R4171">
        <v>8.411478E-2</v>
      </c>
      <c r="S4171">
        <v>3.0562130000000001</v>
      </c>
      <c r="T4171">
        <v>-4.7336459999999997E-2</v>
      </c>
      <c r="U4171">
        <v>-6.4758300000000005E-2</v>
      </c>
      <c r="V4171">
        <v>-9.204068E-2</v>
      </c>
      <c r="W4171">
        <v>0.15638160000000001</v>
      </c>
      <c r="X4171">
        <v>0.98339889999999996</v>
      </c>
      <c r="Y4171">
        <v>1.3273480000000001E-2</v>
      </c>
      <c r="Z4171">
        <v>-1.186764E-4</v>
      </c>
      <c r="AA4171">
        <v>0.99991189999999996</v>
      </c>
      <c r="AB4171">
        <v>34</v>
      </c>
      <c r="AC4171">
        <v>71.295500000000004</v>
      </c>
      <c r="AD4171">
        <v>-1.110260518042</v>
      </c>
      <c r="AE4171">
        <v>-1.51610000000002</v>
      </c>
      <c r="AF4171">
        <v>0.951909345915262</v>
      </c>
      <c r="AG4171">
        <v>-1.110260518042</v>
      </c>
      <c r="AH4171">
        <v>71.2879813666259</v>
      </c>
      <c r="AI4171">
        <v>90.8921900855226</v>
      </c>
      <c r="AJ4171">
        <v>89.234974174742902</v>
      </c>
      <c r="AK4171">
        <v>71.302980983610794</v>
      </c>
      <c r="AL4171">
        <v>81.003067086526897</v>
      </c>
      <c r="AM4171">
        <v>95.346990253108999</v>
      </c>
      <c r="AN4171">
        <v>1.00000004405731</v>
      </c>
    </row>
    <row r="4172" spans="1:40" x14ac:dyDescent="0.25">
      <c r="A4172" t="str">
        <f>"20190304154836553"</f>
        <v>20190304154836553</v>
      </c>
      <c r="B4172" t="str">
        <f>"1551685716551190"</f>
        <v>1551685716551190</v>
      </c>
      <c r="C4172" t="s">
        <v>40</v>
      </c>
      <c r="D4172">
        <v>4.0983530000000004</v>
      </c>
      <c r="E4172">
        <v>0.58978390000000003</v>
      </c>
      <c r="F4172" t="s">
        <v>70</v>
      </c>
      <c r="G4172">
        <v>-168.42679999999999</v>
      </c>
      <c r="H4172">
        <v>20.56907</v>
      </c>
      <c r="I4172">
        <v>177.88820000000001</v>
      </c>
      <c r="J4172">
        <v>-408.30939999999998</v>
      </c>
      <c r="K4172">
        <v>1.1102939999999999</v>
      </c>
      <c r="L4172">
        <v>213.6737</v>
      </c>
      <c r="M4172">
        <v>0.99992720000000002</v>
      </c>
      <c r="N4172">
        <v>-9.5187199999999996E-3</v>
      </c>
      <c r="O4172">
        <v>-7.4241690000000004E-3</v>
      </c>
      <c r="P4172">
        <v>0.98557930000000005</v>
      </c>
      <c r="Q4172">
        <v>0.1466681</v>
      </c>
      <c r="R4172">
        <v>8.439323E-2</v>
      </c>
      <c r="S4172">
        <v>3.0459290000000001</v>
      </c>
      <c r="T4172">
        <v>0.24673439999999999</v>
      </c>
      <c r="U4172">
        <v>-0.45378109999999999</v>
      </c>
      <c r="V4172">
        <v>-9.1852870000000003E-2</v>
      </c>
      <c r="W4172">
        <v>0.1559516</v>
      </c>
      <c r="X4172">
        <v>0.98348469999999999</v>
      </c>
      <c r="Y4172">
        <v>0.13964170000000001</v>
      </c>
      <c r="Z4172">
        <v>4.2793129999999999E-3</v>
      </c>
      <c r="AA4172">
        <v>0.99019279999999998</v>
      </c>
      <c r="AB4172">
        <v>34</v>
      </c>
      <c r="AC4172">
        <v>239.8826</v>
      </c>
      <c r="AD4172">
        <v>19.458776</v>
      </c>
      <c r="AE4172">
        <v>-35.7854999999999</v>
      </c>
      <c r="AF4172">
        <v>33.786027976287798</v>
      </c>
      <c r="AG4172">
        <v>19.458776</v>
      </c>
      <c r="AH4172">
        <v>238.60580414046501</v>
      </c>
      <c r="AI4172">
        <v>85.383580919160593</v>
      </c>
      <c r="AJ4172">
        <v>81.940628826010098</v>
      </c>
      <c r="AK4172">
        <v>241.770282332942</v>
      </c>
      <c r="AL4172">
        <v>81.028009936352504</v>
      </c>
      <c r="AM4172">
        <v>95.335679864688601</v>
      </c>
      <c r="AN4172">
        <v>1.00000000320194</v>
      </c>
    </row>
    <row r="4173" spans="1:40" x14ac:dyDescent="0.25">
      <c r="A4173" t="str">
        <f>"20190304154836573"</f>
        <v>20190304154836573</v>
      </c>
      <c r="B4173" t="str">
        <f>"1551685716570708"</f>
        <v>1551685716570708</v>
      </c>
      <c r="C4173" t="s">
        <v>40</v>
      </c>
      <c r="D4173">
        <v>4.126112</v>
      </c>
      <c r="E4173">
        <v>0.59040740000000003</v>
      </c>
      <c r="F4173" t="s">
        <v>70</v>
      </c>
      <c r="G4173">
        <v>-168.4273</v>
      </c>
      <c r="H4173">
        <v>21.175000000000001</v>
      </c>
      <c r="I4173">
        <v>176.94919999999999</v>
      </c>
      <c r="J4173">
        <v>-407.9948</v>
      </c>
      <c r="K4173">
        <v>1.1103149999999999</v>
      </c>
      <c r="L4173">
        <v>213.67169999999999</v>
      </c>
      <c r="M4173">
        <v>0.99993069999999895</v>
      </c>
      <c r="N4173">
        <v>-9.5243310000000005E-3</v>
      </c>
      <c r="O4173">
        <v>-6.9479370000000004E-3</v>
      </c>
      <c r="P4173">
        <v>0.98551690000000003</v>
      </c>
      <c r="Q4173">
        <v>0.1464964</v>
      </c>
      <c r="R4173">
        <v>8.5415039999999998E-2</v>
      </c>
      <c r="S4173">
        <v>3.0458980000000002</v>
      </c>
      <c r="T4173">
        <v>0.25477159999999999</v>
      </c>
      <c r="U4173">
        <v>-0.46630859999999902</v>
      </c>
      <c r="V4173">
        <v>-9.2414389999999999E-2</v>
      </c>
      <c r="W4173">
        <v>0.15577920000000001</v>
      </c>
      <c r="X4173">
        <v>0.98345939999999998</v>
      </c>
      <c r="Y4173">
        <v>0.14405399999999999</v>
      </c>
      <c r="Z4173">
        <v>4.6460579999999998E-3</v>
      </c>
      <c r="AA4173">
        <v>0.98955890000000002</v>
      </c>
      <c r="AB4173">
        <v>34</v>
      </c>
      <c r="AC4173">
        <v>239.5675</v>
      </c>
      <c r="AD4173">
        <v>20.064685000000001</v>
      </c>
      <c r="AE4173">
        <v>-36.722499999999997</v>
      </c>
      <c r="AF4173">
        <v>34.818405043637803</v>
      </c>
      <c r="AG4173">
        <v>20.064685000000001</v>
      </c>
      <c r="AH4173">
        <v>238.184439539241</v>
      </c>
      <c r="AI4173">
        <v>85.235170269419598</v>
      </c>
      <c r="AJ4173">
        <v>81.683264907342803</v>
      </c>
      <c r="AK4173">
        <v>241.55069892789501</v>
      </c>
      <c r="AL4173">
        <v>81.038009781693603</v>
      </c>
      <c r="AM4173">
        <v>95.368245550829599</v>
      </c>
      <c r="AN4173">
        <v>0.99999998504003595</v>
      </c>
    </row>
    <row r="4174" spans="1:40" x14ac:dyDescent="0.25">
      <c r="A4174" t="str">
        <f>"20190304154836596"</f>
        <v>20190304154836596</v>
      </c>
      <c r="B4174" t="str">
        <f>"1551685716591205"</f>
        <v>1551685716591205</v>
      </c>
      <c r="C4174" t="s">
        <v>40</v>
      </c>
      <c r="D4174">
        <v>4.1113049999999998</v>
      </c>
      <c r="E4174">
        <v>0.59064019999999995</v>
      </c>
      <c r="F4174" t="s">
        <v>70</v>
      </c>
      <c r="G4174">
        <v>-168.42740000000001</v>
      </c>
      <c r="H4174">
        <v>21.433109999999999</v>
      </c>
      <c r="I4174">
        <v>176.8526</v>
      </c>
      <c r="J4174">
        <v>-407.65100000000001</v>
      </c>
      <c r="K4174">
        <v>1.1103400000000001</v>
      </c>
      <c r="L4174">
        <v>213.66990000000001</v>
      </c>
      <c r="M4174">
        <v>0.99993410000000005</v>
      </c>
      <c r="N4174">
        <v>-9.5305600000000004E-3</v>
      </c>
      <c r="O4174">
        <v>-6.411043E-3</v>
      </c>
      <c r="P4174">
        <v>0.9855332</v>
      </c>
      <c r="Q4174">
        <v>0.14590839999999999</v>
      </c>
      <c r="R4174">
        <v>8.6228299999999994E-2</v>
      </c>
      <c r="S4174">
        <v>3.0462950000000002</v>
      </c>
      <c r="T4174">
        <v>0.25842140000000002</v>
      </c>
      <c r="U4174">
        <v>-0.46818539999999997</v>
      </c>
      <c r="V4174">
        <v>-9.2707719999999993E-2</v>
      </c>
      <c r="W4174">
        <v>0.15519229999999901</v>
      </c>
      <c r="X4174">
        <v>0.98352459999999997</v>
      </c>
      <c r="Y4174">
        <v>0.14514349999999901</v>
      </c>
      <c r="Z4174">
        <v>4.812579E-3</v>
      </c>
      <c r="AA4174">
        <v>0.98939889999999997</v>
      </c>
      <c r="AB4174">
        <v>35</v>
      </c>
      <c r="AC4174">
        <v>239.2236</v>
      </c>
      <c r="AD4174">
        <v>20.322769999999998</v>
      </c>
      <c r="AE4174">
        <v>-36.817300000000003</v>
      </c>
      <c r="AF4174">
        <v>35.035797574270397</v>
      </c>
      <c r="AG4174">
        <v>20.322769999999998</v>
      </c>
      <c r="AH4174">
        <v>237.77838676326701</v>
      </c>
      <c r="AI4174">
        <v>85.166771973885801</v>
      </c>
      <c r="AJ4174">
        <v>81.617984463202404</v>
      </c>
      <c r="AK4174">
        <v>241.20340649310899</v>
      </c>
      <c r="AL4174">
        <v>81.072050856745804</v>
      </c>
      <c r="AM4174">
        <v>95.384829840701599</v>
      </c>
      <c r="AN4174">
        <v>1.00000000506602</v>
      </c>
    </row>
    <row r="4175" spans="1:40" x14ac:dyDescent="0.25">
      <c r="A4175" t="str">
        <f>"20190304154836618"</f>
        <v>20190304154836618</v>
      </c>
      <c r="B4175" t="str">
        <f>"1551685716610724"</f>
        <v>1551685716610724</v>
      </c>
      <c r="C4175" t="s">
        <v>40</v>
      </c>
      <c r="D4175">
        <v>4.0967849999999997</v>
      </c>
      <c r="E4175">
        <v>0.59073279999999995</v>
      </c>
      <c r="F4175" t="s">
        <v>70</v>
      </c>
      <c r="G4175">
        <v>-168.4273</v>
      </c>
      <c r="H4175">
        <v>21.323969999999999</v>
      </c>
      <c r="I4175">
        <v>176.95769999999999</v>
      </c>
      <c r="J4175">
        <v>-407.29730000000001</v>
      </c>
      <c r="K4175">
        <v>1.1103620000000001</v>
      </c>
      <c r="L4175">
        <v>213.66810000000001</v>
      </c>
      <c r="M4175">
        <v>0.99993750000000003</v>
      </c>
      <c r="N4175">
        <v>-9.5369670000000004E-3</v>
      </c>
      <c r="O4175">
        <v>-5.8440180000000003E-3</v>
      </c>
      <c r="P4175">
        <v>0.9854851</v>
      </c>
      <c r="Q4175">
        <v>0.14575179999999999</v>
      </c>
      <c r="R4175">
        <v>8.7039640000000001E-2</v>
      </c>
      <c r="S4175">
        <v>3.0468139999999999</v>
      </c>
      <c r="T4175">
        <v>0.25744640000000002</v>
      </c>
      <c r="U4175">
        <v>-0.46757510000000002</v>
      </c>
      <c r="V4175">
        <v>-9.2968430000000005E-2</v>
      </c>
      <c r="W4175">
        <v>0.15503639999999999</v>
      </c>
      <c r="X4175">
        <v>0.98352459999999997</v>
      </c>
      <c r="Y4175">
        <v>0.1454857</v>
      </c>
      <c r="Z4175">
        <v>4.8559069999999996E-3</v>
      </c>
      <c r="AA4175">
        <v>0.98934849999999996</v>
      </c>
      <c r="AB4175">
        <v>35</v>
      </c>
      <c r="AC4175">
        <v>238.87</v>
      </c>
      <c r="AD4175">
        <v>20.213608000000001</v>
      </c>
      <c r="AE4175">
        <v>-36.7104</v>
      </c>
      <c r="AF4175">
        <v>35.068423670027997</v>
      </c>
      <c r="AG4175">
        <v>20.213608000000001</v>
      </c>
      <c r="AH4175">
        <v>237.419569252538</v>
      </c>
      <c r="AI4175">
        <v>85.185629001561693</v>
      </c>
      <c r="AJ4175">
        <v>81.597791306436207</v>
      </c>
      <c r="AK4175">
        <v>240.845253536662</v>
      </c>
      <c r="AL4175">
        <v>81.081092899771704</v>
      </c>
      <c r="AM4175">
        <v>95.399883518965297</v>
      </c>
      <c r="AN4175">
        <v>1.0000000265533899</v>
      </c>
    </row>
    <row r="4176" spans="1:40" x14ac:dyDescent="0.25">
      <c r="A4176" t="str">
        <f>"20190304154836640"</f>
        <v>20190304154836640</v>
      </c>
      <c r="B4176" t="str">
        <f>"1551685716631253"</f>
        <v>1551685716631253</v>
      </c>
      <c r="C4176" t="s">
        <v>40</v>
      </c>
      <c r="D4176">
        <v>4.0737519999999998</v>
      </c>
      <c r="E4176">
        <v>0.59086559999999999</v>
      </c>
      <c r="F4176" t="s">
        <v>70</v>
      </c>
      <c r="G4176">
        <v>-168.4272</v>
      </c>
      <c r="H4176">
        <v>21.22251</v>
      </c>
      <c r="I4176">
        <v>177.1799</v>
      </c>
      <c r="J4176">
        <v>-406.94819999999999</v>
      </c>
      <c r="K4176">
        <v>1.1103809999999901</v>
      </c>
      <c r="L4176">
        <v>213.66659999999999</v>
      </c>
      <c r="M4176">
        <v>0.99994070000000002</v>
      </c>
      <c r="N4176">
        <v>-9.5433050000000002E-3</v>
      </c>
      <c r="O4176">
        <v>-5.2728519999999997E-3</v>
      </c>
      <c r="P4176">
        <v>0.98545680000000002</v>
      </c>
      <c r="Q4176">
        <v>0.14546799999999999</v>
      </c>
      <c r="R4176">
        <v>8.7831270000000003E-2</v>
      </c>
      <c r="S4176">
        <v>3.0473940000000002</v>
      </c>
      <c r="T4176">
        <v>0.25658189999999997</v>
      </c>
      <c r="U4176">
        <v>-0.46549990000000002</v>
      </c>
      <c r="V4176">
        <v>-9.3203800000000003E-2</v>
      </c>
      <c r="W4176">
        <v>0.1547547</v>
      </c>
      <c r="X4176">
        <v>0.9835467</v>
      </c>
      <c r="Y4176">
        <v>0.145365299999999</v>
      </c>
      <c r="Z4176">
        <v>4.8845920000000001E-3</v>
      </c>
      <c r="AA4176">
        <v>0.98936599999999997</v>
      </c>
      <c r="AB4176">
        <v>35</v>
      </c>
      <c r="AC4176">
        <v>238.52099999999999</v>
      </c>
      <c r="AD4176">
        <v>20.112128999999999</v>
      </c>
      <c r="AE4176">
        <v>-36.4866999999999</v>
      </c>
      <c r="AF4176">
        <v>34.985394893338302</v>
      </c>
      <c r="AG4176">
        <v>20.112128999999999</v>
      </c>
      <c r="AH4176">
        <v>237.06312767722801</v>
      </c>
      <c r="AI4176">
        <v>85.202428567936394</v>
      </c>
      <c r="AJ4176">
        <v>81.604977212904899</v>
      </c>
      <c r="AK4176">
        <v>240.47328769088901</v>
      </c>
      <c r="AL4176">
        <v>81.0974304043351</v>
      </c>
      <c r="AM4176">
        <v>95.413352479453806</v>
      </c>
      <c r="AN4176">
        <v>1.0000000382937</v>
      </c>
    </row>
    <row r="4177" spans="1:40" x14ac:dyDescent="0.25">
      <c r="A4177" t="str">
        <f>"20190304154836662"</f>
        <v>20190304154836662</v>
      </c>
      <c r="B4177" t="str">
        <f>"1551685716650744"</f>
        <v>1551685716650744</v>
      </c>
      <c r="C4177" t="s">
        <v>40</v>
      </c>
      <c r="D4177">
        <v>4.3611250000000004</v>
      </c>
      <c r="E4177">
        <v>0.59085010000000004</v>
      </c>
      <c r="F4177" t="s">
        <v>70</v>
      </c>
      <c r="G4177">
        <v>-168.4272</v>
      </c>
      <c r="H4177">
        <v>21.155629999999999</v>
      </c>
      <c r="I4177">
        <v>177.34309999999999</v>
      </c>
      <c r="J4177">
        <v>-406.6112</v>
      </c>
      <c r="K4177">
        <v>1.110385</v>
      </c>
      <c r="L4177">
        <v>213.66540000000001</v>
      </c>
      <c r="M4177">
        <v>0.99994340000000004</v>
      </c>
      <c r="N4177">
        <v>-9.5494380000000004E-3</v>
      </c>
      <c r="O4177">
        <v>-4.7116110000000001E-3</v>
      </c>
      <c r="P4177">
        <v>0.98540039999999995</v>
      </c>
      <c r="Q4177">
        <v>0.14530799999999999</v>
      </c>
      <c r="R4177">
        <v>8.8722460000000003E-2</v>
      </c>
      <c r="S4177">
        <v>3.0478209999999999</v>
      </c>
      <c r="T4177">
        <v>0.25613839999999999</v>
      </c>
      <c r="U4177">
        <v>-0.46414179999999999</v>
      </c>
      <c r="V4177">
        <v>-9.3548019999999996E-2</v>
      </c>
      <c r="W4177">
        <v>0.15459690000000001</v>
      </c>
      <c r="X4177">
        <v>0.98353880000000005</v>
      </c>
      <c r="Y4177">
        <v>0.14546809999999999</v>
      </c>
      <c r="Z4177">
        <v>4.9297589999999997E-3</v>
      </c>
      <c r="AA4177">
        <v>0.98935070000000003</v>
      </c>
      <c r="AB4177">
        <v>35</v>
      </c>
      <c r="AC4177">
        <v>238.184</v>
      </c>
      <c r="AD4177">
        <v>20.045245000000001</v>
      </c>
      <c r="AE4177">
        <v>-36.322299999999998</v>
      </c>
      <c r="AF4177">
        <v>34.9576485748522</v>
      </c>
      <c r="AG4177">
        <v>20.045245000000001</v>
      </c>
      <c r="AH4177">
        <v>236.71403376472699</v>
      </c>
      <c r="AI4177">
        <v>85.211359188631803</v>
      </c>
      <c r="AJ4177">
        <v>81.599345918822905</v>
      </c>
      <c r="AK4177">
        <v>240.11951778679099</v>
      </c>
      <c r="AL4177">
        <v>81.106581490103807</v>
      </c>
      <c r="AM4177">
        <v>95.433269017316306</v>
      </c>
      <c r="AN4177">
        <v>1.00000000232048</v>
      </c>
    </row>
    <row r="4178" spans="1:40" x14ac:dyDescent="0.25">
      <c r="A4178" t="str">
        <f>"20190304154836684"</f>
        <v>20190304154836684</v>
      </c>
      <c r="B4178" t="str">
        <f>"1551685716680996"</f>
        <v>1551685716680996</v>
      </c>
      <c r="C4178" t="s">
        <v>40</v>
      </c>
      <c r="D4178">
        <v>4.237781</v>
      </c>
      <c r="E4178">
        <v>0.59109250000000002</v>
      </c>
      <c r="F4178" t="s">
        <v>70</v>
      </c>
      <c r="G4178">
        <v>-168.4271</v>
      </c>
      <c r="H4178">
        <v>21.111910000000002</v>
      </c>
      <c r="I4178">
        <v>177.6156</v>
      </c>
      <c r="J4178">
        <v>-406.26929999999999</v>
      </c>
      <c r="K4178">
        <v>1.1103959999999999</v>
      </c>
      <c r="L4178">
        <v>213.6643</v>
      </c>
      <c r="M4178">
        <v>0.99994590000000005</v>
      </c>
      <c r="N4178">
        <v>-9.5556559999999992E-3</v>
      </c>
      <c r="O4178">
        <v>-4.1346539999999998E-3</v>
      </c>
      <c r="P4178">
        <v>0.98541160000000005</v>
      </c>
      <c r="Q4178">
        <v>0.14488719999999999</v>
      </c>
      <c r="R4178">
        <v>8.928672E-2</v>
      </c>
      <c r="S4178">
        <v>3.048279</v>
      </c>
      <c r="T4178">
        <v>0.25597979999999998</v>
      </c>
      <c r="U4178">
        <v>-0.46136470000000002</v>
      </c>
      <c r="V4178">
        <v>-9.3549049999999995E-2</v>
      </c>
      <c r="W4178">
        <v>0.15417939999999999</v>
      </c>
      <c r="X4178">
        <v>0.98360429999999999</v>
      </c>
      <c r="Y4178">
        <v>0.14513489999999901</v>
      </c>
      <c r="Z4178">
        <v>4.9666379999999998E-3</v>
      </c>
      <c r="AA4178">
        <v>0.98939940000000004</v>
      </c>
      <c r="AB4178">
        <v>35</v>
      </c>
      <c r="AC4178">
        <v>237.84219999999999</v>
      </c>
      <c r="AD4178">
        <v>20.001514</v>
      </c>
      <c r="AE4178">
        <v>-36.048699999999997</v>
      </c>
      <c r="AF4178">
        <v>34.824202395378101</v>
      </c>
      <c r="AG4178">
        <v>20.001514</v>
      </c>
      <c r="AH4178">
        <v>236.35523273501099</v>
      </c>
      <c r="AI4178">
        <v>85.214303651010496</v>
      </c>
      <c r="AJ4178">
        <v>81.618434908403302</v>
      </c>
      <c r="AK4178">
        <v>239.74274061165599</v>
      </c>
      <c r="AL4178">
        <v>81.130793330165304</v>
      </c>
      <c r="AM4178">
        <v>95.432968831493795</v>
      </c>
      <c r="AN4178">
        <v>1.0000000655593699</v>
      </c>
    </row>
    <row r="4179" spans="1:40" x14ac:dyDescent="0.25">
      <c r="A4179" t="str">
        <f>"20190304154836708"</f>
        <v>20190304154836708</v>
      </c>
      <c r="B4179" t="str">
        <f>"1551685716700517"</f>
        <v>1551685716700517</v>
      </c>
      <c r="C4179" t="s">
        <v>40</v>
      </c>
      <c r="D4179">
        <v>4.3371879999999896</v>
      </c>
      <c r="E4179">
        <v>0.59109250000000002</v>
      </c>
      <c r="F4179" t="s">
        <v>70</v>
      </c>
      <c r="G4179">
        <v>-168.42699999999999</v>
      </c>
      <c r="H4179">
        <v>21.08867</v>
      </c>
      <c r="I4179">
        <v>177.65549999999999</v>
      </c>
      <c r="J4179">
        <v>-405.90769999999998</v>
      </c>
      <c r="K4179">
        <v>1.1104069999999999</v>
      </c>
      <c r="L4179">
        <v>213.66329999999999</v>
      </c>
      <c r="M4179">
        <v>0.99994810000000001</v>
      </c>
      <c r="N4179">
        <v>-9.5622309999999992E-3</v>
      </c>
      <c r="O4179">
        <v>-3.5187360000000002E-3</v>
      </c>
      <c r="P4179">
        <v>0.9854735</v>
      </c>
      <c r="Q4179">
        <v>0.1445253</v>
      </c>
      <c r="R4179">
        <v>8.9188459999999997E-2</v>
      </c>
      <c r="S4179">
        <v>3.048584</v>
      </c>
      <c r="T4179">
        <v>0.25607550000000001</v>
      </c>
      <c r="U4179">
        <v>-0.46154790000000001</v>
      </c>
      <c r="V4179">
        <v>-9.2847890000000002E-2</v>
      </c>
      <c r="W4179">
        <v>0.1538233</v>
      </c>
      <c r="X4179">
        <v>0.9837264</v>
      </c>
      <c r="Y4179">
        <v>0.14578289999999999</v>
      </c>
      <c r="Z4179">
        <v>5.0487500000000003E-3</v>
      </c>
      <c r="AA4179">
        <v>0.98930370000000001</v>
      </c>
      <c r="AB4179">
        <v>35</v>
      </c>
      <c r="AC4179">
        <v>237.48070000000001</v>
      </c>
      <c r="AD4179">
        <v>19.978262999999998</v>
      </c>
      <c r="AE4179">
        <v>-36.007800000000003</v>
      </c>
      <c r="AF4179">
        <v>34.930255618832597</v>
      </c>
      <c r="AG4179">
        <v>19.978262999999998</v>
      </c>
      <c r="AH4179">
        <v>235.973447092329</v>
      </c>
      <c r="AI4179">
        <v>85.212616788703698</v>
      </c>
      <c r="AJ4179">
        <v>81.579867455040002</v>
      </c>
      <c r="AK4179">
        <v>239.379868582824</v>
      </c>
      <c r="AL4179">
        <v>81.151441963816595</v>
      </c>
      <c r="AM4179">
        <v>95.391823726519405</v>
      </c>
      <c r="AN4179">
        <v>0.99999998417864999</v>
      </c>
    </row>
    <row r="4180" spans="1:40" x14ac:dyDescent="0.25">
      <c r="A4180" t="str">
        <f>"20190304154836730"</f>
        <v>20190304154836730</v>
      </c>
      <c r="B4180" t="str">
        <f>"1551685716721011"</f>
        <v>1551685716721011</v>
      </c>
      <c r="C4180" t="s">
        <v>40</v>
      </c>
      <c r="D4180">
        <v>4.2604810000000004</v>
      </c>
      <c r="E4180">
        <v>0.56941759999999997</v>
      </c>
      <c r="F4180" t="s">
        <v>70</v>
      </c>
      <c r="G4180">
        <v>-168.42699999999999</v>
      </c>
      <c r="H4180">
        <v>20.955220000000001</v>
      </c>
      <c r="I4180">
        <v>177.68700000000001</v>
      </c>
      <c r="J4180">
        <v>-405.54390000000001</v>
      </c>
      <c r="K4180">
        <v>1.1104160000000001</v>
      </c>
      <c r="L4180">
        <v>213.6626</v>
      </c>
      <c r="M4180">
        <v>0.99995009999999995</v>
      </c>
      <c r="N4180">
        <v>-9.5688570000000001E-3</v>
      </c>
      <c r="O4180">
        <v>-2.8953350000000002E-3</v>
      </c>
      <c r="P4180">
        <v>0.98542320000000005</v>
      </c>
      <c r="Q4180">
        <v>0.14495350000000001</v>
      </c>
      <c r="R4180">
        <v>8.9050270000000001E-2</v>
      </c>
      <c r="S4180">
        <v>3.0487060000000001</v>
      </c>
      <c r="T4180">
        <v>0.25476209999999999</v>
      </c>
      <c r="U4180">
        <v>-0.46185300000000001</v>
      </c>
      <c r="V4180">
        <v>-9.2099479999999997E-2</v>
      </c>
      <c r="W4180">
        <v>0.1542567</v>
      </c>
      <c r="X4180">
        <v>0.98372890000000002</v>
      </c>
      <c r="Y4180">
        <v>0.1464905</v>
      </c>
      <c r="Z4180">
        <v>5.1019769999999997E-3</v>
      </c>
      <c r="AA4180">
        <v>0.98919889999999999</v>
      </c>
      <c r="AB4180">
        <v>35</v>
      </c>
      <c r="AC4180">
        <v>237.11689999999999</v>
      </c>
      <c r="AD4180">
        <v>19.844804</v>
      </c>
      <c r="AE4180">
        <v>-35.975599999999901</v>
      </c>
      <c r="AF4180">
        <v>35.048913618127202</v>
      </c>
      <c r="AG4180">
        <v>19.844804</v>
      </c>
      <c r="AH4180">
        <v>235.60692921784201</v>
      </c>
      <c r="AI4180">
        <v>85.237591642399394</v>
      </c>
      <c r="AJ4180">
        <v>81.538724005298207</v>
      </c>
      <c r="AK4180">
        <v>239.02482650777199</v>
      </c>
      <c r="AL4180">
        <v>81.126310120347796</v>
      </c>
      <c r="AM4180">
        <v>95.348601928920104</v>
      </c>
      <c r="AN4180">
        <v>0.99999999620318503</v>
      </c>
    </row>
    <row r="4181" spans="1:40" x14ac:dyDescent="0.25">
      <c r="A4181" t="str">
        <f>"20190304154836754"</f>
        <v>20190304154836754</v>
      </c>
      <c r="B4181" t="str">
        <f>"1551685716751269"</f>
        <v>1551685716751269</v>
      </c>
      <c r="C4181" t="s">
        <v>40</v>
      </c>
      <c r="D4181">
        <v>4.2064389999999996</v>
      </c>
      <c r="E4181">
        <v>0.57081019999999905</v>
      </c>
      <c r="F4181" t="s">
        <v>73</v>
      </c>
      <c r="G4181">
        <v>-252.20670000000001</v>
      </c>
      <c r="H4181">
        <v>6.3142189999999996</v>
      </c>
      <c r="I4181">
        <v>198.89330000000001</v>
      </c>
      <c r="J4181">
        <v>-405.19420000000002</v>
      </c>
      <c r="K4181">
        <v>1.110419</v>
      </c>
      <c r="L4181">
        <v>213.66220000000001</v>
      </c>
      <c r="M4181">
        <v>0.9999517</v>
      </c>
      <c r="N4181">
        <v>-9.5752330000000007E-3</v>
      </c>
      <c r="O4181">
        <v>-2.293654E-3</v>
      </c>
      <c r="P4181">
        <v>0.98539929999999998</v>
      </c>
      <c r="Q4181">
        <v>0.14496919999999999</v>
      </c>
      <c r="R4181">
        <v>8.9287340000000007E-2</v>
      </c>
      <c r="S4181">
        <v>3.0557560000000001</v>
      </c>
      <c r="T4181">
        <v>0.1037053</v>
      </c>
      <c r="U4181">
        <v>-0.2943268</v>
      </c>
      <c r="V4181">
        <v>-9.1745969999999996E-2</v>
      </c>
      <c r="W4181">
        <v>0.1542779</v>
      </c>
      <c r="X4181">
        <v>0.98375860000000004</v>
      </c>
      <c r="Y4181">
        <v>9.3555620000000006E-2</v>
      </c>
      <c r="Z4181">
        <v>1.0348270000000001E-3</v>
      </c>
      <c r="AA4181">
        <v>0.99561350000000004</v>
      </c>
      <c r="AB4181">
        <v>35</v>
      </c>
      <c r="AC4181">
        <v>152.98750000000001</v>
      </c>
      <c r="AD4181">
        <v>5.2038000000000002</v>
      </c>
      <c r="AE4181">
        <v>-14.7689</v>
      </c>
      <c r="AF4181">
        <v>14.4014362721492</v>
      </c>
      <c r="AG4181">
        <v>5.2038000000000002</v>
      </c>
      <c r="AH4181">
        <v>152.84576575777299</v>
      </c>
      <c r="AI4181">
        <v>88.058647970809503</v>
      </c>
      <c r="AJ4181">
        <v>84.617367203751797</v>
      </c>
      <c r="AK4181">
        <v>153.61090134238799</v>
      </c>
      <c r="AL4181">
        <v>81.125080661912307</v>
      </c>
      <c r="AM4181">
        <v>95.328030572643996</v>
      </c>
      <c r="AN4181">
        <v>0.99999998825680503</v>
      </c>
    </row>
    <row r="4182" spans="1:40" x14ac:dyDescent="0.25">
      <c r="A4182" t="str">
        <f>"20190304154836774"</f>
        <v>20190304154836774</v>
      </c>
      <c r="B4182" t="str">
        <f>"1551685716770788"</f>
        <v>1551685716770788</v>
      </c>
      <c r="C4182" t="s">
        <v>40</v>
      </c>
      <c r="D4182">
        <v>3.9921410000000002</v>
      </c>
      <c r="E4182">
        <v>0.57375509999999996</v>
      </c>
      <c r="F4182" t="s">
        <v>70</v>
      </c>
      <c r="G4182">
        <v>-169.71889999999999</v>
      </c>
      <c r="H4182">
        <v>13.683149999999999</v>
      </c>
      <c r="I4182">
        <v>190.25960000000001</v>
      </c>
      <c r="J4182">
        <v>-404.87150000000003</v>
      </c>
      <c r="K4182">
        <v>1.1104270000000001</v>
      </c>
      <c r="L4182">
        <v>213.6619</v>
      </c>
      <c r="M4182">
        <v>0.99995270000000003</v>
      </c>
      <c r="N4182">
        <v>-9.5811090000000008E-3</v>
      </c>
      <c r="O4182">
        <v>-1.7375299999999999E-3</v>
      </c>
      <c r="P4182">
        <v>0.9853421</v>
      </c>
      <c r="Q4182">
        <v>0.14520050000000001</v>
      </c>
      <c r="R4182">
        <v>8.9544330000000005E-2</v>
      </c>
      <c r="S4182">
        <v>3.0479430000000001</v>
      </c>
      <c r="T4182">
        <v>0.162739299999999</v>
      </c>
      <c r="U4182">
        <v>-0.30291750000000001</v>
      </c>
      <c r="V4182">
        <v>-9.145781E-2</v>
      </c>
      <c r="W4182">
        <v>0.15451389999999901</v>
      </c>
      <c r="X4182">
        <v>0.98374839999999997</v>
      </c>
      <c r="Y4182">
        <v>9.7059060000000003E-2</v>
      </c>
      <c r="Z4182">
        <v>2.007493E-3</v>
      </c>
      <c r="AA4182">
        <v>0.99527659999999996</v>
      </c>
      <c r="AB4182">
        <v>35</v>
      </c>
      <c r="AC4182">
        <v>235.15260000000001</v>
      </c>
      <c r="AD4182">
        <v>12.572723</v>
      </c>
      <c r="AE4182">
        <v>-23.4023</v>
      </c>
      <c r="AF4182">
        <v>22.928759049139501</v>
      </c>
      <c r="AG4182">
        <v>12.572723</v>
      </c>
      <c r="AH4182">
        <v>234.529050426162</v>
      </c>
      <c r="AI4182">
        <v>86.945936193761</v>
      </c>
      <c r="AJ4182">
        <v>84.416216506794598</v>
      </c>
      <c r="AK4182">
        <v>235.98236554659201</v>
      </c>
      <c r="AL4182">
        <v>81.111394814868305</v>
      </c>
      <c r="AM4182">
        <v>95.311446660349304</v>
      </c>
      <c r="AN4182">
        <v>0.99999999540288298</v>
      </c>
    </row>
    <row r="4183" spans="1:40" x14ac:dyDescent="0.25">
      <c r="A4183" t="str">
        <f>"20190304154836796"</f>
        <v>20190304154836796</v>
      </c>
      <c r="B4183" t="str">
        <f>"1551685716791284"</f>
        <v>1551685716791284</v>
      </c>
      <c r="C4183" t="s">
        <v>40</v>
      </c>
      <c r="D4183">
        <v>4.0157790000000002</v>
      </c>
      <c r="E4183">
        <v>0.57826330000000004</v>
      </c>
      <c r="F4183" t="s">
        <v>70</v>
      </c>
      <c r="G4183">
        <v>-169.71950000000001</v>
      </c>
      <c r="H4183">
        <v>13.690029999999901</v>
      </c>
      <c r="I4183">
        <v>188.5788</v>
      </c>
      <c r="J4183">
        <v>-404.52109999999999</v>
      </c>
      <c r="K4183">
        <v>1.1104270000000001</v>
      </c>
      <c r="L4183">
        <v>213.6619</v>
      </c>
      <c r="M4183">
        <v>0.99995350000000005</v>
      </c>
      <c r="N4183">
        <v>-9.5874500000000008E-3</v>
      </c>
      <c r="O4183">
        <v>-1.133254E-3</v>
      </c>
      <c r="P4183">
        <v>0.98535010000000001</v>
      </c>
      <c r="Q4183">
        <v>0.14518329999999999</v>
      </c>
      <c r="R4183">
        <v>8.9484770000000005E-2</v>
      </c>
      <c r="S4183">
        <v>3.0501100000000001</v>
      </c>
      <c r="T4183">
        <v>0.16316800000000001</v>
      </c>
      <c r="U4183">
        <v>-0.32534790000000002</v>
      </c>
      <c r="V4183">
        <v>-9.0804480000000007E-2</v>
      </c>
      <c r="W4183">
        <v>0.15450359999999999</v>
      </c>
      <c r="X4183">
        <v>0.98381050000000003</v>
      </c>
      <c r="Y4183">
        <v>0.1048198</v>
      </c>
      <c r="Z4183">
        <v>2.2183609999999999E-3</v>
      </c>
      <c r="AA4183">
        <v>0.99448879999999995</v>
      </c>
      <c r="AB4183">
        <v>35</v>
      </c>
      <c r="AC4183">
        <v>234.80160000000001</v>
      </c>
      <c r="AD4183">
        <v>12.579603000000001</v>
      </c>
      <c r="AE4183">
        <v>-25.083100000000002</v>
      </c>
      <c r="AF4183">
        <v>24.746751963013001</v>
      </c>
      <c r="AG4183">
        <v>12.579603000000001</v>
      </c>
      <c r="AH4183">
        <v>234.165328166043</v>
      </c>
      <c r="AI4183">
        <v>86.941964159941506</v>
      </c>
      <c r="AJ4183">
        <v>83.967334773789403</v>
      </c>
      <c r="AK4183">
        <v>235.80510821326001</v>
      </c>
      <c r="AL4183">
        <v>81.111991798831895</v>
      </c>
      <c r="AM4183">
        <v>95.273387964609</v>
      </c>
      <c r="AN4183">
        <v>0.99999995795563901</v>
      </c>
    </row>
    <row r="4184" spans="1:40" x14ac:dyDescent="0.25">
      <c r="A4184" t="str">
        <f>"20190304154836820"</f>
        <v>20190304154836820</v>
      </c>
      <c r="B4184" t="str">
        <f>"1551685716810805"</f>
        <v>1551685716810805</v>
      </c>
      <c r="C4184" t="s">
        <v>40</v>
      </c>
      <c r="D4184">
        <v>4.1763159999999999</v>
      </c>
      <c r="E4184">
        <v>0.57616029999999996</v>
      </c>
      <c r="F4184" t="s">
        <v>70</v>
      </c>
      <c r="G4184">
        <v>-169.40520000000001</v>
      </c>
      <c r="H4184">
        <v>15.75436</v>
      </c>
      <c r="I4184">
        <v>185.86330000000001</v>
      </c>
      <c r="J4184">
        <v>-404.14819999999997</v>
      </c>
      <c r="K4184">
        <v>1.1104290000000001</v>
      </c>
      <c r="L4184">
        <v>213.66210000000001</v>
      </c>
      <c r="M4184">
        <v>0.99995389999999995</v>
      </c>
      <c r="N4184">
        <v>-9.5941949999999998E-3</v>
      </c>
      <c r="O4184">
        <v>-4.9036079999999996E-4</v>
      </c>
      <c r="P4184">
        <v>0.98541800000000002</v>
      </c>
      <c r="Q4184">
        <v>0.14462120000000001</v>
      </c>
      <c r="R4184">
        <v>8.9645390000000005E-2</v>
      </c>
      <c r="S4184">
        <v>3.049347</v>
      </c>
      <c r="T4184">
        <v>0.1899256</v>
      </c>
      <c r="U4184">
        <v>-0.36053469999999999</v>
      </c>
      <c r="V4184">
        <v>-9.0332480000000007E-2</v>
      </c>
      <c r="W4184">
        <v>0.15394949999999999</v>
      </c>
      <c r="X4184">
        <v>0.98394079999999995</v>
      </c>
      <c r="Y4184">
        <v>0.1167415</v>
      </c>
      <c r="Z4184">
        <v>3.0219579999999999E-3</v>
      </c>
      <c r="AA4184">
        <v>0.99315770000000003</v>
      </c>
      <c r="AB4184">
        <v>35</v>
      </c>
      <c r="AC4184">
        <v>234.74299999999999</v>
      </c>
      <c r="AD4184">
        <v>14.643931</v>
      </c>
      <c r="AE4184">
        <v>-27.7988</v>
      </c>
      <c r="AF4184">
        <v>27.577844458816799</v>
      </c>
      <c r="AG4184">
        <v>14.643931</v>
      </c>
      <c r="AH4184">
        <v>233.85910032914299</v>
      </c>
      <c r="AI4184">
        <v>86.441489897723301</v>
      </c>
      <c r="AJ4184">
        <v>83.274453817947204</v>
      </c>
      <c r="AK4184">
        <v>235.93444222258799</v>
      </c>
      <c r="AL4184">
        <v>81.144123779613906</v>
      </c>
      <c r="AM4184">
        <v>95.245439481925999</v>
      </c>
      <c r="AN4184">
        <v>0.99999995169891898</v>
      </c>
    </row>
    <row r="4185" spans="1:40" x14ac:dyDescent="0.25">
      <c r="A4185" t="str">
        <f>"20190304154836842"</f>
        <v>20190304154836842</v>
      </c>
      <c r="B4185" t="str">
        <f>"1551685716831300"</f>
        <v>1551685716831300</v>
      </c>
      <c r="C4185" t="s">
        <v>40</v>
      </c>
      <c r="D4185">
        <v>4.1608090000000004</v>
      </c>
      <c r="E4185">
        <v>0.5746095</v>
      </c>
      <c r="F4185" t="s">
        <v>74</v>
      </c>
      <c r="G4185">
        <v>-281.3202</v>
      </c>
      <c r="H4185">
        <v>7.7402379999999997</v>
      </c>
      <c r="I4185">
        <v>199.81059999999999</v>
      </c>
      <c r="J4185">
        <v>-403.80779999999999</v>
      </c>
      <c r="K4185">
        <v>1.110436</v>
      </c>
      <c r="L4185">
        <v>213.66249999999999</v>
      </c>
      <c r="M4185">
        <v>0.99995389999999995</v>
      </c>
      <c r="N4185">
        <v>-9.6003500000000005E-3</v>
      </c>
      <c r="O4185" s="1">
        <v>9.5902800000000006E-5</v>
      </c>
      <c r="P4185">
        <v>0.98549129999999996</v>
      </c>
      <c r="Q4185">
        <v>0.14403659999999999</v>
      </c>
      <c r="R4185">
        <v>8.9780520000000003E-2</v>
      </c>
      <c r="S4185">
        <v>3.0515750000000001</v>
      </c>
      <c r="T4185">
        <v>0.16471279999999999</v>
      </c>
      <c r="U4185">
        <v>-0.34413149999999998</v>
      </c>
      <c r="V4185">
        <v>-8.9890230000000002E-2</v>
      </c>
      <c r="W4185">
        <v>0.15337190000000001</v>
      </c>
      <c r="X4185">
        <v>0.98407160000000005</v>
      </c>
      <c r="Y4185">
        <v>0.1120245</v>
      </c>
      <c r="Z4185">
        <v>2.4779210000000001E-3</v>
      </c>
      <c r="AA4185">
        <v>0.99370239999999999</v>
      </c>
      <c r="AB4185">
        <v>35</v>
      </c>
      <c r="AC4185">
        <v>122.4876</v>
      </c>
      <c r="AD4185">
        <v>6.6298019999999998</v>
      </c>
      <c r="AE4185">
        <v>-13.851900000000001</v>
      </c>
      <c r="AF4185">
        <v>13.8236601841839</v>
      </c>
      <c r="AG4185">
        <v>6.6298019999999998</v>
      </c>
      <c r="AH4185">
        <v>122.132981320745</v>
      </c>
      <c r="AI4185">
        <v>86.912511181592805</v>
      </c>
      <c r="AJ4185">
        <v>83.5424412128028</v>
      </c>
      <c r="AK4185">
        <v>123.09148216566599</v>
      </c>
      <c r="AL4185">
        <v>81.177616489360702</v>
      </c>
      <c r="AM4185">
        <v>95.219211072790102</v>
      </c>
      <c r="AN4185">
        <v>1.00000005354281</v>
      </c>
    </row>
    <row r="4186" spans="1:40" x14ac:dyDescent="0.25">
      <c r="A4186" t="str">
        <f>"20190304154836863"</f>
        <v>20190304154836863</v>
      </c>
      <c r="B4186" t="str">
        <f>"1551685716850820"</f>
        <v>1551685716850820</v>
      </c>
      <c r="C4186" t="s">
        <v>40</v>
      </c>
      <c r="D4186">
        <v>4.2342259999999996</v>
      </c>
      <c r="E4186">
        <v>0.57350049999999997</v>
      </c>
      <c r="F4186" t="s">
        <v>70</v>
      </c>
      <c r="G4186">
        <v>-168.42080000000001</v>
      </c>
      <c r="H4186">
        <v>12.59531</v>
      </c>
      <c r="I4186">
        <v>188.04939999999999</v>
      </c>
      <c r="J4186">
        <v>-403.47800000000001</v>
      </c>
      <c r="K4186">
        <v>1.110439</v>
      </c>
      <c r="L4186">
        <v>213.66300000000001</v>
      </c>
      <c r="M4186">
        <v>0.99995369999999995</v>
      </c>
      <c r="N4186">
        <v>-9.6062939999999996E-3</v>
      </c>
      <c r="O4186">
        <v>6.6338759999999997E-4</v>
      </c>
      <c r="P4186">
        <v>0.98549520000000002</v>
      </c>
      <c r="Q4186">
        <v>0.14398150000000001</v>
      </c>
      <c r="R4186">
        <v>8.9826290000000003E-2</v>
      </c>
      <c r="S4186">
        <v>3.052673</v>
      </c>
      <c r="T4186">
        <v>0.14894470000000001</v>
      </c>
      <c r="U4186">
        <v>-0.33216859999999998</v>
      </c>
      <c r="V4186">
        <v>-8.9377079999999998E-2</v>
      </c>
      <c r="W4186">
        <v>0.15332279999999901</v>
      </c>
      <c r="X4186">
        <v>0.9841259</v>
      </c>
      <c r="Y4186">
        <v>0.1087298</v>
      </c>
      <c r="Z4186">
        <v>2.157749E-3</v>
      </c>
      <c r="AA4186">
        <v>0.99406899999999998</v>
      </c>
      <c r="AB4186">
        <v>35</v>
      </c>
      <c r="AC4186">
        <v>235.05719999999999</v>
      </c>
      <c r="AD4186">
        <v>11.484871</v>
      </c>
      <c r="AE4186">
        <v>-25.613599999999899</v>
      </c>
      <c r="AF4186">
        <v>25.708881238178801</v>
      </c>
      <c r="AG4186">
        <v>11.484871</v>
      </c>
      <c r="AH4186">
        <v>234.48693637778899</v>
      </c>
      <c r="AI4186">
        <v>87.212642935344107</v>
      </c>
      <c r="AJ4186">
        <v>83.743146527403695</v>
      </c>
      <c r="AK4186">
        <v>236.17148889789101</v>
      </c>
      <c r="AL4186">
        <v>81.180462599059496</v>
      </c>
      <c r="AM4186">
        <v>95.189294904974801</v>
      </c>
      <c r="AN4186">
        <v>0.99999996523998702</v>
      </c>
    </row>
    <row r="4187" spans="1:40" x14ac:dyDescent="0.25">
      <c r="A4187" t="str">
        <f>"20190304154836885"</f>
        <v>20190304154836885</v>
      </c>
      <c r="B4187" t="str">
        <f>"1551685716881076"</f>
        <v>1551685716881076</v>
      </c>
      <c r="C4187" t="s">
        <v>40</v>
      </c>
      <c r="D4187">
        <v>4.1904949999999896</v>
      </c>
      <c r="E4187">
        <v>0.55559269999999905</v>
      </c>
      <c r="F4187" t="s">
        <v>70</v>
      </c>
      <c r="G4187">
        <v>-168.42019999999999</v>
      </c>
      <c r="H4187">
        <v>11.70783</v>
      </c>
      <c r="I4187">
        <v>188.75450000000001</v>
      </c>
      <c r="J4187">
        <v>-403.12220000000002</v>
      </c>
      <c r="K4187">
        <v>1.110439</v>
      </c>
      <c r="L4187">
        <v>213.66380000000001</v>
      </c>
      <c r="M4187">
        <v>0.99995299999999998</v>
      </c>
      <c r="N4187">
        <v>-9.6126700000000002E-3</v>
      </c>
      <c r="O4187">
        <v>1.275689E-3</v>
      </c>
      <c r="P4187">
        <v>0.98544980000000004</v>
      </c>
      <c r="Q4187">
        <v>0.14414150000000001</v>
      </c>
      <c r="R4187">
        <v>9.0067880000000003E-2</v>
      </c>
      <c r="S4187">
        <v>3.0535580000000002</v>
      </c>
      <c r="T4187">
        <v>0.1376677</v>
      </c>
      <c r="U4187">
        <v>-0.32357789999999997</v>
      </c>
      <c r="V4187">
        <v>-8.9016230000000002E-2</v>
      </c>
      <c r="W4187">
        <v>0.15348919999999999</v>
      </c>
      <c r="X4187">
        <v>0.98413269999999997</v>
      </c>
      <c r="Y4187">
        <v>0.1065601</v>
      </c>
      <c r="Z4187">
        <v>1.949924E-3</v>
      </c>
      <c r="AA4187">
        <v>0.99430439999999998</v>
      </c>
      <c r="AB4187">
        <v>35</v>
      </c>
      <c r="AC4187">
        <v>234.702</v>
      </c>
      <c r="AD4187">
        <v>10.597391</v>
      </c>
      <c r="AE4187">
        <v>-24.909300000000002</v>
      </c>
      <c r="AF4187">
        <v>25.157980743593502</v>
      </c>
      <c r="AG4187">
        <v>10.597391</v>
      </c>
      <c r="AH4187">
        <v>234.197877991013</v>
      </c>
      <c r="AI4187">
        <v>87.423949063742199</v>
      </c>
      <c r="AJ4187">
        <v>83.868690444969005</v>
      </c>
      <c r="AK4187">
        <v>235.78353366296699</v>
      </c>
      <c r="AL4187">
        <v>81.170814664153994</v>
      </c>
      <c r="AM4187">
        <v>95.168421886021903</v>
      </c>
      <c r="AN4187">
        <v>0.99999999746467105</v>
      </c>
    </row>
    <row r="4188" spans="1:40" x14ac:dyDescent="0.25">
      <c r="A4188" t="str">
        <f>"20190304154836899"</f>
        <v>20190304154836899</v>
      </c>
      <c r="B4188" t="str">
        <f>"1551685716890836"</f>
        <v>1551685716890836</v>
      </c>
      <c r="C4188" t="s">
        <v>40</v>
      </c>
      <c r="D4188">
        <v>4.0860779999999997</v>
      </c>
      <c r="E4188">
        <v>0.55827059999999995</v>
      </c>
      <c r="F4188" t="s">
        <v>60</v>
      </c>
      <c r="G4188">
        <v>-350.99439999999998</v>
      </c>
      <c r="H4188" s="1">
        <v>-8.2767589999999996E-7</v>
      </c>
      <c r="I4188">
        <v>210.49950000000001</v>
      </c>
      <c r="J4188">
        <v>-402.89819999999997</v>
      </c>
      <c r="K4188">
        <v>1.1104480000000001</v>
      </c>
      <c r="L4188">
        <v>213.6645</v>
      </c>
      <c r="M4188">
        <v>0.99995239999999996</v>
      </c>
      <c r="N4188">
        <v>-9.616632E-3</v>
      </c>
      <c r="O4188">
        <v>1.6613190000000001E-3</v>
      </c>
      <c r="P4188">
        <v>0.98539270000000001</v>
      </c>
      <c r="Q4188">
        <v>0.1442976</v>
      </c>
      <c r="R4188">
        <v>9.0442679999999998E-2</v>
      </c>
      <c r="S4188">
        <v>3.0708920000000002</v>
      </c>
      <c r="T4188">
        <v>-6.5416929999999998E-2</v>
      </c>
      <c r="U4188">
        <v>-0.18641659999999999</v>
      </c>
      <c r="V4188">
        <v>-8.901212E-2</v>
      </c>
      <c r="W4188">
        <v>0.1536489</v>
      </c>
      <c r="X4188">
        <v>0.98410819999999999</v>
      </c>
      <c r="Y4188">
        <v>6.2230559999999997E-2</v>
      </c>
      <c r="Z4188">
        <v>-9.810896999999999E-4</v>
      </c>
      <c r="AA4188">
        <v>0.99806130000000004</v>
      </c>
      <c r="AB4188">
        <v>35</v>
      </c>
      <c r="AC4188">
        <v>51.903799999999897</v>
      </c>
      <c r="AD4188">
        <v>-1.1104488276758999</v>
      </c>
      <c r="AE4188">
        <v>-3.1649999999999898</v>
      </c>
      <c r="AF4188">
        <v>3.24974642696843</v>
      </c>
      <c r="AG4188">
        <v>-1.1104488276758999</v>
      </c>
      <c r="AH4188">
        <v>51.874813930648699</v>
      </c>
      <c r="AI4188">
        <v>91.223905926237805</v>
      </c>
      <c r="AJ4188">
        <v>86.415336550108805</v>
      </c>
      <c r="AK4188">
        <v>51.988366667725899</v>
      </c>
      <c r="AL4188">
        <v>81.161555114742896</v>
      </c>
      <c r="AM4188">
        <v>95.168312513747694</v>
      </c>
      <c r="AN4188">
        <v>1.0000000456426701</v>
      </c>
    </row>
    <row r="4189" spans="1:40" x14ac:dyDescent="0.25">
      <c r="A4189" t="str">
        <f>"20190304154836920"</f>
        <v>20190304154836920</v>
      </c>
      <c r="B4189" t="str">
        <f>"1551685716911332"</f>
        <v>1551685716911332</v>
      </c>
      <c r="C4189" t="s">
        <v>40</v>
      </c>
      <c r="D4189">
        <v>4.0556669999999997</v>
      </c>
      <c r="E4189">
        <v>0.55963649999999998</v>
      </c>
      <c r="F4189" t="s">
        <v>60</v>
      </c>
      <c r="G4189">
        <v>-364.28919999999999</v>
      </c>
      <c r="H4189" s="1">
        <v>7.456833E-7</v>
      </c>
      <c r="I4189">
        <v>211.0634</v>
      </c>
      <c r="J4189">
        <v>-402.56920000000002</v>
      </c>
      <c r="K4189">
        <v>1.1104499999999999</v>
      </c>
      <c r="L4189">
        <v>213.66550000000001</v>
      </c>
      <c r="M4189">
        <v>0.99995120000000004</v>
      </c>
      <c r="N4189">
        <v>-9.6223669999999997E-3</v>
      </c>
      <c r="O4189">
        <v>2.2273660000000002E-3</v>
      </c>
      <c r="P4189">
        <v>0.98533769999999998</v>
      </c>
      <c r="Q4189">
        <v>0.14415120000000001</v>
      </c>
      <c r="R4189">
        <v>9.1269580000000003E-2</v>
      </c>
      <c r="S4189">
        <v>3.0764770000000001</v>
      </c>
      <c r="T4189">
        <v>-8.8483450000000005E-2</v>
      </c>
      <c r="U4189">
        <v>-0.2072601</v>
      </c>
      <c r="V4189">
        <v>-8.9282039999999993E-2</v>
      </c>
      <c r="W4189">
        <v>0.15350800000000001</v>
      </c>
      <c r="X4189">
        <v>0.98410569999999997</v>
      </c>
      <c r="Y4189">
        <v>6.9400649999999994E-2</v>
      </c>
      <c r="Z4189">
        <v>-1.37364E-3</v>
      </c>
      <c r="AA4189">
        <v>0.99758789999999997</v>
      </c>
      <c r="AB4189">
        <v>35</v>
      </c>
      <c r="AC4189">
        <v>38.28</v>
      </c>
      <c r="AD4189">
        <v>-1.1104492543166999</v>
      </c>
      <c r="AE4189">
        <v>-2.6021000000000001</v>
      </c>
      <c r="AF4189">
        <v>2.68511193827942</v>
      </c>
      <c r="AG4189">
        <v>-1.1104492543166999</v>
      </c>
      <c r="AH4189">
        <v>38.242076282181003</v>
      </c>
      <c r="AI4189">
        <v>91.659168807117894</v>
      </c>
      <c r="AJ4189">
        <v>85.983651383877898</v>
      </c>
      <c r="AK4189">
        <v>38.352305302806101</v>
      </c>
      <c r="AL4189">
        <v>81.169724685281906</v>
      </c>
      <c r="AM4189">
        <v>95.183912720726397</v>
      </c>
      <c r="AN4189">
        <v>1.00000000875152</v>
      </c>
    </row>
    <row r="4190" spans="1:40" x14ac:dyDescent="0.25">
      <c r="A4190" t="str">
        <f>"20190304154836944"</f>
        <v>20190304154836944</v>
      </c>
      <c r="B4190" t="str">
        <f>"1551685716940612"</f>
        <v>1551685716940612</v>
      </c>
      <c r="C4190" t="s">
        <v>40</v>
      </c>
      <c r="D4190">
        <v>4.4098579999999998</v>
      </c>
      <c r="E4190">
        <v>0.56110090000000001</v>
      </c>
      <c r="F4190" t="s">
        <v>60</v>
      </c>
      <c r="G4190">
        <v>-372.00670000000002</v>
      </c>
      <c r="H4190" s="1">
        <v>-4.6889989999999998E-7</v>
      </c>
      <c r="I4190">
        <v>211.5172</v>
      </c>
      <c r="J4190">
        <v>-402.2072</v>
      </c>
      <c r="K4190">
        <v>1.1104560000000001</v>
      </c>
      <c r="L4190">
        <v>213.6669</v>
      </c>
      <c r="M4190">
        <v>0.99994970000000005</v>
      </c>
      <c r="N4190">
        <v>-9.6286140000000006E-3</v>
      </c>
      <c r="O4190">
        <v>2.8494990000000001E-3</v>
      </c>
      <c r="P4190">
        <v>0.9851972</v>
      </c>
      <c r="Q4190">
        <v>0.14454159999999999</v>
      </c>
      <c r="R4190">
        <v>9.2164259999999998E-2</v>
      </c>
      <c r="S4190">
        <v>3.0810849999999999</v>
      </c>
      <c r="T4190">
        <v>-0.111947699999999</v>
      </c>
      <c r="U4190">
        <v>-0.21658330000000001</v>
      </c>
      <c r="V4190">
        <v>-8.9564589999999999E-2</v>
      </c>
      <c r="W4190">
        <v>0.15390239999999999</v>
      </c>
      <c r="X4190">
        <v>0.98401839999999996</v>
      </c>
      <c r="Y4190">
        <v>7.2902149999999999E-2</v>
      </c>
      <c r="Z4190">
        <v>-1.749879E-3</v>
      </c>
      <c r="AA4190">
        <v>0.99733760000000005</v>
      </c>
      <c r="AB4190">
        <v>35</v>
      </c>
      <c r="AC4190">
        <v>30.200499999999899</v>
      </c>
      <c r="AD4190">
        <v>-1.1104564688998999</v>
      </c>
      <c r="AE4190">
        <v>-2.14969999999999</v>
      </c>
      <c r="AF4190">
        <v>2.2327481010258001</v>
      </c>
      <c r="AG4190">
        <v>-1.1104564688998999</v>
      </c>
      <c r="AH4190">
        <v>30.153689433997201</v>
      </c>
      <c r="AI4190">
        <v>92.103300166054296</v>
      </c>
      <c r="AJ4190">
        <v>85.765227604668496</v>
      </c>
      <c r="AK4190">
        <v>30.2566234754295</v>
      </c>
      <c r="AL4190">
        <v>81.146855284284399</v>
      </c>
      <c r="AM4190">
        <v>95.200687216675306</v>
      </c>
      <c r="AN4190">
        <v>0.99999998802309398</v>
      </c>
    </row>
    <row r="4191" spans="1:40" x14ac:dyDescent="0.25">
      <c r="A4191" t="str">
        <f>"20190304154836965"</f>
        <v>20190304154836965</v>
      </c>
      <c r="B4191" t="str">
        <f>"1551685716961108"</f>
        <v>1551685716961108</v>
      </c>
      <c r="C4191" t="s">
        <v>40</v>
      </c>
      <c r="D4191">
        <v>4.6419889999999997</v>
      </c>
      <c r="E4191">
        <v>0.57018789999999997</v>
      </c>
      <c r="F4191" t="s">
        <v>60</v>
      </c>
      <c r="G4191">
        <v>-374.82319999999999</v>
      </c>
      <c r="H4191" s="1">
        <v>1.0298559999999999E-6</v>
      </c>
      <c r="I4191">
        <v>211.6626</v>
      </c>
      <c r="J4191">
        <v>-401.85359999999997</v>
      </c>
      <c r="K4191">
        <v>1.1104579999999999</v>
      </c>
      <c r="L4191">
        <v>213.66849999999999</v>
      </c>
      <c r="M4191">
        <v>0.99994760000000005</v>
      </c>
      <c r="N4191">
        <v>-9.6374879999999996E-3</v>
      </c>
      <c r="O4191">
        <v>3.457552E-3</v>
      </c>
      <c r="P4191">
        <v>0.98527240000000005</v>
      </c>
      <c r="Q4191">
        <v>0.14373469999999999</v>
      </c>
      <c r="R4191">
        <v>9.2620839999999996E-2</v>
      </c>
      <c r="S4191">
        <v>3.0845340000000001</v>
      </c>
      <c r="T4191">
        <v>-0.12508130000000001</v>
      </c>
      <c r="U4191">
        <v>-0.225769</v>
      </c>
      <c r="V4191">
        <v>-8.9421879999999995E-2</v>
      </c>
      <c r="W4191">
        <v>0.15310560000000001</v>
      </c>
      <c r="X4191">
        <v>0.98415569999999997</v>
      </c>
      <c r="Y4191">
        <v>7.6367679999999993E-2</v>
      </c>
      <c r="Z4191">
        <v>-2.0210800000000002E-3</v>
      </c>
      <c r="AA4191">
        <v>0.99707769999999996</v>
      </c>
      <c r="AB4191">
        <v>35</v>
      </c>
      <c r="AC4191">
        <v>27.030399999999901</v>
      </c>
      <c r="AD4191">
        <v>-1.1104569701439999</v>
      </c>
      <c r="AE4191">
        <v>-2.0058999999999898</v>
      </c>
      <c r="AF4191">
        <v>2.0958335687332501</v>
      </c>
      <c r="AG4191">
        <v>-1.1104569701439999</v>
      </c>
      <c r="AH4191">
        <v>26.978020806316099</v>
      </c>
      <c r="AI4191">
        <v>92.349979458961002</v>
      </c>
      <c r="AJ4191">
        <v>85.557801843319297</v>
      </c>
      <c r="AK4191">
        <v>27.0820833699403</v>
      </c>
      <c r="AL4191">
        <v>81.193056414927398</v>
      </c>
      <c r="AM4191">
        <v>95.191725462154096</v>
      </c>
      <c r="AN4191">
        <v>1.0000000196082901</v>
      </c>
    </row>
    <row r="4192" spans="1:40" x14ac:dyDescent="0.25">
      <c r="A4192" t="str">
        <f>"20190304154836986"</f>
        <v>20190304154836986</v>
      </c>
      <c r="B4192" t="str">
        <f>"1551685716980629"</f>
        <v>1551685716980629</v>
      </c>
      <c r="C4192" t="s">
        <v>40</v>
      </c>
      <c r="D4192">
        <v>4.4274180000000003</v>
      </c>
      <c r="E4192">
        <v>0.57974969999999904</v>
      </c>
      <c r="F4192" t="s">
        <v>60</v>
      </c>
      <c r="G4192">
        <v>-379.73430000000002</v>
      </c>
      <c r="H4192" s="1">
        <v>3.643343E-6</v>
      </c>
      <c r="I4192">
        <v>211.5487</v>
      </c>
      <c r="J4192">
        <v>-401.52679999999998</v>
      </c>
      <c r="K4192">
        <v>1.1104560000000001</v>
      </c>
      <c r="L4192">
        <v>213.67009999999999</v>
      </c>
      <c r="M4192">
        <v>0.99994550000000004</v>
      </c>
      <c r="N4192">
        <v>-9.6495490000000003E-3</v>
      </c>
      <c r="O4192">
        <v>4.0185610000000004E-3</v>
      </c>
      <c r="P4192">
        <v>0.98531310000000005</v>
      </c>
      <c r="Q4192">
        <v>0.14297319999999999</v>
      </c>
      <c r="R4192">
        <v>9.3366299999999999E-2</v>
      </c>
      <c r="S4192">
        <v>3.0953979999999999</v>
      </c>
      <c r="T4192">
        <v>-0.1553986</v>
      </c>
      <c r="U4192">
        <v>-0.29664610000000002</v>
      </c>
      <c r="V4192">
        <v>-8.9613070000000003E-2</v>
      </c>
      <c r="W4192">
        <v>0.15235589999999999</v>
      </c>
      <c r="X4192">
        <v>0.98425469999999904</v>
      </c>
      <c r="Y4192">
        <v>9.9245990000000006E-2</v>
      </c>
      <c r="Z4192">
        <v>-3.1267809999999999E-3</v>
      </c>
      <c r="AA4192">
        <v>0.995058</v>
      </c>
      <c r="AB4192">
        <v>35</v>
      </c>
      <c r="AC4192">
        <v>21.792499999999901</v>
      </c>
      <c r="AD4192">
        <v>-1.1104523566569999</v>
      </c>
      <c r="AE4192">
        <v>-2.1213999999999902</v>
      </c>
      <c r="AF4192">
        <v>2.20329430831986</v>
      </c>
      <c r="AG4192">
        <v>-1.1104523566569999</v>
      </c>
      <c r="AH4192">
        <v>21.727912049832899</v>
      </c>
      <c r="AI4192">
        <v>92.910779112159403</v>
      </c>
      <c r="AJ4192">
        <v>84.209778708255399</v>
      </c>
      <c r="AK4192">
        <v>21.8675506696739</v>
      </c>
      <c r="AL4192">
        <v>81.236521426657802</v>
      </c>
      <c r="AM4192">
        <v>95.202244424794898</v>
      </c>
      <c r="AN4192">
        <v>1.0000000685258501</v>
      </c>
    </row>
    <row r="4193" spans="1:40" x14ac:dyDescent="0.25">
      <c r="A4193" t="str">
        <f>"20190304154837010"</f>
        <v>20190304154837010</v>
      </c>
      <c r="B4193" t="str">
        <f>"1551685717001124"</f>
        <v>1551685717001124</v>
      </c>
      <c r="C4193" t="s">
        <v>40</v>
      </c>
      <c r="D4193">
        <v>4.3739290000000004</v>
      </c>
      <c r="E4193">
        <v>0.58435719999999902</v>
      </c>
      <c r="F4193" t="s">
        <v>60</v>
      </c>
      <c r="G4193">
        <v>-383.3929</v>
      </c>
      <c r="H4193" s="1">
        <v>4.0500489999999997E-7</v>
      </c>
      <c r="I4193">
        <v>211.49860000000001</v>
      </c>
      <c r="J4193">
        <v>-401.14920000000001</v>
      </c>
      <c r="K4193">
        <v>1.1104620000000001</v>
      </c>
      <c r="L4193">
        <v>213.67230000000001</v>
      </c>
      <c r="M4193">
        <v>0.99994240000000001</v>
      </c>
      <c r="N4193">
        <v>-9.6691680000000006E-3</v>
      </c>
      <c r="O4193">
        <v>4.6639289999999998E-3</v>
      </c>
      <c r="P4193">
        <v>0.98527039999999999</v>
      </c>
      <c r="Q4193">
        <v>0.14268259999999999</v>
      </c>
      <c r="R4193">
        <v>9.4254779999999996E-2</v>
      </c>
      <c r="S4193">
        <v>3.1076350000000001</v>
      </c>
      <c r="T4193">
        <v>-0.1903002</v>
      </c>
      <c r="U4193">
        <v>-0.3721313</v>
      </c>
      <c r="V4193">
        <v>-8.9865150000000005E-2</v>
      </c>
      <c r="W4193">
        <v>0.15208440000000001</v>
      </c>
      <c r="X4193">
        <v>0.98427359999999997</v>
      </c>
      <c r="Y4193">
        <v>0.12325759999999999</v>
      </c>
      <c r="Z4193">
        <v>-4.5951209999999998E-3</v>
      </c>
      <c r="AA4193">
        <v>0.99236400000000002</v>
      </c>
      <c r="AB4193">
        <v>35</v>
      </c>
      <c r="AC4193">
        <v>17.7563</v>
      </c>
      <c r="AD4193">
        <v>-1.1104615949951</v>
      </c>
      <c r="AE4193">
        <v>-2.17369999999999</v>
      </c>
      <c r="AF4193">
        <v>2.2478325927018501</v>
      </c>
      <c r="AG4193">
        <v>-1.1104615949951</v>
      </c>
      <c r="AH4193">
        <v>17.677848916626299</v>
      </c>
      <c r="AI4193">
        <v>93.565764861471095</v>
      </c>
      <c r="AJ4193">
        <v>82.7534250162375</v>
      </c>
      <c r="AK4193">
        <v>17.854753390563499</v>
      </c>
      <c r="AL4193">
        <v>81.252259730332298</v>
      </c>
      <c r="AM4193">
        <v>95.216697995783207</v>
      </c>
      <c r="AN4193">
        <v>0.99999996478242004</v>
      </c>
    </row>
    <row r="4194" spans="1:40" x14ac:dyDescent="0.25">
      <c r="A4194" t="str">
        <f>"20190304154837032"</f>
        <v>20190304154837032</v>
      </c>
      <c r="B4194" t="str">
        <f>"1551685717020645"</f>
        <v>1551685717020645</v>
      </c>
      <c r="C4194" t="s">
        <v>40</v>
      </c>
      <c r="D4194">
        <v>4.4688790000000003</v>
      </c>
      <c r="E4194">
        <v>0.58759430000000001</v>
      </c>
      <c r="F4194" t="s">
        <v>60</v>
      </c>
      <c r="G4194">
        <v>-385.17259999999999</v>
      </c>
      <c r="H4194" s="1">
        <v>1.348259E-6</v>
      </c>
      <c r="I4194">
        <v>211.5866</v>
      </c>
      <c r="J4194">
        <v>-400.81389999999999</v>
      </c>
      <c r="K4194">
        <v>1.1104609999999999</v>
      </c>
      <c r="L4194">
        <v>213.67439999999999</v>
      </c>
      <c r="M4194">
        <v>0.99993940000000003</v>
      </c>
      <c r="N4194">
        <v>-9.6905459999999995E-3</v>
      </c>
      <c r="O4194">
        <v>5.2322039999999998E-3</v>
      </c>
      <c r="P4194">
        <v>0.98517489999999996</v>
      </c>
      <c r="Q4194">
        <v>0.14296689999999901</v>
      </c>
      <c r="R4194">
        <v>9.4821199999999994E-2</v>
      </c>
      <c r="S4194">
        <v>3.1151119999999999</v>
      </c>
      <c r="T4194">
        <v>-0.21651719999999999</v>
      </c>
      <c r="U4194">
        <v>-0.40666200000000002</v>
      </c>
      <c r="V4194">
        <v>-8.9872129999999995E-2</v>
      </c>
      <c r="W4194">
        <v>0.15238979999999999</v>
      </c>
      <c r="X4194">
        <v>0.98422569999999998</v>
      </c>
      <c r="Y4194">
        <v>0.134260299999999</v>
      </c>
      <c r="Z4194">
        <v>-5.6061389999999996E-3</v>
      </c>
      <c r="AA4194">
        <v>0.99093030000000004</v>
      </c>
      <c r="AB4194">
        <v>35</v>
      </c>
      <c r="AC4194">
        <v>15.641299999999999</v>
      </c>
      <c r="AD4194">
        <v>-1.1104596517409999</v>
      </c>
      <c r="AE4194">
        <v>-2.0877999999999801</v>
      </c>
      <c r="AF4194">
        <v>2.1589225109622299</v>
      </c>
      <c r="AG4194">
        <v>-1.1104596517409999</v>
      </c>
      <c r="AH4194">
        <v>15.553140720539901</v>
      </c>
      <c r="AI4194">
        <v>94.045206184917305</v>
      </c>
      <c r="AJ4194">
        <v>82.097304160077897</v>
      </c>
      <c r="AK4194">
        <v>15.7414819289482</v>
      </c>
      <c r="AL4194">
        <v>81.234555013558904</v>
      </c>
      <c r="AM4194">
        <v>95.217353454032093</v>
      </c>
      <c r="AN4194">
        <v>0.99999993971763101</v>
      </c>
    </row>
    <row r="4195" spans="1:40" x14ac:dyDescent="0.25">
      <c r="A4195" t="str">
        <f>"20190304154837053"</f>
        <v>20190304154837053</v>
      </c>
      <c r="B4195" t="str">
        <f>"1551685717050900"</f>
        <v>1551685717050900</v>
      </c>
      <c r="C4195" t="s">
        <v>40</v>
      </c>
      <c r="D4195">
        <v>4.1521059999999999</v>
      </c>
      <c r="E4195">
        <v>0.59585049999999995</v>
      </c>
      <c r="F4195" t="s">
        <v>41</v>
      </c>
      <c r="G4195">
        <v>-399.76729999999998</v>
      </c>
      <c r="H4195">
        <v>1.032745</v>
      </c>
      <c r="I4195">
        <v>213.52940000000001</v>
      </c>
      <c r="J4195">
        <v>-400.46319999999997</v>
      </c>
      <c r="K4195">
        <v>1.110457</v>
      </c>
      <c r="L4195">
        <v>213.67679999999999</v>
      </c>
      <c r="M4195">
        <v>0.99993589999999999</v>
      </c>
      <c r="N4195">
        <v>-9.7139500000000007E-3</v>
      </c>
      <c r="O4195">
        <v>5.8174280000000004E-3</v>
      </c>
      <c r="P4195">
        <v>0.98513439999999997</v>
      </c>
      <c r="Q4195">
        <v>0.14256070000000001</v>
      </c>
      <c r="R4195">
        <v>9.5846780000000006E-2</v>
      </c>
      <c r="S4195">
        <v>3.1202999999999999</v>
      </c>
      <c r="T4195">
        <v>-0.2318914</v>
      </c>
      <c r="U4195">
        <v>-0.43089290000000002</v>
      </c>
      <c r="V4195">
        <v>-9.0318659999999995E-2</v>
      </c>
      <c r="W4195">
        <v>0.15200710000000001</v>
      </c>
      <c r="X4195">
        <v>0.98424400000000001</v>
      </c>
      <c r="Y4195">
        <v>0.14210829999999999</v>
      </c>
      <c r="Z4195">
        <v>-6.3165850000000004E-3</v>
      </c>
      <c r="AA4195">
        <v>0.98983100000000002</v>
      </c>
      <c r="AB4195">
        <v>36</v>
      </c>
      <c r="AC4195">
        <v>0.69589999999999397</v>
      </c>
      <c r="AD4195">
        <v>-7.7712000000000003E-2</v>
      </c>
      <c r="AE4195">
        <v>-0.14739999999997599</v>
      </c>
      <c r="AF4195">
        <v>0.149659853655738</v>
      </c>
      <c r="AG4195">
        <v>-7.7712000000000003E-2</v>
      </c>
      <c r="AH4195">
        <v>0.68683333493535403</v>
      </c>
      <c r="AI4195">
        <v>96.308507022463999</v>
      </c>
      <c r="AJ4195">
        <v>77.707488350859606</v>
      </c>
      <c r="AK4195">
        <v>0.70723210950767501</v>
      </c>
      <c r="AL4195">
        <v>81.256740532545706</v>
      </c>
      <c r="AM4195">
        <v>95.243034830093293</v>
      </c>
      <c r="AN4195">
        <v>0.99999993516529995</v>
      </c>
    </row>
    <row r="4196" spans="1:40" x14ac:dyDescent="0.25">
      <c r="A4196" t="str">
        <f>"20190304154837076"</f>
        <v>20190304154837076</v>
      </c>
      <c r="B4196" t="str">
        <f>"1551685717071397"</f>
        <v>1551685717071397</v>
      </c>
      <c r="C4196" t="s">
        <v>40</v>
      </c>
      <c r="D4196">
        <v>4.4681230000000003</v>
      </c>
      <c r="E4196">
        <v>0.60114369999999995</v>
      </c>
      <c r="F4196" t="s">
        <v>41</v>
      </c>
      <c r="G4196">
        <v>-399.44069999999999</v>
      </c>
      <c r="H4196">
        <v>1.0294049999999999</v>
      </c>
      <c r="I4196">
        <v>213.51509999999999</v>
      </c>
      <c r="J4196">
        <v>-400.10489999999999</v>
      </c>
      <c r="K4196">
        <v>1.1104529999999999</v>
      </c>
      <c r="L4196">
        <v>213.67949999999999</v>
      </c>
      <c r="M4196">
        <v>0.99993220000000005</v>
      </c>
      <c r="N4196">
        <v>-9.738254E-3</v>
      </c>
      <c r="O4196">
        <v>6.406325E-3</v>
      </c>
      <c r="P4196">
        <v>0.98511669999999996</v>
      </c>
      <c r="Q4196">
        <v>0.142213899999999</v>
      </c>
      <c r="R4196">
        <v>9.6544290000000005E-2</v>
      </c>
      <c r="S4196">
        <v>3.1293030000000002</v>
      </c>
      <c r="T4196">
        <v>-0.24809870000000001</v>
      </c>
      <c r="U4196">
        <v>-0.49412539999999999</v>
      </c>
      <c r="V4196">
        <v>-9.0433940000000004E-2</v>
      </c>
      <c r="W4196">
        <v>0.15168619999999999</v>
      </c>
      <c r="X4196">
        <v>0.98428300000000002</v>
      </c>
      <c r="Y4196">
        <v>0.1617227</v>
      </c>
      <c r="Z4196">
        <v>-7.5974399999999996E-3</v>
      </c>
      <c r="AA4196">
        <v>0.98680699999999999</v>
      </c>
      <c r="AB4196">
        <v>36</v>
      </c>
      <c r="AC4196">
        <v>0.66419999999999302</v>
      </c>
      <c r="AD4196">
        <v>-8.1048000000000203E-2</v>
      </c>
      <c r="AE4196">
        <v>-0.16439999999999999</v>
      </c>
      <c r="AF4196">
        <v>0.16631842997552701</v>
      </c>
      <c r="AG4196">
        <v>-8.1048000000000203E-2</v>
      </c>
      <c r="AH4196">
        <v>0.65395796793039895</v>
      </c>
      <c r="AI4196">
        <v>96.849039751149704</v>
      </c>
      <c r="AJ4196">
        <v>75.730720504322903</v>
      </c>
      <c r="AK4196">
        <v>0.67962609004744701</v>
      </c>
      <c r="AL4196">
        <v>81.275343135585302</v>
      </c>
      <c r="AM4196">
        <v>95.249482668985607</v>
      </c>
      <c r="AN4196">
        <v>1.0000000124316799</v>
      </c>
    </row>
    <row r="4197" spans="1:40" x14ac:dyDescent="0.25">
      <c r="A4197" t="str">
        <f>"20190304154837098"</f>
        <v>20190304154837098</v>
      </c>
      <c r="B4197" t="str">
        <f>"1551685717090916"</f>
        <v>1551685717090916</v>
      </c>
      <c r="C4197" t="s">
        <v>40</v>
      </c>
      <c r="D4197">
        <v>4.4896560000000001</v>
      </c>
      <c r="E4197">
        <v>0.60344219999999904</v>
      </c>
      <c r="F4197" t="s">
        <v>60</v>
      </c>
      <c r="G4197">
        <v>-386.4384</v>
      </c>
      <c r="H4197" s="1">
        <v>2.0321509999999999E-6</v>
      </c>
      <c r="I4197">
        <v>211.3501</v>
      </c>
      <c r="J4197">
        <v>-399.74239999999998</v>
      </c>
      <c r="K4197">
        <v>1.110447</v>
      </c>
      <c r="L4197">
        <v>213.6823</v>
      </c>
      <c r="M4197">
        <v>0.99992789999999998</v>
      </c>
      <c r="N4197">
        <v>-9.7664980000000002E-3</v>
      </c>
      <c r="O4197">
        <v>6.9913730000000004E-3</v>
      </c>
      <c r="P4197">
        <v>0.98511360000000003</v>
      </c>
      <c r="Q4197">
        <v>0.14201079999999999</v>
      </c>
      <c r="R4197">
        <v>9.6873630000000002E-2</v>
      </c>
      <c r="S4197">
        <v>3.1344599999999998</v>
      </c>
      <c r="T4197">
        <v>-0.25468410000000002</v>
      </c>
      <c r="U4197">
        <v>-0.53424069999999901</v>
      </c>
      <c r="V4197">
        <v>-9.0183390000000002E-2</v>
      </c>
      <c r="W4197">
        <v>0.1515127</v>
      </c>
      <c r="X4197">
        <v>0.98433269999999995</v>
      </c>
      <c r="Y4197">
        <v>0.17426179999999999</v>
      </c>
      <c r="Z4197">
        <v>-8.3717329999999993E-3</v>
      </c>
      <c r="AA4197">
        <v>0.98466379999999998</v>
      </c>
      <c r="AB4197">
        <v>36</v>
      </c>
      <c r="AC4197">
        <v>13.303999999999901</v>
      </c>
      <c r="AD4197">
        <v>-1.110444967849</v>
      </c>
      <c r="AE4197">
        <v>-2.3321999999999998</v>
      </c>
      <c r="AF4197">
        <v>2.40887896323096</v>
      </c>
      <c r="AG4197">
        <v>-1.110444967849</v>
      </c>
      <c r="AH4197">
        <v>13.198161952746799</v>
      </c>
      <c r="AI4197">
        <v>94.7315304045094</v>
      </c>
      <c r="AJ4197">
        <v>79.656442081998406</v>
      </c>
      <c r="AK4197">
        <v>13.462067627859</v>
      </c>
      <c r="AL4197">
        <v>81.285400111430604</v>
      </c>
      <c r="AM4197">
        <v>95.234756882587504</v>
      </c>
      <c r="AN4197">
        <v>1.0000000031912299</v>
      </c>
    </row>
    <row r="4198" spans="1:40" x14ac:dyDescent="0.25">
      <c r="A4198" t="str">
        <f>"20190304154837123"</f>
        <v>20190304154837123</v>
      </c>
      <c r="B4198" t="str">
        <f>"1551685717111412"</f>
        <v>1551685717111412</v>
      </c>
      <c r="C4198" t="s">
        <v>40</v>
      </c>
      <c r="D4198">
        <v>4.4794109999999998</v>
      </c>
      <c r="E4198">
        <v>0.6049776</v>
      </c>
      <c r="F4198" t="s">
        <v>60</v>
      </c>
      <c r="G4198">
        <v>-386.58170000000001</v>
      </c>
      <c r="H4198" s="1">
        <v>2.1077379999999999E-6</v>
      </c>
      <c r="I4198">
        <v>211.3665</v>
      </c>
      <c r="J4198">
        <v>-399.3734</v>
      </c>
      <c r="K4198">
        <v>1.1104400000000001</v>
      </c>
      <c r="L4198">
        <v>213.68539999999999</v>
      </c>
      <c r="M4198">
        <v>0.99992329999999996</v>
      </c>
      <c r="N4198">
        <v>-9.7990630000000002E-3</v>
      </c>
      <c r="O4198">
        <v>7.5711340000000002E-3</v>
      </c>
      <c r="P4198">
        <v>0.98501249999999996</v>
      </c>
      <c r="Q4198">
        <v>0.14253750000000001</v>
      </c>
      <c r="R4198">
        <v>9.7126050000000005E-2</v>
      </c>
      <c r="S4198">
        <v>3.137756</v>
      </c>
      <c r="T4198">
        <v>-0.26475080000000001</v>
      </c>
      <c r="U4198">
        <v>-0.55212399999999995</v>
      </c>
      <c r="V4198">
        <v>-8.986247E-2</v>
      </c>
      <c r="W4198">
        <v>0.15207399999999999</v>
      </c>
      <c r="X4198">
        <v>0.98427549999999997</v>
      </c>
      <c r="Y4198">
        <v>0.18003569999999999</v>
      </c>
      <c r="Z4198">
        <v>-8.9743549999999998E-3</v>
      </c>
      <c r="AA4198">
        <v>0.98361920000000003</v>
      </c>
      <c r="AB4198">
        <v>36</v>
      </c>
      <c r="AC4198">
        <v>12.791699999999899</v>
      </c>
      <c r="AD4198">
        <v>-1.110437892262</v>
      </c>
      <c r="AE4198">
        <v>-2.3188999999999802</v>
      </c>
      <c r="AF4198">
        <v>2.3981884949316901</v>
      </c>
      <c r="AG4198">
        <v>-1.110437892262</v>
      </c>
      <c r="AH4198">
        <v>12.6812524222275</v>
      </c>
      <c r="AI4198">
        <v>94.917633464644197</v>
      </c>
      <c r="AJ4198">
        <v>79.291096718241207</v>
      </c>
      <c r="AK4198">
        <v>12.953707707295401</v>
      </c>
      <c r="AL4198">
        <v>81.252863039259395</v>
      </c>
      <c r="AM4198">
        <v>95.216533265118599</v>
      </c>
      <c r="AN4198">
        <v>1.0000000124453701</v>
      </c>
    </row>
    <row r="4199" spans="1:40" x14ac:dyDescent="0.25">
      <c r="A4199" t="str">
        <f>"20190304154837145"</f>
        <v>20190304154837145</v>
      </c>
      <c r="B4199" t="str">
        <f>"1551685717130933"</f>
        <v>1551685717130933</v>
      </c>
      <c r="C4199" t="s">
        <v>40</v>
      </c>
      <c r="D4199">
        <v>4.23353</v>
      </c>
      <c r="E4199">
        <v>0.60831029999999997</v>
      </c>
      <c r="F4199" t="s">
        <v>60</v>
      </c>
      <c r="G4199">
        <v>-386.31540000000001</v>
      </c>
      <c r="H4199" s="1">
        <v>1.9671420000000001E-6</v>
      </c>
      <c r="I4199">
        <v>211.34010000000001</v>
      </c>
      <c r="J4199">
        <v>-399.00549999999998</v>
      </c>
      <c r="K4199">
        <v>1.110436</v>
      </c>
      <c r="L4199">
        <v>213.68879999999999</v>
      </c>
      <c r="M4199">
        <v>0.99991859999999999</v>
      </c>
      <c r="N4199">
        <v>-9.8352730000000003E-3</v>
      </c>
      <c r="O4199">
        <v>8.1310080000000003E-3</v>
      </c>
      <c r="P4199">
        <v>0.9849002</v>
      </c>
      <c r="Q4199">
        <v>0.1430082</v>
      </c>
      <c r="R4199">
        <v>9.7572580000000006E-2</v>
      </c>
      <c r="S4199">
        <v>3.139923</v>
      </c>
      <c r="T4199">
        <v>-0.26701459999999999</v>
      </c>
      <c r="U4199">
        <v>-0.56394960000000005</v>
      </c>
      <c r="V4199">
        <v>-8.9753990000000006E-2</v>
      </c>
      <c r="W4199">
        <v>0.15258260000000001</v>
      </c>
      <c r="X4199">
        <v>0.98420669999999999</v>
      </c>
      <c r="Y4199">
        <v>0.18403249999999999</v>
      </c>
      <c r="Z4199">
        <v>-9.2688200000000005E-3</v>
      </c>
      <c r="AA4199">
        <v>0.98287650000000004</v>
      </c>
      <c r="AB4199">
        <v>36</v>
      </c>
      <c r="AC4199">
        <v>12.6900999999999</v>
      </c>
      <c r="AD4199">
        <v>-1.110434032858</v>
      </c>
      <c r="AE4199">
        <v>-2.34869999999998</v>
      </c>
      <c r="AF4199">
        <v>2.43379244762655</v>
      </c>
      <c r="AG4199">
        <v>-1.110434032858</v>
      </c>
      <c r="AH4199">
        <v>12.577466957224299</v>
      </c>
      <c r="AI4199">
        <v>94.9539972461925</v>
      </c>
      <c r="AJ4199">
        <v>79.048378721502701</v>
      </c>
      <c r="AK4199">
        <v>12.858813494234999</v>
      </c>
      <c r="AL4199">
        <v>81.223378459071199</v>
      </c>
      <c r="AM4199">
        <v>95.210632874769502</v>
      </c>
      <c r="AN4199">
        <v>1.00000002843428</v>
      </c>
    </row>
    <row r="4200" spans="1:40" x14ac:dyDescent="0.25">
      <c r="A4200" t="str">
        <f>"20190304154837168"</f>
        <v>20190304154837168</v>
      </c>
      <c r="B4200" t="str">
        <f>"1551685717161190"</f>
        <v>1551685717161190</v>
      </c>
      <c r="C4200" t="s">
        <v>40</v>
      </c>
      <c r="D4200">
        <v>4.1675589999999998</v>
      </c>
      <c r="E4200">
        <v>0.61392999999999998</v>
      </c>
      <c r="F4200" t="s">
        <v>60</v>
      </c>
      <c r="G4200">
        <v>-386.14620000000002</v>
      </c>
      <c r="H4200" s="1">
        <v>1.879731E-6</v>
      </c>
      <c r="I4200">
        <v>211.28049999999999</v>
      </c>
      <c r="J4200">
        <v>-398.66030000000001</v>
      </c>
      <c r="K4200">
        <v>1.1104320000000001</v>
      </c>
      <c r="L4200">
        <v>213.69200000000001</v>
      </c>
      <c r="M4200">
        <v>0.99991410000000003</v>
      </c>
      <c r="N4200">
        <v>-9.8697539999999997E-3</v>
      </c>
      <c r="O4200">
        <v>8.6389029999999999E-3</v>
      </c>
      <c r="P4200">
        <v>0.98483810000000005</v>
      </c>
      <c r="Q4200">
        <v>0.14332349999999999</v>
      </c>
      <c r="R4200">
        <v>9.773685E-2</v>
      </c>
      <c r="S4200">
        <v>3.1437379999999999</v>
      </c>
      <c r="T4200">
        <v>-0.27147100000000002</v>
      </c>
      <c r="U4200">
        <v>-0.58874510000000002</v>
      </c>
      <c r="V4200">
        <v>-8.9413499999999896E-2</v>
      </c>
      <c r="W4200">
        <v>0.1529346</v>
      </c>
      <c r="X4200">
        <v>0.98418300000000003</v>
      </c>
      <c r="Y4200">
        <v>0.19176480000000001</v>
      </c>
      <c r="Z4200">
        <v>-9.8039219999999996E-3</v>
      </c>
      <c r="AA4200">
        <v>0.98139200000000004</v>
      </c>
      <c r="AB4200">
        <v>36</v>
      </c>
      <c r="AC4200">
        <v>12.5140999999999</v>
      </c>
      <c r="AD4200">
        <v>-1.1104301202689999</v>
      </c>
      <c r="AE4200">
        <v>-2.41150000000001</v>
      </c>
      <c r="AF4200">
        <v>2.5005396039719199</v>
      </c>
      <c r="AG4200">
        <v>-1.1104301202689999</v>
      </c>
      <c r="AH4200">
        <v>12.3986702750496</v>
      </c>
      <c r="AI4200">
        <v>95.017291336766604</v>
      </c>
      <c r="AJ4200">
        <v>78.597650314514794</v>
      </c>
      <c r="AK4200">
        <v>12.6969593979201</v>
      </c>
      <c r="AL4200">
        <v>81.202970328423802</v>
      </c>
      <c r="AM4200">
        <v>95.191098376210405</v>
      </c>
      <c r="AN4200">
        <v>0.99999997167420396</v>
      </c>
    </row>
    <row r="4201" spans="1:40" x14ac:dyDescent="0.25">
      <c r="A4201" t="str">
        <f>"20190304154837190"</f>
        <v>20190304154837190</v>
      </c>
      <c r="B4201" t="str">
        <f>"1551685717180709"</f>
        <v>1551685717180709</v>
      </c>
      <c r="C4201" t="s">
        <v>40</v>
      </c>
      <c r="D4201">
        <v>4.2035619999999998</v>
      </c>
      <c r="E4201">
        <v>0.61758880000000005</v>
      </c>
      <c r="F4201" t="s">
        <v>60</v>
      </c>
      <c r="G4201">
        <v>-385.76479999999998</v>
      </c>
      <c r="H4201" s="1">
        <v>1.68460199999999E-6</v>
      </c>
      <c r="I4201">
        <v>211.10069999999999</v>
      </c>
      <c r="J4201">
        <v>-398.29939999999999</v>
      </c>
      <c r="K4201">
        <v>1.1104210000000001</v>
      </c>
      <c r="L4201">
        <v>213.69560000000001</v>
      </c>
      <c r="M4201">
        <v>0.99990900000000005</v>
      </c>
      <c r="N4201">
        <v>-9.9073549999999996E-3</v>
      </c>
      <c r="O4201">
        <v>9.1519530000000009E-3</v>
      </c>
      <c r="P4201">
        <v>0.98469419999999996</v>
      </c>
      <c r="Q4201">
        <v>0.1439407</v>
      </c>
      <c r="R4201">
        <v>9.8275589999999996E-2</v>
      </c>
      <c r="S4201">
        <v>3.1484380000000001</v>
      </c>
      <c r="T4201">
        <v>-0.27111049999999998</v>
      </c>
      <c r="U4201">
        <v>-0.63267519999999999</v>
      </c>
      <c r="V4201">
        <v>-8.9443700000000001E-2</v>
      </c>
      <c r="W4201">
        <v>0.15359049999999999</v>
      </c>
      <c r="X4201">
        <v>0.98407820000000001</v>
      </c>
      <c r="Y4201">
        <v>0.20513290000000001</v>
      </c>
      <c r="Z4201">
        <v>-1.0446560000000001E-2</v>
      </c>
      <c r="AA4201">
        <v>0.9786783</v>
      </c>
      <c r="AB4201">
        <v>36</v>
      </c>
      <c r="AC4201">
        <v>12.534599999999999</v>
      </c>
      <c r="AD4201">
        <v>-1.110419315398</v>
      </c>
      <c r="AE4201">
        <v>-2.59490000000002</v>
      </c>
      <c r="AF4201">
        <v>2.6892752056988698</v>
      </c>
      <c r="AG4201">
        <v>-1.110419315398</v>
      </c>
      <c r="AH4201">
        <v>12.4168836788412</v>
      </c>
      <c r="AI4201">
        <v>94.995058516990696</v>
      </c>
      <c r="AJ4201">
        <v>77.779503415953002</v>
      </c>
      <c r="AK4201">
        <v>12.753204792595</v>
      </c>
      <c r="AL4201">
        <v>81.164941514718507</v>
      </c>
      <c r="AM4201">
        <v>95.193392110834495</v>
      </c>
      <c r="AN4201">
        <v>1.0000000604375801</v>
      </c>
    </row>
    <row r="4202" spans="1:40" x14ac:dyDescent="0.25">
      <c r="A4202" t="str">
        <f>"20190304154837211"</f>
        <v>20190304154837211</v>
      </c>
      <c r="B4202" t="str">
        <f>"1551685717201205"</f>
        <v>1551685717201205</v>
      </c>
      <c r="C4202" t="s">
        <v>40</v>
      </c>
      <c r="D4202">
        <v>4.2499510000000003</v>
      </c>
      <c r="E4202">
        <v>0.62038490000000002</v>
      </c>
      <c r="F4202" t="s">
        <v>60</v>
      </c>
      <c r="G4202">
        <v>-385.48160000000001</v>
      </c>
      <c r="H4202" s="1">
        <v>1.5377670000000001E-6</v>
      </c>
      <c r="I4202">
        <v>211.01249999999999</v>
      </c>
      <c r="J4202">
        <v>-397.9427</v>
      </c>
      <c r="K4202">
        <v>1.110409</v>
      </c>
      <c r="L4202">
        <v>213.69929999999999</v>
      </c>
      <c r="M4202">
        <v>0.99990420000000002</v>
      </c>
      <c r="N4202">
        <v>-9.9462600000000002E-3</v>
      </c>
      <c r="O4202">
        <v>9.6415709999999998E-3</v>
      </c>
      <c r="P4202">
        <v>0.98465009999999997</v>
      </c>
      <c r="Q4202">
        <v>0.14402119999999999</v>
      </c>
      <c r="R4202">
        <v>9.8601369999999994E-2</v>
      </c>
      <c r="S4202">
        <v>3.1524049999999999</v>
      </c>
      <c r="T4202">
        <v>-0.27309660000000002</v>
      </c>
      <c r="U4202">
        <v>-0.65988159999999996</v>
      </c>
      <c r="V4202">
        <v>-8.9281979999999997E-2</v>
      </c>
      <c r="W4202">
        <v>0.1537125</v>
      </c>
      <c r="X4202">
        <v>0.9840738</v>
      </c>
      <c r="Y4202">
        <v>0.21342900000000001</v>
      </c>
      <c r="Z4202">
        <v>-1.093439E-2</v>
      </c>
      <c r="AA4202">
        <v>0.97689740000000003</v>
      </c>
      <c r="AB4202">
        <v>36</v>
      </c>
      <c r="AC4202">
        <v>12.461099999999901</v>
      </c>
      <c r="AD4202">
        <v>-1.110407462233</v>
      </c>
      <c r="AE4202">
        <v>-2.6867999999999999</v>
      </c>
      <c r="AF4202">
        <v>2.78568830920522</v>
      </c>
      <c r="AG4202">
        <v>-1.110407462233</v>
      </c>
      <c r="AH4202">
        <v>12.340973413321899</v>
      </c>
      <c r="AI4202">
        <v>95.015942498973203</v>
      </c>
      <c r="AJ4202">
        <v>77.279987249489693</v>
      </c>
      <c r="AK4202">
        <v>12.700105860840001</v>
      </c>
      <c r="AL4202">
        <v>81.157867103222301</v>
      </c>
      <c r="AM4202">
        <v>95.184076383359994</v>
      </c>
      <c r="AN4202">
        <v>1.0000000242277001</v>
      </c>
    </row>
    <row r="4203" spans="1:40" x14ac:dyDescent="0.25">
      <c r="A4203" t="str">
        <f>"20190304154837232"</f>
        <v>20190304154837232</v>
      </c>
      <c r="B4203" t="str">
        <f>"1551685717220728"</f>
        <v>1551685717220728</v>
      </c>
      <c r="C4203" t="s">
        <v>40</v>
      </c>
      <c r="D4203">
        <v>4.21645</v>
      </c>
      <c r="E4203">
        <v>0.62321159999999998</v>
      </c>
      <c r="F4203" t="s">
        <v>60</v>
      </c>
      <c r="G4203">
        <v>-385.3673</v>
      </c>
      <c r="H4203" s="1">
        <v>1.478103E-6</v>
      </c>
      <c r="I4203">
        <v>210.98609999999999</v>
      </c>
      <c r="J4203">
        <v>-397.61110000000002</v>
      </c>
      <c r="K4203">
        <v>1.110395</v>
      </c>
      <c r="L4203">
        <v>213.703</v>
      </c>
      <c r="M4203">
        <v>0.99989930000000005</v>
      </c>
      <c r="N4203">
        <v>-9.9856760000000006E-3</v>
      </c>
      <c r="O4203">
        <v>1.008011E-2</v>
      </c>
      <c r="P4203">
        <v>0.98464660000000004</v>
      </c>
      <c r="Q4203">
        <v>0.14385870000000001</v>
      </c>
      <c r="R4203">
        <v>9.8873619999999995E-2</v>
      </c>
      <c r="S4203">
        <v>3.1557620000000002</v>
      </c>
      <c r="T4203">
        <v>-0.27865250000000003</v>
      </c>
      <c r="U4203">
        <v>-0.68087769999999903</v>
      </c>
      <c r="V4203">
        <v>-8.9117080000000001E-2</v>
      </c>
      <c r="W4203">
        <v>0.15359229999999999</v>
      </c>
      <c r="X4203">
        <v>0.98410750000000002</v>
      </c>
      <c r="Y4203">
        <v>0.21980379999999999</v>
      </c>
      <c r="Z4203">
        <v>-1.1467339999999999E-2</v>
      </c>
      <c r="AA4203">
        <v>0.97547669999999997</v>
      </c>
      <c r="AB4203">
        <v>36</v>
      </c>
      <c r="AC4203">
        <v>12.2438</v>
      </c>
      <c r="AD4203">
        <v>-1.110393521897</v>
      </c>
      <c r="AE4203">
        <v>-2.7168999999999999</v>
      </c>
      <c r="AF4203">
        <v>2.8180966123822402</v>
      </c>
      <c r="AG4203">
        <v>-1.110393521897</v>
      </c>
      <c r="AH4203">
        <v>12.1207781431143</v>
      </c>
      <c r="AI4203">
        <v>95.099039242329994</v>
      </c>
      <c r="AJ4203">
        <v>76.911196827778198</v>
      </c>
      <c r="AK4203">
        <v>12.493514520933999</v>
      </c>
      <c r="AL4203">
        <v>81.164836695262693</v>
      </c>
      <c r="AM4203">
        <v>95.174377406050695</v>
      </c>
      <c r="AN4203">
        <v>1.00000001006163</v>
      </c>
    </row>
    <row r="4204" spans="1:40" x14ac:dyDescent="0.25">
      <c r="A4204" t="str">
        <f>"20190304154837254"</f>
        <v>20190304154837254</v>
      </c>
      <c r="B4204" t="str">
        <f>"1551685717250982"</f>
        <v>1551685717250982</v>
      </c>
      <c r="C4204" t="s">
        <v>40</v>
      </c>
      <c r="D4204">
        <v>4.1802809999999999</v>
      </c>
      <c r="E4204">
        <v>0.62781519999999902</v>
      </c>
      <c r="F4204" t="s">
        <v>60</v>
      </c>
      <c r="G4204">
        <v>-385.24130000000002</v>
      </c>
      <c r="H4204" s="1">
        <v>1.4125389999999901E-6</v>
      </c>
      <c r="I4204">
        <v>210.95240000000001</v>
      </c>
      <c r="J4204">
        <v>-397.25779999999997</v>
      </c>
      <c r="K4204">
        <v>1.110385</v>
      </c>
      <c r="L4204">
        <v>213.70699999999999</v>
      </c>
      <c r="M4204">
        <v>0.99989430000000001</v>
      </c>
      <c r="N4204">
        <v>-1.002873E-2</v>
      </c>
      <c r="O4204">
        <v>1.053306E-2</v>
      </c>
      <c r="P4204">
        <v>0.98468239999999996</v>
      </c>
      <c r="Q4204">
        <v>0.14356910000000001</v>
      </c>
      <c r="R4204">
        <v>9.8937410000000003E-2</v>
      </c>
      <c r="S4204">
        <v>3.1588129999999999</v>
      </c>
      <c r="T4204">
        <v>-0.283555</v>
      </c>
      <c r="U4204">
        <v>-0.70240780000000003</v>
      </c>
      <c r="V4204">
        <v>-8.872911E-2</v>
      </c>
      <c r="W4204">
        <v>0.15334919999999999</v>
      </c>
      <c r="X4204">
        <v>0.98418050000000001</v>
      </c>
      <c r="Y4204">
        <v>0.22633249999999999</v>
      </c>
      <c r="Z4204">
        <v>-1.1996E-2</v>
      </c>
      <c r="AA4204">
        <v>0.97397619999999896</v>
      </c>
      <c r="AB4204">
        <v>36</v>
      </c>
      <c r="AC4204">
        <v>12.016499999999899</v>
      </c>
      <c r="AD4204">
        <v>-1.110383587461</v>
      </c>
      <c r="AE4204">
        <v>-2.75459999999998</v>
      </c>
      <c r="AF4204">
        <v>2.8578401813671399</v>
      </c>
      <c r="AG4204">
        <v>-1.110383587461</v>
      </c>
      <c r="AH4204">
        <v>11.8903584753931</v>
      </c>
      <c r="AI4204">
        <v>95.188194723882603</v>
      </c>
      <c r="AJ4204">
        <v>76.485340943670295</v>
      </c>
      <c r="AK4204">
        <v>12.2792844615186</v>
      </c>
      <c r="AL4204">
        <v>81.178932591732504</v>
      </c>
      <c r="AM4204">
        <v>95.151592232091502</v>
      </c>
      <c r="AN4204">
        <v>1.0000000443411401</v>
      </c>
    </row>
    <row r="4205" spans="1:40" x14ac:dyDescent="0.25">
      <c r="A4205" t="str">
        <f>"20190304154837277"</f>
        <v>20190304154837277</v>
      </c>
      <c r="B4205" t="str">
        <f>"1551685717270501"</f>
        <v>1551685717270501</v>
      </c>
      <c r="C4205" t="s">
        <v>40</v>
      </c>
      <c r="D4205">
        <v>4.2016159999999996</v>
      </c>
      <c r="E4205">
        <v>0.63052629999999998</v>
      </c>
      <c r="F4205" t="s">
        <v>60</v>
      </c>
      <c r="G4205">
        <v>-385.0351</v>
      </c>
      <c r="H4205" s="1">
        <v>1.307223E-6</v>
      </c>
      <c r="I4205">
        <v>210.85140000000001</v>
      </c>
      <c r="J4205">
        <v>-396.89859999999999</v>
      </c>
      <c r="K4205">
        <v>1.110382</v>
      </c>
      <c r="L4205">
        <v>213.71119999999999</v>
      </c>
      <c r="M4205">
        <v>0.99988909999999998</v>
      </c>
      <c r="N4205">
        <v>-1.0070529999999999E-2</v>
      </c>
      <c r="O4205">
        <v>1.0980419999999999E-2</v>
      </c>
      <c r="P4205">
        <v>0.9846625</v>
      </c>
      <c r="Q4205">
        <v>0.14360419999999999</v>
      </c>
      <c r="R4205">
        <v>9.9083450000000003E-2</v>
      </c>
      <c r="S4205">
        <v>3.162811</v>
      </c>
      <c r="T4205">
        <v>-0.28733059999999899</v>
      </c>
      <c r="U4205">
        <v>-0.73892209999999903</v>
      </c>
      <c r="V4205">
        <v>-8.8429530000000006E-2</v>
      </c>
      <c r="W4205">
        <v>0.15342890000000001</v>
      </c>
      <c r="X4205">
        <v>0.98419500000000004</v>
      </c>
      <c r="Y4205">
        <v>0.2371134</v>
      </c>
      <c r="Z4205">
        <v>-1.269256E-2</v>
      </c>
      <c r="AA4205">
        <v>0.97139909999999996</v>
      </c>
      <c r="AB4205">
        <v>36</v>
      </c>
      <c r="AC4205">
        <v>11.863499999999901</v>
      </c>
      <c r="AD4205">
        <v>-1.1103806927769999</v>
      </c>
      <c r="AE4205">
        <v>-2.8597999999999701</v>
      </c>
      <c r="AF4205">
        <v>2.9653497010521099</v>
      </c>
      <c r="AG4205">
        <v>-1.1103806927769999</v>
      </c>
      <c r="AH4205">
        <v>11.7342314463948</v>
      </c>
      <c r="AI4205">
        <v>95.241833159030406</v>
      </c>
      <c r="AJ4205">
        <v>75.817748418184294</v>
      </c>
      <c r="AK4205">
        <v>12.1539471683064</v>
      </c>
      <c r="AL4205">
        <v>81.174311068288901</v>
      </c>
      <c r="AM4205">
        <v>95.134216566194794</v>
      </c>
      <c r="AN4205">
        <v>1.00000000357811</v>
      </c>
    </row>
    <row r="4206" spans="1:40" x14ac:dyDescent="0.25">
      <c r="A4206" t="str">
        <f>"20190304154837299"</f>
        <v>20190304154837299</v>
      </c>
      <c r="B4206" t="str">
        <f>"1551685717290997"</f>
        <v>1551685717290997</v>
      </c>
      <c r="C4206" t="s">
        <v>40</v>
      </c>
      <c r="D4206">
        <v>4.1953800000000001</v>
      </c>
      <c r="E4206">
        <v>0.63301680000000005</v>
      </c>
      <c r="F4206" t="s">
        <v>60</v>
      </c>
      <c r="G4206">
        <v>-384.73320000000001</v>
      </c>
      <c r="H4206" s="1">
        <v>1.149179E-6</v>
      </c>
      <c r="I4206">
        <v>210.79150000000001</v>
      </c>
      <c r="J4206">
        <v>-396.52710000000002</v>
      </c>
      <c r="K4206">
        <v>1.1103730000000001</v>
      </c>
      <c r="L4206">
        <v>213.7157</v>
      </c>
      <c r="M4206">
        <v>0.99988370000000004</v>
      </c>
      <c r="N4206">
        <v>-1.0110620000000001E-2</v>
      </c>
      <c r="O4206">
        <v>1.142873E-2</v>
      </c>
      <c r="P4206">
        <v>0.98468239999999996</v>
      </c>
      <c r="Q4206">
        <v>0.14356189999999999</v>
      </c>
      <c r="R4206">
        <v>9.8948270000000005E-2</v>
      </c>
      <c r="S4206">
        <v>3.1653440000000002</v>
      </c>
      <c r="T4206">
        <v>-0.2889137</v>
      </c>
      <c r="U4206">
        <v>-0.75968930000000001</v>
      </c>
      <c r="V4206">
        <v>-8.784757E-2</v>
      </c>
      <c r="W4206">
        <v>0.15342929999999999</v>
      </c>
      <c r="X4206">
        <v>0.98424699999999998</v>
      </c>
      <c r="Y4206">
        <v>0.24336949999999999</v>
      </c>
      <c r="Z4206">
        <v>-1.309277E-2</v>
      </c>
      <c r="AA4206">
        <v>0.96984530000000002</v>
      </c>
      <c r="AB4206">
        <v>36</v>
      </c>
      <c r="AC4206">
        <v>11.793900000000001</v>
      </c>
      <c r="AD4206">
        <v>-1.1103718508210001</v>
      </c>
      <c r="AE4206">
        <v>-2.9241999999999799</v>
      </c>
      <c r="AF4206">
        <v>3.0334741631602502</v>
      </c>
      <c r="AG4206">
        <v>-1.1103718508210001</v>
      </c>
      <c r="AH4206">
        <v>11.6623219101609</v>
      </c>
      <c r="AI4206">
        <v>95.264602816963603</v>
      </c>
      <c r="AJ4206">
        <v>75.419937506725404</v>
      </c>
      <c r="AK4206">
        <v>12.101431464164699</v>
      </c>
      <c r="AL4206">
        <v>81.174287410566706</v>
      </c>
      <c r="AM4206">
        <v>95.100338744779194</v>
      </c>
      <c r="AN4206">
        <v>0.99999995133119601</v>
      </c>
    </row>
    <row r="4207" spans="1:40" x14ac:dyDescent="0.25">
      <c r="A4207" t="str">
        <f>"20190304154837323"</f>
        <v>20190304154837323</v>
      </c>
      <c r="B4207" t="str">
        <f>"1551685717310517"</f>
        <v>1551685717310517</v>
      </c>
      <c r="C4207" t="s">
        <v>40</v>
      </c>
      <c r="D4207">
        <v>4.2453010000000004</v>
      </c>
      <c r="E4207">
        <v>0.63529009999999997</v>
      </c>
      <c r="F4207" t="s">
        <v>60</v>
      </c>
      <c r="G4207">
        <v>-384.42880000000002</v>
      </c>
      <c r="H4207" s="1">
        <v>9.8943599999999994E-7</v>
      </c>
      <c r="I4207">
        <v>210.73949999999999</v>
      </c>
      <c r="J4207">
        <v>-396.15809999999999</v>
      </c>
      <c r="K4207">
        <v>1.1103620000000001</v>
      </c>
      <c r="L4207">
        <v>213.72030000000001</v>
      </c>
      <c r="M4207">
        <v>0.99987820000000005</v>
      </c>
      <c r="N4207">
        <v>-1.014933E-2</v>
      </c>
      <c r="O4207">
        <v>1.185928E-2</v>
      </c>
      <c r="P4207">
        <v>0.98465190000000002</v>
      </c>
      <c r="Q4207">
        <v>0.14348710000000001</v>
      </c>
      <c r="R4207">
        <v>9.9358660000000001E-2</v>
      </c>
      <c r="S4207">
        <v>3.167389</v>
      </c>
      <c r="T4207">
        <v>-0.29070010000000002</v>
      </c>
      <c r="U4207">
        <v>-0.77917479999999995</v>
      </c>
      <c r="V4207">
        <v>-8.7829260000000006E-2</v>
      </c>
      <c r="W4207">
        <v>0.153395899999999</v>
      </c>
      <c r="X4207">
        <v>0.98425390000000001</v>
      </c>
      <c r="Y4207">
        <v>0.2492365</v>
      </c>
      <c r="Z4207">
        <v>-1.3485260000000001E-2</v>
      </c>
      <c r="AA4207">
        <v>0.96834869999999995</v>
      </c>
      <c r="AB4207">
        <v>36</v>
      </c>
      <c r="AC4207">
        <v>11.729299999999901</v>
      </c>
      <c r="AD4207">
        <v>-1.1103610105640001</v>
      </c>
      <c r="AE4207">
        <v>-2.9808000000000101</v>
      </c>
      <c r="AF4207">
        <v>3.0936564362724699</v>
      </c>
      <c r="AG4207">
        <v>-1.1103610105640001</v>
      </c>
      <c r="AH4207">
        <v>11.5955130717036</v>
      </c>
      <c r="AI4207">
        <v>95.286044114493393</v>
      </c>
      <c r="AJ4207">
        <v>75.061572819681203</v>
      </c>
      <c r="AK4207">
        <v>12.0523663699508</v>
      </c>
      <c r="AL4207">
        <v>81.176224539779795</v>
      </c>
      <c r="AM4207">
        <v>95.099245730980698</v>
      </c>
      <c r="AN4207">
        <v>1.0000000103570801</v>
      </c>
    </row>
    <row r="4208" spans="1:40" x14ac:dyDescent="0.25">
      <c r="A4208" t="str">
        <f>"20190304154837345"</f>
        <v>20190304154837345</v>
      </c>
      <c r="B4208" t="str">
        <f>"1551685717340772"</f>
        <v>1551685717340772</v>
      </c>
      <c r="C4208" t="s">
        <v>40</v>
      </c>
      <c r="D4208">
        <v>4.217892</v>
      </c>
      <c r="E4208">
        <v>0.63836999999999999</v>
      </c>
      <c r="F4208" t="s">
        <v>60</v>
      </c>
      <c r="G4208">
        <v>-384.10980000000001</v>
      </c>
      <c r="H4208" s="1">
        <v>8.2162169999999899E-7</v>
      </c>
      <c r="I4208">
        <v>210.69569999999999</v>
      </c>
      <c r="J4208">
        <v>-395.80509999999998</v>
      </c>
      <c r="K4208">
        <v>1.110344</v>
      </c>
      <c r="L4208">
        <v>213.72489999999999</v>
      </c>
      <c r="M4208">
        <v>0.99987300000000001</v>
      </c>
      <c r="N4208">
        <v>-1.018757E-2</v>
      </c>
      <c r="O4208">
        <v>1.225711E-2</v>
      </c>
      <c r="P4208">
        <v>0.98468230000000001</v>
      </c>
      <c r="Q4208">
        <v>0.14306240000000001</v>
      </c>
      <c r="R4208">
        <v>9.9670690000000006E-2</v>
      </c>
      <c r="S4208">
        <v>3.1696170000000001</v>
      </c>
      <c r="T4208">
        <v>-0.29210839999999999</v>
      </c>
      <c r="U4208">
        <v>-0.79570010000000002</v>
      </c>
      <c r="V4208">
        <v>-8.7743489999999993E-2</v>
      </c>
      <c r="W4208">
        <v>0.15301229999999999</v>
      </c>
      <c r="X4208">
        <v>0.98432120000000001</v>
      </c>
      <c r="Y4208">
        <v>0.25418449999999998</v>
      </c>
      <c r="Z4208">
        <v>-1.38157E-2</v>
      </c>
      <c r="AA4208">
        <v>0.96705700000000006</v>
      </c>
      <c r="AB4208">
        <v>36</v>
      </c>
      <c r="AC4208">
        <v>11.6952999999999</v>
      </c>
      <c r="AD4208">
        <v>-1.1103431783783</v>
      </c>
      <c r="AE4208">
        <v>-3.0291999999999999</v>
      </c>
      <c r="AF4208">
        <v>3.14575883807266</v>
      </c>
      <c r="AG4208">
        <v>-1.1103431783783</v>
      </c>
      <c r="AH4208">
        <v>11.559648141625299</v>
      </c>
      <c r="AI4208">
        <v>95.295205223906294</v>
      </c>
      <c r="AJ4208">
        <v>74.776591469003094</v>
      </c>
      <c r="AK4208">
        <v>12.031380876660201</v>
      </c>
      <c r="AL4208">
        <v>81.198465271423999</v>
      </c>
      <c r="AM4208">
        <v>95.093945784154897</v>
      </c>
      <c r="AN4208">
        <v>0.99999995437905398</v>
      </c>
    </row>
    <row r="4209" spans="1:40" x14ac:dyDescent="0.25">
      <c r="A4209" t="str">
        <f>"20190304154837368"</f>
        <v>20190304154837368</v>
      </c>
      <c r="B4209" t="str">
        <f>"1551685717361269"</f>
        <v>1551685717361269</v>
      </c>
      <c r="C4209" t="s">
        <v>40</v>
      </c>
      <c r="D4209">
        <v>4.346692</v>
      </c>
      <c r="E4209">
        <v>0.68513789999999997</v>
      </c>
      <c r="F4209" t="s">
        <v>60</v>
      </c>
      <c r="G4209">
        <v>-383.86200000000002</v>
      </c>
      <c r="H4209" s="1">
        <v>6.9204910000000002E-7</v>
      </c>
      <c r="I4209">
        <v>210.6429</v>
      </c>
      <c r="J4209">
        <v>-395.44279999999998</v>
      </c>
      <c r="K4209">
        <v>1.1103379999999901</v>
      </c>
      <c r="L4209">
        <v>213.72970000000001</v>
      </c>
      <c r="M4209">
        <v>0.99986770000000003</v>
      </c>
      <c r="N4209">
        <v>-1.022903E-2</v>
      </c>
      <c r="O4209">
        <v>1.264941E-2</v>
      </c>
      <c r="P4209">
        <v>0.98472959999999998</v>
      </c>
      <c r="Q4209">
        <v>0.1427475</v>
      </c>
      <c r="R4209">
        <v>9.9653619999999998E-2</v>
      </c>
      <c r="S4209">
        <v>3.1724239999999999</v>
      </c>
      <c r="T4209">
        <v>-0.2949386</v>
      </c>
      <c r="U4209">
        <v>-0.81866459999999996</v>
      </c>
      <c r="V4209">
        <v>-8.7333190000000005E-2</v>
      </c>
      <c r="W4209">
        <v>0.152742299999999</v>
      </c>
      <c r="X4209">
        <v>0.98439969999999999</v>
      </c>
      <c r="Y4209">
        <v>0.26088060000000002</v>
      </c>
      <c r="Z4209">
        <v>-1.4293989999999999E-2</v>
      </c>
      <c r="AA4209">
        <v>0.96526520000000005</v>
      </c>
      <c r="AB4209">
        <v>36</v>
      </c>
      <c r="AC4209">
        <v>11.5808</v>
      </c>
      <c r="AD4209">
        <v>-1.11033730795089</v>
      </c>
      <c r="AE4209">
        <v>-3.08680000000001</v>
      </c>
      <c r="AF4209">
        <v>3.20553873630932</v>
      </c>
      <c r="AG4209">
        <v>-1.11033730795089</v>
      </c>
      <c r="AH4209">
        <v>11.4426164218753</v>
      </c>
      <c r="AI4209">
        <v>95.3381075132029</v>
      </c>
      <c r="AJ4209">
        <v>74.350296193409093</v>
      </c>
      <c r="AK4209">
        <v>11.9348983282463</v>
      </c>
      <c r="AL4209">
        <v>81.214119835771896</v>
      </c>
      <c r="AM4209">
        <v>95.069848064126504</v>
      </c>
      <c r="AN4209">
        <v>1.0000000328224701</v>
      </c>
    </row>
    <row r="4210" spans="1:40" x14ac:dyDescent="0.25">
      <c r="A4210" t="str">
        <f>"20190304154837401"</f>
        <v>20190304154837401</v>
      </c>
      <c r="B4210" t="str">
        <f>"1551685717390549"</f>
        <v>1551685717390549</v>
      </c>
      <c r="C4210" t="s">
        <v>40</v>
      </c>
      <c r="D4210">
        <v>4.3083839999999904</v>
      </c>
      <c r="E4210">
        <v>0.68317519999999998</v>
      </c>
      <c r="F4210" t="s">
        <v>60</v>
      </c>
      <c r="G4210">
        <v>-384.33640000000003</v>
      </c>
      <c r="H4210">
        <v>1.87324E-2</v>
      </c>
      <c r="I4210">
        <v>209.6163</v>
      </c>
      <c r="J4210">
        <v>-394.90370000000001</v>
      </c>
      <c r="K4210">
        <v>1.11032</v>
      </c>
      <c r="L4210">
        <v>213.7371</v>
      </c>
      <c r="M4210">
        <v>0.99985999999999997</v>
      </c>
      <c r="N4210">
        <v>-1.029241E-2</v>
      </c>
      <c r="O4210">
        <v>1.3194000000000001E-2</v>
      </c>
      <c r="P4210">
        <v>0.9846104</v>
      </c>
      <c r="Q4210">
        <v>0.14356720000000001</v>
      </c>
      <c r="R4210">
        <v>9.9655300000000002E-2</v>
      </c>
      <c r="S4210">
        <v>3.2127080000000001</v>
      </c>
      <c r="T4210">
        <v>-0.3157662</v>
      </c>
      <c r="U4210">
        <v>-1.189865</v>
      </c>
      <c r="V4210">
        <v>-8.679067E-2</v>
      </c>
      <c r="W4210">
        <v>0.15363009999999999</v>
      </c>
      <c r="X4210">
        <v>0.98430949999999995</v>
      </c>
      <c r="Y4210">
        <v>0.35791060000000002</v>
      </c>
      <c r="Z4210">
        <v>-2.0014190000000001E-2</v>
      </c>
      <c r="AA4210">
        <v>0.93354130000000002</v>
      </c>
      <c r="AB4210">
        <v>36</v>
      </c>
      <c r="AC4210">
        <v>10.5672999999999</v>
      </c>
      <c r="AD4210">
        <v>-1.0915876</v>
      </c>
      <c r="AE4210">
        <v>-4.1208</v>
      </c>
      <c r="AF4210">
        <v>4.22078014828673</v>
      </c>
      <c r="AG4210">
        <v>-1.0915876</v>
      </c>
      <c r="AH4210">
        <v>10.4155371909926</v>
      </c>
      <c r="AI4210">
        <v>95.547816246594493</v>
      </c>
      <c r="AJ4210">
        <v>67.940297590135003</v>
      </c>
      <c r="AK4210">
        <v>11.291145359333299</v>
      </c>
      <c r="AL4210">
        <v>81.162644899849397</v>
      </c>
      <c r="AM4210">
        <v>95.038975767875399</v>
      </c>
      <c r="AN4210">
        <v>1.00000000990765</v>
      </c>
    </row>
    <row r="4211" spans="1:40" x14ac:dyDescent="0.25">
      <c r="A4211" t="str">
        <f>"20190304154837422"</f>
        <v>20190304154837422</v>
      </c>
      <c r="B4211" t="str">
        <f>"1551685717411045"</f>
        <v>1551685717411045</v>
      </c>
      <c r="C4211" t="s">
        <v>40</v>
      </c>
      <c r="D4211">
        <v>4.338387</v>
      </c>
      <c r="E4211">
        <v>0.68338199999999905</v>
      </c>
      <c r="F4211" t="s">
        <v>60</v>
      </c>
      <c r="G4211">
        <v>-384.31150000000002</v>
      </c>
      <c r="H4211" s="1">
        <v>9.6516320000000001E-7</v>
      </c>
      <c r="I4211">
        <v>209.86670000000001</v>
      </c>
      <c r="J4211">
        <v>-394.55329999999998</v>
      </c>
      <c r="K4211">
        <v>1.1103050000000001</v>
      </c>
      <c r="L4211">
        <v>213.74199999999999</v>
      </c>
      <c r="M4211">
        <v>0.9998553</v>
      </c>
      <c r="N4211">
        <v>-1.0331170000000001E-2</v>
      </c>
      <c r="O4211">
        <v>1.3521770000000001E-2</v>
      </c>
      <c r="P4211">
        <v>0.98461790000000005</v>
      </c>
      <c r="Q4211">
        <v>0.1433999</v>
      </c>
      <c r="R4211">
        <v>9.982125E-2</v>
      </c>
      <c r="S4211">
        <v>3.2149960000000002</v>
      </c>
      <c r="T4211">
        <v>-0.33700849999999999</v>
      </c>
      <c r="U4211">
        <v>-1.174744</v>
      </c>
      <c r="V4211">
        <v>-8.6626229999999999E-2</v>
      </c>
      <c r="W4211">
        <v>0.15350520000000001</v>
      </c>
      <c r="X4211">
        <v>0.98434350000000004</v>
      </c>
      <c r="Y4211">
        <v>0.35391800000000001</v>
      </c>
      <c r="Z4211">
        <v>-2.1049720000000001E-2</v>
      </c>
      <c r="AA4211">
        <v>0.93503950000000002</v>
      </c>
      <c r="AB4211">
        <v>36</v>
      </c>
      <c r="AC4211">
        <v>10.2417999999999</v>
      </c>
      <c r="AD4211">
        <v>-1.1103040348367901</v>
      </c>
      <c r="AE4211">
        <v>-3.8753000000000002</v>
      </c>
      <c r="AF4211">
        <v>3.9725994906464002</v>
      </c>
      <c r="AG4211">
        <v>-1.1103040348367901</v>
      </c>
      <c r="AH4211">
        <v>10.0847819543455</v>
      </c>
      <c r="AI4211">
        <v>95.848740175854701</v>
      </c>
      <c r="AJ4211">
        <v>68.499516858120302</v>
      </c>
      <c r="AK4211">
        <v>10.8957399395154</v>
      </c>
      <c r="AL4211">
        <v>81.169887298694903</v>
      </c>
      <c r="AM4211">
        <v>95.029304736450996</v>
      </c>
      <c r="AN4211">
        <v>1.0000000380716501</v>
      </c>
    </row>
    <row r="4212" spans="1:40" x14ac:dyDescent="0.25">
      <c r="A4212" t="str">
        <f>"20190304154837444"</f>
        <v>20190304154837444</v>
      </c>
      <c r="B4212" t="str">
        <f>"1551685717441301"</f>
        <v>1551685717441301</v>
      </c>
      <c r="C4212" t="s">
        <v>40</v>
      </c>
      <c r="D4212">
        <v>4.3243970000000003</v>
      </c>
      <c r="E4212">
        <v>0.68287469999999995</v>
      </c>
      <c r="F4212" t="s">
        <v>60</v>
      </c>
      <c r="G4212">
        <v>-384.29180000000002</v>
      </c>
      <c r="H4212" s="1">
        <v>9.4928029999999996E-7</v>
      </c>
      <c r="I4212">
        <v>209.99090000000001</v>
      </c>
      <c r="J4212">
        <v>-394.20699999999999</v>
      </c>
      <c r="K4212">
        <v>1.110284</v>
      </c>
      <c r="L4212">
        <v>213.74700000000001</v>
      </c>
      <c r="M4212">
        <v>0.99985069999999998</v>
      </c>
      <c r="N4212">
        <v>-1.036868E-2</v>
      </c>
      <c r="O4212">
        <v>1.382445E-2</v>
      </c>
      <c r="P4212">
        <v>0.98463619999999996</v>
      </c>
      <c r="Q4212">
        <v>0.143346</v>
      </c>
      <c r="R4212">
        <v>9.9717920000000002E-2</v>
      </c>
      <c r="S4212">
        <v>3.2167659999999998</v>
      </c>
      <c r="T4212">
        <v>-0.3480569</v>
      </c>
      <c r="U4212">
        <v>-1.1759029999999999</v>
      </c>
      <c r="V4212">
        <v>-8.6216150000000005E-2</v>
      </c>
      <c r="W4212">
        <v>0.15349299999999999</v>
      </c>
      <c r="X4212">
        <v>0.98438139999999996</v>
      </c>
      <c r="Y4212">
        <v>0.3542072</v>
      </c>
      <c r="Z4212">
        <v>-2.171959E-2</v>
      </c>
      <c r="AA4212">
        <v>0.93491469999999999</v>
      </c>
      <c r="AB4212">
        <v>36</v>
      </c>
      <c r="AC4212">
        <v>9.9151999999999703</v>
      </c>
      <c r="AD4212">
        <v>-1.1102830507196999</v>
      </c>
      <c r="AE4212">
        <v>-3.7561</v>
      </c>
      <c r="AF4212">
        <v>3.85059710100276</v>
      </c>
      <c r="AG4212">
        <v>-1.1102830507196999</v>
      </c>
      <c r="AH4212">
        <v>9.7553518975403399</v>
      </c>
      <c r="AI4212">
        <v>96.043065186939799</v>
      </c>
      <c r="AJ4212">
        <v>68.460038864222398</v>
      </c>
      <c r="AK4212">
        <v>10.546407783307499</v>
      </c>
      <c r="AL4212">
        <v>81.170594646541602</v>
      </c>
      <c r="AM4212">
        <v>95.005426007322697</v>
      </c>
      <c r="AN4212">
        <v>1.00000003311789</v>
      </c>
    </row>
    <row r="4213" spans="1:40" x14ac:dyDescent="0.25">
      <c r="A4213" t="str">
        <f>"20190304154837466"</f>
        <v>20190304154837466</v>
      </c>
      <c r="B4213" t="str">
        <f>"1551685717460821"</f>
        <v>1551685717460821</v>
      </c>
      <c r="C4213" t="s">
        <v>40</v>
      </c>
      <c r="D4213">
        <v>4.3201299999999998</v>
      </c>
      <c r="E4213">
        <v>0.68267460000000002</v>
      </c>
      <c r="F4213" t="s">
        <v>60</v>
      </c>
      <c r="G4213">
        <v>-384.20139999999998</v>
      </c>
      <c r="H4213" s="1">
        <v>8.9630889999999999E-7</v>
      </c>
      <c r="I4213">
        <v>210.1019</v>
      </c>
      <c r="J4213">
        <v>-393.83929999999998</v>
      </c>
      <c r="K4213">
        <v>1.1102609999999999</v>
      </c>
      <c r="L4213">
        <v>213.75239999999999</v>
      </c>
      <c r="M4213">
        <v>0.99984629999999997</v>
      </c>
      <c r="N4213">
        <v>-1.040963E-2</v>
      </c>
      <c r="O4213">
        <v>1.411776E-2</v>
      </c>
      <c r="P4213">
        <v>0.98455510000000002</v>
      </c>
      <c r="Q4213">
        <v>0.14345239999999901</v>
      </c>
      <c r="R4213">
        <v>0.1003646</v>
      </c>
      <c r="S4213">
        <v>3.2175289999999999</v>
      </c>
      <c r="T4213">
        <v>-0.3570372</v>
      </c>
      <c r="U4213">
        <v>-1.17218</v>
      </c>
      <c r="V4213">
        <v>-8.6566599999999994E-2</v>
      </c>
      <c r="W4213">
        <v>0.15364420000000001</v>
      </c>
      <c r="X4213">
        <v>0.98432699999999995</v>
      </c>
      <c r="Y4213">
        <v>0.35335440000000001</v>
      </c>
      <c r="Z4213">
        <v>-2.2216159999999999E-2</v>
      </c>
      <c r="AA4213">
        <v>0.93522570000000005</v>
      </c>
      <c r="AB4213">
        <v>36</v>
      </c>
      <c r="AC4213">
        <v>9.6379000000000001</v>
      </c>
      <c r="AD4213">
        <v>-1.1102601036911</v>
      </c>
      <c r="AE4213">
        <v>-3.6504999999999899</v>
      </c>
      <c r="AF4213">
        <v>3.7427724490740899</v>
      </c>
      <c r="AG4213">
        <v>-1.1102601036911</v>
      </c>
      <c r="AH4213">
        <v>9.4754329106028905</v>
      </c>
      <c r="AI4213">
        <v>96.2194869425566</v>
      </c>
      <c r="AJ4213">
        <v>68.446103264839195</v>
      </c>
      <c r="AK4213">
        <v>10.2481633450454</v>
      </c>
      <c r="AL4213">
        <v>81.161827053238795</v>
      </c>
      <c r="AM4213">
        <v>95.025944318990199</v>
      </c>
      <c r="AN4213">
        <v>0.99999997967909904</v>
      </c>
    </row>
    <row r="4214" spans="1:40" x14ac:dyDescent="0.25">
      <c r="A4214" t="str">
        <f>"20190304154837490"</f>
        <v>20190304154837490</v>
      </c>
      <c r="B4214" t="str">
        <f>"1551685717481317"</f>
        <v>1551685717481317</v>
      </c>
      <c r="C4214" t="s">
        <v>40</v>
      </c>
      <c r="D4214">
        <v>4.3188279999999999</v>
      </c>
      <c r="E4214">
        <v>0.68256680000000003</v>
      </c>
      <c r="F4214" t="s">
        <v>60</v>
      </c>
      <c r="G4214">
        <v>-383.91390000000001</v>
      </c>
      <c r="H4214" s="1">
        <v>7.4124040000000001E-7</v>
      </c>
      <c r="I4214">
        <v>210.15010000000001</v>
      </c>
      <c r="J4214">
        <v>-393.4606</v>
      </c>
      <c r="K4214">
        <v>1.110242</v>
      </c>
      <c r="L4214">
        <v>213.75800000000001</v>
      </c>
      <c r="M4214">
        <v>0.99984200000000001</v>
      </c>
      <c r="N4214">
        <v>-1.0450859999999999E-2</v>
      </c>
      <c r="O4214">
        <v>1.438701E-2</v>
      </c>
      <c r="P4214">
        <v>0.98447519999999999</v>
      </c>
      <c r="Q4214">
        <v>0.1434221</v>
      </c>
      <c r="R4214">
        <v>0.1011874</v>
      </c>
      <c r="S4214">
        <v>3.2186279999999998</v>
      </c>
      <c r="T4214">
        <v>-0.3600392</v>
      </c>
      <c r="U4214">
        <v>-1.1681520000000001</v>
      </c>
      <c r="V4214">
        <v>-8.7114590000000006E-2</v>
      </c>
      <c r="W4214">
        <v>0.15365879999999901</v>
      </c>
      <c r="X4214">
        <v>0.98427640000000005</v>
      </c>
      <c r="Y4214">
        <v>0.35243809999999998</v>
      </c>
      <c r="Z4214">
        <v>-2.2363419999999998E-2</v>
      </c>
      <c r="AA4214">
        <v>0.93556790000000001</v>
      </c>
      <c r="AB4214">
        <v>36</v>
      </c>
      <c r="AC4214">
        <v>9.54669999999998</v>
      </c>
      <c r="AD4214">
        <v>-1.1102412587596</v>
      </c>
      <c r="AE4214">
        <v>-3.6078999999999701</v>
      </c>
      <c r="AF4214">
        <v>3.7010821699981098</v>
      </c>
      <c r="AG4214">
        <v>-1.1102412587596</v>
      </c>
      <c r="AH4214">
        <v>9.3827621224754605</v>
      </c>
      <c r="AI4214">
        <v>96.281474074625393</v>
      </c>
      <c r="AJ4214">
        <v>68.472971776465599</v>
      </c>
      <c r="AK4214">
        <v>10.147259232358699</v>
      </c>
      <c r="AL4214">
        <v>81.160980708410804</v>
      </c>
      <c r="AM4214">
        <v>95.057854063288303</v>
      </c>
      <c r="AN4214">
        <v>1.0000000051026301</v>
      </c>
    </row>
    <row r="4215" spans="1:40" x14ac:dyDescent="0.25">
      <c r="A4215" t="str">
        <f>"20190304154837512"</f>
        <v>20190304154837512</v>
      </c>
      <c r="B4215" t="str">
        <f>"1551685717500837"</f>
        <v>1551685717500837</v>
      </c>
      <c r="C4215" t="s">
        <v>40</v>
      </c>
      <c r="D4215">
        <v>4.332713</v>
      </c>
      <c r="E4215">
        <v>0.68242380000000002</v>
      </c>
      <c r="F4215" t="s">
        <v>60</v>
      </c>
      <c r="G4215">
        <v>-383.59059999999999</v>
      </c>
      <c r="H4215" s="1">
        <v>5.6751419999999896E-7</v>
      </c>
      <c r="I4215">
        <v>210.18860000000001</v>
      </c>
      <c r="J4215">
        <v>-393.10410000000002</v>
      </c>
      <c r="K4215">
        <v>1.11022</v>
      </c>
      <c r="L4215">
        <v>213.76329999999999</v>
      </c>
      <c r="M4215">
        <v>0.99983840000000002</v>
      </c>
      <c r="N4215">
        <v>-1.0486769999999999E-2</v>
      </c>
      <c r="O4215">
        <v>1.4606910000000001E-2</v>
      </c>
      <c r="P4215">
        <v>0.98435419999999996</v>
      </c>
      <c r="Q4215">
        <v>0.14396139999999999</v>
      </c>
      <c r="R4215">
        <v>0.1015979</v>
      </c>
      <c r="S4215">
        <v>3.219757</v>
      </c>
      <c r="T4215">
        <v>-0.36217949999999999</v>
      </c>
      <c r="U4215">
        <v>-1.1644129999999999</v>
      </c>
      <c r="V4215">
        <v>-8.7300929999999999E-2</v>
      </c>
      <c r="W4215">
        <v>0.1542384</v>
      </c>
      <c r="X4215">
        <v>0.98416919999999997</v>
      </c>
      <c r="Y4215">
        <v>0.35155710000000001</v>
      </c>
      <c r="Z4215">
        <v>-2.2457089999999999E-2</v>
      </c>
      <c r="AA4215">
        <v>0.93589710000000004</v>
      </c>
      <c r="AB4215">
        <v>36</v>
      </c>
      <c r="AC4215">
        <v>9.5135000000000201</v>
      </c>
      <c r="AD4215">
        <v>-1.1102194324857999</v>
      </c>
      <c r="AE4215">
        <v>-3.5746999999999698</v>
      </c>
      <c r="AF4215">
        <v>3.6694979036878399</v>
      </c>
      <c r="AG4215">
        <v>-1.1102194324857999</v>
      </c>
      <c r="AH4215">
        <v>9.3487009636301597</v>
      </c>
      <c r="AI4215">
        <v>96.308190830713798</v>
      </c>
      <c r="AJ4215">
        <v>68.569287582987897</v>
      </c>
      <c r="AK4215">
        <v>10.104257110783401</v>
      </c>
      <c r="AL4215">
        <v>81.127371146693505</v>
      </c>
      <c r="AM4215">
        <v>95.069165845547602</v>
      </c>
      <c r="AN4215">
        <v>0.99999997532103202</v>
      </c>
    </row>
    <row r="4216" spans="1:40" x14ac:dyDescent="0.25">
      <c r="A4216" t="str">
        <f>"20190304154837534"</f>
        <v>20190304154837534</v>
      </c>
      <c r="B4216" t="str">
        <f>"1551685717531092"</f>
        <v>1551685717531092</v>
      </c>
      <c r="C4216" t="s">
        <v>40</v>
      </c>
      <c r="D4216">
        <v>4.3769600000000004</v>
      </c>
      <c r="E4216">
        <v>0.68189390000000005</v>
      </c>
      <c r="F4216" t="s">
        <v>60</v>
      </c>
      <c r="G4216">
        <v>-383.24329999999998</v>
      </c>
      <c r="H4216" s="1">
        <v>3.8190289999999998E-7</v>
      </c>
      <c r="I4216">
        <v>210.20660000000001</v>
      </c>
      <c r="J4216">
        <v>-392.75150000000002</v>
      </c>
      <c r="K4216">
        <v>1.1101989999999999</v>
      </c>
      <c r="L4216">
        <v>213.7687</v>
      </c>
      <c r="M4216">
        <v>0.99983520000000004</v>
      </c>
      <c r="N4216">
        <v>-1.0518980000000001E-2</v>
      </c>
      <c r="O4216">
        <v>1.4791159999999999E-2</v>
      </c>
      <c r="P4216">
        <v>0.9844387</v>
      </c>
      <c r="Q4216">
        <v>0.1435884</v>
      </c>
      <c r="R4216">
        <v>0.1013056</v>
      </c>
      <c r="S4216">
        <v>3.2205810000000001</v>
      </c>
      <c r="T4216">
        <v>-0.3626047</v>
      </c>
      <c r="U4216">
        <v>-1.1616519999999999</v>
      </c>
      <c r="V4216">
        <v>-8.6814139999999998E-2</v>
      </c>
      <c r="W4216">
        <v>0.15390470000000001</v>
      </c>
      <c r="X4216">
        <v>0.98426449999999999</v>
      </c>
      <c r="Y4216">
        <v>0.35094049999999999</v>
      </c>
      <c r="Z4216">
        <v>-2.246561E-2</v>
      </c>
      <c r="AA4216">
        <v>0.93612830000000002</v>
      </c>
      <c r="AB4216">
        <v>36</v>
      </c>
      <c r="AC4216">
        <v>9.5082000000000395</v>
      </c>
      <c r="AD4216">
        <v>-1.1101986180971</v>
      </c>
      <c r="AE4216">
        <v>-3.5620999999999801</v>
      </c>
      <c r="AF4216">
        <v>3.65861496458874</v>
      </c>
      <c r="AG4216">
        <v>-1.1101986180971</v>
      </c>
      <c r="AH4216">
        <v>9.3427721110660595</v>
      </c>
      <c r="AI4216">
        <v>96.313993008309197</v>
      </c>
      <c r="AJ4216">
        <v>68.614766542786697</v>
      </c>
      <c r="AK4216">
        <v>10.0948202138547</v>
      </c>
      <c r="AL4216">
        <v>81.146721832461395</v>
      </c>
      <c r="AM4216">
        <v>95.0405606471532</v>
      </c>
      <c r="AN4216">
        <v>0.99999997877313895</v>
      </c>
    </row>
    <row r="4217" spans="1:40" x14ac:dyDescent="0.25">
      <c r="A4217" t="str">
        <f>"20190304154837557"</f>
        <v>20190304154837557</v>
      </c>
      <c r="B4217" t="str">
        <f>"1551685717550613"</f>
        <v>1551685717550613</v>
      </c>
      <c r="C4217" t="s">
        <v>40</v>
      </c>
      <c r="D4217">
        <v>4.3408030000000002</v>
      </c>
      <c r="E4217">
        <v>0.68150379999999999</v>
      </c>
      <c r="F4217" t="s">
        <v>60</v>
      </c>
      <c r="G4217">
        <v>-383.0025</v>
      </c>
      <c r="H4217" s="1">
        <v>2.5130599999999999E-7</v>
      </c>
      <c r="I4217">
        <v>210.262</v>
      </c>
      <c r="J4217">
        <v>-392.3689</v>
      </c>
      <c r="K4217">
        <v>1.110171</v>
      </c>
      <c r="L4217">
        <v>213.77449999999999</v>
      </c>
      <c r="M4217">
        <v>0.99983239999999995</v>
      </c>
      <c r="N4217">
        <v>-1.0551659999999999E-2</v>
      </c>
      <c r="O4217">
        <v>1.49608E-2</v>
      </c>
      <c r="P4217">
        <v>0.98449520000000001</v>
      </c>
      <c r="Q4217">
        <v>0.14338000000000001</v>
      </c>
      <c r="R4217">
        <v>0.1010523</v>
      </c>
      <c r="S4217">
        <v>3.2200929999999999</v>
      </c>
      <c r="T4217">
        <v>-0.3666973</v>
      </c>
      <c r="U4217">
        <v>-1.1582490000000001</v>
      </c>
      <c r="V4217">
        <v>-8.6381819999999998E-2</v>
      </c>
      <c r="W4217">
        <v>0.1537356</v>
      </c>
      <c r="X4217">
        <v>0.98432900000000001</v>
      </c>
      <c r="Y4217">
        <v>0.35022189999999997</v>
      </c>
      <c r="Z4217">
        <v>-2.268332E-2</v>
      </c>
      <c r="AA4217">
        <v>0.93639209999999995</v>
      </c>
      <c r="AB4217">
        <v>36</v>
      </c>
      <c r="AC4217">
        <v>9.3664000000000005</v>
      </c>
      <c r="AD4217">
        <v>-1.110170748694</v>
      </c>
      <c r="AE4217">
        <v>-3.5124999999999802</v>
      </c>
      <c r="AF4217">
        <v>3.6078078214042502</v>
      </c>
      <c r="AG4217">
        <v>-1.110170748694</v>
      </c>
      <c r="AH4217">
        <v>9.1994930744318708</v>
      </c>
      <c r="AI4217">
        <v>96.410114647778599</v>
      </c>
      <c r="AJ4217">
        <v>68.586148073139199</v>
      </c>
      <c r="AK4217">
        <v>9.9438136142006108</v>
      </c>
      <c r="AL4217">
        <v>81.156527584326199</v>
      </c>
      <c r="AM4217">
        <v>95.015260867389003</v>
      </c>
      <c r="AN4217">
        <v>1.0000000168874299</v>
      </c>
    </row>
    <row r="4218" spans="1:40" x14ac:dyDescent="0.25">
      <c r="A4218" t="str">
        <f>"20190304154837579"</f>
        <v>20190304154837579</v>
      </c>
      <c r="B4218" t="str">
        <f>"1551685717571109"</f>
        <v>1551685717571109</v>
      </c>
      <c r="C4218" t="s">
        <v>40</v>
      </c>
      <c r="D4218">
        <v>4.3572170000000003</v>
      </c>
      <c r="E4218">
        <v>0.68140290000000003</v>
      </c>
      <c r="F4218" t="s">
        <v>60</v>
      </c>
      <c r="G4218">
        <v>-382.55520000000001</v>
      </c>
      <c r="H4218" s="1">
        <v>1.383945E-8</v>
      </c>
      <c r="I4218">
        <v>210.25</v>
      </c>
      <c r="J4218">
        <v>-392.0104</v>
      </c>
      <c r="K4218">
        <v>1.1101460000000001</v>
      </c>
      <c r="L4218">
        <v>213.78</v>
      </c>
      <c r="M4218">
        <v>0.99983010000000005</v>
      </c>
      <c r="N4218">
        <v>-1.0583800000000001E-2</v>
      </c>
      <c r="O4218">
        <v>1.509449E-2</v>
      </c>
      <c r="P4218">
        <v>0.98450870000000001</v>
      </c>
      <c r="Q4218">
        <v>0.14376520000000001</v>
      </c>
      <c r="R4218">
        <v>0.1003714</v>
      </c>
      <c r="S4218">
        <v>3.2189640000000002</v>
      </c>
      <c r="T4218">
        <v>-0.36414580000000002</v>
      </c>
      <c r="U4218">
        <v>-1.1560520000000001</v>
      </c>
      <c r="V4218">
        <v>-8.5559410000000002E-2</v>
      </c>
      <c r="W4218">
        <v>0.1541582</v>
      </c>
      <c r="X4218">
        <v>0.98433470000000001</v>
      </c>
      <c r="Y4218">
        <v>0.34991460000000002</v>
      </c>
      <c r="Z4218">
        <v>-2.2547569999999999E-2</v>
      </c>
      <c r="AA4218">
        <v>0.93651019999999896</v>
      </c>
      <c r="AB4218">
        <v>36</v>
      </c>
      <c r="AC4218">
        <v>9.4551999999999907</v>
      </c>
      <c r="AD4218">
        <v>-1.1101459861605401</v>
      </c>
      <c r="AE4218">
        <v>-3.53</v>
      </c>
      <c r="AF4218">
        <v>3.62842688525122</v>
      </c>
      <c r="AG4218">
        <v>-1.1101459861605401</v>
      </c>
      <c r="AH4218">
        <v>9.2884551757114</v>
      </c>
      <c r="AI4218">
        <v>96.352368130427905</v>
      </c>
      <c r="AJ4218">
        <v>68.662476639900106</v>
      </c>
      <c r="AK4218">
        <v>10.0336087886364</v>
      </c>
      <c r="AL4218">
        <v>81.132021955295798</v>
      </c>
      <c r="AM4218">
        <v>94.967723843216703</v>
      </c>
      <c r="AN4218">
        <v>0.99999998244543897</v>
      </c>
    </row>
    <row r="4219" spans="1:40" x14ac:dyDescent="0.25">
      <c r="A4219" t="str">
        <f>"20190304154837601"</f>
        <v>20190304154837601</v>
      </c>
      <c r="B4219" t="str">
        <f>"1551685717590629"</f>
        <v>1551685717590629</v>
      </c>
      <c r="C4219" t="s">
        <v>40</v>
      </c>
      <c r="D4219">
        <v>4.3129049999999998</v>
      </c>
      <c r="E4219">
        <v>0.68130249999999903</v>
      </c>
      <c r="F4219" t="s">
        <v>60</v>
      </c>
      <c r="G4219">
        <v>-382.23360000000002</v>
      </c>
      <c r="H4219" s="1">
        <v>-1.579992E-7</v>
      </c>
      <c r="I4219">
        <v>210.2653</v>
      </c>
      <c r="J4219">
        <v>-391.64920000000001</v>
      </c>
      <c r="K4219">
        <v>1.11012</v>
      </c>
      <c r="L4219">
        <v>213.78559999999999</v>
      </c>
      <c r="M4219">
        <v>0.99982819999999994</v>
      </c>
      <c r="N4219">
        <v>-1.061636E-2</v>
      </c>
      <c r="O4219">
        <v>1.520579E-2</v>
      </c>
      <c r="P4219">
        <v>0.98447479999999998</v>
      </c>
      <c r="Q4219">
        <v>0.14439730000000001</v>
      </c>
      <c r="R4219">
        <v>9.9795590000000003E-2</v>
      </c>
      <c r="S4219">
        <v>3.2185359999999998</v>
      </c>
      <c r="T4219">
        <v>-0.36546099999999998</v>
      </c>
      <c r="U4219">
        <v>-1.157043</v>
      </c>
      <c r="V4219">
        <v>-8.4866059999999993E-2</v>
      </c>
      <c r="W4219">
        <v>0.1548272</v>
      </c>
      <c r="X4219">
        <v>0.98428970000000005</v>
      </c>
      <c r="Y4219">
        <v>0.35029450000000001</v>
      </c>
      <c r="Z4219">
        <v>-2.266336E-2</v>
      </c>
      <c r="AA4219">
        <v>0.93636540000000001</v>
      </c>
      <c r="AB4219">
        <v>36</v>
      </c>
      <c r="AC4219">
        <v>9.41559999999998</v>
      </c>
      <c r="AD4219">
        <v>-1.1101201579991999</v>
      </c>
      <c r="AE4219">
        <v>-3.52029999999999</v>
      </c>
      <c r="AF4219">
        <v>3.6189357615646598</v>
      </c>
      <c r="AG4219">
        <v>-1.1101201579991999</v>
      </c>
      <c r="AH4219">
        <v>9.2481875972725494</v>
      </c>
      <c r="AI4219">
        <v>96.378204867326005</v>
      </c>
      <c r="AJ4219">
        <v>68.628949285398505</v>
      </c>
      <c r="AK4219">
        <v>9.9928993113046793</v>
      </c>
      <c r="AL4219">
        <v>81.093225096033606</v>
      </c>
      <c r="AM4219">
        <v>94.927889968614195</v>
      </c>
      <c r="AN4219">
        <v>0.99999996176292605</v>
      </c>
    </row>
    <row r="4220" spans="1:40" x14ac:dyDescent="0.25">
      <c r="A4220" t="str">
        <f>"20190304154837623"</f>
        <v>20190304154837623</v>
      </c>
      <c r="B4220" t="str">
        <f>"1551685717611125"</f>
        <v>1551685717611125</v>
      </c>
      <c r="C4220" t="s">
        <v>40</v>
      </c>
      <c r="D4220">
        <v>4.336849</v>
      </c>
      <c r="E4220">
        <v>0.68113950000000001</v>
      </c>
      <c r="F4220" t="s">
        <v>60</v>
      </c>
      <c r="G4220">
        <v>-381.89980000000003</v>
      </c>
      <c r="H4220" s="1">
        <v>-3.3624959999999898E-7</v>
      </c>
      <c r="I4220">
        <v>210.2799</v>
      </c>
      <c r="J4220">
        <v>-391.30180000000001</v>
      </c>
      <c r="K4220">
        <v>1.1101049999999999</v>
      </c>
      <c r="L4220">
        <v>213.79089999999999</v>
      </c>
      <c r="M4220">
        <v>0.99982649999999995</v>
      </c>
      <c r="N4220">
        <v>-1.0648070000000001E-2</v>
      </c>
      <c r="O4220">
        <v>1.5292500000000001E-2</v>
      </c>
      <c r="P4220">
        <v>0.9844039</v>
      </c>
      <c r="Q4220">
        <v>0.14478869999999999</v>
      </c>
      <c r="R4220">
        <v>9.9927749999999996E-2</v>
      </c>
      <c r="S4220">
        <v>3.218353</v>
      </c>
      <c r="T4220">
        <v>-0.36646139999999999</v>
      </c>
      <c r="U4220">
        <v>-1.157257</v>
      </c>
      <c r="V4220">
        <v>-8.4905850000000005E-2</v>
      </c>
      <c r="W4220">
        <v>0.1552531</v>
      </c>
      <c r="X4220">
        <v>0.98421930000000002</v>
      </c>
      <c r="Y4220">
        <v>0.35043370000000001</v>
      </c>
      <c r="Z4220">
        <v>-2.2743550000000001E-2</v>
      </c>
      <c r="AA4220">
        <v>0.93631140000000002</v>
      </c>
      <c r="AB4220">
        <v>36</v>
      </c>
      <c r="AC4220">
        <v>9.4019999999999797</v>
      </c>
      <c r="AD4220">
        <v>-1.1101053362495901</v>
      </c>
      <c r="AE4220">
        <v>-3.5109999999999899</v>
      </c>
      <c r="AF4220">
        <v>3.6102078990947302</v>
      </c>
      <c r="AG4220">
        <v>-1.1101053362495901</v>
      </c>
      <c r="AH4220">
        <v>9.2342276921395197</v>
      </c>
      <c r="AI4220">
        <v>96.388442867011804</v>
      </c>
      <c r="AJ4220">
        <v>68.646520562086906</v>
      </c>
      <c r="AK4220">
        <v>9.97681792970746</v>
      </c>
      <c r="AL4220">
        <v>81.068525202435197</v>
      </c>
      <c r="AM4220">
        <v>94.930539968282204</v>
      </c>
      <c r="AN4220">
        <v>1.0000000794581501</v>
      </c>
    </row>
    <row r="4221" spans="1:40" x14ac:dyDescent="0.25">
      <c r="A4221" t="str">
        <f>"20190304154837644"</f>
        <v>20190304154837644</v>
      </c>
      <c r="B4221" t="str">
        <f>"1551685717641006"</f>
        <v>1551685717641006</v>
      </c>
      <c r="C4221" t="s">
        <v>40</v>
      </c>
      <c r="D4221">
        <v>4.3940549999999998</v>
      </c>
      <c r="E4221">
        <v>0.585754</v>
      </c>
      <c r="F4221" t="s">
        <v>60</v>
      </c>
      <c r="G4221">
        <v>-381.56009999999998</v>
      </c>
      <c r="H4221" s="1">
        <v>-5.1768029999999898E-7</v>
      </c>
      <c r="I4221">
        <v>210.29409999999999</v>
      </c>
      <c r="J4221">
        <v>-390.94349999999997</v>
      </c>
      <c r="K4221">
        <v>1.110101</v>
      </c>
      <c r="L4221">
        <v>213.79650000000001</v>
      </c>
      <c r="M4221">
        <v>0.99982490000000002</v>
      </c>
      <c r="N4221">
        <v>-1.0682489999999999E-2</v>
      </c>
      <c r="O4221">
        <v>1.536437E-2</v>
      </c>
      <c r="P4221">
        <v>0.98425940000000001</v>
      </c>
      <c r="Q4221">
        <v>0.1458016</v>
      </c>
      <c r="R4221">
        <v>9.9874870000000004E-2</v>
      </c>
      <c r="S4221">
        <v>3.2187809999999999</v>
      </c>
      <c r="T4221">
        <v>-0.36678909999999998</v>
      </c>
      <c r="U4221">
        <v>-1.1553800000000001</v>
      </c>
      <c r="V4221">
        <v>-8.477759E-2</v>
      </c>
      <c r="W4221">
        <v>0.15630250000000001</v>
      </c>
      <c r="X4221">
        <v>0.98406419999999994</v>
      </c>
      <c r="Y4221">
        <v>0.34997590000000001</v>
      </c>
      <c r="Z4221">
        <v>-2.2746550000000001E-2</v>
      </c>
      <c r="AA4221">
        <v>0.9364825</v>
      </c>
      <c r="AB4221">
        <v>36</v>
      </c>
      <c r="AC4221">
        <v>9.3833999999999893</v>
      </c>
      <c r="AD4221">
        <v>-1.1101015176803</v>
      </c>
      <c r="AE4221">
        <v>-3.5024000000000202</v>
      </c>
      <c r="AF4221">
        <v>3.6019168351621098</v>
      </c>
      <c r="AG4221">
        <v>-1.1101015176803</v>
      </c>
      <c r="AH4221">
        <v>9.2152714969671603</v>
      </c>
      <c r="AI4221">
        <v>96.401658904977694</v>
      </c>
      <c r="AJ4221">
        <v>68.651266475504997</v>
      </c>
      <c r="AK4221">
        <v>9.9562723461040203</v>
      </c>
      <c r="AL4221">
        <v>81.007655484700194</v>
      </c>
      <c r="AM4221">
        <v>94.923900585088603</v>
      </c>
      <c r="AN4221">
        <v>1.00000003049704</v>
      </c>
    </row>
    <row r="4222" spans="1:40" x14ac:dyDescent="0.25">
      <c r="A4222" t="str">
        <f>"20190304154837667"</f>
        <v>20190304154837667</v>
      </c>
      <c r="B4222" t="str">
        <f>"1551685717661502"</f>
        <v>1551685717661502</v>
      </c>
      <c r="C4222" t="s">
        <v>40</v>
      </c>
      <c r="D4222">
        <v>4.4512119999999999</v>
      </c>
      <c r="E4222">
        <v>0.56197390000000003</v>
      </c>
      <c r="F4222" t="s">
        <v>60</v>
      </c>
      <c r="G4222">
        <v>-358.8415</v>
      </c>
      <c r="H4222" s="1">
        <v>3.3814450000000001E-6</v>
      </c>
      <c r="I4222">
        <v>209.73769999999999</v>
      </c>
      <c r="J4222">
        <v>-390.57889999999998</v>
      </c>
      <c r="K4222">
        <v>1.1100890000000001</v>
      </c>
      <c r="L4222">
        <v>213.8022</v>
      </c>
      <c r="M4222">
        <v>0.99982369999999998</v>
      </c>
      <c r="N4222">
        <v>-1.0717259999999999E-2</v>
      </c>
      <c r="O4222">
        <v>1.5422129999999999E-2</v>
      </c>
      <c r="P4222">
        <v>0.98417980000000005</v>
      </c>
      <c r="Q4222">
        <v>0.14630779999999999</v>
      </c>
      <c r="R4222">
        <v>9.9921990000000002E-2</v>
      </c>
      <c r="S4222">
        <v>3.1036990000000002</v>
      </c>
      <c r="T4222">
        <v>-0.1073267</v>
      </c>
      <c r="U4222">
        <v>-0.39241029999999999</v>
      </c>
      <c r="V4222">
        <v>-8.4762219999999999E-2</v>
      </c>
      <c r="W4222">
        <v>0.15684600000000001</v>
      </c>
      <c r="X4222">
        <v>0.98397900000000005</v>
      </c>
      <c r="Y4222">
        <v>0.14060780000000001</v>
      </c>
      <c r="Z4222">
        <v>-3.5441190000000001E-3</v>
      </c>
      <c r="AA4222">
        <v>0.99005900000000002</v>
      </c>
      <c r="AB4222">
        <v>36</v>
      </c>
      <c r="AC4222">
        <v>31.737399999999901</v>
      </c>
      <c r="AD4222">
        <v>-1.1100856185550001</v>
      </c>
      <c r="AE4222">
        <v>-4.0644999999999998</v>
      </c>
      <c r="AF4222">
        <v>4.5480286523426701</v>
      </c>
      <c r="AG4222">
        <v>-1.1100856185550001</v>
      </c>
      <c r="AH4222">
        <v>31.632862925827801</v>
      </c>
      <c r="AI4222">
        <v>91.989404357759994</v>
      </c>
      <c r="AJ4222">
        <v>81.818342264734397</v>
      </c>
      <c r="AK4222">
        <v>31.977411896325599</v>
      </c>
      <c r="AL4222">
        <v>80.976125959458599</v>
      </c>
      <c r="AM4222">
        <v>94.923436454497804</v>
      </c>
      <c r="AN4222">
        <v>0.99999998704816395</v>
      </c>
    </row>
    <row r="4223" spans="1:40" x14ac:dyDescent="0.25">
      <c r="A4223" t="str">
        <f>"20190304154837690"</f>
        <v>20190304154837690</v>
      </c>
      <c r="B4223" t="str">
        <f>"1551685717681022"</f>
        <v>1551685717681022</v>
      </c>
      <c r="C4223" t="s">
        <v>40</v>
      </c>
      <c r="D4223">
        <v>4.5520050000000003</v>
      </c>
      <c r="E4223">
        <v>0.55315009999999998</v>
      </c>
      <c r="F4223" t="s">
        <v>60</v>
      </c>
      <c r="G4223">
        <v>-346.81119999999999</v>
      </c>
      <c r="H4223" s="1">
        <v>2.0877759999999999E-6</v>
      </c>
      <c r="I4223">
        <v>210.92779999999999</v>
      </c>
      <c r="J4223">
        <v>-390.20530000000002</v>
      </c>
      <c r="K4223">
        <v>1.1100749999999999</v>
      </c>
      <c r="L4223">
        <v>213.80799999999999</v>
      </c>
      <c r="M4223">
        <v>0.99982260000000001</v>
      </c>
      <c r="N4223">
        <v>-1.0750590000000001E-2</v>
      </c>
      <c r="O4223">
        <v>1.5469119999999999E-2</v>
      </c>
      <c r="P4223">
        <v>0.98429809999999995</v>
      </c>
      <c r="Q4223">
        <v>0.1453776</v>
      </c>
      <c r="R4223">
        <v>0.1001151</v>
      </c>
      <c r="S4223">
        <v>3.0804140000000002</v>
      </c>
      <c r="T4223">
        <v>-7.8128929999999999E-2</v>
      </c>
      <c r="U4223">
        <v>-0.20230100000000001</v>
      </c>
      <c r="V4223">
        <v>-8.4900600000000007E-2</v>
      </c>
      <c r="W4223">
        <v>0.15595300000000001</v>
      </c>
      <c r="X4223">
        <v>0.98410900000000001</v>
      </c>
      <c r="Y4223">
        <v>8.0922510000000003E-2</v>
      </c>
      <c r="Z4223">
        <v>-1.6863189999999999E-3</v>
      </c>
      <c r="AA4223">
        <v>0.99671889999999996</v>
      </c>
      <c r="AB4223">
        <v>36</v>
      </c>
      <c r="AC4223">
        <v>43.394100000000002</v>
      </c>
      <c r="AD4223">
        <v>-1.1100729122239901</v>
      </c>
      <c r="AE4223">
        <v>-2.8801999999999999</v>
      </c>
      <c r="AF4223">
        <v>3.5488504607287501</v>
      </c>
      <c r="AG4223">
        <v>-1.1100729122239901</v>
      </c>
      <c r="AH4223">
        <v>43.316128751107797</v>
      </c>
      <c r="AI4223">
        <v>91.463111365335905</v>
      </c>
      <c r="AJ4223">
        <v>85.316270606182101</v>
      </c>
      <c r="AK4223">
        <v>43.475436874695298</v>
      </c>
      <c r="AL4223">
        <v>81.027928581952693</v>
      </c>
      <c r="AM4223">
        <v>94.9307864620977</v>
      </c>
      <c r="AN4223">
        <v>0.999999986985179</v>
      </c>
    </row>
    <row r="4224" spans="1:40" x14ac:dyDescent="0.25">
      <c r="A4224" t="str">
        <f>"20190304154837712"</f>
        <v>20190304154837712</v>
      </c>
      <c r="B4224" t="str">
        <f>"1551685717701518"</f>
        <v>1551685717701518</v>
      </c>
      <c r="C4224" t="s">
        <v>40</v>
      </c>
      <c r="D4224">
        <v>4.4318019999999896</v>
      </c>
      <c r="E4224">
        <v>0.54846629999999996</v>
      </c>
      <c r="F4224" t="s">
        <v>60</v>
      </c>
      <c r="G4224">
        <v>-329.68709999999999</v>
      </c>
      <c r="H4224" s="1">
        <v>3.6182130000000001E-6</v>
      </c>
      <c r="I4224">
        <v>211.21719999999999</v>
      </c>
      <c r="J4224">
        <v>-389.85239999999999</v>
      </c>
      <c r="K4224">
        <v>1.110061</v>
      </c>
      <c r="L4224">
        <v>213.8135</v>
      </c>
      <c r="M4224">
        <v>0.99982170000000004</v>
      </c>
      <c r="N4224">
        <v>-1.077903E-2</v>
      </c>
      <c r="O4224">
        <v>1.5503060000000001E-2</v>
      </c>
      <c r="P4224">
        <v>0.98430819999999997</v>
      </c>
      <c r="Q4224">
        <v>0.14513789999999999</v>
      </c>
      <c r="R4224">
        <v>0.10036059999999999</v>
      </c>
      <c r="S4224">
        <v>3.06955</v>
      </c>
      <c r="T4224">
        <v>-5.6304100000000003E-2</v>
      </c>
      <c r="U4224">
        <v>-0.13140869999999999</v>
      </c>
      <c r="V4224">
        <v>-8.5107559999999999E-2</v>
      </c>
      <c r="W4224">
        <v>0.15574440000000001</v>
      </c>
      <c r="X4224">
        <v>0.9841242</v>
      </c>
      <c r="Y4224">
        <v>5.8239899999999997E-2</v>
      </c>
      <c r="Z4224">
        <v>-9.6513990000000004E-4</v>
      </c>
      <c r="AA4224">
        <v>0.99830220000000003</v>
      </c>
      <c r="AB4224">
        <v>36</v>
      </c>
      <c r="AC4224">
        <v>60.165300000000002</v>
      </c>
      <c r="AD4224">
        <v>-1.1100573817870001</v>
      </c>
      <c r="AE4224">
        <v>-2.59630000000001</v>
      </c>
      <c r="AF4224">
        <v>3.5275898204036999</v>
      </c>
      <c r="AG4224">
        <v>-1.1100573817870001</v>
      </c>
      <c r="AH4224">
        <v>60.097396021180501</v>
      </c>
      <c r="AI4224">
        <v>91.0563706130757</v>
      </c>
      <c r="AJ4224">
        <v>86.640713669180599</v>
      </c>
      <c r="AK4224">
        <v>60.211071455825099</v>
      </c>
      <c r="AL4224">
        <v>81.040028699481198</v>
      </c>
      <c r="AM4224">
        <v>94.942670676153199</v>
      </c>
      <c r="AN4224">
        <v>1.0000000279630701</v>
      </c>
    </row>
    <row r="4225" spans="1:40" x14ac:dyDescent="0.25">
      <c r="A4225" t="str">
        <f>"20190304154837734"</f>
        <v>20190304154837734</v>
      </c>
      <c r="B4225" t="str">
        <f>"1551685717731217"</f>
        <v>1551685717731217</v>
      </c>
      <c r="C4225" t="s">
        <v>40</v>
      </c>
      <c r="D4225">
        <v>4.4303990000000004</v>
      </c>
      <c r="E4225">
        <v>0.54451989999999995</v>
      </c>
      <c r="F4225" t="s">
        <v>60</v>
      </c>
      <c r="G4225">
        <v>-334.8175</v>
      </c>
      <c r="H4225" s="1">
        <v>1.1356439999999999E-6</v>
      </c>
      <c r="I4225">
        <v>212.12690000000001</v>
      </c>
      <c r="J4225">
        <v>-389.49880000000002</v>
      </c>
      <c r="K4225">
        <v>1.110053</v>
      </c>
      <c r="L4225">
        <v>213.81899999999999</v>
      </c>
      <c r="M4225">
        <v>0.99982110000000002</v>
      </c>
      <c r="N4225">
        <v>-1.0804899999999999E-2</v>
      </c>
      <c r="O4225">
        <v>1.5528520000000001E-2</v>
      </c>
      <c r="P4225">
        <v>0.98434310000000003</v>
      </c>
      <c r="Q4225">
        <v>0.14503629999999901</v>
      </c>
      <c r="R4225">
        <v>0.10016750000000001</v>
      </c>
      <c r="S4225">
        <v>3.0665589999999998</v>
      </c>
      <c r="T4225">
        <v>-6.1852810000000001E-2</v>
      </c>
      <c r="U4225">
        <v>-9.3978880000000001E-2</v>
      </c>
      <c r="V4225">
        <v>-8.488424E-2</v>
      </c>
      <c r="W4225">
        <v>0.15567139999999999</v>
      </c>
      <c r="X4225">
        <v>0.984155</v>
      </c>
      <c r="Y4225">
        <v>4.6135339999999997E-2</v>
      </c>
      <c r="Z4225">
        <v>-8.598484E-4</v>
      </c>
      <c r="AA4225">
        <v>0.99893480000000001</v>
      </c>
      <c r="AB4225">
        <v>36</v>
      </c>
      <c r="AC4225">
        <v>54.6813</v>
      </c>
      <c r="AD4225">
        <v>-1.110051864356</v>
      </c>
      <c r="AE4225">
        <v>-1.6921000000000099</v>
      </c>
      <c r="AF4225">
        <v>2.5400193787180299</v>
      </c>
      <c r="AG4225">
        <v>-1.110051864356</v>
      </c>
      <c r="AH4225">
        <v>54.625938568501802</v>
      </c>
      <c r="AI4225">
        <v>91.162889270443301</v>
      </c>
      <c r="AJ4225">
        <v>87.337754835115703</v>
      </c>
      <c r="AK4225">
        <v>54.696225446328199</v>
      </c>
      <c r="AL4225">
        <v>81.044262606414193</v>
      </c>
      <c r="AM4225">
        <v>94.929611714275794</v>
      </c>
      <c r="AN4225">
        <v>0.99999999150166796</v>
      </c>
    </row>
    <row r="4226" spans="1:40" x14ac:dyDescent="0.25">
      <c r="A4226" t="str">
        <f>"20190304154837758"</f>
        <v>20190304154837758</v>
      </c>
      <c r="B4226" t="str">
        <f>"1551685717750737"</f>
        <v>1551685717750737</v>
      </c>
      <c r="C4226" t="s">
        <v>40</v>
      </c>
      <c r="D4226">
        <v>4.4479480000000002</v>
      </c>
      <c r="E4226">
        <v>0.54287680000000005</v>
      </c>
      <c r="F4226" t="s">
        <v>60</v>
      </c>
      <c r="G4226">
        <v>-339.07569999999998</v>
      </c>
      <c r="H4226" s="1">
        <v>3.3731170000000002E-6</v>
      </c>
      <c r="I4226">
        <v>212.77940000000001</v>
      </c>
      <c r="J4226">
        <v>-389.1003</v>
      </c>
      <c r="K4226">
        <v>1.1100410000000001</v>
      </c>
      <c r="L4226">
        <v>213.8252</v>
      </c>
      <c r="M4226">
        <v>0.99982040000000005</v>
      </c>
      <c r="N4226">
        <v>-1.083244E-2</v>
      </c>
      <c r="O4226">
        <v>1.555016E-2</v>
      </c>
      <c r="P4226">
        <v>0.98429279999999997</v>
      </c>
      <c r="Q4226">
        <v>0.1449474</v>
      </c>
      <c r="R4226">
        <v>0.10078620000000001</v>
      </c>
      <c r="S4226">
        <v>3.0640559999999999</v>
      </c>
      <c r="T4226">
        <v>-6.7454219999999995E-2</v>
      </c>
      <c r="U4226">
        <v>-6.3171389999999994E-2</v>
      </c>
      <c r="V4226">
        <v>-8.5477750000000005E-2</v>
      </c>
      <c r="W4226">
        <v>0.1556111</v>
      </c>
      <c r="X4226">
        <v>0.98411320000000002</v>
      </c>
      <c r="Y4226">
        <v>3.6143769999999999E-2</v>
      </c>
      <c r="Z4226">
        <v>-7.6741690000000002E-4</v>
      </c>
      <c r="AA4226">
        <v>0.99934630000000002</v>
      </c>
      <c r="AB4226">
        <v>36</v>
      </c>
      <c r="AC4226">
        <v>50.0246</v>
      </c>
      <c r="AD4226">
        <v>-1.1100376268829999</v>
      </c>
      <c r="AE4226">
        <v>-1.0457999999999801</v>
      </c>
      <c r="AF4226">
        <v>1.8227126298767</v>
      </c>
      <c r="AG4226">
        <v>-1.1100376268829999</v>
      </c>
      <c r="AH4226">
        <v>49.977689748070901</v>
      </c>
      <c r="AI4226">
        <v>91.271522987765806</v>
      </c>
      <c r="AJ4226">
        <v>87.911318510590903</v>
      </c>
      <c r="AK4226">
        <v>50.023233976009898</v>
      </c>
      <c r="AL4226">
        <v>81.047760469494406</v>
      </c>
      <c r="AM4226">
        <v>94.964117689098501</v>
      </c>
      <c r="AN4226">
        <v>1.00000002530125</v>
      </c>
    </row>
    <row r="4227" spans="1:40" x14ac:dyDescent="0.25">
      <c r="A4227" t="str">
        <f>"20190304154837781"</f>
        <v>20190304154837781</v>
      </c>
      <c r="B4227" t="str">
        <f>"1551685717771233"</f>
        <v>1551685717771233</v>
      </c>
      <c r="C4227" t="s">
        <v>40</v>
      </c>
      <c r="D4227">
        <v>4.4151639999999999</v>
      </c>
      <c r="E4227">
        <v>0.54244609999999904</v>
      </c>
      <c r="F4227" t="s">
        <v>60</v>
      </c>
      <c r="G4227">
        <v>-341.83550000000002</v>
      </c>
      <c r="H4227" s="1">
        <v>-5.6003800000000003E-7</v>
      </c>
      <c r="I4227">
        <v>213.0822</v>
      </c>
      <c r="J4227">
        <v>-388.72390000000001</v>
      </c>
      <c r="K4227">
        <v>1.1100380000000001</v>
      </c>
      <c r="L4227">
        <v>213.83109999999999</v>
      </c>
      <c r="M4227">
        <v>0.99981989999999998</v>
      </c>
      <c r="N4227">
        <v>-1.0860669999999999E-2</v>
      </c>
      <c r="O4227">
        <v>1.556395E-2</v>
      </c>
      <c r="P4227">
        <v>0.98419690000000004</v>
      </c>
      <c r="Q4227">
        <v>0.1451625</v>
      </c>
      <c r="R4227">
        <v>0.1014125</v>
      </c>
      <c r="S4227">
        <v>3.0633849999999998</v>
      </c>
      <c r="T4227">
        <v>-7.1945309999999998E-2</v>
      </c>
      <c r="U4227">
        <v>-4.8156740000000003E-2</v>
      </c>
      <c r="V4227">
        <v>-8.6088639999999994E-2</v>
      </c>
      <c r="W4227">
        <v>0.15585460000000001</v>
      </c>
      <c r="X4227">
        <v>0.98402140000000005</v>
      </c>
      <c r="Y4227">
        <v>3.1265359999999999E-2</v>
      </c>
      <c r="Z4227">
        <v>-7.333385E-4</v>
      </c>
      <c r="AA4227">
        <v>0.99951080000000003</v>
      </c>
      <c r="AB4227">
        <v>37</v>
      </c>
      <c r="AC4227">
        <v>46.888399999999898</v>
      </c>
      <c r="AD4227">
        <v>-1.1100385600379901</v>
      </c>
      <c r="AE4227">
        <v>-0.74889999999999102</v>
      </c>
      <c r="AF4227">
        <v>1.47779299258074</v>
      </c>
      <c r="AG4227">
        <v>-1.1100385600379901</v>
      </c>
      <c r="AH4227">
        <v>46.844815424252701</v>
      </c>
      <c r="AI4227">
        <v>91.356756733986202</v>
      </c>
      <c r="AJ4227">
        <v>88.193114231071704</v>
      </c>
      <c r="AK4227">
        <v>46.881262673545798</v>
      </c>
      <c r="AL4227">
        <v>81.033636513957404</v>
      </c>
      <c r="AM4227">
        <v>94.999879973258501</v>
      </c>
      <c r="AN4227">
        <v>1.0000000129680799</v>
      </c>
    </row>
    <row r="4228" spans="1:40" x14ac:dyDescent="0.25">
      <c r="A4228" t="str">
        <f>"20190304154837802"</f>
        <v>20190304154837802</v>
      </c>
      <c r="B4228" t="str">
        <f>"1551685717790752"</f>
        <v>1551685717790752</v>
      </c>
      <c r="C4228" t="s">
        <v>40</v>
      </c>
      <c r="D4228">
        <v>4.4013619999999998</v>
      </c>
      <c r="E4228">
        <v>0.54180879999999998</v>
      </c>
      <c r="F4228" t="s">
        <v>60</v>
      </c>
      <c r="G4228">
        <v>-341.59480000000002</v>
      </c>
      <c r="H4228" s="1">
        <v>-6.8813540000000001E-7</v>
      </c>
      <c r="I4228">
        <v>213.17</v>
      </c>
      <c r="J4228">
        <v>-388.37950000000001</v>
      </c>
      <c r="K4228">
        <v>1.110033</v>
      </c>
      <c r="L4228">
        <v>213.8365</v>
      </c>
      <c r="M4228">
        <v>0.99981949999999997</v>
      </c>
      <c r="N4228">
        <v>-1.088707E-2</v>
      </c>
      <c r="O4228">
        <v>1.557235E-2</v>
      </c>
      <c r="P4228">
        <v>0.98418059999999996</v>
      </c>
      <c r="Q4228">
        <v>0.14499790000000001</v>
      </c>
      <c r="R4228">
        <v>0.1018051</v>
      </c>
      <c r="S4228">
        <v>3.063202</v>
      </c>
      <c r="T4228">
        <v>-7.2147970000000006E-2</v>
      </c>
      <c r="U4228">
        <v>-4.296875E-2</v>
      </c>
      <c r="V4228">
        <v>-8.647059E-2</v>
      </c>
      <c r="W4228">
        <v>0.155718</v>
      </c>
      <c r="X4228">
        <v>0.98400949999999998</v>
      </c>
      <c r="Y4228">
        <v>2.9582819999999999E-2</v>
      </c>
      <c r="Z4228">
        <v>-7.0658449999999996E-4</v>
      </c>
      <c r="AA4228">
        <v>0.99956210000000001</v>
      </c>
      <c r="AB4228">
        <v>37</v>
      </c>
      <c r="AC4228">
        <v>46.784700000000001</v>
      </c>
      <c r="AD4228">
        <v>-1.1100336881354</v>
      </c>
      <c r="AE4228">
        <v>-0.66650000000001297</v>
      </c>
      <c r="AF4228">
        <v>1.3942253447027599</v>
      </c>
      <c r="AG4228">
        <v>-1.1100336881354</v>
      </c>
      <c r="AH4228">
        <v>46.742338852496601</v>
      </c>
      <c r="AI4228">
        <v>91.359795788922796</v>
      </c>
      <c r="AJ4228">
        <v>88.291494354848695</v>
      </c>
      <c r="AK4228">
        <v>46.776300414870597</v>
      </c>
      <c r="AL4228">
        <v>81.041559532753098</v>
      </c>
      <c r="AM4228">
        <v>95.022010203160093</v>
      </c>
      <c r="AN4228">
        <v>0.999999977274598</v>
      </c>
    </row>
    <row r="4229" spans="1:40" x14ac:dyDescent="0.25">
      <c r="A4229" t="str">
        <f>"20190304154837825"</f>
        <v>20190304154837825</v>
      </c>
      <c r="B4229" t="str">
        <f>"1551685717821008"</f>
        <v>1551685717821008</v>
      </c>
      <c r="C4229" t="s">
        <v>40</v>
      </c>
      <c r="D4229">
        <v>4.3779769999999996</v>
      </c>
      <c r="E4229">
        <v>0.54058869999999903</v>
      </c>
      <c r="F4229" t="s">
        <v>60</v>
      </c>
      <c r="G4229">
        <v>-340.98899999999998</v>
      </c>
      <c r="H4229" s="1">
        <v>-1.0104750000000001E-6</v>
      </c>
      <c r="I4229">
        <v>213.2722</v>
      </c>
      <c r="J4229">
        <v>-388.01519999999999</v>
      </c>
      <c r="K4229">
        <v>1.1100289999999999</v>
      </c>
      <c r="L4229">
        <v>213.84219999999999</v>
      </c>
      <c r="M4229">
        <v>0.99981909999999896</v>
      </c>
      <c r="N4229">
        <v>-1.091364E-2</v>
      </c>
      <c r="O4229">
        <v>1.557802E-2</v>
      </c>
      <c r="P4229">
        <v>0.98411950000000004</v>
      </c>
      <c r="Q4229">
        <v>0.14535490000000001</v>
      </c>
      <c r="R4229">
        <v>0.10188709999999999</v>
      </c>
      <c r="S4229">
        <v>3.062592</v>
      </c>
      <c r="T4229">
        <v>-7.1735499999999994E-2</v>
      </c>
      <c r="U4229">
        <v>-3.6468510000000003E-2</v>
      </c>
      <c r="V4229">
        <v>-8.6545520000000001E-2</v>
      </c>
      <c r="W4229">
        <v>0.1561014</v>
      </c>
      <c r="X4229">
        <v>0.98394219999999999</v>
      </c>
      <c r="Y4229">
        <v>2.7471019999999999E-2</v>
      </c>
      <c r="Z4229">
        <v>-6.664374E-4</v>
      </c>
      <c r="AA4229">
        <v>0.99962240000000002</v>
      </c>
      <c r="AB4229">
        <v>37</v>
      </c>
      <c r="AC4229">
        <v>47.026199999999903</v>
      </c>
      <c r="AD4229">
        <v>-1.1100300104750001</v>
      </c>
      <c r="AE4229">
        <v>-0.56999999999999296</v>
      </c>
      <c r="AF4229">
        <v>1.30182430127517</v>
      </c>
      <c r="AG4229">
        <v>-1.1100300104750001</v>
      </c>
      <c r="AH4229">
        <v>46.985437791269398</v>
      </c>
      <c r="AI4229">
        <v>91.352840893752401</v>
      </c>
      <c r="AJ4229">
        <v>88.412913369024594</v>
      </c>
      <c r="AK4229">
        <v>47.016574498497803</v>
      </c>
      <c r="AL4229">
        <v>81.019320702775403</v>
      </c>
      <c r="AM4229">
        <v>95.026681711531396</v>
      </c>
      <c r="AN4229">
        <v>1.0000000135274301</v>
      </c>
    </row>
    <row r="4230" spans="1:40" x14ac:dyDescent="0.25">
      <c r="A4230" t="str">
        <f>"20190304154837846"</f>
        <v>20190304154837846</v>
      </c>
      <c r="B4230" t="str">
        <f>"1551685717841035"</f>
        <v>1551685717841035</v>
      </c>
      <c r="C4230" t="s">
        <v>40</v>
      </c>
      <c r="D4230">
        <v>4.385294</v>
      </c>
      <c r="E4230">
        <v>0.53984549999999998</v>
      </c>
      <c r="F4230" t="s">
        <v>60</v>
      </c>
      <c r="G4230">
        <v>-342.86669999999998</v>
      </c>
      <c r="H4230" s="1">
        <v>-1.1291999999999999E-8</v>
      </c>
      <c r="I4230">
        <v>213.4512</v>
      </c>
      <c r="J4230">
        <v>-387.6574</v>
      </c>
      <c r="K4230">
        <v>1.1100270000000001</v>
      </c>
      <c r="L4230">
        <v>213.8477</v>
      </c>
      <c r="M4230">
        <v>0.99981889999999995</v>
      </c>
      <c r="N4230">
        <v>-1.0937489999999999E-2</v>
      </c>
      <c r="O4230">
        <v>1.558116E-2</v>
      </c>
      <c r="P4230">
        <v>0.98410549999999997</v>
      </c>
      <c r="Q4230">
        <v>0.1454105</v>
      </c>
      <c r="R4230">
        <v>0.1019441</v>
      </c>
      <c r="S4230">
        <v>3.0622859999999998</v>
      </c>
      <c r="T4230">
        <v>-7.5289850000000005E-2</v>
      </c>
      <c r="U4230">
        <v>-2.651978E-2</v>
      </c>
      <c r="V4230">
        <v>-8.6597419999999994E-2</v>
      </c>
      <c r="W4230">
        <v>0.1561814</v>
      </c>
      <c r="X4230">
        <v>0.98392489999999999</v>
      </c>
      <c r="Y4230">
        <v>2.4228220000000002E-2</v>
      </c>
      <c r="Z4230">
        <v>-6.4292389999999998E-4</v>
      </c>
      <c r="AA4230">
        <v>0.99970630000000005</v>
      </c>
      <c r="AB4230">
        <v>37</v>
      </c>
      <c r="AC4230">
        <v>44.790700000000001</v>
      </c>
      <c r="AD4230">
        <v>-1.1100270112919901</v>
      </c>
      <c r="AE4230">
        <v>-0.39650000000000302</v>
      </c>
      <c r="AF4230">
        <v>1.0937129134985499</v>
      </c>
      <c r="AG4230">
        <v>-1.1100270112919901</v>
      </c>
      <c r="AH4230">
        <v>44.751600631906101</v>
      </c>
      <c r="AI4230">
        <v>91.420459822489804</v>
      </c>
      <c r="AJ4230">
        <v>88.599990592858205</v>
      </c>
      <c r="AK4230">
        <v>44.778724044132503</v>
      </c>
      <c r="AL4230">
        <v>81.014679781064601</v>
      </c>
      <c r="AM4230">
        <v>95.029768657796893</v>
      </c>
      <c r="AN4230">
        <v>0.99999997584831302</v>
      </c>
    </row>
    <row r="4231" spans="1:40" x14ac:dyDescent="0.25">
      <c r="A4231" t="str">
        <f>"20190304154837869"</f>
        <v>20190304154837869</v>
      </c>
      <c r="B4231" t="str">
        <f>"1551685717861531"</f>
        <v>1551685717861531</v>
      </c>
      <c r="C4231" t="s">
        <v>40</v>
      </c>
      <c r="D4231">
        <v>4.4214260000000003</v>
      </c>
      <c r="E4231">
        <v>0.53932880000000005</v>
      </c>
      <c r="F4231" t="s">
        <v>60</v>
      </c>
      <c r="G4231">
        <v>-344.28440000000001</v>
      </c>
      <c r="H4231" s="1">
        <v>7.4317029999999998E-7</v>
      </c>
      <c r="I4231">
        <v>213.5581</v>
      </c>
      <c r="J4231">
        <v>-387.27969999999999</v>
      </c>
      <c r="K4231">
        <v>1.110025</v>
      </c>
      <c r="L4231">
        <v>213.8536</v>
      </c>
      <c r="M4231">
        <v>0.9998186</v>
      </c>
      <c r="N4231">
        <v>-1.0963779999999999E-2</v>
      </c>
      <c r="O4231">
        <v>1.5583100000000001E-2</v>
      </c>
      <c r="P4231">
        <v>0.98409769999999996</v>
      </c>
      <c r="Q4231">
        <v>0.14566490000000001</v>
      </c>
      <c r="R4231">
        <v>0.1016563</v>
      </c>
      <c r="S4231">
        <v>3.0621640000000001</v>
      </c>
      <c r="T4231">
        <v>-7.8368660000000007E-2</v>
      </c>
      <c r="U4231">
        <v>-2.0446780000000001E-2</v>
      </c>
      <c r="V4231">
        <v>-8.6305950000000006E-2</v>
      </c>
      <c r="W4231">
        <v>0.15646260000000001</v>
      </c>
      <c r="X4231">
        <v>0.9839059</v>
      </c>
      <c r="Y4231">
        <v>2.2247889999999999E-2</v>
      </c>
      <c r="Z4231">
        <v>-6.3452970000000002E-4</v>
      </c>
      <c r="AA4231">
        <v>0.99975230000000004</v>
      </c>
      <c r="AB4231">
        <v>37</v>
      </c>
      <c r="AC4231">
        <v>42.995299999999901</v>
      </c>
      <c r="AD4231">
        <v>-1.1100242568297001</v>
      </c>
      <c r="AE4231">
        <v>-0.29550000000000398</v>
      </c>
      <c r="AF4231">
        <v>0.96486127245895803</v>
      </c>
      <c r="AG4231">
        <v>-1.1100242568297001</v>
      </c>
      <c r="AH4231">
        <v>42.956842748047698</v>
      </c>
      <c r="AI4231">
        <v>91.479846387311994</v>
      </c>
      <c r="AJ4231">
        <v>88.713285678097904</v>
      </c>
      <c r="AK4231">
        <v>42.982013098578101</v>
      </c>
      <c r="AL4231">
        <v>80.998368261212505</v>
      </c>
      <c r="AM4231">
        <v>95.013022155459197</v>
      </c>
      <c r="AN4231">
        <v>1.00000004112948</v>
      </c>
    </row>
    <row r="4232" spans="1:40" x14ac:dyDescent="0.25">
      <c r="A4232" t="str">
        <f>"20190304154837891"</f>
        <v>20190304154837891</v>
      </c>
      <c r="B4232" t="str">
        <f>"1551685717881051"</f>
        <v>1551685717881051</v>
      </c>
      <c r="C4232" t="s">
        <v>40</v>
      </c>
      <c r="D4232">
        <v>4.3646089999999997</v>
      </c>
      <c r="E4232">
        <v>0.53886129999999999</v>
      </c>
      <c r="F4232" t="s">
        <v>60</v>
      </c>
      <c r="G4232">
        <v>-344.6207</v>
      </c>
      <c r="H4232" s="1">
        <v>9.2210289999999996E-7</v>
      </c>
      <c r="I4232">
        <v>213.61529999999999</v>
      </c>
      <c r="J4232">
        <v>-386.91660000000002</v>
      </c>
      <c r="K4232">
        <v>1.1100300000000001</v>
      </c>
      <c r="L4232">
        <v>213.85929999999999</v>
      </c>
      <c r="M4232">
        <v>0.99981830000000005</v>
      </c>
      <c r="N4232">
        <v>-1.0991239999999999E-2</v>
      </c>
      <c r="O4232">
        <v>1.5583619999999999E-2</v>
      </c>
      <c r="P4232">
        <v>0.98394910000000002</v>
      </c>
      <c r="Q4232">
        <v>0.1465825</v>
      </c>
      <c r="R4232">
        <v>0.1017758</v>
      </c>
      <c r="S4232">
        <v>3.0620729999999998</v>
      </c>
      <c r="T4232">
        <v>-7.9677819999999996E-2</v>
      </c>
      <c r="U4232">
        <v>-1.7105099999999901E-2</v>
      </c>
      <c r="V4232">
        <v>-8.6426530000000001E-2</v>
      </c>
      <c r="W4232">
        <v>0.15740589999999999</v>
      </c>
      <c r="X4232">
        <v>0.98374479999999997</v>
      </c>
      <c r="Y4232">
        <v>2.115773E-2</v>
      </c>
      <c r="Z4232">
        <v>-6.2567600000000003E-4</v>
      </c>
      <c r="AA4232">
        <v>0.99977590000000005</v>
      </c>
      <c r="AB4232">
        <v>37</v>
      </c>
      <c r="AC4232">
        <v>42.295900000000003</v>
      </c>
      <c r="AD4232">
        <v>-1.11002907789709</v>
      </c>
      <c r="AE4232">
        <v>-0.243999999999999</v>
      </c>
      <c r="AF4232">
        <v>0.90251172243214595</v>
      </c>
      <c r="AG4232">
        <v>-1.11002907789709</v>
      </c>
      <c r="AH4232">
        <v>42.2578558364537</v>
      </c>
      <c r="AI4232">
        <v>91.504356240881904</v>
      </c>
      <c r="AJ4232">
        <v>88.776505538030094</v>
      </c>
      <c r="AK4232">
        <v>42.282065605377099</v>
      </c>
      <c r="AL4232">
        <v>80.943642652177701</v>
      </c>
      <c r="AM4232">
        <v>95.0208080810892</v>
      </c>
      <c r="AN4232">
        <v>0.99999999698484499</v>
      </c>
    </row>
    <row r="4233" spans="1:40" x14ac:dyDescent="0.25">
      <c r="A4233" t="str">
        <f>"20190304154837913"</f>
        <v>20190304154837913</v>
      </c>
      <c r="B4233" t="str">
        <f>"1551685717900571"</f>
        <v>1551685717900571</v>
      </c>
      <c r="C4233" t="s">
        <v>40</v>
      </c>
      <c r="D4233">
        <v>4.5339900000000002</v>
      </c>
      <c r="E4233">
        <v>0.53815000000000002</v>
      </c>
      <c r="F4233" t="s">
        <v>60</v>
      </c>
      <c r="G4233">
        <v>-343.06760000000003</v>
      </c>
      <c r="H4233" s="1">
        <v>9.5635269999999996E-8</v>
      </c>
      <c r="I4233">
        <v>213.66759999999999</v>
      </c>
      <c r="J4233">
        <v>-386.57459999999998</v>
      </c>
      <c r="K4233">
        <v>1.110028</v>
      </c>
      <c r="L4233">
        <v>213.8646</v>
      </c>
      <c r="M4233">
        <v>0.99981810000000004</v>
      </c>
      <c r="N4233">
        <v>-1.1016730000000001E-2</v>
      </c>
      <c r="O4233">
        <v>1.5575179999999999E-2</v>
      </c>
      <c r="P4233">
        <v>0.98382389999999997</v>
      </c>
      <c r="Q4233">
        <v>0.14748269999999999</v>
      </c>
      <c r="R4233">
        <v>0.1016837</v>
      </c>
      <c r="S4233">
        <v>3.0618289999999999</v>
      </c>
      <c r="T4233">
        <v>-7.7509640000000005E-2</v>
      </c>
      <c r="U4233">
        <v>-1.338196E-2</v>
      </c>
      <c r="V4233">
        <v>-8.6342290000000002E-2</v>
      </c>
      <c r="W4233">
        <v>0.1583311</v>
      </c>
      <c r="X4233">
        <v>0.98360369999999997</v>
      </c>
      <c r="Y4233">
        <v>1.993522E-2</v>
      </c>
      <c r="Z4233">
        <v>-5.8475529999999995E-4</v>
      </c>
      <c r="AA4233">
        <v>0.9998011</v>
      </c>
      <c r="AB4233">
        <v>37</v>
      </c>
      <c r="AC4233">
        <v>43.506999999999898</v>
      </c>
      <c r="AD4233">
        <v>-1.1100279043647201</v>
      </c>
      <c r="AE4233">
        <v>-0.19700000000000201</v>
      </c>
      <c r="AF4233">
        <v>0.874077547111201</v>
      </c>
      <c r="AG4233">
        <v>-1.1100279043647201</v>
      </c>
      <c r="AH4233">
        <v>43.470356872777003</v>
      </c>
      <c r="AI4233">
        <v>91.462450640925098</v>
      </c>
      <c r="AJ4233">
        <v>88.848083837802804</v>
      </c>
      <c r="AK4233">
        <v>43.493310981729401</v>
      </c>
      <c r="AL4233">
        <v>80.889959290426702</v>
      </c>
      <c r="AM4233">
        <v>95.016655149222899</v>
      </c>
      <c r="AN4233">
        <v>0.99999998346167096</v>
      </c>
    </row>
    <row r="4234" spans="1:40" x14ac:dyDescent="0.25">
      <c r="A4234" t="str">
        <f>"20190304154837935"</f>
        <v>20190304154837935</v>
      </c>
      <c r="B4234" t="str">
        <f>"1551685717930827"</f>
        <v>1551685717930827</v>
      </c>
      <c r="C4234" t="s">
        <v>40</v>
      </c>
      <c r="D4234">
        <v>4.3819619999999997</v>
      </c>
      <c r="E4234">
        <v>0.53760109999999905</v>
      </c>
      <c r="F4234" t="s">
        <v>60</v>
      </c>
      <c r="G4234">
        <v>-341.70260000000002</v>
      </c>
      <c r="H4234" s="1">
        <v>-6.3073000000000004E-7</v>
      </c>
      <c r="I4234">
        <v>213.75370000000001</v>
      </c>
      <c r="J4234">
        <v>-386.20979999999997</v>
      </c>
      <c r="K4234">
        <v>1.110023</v>
      </c>
      <c r="L4234">
        <v>213.87029999999999</v>
      </c>
      <c r="M4234">
        <v>0.99981810000000004</v>
      </c>
      <c r="N4234">
        <v>-1.104259E-2</v>
      </c>
      <c r="O4234">
        <v>1.555583E-2</v>
      </c>
      <c r="P4234">
        <v>0.98385210000000001</v>
      </c>
      <c r="Q4234">
        <v>0.1473824</v>
      </c>
      <c r="R4234">
        <v>0.1015562</v>
      </c>
      <c r="S4234">
        <v>3.0614620000000001</v>
      </c>
      <c r="T4234">
        <v>-7.5733419999999996E-2</v>
      </c>
      <c r="U4234">
        <v>-7.5683590000000002E-3</v>
      </c>
      <c r="V4234">
        <v>-8.6229790000000001E-2</v>
      </c>
      <c r="W4234">
        <v>0.1582586</v>
      </c>
      <c r="X4234">
        <v>0.98362519999999998</v>
      </c>
      <c r="Y4234">
        <v>1.8019130000000001E-2</v>
      </c>
      <c r="Z4234">
        <v>-5.3532949999999895E-4</v>
      </c>
      <c r="AA4234">
        <v>0.99983750000000005</v>
      </c>
      <c r="AB4234">
        <v>37</v>
      </c>
      <c r="AC4234">
        <v>44.507199999999898</v>
      </c>
      <c r="AD4234">
        <v>-1.11002363073</v>
      </c>
      <c r="AE4234">
        <v>-0.116599999999976</v>
      </c>
      <c r="AF4234">
        <v>0.80847160709181598</v>
      </c>
      <c r="AG4234">
        <v>-1.11002363073</v>
      </c>
      <c r="AH4234">
        <v>44.472337621108103</v>
      </c>
      <c r="AI4234">
        <v>91.429562059008603</v>
      </c>
      <c r="AJ4234">
        <v>88.958523173129194</v>
      </c>
      <c r="AK4234">
        <v>44.493534275061599</v>
      </c>
      <c r="AL4234">
        <v>80.894165947487807</v>
      </c>
      <c r="AM4234">
        <v>95.010043016948401</v>
      </c>
      <c r="AN4234">
        <v>0.99999994761622002</v>
      </c>
    </row>
    <row r="4235" spans="1:40" x14ac:dyDescent="0.25">
      <c r="A4235" t="str">
        <f>"20190304154837960"</f>
        <v>20190304154837960</v>
      </c>
      <c r="B4235" t="str">
        <f>"1551685717951324"</f>
        <v>1551685717951324</v>
      </c>
      <c r="C4235" t="s">
        <v>40</v>
      </c>
      <c r="D4235">
        <v>4.3601559999999999</v>
      </c>
      <c r="E4235">
        <v>0.53727609999999904</v>
      </c>
      <c r="F4235" t="s">
        <v>60</v>
      </c>
      <c r="G4235">
        <v>-341.94459999999998</v>
      </c>
      <c r="H4235" s="1">
        <v>-5.0195249999999998E-7</v>
      </c>
      <c r="I4235">
        <v>213.81540000000001</v>
      </c>
      <c r="J4235">
        <v>-385.80739999999997</v>
      </c>
      <c r="K4235">
        <v>1.1100099999999999</v>
      </c>
      <c r="L4235">
        <v>213.87649999999999</v>
      </c>
      <c r="M4235">
        <v>0.99981830000000005</v>
      </c>
      <c r="N4235">
        <v>-1.107386E-2</v>
      </c>
      <c r="O4235">
        <v>1.551162E-2</v>
      </c>
      <c r="P4235">
        <v>0.98387729999999995</v>
      </c>
      <c r="Q4235">
        <v>0.1471471</v>
      </c>
      <c r="R4235">
        <v>0.1016513</v>
      </c>
      <c r="S4235">
        <v>3.0611269999999999</v>
      </c>
      <c r="T4235">
        <v>-7.6762800000000006E-2</v>
      </c>
      <c r="U4235">
        <v>-3.799438E-3</v>
      </c>
      <c r="V4235">
        <v>-8.6362069999999999E-2</v>
      </c>
      <c r="W4235">
        <v>0.15805759999999999</v>
      </c>
      <c r="X4235">
        <v>0.98364600000000002</v>
      </c>
      <c r="Y4235">
        <v>1.6744490000000001E-2</v>
      </c>
      <c r="Z4235">
        <v>-5.1979079999999996E-4</v>
      </c>
      <c r="AA4235">
        <v>0.99985970000000002</v>
      </c>
      <c r="AB4235">
        <v>37</v>
      </c>
      <c r="AC4235">
        <v>43.862799999999901</v>
      </c>
      <c r="AD4235">
        <v>-1.1100105019525</v>
      </c>
      <c r="AE4235">
        <v>-6.1099999999981898E-2</v>
      </c>
      <c r="AF4235">
        <v>0.741042924299397</v>
      </c>
      <c r="AG4235">
        <v>-1.1100105019525</v>
      </c>
      <c r="AH4235">
        <v>43.828505917858799</v>
      </c>
      <c r="AI4235">
        <v>91.450568305202495</v>
      </c>
      <c r="AJ4235">
        <v>89.031347615502099</v>
      </c>
      <c r="AK4235">
        <v>43.848822092752798</v>
      </c>
      <c r="AL4235">
        <v>80.905829975953694</v>
      </c>
      <c r="AM4235">
        <v>95.017583858859794</v>
      </c>
      <c r="AN4235">
        <v>1.00000003268422</v>
      </c>
    </row>
    <row r="4236" spans="1:40" x14ac:dyDescent="0.25">
      <c r="A4236" t="str">
        <f>"20190304154837982"</f>
        <v>20190304154837982</v>
      </c>
      <c r="B4236" t="str">
        <f>"1551685717970843"</f>
        <v>1551685717970843</v>
      </c>
      <c r="C4236" t="s">
        <v>40</v>
      </c>
      <c r="D4236">
        <v>4.1933879999999997</v>
      </c>
      <c r="E4236">
        <v>0.53733999999999904</v>
      </c>
      <c r="F4236" t="s">
        <v>60</v>
      </c>
      <c r="G4236">
        <v>-342.24919999999997</v>
      </c>
      <c r="H4236" s="1">
        <v>-3.398799E-7</v>
      </c>
      <c r="I4236">
        <v>213.8546</v>
      </c>
      <c r="J4236">
        <v>-385.43740000000003</v>
      </c>
      <c r="K4236">
        <v>1.109993</v>
      </c>
      <c r="L4236">
        <v>213.88220000000001</v>
      </c>
      <c r="M4236">
        <v>0.99981920000000002</v>
      </c>
      <c r="N4236">
        <v>-1.110362E-2</v>
      </c>
      <c r="O4236">
        <v>1.5440219999999999E-2</v>
      </c>
      <c r="P4236">
        <v>0.98384249999999995</v>
      </c>
      <c r="Q4236">
        <v>0.14729389999999901</v>
      </c>
      <c r="R4236">
        <v>0.1017769</v>
      </c>
      <c r="S4236">
        <v>3.0609739999999999</v>
      </c>
      <c r="T4236">
        <v>-7.8003879999999998E-2</v>
      </c>
      <c r="U4236">
        <v>-1.5411379999999901E-3</v>
      </c>
      <c r="V4236">
        <v>-8.6549490000000007E-2</v>
      </c>
      <c r="W4236">
        <v>0.1582384</v>
      </c>
      <c r="X4236">
        <v>0.98360040000000004</v>
      </c>
      <c r="Y4236">
        <v>1.5935560000000001E-2</v>
      </c>
      <c r="Z4236">
        <v>-5.1346400000000004E-4</v>
      </c>
      <c r="AA4236">
        <v>0.99987289999999995</v>
      </c>
      <c r="AB4236">
        <v>37</v>
      </c>
      <c r="AC4236">
        <v>43.188200000000002</v>
      </c>
      <c r="AD4236">
        <v>-1.1099933398799</v>
      </c>
      <c r="AE4236">
        <v>-2.7600000000006699E-2</v>
      </c>
      <c r="AF4236">
        <v>0.69401465239408999</v>
      </c>
      <c r="AG4236">
        <v>-1.1099933398799</v>
      </c>
      <c r="AH4236">
        <v>43.154119081176397</v>
      </c>
      <c r="AI4236">
        <v>91.473224287616603</v>
      </c>
      <c r="AJ4236">
        <v>89.078635279610495</v>
      </c>
      <c r="AK4236">
        <v>43.173970575158698</v>
      </c>
      <c r="AL4236">
        <v>80.895338354273903</v>
      </c>
      <c r="AM4236">
        <v>95.028649003652006</v>
      </c>
      <c r="AN4236">
        <v>0.99999997616698899</v>
      </c>
    </row>
    <row r="4237" spans="1:40" x14ac:dyDescent="0.25">
      <c r="A4237" t="str">
        <f>"20190304154838003"</f>
        <v>20190304154838003</v>
      </c>
      <c r="B4237" t="str">
        <f>"1551685718001100"</f>
        <v>1551685718001100</v>
      </c>
      <c r="C4237" t="s">
        <v>40</v>
      </c>
      <c r="D4237">
        <v>3.9623089999999999</v>
      </c>
      <c r="E4237">
        <v>0.53825259999999997</v>
      </c>
      <c r="F4237" t="s">
        <v>60</v>
      </c>
      <c r="G4237">
        <v>-341.11200000000002</v>
      </c>
      <c r="H4237" s="1">
        <v>-9.4502500000000001E-7</v>
      </c>
      <c r="I4237">
        <v>213.85659999999999</v>
      </c>
      <c r="J4237">
        <v>-385.09190000000001</v>
      </c>
      <c r="K4237">
        <v>1.1099650000000001</v>
      </c>
      <c r="L4237">
        <v>213.88749999999999</v>
      </c>
      <c r="M4237">
        <v>0.99982040000000005</v>
      </c>
      <c r="N4237">
        <v>-1.1132349999999999E-2</v>
      </c>
      <c r="O4237">
        <v>1.534015E-2</v>
      </c>
      <c r="P4237">
        <v>0.98394859999999995</v>
      </c>
      <c r="Q4237">
        <v>0.14660870000000001</v>
      </c>
      <c r="R4237">
        <v>0.1017409</v>
      </c>
      <c r="S4237">
        <v>3.0609440000000001</v>
      </c>
      <c r="T4237">
        <v>-7.6652049999999999E-2</v>
      </c>
      <c r="U4237">
        <v>-1.77002E-3</v>
      </c>
      <c r="V4237">
        <v>-8.6600350000000006E-2</v>
      </c>
      <c r="W4237">
        <v>0.15758810000000001</v>
      </c>
      <c r="X4237">
        <v>0.98370029999999997</v>
      </c>
      <c r="Y4237">
        <v>1.59106E-2</v>
      </c>
      <c r="Z4237">
        <v>-5.0107839999999999E-4</v>
      </c>
      <c r="AA4237">
        <v>0.99987329999999996</v>
      </c>
      <c r="AB4237">
        <v>37</v>
      </c>
      <c r="AC4237">
        <v>43.979900000000001</v>
      </c>
      <c r="AD4237">
        <v>-1.1099659450249999</v>
      </c>
      <c r="AE4237">
        <v>-3.0900000000002498E-2</v>
      </c>
      <c r="AF4237">
        <v>0.70514725888390795</v>
      </c>
      <c r="AG4237">
        <v>-1.1099659450249999</v>
      </c>
      <c r="AH4237">
        <v>43.946258425600597</v>
      </c>
      <c r="AI4237">
        <v>91.446645698830594</v>
      </c>
      <c r="AJ4237">
        <v>89.080729588654904</v>
      </c>
      <c r="AK4237">
        <v>43.965928702411198</v>
      </c>
      <c r="AL4237">
        <v>80.933071043139506</v>
      </c>
      <c r="AM4237">
        <v>95.031080515428698</v>
      </c>
      <c r="AN4237">
        <v>0.99999995505090999</v>
      </c>
    </row>
    <row r="4238" spans="1:40" x14ac:dyDescent="0.25">
      <c r="A4238" t="str">
        <f>"20190304154838114"</f>
        <v>20190304154838114</v>
      </c>
      <c r="B4238" t="str">
        <f>"1551685718111387"</f>
        <v>1551685718111387</v>
      </c>
      <c r="C4238" t="s">
        <v>40</v>
      </c>
      <c r="D4238">
        <v>3.7412329999999998</v>
      </c>
      <c r="E4238">
        <v>0.53825259999999997</v>
      </c>
      <c r="F4238" t="s">
        <v>60</v>
      </c>
      <c r="G4238">
        <v>-340.0598</v>
      </c>
      <c r="H4238" s="1">
        <v>-1.5049519999999999E-6</v>
      </c>
      <c r="I4238">
        <v>213.7568</v>
      </c>
      <c r="J4238">
        <v>-383.27</v>
      </c>
      <c r="K4238">
        <v>1.1098650000000001</v>
      </c>
      <c r="L4238">
        <v>213.91380000000001</v>
      </c>
      <c r="M4238">
        <v>0.99983319999999998</v>
      </c>
      <c r="N4238">
        <v>-1.1352040000000001E-2</v>
      </c>
      <c r="O4238">
        <v>1.430733E-2</v>
      </c>
      <c r="P4238">
        <v>0.98413430000000002</v>
      </c>
      <c r="Q4238">
        <v>0.1461124</v>
      </c>
      <c r="R4238">
        <v>0.1006531</v>
      </c>
      <c r="S4238">
        <v>3.0611269999999999</v>
      </c>
      <c r="T4238">
        <v>-7.5451729999999995E-2</v>
      </c>
      <c r="U4238">
        <v>-8.8806149999999997E-3</v>
      </c>
      <c r="V4238">
        <v>-8.6473910000000001E-2</v>
      </c>
      <c r="W4238">
        <v>0.1573386</v>
      </c>
      <c r="X4238">
        <v>0.98375140000000005</v>
      </c>
      <c r="Y4238">
        <v>1.720008E-2</v>
      </c>
      <c r="Z4238">
        <v>-4.9977569999999996E-4</v>
      </c>
      <c r="AA4238">
        <v>0.99985190000000002</v>
      </c>
      <c r="AB4238">
        <v>37</v>
      </c>
      <c r="AC4238">
        <v>43.210199999999901</v>
      </c>
      <c r="AD4238">
        <v>-1.10986650495199</v>
      </c>
      <c r="AE4238">
        <v>-0.15700000000000999</v>
      </c>
      <c r="AF4238">
        <v>0.77473524622004497</v>
      </c>
      <c r="AG4238">
        <v>-1.10986650495199</v>
      </c>
      <c r="AH4238">
        <v>43.175046575937401</v>
      </c>
      <c r="AI4238">
        <v>91.472295724956993</v>
      </c>
      <c r="AJ4238">
        <v>88.971991925289899</v>
      </c>
      <c r="AK4238">
        <v>43.196257536908398</v>
      </c>
      <c r="AL4238">
        <v>80.947547290805403</v>
      </c>
      <c r="AM4238">
        <v>95.023512933648803</v>
      </c>
      <c r="AN4238">
        <v>0.99999999458130395</v>
      </c>
    </row>
    <row r="4239" spans="1:40" x14ac:dyDescent="0.25">
      <c r="A4239" t="str">
        <f>"20190304154838137"</f>
        <v>20190304154838137</v>
      </c>
      <c r="B4239" t="str">
        <f>"1551685718130907"</f>
        <v>1551685718130907</v>
      </c>
      <c r="C4239" t="s">
        <v>40</v>
      </c>
      <c r="D4239">
        <v>4.0817489999999896</v>
      </c>
      <c r="E4239">
        <v>0.60833470000000001</v>
      </c>
      <c r="F4239" t="s">
        <v>60</v>
      </c>
      <c r="G4239">
        <v>-339.37040000000002</v>
      </c>
      <c r="H4239" s="1">
        <v>3.4876120000000002E-6</v>
      </c>
      <c r="I4239">
        <v>213.74860000000001</v>
      </c>
      <c r="J4239">
        <v>-382.88010000000003</v>
      </c>
      <c r="K4239">
        <v>1.109858</v>
      </c>
      <c r="L4239">
        <v>213.91909999999999</v>
      </c>
      <c r="M4239">
        <v>0.99983659999999996</v>
      </c>
      <c r="N4239">
        <v>-1.141256E-2</v>
      </c>
      <c r="O4239">
        <v>1.4019149999999999E-2</v>
      </c>
      <c r="P4239">
        <v>0.98407679999999997</v>
      </c>
      <c r="Q4239">
        <v>0.14673649999999999</v>
      </c>
      <c r="R4239">
        <v>0.10030550000000001</v>
      </c>
      <c r="S4239">
        <v>3.061035</v>
      </c>
      <c r="T4239">
        <v>-7.7388639999999995E-2</v>
      </c>
      <c r="U4239">
        <v>-1.152039E-2</v>
      </c>
      <c r="V4239">
        <v>-8.640428E-2</v>
      </c>
      <c r="W4239">
        <v>0.15802459999999999</v>
      </c>
      <c r="X4239">
        <v>0.98364759999999996</v>
      </c>
      <c r="Y4239">
        <v>1.7773540000000001E-2</v>
      </c>
      <c r="Z4239">
        <v>-5.2046329999999997E-4</v>
      </c>
      <c r="AA4239">
        <v>0.99984189999999995</v>
      </c>
      <c r="AB4239">
        <v>37</v>
      </c>
      <c r="AC4239">
        <v>43.509700000000002</v>
      </c>
      <c r="AD4239">
        <v>-1.1098545123879999</v>
      </c>
      <c r="AE4239">
        <v>-0.170499999999975</v>
      </c>
      <c r="AF4239">
        <v>0.77998447337007903</v>
      </c>
      <c r="AG4239">
        <v>-1.1098545123879999</v>
      </c>
      <c r="AH4239">
        <v>43.4747459658957</v>
      </c>
      <c r="AI4239">
        <v>91.462134949884998</v>
      </c>
      <c r="AJ4239">
        <v>88.972161346060304</v>
      </c>
      <c r="AK4239">
        <v>43.495904285536298</v>
      </c>
      <c r="AL4239">
        <v>80.907744844322593</v>
      </c>
      <c r="AM4239">
        <v>95.020015582168995</v>
      </c>
      <c r="AN4239">
        <v>1.00000003739661</v>
      </c>
    </row>
    <row r="4240" spans="1:40" x14ac:dyDescent="0.25">
      <c r="A4240" t="str">
        <f>"20190304154838161"</f>
        <v>20190304154838161</v>
      </c>
      <c r="B4240" t="str">
        <f>"1551685718150427"</f>
        <v>1551685718150427</v>
      </c>
      <c r="C4240" t="s">
        <v>40</v>
      </c>
      <c r="D4240">
        <v>4.1118160000000001</v>
      </c>
      <c r="E4240">
        <v>0.59411659999999999</v>
      </c>
      <c r="F4240" t="s">
        <v>70</v>
      </c>
      <c r="G4240">
        <v>-169.41409999999999</v>
      </c>
      <c r="H4240">
        <v>31.310960000000001</v>
      </c>
      <c r="I4240">
        <v>174.65950000000001</v>
      </c>
      <c r="J4240">
        <v>-382.49869999999999</v>
      </c>
      <c r="K4240">
        <v>1.1098589999999999</v>
      </c>
      <c r="L4240">
        <v>213.92420000000001</v>
      </c>
      <c r="M4240">
        <v>0.99983999999999995</v>
      </c>
      <c r="N4240">
        <v>-1.147022E-2</v>
      </c>
      <c r="O4240">
        <v>1.373188E-2</v>
      </c>
      <c r="P4240">
        <v>0.98408110000000004</v>
      </c>
      <c r="Q4240">
        <v>0.14697850000000001</v>
      </c>
      <c r="R4240">
        <v>9.9908319999999995E-2</v>
      </c>
      <c r="S4240">
        <v>3.041382</v>
      </c>
      <c r="T4240">
        <v>0.43029400000000001</v>
      </c>
      <c r="U4240">
        <v>-0.55935669999999904</v>
      </c>
      <c r="V4240">
        <v>-8.6286089999999996E-2</v>
      </c>
      <c r="W4240">
        <v>0.15832499999999999</v>
      </c>
      <c r="X4240">
        <v>0.98360959999999997</v>
      </c>
      <c r="Y4240">
        <v>0.19251570000000001</v>
      </c>
      <c r="Z4240">
        <v>1.439505E-2</v>
      </c>
      <c r="AA4240">
        <v>0.98118830000000001</v>
      </c>
      <c r="AB4240">
        <v>37</v>
      </c>
      <c r="AC4240">
        <v>213.08459999999999</v>
      </c>
      <c r="AD4240">
        <v>30.201101000000001</v>
      </c>
      <c r="AE4240">
        <v>-39.264699999999998</v>
      </c>
      <c r="AF4240">
        <v>41.383226634090001</v>
      </c>
      <c r="AG4240">
        <v>30.201101000000001</v>
      </c>
      <c r="AH4240">
        <v>208.47493171370499</v>
      </c>
      <c r="AI4240">
        <v>81.912734389626607</v>
      </c>
      <c r="AJ4240">
        <v>78.772477552489903</v>
      </c>
      <c r="AK4240">
        <v>214.677607358789</v>
      </c>
      <c r="AL4240">
        <v>80.890313136533806</v>
      </c>
      <c r="AM4240">
        <v>95.013376547903704</v>
      </c>
      <c r="AN4240">
        <v>0.999999970082323</v>
      </c>
    </row>
    <row r="4241" spans="1:40" x14ac:dyDescent="0.25">
      <c r="A4241" t="str">
        <f>"20190304154838183"</f>
        <v>20190304154838183</v>
      </c>
      <c r="B4241" t="str">
        <f>"1551685718170925"</f>
        <v>1551685718170925</v>
      </c>
      <c r="C4241" t="s">
        <v>40</v>
      </c>
      <c r="D4241">
        <v>4.1055279999999996</v>
      </c>
      <c r="E4241">
        <v>0.59109119999999904</v>
      </c>
      <c r="F4241" t="s">
        <v>75</v>
      </c>
      <c r="G4241">
        <v>-281.67669999999998</v>
      </c>
      <c r="H4241">
        <v>12.815440000000001</v>
      </c>
      <c r="I4241">
        <v>199.03319999999999</v>
      </c>
      <c r="J4241">
        <v>-382.1284</v>
      </c>
      <c r="K4241">
        <v>1.1098600000000001</v>
      </c>
      <c r="L4241">
        <v>213.929</v>
      </c>
      <c r="M4241">
        <v>0.99984309999999998</v>
      </c>
      <c r="N4241">
        <v>-1.152854E-2</v>
      </c>
      <c r="O4241">
        <v>1.3451080000000001E-2</v>
      </c>
      <c r="P4241">
        <v>0.98411559999999998</v>
      </c>
      <c r="Q4241">
        <v>0.1470119</v>
      </c>
      <c r="R4241">
        <v>9.9518869999999995E-2</v>
      </c>
      <c r="S4241">
        <v>3.0414119999999998</v>
      </c>
      <c r="T4241">
        <v>0.35311150000000002</v>
      </c>
      <c r="U4241">
        <v>-0.44920349999999998</v>
      </c>
      <c r="V4241">
        <v>-8.6168960000000003E-2</v>
      </c>
      <c r="W4241">
        <v>0.15841820000000001</v>
      </c>
      <c r="X4241">
        <v>0.9836049</v>
      </c>
      <c r="Y4241">
        <v>0.15836220000000001</v>
      </c>
      <c r="Z4241">
        <v>9.8949580000000006E-3</v>
      </c>
      <c r="AA4241">
        <v>0.98733150000000003</v>
      </c>
      <c r="AB4241">
        <v>37</v>
      </c>
      <c r="AC4241">
        <v>100.4517</v>
      </c>
      <c r="AD4241">
        <v>11.705579999999999</v>
      </c>
      <c r="AE4241">
        <v>-14.895799999999999</v>
      </c>
      <c r="AF4241">
        <v>16.0327003150602</v>
      </c>
      <c r="AG4241">
        <v>11.705579999999999</v>
      </c>
      <c r="AH4241">
        <v>98.927785679736701</v>
      </c>
      <c r="AI4241">
        <v>83.338006969536707</v>
      </c>
      <c r="AJ4241">
        <v>80.794415530447196</v>
      </c>
      <c r="AK4241">
        <v>100.899825877078</v>
      </c>
      <c r="AL4241">
        <v>80.884905259963205</v>
      </c>
      <c r="AM4241">
        <v>95.0066294994066</v>
      </c>
      <c r="AN4241">
        <v>1.00000000753136</v>
      </c>
    </row>
    <row r="4242" spans="1:40" x14ac:dyDescent="0.25">
      <c r="A4242" t="str">
        <f>"20190304154838206"</f>
        <v>20190304154838206</v>
      </c>
      <c r="B4242" t="str">
        <f>"1551685718201180"</f>
        <v>1551685718201180</v>
      </c>
      <c r="C4242" t="s">
        <v>40</v>
      </c>
      <c r="D4242">
        <v>4.2469539999999997</v>
      </c>
      <c r="E4242">
        <v>0.58605240000000003</v>
      </c>
      <c r="F4242" t="s">
        <v>75</v>
      </c>
      <c r="G4242">
        <v>-281.37130000000002</v>
      </c>
      <c r="H4242">
        <v>12.57077</v>
      </c>
      <c r="I4242">
        <v>199.79570000000001</v>
      </c>
      <c r="J4242">
        <v>-381.76389999999998</v>
      </c>
      <c r="K4242">
        <v>1.1098539999999999</v>
      </c>
      <c r="L4242">
        <v>213.93369999999999</v>
      </c>
      <c r="M4242">
        <v>0.99984600000000001</v>
      </c>
      <c r="N4242">
        <v>-1.15884E-2</v>
      </c>
      <c r="O4242">
        <v>1.3174470000000001E-2</v>
      </c>
      <c r="P4242">
        <v>0.98420819999999998</v>
      </c>
      <c r="Q4242">
        <v>0.14664949999999999</v>
      </c>
      <c r="R4242">
        <v>9.9137390000000006E-2</v>
      </c>
      <c r="S4242">
        <v>3.0398860000000001</v>
      </c>
      <c r="T4242">
        <v>0.34577980000000003</v>
      </c>
      <c r="U4242">
        <v>-0.42640689999999998</v>
      </c>
      <c r="V4242">
        <v>-8.6056369999999993E-2</v>
      </c>
      <c r="W4242">
        <v>0.15811689999999901</v>
      </c>
      <c r="X4242">
        <v>0.98366319999999996</v>
      </c>
      <c r="Y4242">
        <v>0.15098900000000001</v>
      </c>
      <c r="Z4242">
        <v>9.275017E-3</v>
      </c>
      <c r="AA4242">
        <v>0.98849200000000004</v>
      </c>
      <c r="AB4242">
        <v>37</v>
      </c>
      <c r="AC4242">
        <v>100.39259999999901</v>
      </c>
      <c r="AD4242">
        <v>11.460915999999999</v>
      </c>
      <c r="AE4242">
        <v>-14.1379999999999</v>
      </c>
      <c r="AF4242">
        <v>15.264412773944301</v>
      </c>
      <c r="AG4242">
        <v>11.460915999999999</v>
      </c>
      <c r="AH4242">
        <v>98.933315983986205</v>
      </c>
      <c r="AI4242">
        <v>83.468637179770198</v>
      </c>
      <c r="AJ4242">
        <v>81.229001709384406</v>
      </c>
      <c r="AK4242">
        <v>100.75790740423101</v>
      </c>
      <c r="AL4242">
        <v>80.902388510276495</v>
      </c>
      <c r="AM4242">
        <v>94.999826080751404</v>
      </c>
      <c r="AN4242">
        <v>0.99999997195871304</v>
      </c>
    </row>
    <row r="4243" spans="1:40" x14ac:dyDescent="0.25">
      <c r="A4243" t="str">
        <f>"20190304154838226"</f>
        <v>20190304154838226</v>
      </c>
      <c r="B4243" t="str">
        <f>"1551685718220700"</f>
        <v>1551685718220700</v>
      </c>
      <c r="C4243" t="s">
        <v>40</v>
      </c>
      <c r="D4243">
        <v>4.1989330000000002</v>
      </c>
      <c r="E4243">
        <v>0.58450599999999997</v>
      </c>
      <c r="F4243" t="s">
        <v>75</v>
      </c>
      <c r="G4243">
        <v>-280.87099999999998</v>
      </c>
      <c r="H4243">
        <v>11.400840000000001</v>
      </c>
      <c r="I4243">
        <v>201.04409999999999</v>
      </c>
      <c r="J4243">
        <v>-381.4273</v>
      </c>
      <c r="K4243">
        <v>1.109861</v>
      </c>
      <c r="L4243">
        <v>213.93780000000001</v>
      </c>
      <c r="M4243">
        <v>0.99984879999999998</v>
      </c>
      <c r="N4243">
        <v>-1.164488E-2</v>
      </c>
      <c r="O4243">
        <v>1.2919470000000001E-2</v>
      </c>
      <c r="P4243">
        <v>0.98427350000000002</v>
      </c>
      <c r="Q4243">
        <v>0.14645949999999999</v>
      </c>
      <c r="R4243">
        <v>9.8769839999999998E-2</v>
      </c>
      <c r="S4243">
        <v>3.0410159999999999</v>
      </c>
      <c r="T4243">
        <v>0.31017979999999901</v>
      </c>
      <c r="U4243">
        <v>-0.38850400000000002</v>
      </c>
      <c r="V4243">
        <v>-8.5937199999999894E-2</v>
      </c>
      <c r="W4243">
        <v>0.1579837</v>
      </c>
      <c r="X4243">
        <v>0.98369499999999999</v>
      </c>
      <c r="Y4243">
        <v>0.13882169999999999</v>
      </c>
      <c r="Z4243">
        <v>7.6784510000000002E-3</v>
      </c>
      <c r="AA4243">
        <v>0.99028760000000005</v>
      </c>
      <c r="AB4243">
        <v>37</v>
      </c>
      <c r="AC4243">
        <v>100.55629999999999</v>
      </c>
      <c r="AD4243">
        <v>10.290978999999901</v>
      </c>
      <c r="AE4243">
        <v>-12.893700000000001</v>
      </c>
      <c r="AF4243">
        <v>14.047102291599099</v>
      </c>
      <c r="AG4243">
        <v>10.290978999999901</v>
      </c>
      <c r="AH4243">
        <v>99.357519824923003</v>
      </c>
      <c r="AI4243">
        <v>84.144481722308896</v>
      </c>
      <c r="AJ4243">
        <v>81.952892218852</v>
      </c>
      <c r="AK4243">
        <v>100.871909257875</v>
      </c>
      <c r="AL4243">
        <v>80.910117273797695</v>
      </c>
      <c r="AM4243">
        <v>94.992776803351802</v>
      </c>
      <c r="AN4243">
        <v>0.99999995241726303</v>
      </c>
    </row>
    <row r="4244" spans="1:40" x14ac:dyDescent="0.25">
      <c r="A4244" t="str">
        <f>"20190304154838249"</f>
        <v>20190304154838249</v>
      </c>
      <c r="B4244" t="str">
        <f>"1551685718241196"</f>
        <v>1551685718241196</v>
      </c>
      <c r="C4244" t="s">
        <v>40</v>
      </c>
      <c r="D4244">
        <v>4.260516</v>
      </c>
      <c r="E4244">
        <v>0.58357479999999995</v>
      </c>
      <c r="F4244" t="s">
        <v>75</v>
      </c>
      <c r="G4244">
        <v>-280.71300000000002</v>
      </c>
      <c r="H4244">
        <v>10.92365</v>
      </c>
      <c r="I4244">
        <v>201.4383</v>
      </c>
      <c r="J4244">
        <v>-381.04149999999998</v>
      </c>
      <c r="K4244">
        <v>1.1098600000000001</v>
      </c>
      <c r="L4244">
        <v>213.9425</v>
      </c>
      <c r="M4244">
        <v>0.99985179999999996</v>
      </c>
      <c r="N4244">
        <v>-1.1709560000000001E-2</v>
      </c>
      <c r="O4244">
        <v>1.262842E-2</v>
      </c>
      <c r="P4244">
        <v>0.98423629999999995</v>
      </c>
      <c r="Q4244">
        <v>0.14688499999999999</v>
      </c>
      <c r="R4244">
        <v>9.8507629999999999E-2</v>
      </c>
      <c r="S4244">
        <v>3.0417179999999999</v>
      </c>
      <c r="T4244">
        <v>0.29638989999999998</v>
      </c>
      <c r="U4244">
        <v>-0.37750240000000002</v>
      </c>
      <c r="V4244">
        <v>-8.5959930000000004E-2</v>
      </c>
      <c r="W4244">
        <v>0.15847329999999901</v>
      </c>
      <c r="X4244">
        <v>0.98361430000000005</v>
      </c>
      <c r="Y4244">
        <v>0.1350594</v>
      </c>
      <c r="Z4244">
        <v>7.1144270000000004E-3</v>
      </c>
      <c r="AA4244">
        <v>0.99081189999999997</v>
      </c>
      <c r="AB4244">
        <v>37</v>
      </c>
      <c r="AC4244">
        <v>100.32850000000001</v>
      </c>
      <c r="AD4244">
        <v>9.8137899999999991</v>
      </c>
      <c r="AE4244">
        <v>-12.5041999999999</v>
      </c>
      <c r="AF4244">
        <v>13.641751013821199</v>
      </c>
      <c r="AG4244">
        <v>9.8137899999999991</v>
      </c>
      <c r="AH4244">
        <v>99.227682860246006</v>
      </c>
      <c r="AI4244">
        <v>84.404013813779102</v>
      </c>
      <c r="AJ4244">
        <v>82.1720882830232</v>
      </c>
      <c r="AK4244">
        <v>100.640652276804</v>
      </c>
      <c r="AL4244">
        <v>80.881707745587306</v>
      </c>
      <c r="AM4244">
        <v>94.994498357142206</v>
      </c>
      <c r="AN4244">
        <v>0.99999999377149196</v>
      </c>
    </row>
    <row r="4245" spans="1:40" x14ac:dyDescent="0.25">
      <c r="A4245" t="str">
        <f>"20190304154838271"</f>
        <v>20190304154838271</v>
      </c>
      <c r="B4245" t="str">
        <f>"1551685718260720"</f>
        <v>1551685718260720</v>
      </c>
      <c r="C4245" t="s">
        <v>40</v>
      </c>
      <c r="D4245">
        <v>4.1948530000000002</v>
      </c>
      <c r="E4245">
        <v>0.58281799999999995</v>
      </c>
      <c r="F4245" t="s">
        <v>75</v>
      </c>
      <c r="G4245">
        <v>-280.61250000000001</v>
      </c>
      <c r="H4245">
        <v>10.544420000000001</v>
      </c>
      <c r="I4245">
        <v>201.68889999999999</v>
      </c>
      <c r="J4245">
        <v>-380.67770000000002</v>
      </c>
      <c r="K4245">
        <v>1.109864</v>
      </c>
      <c r="L4245">
        <v>213.9469</v>
      </c>
      <c r="M4245">
        <v>0.99985440000000003</v>
      </c>
      <c r="N4245">
        <v>-1.176755E-2</v>
      </c>
      <c r="O4245">
        <v>1.235472E-2</v>
      </c>
      <c r="P4245">
        <v>0.98428190000000004</v>
      </c>
      <c r="Q4245">
        <v>0.1466432</v>
      </c>
      <c r="R4245">
        <v>9.8412559999999996E-2</v>
      </c>
      <c r="S4245">
        <v>3.0425719999999998</v>
      </c>
      <c r="T4245">
        <v>0.28582600000000002</v>
      </c>
      <c r="U4245">
        <v>-0.37123109999999998</v>
      </c>
      <c r="V4245">
        <v>-8.6132739999999999E-2</v>
      </c>
      <c r="W4245">
        <v>0.15828970000000001</v>
      </c>
      <c r="X4245">
        <v>0.98362870000000002</v>
      </c>
      <c r="Y4245">
        <v>0.13279839999999901</v>
      </c>
      <c r="Z4245">
        <v>6.7138980000000003E-3</v>
      </c>
      <c r="AA4245">
        <v>0.99112029999999995</v>
      </c>
      <c r="AB4245">
        <v>37</v>
      </c>
      <c r="AC4245">
        <v>100.0652</v>
      </c>
      <c r="AD4245">
        <v>9.4345560000000006</v>
      </c>
      <c r="AE4245">
        <v>-12.257999999999999</v>
      </c>
      <c r="AF4245">
        <v>13.376277203766</v>
      </c>
      <c r="AG4245">
        <v>9.4345560000000006</v>
      </c>
      <c r="AH4245">
        <v>99.038719717270197</v>
      </c>
      <c r="AI4245">
        <v>84.607024142525006</v>
      </c>
      <c r="AJ4245">
        <v>82.308114840756105</v>
      </c>
      <c r="AK4245">
        <v>100.382287491295</v>
      </c>
      <c r="AL4245">
        <v>80.8923613118248</v>
      </c>
      <c r="AM4245">
        <v>95.004415242088498</v>
      </c>
      <c r="AN4245">
        <v>0.99999994874484199</v>
      </c>
    </row>
    <row r="4246" spans="1:40" x14ac:dyDescent="0.25">
      <c r="A4246" t="str">
        <f>"20190304154838292"</f>
        <v>20190304154838292</v>
      </c>
      <c r="B4246" t="str">
        <f>"1551685718281211"</f>
        <v>1551685718281211</v>
      </c>
      <c r="C4246" t="s">
        <v>40</v>
      </c>
      <c r="D4246">
        <v>4.2510519999999996</v>
      </c>
      <c r="E4246">
        <v>0.58270869999999997</v>
      </c>
      <c r="F4246" t="s">
        <v>75</v>
      </c>
      <c r="G4246">
        <v>-280.52109999999999</v>
      </c>
      <c r="H4246">
        <v>10.26272</v>
      </c>
      <c r="I4246">
        <v>201.917</v>
      </c>
      <c r="J4246">
        <v>-380.33049999999997</v>
      </c>
      <c r="K4246">
        <v>1.1098669999999999</v>
      </c>
      <c r="L4246">
        <v>213.95089999999999</v>
      </c>
      <c r="M4246">
        <v>0.99985710000000005</v>
      </c>
      <c r="N4246">
        <v>-1.181774E-2</v>
      </c>
      <c r="O4246">
        <v>1.2093370000000001E-2</v>
      </c>
      <c r="P4246">
        <v>0.98429040000000001</v>
      </c>
      <c r="Q4246">
        <v>0.14688950000000001</v>
      </c>
      <c r="R4246">
        <v>9.7959649999999995E-2</v>
      </c>
      <c r="S4246">
        <v>3.042999</v>
      </c>
      <c r="T4246">
        <v>0.27808480000000002</v>
      </c>
      <c r="U4246">
        <v>-0.36549379999999998</v>
      </c>
      <c r="V4246">
        <v>-8.5936780000000004E-2</v>
      </c>
      <c r="W4246">
        <v>0.15858539999999999</v>
      </c>
      <c r="X4246">
        <v>0.98359830000000004</v>
      </c>
      <c r="Y4246">
        <v>0.1307217</v>
      </c>
      <c r="Z4246">
        <v>6.4039559999999997E-3</v>
      </c>
      <c r="AA4246">
        <v>0.99139840000000001</v>
      </c>
      <c r="AB4246">
        <v>37</v>
      </c>
      <c r="AC4246">
        <v>99.809399999999897</v>
      </c>
      <c r="AD4246">
        <v>9.1528530000000003</v>
      </c>
      <c r="AE4246">
        <v>-12.0338999999999</v>
      </c>
      <c r="AF4246">
        <v>13.131290788853899</v>
      </c>
      <c r="AG4246">
        <v>9.1528530000000003</v>
      </c>
      <c r="AH4246">
        <v>98.837297021936706</v>
      </c>
      <c r="AI4246">
        <v>84.755026531280606</v>
      </c>
      <c r="AJ4246">
        <v>82.432137010631394</v>
      </c>
      <c r="AK4246">
        <v>100.12500585979301</v>
      </c>
      <c r="AL4246">
        <v>80.875203029131498</v>
      </c>
      <c r="AM4246">
        <v>94.993240894087194</v>
      </c>
      <c r="AN4246">
        <v>1.0000000375064</v>
      </c>
    </row>
    <row r="4247" spans="1:40" x14ac:dyDescent="0.25">
      <c r="A4247" t="str">
        <f>"20190304154838305"</f>
        <v>20190304154838305</v>
      </c>
      <c r="B4247" t="str">
        <f>"1551685718300732"</f>
        <v>1551685718300732</v>
      </c>
      <c r="C4247" t="s">
        <v>40</v>
      </c>
      <c r="D4247">
        <v>4.251932</v>
      </c>
      <c r="E4247">
        <v>0.55561419999999995</v>
      </c>
      <c r="F4247" t="s">
        <v>75</v>
      </c>
      <c r="G4247">
        <v>-280.50970000000001</v>
      </c>
      <c r="H4247">
        <v>10.239039999999999</v>
      </c>
      <c r="I4247">
        <v>201.94550000000001</v>
      </c>
      <c r="J4247">
        <v>-380.10649999999998</v>
      </c>
      <c r="K4247">
        <v>1.1098699999999999</v>
      </c>
      <c r="L4247">
        <v>213.95339999999999</v>
      </c>
      <c r="M4247">
        <v>0.99985869999999999</v>
      </c>
      <c r="N4247">
        <v>-1.184704E-2</v>
      </c>
      <c r="O4247">
        <v>1.192445E-2</v>
      </c>
      <c r="P4247">
        <v>0.98429500000000003</v>
      </c>
      <c r="Q4247">
        <v>0.14682300000000001</v>
      </c>
      <c r="R4247">
        <v>9.8013130000000004E-2</v>
      </c>
      <c r="S4247">
        <v>3.042786</v>
      </c>
      <c r="T4247">
        <v>0.27827869999999999</v>
      </c>
      <c r="U4247">
        <v>-0.36595149999999999</v>
      </c>
      <c r="V4247">
        <v>-8.6156799999999895E-2</v>
      </c>
      <c r="W4247">
        <v>0.15854770000000001</v>
      </c>
      <c r="X4247">
        <v>0.98358509999999999</v>
      </c>
      <c r="Y4247">
        <v>0.13070969999999901</v>
      </c>
      <c r="Z4247">
        <v>6.3898590000000003E-3</v>
      </c>
      <c r="AA4247">
        <v>0.99140010000000001</v>
      </c>
      <c r="AB4247">
        <v>37</v>
      </c>
      <c r="AC4247">
        <v>99.596799999999902</v>
      </c>
      <c r="AD4247">
        <v>9.1291699999999896</v>
      </c>
      <c r="AE4247">
        <v>-12.0078999999999</v>
      </c>
      <c r="AF4247">
        <v>13.0863927613365</v>
      </c>
      <c r="AG4247">
        <v>9.1291699999999896</v>
      </c>
      <c r="AH4247">
        <v>98.629726759882502</v>
      </c>
      <c r="AI4247">
        <v>84.757454473155803</v>
      </c>
      <c r="AJ4247">
        <v>82.442024636764003</v>
      </c>
      <c r="AK4247">
        <v>99.912053432616105</v>
      </c>
      <c r="AL4247">
        <v>80.877390488372299</v>
      </c>
      <c r="AM4247">
        <v>95.006026823077093</v>
      </c>
      <c r="AN4247">
        <v>1.0000000081517699</v>
      </c>
    </row>
    <row r="4248" spans="1:40" x14ac:dyDescent="0.25">
      <c r="A4248" t="str">
        <f>"20190304154838327"</f>
        <v>20190304154838327</v>
      </c>
      <c r="B4248" t="str">
        <f>"1551685718321228"</f>
        <v>1551685718321228</v>
      </c>
      <c r="C4248" t="s">
        <v>40</v>
      </c>
      <c r="D4248">
        <v>4.2380490000000002</v>
      </c>
      <c r="E4248">
        <v>0.52823809999999904</v>
      </c>
      <c r="F4248" t="s">
        <v>70</v>
      </c>
      <c r="G4248">
        <v>-168.41419999999999</v>
      </c>
      <c r="H4248">
        <v>7.9457719999999998</v>
      </c>
      <c r="I4248">
        <v>203.2484</v>
      </c>
      <c r="J4248">
        <v>-379.77269999999999</v>
      </c>
      <c r="K4248">
        <v>1.1098709999999901</v>
      </c>
      <c r="L4248">
        <v>213.9572</v>
      </c>
      <c r="M4248">
        <v>0.99986120000000001</v>
      </c>
      <c r="N4248">
        <v>-1.188793E-2</v>
      </c>
      <c r="O4248">
        <v>1.167194E-2</v>
      </c>
      <c r="P4248">
        <v>0.98426939999999996</v>
      </c>
      <c r="Q4248">
        <v>0.14718510000000001</v>
      </c>
      <c r="R4248">
        <v>9.7726549999999995E-2</v>
      </c>
      <c r="S4248">
        <v>3.0485229999999999</v>
      </c>
      <c r="T4248">
        <v>9.8442440000000006E-2</v>
      </c>
      <c r="U4248">
        <v>-0.1541595</v>
      </c>
      <c r="V4248">
        <v>-8.6118330000000007E-2</v>
      </c>
      <c r="W4248">
        <v>0.15894929999999999</v>
      </c>
      <c r="X4248">
        <v>0.9835237</v>
      </c>
      <c r="Y4248">
        <v>6.2126760000000003E-2</v>
      </c>
      <c r="Z4248">
        <v>1.14781E-3</v>
      </c>
      <c r="AA4248">
        <v>0.99806760000000005</v>
      </c>
      <c r="AB4248">
        <v>37</v>
      </c>
      <c r="AC4248">
        <v>211.35849999999999</v>
      </c>
      <c r="AD4248">
        <v>6.8359009999999998</v>
      </c>
      <c r="AE4248">
        <v>-10.708799999999901</v>
      </c>
      <c r="AF4248">
        <v>13.161476218164699</v>
      </c>
      <c r="AG4248">
        <v>6.8359009999999998</v>
      </c>
      <c r="AH4248">
        <v>210.99894891675601</v>
      </c>
      <c r="AI4248">
        <v>88.147989012681506</v>
      </c>
      <c r="AJ4248">
        <v>86.430687049432706</v>
      </c>
      <c r="AK4248">
        <v>211.51952733187301</v>
      </c>
      <c r="AL4248">
        <v>80.854085423382401</v>
      </c>
      <c r="AM4248">
        <v>95.004113719657397</v>
      </c>
      <c r="AN4248">
        <v>1.00000005759708</v>
      </c>
    </row>
    <row r="4249" spans="1:40" x14ac:dyDescent="0.25">
      <c r="A4249" t="str">
        <f>"20190304154838349"</f>
        <v>20190304154838349</v>
      </c>
      <c r="B4249" t="str">
        <f>"1551685718340748"</f>
        <v>1551685718340748</v>
      </c>
      <c r="C4249" t="s">
        <v>40</v>
      </c>
      <c r="D4249">
        <v>4.2400760000000002</v>
      </c>
      <c r="E4249">
        <v>0.5291091</v>
      </c>
      <c r="F4249" t="s">
        <v>60</v>
      </c>
      <c r="G4249">
        <v>-340.3091</v>
      </c>
      <c r="H4249" s="1">
        <v>-1.3723219999999999E-6</v>
      </c>
      <c r="I4249">
        <v>214.71940000000001</v>
      </c>
      <c r="J4249">
        <v>-379.3904</v>
      </c>
      <c r="K4249">
        <v>1.109877</v>
      </c>
      <c r="L4249">
        <v>213.96129999999999</v>
      </c>
      <c r="M4249">
        <v>0.99986419999999998</v>
      </c>
      <c r="N4249">
        <v>-1.192997E-2</v>
      </c>
      <c r="O4249">
        <v>1.138225E-2</v>
      </c>
      <c r="P4249">
        <v>0.98428289999999996</v>
      </c>
      <c r="Q4249">
        <v>0.14752279999999901</v>
      </c>
      <c r="R4249">
        <v>9.7079139999999994E-2</v>
      </c>
      <c r="S4249">
        <v>3.054932</v>
      </c>
      <c r="T4249">
        <v>-8.5916759999999995E-2</v>
      </c>
      <c r="U4249">
        <v>5.9005740000000001E-2</v>
      </c>
      <c r="V4249">
        <v>-8.5756600000000002E-2</v>
      </c>
      <c r="W4249">
        <v>0.15932779999999999</v>
      </c>
      <c r="X4249">
        <v>0.98349399999999998</v>
      </c>
      <c r="Y4249">
        <v>-7.926153E-3</v>
      </c>
      <c r="Z4249" s="1">
        <v>-2.5510580000000001E-5</v>
      </c>
      <c r="AA4249">
        <v>0.99996859999999999</v>
      </c>
      <c r="AB4249">
        <v>37</v>
      </c>
      <c r="AC4249">
        <v>39.081299999999999</v>
      </c>
      <c r="AD4249">
        <v>-1.109878372322</v>
      </c>
      <c r="AE4249">
        <v>0.75810000000001299</v>
      </c>
      <c r="AF4249">
        <v>-0.312933873046499</v>
      </c>
      <c r="AG4249">
        <v>-1.109878372322</v>
      </c>
      <c r="AH4249">
        <v>39.055910101267003</v>
      </c>
      <c r="AI4249">
        <v>91.6277228483832</v>
      </c>
      <c r="AJ4249">
        <v>90.459070252518302</v>
      </c>
      <c r="AK4249">
        <v>39.072930162050703</v>
      </c>
      <c r="AL4249">
        <v>80.832118460766395</v>
      </c>
      <c r="AM4249">
        <v>94.983350309707802</v>
      </c>
      <c r="AN4249">
        <v>0.99999999516619997</v>
      </c>
    </row>
    <row r="4250" spans="1:40" x14ac:dyDescent="0.25">
      <c r="A4250" t="str">
        <f>"20190304154838372"</f>
        <v>20190304154838372</v>
      </c>
      <c r="B4250" t="str">
        <f>"1551685718361243"</f>
        <v>1551685718361243</v>
      </c>
      <c r="C4250" t="s">
        <v>40</v>
      </c>
      <c r="D4250">
        <v>4.292726</v>
      </c>
      <c r="E4250">
        <v>0.52907099999999996</v>
      </c>
      <c r="F4250" t="s">
        <v>60</v>
      </c>
      <c r="G4250">
        <v>-338.41079999999999</v>
      </c>
      <c r="H4250" s="1">
        <v>2.9379439999999998E-6</v>
      </c>
      <c r="I4250">
        <v>214.6404</v>
      </c>
      <c r="J4250">
        <v>-379.01549999999997</v>
      </c>
      <c r="K4250">
        <v>1.1098779999999999</v>
      </c>
      <c r="L4250">
        <v>213.96530000000001</v>
      </c>
      <c r="M4250">
        <v>0.9998669</v>
      </c>
      <c r="N4250">
        <v>-1.196624E-2</v>
      </c>
      <c r="O4250">
        <v>1.109837E-2</v>
      </c>
      <c r="P4250">
        <v>0.98436659999999998</v>
      </c>
      <c r="Q4250">
        <v>0.1472975</v>
      </c>
      <c r="R4250">
        <v>9.6572329999999998E-2</v>
      </c>
      <c r="S4250">
        <v>3.0553279999999998</v>
      </c>
      <c r="T4250">
        <v>-8.2749009999999998E-2</v>
      </c>
      <c r="U4250">
        <v>5.0628659999999999E-2</v>
      </c>
      <c r="V4250">
        <v>-8.5528530000000005E-2</v>
      </c>
      <c r="W4250">
        <v>0.15913849999999999</v>
      </c>
      <c r="X4250">
        <v>0.98354450000000004</v>
      </c>
      <c r="Y4250">
        <v>-5.4680519999999897E-3</v>
      </c>
      <c r="Z4250" s="1">
        <v>-6.0946319999999998E-5</v>
      </c>
      <c r="AA4250">
        <v>0.99998500000000001</v>
      </c>
      <c r="AB4250">
        <v>37</v>
      </c>
      <c r="AC4250">
        <v>40.604699999999902</v>
      </c>
      <c r="AD4250">
        <v>-1.1098750620559901</v>
      </c>
      <c r="AE4250">
        <v>0.67509999999998604</v>
      </c>
      <c r="AF4250">
        <v>-0.22421273502379099</v>
      </c>
      <c r="AG4250">
        <v>-1.1098750620559901</v>
      </c>
      <c r="AH4250">
        <v>40.579382239315997</v>
      </c>
      <c r="AI4250">
        <v>91.566665972107003</v>
      </c>
      <c r="AJ4250">
        <v>90.316572406838503</v>
      </c>
      <c r="AK4250">
        <v>40.595176522937201</v>
      </c>
      <c r="AL4250">
        <v>80.843104655275994</v>
      </c>
      <c r="AM4250">
        <v>94.969909629714707</v>
      </c>
      <c r="AN4250">
        <v>0.99999998755323005</v>
      </c>
    </row>
    <row r="4251" spans="1:40" x14ac:dyDescent="0.25">
      <c r="A4251" t="str">
        <f>"20190304154838394"</f>
        <v>20190304154838394</v>
      </c>
      <c r="B4251" t="str">
        <f>"1551685718391499"</f>
        <v>1551685718391499</v>
      </c>
      <c r="C4251" t="s">
        <v>40</v>
      </c>
      <c r="D4251">
        <v>4.3122290000000003</v>
      </c>
      <c r="E4251">
        <v>0.52890740000000003</v>
      </c>
      <c r="F4251" t="s">
        <v>60</v>
      </c>
      <c r="G4251">
        <v>-338.97370000000001</v>
      </c>
      <c r="H4251" s="1">
        <v>3.2389259999999999E-6</v>
      </c>
      <c r="I4251">
        <v>214.60820000000001</v>
      </c>
      <c r="J4251">
        <v>-378.65809999999999</v>
      </c>
      <c r="K4251">
        <v>1.109885</v>
      </c>
      <c r="L4251">
        <v>213.96899999999999</v>
      </c>
      <c r="M4251">
        <v>0.99986940000000002</v>
      </c>
      <c r="N4251">
        <v>-1.199655E-2</v>
      </c>
      <c r="O4251">
        <v>1.0828590000000001E-2</v>
      </c>
      <c r="P4251">
        <v>0.98440570000000005</v>
      </c>
      <c r="Q4251">
        <v>0.14728849999999999</v>
      </c>
      <c r="R4251">
        <v>9.6186209999999994E-2</v>
      </c>
      <c r="S4251">
        <v>3.055542</v>
      </c>
      <c r="T4251">
        <v>-8.4693309999999994E-2</v>
      </c>
      <c r="U4251">
        <v>4.9057009999999998E-2</v>
      </c>
      <c r="V4251">
        <v>-8.540768E-2</v>
      </c>
      <c r="W4251">
        <v>0.15915969999999999</v>
      </c>
      <c r="X4251">
        <v>0.98355159999999997</v>
      </c>
      <c r="Y4251">
        <v>-5.222567E-3</v>
      </c>
      <c r="Z4251" s="1">
        <v>-6.6466759999999996E-5</v>
      </c>
      <c r="AA4251">
        <v>0.99998640000000005</v>
      </c>
      <c r="AB4251">
        <v>37</v>
      </c>
      <c r="AC4251">
        <v>39.684399999999897</v>
      </c>
      <c r="AD4251">
        <v>-1.1098817610739999</v>
      </c>
      <c r="AE4251">
        <v>0.639199999999988</v>
      </c>
      <c r="AF4251">
        <v>-0.209241868301238</v>
      </c>
      <c r="AG4251">
        <v>-1.1098817610739999</v>
      </c>
      <c r="AH4251">
        <v>39.657982924459098</v>
      </c>
      <c r="AI4251">
        <v>91.603058375270294</v>
      </c>
      <c r="AJ4251">
        <v>90.302298902326996</v>
      </c>
      <c r="AK4251">
        <v>39.674062425213002</v>
      </c>
      <c r="AL4251">
        <v>80.841874565053402</v>
      </c>
      <c r="AM4251">
        <v>94.962886703100295</v>
      </c>
      <c r="AN4251">
        <v>1.0000000158848099</v>
      </c>
    </row>
    <row r="4252" spans="1:40" x14ac:dyDescent="0.25">
      <c r="A4252" t="str">
        <f>"20190304154838427"</f>
        <v>20190304154838427</v>
      </c>
      <c r="B4252" t="str">
        <f>"1551685718420780"</f>
        <v>1551685718420780</v>
      </c>
      <c r="C4252" t="s">
        <v>40</v>
      </c>
      <c r="D4252">
        <v>4.3158839999999996</v>
      </c>
      <c r="E4252">
        <v>0.52880119999999997</v>
      </c>
      <c r="F4252" t="s">
        <v>60</v>
      </c>
      <c r="G4252">
        <v>-338.78199999999998</v>
      </c>
      <c r="H4252" s="1">
        <v>3.137146E-6</v>
      </c>
      <c r="I4252">
        <v>214.60220000000001</v>
      </c>
      <c r="J4252">
        <v>-378.11360000000002</v>
      </c>
      <c r="K4252">
        <v>1.109885</v>
      </c>
      <c r="L4252">
        <v>213.9744</v>
      </c>
      <c r="M4252">
        <v>0.99987329999999996</v>
      </c>
      <c r="N4252">
        <v>-1.203623E-2</v>
      </c>
      <c r="O4252">
        <v>1.0417849999999999E-2</v>
      </c>
      <c r="P4252">
        <v>0.98431009999999997</v>
      </c>
      <c r="Q4252">
        <v>0.14788750000000001</v>
      </c>
      <c r="R4252">
        <v>9.6243640000000005E-2</v>
      </c>
      <c r="S4252">
        <v>3.0555110000000001</v>
      </c>
      <c r="T4252">
        <v>-8.5044739999999994E-2</v>
      </c>
      <c r="U4252">
        <v>4.8522950000000002E-2</v>
      </c>
      <c r="V4252">
        <v>-8.5870559999999999E-2</v>
      </c>
      <c r="W4252">
        <v>0.1597962</v>
      </c>
      <c r="X4252">
        <v>0.98340810000000001</v>
      </c>
      <c r="Y4252">
        <v>-5.4585809999999997E-3</v>
      </c>
      <c r="Z4252" s="1">
        <v>-5.5691140000000002E-5</v>
      </c>
      <c r="AA4252">
        <v>0.99998509999999996</v>
      </c>
      <c r="AB4252">
        <v>37</v>
      </c>
      <c r="AC4252">
        <v>39.331600000000002</v>
      </c>
      <c r="AD4252">
        <v>-1.1098818628539999</v>
      </c>
      <c r="AE4252">
        <v>0.62780000000000702</v>
      </c>
      <c r="AF4252">
        <v>-0.21781214005032801</v>
      </c>
      <c r="AG4252">
        <v>-1.1098818628539999</v>
      </c>
      <c r="AH4252">
        <v>39.304716162276399</v>
      </c>
      <c r="AI4252">
        <v>91.617456707190399</v>
      </c>
      <c r="AJ4252">
        <v>90.317508681482195</v>
      </c>
      <c r="AK4252">
        <v>39.320986667108897</v>
      </c>
      <c r="AL4252">
        <v>80.804933180556105</v>
      </c>
      <c r="AM4252">
        <v>94.990372824580106</v>
      </c>
      <c r="AN4252">
        <v>1.0000000348773801</v>
      </c>
    </row>
    <row r="4253" spans="1:40" x14ac:dyDescent="0.25">
      <c r="A4253" t="str">
        <f>"20190304154838450"</f>
        <v>20190304154838450</v>
      </c>
      <c r="B4253" t="str">
        <f>"1551685718441276"</f>
        <v>1551685718441276</v>
      </c>
      <c r="C4253" t="s">
        <v>40</v>
      </c>
      <c r="D4253">
        <v>4.2854400000000004</v>
      </c>
      <c r="E4253">
        <v>0.52906419999999998</v>
      </c>
      <c r="F4253" t="s">
        <v>60</v>
      </c>
      <c r="G4253">
        <v>-337.3947</v>
      </c>
      <c r="H4253" s="1">
        <v>2.397334E-6</v>
      </c>
      <c r="I4253">
        <v>214.63900000000001</v>
      </c>
      <c r="J4253">
        <v>-377.73450000000003</v>
      </c>
      <c r="K4253">
        <v>1.109882</v>
      </c>
      <c r="L4253">
        <v>213.97810000000001</v>
      </c>
      <c r="M4253">
        <v>0.99987590000000004</v>
      </c>
      <c r="N4253">
        <v>-1.206336E-2</v>
      </c>
      <c r="O4253">
        <v>1.0131100000000001E-2</v>
      </c>
      <c r="P4253">
        <v>0.9843847</v>
      </c>
      <c r="Q4253">
        <v>0.14756449999999999</v>
      </c>
      <c r="R4253">
        <v>9.597783E-2</v>
      </c>
      <c r="S4253">
        <v>3.0554809999999999</v>
      </c>
      <c r="T4253">
        <v>-8.3283780000000002E-2</v>
      </c>
      <c r="U4253">
        <v>4.9865720000000002E-2</v>
      </c>
      <c r="V4253">
        <v>-8.5886420000000005E-2</v>
      </c>
      <c r="W4253">
        <v>0.159501</v>
      </c>
      <c r="X4253">
        <v>0.98345459999999996</v>
      </c>
      <c r="Y4253">
        <v>-6.1844509999999997E-3</v>
      </c>
      <c r="Z4253" s="1">
        <v>-3.2282829999999997E-5</v>
      </c>
      <c r="AA4253">
        <v>0.99998089999999995</v>
      </c>
      <c r="AB4253">
        <v>37</v>
      </c>
      <c r="AC4253">
        <v>40.339799999999997</v>
      </c>
      <c r="AD4253">
        <v>-1.1098796026660001</v>
      </c>
      <c r="AE4253">
        <v>0.66089999999999705</v>
      </c>
      <c r="AF4253">
        <v>-0.25195910805882799</v>
      </c>
      <c r="AG4253">
        <v>-1.1098796026660001</v>
      </c>
      <c r="AH4253">
        <v>40.313916925056802</v>
      </c>
      <c r="AI4253">
        <v>91.576976928119606</v>
      </c>
      <c r="AJ4253">
        <v>90.3580898766525</v>
      </c>
      <c r="AK4253">
        <v>40.329979097005896</v>
      </c>
      <c r="AL4253">
        <v>80.822066310062297</v>
      </c>
      <c r="AM4253">
        <v>94.9910550661846</v>
      </c>
      <c r="AN4253">
        <v>0.99999999820128804</v>
      </c>
    </row>
    <row r="4254" spans="1:40" x14ac:dyDescent="0.25">
      <c r="A4254" t="str">
        <f>"20190304154838472"</f>
        <v>20190304154838472</v>
      </c>
      <c r="B4254" t="str">
        <f>"1551685718460800"</f>
        <v>1551685718460800</v>
      </c>
      <c r="C4254" t="s">
        <v>40</v>
      </c>
      <c r="D4254">
        <v>4.3129850000000003</v>
      </c>
      <c r="E4254">
        <v>0.52932979999999996</v>
      </c>
      <c r="F4254" t="s">
        <v>60</v>
      </c>
      <c r="G4254">
        <v>-336.40879999999999</v>
      </c>
      <c r="H4254" s="1">
        <v>1.873772E-6</v>
      </c>
      <c r="I4254">
        <v>214.6139</v>
      </c>
      <c r="J4254">
        <v>-377.3759</v>
      </c>
      <c r="K4254">
        <v>1.1098920000000001</v>
      </c>
      <c r="L4254">
        <v>213.98140000000001</v>
      </c>
      <c r="M4254">
        <v>0.99987839999999995</v>
      </c>
      <c r="N4254">
        <v>-1.209004E-2</v>
      </c>
      <c r="O4254">
        <v>9.859296E-3</v>
      </c>
      <c r="P4254">
        <v>0.98439520000000003</v>
      </c>
      <c r="Q4254">
        <v>0.14733360000000001</v>
      </c>
      <c r="R4254">
        <v>9.6224970000000007E-2</v>
      </c>
      <c r="S4254">
        <v>3.0552980000000001</v>
      </c>
      <c r="T4254">
        <v>-8.2055810000000007E-2</v>
      </c>
      <c r="U4254">
        <v>4.7012329999999998E-2</v>
      </c>
      <c r="V4254">
        <v>-8.6400459999999998E-2</v>
      </c>
      <c r="W4254">
        <v>0.15929670000000001</v>
      </c>
      <c r="X4254">
        <v>0.9834427</v>
      </c>
      <c r="Y4254">
        <v>-5.5239209999999898E-3</v>
      </c>
      <c r="Z4254" s="1">
        <v>-3.7965910000000003E-5</v>
      </c>
      <c r="AA4254">
        <v>0.99998469999999995</v>
      </c>
      <c r="AB4254">
        <v>37</v>
      </c>
      <c r="AC4254">
        <v>40.967100000000002</v>
      </c>
      <c r="AD4254">
        <v>-1.1098901262279901</v>
      </c>
      <c r="AE4254">
        <v>0.63249999999999296</v>
      </c>
      <c r="AF4254">
        <v>-0.22836542625568501</v>
      </c>
      <c r="AG4254">
        <v>-1.1098901262279901</v>
      </c>
      <c r="AH4254">
        <v>40.941301700318597</v>
      </c>
      <c r="AI4254">
        <v>91.552844131576805</v>
      </c>
      <c r="AJ4254">
        <v>90.319585330061201</v>
      </c>
      <c r="AK4254">
        <v>40.956979768736801</v>
      </c>
      <c r="AL4254">
        <v>80.833923559695194</v>
      </c>
      <c r="AM4254">
        <v>95.020835304748005</v>
      </c>
      <c r="AN4254">
        <v>1.00000001115119</v>
      </c>
    </row>
    <row r="4255" spans="1:40" x14ac:dyDescent="0.25">
      <c r="A4255" t="str">
        <f>"20190304154838493"</f>
        <v>20190304154838493</v>
      </c>
      <c r="B4255" t="str">
        <f>"1551685718491052"</f>
        <v>1551685718491052</v>
      </c>
      <c r="C4255" t="s">
        <v>40</v>
      </c>
      <c r="D4255">
        <v>4.3696270000000004</v>
      </c>
      <c r="E4255">
        <v>0.52896469999999995</v>
      </c>
      <c r="F4255" t="s">
        <v>60</v>
      </c>
      <c r="G4255">
        <v>-335.65769999999998</v>
      </c>
      <c r="H4255" s="1">
        <v>1.474293E-6</v>
      </c>
      <c r="I4255">
        <v>214.608</v>
      </c>
      <c r="J4255">
        <v>-377.02910000000003</v>
      </c>
      <c r="K4255">
        <v>1.109893</v>
      </c>
      <c r="L4255">
        <v>213.9846</v>
      </c>
      <c r="M4255">
        <v>0.99988060000000001</v>
      </c>
      <c r="N4255">
        <v>-1.2114710000000001E-2</v>
      </c>
      <c r="O4255">
        <v>9.5972790000000002E-3</v>
      </c>
      <c r="P4255">
        <v>0.98441279999999998</v>
      </c>
      <c r="Q4255">
        <v>0.14772950000000001</v>
      </c>
      <c r="R4255">
        <v>9.5435210000000006E-2</v>
      </c>
      <c r="S4255">
        <v>3.055237</v>
      </c>
      <c r="T4255">
        <v>-8.1282850000000004E-2</v>
      </c>
      <c r="U4255">
        <v>4.5883180000000003E-2</v>
      </c>
      <c r="V4255">
        <v>-8.5868369999999999E-2</v>
      </c>
      <c r="W4255">
        <v>0.159717</v>
      </c>
      <c r="X4255">
        <v>0.98342110000000005</v>
      </c>
      <c r="Y4255">
        <v>-5.4168119999999896E-3</v>
      </c>
      <c r="Z4255" s="1">
        <v>-3.414307E-5</v>
      </c>
      <c r="AA4255">
        <v>0.99998529999999997</v>
      </c>
      <c r="AB4255">
        <v>37</v>
      </c>
      <c r="AC4255">
        <v>41.371400000000001</v>
      </c>
      <c r="AD4255">
        <v>-1.1098915257069999</v>
      </c>
      <c r="AE4255">
        <v>0.62340000000000295</v>
      </c>
      <c r="AF4255">
        <v>-0.22612658427528801</v>
      </c>
      <c r="AG4255">
        <v>-1.1098915257069999</v>
      </c>
      <c r="AH4255">
        <v>41.345727354838601</v>
      </c>
      <c r="AI4255">
        <v>91.537665084683198</v>
      </c>
      <c r="AJ4255">
        <v>90.313356918984695</v>
      </c>
      <c r="AK4255">
        <v>41.361239862117301</v>
      </c>
      <c r="AL4255">
        <v>80.809529523558098</v>
      </c>
      <c r="AM4255">
        <v>94.990180561499699</v>
      </c>
      <c r="AN4255">
        <v>0.99999997849033295</v>
      </c>
    </row>
    <row r="4256" spans="1:40" x14ac:dyDescent="0.25">
      <c r="A4256" t="str">
        <f>"20190304154838516"</f>
        <v>20190304154838516</v>
      </c>
      <c r="B4256" t="str">
        <f>"1551685718510572"</f>
        <v>1551685718510572</v>
      </c>
      <c r="C4256" t="s">
        <v>40</v>
      </c>
      <c r="D4256">
        <v>4.3736129999999998</v>
      </c>
      <c r="E4256">
        <v>0.52884949999999997</v>
      </c>
      <c r="F4256" t="s">
        <v>60</v>
      </c>
      <c r="G4256">
        <v>-335.99149999999997</v>
      </c>
      <c r="H4256" s="1">
        <v>1.6518790000000001E-6</v>
      </c>
      <c r="I4256">
        <v>214.61009999999999</v>
      </c>
      <c r="J4256">
        <v>-376.65370000000001</v>
      </c>
      <c r="K4256">
        <v>1.109899</v>
      </c>
      <c r="L4256">
        <v>213.9879</v>
      </c>
      <c r="M4256">
        <v>0.99988299999999997</v>
      </c>
      <c r="N4256">
        <v>-1.213881E-2</v>
      </c>
      <c r="O4256">
        <v>9.3130420000000005E-3</v>
      </c>
      <c r="P4256">
        <v>0.98437370000000002</v>
      </c>
      <c r="Q4256">
        <v>0.14828959999999999</v>
      </c>
      <c r="R4256">
        <v>9.4966949999999994E-2</v>
      </c>
      <c r="S4256">
        <v>3.0553889999999999</v>
      </c>
      <c r="T4256">
        <v>-8.2635159999999999E-2</v>
      </c>
      <c r="U4256">
        <v>4.6569819999999998E-2</v>
      </c>
      <c r="V4256">
        <v>-8.5679169999999999E-2</v>
      </c>
      <c r="W4256">
        <v>0.16029930000000001</v>
      </c>
      <c r="X4256">
        <v>0.98334290000000002</v>
      </c>
      <c r="Y4256">
        <v>-5.9246799999999999E-3</v>
      </c>
      <c r="Z4256" s="1">
        <v>-2.2699740000000002E-5</v>
      </c>
      <c r="AA4256">
        <v>0.9999825</v>
      </c>
      <c r="AB4256">
        <v>37</v>
      </c>
      <c r="AC4256">
        <v>40.662199999999999</v>
      </c>
      <c r="AD4256">
        <v>-1.1098973481209999</v>
      </c>
      <c r="AE4256">
        <v>0.62219999999999198</v>
      </c>
      <c r="AF4256">
        <v>-0.24327514267921599</v>
      </c>
      <c r="AG4256">
        <v>-1.1098973481209999</v>
      </c>
      <c r="AH4256">
        <v>40.635962701423999</v>
      </c>
      <c r="AI4256">
        <v>91.564512917851204</v>
      </c>
      <c r="AJ4256">
        <v>90.343008298320399</v>
      </c>
      <c r="AK4256">
        <v>40.651845217529001</v>
      </c>
      <c r="AL4256">
        <v>80.775731123940005</v>
      </c>
      <c r="AM4256">
        <v>94.979634653345997</v>
      </c>
      <c r="AN4256">
        <v>1.0000000223663901</v>
      </c>
    </row>
    <row r="4257" spans="1:40" x14ac:dyDescent="0.25">
      <c r="A4257" t="str">
        <f>"20190304154838539"</f>
        <v>20190304154838539</v>
      </c>
      <c r="B4257" t="str">
        <f>"1551685718531068"</f>
        <v>1551685718531068</v>
      </c>
      <c r="C4257" t="s">
        <v>40</v>
      </c>
      <c r="D4257">
        <v>4.3510660000000003</v>
      </c>
      <c r="E4257">
        <v>0.52875589999999995</v>
      </c>
      <c r="F4257" t="s">
        <v>60</v>
      </c>
      <c r="G4257">
        <v>-335.21449999999999</v>
      </c>
      <c r="H4257" s="1">
        <v>1.2386169999999999E-6</v>
      </c>
      <c r="I4257">
        <v>214.6044</v>
      </c>
      <c r="J4257">
        <v>-376.25639999999999</v>
      </c>
      <c r="K4257">
        <v>1.109909</v>
      </c>
      <c r="L4257">
        <v>213.9913</v>
      </c>
      <c r="M4257">
        <v>0.99988549999999998</v>
      </c>
      <c r="N4257">
        <v>-1.2161709999999999E-2</v>
      </c>
      <c r="O4257">
        <v>9.0116629999999996E-3</v>
      </c>
      <c r="P4257">
        <v>0.98432149999999996</v>
      </c>
      <c r="Q4257">
        <v>0.14924309999999999</v>
      </c>
      <c r="R4257">
        <v>9.4010730000000001E-2</v>
      </c>
      <c r="S4257">
        <v>3.0555729999999999</v>
      </c>
      <c r="T4257">
        <v>-8.1839560000000006E-2</v>
      </c>
      <c r="U4257">
        <v>4.5455929999999999E-2</v>
      </c>
      <c r="V4257">
        <v>-8.5019799999999895E-2</v>
      </c>
      <c r="W4257">
        <v>0.161274</v>
      </c>
      <c r="X4257">
        <v>0.98324069999999997</v>
      </c>
      <c r="Y4257">
        <v>-5.8607299999999998E-3</v>
      </c>
      <c r="Z4257" s="1">
        <v>-1.7596750000000001E-5</v>
      </c>
      <c r="AA4257">
        <v>0.99998279999999995</v>
      </c>
      <c r="AB4257">
        <v>37</v>
      </c>
      <c r="AC4257">
        <v>41.041899999999998</v>
      </c>
      <c r="AD4257">
        <v>-1.109907761383</v>
      </c>
      <c r="AE4257">
        <v>0.61310000000000198</v>
      </c>
      <c r="AF4257">
        <v>-0.243014311859964</v>
      </c>
      <c r="AG4257">
        <v>-1.109907761383</v>
      </c>
      <c r="AH4257">
        <v>41.015768923080998</v>
      </c>
      <c r="AI4257">
        <v>91.550047726937805</v>
      </c>
      <c r="AJ4257">
        <v>90.3394677674478</v>
      </c>
      <c r="AK4257">
        <v>41.031503159720202</v>
      </c>
      <c r="AL4257">
        <v>80.719148270226299</v>
      </c>
      <c r="AM4257">
        <v>94.942013935041302</v>
      </c>
      <c r="AN4257">
        <v>0.99999997180226396</v>
      </c>
    </row>
    <row r="4258" spans="1:40" x14ac:dyDescent="0.25">
      <c r="A4258" t="str">
        <f>"20190304154838561"</f>
        <v>20190304154838561</v>
      </c>
      <c r="B4258" t="str">
        <f>"1551685718550591"</f>
        <v>1551685718550591</v>
      </c>
      <c r="C4258" t="s">
        <v>40</v>
      </c>
      <c r="D4258">
        <v>4.3222160000000001</v>
      </c>
      <c r="E4258">
        <v>0.52858619999999901</v>
      </c>
      <c r="F4258" t="s">
        <v>60</v>
      </c>
      <c r="G4258">
        <v>-333.56439999999998</v>
      </c>
      <c r="H4258" s="1">
        <v>3.6087570000000001E-7</v>
      </c>
      <c r="I4258">
        <v>214.5967</v>
      </c>
      <c r="J4258">
        <v>-375.91059999999999</v>
      </c>
      <c r="K4258">
        <v>1.1099129999999999</v>
      </c>
      <c r="L4258">
        <v>213.9941</v>
      </c>
      <c r="M4258">
        <v>0.99988759999999999</v>
      </c>
      <c r="N4258">
        <v>-1.2179529999999999E-2</v>
      </c>
      <c r="O4258">
        <v>8.7485879999999999E-3</v>
      </c>
      <c r="P4258">
        <v>0.98431299999999999</v>
      </c>
      <c r="Q4258">
        <v>0.14976919999999999</v>
      </c>
      <c r="R4258">
        <v>9.3259700000000001E-2</v>
      </c>
      <c r="S4258">
        <v>3.0556950000000001</v>
      </c>
      <c r="T4258">
        <v>-7.9442020000000002E-2</v>
      </c>
      <c r="U4258">
        <v>4.3334959999999999E-2</v>
      </c>
      <c r="V4258">
        <v>-8.4528350000000002E-2</v>
      </c>
      <c r="W4258">
        <v>0.1618166</v>
      </c>
      <c r="X4258">
        <v>0.98319389999999995</v>
      </c>
      <c r="Y4258">
        <v>-5.4295200000000002E-3</v>
      </c>
      <c r="Z4258" s="1">
        <v>-1.7206559999999999E-5</v>
      </c>
      <c r="AA4258">
        <v>0.99998529999999997</v>
      </c>
      <c r="AB4258">
        <v>37</v>
      </c>
      <c r="AC4258">
        <v>42.346200000000003</v>
      </c>
      <c r="AD4258">
        <v>-1.1099126391242999</v>
      </c>
      <c r="AE4258">
        <v>0.60259999999999503</v>
      </c>
      <c r="AF4258">
        <v>-0.23192071978321399</v>
      </c>
      <c r="AG4258">
        <v>-1.1099126391242999</v>
      </c>
      <c r="AH4258">
        <v>42.320783522065298</v>
      </c>
      <c r="AI4258">
        <v>91.502282714678998</v>
      </c>
      <c r="AJ4258">
        <v>90.313981554760304</v>
      </c>
      <c r="AK4258">
        <v>42.335970653904504</v>
      </c>
      <c r="AL4258">
        <v>80.6876455938216</v>
      </c>
      <c r="AM4258">
        <v>94.9138200298692</v>
      </c>
      <c r="AN4258">
        <v>0.999999949493244</v>
      </c>
    </row>
    <row r="4259" spans="1:40" x14ac:dyDescent="0.25">
      <c r="A4259" t="str">
        <f>"20190304154838585"</f>
        <v>20190304154838585</v>
      </c>
      <c r="B4259" t="str">
        <f>"1551685718580844"</f>
        <v>1551685718580844</v>
      </c>
      <c r="C4259" t="s">
        <v>40</v>
      </c>
      <c r="D4259">
        <v>4.3255749999999997</v>
      </c>
      <c r="E4259">
        <v>0.52848470000000003</v>
      </c>
      <c r="F4259" t="s">
        <v>60</v>
      </c>
      <c r="G4259">
        <v>-332.5933</v>
      </c>
      <c r="H4259" s="1">
        <v>-1.5546690000000001E-7</v>
      </c>
      <c r="I4259">
        <v>214.58680000000001</v>
      </c>
      <c r="J4259">
        <v>-375.5215</v>
      </c>
      <c r="K4259">
        <v>1.1099159999999999</v>
      </c>
      <c r="L4259">
        <v>213.99719999999999</v>
      </c>
      <c r="M4259">
        <v>0.99988999999999995</v>
      </c>
      <c r="N4259">
        <v>-1.219727E-2</v>
      </c>
      <c r="O4259">
        <v>8.4520789999999995E-3</v>
      </c>
      <c r="P4259">
        <v>0.98428369999999998</v>
      </c>
      <c r="Q4259">
        <v>0.15006720000000001</v>
      </c>
      <c r="R4259">
        <v>9.3090439999999997E-2</v>
      </c>
      <c r="S4259">
        <v>3.0557560000000001</v>
      </c>
      <c r="T4259">
        <v>-7.8297259999999994E-2</v>
      </c>
      <c r="U4259">
        <v>4.1809079999999998E-2</v>
      </c>
      <c r="V4259">
        <v>-8.4650959999999997E-2</v>
      </c>
      <c r="W4259">
        <v>0.16213139999999901</v>
      </c>
      <c r="X4259">
        <v>0.98313150000000005</v>
      </c>
      <c r="Y4259">
        <v>-5.2266200000000004E-3</v>
      </c>
      <c r="Z4259" s="1">
        <v>-1.459902E-5</v>
      </c>
      <c r="AA4259">
        <v>0.99998640000000005</v>
      </c>
      <c r="AB4259">
        <v>37</v>
      </c>
      <c r="AC4259">
        <v>42.928199999999997</v>
      </c>
      <c r="AD4259">
        <v>-1.1099161554668999</v>
      </c>
      <c r="AE4259">
        <v>0.589600000000018</v>
      </c>
      <c r="AF4259">
        <v>-0.22656801660055001</v>
      </c>
      <c r="AG4259">
        <v>-1.1099161554668999</v>
      </c>
      <c r="AH4259">
        <v>42.902975310471099</v>
      </c>
      <c r="AI4259">
        <v>91.481912226294199</v>
      </c>
      <c r="AJ4259">
        <v>90.302572731973399</v>
      </c>
      <c r="AK4259">
        <v>42.917927925625698</v>
      </c>
      <c r="AL4259">
        <v>80.669367629127393</v>
      </c>
      <c r="AM4259">
        <v>94.921223446264307</v>
      </c>
      <c r="AN4259">
        <v>0.99999996109356504</v>
      </c>
    </row>
    <row r="4260" spans="1:40" x14ac:dyDescent="0.25">
      <c r="A4260" t="str">
        <f>"20190304154838606"</f>
        <v>20190304154838606</v>
      </c>
      <c r="B4260" t="str">
        <f>"1551685718601340"</f>
        <v>1551685718601340</v>
      </c>
      <c r="C4260" t="s">
        <v>40</v>
      </c>
      <c r="D4260">
        <v>4.3252680000000003</v>
      </c>
      <c r="E4260">
        <v>0.5284548</v>
      </c>
      <c r="F4260" t="s">
        <v>60</v>
      </c>
      <c r="G4260">
        <v>-332.41950000000003</v>
      </c>
      <c r="H4260" s="1">
        <v>-2.48165E-7</v>
      </c>
      <c r="I4260">
        <v>214.59100000000001</v>
      </c>
      <c r="J4260">
        <v>-375.17180000000002</v>
      </c>
      <c r="K4260">
        <v>1.109918</v>
      </c>
      <c r="L4260">
        <v>213.9999</v>
      </c>
      <c r="M4260">
        <v>0.99989209999999995</v>
      </c>
      <c r="N4260">
        <v>-1.2211349999999999E-2</v>
      </c>
      <c r="O4260">
        <v>8.1857490000000008E-3</v>
      </c>
      <c r="P4260">
        <v>0.98425859999999998</v>
      </c>
      <c r="Q4260">
        <v>0.1502655</v>
      </c>
      <c r="R4260">
        <v>9.3035119999999999E-2</v>
      </c>
      <c r="S4260">
        <v>3.0559080000000001</v>
      </c>
      <c r="T4260">
        <v>-7.8692319999999996E-2</v>
      </c>
      <c r="U4260">
        <v>4.2098999999999998E-2</v>
      </c>
      <c r="V4260">
        <v>-8.4858920000000004E-2</v>
      </c>
      <c r="W4260">
        <v>0.16234309999999999</v>
      </c>
      <c r="X4260">
        <v>0.98307869999999997</v>
      </c>
      <c r="Y4260">
        <v>-5.586934E-3</v>
      </c>
      <c r="Z4260" s="1">
        <v>-4.7468860000000003E-6</v>
      </c>
      <c r="AA4260">
        <v>0.9999844</v>
      </c>
      <c r="AB4260">
        <v>37</v>
      </c>
      <c r="AC4260">
        <v>42.752299999999899</v>
      </c>
      <c r="AD4260">
        <v>-1.1099182481649901</v>
      </c>
      <c r="AE4260">
        <v>0.59109999999998297</v>
      </c>
      <c r="AF4260">
        <v>-0.240932200821555</v>
      </c>
      <c r="AG4260">
        <v>-1.1099182481649901</v>
      </c>
      <c r="AH4260">
        <v>42.726913735777899</v>
      </c>
      <c r="AI4260">
        <v>91.488015788202006</v>
      </c>
      <c r="AJ4260">
        <v>90.323080951529604</v>
      </c>
      <c r="AK4260">
        <v>42.742006553595601</v>
      </c>
      <c r="AL4260">
        <v>80.657075856917402</v>
      </c>
      <c r="AM4260">
        <v>94.933517359636696</v>
      </c>
      <c r="AN4260">
        <v>1.0000000244074301</v>
      </c>
    </row>
    <row r="4261" spans="1:40" x14ac:dyDescent="0.25">
      <c r="A4261" t="str">
        <f>"20190304154838628"</f>
        <v>20190304154838628</v>
      </c>
      <c r="B4261" t="str">
        <f>"1551685718620859"</f>
        <v>1551685718620859</v>
      </c>
      <c r="C4261" t="s">
        <v>40</v>
      </c>
      <c r="D4261">
        <v>4.3009959999999996</v>
      </c>
      <c r="E4261">
        <v>0.52846470000000001</v>
      </c>
      <c r="F4261" t="s">
        <v>60</v>
      </c>
      <c r="G4261">
        <v>-332.4341</v>
      </c>
      <c r="H4261" s="1">
        <v>-2.4053139999999999E-7</v>
      </c>
      <c r="I4261">
        <v>214.59479999999999</v>
      </c>
      <c r="J4261">
        <v>-374.80939999999998</v>
      </c>
      <c r="K4261">
        <v>1.1099239999999999</v>
      </c>
      <c r="L4261">
        <v>214.0026</v>
      </c>
      <c r="M4261">
        <v>0.99989410000000001</v>
      </c>
      <c r="N4261">
        <v>-1.2224240000000001E-2</v>
      </c>
      <c r="O4261">
        <v>7.9103049999999994E-3</v>
      </c>
      <c r="P4261">
        <v>0.98432379999999997</v>
      </c>
      <c r="Q4261">
        <v>0.14986640000000001</v>
      </c>
      <c r="R4261">
        <v>9.2989500000000003E-2</v>
      </c>
      <c r="S4261">
        <v>3.0560909999999999</v>
      </c>
      <c r="T4261">
        <v>-7.9368110000000006E-2</v>
      </c>
      <c r="U4261">
        <v>4.2541500000000003E-2</v>
      </c>
      <c r="V4261">
        <v>-8.5084240000000005E-2</v>
      </c>
      <c r="W4261">
        <v>0.1619573</v>
      </c>
      <c r="X4261">
        <v>0.98312279999999996</v>
      </c>
      <c r="Y4261">
        <v>-6.0060909999999999E-3</v>
      </c>
      <c r="Z4261" s="1">
        <v>6.0003330000000002E-6</v>
      </c>
      <c r="AA4261">
        <v>0.99998189999999998</v>
      </c>
      <c r="AB4261">
        <v>37</v>
      </c>
      <c r="AC4261">
        <v>42.375299999999903</v>
      </c>
      <c r="AD4261">
        <v>-1.10992424053139</v>
      </c>
      <c r="AE4261">
        <v>0.59219999999999096</v>
      </c>
      <c r="AF4261">
        <v>-0.25677877929715898</v>
      </c>
      <c r="AG4261">
        <v>-1.10992424053139</v>
      </c>
      <c r="AH4261">
        <v>42.349610206814098</v>
      </c>
      <c r="AI4261">
        <v>91.501271237170499</v>
      </c>
      <c r="AJ4261">
        <v>90.347397767321496</v>
      </c>
      <c r="AK4261">
        <v>42.364930683648097</v>
      </c>
      <c r="AL4261">
        <v>80.679476487235604</v>
      </c>
      <c r="AM4261">
        <v>94.946331289238799</v>
      </c>
      <c r="AN4261">
        <v>0.99999996739975305</v>
      </c>
    </row>
    <row r="4262" spans="1:40" x14ac:dyDescent="0.25">
      <c r="A4262" t="str">
        <f>"20190304154838651"</f>
        <v>20190304154838651</v>
      </c>
      <c r="B4262" t="str">
        <f>"1551685718641356"</f>
        <v>1551685718641356</v>
      </c>
      <c r="C4262" t="s">
        <v>40</v>
      </c>
      <c r="D4262">
        <v>4.3154379999999897</v>
      </c>
      <c r="E4262">
        <v>0.52843519999999999</v>
      </c>
      <c r="F4262" t="s">
        <v>60</v>
      </c>
      <c r="G4262">
        <v>-333.06760000000003</v>
      </c>
      <c r="H4262" s="1">
        <v>9.7374069999999998E-8</v>
      </c>
      <c r="I4262">
        <v>214.57650000000001</v>
      </c>
      <c r="J4262">
        <v>-374.435</v>
      </c>
      <c r="K4262">
        <v>1.109923</v>
      </c>
      <c r="L4262">
        <v>214.0052</v>
      </c>
      <c r="M4262">
        <v>0.99989620000000001</v>
      </c>
      <c r="N4262">
        <v>-1.2235950000000001E-2</v>
      </c>
      <c r="O4262">
        <v>7.6255699999999999E-3</v>
      </c>
      <c r="P4262">
        <v>0.98431610000000003</v>
      </c>
      <c r="Q4262">
        <v>0.14965729999999999</v>
      </c>
      <c r="R4262">
        <v>9.3405420000000003E-2</v>
      </c>
      <c r="S4262">
        <v>3.056152</v>
      </c>
      <c r="T4262">
        <v>-8.1263660000000001E-2</v>
      </c>
      <c r="U4262">
        <v>4.2022709999999998E-2</v>
      </c>
      <c r="V4262">
        <v>-8.578086E-2</v>
      </c>
      <c r="W4262">
        <v>0.1617596</v>
      </c>
      <c r="X4262">
        <v>0.98309480000000005</v>
      </c>
      <c r="Y4262">
        <v>-6.1207070000000004E-3</v>
      </c>
      <c r="Z4262" s="1">
        <v>9.3986860000000004E-6</v>
      </c>
      <c r="AA4262">
        <v>0.99998129999999996</v>
      </c>
      <c r="AB4262">
        <v>37</v>
      </c>
      <c r="AC4262">
        <v>41.367399999999897</v>
      </c>
      <c r="AD4262">
        <v>-1.1099229026259201</v>
      </c>
      <c r="AE4262">
        <v>0.57130000000000702</v>
      </c>
      <c r="AF4262">
        <v>-0.25562582078738999</v>
      </c>
      <c r="AG4262">
        <v>-1.1099229026259201</v>
      </c>
      <c r="AH4262">
        <v>41.340798513220498</v>
      </c>
      <c r="AI4262">
        <v>91.537885382520003</v>
      </c>
      <c r="AJ4262">
        <v>90.354276998361897</v>
      </c>
      <c r="AK4262">
        <v>41.356485526706997</v>
      </c>
      <c r="AL4262">
        <v>80.690955105182198</v>
      </c>
      <c r="AM4262">
        <v>94.986766893226104</v>
      </c>
      <c r="AN4262">
        <v>0.99999995496076799</v>
      </c>
    </row>
    <row r="4263" spans="1:40" x14ac:dyDescent="0.25">
      <c r="A4263" t="str">
        <f>"20190304154838672"</f>
        <v>20190304154838672</v>
      </c>
      <c r="B4263" t="str">
        <f>"1551685718660876"</f>
        <v>1551685718660876</v>
      </c>
      <c r="C4263" t="s">
        <v>40</v>
      </c>
      <c r="D4263">
        <v>4.277291</v>
      </c>
      <c r="E4263">
        <v>0.52829619999999999</v>
      </c>
      <c r="F4263" t="s">
        <v>60</v>
      </c>
      <c r="G4263">
        <v>-333.23939999999999</v>
      </c>
      <c r="H4263" s="1">
        <v>1.8837750000000001E-7</v>
      </c>
      <c r="I4263">
        <v>214.58590000000001</v>
      </c>
      <c r="J4263">
        <v>-374.08150000000001</v>
      </c>
      <c r="K4263">
        <v>1.1099139999999901</v>
      </c>
      <c r="L4263">
        <v>214.0077</v>
      </c>
      <c r="M4263">
        <v>0.99989810000000001</v>
      </c>
      <c r="N4263">
        <v>-1.2245570000000001E-2</v>
      </c>
      <c r="O4263">
        <v>7.3572960000000001E-3</v>
      </c>
      <c r="P4263">
        <v>0.9843788</v>
      </c>
      <c r="Q4263">
        <v>0.14916370000000001</v>
      </c>
      <c r="R4263">
        <v>9.3534889999999996E-2</v>
      </c>
      <c r="S4263">
        <v>3.056244</v>
      </c>
      <c r="T4263">
        <v>-8.234358E-2</v>
      </c>
      <c r="U4263">
        <v>4.3075559999999999E-2</v>
      </c>
      <c r="V4263">
        <v>-8.6174020000000004E-2</v>
      </c>
      <c r="W4263">
        <v>0.161276799999999</v>
      </c>
      <c r="X4263">
        <v>0.98313980000000001</v>
      </c>
      <c r="Y4263">
        <v>-6.7326249999999999E-3</v>
      </c>
      <c r="Z4263" s="1">
        <v>2.3823610000000001E-5</v>
      </c>
      <c r="AA4263">
        <v>0.99997740000000002</v>
      </c>
      <c r="AB4263">
        <v>37</v>
      </c>
      <c r="AC4263">
        <v>40.842100000000002</v>
      </c>
      <c r="AD4263">
        <v>-1.10991381162249</v>
      </c>
      <c r="AE4263">
        <v>0.57820000000000904</v>
      </c>
      <c r="AF4263">
        <v>-0.27746956576819598</v>
      </c>
      <c r="AG4263">
        <v>-1.10991381162249</v>
      </c>
      <c r="AH4263">
        <v>40.815111994076403</v>
      </c>
      <c r="AI4263">
        <v>91.557664227788095</v>
      </c>
      <c r="AJ4263">
        <v>90.389502548995594</v>
      </c>
      <c r="AK4263">
        <v>40.831143323670901</v>
      </c>
      <c r="AL4263">
        <v>80.718986138612394</v>
      </c>
      <c r="AM4263">
        <v>95.0092786099422</v>
      </c>
      <c r="AN4263">
        <v>1.00000001714262</v>
      </c>
    </row>
    <row r="4264" spans="1:40" x14ac:dyDescent="0.25">
      <c r="A4264" t="str">
        <f>"20190304154838695"</f>
        <v>20190304154838695</v>
      </c>
      <c r="B4264" t="str">
        <f>"1551685718691132"</f>
        <v>1551685718691132</v>
      </c>
      <c r="C4264" t="s">
        <v>40</v>
      </c>
      <c r="D4264">
        <v>4.2159120000000003</v>
      </c>
      <c r="E4264">
        <v>0.50498180000000004</v>
      </c>
      <c r="F4264" t="s">
        <v>60</v>
      </c>
      <c r="G4264">
        <v>-333.7011</v>
      </c>
      <c r="H4264" s="1">
        <v>4.336882E-7</v>
      </c>
      <c r="I4264">
        <v>214.59540000000001</v>
      </c>
      <c r="J4264">
        <v>-373.71960000000001</v>
      </c>
      <c r="K4264">
        <v>1.1099079999999999</v>
      </c>
      <c r="L4264">
        <v>214.01</v>
      </c>
      <c r="M4264">
        <v>0.99990000000000001</v>
      </c>
      <c r="N4264">
        <v>-1.225395E-2</v>
      </c>
      <c r="O4264">
        <v>7.0829489999999998E-3</v>
      </c>
      <c r="P4264">
        <v>0.98440859999999997</v>
      </c>
      <c r="Q4264">
        <v>0.14885279999999901</v>
      </c>
      <c r="R4264">
        <v>9.3716339999999995E-2</v>
      </c>
      <c r="S4264">
        <v>3.056152</v>
      </c>
      <c r="T4264">
        <v>-8.4002969999999996E-2</v>
      </c>
      <c r="U4264">
        <v>4.4479369999999997E-2</v>
      </c>
      <c r="V4264">
        <v>-8.6626040000000001E-2</v>
      </c>
      <c r="W4264">
        <v>0.16097420000000001</v>
      </c>
      <c r="X4264">
        <v>0.98314959999999996</v>
      </c>
      <c r="Y4264">
        <v>-7.4661509999999999E-3</v>
      </c>
      <c r="Z4264" s="1">
        <v>4.0496500000000001E-5</v>
      </c>
      <c r="AA4264">
        <v>0.99997210000000003</v>
      </c>
      <c r="AB4264">
        <v>37</v>
      </c>
      <c r="AC4264">
        <v>40.018500000000003</v>
      </c>
      <c r="AD4264">
        <v>-1.1099075663118001</v>
      </c>
      <c r="AE4264">
        <v>0.58540000000002101</v>
      </c>
      <c r="AF4264">
        <v>-0.30168307124961602</v>
      </c>
      <c r="AG4264">
        <v>-1.1099075663118001</v>
      </c>
      <c r="AH4264">
        <v>39.990887367086799</v>
      </c>
      <c r="AI4264">
        <v>91.589734428039904</v>
      </c>
      <c r="AJ4264">
        <v>90.432219437710899</v>
      </c>
      <c r="AK4264">
        <v>40.007424059644897</v>
      </c>
      <c r="AL4264">
        <v>80.736552747954605</v>
      </c>
      <c r="AM4264">
        <v>95.035369768067</v>
      </c>
      <c r="AN4264">
        <v>0.99999994992593899</v>
      </c>
    </row>
    <row r="4265" spans="1:40" x14ac:dyDescent="0.25">
      <c r="A4265" t="str">
        <f>"20190304154838718"</f>
        <v>20190304154838718</v>
      </c>
      <c r="B4265" t="str">
        <f>"1551685718710652"</f>
        <v>1551685718710652</v>
      </c>
      <c r="C4265" t="s">
        <v>40</v>
      </c>
      <c r="D4265">
        <v>4.1983930000000003</v>
      </c>
      <c r="E4265">
        <v>0.50366230000000001</v>
      </c>
      <c r="F4265" t="s">
        <v>60</v>
      </c>
      <c r="G4265">
        <v>-338.30829999999997</v>
      </c>
      <c r="H4265" s="1">
        <v>2.7938470000000001E-6</v>
      </c>
      <c r="I4265">
        <v>216.69040000000001</v>
      </c>
      <c r="J4265">
        <v>-373.34109999999998</v>
      </c>
      <c r="K4265">
        <v>1.1099049999999999</v>
      </c>
      <c r="L4265">
        <v>214.01240000000001</v>
      </c>
      <c r="M4265">
        <v>0.99990179999999995</v>
      </c>
      <c r="N4265">
        <v>-1.2261660000000001E-2</v>
      </c>
      <c r="O4265">
        <v>6.7958539999999996E-3</v>
      </c>
      <c r="P4265">
        <v>0.98451840000000002</v>
      </c>
      <c r="Q4265">
        <v>0.14827689999999999</v>
      </c>
      <c r="R4265">
        <v>9.3475030000000001E-2</v>
      </c>
      <c r="S4265">
        <v>3.0399780000000001</v>
      </c>
      <c r="T4265">
        <v>-9.5283030000000005E-2</v>
      </c>
      <c r="U4265">
        <v>0.23010249999999999</v>
      </c>
      <c r="V4265">
        <v>-8.6666969999999996E-2</v>
      </c>
      <c r="W4265">
        <v>0.1604071</v>
      </c>
      <c r="X4265">
        <v>0.98323879999999997</v>
      </c>
      <c r="Y4265">
        <v>-6.8652069999999996E-2</v>
      </c>
      <c r="Z4265">
        <v>1.3663200000000001E-3</v>
      </c>
      <c r="AA4265">
        <v>0.99763970000000002</v>
      </c>
      <c r="AB4265">
        <v>37</v>
      </c>
      <c r="AC4265">
        <v>35.032800000000002</v>
      </c>
      <c r="AD4265">
        <v>-1.1099022061529999</v>
      </c>
      <c r="AE4265">
        <v>2.6779999999999902</v>
      </c>
      <c r="AF4265">
        <v>-2.4374101691397199</v>
      </c>
      <c r="AG4265">
        <v>-1.1099022061529999</v>
      </c>
      <c r="AH4265">
        <v>35.0152496592491</v>
      </c>
      <c r="AI4265">
        <v>91.811155655767905</v>
      </c>
      <c r="AJ4265">
        <v>93.981933727980305</v>
      </c>
      <c r="AK4265">
        <v>35.117524968872601</v>
      </c>
      <c r="AL4265">
        <v>80.769474105670398</v>
      </c>
      <c r="AM4265">
        <v>95.037282018507796</v>
      </c>
      <c r="AN4265">
        <v>1.0000000696224101</v>
      </c>
    </row>
    <row r="4266" spans="1:40" x14ac:dyDescent="0.25">
      <c r="A4266" t="str">
        <f>"20190304154838740"</f>
        <v>20190304154838740</v>
      </c>
      <c r="B4266" t="str">
        <f>"1551685718731148"</f>
        <v>1551685718731148</v>
      </c>
      <c r="C4266" t="s">
        <v>40</v>
      </c>
      <c r="D4266">
        <v>4.1727749999999997</v>
      </c>
      <c r="E4266">
        <v>0.50330259999999905</v>
      </c>
      <c r="F4266" t="s">
        <v>60</v>
      </c>
      <c r="G4266">
        <v>-338.43939999999998</v>
      </c>
      <c r="H4266" s="1">
        <v>2.860162E-6</v>
      </c>
      <c r="I4266">
        <v>216.768</v>
      </c>
      <c r="J4266">
        <v>-372.952</v>
      </c>
      <c r="K4266">
        <v>1.10991</v>
      </c>
      <c r="L4266">
        <v>214.01480000000001</v>
      </c>
      <c r="M4266">
        <v>0.9999036</v>
      </c>
      <c r="N4266">
        <v>-1.226854E-2</v>
      </c>
      <c r="O4266">
        <v>6.5004210000000002E-3</v>
      </c>
      <c r="P4266">
        <v>0.98457589999999995</v>
      </c>
      <c r="Q4266">
        <v>0.14806259999999999</v>
      </c>
      <c r="R4266">
        <v>9.3208840000000001E-2</v>
      </c>
      <c r="S4266">
        <v>3.0389400000000002</v>
      </c>
      <c r="T4266">
        <v>-9.6640710000000005E-2</v>
      </c>
      <c r="U4266">
        <v>0.23992920000000001</v>
      </c>
      <c r="V4266">
        <v>-8.6691959999999998E-2</v>
      </c>
      <c r="W4266">
        <v>0.16020000000000001</v>
      </c>
      <c r="X4266">
        <v>0.98327030000000004</v>
      </c>
      <c r="Y4266">
        <v>-7.2175169999999997E-2</v>
      </c>
      <c r="Z4266">
        <v>1.462435E-3</v>
      </c>
      <c r="AA4266">
        <v>0.99739089999999997</v>
      </c>
      <c r="AB4266">
        <v>37</v>
      </c>
      <c r="AC4266">
        <v>34.512599999999999</v>
      </c>
      <c r="AD4266">
        <v>-1.109907139838</v>
      </c>
      <c r="AE4266">
        <v>2.7531999999999899</v>
      </c>
      <c r="AF4266">
        <v>-2.5261823670255299</v>
      </c>
      <c r="AG4266">
        <v>-1.109907139838</v>
      </c>
      <c r="AH4266">
        <v>34.494319485309298</v>
      </c>
      <c r="AI4266">
        <v>91.838023938979106</v>
      </c>
      <c r="AJ4266">
        <v>94.188563731525903</v>
      </c>
      <c r="AK4266">
        <v>34.604502134333899</v>
      </c>
      <c r="AL4266">
        <v>80.781494964558703</v>
      </c>
      <c r="AM4266">
        <v>95.038566428658996</v>
      </c>
      <c r="AN4266">
        <v>1.00000000939536</v>
      </c>
    </row>
    <row r="4267" spans="1:40" x14ac:dyDescent="0.25">
      <c r="A4267" t="str">
        <f>"20190304154838762"</f>
        <v>20190304154838762</v>
      </c>
      <c r="B4267" t="str">
        <f>"1551685718750671"</f>
        <v>1551685718750671</v>
      </c>
      <c r="C4267" t="s">
        <v>40</v>
      </c>
      <c r="D4267">
        <v>4.1622519999999996</v>
      </c>
      <c r="E4267">
        <v>0.5039517</v>
      </c>
      <c r="F4267" t="s">
        <v>60</v>
      </c>
      <c r="G4267">
        <v>-338.17660000000001</v>
      </c>
      <c r="H4267" s="1">
        <v>2.7198140000000002E-6</v>
      </c>
      <c r="I4267">
        <v>216.7801</v>
      </c>
      <c r="J4267">
        <v>-372.6078</v>
      </c>
      <c r="K4267">
        <v>1.109904</v>
      </c>
      <c r="L4267">
        <v>214.01669999999999</v>
      </c>
      <c r="M4267">
        <v>0.9999053</v>
      </c>
      <c r="N4267">
        <v>-1.2273900000000001E-2</v>
      </c>
      <c r="O4267">
        <v>6.2395690000000004E-3</v>
      </c>
      <c r="P4267">
        <v>0.98471620000000004</v>
      </c>
      <c r="Q4267">
        <v>0.1479461</v>
      </c>
      <c r="R4267">
        <v>9.1902570000000003E-2</v>
      </c>
      <c r="S4267">
        <v>3.0387270000000002</v>
      </c>
      <c r="T4267">
        <v>-9.6985340000000003E-2</v>
      </c>
      <c r="U4267">
        <v>0.2416382</v>
      </c>
      <c r="V4267">
        <v>-8.5641819999999994E-2</v>
      </c>
      <c r="W4267">
        <v>0.16008889999999901</v>
      </c>
      <c r="X4267">
        <v>0.98338040000000004</v>
      </c>
      <c r="Y4267">
        <v>-7.2997350000000003E-2</v>
      </c>
      <c r="Z4267">
        <v>1.489331E-3</v>
      </c>
      <c r="AA4267">
        <v>0.99733099999999997</v>
      </c>
      <c r="AB4267">
        <v>37</v>
      </c>
      <c r="AC4267">
        <v>34.431199999999897</v>
      </c>
      <c r="AD4267">
        <v>-1.109901280186</v>
      </c>
      <c r="AE4267">
        <v>2.7634000000000101</v>
      </c>
      <c r="AF4267">
        <v>-2.5458656663394499</v>
      </c>
      <c r="AG4267">
        <v>-1.109901280186</v>
      </c>
      <c r="AH4267">
        <v>34.4122438920486</v>
      </c>
      <c r="AI4267">
        <v>91.842294376075799</v>
      </c>
      <c r="AJ4267">
        <v>94.231113385750703</v>
      </c>
      <c r="AK4267">
        <v>34.524134203896203</v>
      </c>
      <c r="AL4267">
        <v>80.787943614879893</v>
      </c>
      <c r="AM4267">
        <v>94.977285939540593</v>
      </c>
      <c r="AN4267">
        <v>0.99999999417014096</v>
      </c>
    </row>
    <row r="4268" spans="1:40" x14ac:dyDescent="0.25">
      <c r="A4268" t="str">
        <f>"20190304154838784"</f>
        <v>20190304154838784</v>
      </c>
      <c r="B4268" t="str">
        <f>"1551685718780924"</f>
        <v>1551685718780924</v>
      </c>
      <c r="C4268" t="s">
        <v>40</v>
      </c>
      <c r="D4268">
        <v>4.131793</v>
      </c>
      <c r="E4268">
        <v>0.50430010000000003</v>
      </c>
      <c r="F4268" t="s">
        <v>60</v>
      </c>
      <c r="G4268">
        <v>-335.42320000000001</v>
      </c>
      <c r="H4268" s="1">
        <v>1.250969E-6</v>
      </c>
      <c r="I4268">
        <v>216.8622</v>
      </c>
      <c r="J4268">
        <v>-372.23090000000002</v>
      </c>
      <c r="K4268">
        <v>1.109909</v>
      </c>
      <c r="L4268">
        <v>214.0188</v>
      </c>
      <c r="M4268">
        <v>0.99990679999999998</v>
      </c>
      <c r="N4268">
        <v>-1.227899E-2</v>
      </c>
      <c r="O4268">
        <v>5.9562030000000002E-3</v>
      </c>
      <c r="P4268">
        <v>0.98483160000000003</v>
      </c>
      <c r="Q4268">
        <v>0.14774889999999999</v>
      </c>
      <c r="R4268">
        <v>9.0977779999999994E-2</v>
      </c>
      <c r="S4268">
        <v>3.0384829999999998</v>
      </c>
      <c r="T4268">
        <v>-9.0693949999999995E-2</v>
      </c>
      <c r="U4268">
        <v>0.23251340000000001</v>
      </c>
      <c r="V4268">
        <v>-8.4996440000000006E-2</v>
      </c>
      <c r="W4268">
        <v>0.15989729999999999</v>
      </c>
      <c r="X4268">
        <v>0.9834676</v>
      </c>
      <c r="Y4268">
        <v>-7.0316080000000003E-2</v>
      </c>
      <c r="Z4268">
        <v>1.375689E-3</v>
      </c>
      <c r="AA4268">
        <v>0.99752379999999996</v>
      </c>
      <c r="AB4268">
        <v>37</v>
      </c>
      <c r="AC4268">
        <v>36.807699999999997</v>
      </c>
      <c r="AD4268">
        <v>-1.1099077490310001</v>
      </c>
      <c r="AE4268">
        <v>2.8433999999999999</v>
      </c>
      <c r="AF4268">
        <v>-2.62172913981889</v>
      </c>
      <c r="AG4268">
        <v>-1.1099077490310001</v>
      </c>
      <c r="AH4268">
        <v>36.790729609404998</v>
      </c>
      <c r="AI4268">
        <v>91.723614665384304</v>
      </c>
      <c r="AJ4268">
        <v>94.076040958857405</v>
      </c>
      <c r="AK4268">
        <v>36.9007201025439</v>
      </c>
      <c r="AL4268">
        <v>80.7990650872717</v>
      </c>
      <c r="AM4268">
        <v>94.939528550602901</v>
      </c>
      <c r="AN4268">
        <v>1.00000003080486</v>
      </c>
    </row>
    <row r="4269" spans="1:40" x14ac:dyDescent="0.25">
      <c r="A4269" t="str">
        <f>"20190304154838808"</f>
        <v>20190304154838808</v>
      </c>
      <c r="B4269" t="str">
        <f>"1551685718800444"</f>
        <v>1551685718800444</v>
      </c>
      <c r="C4269" t="s">
        <v>40</v>
      </c>
      <c r="D4269">
        <v>4.0839169999999996</v>
      </c>
      <c r="E4269">
        <v>0.50453689999999995</v>
      </c>
      <c r="F4269" t="s">
        <v>60</v>
      </c>
      <c r="G4269">
        <v>-331.31049999999999</v>
      </c>
      <c r="H4269" s="1">
        <v>-9.4694540000000003E-7</v>
      </c>
      <c r="I4269">
        <v>217.07579999999999</v>
      </c>
      <c r="J4269">
        <v>-371.85019999999997</v>
      </c>
      <c r="K4269">
        <v>1.1099139999999901</v>
      </c>
      <c r="L4269">
        <v>214.02080000000001</v>
      </c>
      <c r="M4269">
        <v>0.99990840000000003</v>
      </c>
      <c r="N4269">
        <v>-1.228334E-2</v>
      </c>
      <c r="O4269">
        <v>5.6716589999999999E-3</v>
      </c>
      <c r="P4269">
        <v>0.98483299999999996</v>
      </c>
      <c r="Q4269">
        <v>0.14802100000000001</v>
      </c>
      <c r="R4269">
        <v>9.0519760000000005E-2</v>
      </c>
      <c r="S4269">
        <v>3.0376280000000002</v>
      </c>
      <c r="T4269">
        <v>-8.239138E-2</v>
      </c>
      <c r="U4269">
        <v>0.22692870000000001</v>
      </c>
      <c r="V4269">
        <v>-8.4819080000000005E-2</v>
      </c>
      <c r="W4269">
        <v>0.16017319999999999</v>
      </c>
      <c r="X4269">
        <v>0.98343800000000003</v>
      </c>
      <c r="Y4269">
        <v>-6.8804790000000005E-2</v>
      </c>
      <c r="Z4269">
        <v>1.270925E-3</v>
      </c>
      <c r="AA4269">
        <v>0.99762930000000005</v>
      </c>
      <c r="AB4269">
        <v>37</v>
      </c>
      <c r="AC4269">
        <v>40.539699999999897</v>
      </c>
      <c r="AD4269">
        <v>-1.1099149469453999</v>
      </c>
      <c r="AE4269">
        <v>3.05499999999997</v>
      </c>
      <c r="AF4269">
        <v>-2.8229020933337701</v>
      </c>
      <c r="AG4269">
        <v>-1.1099149469453999</v>
      </c>
      <c r="AH4269">
        <v>40.526169993656197</v>
      </c>
      <c r="AI4269">
        <v>91.565012081364699</v>
      </c>
      <c r="AJ4269">
        <v>93.984574582961699</v>
      </c>
      <c r="AK4269">
        <v>40.6395268399218</v>
      </c>
      <c r="AL4269">
        <v>80.783050632396495</v>
      </c>
      <c r="AM4269">
        <v>94.929419826023306</v>
      </c>
      <c r="AN4269">
        <v>1.00000001508714</v>
      </c>
    </row>
    <row r="4270" spans="1:40" x14ac:dyDescent="0.25">
      <c r="A4270" t="str">
        <f>"20190304154838829"</f>
        <v>20190304154838829</v>
      </c>
      <c r="B4270" t="str">
        <f>"1551685718820940"</f>
        <v>1551685718820940</v>
      </c>
      <c r="C4270" t="s">
        <v>40</v>
      </c>
      <c r="D4270">
        <v>4.0844310000000004</v>
      </c>
      <c r="E4270">
        <v>0.50472550000000005</v>
      </c>
      <c r="F4270" t="s">
        <v>60</v>
      </c>
      <c r="G4270">
        <v>-328.48289999999997</v>
      </c>
      <c r="H4270" s="1">
        <v>2.9774029999999999E-6</v>
      </c>
      <c r="I4270">
        <v>217.21129999999999</v>
      </c>
      <c r="J4270">
        <v>-371.48660000000001</v>
      </c>
      <c r="K4270">
        <v>1.109915</v>
      </c>
      <c r="L4270">
        <v>214.02260000000001</v>
      </c>
      <c r="M4270">
        <v>0.99991010000000002</v>
      </c>
      <c r="N4270">
        <v>-1.228692E-2</v>
      </c>
      <c r="O4270">
        <v>5.4010100000000004E-3</v>
      </c>
      <c r="P4270">
        <v>0.98479609999999995</v>
      </c>
      <c r="Q4270">
        <v>0.14826909999999999</v>
      </c>
      <c r="R4270">
        <v>9.0516230000000003E-2</v>
      </c>
      <c r="S4270">
        <v>3.0374150000000002</v>
      </c>
      <c r="T4270">
        <v>-7.773745E-2</v>
      </c>
      <c r="U4270">
        <v>0.223465</v>
      </c>
      <c r="V4270">
        <v>-8.5083339999999993E-2</v>
      </c>
      <c r="W4270">
        <v>0.1604236</v>
      </c>
      <c r="X4270">
        <v>0.98337439999999998</v>
      </c>
      <c r="Y4270">
        <v>-6.7952219999999994E-2</v>
      </c>
      <c r="Z4270">
        <v>1.2146469999999999E-3</v>
      </c>
      <c r="AA4270">
        <v>0.99768780000000001</v>
      </c>
      <c r="AB4270">
        <v>37</v>
      </c>
      <c r="AC4270">
        <v>43.003700000000002</v>
      </c>
      <c r="AD4270">
        <v>-1.1099120225970001</v>
      </c>
      <c r="AE4270">
        <v>3.1886999999999799</v>
      </c>
      <c r="AF4270">
        <v>-2.9544152839144999</v>
      </c>
      <c r="AG4270">
        <v>-1.1099120225970001</v>
      </c>
      <c r="AH4270">
        <v>42.991814204037397</v>
      </c>
      <c r="AI4270">
        <v>91.475388340409395</v>
      </c>
      <c r="AJ4270">
        <v>93.931209107948504</v>
      </c>
      <c r="AK4270">
        <v>43.107500077390299</v>
      </c>
      <c r="AL4270">
        <v>80.768516216990093</v>
      </c>
      <c r="AM4270">
        <v>94.945019979721906</v>
      </c>
      <c r="AN4270">
        <v>1.0000000583789299</v>
      </c>
    </row>
    <row r="4271" spans="1:40" x14ac:dyDescent="0.25">
      <c r="A4271" t="str">
        <f>"20190304154838851"</f>
        <v>20190304154838851</v>
      </c>
      <c r="B4271" t="str">
        <f>"1551685718840463"</f>
        <v>1551685718840463</v>
      </c>
      <c r="C4271" t="s">
        <v>40</v>
      </c>
      <c r="D4271">
        <v>4.077585</v>
      </c>
      <c r="E4271">
        <v>0.50473950000000001</v>
      </c>
      <c r="F4271" t="s">
        <v>60</v>
      </c>
      <c r="G4271">
        <v>-326.34699999999998</v>
      </c>
      <c r="H4271" s="1">
        <v>1.8407809999999999E-6</v>
      </c>
      <c r="I4271">
        <v>217.3177</v>
      </c>
      <c r="J4271">
        <v>-371.1388</v>
      </c>
      <c r="K4271">
        <v>1.1099159999999999</v>
      </c>
      <c r="L4271">
        <v>214.02420000000001</v>
      </c>
      <c r="M4271">
        <v>0.99991140000000001</v>
      </c>
      <c r="N4271">
        <v>-1.2289909999999999E-2</v>
      </c>
      <c r="O4271">
        <v>5.1435880000000002E-3</v>
      </c>
      <c r="P4271">
        <v>0.98478730000000003</v>
      </c>
      <c r="Q4271">
        <v>0.14827960000000001</v>
      </c>
      <c r="R4271">
        <v>9.059478E-2</v>
      </c>
      <c r="S4271">
        <v>3.0371700000000001</v>
      </c>
      <c r="T4271">
        <v>-7.4679369999999995E-2</v>
      </c>
      <c r="U4271">
        <v>0.2217102</v>
      </c>
      <c r="V4271">
        <v>-8.5416069999999997E-2</v>
      </c>
      <c r="W4271">
        <v>0.16043679999999999</v>
      </c>
      <c r="X4271">
        <v>0.98334339999999998</v>
      </c>
      <c r="Y4271">
        <v>-6.7643750000000002E-2</v>
      </c>
      <c r="Z4271">
        <v>1.1835789999999999E-3</v>
      </c>
      <c r="AA4271">
        <v>0.99770890000000001</v>
      </c>
      <c r="AB4271">
        <v>37</v>
      </c>
      <c r="AC4271">
        <v>44.791800000000002</v>
      </c>
      <c r="AD4271">
        <v>-1.1099141592189901</v>
      </c>
      <c r="AE4271">
        <v>3.2934999999999901</v>
      </c>
      <c r="AF4271">
        <v>-3.06117898069698</v>
      </c>
      <c r="AG4271">
        <v>-1.1099141592189901</v>
      </c>
      <c r="AH4271">
        <v>44.780800674667702</v>
      </c>
      <c r="AI4271">
        <v>91.416508921135105</v>
      </c>
      <c r="AJ4271">
        <v>93.910608894123598</v>
      </c>
      <c r="AK4271">
        <v>44.899029335354399</v>
      </c>
      <c r="AL4271">
        <v>80.767749975697498</v>
      </c>
      <c r="AM4271">
        <v>94.964417422574002</v>
      </c>
      <c r="AN4271">
        <v>1.0000000570660199</v>
      </c>
    </row>
    <row r="4272" spans="1:40" x14ac:dyDescent="0.25">
      <c r="A4272" t="str">
        <f>"20190304154838873"</f>
        <v>20190304154838873</v>
      </c>
      <c r="B4272" t="str">
        <f>"1551685718870716"</f>
        <v>1551685718870716</v>
      </c>
      <c r="C4272" t="s">
        <v>40</v>
      </c>
      <c r="D4272">
        <v>4.0863969999999998</v>
      </c>
      <c r="E4272">
        <v>0.50468239999999998</v>
      </c>
      <c r="F4272" t="s">
        <v>60</v>
      </c>
      <c r="G4272">
        <v>-325.30509999999998</v>
      </c>
      <c r="H4272" s="1">
        <v>1.2863470000000001E-6</v>
      </c>
      <c r="I4272">
        <v>217.37129999999999</v>
      </c>
      <c r="J4272">
        <v>-370.77480000000003</v>
      </c>
      <c r="K4272">
        <v>1.10992</v>
      </c>
      <c r="L4272">
        <v>214.0258</v>
      </c>
      <c r="M4272">
        <v>0.99991260000000004</v>
      </c>
      <c r="N4272">
        <v>-1.2292930000000001E-2</v>
      </c>
      <c r="O4272">
        <v>4.8753720000000002E-3</v>
      </c>
      <c r="P4272">
        <v>0.98474680000000003</v>
      </c>
      <c r="Q4272">
        <v>0.14824789999999999</v>
      </c>
      <c r="R4272">
        <v>9.1085529999999998E-2</v>
      </c>
      <c r="S4272">
        <v>3.0370180000000002</v>
      </c>
      <c r="T4272">
        <v>-7.3544979999999996E-2</v>
      </c>
      <c r="U4272">
        <v>0.2217865</v>
      </c>
      <c r="V4272">
        <v>-8.6171860000000003E-2</v>
      </c>
      <c r="W4272">
        <v>0.16040760000000001</v>
      </c>
      <c r="X4272">
        <v>0.98328210000000005</v>
      </c>
      <c r="Y4272">
        <v>-6.7940529999999999E-2</v>
      </c>
      <c r="Z4272">
        <v>1.1816439999999999E-3</v>
      </c>
      <c r="AA4272">
        <v>0.99768869999999998</v>
      </c>
      <c r="AB4272">
        <v>37</v>
      </c>
      <c r="AC4272">
        <v>45.469700000000003</v>
      </c>
      <c r="AD4272">
        <v>-1.109918713653</v>
      </c>
      <c r="AE4272">
        <v>3.3454999999999799</v>
      </c>
      <c r="AF4272">
        <v>-3.12191160974709</v>
      </c>
      <c r="AG4272">
        <v>-1.109918713653</v>
      </c>
      <c r="AH4272">
        <v>45.458530615019399</v>
      </c>
      <c r="AI4272">
        <v>91.395374537738704</v>
      </c>
      <c r="AJ4272">
        <v>93.928678267536895</v>
      </c>
      <c r="AK4272">
        <v>45.579120848549103</v>
      </c>
      <c r="AL4272">
        <v>80.769443855330294</v>
      </c>
      <c r="AM4272">
        <v>95.008432454111201</v>
      </c>
      <c r="AN4272">
        <v>0.99999993788701202</v>
      </c>
    </row>
    <row r="4273" spans="1:40" x14ac:dyDescent="0.25">
      <c r="A4273" t="str">
        <f>"20190304154838896"</f>
        <v>20190304154838896</v>
      </c>
      <c r="B4273" t="str">
        <f>"1551685718891212"</f>
        <v>1551685718891212</v>
      </c>
      <c r="C4273" t="s">
        <v>40</v>
      </c>
      <c r="D4273">
        <v>4.0924519999999998</v>
      </c>
      <c r="E4273">
        <v>0.50472099999999998</v>
      </c>
      <c r="F4273" t="s">
        <v>60</v>
      </c>
      <c r="G4273">
        <v>-324.6678</v>
      </c>
      <c r="H4273" s="1">
        <v>9.4720450000000003E-7</v>
      </c>
      <c r="I4273">
        <v>217.41569999999999</v>
      </c>
      <c r="J4273">
        <v>-370.40170000000001</v>
      </c>
      <c r="K4273">
        <v>1.1099129999999999</v>
      </c>
      <c r="L4273">
        <v>214.0273</v>
      </c>
      <c r="M4273">
        <v>0.99991379999999996</v>
      </c>
      <c r="N4273">
        <v>-1.22954E-2</v>
      </c>
      <c r="O4273">
        <v>4.6034129999999998E-3</v>
      </c>
      <c r="P4273">
        <v>0.98479689999999998</v>
      </c>
      <c r="Q4273">
        <v>0.1477415</v>
      </c>
      <c r="R4273">
        <v>9.1366340000000004E-2</v>
      </c>
      <c r="S4273">
        <v>3.0368650000000001</v>
      </c>
      <c r="T4273">
        <v>-7.3105569999999995E-2</v>
      </c>
      <c r="U4273">
        <v>0.22328190000000001</v>
      </c>
      <c r="V4273">
        <v>-8.6721019999999996E-2</v>
      </c>
      <c r="W4273">
        <v>0.15990399999999999</v>
      </c>
      <c r="X4273">
        <v>0.98331590000000002</v>
      </c>
      <c r="Y4273">
        <v>-6.8704100000000004E-2</v>
      </c>
      <c r="Z4273">
        <v>1.194641E-3</v>
      </c>
      <c r="AA4273">
        <v>0.99763639999999998</v>
      </c>
      <c r="AB4273">
        <v>37</v>
      </c>
      <c r="AC4273">
        <v>45.733899999999998</v>
      </c>
      <c r="AD4273">
        <v>-1.1099120527955</v>
      </c>
      <c r="AE4273">
        <v>3.3883999999999901</v>
      </c>
      <c r="AF4273">
        <v>-3.1759557810189998</v>
      </c>
      <c r="AG4273">
        <v>-1.1099120527955</v>
      </c>
      <c r="AH4273">
        <v>45.722232253540902</v>
      </c>
      <c r="AI4273">
        <v>91.387246668722497</v>
      </c>
      <c r="AJ4273">
        <v>93.973494582085806</v>
      </c>
      <c r="AK4273">
        <v>45.8458408379066</v>
      </c>
      <c r="AL4273">
        <v>80.798675840352502</v>
      </c>
      <c r="AM4273">
        <v>95.040014176265004</v>
      </c>
      <c r="AN4273">
        <v>0.99999999185932498</v>
      </c>
    </row>
    <row r="4274" spans="1:40" x14ac:dyDescent="0.25">
      <c r="A4274" t="str">
        <f>"20190304154838919"</f>
        <v>20190304154838919</v>
      </c>
      <c r="B4274" t="str">
        <f>"1551685718910736"</f>
        <v>1551685718910736</v>
      </c>
      <c r="C4274" t="s">
        <v>40</v>
      </c>
      <c r="D4274">
        <v>4.0665899999999997</v>
      </c>
      <c r="E4274">
        <v>0.50475959999999997</v>
      </c>
      <c r="F4274" t="s">
        <v>60</v>
      </c>
      <c r="G4274">
        <v>-325.12529999999998</v>
      </c>
      <c r="H4274" s="1">
        <v>1.1906329999999999E-6</v>
      </c>
      <c r="I4274">
        <v>217.3586</v>
      </c>
      <c r="J4274">
        <v>-370.02390000000003</v>
      </c>
      <c r="K4274">
        <v>1.109912</v>
      </c>
      <c r="L4274">
        <v>214.02879999999999</v>
      </c>
      <c r="M4274">
        <v>0.99991509999999995</v>
      </c>
      <c r="N4274">
        <v>-1.2297280000000001E-2</v>
      </c>
      <c r="O4274">
        <v>4.3311139999999996E-3</v>
      </c>
      <c r="P4274">
        <v>0.98483160000000003</v>
      </c>
      <c r="Q4274">
        <v>0.14734729999999999</v>
      </c>
      <c r="R4274">
        <v>9.162787E-2</v>
      </c>
      <c r="S4274">
        <v>3.036743</v>
      </c>
      <c r="T4274">
        <v>-7.4443099999999998E-2</v>
      </c>
      <c r="U4274">
        <v>0.22343440000000001</v>
      </c>
      <c r="V4274">
        <v>-8.7251289999999995E-2</v>
      </c>
      <c r="W4274">
        <v>0.15951179999999901</v>
      </c>
      <c r="X4274">
        <v>0.98333269999999995</v>
      </c>
      <c r="Y4274">
        <v>-6.9027499999999894E-2</v>
      </c>
      <c r="Z4274">
        <v>1.2170950000000001E-3</v>
      </c>
      <c r="AA4274">
        <v>0.997614</v>
      </c>
      <c r="AB4274">
        <v>37</v>
      </c>
      <c r="AC4274">
        <v>44.898600000000002</v>
      </c>
      <c r="AD4274">
        <v>-1.109910809367</v>
      </c>
      <c r="AE4274">
        <v>3.3298000000000001</v>
      </c>
      <c r="AF4274">
        <v>-3.1333887899091302</v>
      </c>
      <c r="AG4274">
        <v>-1.109910809367</v>
      </c>
      <c r="AH4274">
        <v>44.885322377659001</v>
      </c>
      <c r="AI4274">
        <v>91.413066673328501</v>
      </c>
      <c r="AJ4274">
        <v>93.993269096942797</v>
      </c>
      <c r="AK4274">
        <v>45.008245825180197</v>
      </c>
      <c r="AL4274">
        <v>80.821439510922502</v>
      </c>
      <c r="AM4274">
        <v>95.070585815959205</v>
      </c>
      <c r="AN4274">
        <v>1.00000000041759</v>
      </c>
    </row>
    <row r="4275" spans="1:40" x14ac:dyDescent="0.25">
      <c r="A4275" t="str">
        <f>"20190304154838940"</f>
        <v>20190304154838940</v>
      </c>
      <c r="B4275" t="str">
        <f>"1551685718931231"</f>
        <v>1551685718931231</v>
      </c>
      <c r="C4275" t="s">
        <v>40</v>
      </c>
      <c r="D4275">
        <v>4.158836</v>
      </c>
      <c r="E4275">
        <v>0.50438209999999895</v>
      </c>
      <c r="F4275" t="s">
        <v>60</v>
      </c>
      <c r="G4275">
        <v>-325.50990000000002</v>
      </c>
      <c r="H4275" s="1">
        <v>1.3953349999999999E-6</v>
      </c>
      <c r="I4275">
        <v>217.30840000000001</v>
      </c>
      <c r="J4275">
        <v>-369.66140000000001</v>
      </c>
      <c r="K4275">
        <v>1.109923</v>
      </c>
      <c r="L4275">
        <v>214.0301</v>
      </c>
      <c r="M4275">
        <v>0.99991609999999997</v>
      </c>
      <c r="N4275">
        <v>-1.2298760000000001E-2</v>
      </c>
      <c r="O4275">
        <v>4.0754729999999996E-3</v>
      </c>
      <c r="P4275">
        <v>0.9848905</v>
      </c>
      <c r="Q4275">
        <v>0.14668709999999999</v>
      </c>
      <c r="R4275">
        <v>9.205265E-2</v>
      </c>
      <c r="S4275">
        <v>3.036743</v>
      </c>
      <c r="T4275">
        <v>-7.5718160000000007E-2</v>
      </c>
      <c r="U4275">
        <v>0.22373960000000001</v>
      </c>
      <c r="V4275">
        <v>-8.7930320000000006E-2</v>
      </c>
      <c r="W4275">
        <v>0.15885279999999999</v>
      </c>
      <c r="X4275">
        <v>0.98337889999999994</v>
      </c>
      <c r="Y4275">
        <v>-6.9381209999999999E-2</v>
      </c>
      <c r="Z4275">
        <v>1.2396099999999999E-3</v>
      </c>
      <c r="AA4275">
        <v>0.99758950000000002</v>
      </c>
      <c r="AB4275">
        <v>37</v>
      </c>
      <c r="AC4275">
        <v>44.151499999999999</v>
      </c>
      <c r="AD4275">
        <v>-1.109921604665</v>
      </c>
      <c r="AE4275">
        <v>3.2783000000000002</v>
      </c>
      <c r="AF4275">
        <v>-3.0963748464637399</v>
      </c>
      <c r="AG4275">
        <v>-1.109921604665</v>
      </c>
      <c r="AH4275">
        <v>44.136754919997003</v>
      </c>
      <c r="AI4275">
        <v>91.437002002609901</v>
      </c>
      <c r="AJ4275">
        <v>94.012959755667893</v>
      </c>
      <c r="AK4275">
        <v>44.259152703437501</v>
      </c>
      <c r="AL4275">
        <v>80.859685153514505</v>
      </c>
      <c r="AM4275">
        <v>95.109600560656503</v>
      </c>
      <c r="AN4275">
        <v>1.0000000071041699</v>
      </c>
    </row>
    <row r="4276" spans="1:40" x14ac:dyDescent="0.25">
      <c r="A4276" t="str">
        <f>"20190304154838962"</f>
        <v>20190304154838962</v>
      </c>
      <c r="B4276" t="str">
        <f>"1551685718950748"</f>
        <v>1551685718950748</v>
      </c>
      <c r="C4276" t="s">
        <v>40</v>
      </c>
      <c r="D4276">
        <v>4.3633100000000002</v>
      </c>
      <c r="E4276">
        <v>0.50421800000000006</v>
      </c>
      <c r="F4276" t="s">
        <v>60</v>
      </c>
      <c r="G4276">
        <v>-327.90320000000003</v>
      </c>
      <c r="H4276" s="1">
        <v>2.6689220000000002E-6</v>
      </c>
      <c r="I4276">
        <v>217.15700000000001</v>
      </c>
      <c r="J4276">
        <v>-369.30919999999998</v>
      </c>
      <c r="K4276">
        <v>1.1099220000000001</v>
      </c>
      <c r="L4276">
        <v>214.03129999999999</v>
      </c>
      <c r="M4276">
        <v>0.99991699999999994</v>
      </c>
      <c r="N4276">
        <v>-1.229997E-2</v>
      </c>
      <c r="O4276">
        <v>3.8358450000000001E-3</v>
      </c>
      <c r="P4276">
        <v>0.98492769999999996</v>
      </c>
      <c r="Q4276">
        <v>0.1462347</v>
      </c>
      <c r="R4276">
        <v>9.2373289999999997E-2</v>
      </c>
      <c r="S4276">
        <v>3.0368040000000001</v>
      </c>
      <c r="T4276">
        <v>-8.0717440000000001E-2</v>
      </c>
      <c r="U4276">
        <v>0.22740170000000001</v>
      </c>
      <c r="V4276">
        <v>-8.8489170000000006E-2</v>
      </c>
      <c r="W4276">
        <v>0.15840129999999999</v>
      </c>
      <c r="X4276">
        <v>0.98340159999999999</v>
      </c>
      <c r="Y4276">
        <v>-7.0810830000000005E-2</v>
      </c>
      <c r="Z4276">
        <v>1.3211309999999999E-3</v>
      </c>
      <c r="AA4276">
        <v>0.99748890000000001</v>
      </c>
      <c r="AB4276">
        <v>37</v>
      </c>
      <c r="AC4276">
        <v>41.405999999999899</v>
      </c>
      <c r="AD4276">
        <v>-1.10991933107799</v>
      </c>
      <c r="AE4276">
        <v>3.1257000000000201</v>
      </c>
      <c r="AF4276">
        <v>-2.96471976311047</v>
      </c>
      <c r="AG4276">
        <v>-1.10991933107799</v>
      </c>
      <c r="AH4276">
        <v>41.388115074240297</v>
      </c>
      <c r="AI4276">
        <v>91.532228314308398</v>
      </c>
      <c r="AJ4276">
        <v>94.097221727839496</v>
      </c>
      <c r="AK4276">
        <v>41.509005692666697</v>
      </c>
      <c r="AL4276">
        <v>80.885885926849497</v>
      </c>
      <c r="AM4276">
        <v>95.141783548923897</v>
      </c>
      <c r="AN4276">
        <v>1.0000000059657601</v>
      </c>
    </row>
    <row r="4277" spans="1:40" x14ac:dyDescent="0.25">
      <c r="A4277" t="str">
        <f>"20190304154838976"</f>
        <v>20190304154838976</v>
      </c>
      <c r="B4277" t="str">
        <f>"1551685718971244"</f>
        <v>1551685718971244</v>
      </c>
      <c r="C4277" t="s">
        <v>40</v>
      </c>
      <c r="D4277">
        <v>4.1823629999999996</v>
      </c>
      <c r="E4277">
        <v>0.50395489999999998</v>
      </c>
      <c r="F4277" t="s">
        <v>60</v>
      </c>
      <c r="G4277">
        <v>-328.90469999999999</v>
      </c>
      <c r="H4277" s="1">
        <v>3.2018660000000001E-6</v>
      </c>
      <c r="I4277">
        <v>217.0838</v>
      </c>
      <c r="J4277">
        <v>-369.0899</v>
      </c>
      <c r="K4277">
        <v>1.1099250000000001</v>
      </c>
      <c r="L4277">
        <v>214.03200000000001</v>
      </c>
      <c r="M4277">
        <v>0.99991759999999996</v>
      </c>
      <c r="N4277">
        <v>-1.230065E-2</v>
      </c>
      <c r="O4277">
        <v>3.6917450000000002E-3</v>
      </c>
      <c r="P4277">
        <v>0.98488830000000005</v>
      </c>
      <c r="Q4277">
        <v>0.14630309999999999</v>
      </c>
      <c r="R4277">
        <v>9.2685879999999998E-2</v>
      </c>
      <c r="S4277">
        <v>3.0367130000000002</v>
      </c>
      <c r="T4277">
        <v>-8.3419080000000007E-2</v>
      </c>
      <c r="U4277">
        <v>0.22941590000000001</v>
      </c>
      <c r="V4277">
        <v>-8.8945850000000007E-2</v>
      </c>
      <c r="W4277">
        <v>0.1584691</v>
      </c>
      <c r="X4277">
        <v>0.98334949999999999</v>
      </c>
      <c r="Y4277">
        <v>-7.1612220000000004E-2</v>
      </c>
      <c r="Z4277">
        <v>1.3673170000000001E-3</v>
      </c>
      <c r="AA4277">
        <v>0.99743159999999997</v>
      </c>
      <c r="AB4277">
        <v>37</v>
      </c>
      <c r="AC4277">
        <v>40.185200000000002</v>
      </c>
      <c r="AD4277">
        <v>-1.1099217981339999</v>
      </c>
      <c r="AE4277">
        <v>3.0517999999999801</v>
      </c>
      <c r="AF4277">
        <v>-2.9012139075267598</v>
      </c>
      <c r="AG4277">
        <v>-1.1099217981339999</v>
      </c>
      <c r="AH4277">
        <v>40.165727775789797</v>
      </c>
      <c r="AI4277">
        <v>91.578772143221698</v>
      </c>
      <c r="AJ4277">
        <v>94.131361128788797</v>
      </c>
      <c r="AK4277">
        <v>40.2856631606587</v>
      </c>
      <c r="AL4277">
        <v>80.881951796356006</v>
      </c>
      <c r="AM4277">
        <v>95.168448561923299</v>
      </c>
      <c r="AN4277">
        <v>1.00000002951864</v>
      </c>
    </row>
    <row r="4278" spans="1:40" x14ac:dyDescent="0.25">
      <c r="A4278" t="str">
        <f>"20190304154838997"</f>
        <v>20190304154838997</v>
      </c>
      <c r="B4278" t="str">
        <f>"1551685718990764"</f>
        <v>1551685718990764</v>
      </c>
      <c r="C4278" t="s">
        <v>40</v>
      </c>
      <c r="D4278">
        <v>4.1744839999999996</v>
      </c>
      <c r="E4278">
        <v>0.50372109999999903</v>
      </c>
      <c r="F4278" t="s">
        <v>60</v>
      </c>
      <c r="G4278">
        <v>-329.28320000000002</v>
      </c>
      <c r="H4278" s="1">
        <v>3.4032860000000001E-6</v>
      </c>
      <c r="I4278">
        <v>217.07339999999999</v>
      </c>
      <c r="J4278">
        <v>-368.73809999999997</v>
      </c>
      <c r="K4278">
        <v>1.109937</v>
      </c>
      <c r="L4278">
        <v>214.03309999999999</v>
      </c>
      <c r="M4278">
        <v>0.99991830000000004</v>
      </c>
      <c r="N4278">
        <v>-1.230157E-2</v>
      </c>
      <c r="O4278">
        <v>3.4731089999999998E-3</v>
      </c>
      <c r="P4278">
        <v>0.98490880000000003</v>
      </c>
      <c r="Q4278">
        <v>0.14595610000000001</v>
      </c>
      <c r="R4278">
        <v>9.3013999999999999E-2</v>
      </c>
      <c r="S4278">
        <v>3.0367739999999999</v>
      </c>
      <c r="T4278">
        <v>-8.4673760000000001E-2</v>
      </c>
      <c r="U4278">
        <v>0.23202510000000001</v>
      </c>
      <c r="V4278">
        <v>-8.9493900000000001E-2</v>
      </c>
      <c r="W4278">
        <v>0.1581207</v>
      </c>
      <c r="X4278">
        <v>0.9833558</v>
      </c>
      <c r="Y4278">
        <v>-7.2679250000000001E-2</v>
      </c>
      <c r="Z4278">
        <v>1.405391E-3</v>
      </c>
      <c r="AA4278">
        <v>0.99735439999999997</v>
      </c>
      <c r="AB4278">
        <v>37</v>
      </c>
      <c r="AC4278">
        <v>39.454899999999903</v>
      </c>
      <c r="AD4278">
        <v>-1.109933596714</v>
      </c>
      <c r="AE4278">
        <v>3.0402999999999998</v>
      </c>
      <c r="AF4278">
        <v>-2.9009578768779001</v>
      </c>
      <c r="AG4278">
        <v>-1.109933596714</v>
      </c>
      <c r="AH4278">
        <v>39.434198367427399</v>
      </c>
      <c r="AI4278">
        <v>91.607905820364905</v>
      </c>
      <c r="AJ4278">
        <v>94.207357736606696</v>
      </c>
      <c r="AK4278">
        <v>39.556333375000101</v>
      </c>
      <c r="AL4278">
        <v>80.902168009631296</v>
      </c>
      <c r="AM4278">
        <v>95.200087350515403</v>
      </c>
      <c r="AN4278">
        <v>0.99999997164966903</v>
      </c>
    </row>
    <row r="4279" spans="1:40" x14ac:dyDescent="0.25">
      <c r="A4279" t="str">
        <f>"20190304154839021"</f>
        <v>20190304154839021</v>
      </c>
      <c r="B4279" t="str">
        <f>"1551685719011260"</f>
        <v>1551685719011260</v>
      </c>
      <c r="C4279" t="s">
        <v>40</v>
      </c>
      <c r="D4279">
        <v>4.126728</v>
      </c>
      <c r="E4279">
        <v>0.50370870000000001</v>
      </c>
      <c r="F4279" t="s">
        <v>60</v>
      </c>
      <c r="G4279">
        <v>-330.52390000000003</v>
      </c>
      <c r="H4279" s="1">
        <v>-1.3614940000000001E-6</v>
      </c>
      <c r="I4279">
        <v>216.9846</v>
      </c>
      <c r="J4279">
        <v>-368.35079999999999</v>
      </c>
      <c r="K4279">
        <v>1.109952</v>
      </c>
      <c r="L4279">
        <v>214.0342</v>
      </c>
      <c r="M4279">
        <v>0.99991909999999895</v>
      </c>
      <c r="N4279">
        <v>-1.2302509999999999E-2</v>
      </c>
      <c r="O4279">
        <v>3.2505379999999999E-3</v>
      </c>
      <c r="P4279">
        <v>0.98494490000000001</v>
      </c>
      <c r="Q4279">
        <v>0.14585219999999999</v>
      </c>
      <c r="R4279">
        <v>9.2795619999999995E-2</v>
      </c>
      <c r="S4279">
        <v>3.0369259999999998</v>
      </c>
      <c r="T4279">
        <v>-8.8208079999999994E-2</v>
      </c>
      <c r="U4279">
        <v>0.23455809999999999</v>
      </c>
      <c r="V4279">
        <v>-8.9500579999999996E-2</v>
      </c>
      <c r="W4279">
        <v>0.15801470000000001</v>
      </c>
      <c r="X4279">
        <v>0.98337229999999998</v>
      </c>
      <c r="Y4279">
        <v>-7.3720869999999994E-2</v>
      </c>
      <c r="Z4279">
        <v>1.4687840000000001E-3</v>
      </c>
      <c r="AA4279">
        <v>0.99727790000000005</v>
      </c>
      <c r="AB4279">
        <v>37</v>
      </c>
      <c r="AC4279">
        <v>37.826899999999902</v>
      </c>
      <c r="AD4279">
        <v>-1.109953361494</v>
      </c>
      <c r="AE4279">
        <v>2.9504000000000001</v>
      </c>
      <c r="AF4279">
        <v>-2.8249996927240302</v>
      </c>
      <c r="AG4279">
        <v>-1.109953361494</v>
      </c>
      <c r="AH4279">
        <v>37.803938511890102</v>
      </c>
      <c r="AI4279">
        <v>91.677092564521701</v>
      </c>
      <c r="AJ4279">
        <v>94.273636104791606</v>
      </c>
      <c r="AK4279">
        <v>37.9255901304034</v>
      </c>
      <c r="AL4279">
        <v>80.908319312106897</v>
      </c>
      <c r="AM4279">
        <v>95.200386586749502</v>
      </c>
      <c r="AN4279">
        <v>1.00000003982185</v>
      </c>
    </row>
    <row r="4280" spans="1:40" x14ac:dyDescent="0.25">
      <c r="A4280" t="str">
        <f>"20190304154839041"</f>
        <v>20190304154839041</v>
      </c>
      <c r="B4280" t="str">
        <f>"1551685719030784"</f>
        <v>1551685719030784</v>
      </c>
      <c r="C4280" t="s">
        <v>40</v>
      </c>
      <c r="D4280">
        <v>4.1806570000000001</v>
      </c>
      <c r="E4280">
        <v>0.50383929999999999</v>
      </c>
      <c r="F4280" t="s">
        <v>60</v>
      </c>
      <c r="G4280">
        <v>-330.58120000000002</v>
      </c>
      <c r="H4280" s="1">
        <v>-1.329265E-6</v>
      </c>
      <c r="I4280">
        <v>216.94399999999999</v>
      </c>
      <c r="J4280">
        <v>-368.0043</v>
      </c>
      <c r="K4280">
        <v>1.109966</v>
      </c>
      <c r="L4280">
        <v>214.0351</v>
      </c>
      <c r="M4280">
        <v>0.99991969999999997</v>
      </c>
      <c r="N4280">
        <v>-1.2303359999999999E-2</v>
      </c>
      <c r="O4280">
        <v>3.0686089999999999E-3</v>
      </c>
      <c r="P4280">
        <v>0.9850314</v>
      </c>
      <c r="Q4280">
        <v>0.1453882</v>
      </c>
      <c r="R4280">
        <v>9.2603930000000001E-2</v>
      </c>
      <c r="S4280">
        <v>3.0370180000000002</v>
      </c>
      <c r="T4280">
        <v>-8.9250330000000003E-2</v>
      </c>
      <c r="U4280">
        <v>0.2339783</v>
      </c>
      <c r="V4280">
        <v>-8.9493729999999994E-2</v>
      </c>
      <c r="W4280">
        <v>0.1575491</v>
      </c>
      <c r="X4280">
        <v>0.98344759999999998</v>
      </c>
      <c r="Y4280">
        <v>-7.3709849999999993E-2</v>
      </c>
      <c r="Z4280">
        <v>1.4831779999999999E-3</v>
      </c>
      <c r="AA4280">
        <v>0.99727860000000002</v>
      </c>
      <c r="AB4280">
        <v>37</v>
      </c>
      <c r="AC4280">
        <v>37.423099999999899</v>
      </c>
      <c r="AD4280">
        <v>-1.1099673292649901</v>
      </c>
      <c r="AE4280">
        <v>2.9089000000000098</v>
      </c>
      <c r="AF4280">
        <v>-2.7915997024690999</v>
      </c>
      <c r="AG4280">
        <v>-1.1099673292649901</v>
      </c>
      <c r="AH4280">
        <v>37.399147813504499</v>
      </c>
      <c r="AI4280">
        <v>91.695266008896795</v>
      </c>
      <c r="AJ4280">
        <v>94.268835632087701</v>
      </c>
      <c r="AK4280">
        <v>37.519612385354201</v>
      </c>
      <c r="AL4280">
        <v>80.935334386915201</v>
      </c>
      <c r="AM4280">
        <v>95.199594785833</v>
      </c>
      <c r="AN4280">
        <v>1.0000000142829399</v>
      </c>
    </row>
    <row r="4281" spans="1:40" x14ac:dyDescent="0.25">
      <c r="A4281" t="str">
        <f>"20190304154839063"</f>
        <v>20190304154839063</v>
      </c>
      <c r="B4281" t="str">
        <f>"1551685719051277"</f>
        <v>1551685719051277</v>
      </c>
      <c r="C4281" t="s">
        <v>40</v>
      </c>
      <c r="D4281">
        <v>4.2469739999999998</v>
      </c>
      <c r="E4281">
        <v>0.50374810000000003</v>
      </c>
      <c r="F4281" t="s">
        <v>60</v>
      </c>
      <c r="G4281">
        <v>-330.62</v>
      </c>
      <c r="H4281" s="1">
        <v>-1.3065969999999901E-6</v>
      </c>
      <c r="I4281">
        <v>216.89760000000001</v>
      </c>
      <c r="J4281">
        <v>-367.6497</v>
      </c>
      <c r="K4281">
        <v>1.10998</v>
      </c>
      <c r="L4281">
        <v>214.036</v>
      </c>
      <c r="M4281">
        <v>0.99992009999999998</v>
      </c>
      <c r="N4281">
        <v>-1.230404E-2</v>
      </c>
      <c r="O4281">
        <v>2.899871E-3</v>
      </c>
      <c r="P4281">
        <v>0.9851898</v>
      </c>
      <c r="Q4281">
        <v>0.14440029999999901</v>
      </c>
      <c r="R4281">
        <v>9.2464550000000006E-2</v>
      </c>
      <c r="S4281">
        <v>3.037048</v>
      </c>
      <c r="T4281">
        <v>-9.0172169999999996E-2</v>
      </c>
      <c r="U4281">
        <v>0.2325439</v>
      </c>
      <c r="V4281">
        <v>-8.9526270000000005E-2</v>
      </c>
      <c r="W4281">
        <v>0.15656059999999999</v>
      </c>
      <c r="X4281">
        <v>0.98360250000000005</v>
      </c>
      <c r="Y4281">
        <v>-7.3408520000000005E-2</v>
      </c>
      <c r="Z4281">
        <v>1.490047E-3</v>
      </c>
      <c r="AA4281">
        <v>0.99730090000000005</v>
      </c>
      <c r="AB4281">
        <v>37</v>
      </c>
      <c r="AC4281">
        <v>37.029699999999899</v>
      </c>
      <c r="AD4281">
        <v>-1.1099813065969999</v>
      </c>
      <c r="AE4281">
        <v>2.8616000000000299</v>
      </c>
      <c r="AF4281">
        <v>-2.7517406500882902</v>
      </c>
      <c r="AG4281">
        <v>-1.1099813065969999</v>
      </c>
      <c r="AH4281">
        <v>37.004790777837698</v>
      </c>
      <c r="AI4281">
        <v>91.713378905949</v>
      </c>
      <c r="AJ4281">
        <v>94.252786581804898</v>
      </c>
      <c r="AK4281">
        <v>37.123559576337499</v>
      </c>
      <c r="AL4281">
        <v>80.992683078062896</v>
      </c>
      <c r="AM4281">
        <v>95.200660346459003</v>
      </c>
      <c r="AN4281">
        <v>1.00000002624936</v>
      </c>
    </row>
    <row r="4282" spans="1:40" x14ac:dyDescent="0.25">
      <c r="A4282" t="str">
        <f>"20190304154839086"</f>
        <v>20190304154839086</v>
      </c>
      <c r="B4282" t="str">
        <f>"1551685719081532"</f>
        <v>1551685719081532</v>
      </c>
      <c r="C4282" t="s">
        <v>40</v>
      </c>
      <c r="D4282">
        <v>4.3102660000000004</v>
      </c>
      <c r="E4282">
        <v>0.50358159999999996</v>
      </c>
      <c r="F4282" t="s">
        <v>60</v>
      </c>
      <c r="G4282">
        <v>-331.6848</v>
      </c>
      <c r="H4282" s="1">
        <v>-7.3498630000000002E-7</v>
      </c>
      <c r="I4282">
        <v>216.78389999999999</v>
      </c>
      <c r="J4282">
        <v>-367.26839999999999</v>
      </c>
      <c r="K4282">
        <v>1.109993</v>
      </c>
      <c r="L4282">
        <v>214.03700000000001</v>
      </c>
      <c r="M4282">
        <v>0.99992049999999999</v>
      </c>
      <c r="N4282">
        <v>-1.230462E-2</v>
      </c>
      <c r="O4282">
        <v>2.7359670000000002E-3</v>
      </c>
      <c r="P4282">
        <v>0.98534889999999997</v>
      </c>
      <c r="Q4282">
        <v>0.14337250000000001</v>
      </c>
      <c r="R4282">
        <v>9.2367980000000002E-2</v>
      </c>
      <c r="S4282">
        <v>3.037048</v>
      </c>
      <c r="T4282">
        <v>-9.3731999999999996E-2</v>
      </c>
      <c r="U4282">
        <v>0.23204040000000001</v>
      </c>
      <c r="V4282">
        <v>-8.9597270000000007E-2</v>
      </c>
      <c r="W4282">
        <v>0.15553239999999999</v>
      </c>
      <c r="X4282">
        <v>0.9837591</v>
      </c>
      <c r="Y4282">
        <v>-7.3404510000000006E-2</v>
      </c>
      <c r="Z4282">
        <v>1.5325709999999999E-3</v>
      </c>
      <c r="AA4282">
        <v>0.99730110000000005</v>
      </c>
      <c r="AB4282">
        <v>37</v>
      </c>
      <c r="AC4282">
        <v>35.583599999999898</v>
      </c>
      <c r="AD4282">
        <v>-1.1099937349863001</v>
      </c>
      <c r="AE4282">
        <v>2.7468999999999801</v>
      </c>
      <c r="AF4282">
        <v>-2.6469663771068199</v>
      </c>
      <c r="AG4282">
        <v>-1.1099937349863001</v>
      </c>
      <c r="AH4282">
        <v>35.556588927621398</v>
      </c>
      <c r="AI4282">
        <v>91.783128927632802</v>
      </c>
      <c r="AJ4282">
        <v>94.257460407829896</v>
      </c>
      <c r="AK4282">
        <v>35.672251586647697</v>
      </c>
      <c r="AL4282">
        <v>81.052324839191101</v>
      </c>
      <c r="AM4282">
        <v>95.203938183490195</v>
      </c>
      <c r="AN4282">
        <v>0.99999998253701095</v>
      </c>
    </row>
    <row r="4283" spans="1:40" x14ac:dyDescent="0.25">
      <c r="A4283" t="str">
        <f>"20190304154839108"</f>
        <v>20190304154839108</v>
      </c>
      <c r="B4283" t="str">
        <f>"1551685719101052"</f>
        <v>1551685719101052</v>
      </c>
      <c r="C4283" t="s">
        <v>40</v>
      </c>
      <c r="D4283">
        <v>4.30471</v>
      </c>
      <c r="E4283">
        <v>0.50340370000000001</v>
      </c>
      <c r="F4283" t="s">
        <v>60</v>
      </c>
      <c r="G4283">
        <v>-332.69260000000003</v>
      </c>
      <c r="H4283" s="1">
        <v>-1.9438090000000001E-7</v>
      </c>
      <c r="I4283">
        <v>216.6859</v>
      </c>
      <c r="J4283">
        <v>-366.90660000000003</v>
      </c>
      <c r="K4283">
        <v>1.1099969999999999</v>
      </c>
      <c r="L4283">
        <v>214.0378</v>
      </c>
      <c r="M4283">
        <v>0.99992099999999995</v>
      </c>
      <c r="N4283">
        <v>-1.230505E-2</v>
      </c>
      <c r="O4283">
        <v>2.592217E-3</v>
      </c>
      <c r="P4283">
        <v>0.98549719999999996</v>
      </c>
      <c r="Q4283">
        <v>0.1426306</v>
      </c>
      <c r="R4283">
        <v>9.1934150000000006E-2</v>
      </c>
      <c r="S4283">
        <v>3.0369869999999999</v>
      </c>
      <c r="T4283">
        <v>-9.7496869999999999E-2</v>
      </c>
      <c r="U4283">
        <v>0.23266600000000001</v>
      </c>
      <c r="V4283">
        <v>-8.9309970000000002E-2</v>
      </c>
      <c r="W4283">
        <v>0.15478910000000001</v>
      </c>
      <c r="X4283">
        <v>0.98390250000000001</v>
      </c>
      <c r="Y4283">
        <v>-7.3750029999999994E-2</v>
      </c>
      <c r="Z4283">
        <v>1.5851350000000001E-3</v>
      </c>
      <c r="AA4283">
        <v>0.99727549999999998</v>
      </c>
      <c r="AB4283">
        <v>37</v>
      </c>
      <c r="AC4283">
        <v>34.213999999999999</v>
      </c>
      <c r="AD4283">
        <v>-1.1099971943808999</v>
      </c>
      <c r="AE4283">
        <v>2.6480999999999901</v>
      </c>
      <c r="AF4283">
        <v>-2.5567192711684998</v>
      </c>
      <c r="AG4283">
        <v>-1.1099971943808999</v>
      </c>
      <c r="AH4283">
        <v>34.184983407069701</v>
      </c>
      <c r="AI4283">
        <v>91.854582545267107</v>
      </c>
      <c r="AJ4283">
        <v>94.277228935052406</v>
      </c>
      <c r="AK4283">
        <v>34.298425586967198</v>
      </c>
      <c r="AL4283">
        <v>81.095435341387699</v>
      </c>
      <c r="AM4283">
        <v>95.186590656575703</v>
      </c>
      <c r="AN4283">
        <v>1.0000000328632299</v>
      </c>
    </row>
    <row r="4284" spans="1:40" x14ac:dyDescent="0.25">
      <c r="A4284" t="str">
        <f>"20190304154839131"</f>
        <v>20190304154839131</v>
      </c>
      <c r="B4284" t="str">
        <f>"1551685719121548"</f>
        <v>1551685719121548</v>
      </c>
      <c r="C4284" t="s">
        <v>40</v>
      </c>
      <c r="D4284">
        <v>4.2376620000000003</v>
      </c>
      <c r="E4284">
        <v>0.5036003</v>
      </c>
      <c r="F4284" t="s">
        <v>60</v>
      </c>
      <c r="G4284">
        <v>-333.51710000000003</v>
      </c>
      <c r="H4284" s="1">
        <v>2.4831869999999999E-7</v>
      </c>
      <c r="I4284">
        <v>216.59530000000001</v>
      </c>
      <c r="J4284">
        <v>-366.53519999999997</v>
      </c>
      <c r="K4284">
        <v>1.110007</v>
      </c>
      <c r="L4284">
        <v>214.0386</v>
      </c>
      <c r="M4284">
        <v>0.99992139999999996</v>
      </c>
      <c r="N4284">
        <v>-1.2305450000000001E-2</v>
      </c>
      <c r="O4284">
        <v>2.4521230000000001E-3</v>
      </c>
      <c r="P4284">
        <v>0.9855332</v>
      </c>
      <c r="Q4284">
        <v>0.14221120000000001</v>
      </c>
      <c r="R4284">
        <v>9.2198829999999996E-2</v>
      </c>
      <c r="S4284">
        <v>3.0370180000000002</v>
      </c>
      <c r="T4284">
        <v>-0.1009622</v>
      </c>
      <c r="U4284">
        <v>0.2326202</v>
      </c>
      <c r="V4284">
        <v>-8.9716580000000004E-2</v>
      </c>
      <c r="W4284">
        <v>0.154368899999999</v>
      </c>
      <c r="X4284">
        <v>0.98393149999999996</v>
      </c>
      <c r="Y4284">
        <v>-7.3870759999999994E-2</v>
      </c>
      <c r="Z4284">
        <v>1.629854E-3</v>
      </c>
      <c r="AA4284">
        <v>0.99726649999999994</v>
      </c>
      <c r="AB4284">
        <v>37</v>
      </c>
      <c r="AC4284">
        <v>33.018099999999897</v>
      </c>
      <c r="AD4284">
        <v>-1.1100067516812999</v>
      </c>
      <c r="AE4284">
        <v>2.5567000000000002</v>
      </c>
      <c r="AF4284">
        <v>-2.4729435389810499</v>
      </c>
      <c r="AG4284">
        <v>-1.1100067516812999</v>
      </c>
      <c r="AH4284">
        <v>32.987211297638503</v>
      </c>
      <c r="AI4284">
        <v>91.921864549337897</v>
      </c>
      <c r="AJ4284">
        <v>94.287258060396894</v>
      </c>
      <c r="AK4284">
        <v>33.0983938270547</v>
      </c>
      <c r="AL4284">
        <v>81.119803716751406</v>
      </c>
      <c r="AM4284">
        <v>95.209921763752803</v>
      </c>
      <c r="AN4284">
        <v>1.00000000935317</v>
      </c>
    </row>
    <row r="4285" spans="1:40" x14ac:dyDescent="0.25">
      <c r="A4285" t="str">
        <f>"20190304154839153"</f>
        <v>20190304154839153</v>
      </c>
      <c r="B4285" t="str">
        <f>"1551685719150828"</f>
        <v>1551685719150828</v>
      </c>
      <c r="C4285" t="s">
        <v>40</v>
      </c>
      <c r="D4285">
        <v>4.3004680000000004</v>
      </c>
      <c r="E4285">
        <v>0.52680669999999996</v>
      </c>
      <c r="F4285" t="s">
        <v>60</v>
      </c>
      <c r="G4285">
        <v>-333.4212</v>
      </c>
      <c r="H4285" s="1">
        <v>1.988264E-7</v>
      </c>
      <c r="I4285">
        <v>216.56030000000001</v>
      </c>
      <c r="J4285">
        <v>-366.16989999999998</v>
      </c>
      <c r="K4285">
        <v>1.1100129999999999</v>
      </c>
      <c r="L4285">
        <v>214.0394</v>
      </c>
      <c r="M4285">
        <v>0.99992159999999997</v>
      </c>
      <c r="N4285">
        <v>-1.2305160000000001E-2</v>
      </c>
      <c r="O4285">
        <v>2.3195550000000001E-3</v>
      </c>
      <c r="P4285">
        <v>0.98562360000000004</v>
      </c>
      <c r="Q4285">
        <v>0.14139299999999999</v>
      </c>
      <c r="R4285">
        <v>9.2488239999999999E-2</v>
      </c>
      <c r="S4285">
        <v>3.0371090000000001</v>
      </c>
      <c r="T4285">
        <v>-0.10180640000000001</v>
      </c>
      <c r="U4285">
        <v>0.2312775</v>
      </c>
      <c r="V4285">
        <v>-9.0139220000000006E-2</v>
      </c>
      <c r="W4285">
        <v>0.15354999999999999</v>
      </c>
      <c r="X4285">
        <v>0.98402100000000003</v>
      </c>
      <c r="Y4285">
        <v>-7.356174E-2</v>
      </c>
      <c r="Z4285">
        <v>1.6351180000000001E-3</v>
      </c>
      <c r="AA4285">
        <v>0.99728930000000005</v>
      </c>
      <c r="AB4285">
        <v>37</v>
      </c>
      <c r="AC4285">
        <v>32.7486999999999</v>
      </c>
      <c r="AD4285">
        <v>-1.1100128011735999</v>
      </c>
      <c r="AE4285">
        <v>2.5209000000000099</v>
      </c>
      <c r="AF4285">
        <v>-2.4421359049950602</v>
      </c>
      <c r="AG4285">
        <v>-1.1100128011735999</v>
      </c>
      <c r="AH4285">
        <v>32.717093683360098</v>
      </c>
      <c r="AI4285">
        <v>91.9377767604838</v>
      </c>
      <c r="AJ4285">
        <v>94.268871613961693</v>
      </c>
      <c r="AK4285">
        <v>32.826884946381902</v>
      </c>
      <c r="AL4285">
        <v>81.167289356307194</v>
      </c>
      <c r="AM4285">
        <v>95.233855397012405</v>
      </c>
      <c r="AN4285">
        <v>1.0000000049616</v>
      </c>
    </row>
    <row r="4286" spans="1:40" x14ac:dyDescent="0.25">
      <c r="A4286" t="str">
        <f>"20190304154839175"</f>
        <v>20190304154839175</v>
      </c>
      <c r="B4286" t="str">
        <f>"1551685719171324"</f>
        <v>1551685719171324</v>
      </c>
      <c r="C4286" t="s">
        <v>40</v>
      </c>
      <c r="D4286">
        <v>4.3213030000000003</v>
      </c>
      <c r="E4286">
        <v>0.52868309999999996</v>
      </c>
      <c r="F4286" t="s">
        <v>60</v>
      </c>
      <c r="G4286">
        <v>-338.5027</v>
      </c>
      <c r="H4286" s="1">
        <v>2.9946199999999998E-6</v>
      </c>
      <c r="I4286">
        <v>214.4639</v>
      </c>
      <c r="J4286">
        <v>-365.80590000000001</v>
      </c>
      <c r="K4286">
        <v>1.1100159999999999</v>
      </c>
      <c r="L4286">
        <v>214.0401</v>
      </c>
      <c r="M4286">
        <v>0.99992210000000004</v>
      </c>
      <c r="N4286">
        <v>-1.2295820000000001E-2</v>
      </c>
      <c r="O4286">
        <v>2.1901820000000002E-3</v>
      </c>
      <c r="P4286">
        <v>0.98562269999999996</v>
      </c>
      <c r="Q4286">
        <v>0.14100760000000001</v>
      </c>
      <c r="R4286">
        <v>9.308574E-2</v>
      </c>
      <c r="S4286">
        <v>3.0569459999999999</v>
      </c>
      <c r="T4286">
        <v>-0.1226454</v>
      </c>
      <c r="U4286">
        <v>4.6905519999999999E-2</v>
      </c>
      <c r="V4286">
        <v>-9.0866489999999994E-2</v>
      </c>
      <c r="W4286">
        <v>0.15315419999999999</v>
      </c>
      <c r="X4286">
        <v>0.9840158</v>
      </c>
      <c r="Y4286">
        <v>-1.313902E-2</v>
      </c>
      <c r="Z4286">
        <v>2.83369E-4</v>
      </c>
      <c r="AA4286">
        <v>0.99991359999999996</v>
      </c>
      <c r="AB4286">
        <v>37</v>
      </c>
      <c r="AC4286">
        <v>27.3032</v>
      </c>
      <c r="AD4286">
        <v>-1.1100130053799999</v>
      </c>
      <c r="AE4286">
        <v>0.42380000000000001</v>
      </c>
      <c r="AF4286">
        <v>-0.36339500429558302</v>
      </c>
      <c r="AG4286">
        <v>-1.1100130053799999</v>
      </c>
      <c r="AH4286">
        <v>27.259019014187398</v>
      </c>
      <c r="AI4286">
        <v>92.331642997513001</v>
      </c>
      <c r="AJ4286">
        <v>90.763775348027806</v>
      </c>
      <c r="AK4286">
        <v>27.284030171825599</v>
      </c>
      <c r="AL4286">
        <v>81.190238533432193</v>
      </c>
      <c r="AM4286">
        <v>95.275874069756497</v>
      </c>
      <c r="AN4286">
        <v>1.0000000113161001</v>
      </c>
    </row>
    <row r="4287" spans="1:40" x14ac:dyDescent="0.25">
      <c r="A4287" t="str">
        <f>"20190304154839199"</f>
        <v>20190304154839199</v>
      </c>
      <c r="B4287" t="str">
        <f>"1551685719190844"</f>
        <v>1551685719190844</v>
      </c>
      <c r="C4287" t="s">
        <v>40</v>
      </c>
      <c r="D4287">
        <v>4.3140400000000003</v>
      </c>
      <c r="E4287">
        <v>0.52953799999999995</v>
      </c>
      <c r="F4287" t="s">
        <v>60</v>
      </c>
      <c r="G4287">
        <v>-337.49930000000001</v>
      </c>
      <c r="H4287" s="1">
        <v>2.4653829999999999E-6</v>
      </c>
      <c r="I4287">
        <v>214.3554</v>
      </c>
      <c r="J4287">
        <v>-365.41419999999999</v>
      </c>
      <c r="K4287">
        <v>1.1100209999999999</v>
      </c>
      <c r="L4287">
        <v>214.04079999999999</v>
      </c>
      <c r="M4287">
        <v>0.99992250000000005</v>
      </c>
      <c r="N4287">
        <v>-1.2278270000000001E-2</v>
      </c>
      <c r="O4287">
        <v>2.0513139999999998E-3</v>
      </c>
      <c r="P4287">
        <v>0.98558049999999997</v>
      </c>
      <c r="Q4287">
        <v>0.14108129999999999</v>
      </c>
      <c r="R4287">
        <v>9.3419719999999998E-2</v>
      </c>
      <c r="S4287">
        <v>3.0576780000000001</v>
      </c>
      <c r="T4287">
        <v>-0.1199036</v>
      </c>
      <c r="U4287">
        <v>3.4057619999999997E-2</v>
      </c>
      <c r="V4287">
        <v>-9.1339130000000004E-2</v>
      </c>
      <c r="W4287">
        <v>0.15320929999999999</v>
      </c>
      <c r="X4287">
        <v>0.98396340000000004</v>
      </c>
      <c r="Y4287">
        <v>-9.0779180000000008E-3</v>
      </c>
      <c r="Z4287">
        <v>1.78452799999999E-4</v>
      </c>
      <c r="AA4287">
        <v>0.99995880000000004</v>
      </c>
      <c r="AB4287">
        <v>37</v>
      </c>
      <c r="AC4287">
        <v>27.9148999999999</v>
      </c>
      <c r="AD4287">
        <v>-1.110018534617</v>
      </c>
      <c r="AE4287">
        <v>0.31460000000001198</v>
      </c>
      <c r="AF4287">
        <v>-0.25692659301592202</v>
      </c>
      <c r="AG4287">
        <v>-1.110018534617</v>
      </c>
      <c r="AH4287">
        <v>27.8714218038673</v>
      </c>
      <c r="AI4287">
        <v>92.280582811780306</v>
      </c>
      <c r="AJ4287">
        <v>90.528153625389393</v>
      </c>
      <c r="AK4287">
        <v>27.894700317273202</v>
      </c>
      <c r="AL4287">
        <v>81.187043282317006</v>
      </c>
      <c r="AM4287">
        <v>95.303441152835205</v>
      </c>
      <c r="AN4287">
        <v>0.99999994940760195</v>
      </c>
    </row>
    <row r="4288" spans="1:40" x14ac:dyDescent="0.25">
      <c r="A4288" t="str">
        <f>"20190304154839222"</f>
        <v>20190304154839222</v>
      </c>
      <c r="B4288" t="str">
        <f>"1551685719211340"</f>
        <v>1551685719211340</v>
      </c>
      <c r="C4288" t="s">
        <v>40</v>
      </c>
      <c r="D4288">
        <v>4.4181920000000003</v>
      </c>
      <c r="E4288">
        <v>0.53020800000000001</v>
      </c>
      <c r="F4288" t="s">
        <v>60</v>
      </c>
      <c r="G4288">
        <v>-336.13029999999998</v>
      </c>
      <c r="H4288" s="1">
        <v>1.7388899999999999E-6</v>
      </c>
      <c r="I4288">
        <v>214.30959999999999</v>
      </c>
      <c r="J4288">
        <v>-365.03410000000002</v>
      </c>
      <c r="K4288">
        <v>1.1100209999999999</v>
      </c>
      <c r="L4288">
        <v>214.04140000000001</v>
      </c>
      <c r="M4288">
        <v>0.99992320000000001</v>
      </c>
      <c r="N4288">
        <v>-1.2257509999999999E-2</v>
      </c>
      <c r="O4288">
        <v>1.915548E-3</v>
      </c>
      <c r="P4288">
        <v>0.98556390000000005</v>
      </c>
      <c r="Q4288">
        <v>0.14120479999999899</v>
      </c>
      <c r="R4288">
        <v>9.3409240000000004E-2</v>
      </c>
      <c r="S4288">
        <v>3.0578310000000002</v>
      </c>
      <c r="T4288">
        <v>-0.1159087</v>
      </c>
      <c r="U4288">
        <v>2.8060910000000001E-2</v>
      </c>
      <c r="V4288">
        <v>-9.1463890000000006E-2</v>
      </c>
      <c r="W4288">
        <v>0.15331110000000001</v>
      </c>
      <c r="X4288">
        <v>0.98393600000000003</v>
      </c>
      <c r="Y4288">
        <v>-7.2544580000000001E-3</v>
      </c>
      <c r="Z4288">
        <v>1.3281689999999999E-4</v>
      </c>
      <c r="AA4288">
        <v>0.99997369999999997</v>
      </c>
      <c r="AB4288">
        <v>37</v>
      </c>
      <c r="AC4288">
        <v>28.9038</v>
      </c>
      <c r="AD4288">
        <v>-1.1100192611099999</v>
      </c>
      <c r="AE4288">
        <v>0.26819999999997801</v>
      </c>
      <c r="AF4288">
        <v>-0.21251533707145201</v>
      </c>
      <c r="AG4288">
        <v>-1.1100192611099999</v>
      </c>
      <c r="AH4288">
        <v>28.861697419616501</v>
      </c>
      <c r="AI4288">
        <v>92.202447284477202</v>
      </c>
      <c r="AJ4288">
        <v>90.421874419668697</v>
      </c>
      <c r="AK4288">
        <v>28.8838169823523</v>
      </c>
      <c r="AL4288">
        <v>81.181141238714503</v>
      </c>
      <c r="AM4288">
        <v>95.310790768096993</v>
      </c>
      <c r="AN4288">
        <v>0.99999999432657105</v>
      </c>
    </row>
    <row r="4289" spans="1:40" x14ac:dyDescent="0.25">
      <c r="A4289" t="str">
        <f>"20190304154839242"</f>
        <v>20190304154839242</v>
      </c>
      <c r="B4289" t="str">
        <f>"1551685719231506"</f>
        <v>1551685719231506</v>
      </c>
      <c r="C4289" t="s">
        <v>40</v>
      </c>
      <c r="D4289">
        <v>4.3424860000000001</v>
      </c>
      <c r="E4289">
        <v>0.53025059999999902</v>
      </c>
      <c r="F4289" t="s">
        <v>60</v>
      </c>
      <c r="G4289">
        <v>-334.87520000000001</v>
      </c>
      <c r="H4289" s="1">
        <v>1.0727459999999999E-6</v>
      </c>
      <c r="I4289">
        <v>214.26929999999999</v>
      </c>
      <c r="J4289">
        <v>-364.70330000000001</v>
      </c>
      <c r="K4289">
        <v>1.110017</v>
      </c>
      <c r="L4289">
        <v>214.042</v>
      </c>
      <c r="M4289">
        <v>0.99992349999999997</v>
      </c>
      <c r="N4289">
        <v>-1.2236220000000001E-2</v>
      </c>
      <c r="O4289">
        <v>1.798549E-3</v>
      </c>
      <c r="P4289">
        <v>0.98547609999999997</v>
      </c>
      <c r="Q4289">
        <v>0.14168620000000001</v>
      </c>
      <c r="R4289">
        <v>9.3604619999999999E-2</v>
      </c>
      <c r="S4289">
        <v>3.0578609999999999</v>
      </c>
      <c r="T4289">
        <v>-0.1125472</v>
      </c>
      <c r="U4289">
        <v>2.310181E-2</v>
      </c>
      <c r="V4289">
        <v>-9.1775350000000006E-2</v>
      </c>
      <c r="W4289">
        <v>0.15376999999999999</v>
      </c>
      <c r="X4289">
        <v>0.98383540000000003</v>
      </c>
      <c r="Y4289">
        <v>-5.7513829999999997E-3</v>
      </c>
      <c r="Z4289" s="1">
        <v>9.6839569999999998E-5</v>
      </c>
      <c r="AA4289">
        <v>0.99998339999999997</v>
      </c>
      <c r="AB4289">
        <v>37</v>
      </c>
      <c r="AC4289">
        <v>29.828099999999999</v>
      </c>
      <c r="AD4289">
        <v>-1.110015927254</v>
      </c>
      <c r="AE4289">
        <v>0.22729999999998499</v>
      </c>
      <c r="AF4289">
        <v>-0.17340818247307799</v>
      </c>
      <c r="AG4289">
        <v>-1.110015927254</v>
      </c>
      <c r="AH4289">
        <v>29.787211737149399</v>
      </c>
      <c r="AI4289">
        <v>92.134094902174994</v>
      </c>
      <c r="AJ4289">
        <v>90.333547323528606</v>
      </c>
      <c r="AK4289">
        <v>29.808391248611201</v>
      </c>
      <c r="AL4289">
        <v>81.154532839113699</v>
      </c>
      <c r="AM4289">
        <v>95.329313302202706</v>
      </c>
      <c r="AN4289">
        <v>1.0000000110303899</v>
      </c>
    </row>
    <row r="4290" spans="1:40" x14ac:dyDescent="0.25">
      <c r="A4290" t="str">
        <f>"20190304154839263"</f>
        <v>20190304154839263</v>
      </c>
      <c r="B4290" t="str">
        <f>"1551685719260774"</f>
        <v>1551685719260774</v>
      </c>
      <c r="C4290" t="s">
        <v>40</v>
      </c>
      <c r="D4290">
        <v>4.366816</v>
      </c>
      <c r="E4290">
        <v>0.53029950000000003</v>
      </c>
      <c r="F4290" t="s">
        <v>60</v>
      </c>
      <c r="G4290">
        <v>-333.92169999999999</v>
      </c>
      <c r="H4290" s="1">
        <v>5.6502419999999905E-7</v>
      </c>
      <c r="I4290">
        <v>214.27539999999999</v>
      </c>
      <c r="J4290">
        <v>-364.3526</v>
      </c>
      <c r="K4290">
        <v>1.1100209999999999</v>
      </c>
      <c r="L4290">
        <v>214.04249999999999</v>
      </c>
      <c r="M4290">
        <v>0.99992420000000004</v>
      </c>
      <c r="N4290">
        <v>-1.220998E-2</v>
      </c>
      <c r="O4290">
        <v>1.6786780000000001E-3</v>
      </c>
      <c r="P4290">
        <v>0.98540539999999999</v>
      </c>
      <c r="Q4290">
        <v>0.14232520000000001</v>
      </c>
      <c r="R4290">
        <v>9.3380420000000006E-2</v>
      </c>
      <c r="S4290">
        <v>3.0578919999999998</v>
      </c>
      <c r="T4290">
        <v>-0.11027049999999999</v>
      </c>
      <c r="U4290">
        <v>2.319336E-2</v>
      </c>
      <c r="V4290">
        <v>-9.167082E-2</v>
      </c>
      <c r="W4290">
        <v>0.15438109999999999</v>
      </c>
      <c r="X4290">
        <v>0.9837494</v>
      </c>
      <c r="Y4290">
        <v>-5.9011139999999998E-3</v>
      </c>
      <c r="Z4290">
        <v>1.0238620000000001E-4</v>
      </c>
      <c r="AA4290">
        <v>0.99998260000000005</v>
      </c>
      <c r="AB4290">
        <v>37</v>
      </c>
      <c r="AC4290">
        <v>30.430900000000001</v>
      </c>
      <c r="AD4290">
        <v>-1.1100204349757901</v>
      </c>
      <c r="AE4290">
        <v>0.2329</v>
      </c>
      <c r="AF4290">
        <v>-0.181570613732362</v>
      </c>
      <c r="AG4290">
        <v>-1.1100204349757901</v>
      </c>
      <c r="AH4290">
        <v>30.3908138737389</v>
      </c>
      <c r="AI4290">
        <v>92.091753562848496</v>
      </c>
      <c r="AJ4290">
        <v>90.342310874447193</v>
      </c>
      <c r="AK4290">
        <v>30.411620824317701</v>
      </c>
      <c r="AL4290">
        <v>81.119095898397902</v>
      </c>
      <c r="AM4290">
        <v>95.323740918489705</v>
      </c>
      <c r="AN4290">
        <v>0.99999997263852003</v>
      </c>
    </row>
    <row r="4291" spans="1:40" x14ac:dyDescent="0.25">
      <c r="A4291" t="str">
        <f>"20190304154839278"</f>
        <v>20190304154839278</v>
      </c>
      <c r="B4291" t="str">
        <f>"1551685719271510"</f>
        <v>1551685719271510</v>
      </c>
      <c r="C4291" t="s">
        <v>40</v>
      </c>
      <c r="D4291">
        <v>4.3576090000000001</v>
      </c>
      <c r="E4291">
        <v>0.53034619999999999</v>
      </c>
      <c r="F4291" t="s">
        <v>60</v>
      </c>
      <c r="G4291">
        <v>-332.84100000000001</v>
      </c>
      <c r="H4291" s="1">
        <v>-9.8173329999999998E-9</v>
      </c>
      <c r="I4291">
        <v>214.2705</v>
      </c>
      <c r="J4291">
        <v>-364.11779999999999</v>
      </c>
      <c r="K4291">
        <v>1.1100219999999901</v>
      </c>
      <c r="L4291">
        <v>214.0428</v>
      </c>
      <c r="M4291">
        <v>0.99992440000000005</v>
      </c>
      <c r="N4291">
        <v>-1.2189180000000001E-2</v>
      </c>
      <c r="O4291">
        <v>1.6032310000000001E-3</v>
      </c>
      <c r="P4291">
        <v>0.98535110000000004</v>
      </c>
      <c r="Q4291">
        <v>0.14268049999999999</v>
      </c>
      <c r="R4291">
        <v>9.3410750000000001E-2</v>
      </c>
      <c r="S4291">
        <v>3.0578609999999999</v>
      </c>
      <c r="T4291">
        <v>-0.10771559999999999</v>
      </c>
      <c r="U4291">
        <v>2.2125240000000001E-2</v>
      </c>
      <c r="V4291">
        <v>-9.1777159999999997E-2</v>
      </c>
      <c r="W4291">
        <v>0.1547142</v>
      </c>
      <c r="X4291">
        <v>0.98368719999999998</v>
      </c>
      <c r="Y4291">
        <v>-5.6277489999999996E-3</v>
      </c>
      <c r="Z4291" s="1">
        <v>9.6485700000000004E-5</v>
      </c>
      <c r="AA4291">
        <v>0.99998410000000004</v>
      </c>
      <c r="AB4291">
        <v>37</v>
      </c>
      <c r="AC4291">
        <v>31.276799999999898</v>
      </c>
      <c r="AD4291">
        <v>-1.1100220098173299</v>
      </c>
      <c r="AE4291">
        <v>0.22769999999999799</v>
      </c>
      <c r="AF4291">
        <v>-0.17732870112722199</v>
      </c>
      <c r="AG4291">
        <v>-1.1100220098173299</v>
      </c>
      <c r="AH4291">
        <v>31.237781134027099</v>
      </c>
      <c r="AI4291">
        <v>92.035093454687697</v>
      </c>
      <c r="AJ4291">
        <v>90.325249638606195</v>
      </c>
      <c r="AK4291">
        <v>31.258000008124402</v>
      </c>
      <c r="AL4291">
        <v>81.0997789995278</v>
      </c>
      <c r="AM4291">
        <v>95.330216095427602</v>
      </c>
      <c r="AN4291">
        <v>1.0000000191115701</v>
      </c>
    </row>
    <row r="4292" spans="1:40" x14ac:dyDescent="0.25">
      <c r="A4292" t="str">
        <f>"20190304154839298"</f>
        <v>20190304154839298</v>
      </c>
      <c r="B4292" t="str">
        <f>"1551685719291030"</f>
        <v>1551685719291030</v>
      </c>
      <c r="C4292" t="s">
        <v>40</v>
      </c>
      <c r="D4292">
        <v>4.3906980000000004</v>
      </c>
      <c r="E4292">
        <v>0.53034569999999903</v>
      </c>
      <c r="F4292" t="s">
        <v>60</v>
      </c>
      <c r="G4292">
        <v>-332.35919999999999</v>
      </c>
      <c r="H4292" s="1">
        <v>-2.6637329999999998E-7</v>
      </c>
      <c r="I4292">
        <v>214.27359999999999</v>
      </c>
      <c r="J4292">
        <v>-363.7817</v>
      </c>
      <c r="K4292">
        <v>1.110023</v>
      </c>
      <c r="L4292">
        <v>214.04320000000001</v>
      </c>
      <c r="M4292">
        <v>0.99992510000000001</v>
      </c>
      <c r="N4292">
        <v>-1.215375E-2</v>
      </c>
      <c r="O4292">
        <v>1.5038530000000001E-3</v>
      </c>
      <c r="P4292">
        <v>0.98540190000000005</v>
      </c>
      <c r="Q4292">
        <v>0.1427657</v>
      </c>
      <c r="R4292">
        <v>9.2743809999999996E-2</v>
      </c>
      <c r="S4292">
        <v>3.058014</v>
      </c>
      <c r="T4292">
        <v>-0.1068833</v>
      </c>
      <c r="U4292">
        <v>2.2232060000000001E-2</v>
      </c>
      <c r="V4292">
        <v>-9.1210730000000004E-2</v>
      </c>
      <c r="W4292">
        <v>0.1547636</v>
      </c>
      <c r="X4292">
        <v>0.9837321</v>
      </c>
      <c r="Y4292">
        <v>-5.7616219999999897E-3</v>
      </c>
      <c r="Z4292">
        <v>1.014151E-4</v>
      </c>
      <c r="AA4292">
        <v>0.99998339999999997</v>
      </c>
      <c r="AB4292">
        <v>37</v>
      </c>
      <c r="AC4292">
        <v>31.422499999999999</v>
      </c>
      <c r="AD4292">
        <v>-1.1100232663733001</v>
      </c>
      <c r="AE4292">
        <v>0.23039999999997399</v>
      </c>
      <c r="AF4292">
        <v>-0.18291318570923101</v>
      </c>
      <c r="AG4292">
        <v>-1.1100232663733001</v>
      </c>
      <c r="AH4292">
        <v>31.3836491632083</v>
      </c>
      <c r="AI4292">
        <v>92.025642970931699</v>
      </c>
      <c r="AJ4292">
        <v>90.333932961060796</v>
      </c>
      <c r="AK4292">
        <v>31.403806197413999</v>
      </c>
      <c r="AL4292">
        <v>81.0969139713293</v>
      </c>
      <c r="AM4292">
        <v>95.297266406834495</v>
      </c>
      <c r="AN4292">
        <v>1.00000000686125</v>
      </c>
    </row>
    <row r="4293" spans="1:40" x14ac:dyDescent="0.25">
      <c r="A4293" t="str">
        <f>"20190304154839320"</f>
        <v>20190304154839320</v>
      </c>
      <c r="B4293" t="str">
        <f>"1551685719311527"</f>
        <v>1551685719311527</v>
      </c>
      <c r="C4293" t="s">
        <v>40</v>
      </c>
      <c r="D4293">
        <v>4.362908</v>
      </c>
      <c r="E4293">
        <v>0.53051349999999997</v>
      </c>
      <c r="F4293" t="s">
        <v>60</v>
      </c>
      <c r="G4293">
        <v>-331.93779999999998</v>
      </c>
      <c r="H4293" s="1">
        <v>-4.8980180000000002E-7</v>
      </c>
      <c r="I4293">
        <v>214.25550000000001</v>
      </c>
      <c r="J4293">
        <v>-363.41399999999999</v>
      </c>
      <c r="K4293">
        <v>1.1100270000000001</v>
      </c>
      <c r="L4293">
        <v>214.0436</v>
      </c>
      <c r="M4293">
        <v>0.99992579999999998</v>
      </c>
      <c r="N4293">
        <v>-1.210892E-2</v>
      </c>
      <c r="O4293">
        <v>1.4093039999999999E-3</v>
      </c>
      <c r="P4293">
        <v>0.98543259999999999</v>
      </c>
      <c r="Q4293">
        <v>0.1429144</v>
      </c>
      <c r="R4293">
        <v>9.2188409999999998E-2</v>
      </c>
      <c r="S4293">
        <v>3.0579529999999999</v>
      </c>
      <c r="T4293">
        <v>-0.106595</v>
      </c>
      <c r="U4293">
        <v>2.0385739999999999E-2</v>
      </c>
      <c r="V4293">
        <v>-9.0752840000000001E-2</v>
      </c>
      <c r="W4293">
        <v>0.15486539999999999</v>
      </c>
      <c r="X4293">
        <v>0.98375840000000003</v>
      </c>
      <c r="Y4293">
        <v>-5.2530019999999997E-3</v>
      </c>
      <c r="Z4293" s="1">
        <v>9.1296980000000002E-5</v>
      </c>
      <c r="AA4293">
        <v>0.99998620000000005</v>
      </c>
      <c r="AB4293">
        <v>37</v>
      </c>
      <c r="AC4293">
        <v>31.476199999999999</v>
      </c>
      <c r="AD4293">
        <v>-1.1100274898018001</v>
      </c>
      <c r="AE4293">
        <v>0.21190000000001399</v>
      </c>
      <c r="AF4293">
        <v>-0.16732891588472801</v>
      </c>
      <c r="AG4293">
        <v>-1.1100274898018001</v>
      </c>
      <c r="AH4293">
        <v>31.437371652059099</v>
      </c>
      <c r="AI4293">
        <v>92.022197663983306</v>
      </c>
      <c r="AJ4293">
        <v>90.3049602950977</v>
      </c>
      <c r="AK4293">
        <v>31.457407655175601</v>
      </c>
      <c r="AL4293">
        <v>81.091009838293502</v>
      </c>
      <c r="AM4293">
        <v>95.270683460957699</v>
      </c>
      <c r="AN4293">
        <v>0.99999997982789202</v>
      </c>
    </row>
    <row r="4294" spans="1:40" x14ac:dyDescent="0.25">
      <c r="A4294" t="str">
        <f>"20190304154839334"</f>
        <v>20190304154839334</v>
      </c>
      <c r="B4294" t="str">
        <f>"1551685719331046"</f>
        <v>1551685719331046</v>
      </c>
      <c r="C4294" t="s">
        <v>40</v>
      </c>
      <c r="D4294">
        <v>4.381583</v>
      </c>
      <c r="E4294">
        <v>0.53039899999999995</v>
      </c>
      <c r="F4294" t="s">
        <v>60</v>
      </c>
      <c r="G4294">
        <v>-331.49099999999999</v>
      </c>
      <c r="H4294" s="1">
        <v>-7.2624690000000001E-7</v>
      </c>
      <c r="I4294">
        <v>214.22470000000001</v>
      </c>
      <c r="J4294">
        <v>-363.19060000000002</v>
      </c>
      <c r="K4294">
        <v>1.110033</v>
      </c>
      <c r="L4294">
        <v>214.04390000000001</v>
      </c>
      <c r="M4294">
        <v>0.99992610000000004</v>
      </c>
      <c r="N4294">
        <v>-1.2080260000000001E-2</v>
      </c>
      <c r="O4294">
        <v>1.3595460000000001E-3</v>
      </c>
      <c r="P4294">
        <v>0.98549779999999998</v>
      </c>
      <c r="Q4294">
        <v>0.1427515</v>
      </c>
      <c r="R4294">
        <v>9.1739390000000004E-2</v>
      </c>
      <c r="S4294">
        <v>3.0581670000000001</v>
      </c>
      <c r="T4294">
        <v>-0.10633869999999999</v>
      </c>
      <c r="U4294">
        <v>1.7349239999999998E-2</v>
      </c>
      <c r="V4294">
        <v>-9.0356389999999995E-2</v>
      </c>
      <c r="W4294">
        <v>0.15467320000000001</v>
      </c>
      <c r="X4294">
        <v>0.98382510000000001</v>
      </c>
      <c r="Y4294">
        <v>-4.3102069999999999E-3</v>
      </c>
      <c r="Z4294" s="1">
        <v>7.0121519999999997E-5</v>
      </c>
      <c r="AA4294">
        <v>0.99999070000000001</v>
      </c>
      <c r="AB4294">
        <v>37</v>
      </c>
      <c r="AC4294">
        <v>31.6996</v>
      </c>
      <c r="AD4294">
        <v>-1.1100337262469</v>
      </c>
      <c r="AE4294">
        <v>0.18080000000000401</v>
      </c>
      <c r="AF4294">
        <v>-0.137530986872967</v>
      </c>
      <c r="AG4294">
        <v>-1.1100337262469</v>
      </c>
      <c r="AH4294">
        <v>31.660994764049999</v>
      </c>
      <c r="AI4294">
        <v>92.007947281156902</v>
      </c>
      <c r="AJ4294">
        <v>90.248883384643804</v>
      </c>
      <c r="AK4294">
        <v>31.680746189049199</v>
      </c>
      <c r="AL4294">
        <v>81.102156143970703</v>
      </c>
      <c r="AM4294">
        <v>95.247433736484595</v>
      </c>
      <c r="AN4294">
        <v>0.99999995170103895</v>
      </c>
    </row>
    <row r="4295" spans="1:40" x14ac:dyDescent="0.25">
      <c r="A4295" t="str">
        <f>"20190304154839353"</f>
        <v>20190304154839353</v>
      </c>
      <c r="B4295" t="str">
        <f>"1551685719341401"</f>
        <v>1551685719341401</v>
      </c>
      <c r="C4295" t="s">
        <v>40</v>
      </c>
      <c r="D4295">
        <v>4.36822</v>
      </c>
      <c r="E4295">
        <v>0.53039769999999997</v>
      </c>
      <c r="F4295" t="s">
        <v>60</v>
      </c>
      <c r="G4295">
        <v>-331.50729999999999</v>
      </c>
      <c r="H4295" s="1">
        <v>-7.1739719999999895E-7</v>
      </c>
      <c r="I4295">
        <v>214.22030000000001</v>
      </c>
      <c r="J4295">
        <v>-362.87700000000001</v>
      </c>
      <c r="K4295">
        <v>1.1100380000000001</v>
      </c>
      <c r="L4295">
        <v>214.04429999999999</v>
      </c>
      <c r="M4295">
        <v>0.9999268</v>
      </c>
      <c r="N4295">
        <v>-1.203775E-2</v>
      </c>
      <c r="O4295">
        <v>1.3027410000000001E-3</v>
      </c>
      <c r="P4295">
        <v>0.98557220000000001</v>
      </c>
      <c r="Q4295">
        <v>0.1426047</v>
      </c>
      <c r="R4295">
        <v>9.1167730000000002E-2</v>
      </c>
      <c r="S4295">
        <v>3.0581049999999999</v>
      </c>
      <c r="T4295">
        <v>-0.1071415</v>
      </c>
      <c r="U4295">
        <v>1.7028809999999998E-2</v>
      </c>
      <c r="V4295">
        <v>-8.9845880000000003E-2</v>
      </c>
      <c r="W4295">
        <v>0.15448190000000001</v>
      </c>
      <c r="X4295">
        <v>0.98390200000000005</v>
      </c>
      <c r="Y4295">
        <v>-4.2623419999999997E-3</v>
      </c>
      <c r="Z4295" s="1">
        <v>7.0360789999999998E-5</v>
      </c>
      <c r="AA4295">
        <v>0.99999090000000002</v>
      </c>
      <c r="AB4295">
        <v>37</v>
      </c>
      <c r="AC4295">
        <v>31.369699999999899</v>
      </c>
      <c r="AD4295">
        <v>-1.1100387173971999</v>
      </c>
      <c r="AE4295">
        <v>0.176000000000016</v>
      </c>
      <c r="AF4295">
        <v>-0.13496131315062901</v>
      </c>
      <c r="AG4295">
        <v>-1.1100387173971999</v>
      </c>
      <c r="AH4295">
        <v>31.330673283556401</v>
      </c>
      <c r="AI4295">
        <v>92.029109039448699</v>
      </c>
      <c r="AJ4295">
        <v>90.246808159620002</v>
      </c>
      <c r="AK4295">
        <v>31.350621826546401</v>
      </c>
      <c r="AL4295">
        <v>81.113250984311094</v>
      </c>
      <c r="AM4295">
        <v>95.217544488642801</v>
      </c>
      <c r="AN4295">
        <v>1.0000000425922899</v>
      </c>
    </row>
    <row r="4296" spans="1:40" x14ac:dyDescent="0.25">
      <c r="A4296" t="str">
        <f>"20190304154839377"</f>
        <v>20190304154839377</v>
      </c>
      <c r="B4296" t="str">
        <f>"1551685719370682"</f>
        <v>1551685719370682</v>
      </c>
      <c r="C4296" t="s">
        <v>40</v>
      </c>
      <c r="D4296">
        <v>4.4112460000000002</v>
      </c>
      <c r="E4296">
        <v>0.53019119999999997</v>
      </c>
      <c r="F4296" t="s">
        <v>60</v>
      </c>
      <c r="G4296">
        <v>-331.1927</v>
      </c>
      <c r="H4296" s="1">
        <v>-8.8399569999999999E-7</v>
      </c>
      <c r="I4296">
        <v>214.20160000000001</v>
      </c>
      <c r="J4296">
        <v>-362.49189999999999</v>
      </c>
      <c r="K4296">
        <v>1.110047</v>
      </c>
      <c r="L4296">
        <v>214.04480000000001</v>
      </c>
      <c r="M4296">
        <v>0.99992749999999997</v>
      </c>
      <c r="N4296">
        <v>-1.1984399999999999E-2</v>
      </c>
      <c r="O4296">
        <v>1.255365E-3</v>
      </c>
      <c r="P4296">
        <v>0.98564790000000002</v>
      </c>
      <c r="Q4296">
        <v>0.1423816</v>
      </c>
      <c r="R4296">
        <v>9.0696529999999997E-2</v>
      </c>
      <c r="S4296">
        <v>3.058014</v>
      </c>
      <c r="T4296">
        <v>-0.10713549999999999</v>
      </c>
      <c r="U4296">
        <v>1.5182499999999899E-2</v>
      </c>
      <c r="V4296">
        <v>-8.9428019999999997E-2</v>
      </c>
      <c r="W4296">
        <v>0.15420300000000001</v>
      </c>
      <c r="X4296">
        <v>0.98398379999999996</v>
      </c>
      <c r="Y4296">
        <v>-3.7065990000000001E-3</v>
      </c>
      <c r="Z4296" s="1">
        <v>5.8204720000000003E-5</v>
      </c>
      <c r="AA4296">
        <v>0.99999309999999997</v>
      </c>
      <c r="AB4296">
        <v>37</v>
      </c>
      <c r="AC4296">
        <v>31.2991999999999</v>
      </c>
      <c r="AD4296">
        <v>-1.1100478839957</v>
      </c>
      <c r="AE4296">
        <v>0.15680000000000399</v>
      </c>
      <c r="AF4296">
        <v>-0.117357527900858</v>
      </c>
      <c r="AG4296">
        <v>-1.1100478839957</v>
      </c>
      <c r="AH4296">
        <v>31.2600537946408</v>
      </c>
      <c r="AI4296">
        <v>92.033710461212706</v>
      </c>
      <c r="AJ4296">
        <v>90.215100699981903</v>
      </c>
      <c r="AK4296">
        <v>31.279976699766799</v>
      </c>
      <c r="AL4296">
        <v>81.129424441473404</v>
      </c>
      <c r="AM4296">
        <v>95.192982081979395</v>
      </c>
      <c r="AN4296">
        <v>1.0000000273162799</v>
      </c>
    </row>
    <row r="4297" spans="1:40" x14ac:dyDescent="0.25">
      <c r="A4297" t="str">
        <f>"20190304154839390"</f>
        <v>20190304154839390</v>
      </c>
      <c r="B4297" t="str">
        <f>"1551685719381418"</f>
        <v>1551685719381418</v>
      </c>
      <c r="C4297" t="s">
        <v>40</v>
      </c>
      <c r="D4297">
        <v>4.5453070000000002</v>
      </c>
      <c r="E4297">
        <v>0.53019119999999997</v>
      </c>
      <c r="F4297" t="s">
        <v>60</v>
      </c>
      <c r="G4297">
        <v>-331.00130000000001</v>
      </c>
      <c r="H4297" s="1">
        <v>-9.860115999999999E-7</v>
      </c>
      <c r="I4297">
        <v>214.2055</v>
      </c>
      <c r="J4297">
        <v>-362.26889999999997</v>
      </c>
      <c r="K4297">
        <v>1.110053</v>
      </c>
      <c r="L4297">
        <v>214.04499999999999</v>
      </c>
      <c r="M4297">
        <v>0.99992780000000003</v>
      </c>
      <c r="N4297">
        <v>-1.1952549999999999E-2</v>
      </c>
      <c r="O4297">
        <v>1.235625E-3</v>
      </c>
      <c r="P4297">
        <v>0.985676</v>
      </c>
      <c r="Q4297">
        <v>0.14231070000000001</v>
      </c>
      <c r="R4297">
        <v>9.0501150000000002E-2</v>
      </c>
      <c r="S4297">
        <v>3.0578310000000002</v>
      </c>
      <c r="T4297">
        <v>-0.1077887</v>
      </c>
      <c r="U4297">
        <v>1.560974E-2</v>
      </c>
      <c r="V4297">
        <v>-8.9256370000000002E-2</v>
      </c>
      <c r="W4297">
        <v>0.15409890000000001</v>
      </c>
      <c r="X4297">
        <v>0.98401559999999999</v>
      </c>
      <c r="Y4297">
        <v>-3.866193E-3</v>
      </c>
      <c r="Z4297" s="1">
        <v>6.2460449999999999E-5</v>
      </c>
      <c r="AA4297">
        <v>0.99999249999999995</v>
      </c>
      <c r="AB4297">
        <v>37</v>
      </c>
      <c r="AC4297">
        <v>31.267599999999899</v>
      </c>
      <c r="AD4297">
        <v>-1.1100539860116001</v>
      </c>
      <c r="AE4297">
        <v>0.16050000000001299</v>
      </c>
      <c r="AF4297">
        <v>-0.121708694742167</v>
      </c>
      <c r="AG4297">
        <v>-1.1100539860116001</v>
      </c>
      <c r="AH4297">
        <v>31.228416042607702</v>
      </c>
      <c r="AI4297">
        <v>92.035779163894901</v>
      </c>
      <c r="AJ4297">
        <v>90.223301726931496</v>
      </c>
      <c r="AK4297">
        <v>31.248375980015901</v>
      </c>
      <c r="AL4297">
        <v>81.135460268365506</v>
      </c>
      <c r="AM4297">
        <v>95.182902318523503</v>
      </c>
      <c r="AN4297">
        <v>0.99999993580507096</v>
      </c>
    </row>
    <row r="4298" spans="1:40" x14ac:dyDescent="0.25">
      <c r="A4298" t="str">
        <f>"20190304154839411"</f>
        <v>20190304154839411</v>
      </c>
      <c r="B4298" t="str">
        <f>"1551685719400937"</f>
        <v>1551685719400937</v>
      </c>
      <c r="C4298" t="s">
        <v>40</v>
      </c>
      <c r="D4298">
        <v>4.3898820000000001</v>
      </c>
      <c r="E4298">
        <v>0.53018180000000004</v>
      </c>
      <c r="F4298" t="s">
        <v>60</v>
      </c>
      <c r="G4298">
        <v>-330.84379999999999</v>
      </c>
      <c r="H4298" s="1">
        <v>-1.0694760000000001E-6</v>
      </c>
      <c r="I4298">
        <v>214.19730000000001</v>
      </c>
      <c r="J4298">
        <v>-361.92320000000001</v>
      </c>
      <c r="K4298">
        <v>1.110058</v>
      </c>
      <c r="L4298">
        <v>214.0454</v>
      </c>
      <c r="M4298">
        <v>0.9999285</v>
      </c>
      <c r="N4298">
        <v>-1.190302E-2</v>
      </c>
      <c r="O4298">
        <v>1.2164539999999901E-3</v>
      </c>
      <c r="P4298">
        <v>0.98566869999999995</v>
      </c>
      <c r="Q4298">
        <v>0.1423912</v>
      </c>
      <c r="R4298">
        <v>9.0454999999999994E-2</v>
      </c>
      <c r="S4298">
        <v>3.0578609999999999</v>
      </c>
      <c r="T4298">
        <v>-0.10801520000000001</v>
      </c>
      <c r="U4298">
        <v>1.4816279999999999E-2</v>
      </c>
      <c r="V4298">
        <v>-8.923391E-2</v>
      </c>
      <c r="W4298">
        <v>0.1541276</v>
      </c>
      <c r="X4298">
        <v>0.98401320000000003</v>
      </c>
      <c r="Y4298">
        <v>-3.6260329999999999E-3</v>
      </c>
      <c r="Z4298" s="1">
        <v>5.7133370000000002E-5</v>
      </c>
      <c r="AA4298">
        <v>0.99999340000000003</v>
      </c>
      <c r="AB4298">
        <v>37</v>
      </c>
      <c r="AC4298">
        <v>31.0794</v>
      </c>
      <c r="AD4298">
        <v>-1.110059069476</v>
      </c>
      <c r="AE4298">
        <v>0.151900000000011</v>
      </c>
      <c r="AF4298">
        <v>-0.11394519588839</v>
      </c>
      <c r="AG4298">
        <v>-1.110059069476</v>
      </c>
      <c r="AH4298">
        <v>31.039965204880101</v>
      </c>
      <c r="AI4298">
        <v>92.048139482399804</v>
      </c>
      <c r="AJ4298">
        <v>90.210327216919694</v>
      </c>
      <c r="AK4298">
        <v>31.060016976259998</v>
      </c>
      <c r="AL4298">
        <v>81.133796505824407</v>
      </c>
      <c r="AM4298">
        <v>95.181617789888406</v>
      </c>
      <c r="AN4298">
        <v>0.999999992774944</v>
      </c>
    </row>
    <row r="4299" spans="1:40" x14ac:dyDescent="0.25">
      <c r="A4299" t="str">
        <f>"20190304154839433"</f>
        <v>20190304154839433</v>
      </c>
      <c r="B4299" t="str">
        <f>"1551685719431193"</f>
        <v>1551685719431193</v>
      </c>
      <c r="C4299" t="s">
        <v>40</v>
      </c>
      <c r="D4299">
        <v>4.4036660000000003</v>
      </c>
      <c r="E4299">
        <v>0.53008929999999999</v>
      </c>
      <c r="F4299" t="s">
        <v>60</v>
      </c>
      <c r="G4299">
        <v>-330.4393</v>
      </c>
      <c r="H4299" s="1">
        <v>-1.2847970000000001E-6</v>
      </c>
      <c r="I4299">
        <v>214.19970000000001</v>
      </c>
      <c r="J4299">
        <v>-361.56180000000001</v>
      </c>
      <c r="K4299">
        <v>1.1100639999999999</v>
      </c>
      <c r="L4299">
        <v>214.04580000000001</v>
      </c>
      <c r="M4299">
        <v>0.99992910000000002</v>
      </c>
      <c r="N4299">
        <v>-1.1853799999999999E-2</v>
      </c>
      <c r="O4299">
        <v>1.20695E-3</v>
      </c>
      <c r="P4299">
        <v>0.98567879999999997</v>
      </c>
      <c r="Q4299">
        <v>0.14239679999999999</v>
      </c>
      <c r="R4299">
        <v>9.0335899999999997E-2</v>
      </c>
      <c r="S4299">
        <v>3.0578609999999999</v>
      </c>
      <c r="T4299">
        <v>-0.1078142</v>
      </c>
      <c r="U4299">
        <v>1.498413E-2</v>
      </c>
      <c r="V4299">
        <v>-8.9128029999999997E-2</v>
      </c>
      <c r="W4299">
        <v>0.15408239999999901</v>
      </c>
      <c r="X4299">
        <v>0.98402990000000001</v>
      </c>
      <c r="Y4299">
        <v>-3.6903819999999999E-3</v>
      </c>
      <c r="Z4299" s="1">
        <v>5.8682979999999999E-5</v>
      </c>
      <c r="AA4299">
        <v>0.99999320000000003</v>
      </c>
      <c r="AB4299">
        <v>37</v>
      </c>
      <c r="AC4299">
        <v>31.122499999999999</v>
      </c>
      <c r="AD4299">
        <v>-1.1100652847969901</v>
      </c>
      <c r="AE4299">
        <v>0.15389999999999299</v>
      </c>
      <c r="AF4299">
        <v>-0.116186144538414</v>
      </c>
      <c r="AG4299">
        <v>-1.1100652847969901</v>
      </c>
      <c r="AH4299">
        <v>31.083120776308299</v>
      </c>
      <c r="AI4299">
        <v>92.0453092126115</v>
      </c>
      <c r="AJ4299">
        <v>90.214165905807803</v>
      </c>
      <c r="AK4299">
        <v>31.103153238076398</v>
      </c>
      <c r="AL4299">
        <v>81.136417809803703</v>
      </c>
      <c r="AM4299">
        <v>95.1754156225836</v>
      </c>
      <c r="AN4299">
        <v>1.00000001790772</v>
      </c>
    </row>
    <row r="4300" spans="1:40" x14ac:dyDescent="0.25">
      <c r="A4300" t="str">
        <f>"20190304154839454"</f>
        <v>20190304154839454</v>
      </c>
      <c r="B4300" t="str">
        <f>"1551685719451370"</f>
        <v>1551685719451370</v>
      </c>
      <c r="C4300" t="s">
        <v>40</v>
      </c>
      <c r="D4300">
        <v>4.411219</v>
      </c>
      <c r="E4300">
        <v>0.53002830000000001</v>
      </c>
      <c r="F4300" t="s">
        <v>60</v>
      </c>
      <c r="G4300">
        <v>-330.12400000000002</v>
      </c>
      <c r="H4300" s="1">
        <v>-1.4526850000000001E-6</v>
      </c>
      <c r="I4300">
        <v>214.20160000000001</v>
      </c>
      <c r="J4300">
        <v>-361.21879999999999</v>
      </c>
      <c r="K4300">
        <v>1.110066</v>
      </c>
      <c r="L4300">
        <v>214.0462</v>
      </c>
      <c r="M4300">
        <v>0.99992970000000003</v>
      </c>
      <c r="N4300">
        <v>-1.1806799999999999E-2</v>
      </c>
      <c r="O4300">
        <v>1.2041179999999999E-3</v>
      </c>
      <c r="P4300">
        <v>0.98565899999999995</v>
      </c>
      <c r="Q4300">
        <v>0.1426984</v>
      </c>
      <c r="R4300">
        <v>9.0076680000000006E-2</v>
      </c>
      <c r="S4300">
        <v>3.0577999999999999</v>
      </c>
      <c r="T4300">
        <v>-0.1079706</v>
      </c>
      <c r="U4300">
        <v>1.5151980000000001E-2</v>
      </c>
      <c r="V4300">
        <v>-8.8874369999999994E-2</v>
      </c>
      <c r="W4300">
        <v>0.15433629999999901</v>
      </c>
      <c r="X4300">
        <v>0.98401300000000003</v>
      </c>
      <c r="Y4300">
        <v>-3.7481519999999998E-3</v>
      </c>
      <c r="Z4300" s="1">
        <v>5.999988E-5</v>
      </c>
      <c r="AA4300">
        <v>0.99999300000000002</v>
      </c>
      <c r="AB4300">
        <v>37</v>
      </c>
      <c r="AC4300">
        <v>31.0947999999999</v>
      </c>
      <c r="AD4300">
        <v>-1.1100674526850001</v>
      </c>
      <c r="AE4300">
        <v>0.155400000000014</v>
      </c>
      <c r="AF4300">
        <v>-0.117805340340639</v>
      </c>
      <c r="AG4300">
        <v>-1.1100674526850001</v>
      </c>
      <c r="AH4300">
        <v>31.0553870015953</v>
      </c>
      <c r="AI4300">
        <v>92.047137774119093</v>
      </c>
      <c r="AJ4300">
        <v>90.217344463606594</v>
      </c>
      <c r="AK4300">
        <v>31.075443515202998</v>
      </c>
      <c r="AL4300">
        <v>81.121693824102906</v>
      </c>
      <c r="AM4300">
        <v>95.160854100243895</v>
      </c>
      <c r="AN4300">
        <v>0.99999996565479199</v>
      </c>
    </row>
    <row r="4301" spans="1:40" x14ac:dyDescent="0.25">
      <c r="A4301" t="str">
        <f>"20190304154839476"</f>
        <v>20190304154839476</v>
      </c>
      <c r="B4301" t="str">
        <f>"1551685719470890"</f>
        <v>1551685719470890</v>
      </c>
      <c r="C4301" t="s">
        <v>40</v>
      </c>
      <c r="D4301">
        <v>4.4258439999999997</v>
      </c>
      <c r="E4301">
        <v>0.52988760000000001</v>
      </c>
      <c r="F4301" t="s">
        <v>60</v>
      </c>
      <c r="G4301">
        <v>-329.62540000000001</v>
      </c>
      <c r="H4301" s="1">
        <v>3.585352E-6</v>
      </c>
      <c r="I4301">
        <v>214.20070000000001</v>
      </c>
      <c r="J4301">
        <v>-360.84800000000001</v>
      </c>
      <c r="K4301">
        <v>1.1100680000000001</v>
      </c>
      <c r="L4301">
        <v>214.04669999999999</v>
      </c>
      <c r="M4301">
        <v>0.99993019999999999</v>
      </c>
      <c r="N4301">
        <v>-1.175729E-2</v>
      </c>
      <c r="O4301">
        <v>1.2053260000000001E-3</v>
      </c>
      <c r="P4301">
        <v>0.98567119999999997</v>
      </c>
      <c r="Q4301">
        <v>0.14278450000000001</v>
      </c>
      <c r="R4301">
        <v>8.9806029999999995E-2</v>
      </c>
      <c r="S4301">
        <v>3.0577999999999999</v>
      </c>
      <c r="T4301">
        <v>-0.1074384</v>
      </c>
      <c r="U4301">
        <v>1.4953610000000001E-2</v>
      </c>
      <c r="V4301">
        <v>-8.8604539999999996E-2</v>
      </c>
      <c r="W4301">
        <v>0.1543726</v>
      </c>
      <c r="X4301">
        <v>0.98403169999999995</v>
      </c>
      <c r="Y4301">
        <v>-3.6821570000000001E-3</v>
      </c>
      <c r="Z4301" s="1">
        <v>5.8155500000000002E-5</v>
      </c>
      <c r="AA4301">
        <v>0.99999320000000003</v>
      </c>
      <c r="AB4301">
        <v>37</v>
      </c>
      <c r="AC4301">
        <v>31.2226</v>
      </c>
      <c r="AD4301">
        <v>-1.1100644146480001</v>
      </c>
      <c r="AE4301">
        <v>0.15400000000002401</v>
      </c>
      <c r="AF4301">
        <v>-0.116216978436952</v>
      </c>
      <c r="AG4301">
        <v>-1.1100644146480001</v>
      </c>
      <c r="AH4301">
        <v>31.183347145132199</v>
      </c>
      <c r="AI4301">
        <v>92.038739429530807</v>
      </c>
      <c r="AJ4301">
        <v>90.213534214659305</v>
      </c>
      <c r="AK4301">
        <v>31.203315345722</v>
      </c>
      <c r="AL4301">
        <v>81.119589293765202</v>
      </c>
      <c r="AM4301">
        <v>95.145172294226199</v>
      </c>
      <c r="AN4301">
        <v>1.00000002537213</v>
      </c>
    </row>
    <row r="4302" spans="1:40" x14ac:dyDescent="0.25">
      <c r="A4302" t="str">
        <f>"20190304154839499"</f>
        <v>20190304154839499</v>
      </c>
      <c r="B4302" t="str">
        <f>"1551685719491386"</f>
        <v>1551685719491386</v>
      </c>
      <c r="C4302" t="s">
        <v>40</v>
      </c>
      <c r="D4302">
        <v>4.4035650000000004</v>
      </c>
      <c r="E4302">
        <v>0.53027040000000003</v>
      </c>
      <c r="F4302" t="s">
        <v>60</v>
      </c>
      <c r="G4302">
        <v>-329.404</v>
      </c>
      <c r="H4302" s="1">
        <v>3.4675420000000001E-6</v>
      </c>
      <c r="I4302">
        <v>214.20779999999999</v>
      </c>
      <c r="J4302">
        <v>-360.46769999999998</v>
      </c>
      <c r="K4302">
        <v>1.1100719999999999</v>
      </c>
      <c r="L4302">
        <v>214.0471</v>
      </c>
      <c r="M4302">
        <v>0.99993069999999895</v>
      </c>
      <c r="N4302">
        <v>-1.170993E-2</v>
      </c>
      <c r="O4302">
        <v>1.2080509999999999E-3</v>
      </c>
      <c r="P4302">
        <v>0.98559960000000002</v>
      </c>
      <c r="Q4302">
        <v>0.14332510000000001</v>
      </c>
      <c r="R4302">
        <v>8.9729530000000002E-2</v>
      </c>
      <c r="S4302">
        <v>3.0577999999999999</v>
      </c>
      <c r="T4302">
        <v>-0.10794910000000001</v>
      </c>
      <c r="U4302">
        <v>1.5670779999999999E-2</v>
      </c>
      <c r="V4302">
        <v>-8.8526789999999994E-2</v>
      </c>
      <c r="W4302">
        <v>0.15486440000000001</v>
      </c>
      <c r="X4302">
        <v>0.98396139999999999</v>
      </c>
      <c r="Y4302">
        <v>-3.9137529999999999E-3</v>
      </c>
      <c r="Z4302" s="1">
        <v>6.3496309999999998E-5</v>
      </c>
      <c r="AA4302">
        <v>0.99999229999999995</v>
      </c>
      <c r="AB4302">
        <v>37</v>
      </c>
      <c r="AC4302">
        <v>31.063699999999901</v>
      </c>
      <c r="AD4302">
        <v>-1.110068532458</v>
      </c>
      <c r="AE4302">
        <v>0.16069999999999099</v>
      </c>
      <c r="AF4302">
        <v>-0.12301369037528601</v>
      </c>
      <c r="AG4302">
        <v>-1.110068532458</v>
      </c>
      <c r="AH4302">
        <v>31.0242543528543</v>
      </c>
      <c r="AI4302">
        <v>92.049190941771201</v>
      </c>
      <c r="AJ4302">
        <v>90.227181232600799</v>
      </c>
      <c r="AK4302">
        <v>31.044351219913899</v>
      </c>
      <c r="AL4302">
        <v>81.091068067130294</v>
      </c>
      <c r="AM4302">
        <v>95.141046947426702</v>
      </c>
      <c r="AN4302">
        <v>1.00000000581251</v>
      </c>
    </row>
    <row r="4303" spans="1:40" x14ac:dyDescent="0.25">
      <c r="A4303" t="str">
        <f>"20190304154839520"</f>
        <v>20190304154839520</v>
      </c>
      <c r="B4303" t="str">
        <f>"1551685719510914"</f>
        <v>1551685719510914</v>
      </c>
      <c r="C4303" t="s">
        <v>40</v>
      </c>
      <c r="D4303">
        <v>4.3972939999999996</v>
      </c>
      <c r="E4303">
        <v>0.53097359999999905</v>
      </c>
      <c r="F4303" t="s">
        <v>60</v>
      </c>
      <c r="G4303">
        <v>-327.74849999999998</v>
      </c>
      <c r="H4303" s="1">
        <v>2.5865589999999999E-6</v>
      </c>
      <c r="I4303">
        <v>214.18049999999999</v>
      </c>
      <c r="J4303">
        <v>-360.11130000000003</v>
      </c>
      <c r="K4303">
        <v>1.110069</v>
      </c>
      <c r="L4303">
        <v>214.04750000000001</v>
      </c>
      <c r="M4303">
        <v>0.99993129999999997</v>
      </c>
      <c r="N4303">
        <v>-1.16697E-2</v>
      </c>
      <c r="O4303">
        <v>1.21054E-3</v>
      </c>
      <c r="P4303">
        <v>0.98558100000000004</v>
      </c>
      <c r="Q4303">
        <v>0.14315249999999999</v>
      </c>
      <c r="R4303">
        <v>9.0208399999999994E-2</v>
      </c>
      <c r="S4303">
        <v>3.0577999999999999</v>
      </c>
      <c r="T4303">
        <v>-0.10374220000000001</v>
      </c>
      <c r="U4303">
        <v>1.2466430000000001E-2</v>
      </c>
      <c r="V4303">
        <v>-8.9004589999999995E-2</v>
      </c>
      <c r="W4303">
        <v>0.1546515</v>
      </c>
      <c r="X4303">
        <v>0.98395180000000004</v>
      </c>
      <c r="Y4303">
        <v>-2.864363E-3</v>
      </c>
      <c r="Z4303" s="1">
        <v>3.8362129999999999E-5</v>
      </c>
      <c r="AA4303">
        <v>0.99999590000000005</v>
      </c>
      <c r="AB4303">
        <v>37</v>
      </c>
      <c r="AC4303">
        <v>32.3628</v>
      </c>
      <c r="AD4303">
        <v>-1.1100664134410001</v>
      </c>
      <c r="AE4303">
        <v>0.13299999999998099</v>
      </c>
      <c r="AF4303">
        <v>-9.3710523651566305E-2</v>
      </c>
      <c r="AG4303">
        <v>-1.1100664134410001</v>
      </c>
      <c r="AH4303">
        <v>32.324906477248298</v>
      </c>
      <c r="AI4303">
        <v>91.966807523491894</v>
      </c>
      <c r="AJ4303">
        <v>90.166101098034801</v>
      </c>
      <c r="AK4303">
        <v>32.344096955508597</v>
      </c>
      <c r="AL4303">
        <v>81.103415254427304</v>
      </c>
      <c r="AM4303">
        <v>95.168694656439897</v>
      </c>
      <c r="AN4303">
        <v>1.00000002410827</v>
      </c>
    </row>
    <row r="4304" spans="1:40" x14ac:dyDescent="0.25">
      <c r="A4304" t="str">
        <f>"20190304154839543"</f>
        <v>20190304154839543</v>
      </c>
      <c r="B4304" t="str">
        <f>"1551685719541182"</f>
        <v>1551685719541182</v>
      </c>
      <c r="C4304" t="s">
        <v>40</v>
      </c>
      <c r="D4304">
        <v>4.4092520000000004</v>
      </c>
      <c r="E4304">
        <v>0.53193190000000001</v>
      </c>
      <c r="F4304" t="s">
        <v>60</v>
      </c>
      <c r="G4304">
        <v>-326.02339999999998</v>
      </c>
      <c r="H4304" s="1">
        <v>1.6685589999999999E-6</v>
      </c>
      <c r="I4304">
        <v>214.14019999999999</v>
      </c>
      <c r="J4304">
        <v>-359.7432</v>
      </c>
      <c r="K4304">
        <v>1.1100680000000001</v>
      </c>
      <c r="L4304">
        <v>214.048</v>
      </c>
      <c r="M4304">
        <v>0.99993169999999998</v>
      </c>
      <c r="N4304">
        <v>-1.163028E-2</v>
      </c>
      <c r="O4304">
        <v>1.2121250000000001E-3</v>
      </c>
      <c r="P4304">
        <v>0.98554969999999997</v>
      </c>
      <c r="Q4304">
        <v>0.14303729999999901</v>
      </c>
      <c r="R4304">
        <v>9.0731129999999993E-2</v>
      </c>
      <c r="S4304">
        <v>3.0575869999999998</v>
      </c>
      <c r="T4304">
        <v>-9.9569920000000006E-2</v>
      </c>
      <c r="U4304">
        <v>8.3160400000000002E-3</v>
      </c>
      <c r="V4304">
        <v>-8.9527570000000001E-2</v>
      </c>
      <c r="W4304">
        <v>0.15449649999999901</v>
      </c>
      <c r="X4304">
        <v>0.98392869999999999</v>
      </c>
      <c r="Y4304">
        <v>-1.506772E-3</v>
      </c>
      <c r="Z4304" s="1">
        <v>7.9261929999999996E-6</v>
      </c>
      <c r="AA4304">
        <v>0.99999890000000002</v>
      </c>
      <c r="AB4304">
        <v>37</v>
      </c>
      <c r="AC4304">
        <v>33.719799999999999</v>
      </c>
      <c r="AD4304">
        <v>-1.110066331441</v>
      </c>
      <c r="AE4304">
        <v>9.2199999999991095E-2</v>
      </c>
      <c r="AF4304">
        <v>-5.1268995724083499E-2</v>
      </c>
      <c r="AG4304">
        <v>-1.110066331441</v>
      </c>
      <c r="AH4304">
        <v>33.683383000688501</v>
      </c>
      <c r="AI4304">
        <v>91.887548862310396</v>
      </c>
      <c r="AJ4304">
        <v>90.087209019543195</v>
      </c>
      <c r="AK4304">
        <v>33.701708653140898</v>
      </c>
      <c r="AL4304">
        <v>81.112404103092103</v>
      </c>
      <c r="AM4304">
        <v>95.199020710963495</v>
      </c>
      <c r="AN4304">
        <v>1.0000000204930199</v>
      </c>
    </row>
    <row r="4305" spans="1:40" x14ac:dyDescent="0.25">
      <c r="A4305" t="str">
        <f>"20190304154839565"</f>
        <v>20190304154839565</v>
      </c>
      <c r="B4305" t="str">
        <f>"1551685719561678"</f>
        <v>1551685719561678</v>
      </c>
      <c r="C4305" t="s">
        <v>40</v>
      </c>
      <c r="D4305">
        <v>4.4223410000000003</v>
      </c>
      <c r="E4305">
        <v>0.53253569999999995</v>
      </c>
      <c r="F4305" t="s">
        <v>60</v>
      </c>
      <c r="G4305">
        <v>-323.56670000000003</v>
      </c>
      <c r="H4305" s="1">
        <v>3.612444E-7</v>
      </c>
      <c r="I4305">
        <v>214.0778</v>
      </c>
      <c r="J4305">
        <v>-359.37599999999998</v>
      </c>
      <c r="K4305">
        <v>1.1100680000000001</v>
      </c>
      <c r="L4305">
        <v>214.04839999999999</v>
      </c>
      <c r="M4305">
        <v>0.99993209999999999</v>
      </c>
      <c r="N4305">
        <v>-1.1591010000000001E-2</v>
      </c>
      <c r="O4305">
        <v>1.212926E-3</v>
      </c>
      <c r="P4305">
        <v>0.98553360000000001</v>
      </c>
      <c r="Q4305">
        <v>0.1430014</v>
      </c>
      <c r="R4305">
        <v>9.0962329999999994E-2</v>
      </c>
      <c r="S4305">
        <v>3.0573730000000001</v>
      </c>
      <c r="T4305">
        <v>-9.3814969999999998E-2</v>
      </c>
      <c r="U4305">
        <v>2.5176999999999999E-3</v>
      </c>
      <c r="V4305">
        <v>-8.9758530000000003E-2</v>
      </c>
      <c r="W4305">
        <v>0.15442159999999999</v>
      </c>
      <c r="X4305">
        <v>0.9839194</v>
      </c>
      <c r="Y4305">
        <v>3.890497E-4</v>
      </c>
      <c r="Z4305" s="1">
        <v>-3.1375289999999997E-5</v>
      </c>
      <c r="AA4305">
        <v>0.99999990000000005</v>
      </c>
      <c r="AB4305">
        <v>37</v>
      </c>
      <c r="AC4305">
        <v>35.809299999999901</v>
      </c>
      <c r="AD4305">
        <v>-1.1100676387556001</v>
      </c>
      <c r="AE4305">
        <v>2.9400000000009599E-2</v>
      </c>
      <c r="AF4305">
        <v>1.40234939888531E-2</v>
      </c>
      <c r="AG4305">
        <v>-1.1100676387556001</v>
      </c>
      <c r="AH4305">
        <v>35.774930912061002</v>
      </c>
      <c r="AI4305">
        <v>91.777272063105798</v>
      </c>
      <c r="AJ4305">
        <v>89.977540502302801</v>
      </c>
      <c r="AK4305">
        <v>35.792151773590398</v>
      </c>
      <c r="AL4305">
        <v>81.116747544402102</v>
      </c>
      <c r="AM4305">
        <v>95.212408169386194</v>
      </c>
      <c r="AN4305">
        <v>1.0000000049753399</v>
      </c>
    </row>
    <row r="4306" spans="1:40" x14ac:dyDescent="0.25">
      <c r="A4306" t="str">
        <f>"20190304154839589"</f>
        <v>20190304154839589</v>
      </c>
      <c r="B4306" t="str">
        <f>"1551685719581197"</f>
        <v>1551685719581197</v>
      </c>
      <c r="C4306" t="s">
        <v>40</v>
      </c>
      <c r="D4306">
        <v>4.4021749999999997</v>
      </c>
      <c r="E4306">
        <v>0.53302090000000002</v>
      </c>
      <c r="F4306" t="s">
        <v>60</v>
      </c>
      <c r="G4306">
        <v>-321.7312</v>
      </c>
      <c r="H4306" s="1">
        <v>-6.155064E-7</v>
      </c>
      <c r="I4306">
        <v>214.03200000000001</v>
      </c>
      <c r="J4306">
        <v>-358.98379999999997</v>
      </c>
      <c r="K4306">
        <v>1.1100669999999999</v>
      </c>
      <c r="L4306">
        <v>214.0489</v>
      </c>
      <c r="M4306">
        <v>0.99993259999999995</v>
      </c>
      <c r="N4306">
        <v>-1.155086E-2</v>
      </c>
      <c r="O4306">
        <v>1.213188E-3</v>
      </c>
      <c r="P4306">
        <v>0.98555979999999999</v>
      </c>
      <c r="Q4306">
        <v>0.14282629999999999</v>
      </c>
      <c r="R4306">
        <v>9.0955060000000004E-2</v>
      </c>
      <c r="S4306">
        <v>3.0572810000000001</v>
      </c>
      <c r="T4306">
        <v>-9.01531E-2</v>
      </c>
      <c r="U4306">
        <v>-1.327515E-3</v>
      </c>
      <c r="V4306">
        <v>-8.9751730000000002E-2</v>
      </c>
      <c r="W4306">
        <v>0.1542068</v>
      </c>
      <c r="X4306">
        <v>0.98395370000000004</v>
      </c>
      <c r="Y4306">
        <v>1.646291E-3</v>
      </c>
      <c r="Z4306" s="1">
        <v>-5.55336E-5</v>
      </c>
      <c r="AA4306">
        <v>0.99999859999999896</v>
      </c>
      <c r="AB4306">
        <v>37</v>
      </c>
      <c r="AC4306">
        <v>37.252599999999902</v>
      </c>
      <c r="AD4306">
        <v>-1.11006761550639</v>
      </c>
      <c r="AE4306">
        <v>-1.6899999999992501E-2</v>
      </c>
      <c r="AF4306">
        <v>6.20423177862457E-2</v>
      </c>
      <c r="AG4306">
        <v>-1.11006761550639</v>
      </c>
      <c r="AH4306">
        <v>37.219503241235103</v>
      </c>
      <c r="AI4306">
        <v>91.7083315739997</v>
      </c>
      <c r="AJ4306">
        <v>89.904492017401793</v>
      </c>
      <c r="AK4306">
        <v>37.236105071348398</v>
      </c>
      <c r="AL4306">
        <v>81.129203810438796</v>
      </c>
      <c r="AM4306">
        <v>95.211834771488697</v>
      </c>
      <c r="AN4306">
        <v>0.99999999697396103</v>
      </c>
    </row>
    <row r="4307" spans="1:40" x14ac:dyDescent="0.25">
      <c r="A4307" t="str">
        <f>"20190304154839612"</f>
        <v>20190304154839612</v>
      </c>
      <c r="B4307" t="str">
        <f>"1551685719600718"</f>
        <v>1551685719600718</v>
      </c>
      <c r="C4307" t="s">
        <v>40</v>
      </c>
      <c r="D4307">
        <v>4.4010809999999996</v>
      </c>
      <c r="E4307">
        <v>0.53348989999999996</v>
      </c>
      <c r="F4307" t="s">
        <v>60</v>
      </c>
      <c r="G4307">
        <v>-320.27879999999999</v>
      </c>
      <c r="H4307" s="1">
        <v>-1.388418E-6</v>
      </c>
      <c r="I4307">
        <v>213.98419999999999</v>
      </c>
      <c r="J4307">
        <v>-358.61099999999999</v>
      </c>
      <c r="K4307">
        <v>1.11006</v>
      </c>
      <c r="L4307">
        <v>214.04929999999999</v>
      </c>
      <c r="M4307">
        <v>0.99993310000000002</v>
      </c>
      <c r="N4307">
        <v>-1.1516220000000001E-2</v>
      </c>
      <c r="O4307">
        <v>1.2137059999999999E-3</v>
      </c>
      <c r="P4307">
        <v>0.98559580000000002</v>
      </c>
      <c r="Q4307">
        <v>0.14270469999999999</v>
      </c>
      <c r="R4307">
        <v>9.0756619999999996E-2</v>
      </c>
      <c r="S4307">
        <v>3.0570979999999999</v>
      </c>
      <c r="T4307">
        <v>-8.7678309999999995E-2</v>
      </c>
      <c r="U4307">
        <v>-5.111694E-3</v>
      </c>
      <c r="V4307">
        <v>-8.955312E-2</v>
      </c>
      <c r="W4307">
        <v>0.15405079999999999</v>
      </c>
      <c r="X4307">
        <v>0.98399619999999999</v>
      </c>
      <c r="Y4307">
        <v>2.8840150000000002E-3</v>
      </c>
      <c r="Z4307" s="1">
        <v>-7.8786559999999999E-5</v>
      </c>
      <c r="AA4307">
        <v>0.99999579999999999</v>
      </c>
      <c r="AB4307">
        <v>37</v>
      </c>
      <c r="AC4307">
        <v>38.3322</v>
      </c>
      <c r="AD4307">
        <v>-1.110061388418</v>
      </c>
      <c r="AE4307">
        <v>-6.5100000000001004E-2</v>
      </c>
      <c r="AF4307">
        <v>0.111533517323855</v>
      </c>
      <c r="AG4307">
        <v>-1.110061388418</v>
      </c>
      <c r="AH4307">
        <v>38.299973619100697</v>
      </c>
      <c r="AI4307">
        <v>91.660151609079406</v>
      </c>
      <c r="AJ4307">
        <v>89.833149186569301</v>
      </c>
      <c r="AK4307">
        <v>38.316219218959397</v>
      </c>
      <c r="AL4307">
        <v>81.138249770546594</v>
      </c>
      <c r="AM4307">
        <v>95.200141522270002</v>
      </c>
      <c r="AN4307">
        <v>0.99999996594840601</v>
      </c>
    </row>
    <row r="4308" spans="1:40" x14ac:dyDescent="0.25">
      <c r="A4308" t="str">
        <f>"20190304154839634"</f>
        <v>20190304154839634</v>
      </c>
      <c r="B4308" t="str">
        <f>"1551685719630974"</f>
        <v>1551685719630974</v>
      </c>
      <c r="C4308" t="s">
        <v>40</v>
      </c>
      <c r="D4308">
        <v>4.4357160000000002</v>
      </c>
      <c r="E4308">
        <v>0.53393809999999997</v>
      </c>
      <c r="F4308" t="s">
        <v>61</v>
      </c>
      <c r="G4308">
        <v>-318.6841</v>
      </c>
      <c r="H4308" s="1">
        <v>4.7567020000000002E-6</v>
      </c>
      <c r="I4308">
        <v>213.92689999999999</v>
      </c>
      <c r="J4308">
        <v>-358.24860000000001</v>
      </c>
      <c r="K4308">
        <v>1.1100589999999999</v>
      </c>
      <c r="L4308">
        <v>214.0498</v>
      </c>
      <c r="M4308">
        <v>0.99993339999999997</v>
      </c>
      <c r="N4308">
        <v>-1.148681E-2</v>
      </c>
      <c r="O4308">
        <v>1.2140670000000001E-3</v>
      </c>
      <c r="P4308">
        <v>0.98564350000000001</v>
      </c>
      <c r="Q4308">
        <v>0.14259459999999999</v>
      </c>
      <c r="R4308">
        <v>9.0408630000000004E-2</v>
      </c>
      <c r="S4308">
        <v>3.0570369999999998</v>
      </c>
      <c r="T4308">
        <v>-8.4992529999999997E-2</v>
      </c>
      <c r="U4308">
        <v>-9.3688959999999998E-3</v>
      </c>
      <c r="V4308">
        <v>-8.9205030000000005E-2</v>
      </c>
      <c r="W4308">
        <v>0.153912299999999</v>
      </c>
      <c r="X4308">
        <v>0.98404950000000002</v>
      </c>
      <c r="Y4308">
        <v>4.2763250000000001E-3</v>
      </c>
      <c r="Z4308">
        <v>-1.03805E-4</v>
      </c>
      <c r="AA4308">
        <v>0.99999090000000002</v>
      </c>
      <c r="AB4308">
        <v>37</v>
      </c>
      <c r="AC4308">
        <v>39.564500000000002</v>
      </c>
      <c r="AD4308">
        <v>-1.1100542432979901</v>
      </c>
      <c r="AE4308">
        <v>-0.122900000000015</v>
      </c>
      <c r="AF4308">
        <v>0.17080257510338601</v>
      </c>
      <c r="AG4308">
        <v>-1.1100542432979901</v>
      </c>
      <c r="AH4308">
        <v>39.533201959527602</v>
      </c>
      <c r="AI4308">
        <v>91.608372700635201</v>
      </c>
      <c r="AJ4308">
        <v>89.752456029186902</v>
      </c>
      <c r="AK4308">
        <v>39.549152343830599</v>
      </c>
      <c r="AL4308">
        <v>81.146281108535206</v>
      </c>
      <c r="AM4308">
        <v>95.179759875400407</v>
      </c>
      <c r="AN4308">
        <v>0.99999997595942003</v>
      </c>
    </row>
    <row r="4309" spans="1:40" x14ac:dyDescent="0.25">
      <c r="A4309" t="str">
        <f>"20190304154839654"</f>
        <v>20190304154839654</v>
      </c>
      <c r="B4309" t="str">
        <f>"1551685719651002"</f>
        <v>1551685719651002</v>
      </c>
      <c r="C4309" t="s">
        <v>40</v>
      </c>
      <c r="D4309">
        <v>4.6653469999999997</v>
      </c>
      <c r="E4309">
        <v>0.53357359999999998</v>
      </c>
      <c r="F4309" t="s">
        <v>61</v>
      </c>
      <c r="G4309">
        <v>-317.16250000000002</v>
      </c>
      <c r="H4309" s="1">
        <v>4.0819379999999996E-6</v>
      </c>
      <c r="I4309">
        <v>213.86330000000001</v>
      </c>
      <c r="J4309">
        <v>-357.89339999999999</v>
      </c>
      <c r="K4309">
        <v>1.1100589999999999</v>
      </c>
      <c r="L4309">
        <v>214.05019999999999</v>
      </c>
      <c r="M4309">
        <v>0.99993370000000004</v>
      </c>
      <c r="N4309">
        <v>-1.1461519999999999E-2</v>
      </c>
      <c r="O4309">
        <v>1.2143989999999999E-3</v>
      </c>
      <c r="P4309">
        <v>0.98566509999999996</v>
      </c>
      <c r="Q4309">
        <v>0.14271449999999999</v>
      </c>
      <c r="R4309">
        <v>8.998507E-2</v>
      </c>
      <c r="S4309">
        <v>3.056915</v>
      </c>
      <c r="T4309">
        <v>-8.259118E-2</v>
      </c>
      <c r="U4309">
        <v>-1.3870240000000001E-2</v>
      </c>
      <c r="V4309">
        <v>-8.8781849999999995E-2</v>
      </c>
      <c r="W4309">
        <v>0.15400739999999999</v>
      </c>
      <c r="X4309">
        <v>0.98407290000000003</v>
      </c>
      <c r="Y4309">
        <v>5.748614E-3</v>
      </c>
      <c r="Z4309">
        <v>-1.2948319999999999E-4</v>
      </c>
      <c r="AA4309">
        <v>0.99998350000000003</v>
      </c>
      <c r="AB4309">
        <v>37</v>
      </c>
      <c r="AC4309">
        <v>40.730899999999899</v>
      </c>
      <c r="AD4309">
        <v>-1.1100549180620001</v>
      </c>
      <c r="AE4309">
        <v>-0.18689999999998</v>
      </c>
      <c r="AF4309">
        <v>0.23619124291721</v>
      </c>
      <c r="AG4309">
        <v>-1.1100549180620001</v>
      </c>
      <c r="AH4309">
        <v>40.7004135014339</v>
      </c>
      <c r="AI4309">
        <v>91.562260013553299</v>
      </c>
      <c r="AJ4309">
        <v>89.667506830940695</v>
      </c>
      <c r="AK4309">
        <v>40.716233462981897</v>
      </c>
      <c r="AL4309">
        <v>81.1407666047715</v>
      </c>
      <c r="AM4309">
        <v>95.155198392800301</v>
      </c>
      <c r="AN4309">
        <v>0.99999998432929604</v>
      </c>
    </row>
    <row r="4310" spans="1:40" x14ac:dyDescent="0.25">
      <c r="A4310" t="str">
        <f>"20190304154839677"</f>
        <v>20190304154839677</v>
      </c>
      <c r="B4310" t="str">
        <f>"1551685719671498"</f>
        <v>1551685719671498</v>
      </c>
      <c r="C4310" t="s">
        <v>40</v>
      </c>
      <c r="D4310">
        <v>4.386952</v>
      </c>
      <c r="E4310">
        <v>0.51677669999999998</v>
      </c>
      <c r="F4310" t="s">
        <v>61</v>
      </c>
      <c r="G4310">
        <v>-314.97559999999999</v>
      </c>
      <c r="H4310" s="1">
        <v>3.1121249999999999E-6</v>
      </c>
      <c r="I4310">
        <v>213.8785</v>
      </c>
      <c r="J4310">
        <v>-357.52210000000002</v>
      </c>
      <c r="K4310">
        <v>1.1100559999999999</v>
      </c>
      <c r="L4310">
        <v>214.0506</v>
      </c>
      <c r="M4310">
        <v>0.99993399999999999</v>
      </c>
      <c r="N4310">
        <v>-1.1437009999999999E-2</v>
      </c>
      <c r="O4310">
        <v>1.2150819999999999E-3</v>
      </c>
      <c r="P4310">
        <v>0.98568719999999999</v>
      </c>
      <c r="Q4310">
        <v>0.14272850000000001</v>
      </c>
      <c r="R4310">
        <v>8.971904E-2</v>
      </c>
      <c r="S4310">
        <v>3.0561829999999999</v>
      </c>
      <c r="T4310">
        <v>-7.9047320000000004E-2</v>
      </c>
      <c r="U4310">
        <v>-1.222229E-2</v>
      </c>
      <c r="V4310">
        <v>-8.8514999999999996E-2</v>
      </c>
      <c r="W4310">
        <v>0.1539971</v>
      </c>
      <c r="X4310">
        <v>0.98409860000000005</v>
      </c>
      <c r="Y4310">
        <v>5.211678E-3</v>
      </c>
      <c r="Z4310">
        <v>-1.147254E-4</v>
      </c>
      <c r="AA4310">
        <v>0.99998640000000005</v>
      </c>
      <c r="AB4310">
        <v>37</v>
      </c>
      <c r="AC4310">
        <v>42.546500000000002</v>
      </c>
      <c r="AD4310">
        <v>-1.110052887875</v>
      </c>
      <c r="AE4310">
        <v>-0.1721</v>
      </c>
      <c r="AF4310">
        <v>0.22364849692573499</v>
      </c>
      <c r="AG4310">
        <v>-1.110052887875</v>
      </c>
      <c r="AH4310">
        <v>42.517318132649301</v>
      </c>
      <c r="AI4310">
        <v>91.495532263809295</v>
      </c>
      <c r="AJ4310">
        <v>89.698617002515405</v>
      </c>
      <c r="AK4310">
        <v>42.532394445374997</v>
      </c>
      <c r="AL4310">
        <v>81.1413643135689</v>
      </c>
      <c r="AM4310">
        <v>95.139653115611793</v>
      </c>
      <c r="AN4310">
        <v>1.0000000332776799</v>
      </c>
    </row>
    <row r="4311" spans="1:40" x14ac:dyDescent="0.25">
      <c r="A4311" t="str">
        <f>"20190304154839700"</f>
        <v>20190304154839700</v>
      </c>
      <c r="B4311" t="str">
        <f>"1551685719691024"</f>
        <v>1551685719691024</v>
      </c>
      <c r="C4311" t="s">
        <v>40</v>
      </c>
      <c r="D4311">
        <v>4.3487150000000003</v>
      </c>
      <c r="E4311">
        <v>0.51588610000000001</v>
      </c>
      <c r="F4311" t="s">
        <v>71</v>
      </c>
      <c r="G4311">
        <v>-168.35059999999999</v>
      </c>
      <c r="H4311">
        <v>4.698728</v>
      </c>
      <c r="I4311">
        <v>221.8475</v>
      </c>
      <c r="J4311">
        <v>-357.14139999999998</v>
      </c>
      <c r="K4311">
        <v>1.110055</v>
      </c>
      <c r="L4311">
        <v>214.05109999999999</v>
      </c>
      <c r="M4311">
        <v>0.99993430000000005</v>
      </c>
      <c r="N4311">
        <v>-1.1410500000000001E-2</v>
      </c>
      <c r="O4311">
        <v>1.215537E-3</v>
      </c>
      <c r="P4311">
        <v>0.98571770000000003</v>
      </c>
      <c r="Q4311">
        <v>0.14265829999999999</v>
      </c>
      <c r="R4311">
        <v>8.9496779999999998E-2</v>
      </c>
      <c r="S4311">
        <v>3.0239259999999999</v>
      </c>
      <c r="T4311">
        <v>5.7366130000000001E-2</v>
      </c>
      <c r="U4311">
        <v>0.1246338</v>
      </c>
      <c r="V4311">
        <v>-8.8292490000000001E-2</v>
      </c>
      <c r="W4311">
        <v>0.1539015</v>
      </c>
      <c r="X4311">
        <v>0.98413349999999999</v>
      </c>
      <c r="Y4311">
        <v>-3.9964020000000003E-2</v>
      </c>
      <c r="Z4311">
        <v>-1.138515E-4</v>
      </c>
      <c r="AA4311">
        <v>0.99920109999999995</v>
      </c>
      <c r="AB4311">
        <v>37</v>
      </c>
      <c r="AC4311">
        <v>188.79079999999999</v>
      </c>
      <c r="AD4311">
        <v>3.588673</v>
      </c>
      <c r="AE4311">
        <v>7.7964000000000002</v>
      </c>
      <c r="AF4311">
        <v>-7.5641686074425696</v>
      </c>
      <c r="AG4311">
        <v>3.588673</v>
      </c>
      <c r="AH4311">
        <v>188.73205915509399</v>
      </c>
      <c r="AI4311">
        <v>88.911546035702798</v>
      </c>
      <c r="AJ4311">
        <v>92.295122013871193</v>
      </c>
      <c r="AK4311">
        <v>188.91766824080901</v>
      </c>
      <c r="AL4311">
        <v>81.146907495757105</v>
      </c>
      <c r="AM4311">
        <v>95.126621096485707</v>
      </c>
      <c r="AN4311">
        <v>0.99999999065745004</v>
      </c>
    </row>
    <row r="4312" spans="1:40" x14ac:dyDescent="0.25">
      <c r="A4312" t="str">
        <f>"20190304154839722"</f>
        <v>20190304154839722</v>
      </c>
      <c r="B4312" t="str">
        <f>"1551685719711513"</f>
        <v>1551685719711513</v>
      </c>
      <c r="C4312" t="s">
        <v>40</v>
      </c>
      <c r="D4312">
        <v>4.3460580000000002</v>
      </c>
      <c r="E4312">
        <v>0.51599729999999999</v>
      </c>
      <c r="F4312" t="s">
        <v>71</v>
      </c>
      <c r="G4312">
        <v>-168.35059999999999</v>
      </c>
      <c r="H4312">
        <v>3.6878649999999999</v>
      </c>
      <c r="I4312">
        <v>222.21440000000001</v>
      </c>
      <c r="J4312">
        <v>-356.78489999999999</v>
      </c>
      <c r="K4312">
        <v>1.1100509999999999</v>
      </c>
      <c r="L4312">
        <v>214.0515</v>
      </c>
      <c r="M4312">
        <v>0.9999344</v>
      </c>
      <c r="N4312">
        <v>-1.1385630000000001E-2</v>
      </c>
      <c r="O4312">
        <v>1.217239E-3</v>
      </c>
      <c r="P4312">
        <v>0.98564960000000001</v>
      </c>
      <c r="Q4312">
        <v>0.14316799999999999</v>
      </c>
      <c r="R4312">
        <v>8.9429599999999998E-2</v>
      </c>
      <c r="S4312">
        <v>3.0256349999999999</v>
      </c>
      <c r="T4312">
        <v>4.1313889999999999E-2</v>
      </c>
      <c r="U4312">
        <v>0.1308289</v>
      </c>
      <c r="V4312">
        <v>-8.822381E-2</v>
      </c>
      <c r="W4312">
        <v>0.15438579999999999</v>
      </c>
      <c r="X4312">
        <v>0.98406380000000004</v>
      </c>
      <c r="Y4312">
        <v>-4.1983300000000001E-2</v>
      </c>
      <c r="Z4312" s="1">
        <v>-1.6897390000000001E-5</v>
      </c>
      <c r="AA4312">
        <v>0.99911830000000001</v>
      </c>
      <c r="AB4312">
        <v>37</v>
      </c>
      <c r="AC4312">
        <v>188.43430000000001</v>
      </c>
      <c r="AD4312">
        <v>2.577814</v>
      </c>
      <c r="AE4312">
        <v>8.1629000000000005</v>
      </c>
      <c r="AF4312">
        <v>-7.9320278193017497</v>
      </c>
      <c r="AG4312">
        <v>2.577814</v>
      </c>
      <c r="AH4312">
        <v>188.408903081754</v>
      </c>
      <c r="AI4312">
        <v>89.216820690897606</v>
      </c>
      <c r="AJ4312">
        <v>92.410732669695506</v>
      </c>
      <c r="AK4312">
        <v>188.593417039977</v>
      </c>
      <c r="AL4312">
        <v>81.118823488641496</v>
      </c>
      <c r="AM4312">
        <v>95.123015382646699</v>
      </c>
      <c r="AN4312">
        <v>0.99999998918149802</v>
      </c>
    </row>
    <row r="4313" spans="1:40" x14ac:dyDescent="0.25">
      <c r="A4313" t="str">
        <f>"20190304154839744"</f>
        <v>20190304154839744</v>
      </c>
      <c r="B4313" t="str">
        <f>"1551685719740794"</f>
        <v>1551685719740794</v>
      </c>
      <c r="C4313" t="s">
        <v>40</v>
      </c>
      <c r="D4313">
        <v>4.3427819999999997</v>
      </c>
      <c r="E4313">
        <v>0.51583020000000002</v>
      </c>
      <c r="F4313" t="s">
        <v>71</v>
      </c>
      <c r="G4313">
        <v>-168.35059999999999</v>
      </c>
      <c r="H4313">
        <v>3.4839899999999999</v>
      </c>
      <c r="I4313">
        <v>222.11760000000001</v>
      </c>
      <c r="J4313">
        <v>-356.41230000000002</v>
      </c>
      <c r="K4313">
        <v>1.1100570000000001</v>
      </c>
      <c r="L4313">
        <v>214.05199999999999</v>
      </c>
      <c r="M4313">
        <v>0.99993469999999995</v>
      </c>
      <c r="N4313">
        <v>-1.136151E-2</v>
      </c>
      <c r="O4313">
        <v>1.223315E-3</v>
      </c>
      <c r="P4313">
        <v>0.98567309999999997</v>
      </c>
      <c r="Q4313">
        <v>0.1431817</v>
      </c>
      <c r="R4313">
        <v>8.914975E-2</v>
      </c>
      <c r="S4313">
        <v>3.0263979999999999</v>
      </c>
      <c r="T4313">
        <v>3.8128139999999998E-2</v>
      </c>
      <c r="U4313">
        <v>0.1295471</v>
      </c>
      <c r="V4313">
        <v>-8.7939110000000001E-2</v>
      </c>
      <c r="W4313">
        <v>0.15437500000000001</v>
      </c>
      <c r="X4313">
        <v>0.98409100000000005</v>
      </c>
      <c r="Y4313">
        <v>-4.1544280000000003E-2</v>
      </c>
      <c r="Z4313" s="1">
        <v>3.8474099999999996E-6</v>
      </c>
      <c r="AA4313">
        <v>0.99913669999999999</v>
      </c>
      <c r="AB4313">
        <v>37</v>
      </c>
      <c r="AC4313">
        <v>188.0617</v>
      </c>
      <c r="AD4313">
        <v>2.3739330000000001</v>
      </c>
      <c r="AE4313">
        <v>8.0655999999999892</v>
      </c>
      <c r="AF4313">
        <v>-7.8342743599259297</v>
      </c>
      <c r="AG4313">
        <v>2.3739330000000001</v>
      </c>
      <c r="AH4313">
        <v>188.04151836280701</v>
      </c>
      <c r="AI4313">
        <v>89.277333836395499</v>
      </c>
      <c r="AJ4313">
        <v>92.385704069510396</v>
      </c>
      <c r="AK4313">
        <v>188.21961651439301</v>
      </c>
      <c r="AL4313">
        <v>81.119449995670294</v>
      </c>
      <c r="AM4313">
        <v>95.106430461529499</v>
      </c>
      <c r="AN4313">
        <v>1.00000001198679</v>
      </c>
    </row>
    <row r="4314" spans="1:40" x14ac:dyDescent="0.25">
      <c r="A4314" t="str">
        <f>"20190304154839767"</f>
        <v>20190304154839767</v>
      </c>
      <c r="B4314" t="str">
        <f>"1551685719761289"</f>
        <v>1551685719761289</v>
      </c>
      <c r="C4314" t="s">
        <v>40</v>
      </c>
      <c r="D4314">
        <v>4.3845650000000003</v>
      </c>
      <c r="E4314">
        <v>0.51521099999999997</v>
      </c>
      <c r="F4314" t="s">
        <v>71</v>
      </c>
      <c r="G4314">
        <v>-168.35059999999999</v>
      </c>
      <c r="H4314">
        <v>3.2671730000000001</v>
      </c>
      <c r="I4314">
        <v>222.1703</v>
      </c>
      <c r="J4314">
        <v>-356.03960000000001</v>
      </c>
      <c r="K4314">
        <v>1.11006</v>
      </c>
      <c r="L4314">
        <v>214.05240000000001</v>
      </c>
      <c r="M4314">
        <v>0.99993500000000002</v>
      </c>
      <c r="N4314">
        <v>-1.1340009999999999E-2</v>
      </c>
      <c r="O4314">
        <v>1.2368049999999999E-3</v>
      </c>
      <c r="P4314">
        <v>0.98573520000000003</v>
      </c>
      <c r="Q4314">
        <v>0.14282129999999901</v>
      </c>
      <c r="R4314">
        <v>8.9041899999999993E-2</v>
      </c>
      <c r="S4314">
        <v>3.026764</v>
      </c>
      <c r="T4314">
        <v>3.471863E-2</v>
      </c>
      <c r="U4314">
        <v>0.130661</v>
      </c>
      <c r="V4314">
        <v>-8.782007E-2</v>
      </c>
      <c r="W4314">
        <v>0.15399289999999999</v>
      </c>
      <c r="X4314">
        <v>0.98416150000000002</v>
      </c>
      <c r="Y4314">
        <v>-4.189292E-2</v>
      </c>
      <c r="Z4314" s="1">
        <v>2.5701849999999999E-5</v>
      </c>
      <c r="AA4314">
        <v>0.99912210000000001</v>
      </c>
      <c r="AB4314">
        <v>37</v>
      </c>
      <c r="AC4314">
        <v>187.68899999999999</v>
      </c>
      <c r="AD4314">
        <v>2.1571129999999998</v>
      </c>
      <c r="AE4314">
        <v>8.1178999999999899</v>
      </c>
      <c r="AF4314">
        <v>-7.8847046428275496</v>
      </c>
      <c r="AG4314">
        <v>2.1571129999999998</v>
      </c>
      <c r="AH4314">
        <v>187.674153844476</v>
      </c>
      <c r="AI4314">
        <v>89.342055850139502</v>
      </c>
      <c r="AJ4314">
        <v>92.405737681233006</v>
      </c>
      <c r="AK4314">
        <v>187.85209534375599</v>
      </c>
      <c r="AL4314">
        <v>81.141607724656893</v>
      </c>
      <c r="AM4314">
        <v>95.0991911643968</v>
      </c>
      <c r="AN4314">
        <v>1.0000000180137301</v>
      </c>
    </row>
    <row r="4315" spans="1:40" x14ac:dyDescent="0.25">
      <c r="A4315" t="str">
        <f>"20190304154839789"</f>
        <v>20190304154839789</v>
      </c>
      <c r="B4315" t="str">
        <f>"1551685719780819"</f>
        <v>1551685719780819</v>
      </c>
      <c r="C4315" t="s">
        <v>40</v>
      </c>
      <c r="D4315">
        <v>4.3506939999999998</v>
      </c>
      <c r="E4315">
        <v>0.51470569999999904</v>
      </c>
      <c r="F4315" t="s">
        <v>71</v>
      </c>
      <c r="G4315">
        <v>-168.35059999999999</v>
      </c>
      <c r="H4315">
        <v>2.8597800000000002</v>
      </c>
      <c r="I4315">
        <v>222.3931</v>
      </c>
      <c r="J4315">
        <v>-355.66399999999999</v>
      </c>
      <c r="K4315">
        <v>1.1100669999999999</v>
      </c>
      <c r="L4315">
        <v>214.05289999999999</v>
      </c>
      <c r="M4315">
        <v>0.99993520000000002</v>
      </c>
      <c r="N4315">
        <v>-1.1320780000000001E-2</v>
      </c>
      <c r="O4315">
        <v>1.259912E-3</v>
      </c>
      <c r="P4315">
        <v>0.98576770000000002</v>
      </c>
      <c r="Q4315">
        <v>0.14247219999999999</v>
      </c>
      <c r="R4315">
        <v>8.9240159999999999E-2</v>
      </c>
      <c r="S4315">
        <v>3.0271300000000001</v>
      </c>
      <c r="T4315">
        <v>2.8221130000000001E-2</v>
      </c>
      <c r="U4315">
        <v>0.13452149999999999</v>
      </c>
      <c r="V4315">
        <v>-8.7997859999999997E-2</v>
      </c>
      <c r="W4315">
        <v>0.15362390000000001</v>
      </c>
      <c r="X4315">
        <v>0.9842033</v>
      </c>
      <c r="Y4315">
        <v>-4.3136689999999998E-2</v>
      </c>
      <c r="Z4315" s="1">
        <v>6.9321019999999997E-5</v>
      </c>
      <c r="AA4315">
        <v>0.99906919999999999</v>
      </c>
      <c r="AB4315">
        <v>37</v>
      </c>
      <c r="AC4315">
        <v>187.3134</v>
      </c>
      <c r="AD4315">
        <v>1.7497130000000001</v>
      </c>
      <c r="AE4315">
        <v>8.34020000000001</v>
      </c>
      <c r="AF4315">
        <v>-8.1034741940848498</v>
      </c>
      <c r="AG4315">
        <v>1.7497130000000001</v>
      </c>
      <c r="AH4315">
        <v>187.30744851752499</v>
      </c>
      <c r="AI4315">
        <v>89.4652931551433</v>
      </c>
      <c r="AJ4315">
        <v>92.477240111059501</v>
      </c>
      <c r="AK4315">
        <v>187.49082126798001</v>
      </c>
      <c r="AL4315">
        <v>81.163004588109999</v>
      </c>
      <c r="AM4315">
        <v>95.109243932942704</v>
      </c>
      <c r="AN4315">
        <v>1.0000000308733299</v>
      </c>
    </row>
    <row r="4316" spans="1:40" x14ac:dyDescent="0.25">
      <c r="A4316" t="str">
        <f>"20190304154839813"</f>
        <v>20190304154839813</v>
      </c>
      <c r="B4316" t="str">
        <f>"1551685719801305"</f>
        <v>1551685719801305</v>
      </c>
      <c r="C4316" t="s">
        <v>40</v>
      </c>
      <c r="D4316">
        <v>4.3460279999999996</v>
      </c>
      <c r="E4316">
        <v>0.51369310000000001</v>
      </c>
      <c r="F4316" t="s">
        <v>71</v>
      </c>
      <c r="G4316">
        <v>-168.35059999999999</v>
      </c>
      <c r="H4316">
        <v>2.5514700000000001</v>
      </c>
      <c r="I4316">
        <v>222.6404</v>
      </c>
      <c r="J4316">
        <v>-355.28050000000002</v>
      </c>
      <c r="K4316">
        <v>1.110069</v>
      </c>
      <c r="L4316">
        <v>214.05340000000001</v>
      </c>
      <c r="M4316">
        <v>0.99993529999999997</v>
      </c>
      <c r="N4316">
        <v>-1.1303779999999999E-2</v>
      </c>
      <c r="O4316">
        <v>1.2924950000000001E-3</v>
      </c>
      <c r="P4316">
        <v>0.98580619999999997</v>
      </c>
      <c r="Q4316">
        <v>0.14203350000000001</v>
      </c>
      <c r="R4316">
        <v>8.9513880000000004E-2</v>
      </c>
      <c r="S4316">
        <v>3.0274049999999999</v>
      </c>
      <c r="T4316">
        <v>2.3297189999999999E-2</v>
      </c>
      <c r="U4316">
        <v>0.1387939</v>
      </c>
      <c r="V4316">
        <v>-8.8243080000000002E-2</v>
      </c>
      <c r="W4316">
        <v>0.15316740000000001</v>
      </c>
      <c r="X4316">
        <v>0.98425249999999997</v>
      </c>
      <c r="Y4316">
        <v>-4.4507339999999999E-2</v>
      </c>
      <c r="Z4316">
        <v>1.050731E-4</v>
      </c>
      <c r="AA4316">
        <v>0.99900909999999998</v>
      </c>
      <c r="AB4316">
        <v>37</v>
      </c>
      <c r="AC4316">
        <v>186.9299</v>
      </c>
      <c r="AD4316">
        <v>1.4414009999999999</v>
      </c>
      <c r="AE4316">
        <v>8.5869999999999802</v>
      </c>
      <c r="AF4316">
        <v>-8.3448763075466896</v>
      </c>
      <c r="AG4316">
        <v>1.4414009999999999</v>
      </c>
      <c r="AH4316">
        <v>186.92975209560501</v>
      </c>
      <c r="AI4316">
        <v>89.558644938243404</v>
      </c>
      <c r="AJ4316">
        <v>92.556088313991907</v>
      </c>
      <c r="AK4316">
        <v>187.12147609495599</v>
      </c>
      <c r="AL4316">
        <v>81.189473442137299</v>
      </c>
      <c r="AM4316">
        <v>95.123151239446003</v>
      </c>
      <c r="AN4316">
        <v>1.00000003867344</v>
      </c>
    </row>
    <row r="4317" spans="1:40" x14ac:dyDescent="0.25">
      <c r="A4317" t="str">
        <f>"20190304154839834"</f>
        <v>20190304154839834</v>
      </c>
      <c r="B4317" t="str">
        <f>"1551685719831562"</f>
        <v>1551685719831562</v>
      </c>
      <c r="C4317" t="s">
        <v>40</v>
      </c>
      <c r="D4317">
        <v>4.3262099999999997</v>
      </c>
      <c r="E4317">
        <v>0.51363340000000002</v>
      </c>
      <c r="F4317" t="s">
        <v>71</v>
      </c>
      <c r="G4317">
        <v>-168.35059999999999</v>
      </c>
      <c r="H4317">
        <v>2.1269559999999998</v>
      </c>
      <c r="I4317">
        <v>223.15180000000001</v>
      </c>
      <c r="J4317">
        <v>-354.92039999999997</v>
      </c>
      <c r="K4317">
        <v>1.1100730000000001</v>
      </c>
      <c r="L4317">
        <v>214.0539</v>
      </c>
      <c r="M4317">
        <v>0.99993540000000003</v>
      </c>
      <c r="N4317">
        <v>-1.1290100000000001E-2</v>
      </c>
      <c r="O4317">
        <v>1.3302190000000001E-3</v>
      </c>
      <c r="P4317">
        <v>0.98577919999999997</v>
      </c>
      <c r="Q4317">
        <v>0.14211879999999999</v>
      </c>
      <c r="R4317">
        <v>8.9676420000000007E-2</v>
      </c>
      <c r="S4317">
        <v>3.0274350000000001</v>
      </c>
      <c r="T4317">
        <v>1.6469959999999999E-2</v>
      </c>
      <c r="U4317">
        <v>0.14735409999999999</v>
      </c>
      <c r="V4317">
        <v>-8.8370699999999996E-2</v>
      </c>
      <c r="W4317">
        <v>0.15323709999999999</v>
      </c>
      <c r="X4317">
        <v>0.98423020000000006</v>
      </c>
      <c r="Y4317">
        <v>-4.7287549999999998E-2</v>
      </c>
      <c r="Z4317">
        <v>1.6079620000000001E-4</v>
      </c>
      <c r="AA4317">
        <v>0.99888129999999997</v>
      </c>
      <c r="AB4317">
        <v>37</v>
      </c>
      <c r="AC4317">
        <v>186.56979999999999</v>
      </c>
      <c r="AD4317">
        <v>1.016883</v>
      </c>
      <c r="AE4317">
        <v>9.0979000000000099</v>
      </c>
      <c r="AF4317">
        <v>-8.8494351763216006</v>
      </c>
      <c r="AG4317">
        <v>1.016883</v>
      </c>
      <c r="AH4317">
        <v>186.576208406571</v>
      </c>
      <c r="AI4317">
        <v>89.688078647689906</v>
      </c>
      <c r="AJ4317">
        <v>92.715542259762699</v>
      </c>
      <c r="AK4317">
        <v>186.78872583040899</v>
      </c>
      <c r="AL4317">
        <v>81.185432213374696</v>
      </c>
      <c r="AM4317">
        <v>95.130636615746496</v>
      </c>
      <c r="AN4317">
        <v>1.0000000380134599</v>
      </c>
    </row>
    <row r="4318" spans="1:40" x14ac:dyDescent="0.25">
      <c r="A4318" t="str">
        <f>"20190304154839856"</f>
        <v>20190304154839856</v>
      </c>
      <c r="B4318" t="str">
        <f>"1551685719851588"</f>
        <v>1551685719851588</v>
      </c>
      <c r="C4318" t="s">
        <v>40</v>
      </c>
      <c r="D4318">
        <v>4.318899</v>
      </c>
      <c r="E4318">
        <v>0.51383069999999997</v>
      </c>
      <c r="F4318" t="s">
        <v>71</v>
      </c>
      <c r="G4318">
        <v>-168.35059999999999</v>
      </c>
      <c r="H4318">
        <v>2.0558700000000001</v>
      </c>
      <c r="I4318">
        <v>223.2012</v>
      </c>
      <c r="J4318">
        <v>-354.5514</v>
      </c>
      <c r="K4318">
        <v>1.110074</v>
      </c>
      <c r="L4318">
        <v>214.05439999999999</v>
      </c>
      <c r="M4318">
        <v>0.99993540000000003</v>
      </c>
      <c r="N4318">
        <v>-1.1278079999999999E-2</v>
      </c>
      <c r="O4318">
        <v>1.3747029999999999E-3</v>
      </c>
      <c r="P4318">
        <v>0.98576249999999999</v>
      </c>
      <c r="Q4318">
        <v>0.14181250000000001</v>
      </c>
      <c r="R4318">
        <v>9.0343129999999994E-2</v>
      </c>
      <c r="S4318">
        <v>3.0275569999999998</v>
      </c>
      <c r="T4318">
        <v>1.5348789999999999E-2</v>
      </c>
      <c r="U4318">
        <v>0.1484375</v>
      </c>
      <c r="V4318">
        <v>-8.8996049999999993E-2</v>
      </c>
      <c r="W4318">
        <v>0.15291759999999999</v>
      </c>
      <c r="X4318">
        <v>0.98422350000000003</v>
      </c>
      <c r="Y4318">
        <v>-4.7597720000000003E-2</v>
      </c>
      <c r="Z4318">
        <v>1.704532E-4</v>
      </c>
      <c r="AA4318">
        <v>0.99886660000000005</v>
      </c>
      <c r="AB4318">
        <v>37</v>
      </c>
      <c r="AC4318">
        <v>186.20079999999999</v>
      </c>
      <c r="AD4318">
        <v>0.94579599999999997</v>
      </c>
      <c r="AE4318">
        <v>9.1468000000000096</v>
      </c>
      <c r="AF4318">
        <v>-8.8905754317425192</v>
      </c>
      <c r="AG4318">
        <v>0.94579599999999997</v>
      </c>
      <c r="AH4318">
        <v>186.20840622349601</v>
      </c>
      <c r="AI4318">
        <v>89.709314982555398</v>
      </c>
      <c r="AJ4318">
        <v>92.733528071980501</v>
      </c>
      <c r="AK4318">
        <v>186.42292619169899</v>
      </c>
      <c r="AL4318">
        <v>81.203956144596802</v>
      </c>
      <c r="AM4318">
        <v>95.166782419802999</v>
      </c>
      <c r="AN4318">
        <v>0.99999999362880598</v>
      </c>
    </row>
    <row r="4319" spans="1:40" x14ac:dyDescent="0.25">
      <c r="A4319" t="str">
        <f>"20190304154839878"</f>
        <v>20190304154839878</v>
      </c>
      <c r="B4319" t="str">
        <f>"1551685719871108"</f>
        <v>1551685719871108</v>
      </c>
      <c r="C4319" t="s">
        <v>40</v>
      </c>
      <c r="D4319">
        <v>4.3186150000000003</v>
      </c>
      <c r="E4319">
        <v>0.51404799999999995</v>
      </c>
      <c r="F4319" t="s">
        <v>71</v>
      </c>
      <c r="G4319">
        <v>-168.35059999999999</v>
      </c>
      <c r="H4319">
        <v>2.0418850000000002</v>
      </c>
      <c r="I4319">
        <v>223.2448</v>
      </c>
      <c r="J4319">
        <v>-354.16860000000003</v>
      </c>
      <c r="K4319">
        <v>1.11007099999999</v>
      </c>
      <c r="L4319">
        <v>214.05500000000001</v>
      </c>
      <c r="M4319">
        <v>0.99993560000000004</v>
      </c>
      <c r="N4319">
        <v>-1.1267249999999999E-2</v>
      </c>
      <c r="O4319">
        <v>1.425001E-3</v>
      </c>
      <c r="P4319">
        <v>0.9857726</v>
      </c>
      <c r="Q4319">
        <v>0.14170439999999901</v>
      </c>
      <c r="R4319">
        <v>9.0401469999999998E-2</v>
      </c>
      <c r="S4319">
        <v>3.0274960000000002</v>
      </c>
      <c r="T4319">
        <v>1.5151499999999899E-2</v>
      </c>
      <c r="U4319">
        <v>0.14942929999999999</v>
      </c>
      <c r="V4319">
        <v>-8.9006160000000001E-2</v>
      </c>
      <c r="W4319">
        <v>0.1527984</v>
      </c>
      <c r="X4319">
        <v>0.98424109999999998</v>
      </c>
      <c r="Y4319">
        <v>-4.787491E-2</v>
      </c>
      <c r="Z4319">
        <v>1.733289E-4</v>
      </c>
      <c r="AA4319">
        <v>0.99885330000000006</v>
      </c>
      <c r="AB4319">
        <v>37</v>
      </c>
      <c r="AC4319">
        <v>185.81800000000001</v>
      </c>
      <c r="AD4319">
        <v>0.93181400000000003</v>
      </c>
      <c r="AE4319">
        <v>9.1897999999999893</v>
      </c>
      <c r="AF4319">
        <v>-8.9247591660984202</v>
      </c>
      <c r="AG4319">
        <v>0.93181400000000003</v>
      </c>
      <c r="AH4319">
        <v>185.82624608097501</v>
      </c>
      <c r="AI4319">
        <v>89.713027107201398</v>
      </c>
      <c r="AJ4319">
        <v>92.749656846923401</v>
      </c>
      <c r="AK4319">
        <v>186.04277286702199</v>
      </c>
      <c r="AL4319">
        <v>81.210867031325407</v>
      </c>
      <c r="AM4319">
        <v>95.167274290144803</v>
      </c>
      <c r="AN4319">
        <v>0.99999999524485705</v>
      </c>
    </row>
    <row r="4320" spans="1:40" x14ac:dyDescent="0.25">
      <c r="A4320" t="str">
        <f>"20190304154839900"</f>
        <v>20190304154839900</v>
      </c>
      <c r="B4320" t="str">
        <f>"1551685719890631"</f>
        <v>1551685719890631</v>
      </c>
      <c r="C4320" t="s">
        <v>40</v>
      </c>
      <c r="D4320">
        <v>4.3027059999999997</v>
      </c>
      <c r="E4320">
        <v>0.51360430000000001</v>
      </c>
      <c r="F4320" t="s">
        <v>71</v>
      </c>
      <c r="G4320">
        <v>-168.35059999999999</v>
      </c>
      <c r="H4320">
        <v>2.0934379999999999</v>
      </c>
      <c r="I4320">
        <v>223.1189</v>
      </c>
      <c r="J4320">
        <v>-353.81380000000001</v>
      </c>
      <c r="K4320">
        <v>1.1100699999999999</v>
      </c>
      <c r="L4320">
        <v>214.05549999999999</v>
      </c>
      <c r="M4320">
        <v>0.99993549999999998</v>
      </c>
      <c r="N4320">
        <v>-1.1258850000000001E-2</v>
      </c>
      <c r="O4320">
        <v>1.473956E-3</v>
      </c>
      <c r="P4320">
        <v>0.98572459999999995</v>
      </c>
      <c r="Q4320">
        <v>0.14204839999999999</v>
      </c>
      <c r="R4320">
        <v>9.0384279999999997E-2</v>
      </c>
      <c r="S4320">
        <v>3.027466</v>
      </c>
      <c r="T4320">
        <v>1.6022560000000002E-2</v>
      </c>
      <c r="U4320">
        <v>0.14767459999999999</v>
      </c>
      <c r="V4320">
        <v>-8.8941889999999996E-2</v>
      </c>
      <c r="W4320">
        <v>0.15313299999999999</v>
      </c>
      <c r="X4320">
        <v>0.98419489999999998</v>
      </c>
      <c r="Y4320">
        <v>-4.7248940000000003E-2</v>
      </c>
      <c r="Z4320">
        <v>1.6557520000000001E-4</v>
      </c>
      <c r="AA4320">
        <v>0.99888310000000002</v>
      </c>
      <c r="AB4320">
        <v>37</v>
      </c>
      <c r="AC4320">
        <v>185.4632</v>
      </c>
      <c r="AD4320">
        <v>0.98336799999999902</v>
      </c>
      <c r="AE4320">
        <v>9.0633999999999997</v>
      </c>
      <c r="AF4320">
        <v>-8.7897616976425699</v>
      </c>
      <c r="AG4320">
        <v>0.98336799999999902</v>
      </c>
      <c r="AH4320">
        <v>185.47115656945999</v>
      </c>
      <c r="AI4320">
        <v>89.696561203570397</v>
      </c>
      <c r="AJ4320">
        <v>92.713304490534497</v>
      </c>
      <c r="AK4320">
        <v>185.68192384434701</v>
      </c>
      <c r="AL4320">
        <v>81.191467499266693</v>
      </c>
      <c r="AM4320">
        <v>95.163804334111305</v>
      </c>
      <c r="AN4320">
        <v>0.99999998833589099</v>
      </c>
    </row>
    <row r="4321" spans="1:40" x14ac:dyDescent="0.25">
      <c r="A4321" t="str">
        <f>"20190304154839922"</f>
        <v>20190304154839922</v>
      </c>
      <c r="B4321" t="str">
        <f>"1551685719911124"</f>
        <v>1551685719911124</v>
      </c>
      <c r="C4321" t="s">
        <v>40</v>
      </c>
      <c r="D4321">
        <v>4.3083539999999996</v>
      </c>
      <c r="E4321">
        <v>0.5136638</v>
      </c>
      <c r="F4321" t="s">
        <v>71</v>
      </c>
      <c r="G4321">
        <v>-168.35059999999999</v>
      </c>
      <c r="H4321">
        <v>1.881432</v>
      </c>
      <c r="I4321">
        <v>223.3125</v>
      </c>
      <c r="J4321">
        <v>-353.44490000000002</v>
      </c>
      <c r="K4321">
        <v>1.1100730000000001</v>
      </c>
      <c r="L4321">
        <v>214.05609999999999</v>
      </c>
      <c r="M4321">
        <v>0.99993549999999998</v>
      </c>
      <c r="N4321">
        <v>-1.1251509999999999E-2</v>
      </c>
      <c r="O4321">
        <v>1.525521E-3</v>
      </c>
      <c r="P4321">
        <v>0.98573599999999995</v>
      </c>
      <c r="Q4321">
        <v>0.14223569999999999</v>
      </c>
      <c r="R4321">
        <v>8.9963260000000003E-2</v>
      </c>
      <c r="S4321">
        <v>3.0277400000000001</v>
      </c>
      <c r="T4321">
        <v>1.259363E-2</v>
      </c>
      <c r="U4321">
        <v>0.15112300000000001</v>
      </c>
      <c r="V4321">
        <v>-8.8470560000000004E-2</v>
      </c>
      <c r="W4321">
        <v>0.153313</v>
      </c>
      <c r="X4321">
        <v>0.98420940000000001</v>
      </c>
      <c r="Y4321">
        <v>-4.8327870000000002E-2</v>
      </c>
      <c r="Z4321">
        <v>1.95107E-4</v>
      </c>
      <c r="AA4321">
        <v>0.99883149999999998</v>
      </c>
      <c r="AB4321">
        <v>37</v>
      </c>
      <c r="AC4321">
        <v>185.0943</v>
      </c>
      <c r="AD4321">
        <v>0.77135900000000002</v>
      </c>
      <c r="AE4321">
        <v>9.25640000000001</v>
      </c>
      <c r="AF4321">
        <v>-8.9738506402151295</v>
      </c>
      <c r="AG4321">
        <v>0.77135900000000002</v>
      </c>
      <c r="AH4321">
        <v>185.10499960737201</v>
      </c>
      <c r="AI4321">
        <v>89.761521755285997</v>
      </c>
      <c r="AJ4321">
        <v>92.775514030348802</v>
      </c>
      <c r="AK4321">
        <v>185.324002411088</v>
      </c>
      <c r="AL4321">
        <v>81.181031387035006</v>
      </c>
      <c r="AM4321">
        <v>95.136511274868198</v>
      </c>
      <c r="AN4321">
        <v>1.0000000295020299</v>
      </c>
    </row>
    <row r="4322" spans="1:40" x14ac:dyDescent="0.25">
      <c r="A4322" t="str">
        <f>"20190304154839992"</f>
        <v>20190304154839992</v>
      </c>
      <c r="B4322" t="str">
        <f>"1551685719981396"</f>
        <v>1551685719981396</v>
      </c>
      <c r="C4322" t="s">
        <v>40</v>
      </c>
      <c r="D4322">
        <v>4.152266</v>
      </c>
      <c r="E4322">
        <v>0.51454299999999997</v>
      </c>
      <c r="F4322" t="s">
        <v>71</v>
      </c>
      <c r="G4322">
        <v>-168.35059999999999</v>
      </c>
      <c r="H4322">
        <v>1.683106</v>
      </c>
      <c r="I4322">
        <v>223.1721</v>
      </c>
      <c r="J4322">
        <v>-352.2867</v>
      </c>
      <c r="K4322">
        <v>1.110077</v>
      </c>
      <c r="L4322">
        <v>214.0581</v>
      </c>
      <c r="M4322">
        <v>0.99993540000000003</v>
      </c>
      <c r="N4322">
        <v>-1.123597E-2</v>
      </c>
      <c r="O4322">
        <v>1.6855279999999999E-3</v>
      </c>
      <c r="P4322">
        <v>0.98565270000000005</v>
      </c>
      <c r="Q4322">
        <v>0.1438333</v>
      </c>
      <c r="R4322">
        <v>8.8322629999999999E-2</v>
      </c>
      <c r="S4322">
        <v>3.028473</v>
      </c>
      <c r="T4322">
        <v>9.3767639999999992E-3</v>
      </c>
      <c r="U4322">
        <v>0.1491547</v>
      </c>
      <c r="V4322">
        <v>-8.6674329999999994E-2</v>
      </c>
      <c r="W4322">
        <v>0.15489359999999999</v>
      </c>
      <c r="X4322">
        <v>0.98412169999999999</v>
      </c>
      <c r="Y4322">
        <v>-4.7508269999999998E-2</v>
      </c>
      <c r="Z4322">
        <v>2.1770940000000001E-4</v>
      </c>
      <c r="AA4322">
        <v>0.99887079999999995</v>
      </c>
      <c r="AB4322">
        <v>37</v>
      </c>
      <c r="AC4322">
        <v>183.93610000000001</v>
      </c>
      <c r="AD4322">
        <v>0.57302900000000001</v>
      </c>
      <c r="AE4322">
        <v>9.1140000000000008</v>
      </c>
      <c r="AF4322">
        <v>-8.8038527796366406</v>
      </c>
      <c r="AG4322">
        <v>0.57302900000000001</v>
      </c>
      <c r="AH4322">
        <v>183.949420603904</v>
      </c>
      <c r="AI4322">
        <v>89.821720018664607</v>
      </c>
      <c r="AJ4322">
        <v>92.740095569714001</v>
      </c>
      <c r="AK4322">
        <v>184.160868608161</v>
      </c>
      <c r="AL4322">
        <v>81.089374486369707</v>
      </c>
      <c r="AM4322">
        <v>95.033211268306999</v>
      </c>
      <c r="AN4322">
        <v>0.99999999360639902</v>
      </c>
    </row>
    <row r="4323" spans="1:40" x14ac:dyDescent="0.25">
      <c r="A4323" t="str">
        <f>"20190304154840005"</f>
        <v>20190304154840005</v>
      </c>
      <c r="B4323" t="str">
        <f>"1551685720000918"</f>
        <v>1551685720000918</v>
      </c>
      <c r="C4323" t="s">
        <v>40</v>
      </c>
      <c r="D4323">
        <v>4.2542559999999998</v>
      </c>
      <c r="E4323">
        <v>0.51544279999999998</v>
      </c>
      <c r="F4323" t="s">
        <v>71</v>
      </c>
      <c r="G4323">
        <v>-168.35059999999999</v>
      </c>
      <c r="H4323">
        <v>1.6902060000000001</v>
      </c>
      <c r="I4323">
        <v>222.39850000000001</v>
      </c>
      <c r="J4323">
        <v>-352.05700000000002</v>
      </c>
      <c r="K4323">
        <v>1.110085</v>
      </c>
      <c r="L4323">
        <v>214.05850000000001</v>
      </c>
      <c r="M4323">
        <v>0.99993540000000003</v>
      </c>
      <c r="N4323">
        <v>-1.12341E-2</v>
      </c>
      <c r="O4323">
        <v>1.7165419999999999E-3</v>
      </c>
      <c r="P4323">
        <v>0.98564620000000003</v>
      </c>
      <c r="Q4323">
        <v>0.14409060000000001</v>
      </c>
      <c r="R4323">
        <v>8.797228E-2</v>
      </c>
      <c r="S4323">
        <v>3.029938</v>
      </c>
      <c r="T4323">
        <v>9.5572469999999996E-3</v>
      </c>
      <c r="U4323">
        <v>0.13739009999999999</v>
      </c>
      <c r="V4323">
        <v>-8.6293540000000002E-2</v>
      </c>
      <c r="W4323">
        <v>0.15514849999999999</v>
      </c>
      <c r="X4323">
        <v>0.98411499999999996</v>
      </c>
      <c r="Y4323">
        <v>-4.3583450000000003E-2</v>
      </c>
      <c r="Z4323">
        <v>2.009267E-4</v>
      </c>
      <c r="AA4323">
        <v>0.99904979999999999</v>
      </c>
      <c r="AB4323">
        <v>37</v>
      </c>
      <c r="AC4323">
        <v>183.7064</v>
      </c>
      <c r="AD4323">
        <v>0.580121</v>
      </c>
      <c r="AE4323">
        <v>8.34</v>
      </c>
      <c r="AF4323">
        <v>-8.0245481952261493</v>
      </c>
      <c r="AG4323">
        <v>0.580121</v>
      </c>
      <c r="AH4323">
        <v>183.71861788213101</v>
      </c>
      <c r="AI4323">
        <v>89.819252321333195</v>
      </c>
      <c r="AJ4323">
        <v>92.501002334220701</v>
      </c>
      <c r="AK4323">
        <v>183.894699408744</v>
      </c>
      <c r="AL4323">
        <v>81.074590979391701</v>
      </c>
      <c r="AM4323">
        <v>95.011245434541394</v>
      </c>
      <c r="AN4323">
        <v>0.99999998266149004</v>
      </c>
    </row>
    <row r="4324" spans="1:40" x14ac:dyDescent="0.25">
      <c r="A4324" t="str">
        <f>"20190304154840026"</f>
        <v>20190304154840026</v>
      </c>
      <c r="B4324" t="str">
        <f>"1551685720021412"</f>
        <v>1551685720021412</v>
      </c>
      <c r="C4324" t="s">
        <v>40</v>
      </c>
      <c r="D4324">
        <v>4.3876900000000001</v>
      </c>
      <c r="E4324">
        <v>0.51650359999999995</v>
      </c>
      <c r="F4324" t="s">
        <v>71</v>
      </c>
      <c r="G4324">
        <v>-168.35059999999999</v>
      </c>
      <c r="H4324">
        <v>1.0492490000000001</v>
      </c>
      <c r="I4324">
        <v>221.8725</v>
      </c>
      <c r="J4324">
        <v>-351.71539999999999</v>
      </c>
      <c r="K4324">
        <v>1.1100859999999999</v>
      </c>
      <c r="L4324">
        <v>214.0591</v>
      </c>
      <c r="M4324">
        <v>0.99993540000000003</v>
      </c>
      <c r="N4324">
        <v>-1.123174E-2</v>
      </c>
      <c r="O4324">
        <v>1.763054E-3</v>
      </c>
      <c r="P4324">
        <v>0.98562479999999997</v>
      </c>
      <c r="Q4324">
        <v>0.14432690000000001</v>
      </c>
      <c r="R4324">
        <v>8.7828130000000004E-2</v>
      </c>
      <c r="S4324">
        <v>3.0323790000000002</v>
      </c>
      <c r="T4324">
        <v>-1.0032649999999999E-3</v>
      </c>
      <c r="U4324">
        <v>0.1289825</v>
      </c>
      <c r="V4324">
        <v>-8.6104040000000007E-2</v>
      </c>
      <c r="W4324">
        <v>0.1553821</v>
      </c>
      <c r="X4324">
        <v>0.98409469999999999</v>
      </c>
      <c r="Y4324">
        <v>-4.0735059999999997E-2</v>
      </c>
      <c r="Z4324">
        <v>2.548203E-4</v>
      </c>
      <c r="AA4324">
        <v>0.99916990000000006</v>
      </c>
      <c r="AB4324">
        <v>37</v>
      </c>
      <c r="AC4324">
        <v>183.3648</v>
      </c>
      <c r="AD4324">
        <v>-6.0837000000000203E-2</v>
      </c>
      <c r="AE4324">
        <v>7.8133999999999997</v>
      </c>
      <c r="AF4324">
        <v>-7.4900846050926004</v>
      </c>
      <c r="AG4324">
        <v>-6.0837000000000203E-2</v>
      </c>
      <c r="AH4324">
        <v>183.37827114717899</v>
      </c>
      <c r="AI4324">
        <v>90.018992431321095</v>
      </c>
      <c r="AJ4324">
        <v>92.338945719097296</v>
      </c>
      <c r="AK4324">
        <v>183.53118371944399</v>
      </c>
      <c r="AL4324">
        <v>81.061041999816695</v>
      </c>
      <c r="AM4324">
        <v>95.000399251514693</v>
      </c>
      <c r="AN4324">
        <v>0.99999994063640896</v>
      </c>
    </row>
    <row r="4325" spans="1:40" x14ac:dyDescent="0.25">
      <c r="A4325" t="str">
        <f>"20190304154840046"</f>
        <v>20190304154840046</v>
      </c>
      <c r="B4325" t="str">
        <f>"1551685720040932"</f>
        <v>1551685720040932</v>
      </c>
      <c r="C4325" t="s">
        <v>40</v>
      </c>
      <c r="D4325">
        <v>4.2770229999999998</v>
      </c>
      <c r="E4325">
        <v>0.51683579999999996</v>
      </c>
      <c r="F4325" t="s">
        <v>71</v>
      </c>
      <c r="G4325">
        <v>-157.8382</v>
      </c>
      <c r="H4325">
        <v>1.007482</v>
      </c>
      <c r="I4325">
        <v>221.73079999999999</v>
      </c>
      <c r="J4325">
        <v>-351.36779999999999</v>
      </c>
      <c r="K4325">
        <v>1.110082</v>
      </c>
      <c r="L4325">
        <v>214.0598</v>
      </c>
      <c r="M4325">
        <v>0.99993529999999997</v>
      </c>
      <c r="N4325">
        <v>-1.1229930000000001E-2</v>
      </c>
      <c r="O4325">
        <v>1.8105759999999999E-3</v>
      </c>
      <c r="P4325">
        <v>0.98558900000000005</v>
      </c>
      <c r="Q4325">
        <v>0.14462079999999999</v>
      </c>
      <c r="R4325">
        <v>8.7745299999999998E-2</v>
      </c>
      <c r="S4325">
        <v>3.033264</v>
      </c>
      <c r="T4325">
        <v>-1.6043190000000001E-3</v>
      </c>
      <c r="U4325">
        <v>0.1200256</v>
      </c>
      <c r="V4325">
        <v>-8.597428E-2</v>
      </c>
      <c r="W4325">
        <v>0.1556737</v>
      </c>
      <c r="X4325">
        <v>0.98406000000000005</v>
      </c>
      <c r="Y4325">
        <v>-3.7729489999999997E-2</v>
      </c>
      <c r="Z4325">
        <v>2.4128180000000001E-4</v>
      </c>
      <c r="AA4325">
        <v>0.99928799999999995</v>
      </c>
      <c r="AB4325">
        <v>37</v>
      </c>
      <c r="AC4325">
        <v>193.52959999999999</v>
      </c>
      <c r="AD4325">
        <v>-0.1026</v>
      </c>
      <c r="AE4325">
        <v>7.6709999999999896</v>
      </c>
      <c r="AF4325">
        <v>-7.3205632236778797</v>
      </c>
      <c r="AG4325">
        <v>-0.1026</v>
      </c>
      <c r="AH4325">
        <v>193.54311823915799</v>
      </c>
      <c r="AI4325">
        <v>90.030351613200096</v>
      </c>
      <c r="AJ4325">
        <v>92.166119513627507</v>
      </c>
      <c r="AK4325">
        <v>193.68154220371301</v>
      </c>
      <c r="AL4325">
        <v>81.044129101704996</v>
      </c>
      <c r="AM4325">
        <v>94.993076869899795</v>
      </c>
      <c r="AN4325">
        <v>0.999999980646604</v>
      </c>
    </row>
    <row r="4326" spans="1:40" x14ac:dyDescent="0.25">
      <c r="A4326" t="str">
        <f>"20190304154840069"</f>
        <v>20190304154840069</v>
      </c>
      <c r="B4326" t="str">
        <f>"1551685720061428"</f>
        <v>1551685720061428</v>
      </c>
      <c r="C4326" t="s">
        <v>40</v>
      </c>
      <c r="D4326">
        <v>4.2918390000000004</v>
      </c>
      <c r="E4326">
        <v>0.51720710000000003</v>
      </c>
      <c r="F4326" t="s">
        <v>71</v>
      </c>
      <c r="G4326">
        <v>-157.8382</v>
      </c>
      <c r="H4326">
        <v>0.87363619999999897</v>
      </c>
      <c r="I4326">
        <v>221.51740000000001</v>
      </c>
      <c r="J4326">
        <v>-350.99509999999998</v>
      </c>
      <c r="K4326">
        <v>1.110087</v>
      </c>
      <c r="L4326">
        <v>214.06049999999999</v>
      </c>
      <c r="M4326">
        <v>0.99993529999999997</v>
      </c>
      <c r="N4326">
        <v>-1.1228810000000001E-2</v>
      </c>
      <c r="O4326">
        <v>1.861786E-3</v>
      </c>
      <c r="P4326">
        <v>0.98562819999999995</v>
      </c>
      <c r="Q4326">
        <v>0.14460729999999999</v>
      </c>
      <c r="R4326">
        <v>8.7326269999999998E-2</v>
      </c>
      <c r="S4326">
        <v>3.0339659999999999</v>
      </c>
      <c r="T4326">
        <v>-3.7058590000000001E-3</v>
      </c>
      <c r="U4326">
        <v>0.1169128</v>
      </c>
      <c r="V4326">
        <v>-8.5504769999999994E-2</v>
      </c>
      <c r="W4326">
        <v>0.15565960000000001</v>
      </c>
      <c r="X4326">
        <v>0.98410310000000001</v>
      </c>
      <c r="Y4326">
        <v>-3.6645299999999999E-2</v>
      </c>
      <c r="Z4326">
        <v>2.4682289999999998E-4</v>
      </c>
      <c r="AA4326">
        <v>0.99932829999999995</v>
      </c>
      <c r="AB4326">
        <v>37</v>
      </c>
      <c r="AC4326">
        <v>193.15690000000001</v>
      </c>
      <c r="AD4326">
        <v>-0.23645079999999999</v>
      </c>
      <c r="AE4326">
        <v>7.4569000000000099</v>
      </c>
      <c r="AF4326">
        <v>-7.0972369975854699</v>
      </c>
      <c r="AG4326">
        <v>-0.23645079999999999</v>
      </c>
      <c r="AH4326">
        <v>193.17016018140399</v>
      </c>
      <c r="AI4326">
        <v>90.070085832480302</v>
      </c>
      <c r="AJ4326">
        <v>92.104149522400306</v>
      </c>
      <c r="AK4326">
        <v>193.30064010884701</v>
      </c>
      <c r="AL4326">
        <v>81.044946611982894</v>
      </c>
      <c r="AM4326">
        <v>94.965729738794707</v>
      </c>
      <c r="AN4326">
        <v>0.99999994409725901</v>
      </c>
    </row>
    <row r="4327" spans="1:40" x14ac:dyDescent="0.25">
      <c r="A4327" t="str">
        <f>"20190304154840091"</f>
        <v>20190304154840091</v>
      </c>
      <c r="B4327" t="str">
        <f>"1551685720080951"</f>
        <v>1551685720080951</v>
      </c>
      <c r="C4327" t="s">
        <v>40</v>
      </c>
      <c r="D4327">
        <v>4.3835670000000002</v>
      </c>
      <c r="E4327">
        <v>0.51774849999999994</v>
      </c>
      <c r="F4327" t="s">
        <v>71</v>
      </c>
      <c r="G4327">
        <v>-157.8382</v>
      </c>
      <c r="H4327">
        <v>0.88758090000000001</v>
      </c>
      <c r="I4327">
        <v>221.23500000000001</v>
      </c>
      <c r="J4327">
        <v>-350.6234</v>
      </c>
      <c r="K4327">
        <v>1.110088</v>
      </c>
      <c r="L4327">
        <v>214.06120000000001</v>
      </c>
      <c r="M4327">
        <v>0.99993520000000002</v>
      </c>
      <c r="N4327">
        <v>-1.122809E-2</v>
      </c>
      <c r="O4327">
        <v>1.9126950000000001E-3</v>
      </c>
      <c r="P4327">
        <v>0.98566500000000001</v>
      </c>
      <c r="Q4327">
        <v>0.14447160000000001</v>
      </c>
      <c r="R4327">
        <v>8.7135099999999993E-2</v>
      </c>
      <c r="S4327">
        <v>3.0342410000000002</v>
      </c>
      <c r="T4327">
        <v>-3.4943819999999999E-3</v>
      </c>
      <c r="U4327">
        <v>0.11270139999999999</v>
      </c>
      <c r="V4327">
        <v>-8.5263999999999895E-2</v>
      </c>
      <c r="W4327">
        <v>0.15552389999999999</v>
      </c>
      <c r="X4327">
        <v>0.98414550000000001</v>
      </c>
      <c r="Y4327">
        <v>-3.5205889999999997E-2</v>
      </c>
      <c r="Z4327">
        <v>2.3725539999999999E-4</v>
      </c>
      <c r="AA4327">
        <v>0.99938009999999999</v>
      </c>
      <c r="AB4327">
        <v>37</v>
      </c>
      <c r="AC4327">
        <v>192.7852</v>
      </c>
      <c r="AD4327">
        <v>-0.22250709999999899</v>
      </c>
      <c r="AE4327">
        <v>7.1738</v>
      </c>
      <c r="AF4327">
        <v>-6.8050153141718601</v>
      </c>
      <c r="AG4327">
        <v>-0.22250709999999899</v>
      </c>
      <c r="AH4327">
        <v>192.79831299425899</v>
      </c>
      <c r="AI4327">
        <v>90.066083453052798</v>
      </c>
      <c r="AJ4327">
        <v>92.021474455339202</v>
      </c>
      <c r="AK4327">
        <v>192.91849894778801</v>
      </c>
      <c r="AL4327">
        <v>81.052818002606998</v>
      </c>
      <c r="AM4327">
        <v>94.951604251103404</v>
      </c>
      <c r="AN4327">
        <v>0.99999999916872995</v>
      </c>
    </row>
    <row r="4328" spans="1:40" x14ac:dyDescent="0.25">
      <c r="A4328" t="str">
        <f>"20190304154840106"</f>
        <v>20190304154840106</v>
      </c>
      <c r="B4328" t="str">
        <f>"1551685720101444"</f>
        <v>1551685720101444</v>
      </c>
      <c r="C4328" t="s">
        <v>40</v>
      </c>
      <c r="D4328">
        <v>4.3709930000000004</v>
      </c>
      <c r="E4328">
        <v>0.5177716</v>
      </c>
      <c r="F4328" t="s">
        <v>71</v>
      </c>
      <c r="G4328">
        <v>-157.8382</v>
      </c>
      <c r="H4328">
        <v>0.87502190000000002</v>
      </c>
      <c r="I4328">
        <v>220.9282</v>
      </c>
      <c r="J4328">
        <v>-350.38060000000002</v>
      </c>
      <c r="K4328">
        <v>1.110088</v>
      </c>
      <c r="L4328">
        <v>214.06180000000001</v>
      </c>
      <c r="M4328">
        <v>0.99993509999999997</v>
      </c>
      <c r="N4328">
        <v>-1.122771E-2</v>
      </c>
      <c r="O4328">
        <v>1.946195E-3</v>
      </c>
      <c r="P4328">
        <v>0.98563330000000005</v>
      </c>
      <c r="Q4328">
        <v>0.14463760000000001</v>
      </c>
      <c r="R4328">
        <v>8.7218649999999995E-2</v>
      </c>
      <c r="S4328">
        <v>3.034637</v>
      </c>
      <c r="T4328">
        <v>-3.6993030000000001E-3</v>
      </c>
      <c r="U4328">
        <v>0.1080933</v>
      </c>
      <c r="V4328">
        <v>-8.5314310000000004E-2</v>
      </c>
      <c r="W4328">
        <v>0.1556892</v>
      </c>
      <c r="X4328">
        <v>0.98411499999999996</v>
      </c>
      <c r="Y4328">
        <v>-3.365195E-2</v>
      </c>
      <c r="Z4328">
        <v>2.2896209999999999E-4</v>
      </c>
      <c r="AA4328">
        <v>0.99943360000000003</v>
      </c>
      <c r="AB4328">
        <v>37</v>
      </c>
      <c r="AC4328">
        <v>192.54239999999999</v>
      </c>
      <c r="AD4328">
        <v>-0.235066099999999</v>
      </c>
      <c r="AE4328">
        <v>6.8663999999999898</v>
      </c>
      <c r="AF4328">
        <v>-6.4916286635276297</v>
      </c>
      <c r="AG4328">
        <v>-0.235066099999999</v>
      </c>
      <c r="AH4328">
        <v>192.555112869325</v>
      </c>
      <c r="AI4328">
        <v>90.069905396052405</v>
      </c>
      <c r="AJ4328">
        <v>91.930886703909806</v>
      </c>
      <c r="AK4328">
        <v>192.664651638268</v>
      </c>
      <c r="AL4328">
        <v>81.043230192662506</v>
      </c>
      <c r="AM4328">
        <v>94.9546641926474</v>
      </c>
      <c r="AN4328">
        <v>0.99999999585620702</v>
      </c>
    </row>
    <row r="4329" spans="1:40" x14ac:dyDescent="0.25">
      <c r="A4329" t="str">
        <f>"20190304154840123"</f>
        <v>20190304154840123</v>
      </c>
      <c r="B4329" t="str">
        <f>"1551685720120964"</f>
        <v>1551685720120964</v>
      </c>
      <c r="C4329" t="s">
        <v>40</v>
      </c>
      <c r="D4329">
        <v>4.3622319999999997</v>
      </c>
      <c r="E4329">
        <v>0.51780280000000001</v>
      </c>
      <c r="F4329" t="s">
        <v>71</v>
      </c>
      <c r="G4329">
        <v>-157.8382</v>
      </c>
      <c r="H4329">
        <v>0.81023219999999996</v>
      </c>
      <c r="I4329">
        <v>220.93020000000001</v>
      </c>
      <c r="J4329">
        <v>-350.07580000000002</v>
      </c>
      <c r="K4329">
        <v>1.110088</v>
      </c>
      <c r="L4329">
        <v>214.0624</v>
      </c>
      <c r="M4329">
        <v>0.99993500000000002</v>
      </c>
      <c r="N4329">
        <v>-1.122738E-2</v>
      </c>
      <c r="O4329">
        <v>1.9874409999999999E-3</v>
      </c>
      <c r="P4329">
        <v>0.9856625</v>
      </c>
      <c r="Q4329">
        <v>0.144308399999999</v>
      </c>
      <c r="R4329">
        <v>8.7434319999999996E-2</v>
      </c>
      <c r="S4329">
        <v>3.0348820000000001</v>
      </c>
      <c r="T4329">
        <v>-4.7254559999999899E-3</v>
      </c>
      <c r="U4329">
        <v>0.1082611</v>
      </c>
      <c r="V4329">
        <v>-8.5489620000000002E-2</v>
      </c>
      <c r="W4329">
        <v>0.15536</v>
      </c>
      <c r="X4329">
        <v>0.98415180000000002</v>
      </c>
      <c r="Y4329">
        <v>-3.366297E-2</v>
      </c>
      <c r="Z4329">
        <v>2.344538E-4</v>
      </c>
      <c r="AA4329">
        <v>0.99943320000000002</v>
      </c>
      <c r="AB4329">
        <v>37</v>
      </c>
      <c r="AC4329">
        <v>192.23759999999999</v>
      </c>
      <c r="AD4329">
        <v>-0.29985580000000001</v>
      </c>
      <c r="AE4329">
        <v>6.8678000000000097</v>
      </c>
      <c r="AF4329">
        <v>-6.4856857060056798</v>
      </c>
      <c r="AG4329">
        <v>-0.29985580000000001</v>
      </c>
      <c r="AH4329">
        <v>192.25040334203899</v>
      </c>
      <c r="AI4329">
        <v>90.0893141936577</v>
      </c>
      <c r="AJ4329">
        <v>91.932175617739304</v>
      </c>
      <c r="AK4329">
        <v>192.36000524473499</v>
      </c>
      <c r="AL4329">
        <v>81.062324203125996</v>
      </c>
      <c r="AM4329">
        <v>94.964609839431105</v>
      </c>
      <c r="AN4329">
        <v>0.99999998508549204</v>
      </c>
    </row>
    <row r="4330" spans="1:40" x14ac:dyDescent="0.25">
      <c r="A4330" t="str">
        <f>"20190304154840147"</f>
        <v>20190304154840147</v>
      </c>
      <c r="B4330" t="str">
        <f>"1551685720141461"</f>
        <v>1551685720141461</v>
      </c>
      <c r="C4330" t="s">
        <v>40</v>
      </c>
      <c r="D4330">
        <v>4.3792</v>
      </c>
      <c r="E4330">
        <v>0.51777770000000001</v>
      </c>
      <c r="F4330" t="s">
        <v>71</v>
      </c>
      <c r="G4330">
        <v>-157.8382</v>
      </c>
      <c r="H4330">
        <v>0.61472510000000002</v>
      </c>
      <c r="I4330">
        <v>220.9434</v>
      </c>
      <c r="J4330">
        <v>-349.69220000000001</v>
      </c>
      <c r="K4330">
        <v>1.1100859999999999</v>
      </c>
      <c r="L4330">
        <v>214.06319999999999</v>
      </c>
      <c r="M4330">
        <v>0.99993489999999996</v>
      </c>
      <c r="N4330">
        <v>-1.1227300000000001E-2</v>
      </c>
      <c r="O4330">
        <v>2.0379740000000001E-3</v>
      </c>
      <c r="P4330">
        <v>0.98562470000000002</v>
      </c>
      <c r="Q4330">
        <v>0.14441950000000001</v>
      </c>
      <c r="R4330">
        <v>8.7674520000000006E-2</v>
      </c>
      <c r="S4330">
        <v>3.0351870000000001</v>
      </c>
      <c r="T4330">
        <v>-7.8202489999999996E-3</v>
      </c>
      <c r="U4330">
        <v>0.10864260000000001</v>
      </c>
      <c r="V4330">
        <v>-8.5679080000000005E-2</v>
      </c>
      <c r="W4330">
        <v>0.15547069999999999</v>
      </c>
      <c r="X4330">
        <v>0.98411789999999999</v>
      </c>
      <c r="Y4330">
        <v>-3.3734060000000003E-2</v>
      </c>
      <c r="Z4330">
        <v>2.5050940000000002E-4</v>
      </c>
      <c r="AA4330">
        <v>0.99943079999999995</v>
      </c>
      <c r="AB4330">
        <v>37</v>
      </c>
      <c r="AC4330">
        <v>191.85400000000001</v>
      </c>
      <c r="AD4330">
        <v>-0.49536089999999999</v>
      </c>
      <c r="AE4330">
        <v>6.8802000000000003</v>
      </c>
      <c r="AF4330">
        <v>-6.48912439871087</v>
      </c>
      <c r="AG4330">
        <v>-0.49536089999999999</v>
      </c>
      <c r="AH4330">
        <v>191.866346639103</v>
      </c>
      <c r="AI4330">
        <v>90.147841493463105</v>
      </c>
      <c r="AJ4330">
        <v>91.937065992957201</v>
      </c>
      <c r="AK4330">
        <v>191.976688924775</v>
      </c>
      <c r="AL4330">
        <v>81.055904059244995</v>
      </c>
      <c r="AM4330">
        <v>94.975727648906002</v>
      </c>
      <c r="AN4330">
        <v>1.0000000422042701</v>
      </c>
    </row>
    <row r="4331" spans="1:40" x14ac:dyDescent="0.25">
      <c r="A4331" t="str">
        <f>"20190304154840170"</f>
        <v>20190304154840170</v>
      </c>
      <c r="B4331" t="str">
        <f>"1551685720160981"</f>
        <v>1551685720160981</v>
      </c>
      <c r="C4331" t="s">
        <v>40</v>
      </c>
      <c r="D4331">
        <v>4.3691529999999998</v>
      </c>
      <c r="E4331">
        <v>0.51764549999999998</v>
      </c>
      <c r="F4331" t="s">
        <v>71</v>
      </c>
      <c r="G4331">
        <v>-157.8382</v>
      </c>
      <c r="H4331">
        <v>0.48406120000000002</v>
      </c>
      <c r="I4331">
        <v>221.01</v>
      </c>
      <c r="J4331">
        <v>-349.29820000000001</v>
      </c>
      <c r="K4331">
        <v>1.110085</v>
      </c>
      <c r="L4331">
        <v>214.06399999999999</v>
      </c>
      <c r="M4331">
        <v>0.99993480000000001</v>
      </c>
      <c r="N4331">
        <v>-1.1227579999999999E-2</v>
      </c>
      <c r="O4331">
        <v>2.086943E-3</v>
      </c>
      <c r="P4331">
        <v>0.98559929999999996</v>
      </c>
      <c r="Q4331">
        <v>0.1445612</v>
      </c>
      <c r="R4331">
        <v>8.772895E-2</v>
      </c>
      <c r="S4331">
        <v>3.035431</v>
      </c>
      <c r="T4331">
        <v>-9.9037889999999996E-3</v>
      </c>
      <c r="U4331">
        <v>0.1099091</v>
      </c>
      <c r="V4331">
        <v>-8.5685129999999998E-2</v>
      </c>
      <c r="W4331">
        <v>0.1556129</v>
      </c>
      <c r="X4331">
        <v>0.98409489999999999</v>
      </c>
      <c r="Y4331">
        <v>-3.409848E-2</v>
      </c>
      <c r="Z4331">
        <v>2.637192E-4</v>
      </c>
      <c r="AA4331">
        <v>0.99941840000000004</v>
      </c>
      <c r="AB4331">
        <v>37</v>
      </c>
      <c r="AC4331">
        <v>191.46</v>
      </c>
      <c r="AD4331">
        <v>-0.62602380000000002</v>
      </c>
      <c r="AE4331">
        <v>6.9459999999999598</v>
      </c>
      <c r="AF4331">
        <v>-6.5463236861920899</v>
      </c>
      <c r="AG4331">
        <v>-0.62602380000000002</v>
      </c>
      <c r="AH4331">
        <v>191.472035459887</v>
      </c>
      <c r="AI4331">
        <v>90.187220283184999</v>
      </c>
      <c r="AJ4331">
        <v>91.9581484854926</v>
      </c>
      <c r="AK4331">
        <v>191.58493318305301</v>
      </c>
      <c r="AL4331">
        <v>81.047656235646102</v>
      </c>
      <c r="AM4331">
        <v>94.976192948217502</v>
      </c>
      <c r="AN4331">
        <v>1.0000000441777599</v>
      </c>
    </row>
    <row r="4332" spans="1:40" x14ac:dyDescent="0.25">
      <c r="A4332" t="str">
        <f>"20190304154840193"</f>
        <v>20190304154840193</v>
      </c>
      <c r="B4332" t="str">
        <f>"1551685720181476"</f>
        <v>1551685720181476</v>
      </c>
      <c r="C4332" t="s">
        <v>40</v>
      </c>
      <c r="D4332">
        <v>4.3591829999999998</v>
      </c>
      <c r="E4332">
        <v>0.5174742</v>
      </c>
      <c r="F4332" t="s">
        <v>71</v>
      </c>
      <c r="G4332">
        <v>-157.8382</v>
      </c>
      <c r="H4332">
        <v>0.31760500000000003</v>
      </c>
      <c r="I4332">
        <v>221.07570000000001</v>
      </c>
      <c r="J4332">
        <v>-348.92610000000002</v>
      </c>
      <c r="K4332">
        <v>1.11008</v>
      </c>
      <c r="L4332">
        <v>214.06489999999999</v>
      </c>
      <c r="M4332">
        <v>0.99993480000000001</v>
      </c>
      <c r="N4332">
        <v>-1.1228129999999999E-2</v>
      </c>
      <c r="O4332">
        <v>2.1288629999999999E-3</v>
      </c>
      <c r="P4332">
        <v>0.98553500000000005</v>
      </c>
      <c r="Q4332">
        <v>0.14494879999999999</v>
      </c>
      <c r="R4332">
        <v>8.7812169999999995E-2</v>
      </c>
      <c r="S4332">
        <v>3.0357669999999999</v>
      </c>
      <c r="T4332">
        <v>-1.2564540000000001E-2</v>
      </c>
      <c r="U4332">
        <v>0.1111755</v>
      </c>
      <c r="V4332">
        <v>-8.5726259999999999E-2</v>
      </c>
      <c r="W4332">
        <v>0.1560011</v>
      </c>
      <c r="X4332">
        <v>0.98402979999999995</v>
      </c>
      <c r="Y4332">
        <v>-3.446867E-2</v>
      </c>
      <c r="Z4332">
        <v>2.7997759999999998E-4</v>
      </c>
      <c r="AA4332">
        <v>0.99940569999999895</v>
      </c>
      <c r="AB4332">
        <v>38</v>
      </c>
      <c r="AC4332">
        <v>191.08789999999999</v>
      </c>
      <c r="AD4332">
        <v>-0.79247499999999904</v>
      </c>
      <c r="AE4332">
        <v>7.0108000000000104</v>
      </c>
      <c r="AF4332">
        <v>-6.60384512089915</v>
      </c>
      <c r="AG4332">
        <v>-0.79247499999999904</v>
      </c>
      <c r="AH4332">
        <v>191.09911059912699</v>
      </c>
      <c r="AI4332">
        <v>90.237458592067696</v>
      </c>
      <c r="AJ4332">
        <v>91.979192594818102</v>
      </c>
      <c r="AK4332">
        <v>191.21482384685501</v>
      </c>
      <c r="AL4332">
        <v>81.025138543267005</v>
      </c>
      <c r="AM4332">
        <v>94.978897293988595</v>
      </c>
      <c r="AN4332">
        <v>0.99999999107141802</v>
      </c>
    </row>
    <row r="4333" spans="1:40" x14ac:dyDescent="0.25">
      <c r="A4333" t="str">
        <f>"20190304154840213"</f>
        <v>20190304154840213</v>
      </c>
      <c r="B4333" t="str">
        <f>"1551685720200996"</f>
        <v>1551685720200996</v>
      </c>
      <c r="C4333" t="s">
        <v>40</v>
      </c>
      <c r="D4333">
        <v>4.369637</v>
      </c>
      <c r="E4333">
        <v>0.5173565</v>
      </c>
      <c r="F4333" t="s">
        <v>71</v>
      </c>
      <c r="G4333">
        <v>-157.8382</v>
      </c>
      <c r="H4333">
        <v>0.18700220000000001</v>
      </c>
      <c r="I4333">
        <v>221.15899999999999</v>
      </c>
      <c r="J4333">
        <v>-348.58150000000001</v>
      </c>
      <c r="K4333">
        <v>1.110077</v>
      </c>
      <c r="L4333">
        <v>214.06559999999999</v>
      </c>
      <c r="M4333">
        <v>0.99993460000000001</v>
      </c>
      <c r="N4333">
        <v>-1.122888E-2</v>
      </c>
      <c r="O4333">
        <v>2.1636189999999999E-3</v>
      </c>
      <c r="P4333">
        <v>0.98551789999999995</v>
      </c>
      <c r="Q4333">
        <v>0.14519119999999999</v>
      </c>
      <c r="R4333">
        <v>8.7600369999999997E-2</v>
      </c>
      <c r="S4333">
        <v>3.0361630000000002</v>
      </c>
      <c r="T4333">
        <v>-1.466572E-2</v>
      </c>
      <c r="U4333">
        <v>0.1127167</v>
      </c>
      <c r="V4333">
        <v>-8.5478470000000001E-2</v>
      </c>
      <c r="W4333">
        <v>0.15624460000000001</v>
      </c>
      <c r="X4333">
        <v>0.98401269999999996</v>
      </c>
      <c r="Y4333">
        <v>-3.493549E-2</v>
      </c>
      <c r="Z4333">
        <v>2.9440709999999998E-4</v>
      </c>
      <c r="AA4333">
        <v>0.99938950000000004</v>
      </c>
      <c r="AB4333">
        <v>38</v>
      </c>
      <c r="AC4333">
        <v>190.7433</v>
      </c>
      <c r="AD4333">
        <v>-0.92307479999999997</v>
      </c>
      <c r="AE4333">
        <v>7.0934000000000301</v>
      </c>
      <c r="AF4333">
        <v>-6.6805053038290998</v>
      </c>
      <c r="AG4333">
        <v>-0.92307479999999997</v>
      </c>
      <c r="AH4333">
        <v>190.75374070498</v>
      </c>
      <c r="AI4333">
        <v>90.277087482795693</v>
      </c>
      <c r="AJ4333">
        <v>92.005771335313696</v>
      </c>
      <c r="AK4333">
        <v>190.87291796151601</v>
      </c>
      <c r="AL4333">
        <v>81.011013616654296</v>
      </c>
      <c r="AM4333">
        <v>94.964663763918907</v>
      </c>
      <c r="AN4333">
        <v>0.99999996881199404</v>
      </c>
    </row>
    <row r="4334" spans="1:40" x14ac:dyDescent="0.25">
      <c r="A4334" t="str">
        <f>"20190304154840237"</f>
        <v>20190304154840237</v>
      </c>
      <c r="B4334" t="str">
        <f>"1551685720231253"</f>
        <v>1551685720231253</v>
      </c>
      <c r="C4334" t="s">
        <v>40</v>
      </c>
      <c r="D4334">
        <v>4.4066559999999999</v>
      </c>
      <c r="E4334">
        <v>0.51703520000000003</v>
      </c>
      <c r="F4334" t="s">
        <v>71</v>
      </c>
      <c r="G4334">
        <v>-157.8382</v>
      </c>
      <c r="H4334">
        <v>4.5665740000000003E-2</v>
      </c>
      <c r="I4334">
        <v>221.13249999999999</v>
      </c>
      <c r="J4334">
        <v>-348.1798</v>
      </c>
      <c r="K4334">
        <v>1.1100760000000001</v>
      </c>
      <c r="L4334">
        <v>214.06649999999999</v>
      </c>
      <c r="M4334">
        <v>0.99993460000000001</v>
      </c>
      <c r="N4334">
        <v>-1.1230199999999999E-2</v>
      </c>
      <c r="O4334">
        <v>2.1996170000000001E-3</v>
      </c>
      <c r="P4334">
        <v>0.98553729999999995</v>
      </c>
      <c r="Q4334">
        <v>0.14520739999999999</v>
      </c>
      <c r="R4334">
        <v>8.7358279999999996E-2</v>
      </c>
      <c r="S4334">
        <v>3.036591</v>
      </c>
      <c r="T4334">
        <v>-1.6944290000000001E-2</v>
      </c>
      <c r="U4334">
        <v>0.11250309999999999</v>
      </c>
      <c r="V4334">
        <v>-8.5199510000000006E-2</v>
      </c>
      <c r="W4334">
        <v>0.15626289999999901</v>
      </c>
      <c r="X4334">
        <v>0.98403399999999996</v>
      </c>
      <c r="Y4334">
        <v>-3.4823800000000002E-2</v>
      </c>
      <c r="Z4334">
        <v>3.0516730000000001E-4</v>
      </c>
      <c r="AA4334">
        <v>0.99939339999999999</v>
      </c>
      <c r="AB4334">
        <v>38</v>
      </c>
      <c r="AC4334">
        <v>190.3416</v>
      </c>
      <c r="AD4334">
        <v>-1.0644102600000001</v>
      </c>
      <c r="AE4334">
        <v>7.0659999999999998</v>
      </c>
      <c r="AF4334">
        <v>-6.6470703358298904</v>
      </c>
      <c r="AG4334">
        <v>-1.0644102600000001</v>
      </c>
      <c r="AH4334">
        <v>190.35073855975901</v>
      </c>
      <c r="AI4334">
        <v>90.320190148878098</v>
      </c>
      <c r="AJ4334">
        <v>91.999962742969799</v>
      </c>
      <c r="AK4334">
        <v>190.46973561040301</v>
      </c>
      <c r="AL4334">
        <v>81.009952182381198</v>
      </c>
      <c r="AM4334">
        <v>94.948435526808098</v>
      </c>
      <c r="AN4334">
        <v>0.99999998178832405</v>
      </c>
    </row>
    <row r="4335" spans="1:40" x14ac:dyDescent="0.25">
      <c r="A4335" t="str">
        <f>"20190304154840258"</f>
        <v>20190304154840258</v>
      </c>
      <c r="B4335" t="str">
        <f>"1551685720250772"</f>
        <v>1551685720250772</v>
      </c>
      <c r="C4335" t="s">
        <v>40</v>
      </c>
      <c r="D4335">
        <v>4.4538669999999998</v>
      </c>
      <c r="E4335">
        <v>0.5168064</v>
      </c>
      <c r="F4335" t="s">
        <v>54</v>
      </c>
      <c r="G4335">
        <v>-189.9331</v>
      </c>
      <c r="H4335" s="1">
        <v>3.3951509999999998E-6</v>
      </c>
      <c r="I4335">
        <v>220.00569999999999</v>
      </c>
      <c r="J4335">
        <v>-347.8168</v>
      </c>
      <c r="K4335">
        <v>1.1100680000000001</v>
      </c>
      <c r="L4335">
        <v>214.06739999999999</v>
      </c>
      <c r="M4335">
        <v>0.99993449999999995</v>
      </c>
      <c r="N4335">
        <v>-1.123154E-2</v>
      </c>
      <c r="O4335">
        <v>2.2280490000000002E-3</v>
      </c>
      <c r="P4335">
        <v>0.98547949999999995</v>
      </c>
      <c r="Q4335">
        <v>0.1455409</v>
      </c>
      <c r="R4335">
        <v>8.7455320000000003E-2</v>
      </c>
      <c r="S4335">
        <v>3.037048</v>
      </c>
      <c r="T4335">
        <v>-2.130437E-2</v>
      </c>
      <c r="U4335">
        <v>0.11398320000000001</v>
      </c>
      <c r="V4335">
        <v>-8.5267640000000006E-2</v>
      </c>
      <c r="W4335">
        <v>0.1565983</v>
      </c>
      <c r="X4335">
        <v>0.98397480000000004</v>
      </c>
      <c r="Y4335">
        <v>-3.5275540000000001E-2</v>
      </c>
      <c r="Z4335">
        <v>3.3125599999999999E-4</v>
      </c>
      <c r="AA4335">
        <v>0.99937750000000003</v>
      </c>
      <c r="AB4335">
        <v>38</v>
      </c>
      <c r="AC4335">
        <v>157.8837</v>
      </c>
      <c r="AD4335">
        <v>-1.1100646048489999</v>
      </c>
      <c r="AE4335">
        <v>5.9382999999999901</v>
      </c>
      <c r="AF4335">
        <v>-5.5862147130479904</v>
      </c>
      <c r="AG4335">
        <v>-1.1100646048489999</v>
      </c>
      <c r="AH4335">
        <v>157.88874574642099</v>
      </c>
      <c r="AI4335">
        <v>90.402569540991493</v>
      </c>
      <c r="AJ4335">
        <v>92.026319689568297</v>
      </c>
      <c r="AK4335">
        <v>157.99143670346601</v>
      </c>
      <c r="AL4335">
        <v>80.990495835437301</v>
      </c>
      <c r="AM4335">
        <v>94.952669357370695</v>
      </c>
      <c r="AN4335">
        <v>1.0000000025145499</v>
      </c>
    </row>
    <row r="4336" spans="1:40" x14ac:dyDescent="0.25">
      <c r="A4336" t="str">
        <f>"20190304154840273"</f>
        <v>20190304154840273</v>
      </c>
      <c r="B4336" t="str">
        <f>"1551685720261508"</f>
        <v>1551685720261508</v>
      </c>
      <c r="C4336" t="s">
        <v>40</v>
      </c>
      <c r="D4336">
        <v>4.4442500000000003</v>
      </c>
      <c r="E4336">
        <v>0.51669639999999994</v>
      </c>
      <c r="F4336" t="s">
        <v>54</v>
      </c>
      <c r="G4336">
        <v>-201.95840000000001</v>
      </c>
      <c r="H4336" s="1">
        <v>2.643761E-6</v>
      </c>
      <c r="I4336">
        <v>219.65100000000001</v>
      </c>
      <c r="J4336">
        <v>-347.57560000000001</v>
      </c>
      <c r="K4336">
        <v>1.1100650000000001</v>
      </c>
      <c r="L4336">
        <v>214.06790000000001</v>
      </c>
      <c r="M4336">
        <v>0.99993449999999995</v>
      </c>
      <c r="N4336">
        <v>-1.123247E-2</v>
      </c>
      <c r="O4336">
        <v>2.2448160000000002E-3</v>
      </c>
      <c r="P4336">
        <v>0.98543420000000004</v>
      </c>
      <c r="Q4336">
        <v>0.1457029</v>
      </c>
      <c r="R4336">
        <v>8.7692980000000004E-2</v>
      </c>
      <c r="S4336">
        <v>3.0373230000000002</v>
      </c>
      <c r="T4336">
        <v>-2.3115750000000001E-2</v>
      </c>
      <c r="U4336">
        <v>0.116272</v>
      </c>
      <c r="V4336">
        <v>-8.5487800000000003E-2</v>
      </c>
      <c r="W4336">
        <v>0.15676119999999999</v>
      </c>
      <c r="X4336">
        <v>0.98392979999999997</v>
      </c>
      <c r="Y4336">
        <v>-3.6007079999999997E-2</v>
      </c>
      <c r="Z4336">
        <v>3.4740610000000001E-4</v>
      </c>
      <c r="AA4336">
        <v>0.99935149999999995</v>
      </c>
      <c r="AB4336">
        <v>38</v>
      </c>
      <c r="AC4336">
        <v>145.6172</v>
      </c>
      <c r="AD4336">
        <v>-1.110062356239</v>
      </c>
      <c r="AE4336">
        <v>5.5830999999999698</v>
      </c>
      <c r="AF4336">
        <v>-5.2558765384034896</v>
      </c>
      <c r="AG4336">
        <v>-1.110062356239</v>
      </c>
      <c r="AH4336">
        <v>145.62091690717699</v>
      </c>
      <c r="AI4336">
        <v>90.436470758069404</v>
      </c>
      <c r="AJ4336">
        <v>92.067071732961693</v>
      </c>
      <c r="AK4336">
        <v>145.719964032072</v>
      </c>
      <c r="AL4336">
        <v>80.981046020214393</v>
      </c>
      <c r="AM4336">
        <v>94.965619196180896</v>
      </c>
      <c r="AN4336">
        <v>1.0000000445511501</v>
      </c>
    </row>
    <row r="4337" spans="1:40" x14ac:dyDescent="0.25">
      <c r="A4337" t="str">
        <f>"20190304154840291"</f>
        <v>20190304154840291</v>
      </c>
      <c r="B4337" t="str">
        <f>"1551685720281028"</f>
        <v>1551685720281028</v>
      </c>
      <c r="C4337" t="s">
        <v>40</v>
      </c>
      <c r="D4337">
        <v>4.4575170000000002</v>
      </c>
      <c r="E4337">
        <v>0.5164995</v>
      </c>
      <c r="F4337" t="s">
        <v>54</v>
      </c>
      <c r="G4337">
        <v>-207.85749999999999</v>
      </c>
      <c r="H4337" s="1">
        <v>5.2753369999999997E-6</v>
      </c>
      <c r="I4337">
        <v>219.4907</v>
      </c>
      <c r="J4337">
        <v>-347.2595</v>
      </c>
      <c r="K4337">
        <v>1.110058</v>
      </c>
      <c r="L4337">
        <v>214.0686</v>
      </c>
      <c r="M4337">
        <v>0.99993430000000005</v>
      </c>
      <c r="N4337">
        <v>-1.1233760000000001E-2</v>
      </c>
      <c r="O4337">
        <v>2.263597E-3</v>
      </c>
      <c r="P4337">
        <v>0.98540039999999995</v>
      </c>
      <c r="Q4337">
        <v>0.14575629999999901</v>
      </c>
      <c r="R4337">
        <v>8.7982690000000002E-2</v>
      </c>
      <c r="S4337">
        <v>3.0374150000000002</v>
      </c>
      <c r="T4337">
        <v>-2.4132250000000001E-2</v>
      </c>
      <c r="U4337">
        <v>0.11788940000000001</v>
      </c>
      <c r="V4337">
        <v>-8.5757299999999995E-2</v>
      </c>
      <c r="W4337">
        <v>0.15681589999999901</v>
      </c>
      <c r="X4337">
        <v>0.98389760000000004</v>
      </c>
      <c r="Y4337">
        <v>-3.651832E-2</v>
      </c>
      <c r="Z4337">
        <v>3.5766599999999997E-4</v>
      </c>
      <c r="AA4337">
        <v>0.99933289999999997</v>
      </c>
      <c r="AB4337">
        <v>38</v>
      </c>
      <c r="AC4337">
        <v>139.40199999999999</v>
      </c>
      <c r="AD4337">
        <v>-1.1100527246629901</v>
      </c>
      <c r="AE4337">
        <v>5.4221000000000004</v>
      </c>
      <c r="AF4337">
        <v>-5.1061929455096999</v>
      </c>
      <c r="AG4337">
        <v>-1.1100527246629901</v>
      </c>
      <c r="AH4337">
        <v>139.40509088959499</v>
      </c>
      <c r="AI4337">
        <v>90.455918589423803</v>
      </c>
      <c r="AJ4337">
        <v>92.097718024126905</v>
      </c>
      <c r="AK4337">
        <v>139.50299204455999</v>
      </c>
      <c r="AL4337">
        <v>80.977872417480995</v>
      </c>
      <c r="AM4337">
        <v>94.981356856557099</v>
      </c>
      <c r="AN4337">
        <v>1.00000001414093</v>
      </c>
    </row>
    <row r="4338" spans="1:40" x14ac:dyDescent="0.25">
      <c r="A4338" t="str">
        <f>"20190304154840305"</f>
        <v>20190304154840305</v>
      </c>
      <c r="B4338" t="str">
        <f>"1551685720301525"</f>
        <v>1551685720301525</v>
      </c>
      <c r="C4338" t="s">
        <v>40</v>
      </c>
      <c r="D4338">
        <v>4.371893</v>
      </c>
      <c r="E4338">
        <v>0.51686330000000003</v>
      </c>
      <c r="F4338" t="s">
        <v>60</v>
      </c>
      <c r="G4338">
        <v>-219.17959999999999</v>
      </c>
      <c r="H4338" s="1">
        <v>3.150648E-6</v>
      </c>
      <c r="I4338">
        <v>219.13460000000001</v>
      </c>
      <c r="J4338">
        <v>-347.0265</v>
      </c>
      <c r="K4338">
        <v>1.110055</v>
      </c>
      <c r="L4338">
        <v>214.0692</v>
      </c>
      <c r="M4338">
        <v>0.9999344</v>
      </c>
      <c r="N4338">
        <v>-1.123478E-2</v>
      </c>
      <c r="O4338">
        <v>2.2751830000000001E-3</v>
      </c>
      <c r="P4338">
        <v>0.98536539999999995</v>
      </c>
      <c r="Q4338">
        <v>0.14588370000000001</v>
      </c>
      <c r="R4338">
        <v>8.816562E-2</v>
      </c>
      <c r="S4338">
        <v>3.037598</v>
      </c>
      <c r="T4338">
        <v>-2.6326539999999999E-2</v>
      </c>
      <c r="U4338">
        <v>0.120147699999999</v>
      </c>
      <c r="V4338">
        <v>-8.5928160000000003E-2</v>
      </c>
      <c r="W4338">
        <v>0.156944899999999</v>
      </c>
      <c r="X4338">
        <v>0.98386209999999996</v>
      </c>
      <c r="Y4338">
        <v>-3.7245769999999997E-2</v>
      </c>
      <c r="Z4338">
        <v>3.7649990000000001E-4</v>
      </c>
      <c r="AA4338">
        <v>0.99930609999999997</v>
      </c>
      <c r="AB4338">
        <v>38</v>
      </c>
      <c r="AC4338">
        <v>127.84690000000001</v>
      </c>
      <c r="AD4338">
        <v>-1.110051849352</v>
      </c>
      <c r="AE4338">
        <v>5.0654000000000101</v>
      </c>
      <c r="AF4338">
        <v>-4.7741341132280501</v>
      </c>
      <c r="AG4338">
        <v>-1.110051849352</v>
      </c>
      <c r="AH4338">
        <v>127.84847127847399</v>
      </c>
      <c r="AI4338">
        <v>90.497115006182</v>
      </c>
      <c r="AJ4338">
        <v>92.138552737932599</v>
      </c>
      <c r="AK4338">
        <v>127.94239398996</v>
      </c>
      <c r="AL4338">
        <v>80.970388384302495</v>
      </c>
      <c r="AM4338">
        <v>94.991410646947898</v>
      </c>
      <c r="AN4338">
        <v>0.99999999106670201</v>
      </c>
    </row>
    <row r="4339" spans="1:40" x14ac:dyDescent="0.25">
      <c r="A4339" t="str">
        <f>"20190304154840324"</f>
        <v>20190304154840324</v>
      </c>
      <c r="B4339" t="str">
        <f>"1551685720321045"</f>
        <v>1551685720321045</v>
      </c>
      <c r="C4339" t="s">
        <v>40</v>
      </c>
      <c r="D4339">
        <v>4.3774509999999998</v>
      </c>
      <c r="E4339">
        <v>0.517231</v>
      </c>
      <c r="F4339" t="s">
        <v>54</v>
      </c>
      <c r="G4339">
        <v>-204.01519999999999</v>
      </c>
      <c r="H4339">
        <v>3.256216E-2</v>
      </c>
      <c r="I4339">
        <v>219.61689999999999</v>
      </c>
      <c r="J4339">
        <v>-346.70519999999999</v>
      </c>
      <c r="K4339">
        <v>1.110052</v>
      </c>
      <c r="L4339">
        <v>214.06989999999999</v>
      </c>
      <c r="M4339">
        <v>0.9999344</v>
      </c>
      <c r="N4339">
        <v>-1.123627E-2</v>
      </c>
      <c r="O4339">
        <v>2.2893169999999999E-3</v>
      </c>
      <c r="P4339">
        <v>0.9852978</v>
      </c>
      <c r="Q4339">
        <v>0.14618</v>
      </c>
      <c r="R4339">
        <v>8.8430629999999996E-2</v>
      </c>
      <c r="S4339">
        <v>3.037445</v>
      </c>
      <c r="T4339">
        <v>-2.2885079999999999E-2</v>
      </c>
      <c r="U4339">
        <v>0.1178284</v>
      </c>
      <c r="V4339">
        <v>-8.6178309999999994E-2</v>
      </c>
      <c r="W4339">
        <v>0.15724199999999999</v>
      </c>
      <c r="X4339">
        <v>0.98379280000000002</v>
      </c>
      <c r="Y4339">
        <v>-3.6472379999999999E-2</v>
      </c>
      <c r="Z4339">
        <v>3.5081469999999999E-4</v>
      </c>
      <c r="AA4339">
        <v>0.99933459999999996</v>
      </c>
      <c r="AB4339">
        <v>38</v>
      </c>
      <c r="AC4339">
        <v>142.69</v>
      </c>
      <c r="AD4339">
        <v>-1.0774898399999999</v>
      </c>
      <c r="AE4339">
        <v>5.5469999999999899</v>
      </c>
      <c r="AF4339">
        <v>-5.22000504146426</v>
      </c>
      <c r="AG4339">
        <v>-1.0774898399999999</v>
      </c>
      <c r="AH4339">
        <v>142.694201304556</v>
      </c>
      <c r="AI4339">
        <v>90.432345407932303</v>
      </c>
      <c r="AJ4339">
        <v>92.095046246958404</v>
      </c>
      <c r="AK4339">
        <v>142.79371317720299</v>
      </c>
      <c r="AL4339">
        <v>80.953151971369607</v>
      </c>
      <c r="AM4339">
        <v>95.006218509369404</v>
      </c>
      <c r="AN4339">
        <v>1.0000000105051401</v>
      </c>
    </row>
    <row r="4340" spans="1:40" x14ac:dyDescent="0.25">
      <c r="A4340" t="str">
        <f>"20190304154840339"</f>
        <v>20190304154840339</v>
      </c>
      <c r="B4340" t="str">
        <f>"1551685720330805"</f>
        <v>1551685720330805</v>
      </c>
      <c r="C4340" t="s">
        <v>40</v>
      </c>
      <c r="D4340">
        <v>4.3603489999999896</v>
      </c>
      <c r="E4340">
        <v>0.51741879999999996</v>
      </c>
      <c r="F4340" t="s">
        <v>54</v>
      </c>
      <c r="G4340">
        <v>-179.95580000000001</v>
      </c>
      <c r="H4340">
        <v>5.199695E-2</v>
      </c>
      <c r="I4340">
        <v>220.42320000000001</v>
      </c>
      <c r="J4340">
        <v>-346.46179999999998</v>
      </c>
      <c r="K4340">
        <v>1.1100490000000001</v>
      </c>
      <c r="L4340">
        <v>214.07050000000001</v>
      </c>
      <c r="M4340">
        <v>0.9999342</v>
      </c>
      <c r="N4340">
        <v>-1.1237469999999999E-2</v>
      </c>
      <c r="O4340">
        <v>2.2983370000000001E-3</v>
      </c>
      <c r="P4340">
        <v>0.98533400000000004</v>
      </c>
      <c r="Q4340">
        <v>0.14579810000000001</v>
      </c>
      <c r="R4340">
        <v>8.8655600000000001E-2</v>
      </c>
      <c r="S4340">
        <v>3.0372620000000001</v>
      </c>
      <c r="T4340">
        <v>-1.9271969999999999E-2</v>
      </c>
      <c r="U4340">
        <v>0.115722699999999</v>
      </c>
      <c r="V4340">
        <v>-8.6393280000000003E-2</v>
      </c>
      <c r="W4340">
        <v>0.156862</v>
      </c>
      <c r="X4340">
        <v>0.9838346</v>
      </c>
      <c r="Y4340">
        <v>-3.5774470000000003E-2</v>
      </c>
      <c r="Z4340">
        <v>3.2578920000000001E-4</v>
      </c>
      <c r="AA4340">
        <v>0.99935980000000002</v>
      </c>
      <c r="AB4340">
        <v>38</v>
      </c>
      <c r="AC4340">
        <v>166.50599999999901</v>
      </c>
      <c r="AD4340">
        <v>-1.0580520499999999</v>
      </c>
      <c r="AE4340">
        <v>6.3526999999999898</v>
      </c>
      <c r="AF4340">
        <v>-5.9697314465126698</v>
      </c>
      <c r="AG4340">
        <v>-1.0580520499999999</v>
      </c>
      <c r="AH4340">
        <v>166.51344788596001</v>
      </c>
      <c r="AI4340">
        <v>90.363827556970605</v>
      </c>
      <c r="AJ4340">
        <v>92.053251495709404</v>
      </c>
      <c r="AK4340">
        <v>166.62378430030401</v>
      </c>
      <c r="AL4340">
        <v>80.975197882558106</v>
      </c>
      <c r="AM4340">
        <v>95.018430582348302</v>
      </c>
      <c r="AN4340">
        <v>1.0000000030151499</v>
      </c>
    </row>
    <row r="4341" spans="1:40" x14ac:dyDescent="0.25">
      <c r="A4341" t="str">
        <f>"20190304154840352"</f>
        <v>20190304154840352</v>
      </c>
      <c r="B4341" t="str">
        <f>"1551685720340565"</f>
        <v>1551685720340565</v>
      </c>
      <c r="C4341" t="s">
        <v>40</v>
      </c>
      <c r="D4341">
        <v>4.3729480000000001</v>
      </c>
      <c r="E4341">
        <v>0.51756190000000002</v>
      </c>
      <c r="F4341" t="s">
        <v>54</v>
      </c>
      <c r="G4341">
        <v>-179.94239999999999</v>
      </c>
      <c r="H4341">
        <v>6.5350790000000006E-2</v>
      </c>
      <c r="I4341">
        <v>220.37700000000001</v>
      </c>
      <c r="J4341">
        <v>-346.24270000000001</v>
      </c>
      <c r="K4341">
        <v>1.1100449999999999</v>
      </c>
      <c r="L4341">
        <v>214.071</v>
      </c>
      <c r="M4341">
        <v>0.99993430000000005</v>
      </c>
      <c r="N4341">
        <v>-1.123858E-2</v>
      </c>
      <c r="O4341">
        <v>2.3053940000000001E-3</v>
      </c>
      <c r="P4341">
        <v>0.98533740000000003</v>
      </c>
      <c r="Q4341">
        <v>0.1456858</v>
      </c>
      <c r="R4341">
        <v>8.8803690000000005E-2</v>
      </c>
      <c r="S4341">
        <v>3.0370789999999999</v>
      </c>
      <c r="T4341">
        <v>-1.9053819999999999E-2</v>
      </c>
      <c r="U4341">
        <v>0.11502080000000001</v>
      </c>
      <c r="V4341">
        <v>-8.6533669999999993E-2</v>
      </c>
      <c r="W4341">
        <v>0.156751799999999</v>
      </c>
      <c r="X4341">
        <v>0.98383980000000004</v>
      </c>
      <c r="Y4341">
        <v>-3.553912E-2</v>
      </c>
      <c r="Z4341">
        <v>3.2267180000000002E-4</v>
      </c>
      <c r="AA4341">
        <v>0.99936829999999999</v>
      </c>
      <c r="AB4341">
        <v>38</v>
      </c>
      <c r="AC4341">
        <v>166.30029999999999</v>
      </c>
      <c r="AD4341">
        <v>-1.0446942100000001</v>
      </c>
      <c r="AE4341">
        <v>6.3060000000000098</v>
      </c>
      <c r="AF4341">
        <v>-5.92233797629856</v>
      </c>
      <c r="AG4341">
        <v>-1.0446942100000001</v>
      </c>
      <c r="AH4341">
        <v>166.307843128386</v>
      </c>
      <c r="AI4341">
        <v>90.359681573343494</v>
      </c>
      <c r="AJ4341">
        <v>92.039480751093194</v>
      </c>
      <c r="AK4341">
        <v>166.41653811780199</v>
      </c>
      <c r="AL4341">
        <v>80.981590732035798</v>
      </c>
      <c r="AM4341">
        <v>95.026517408845706</v>
      </c>
      <c r="AN4341">
        <v>0.99999997745547398</v>
      </c>
    </row>
    <row r="4342" spans="1:40" x14ac:dyDescent="0.25">
      <c r="A4342" t="str">
        <f>"20190304154840369"</f>
        <v>20190304154840369</v>
      </c>
      <c r="B4342" t="str">
        <f>"1551685720361060"</f>
        <v>1551685720361060</v>
      </c>
      <c r="C4342" t="s">
        <v>40</v>
      </c>
      <c r="D4342">
        <v>4.3715729999999997</v>
      </c>
      <c r="E4342">
        <v>0.51784830000000004</v>
      </c>
      <c r="F4342" t="s">
        <v>45</v>
      </c>
      <c r="G4342">
        <v>-151.66810000000001</v>
      </c>
      <c r="H4342">
        <v>-0.05</v>
      </c>
      <c r="I4342">
        <v>221.3793</v>
      </c>
      <c r="J4342">
        <v>-345.92809999999997</v>
      </c>
      <c r="K4342">
        <v>1.1100479999999999</v>
      </c>
      <c r="L4342">
        <v>214.07169999999999</v>
      </c>
      <c r="M4342">
        <v>0.99993430000000005</v>
      </c>
      <c r="N4342">
        <v>-1.124025E-2</v>
      </c>
      <c r="O4342">
        <v>2.3122569999999999E-3</v>
      </c>
      <c r="P4342">
        <v>0.9852976</v>
      </c>
      <c r="Q4342">
        <v>0.14577770000000001</v>
      </c>
      <c r="R4342">
        <v>8.9095499999999994E-2</v>
      </c>
      <c r="S4342">
        <v>3.0370789999999999</v>
      </c>
      <c r="T4342">
        <v>-1.8106939999999998E-2</v>
      </c>
      <c r="U4342">
        <v>0.1140747</v>
      </c>
      <c r="V4342">
        <v>-8.6817599999999995E-2</v>
      </c>
      <c r="W4342">
        <v>0.1568455</v>
      </c>
      <c r="X4342">
        <v>0.98379989999999995</v>
      </c>
      <c r="Y4342">
        <v>-3.5221549999999997E-2</v>
      </c>
      <c r="Z4342">
        <v>3.151896E-4</v>
      </c>
      <c r="AA4342">
        <v>0.99937949999999998</v>
      </c>
      <c r="AB4342">
        <v>38</v>
      </c>
      <c r="AC4342">
        <v>194.26</v>
      </c>
      <c r="AD4342">
        <v>-1.160048</v>
      </c>
      <c r="AE4342">
        <v>7.3075999999999999</v>
      </c>
      <c r="AF4342">
        <v>-6.8581288881017999</v>
      </c>
      <c r="AG4342">
        <v>-1.160048</v>
      </c>
      <c r="AH4342">
        <v>194.26946081910199</v>
      </c>
      <c r="AI4342">
        <v>90.341915235022199</v>
      </c>
      <c r="AJ4342">
        <v>92.0218243642544</v>
      </c>
      <c r="AK4342">
        <v>194.39393779167301</v>
      </c>
      <c r="AL4342">
        <v>80.976155310694594</v>
      </c>
      <c r="AM4342">
        <v>95.043128733510201</v>
      </c>
      <c r="AN4342">
        <v>1.0000000248900001</v>
      </c>
    </row>
    <row r="4343" spans="1:40" x14ac:dyDescent="0.25">
      <c r="A4343" t="str">
        <f>"20190304154840384"</f>
        <v>20190304154840384</v>
      </c>
      <c r="B4343" t="str">
        <f>"1551685720380581"</f>
        <v>1551685720380581</v>
      </c>
      <c r="C4343" t="s">
        <v>40</v>
      </c>
      <c r="D4343">
        <v>4.3811679999999997</v>
      </c>
      <c r="E4343">
        <v>0.51799830000000002</v>
      </c>
      <c r="F4343" t="s">
        <v>71</v>
      </c>
      <c r="G4343">
        <v>-157.8382</v>
      </c>
      <c r="H4343">
        <v>0.14888570000000001</v>
      </c>
      <c r="I4343">
        <v>221.05760000000001</v>
      </c>
      <c r="J4343">
        <v>-345.70420000000001</v>
      </c>
      <c r="K4343">
        <v>1.110044</v>
      </c>
      <c r="L4343">
        <v>214.07220000000001</v>
      </c>
      <c r="M4343">
        <v>0.99993430000000005</v>
      </c>
      <c r="N4343">
        <v>-1.124147E-2</v>
      </c>
      <c r="O4343">
        <v>2.315915E-3</v>
      </c>
      <c r="P4343">
        <v>0.98523649999999996</v>
      </c>
      <c r="Q4343">
        <v>0.14620229999999901</v>
      </c>
      <c r="R4343">
        <v>8.9074630000000002E-2</v>
      </c>
      <c r="S4343">
        <v>3.0368650000000001</v>
      </c>
      <c r="T4343">
        <v>-1.551783E-2</v>
      </c>
      <c r="U4343">
        <v>0.112793</v>
      </c>
      <c r="V4343">
        <v>-8.6792419999999995E-2</v>
      </c>
      <c r="W4343">
        <v>0.15727070000000001</v>
      </c>
      <c r="X4343">
        <v>0.9837342</v>
      </c>
      <c r="Y4343">
        <v>-3.4799690000000001E-2</v>
      </c>
      <c r="Z4343">
        <v>2.9875319999999998E-4</v>
      </c>
      <c r="AA4343">
        <v>0.99939420000000001</v>
      </c>
      <c r="AB4343">
        <v>38</v>
      </c>
      <c r="AC4343">
        <v>187.86599999999899</v>
      </c>
      <c r="AD4343">
        <v>-0.96115830000000002</v>
      </c>
      <c r="AE4343">
        <v>6.9853999999999896</v>
      </c>
      <c r="AF4343">
        <v>-6.5501009426609897</v>
      </c>
      <c r="AG4343">
        <v>-0.96115830000000002</v>
      </c>
      <c r="AH4343">
        <v>187.87676378064199</v>
      </c>
      <c r="AI4343">
        <v>90.292938814031004</v>
      </c>
      <c r="AJ4343">
        <v>91.996740779263604</v>
      </c>
      <c r="AK4343">
        <v>187.993366947677</v>
      </c>
      <c r="AL4343">
        <v>80.951486648190496</v>
      </c>
      <c r="AM4343">
        <v>95.042008576903697</v>
      </c>
      <c r="AN4343">
        <v>0.99999998674879298</v>
      </c>
    </row>
    <row r="4344" spans="1:40" x14ac:dyDescent="0.25">
      <c r="A4344" t="str">
        <f>"20190304154840403"</f>
        <v>20190304154840403</v>
      </c>
      <c r="B4344" t="str">
        <f>"1551685720391316"</f>
        <v>1551685720391316</v>
      </c>
      <c r="C4344" t="s">
        <v>40</v>
      </c>
      <c r="D4344">
        <v>4.3854419999999896</v>
      </c>
      <c r="E4344">
        <v>0.51815059999999902</v>
      </c>
      <c r="F4344" t="s">
        <v>71</v>
      </c>
      <c r="G4344">
        <v>-157.8382</v>
      </c>
      <c r="H4344">
        <v>0.32217499999999999</v>
      </c>
      <c r="I4344">
        <v>220.96879999999999</v>
      </c>
      <c r="J4344">
        <v>-345.3845</v>
      </c>
      <c r="K4344">
        <v>1.1100410000000001</v>
      </c>
      <c r="L4344">
        <v>214.07300000000001</v>
      </c>
      <c r="M4344">
        <v>0.99993410000000005</v>
      </c>
      <c r="N4344">
        <v>-1.124324E-2</v>
      </c>
      <c r="O4344">
        <v>2.3202169999999999E-3</v>
      </c>
      <c r="P4344">
        <v>0.98522460000000001</v>
      </c>
      <c r="Q4344">
        <v>0.146401799999999</v>
      </c>
      <c r="R4344">
        <v>8.8876230000000001E-2</v>
      </c>
      <c r="S4344">
        <v>3.0367739999999999</v>
      </c>
      <c r="T4344">
        <v>-1.273465E-2</v>
      </c>
      <c r="U4344">
        <v>0.1114807</v>
      </c>
      <c r="V4344">
        <v>-8.6588830000000006E-2</v>
      </c>
      <c r="W4344">
        <v>0.1574728</v>
      </c>
      <c r="X4344">
        <v>0.98371980000000003</v>
      </c>
      <c r="Y4344">
        <v>-3.4365590000000001E-2</v>
      </c>
      <c r="Z4344">
        <v>2.8164850000000002E-4</v>
      </c>
      <c r="AA4344">
        <v>0.99940929999999994</v>
      </c>
      <c r="AB4344">
        <v>38</v>
      </c>
      <c r="AC4344">
        <v>187.5463</v>
      </c>
      <c r="AD4344">
        <v>-0.78786599999999996</v>
      </c>
      <c r="AE4344">
        <v>6.8958000000000004</v>
      </c>
      <c r="AF4344">
        <v>-6.4604919572068003</v>
      </c>
      <c r="AG4344">
        <v>-0.78786599999999996</v>
      </c>
      <c r="AH4344">
        <v>187.558490376072</v>
      </c>
      <c r="AI4344">
        <v>90.240534970099802</v>
      </c>
      <c r="AJ4344">
        <v>91.972785298256994</v>
      </c>
      <c r="AK4344">
        <v>187.67137768267801</v>
      </c>
      <c r="AL4344">
        <v>80.939760970509695</v>
      </c>
      <c r="AM4344">
        <v>95.030315485942694</v>
      </c>
      <c r="AN4344">
        <v>0.999999976566324</v>
      </c>
    </row>
    <row r="4345" spans="1:40" x14ac:dyDescent="0.25">
      <c r="A4345" t="str">
        <f>"20190304154840427"</f>
        <v>20190304154840427</v>
      </c>
      <c r="B4345" t="str">
        <f>"1551685720420596"</f>
        <v>1551685720420596</v>
      </c>
      <c r="C4345" t="s">
        <v>40</v>
      </c>
      <c r="D4345">
        <v>4.3508079999999998</v>
      </c>
      <c r="E4345">
        <v>0.51858779999999904</v>
      </c>
      <c r="F4345" t="s">
        <v>71</v>
      </c>
      <c r="G4345">
        <v>-157.8382</v>
      </c>
      <c r="H4345">
        <v>0.42197420000000002</v>
      </c>
      <c r="I4345">
        <v>220.8723</v>
      </c>
      <c r="J4345">
        <v>-344.98880000000003</v>
      </c>
      <c r="K4345">
        <v>1.1100410000000001</v>
      </c>
      <c r="L4345">
        <v>214.07390000000001</v>
      </c>
      <c r="M4345">
        <v>0.99993410000000005</v>
      </c>
      <c r="N4345">
        <v>-1.124551E-2</v>
      </c>
      <c r="O4345">
        <v>2.3233809999999998E-3</v>
      </c>
      <c r="P4345">
        <v>0.98518139999999998</v>
      </c>
      <c r="Q4345">
        <v>0.14685529999999999</v>
      </c>
      <c r="R4345">
        <v>8.8607950000000005E-2</v>
      </c>
      <c r="S4345">
        <v>3.0366819999999999</v>
      </c>
      <c r="T4345">
        <v>-1.1139990000000001E-2</v>
      </c>
      <c r="U4345">
        <v>0.1100922</v>
      </c>
      <c r="V4345">
        <v>-8.6316030000000002E-2</v>
      </c>
      <c r="W4345">
        <v>0.1579286</v>
      </c>
      <c r="X4345">
        <v>0.98367070000000001</v>
      </c>
      <c r="Y4345">
        <v>-3.3907340000000001E-2</v>
      </c>
      <c r="Z4345">
        <v>2.7049730000000002E-4</v>
      </c>
      <c r="AA4345">
        <v>0.99942489999999995</v>
      </c>
      <c r="AB4345">
        <v>38</v>
      </c>
      <c r="AC4345">
        <v>187.1506</v>
      </c>
      <c r="AD4345">
        <v>-0.68806679999999998</v>
      </c>
      <c r="AE4345">
        <v>6.7983999999999796</v>
      </c>
      <c r="AF4345">
        <v>-6.3634461163826996</v>
      </c>
      <c r="AG4345">
        <v>-0.68806679999999998</v>
      </c>
      <c r="AH4345">
        <v>187.16336453423199</v>
      </c>
      <c r="AI4345">
        <v>90.210513314379796</v>
      </c>
      <c r="AJ4345">
        <v>91.947273264069594</v>
      </c>
      <c r="AK4345">
        <v>187.27277406545599</v>
      </c>
      <c r="AL4345">
        <v>80.913314595381706</v>
      </c>
      <c r="AM4345">
        <v>95.014797324280096</v>
      </c>
      <c r="AN4345">
        <v>0.99999997288570497</v>
      </c>
    </row>
    <row r="4346" spans="1:40" x14ac:dyDescent="0.25">
      <c r="A4346" t="str">
        <f>"20190304154840449"</f>
        <v>20190304154840449</v>
      </c>
      <c r="B4346" t="str">
        <f>"1551685720441092"</f>
        <v>1551685720441092</v>
      </c>
      <c r="C4346" t="s">
        <v>40</v>
      </c>
      <c r="D4346">
        <v>4.472289</v>
      </c>
      <c r="E4346">
        <v>0.51882910000000004</v>
      </c>
      <c r="F4346" t="s">
        <v>71</v>
      </c>
      <c r="G4346">
        <v>-157.8382</v>
      </c>
      <c r="H4346">
        <v>0.71316619999999997</v>
      </c>
      <c r="I4346">
        <v>220.6071</v>
      </c>
      <c r="J4346">
        <v>-344.59500000000003</v>
      </c>
      <c r="K4346">
        <v>1.1100460000000001</v>
      </c>
      <c r="L4346">
        <v>214.07480000000001</v>
      </c>
      <c r="M4346">
        <v>0.99993410000000005</v>
      </c>
      <c r="N4346">
        <v>-1.124786E-2</v>
      </c>
      <c r="O4346">
        <v>2.325007E-3</v>
      </c>
      <c r="P4346">
        <v>0.98513819999999996</v>
      </c>
      <c r="Q4346">
        <v>0.14713019999999999</v>
      </c>
      <c r="R4346">
        <v>8.8632329999999995E-2</v>
      </c>
      <c r="S4346">
        <v>3.03653</v>
      </c>
      <c r="T4346">
        <v>-6.4383749999999997E-3</v>
      </c>
      <c r="U4346">
        <v>0.10600279999999999</v>
      </c>
      <c r="V4346">
        <v>-8.6338419999999999E-2</v>
      </c>
      <c r="W4346">
        <v>0.1582054</v>
      </c>
      <c r="X4346">
        <v>0.98362430000000001</v>
      </c>
      <c r="Y4346">
        <v>-3.2563750000000002E-2</v>
      </c>
      <c r="Z4346">
        <v>2.3892769999999999E-4</v>
      </c>
      <c r="AA4346">
        <v>0.99946959999999996</v>
      </c>
      <c r="AB4346">
        <v>38</v>
      </c>
      <c r="AC4346">
        <v>186.7568</v>
      </c>
      <c r="AD4346">
        <v>-0.39687979999999901</v>
      </c>
      <c r="AE4346">
        <v>6.5322999999999896</v>
      </c>
      <c r="AF4346">
        <v>-6.0980165264991699</v>
      </c>
      <c r="AG4346">
        <v>-0.39687979999999901</v>
      </c>
      <c r="AH4346">
        <v>186.77064131964801</v>
      </c>
      <c r="AI4346">
        <v>90.121686109832794</v>
      </c>
      <c r="AJ4346">
        <v>91.8700291241</v>
      </c>
      <c r="AK4346">
        <v>186.87058564173699</v>
      </c>
      <c r="AL4346">
        <v>80.897253614712497</v>
      </c>
      <c r="AM4346">
        <v>95.016326919196601</v>
      </c>
      <c r="AN4346">
        <v>1.0000000174538699</v>
      </c>
    </row>
    <row r="4347" spans="1:40" x14ac:dyDescent="0.25">
      <c r="A4347" t="str">
        <f>"20190304154840470"</f>
        <v>20190304154840470</v>
      </c>
      <c r="B4347" t="str">
        <f>"1551685720460616"</f>
        <v>1551685720460616</v>
      </c>
      <c r="C4347" t="s">
        <v>40</v>
      </c>
      <c r="D4347">
        <v>4.4127179999999999</v>
      </c>
      <c r="E4347">
        <v>0.51953359999999904</v>
      </c>
      <c r="F4347" t="s">
        <v>71</v>
      </c>
      <c r="G4347">
        <v>-157.8382</v>
      </c>
      <c r="H4347">
        <v>0.69572159999999905</v>
      </c>
      <c r="I4347">
        <v>220.4725</v>
      </c>
      <c r="J4347">
        <v>-344.24079999999998</v>
      </c>
      <c r="K4347">
        <v>1.1100509999999999</v>
      </c>
      <c r="L4347">
        <v>214.07560000000001</v>
      </c>
      <c r="M4347">
        <v>0.99993410000000005</v>
      </c>
      <c r="N4347">
        <v>-1.1250019999999999E-2</v>
      </c>
      <c r="O4347">
        <v>2.3259859999999999E-3</v>
      </c>
      <c r="P4347">
        <v>0.9849985</v>
      </c>
      <c r="Q4347">
        <v>0.1484857</v>
      </c>
      <c r="R4347">
        <v>8.7920390000000001E-2</v>
      </c>
      <c r="S4347">
        <v>3.036896</v>
      </c>
      <c r="T4347">
        <v>-6.7365169999999896E-3</v>
      </c>
      <c r="U4347">
        <v>0.1040344</v>
      </c>
      <c r="V4347">
        <v>-8.5624839999999994E-2</v>
      </c>
      <c r="W4347">
        <v>0.15956219999999999</v>
      </c>
      <c r="X4347">
        <v>0.98346750000000005</v>
      </c>
      <c r="Y4347">
        <v>-3.1911509999999997E-2</v>
      </c>
      <c r="Z4347">
        <v>2.3594809999999999E-4</v>
      </c>
      <c r="AA4347">
        <v>0.99949069999999995</v>
      </c>
      <c r="AB4347">
        <v>38</v>
      </c>
      <c r="AC4347">
        <v>186.40260000000001</v>
      </c>
      <c r="AD4347">
        <v>-0.41432940000000001</v>
      </c>
      <c r="AE4347">
        <v>6.39689999999998</v>
      </c>
      <c r="AF4347">
        <v>-5.9632560265408898</v>
      </c>
      <c r="AG4347">
        <v>-0.41432940000000001</v>
      </c>
      <c r="AH4347">
        <v>186.416055796623</v>
      </c>
      <c r="AI4347">
        <v>90.1272806142116</v>
      </c>
      <c r="AJ4347">
        <v>91.832207691599706</v>
      </c>
      <c r="AK4347">
        <v>186.51187080199401</v>
      </c>
      <c r="AL4347">
        <v>80.818514484263702</v>
      </c>
      <c r="AM4347">
        <v>94.975865551051797</v>
      </c>
      <c r="AN4347">
        <v>1.00000001622505</v>
      </c>
    </row>
    <row r="4348" spans="1:40" x14ac:dyDescent="0.25">
      <c r="A4348" t="str">
        <f>"20190304154840491"</f>
        <v>20190304154840491</v>
      </c>
      <c r="B4348" t="str">
        <f>"1551685720481108"</f>
        <v>1551685720481108</v>
      </c>
      <c r="C4348" t="s">
        <v>40</v>
      </c>
      <c r="D4348">
        <v>4.3869009999999999</v>
      </c>
      <c r="E4348">
        <v>0.52016110000000004</v>
      </c>
      <c r="F4348" t="s">
        <v>71</v>
      </c>
      <c r="G4348">
        <v>-157.8382</v>
      </c>
      <c r="H4348">
        <v>0.93437859999999995</v>
      </c>
      <c r="I4348">
        <v>220.01609999999999</v>
      </c>
      <c r="J4348">
        <v>-343.87970000000001</v>
      </c>
      <c r="K4348">
        <v>1.110055</v>
      </c>
      <c r="L4348">
        <v>214.07650000000001</v>
      </c>
      <c r="M4348">
        <v>0.99993410000000005</v>
      </c>
      <c r="N4348">
        <v>-1.125224E-2</v>
      </c>
      <c r="O4348">
        <v>2.3263160000000001E-3</v>
      </c>
      <c r="P4348">
        <v>0.98497590000000002</v>
      </c>
      <c r="Q4348">
        <v>0.14907860000000001</v>
      </c>
      <c r="R4348">
        <v>8.7168750000000003E-2</v>
      </c>
      <c r="S4348">
        <v>3.037506</v>
      </c>
      <c r="T4348">
        <v>-2.861738E-3</v>
      </c>
      <c r="U4348">
        <v>9.6801760000000001E-2</v>
      </c>
      <c r="V4348">
        <v>-8.487277E-2</v>
      </c>
      <c r="W4348">
        <v>0.1601572</v>
      </c>
      <c r="X4348">
        <v>0.98343599999999998</v>
      </c>
      <c r="Y4348">
        <v>-2.952724E-2</v>
      </c>
      <c r="Z4348">
        <v>2.0405710000000001E-4</v>
      </c>
      <c r="AA4348">
        <v>0.99956389999999995</v>
      </c>
      <c r="AB4348">
        <v>38</v>
      </c>
      <c r="AC4348">
        <v>186.04150000000001</v>
      </c>
      <c r="AD4348">
        <v>-0.17567639999999901</v>
      </c>
      <c r="AE4348">
        <v>5.93959999999998</v>
      </c>
      <c r="AF4348">
        <v>-5.5067603512593601</v>
      </c>
      <c r="AG4348">
        <v>-0.17567639999999901</v>
      </c>
      <c r="AH4348">
        <v>186.05464905917</v>
      </c>
      <c r="AI4348">
        <v>90.054076087154399</v>
      </c>
      <c r="AJ4348">
        <v>91.695319333624596</v>
      </c>
      <c r="AK4348">
        <v>186.13620740816299</v>
      </c>
      <c r="AL4348">
        <v>80.783979594856802</v>
      </c>
      <c r="AM4348">
        <v>94.932534713475704</v>
      </c>
      <c r="AN4348">
        <v>1.0000000409476499</v>
      </c>
    </row>
    <row r="4349" spans="1:40" x14ac:dyDescent="0.25">
      <c r="A4349" t="str">
        <f>"20190304154840515"</f>
        <v>20190304154840515</v>
      </c>
      <c r="B4349" t="str">
        <f>"1551685720511364"</f>
        <v>1551685720511364</v>
      </c>
      <c r="C4349" t="s">
        <v>40</v>
      </c>
      <c r="D4349">
        <v>4.3764799999999999</v>
      </c>
      <c r="E4349">
        <v>0.52108949999999998</v>
      </c>
      <c r="F4349" t="s">
        <v>71</v>
      </c>
      <c r="G4349">
        <v>-157.8382</v>
      </c>
      <c r="H4349">
        <v>0.99943159999999998</v>
      </c>
      <c r="I4349">
        <v>219.57640000000001</v>
      </c>
      <c r="J4349">
        <v>-343.49689999999998</v>
      </c>
      <c r="K4349">
        <v>1.110055</v>
      </c>
      <c r="L4349">
        <v>214.07740000000001</v>
      </c>
      <c r="M4349">
        <v>0.99993399999999999</v>
      </c>
      <c r="N4349">
        <v>-1.125459E-2</v>
      </c>
      <c r="O4349">
        <v>2.3267660000000001E-3</v>
      </c>
      <c r="P4349">
        <v>0.98499179999999997</v>
      </c>
      <c r="Q4349">
        <v>0.14926310000000001</v>
      </c>
      <c r="R4349">
        <v>8.6670720000000007E-2</v>
      </c>
      <c r="S4349">
        <v>3.0380549999999999</v>
      </c>
      <c r="T4349">
        <v>-1.8055440000000001E-3</v>
      </c>
      <c r="U4349">
        <v>8.9813229999999994E-2</v>
      </c>
      <c r="V4349">
        <v>-8.4374019999999994E-2</v>
      </c>
      <c r="W4349">
        <v>0.16034399999999999</v>
      </c>
      <c r="X4349">
        <v>0.9834484</v>
      </c>
      <c r="Y4349">
        <v>-2.7223890000000001E-2</v>
      </c>
      <c r="Z4349">
        <v>1.8612300000000001E-4</v>
      </c>
      <c r="AA4349">
        <v>0.99962930000000005</v>
      </c>
      <c r="AB4349">
        <v>38</v>
      </c>
      <c r="AC4349">
        <v>185.65870000000001</v>
      </c>
      <c r="AD4349">
        <v>-0.1106234</v>
      </c>
      <c r="AE4349">
        <v>5.4989999999999899</v>
      </c>
      <c r="AF4349">
        <v>-5.0669716213596496</v>
      </c>
      <c r="AG4349">
        <v>-0.1106234</v>
      </c>
      <c r="AH4349">
        <v>185.670927207837</v>
      </c>
      <c r="AI4349">
        <v>90.034124320911204</v>
      </c>
      <c r="AJ4349">
        <v>91.563217540994899</v>
      </c>
      <c r="AK4349">
        <v>185.74008627425101</v>
      </c>
      <c r="AL4349">
        <v>80.773135901603894</v>
      </c>
      <c r="AM4349">
        <v>94.903629178619298</v>
      </c>
      <c r="AN4349">
        <v>0.99999996452475903</v>
      </c>
    </row>
    <row r="4350" spans="1:40" x14ac:dyDescent="0.25">
      <c r="A4350" t="str">
        <f>"20190304154840537"</f>
        <v>20190304154840537</v>
      </c>
      <c r="B4350" t="str">
        <f>"1551685720530884"</f>
        <v>1551685720530884</v>
      </c>
      <c r="C4350" t="s">
        <v>40</v>
      </c>
      <c r="D4350">
        <v>4.418882</v>
      </c>
      <c r="E4350">
        <v>0.52165379999999995</v>
      </c>
      <c r="F4350" t="s">
        <v>71</v>
      </c>
      <c r="G4350">
        <v>-157.8382</v>
      </c>
      <c r="H4350">
        <v>1.007862</v>
      </c>
      <c r="I4350">
        <v>219.00040000000001</v>
      </c>
      <c r="J4350">
        <v>-343.11250000000001</v>
      </c>
      <c r="K4350">
        <v>1.110052</v>
      </c>
      <c r="L4350">
        <v>214.07830000000001</v>
      </c>
      <c r="M4350">
        <v>0.99993399999999999</v>
      </c>
      <c r="N4350">
        <v>-1.1257E-2</v>
      </c>
      <c r="O4350">
        <v>2.326921E-3</v>
      </c>
      <c r="P4350">
        <v>0.98501369999999999</v>
      </c>
      <c r="Q4350">
        <v>0.14914520000000001</v>
      </c>
      <c r="R4350">
        <v>8.6626110000000006E-2</v>
      </c>
      <c r="S4350">
        <v>3.03891</v>
      </c>
      <c r="T4350">
        <v>-1.6717909999999999E-3</v>
      </c>
      <c r="U4350">
        <v>8.0581669999999994E-2</v>
      </c>
      <c r="V4350">
        <v>-8.4329189999999998E-2</v>
      </c>
      <c r="W4350">
        <v>0.16022919999999999</v>
      </c>
      <c r="X4350">
        <v>0.98347099999999998</v>
      </c>
      <c r="Y4350">
        <v>-2.4181049999999999E-2</v>
      </c>
      <c r="Z4350">
        <v>1.6769239999999999E-4</v>
      </c>
      <c r="AA4350">
        <v>0.99970760000000003</v>
      </c>
      <c r="AB4350">
        <v>38</v>
      </c>
      <c r="AC4350">
        <v>185.27430000000001</v>
      </c>
      <c r="AD4350">
        <v>-0.10219</v>
      </c>
      <c r="AE4350">
        <v>4.9221000000000004</v>
      </c>
      <c r="AF4350">
        <v>-4.4909393597686798</v>
      </c>
      <c r="AG4350">
        <v>-0.10219</v>
      </c>
      <c r="AH4350">
        <v>185.285196081565</v>
      </c>
      <c r="AI4350">
        <v>90.031590953476098</v>
      </c>
      <c r="AJ4350">
        <v>91.388462251973905</v>
      </c>
      <c r="AK4350">
        <v>185.33964191751701</v>
      </c>
      <c r="AL4350">
        <v>80.779800023127294</v>
      </c>
      <c r="AM4350">
        <v>94.900924376848906</v>
      </c>
      <c r="AN4350">
        <v>1.0000000083298399</v>
      </c>
    </row>
    <row r="4351" spans="1:40" x14ac:dyDescent="0.25">
      <c r="A4351" t="str">
        <f>"20190304154840560"</f>
        <v>20190304154840560</v>
      </c>
      <c r="B4351" t="str">
        <f>"1551685720551381"</f>
        <v>1551685720551381</v>
      </c>
      <c r="C4351" t="s">
        <v>40</v>
      </c>
      <c r="D4351">
        <v>4.4294880000000001</v>
      </c>
      <c r="E4351">
        <v>0.52216569999999995</v>
      </c>
      <c r="F4351" t="s">
        <v>71</v>
      </c>
      <c r="G4351">
        <v>-141.2441</v>
      </c>
      <c r="H4351">
        <v>0.95930479999999996</v>
      </c>
      <c r="I4351">
        <v>219.1061</v>
      </c>
      <c r="J4351">
        <v>-342.72989999999999</v>
      </c>
      <c r="K4351">
        <v>1.110052</v>
      </c>
      <c r="L4351">
        <v>214.07919999999999</v>
      </c>
      <c r="M4351">
        <v>0.99993399999999999</v>
      </c>
      <c r="N4351">
        <v>-1.1259409999999999E-2</v>
      </c>
      <c r="O4351">
        <v>2.3274340000000002E-3</v>
      </c>
      <c r="P4351">
        <v>0.98489919999999997</v>
      </c>
      <c r="Q4351">
        <v>0.1496941</v>
      </c>
      <c r="R4351">
        <v>8.6979139999999996E-2</v>
      </c>
      <c r="S4351">
        <v>3.0393370000000002</v>
      </c>
      <c r="T4351">
        <v>-2.268791E-3</v>
      </c>
      <c r="U4351">
        <v>7.5698849999999998E-2</v>
      </c>
      <c r="V4351">
        <v>-8.4681179999999995E-2</v>
      </c>
      <c r="W4351">
        <v>0.16077939999999999</v>
      </c>
      <c r="X4351">
        <v>0.98335090000000003</v>
      </c>
      <c r="Y4351">
        <v>-2.2571750000000002E-2</v>
      </c>
      <c r="Z4351">
        <v>1.599851E-4</v>
      </c>
      <c r="AA4351">
        <v>0.9997452</v>
      </c>
      <c r="AB4351">
        <v>38</v>
      </c>
      <c r="AC4351">
        <v>201.48580000000001</v>
      </c>
      <c r="AD4351">
        <v>-0.150747199999999</v>
      </c>
      <c r="AE4351">
        <v>5.0269000000000101</v>
      </c>
      <c r="AF4351">
        <v>-4.5579092497618197</v>
      </c>
      <c r="AG4351">
        <v>-0.150747199999999</v>
      </c>
      <c r="AH4351">
        <v>201.49684200781499</v>
      </c>
      <c r="AI4351">
        <v>90.042854110105793</v>
      </c>
      <c r="AJ4351">
        <v>91.295823960727105</v>
      </c>
      <c r="AK4351">
        <v>201.54844231739801</v>
      </c>
      <c r="AL4351">
        <v>80.747861314025798</v>
      </c>
      <c r="AM4351">
        <v>94.921878676778405</v>
      </c>
      <c r="AN4351">
        <v>0.99999995512067996</v>
      </c>
    </row>
    <row r="4352" spans="1:40" x14ac:dyDescent="0.25">
      <c r="A4352" t="str">
        <f>"20190304154840581"</f>
        <v>20190304154840581</v>
      </c>
      <c r="B4352" t="str">
        <f>"1551685720570904"</f>
        <v>1551685720570904</v>
      </c>
      <c r="C4352" t="s">
        <v>40</v>
      </c>
      <c r="D4352">
        <v>4.4129690000000004</v>
      </c>
      <c r="E4352">
        <v>0.52270519999999998</v>
      </c>
      <c r="F4352" t="s">
        <v>71</v>
      </c>
      <c r="G4352">
        <v>-141.2441</v>
      </c>
      <c r="H4352">
        <v>1.0478940000000001</v>
      </c>
      <c r="I4352">
        <v>218.90469999999999</v>
      </c>
      <c r="J4352">
        <v>-342.36579999999998</v>
      </c>
      <c r="K4352">
        <v>1.1100479999999999</v>
      </c>
      <c r="L4352">
        <v>214.08</v>
      </c>
      <c r="M4352">
        <v>0.99993399999999999</v>
      </c>
      <c r="N4352">
        <v>-1.1261699999999999E-2</v>
      </c>
      <c r="O4352">
        <v>2.3278909999999999E-3</v>
      </c>
      <c r="P4352">
        <v>0.98475679999999999</v>
      </c>
      <c r="Q4352">
        <v>0.15002489999999999</v>
      </c>
      <c r="R4352">
        <v>8.8016040000000004E-2</v>
      </c>
      <c r="S4352">
        <v>3.0396730000000001</v>
      </c>
      <c r="T4352">
        <v>-9.368658E-4</v>
      </c>
      <c r="U4352">
        <v>7.2799680000000005E-2</v>
      </c>
      <c r="V4352">
        <v>-8.5717870000000002E-2</v>
      </c>
      <c r="W4352">
        <v>0.1611107</v>
      </c>
      <c r="X4352">
        <v>0.98320689999999999</v>
      </c>
      <c r="Y4352">
        <v>-2.1615639999999998E-2</v>
      </c>
      <c r="Z4352">
        <v>1.505624E-4</v>
      </c>
      <c r="AA4352">
        <v>0.9997663</v>
      </c>
      <c r="AB4352">
        <v>38</v>
      </c>
      <c r="AC4352">
        <v>201.1217</v>
      </c>
      <c r="AD4352">
        <v>-6.21539999999998E-2</v>
      </c>
      <c r="AE4352">
        <v>4.8246999999999698</v>
      </c>
      <c r="AF4352">
        <v>-4.35646748074734</v>
      </c>
      <c r="AG4352">
        <v>-6.21539999999998E-2</v>
      </c>
      <c r="AH4352">
        <v>201.132367872082</v>
      </c>
      <c r="AI4352">
        <v>90.017701411022898</v>
      </c>
      <c r="AJ4352">
        <v>91.240815588526004</v>
      </c>
      <c r="AK4352">
        <v>201.179551838305</v>
      </c>
      <c r="AL4352">
        <v>80.728628999147702</v>
      </c>
      <c r="AM4352">
        <v>94.982558201149104</v>
      </c>
      <c r="AN4352">
        <v>1.0000000095497099</v>
      </c>
    </row>
    <row r="4353" spans="1:40" x14ac:dyDescent="0.25">
      <c r="A4353" t="str">
        <f>"20190304154840604"</f>
        <v>20190304154840604</v>
      </c>
      <c r="B4353" t="str">
        <f>"1551685720591397"</f>
        <v>1551685720591397</v>
      </c>
      <c r="C4353" t="s">
        <v>40</v>
      </c>
      <c r="D4353">
        <v>4.4078819999999999</v>
      </c>
      <c r="E4353">
        <v>0.52323949999999997</v>
      </c>
      <c r="F4353" t="s">
        <v>71</v>
      </c>
      <c r="G4353">
        <v>-124.6118</v>
      </c>
      <c r="H4353">
        <v>1.107054</v>
      </c>
      <c r="I4353">
        <v>219.21039999999999</v>
      </c>
      <c r="J4353">
        <v>-341.98489999999998</v>
      </c>
      <c r="K4353">
        <v>1.110044</v>
      </c>
      <c r="L4353">
        <v>214.08090000000001</v>
      </c>
      <c r="M4353">
        <v>0.99993399999999999</v>
      </c>
      <c r="N4353">
        <v>-1.126186E-2</v>
      </c>
      <c r="O4353">
        <v>2.32854E-3</v>
      </c>
      <c r="P4353">
        <v>0.98465420000000003</v>
      </c>
      <c r="Q4353">
        <v>0.15030560000000001</v>
      </c>
      <c r="R4353">
        <v>8.8683040000000005E-2</v>
      </c>
      <c r="S4353">
        <v>3.0400700000000001</v>
      </c>
      <c r="T4353" s="1">
        <v>-4.1007999999999998E-5</v>
      </c>
      <c r="U4353">
        <v>7.1624759999999996E-2</v>
      </c>
      <c r="V4353">
        <v>-8.6383799999999997E-2</v>
      </c>
      <c r="W4353">
        <v>0.1613907</v>
      </c>
      <c r="X4353">
        <v>0.9831027</v>
      </c>
      <c r="Y4353">
        <v>-2.122574E-2</v>
      </c>
      <c r="Z4353">
        <v>1.4587390000000001E-4</v>
      </c>
      <c r="AA4353">
        <v>0.99977470000000002</v>
      </c>
      <c r="AB4353">
        <v>38</v>
      </c>
      <c r="AC4353">
        <v>217.37309999999999</v>
      </c>
      <c r="AD4353">
        <v>-2.9900000000000399E-3</v>
      </c>
      <c r="AE4353">
        <v>5.12949999999997</v>
      </c>
      <c r="AF4353">
        <v>-4.6232920963471802</v>
      </c>
      <c r="AG4353">
        <v>-2.9900000000000399E-3</v>
      </c>
      <c r="AH4353">
        <v>217.38445557622401</v>
      </c>
      <c r="AI4353">
        <v>90.000787892809399</v>
      </c>
      <c r="AJ4353">
        <v>91.218372287008904</v>
      </c>
      <c r="AK4353">
        <v>217.43361369604199</v>
      </c>
      <c r="AL4353">
        <v>80.712373539526794</v>
      </c>
      <c r="AM4353">
        <v>95.021599335747595</v>
      </c>
      <c r="AN4353">
        <v>1.00000001884811</v>
      </c>
    </row>
    <row r="4354" spans="1:40" x14ac:dyDescent="0.25">
      <c r="A4354" t="str">
        <f>"20190304154840627"</f>
        <v>20190304154840627</v>
      </c>
      <c r="B4354" t="str">
        <f>"1551685720620677"</f>
        <v>1551685720620677</v>
      </c>
      <c r="C4354" t="s">
        <v>40</v>
      </c>
      <c r="D4354">
        <v>4.3916209999999998</v>
      </c>
      <c r="E4354">
        <v>0.52398820000000002</v>
      </c>
      <c r="F4354" t="s">
        <v>71</v>
      </c>
      <c r="G4354">
        <v>-124.6118</v>
      </c>
      <c r="H4354">
        <v>1.1502319999999999</v>
      </c>
      <c r="I4354">
        <v>219.0489</v>
      </c>
      <c r="J4354">
        <v>-341.59550000000002</v>
      </c>
      <c r="K4354">
        <v>1.110034</v>
      </c>
      <c r="L4354">
        <v>214.08179999999999</v>
      </c>
      <c r="M4354">
        <v>0.99993399999999999</v>
      </c>
      <c r="N4354">
        <v>-1.1257680000000001E-2</v>
      </c>
      <c r="O4354">
        <v>2.329275E-3</v>
      </c>
      <c r="P4354">
        <v>0.98460440000000005</v>
      </c>
      <c r="Q4354">
        <v>0.15022170000000001</v>
      </c>
      <c r="R4354">
        <v>8.9372519999999997E-2</v>
      </c>
      <c r="S4354">
        <v>3.0404360000000001</v>
      </c>
      <c r="T4354">
        <v>5.6290629999999995E-4</v>
      </c>
      <c r="U4354">
        <v>6.9488530000000007E-2</v>
      </c>
      <c r="V4354">
        <v>-8.7072769999999994E-2</v>
      </c>
      <c r="W4354">
        <v>0.16130169999999999</v>
      </c>
      <c r="X4354">
        <v>0.9830565</v>
      </c>
      <c r="Y4354">
        <v>-2.0520119999999999E-2</v>
      </c>
      <c r="Z4354">
        <v>1.4027479999999999E-4</v>
      </c>
      <c r="AA4354">
        <v>0.99978940000000005</v>
      </c>
      <c r="AB4354">
        <v>38</v>
      </c>
      <c r="AC4354">
        <v>216.9837</v>
      </c>
      <c r="AD4354">
        <v>4.01979999999999E-2</v>
      </c>
      <c r="AE4354">
        <v>4.9671000000000101</v>
      </c>
      <c r="AF4354">
        <v>-4.4616396746202298</v>
      </c>
      <c r="AG4354">
        <v>4.01979999999999E-2</v>
      </c>
      <c r="AH4354">
        <v>216.994674330398</v>
      </c>
      <c r="AI4354">
        <v>89.989388269375297</v>
      </c>
      <c r="AJ4354">
        <v>91.177895768275704</v>
      </c>
      <c r="AK4354">
        <v>217.04054121804199</v>
      </c>
      <c r="AL4354">
        <v>80.717540329619894</v>
      </c>
      <c r="AM4354">
        <v>95.061679442325797</v>
      </c>
      <c r="AN4354">
        <v>0.99999999394530603</v>
      </c>
    </row>
    <row r="4355" spans="1:40" x14ac:dyDescent="0.25">
      <c r="A4355" t="str">
        <f>"20190304154840649"</f>
        <v>20190304154840649</v>
      </c>
      <c r="B4355" t="str">
        <f>"1551685720641172"</f>
        <v>1551685720641172</v>
      </c>
      <c r="C4355" t="s">
        <v>40</v>
      </c>
      <c r="D4355">
        <v>4.4128350000000003</v>
      </c>
      <c r="E4355">
        <v>0.52436910000000003</v>
      </c>
      <c r="F4355" t="s">
        <v>72</v>
      </c>
      <c r="G4355">
        <v>-107.39749999999999</v>
      </c>
      <c r="H4355">
        <v>1.086965</v>
      </c>
      <c r="I4355">
        <v>219.1431</v>
      </c>
      <c r="J4355">
        <v>-341.20139999999998</v>
      </c>
      <c r="K4355">
        <v>1.110033</v>
      </c>
      <c r="L4355">
        <v>214.08279999999999</v>
      </c>
      <c r="M4355">
        <v>0.99993410000000005</v>
      </c>
      <c r="N4355">
        <v>-1.12511E-2</v>
      </c>
      <c r="O4355">
        <v>2.3297859999999999E-3</v>
      </c>
      <c r="P4355">
        <v>0.9844157</v>
      </c>
      <c r="Q4355">
        <v>0.1510128</v>
      </c>
      <c r="R4355">
        <v>9.0116970000000005E-2</v>
      </c>
      <c r="S4355">
        <v>3.040985</v>
      </c>
      <c r="T4355">
        <v>-2.988577E-4</v>
      </c>
      <c r="U4355">
        <v>6.5719600000000003E-2</v>
      </c>
      <c r="V4355">
        <v>-8.7817450000000005E-2</v>
      </c>
      <c r="W4355">
        <v>0.1620848</v>
      </c>
      <c r="X4355">
        <v>0.98286150000000005</v>
      </c>
      <c r="Y4355">
        <v>-1.9276930000000001E-2</v>
      </c>
      <c r="Z4355">
        <v>1.353882E-4</v>
      </c>
      <c r="AA4355">
        <v>0.99981419999999999</v>
      </c>
      <c r="AB4355">
        <v>38</v>
      </c>
      <c r="AC4355">
        <v>233.8039</v>
      </c>
      <c r="AD4355">
        <v>-2.3068000000000002E-2</v>
      </c>
      <c r="AE4355">
        <v>5.0603000000000096</v>
      </c>
      <c r="AF4355">
        <v>-4.5155387475908997</v>
      </c>
      <c r="AG4355">
        <v>-2.3068000000000002E-2</v>
      </c>
      <c r="AH4355">
        <v>233.81505327256701</v>
      </c>
      <c r="AI4355">
        <v>90.0056517003962</v>
      </c>
      <c r="AJ4355">
        <v>91.106383660594901</v>
      </c>
      <c r="AK4355">
        <v>233.85865337670799</v>
      </c>
      <c r="AL4355">
        <v>80.672074309563001</v>
      </c>
      <c r="AM4355">
        <v>95.105748553768606</v>
      </c>
      <c r="AN4355">
        <v>1.0000000575488901</v>
      </c>
    </row>
    <row r="4356" spans="1:40" x14ac:dyDescent="0.25">
      <c r="A4356" t="str">
        <f>"20190304154840671"</f>
        <v>20190304154840671</v>
      </c>
      <c r="B4356" t="str">
        <f>"1551685720660709"</f>
        <v>1551685720660709</v>
      </c>
      <c r="C4356" t="s">
        <v>40</v>
      </c>
      <c r="D4356">
        <v>4.3858670000000002</v>
      </c>
      <c r="E4356">
        <v>0.52474279999999995</v>
      </c>
      <c r="F4356" t="s">
        <v>72</v>
      </c>
      <c r="G4356">
        <v>-107.39749999999999</v>
      </c>
      <c r="H4356">
        <v>1.2209779999999999</v>
      </c>
      <c r="I4356">
        <v>219.054</v>
      </c>
      <c r="J4356">
        <v>-340.83699999999999</v>
      </c>
      <c r="K4356">
        <v>1.110036</v>
      </c>
      <c r="L4356">
        <v>214.08359999999999</v>
      </c>
      <c r="M4356">
        <v>0.99993410000000005</v>
      </c>
      <c r="N4356">
        <v>-1.1245120000000001E-2</v>
      </c>
      <c r="O4356">
        <v>2.3305330000000001E-3</v>
      </c>
      <c r="P4356">
        <v>0.98434100000000002</v>
      </c>
      <c r="Q4356">
        <v>0.15160670000000001</v>
      </c>
      <c r="R4356">
        <v>8.9935619999999994E-2</v>
      </c>
      <c r="S4356">
        <v>3.0413510000000001</v>
      </c>
      <c r="T4356">
        <v>1.4438630000000001E-3</v>
      </c>
      <c r="U4356">
        <v>6.4666749999999995E-2</v>
      </c>
      <c r="V4356">
        <v>-8.7635439999999995E-2</v>
      </c>
      <c r="W4356">
        <v>0.1626715</v>
      </c>
      <c r="X4356">
        <v>0.98278080000000001</v>
      </c>
      <c r="Y4356">
        <v>-1.8927699999999999E-2</v>
      </c>
      <c r="Z4356">
        <v>1.292563E-4</v>
      </c>
      <c r="AA4356">
        <v>0.99982079999999995</v>
      </c>
      <c r="AB4356">
        <v>38</v>
      </c>
      <c r="AC4356">
        <v>233.43950000000001</v>
      </c>
      <c r="AD4356">
        <v>0.110942</v>
      </c>
      <c r="AE4356">
        <v>4.9704000000000104</v>
      </c>
      <c r="AF4356">
        <v>-4.4263126658933203</v>
      </c>
      <c r="AG4356">
        <v>0.110942</v>
      </c>
      <c r="AH4356">
        <v>233.45039767870901</v>
      </c>
      <c r="AI4356">
        <v>89.972776376944793</v>
      </c>
      <c r="AJ4356">
        <v>91.086220683693995</v>
      </c>
      <c r="AK4356">
        <v>233.49238259157599</v>
      </c>
      <c r="AL4356">
        <v>80.638006625624698</v>
      </c>
      <c r="AM4356">
        <v>95.095638351552495</v>
      </c>
      <c r="AN4356">
        <v>1.0000000440524399</v>
      </c>
    </row>
    <row r="4357" spans="1:40" x14ac:dyDescent="0.25">
      <c r="A4357" t="str">
        <f>"20190304154840692"</f>
        <v>20190304154840692</v>
      </c>
      <c r="B4357" t="str">
        <f>"1551685720681189"</f>
        <v>1551685720681189</v>
      </c>
      <c r="C4357" t="s">
        <v>40</v>
      </c>
      <c r="D4357">
        <v>4.3738390000000003</v>
      </c>
      <c r="E4357">
        <v>0.52522599999999997</v>
      </c>
      <c r="F4357" t="s">
        <v>72</v>
      </c>
      <c r="G4357">
        <v>-107.39749999999999</v>
      </c>
      <c r="H4357">
        <v>1.2979000000000001</v>
      </c>
      <c r="I4357">
        <v>218.8064</v>
      </c>
      <c r="J4357">
        <v>-340.47879999999998</v>
      </c>
      <c r="K4357">
        <v>1.110039</v>
      </c>
      <c r="L4357">
        <v>214.08449999999999</v>
      </c>
      <c r="M4357">
        <v>0.99993410000000005</v>
      </c>
      <c r="N4357">
        <v>-1.1239570000000001E-2</v>
      </c>
      <c r="O4357">
        <v>2.3310399999999999E-3</v>
      </c>
      <c r="P4357">
        <v>0.98423519999999998</v>
      </c>
      <c r="Q4357">
        <v>0.15226990000000001</v>
      </c>
      <c r="R4357">
        <v>8.9972739999999995E-2</v>
      </c>
      <c r="S4357">
        <v>3.0417480000000001</v>
      </c>
      <c r="T4357">
        <v>2.4485589999999999E-3</v>
      </c>
      <c r="U4357">
        <v>6.1538700000000002E-2</v>
      </c>
      <c r="V4357">
        <v>-8.7672199999999895E-2</v>
      </c>
      <c r="W4357">
        <v>0.163328799999999</v>
      </c>
      <c r="X4357">
        <v>0.98266849999999994</v>
      </c>
      <c r="Y4357">
        <v>-1.7896700000000001E-2</v>
      </c>
      <c r="Z4357">
        <v>1.214607E-4</v>
      </c>
      <c r="AA4357">
        <v>0.99983979999999995</v>
      </c>
      <c r="AB4357">
        <v>38</v>
      </c>
      <c r="AC4357">
        <v>233.0813</v>
      </c>
      <c r="AD4357">
        <v>0.187861</v>
      </c>
      <c r="AE4357">
        <v>4.7218999999999998</v>
      </c>
      <c r="AF4357">
        <v>-4.1785282918215403</v>
      </c>
      <c r="AG4357">
        <v>0.187861</v>
      </c>
      <c r="AH4357">
        <v>233.09152294146699</v>
      </c>
      <c r="AI4357">
        <v>89.953829676528301</v>
      </c>
      <c r="AJ4357">
        <v>91.027006009012496</v>
      </c>
      <c r="AK4357">
        <v>233.12904893559099</v>
      </c>
      <c r="AL4357">
        <v>80.599835633898806</v>
      </c>
      <c r="AM4357">
        <v>95.098344039180404</v>
      </c>
      <c r="AN4357">
        <v>1.00000004622726</v>
      </c>
    </row>
    <row r="4358" spans="1:40" x14ac:dyDescent="0.25">
      <c r="A4358" t="str">
        <f>"20190304154840715"</f>
        <v>20190304154840715</v>
      </c>
      <c r="B4358" t="str">
        <f>"1551685720711445"</f>
        <v>1551685720711445</v>
      </c>
      <c r="C4358" t="s">
        <v>40</v>
      </c>
      <c r="D4358">
        <v>4.5472479999999997</v>
      </c>
      <c r="E4358">
        <v>0.52585039999999905</v>
      </c>
      <c r="F4358" t="s">
        <v>72</v>
      </c>
      <c r="G4358">
        <v>-107.39749999999999</v>
      </c>
      <c r="H4358">
        <v>1.4416279999999999</v>
      </c>
      <c r="I4358">
        <v>218.4873</v>
      </c>
      <c r="J4358">
        <v>-340.09190000000001</v>
      </c>
      <c r="K4358">
        <v>1.110042</v>
      </c>
      <c r="L4358">
        <v>214.08539999999999</v>
      </c>
      <c r="M4358">
        <v>0.99993430000000005</v>
      </c>
      <c r="N4358">
        <v>-1.123388E-2</v>
      </c>
      <c r="O4358">
        <v>2.3315480000000001E-3</v>
      </c>
      <c r="P4358">
        <v>0.98407009999999995</v>
      </c>
      <c r="Q4358">
        <v>0.15344279999999999</v>
      </c>
      <c r="R4358">
        <v>8.9785210000000004E-2</v>
      </c>
      <c r="S4358">
        <v>3.0421140000000002</v>
      </c>
      <c r="T4358">
        <v>4.3284889999999996E-3</v>
      </c>
      <c r="U4358">
        <v>5.7464599999999998E-2</v>
      </c>
      <c r="V4358">
        <v>-8.7484000000000006E-2</v>
      </c>
      <c r="W4358">
        <v>0.1644939</v>
      </c>
      <c r="X4358">
        <v>0.98249089999999994</v>
      </c>
      <c r="Y4358">
        <v>-1.6555299999999998E-2</v>
      </c>
      <c r="Z4358">
        <v>1.107322E-4</v>
      </c>
      <c r="AA4358">
        <v>0.99986299999999995</v>
      </c>
      <c r="AB4358">
        <v>38</v>
      </c>
      <c r="AC4358">
        <v>232.6944</v>
      </c>
      <c r="AD4358">
        <v>0.33158599999999999</v>
      </c>
      <c r="AE4358">
        <v>4.4019000000000101</v>
      </c>
      <c r="AF4358">
        <v>-3.8593078649239301</v>
      </c>
      <c r="AG4358">
        <v>0.33158599999999999</v>
      </c>
      <c r="AH4358">
        <v>232.70355897556101</v>
      </c>
      <c r="AI4358">
        <v>89.918368875222697</v>
      </c>
      <c r="AJ4358">
        <v>90.950143536951998</v>
      </c>
      <c r="AK4358">
        <v>232.735795627497</v>
      </c>
      <c r="AL4358">
        <v>80.532164935246797</v>
      </c>
      <c r="AM4358">
        <v>95.088372069793607</v>
      </c>
      <c r="AN4358">
        <v>1.0000000309879999</v>
      </c>
    </row>
    <row r="4359" spans="1:40" x14ac:dyDescent="0.25">
      <c r="A4359" t="str">
        <f>"20190304154840738"</f>
        <v>20190304154840738</v>
      </c>
      <c r="B4359" t="str">
        <f>"1551685720730968"</f>
        <v>1551685720730968</v>
      </c>
      <c r="C4359" t="s">
        <v>40</v>
      </c>
      <c r="D4359">
        <v>4.3954639999999996</v>
      </c>
      <c r="E4359">
        <v>0.55053549999999996</v>
      </c>
      <c r="F4359" t="s">
        <v>72</v>
      </c>
      <c r="G4359">
        <v>-107.39749999999999</v>
      </c>
      <c r="H4359">
        <v>1.7834759999999901</v>
      </c>
      <c r="I4359">
        <v>218.06379999999999</v>
      </c>
      <c r="J4359">
        <v>-339.6995</v>
      </c>
      <c r="K4359">
        <v>1.110042</v>
      </c>
      <c r="L4359">
        <v>214.08629999999999</v>
      </c>
      <c r="M4359">
        <v>0.99993430000000005</v>
      </c>
      <c r="N4359">
        <v>-1.122867E-2</v>
      </c>
      <c r="O4359">
        <v>2.3321129999999998E-3</v>
      </c>
      <c r="P4359">
        <v>0.98399320000000001</v>
      </c>
      <c r="Q4359">
        <v>0.15442729999999999</v>
      </c>
      <c r="R4359">
        <v>8.8936059999999997E-2</v>
      </c>
      <c r="S4359">
        <v>3.0424500000000001</v>
      </c>
      <c r="T4359">
        <v>8.805752E-3</v>
      </c>
      <c r="U4359">
        <v>5.2017210000000001E-2</v>
      </c>
      <c r="V4359">
        <v>-8.6634749999999996E-2</v>
      </c>
      <c r="W4359">
        <v>0.16547210000000001</v>
      </c>
      <c r="X4359">
        <v>0.98240179999999999</v>
      </c>
      <c r="Y4359">
        <v>-1.476309E-2</v>
      </c>
      <c r="Z4359" s="1">
        <v>9.4464949999999994E-5</v>
      </c>
      <c r="AA4359">
        <v>0.99989099999999997</v>
      </c>
      <c r="AB4359">
        <v>38</v>
      </c>
      <c r="AC4359">
        <v>232.30199999999999</v>
      </c>
      <c r="AD4359">
        <v>0.67343399999999898</v>
      </c>
      <c r="AE4359">
        <v>3.9774999999999898</v>
      </c>
      <c r="AF4359">
        <v>-3.4356716812900001</v>
      </c>
      <c r="AG4359">
        <v>0.67343399999999898</v>
      </c>
      <c r="AH4359">
        <v>232.308693025194</v>
      </c>
      <c r="AI4359">
        <v>89.833925289499803</v>
      </c>
      <c r="AJ4359">
        <v>90.847299920988405</v>
      </c>
      <c r="AK4359">
        <v>232.33507313431599</v>
      </c>
      <c r="AL4359">
        <v>80.475338675505199</v>
      </c>
      <c r="AM4359">
        <v>95.039687008289107</v>
      </c>
      <c r="AN4359">
        <v>0.99999994621460397</v>
      </c>
    </row>
    <row r="4360" spans="1:40" x14ac:dyDescent="0.25">
      <c r="A4360" t="str">
        <f>"20190304154840760"</f>
        <v>20190304154840760</v>
      </c>
      <c r="B4360" t="str">
        <f>"1551685720751461"</f>
        <v>1551685720751461</v>
      </c>
      <c r="C4360" t="s">
        <v>40</v>
      </c>
      <c r="D4360">
        <v>4.4939980000000004</v>
      </c>
      <c r="E4360">
        <v>0.55475430000000003</v>
      </c>
      <c r="F4360" t="s">
        <v>70</v>
      </c>
      <c r="G4360">
        <v>-168.4117</v>
      </c>
      <c r="H4360">
        <v>3.0223870000000002</v>
      </c>
      <c r="I4360">
        <v>205.93219999999999</v>
      </c>
      <c r="J4360">
        <v>-339.3272</v>
      </c>
      <c r="K4360">
        <v>1.1100410000000001</v>
      </c>
      <c r="L4360">
        <v>214.08709999999999</v>
      </c>
      <c r="M4360">
        <v>0.99993430000000005</v>
      </c>
      <c r="N4360">
        <v>-1.1224410000000001E-2</v>
      </c>
      <c r="O4360">
        <v>2.3326140000000002E-3</v>
      </c>
      <c r="P4360">
        <v>0.98394510000000002</v>
      </c>
      <c r="Q4360">
        <v>0.15494810000000001</v>
      </c>
      <c r="R4360">
        <v>8.8560369999999999E-2</v>
      </c>
      <c r="S4360">
        <v>3.05661</v>
      </c>
      <c r="T4360">
        <v>3.4126160000000003E-2</v>
      </c>
      <c r="U4360">
        <v>-0.14550779999999999</v>
      </c>
      <c r="V4360">
        <v>-8.6258489999999993E-2</v>
      </c>
      <c r="W4360">
        <v>0.165988</v>
      </c>
      <c r="X4360">
        <v>0.98234790000000005</v>
      </c>
      <c r="Y4360">
        <v>4.9879899999999998E-2</v>
      </c>
      <c r="Z4360" s="1">
        <v>5.0371919999999999E-5</v>
      </c>
      <c r="AA4360">
        <v>0.99875519999999995</v>
      </c>
      <c r="AB4360">
        <v>38</v>
      </c>
      <c r="AC4360">
        <v>170.91550000000001</v>
      </c>
      <c r="AD4360">
        <v>1.9123460000000001</v>
      </c>
      <c r="AE4360">
        <v>-8.1548999999999907</v>
      </c>
      <c r="AF4360">
        <v>8.5525145513156495</v>
      </c>
      <c r="AG4360">
        <v>1.9123460000000001</v>
      </c>
      <c r="AH4360">
        <v>170.87466829463099</v>
      </c>
      <c r="AI4360">
        <v>89.359601907233795</v>
      </c>
      <c r="AJ4360">
        <v>87.134657731696095</v>
      </c>
      <c r="AK4360">
        <v>171.09925434429601</v>
      </c>
      <c r="AL4360">
        <v>80.445365512307106</v>
      </c>
      <c r="AM4360">
        <v>95.018185250592694</v>
      </c>
      <c r="AN4360">
        <v>0.99999996993774398</v>
      </c>
    </row>
    <row r="4361" spans="1:40" x14ac:dyDescent="0.25">
      <c r="A4361" t="str">
        <f>"20190304154840782"</f>
        <v>20190304154840782</v>
      </c>
      <c r="B4361" t="str">
        <f>"1551685720770980"</f>
        <v>1551685720770980</v>
      </c>
      <c r="C4361" t="s">
        <v>40</v>
      </c>
      <c r="D4361">
        <v>4.5271530000000002</v>
      </c>
      <c r="E4361">
        <v>0.55716529999999997</v>
      </c>
      <c r="F4361" t="s">
        <v>70</v>
      </c>
      <c r="G4361">
        <v>-168.41210000000001</v>
      </c>
      <c r="H4361">
        <v>2.3250899999999999</v>
      </c>
      <c r="I4361">
        <v>203.98509999999999</v>
      </c>
      <c r="J4361">
        <v>-338.95400000000001</v>
      </c>
      <c r="K4361">
        <v>1.1100399999999999</v>
      </c>
      <c r="L4361">
        <v>214.08799999999999</v>
      </c>
      <c r="M4361">
        <v>0.99993430000000005</v>
      </c>
      <c r="N4361">
        <v>-1.1220829999999999E-2</v>
      </c>
      <c r="O4361">
        <v>2.332991E-3</v>
      </c>
      <c r="P4361">
        <v>0.98401349999999999</v>
      </c>
      <c r="Q4361">
        <v>0.1548368</v>
      </c>
      <c r="R4361">
        <v>8.7994950000000002E-2</v>
      </c>
      <c r="S4361">
        <v>3.061798</v>
      </c>
      <c r="T4361">
        <v>2.1767140000000001E-2</v>
      </c>
      <c r="U4361">
        <v>-0.1809692</v>
      </c>
      <c r="V4361">
        <v>-8.5692879999999999E-2</v>
      </c>
      <c r="W4361">
        <v>0.16587370000000001</v>
      </c>
      <c r="X4361">
        <v>0.98241670000000003</v>
      </c>
      <c r="Y4361">
        <v>6.1331990000000003E-2</v>
      </c>
      <c r="Z4361" s="1">
        <v>-8.3860010000000001E-5</v>
      </c>
      <c r="AA4361">
        <v>0.99811740000000004</v>
      </c>
      <c r="AB4361">
        <v>38</v>
      </c>
      <c r="AC4361">
        <v>170.5419</v>
      </c>
      <c r="AD4361">
        <v>1.21505</v>
      </c>
      <c r="AE4361">
        <v>-10.1029</v>
      </c>
      <c r="AF4361">
        <v>10.5002391453146</v>
      </c>
      <c r="AG4361">
        <v>1.21505</v>
      </c>
      <c r="AH4361">
        <v>170.50923949430199</v>
      </c>
      <c r="AI4361">
        <v>89.592488741310603</v>
      </c>
      <c r="AJ4361">
        <v>86.476081837953103</v>
      </c>
      <c r="AK4361">
        <v>170.83656552839099</v>
      </c>
      <c r="AL4361">
        <v>80.452006416689997</v>
      </c>
      <c r="AM4361">
        <v>94.985099248318207</v>
      </c>
      <c r="AN4361">
        <v>0.99999996323663598</v>
      </c>
    </row>
    <row r="4362" spans="1:40" x14ac:dyDescent="0.25">
      <c r="A4362" t="str">
        <f>"20190304154840805"</f>
        <v>20190304154840805</v>
      </c>
      <c r="B4362" t="str">
        <f>"1551685720801237"</f>
        <v>1551685720801237</v>
      </c>
      <c r="C4362" t="s">
        <v>40</v>
      </c>
      <c r="D4362">
        <v>4.4853170000000002</v>
      </c>
      <c r="E4362">
        <v>0.55933580000000005</v>
      </c>
      <c r="F4362" t="s">
        <v>70</v>
      </c>
      <c r="G4362">
        <v>-168.41210000000001</v>
      </c>
      <c r="H4362">
        <v>1.146023</v>
      </c>
      <c r="I4362">
        <v>202.8203</v>
      </c>
      <c r="J4362">
        <v>-338.5752</v>
      </c>
      <c r="K4362">
        <v>1.1100460000000001</v>
      </c>
      <c r="L4362">
        <v>214.0889</v>
      </c>
      <c r="M4362">
        <v>0.9999344</v>
      </c>
      <c r="N4362">
        <v>-1.1217980000000001E-2</v>
      </c>
      <c r="O4362">
        <v>2.333543E-3</v>
      </c>
      <c r="P4362">
        <v>0.98397279999999998</v>
      </c>
      <c r="Q4362">
        <v>0.15531829999999999</v>
      </c>
      <c r="R4362">
        <v>8.7600720000000007E-2</v>
      </c>
      <c r="S4362">
        <v>3.0667719999999998</v>
      </c>
      <c r="T4362">
        <v>6.4766409999999998E-4</v>
      </c>
      <c r="U4362">
        <v>-0.20262150000000001</v>
      </c>
      <c r="V4362">
        <v>-8.5298020000000002E-2</v>
      </c>
      <c r="W4362">
        <v>0.16635239999999901</v>
      </c>
      <c r="X4362">
        <v>0.98237010000000002</v>
      </c>
      <c r="Y4362">
        <v>6.8254579999999995E-2</v>
      </c>
      <c r="Z4362">
        <v>-3.494266E-4</v>
      </c>
      <c r="AA4362">
        <v>0.99766779999999999</v>
      </c>
      <c r="AB4362">
        <v>38</v>
      </c>
      <c r="AC4362">
        <v>170.16309999999999</v>
      </c>
      <c r="AD4362">
        <v>3.5977000000000099E-2</v>
      </c>
      <c r="AE4362">
        <v>-11.2685999999999</v>
      </c>
      <c r="AF4362">
        <v>11.665676675620899</v>
      </c>
      <c r="AG4362">
        <v>3.5977000000000099E-2</v>
      </c>
      <c r="AH4362">
        <v>170.13633164783101</v>
      </c>
      <c r="AI4362">
        <v>89.987912624685606</v>
      </c>
      <c r="AJ4362">
        <v>86.077560166138198</v>
      </c>
      <c r="AK4362">
        <v>170.53580460778699</v>
      </c>
      <c r="AL4362">
        <v>80.424192306216199</v>
      </c>
      <c r="AM4362">
        <v>94.962477827384404</v>
      </c>
      <c r="AN4362">
        <v>0.99999994328784303</v>
      </c>
    </row>
    <row r="4363" spans="1:40" x14ac:dyDescent="0.25">
      <c r="A4363" t="str">
        <f>"20190304154840829"</f>
        <v>20190304154840829</v>
      </c>
      <c r="B4363" t="str">
        <f>"1551685720820760"</f>
        <v>1551685720820760</v>
      </c>
      <c r="C4363" t="s">
        <v>40</v>
      </c>
      <c r="D4363">
        <v>4.5320929999999997</v>
      </c>
      <c r="E4363">
        <v>0.56065319999999996</v>
      </c>
      <c r="F4363" t="s">
        <v>70</v>
      </c>
      <c r="G4363">
        <v>-168.41220000000001</v>
      </c>
      <c r="H4363">
        <v>0.54366110000000001</v>
      </c>
      <c r="I4363">
        <v>201.8126</v>
      </c>
      <c r="J4363">
        <v>-338.16430000000003</v>
      </c>
      <c r="K4363">
        <v>1.110047</v>
      </c>
      <c r="L4363">
        <v>214.0898</v>
      </c>
      <c r="M4363">
        <v>0.99993449999999995</v>
      </c>
      <c r="N4363">
        <v>-1.1215660000000001E-2</v>
      </c>
      <c r="O4363">
        <v>2.3340320000000002E-3</v>
      </c>
      <c r="P4363">
        <v>0.98405549999999997</v>
      </c>
      <c r="Q4363">
        <v>0.155053</v>
      </c>
      <c r="R4363">
        <v>8.7140679999999998E-2</v>
      </c>
      <c r="S4363">
        <v>3.0701900000000002</v>
      </c>
      <c r="T4363">
        <v>-1.02185E-2</v>
      </c>
      <c r="U4363">
        <v>-0.22149659999999999</v>
      </c>
      <c r="V4363">
        <v>-8.4837209999999996E-2</v>
      </c>
      <c r="W4363">
        <v>0.16608580000000001</v>
      </c>
      <c r="X4363">
        <v>0.98245519999999997</v>
      </c>
      <c r="Y4363">
        <v>7.4283290000000002E-2</v>
      </c>
      <c r="Z4363">
        <v>-5.2219889999999996E-4</v>
      </c>
      <c r="AA4363">
        <v>0.99723700000000004</v>
      </c>
      <c r="AB4363">
        <v>38</v>
      </c>
      <c r="AC4363">
        <v>169.75210000000001</v>
      </c>
      <c r="AD4363">
        <v>-0.5663859</v>
      </c>
      <c r="AE4363">
        <v>-12.277199999999899</v>
      </c>
      <c r="AF4363">
        <v>12.673257910275</v>
      </c>
      <c r="AG4363">
        <v>-0.5663859</v>
      </c>
      <c r="AH4363">
        <v>169.72110078853399</v>
      </c>
      <c r="AI4363">
        <v>90.190673448979197</v>
      </c>
      <c r="AJ4363">
        <v>85.729587438537294</v>
      </c>
      <c r="AK4363">
        <v>170.194548420095</v>
      </c>
      <c r="AL4363">
        <v>80.439683715091704</v>
      </c>
      <c r="AM4363">
        <v>94.935376141047698</v>
      </c>
      <c r="AN4363">
        <v>1.0000000325846301</v>
      </c>
    </row>
    <row r="4364" spans="1:40" x14ac:dyDescent="0.25">
      <c r="A4364" t="str">
        <f>"20190304154840851"</f>
        <v>20190304154840851</v>
      </c>
      <c r="B4364" t="str">
        <f>"1551685720841253"</f>
        <v>1551685720841253</v>
      </c>
      <c r="C4364" t="s">
        <v>40</v>
      </c>
      <c r="D4364">
        <v>4.49221</v>
      </c>
      <c r="E4364">
        <v>0.56127740000000004</v>
      </c>
      <c r="F4364" t="s">
        <v>70</v>
      </c>
      <c r="G4364">
        <v>-168.41239999999999</v>
      </c>
      <c r="H4364">
        <v>0.4834175</v>
      </c>
      <c r="I4364">
        <v>201.2114</v>
      </c>
      <c r="J4364">
        <v>-337.78230000000002</v>
      </c>
      <c r="K4364">
        <v>1.1100410000000001</v>
      </c>
      <c r="L4364">
        <v>214.0907</v>
      </c>
      <c r="M4364">
        <v>0.9999344</v>
      </c>
      <c r="N4364">
        <v>-1.121404E-2</v>
      </c>
      <c r="O4364">
        <v>2.3346959999999998E-3</v>
      </c>
      <c r="P4364">
        <v>0.98409469999999999</v>
      </c>
      <c r="Q4364">
        <v>0.15486369999999999</v>
      </c>
      <c r="R4364">
        <v>8.7033120000000005E-2</v>
      </c>
      <c r="S4364">
        <v>3.0710139999999999</v>
      </c>
      <c r="T4364">
        <v>-1.133585E-2</v>
      </c>
      <c r="U4364">
        <v>-0.23298650000000001</v>
      </c>
      <c r="V4364">
        <v>-8.4728929999999994E-2</v>
      </c>
      <c r="W4364">
        <v>0.16589489999999901</v>
      </c>
      <c r="X4364">
        <v>0.9824967</v>
      </c>
      <c r="Y4364">
        <v>7.7974619999999994E-2</v>
      </c>
      <c r="Z4364">
        <v>-5.6401849999999996E-4</v>
      </c>
      <c r="AA4364">
        <v>0.99695520000000004</v>
      </c>
      <c r="AB4364">
        <v>38</v>
      </c>
      <c r="AC4364">
        <v>169.3699</v>
      </c>
      <c r="AD4364">
        <v>-0.6266235</v>
      </c>
      <c r="AE4364">
        <v>-12.879300000000001</v>
      </c>
      <c r="AF4364">
        <v>13.2745363285461</v>
      </c>
      <c r="AG4364">
        <v>-0.6266235</v>
      </c>
      <c r="AH4364">
        <v>169.33706263476901</v>
      </c>
      <c r="AI4364">
        <v>90.211370800615498</v>
      </c>
      <c r="AJ4364">
        <v>85.517681379032396</v>
      </c>
      <c r="AK4364">
        <v>169.85772503339399</v>
      </c>
      <c r="AL4364">
        <v>80.450774432314304</v>
      </c>
      <c r="AM4364">
        <v>94.928900865758294</v>
      </c>
      <c r="AN4364">
        <v>0.99999993746792004</v>
      </c>
    </row>
    <row r="4365" spans="1:40" x14ac:dyDescent="0.25">
      <c r="A4365" t="str">
        <f>"20190304154840872"</f>
        <v>20190304154840872</v>
      </c>
      <c r="B4365" t="str">
        <f>"1551685720860773"</f>
        <v>1551685720860773</v>
      </c>
      <c r="C4365" t="s">
        <v>40</v>
      </c>
      <c r="D4365">
        <v>4.4696280000000002</v>
      </c>
      <c r="E4365">
        <v>0.5617624</v>
      </c>
      <c r="F4365" t="s">
        <v>70</v>
      </c>
      <c r="G4365">
        <v>-168.41239999999999</v>
      </c>
      <c r="H4365">
        <v>0.28733439999999999</v>
      </c>
      <c r="I4365">
        <v>200.94820000000001</v>
      </c>
      <c r="J4365">
        <v>-337.42660000000001</v>
      </c>
      <c r="K4365">
        <v>1.1100369999999999</v>
      </c>
      <c r="L4365">
        <v>214.0916</v>
      </c>
      <c r="M4365">
        <v>0.9999344</v>
      </c>
      <c r="N4365">
        <v>-1.1212980000000001E-2</v>
      </c>
      <c r="O4365">
        <v>2.3354180000000001E-3</v>
      </c>
      <c r="P4365">
        <v>0.98407809999999996</v>
      </c>
      <c r="Q4365">
        <v>0.15483350000000001</v>
      </c>
      <c r="R4365">
        <v>8.7275069999999996E-2</v>
      </c>
      <c r="S4365">
        <v>3.0719599999999998</v>
      </c>
      <c r="T4365">
        <v>-1.492131E-2</v>
      </c>
      <c r="U4365">
        <v>-0.2383728</v>
      </c>
      <c r="V4365">
        <v>-8.4970180000000006E-2</v>
      </c>
      <c r="W4365">
        <v>0.16586380000000001</v>
      </c>
      <c r="X4365">
        <v>0.98248120000000005</v>
      </c>
      <c r="Y4365">
        <v>7.968894E-2</v>
      </c>
      <c r="Z4365">
        <v>-6.2589069999999995E-4</v>
      </c>
      <c r="AA4365">
        <v>0.99681960000000003</v>
      </c>
      <c r="AB4365">
        <v>38</v>
      </c>
      <c r="AC4365">
        <v>169.01419999999999</v>
      </c>
      <c r="AD4365">
        <v>-0.82270259999999995</v>
      </c>
      <c r="AE4365">
        <v>-13.1433999999999</v>
      </c>
      <c r="AF4365">
        <v>13.5377889388249</v>
      </c>
      <c r="AG4365">
        <v>-0.82270259999999995</v>
      </c>
      <c r="AH4365">
        <v>168.97906202998101</v>
      </c>
      <c r="AI4365">
        <v>90.278060887229998</v>
      </c>
      <c r="AJ4365">
        <v>85.419521113242098</v>
      </c>
      <c r="AK4365">
        <v>169.52248220649801</v>
      </c>
      <c r="AL4365">
        <v>80.452582159618999</v>
      </c>
      <c r="AM4365">
        <v>94.942943165877097</v>
      </c>
      <c r="AN4365">
        <v>1.00000001999655</v>
      </c>
    </row>
    <row r="4366" spans="1:40" x14ac:dyDescent="0.25">
      <c r="A4366" t="str">
        <f>"20190304154840893"</f>
        <v>20190304154840893</v>
      </c>
      <c r="B4366" t="str">
        <f>"1551685720891029"</f>
        <v>1551685720891029</v>
      </c>
      <c r="C4366" t="s">
        <v>40</v>
      </c>
      <c r="D4366">
        <v>4.4630970000000003</v>
      </c>
      <c r="E4366">
        <v>0.56194860000000002</v>
      </c>
      <c r="F4366" t="s">
        <v>70</v>
      </c>
      <c r="G4366">
        <v>-168.41239999999999</v>
      </c>
      <c r="H4366">
        <v>0.173543</v>
      </c>
      <c r="I4366">
        <v>200.8152</v>
      </c>
      <c r="J4366">
        <v>-337.05489999999998</v>
      </c>
      <c r="K4366">
        <v>1.1100369999999999</v>
      </c>
      <c r="L4366">
        <v>214.0924</v>
      </c>
      <c r="M4366">
        <v>0.99993460000000001</v>
      </c>
      <c r="N4366">
        <v>-1.1212369999999999E-2</v>
      </c>
      <c r="O4366">
        <v>2.3355400000000001E-3</v>
      </c>
      <c r="P4366">
        <v>0.98410330000000001</v>
      </c>
      <c r="Q4366">
        <v>0.1548399</v>
      </c>
      <c r="R4366">
        <v>8.6980999999999906E-2</v>
      </c>
      <c r="S4366">
        <v>3.0726619999999998</v>
      </c>
      <c r="T4366">
        <v>-1.702476E-2</v>
      </c>
      <c r="U4366">
        <v>-0.24136350000000001</v>
      </c>
      <c r="V4366">
        <v>-8.4675890000000004E-2</v>
      </c>
      <c r="W4366">
        <v>0.16586999999999999</v>
      </c>
      <c r="X4366">
        <v>0.98250559999999998</v>
      </c>
      <c r="Y4366">
        <v>8.0635230000000002E-2</v>
      </c>
      <c r="Z4366">
        <v>-6.6259279999999999E-4</v>
      </c>
      <c r="AA4366">
        <v>0.99674339999999995</v>
      </c>
      <c r="AB4366">
        <v>38</v>
      </c>
      <c r="AC4366">
        <v>168.64249999999899</v>
      </c>
      <c r="AD4366">
        <v>-0.93649400000000005</v>
      </c>
      <c r="AE4366">
        <v>-13.277199999999899</v>
      </c>
      <c r="AF4366">
        <v>13.670640806080799</v>
      </c>
      <c r="AG4366">
        <v>-0.93649400000000005</v>
      </c>
      <c r="AH4366">
        <v>168.60586129980399</v>
      </c>
      <c r="AI4366">
        <v>90.317195972041205</v>
      </c>
      <c r="AJ4366">
        <v>85.364571921553605</v>
      </c>
      <c r="AK4366">
        <v>169.161756628706</v>
      </c>
      <c r="AL4366">
        <v>80.452222308435793</v>
      </c>
      <c r="AM4366">
        <v>94.925786176680603</v>
      </c>
      <c r="AN4366">
        <v>1.0000000586393201</v>
      </c>
    </row>
    <row r="4367" spans="1:40" x14ac:dyDescent="0.25">
      <c r="A4367" t="str">
        <f>"20190304154840907"</f>
        <v>20190304154840907</v>
      </c>
      <c r="B4367" t="str">
        <f>"1551685720900789"</f>
        <v>1551685720900789</v>
      </c>
      <c r="C4367" t="s">
        <v>40</v>
      </c>
      <c r="D4367">
        <v>4.4856660000000002</v>
      </c>
      <c r="E4367">
        <v>0.56197730000000001</v>
      </c>
      <c r="F4367" t="s">
        <v>54</v>
      </c>
      <c r="G4367">
        <v>-185.75530000000001</v>
      </c>
      <c r="H4367" s="1">
        <v>6.1363279999999999E-6</v>
      </c>
      <c r="I4367">
        <v>202.09450000000001</v>
      </c>
      <c r="J4367">
        <v>-336.81220000000002</v>
      </c>
      <c r="K4367">
        <v>1.110036</v>
      </c>
      <c r="L4367">
        <v>214.09299999999999</v>
      </c>
      <c r="M4367">
        <v>0.99993449999999995</v>
      </c>
      <c r="N4367">
        <v>-1.121221E-2</v>
      </c>
      <c r="O4367">
        <v>2.3358989999999998E-3</v>
      </c>
      <c r="P4367">
        <v>0.9841415</v>
      </c>
      <c r="Q4367">
        <v>0.15473480000000001</v>
      </c>
      <c r="R4367">
        <v>8.6736320000000006E-2</v>
      </c>
      <c r="S4367">
        <v>3.073547</v>
      </c>
      <c r="T4367">
        <v>-2.2549509999999998E-2</v>
      </c>
      <c r="U4367">
        <v>-0.24372859999999999</v>
      </c>
      <c r="V4367">
        <v>-8.4430969999999994E-2</v>
      </c>
      <c r="W4367">
        <v>0.16576459999999901</v>
      </c>
      <c r="X4367">
        <v>0.98254439999999998</v>
      </c>
      <c r="Y4367">
        <v>8.1373650000000006E-2</v>
      </c>
      <c r="Z4367">
        <v>-7.4592750000000002E-4</v>
      </c>
      <c r="AA4367">
        <v>0.9966834</v>
      </c>
      <c r="AB4367">
        <v>38</v>
      </c>
      <c r="AC4367">
        <v>151.05690000000001</v>
      </c>
      <c r="AD4367">
        <v>-1.1100298636720001</v>
      </c>
      <c r="AE4367">
        <v>-11.9984999999999</v>
      </c>
      <c r="AF4367">
        <v>12.350680326832601</v>
      </c>
      <c r="AG4367">
        <v>-1.1100298636720001</v>
      </c>
      <c r="AH4367">
        <v>151.02035492300499</v>
      </c>
      <c r="AI4367">
        <v>90.419726650755706</v>
      </c>
      <c r="AJ4367">
        <v>85.324666428778798</v>
      </c>
      <c r="AK4367">
        <v>151.528608097297</v>
      </c>
      <c r="AL4367">
        <v>80.458345441045395</v>
      </c>
      <c r="AM4367">
        <v>94.911415421505097</v>
      </c>
      <c r="AN4367">
        <v>0.99999999463983003</v>
      </c>
    </row>
    <row r="4368" spans="1:40" x14ac:dyDescent="0.25">
      <c r="A4368" t="str">
        <f>"20190304154840921"</f>
        <v>20190304154840921</v>
      </c>
      <c r="B4368" t="str">
        <f>"1551685720911526"</f>
        <v>1551685720911526</v>
      </c>
      <c r="C4368" t="s">
        <v>40</v>
      </c>
      <c r="D4368">
        <v>4.510694</v>
      </c>
      <c r="E4368">
        <v>0.56205000000000005</v>
      </c>
      <c r="F4368" t="s">
        <v>54</v>
      </c>
      <c r="G4368">
        <v>-195.5146</v>
      </c>
      <c r="H4368" s="1">
        <v>5.4150789999999899E-6</v>
      </c>
      <c r="I4368">
        <v>202.83959999999999</v>
      </c>
      <c r="J4368">
        <v>-336.58499999999998</v>
      </c>
      <c r="K4368">
        <v>1.1100380000000001</v>
      </c>
      <c r="L4368">
        <v>214.09350000000001</v>
      </c>
      <c r="M4368">
        <v>0.99993460000000001</v>
      </c>
      <c r="N4368">
        <v>-1.121222E-2</v>
      </c>
      <c r="O4368">
        <v>2.3360780000000001E-3</v>
      </c>
      <c r="P4368">
        <v>0.98416380000000003</v>
      </c>
      <c r="Q4368">
        <v>0.15487899999999999</v>
      </c>
      <c r="R4368">
        <v>8.6224330000000002E-2</v>
      </c>
      <c r="S4368">
        <v>3.0736690000000002</v>
      </c>
      <c r="T4368">
        <v>-2.414668E-2</v>
      </c>
      <c r="U4368">
        <v>-0.24479680000000001</v>
      </c>
      <c r="V4368">
        <v>-8.3918679999999996E-2</v>
      </c>
      <c r="W4368">
        <v>0.165909</v>
      </c>
      <c r="X4368">
        <v>0.98256390000000005</v>
      </c>
      <c r="Y4368">
        <v>8.1714289999999995E-2</v>
      </c>
      <c r="Z4368">
        <v>-7.7148709999999999E-4</v>
      </c>
      <c r="AA4368">
        <v>0.99665550000000003</v>
      </c>
      <c r="AB4368">
        <v>38</v>
      </c>
      <c r="AC4368">
        <v>141.07039999999901</v>
      </c>
      <c r="AD4368">
        <v>-1.11003258492099</v>
      </c>
      <c r="AE4368">
        <v>-11.2539</v>
      </c>
      <c r="AF4368">
        <v>11.5827287851777</v>
      </c>
      <c r="AG4368">
        <v>-1.11003258492099</v>
      </c>
      <c r="AH4368">
        <v>141.03504634659299</v>
      </c>
      <c r="AI4368">
        <v>90.449430678338103</v>
      </c>
      <c r="AJ4368">
        <v>85.305029049800694</v>
      </c>
      <c r="AK4368">
        <v>141.514225703412</v>
      </c>
      <c r="AL4368">
        <v>80.449955612988404</v>
      </c>
      <c r="AM4368">
        <v>94.881663147714704</v>
      </c>
      <c r="AN4368">
        <v>0.99999997935857599</v>
      </c>
    </row>
    <row r="4369" spans="1:40" x14ac:dyDescent="0.25">
      <c r="A4369" t="str">
        <f>"20190304154840940"</f>
        <v>20190304154840940</v>
      </c>
      <c r="B4369" t="str">
        <f>"1551685720931045"</f>
        <v>1551685720931045</v>
      </c>
      <c r="C4369" t="s">
        <v>40</v>
      </c>
      <c r="D4369">
        <v>4.4584219999999997</v>
      </c>
      <c r="E4369">
        <v>0.56249369999999999</v>
      </c>
      <c r="F4369" t="s">
        <v>54</v>
      </c>
      <c r="G4369">
        <v>-198.4178</v>
      </c>
      <c r="H4369" s="1">
        <v>4.7337939999999997E-6</v>
      </c>
      <c r="I4369">
        <v>202.98140000000001</v>
      </c>
      <c r="J4369">
        <v>-336.2595</v>
      </c>
      <c r="K4369">
        <v>1.1100429999999999</v>
      </c>
      <c r="L4369">
        <v>214.0943</v>
      </c>
      <c r="M4369">
        <v>0.99993460000000001</v>
      </c>
      <c r="N4369">
        <v>-1.1212450000000001E-2</v>
      </c>
      <c r="O4369">
        <v>2.3364340000000001E-3</v>
      </c>
      <c r="P4369">
        <v>0.98421000000000003</v>
      </c>
      <c r="Q4369">
        <v>0.15510889999999999</v>
      </c>
      <c r="R4369">
        <v>8.5277539999999999E-2</v>
      </c>
      <c r="S4369">
        <v>3.0737610000000002</v>
      </c>
      <c r="T4369">
        <v>-2.4694560000000001E-2</v>
      </c>
      <c r="U4369">
        <v>-0.2472076</v>
      </c>
      <c r="V4369">
        <v>-8.2971290000000003E-2</v>
      </c>
      <c r="W4369">
        <v>0.16613989999999901</v>
      </c>
      <c r="X4369">
        <v>0.98260539999999996</v>
      </c>
      <c r="Y4369">
        <v>8.248875E-2</v>
      </c>
      <c r="Z4369">
        <v>-7.8663140000000001E-4</v>
      </c>
      <c r="AA4369">
        <v>0.99659169999999997</v>
      </c>
      <c r="AB4369">
        <v>38</v>
      </c>
      <c r="AC4369">
        <v>137.8417</v>
      </c>
      <c r="AD4369">
        <v>-1.110038266206</v>
      </c>
      <c r="AE4369">
        <v>-11.1128999999999</v>
      </c>
      <c r="AF4369">
        <v>11.4342111551074</v>
      </c>
      <c r="AG4369">
        <v>-1.110038266206</v>
      </c>
      <c r="AH4369">
        <v>137.806478399279</v>
      </c>
      <c r="AI4369">
        <v>90.459930054250606</v>
      </c>
      <c r="AJ4369">
        <v>85.256864501276596</v>
      </c>
      <c r="AK4369">
        <v>138.284485241487</v>
      </c>
      <c r="AL4369">
        <v>80.436540381797101</v>
      </c>
      <c r="AM4369">
        <v>94.826611148264107</v>
      </c>
      <c r="AN4369">
        <v>1.00000003672271</v>
      </c>
    </row>
    <row r="4370" spans="1:40" x14ac:dyDescent="0.25">
      <c r="A4370" t="str">
        <f>"20190304154840961"</f>
        <v>20190304154840961</v>
      </c>
      <c r="B4370" t="str">
        <f>"1551685720950565"</f>
        <v>1551685720950565</v>
      </c>
      <c r="C4370" t="s">
        <v>40</v>
      </c>
      <c r="D4370">
        <v>4.4481859999999998</v>
      </c>
      <c r="E4370">
        <v>0.56263149999999995</v>
      </c>
      <c r="F4370" t="s">
        <v>54</v>
      </c>
      <c r="G4370">
        <v>-202.0762</v>
      </c>
      <c r="H4370">
        <v>8.0001810000000007E-2</v>
      </c>
      <c r="I4370">
        <v>203.01179999999999</v>
      </c>
      <c r="J4370">
        <v>-335.90129999999999</v>
      </c>
      <c r="K4370">
        <v>1.1100460000000001</v>
      </c>
      <c r="L4370">
        <v>214.0951</v>
      </c>
      <c r="M4370">
        <v>0.99993460000000001</v>
      </c>
      <c r="N4370">
        <v>-1.1213010000000001E-2</v>
      </c>
      <c r="O4370">
        <v>2.3357080000000001E-3</v>
      </c>
      <c r="P4370">
        <v>0.98425609999999997</v>
      </c>
      <c r="Q4370">
        <v>0.15523290000000001</v>
      </c>
      <c r="R4370">
        <v>8.4516090000000002E-2</v>
      </c>
      <c r="S4370">
        <v>3.0738530000000002</v>
      </c>
      <c r="T4370">
        <v>-2.359605E-2</v>
      </c>
      <c r="U4370">
        <v>-0.25387569999999998</v>
      </c>
      <c r="V4370">
        <v>-8.2210459999999999E-2</v>
      </c>
      <c r="W4370">
        <v>0.16626540000000001</v>
      </c>
      <c r="X4370">
        <v>0.98264810000000002</v>
      </c>
      <c r="Y4370">
        <v>8.4633340000000001E-2</v>
      </c>
      <c r="Z4370">
        <v>-7.9137089999999999E-4</v>
      </c>
      <c r="AA4370">
        <v>0.99641190000000002</v>
      </c>
      <c r="AB4370">
        <v>38</v>
      </c>
      <c r="AC4370">
        <v>133.82509999999999</v>
      </c>
      <c r="AD4370">
        <v>-1.0300441899999999</v>
      </c>
      <c r="AE4370">
        <v>-11.083299999999999</v>
      </c>
      <c r="AF4370">
        <v>11.3951952253085</v>
      </c>
      <c r="AG4370">
        <v>-1.0300441899999999</v>
      </c>
      <c r="AH4370">
        <v>133.79097376086199</v>
      </c>
      <c r="AI4370">
        <v>90.439514908464304</v>
      </c>
      <c r="AJ4370">
        <v>85.131774124407002</v>
      </c>
      <c r="AK4370">
        <v>134.27932128639901</v>
      </c>
      <c r="AL4370">
        <v>80.429248138173705</v>
      </c>
      <c r="AM4370">
        <v>94.782351478866801</v>
      </c>
      <c r="AN4370">
        <v>1.0000000157020901</v>
      </c>
    </row>
    <row r="4371" spans="1:40" x14ac:dyDescent="0.25">
      <c r="A4371" t="str">
        <f>"20190304154840976"</f>
        <v>20190304154840976</v>
      </c>
      <c r="B4371" t="str">
        <f>"1551685720971063"</f>
        <v>1551685720971063</v>
      </c>
      <c r="C4371" t="s">
        <v>40</v>
      </c>
      <c r="D4371">
        <v>4.4287409999999996</v>
      </c>
      <c r="E4371">
        <v>0.56279330000000005</v>
      </c>
      <c r="F4371" t="s">
        <v>54</v>
      </c>
      <c r="G4371">
        <v>-202.27799999999999</v>
      </c>
      <c r="H4371">
        <v>8.0001820000000001E-2</v>
      </c>
      <c r="I4371">
        <v>202.90430000000001</v>
      </c>
      <c r="J4371">
        <v>-335.63850000000002</v>
      </c>
      <c r="K4371">
        <v>1.110047</v>
      </c>
      <c r="L4371">
        <v>214.09569999999999</v>
      </c>
      <c r="M4371">
        <v>0.99993449999999995</v>
      </c>
      <c r="N4371">
        <v>-1.1213590000000001E-2</v>
      </c>
      <c r="O4371">
        <v>2.3331839999999999E-3</v>
      </c>
      <c r="P4371">
        <v>0.98429359999999999</v>
      </c>
      <c r="Q4371">
        <v>0.15510060000000001</v>
      </c>
      <c r="R4371">
        <v>8.4321450000000006E-2</v>
      </c>
      <c r="S4371">
        <v>3.0738530000000002</v>
      </c>
      <c r="T4371">
        <v>-2.3694989999999999E-2</v>
      </c>
      <c r="U4371">
        <v>-0.25743100000000002</v>
      </c>
      <c r="V4371">
        <v>-8.2017389999999996E-2</v>
      </c>
      <c r="W4371">
        <v>0.1661337</v>
      </c>
      <c r="X4371">
        <v>0.98268650000000002</v>
      </c>
      <c r="Y4371">
        <v>8.5775199999999996E-2</v>
      </c>
      <c r="Z4371">
        <v>-8.0365229999999996E-4</v>
      </c>
      <c r="AA4371">
        <v>0.99631420000000004</v>
      </c>
      <c r="AB4371">
        <v>38</v>
      </c>
      <c r="AC4371">
        <v>133.3605</v>
      </c>
      <c r="AD4371">
        <v>-1.0300451799999999</v>
      </c>
      <c r="AE4371">
        <v>-11.1913999999999</v>
      </c>
      <c r="AF4371">
        <v>11.5018622912247</v>
      </c>
      <c r="AG4371">
        <v>-1.0300451799999999</v>
      </c>
      <c r="AH4371">
        <v>133.32612557350001</v>
      </c>
      <c r="AI4371">
        <v>90.441006494695799</v>
      </c>
      <c r="AJ4371">
        <v>85.069379056681299</v>
      </c>
      <c r="AK4371">
        <v>133.825295029302</v>
      </c>
      <c r="AL4371">
        <v>80.436900343852599</v>
      </c>
      <c r="AM4371">
        <v>94.770986529313205</v>
      </c>
      <c r="AN4371">
        <v>1.0000000079101701</v>
      </c>
    </row>
    <row r="4372" spans="1:40" x14ac:dyDescent="0.25">
      <c r="A4372" t="str">
        <f>"20190304154840995"</f>
        <v>20190304154840995</v>
      </c>
      <c r="B4372" t="str">
        <f>"1551685720991557"</f>
        <v>1551685720991557</v>
      </c>
      <c r="C4372" t="s">
        <v>40</v>
      </c>
      <c r="D4372">
        <v>4.4230619999999998</v>
      </c>
      <c r="E4372">
        <v>0.56322459999999996</v>
      </c>
      <c r="F4372" t="s">
        <v>54</v>
      </c>
      <c r="G4372">
        <v>-197.37450000000001</v>
      </c>
      <c r="H4372" s="1">
        <v>5.1115979999999998E-6</v>
      </c>
      <c r="I4372">
        <v>202.4282</v>
      </c>
      <c r="J4372">
        <v>-335.32190000000003</v>
      </c>
      <c r="K4372">
        <v>1.1100429999999999</v>
      </c>
      <c r="L4372">
        <v>214.09639999999999</v>
      </c>
      <c r="M4372">
        <v>0.99993460000000001</v>
      </c>
      <c r="N4372">
        <v>-1.1214429999999999E-2</v>
      </c>
      <c r="O4372">
        <v>2.3250250000000001E-3</v>
      </c>
      <c r="P4372">
        <v>0.98430459999999997</v>
      </c>
      <c r="Q4372">
        <v>0.1551515</v>
      </c>
      <c r="R4372">
        <v>8.4100640000000004E-2</v>
      </c>
      <c r="S4372">
        <v>3.0739749999999999</v>
      </c>
      <c r="T4372">
        <v>-2.4679179999999998E-2</v>
      </c>
      <c r="U4372">
        <v>-0.2593994</v>
      </c>
      <c r="V4372">
        <v>-8.180345E-2</v>
      </c>
      <c r="W4372">
        <v>0.16618640000000001</v>
      </c>
      <c r="X4372">
        <v>0.9826954</v>
      </c>
      <c r="Y4372">
        <v>8.6396860000000006E-2</v>
      </c>
      <c r="Z4372">
        <v>-8.2413919999999995E-4</v>
      </c>
      <c r="AA4372">
        <v>0.99626049999999999</v>
      </c>
      <c r="AB4372">
        <v>38</v>
      </c>
      <c r="AC4372">
        <v>137.94739999999999</v>
      </c>
      <c r="AD4372">
        <v>-1.1100378884019999</v>
      </c>
      <c r="AE4372">
        <v>-11.668199999999899</v>
      </c>
      <c r="AF4372">
        <v>11.988148988051</v>
      </c>
      <c r="AG4372">
        <v>-1.1100378884019999</v>
      </c>
      <c r="AH4372">
        <v>137.91103005651399</v>
      </c>
      <c r="AI4372">
        <v>90.459428015219004</v>
      </c>
      <c r="AJ4372">
        <v>85.031955833998893</v>
      </c>
      <c r="AK4372">
        <v>138.435544971377</v>
      </c>
      <c r="AL4372">
        <v>80.433838084090794</v>
      </c>
      <c r="AM4372">
        <v>94.758555873185699</v>
      </c>
      <c r="AN4372">
        <v>0.99999998657901101</v>
      </c>
    </row>
    <row r="4373" spans="1:40" x14ac:dyDescent="0.25">
      <c r="A4373" t="str">
        <f>"20190304154841009"</f>
        <v>20190304154841009</v>
      </c>
      <c r="B4373" t="str">
        <f>"1551685721001318"</f>
        <v>1551685721001318</v>
      </c>
      <c r="C4373" t="s">
        <v>40</v>
      </c>
      <c r="D4373">
        <v>4.4087899999999998</v>
      </c>
      <c r="E4373">
        <v>0.56338129999999997</v>
      </c>
      <c r="F4373" t="s">
        <v>54</v>
      </c>
      <c r="G4373">
        <v>-189.33670000000001</v>
      </c>
      <c r="H4373" s="1">
        <v>7.1148689999999996E-6</v>
      </c>
      <c r="I4373">
        <v>201.5728</v>
      </c>
      <c r="J4373">
        <v>-335.07159999999999</v>
      </c>
      <c r="K4373">
        <v>1.1100369999999999</v>
      </c>
      <c r="L4373">
        <v>214.09700000000001</v>
      </c>
      <c r="M4373">
        <v>0.9999344</v>
      </c>
      <c r="N4373">
        <v>-1.121521E-2</v>
      </c>
      <c r="O4373">
        <v>2.3136929999999999E-3</v>
      </c>
      <c r="P4373">
        <v>0.98429840000000002</v>
      </c>
      <c r="Q4373">
        <v>0.15520709999999999</v>
      </c>
      <c r="R4373">
        <v>8.406922E-2</v>
      </c>
      <c r="S4373">
        <v>3.0740970000000001</v>
      </c>
      <c r="T4373">
        <v>-2.3374679999999998E-2</v>
      </c>
      <c r="U4373">
        <v>-0.2637177</v>
      </c>
      <c r="V4373">
        <v>-8.1781099999999995E-2</v>
      </c>
      <c r="W4373">
        <v>0.1662438</v>
      </c>
      <c r="X4373">
        <v>0.98268759999999999</v>
      </c>
      <c r="Y4373">
        <v>8.7771959999999996E-2</v>
      </c>
      <c r="Z4373">
        <v>-8.1786700000000001E-4</v>
      </c>
      <c r="AA4373">
        <v>0.99614020000000003</v>
      </c>
      <c r="AB4373">
        <v>38</v>
      </c>
      <c r="AC4373">
        <v>145.73489999999899</v>
      </c>
      <c r="AD4373">
        <v>-1.110029885131</v>
      </c>
      <c r="AE4373">
        <v>-12.5242</v>
      </c>
      <c r="AF4373">
        <v>12.8606328667921</v>
      </c>
      <c r="AG4373">
        <v>-1.110029885131</v>
      </c>
      <c r="AH4373">
        <v>145.69714021245699</v>
      </c>
      <c r="AI4373">
        <v>90.434823079142305</v>
      </c>
      <c r="AJ4373">
        <v>84.9555967523536</v>
      </c>
      <c r="AK4373">
        <v>146.26785262035099</v>
      </c>
      <c r="AL4373">
        <v>80.430503373176805</v>
      </c>
      <c r="AM4373">
        <v>94.757299315163905</v>
      </c>
      <c r="AN4373">
        <v>1.0000000342747</v>
      </c>
    </row>
    <row r="4374" spans="1:40" x14ac:dyDescent="0.25">
      <c r="A4374" t="str">
        <f>"20190304154841030"</f>
        <v>20190304154841030</v>
      </c>
      <c r="B4374" t="str">
        <f>"1551685721020837"</f>
        <v>1551685721020837</v>
      </c>
      <c r="C4374" t="s">
        <v>40</v>
      </c>
      <c r="D4374">
        <v>4.4325910000000004</v>
      </c>
      <c r="E4374">
        <v>0.56360319999999997</v>
      </c>
      <c r="F4374" t="s">
        <v>54</v>
      </c>
      <c r="G4374">
        <v>-186.9623</v>
      </c>
      <c r="H4374" s="1">
        <v>6.6749089999999999E-6</v>
      </c>
      <c r="I4374">
        <v>201.32810000000001</v>
      </c>
      <c r="J4374">
        <v>-334.72309999999999</v>
      </c>
      <c r="K4374">
        <v>1.1100219999999901</v>
      </c>
      <c r="L4374">
        <v>214.09780000000001</v>
      </c>
      <c r="M4374">
        <v>0.99993460000000001</v>
      </c>
      <c r="N4374">
        <v>-1.12166E-2</v>
      </c>
      <c r="O4374">
        <v>2.2879950000000001E-3</v>
      </c>
      <c r="P4374">
        <v>0.98430499999999999</v>
      </c>
      <c r="Q4374">
        <v>0.15502569999999999</v>
      </c>
      <c r="R4374">
        <v>8.4325529999999996E-2</v>
      </c>
      <c r="S4374">
        <v>3.0741269999999998</v>
      </c>
      <c r="T4374">
        <v>-2.303958E-2</v>
      </c>
      <c r="U4374">
        <v>-0.26502989999999998</v>
      </c>
      <c r="V4374">
        <v>-8.2059569999999998E-2</v>
      </c>
      <c r="W4374">
        <v>0.1660655</v>
      </c>
      <c r="X4374">
        <v>0.98269450000000003</v>
      </c>
      <c r="Y4374">
        <v>8.816773E-2</v>
      </c>
      <c r="Z4374">
        <v>-8.1669700000000002E-4</v>
      </c>
      <c r="AA4374">
        <v>0.99610529999999997</v>
      </c>
      <c r="AB4374">
        <v>38</v>
      </c>
      <c r="AC4374">
        <v>147.76079999999999</v>
      </c>
      <c r="AD4374">
        <v>-1.1100153250910001</v>
      </c>
      <c r="AE4374">
        <v>-12.7697</v>
      </c>
      <c r="AF4374">
        <v>13.1070295733739</v>
      </c>
      <c r="AG4374">
        <v>-1.1100153250910001</v>
      </c>
      <c r="AH4374">
        <v>147.722919580845</v>
      </c>
      <c r="AI4374">
        <v>90.428837560429301</v>
      </c>
      <c r="AJ4374">
        <v>84.929588146912195</v>
      </c>
      <c r="AK4374">
        <v>148.307408202517</v>
      </c>
      <c r="AL4374">
        <v>80.440862902051194</v>
      </c>
      <c r="AM4374">
        <v>94.773390142584503</v>
      </c>
      <c r="AN4374">
        <v>1.0000000018245401</v>
      </c>
    </row>
    <row r="4375" spans="1:40" x14ac:dyDescent="0.25">
      <c r="A4375" t="str">
        <f>"20190304154841053"</f>
        <v>20190304154841053</v>
      </c>
      <c r="B4375" t="str">
        <f>"1551685721041332"</f>
        <v>1551685721041332</v>
      </c>
      <c r="C4375" t="s">
        <v>40</v>
      </c>
      <c r="D4375">
        <v>4.453748</v>
      </c>
      <c r="E4375">
        <v>0.56373079999999998</v>
      </c>
      <c r="F4375" t="s">
        <v>54</v>
      </c>
      <c r="G4375">
        <v>-188.577</v>
      </c>
      <c r="H4375" s="1">
        <v>6.9866519999999999E-6</v>
      </c>
      <c r="I4375">
        <v>201.459</v>
      </c>
      <c r="J4375">
        <v>-334.34899999999999</v>
      </c>
      <c r="K4375">
        <v>1.110006</v>
      </c>
      <c r="L4375">
        <v>214.0986</v>
      </c>
      <c r="M4375">
        <v>0.99993460000000001</v>
      </c>
      <c r="N4375">
        <v>-1.121813E-2</v>
      </c>
      <c r="O4375">
        <v>2.2439980000000001E-3</v>
      </c>
      <c r="P4375">
        <v>0.98436250000000003</v>
      </c>
      <c r="Q4375">
        <v>0.15463640000000001</v>
      </c>
      <c r="R4375">
        <v>8.4368449999999998E-2</v>
      </c>
      <c r="S4375">
        <v>3.0743100000000001</v>
      </c>
      <c r="T4375">
        <v>-2.3350119999999999E-2</v>
      </c>
      <c r="U4375">
        <v>-0.26586910000000002</v>
      </c>
      <c r="V4375">
        <v>-8.213993E-2</v>
      </c>
      <c r="W4375">
        <v>0.16568139999999901</v>
      </c>
      <c r="X4375">
        <v>0.98275259999999998</v>
      </c>
      <c r="Y4375">
        <v>8.8388590000000003E-2</v>
      </c>
      <c r="Z4375">
        <v>-8.2365550000000002E-4</v>
      </c>
      <c r="AA4375">
        <v>0.99608569999999996</v>
      </c>
      <c r="AB4375">
        <v>38</v>
      </c>
      <c r="AC4375">
        <v>145.77199999999999</v>
      </c>
      <c r="AD4375">
        <v>-1.109999013348</v>
      </c>
      <c r="AE4375">
        <v>-12.6396</v>
      </c>
      <c r="AF4375">
        <v>12.965954631216</v>
      </c>
      <c r="AG4375">
        <v>-1.109999013348</v>
      </c>
      <c r="AH4375">
        <v>145.73488089591501</v>
      </c>
      <c r="AI4375">
        <v>90.434671640934596</v>
      </c>
      <c r="AJ4375">
        <v>84.915811596910501</v>
      </c>
      <c r="AK4375">
        <v>146.31474152338501</v>
      </c>
      <c r="AL4375">
        <v>80.463179184546405</v>
      </c>
      <c r="AM4375">
        <v>94.777761868975503</v>
      </c>
      <c r="AN4375">
        <v>0.99999998360656195</v>
      </c>
    </row>
    <row r="4376" spans="1:40" x14ac:dyDescent="0.25">
      <c r="A4376" t="str">
        <f>"20190304154841074"</f>
        <v>20190304154841074</v>
      </c>
      <c r="B4376" t="str">
        <f>"1551685721071589"</f>
        <v>1551685721071589</v>
      </c>
      <c r="C4376" t="s">
        <v>40</v>
      </c>
      <c r="D4376">
        <v>4.4025369999999997</v>
      </c>
      <c r="E4376">
        <v>0.564168</v>
      </c>
      <c r="F4376" t="s">
        <v>54</v>
      </c>
      <c r="G4376">
        <v>-199.74600000000001</v>
      </c>
      <c r="H4376" s="1">
        <v>4.5888040000000001E-6</v>
      </c>
      <c r="I4376">
        <v>202.41669999999999</v>
      </c>
      <c r="J4376">
        <v>-333.96280000000002</v>
      </c>
      <c r="K4376">
        <v>1.109982</v>
      </c>
      <c r="L4376">
        <v>214.0994</v>
      </c>
      <c r="M4376">
        <v>0.99993469999999995</v>
      </c>
      <c r="N4376">
        <v>-1.121985E-2</v>
      </c>
      <c r="O4376">
        <v>2.1774289999999998E-3</v>
      </c>
      <c r="P4376">
        <v>0.9843421</v>
      </c>
      <c r="Q4376">
        <v>0.15452859999999999</v>
      </c>
      <c r="R4376">
        <v>8.4804009999999999E-2</v>
      </c>
      <c r="S4376">
        <v>3.0745239999999998</v>
      </c>
      <c r="T4376">
        <v>-2.535403E-2</v>
      </c>
      <c r="U4376">
        <v>-0.26683040000000002</v>
      </c>
      <c r="V4376">
        <v>-8.2634830000000006E-2</v>
      </c>
      <c r="W4376">
        <v>0.16557740000000001</v>
      </c>
      <c r="X4376">
        <v>0.98272870000000001</v>
      </c>
      <c r="Y4376">
        <v>8.8624670000000003E-2</v>
      </c>
      <c r="Z4376">
        <v>-8.5641329999999998E-4</v>
      </c>
      <c r="AA4376">
        <v>0.99606470000000003</v>
      </c>
      <c r="AB4376">
        <v>38</v>
      </c>
      <c r="AC4376">
        <v>134.21680000000001</v>
      </c>
      <c r="AD4376">
        <v>-1.1099774111959999</v>
      </c>
      <c r="AE4376">
        <v>-11.682700000000001</v>
      </c>
      <c r="AF4376">
        <v>11.974125452593301</v>
      </c>
      <c r="AG4376">
        <v>-1.1099774111959999</v>
      </c>
      <c r="AH4376">
        <v>134.18193377775401</v>
      </c>
      <c r="AI4376">
        <v>90.4720744695165</v>
      </c>
      <c r="AJ4376">
        <v>84.900547792470107</v>
      </c>
      <c r="AK4376">
        <v>134.71972046640099</v>
      </c>
      <c r="AL4376">
        <v>80.469221982926001</v>
      </c>
      <c r="AM4376">
        <v>94.806530172517199</v>
      </c>
      <c r="AN4376">
        <v>1.00000004416178</v>
      </c>
    </row>
    <row r="4377" spans="1:40" x14ac:dyDescent="0.25">
      <c r="A4377" t="str">
        <f>"20190304154841095"</f>
        <v>20190304154841095</v>
      </c>
      <c r="B4377" t="str">
        <f>"1551685721091109"</f>
        <v>1551685721091109</v>
      </c>
      <c r="C4377" t="s">
        <v>40</v>
      </c>
      <c r="D4377">
        <v>4.4500279999999997</v>
      </c>
      <c r="E4377">
        <v>0.56400410000000001</v>
      </c>
      <c r="F4377" t="s">
        <v>54</v>
      </c>
      <c r="G4377">
        <v>-195.0823</v>
      </c>
      <c r="H4377" s="1">
        <v>5.752555E-6</v>
      </c>
      <c r="I4377">
        <v>201.959</v>
      </c>
      <c r="J4377">
        <v>-333.6071</v>
      </c>
      <c r="K4377">
        <v>1.1099730000000001</v>
      </c>
      <c r="L4377">
        <v>214.1001</v>
      </c>
      <c r="M4377">
        <v>0.99993489999999996</v>
      </c>
      <c r="N4377">
        <v>-1.122155E-2</v>
      </c>
      <c r="O4377">
        <v>2.101402E-3</v>
      </c>
      <c r="P4377">
        <v>0.98427929999999997</v>
      </c>
      <c r="Q4377">
        <v>0.1545501</v>
      </c>
      <c r="R4377">
        <v>8.5490109999999994E-2</v>
      </c>
      <c r="S4377">
        <v>3.074738</v>
      </c>
      <c r="T4377">
        <v>-2.457428E-2</v>
      </c>
      <c r="U4377">
        <v>-0.26878360000000001</v>
      </c>
      <c r="V4377">
        <v>-8.3390300000000001E-2</v>
      </c>
      <c r="W4377">
        <v>0.16560329999999901</v>
      </c>
      <c r="X4377">
        <v>0.98266050000000005</v>
      </c>
      <c r="Y4377">
        <v>8.9171169999999994E-2</v>
      </c>
      <c r="Z4377">
        <v>-8.5019160000000002E-4</v>
      </c>
      <c r="AA4377">
        <v>0.99601600000000001</v>
      </c>
      <c r="AB4377">
        <v>38</v>
      </c>
      <c r="AC4377">
        <v>138.5248</v>
      </c>
      <c r="AD4377">
        <v>-1.109967247445</v>
      </c>
      <c r="AE4377">
        <v>-12.1410999999999</v>
      </c>
      <c r="AF4377">
        <v>12.4313957235369</v>
      </c>
      <c r="AG4377">
        <v>-1.109967247445</v>
      </c>
      <c r="AH4377">
        <v>138.490155265672</v>
      </c>
      <c r="AI4377">
        <v>90.4573640346415</v>
      </c>
      <c r="AJ4377">
        <v>84.870663071293393</v>
      </c>
      <c r="AK4377">
        <v>139.05141039354999</v>
      </c>
      <c r="AL4377">
        <v>80.467717080713498</v>
      </c>
      <c r="AM4377">
        <v>94.850599102620805</v>
      </c>
      <c r="AN4377">
        <v>1.0000000266826099</v>
      </c>
    </row>
    <row r="4378" spans="1:40" x14ac:dyDescent="0.25">
      <c r="A4378" t="str">
        <f>"20190304154841108"</f>
        <v>20190304154841108</v>
      </c>
      <c r="B4378" t="str">
        <f>"1551685721100870"</f>
        <v>1551685721100870</v>
      </c>
      <c r="C4378" t="s">
        <v>40</v>
      </c>
      <c r="D4378">
        <v>4.2524839999999999</v>
      </c>
      <c r="E4378">
        <v>0.51903409999999905</v>
      </c>
      <c r="F4378" t="s">
        <v>54</v>
      </c>
      <c r="G4378">
        <v>-179.95779999999999</v>
      </c>
      <c r="H4378">
        <v>1.2930890000000001E-3</v>
      </c>
      <c r="I4378">
        <v>200.8526</v>
      </c>
      <c r="J4378">
        <v>-333.3673</v>
      </c>
      <c r="K4378">
        <v>1.10996299999999</v>
      </c>
      <c r="L4378">
        <v>214.10059999999999</v>
      </c>
      <c r="M4378">
        <v>0.99993489999999996</v>
      </c>
      <c r="N4378">
        <v>-1.122275E-2</v>
      </c>
      <c r="O4378">
        <v>2.041836E-3</v>
      </c>
      <c r="P4378">
        <v>0.98427920000000002</v>
      </c>
      <c r="Q4378">
        <v>0.1544971</v>
      </c>
      <c r="R4378">
        <v>8.5587170000000004E-2</v>
      </c>
      <c r="S4378">
        <v>3.0744319999999998</v>
      </c>
      <c r="T4378">
        <v>-2.2184010000000001E-2</v>
      </c>
      <c r="U4378">
        <v>-0.26507570000000003</v>
      </c>
      <c r="V4378">
        <v>-8.3541900000000002E-2</v>
      </c>
      <c r="W4378">
        <v>0.16555349999999999</v>
      </c>
      <c r="X4378">
        <v>0.98265599999999997</v>
      </c>
      <c r="Y4378">
        <v>8.7929099999999996E-2</v>
      </c>
      <c r="Z4378">
        <v>-8.0282289999999902E-4</v>
      </c>
      <c r="AA4378">
        <v>0.99612639999999997</v>
      </c>
      <c r="AB4378">
        <v>38</v>
      </c>
      <c r="AC4378">
        <v>153.40950000000001</v>
      </c>
      <c r="AD4378">
        <v>-1.10866991099999</v>
      </c>
      <c r="AE4378">
        <v>-13.2479999999999</v>
      </c>
      <c r="AF4378">
        <v>13.5605261691734</v>
      </c>
      <c r="AG4378">
        <v>-1.10866991099999</v>
      </c>
      <c r="AH4378">
        <v>153.374177153358</v>
      </c>
      <c r="AI4378">
        <v>90.412547794350104</v>
      </c>
      <c r="AJ4378">
        <v>84.947351411104705</v>
      </c>
      <c r="AK4378">
        <v>153.97647624369799</v>
      </c>
      <c r="AL4378">
        <v>80.470610209688104</v>
      </c>
      <c r="AM4378">
        <v>94.859397243139895</v>
      </c>
      <c r="AN4378">
        <v>1.0000000123769299</v>
      </c>
    </row>
    <row r="4379" spans="1:40" x14ac:dyDescent="0.25">
      <c r="A4379" t="str">
        <f>"20190304154841122"</f>
        <v>20190304154841122</v>
      </c>
      <c r="B4379" t="str">
        <f>"1551685721111606"</f>
        <v>1551685721111606</v>
      </c>
      <c r="C4379" t="s">
        <v>40</v>
      </c>
      <c r="D4379">
        <v>4.2491459999999996</v>
      </c>
      <c r="E4379">
        <v>0.51949369999999995</v>
      </c>
      <c r="F4379" t="s">
        <v>60</v>
      </c>
      <c r="G4379">
        <v>-249.73089999999999</v>
      </c>
      <c r="H4379" s="1">
        <v>3.5533840000000001E-6</v>
      </c>
      <c r="I4379">
        <v>216.63229999999999</v>
      </c>
      <c r="J4379">
        <v>-333.1499</v>
      </c>
      <c r="K4379">
        <v>1.109953</v>
      </c>
      <c r="L4379">
        <v>214.101</v>
      </c>
      <c r="M4379">
        <v>0.99993520000000002</v>
      </c>
      <c r="N4379">
        <v>-1.122389E-2</v>
      </c>
      <c r="O4379">
        <v>1.9811E-3</v>
      </c>
      <c r="P4379">
        <v>0.98422229999999999</v>
      </c>
      <c r="Q4379">
        <v>0.1547724</v>
      </c>
      <c r="R4379">
        <v>8.5743079999999999E-2</v>
      </c>
      <c r="S4379">
        <v>3.0462340000000001</v>
      </c>
      <c r="T4379">
        <v>-4.0427329999999997E-2</v>
      </c>
      <c r="U4379">
        <v>9.2208860000000004E-2</v>
      </c>
      <c r="V4379">
        <v>-8.3754399999999896E-2</v>
      </c>
      <c r="W4379">
        <v>0.1658309</v>
      </c>
      <c r="X4379">
        <v>0.98259110000000005</v>
      </c>
      <c r="Y4379">
        <v>-2.8270969999999999E-2</v>
      </c>
      <c r="Z4379">
        <v>3.4220060000000001E-4</v>
      </c>
      <c r="AA4379">
        <v>0.99960020000000005</v>
      </c>
      <c r="AB4379">
        <v>38</v>
      </c>
      <c r="AC4379">
        <v>83.418999999999997</v>
      </c>
      <c r="AD4379">
        <v>-1.109949446616</v>
      </c>
      <c r="AE4379">
        <v>2.5312999999999799</v>
      </c>
      <c r="AF4379">
        <v>-2.36560483957809</v>
      </c>
      <c r="AG4379">
        <v>-1.109949446616</v>
      </c>
      <c r="AH4379">
        <v>83.409098019758702</v>
      </c>
      <c r="AI4379">
        <v>90.762100412073494</v>
      </c>
      <c r="AJ4379">
        <v>91.624557184931703</v>
      </c>
      <c r="AK4379">
        <v>83.450019212105602</v>
      </c>
      <c r="AL4379">
        <v>80.454493261099401</v>
      </c>
      <c r="AM4379">
        <v>94.872018582722404</v>
      </c>
      <c r="AN4379">
        <v>0.99999997835668897</v>
      </c>
    </row>
    <row r="4380" spans="1:40" x14ac:dyDescent="0.25">
      <c r="A4380" t="str">
        <f>"20190304154841141"</f>
        <v>20190304154841141</v>
      </c>
      <c r="B4380" t="str">
        <f>"1551685721131125"</f>
        <v>1551685721131125</v>
      </c>
      <c r="C4380" t="s">
        <v>40</v>
      </c>
      <c r="D4380">
        <v>4.2298920000000004</v>
      </c>
      <c r="E4380">
        <v>0.52006039999999998</v>
      </c>
      <c r="F4380" t="s">
        <v>54</v>
      </c>
      <c r="G4380">
        <v>-179.9348</v>
      </c>
      <c r="H4380">
        <v>7.2879459999999993E-2</v>
      </c>
      <c r="I4380">
        <v>218.63310000000001</v>
      </c>
      <c r="J4380">
        <v>-332.81740000000002</v>
      </c>
      <c r="K4380">
        <v>1.1099460000000001</v>
      </c>
      <c r="L4380">
        <v>214.10149999999999</v>
      </c>
      <c r="M4380">
        <v>0.99993529999999997</v>
      </c>
      <c r="N4380">
        <v>-1.122566E-2</v>
      </c>
      <c r="O4380">
        <v>1.8805549999999999E-3</v>
      </c>
      <c r="P4380">
        <v>0.98421060000000005</v>
      </c>
      <c r="Q4380">
        <v>0.15464520000000001</v>
      </c>
      <c r="R4380">
        <v>8.6107989999999995E-2</v>
      </c>
      <c r="S4380">
        <v>3.0435180000000002</v>
      </c>
      <c r="T4380">
        <v>-2.0600799999999999E-2</v>
      </c>
      <c r="U4380">
        <v>9.002686E-2</v>
      </c>
      <c r="V4380">
        <v>-8.4213460000000004E-2</v>
      </c>
      <c r="W4380">
        <v>0.1657082</v>
      </c>
      <c r="X4380">
        <v>0.98257260000000002</v>
      </c>
      <c r="Y4380">
        <v>-2.7685370000000001E-2</v>
      </c>
      <c r="Z4380">
        <v>2.5749369999999999E-4</v>
      </c>
      <c r="AA4380">
        <v>0.99961670000000002</v>
      </c>
      <c r="AB4380">
        <v>38</v>
      </c>
      <c r="AC4380">
        <v>152.8826</v>
      </c>
      <c r="AD4380">
        <v>-1.0370665400000001</v>
      </c>
      <c r="AE4380">
        <v>4.5316000000000196</v>
      </c>
      <c r="AF4380">
        <v>-4.2438746444867803</v>
      </c>
      <c r="AG4380">
        <v>-1.0370665400000001</v>
      </c>
      <c r="AH4380">
        <v>152.883823354968</v>
      </c>
      <c r="AI4380">
        <v>90.388502488424507</v>
      </c>
      <c r="AJ4380">
        <v>91.590054949030801</v>
      </c>
      <c r="AK4380">
        <v>152.94623049503301</v>
      </c>
      <c r="AL4380">
        <v>80.461622430458107</v>
      </c>
      <c r="AM4380">
        <v>94.898684434886107</v>
      </c>
      <c r="AN4380">
        <v>1.0000000143315799</v>
      </c>
    </row>
    <row r="4381" spans="1:40" x14ac:dyDescent="0.25">
      <c r="A4381" t="str">
        <f>"20190304154841163"</f>
        <v>20190304154841163</v>
      </c>
      <c r="B4381" t="str">
        <f>"1551685721151273"</f>
        <v>1551685721151273</v>
      </c>
      <c r="C4381" t="s">
        <v>40</v>
      </c>
      <c r="D4381">
        <v>4.1948800000000004</v>
      </c>
      <c r="E4381">
        <v>0.52064560000000004</v>
      </c>
      <c r="F4381" t="s">
        <v>71</v>
      </c>
      <c r="G4381">
        <v>-157.8382</v>
      </c>
      <c r="H4381">
        <v>0.62439730000000004</v>
      </c>
      <c r="I4381">
        <v>219.10730000000001</v>
      </c>
      <c r="J4381">
        <v>-332.44060000000002</v>
      </c>
      <c r="K4381">
        <v>1.109937</v>
      </c>
      <c r="L4381">
        <v>214.10210000000001</v>
      </c>
      <c r="M4381">
        <v>0.99993540000000003</v>
      </c>
      <c r="N4381">
        <v>-1.122775E-2</v>
      </c>
      <c r="O4381">
        <v>1.755571E-3</v>
      </c>
      <c r="P4381">
        <v>0.98425079999999998</v>
      </c>
      <c r="Q4381">
        <v>0.15431400000000001</v>
      </c>
      <c r="R4381">
        <v>8.6242089999999993E-2</v>
      </c>
      <c r="S4381">
        <v>3.0418400000000001</v>
      </c>
      <c r="T4381">
        <v>-8.4397789999999997E-3</v>
      </c>
      <c r="U4381">
        <v>8.702087E-2</v>
      </c>
      <c r="V4381">
        <v>-8.4465529999999997E-2</v>
      </c>
      <c r="W4381">
        <v>0.16538139999999901</v>
      </c>
      <c r="X4381">
        <v>0.98260599999999998</v>
      </c>
      <c r="Y4381">
        <v>-2.684081E-2</v>
      </c>
      <c r="Z4381">
        <v>2.027841E-4</v>
      </c>
      <c r="AA4381">
        <v>0.99963970000000002</v>
      </c>
      <c r="AB4381">
        <v>38</v>
      </c>
      <c r="AC4381">
        <v>174.60239999999999</v>
      </c>
      <c r="AD4381">
        <v>-0.48553970000000002</v>
      </c>
      <c r="AE4381">
        <v>5.0052000000000003</v>
      </c>
      <c r="AF4381">
        <v>-4.6986097408944199</v>
      </c>
      <c r="AG4381">
        <v>-0.48553970000000002</v>
      </c>
      <c r="AH4381">
        <v>174.60956928864701</v>
      </c>
      <c r="AI4381">
        <v>90.159265253618599</v>
      </c>
      <c r="AJ4381">
        <v>91.541413554743798</v>
      </c>
      <c r="AK4381">
        <v>174.67345067142901</v>
      </c>
      <c r="AL4381">
        <v>80.480608445490901</v>
      </c>
      <c r="AM4381">
        <v>94.913109447547001</v>
      </c>
      <c r="AN4381">
        <v>0.99999999223006997</v>
      </c>
    </row>
    <row r="4382" spans="1:40" x14ac:dyDescent="0.25">
      <c r="A4382" t="str">
        <f>"20190304154841185"</f>
        <v>20190304154841185</v>
      </c>
      <c r="B4382" t="str">
        <f>"1551685721181529"</f>
        <v>1551685721181529</v>
      </c>
      <c r="C4382" t="s">
        <v>40</v>
      </c>
      <c r="D4382">
        <v>4.2309839999999896</v>
      </c>
      <c r="E4382">
        <v>0.52139469999999999</v>
      </c>
      <c r="F4382" t="s">
        <v>71</v>
      </c>
      <c r="G4382">
        <v>-156.6277</v>
      </c>
      <c r="H4382">
        <v>0.89497759999999904</v>
      </c>
      <c r="I4382">
        <v>218.89709999999999</v>
      </c>
      <c r="J4382">
        <v>-332.06699999999898</v>
      </c>
      <c r="K4382">
        <v>1.109926</v>
      </c>
      <c r="L4382">
        <v>214.1027</v>
      </c>
      <c r="M4382">
        <v>0.99993569999999998</v>
      </c>
      <c r="N4382">
        <v>-1.1229889999999999E-2</v>
      </c>
      <c r="O4382">
        <v>1.6235209999999999E-3</v>
      </c>
      <c r="P4382">
        <v>0.98430830000000002</v>
      </c>
      <c r="Q4382">
        <v>0.15423589999999901</v>
      </c>
      <c r="R4382">
        <v>8.5724700000000001E-2</v>
      </c>
      <c r="S4382">
        <v>3.0413510000000001</v>
      </c>
      <c r="T4382">
        <v>-3.7175419999999999E-3</v>
      </c>
      <c r="U4382">
        <v>8.2946779999999998E-2</v>
      </c>
      <c r="V4382">
        <v>-8.4074880000000005E-2</v>
      </c>
      <c r="W4382">
        <v>0.1653075</v>
      </c>
      <c r="X4382">
        <v>0.98265190000000002</v>
      </c>
      <c r="Y4382">
        <v>-2.5639700000000001E-2</v>
      </c>
      <c r="Z4382">
        <v>1.759098E-4</v>
      </c>
      <c r="AA4382">
        <v>0.99967119999999998</v>
      </c>
      <c r="AB4382">
        <v>38</v>
      </c>
      <c r="AC4382">
        <v>175.43929999999901</v>
      </c>
      <c r="AD4382">
        <v>-0.21494840000000001</v>
      </c>
      <c r="AE4382">
        <v>4.7943999999999898</v>
      </c>
      <c r="AF4382">
        <v>-4.5095395882830003</v>
      </c>
      <c r="AG4382">
        <v>-0.21494840000000001</v>
      </c>
      <c r="AH4382">
        <v>175.44658988743601</v>
      </c>
      <c r="AI4382">
        <v>90.070172716427507</v>
      </c>
      <c r="AJ4382">
        <v>91.472360957302101</v>
      </c>
      <c r="AK4382">
        <v>175.50466675630901</v>
      </c>
      <c r="AL4382">
        <v>80.4849013464802</v>
      </c>
      <c r="AM4382">
        <v>94.890269625421794</v>
      </c>
      <c r="AN4382">
        <v>0.99999995578843603</v>
      </c>
    </row>
    <row r="4383" spans="1:40" x14ac:dyDescent="0.25">
      <c r="A4383" t="str">
        <f>"20190304154841207"</f>
        <v>20190304154841207</v>
      </c>
      <c r="B4383" t="str">
        <f>"1551685721201049"</f>
        <v>1551685721201049</v>
      </c>
      <c r="C4383" t="s">
        <v>40</v>
      </c>
      <c r="D4383">
        <v>4.2504790000000003</v>
      </c>
      <c r="E4383">
        <v>0.52179739999999997</v>
      </c>
      <c r="F4383" t="s">
        <v>71</v>
      </c>
      <c r="G4383">
        <v>-140.32320000000001</v>
      </c>
      <c r="H4383">
        <v>1.2422770000000001</v>
      </c>
      <c r="I4383">
        <v>218.89709999999999</v>
      </c>
      <c r="J4383">
        <v>-331.67570000000001</v>
      </c>
      <c r="K4383">
        <v>1.1099110000000001</v>
      </c>
      <c r="L4383">
        <v>214.10319999999999</v>
      </c>
      <c r="M4383">
        <v>0.99993589999999999</v>
      </c>
      <c r="N4383">
        <v>-1.1232199999999999E-2</v>
      </c>
      <c r="O4383">
        <v>1.480582E-3</v>
      </c>
      <c r="P4383">
        <v>0.98443670000000005</v>
      </c>
      <c r="Q4383">
        <v>0.153586</v>
      </c>
      <c r="R4383">
        <v>8.5416989999999998E-2</v>
      </c>
      <c r="S4383">
        <v>3.0408629999999999</v>
      </c>
      <c r="T4383">
        <v>2.099872E-3</v>
      </c>
      <c r="U4383">
        <v>7.6034550000000006E-2</v>
      </c>
      <c r="V4383">
        <v>-8.3904590000000001E-2</v>
      </c>
      <c r="W4383">
        <v>0.16466320000000001</v>
      </c>
      <c r="X4383">
        <v>0.9827747</v>
      </c>
      <c r="Y4383">
        <v>-2.35164E-2</v>
      </c>
      <c r="Z4383">
        <v>1.4162699999999999E-4</v>
      </c>
      <c r="AA4383">
        <v>0.99972340000000004</v>
      </c>
      <c r="AB4383">
        <v>38</v>
      </c>
      <c r="AC4383">
        <v>191.35249999999999</v>
      </c>
      <c r="AD4383">
        <v>0.13236599999999901</v>
      </c>
      <c r="AE4383">
        <v>4.7938999999999998</v>
      </c>
      <c r="AF4383">
        <v>-4.5105616698633897</v>
      </c>
      <c r="AG4383">
        <v>0.13236599999999901</v>
      </c>
      <c r="AH4383">
        <v>191.35929694005301</v>
      </c>
      <c r="AI4383">
        <v>89.960378690228495</v>
      </c>
      <c r="AJ4383">
        <v>91.350278270438693</v>
      </c>
      <c r="AK4383">
        <v>191.41249492320799</v>
      </c>
      <c r="AL4383">
        <v>80.5223306531947</v>
      </c>
      <c r="AM4383">
        <v>94.879805613000102</v>
      </c>
      <c r="AN4383">
        <v>1.00000003030869</v>
      </c>
    </row>
    <row r="4384" spans="1:40" x14ac:dyDescent="0.25">
      <c r="A4384" t="str">
        <f>"20190304154841221"</f>
        <v>20190304154841221</v>
      </c>
      <c r="B4384" t="str">
        <f>"1551685721210809"</f>
        <v>1551685721210809</v>
      </c>
      <c r="C4384" t="s">
        <v>40</v>
      </c>
      <c r="D4384">
        <v>4.2396070000000003</v>
      </c>
      <c r="E4384">
        <v>0.52284379999999997</v>
      </c>
      <c r="F4384" t="s">
        <v>71</v>
      </c>
      <c r="G4384">
        <v>-124.6118</v>
      </c>
      <c r="H4384">
        <v>1.3150539999999999</v>
      </c>
      <c r="I4384">
        <v>218.99100000000001</v>
      </c>
      <c r="J4384">
        <v>-331.4427</v>
      </c>
      <c r="K4384">
        <v>1.1099049999999999</v>
      </c>
      <c r="L4384">
        <v>214.1035</v>
      </c>
      <c r="M4384">
        <v>0.99993589999999999</v>
      </c>
      <c r="N4384">
        <v>-1.123357E-2</v>
      </c>
      <c r="O4384">
        <v>1.3939130000000001E-3</v>
      </c>
      <c r="P4384">
        <v>0.9844889</v>
      </c>
      <c r="Q4384">
        <v>0.15334</v>
      </c>
      <c r="R4384">
        <v>8.5255529999999996E-2</v>
      </c>
      <c r="S4384">
        <v>3.0407410000000001</v>
      </c>
      <c r="T4384">
        <v>3.0133719999999998E-3</v>
      </c>
      <c r="U4384">
        <v>7.1777339999999995E-2</v>
      </c>
      <c r="V4384">
        <v>-8.3826479999999995E-2</v>
      </c>
      <c r="W4384">
        <v>0.16442000000000001</v>
      </c>
      <c r="X4384">
        <v>0.98282210000000003</v>
      </c>
      <c r="Y4384">
        <v>-2.2205220000000001E-2</v>
      </c>
      <c r="Z4384">
        <v>1.3077999999999999E-4</v>
      </c>
      <c r="AA4384">
        <v>0.99975340000000001</v>
      </c>
      <c r="AB4384">
        <v>38</v>
      </c>
      <c r="AC4384">
        <v>206.83090000000001</v>
      </c>
      <c r="AD4384">
        <v>0.205149</v>
      </c>
      <c r="AE4384">
        <v>4.8874999999999797</v>
      </c>
      <c r="AF4384">
        <v>-4.5991682473987501</v>
      </c>
      <c r="AG4384">
        <v>0.205149</v>
      </c>
      <c r="AH4384">
        <v>206.837308845362</v>
      </c>
      <c r="AI4384">
        <v>89.943185959140905</v>
      </c>
      <c r="AJ4384">
        <v>91.273800723031698</v>
      </c>
      <c r="AK4384">
        <v>206.88853705575801</v>
      </c>
      <c r="AL4384">
        <v>80.536457699802298</v>
      </c>
      <c r="AM4384">
        <v>94.875050726335402</v>
      </c>
      <c r="AN4384">
        <v>1.00000004769879</v>
      </c>
    </row>
    <row r="4385" spans="1:40" x14ac:dyDescent="0.25">
      <c r="A4385" t="str">
        <f>"20190304154841235"</f>
        <v>20190304154841235</v>
      </c>
      <c r="B4385" t="str">
        <f>"1551685721231306"</f>
        <v>1551685721231306</v>
      </c>
      <c r="C4385" t="s">
        <v>40</v>
      </c>
      <c r="D4385">
        <v>4.1956189999999998</v>
      </c>
      <c r="E4385">
        <v>0.52445209999999998</v>
      </c>
      <c r="F4385" t="s">
        <v>72</v>
      </c>
      <c r="G4385">
        <v>-107.39749999999999</v>
      </c>
      <c r="H4385">
        <v>1.7974079999999999</v>
      </c>
      <c r="I4385">
        <v>218.75409999999999</v>
      </c>
      <c r="J4385">
        <v>-331.22410000000002</v>
      </c>
      <c r="K4385">
        <v>1.109901</v>
      </c>
      <c r="L4385">
        <v>214.1037</v>
      </c>
      <c r="M4385">
        <v>0.99993600000000005</v>
      </c>
      <c r="N4385">
        <v>-1.1234920000000001E-2</v>
      </c>
      <c r="O4385">
        <v>1.3121400000000001E-3</v>
      </c>
      <c r="P4385">
        <v>0.98452660000000003</v>
      </c>
      <c r="Q4385">
        <v>0.15312690000000001</v>
      </c>
      <c r="R4385">
        <v>8.5204059999999998E-2</v>
      </c>
      <c r="S4385">
        <v>3.0403440000000002</v>
      </c>
      <c r="T4385">
        <v>9.330273E-3</v>
      </c>
      <c r="U4385">
        <v>6.3110349999999996E-2</v>
      </c>
      <c r="V4385">
        <v>-8.3854300000000007E-2</v>
      </c>
      <c r="W4385">
        <v>0.164209299999999</v>
      </c>
      <c r="X4385">
        <v>0.98285489999999998</v>
      </c>
      <c r="Y4385">
        <v>-1.944158E-2</v>
      </c>
      <c r="Z4385" s="1">
        <v>9.8165580000000006E-5</v>
      </c>
      <c r="AA4385">
        <v>0.99981100000000001</v>
      </c>
      <c r="AB4385">
        <v>38</v>
      </c>
      <c r="AC4385">
        <v>223.82660000000001</v>
      </c>
      <c r="AD4385">
        <v>0.68750699999999998</v>
      </c>
      <c r="AE4385">
        <v>4.6503999999999897</v>
      </c>
      <c r="AF4385">
        <v>-4.3566445304801</v>
      </c>
      <c r="AG4385">
        <v>0.68750699999999998</v>
      </c>
      <c r="AH4385">
        <v>223.83039877947201</v>
      </c>
      <c r="AI4385">
        <v>89.824046839278097</v>
      </c>
      <c r="AJ4385">
        <v>91.115066722548306</v>
      </c>
      <c r="AK4385">
        <v>223.87384937776301</v>
      </c>
      <c r="AL4385">
        <v>80.548695775148403</v>
      </c>
      <c r="AM4385">
        <v>94.876498877685606</v>
      </c>
      <c r="AN4385">
        <v>0.99999999614449497</v>
      </c>
    </row>
    <row r="4386" spans="1:40" x14ac:dyDescent="0.25">
      <c r="A4386" t="str">
        <f>"20190304154841252"</f>
        <v>20190304154841252</v>
      </c>
      <c r="B4386" t="str">
        <f>"1551685721241064"</f>
        <v>1551685721241064</v>
      </c>
      <c r="C4386" t="s">
        <v>40</v>
      </c>
      <c r="D4386">
        <v>4.312049</v>
      </c>
      <c r="E4386">
        <v>0.52483740000000001</v>
      </c>
      <c r="F4386" t="s">
        <v>72</v>
      </c>
      <c r="G4386">
        <v>-107.39749999999999</v>
      </c>
      <c r="H4386">
        <v>2.4517730000000002</v>
      </c>
      <c r="I4386">
        <v>217.82239999999999</v>
      </c>
      <c r="J4386">
        <v>-330.9008</v>
      </c>
      <c r="K4386">
        <v>1.1098939999999999</v>
      </c>
      <c r="L4386">
        <v>214.10400000000001</v>
      </c>
      <c r="M4386">
        <v>0.99993609999999999</v>
      </c>
      <c r="N4386">
        <v>-1.123714E-2</v>
      </c>
      <c r="O4386">
        <v>1.1905939999999999E-3</v>
      </c>
      <c r="P4386">
        <v>0.98465040000000004</v>
      </c>
      <c r="Q4386">
        <v>0.15264459999999999</v>
      </c>
      <c r="R4386">
        <v>8.4635429999999998E-2</v>
      </c>
      <c r="S4386">
        <v>3.0399780000000001</v>
      </c>
      <c r="T4386">
        <v>1.8225789999999999E-2</v>
      </c>
      <c r="U4386">
        <v>5.0506589999999997E-2</v>
      </c>
      <c r="V4386">
        <v>-8.3403619999999998E-2</v>
      </c>
      <c r="W4386">
        <v>0.16373089999999901</v>
      </c>
      <c r="X4386">
        <v>0.98297299999999999</v>
      </c>
      <c r="Y4386">
        <v>-1.542174E-2</v>
      </c>
      <c r="Z4386" s="1">
        <v>6.0945849999999999E-5</v>
      </c>
      <c r="AA4386">
        <v>0.99988109999999997</v>
      </c>
      <c r="AB4386">
        <v>38</v>
      </c>
      <c r="AC4386">
        <v>223.5033</v>
      </c>
      <c r="AD4386">
        <v>1.3418789999999901</v>
      </c>
      <c r="AE4386">
        <v>3.7183999999999702</v>
      </c>
      <c r="AF4386">
        <v>-3.4521544574870102</v>
      </c>
      <c r="AG4386">
        <v>1.3418789999999901</v>
      </c>
      <c r="AH4386">
        <v>223.49951488807599</v>
      </c>
      <c r="AI4386">
        <v>89.656044398239004</v>
      </c>
      <c r="AJ4386">
        <v>90.884915358087497</v>
      </c>
      <c r="AK4386">
        <v>223.53020190760401</v>
      </c>
      <c r="AL4386">
        <v>80.576481671014506</v>
      </c>
      <c r="AM4386">
        <v>94.849835238576503</v>
      </c>
      <c r="AN4386">
        <v>0.99999994508645496</v>
      </c>
    </row>
    <row r="4387" spans="1:40" x14ac:dyDescent="0.25">
      <c r="A4387" t="str">
        <f>"20190304154841275"</f>
        <v>20190304154841275</v>
      </c>
      <c r="B4387" t="str">
        <f>"1551685721271322"</f>
        <v>1551685721271322</v>
      </c>
      <c r="C4387" t="s">
        <v>40</v>
      </c>
      <c r="D4387">
        <v>4.2441930000000001</v>
      </c>
      <c r="E4387">
        <v>0.52549880000000004</v>
      </c>
      <c r="F4387" t="s">
        <v>72</v>
      </c>
      <c r="G4387">
        <v>-107.39749999999999</v>
      </c>
      <c r="H4387">
        <v>2.6475149999999998</v>
      </c>
      <c r="I4387">
        <v>217.46889999999999</v>
      </c>
      <c r="J4387">
        <v>-330.51900000000001</v>
      </c>
      <c r="K4387">
        <v>1.109888</v>
      </c>
      <c r="L4387">
        <v>214.10429999999999</v>
      </c>
      <c r="M4387">
        <v>0.99993639999999995</v>
      </c>
      <c r="N4387">
        <v>-1.1239600000000001E-2</v>
      </c>
      <c r="O4387">
        <v>1.0461030000000001E-3</v>
      </c>
      <c r="P4387">
        <v>0.98471070000000005</v>
      </c>
      <c r="Q4387">
        <v>0.1524102</v>
      </c>
      <c r="R4387">
        <v>8.4357249999999995E-2</v>
      </c>
      <c r="S4387">
        <v>3.0395509999999999</v>
      </c>
      <c r="T4387">
        <v>2.091169E-2</v>
      </c>
      <c r="U4387">
        <v>4.5761110000000001E-2</v>
      </c>
      <c r="V4387">
        <v>-8.3265749999999999E-2</v>
      </c>
      <c r="W4387">
        <v>0.16350039999999999</v>
      </c>
      <c r="X4387">
        <v>0.98302310000000004</v>
      </c>
      <c r="Y4387">
        <v>-1.4007840000000001E-2</v>
      </c>
      <c r="Z4387" s="1">
        <v>4.949859E-5</v>
      </c>
      <c r="AA4387">
        <v>0.99990190000000001</v>
      </c>
      <c r="AB4387">
        <v>38</v>
      </c>
      <c r="AC4387">
        <v>223.1215</v>
      </c>
      <c r="AD4387">
        <v>1.5376270000000001</v>
      </c>
      <c r="AE4387">
        <v>3.36459999999999</v>
      </c>
      <c r="AF4387">
        <v>-3.13102670583205</v>
      </c>
      <c r="AG4387">
        <v>1.5376270000000001</v>
      </c>
      <c r="AH4387">
        <v>223.114304136583</v>
      </c>
      <c r="AI4387">
        <v>89.605182330100703</v>
      </c>
      <c r="AJ4387">
        <v>90.803995250893905</v>
      </c>
      <c r="AK4387">
        <v>223.14157016426901</v>
      </c>
      <c r="AL4387">
        <v>80.589869182615601</v>
      </c>
      <c r="AM4387">
        <v>94.841610790563195</v>
      </c>
      <c r="AN4387">
        <v>0.99999999052841604</v>
      </c>
    </row>
    <row r="4388" spans="1:40" x14ac:dyDescent="0.25">
      <c r="A4388" t="str">
        <f>"20190304154841296"</f>
        <v>20190304154841296</v>
      </c>
      <c r="B4388" t="str">
        <f>"1551685721290841"</f>
        <v>1551685721290841</v>
      </c>
      <c r="C4388" t="s">
        <v>40</v>
      </c>
      <c r="D4388">
        <v>4.2306889999999999</v>
      </c>
      <c r="E4388">
        <v>0.52611540000000001</v>
      </c>
      <c r="F4388" t="s">
        <v>72</v>
      </c>
      <c r="G4388">
        <v>-107.39749999999999</v>
      </c>
      <c r="H4388">
        <v>2.9165169999999998</v>
      </c>
      <c r="I4388">
        <v>217.05369999999999</v>
      </c>
      <c r="J4388">
        <v>-330.1447</v>
      </c>
      <c r="K4388">
        <v>1.1098809999999999</v>
      </c>
      <c r="L4388">
        <v>214.1046</v>
      </c>
      <c r="M4388">
        <v>0.99993650000000001</v>
      </c>
      <c r="N4388">
        <v>-1.124182E-2</v>
      </c>
      <c r="O4388">
        <v>9.0484840000000001E-4</v>
      </c>
      <c r="P4388">
        <v>0.98477820000000005</v>
      </c>
      <c r="Q4388">
        <v>0.1520666</v>
      </c>
      <c r="R4388">
        <v>8.4188260000000001E-2</v>
      </c>
      <c r="S4388">
        <v>3.0393370000000002</v>
      </c>
      <c r="T4388">
        <v>2.4610400000000001E-2</v>
      </c>
      <c r="U4388">
        <v>4.0176389999999999E-2</v>
      </c>
      <c r="V4388">
        <v>-8.3234890000000006E-2</v>
      </c>
      <c r="W4388">
        <v>0.16316029999999901</v>
      </c>
      <c r="X4388">
        <v>0.98308220000000002</v>
      </c>
      <c r="Y4388">
        <v>-1.231314E-2</v>
      </c>
      <c r="Z4388" s="1">
        <v>3.6865249999999997E-5</v>
      </c>
      <c r="AA4388">
        <v>0.99992420000000004</v>
      </c>
      <c r="AB4388">
        <v>39</v>
      </c>
      <c r="AC4388">
        <v>222.74719999999999</v>
      </c>
      <c r="AD4388">
        <v>1.8066359999999999</v>
      </c>
      <c r="AE4388">
        <v>2.9490999999999801</v>
      </c>
      <c r="AF4388">
        <v>-2.7473529294183301</v>
      </c>
      <c r="AG4388">
        <v>1.8066359999999999</v>
      </c>
      <c r="AH4388">
        <v>222.735127735226</v>
      </c>
      <c r="AI4388">
        <v>89.535311398470995</v>
      </c>
      <c r="AJ4388">
        <v>90.706685770655298</v>
      </c>
      <c r="AK4388">
        <v>222.75939712834199</v>
      </c>
      <c r="AL4388">
        <v>80.609620528913197</v>
      </c>
      <c r="AM4388">
        <v>94.839535341110405</v>
      </c>
      <c r="AN4388">
        <v>0.99999997118312001</v>
      </c>
    </row>
    <row r="4389" spans="1:40" x14ac:dyDescent="0.25">
      <c r="A4389" t="str">
        <f>"20190304154841320"</f>
        <v>20190304154841320</v>
      </c>
      <c r="B4389" t="str">
        <f>"1551685721311337"</f>
        <v>1551685721311337</v>
      </c>
      <c r="C4389" t="s">
        <v>40</v>
      </c>
      <c r="D4389">
        <v>4.2294280000000004</v>
      </c>
      <c r="E4389">
        <v>0.52670069999999902</v>
      </c>
      <c r="F4389" t="s">
        <v>72</v>
      </c>
      <c r="G4389">
        <v>-107.39749999999999</v>
      </c>
      <c r="H4389">
        <v>3.19903</v>
      </c>
      <c r="I4389">
        <v>216.66909999999999</v>
      </c>
      <c r="J4389">
        <v>-329.74079999999998</v>
      </c>
      <c r="K4389">
        <v>1.1098760000000001</v>
      </c>
      <c r="L4389">
        <v>214.10480000000001</v>
      </c>
      <c r="M4389">
        <v>0.99993659999999995</v>
      </c>
      <c r="N4389">
        <v>-1.124413E-2</v>
      </c>
      <c r="O4389">
        <v>7.5233440000000004E-4</v>
      </c>
      <c r="P4389">
        <v>0.9848886</v>
      </c>
      <c r="Q4389">
        <v>0.15150339999999901</v>
      </c>
      <c r="R4389">
        <v>8.391469E-2</v>
      </c>
      <c r="S4389">
        <v>3.0390009999999998</v>
      </c>
      <c r="T4389">
        <v>2.8503540000000001E-2</v>
      </c>
      <c r="U4389">
        <v>3.4988400000000003E-2</v>
      </c>
      <c r="V4389">
        <v>-8.311093E-2</v>
      </c>
      <c r="W4389">
        <v>0.16260139999999901</v>
      </c>
      <c r="X4389">
        <v>0.98318530000000004</v>
      </c>
      <c r="Y4389">
        <v>-1.0760280000000001E-2</v>
      </c>
      <c r="Z4389" s="1">
        <v>2.555464E-5</v>
      </c>
      <c r="AA4389">
        <v>0.99994209999999994</v>
      </c>
      <c r="AB4389">
        <v>39</v>
      </c>
      <c r="AC4389">
        <v>222.3433</v>
      </c>
      <c r="AD4389">
        <v>2.0891540000000002</v>
      </c>
      <c r="AE4389">
        <v>2.56429999999997</v>
      </c>
      <c r="AF4389">
        <v>-2.3968006260753798</v>
      </c>
      <c r="AG4389">
        <v>2.0891540000000002</v>
      </c>
      <c r="AH4389">
        <v>222.32554073468401</v>
      </c>
      <c r="AI4389">
        <v>89.461648765260705</v>
      </c>
      <c r="AJ4389">
        <v>90.617658412267005</v>
      </c>
      <c r="AK4389">
        <v>222.34827474178101</v>
      </c>
      <c r="AL4389">
        <v>80.642076726943799</v>
      </c>
      <c r="AM4389">
        <v>94.831857739232504</v>
      </c>
      <c r="AN4389">
        <v>0.99999998805175705</v>
      </c>
    </row>
    <row r="4390" spans="1:40" x14ac:dyDescent="0.25">
      <c r="A4390" t="str">
        <f>"20190304154841332"</f>
        <v>20190304154841332</v>
      </c>
      <c r="B4390" t="str">
        <f>"1551685721321097"</f>
        <v>1551685721321097</v>
      </c>
      <c r="C4390" t="s">
        <v>40</v>
      </c>
      <c r="D4390">
        <v>4.2302429999999998</v>
      </c>
      <c r="E4390">
        <v>0.52657730000000003</v>
      </c>
      <c r="F4390" t="s">
        <v>72</v>
      </c>
      <c r="G4390">
        <v>-107.39749999999999</v>
      </c>
      <c r="H4390">
        <v>3.316846</v>
      </c>
      <c r="I4390">
        <v>216.274</v>
      </c>
      <c r="J4390">
        <v>-329.52080000000001</v>
      </c>
      <c r="K4390">
        <v>1.1098730000000001</v>
      </c>
      <c r="L4390">
        <v>214.10489999999999</v>
      </c>
      <c r="M4390">
        <v>0.99993659999999995</v>
      </c>
      <c r="N4390">
        <v>-1.1245399999999999E-2</v>
      </c>
      <c r="O4390">
        <v>6.6958070000000005E-4</v>
      </c>
      <c r="P4390">
        <v>0.98491309999999999</v>
      </c>
      <c r="Q4390">
        <v>0.15136540000000001</v>
      </c>
      <c r="R4390">
        <v>8.3873639999999999E-2</v>
      </c>
      <c r="S4390">
        <v>3.0388790000000001</v>
      </c>
      <c r="T4390">
        <v>3.016448E-2</v>
      </c>
      <c r="U4390">
        <v>2.964783E-2</v>
      </c>
      <c r="V4390">
        <v>-8.3150329999999995E-2</v>
      </c>
      <c r="W4390">
        <v>0.16246450000000001</v>
      </c>
      <c r="X4390">
        <v>0.98320459999999998</v>
      </c>
      <c r="Y4390">
        <v>-9.0863239999999998E-3</v>
      </c>
      <c r="Z4390" s="1">
        <v>2.017365E-5</v>
      </c>
      <c r="AA4390">
        <v>0.99995869999999998</v>
      </c>
      <c r="AB4390">
        <v>39</v>
      </c>
      <c r="AC4390">
        <v>222.1233</v>
      </c>
      <c r="AD4390">
        <v>2.2069730000000001</v>
      </c>
      <c r="AE4390">
        <v>2.16910000000001</v>
      </c>
      <c r="AF4390">
        <v>-2.0201612306898</v>
      </c>
      <c r="AG4390">
        <v>2.2069730000000001</v>
      </c>
      <c r="AH4390">
        <v>222.10277875084401</v>
      </c>
      <c r="AI4390">
        <v>89.430710197594394</v>
      </c>
      <c r="AJ4390">
        <v>90.521125946048997</v>
      </c>
      <c r="AK4390">
        <v>222.122930176214</v>
      </c>
      <c r="AL4390">
        <v>80.650026225126297</v>
      </c>
      <c r="AM4390">
        <v>94.8340430593382</v>
      </c>
      <c r="AN4390">
        <v>0.99999998830025905</v>
      </c>
    </row>
    <row r="4391" spans="1:40" x14ac:dyDescent="0.25">
      <c r="A4391" t="str">
        <f>"20190304154841346"</f>
        <v>20190304154841346</v>
      </c>
      <c r="B4391" t="str">
        <f>"1551685721341593"</f>
        <v>1551685721341593</v>
      </c>
      <c r="C4391" t="s">
        <v>40</v>
      </c>
      <c r="D4391">
        <v>4.2415929999999999</v>
      </c>
      <c r="E4391">
        <v>0.52615909999999999</v>
      </c>
      <c r="F4391" t="s">
        <v>72</v>
      </c>
      <c r="G4391">
        <v>-107.39749999999999</v>
      </c>
      <c r="H4391">
        <v>3.2792509999999999</v>
      </c>
      <c r="I4391">
        <v>216.33449999999999</v>
      </c>
      <c r="J4391">
        <v>-329.28620000000001</v>
      </c>
      <c r="K4391">
        <v>1.109872</v>
      </c>
      <c r="L4391">
        <v>214.10499999999999</v>
      </c>
      <c r="M4391">
        <v>0.99993659999999995</v>
      </c>
      <c r="N4391">
        <v>-1.124677E-2</v>
      </c>
      <c r="O4391">
        <v>5.8104809999999995E-4</v>
      </c>
      <c r="P4391">
        <v>0.98489510000000002</v>
      </c>
      <c r="Q4391">
        <v>0.15158060000000001</v>
      </c>
      <c r="R4391">
        <v>8.3698040000000001E-2</v>
      </c>
      <c r="S4391">
        <v>3.0387879999999998</v>
      </c>
      <c r="T4391">
        <v>2.9679179999999999E-2</v>
      </c>
      <c r="U4391">
        <v>3.0502319999999999E-2</v>
      </c>
      <c r="V4391">
        <v>-8.3061999999999997E-2</v>
      </c>
      <c r="W4391">
        <v>0.16268089999999999</v>
      </c>
      <c r="X4391">
        <v>0.9831763</v>
      </c>
      <c r="Y4391">
        <v>-9.456295E-3</v>
      </c>
      <c r="Z4391" s="1">
        <v>1.9212009999999999E-5</v>
      </c>
      <c r="AA4391">
        <v>0.99995529999999999</v>
      </c>
      <c r="AB4391">
        <v>39</v>
      </c>
      <c r="AC4391">
        <v>221.8887</v>
      </c>
      <c r="AD4391">
        <v>2.1693790000000002</v>
      </c>
      <c r="AE4391">
        <v>2.2294999999999998</v>
      </c>
      <c r="AF4391">
        <v>-2.1003627153904998</v>
      </c>
      <c r="AG4391">
        <v>2.1693790000000002</v>
      </c>
      <c r="AH4391">
        <v>221.86875235860799</v>
      </c>
      <c r="AI4391">
        <v>89.439818676691203</v>
      </c>
      <c r="AJ4391">
        <v>90.542385184978201</v>
      </c>
      <c r="AK4391">
        <v>221.889298980251</v>
      </c>
      <c r="AL4391">
        <v>80.637460395714299</v>
      </c>
      <c r="AM4391">
        <v>94.829070525809797</v>
      </c>
      <c r="AN4391">
        <v>1.0000000039752499</v>
      </c>
    </row>
    <row r="4392" spans="1:40" x14ac:dyDescent="0.25">
      <c r="A4392" t="str">
        <f>"20190304154841363"</f>
        <v>20190304154841363</v>
      </c>
      <c r="B4392" t="str">
        <f>"1551685721350978"</f>
        <v>1551685721350978</v>
      </c>
      <c r="C4392" t="s">
        <v>40</v>
      </c>
      <c r="D4392">
        <v>4.2572700000000001</v>
      </c>
      <c r="E4392">
        <v>0.52614430000000001</v>
      </c>
      <c r="F4392" t="s">
        <v>72</v>
      </c>
      <c r="G4392">
        <v>-107.39749999999999</v>
      </c>
      <c r="H4392">
        <v>3.2882280000000002</v>
      </c>
      <c r="I4392">
        <v>216.53970000000001</v>
      </c>
      <c r="J4392">
        <v>-328.99759999999998</v>
      </c>
      <c r="K4392">
        <v>1.109877</v>
      </c>
      <c r="L4392">
        <v>214.10509999999999</v>
      </c>
      <c r="M4392">
        <v>0.99993659999999995</v>
      </c>
      <c r="N4392">
        <v>-1.124848E-2</v>
      </c>
      <c r="O4392">
        <v>4.723072E-4</v>
      </c>
      <c r="P4392">
        <v>0.98490529999999998</v>
      </c>
      <c r="Q4392">
        <v>0.1515821</v>
      </c>
      <c r="R4392">
        <v>8.3572499999999994E-2</v>
      </c>
      <c r="S4392">
        <v>3.0385740000000001</v>
      </c>
      <c r="T4392">
        <v>2.9831409999999999E-2</v>
      </c>
      <c r="U4392">
        <v>3.3340450000000001E-2</v>
      </c>
      <c r="V4392">
        <v>-8.3042729999999995E-2</v>
      </c>
      <c r="W4392">
        <v>0.16268469999999999</v>
      </c>
      <c r="X4392">
        <v>0.98317730000000003</v>
      </c>
      <c r="Y4392">
        <v>-1.0499609999999999E-2</v>
      </c>
      <c r="Z4392" s="1">
        <v>1.7467379999999898E-5</v>
      </c>
      <c r="AA4392">
        <v>0.99994490000000003</v>
      </c>
      <c r="AB4392">
        <v>39</v>
      </c>
      <c r="AC4392">
        <v>221.6001</v>
      </c>
      <c r="AD4392">
        <v>2.1783510000000001</v>
      </c>
      <c r="AE4392">
        <v>2.4346000000000099</v>
      </c>
      <c r="AF4392">
        <v>-2.3297046870849498</v>
      </c>
      <c r="AG4392">
        <v>2.1783510000000001</v>
      </c>
      <c r="AH4392">
        <v>221.57981636950001</v>
      </c>
      <c r="AI4392">
        <v>89.436774510473896</v>
      </c>
      <c r="AJ4392">
        <v>90.602389378108697</v>
      </c>
      <c r="AK4392">
        <v>221.60277019782399</v>
      </c>
      <c r="AL4392">
        <v>80.6372397411631</v>
      </c>
      <c r="AM4392">
        <v>94.827950612641303</v>
      </c>
      <c r="AN4392">
        <v>1.0000000049276101</v>
      </c>
    </row>
    <row r="4393" spans="1:40" x14ac:dyDescent="0.25">
      <c r="A4393" t="str">
        <f>"20190304154841378"</f>
        <v>20190304154841378</v>
      </c>
      <c r="B4393" t="str">
        <f>"1551685721371475"</f>
        <v>1551685721371475</v>
      </c>
      <c r="C4393" t="s">
        <v>40</v>
      </c>
      <c r="D4393">
        <v>4.236154</v>
      </c>
      <c r="E4393">
        <v>0.52621969999999996</v>
      </c>
      <c r="F4393" t="s">
        <v>72</v>
      </c>
      <c r="G4393">
        <v>-107.39749999999999</v>
      </c>
      <c r="H4393">
        <v>3.263039</v>
      </c>
      <c r="I4393">
        <v>216.54660000000001</v>
      </c>
      <c r="J4393">
        <v>-328.73289999999997</v>
      </c>
      <c r="K4393">
        <v>1.1098760000000001</v>
      </c>
      <c r="L4393">
        <v>214.10509999999999</v>
      </c>
      <c r="M4393">
        <v>0.99993679999999996</v>
      </c>
      <c r="N4393">
        <v>-1.1250069999999999E-2</v>
      </c>
      <c r="O4393">
        <v>3.7251100000000001E-4</v>
      </c>
      <c r="P4393">
        <v>0.98484269999999996</v>
      </c>
      <c r="Q4393">
        <v>0.1521006</v>
      </c>
      <c r="R4393">
        <v>8.3371349999999997E-2</v>
      </c>
      <c r="S4393">
        <v>3.0385740000000001</v>
      </c>
      <c r="T4393">
        <v>2.95248E-2</v>
      </c>
      <c r="U4393">
        <v>3.3477779999999999E-2</v>
      </c>
      <c r="V4393">
        <v>-8.293942E-2</v>
      </c>
      <c r="W4393">
        <v>0.16320409999999999</v>
      </c>
      <c r="X4393">
        <v>0.98309990000000003</v>
      </c>
      <c r="Y4393">
        <v>-1.0644580000000001E-2</v>
      </c>
      <c r="Z4393" s="1">
        <v>1.5977429999999999E-5</v>
      </c>
      <c r="AA4393">
        <v>0.99994329999999998</v>
      </c>
      <c r="AB4393">
        <v>39</v>
      </c>
      <c r="AC4393">
        <v>221.33539999999999</v>
      </c>
      <c r="AD4393">
        <v>2.1531630000000002</v>
      </c>
      <c r="AE4393">
        <v>2.4415000000000102</v>
      </c>
      <c r="AF4393">
        <v>-2.35882155389467</v>
      </c>
      <c r="AG4393">
        <v>2.1531630000000002</v>
      </c>
      <c r="AH4393">
        <v>221.315352541046</v>
      </c>
      <c r="AI4393">
        <v>89.442622243910193</v>
      </c>
      <c r="AJ4393">
        <v>90.610646305791803</v>
      </c>
      <c r="AK4393">
        <v>221.338395721111</v>
      </c>
      <c r="AL4393">
        <v>80.607076862653898</v>
      </c>
      <c r="AM4393">
        <v>94.822350544815805</v>
      </c>
      <c r="AN4393">
        <v>0.999999969513377</v>
      </c>
    </row>
    <row r="4394" spans="1:40" x14ac:dyDescent="0.25">
      <c r="A4394" t="str">
        <f>"20190304154841396"</f>
        <v>20190304154841396</v>
      </c>
      <c r="B4394" t="str">
        <f>"1551685721390994"</f>
        <v>1551685721390994</v>
      </c>
      <c r="C4394" t="s">
        <v>40</v>
      </c>
      <c r="D4394">
        <v>4.2275980000000004</v>
      </c>
      <c r="E4394">
        <v>0.52623439999999999</v>
      </c>
      <c r="F4394" t="s">
        <v>72</v>
      </c>
      <c r="G4394">
        <v>-107.39749999999999</v>
      </c>
      <c r="H4394">
        <v>3.479301</v>
      </c>
      <c r="I4394">
        <v>216.47049999999999</v>
      </c>
      <c r="J4394">
        <v>-328.41579999999999</v>
      </c>
      <c r="K4394">
        <v>1.1098779999999999</v>
      </c>
      <c r="L4394">
        <v>214.10509999999999</v>
      </c>
      <c r="M4394">
        <v>0.99993659999999995</v>
      </c>
      <c r="N4394">
        <v>-1.125204E-2</v>
      </c>
      <c r="O4394">
        <v>2.531632E-4</v>
      </c>
      <c r="P4394">
        <v>0.98467450000000001</v>
      </c>
      <c r="Q4394">
        <v>0.15332399999999999</v>
      </c>
      <c r="R4394">
        <v>8.3114759999999996E-2</v>
      </c>
      <c r="S4394">
        <v>3.0383909999999998</v>
      </c>
      <c r="T4394">
        <v>3.2527090000000002E-2</v>
      </c>
      <c r="U4394">
        <v>3.2470699999999998E-2</v>
      </c>
      <c r="V4394">
        <v>-8.2800009999999993E-2</v>
      </c>
      <c r="W4394">
        <v>0.16442709999999999</v>
      </c>
      <c r="X4394">
        <v>0.98290789999999995</v>
      </c>
      <c r="Y4394">
        <v>-1.0433130000000001E-2</v>
      </c>
      <c r="Z4394" s="1">
        <v>8.4169079999999992E-6</v>
      </c>
      <c r="AA4394">
        <v>0.99994559999999999</v>
      </c>
      <c r="AB4394">
        <v>39</v>
      </c>
      <c r="AC4394">
        <v>221.01830000000001</v>
      </c>
      <c r="AD4394">
        <v>2.3694229999999998</v>
      </c>
      <c r="AE4394">
        <v>2.36539999999999</v>
      </c>
      <c r="AF4394">
        <v>-2.3091773177085702</v>
      </c>
      <c r="AG4394">
        <v>2.3694229999999998</v>
      </c>
      <c r="AH4394">
        <v>220.993496186264</v>
      </c>
      <c r="AI4394">
        <v>89.3857496772346</v>
      </c>
      <c r="AJ4394">
        <v>90.598666032492304</v>
      </c>
      <c r="AK4394">
        <v>221.018261285953</v>
      </c>
      <c r="AL4394">
        <v>80.536045083126595</v>
      </c>
      <c r="AM4394">
        <v>94.815218947419993</v>
      </c>
      <c r="AN4394">
        <v>1.0000000263764</v>
      </c>
    </row>
    <row r="4395" spans="1:40" x14ac:dyDescent="0.25">
      <c r="A4395" t="str">
        <f>"20190304154841420"</f>
        <v>20190304154841420</v>
      </c>
      <c r="B4395" t="str">
        <f>"1551685721411490"</f>
        <v>1551685721411490</v>
      </c>
      <c r="C4395" t="s">
        <v>40</v>
      </c>
      <c r="D4395">
        <v>4.2265920000000001</v>
      </c>
      <c r="E4395">
        <v>0.5262213</v>
      </c>
      <c r="F4395" t="s">
        <v>72</v>
      </c>
      <c r="G4395">
        <v>-107.39749999999999</v>
      </c>
      <c r="H4395">
        <v>3.8478919999999999</v>
      </c>
      <c r="I4395">
        <v>216.40180000000001</v>
      </c>
      <c r="J4395">
        <v>-328.01740000000001</v>
      </c>
      <c r="K4395">
        <v>1.1098809999999999</v>
      </c>
      <c r="L4395">
        <v>214.10509999999999</v>
      </c>
      <c r="M4395">
        <v>0.99993679999999996</v>
      </c>
      <c r="N4395">
        <v>-1.1254719999999999E-2</v>
      </c>
      <c r="O4395">
        <v>1.0264019999999999E-4</v>
      </c>
      <c r="P4395">
        <v>0.98454960000000002</v>
      </c>
      <c r="Q4395">
        <v>0.1542355</v>
      </c>
      <c r="R4395">
        <v>8.2909319999999995E-2</v>
      </c>
      <c r="S4395">
        <v>3.038208</v>
      </c>
      <c r="T4395">
        <v>3.763855E-2</v>
      </c>
      <c r="U4395">
        <v>3.1570429999999997E-2</v>
      </c>
      <c r="V4395">
        <v>-8.2742220000000005E-2</v>
      </c>
      <c r="W4395">
        <v>0.1653395</v>
      </c>
      <c r="X4395">
        <v>0.98275970000000001</v>
      </c>
      <c r="Y4395">
        <v>-1.0287889999999999E-2</v>
      </c>
      <c r="Z4395" s="1">
        <v>-3.3972319999999999E-6</v>
      </c>
      <c r="AA4395">
        <v>0.99994709999999998</v>
      </c>
      <c r="AB4395">
        <v>39</v>
      </c>
      <c r="AC4395">
        <v>220.6199</v>
      </c>
      <c r="AD4395">
        <v>2.7380110000000002</v>
      </c>
      <c r="AE4395">
        <v>2.2967000000000102</v>
      </c>
      <c r="AF4395">
        <v>-2.2737039250704298</v>
      </c>
      <c r="AG4395">
        <v>2.7380110000000002</v>
      </c>
      <c r="AH4395">
        <v>220.586163282651</v>
      </c>
      <c r="AI4395">
        <v>89.288894259639093</v>
      </c>
      <c r="AJ4395">
        <v>90.590558462297906</v>
      </c>
      <c r="AK4395">
        <v>220.61487226734201</v>
      </c>
      <c r="AL4395">
        <v>80.483042979899096</v>
      </c>
      <c r="AM4395">
        <v>94.812596188594597</v>
      </c>
      <c r="AN4395">
        <v>1.00000002658743</v>
      </c>
    </row>
    <row r="4396" spans="1:40" x14ac:dyDescent="0.25">
      <c r="A4396" t="str">
        <f>"20190304154841441"</f>
        <v>20190304154841441</v>
      </c>
      <c r="B4396" t="str">
        <f>"1551685721431024"</f>
        <v>1551685721431024</v>
      </c>
      <c r="C4396" t="s">
        <v>40</v>
      </c>
      <c r="D4396">
        <v>4.2202349999999997</v>
      </c>
      <c r="E4396">
        <v>0.52592099999999997</v>
      </c>
      <c r="F4396" t="s">
        <v>72</v>
      </c>
      <c r="G4396">
        <v>-107.39749999999999</v>
      </c>
      <c r="H4396">
        <v>4.1069110000000002</v>
      </c>
      <c r="I4396">
        <v>216.37110000000001</v>
      </c>
      <c r="J4396">
        <v>-327.64400000000001</v>
      </c>
      <c r="K4396">
        <v>1.1098779999999999</v>
      </c>
      <c r="L4396">
        <v>214.10499999999999</v>
      </c>
      <c r="M4396">
        <v>0.99993679999999996</v>
      </c>
      <c r="N4396">
        <v>-1.125716E-2</v>
      </c>
      <c r="O4396" s="1">
        <v>-3.828088E-5</v>
      </c>
      <c r="P4396">
        <v>0.9845699</v>
      </c>
      <c r="Q4396">
        <v>0.15440889999999999</v>
      </c>
      <c r="R4396">
        <v>8.2343299999999994E-2</v>
      </c>
      <c r="S4396">
        <v>3.0379939999999999</v>
      </c>
      <c r="T4396">
        <v>4.1270609999999999E-2</v>
      </c>
      <c r="U4396">
        <v>3.1204220000000001E-2</v>
      </c>
      <c r="V4396">
        <v>-8.2314719999999994E-2</v>
      </c>
      <c r="W4396">
        <v>0.16551589999999999</v>
      </c>
      <c r="X4396">
        <v>0.98276589999999997</v>
      </c>
      <c r="Y4396">
        <v>-1.0308889999999999E-2</v>
      </c>
      <c r="Z4396" s="1">
        <v>-1.2939820000000001E-5</v>
      </c>
      <c r="AA4396">
        <v>0.99994680000000002</v>
      </c>
      <c r="AB4396">
        <v>39</v>
      </c>
      <c r="AC4396">
        <v>220.2465</v>
      </c>
      <c r="AD4396">
        <v>2.9970330000000001</v>
      </c>
      <c r="AE4396">
        <v>2.2661000000000202</v>
      </c>
      <c r="AF4396">
        <v>-2.2741107139870498</v>
      </c>
      <c r="AG4396">
        <v>2.9970330000000001</v>
      </c>
      <c r="AH4396">
        <v>220.205642448589</v>
      </c>
      <c r="AI4396">
        <v>89.220285257213305</v>
      </c>
      <c r="AJ4396">
        <v>90.591684721562203</v>
      </c>
      <c r="AK4396">
        <v>220.23777775971701</v>
      </c>
      <c r="AL4396">
        <v>80.472794743460696</v>
      </c>
      <c r="AM4396">
        <v>94.787817018396694</v>
      </c>
      <c r="AN4396">
        <v>1.00000002024214</v>
      </c>
    </row>
    <row r="4397" spans="1:40" x14ac:dyDescent="0.25">
      <c r="A4397" t="str">
        <f>"20190304154841464"</f>
        <v>20190304154841464</v>
      </c>
      <c r="B4397" t="str">
        <f>"1551685721461267"</f>
        <v>1551685721461267</v>
      </c>
      <c r="C4397" t="s">
        <v>40</v>
      </c>
      <c r="D4397">
        <v>4.2334440000000004</v>
      </c>
      <c r="E4397">
        <v>0.52563000000000004</v>
      </c>
      <c r="F4397" t="s">
        <v>72</v>
      </c>
      <c r="G4397">
        <v>-107.39749999999999</v>
      </c>
      <c r="H4397">
        <v>4.0873210000000002</v>
      </c>
      <c r="I4397">
        <v>216.45689999999999</v>
      </c>
      <c r="J4397">
        <v>-327.25580000000002</v>
      </c>
      <c r="K4397">
        <v>1.1098809999999999</v>
      </c>
      <c r="L4397">
        <v>214.10480000000001</v>
      </c>
      <c r="M4397">
        <v>0.99993670000000001</v>
      </c>
      <c r="N4397">
        <v>-1.1259679999999999E-2</v>
      </c>
      <c r="O4397">
        <v>-1.8504209999999999E-4</v>
      </c>
      <c r="P4397">
        <v>0.98455950000000003</v>
      </c>
      <c r="Q4397">
        <v>0.15445120000000001</v>
      </c>
      <c r="R4397">
        <v>8.238579E-2</v>
      </c>
      <c r="S4397">
        <v>3.0378419999999999</v>
      </c>
      <c r="T4397">
        <v>4.1068319999999998E-2</v>
      </c>
      <c r="U4397">
        <v>3.2440190000000001E-2</v>
      </c>
      <c r="V4397">
        <v>-8.2501050000000006E-2</v>
      </c>
      <c r="W4397">
        <v>0.1655605</v>
      </c>
      <c r="X4397">
        <v>0.98274269999999997</v>
      </c>
      <c r="Y4397">
        <v>-1.086291E-2</v>
      </c>
      <c r="Z4397" s="1">
        <v>-1.6846050000000001E-5</v>
      </c>
      <c r="AA4397">
        <v>0.99994099999999997</v>
      </c>
      <c r="AB4397">
        <v>39</v>
      </c>
      <c r="AC4397">
        <v>219.85830000000001</v>
      </c>
      <c r="AD4397">
        <v>2.9774400000000001</v>
      </c>
      <c r="AE4397">
        <v>2.3520999999999699</v>
      </c>
      <c r="AF4397">
        <v>-2.3923468687744398</v>
      </c>
      <c r="AG4397">
        <v>2.9774400000000001</v>
      </c>
      <c r="AH4397">
        <v>219.81755095469001</v>
      </c>
      <c r="AI4397">
        <v>89.224019134099095</v>
      </c>
      <c r="AJ4397">
        <v>90.623544237526701</v>
      </c>
      <c r="AK4397">
        <v>219.85073158898399</v>
      </c>
      <c r="AL4397">
        <v>80.470203007992396</v>
      </c>
      <c r="AM4397">
        <v>94.798717061971203</v>
      </c>
      <c r="AN4397">
        <v>0.99999995840732003</v>
      </c>
    </row>
    <row r="4398" spans="1:40" x14ac:dyDescent="0.25">
      <c r="A4398" t="str">
        <f>"20190304154841487"</f>
        <v>20190304154841487</v>
      </c>
      <c r="B4398" t="str">
        <f>"1551685721480786"</f>
        <v>1551685721480786</v>
      </c>
      <c r="C4398" t="s">
        <v>40</v>
      </c>
      <c r="D4398">
        <v>4.2332349999999996</v>
      </c>
      <c r="E4398">
        <v>0.52544040000000003</v>
      </c>
      <c r="F4398" t="s">
        <v>72</v>
      </c>
      <c r="G4398">
        <v>-107.39749999999999</v>
      </c>
      <c r="H4398">
        <v>4.0228820000000001</v>
      </c>
      <c r="I4398">
        <v>216.6138</v>
      </c>
      <c r="J4398">
        <v>-326.85719999999998</v>
      </c>
      <c r="K4398">
        <v>1.1098779999999999</v>
      </c>
      <c r="L4398">
        <v>214.1046</v>
      </c>
      <c r="M4398">
        <v>0.99993670000000001</v>
      </c>
      <c r="N4398">
        <v>-1.126225E-2</v>
      </c>
      <c r="O4398">
        <v>-3.3561890000000002E-4</v>
      </c>
      <c r="P4398">
        <v>0.98458959999999995</v>
      </c>
      <c r="Q4398">
        <v>0.15450800000000001</v>
      </c>
      <c r="R4398">
        <v>8.191814E-2</v>
      </c>
      <c r="S4398">
        <v>3.0378419999999999</v>
      </c>
      <c r="T4398">
        <v>4.0250420000000002E-2</v>
      </c>
      <c r="U4398">
        <v>3.4667969999999999E-2</v>
      </c>
      <c r="V4398">
        <v>-8.2181089999999998E-2</v>
      </c>
      <c r="W4398">
        <v>0.16561979999999901</v>
      </c>
      <c r="X4398">
        <v>0.98275950000000001</v>
      </c>
      <c r="Y4398">
        <v>-1.1746660000000001E-2</v>
      </c>
      <c r="Z4398" s="1">
        <v>-1.9888229999999999E-5</v>
      </c>
      <c r="AA4398">
        <v>0.99993100000000001</v>
      </c>
      <c r="AB4398">
        <v>39</v>
      </c>
      <c r="AC4398">
        <v>219.4597</v>
      </c>
      <c r="AD4398">
        <v>2.9130039999999999</v>
      </c>
      <c r="AE4398">
        <v>2.5091999999999901</v>
      </c>
      <c r="AF4398">
        <v>-2.5824044149736598</v>
      </c>
      <c r="AG4398">
        <v>2.9130039999999999</v>
      </c>
      <c r="AH4398">
        <v>219.42019163026001</v>
      </c>
      <c r="AI4398">
        <v>89.239443402328604</v>
      </c>
      <c r="AJ4398">
        <v>90.674295477847394</v>
      </c>
      <c r="AK4398">
        <v>219.45472175354701</v>
      </c>
      <c r="AL4398">
        <v>80.466757650678204</v>
      </c>
      <c r="AM4398">
        <v>94.7801114895952</v>
      </c>
      <c r="AN4398">
        <v>0.99999994227293698</v>
      </c>
    </row>
    <row r="4399" spans="1:40" x14ac:dyDescent="0.25">
      <c r="A4399" t="str">
        <f>"20190304154841509"</f>
        <v>20190304154841509</v>
      </c>
      <c r="B4399" t="str">
        <f>"1551685721501282"</f>
        <v>1551685721501282</v>
      </c>
      <c r="C4399" t="s">
        <v>40</v>
      </c>
      <c r="D4399">
        <v>4.2483680000000001</v>
      </c>
      <c r="E4399">
        <v>0.52518140000000002</v>
      </c>
      <c r="F4399" t="s">
        <v>72</v>
      </c>
      <c r="G4399">
        <v>-107.39749999999999</v>
      </c>
      <c r="H4399">
        <v>3.987892</v>
      </c>
      <c r="I4399">
        <v>216.62559999999999</v>
      </c>
      <c r="J4399">
        <v>-326.48090000000002</v>
      </c>
      <c r="K4399">
        <v>1.1098749999999999</v>
      </c>
      <c r="L4399">
        <v>214.10429999999999</v>
      </c>
      <c r="M4399">
        <v>0.99993659999999995</v>
      </c>
      <c r="N4399">
        <v>-1.1264700000000001E-2</v>
      </c>
      <c r="O4399">
        <v>-4.777297E-4</v>
      </c>
      <c r="P4399">
        <v>0.98467559999999998</v>
      </c>
      <c r="Q4399">
        <v>0.1540492</v>
      </c>
      <c r="R4399">
        <v>8.175114E-2</v>
      </c>
      <c r="S4399">
        <v>3.0378720000000001</v>
      </c>
      <c r="T4399">
        <v>3.9839630000000001E-2</v>
      </c>
      <c r="U4399">
        <v>3.489685E-2</v>
      </c>
      <c r="V4399">
        <v>-8.2154660000000004E-2</v>
      </c>
      <c r="W4399">
        <v>0.16516410000000001</v>
      </c>
      <c r="X4399">
        <v>0.98283849999999995</v>
      </c>
      <c r="Y4399">
        <v>-1.1963949999999999E-2</v>
      </c>
      <c r="Z4399" s="1">
        <v>-2.2699300000000001E-5</v>
      </c>
      <c r="AA4399">
        <v>0.99992840000000005</v>
      </c>
      <c r="AB4399">
        <v>39</v>
      </c>
      <c r="AC4399">
        <v>219.08340000000001</v>
      </c>
      <c r="AD4399">
        <v>2.8780169999999998</v>
      </c>
      <c r="AE4399">
        <v>2.5212999999999899</v>
      </c>
      <c r="AF4399">
        <v>-2.6255159554338401</v>
      </c>
      <c r="AG4399">
        <v>2.8780169999999998</v>
      </c>
      <c r="AH4399">
        <v>219.044374723858</v>
      </c>
      <c r="AI4399">
        <v>89.247289972131895</v>
      </c>
      <c r="AJ4399">
        <v>90.686727426703399</v>
      </c>
      <c r="AK4399">
        <v>219.07901408863901</v>
      </c>
      <c r="AL4399">
        <v>80.493232907903106</v>
      </c>
      <c r="AM4399">
        <v>94.778198972076595</v>
      </c>
      <c r="AN4399">
        <v>1.0000000425853799</v>
      </c>
    </row>
    <row r="4400" spans="1:40" x14ac:dyDescent="0.25">
      <c r="A4400" t="str">
        <f>"20190304154841531"</f>
        <v>20190304154841531</v>
      </c>
      <c r="B4400" t="str">
        <f>"1551685721520802"</f>
        <v>1551685721520802</v>
      </c>
      <c r="C4400" t="s">
        <v>40</v>
      </c>
      <c r="D4400">
        <v>4.2542140000000002</v>
      </c>
      <c r="E4400">
        <v>0.52494419999999897</v>
      </c>
      <c r="F4400" t="s">
        <v>72</v>
      </c>
      <c r="G4400">
        <v>-107.39749999999999</v>
      </c>
      <c r="H4400">
        <v>3.8227099999999998</v>
      </c>
      <c r="I4400">
        <v>216.7432</v>
      </c>
      <c r="J4400">
        <v>-326.09410000000003</v>
      </c>
      <c r="K4400">
        <v>1.1098709999999901</v>
      </c>
      <c r="L4400">
        <v>214.10400000000001</v>
      </c>
      <c r="M4400">
        <v>0.99993639999999995</v>
      </c>
      <c r="N4400">
        <v>-1.1267289999999999E-2</v>
      </c>
      <c r="O4400">
        <v>-6.2353820000000005E-4</v>
      </c>
      <c r="P4400">
        <v>0.98471759999999997</v>
      </c>
      <c r="Q4400">
        <v>0.15398779999999901</v>
      </c>
      <c r="R4400">
        <v>8.1359249999999994E-2</v>
      </c>
      <c r="S4400">
        <v>3.03775</v>
      </c>
      <c r="T4400">
        <v>3.7616129999999998E-2</v>
      </c>
      <c r="U4400">
        <v>3.6590579999999998E-2</v>
      </c>
      <c r="V4400">
        <v>-8.1906149999999997E-2</v>
      </c>
      <c r="W4400">
        <v>0.1651058</v>
      </c>
      <c r="X4400">
        <v>0.98286899999999999</v>
      </c>
      <c r="Y4400">
        <v>-1.2667680000000001E-2</v>
      </c>
      <c r="Z4400" s="1">
        <v>-2.180076E-5</v>
      </c>
      <c r="AA4400">
        <v>0.99991980000000003</v>
      </c>
      <c r="AB4400">
        <v>39</v>
      </c>
      <c r="AC4400">
        <v>218.69659999999999</v>
      </c>
      <c r="AD4400">
        <v>2.7128389999999998</v>
      </c>
      <c r="AE4400">
        <v>2.6391999999999798</v>
      </c>
      <c r="AF4400">
        <v>-2.7751468585554102</v>
      </c>
      <c r="AG4400">
        <v>2.7128389999999998</v>
      </c>
      <c r="AH4400">
        <v>218.66127044663699</v>
      </c>
      <c r="AI4400">
        <v>89.289248910938696</v>
      </c>
      <c r="AJ4400">
        <v>90.7271322709434</v>
      </c>
      <c r="AK4400">
        <v>218.69570669966001</v>
      </c>
      <c r="AL4400">
        <v>80.496619407261704</v>
      </c>
      <c r="AM4400">
        <v>94.763664847681696</v>
      </c>
      <c r="AN4400">
        <v>1.00000000688123</v>
      </c>
    </row>
    <row r="4401" spans="1:40" x14ac:dyDescent="0.25">
      <c r="A4401" t="str">
        <f>"20190304154841553"</f>
        <v>20190304154841553</v>
      </c>
      <c r="B4401" t="str">
        <f>"1551685721541298"</f>
        <v>1551685721541298</v>
      </c>
      <c r="C4401" t="s">
        <v>40</v>
      </c>
      <c r="D4401">
        <v>4.242864</v>
      </c>
      <c r="E4401">
        <v>0.52470000000000006</v>
      </c>
      <c r="F4401" t="s">
        <v>72</v>
      </c>
      <c r="G4401">
        <v>-107.39749999999999</v>
      </c>
      <c r="H4401">
        <v>3.7186810000000001</v>
      </c>
      <c r="I4401">
        <v>216.8185</v>
      </c>
      <c r="J4401">
        <v>-325.71839999999997</v>
      </c>
      <c r="K4401">
        <v>1.109872</v>
      </c>
      <c r="L4401">
        <v>214.1037</v>
      </c>
      <c r="M4401">
        <v>0.9999363</v>
      </c>
      <c r="N4401">
        <v>-1.126981E-2</v>
      </c>
      <c r="O4401">
        <v>-7.6493679999999997E-4</v>
      </c>
      <c r="P4401">
        <v>0.98476509999999995</v>
      </c>
      <c r="Q4401">
        <v>0.15378539999999999</v>
      </c>
      <c r="R4401">
        <v>8.1167050000000004E-2</v>
      </c>
      <c r="S4401">
        <v>3.03775</v>
      </c>
      <c r="T4401">
        <v>3.6237720000000001E-2</v>
      </c>
      <c r="U4401">
        <v>3.7704469999999997E-2</v>
      </c>
      <c r="V4401">
        <v>-8.1853140000000005E-2</v>
      </c>
      <c r="W4401">
        <v>0.16490639999999901</v>
      </c>
      <c r="X4401">
        <v>0.98290690000000003</v>
      </c>
      <c r="Y4401">
        <v>-1.317568E-2</v>
      </c>
      <c r="Z4401" s="1">
        <v>-2.207673E-5</v>
      </c>
      <c r="AA4401">
        <v>0.99991319999999995</v>
      </c>
      <c r="AB4401">
        <v>39</v>
      </c>
      <c r="AC4401">
        <v>218.32089999999999</v>
      </c>
      <c r="AD4401">
        <v>2.6088089999999999</v>
      </c>
      <c r="AE4401">
        <v>2.7147999999999901</v>
      </c>
      <c r="AF4401">
        <v>-2.8814001182168401</v>
      </c>
      <c r="AG4401">
        <v>2.6088089999999999</v>
      </c>
      <c r="AH4401">
        <v>218.28759514644199</v>
      </c>
      <c r="AI4401">
        <v>89.315336216982502</v>
      </c>
      <c r="AJ4401">
        <v>90.756261381600595</v>
      </c>
      <c r="AK4401">
        <v>218.322198930518</v>
      </c>
      <c r="AL4401">
        <v>80.508203051013197</v>
      </c>
      <c r="AM4401">
        <v>94.7604132379156</v>
      </c>
      <c r="AN4401">
        <v>1.0000000156782101</v>
      </c>
    </row>
    <row r="4402" spans="1:40" x14ac:dyDescent="0.25">
      <c r="A4402" t="str">
        <f>"20190304154841575"</f>
        <v>20190304154841575</v>
      </c>
      <c r="B4402" t="str">
        <f>"1551685721571555"</f>
        <v>1551685721571555</v>
      </c>
      <c r="C4402" t="s">
        <v>40</v>
      </c>
      <c r="D4402">
        <v>4.2253980000000002</v>
      </c>
      <c r="E4402">
        <v>0.52441329999999997</v>
      </c>
      <c r="F4402" t="s">
        <v>72</v>
      </c>
      <c r="G4402">
        <v>-107.39749999999999</v>
      </c>
      <c r="H4402">
        <v>3.6106180000000001</v>
      </c>
      <c r="I4402">
        <v>216.92529999999999</v>
      </c>
      <c r="J4402">
        <v>-325.33370000000002</v>
      </c>
      <c r="K4402">
        <v>1.1098709999999901</v>
      </c>
      <c r="L4402">
        <v>214.10329999999999</v>
      </c>
      <c r="M4402">
        <v>0.99993620000000005</v>
      </c>
      <c r="N4402">
        <v>-1.127241E-2</v>
      </c>
      <c r="O4402">
        <v>-9.0990959999999997E-4</v>
      </c>
      <c r="P4402">
        <v>0.98476109999999994</v>
      </c>
      <c r="Q4402">
        <v>0.15408129999999901</v>
      </c>
      <c r="R4402">
        <v>8.0652479999999999E-2</v>
      </c>
      <c r="S4402">
        <v>3.03775</v>
      </c>
      <c r="T4402">
        <v>3.4796479999999998E-2</v>
      </c>
      <c r="U4402">
        <v>3.9260860000000002E-2</v>
      </c>
      <c r="V4402">
        <v>-8.1481570000000003E-2</v>
      </c>
      <c r="W4402">
        <v>0.1652045</v>
      </c>
      <c r="X4402">
        <v>0.98288770000000003</v>
      </c>
      <c r="Y4402">
        <v>-1.3832880000000001E-2</v>
      </c>
      <c r="Z4402" s="1">
        <v>-2.192712E-5</v>
      </c>
      <c r="AA4402">
        <v>0.99990429999999997</v>
      </c>
      <c r="AB4402">
        <v>39</v>
      </c>
      <c r="AC4402">
        <v>217.93620000000001</v>
      </c>
      <c r="AD4402">
        <v>2.5007470000000001</v>
      </c>
      <c r="AE4402">
        <v>2.8220000000000001</v>
      </c>
      <c r="AF4402">
        <v>-3.0199160824526601</v>
      </c>
      <c r="AG4402">
        <v>2.5007470000000001</v>
      </c>
      <c r="AH4402">
        <v>217.90485552090101</v>
      </c>
      <c r="AI4402">
        <v>89.3425469923463</v>
      </c>
      <c r="AJ4402">
        <v>90.794004195569897</v>
      </c>
      <c r="AK4402">
        <v>217.94012867824</v>
      </c>
      <c r="AL4402">
        <v>80.490885527152997</v>
      </c>
      <c r="AM4402">
        <v>94.738994267683694</v>
      </c>
      <c r="AN4402">
        <v>1.0000000019405999</v>
      </c>
    </row>
    <row r="4403" spans="1:40" x14ac:dyDescent="0.25">
      <c r="A4403" t="str">
        <f>"20190304154841598"</f>
        <v>20190304154841598</v>
      </c>
      <c r="B4403" t="str">
        <f>"1551685721591074"</f>
        <v>1551685721591074</v>
      </c>
      <c r="C4403" t="s">
        <v>40</v>
      </c>
      <c r="D4403">
        <v>4.2579459999999996</v>
      </c>
      <c r="E4403">
        <v>0.5242426</v>
      </c>
      <c r="F4403" t="s">
        <v>72</v>
      </c>
      <c r="G4403">
        <v>-107.39749999999999</v>
      </c>
      <c r="H4403">
        <v>3.571069</v>
      </c>
      <c r="I4403">
        <v>216.9736</v>
      </c>
      <c r="J4403">
        <v>-324.92360000000002</v>
      </c>
      <c r="K4403">
        <v>1.109882</v>
      </c>
      <c r="L4403">
        <v>214.1027</v>
      </c>
      <c r="M4403">
        <v>0.99993589999999999</v>
      </c>
      <c r="N4403">
        <v>-1.1275200000000001E-2</v>
      </c>
      <c r="O4403">
        <v>-1.064181E-3</v>
      </c>
      <c r="P4403">
        <v>0.98482139999999996</v>
      </c>
      <c r="Q4403">
        <v>0.15414800000000001</v>
      </c>
      <c r="R4403">
        <v>7.9781959999999999E-2</v>
      </c>
      <c r="S4403">
        <v>3.03775</v>
      </c>
      <c r="T4403">
        <v>3.4306650000000001E-2</v>
      </c>
      <c r="U4403">
        <v>4.0008540000000002E-2</v>
      </c>
      <c r="V4403">
        <v>-8.0762570000000006E-2</v>
      </c>
      <c r="W4403">
        <v>0.16527459999999999</v>
      </c>
      <c r="X4403">
        <v>0.98293520000000001</v>
      </c>
      <c r="Y4403">
        <v>-1.423319E-2</v>
      </c>
      <c r="Z4403" s="1">
        <v>-2.413304E-5</v>
      </c>
      <c r="AA4403">
        <v>0.99989870000000003</v>
      </c>
      <c r="AB4403">
        <v>39</v>
      </c>
      <c r="AC4403">
        <v>217.52610000000001</v>
      </c>
      <c r="AD4403">
        <v>2.4611869999999998</v>
      </c>
      <c r="AE4403">
        <v>2.8708999999999998</v>
      </c>
      <c r="AF4403">
        <v>-3.1020031860558399</v>
      </c>
      <c r="AG4403">
        <v>2.4611869999999998</v>
      </c>
      <c r="AH4403">
        <v>217.49508331664401</v>
      </c>
      <c r="AI4403">
        <v>89.351731227993795</v>
      </c>
      <c r="AJ4403">
        <v>90.817120268595403</v>
      </c>
      <c r="AK4403">
        <v>217.53112681207</v>
      </c>
      <c r="AL4403">
        <v>80.486812581563399</v>
      </c>
      <c r="AM4403">
        <v>94.697138971278704</v>
      </c>
      <c r="AN4403">
        <v>0.99999994675860104</v>
      </c>
    </row>
    <row r="4404" spans="1:40" x14ac:dyDescent="0.25">
      <c r="A4404" t="str">
        <f>"20190304154841622"</f>
        <v>20190304154841622</v>
      </c>
      <c r="B4404" t="str">
        <f>"1551685721611572"</f>
        <v>1551685721611572</v>
      </c>
      <c r="C4404" t="s">
        <v>40</v>
      </c>
      <c r="D4404">
        <v>4.331493</v>
      </c>
      <c r="E4404">
        <v>0.49341930000000001</v>
      </c>
      <c r="F4404" t="s">
        <v>72</v>
      </c>
      <c r="G4404">
        <v>-107.39749999999999</v>
      </c>
      <c r="H4404">
        <v>3.5101140000000002</v>
      </c>
      <c r="I4404">
        <v>216.87909999999999</v>
      </c>
      <c r="J4404">
        <v>-324.51749999999998</v>
      </c>
      <c r="K4404">
        <v>1.109885</v>
      </c>
      <c r="L4404">
        <v>214.10220000000001</v>
      </c>
      <c r="M4404">
        <v>0.99993569999999998</v>
      </c>
      <c r="N4404">
        <v>-1.127797E-2</v>
      </c>
      <c r="O4404">
        <v>-1.2170219999999999E-3</v>
      </c>
      <c r="P4404">
        <v>0.9848595</v>
      </c>
      <c r="Q4404">
        <v>0.15450320000000001</v>
      </c>
      <c r="R4404">
        <v>7.8618649999999998E-2</v>
      </c>
      <c r="S4404">
        <v>3.0378419999999999</v>
      </c>
      <c r="T4404">
        <v>3.3520939999999999E-2</v>
      </c>
      <c r="U4404">
        <v>3.8772580000000001E-2</v>
      </c>
      <c r="V4404">
        <v>-7.9749970000000003E-2</v>
      </c>
      <c r="W4404">
        <v>0.16563249999999999</v>
      </c>
      <c r="X4404">
        <v>0.98295770000000005</v>
      </c>
      <c r="Y4404">
        <v>-1.3978869999999999E-2</v>
      </c>
      <c r="Z4404" s="1">
        <v>-2.543966E-5</v>
      </c>
      <c r="AA4404">
        <v>0.99990230000000002</v>
      </c>
      <c r="AB4404">
        <v>39</v>
      </c>
      <c r="AC4404">
        <v>217.12</v>
      </c>
      <c r="AD4404">
        <v>2.4002289999999902</v>
      </c>
      <c r="AE4404">
        <v>2.7768999999999799</v>
      </c>
      <c r="AF4404">
        <v>-3.04078300345483</v>
      </c>
      <c r="AG4404">
        <v>2.4002289999999902</v>
      </c>
      <c r="AH4404">
        <v>217.089933265751</v>
      </c>
      <c r="AI4404">
        <v>89.366603973744603</v>
      </c>
      <c r="AJ4404">
        <v>90.802490641453801</v>
      </c>
      <c r="AK4404">
        <v>217.12449559148001</v>
      </c>
      <c r="AL4404">
        <v>80.466020468559194</v>
      </c>
      <c r="AM4404">
        <v>94.638399201588797</v>
      </c>
      <c r="AN4404">
        <v>1.0000000113802701</v>
      </c>
    </row>
    <row r="4405" spans="1:40" x14ac:dyDescent="0.25">
      <c r="A4405" t="str">
        <f>"20190304154841642"</f>
        <v>20190304154841642</v>
      </c>
      <c r="B4405" t="str">
        <f>"1551685721631090"</f>
        <v>1551685721631090</v>
      </c>
      <c r="C4405" t="s">
        <v>40</v>
      </c>
      <c r="D4405">
        <v>4.320989</v>
      </c>
      <c r="E4405">
        <v>0.48747580000000001</v>
      </c>
      <c r="F4405" t="s">
        <v>60</v>
      </c>
      <c r="G4405">
        <v>-223.73480000000001</v>
      </c>
      <c r="H4405">
        <v>8.0000740000000001E-2</v>
      </c>
      <c r="I4405">
        <v>223.39400000000001</v>
      </c>
      <c r="J4405">
        <v>-324.16449999999998</v>
      </c>
      <c r="K4405">
        <v>1.109885</v>
      </c>
      <c r="L4405">
        <v>214.10159999999999</v>
      </c>
      <c r="M4405">
        <v>0.99993540000000003</v>
      </c>
      <c r="N4405">
        <v>-1.128039E-2</v>
      </c>
      <c r="O4405">
        <v>-1.3498339999999901E-3</v>
      </c>
      <c r="P4405">
        <v>0.98481739999999995</v>
      </c>
      <c r="Q4405">
        <v>0.15487339999999999</v>
      </c>
      <c r="R4405">
        <v>7.8416349999999996E-2</v>
      </c>
      <c r="S4405">
        <v>3.0286870000000001</v>
      </c>
      <c r="T4405">
        <v>-3.0949709999999998E-2</v>
      </c>
      <c r="U4405">
        <v>0.27923579999999998</v>
      </c>
      <c r="V4405">
        <v>-7.9677860000000003E-2</v>
      </c>
      <c r="W4405">
        <v>0.1660044</v>
      </c>
      <c r="X4405">
        <v>0.98290080000000002</v>
      </c>
      <c r="Y4405">
        <v>-9.3141589999999996E-2</v>
      </c>
      <c r="Z4405">
        <v>9.9994429999999989E-4</v>
      </c>
      <c r="AA4405">
        <v>0.99565239999999999</v>
      </c>
      <c r="AB4405">
        <v>39</v>
      </c>
      <c r="AC4405">
        <v>100.429699999999</v>
      </c>
      <c r="AD4405">
        <v>-1.02988426</v>
      </c>
      <c r="AE4405">
        <v>9.2924000000000095</v>
      </c>
      <c r="AF4405">
        <v>-9.4269806607129691</v>
      </c>
      <c r="AG4405">
        <v>-1.02988426</v>
      </c>
      <c r="AH4405">
        <v>100.406595321358</v>
      </c>
      <c r="AI4405">
        <v>90.585097115145999</v>
      </c>
      <c r="AJ4405">
        <v>95.363666401009894</v>
      </c>
      <c r="AK4405">
        <v>100.85342339253199</v>
      </c>
      <c r="AL4405">
        <v>80.444412955010705</v>
      </c>
      <c r="AM4405">
        <v>94.634490538379097</v>
      </c>
      <c r="AN4405">
        <v>1.0000000024170801</v>
      </c>
    </row>
    <row r="4406" spans="1:40" x14ac:dyDescent="0.25">
      <c r="A4406" t="str">
        <f>"20190304154841666"</f>
        <v>20190304154841666</v>
      </c>
      <c r="B4406" t="str">
        <f>"1551685721661346"</f>
        <v>1551685721661346</v>
      </c>
      <c r="C4406" t="s">
        <v>40</v>
      </c>
      <c r="D4406">
        <v>4.3198930000000004</v>
      </c>
      <c r="E4406">
        <v>0.48544680000000001</v>
      </c>
      <c r="F4406" t="s">
        <v>60</v>
      </c>
      <c r="G4406">
        <v>-251.6097</v>
      </c>
      <c r="H4406">
        <v>8.0000169999999995E-2</v>
      </c>
      <c r="I4406">
        <v>221.9057</v>
      </c>
      <c r="J4406">
        <v>-323.76310000000001</v>
      </c>
      <c r="K4406">
        <v>1.1098920000000001</v>
      </c>
      <c r="L4406">
        <v>214.101</v>
      </c>
      <c r="M4406">
        <v>0.99993529999999997</v>
      </c>
      <c r="N4406">
        <v>-1.1283120000000001E-2</v>
      </c>
      <c r="O4406">
        <v>-1.501004E-3</v>
      </c>
      <c r="P4406">
        <v>0.98475330000000005</v>
      </c>
      <c r="Q4406">
        <v>0.15529749999999901</v>
      </c>
      <c r="R4406">
        <v>7.8384029999999993E-2</v>
      </c>
      <c r="S4406">
        <v>3.0270389999999998</v>
      </c>
      <c r="T4406">
        <v>-4.2967560000000002E-2</v>
      </c>
      <c r="U4406">
        <v>0.32559199999999999</v>
      </c>
      <c r="V4406">
        <v>-7.9793939999999994E-2</v>
      </c>
      <c r="W4406">
        <v>0.16642999999999999</v>
      </c>
      <c r="X4406">
        <v>0.98281940000000001</v>
      </c>
      <c r="Y4406">
        <v>-0.10841729999999999</v>
      </c>
      <c r="Z4406">
        <v>1.385051E-3</v>
      </c>
      <c r="AA4406">
        <v>0.99410449999999995</v>
      </c>
      <c r="AB4406">
        <v>39</v>
      </c>
      <c r="AC4406">
        <v>72.153400000000005</v>
      </c>
      <c r="AD4406">
        <v>-1.02989183</v>
      </c>
      <c r="AE4406">
        <v>7.8046999999999898</v>
      </c>
      <c r="AF4406">
        <v>-7.9114074301255801</v>
      </c>
      <c r="AG4406">
        <v>-1.02989183</v>
      </c>
      <c r="AH4406">
        <v>72.127078080212598</v>
      </c>
      <c r="AI4406">
        <v>90.813185792699898</v>
      </c>
      <c r="AJ4406">
        <v>96.259582334231894</v>
      </c>
      <c r="AK4406">
        <v>72.566978971816397</v>
      </c>
      <c r="AL4406">
        <v>80.419683800911699</v>
      </c>
      <c r="AM4406">
        <v>94.641595615762697</v>
      </c>
      <c r="AN4406">
        <v>0.99999999538854101</v>
      </c>
    </row>
    <row r="4407" spans="1:40" x14ac:dyDescent="0.25">
      <c r="A4407" t="str">
        <f>"20190304154841688"</f>
        <v>20190304154841688</v>
      </c>
      <c r="B4407" t="str">
        <f>"1551685721681843"</f>
        <v>1551685721681843</v>
      </c>
      <c r="C4407" t="s">
        <v>40</v>
      </c>
      <c r="D4407">
        <v>4.3159559999999999</v>
      </c>
      <c r="E4407">
        <v>0.48377140000000002</v>
      </c>
      <c r="F4407" t="s">
        <v>60</v>
      </c>
      <c r="G4407">
        <v>-257.5607</v>
      </c>
      <c r="H4407">
        <v>8.0000470000000004E-2</v>
      </c>
      <c r="I4407">
        <v>221.57339999999999</v>
      </c>
      <c r="J4407">
        <v>-323.36540000000002</v>
      </c>
      <c r="K4407">
        <v>1.109893</v>
      </c>
      <c r="L4407">
        <v>214.1002</v>
      </c>
      <c r="M4407">
        <v>0.99993489999999996</v>
      </c>
      <c r="N4407">
        <v>-1.12858E-2</v>
      </c>
      <c r="O4407">
        <v>-1.6503869999999999E-3</v>
      </c>
      <c r="P4407">
        <v>0.98472910000000002</v>
      </c>
      <c r="Q4407">
        <v>0.15547030000000001</v>
      </c>
      <c r="R4407">
        <v>7.8341649999999999E-2</v>
      </c>
      <c r="S4407">
        <v>3.026672</v>
      </c>
      <c r="T4407">
        <v>-4.7085050000000003E-2</v>
      </c>
      <c r="U4407">
        <v>0.34162900000000002</v>
      </c>
      <c r="V4407">
        <v>-7.9898399999999994E-2</v>
      </c>
      <c r="W4407">
        <v>0.166604799999999</v>
      </c>
      <c r="X4407">
        <v>0.98278129999999997</v>
      </c>
      <c r="Y4407">
        <v>-0.1137769</v>
      </c>
      <c r="Z4407">
        <v>1.5333199999999999E-3</v>
      </c>
      <c r="AA4407">
        <v>0.99350510000000003</v>
      </c>
      <c r="AB4407">
        <v>39</v>
      </c>
      <c r="AC4407">
        <v>65.804699999999997</v>
      </c>
      <c r="AD4407">
        <v>-1.0298925299999999</v>
      </c>
      <c r="AE4407">
        <v>7.4731999999999896</v>
      </c>
      <c r="AF4407">
        <v>-7.5799669253108197</v>
      </c>
      <c r="AG4407">
        <v>-1.0298925299999999</v>
      </c>
      <c r="AH4407">
        <v>65.776369417506203</v>
      </c>
      <c r="AI4407">
        <v>90.891137883803196</v>
      </c>
      <c r="AJ4407">
        <v>96.573679947659997</v>
      </c>
      <c r="AK4407">
        <v>66.219690054850005</v>
      </c>
      <c r="AL4407">
        <v>80.409526722000706</v>
      </c>
      <c r="AM4407">
        <v>94.647824816351005</v>
      </c>
      <c r="AN4407">
        <v>0.999999998667645</v>
      </c>
    </row>
    <row r="4408" spans="1:40" x14ac:dyDescent="0.25">
      <c r="A4408" t="str">
        <f>"20190304154841710"</f>
        <v>20190304154841710</v>
      </c>
      <c r="B4408" t="str">
        <f>"1551685721701363"</f>
        <v>1551685721701363</v>
      </c>
      <c r="C4408" t="s">
        <v>40</v>
      </c>
      <c r="D4408">
        <v>4.3160999999999996</v>
      </c>
      <c r="E4408">
        <v>0.4835624</v>
      </c>
      <c r="F4408" t="s">
        <v>60</v>
      </c>
      <c r="G4408">
        <v>-266.22070000000002</v>
      </c>
      <c r="H4408">
        <v>8.0000109999999999E-2</v>
      </c>
      <c r="I4408">
        <v>220.79669999999999</v>
      </c>
      <c r="J4408">
        <v>-322.99520000000001</v>
      </c>
      <c r="K4408">
        <v>1.109885</v>
      </c>
      <c r="L4408">
        <v>214.09950000000001</v>
      </c>
      <c r="M4408">
        <v>0.99993460000000001</v>
      </c>
      <c r="N4408">
        <v>-1.1288289999999999E-2</v>
      </c>
      <c r="O4408">
        <v>-1.7897550000000001E-3</v>
      </c>
      <c r="P4408">
        <v>0.98470380000000002</v>
      </c>
      <c r="Q4408">
        <v>0.15570349999999999</v>
      </c>
      <c r="R4408">
        <v>7.8197550000000005E-2</v>
      </c>
      <c r="S4408">
        <v>3.0269170000000001</v>
      </c>
      <c r="T4408">
        <v>-5.4552669999999998E-2</v>
      </c>
      <c r="U4408">
        <v>0.35470580000000002</v>
      </c>
      <c r="V4408">
        <v>-7.9891429999999999E-2</v>
      </c>
      <c r="W4408">
        <v>0.1668404</v>
      </c>
      <c r="X4408">
        <v>0.98274189999999995</v>
      </c>
      <c r="Y4408">
        <v>-0.118134</v>
      </c>
      <c r="Z4408">
        <v>1.74198E-3</v>
      </c>
      <c r="AA4408">
        <v>0.9929962</v>
      </c>
      <c r="AB4408">
        <v>39</v>
      </c>
      <c r="AC4408">
        <v>56.774499999999897</v>
      </c>
      <c r="AD4408">
        <v>-1.0298848899999999</v>
      </c>
      <c r="AE4408">
        <v>6.6971999999999801</v>
      </c>
      <c r="AF4408">
        <v>-6.7966024262306499</v>
      </c>
      <c r="AG4408">
        <v>-1.0298848899999999</v>
      </c>
      <c r="AH4408">
        <v>56.744006203428597</v>
      </c>
      <c r="AI4408">
        <v>91.032407537751993</v>
      </c>
      <c r="AJ4408">
        <v>96.830153204527804</v>
      </c>
      <c r="AK4408">
        <v>57.158872517235999</v>
      </c>
      <c r="AL4408">
        <v>80.3958362429169</v>
      </c>
      <c r="AM4408">
        <v>94.647606643596603</v>
      </c>
      <c r="AN4408">
        <v>1.0000000008376</v>
      </c>
    </row>
    <row r="4409" spans="1:40" x14ac:dyDescent="0.25">
      <c r="A4409" t="str">
        <f>"20190304154841731"</f>
        <v>20190304154841731</v>
      </c>
      <c r="B4409" t="str">
        <f>"1551685721720882"</f>
        <v>1551685721720882</v>
      </c>
      <c r="C4409" t="s">
        <v>40</v>
      </c>
      <c r="D4409">
        <v>4.2972769999999896</v>
      </c>
      <c r="E4409">
        <v>0.48322209999999899</v>
      </c>
      <c r="F4409" t="s">
        <v>60</v>
      </c>
      <c r="G4409">
        <v>-265.76609999999999</v>
      </c>
      <c r="H4409">
        <v>7.9999979999999998E-2</v>
      </c>
      <c r="I4409">
        <v>220.83529999999999</v>
      </c>
      <c r="J4409">
        <v>-322.61619999999999</v>
      </c>
      <c r="K4409">
        <v>1.109874</v>
      </c>
      <c r="L4409">
        <v>214.09870000000001</v>
      </c>
      <c r="M4409">
        <v>0.99993449999999995</v>
      </c>
      <c r="N4409">
        <v>-1.129086E-2</v>
      </c>
      <c r="O4409">
        <v>-1.93246E-3</v>
      </c>
      <c r="P4409">
        <v>0.98477320000000002</v>
      </c>
      <c r="Q4409">
        <v>0.15530659999999999</v>
      </c>
      <c r="R4409">
        <v>7.8112429999999997E-2</v>
      </c>
      <c r="S4409">
        <v>3.0268860000000002</v>
      </c>
      <c r="T4409">
        <v>-5.4471249999999999E-2</v>
      </c>
      <c r="U4409">
        <v>0.35626219999999997</v>
      </c>
      <c r="V4409">
        <v>-7.9947409999999997E-2</v>
      </c>
      <c r="W4409">
        <v>0.16644690000000001</v>
      </c>
      <c r="X4409">
        <v>0.98280409999999996</v>
      </c>
      <c r="Y4409">
        <v>-0.118780399999999</v>
      </c>
      <c r="Z4409">
        <v>1.7509069999999999E-3</v>
      </c>
      <c r="AA4409">
        <v>0.992919</v>
      </c>
      <c r="AB4409">
        <v>39</v>
      </c>
      <c r="AC4409">
        <v>56.850099999999998</v>
      </c>
      <c r="AD4409">
        <v>-1.0298740200000001</v>
      </c>
      <c r="AE4409">
        <v>6.7365999999999797</v>
      </c>
      <c r="AF4409">
        <v>-6.8442399479222198</v>
      </c>
      <c r="AG4409">
        <v>-1.0298740200000001</v>
      </c>
      <c r="AH4409">
        <v>56.818586549076997</v>
      </c>
      <c r="AI4409">
        <v>91.030958665519506</v>
      </c>
      <c r="AJ4409">
        <v>96.868627693272202</v>
      </c>
      <c r="AK4409">
        <v>57.2385887177239</v>
      </c>
      <c r="AL4409">
        <v>80.418702129616193</v>
      </c>
      <c r="AM4409">
        <v>94.650555891481204</v>
      </c>
      <c r="AN4409">
        <v>1.00000002893106</v>
      </c>
    </row>
    <row r="4410" spans="1:40" x14ac:dyDescent="0.25">
      <c r="A4410" t="str">
        <f>"20190304154841755"</f>
        <v>20190304154841755</v>
      </c>
      <c r="B4410" t="str">
        <f>"1551685721751139"</f>
        <v>1551685721751139</v>
      </c>
      <c r="C4410" t="s">
        <v>40</v>
      </c>
      <c r="D4410">
        <v>4.3266499999999999</v>
      </c>
      <c r="E4410">
        <v>0.48298760000000002</v>
      </c>
      <c r="F4410" t="s">
        <v>60</v>
      </c>
      <c r="G4410">
        <v>-268.0514</v>
      </c>
      <c r="H4410">
        <v>8.0000650000000006E-2</v>
      </c>
      <c r="I4410">
        <v>220.55969999999999</v>
      </c>
      <c r="J4410">
        <v>-322.22390000000001</v>
      </c>
      <c r="K4410">
        <v>1.1098760000000001</v>
      </c>
      <c r="L4410">
        <v>214.09780000000001</v>
      </c>
      <c r="M4410">
        <v>0.9999342</v>
      </c>
      <c r="N4410">
        <v>-1.1293930000000001E-2</v>
      </c>
      <c r="O4410">
        <v>-2.0799389999999998E-3</v>
      </c>
      <c r="P4410">
        <v>0.98485929999999999</v>
      </c>
      <c r="Q4410">
        <v>0.1545966</v>
      </c>
      <c r="R4410">
        <v>7.8436140000000001E-2</v>
      </c>
      <c r="S4410">
        <v>3.0270079999999999</v>
      </c>
      <c r="T4410">
        <v>-5.7132719999999998E-2</v>
      </c>
      <c r="U4410">
        <v>0.358429</v>
      </c>
      <c r="V4410">
        <v>-8.0416370000000001E-2</v>
      </c>
      <c r="W4410">
        <v>0.1657411</v>
      </c>
      <c r="X4410">
        <v>0.98288509999999996</v>
      </c>
      <c r="Y4410">
        <v>-0.1196204</v>
      </c>
      <c r="Z4410">
        <v>1.818519E-3</v>
      </c>
      <c r="AA4410">
        <v>0.99281810000000004</v>
      </c>
      <c r="AB4410">
        <v>39</v>
      </c>
      <c r="AC4410">
        <v>54.172499999999999</v>
      </c>
      <c r="AD4410">
        <v>-1.02987535</v>
      </c>
      <c r="AE4410">
        <v>6.4618999999999804</v>
      </c>
      <c r="AF4410">
        <v>-6.5722266795862998</v>
      </c>
      <c r="AG4410">
        <v>-1.02987535</v>
      </c>
      <c r="AH4410">
        <v>54.139648975574801</v>
      </c>
      <c r="AI4410">
        <v>91.081841418918202</v>
      </c>
      <c r="AJ4410">
        <v>96.921494943695393</v>
      </c>
      <c r="AK4410">
        <v>54.546827570105798</v>
      </c>
      <c r="AL4410">
        <v>80.459710948170297</v>
      </c>
      <c r="AM4410">
        <v>94.677330894839201</v>
      </c>
      <c r="AN4410">
        <v>1.0000000122975901</v>
      </c>
    </row>
    <row r="4411" spans="1:40" x14ac:dyDescent="0.25">
      <c r="A4411" t="str">
        <f>"20190304154841776"</f>
        <v>20190304154841776</v>
      </c>
      <c r="B4411" t="str">
        <f>"1551685721771635"</f>
        <v>1551685721771635</v>
      </c>
      <c r="C4411" t="s">
        <v>40</v>
      </c>
      <c r="D4411">
        <v>4.3459180000000002</v>
      </c>
      <c r="E4411">
        <v>0.4827843</v>
      </c>
      <c r="F4411" t="s">
        <v>60</v>
      </c>
      <c r="G4411">
        <v>-270.15589999999997</v>
      </c>
      <c r="H4411">
        <v>7.9999819999999999E-2</v>
      </c>
      <c r="I4411">
        <v>220.3074</v>
      </c>
      <c r="J4411">
        <v>-321.8381</v>
      </c>
      <c r="K4411">
        <v>1.10988</v>
      </c>
      <c r="L4411">
        <v>214.09690000000001</v>
      </c>
      <c r="M4411">
        <v>0.99993370000000004</v>
      </c>
      <c r="N4411">
        <v>-1.130112E-2</v>
      </c>
      <c r="O4411">
        <v>-2.2251739999999999E-3</v>
      </c>
      <c r="P4411">
        <v>0.98488260000000005</v>
      </c>
      <c r="Q4411">
        <v>0.15449660000000001</v>
      </c>
      <c r="R4411">
        <v>7.8340309999999996E-2</v>
      </c>
      <c r="S4411">
        <v>3.0267940000000002</v>
      </c>
      <c r="T4411">
        <v>-5.9868339999999999E-2</v>
      </c>
      <c r="U4411">
        <v>0.3609772</v>
      </c>
      <c r="V4411">
        <v>-8.0464040000000001E-2</v>
      </c>
      <c r="W4411">
        <v>0.16564799999999999</v>
      </c>
      <c r="X4411">
        <v>0.98289689999999996</v>
      </c>
      <c r="Y4411">
        <v>-0.1205939</v>
      </c>
      <c r="Z4411">
        <v>1.8910680000000001E-3</v>
      </c>
      <c r="AA4411">
        <v>0.99270009999999997</v>
      </c>
      <c r="AB4411">
        <v>39</v>
      </c>
      <c r="AC4411">
        <v>51.682200000000002</v>
      </c>
      <c r="AD4411">
        <v>-1.0298801799999999</v>
      </c>
      <c r="AE4411">
        <v>6.2104999999999899</v>
      </c>
      <c r="AF4411">
        <v>-6.3230187694751097</v>
      </c>
      <c r="AG4411">
        <v>-1.0298801799999999</v>
      </c>
      <c r="AH4411">
        <v>51.648034611749203</v>
      </c>
      <c r="AI4411">
        <v>91.133883393720296</v>
      </c>
      <c r="AJ4411">
        <v>96.979712657721507</v>
      </c>
      <c r="AK4411">
        <v>52.043834397560801</v>
      </c>
      <c r="AL4411">
        <v>80.465120016093294</v>
      </c>
      <c r="AM4411">
        <v>94.680035319216501</v>
      </c>
      <c r="AN4411">
        <v>1.00000001883336</v>
      </c>
    </row>
    <row r="4412" spans="1:40" x14ac:dyDescent="0.25">
      <c r="A4412" t="str">
        <f>"20190304154841799"</f>
        <v>20190304154841799</v>
      </c>
      <c r="B4412" t="str">
        <f>"1551685721791155"</f>
        <v>1551685721791155</v>
      </c>
      <c r="C4412" t="s">
        <v>40</v>
      </c>
      <c r="D4412">
        <v>4.3302659999999999</v>
      </c>
      <c r="E4412">
        <v>0.4825316</v>
      </c>
      <c r="F4412" t="s">
        <v>60</v>
      </c>
      <c r="G4412">
        <v>-270.46820000000002</v>
      </c>
      <c r="H4412">
        <v>7.9999909999999994E-2</v>
      </c>
      <c r="I4412">
        <v>220.24780000000001</v>
      </c>
      <c r="J4412">
        <v>-321.42959999999999</v>
      </c>
      <c r="K4412">
        <v>1.1098760000000001</v>
      </c>
      <c r="L4412">
        <v>214.0958</v>
      </c>
      <c r="M4412">
        <v>0.99993319999999997</v>
      </c>
      <c r="N4412">
        <v>-1.131215E-2</v>
      </c>
      <c r="O4412">
        <v>-2.3787779999999998E-3</v>
      </c>
      <c r="P4412">
        <v>0.98483969999999998</v>
      </c>
      <c r="Q4412">
        <v>0.1547432</v>
      </c>
      <c r="R4412">
        <v>7.8394749999999999E-2</v>
      </c>
      <c r="S4412">
        <v>3.0267029999999999</v>
      </c>
      <c r="T4412">
        <v>-6.0680270000000001E-2</v>
      </c>
      <c r="U4412">
        <v>0.3624115</v>
      </c>
      <c r="V4412">
        <v>-8.0669080000000004E-2</v>
      </c>
      <c r="W4412">
        <v>0.16590469999999999</v>
      </c>
      <c r="X4412">
        <v>0.98283679999999995</v>
      </c>
      <c r="Y4412">
        <v>-0.12121270000000001</v>
      </c>
      <c r="Z4412">
        <v>1.9194730000000001E-3</v>
      </c>
      <c r="AA4412">
        <v>0.99262470000000003</v>
      </c>
      <c r="AB4412">
        <v>39</v>
      </c>
      <c r="AC4412">
        <v>50.961399999999898</v>
      </c>
      <c r="AD4412">
        <v>-1.0298760899999999</v>
      </c>
      <c r="AE4412">
        <v>6.1520000000000099</v>
      </c>
      <c r="AF4412">
        <v>-6.2706920297994904</v>
      </c>
      <c r="AG4412">
        <v>-1.0298760899999999</v>
      </c>
      <c r="AH4412">
        <v>50.926121058446597</v>
      </c>
      <c r="AI4412">
        <v>91.149849694503104</v>
      </c>
      <c r="AJ4412">
        <v>97.019673362025401</v>
      </c>
      <c r="AK4412">
        <v>51.321068084685301</v>
      </c>
      <c r="AL4412">
        <v>80.450205864892993</v>
      </c>
      <c r="AM4412">
        <v>94.692193525057604</v>
      </c>
      <c r="AN4412">
        <v>1.0000000226921799</v>
      </c>
    </row>
    <row r="4413" spans="1:40" x14ac:dyDescent="0.25">
      <c r="A4413" t="str">
        <f>"20190304154841821"</f>
        <v>20190304154841821</v>
      </c>
      <c r="B4413" t="str">
        <f>"1551685721811650"</f>
        <v>1551685721811650</v>
      </c>
      <c r="C4413" t="s">
        <v>40</v>
      </c>
      <c r="D4413">
        <v>4.340414</v>
      </c>
      <c r="E4413">
        <v>0.48231639999999998</v>
      </c>
      <c r="F4413" t="s">
        <v>60</v>
      </c>
      <c r="G4413">
        <v>-269.8845</v>
      </c>
      <c r="H4413">
        <v>8.0001210000000003E-2</v>
      </c>
      <c r="I4413">
        <v>220.30340000000001</v>
      </c>
      <c r="J4413">
        <v>-321.04570000000001</v>
      </c>
      <c r="K4413">
        <v>1.1098790000000001</v>
      </c>
      <c r="L4413">
        <v>214.09479999999999</v>
      </c>
      <c r="M4413">
        <v>0.99993290000000001</v>
      </c>
      <c r="N4413">
        <v>-1.1325299999999899E-2</v>
      </c>
      <c r="O4413">
        <v>-2.5233360000000002E-3</v>
      </c>
      <c r="P4413">
        <v>0.98481569999999996</v>
      </c>
      <c r="Q4413">
        <v>0.15482889999999999</v>
      </c>
      <c r="R4413">
        <v>7.8526970000000001E-2</v>
      </c>
      <c r="S4413">
        <v>3.026672</v>
      </c>
      <c r="T4413">
        <v>-6.0473079999999999E-2</v>
      </c>
      <c r="U4413">
        <v>0.36450199999999999</v>
      </c>
      <c r="V4413">
        <v>-8.0943290000000001E-2</v>
      </c>
      <c r="W4413">
        <v>0.1660035</v>
      </c>
      <c r="X4413">
        <v>0.98279760000000005</v>
      </c>
      <c r="Y4413">
        <v>-0.12203310000000001</v>
      </c>
      <c r="Z4413">
        <v>1.930012E-3</v>
      </c>
      <c r="AA4413">
        <v>0.99252410000000002</v>
      </c>
      <c r="AB4413">
        <v>39</v>
      </c>
      <c r="AC4413">
        <v>51.161200000000001</v>
      </c>
      <c r="AD4413">
        <v>-1.02987779</v>
      </c>
      <c r="AE4413">
        <v>6.2086000000000103</v>
      </c>
      <c r="AF4413">
        <v>-6.3351555118021601</v>
      </c>
      <c r="AG4413">
        <v>-1.02987779</v>
      </c>
      <c r="AH4413">
        <v>51.124953569782797</v>
      </c>
      <c r="AI4413">
        <v>91.145271898135405</v>
      </c>
      <c r="AJ4413">
        <v>97.063806280369505</v>
      </c>
      <c r="AK4413">
        <v>51.5262624409485</v>
      </c>
      <c r="AL4413">
        <v>80.444465709431398</v>
      </c>
      <c r="AM4413">
        <v>94.708258573506996</v>
      </c>
      <c r="AN4413">
        <v>1.0000000503870099</v>
      </c>
    </row>
    <row r="4414" spans="1:40" x14ac:dyDescent="0.25">
      <c r="A4414" t="str">
        <f>"20190304154841842"</f>
        <v>20190304154841842</v>
      </c>
      <c r="B4414" t="str">
        <f>"1551685721831171"</f>
        <v>1551685721831171</v>
      </c>
      <c r="C4414" t="s">
        <v>40</v>
      </c>
      <c r="D4414">
        <v>4.3082830000000003</v>
      </c>
      <c r="E4414">
        <v>0.48220760000000001</v>
      </c>
      <c r="F4414" t="s">
        <v>60</v>
      </c>
      <c r="G4414">
        <v>-270.0412</v>
      </c>
      <c r="H4414">
        <v>7.9999780000000006E-2</v>
      </c>
      <c r="I4414">
        <v>220.26650000000001</v>
      </c>
      <c r="J4414">
        <v>-320.67430000000002</v>
      </c>
      <c r="K4414">
        <v>1.109877</v>
      </c>
      <c r="L4414">
        <v>214.09370000000001</v>
      </c>
      <c r="M4414">
        <v>0.9999323</v>
      </c>
      <c r="N4414">
        <v>-1.1341739999999999E-2</v>
      </c>
      <c r="O4414">
        <v>-2.6629069999999999E-3</v>
      </c>
      <c r="P4414">
        <v>0.9846859</v>
      </c>
      <c r="Q4414">
        <v>0.15554799999999999</v>
      </c>
      <c r="R4414">
        <v>7.8732860000000002E-2</v>
      </c>
      <c r="S4414">
        <v>3.0267029999999999</v>
      </c>
      <c r="T4414">
        <v>-6.1115030000000001E-2</v>
      </c>
      <c r="U4414">
        <v>0.3662415</v>
      </c>
      <c r="V4414">
        <v>-8.1285949999999996E-2</v>
      </c>
      <c r="W4414">
        <v>0.16673750000000001</v>
      </c>
      <c r="X4414">
        <v>0.98264499999999999</v>
      </c>
      <c r="Y4414">
        <v>-0.1227318</v>
      </c>
      <c r="Z4414">
        <v>1.956607E-3</v>
      </c>
      <c r="AA4414">
        <v>0.99243800000000004</v>
      </c>
      <c r="AB4414">
        <v>39</v>
      </c>
      <c r="AC4414">
        <v>50.633099999999999</v>
      </c>
      <c r="AD4414">
        <v>-1.0298772199999999</v>
      </c>
      <c r="AE4414">
        <v>6.1727999999999899</v>
      </c>
      <c r="AF4414">
        <v>-6.3050477031319501</v>
      </c>
      <c r="AG4414">
        <v>-1.0298772199999999</v>
      </c>
      <c r="AH4414">
        <v>50.595856067169599</v>
      </c>
      <c r="AI4414">
        <v>91.157145293534199</v>
      </c>
      <c r="AJ4414">
        <v>97.1033461033511</v>
      </c>
      <c r="AK4414">
        <v>50.997597245328997</v>
      </c>
      <c r="AL4414">
        <v>80.401815706217405</v>
      </c>
      <c r="AM4414">
        <v>94.728830953683996</v>
      </c>
      <c r="AN4414">
        <v>0.99999999779932602</v>
      </c>
    </row>
    <row r="4415" spans="1:40" x14ac:dyDescent="0.25">
      <c r="A4415" t="str">
        <f>"20190304154841867"</f>
        <v>20190304154841867</v>
      </c>
      <c r="B4415" t="str">
        <f>"1551685721861426"</f>
        <v>1551685721861426</v>
      </c>
      <c r="C4415" t="s">
        <v>40</v>
      </c>
      <c r="D4415">
        <v>4.407311</v>
      </c>
      <c r="E4415">
        <v>0.48167969999999999</v>
      </c>
      <c r="F4415" t="s">
        <v>60</v>
      </c>
      <c r="G4415">
        <v>-268.13099999999997</v>
      </c>
      <c r="H4415">
        <v>8.0000680000000005E-2</v>
      </c>
      <c r="I4415">
        <v>220.47919999999999</v>
      </c>
      <c r="J4415">
        <v>-320.26620000000003</v>
      </c>
      <c r="K4415">
        <v>1.109882</v>
      </c>
      <c r="L4415">
        <v>214.0925</v>
      </c>
      <c r="M4415">
        <v>0.99993149999999997</v>
      </c>
      <c r="N4415">
        <v>-1.136158E-2</v>
      </c>
      <c r="O4415">
        <v>-2.8160870000000001E-3</v>
      </c>
      <c r="P4415">
        <v>0.98473860000000002</v>
      </c>
      <c r="Q4415">
        <v>0.15539739999999999</v>
      </c>
      <c r="R4415">
        <v>7.836854E-2</v>
      </c>
      <c r="S4415">
        <v>3.0265810000000002</v>
      </c>
      <c r="T4415">
        <v>-5.9322479999999997E-2</v>
      </c>
      <c r="U4415">
        <v>0.3678131</v>
      </c>
      <c r="V4415">
        <v>-8.1072699999999998E-2</v>
      </c>
      <c r="W4415">
        <v>0.1666068</v>
      </c>
      <c r="X4415">
        <v>0.98268480000000002</v>
      </c>
      <c r="Y4415">
        <v>-0.1233981</v>
      </c>
      <c r="Z4415">
        <v>1.9315949999999999E-3</v>
      </c>
      <c r="AA4415">
        <v>0.99235530000000005</v>
      </c>
      <c r="AB4415">
        <v>39</v>
      </c>
      <c r="AC4415">
        <v>52.135199999999998</v>
      </c>
      <c r="AD4415">
        <v>-1.0298813200000001</v>
      </c>
      <c r="AE4415">
        <v>6.3866999999999896</v>
      </c>
      <c r="AF4415">
        <v>-6.5309905476127197</v>
      </c>
      <c r="AG4415">
        <v>-1.0298813200000001</v>
      </c>
      <c r="AH4415">
        <v>52.096977743630497</v>
      </c>
      <c r="AI4415">
        <v>91.123713290549404</v>
      </c>
      <c r="AJ4415">
        <v>97.145447404168195</v>
      </c>
      <c r="AK4415">
        <v>52.514851071736103</v>
      </c>
      <c r="AL4415">
        <v>80.4094106383438</v>
      </c>
      <c r="AM4415">
        <v>94.716290959404304</v>
      </c>
      <c r="AN4415">
        <v>1.00000001232128</v>
      </c>
    </row>
    <row r="4416" spans="1:40" x14ac:dyDescent="0.25">
      <c r="A4416" t="str">
        <f>"20190304154841889"</f>
        <v>20190304154841889</v>
      </c>
      <c r="B4416" t="str">
        <f>"1551685721880946"</f>
        <v>1551685721880946</v>
      </c>
      <c r="C4416" t="s">
        <v>40</v>
      </c>
      <c r="D4416">
        <v>4.2229780000000003</v>
      </c>
      <c r="E4416">
        <v>0.43526609999999999</v>
      </c>
      <c r="F4416" t="s">
        <v>60</v>
      </c>
      <c r="G4416">
        <v>-268.9144</v>
      </c>
      <c r="H4416">
        <v>8.0000909999999995E-2</v>
      </c>
      <c r="I4416">
        <v>220.39019999999999</v>
      </c>
      <c r="J4416">
        <v>-319.85599999999999</v>
      </c>
      <c r="K4416">
        <v>1.109885</v>
      </c>
      <c r="L4416">
        <v>214.09119999999999</v>
      </c>
      <c r="M4416">
        <v>0.99993089999999996</v>
      </c>
      <c r="N4416">
        <v>-1.138113E-2</v>
      </c>
      <c r="O4416">
        <v>-2.9700999999999998E-3</v>
      </c>
      <c r="P4416">
        <v>0.98477789999999998</v>
      </c>
      <c r="Q4416">
        <v>0.15497359999999999</v>
      </c>
      <c r="R4416">
        <v>7.8715240000000006E-2</v>
      </c>
      <c r="S4416">
        <v>3.0265499999999999</v>
      </c>
      <c r="T4416">
        <v>-6.0698750000000003E-2</v>
      </c>
      <c r="U4416">
        <v>0.37117</v>
      </c>
      <c r="V4416">
        <v>-8.1571270000000001E-2</v>
      </c>
      <c r="W4416">
        <v>0.16620289999999999</v>
      </c>
      <c r="X4416">
        <v>0.98271189999999997</v>
      </c>
      <c r="Y4416">
        <v>-0.1246347</v>
      </c>
      <c r="Z4416">
        <v>1.9827009999999999E-3</v>
      </c>
      <c r="AA4416">
        <v>0.99220070000000005</v>
      </c>
      <c r="AB4416">
        <v>39</v>
      </c>
      <c r="AC4416">
        <v>50.941600000000001</v>
      </c>
      <c r="AD4416">
        <v>-1.0298840899999999</v>
      </c>
      <c r="AE4416">
        <v>6.2990000000000004</v>
      </c>
      <c r="AF4416">
        <v>-6.44768800066604</v>
      </c>
      <c r="AG4416">
        <v>-1.0298840899999999</v>
      </c>
      <c r="AH4416">
        <v>50.902173714025402</v>
      </c>
      <c r="AI4416">
        <v>91.149899541583494</v>
      </c>
      <c r="AJ4416">
        <v>97.219108709349698</v>
      </c>
      <c r="AK4416">
        <v>51.319242303502399</v>
      </c>
      <c r="AL4416">
        <v>80.432879280572195</v>
      </c>
      <c r="AM4416">
        <v>94.745032274314596</v>
      </c>
      <c r="AN4416">
        <v>0.99999997722971601</v>
      </c>
    </row>
    <row r="4417" spans="1:40" x14ac:dyDescent="0.25">
      <c r="A4417" t="str">
        <f>"20190304154841911"</f>
        <v>20190304154841911</v>
      </c>
      <c r="B4417" t="str">
        <f>"1551685721901443"</f>
        <v>1551685721901443</v>
      </c>
      <c r="C4417" t="s">
        <v>40</v>
      </c>
      <c r="D4417">
        <v>4.1435009999999997</v>
      </c>
      <c r="E4417">
        <v>0.42461850000000001</v>
      </c>
      <c r="F4417" t="s">
        <v>61</v>
      </c>
      <c r="G4417">
        <v>-282.5154</v>
      </c>
      <c r="H4417">
        <v>7.999879E-2</v>
      </c>
      <c r="I4417">
        <v>223.3073</v>
      </c>
      <c r="J4417">
        <v>-319.4896</v>
      </c>
      <c r="K4417">
        <v>1.109891</v>
      </c>
      <c r="L4417">
        <v>214.09</v>
      </c>
      <c r="M4417">
        <v>0.99993030000000005</v>
      </c>
      <c r="N4417">
        <v>-1.1397529999999999E-2</v>
      </c>
      <c r="O4417">
        <v>-3.1081170000000001E-3</v>
      </c>
      <c r="P4417">
        <v>0.9847958</v>
      </c>
      <c r="Q4417">
        <v>0.154695899999999</v>
      </c>
      <c r="R4417">
        <v>7.9035690000000006E-2</v>
      </c>
      <c r="S4417">
        <v>3.0002439999999999</v>
      </c>
      <c r="T4417">
        <v>-8.2749370000000003E-2</v>
      </c>
      <c r="U4417">
        <v>0.74049379999999998</v>
      </c>
      <c r="V4417">
        <v>-8.2027589999999997E-2</v>
      </c>
      <c r="W4417">
        <v>0.165940899999999</v>
      </c>
      <c r="X4417">
        <v>0.98271819999999999</v>
      </c>
      <c r="Y4417">
        <v>-0.24251220000000001</v>
      </c>
      <c r="Z4417">
        <v>4.7467220000000001E-3</v>
      </c>
      <c r="AA4417">
        <v>0.97013680000000002</v>
      </c>
      <c r="AB4417">
        <v>39</v>
      </c>
      <c r="AC4417">
        <v>36.974200000000003</v>
      </c>
      <c r="AD4417">
        <v>-1.0298922100000001</v>
      </c>
      <c r="AE4417">
        <v>9.2172999999999892</v>
      </c>
      <c r="AF4417">
        <v>-9.3253711705651199</v>
      </c>
      <c r="AG4417">
        <v>-1.0298922100000001</v>
      </c>
      <c r="AH4417">
        <v>36.918403319333002</v>
      </c>
      <c r="AI4417">
        <v>91.549297653260894</v>
      </c>
      <c r="AJ4417">
        <v>104.17604629419201</v>
      </c>
      <c r="AK4417">
        <v>38.091885344282503</v>
      </c>
      <c r="AL4417">
        <v>80.448102232889596</v>
      </c>
      <c r="AM4417">
        <v>94.771423919886502</v>
      </c>
      <c r="AN4417">
        <v>0.99999998421262803</v>
      </c>
    </row>
    <row r="4418" spans="1:40" x14ac:dyDescent="0.25">
      <c r="A4418" t="str">
        <f>"20190304154841924"</f>
        <v>20190304154841924</v>
      </c>
      <c r="B4418" t="str">
        <f>"1551685721920963"</f>
        <v>1551685721920963</v>
      </c>
      <c r="C4418" t="s">
        <v>40</v>
      </c>
      <c r="D4418">
        <v>4.11348</v>
      </c>
      <c r="E4418">
        <v>0.41991339999999999</v>
      </c>
      <c r="F4418" t="s">
        <v>61</v>
      </c>
      <c r="G4418">
        <v>-284.90050000000002</v>
      </c>
      <c r="H4418">
        <v>7.9999139999999996E-2</v>
      </c>
      <c r="I4418">
        <v>223.6336</v>
      </c>
      <c r="J4418">
        <v>-319.2466</v>
      </c>
      <c r="K4418">
        <v>1.10989</v>
      </c>
      <c r="L4418">
        <v>214.08920000000001</v>
      </c>
      <c r="M4418">
        <v>0.99992979999999998</v>
      </c>
      <c r="N4418">
        <v>-1.14077E-2</v>
      </c>
      <c r="O4418">
        <v>-3.1993690000000001E-3</v>
      </c>
      <c r="P4418">
        <v>0.9848211</v>
      </c>
      <c r="Q4418">
        <v>0.154462299999999</v>
      </c>
      <c r="R4418">
        <v>7.9176099999999999E-2</v>
      </c>
      <c r="S4418">
        <v>2.9940190000000002</v>
      </c>
      <c r="T4418">
        <v>-8.9147089999999998E-2</v>
      </c>
      <c r="U4418">
        <v>0.82609560000000004</v>
      </c>
      <c r="V4418">
        <v>-8.2257979999999994E-2</v>
      </c>
      <c r="W4418">
        <v>0.165718</v>
      </c>
      <c r="X4418">
        <v>0.98273659999999996</v>
      </c>
      <c r="Y4418">
        <v>-0.26890330000000001</v>
      </c>
      <c r="Z4418">
        <v>5.5491530000000002E-3</v>
      </c>
      <c r="AA4418">
        <v>0.96315119999999999</v>
      </c>
      <c r="AB4418">
        <v>39</v>
      </c>
      <c r="AC4418">
        <v>34.3460999999999</v>
      </c>
      <c r="AD4418">
        <v>-1.0298908600000001</v>
      </c>
      <c r="AE4418">
        <v>9.5443999999999907</v>
      </c>
      <c r="AF4418">
        <v>-9.6461926197174002</v>
      </c>
      <c r="AG4418">
        <v>-1.0298908600000001</v>
      </c>
      <c r="AH4418">
        <v>34.286767523057598</v>
      </c>
      <c r="AI4418">
        <v>91.6562470092708</v>
      </c>
      <c r="AJ4418">
        <v>105.71334424933499</v>
      </c>
      <c r="AK4418">
        <v>35.632739642362601</v>
      </c>
      <c r="AL4418">
        <v>80.461053190238204</v>
      </c>
      <c r="AM4418">
        <v>94.7846740625222</v>
      </c>
      <c r="AN4418">
        <v>1.0000000278886101</v>
      </c>
    </row>
    <row r="4419" spans="1:40" x14ac:dyDescent="0.25">
      <c r="A4419" t="str">
        <f>"20190304154841943"</f>
        <v>20190304154841943</v>
      </c>
      <c r="B4419" t="str">
        <f>"1551685721941459"</f>
        <v>1551685721941459</v>
      </c>
      <c r="C4419" t="s">
        <v>40</v>
      </c>
      <c r="D4419">
        <v>4.085566</v>
      </c>
      <c r="E4419">
        <v>0.4169754</v>
      </c>
      <c r="F4419" t="s">
        <v>61</v>
      </c>
      <c r="G4419">
        <v>-286.3066</v>
      </c>
      <c r="H4419">
        <v>7.9999219999999996E-2</v>
      </c>
      <c r="I4419">
        <v>223.60159999999999</v>
      </c>
      <c r="J4419">
        <v>-318.91950000000003</v>
      </c>
      <c r="K4419">
        <v>1.109885</v>
      </c>
      <c r="L4419">
        <v>214.08799999999999</v>
      </c>
      <c r="M4419">
        <v>0.99992939999999997</v>
      </c>
      <c r="N4419">
        <v>-1.1420720000000001E-2</v>
      </c>
      <c r="O4419">
        <v>-3.322467E-3</v>
      </c>
      <c r="P4419">
        <v>0.98482630000000004</v>
      </c>
      <c r="Q4419">
        <v>0.1542866</v>
      </c>
      <c r="R4419">
        <v>7.9454819999999995E-2</v>
      </c>
      <c r="S4419">
        <v>2.9914550000000002</v>
      </c>
      <c r="T4419">
        <v>-9.3529940000000006E-2</v>
      </c>
      <c r="U4419">
        <v>0.86387630000000004</v>
      </c>
      <c r="V4419">
        <v>-8.2658110000000007E-2</v>
      </c>
      <c r="W4419">
        <v>0.1655549</v>
      </c>
      <c r="X4419">
        <v>0.98273049999999995</v>
      </c>
      <c r="Y4419">
        <v>-0.2804584</v>
      </c>
      <c r="Z4419">
        <v>5.9943440000000004E-3</v>
      </c>
      <c r="AA4419">
        <v>0.95984749999999996</v>
      </c>
      <c r="AB4419">
        <v>39</v>
      </c>
      <c r="AC4419">
        <v>32.612900000000003</v>
      </c>
      <c r="AD4419">
        <v>-1.0298857800000001</v>
      </c>
      <c r="AE4419">
        <v>9.5135999999999896</v>
      </c>
      <c r="AF4419">
        <v>-9.6130750892552399</v>
      </c>
      <c r="AG4419">
        <v>-1.0298857800000001</v>
      </c>
      <c r="AH4419">
        <v>32.551193680664397</v>
      </c>
      <c r="AI4419">
        <v>91.738016264367104</v>
      </c>
      <c r="AJ4419">
        <v>106.45301616229</v>
      </c>
      <c r="AK4419">
        <v>33.956620671492502</v>
      </c>
      <c r="AL4419">
        <v>80.470528868109099</v>
      </c>
      <c r="AM4419">
        <v>94.807869163225106</v>
      </c>
      <c r="AN4419">
        <v>1.00000001184651</v>
      </c>
    </row>
    <row r="4420" spans="1:40" x14ac:dyDescent="0.25">
      <c r="A4420" t="str">
        <f>"20190304154841960"</f>
        <v>20190304154841960</v>
      </c>
      <c r="B4420" t="str">
        <f>"1551685721951219"</f>
        <v>1551685721951219</v>
      </c>
      <c r="C4420" t="s">
        <v>40</v>
      </c>
      <c r="D4420">
        <v>4.1945059999999996</v>
      </c>
      <c r="E4420">
        <v>0.41700229999999999</v>
      </c>
      <c r="F4420" t="s">
        <v>61</v>
      </c>
      <c r="G4420">
        <v>-286.17720000000003</v>
      </c>
      <c r="H4420">
        <v>7.9999189999999998E-2</v>
      </c>
      <c r="I4420">
        <v>223.8192</v>
      </c>
      <c r="J4420">
        <v>-318.64139999999998</v>
      </c>
      <c r="K4420">
        <v>1.1098840000000001</v>
      </c>
      <c r="L4420">
        <v>214.08699999999999</v>
      </c>
      <c r="M4420">
        <v>0.99992890000000001</v>
      </c>
      <c r="N4420">
        <v>-1.1431230000000001E-2</v>
      </c>
      <c r="O4420">
        <v>-3.4273099999999998E-3</v>
      </c>
      <c r="P4420">
        <v>0.98489329999999997</v>
      </c>
      <c r="Q4420">
        <v>0.15396499999999999</v>
      </c>
      <c r="R4420">
        <v>7.9248490000000005E-2</v>
      </c>
      <c r="S4420">
        <v>2.9893190000000001</v>
      </c>
      <c r="T4420">
        <v>-9.4026799999999994E-2</v>
      </c>
      <c r="U4420">
        <v>0.88844299999999998</v>
      </c>
      <c r="V4420">
        <v>-8.2555169999999997E-2</v>
      </c>
      <c r="W4420">
        <v>0.16524449999999999</v>
      </c>
      <c r="X4420">
        <v>0.98279139999999998</v>
      </c>
      <c r="Y4420">
        <v>-0.28799089999999999</v>
      </c>
      <c r="Z4420">
        <v>6.181031E-3</v>
      </c>
      <c r="AA4420">
        <v>0.95761320000000005</v>
      </c>
      <c r="AB4420">
        <v>39</v>
      </c>
      <c r="AC4420">
        <v>32.464199999999899</v>
      </c>
      <c r="AD4420">
        <v>-1.02988481</v>
      </c>
      <c r="AE4420">
        <v>9.7321999999999704</v>
      </c>
      <c r="AF4420">
        <v>-9.8343338710596004</v>
      </c>
      <c r="AG4420">
        <v>-1.02988481</v>
      </c>
      <c r="AH4420">
        <v>32.400732785029398</v>
      </c>
      <c r="AI4420">
        <v>91.742152998931999</v>
      </c>
      <c r="AJ4420">
        <v>106.88419582848999</v>
      </c>
      <c r="AK4420">
        <v>33.875983681897999</v>
      </c>
      <c r="AL4420">
        <v>80.4885619160044</v>
      </c>
      <c r="AM4420">
        <v>94.801613433287102</v>
      </c>
      <c r="AN4420">
        <v>1.0000000183939599</v>
      </c>
    </row>
    <row r="4421" spans="1:40" x14ac:dyDescent="0.25">
      <c r="A4421" t="str">
        <f>"20190304154841978"</f>
        <v>20190304154841978</v>
      </c>
      <c r="B4421" t="str">
        <f>"1551685721971715"</f>
        <v>1551685721971715</v>
      </c>
      <c r="C4421" t="s">
        <v>40</v>
      </c>
      <c r="D4421">
        <v>4.004734</v>
      </c>
      <c r="E4421">
        <v>0.4164658</v>
      </c>
      <c r="F4421" t="s">
        <v>61</v>
      </c>
      <c r="G4421">
        <v>-288.51350000000002</v>
      </c>
      <c r="H4421">
        <v>7.9999340000000002E-2</v>
      </c>
      <c r="I4421">
        <v>223.029</v>
      </c>
      <c r="J4421">
        <v>-318.31740000000002</v>
      </c>
      <c r="K4421">
        <v>1.109885</v>
      </c>
      <c r="L4421">
        <v>214.0857</v>
      </c>
      <c r="M4421">
        <v>0.99992829999999999</v>
      </c>
      <c r="N4421">
        <v>-1.144393E-2</v>
      </c>
      <c r="O4421">
        <v>-3.54945E-3</v>
      </c>
      <c r="P4421">
        <v>0.98488759999999997</v>
      </c>
      <c r="Q4421">
        <v>0.15389610000000001</v>
      </c>
      <c r="R4421">
        <v>7.9452149999999999E-2</v>
      </c>
      <c r="S4421">
        <v>2.99057</v>
      </c>
      <c r="T4421">
        <v>-0.1022286</v>
      </c>
      <c r="U4421">
        <v>0.88760380000000005</v>
      </c>
      <c r="V4421">
        <v>-8.2879300000000003E-2</v>
      </c>
      <c r="W4421">
        <v>0.1651881</v>
      </c>
      <c r="X4421">
        <v>0.98277360000000002</v>
      </c>
      <c r="Y4421">
        <v>-0.28772330000000002</v>
      </c>
      <c r="Z4421">
        <v>6.5733700000000003E-3</v>
      </c>
      <c r="AA4421">
        <v>0.95769099999999996</v>
      </c>
      <c r="AB4421">
        <v>39</v>
      </c>
      <c r="AC4421">
        <v>29.803899999999999</v>
      </c>
      <c r="AD4421">
        <v>-1.0298856599999999</v>
      </c>
      <c r="AE4421">
        <v>8.9433000000000202</v>
      </c>
      <c r="AF4421">
        <v>-9.0391362044568204</v>
      </c>
      <c r="AG4421">
        <v>-1.0298856599999999</v>
      </c>
      <c r="AH4421">
        <v>29.739388669369099</v>
      </c>
      <c r="AI4421">
        <v>91.897725456291397</v>
      </c>
      <c r="AJ4421">
        <v>106.906383059512</v>
      </c>
      <c r="AK4421">
        <v>31.099805244136</v>
      </c>
      <c r="AL4421">
        <v>80.491838420146806</v>
      </c>
      <c r="AM4421">
        <v>94.820463872964297</v>
      </c>
      <c r="AN4421">
        <v>1.00000001780352</v>
      </c>
    </row>
    <row r="4422" spans="1:40" x14ac:dyDescent="0.25">
      <c r="A4422" t="str">
        <f>"20190304154842000"</f>
        <v>20190304154842000</v>
      </c>
      <c r="B4422" t="str">
        <f>"1551685721991235"</f>
        <v>1551685721991235</v>
      </c>
      <c r="C4422" t="s">
        <v>40</v>
      </c>
      <c r="D4422">
        <v>4.0176270000000001</v>
      </c>
      <c r="E4422">
        <v>0.41608299999999998</v>
      </c>
      <c r="F4422" t="s">
        <v>61</v>
      </c>
      <c r="G4422">
        <v>-289.87299999999999</v>
      </c>
      <c r="H4422">
        <v>7.186091E-2</v>
      </c>
      <c r="I4422">
        <v>222.5719</v>
      </c>
      <c r="J4422">
        <v>-317.92110000000002</v>
      </c>
      <c r="K4422">
        <v>1.109893</v>
      </c>
      <c r="L4422">
        <v>214.08420000000001</v>
      </c>
      <c r="M4422">
        <v>0.99992760000000003</v>
      </c>
      <c r="N4422">
        <v>-1.146205E-2</v>
      </c>
      <c r="O4422">
        <v>-3.6988030000000001E-3</v>
      </c>
      <c r="P4422">
        <v>0.98490710000000004</v>
      </c>
      <c r="Q4422">
        <v>0.1537956</v>
      </c>
      <c r="R4422">
        <v>7.9407019999999995E-2</v>
      </c>
      <c r="S4422">
        <v>2.9911189999999999</v>
      </c>
      <c r="T4422">
        <v>-0.1091554</v>
      </c>
      <c r="U4422">
        <v>0.89237979999999995</v>
      </c>
      <c r="V4422">
        <v>-8.2981700000000005E-2</v>
      </c>
      <c r="W4422">
        <v>0.16510529999999901</v>
      </c>
      <c r="X4422">
        <v>0.98277879999999995</v>
      </c>
      <c r="Y4422">
        <v>-0.28919610000000001</v>
      </c>
      <c r="Z4422">
        <v>6.9468109999999998E-3</v>
      </c>
      <c r="AA4422">
        <v>0.95724469999999995</v>
      </c>
      <c r="AB4422">
        <v>39</v>
      </c>
      <c r="AC4422">
        <v>28.048100000000002</v>
      </c>
      <c r="AD4422">
        <v>-1.03803209</v>
      </c>
      <c r="AE4422">
        <v>8.4876999999999896</v>
      </c>
      <c r="AF4422">
        <v>-8.5806264845795894</v>
      </c>
      <c r="AG4422">
        <v>-1.03803209</v>
      </c>
      <c r="AH4422">
        <v>27.981401717492901</v>
      </c>
      <c r="AI4422">
        <v>92.031261913184494</v>
      </c>
      <c r="AJ4422">
        <v>107.048400778328</v>
      </c>
      <c r="AK4422">
        <v>29.285892569007601</v>
      </c>
      <c r="AL4422">
        <v>80.496647871538102</v>
      </c>
      <c r="AM4422">
        <v>94.826366175367198</v>
      </c>
      <c r="AN4422">
        <v>0.99999994617620802</v>
      </c>
    </row>
    <row r="4423" spans="1:40" x14ac:dyDescent="0.25">
      <c r="A4423" t="str">
        <f>"20190304154842022"</f>
        <v>20190304154842022</v>
      </c>
      <c r="B4423" t="str">
        <f>"1551685722011731"</f>
        <v>1551685722011731</v>
      </c>
      <c r="C4423" t="s">
        <v>40</v>
      </c>
      <c r="D4423">
        <v>3.9948130000000002</v>
      </c>
      <c r="E4423">
        <v>0.4156608</v>
      </c>
      <c r="F4423" t="s">
        <v>61</v>
      </c>
      <c r="G4423">
        <v>-289.88740000000001</v>
      </c>
      <c r="H4423">
        <v>3.6013469999999999E-2</v>
      </c>
      <c r="I4423">
        <v>222.47200000000001</v>
      </c>
      <c r="J4423">
        <v>-317.53840000000002</v>
      </c>
      <c r="K4423">
        <v>1.1098980000000001</v>
      </c>
      <c r="L4423">
        <v>214.08260000000001</v>
      </c>
      <c r="M4423">
        <v>0.99992689999999995</v>
      </c>
      <c r="N4423">
        <v>-1.148097E-2</v>
      </c>
      <c r="O4423">
        <v>-3.842799E-3</v>
      </c>
      <c r="P4423">
        <v>0.98489269999999995</v>
      </c>
      <c r="Q4423">
        <v>0.15390090000000001</v>
      </c>
      <c r="R4423">
        <v>7.9381140000000003E-2</v>
      </c>
      <c r="S4423">
        <v>2.9916990000000001</v>
      </c>
      <c r="T4423">
        <v>-0.1146023</v>
      </c>
      <c r="U4423">
        <v>0.89512630000000004</v>
      </c>
      <c r="V4423">
        <v>-8.3097099999999993E-2</v>
      </c>
      <c r="W4423">
        <v>0.1652294</v>
      </c>
      <c r="X4423">
        <v>0.98274819999999996</v>
      </c>
      <c r="Y4423">
        <v>-0.29006779999999999</v>
      </c>
      <c r="Z4423">
        <v>7.2373209999999997E-3</v>
      </c>
      <c r="AA4423">
        <v>0.95697869999999996</v>
      </c>
      <c r="AB4423">
        <v>39</v>
      </c>
      <c r="AC4423">
        <v>27.651</v>
      </c>
      <c r="AD4423">
        <v>-1.0738845299999999</v>
      </c>
      <c r="AE4423">
        <v>8.3893999999999895</v>
      </c>
      <c r="AF4423">
        <v>-8.4838845135308194</v>
      </c>
      <c r="AG4423">
        <v>-1.0738845299999999</v>
      </c>
      <c r="AH4423">
        <v>27.580461392216002</v>
      </c>
      <c r="AI4423">
        <v>92.131309261952694</v>
      </c>
      <c r="AJ4423">
        <v>107.098152843812</v>
      </c>
      <c r="AK4423">
        <v>28.875792197448401</v>
      </c>
      <c r="AL4423">
        <v>80.489438518998099</v>
      </c>
      <c r="AM4423">
        <v>94.833196052136998</v>
      </c>
      <c r="AN4423">
        <v>0.99999995362800298</v>
      </c>
    </row>
    <row r="4424" spans="1:40" x14ac:dyDescent="0.25">
      <c r="A4424" t="str">
        <f>"20190304154842039"</f>
        <v>20190304154842039</v>
      </c>
      <c r="B4424" t="str">
        <f>"1551685722031252"</f>
        <v>1551685722031252</v>
      </c>
      <c r="C4424" t="s">
        <v>40</v>
      </c>
      <c r="D4424">
        <v>3.9840719999999998</v>
      </c>
      <c r="E4424">
        <v>0.41547309999999998</v>
      </c>
      <c r="F4424" t="s">
        <v>61</v>
      </c>
      <c r="G4424">
        <v>-289.87939999999998</v>
      </c>
      <c r="H4424">
        <v>2.1970159999999999E-2</v>
      </c>
      <c r="I4424">
        <v>222.38460000000001</v>
      </c>
      <c r="J4424">
        <v>-317.25549999999998</v>
      </c>
      <c r="K4424">
        <v>1.109899</v>
      </c>
      <c r="L4424">
        <v>214.08150000000001</v>
      </c>
      <c r="M4424">
        <v>0.99992619999999999</v>
      </c>
      <c r="N4424">
        <v>-1.149476E-2</v>
      </c>
      <c r="O4424">
        <v>-3.9488530000000004E-3</v>
      </c>
      <c r="P4424">
        <v>0.98491079999999998</v>
      </c>
      <c r="Q4424">
        <v>0.153907399999999</v>
      </c>
      <c r="R4424">
        <v>7.9142409999999996E-2</v>
      </c>
      <c r="S4424">
        <v>2.992035</v>
      </c>
      <c r="T4424">
        <v>-0.1176875</v>
      </c>
      <c r="U4424">
        <v>0.89807130000000002</v>
      </c>
      <c r="V4424">
        <v>-8.2962789999999995E-2</v>
      </c>
      <c r="W4424">
        <v>0.16524920000000001</v>
      </c>
      <c r="X4424">
        <v>0.98275630000000003</v>
      </c>
      <c r="Y4424">
        <v>-0.29099079999999999</v>
      </c>
      <c r="Z4424">
        <v>7.4143079999999997E-3</v>
      </c>
      <c r="AA4424">
        <v>0.95669709999999997</v>
      </c>
      <c r="AB4424">
        <v>39</v>
      </c>
      <c r="AC4424">
        <v>27.376100000000001</v>
      </c>
      <c r="AD4424">
        <v>-1.08792884</v>
      </c>
      <c r="AE4424">
        <v>8.3031000000000006</v>
      </c>
      <c r="AF4424">
        <v>-8.3989996414320593</v>
      </c>
      <c r="AG4424">
        <v>-1.08792884</v>
      </c>
      <c r="AH4424">
        <v>27.303609154978101</v>
      </c>
      <c r="AI4424">
        <v>92.181022519620896</v>
      </c>
      <c r="AJ4424">
        <v>107.09868239008</v>
      </c>
      <c r="AK4424">
        <v>28.586952566257999</v>
      </c>
      <c r="AL4424">
        <v>80.488289021033907</v>
      </c>
      <c r="AM4424">
        <v>94.825381481033205</v>
      </c>
      <c r="AN4424">
        <v>1.00000003390745</v>
      </c>
    </row>
    <row r="4425" spans="1:40" x14ac:dyDescent="0.25">
      <c r="A4425" t="str">
        <f>"20190304154842056"</f>
        <v>20190304154842056</v>
      </c>
      <c r="B4425" t="str">
        <f>"1551685722050771"</f>
        <v>1551685722050771</v>
      </c>
      <c r="C4425" t="s">
        <v>40</v>
      </c>
      <c r="D4425">
        <v>3.9816549999999999</v>
      </c>
      <c r="E4425">
        <v>0.4151339</v>
      </c>
      <c r="F4425" t="s">
        <v>61</v>
      </c>
      <c r="G4425">
        <v>-289.85950000000003</v>
      </c>
      <c r="H4425">
        <v>3.270968E-3</v>
      </c>
      <c r="I4425">
        <v>222.31209999999999</v>
      </c>
      <c r="J4425">
        <v>-316.9443</v>
      </c>
      <c r="K4425">
        <v>1.1099030000000001</v>
      </c>
      <c r="L4425">
        <v>214.08009999999999</v>
      </c>
      <c r="M4425">
        <v>0.99992550000000002</v>
      </c>
      <c r="N4425">
        <v>-1.1509200000000001E-2</v>
      </c>
      <c r="O4425">
        <v>-4.0640850000000003E-3</v>
      </c>
      <c r="P4425">
        <v>0.98488209999999998</v>
      </c>
      <c r="Q4425">
        <v>0.154266299999999</v>
      </c>
      <c r="R4425">
        <v>7.8798579999999993E-2</v>
      </c>
      <c r="S4425">
        <v>2.9926149999999998</v>
      </c>
      <c r="T4425">
        <v>-0.120883</v>
      </c>
      <c r="U4425">
        <v>0.89907839999999895</v>
      </c>
      <c r="V4425">
        <v>-8.2732630000000001E-2</v>
      </c>
      <c r="W4425">
        <v>0.16562170000000001</v>
      </c>
      <c r="X4425">
        <v>0.98271299999999995</v>
      </c>
      <c r="Y4425">
        <v>-0.29133160000000002</v>
      </c>
      <c r="Z4425">
        <v>7.5831190000000001E-3</v>
      </c>
      <c r="AA4425">
        <v>0.95659209999999995</v>
      </c>
      <c r="AB4425">
        <v>39</v>
      </c>
      <c r="AC4425">
        <v>27.084799999999898</v>
      </c>
      <c r="AD4425">
        <v>-1.106632032</v>
      </c>
      <c r="AE4425">
        <v>8.2319999999999993</v>
      </c>
      <c r="AF4425">
        <v>-8.3292853319955693</v>
      </c>
      <c r="AG4425">
        <v>-1.106632032</v>
      </c>
      <c r="AH4425">
        <v>27.009841818624899</v>
      </c>
      <c r="AI4425">
        <v>92.242103076229398</v>
      </c>
      <c r="AJ4425">
        <v>107.13869737941199</v>
      </c>
      <c r="AK4425">
        <v>28.286625526265599</v>
      </c>
      <c r="AL4425">
        <v>80.466648185059299</v>
      </c>
      <c r="AM4425">
        <v>94.812268619377306</v>
      </c>
      <c r="AN4425">
        <v>1.0000000379733001</v>
      </c>
    </row>
    <row r="4426" spans="1:40" x14ac:dyDescent="0.25">
      <c r="A4426" t="str">
        <f>"20190304154842080"</f>
        <v>20190304154842080</v>
      </c>
      <c r="B4426" t="str">
        <f>"1551685722071268"</f>
        <v>1551685722071268</v>
      </c>
      <c r="C4426" t="s">
        <v>40</v>
      </c>
      <c r="D4426">
        <v>4.00589</v>
      </c>
      <c r="E4426">
        <v>0.41470479999999998</v>
      </c>
      <c r="F4426" t="s">
        <v>61</v>
      </c>
      <c r="G4426">
        <v>-289.83949999999999</v>
      </c>
      <c r="H4426">
        <v>1.418487E-2</v>
      </c>
      <c r="I4426">
        <v>222.239</v>
      </c>
      <c r="J4426">
        <v>-316.53960000000001</v>
      </c>
      <c r="K4426">
        <v>1.109907</v>
      </c>
      <c r="L4426">
        <v>214.07830000000001</v>
      </c>
      <c r="M4426">
        <v>0.9999247</v>
      </c>
      <c r="N4426">
        <v>-1.152652E-2</v>
      </c>
      <c r="O4426">
        <v>-4.2130609999999997E-3</v>
      </c>
      <c r="P4426">
        <v>0.98481149999999995</v>
      </c>
      <c r="Q4426">
        <v>0.15468019999999999</v>
      </c>
      <c r="R4426">
        <v>7.8872780000000003E-2</v>
      </c>
      <c r="S4426">
        <v>2.9929199999999998</v>
      </c>
      <c r="T4426">
        <v>-0.1209896</v>
      </c>
      <c r="U4426">
        <v>0.90090939999999997</v>
      </c>
      <c r="V4426">
        <v>-8.2953330000000006E-2</v>
      </c>
      <c r="W4426">
        <v>0.16605149999999999</v>
      </c>
      <c r="X4426">
        <v>0.98262179999999999</v>
      </c>
      <c r="Y4426">
        <v>-0.29198269999999998</v>
      </c>
      <c r="Z4426">
        <v>7.6108089999999996E-3</v>
      </c>
      <c r="AA4426">
        <v>0.9563933</v>
      </c>
      <c r="AB4426">
        <v>39</v>
      </c>
      <c r="AC4426">
        <v>26.700099999999999</v>
      </c>
      <c r="AD4426">
        <v>-1.09572213</v>
      </c>
      <c r="AE4426">
        <v>8.1606999999999896</v>
      </c>
      <c r="AF4426">
        <v>-8.2604011688925194</v>
      </c>
      <c r="AG4426">
        <v>-1.09572213</v>
      </c>
      <c r="AH4426">
        <v>26.6244710625752</v>
      </c>
      <c r="AI4426">
        <v>92.250930190273806</v>
      </c>
      <c r="AJ4426">
        <v>107.23681553353499</v>
      </c>
      <c r="AK4426">
        <v>27.8979801028518</v>
      </c>
      <c r="AL4426">
        <v>80.441676113883702</v>
      </c>
      <c r="AM4426">
        <v>94.825491153473095</v>
      </c>
      <c r="AN4426">
        <v>0.99999997872278901</v>
      </c>
    </row>
    <row r="4427" spans="1:40" x14ac:dyDescent="0.25">
      <c r="A4427" t="str">
        <f>"20190304154842101"</f>
        <v>20190304154842101</v>
      </c>
      <c r="B4427" t="str">
        <f>"1551685722090787"</f>
        <v>1551685722090787</v>
      </c>
      <c r="C4427" t="s">
        <v>40</v>
      </c>
      <c r="D4427">
        <v>4.4246819999999998</v>
      </c>
      <c r="E4427">
        <v>0.41469030000000001</v>
      </c>
      <c r="F4427" t="s">
        <v>61</v>
      </c>
      <c r="G4427">
        <v>-289.81569999999999</v>
      </c>
      <c r="H4427">
        <v>2.9399089999999999E-2</v>
      </c>
      <c r="I4427">
        <v>222.15199999999999</v>
      </c>
      <c r="J4427">
        <v>-316.15730000000002</v>
      </c>
      <c r="K4427">
        <v>1.1099110000000001</v>
      </c>
      <c r="L4427">
        <v>214.07660000000001</v>
      </c>
      <c r="M4427">
        <v>0.99992389999999998</v>
      </c>
      <c r="N4427">
        <v>-1.154151E-2</v>
      </c>
      <c r="O4427">
        <v>-4.3524840000000002E-3</v>
      </c>
      <c r="P4427">
        <v>0.98478169999999998</v>
      </c>
      <c r="Q4427">
        <v>0.1550687</v>
      </c>
      <c r="R4427">
        <v>7.8477210000000006E-2</v>
      </c>
      <c r="S4427">
        <v>2.9928590000000002</v>
      </c>
      <c r="T4427">
        <v>-0.121008199999999</v>
      </c>
      <c r="U4427">
        <v>0.9041901</v>
      </c>
      <c r="V4427">
        <v>-8.2695099999999994E-2</v>
      </c>
      <c r="W4427">
        <v>0.166454399999999</v>
      </c>
      <c r="X4427">
        <v>0.98257539999999999</v>
      </c>
      <c r="Y4427">
        <v>-0.29308109999999998</v>
      </c>
      <c r="Z4427">
        <v>7.6454909999999999E-3</v>
      </c>
      <c r="AA4427">
        <v>0.95605700000000005</v>
      </c>
      <c r="AB4427">
        <v>39</v>
      </c>
      <c r="AC4427">
        <v>26.3416</v>
      </c>
      <c r="AD4427">
        <v>-1.08051191</v>
      </c>
      <c r="AE4427">
        <v>8.0754000000000001</v>
      </c>
      <c r="AF4427">
        <v>-8.1774054384744108</v>
      </c>
      <c r="AG4427">
        <v>-1.08051191</v>
      </c>
      <c r="AH4427">
        <v>26.265802481366801</v>
      </c>
      <c r="AI4427">
        <v>92.249309648671698</v>
      </c>
      <c r="AJ4427">
        <v>107.293077782433</v>
      </c>
      <c r="AK4427">
        <v>27.5305257066228</v>
      </c>
      <c r="AL4427">
        <v>80.418265875609606</v>
      </c>
      <c r="AM4427">
        <v>94.810766320333897</v>
      </c>
      <c r="AN4427">
        <v>0.99999998176426397</v>
      </c>
    </row>
    <row r="4428" spans="1:40" x14ac:dyDescent="0.25">
      <c r="A4428" t="str">
        <f>"20190304154842122"</f>
        <v>20190304154842122</v>
      </c>
      <c r="B4428" t="str">
        <f>"1551685722111283"</f>
        <v>1551685722111283</v>
      </c>
      <c r="C4428" t="s">
        <v>40</v>
      </c>
      <c r="D4428">
        <v>4.4051869999999997</v>
      </c>
      <c r="E4428">
        <v>0.4926335</v>
      </c>
      <c r="F4428" t="s">
        <v>61</v>
      </c>
      <c r="G4428">
        <v>-289.779</v>
      </c>
      <c r="H4428">
        <v>5.5919570000000002E-2</v>
      </c>
      <c r="I4428">
        <v>222.04050000000001</v>
      </c>
      <c r="J4428">
        <v>-315.77999999999997</v>
      </c>
      <c r="K4428">
        <v>1.109912</v>
      </c>
      <c r="L4428">
        <v>214.07480000000001</v>
      </c>
      <c r="M4428">
        <v>0.99992309999999995</v>
      </c>
      <c r="N4428">
        <v>-1.155492E-2</v>
      </c>
      <c r="O4428">
        <v>-4.4890390000000002E-3</v>
      </c>
      <c r="P4428">
        <v>0.98481830000000004</v>
      </c>
      <c r="Q4428">
        <v>0.155116899999999</v>
      </c>
      <c r="R4428">
        <v>7.7922720000000001E-2</v>
      </c>
      <c r="S4428">
        <v>2.9931640000000002</v>
      </c>
      <c r="T4428">
        <v>-0.1195968</v>
      </c>
      <c r="U4428">
        <v>0.90367129999999996</v>
      </c>
      <c r="V4428">
        <v>-8.227537E-2</v>
      </c>
      <c r="W4428">
        <v>0.1665151</v>
      </c>
      <c r="X4428">
        <v>0.98260040000000004</v>
      </c>
      <c r="Y4428">
        <v>-0.29303859999999998</v>
      </c>
      <c r="Z4428">
        <v>7.5801359999999899E-3</v>
      </c>
      <c r="AA4428">
        <v>0.95607050000000005</v>
      </c>
      <c r="AB4428">
        <v>39</v>
      </c>
      <c r="AC4428">
        <v>26.000999999999902</v>
      </c>
      <c r="AD4428">
        <v>-1.0539924300000001</v>
      </c>
      <c r="AE4428">
        <v>7.9656999999999902</v>
      </c>
      <c r="AF4428">
        <v>-8.0702237608262699</v>
      </c>
      <c r="AG4428">
        <v>-1.0539924300000001</v>
      </c>
      <c r="AH4428">
        <v>25.926030592881698</v>
      </c>
      <c r="AI4428">
        <v>92.222919247878096</v>
      </c>
      <c r="AJ4428">
        <v>107.290258079856</v>
      </c>
      <c r="AK4428">
        <v>27.173488438096001</v>
      </c>
      <c r="AL4428">
        <v>80.414739270052394</v>
      </c>
      <c r="AM4428">
        <v>94.786341153790104</v>
      </c>
      <c r="AN4428">
        <v>1.0000000305584</v>
      </c>
    </row>
    <row r="4429" spans="1:40" x14ac:dyDescent="0.25">
      <c r="A4429" t="str">
        <f>"20190304154842145"</f>
        <v>20190304154842145</v>
      </c>
      <c r="B4429" t="str">
        <f>"1551685722141539"</f>
        <v>1551685722141539</v>
      </c>
      <c r="C4429" t="s">
        <v>40</v>
      </c>
      <c r="D4429">
        <v>4.3984370000000004</v>
      </c>
      <c r="E4429">
        <v>0.51351440000000004</v>
      </c>
      <c r="F4429" t="s">
        <v>71</v>
      </c>
      <c r="G4429">
        <v>-157.25</v>
      </c>
      <c r="H4429">
        <v>3.530602</v>
      </c>
      <c r="I4429">
        <v>229.04920000000001</v>
      </c>
      <c r="J4429">
        <v>-315.39030000000002</v>
      </c>
      <c r="K4429">
        <v>1.1099159999999999</v>
      </c>
      <c r="L4429">
        <v>214.07300000000001</v>
      </c>
      <c r="M4429">
        <v>0.99992250000000005</v>
      </c>
      <c r="N4429">
        <v>-1.1567529999999999E-2</v>
      </c>
      <c r="O4429">
        <v>-4.6291639999999998E-3</v>
      </c>
      <c r="P4429">
        <v>0.98477110000000001</v>
      </c>
      <c r="Q4429">
        <v>0.15555160000000001</v>
      </c>
      <c r="R4429">
        <v>7.7653470000000002E-2</v>
      </c>
      <c r="S4429">
        <v>3.0164490000000002</v>
      </c>
      <c r="T4429">
        <v>4.6061039999999998E-2</v>
      </c>
      <c r="U4429">
        <v>0.2849274</v>
      </c>
      <c r="V4429">
        <v>-8.2144419999999996E-2</v>
      </c>
      <c r="W4429">
        <v>0.16696169999999999</v>
      </c>
      <c r="X4429">
        <v>0.98253550000000001</v>
      </c>
      <c r="Y4429">
        <v>-9.8642869999999994E-2</v>
      </c>
      <c r="Z4429">
        <v>-3.0355170000000002E-4</v>
      </c>
      <c r="AA4429">
        <v>0.99512279999999997</v>
      </c>
      <c r="AB4429">
        <v>39</v>
      </c>
      <c r="AC4429">
        <v>158.1403</v>
      </c>
      <c r="AD4429">
        <v>2.4206859999999999</v>
      </c>
      <c r="AE4429">
        <v>14.9762</v>
      </c>
      <c r="AF4429">
        <v>-15.7044987699916</v>
      </c>
      <c r="AG4429">
        <v>2.4206859999999999</v>
      </c>
      <c r="AH4429">
        <v>158.032573884622</v>
      </c>
      <c r="AI4429">
        <v>89.126733200906301</v>
      </c>
      <c r="AJ4429">
        <v>95.675139853637106</v>
      </c>
      <c r="AK4429">
        <v>158.829422371693</v>
      </c>
      <c r="AL4429">
        <v>80.388787017301397</v>
      </c>
      <c r="AM4429">
        <v>94.779072682997693</v>
      </c>
      <c r="AN4429">
        <v>0.99999996188213702</v>
      </c>
    </row>
    <row r="4430" spans="1:40" x14ac:dyDescent="0.25">
      <c r="A4430" t="str">
        <f>"20190304154842169"</f>
        <v>20190304154842169</v>
      </c>
      <c r="B4430" t="str">
        <f>"1551685722161059"</f>
        <v>1551685722161059</v>
      </c>
      <c r="C4430" t="s">
        <v>40</v>
      </c>
      <c r="D4430">
        <v>4.3774439999999997</v>
      </c>
      <c r="E4430">
        <v>0.51878080000000004</v>
      </c>
      <c r="F4430" t="s">
        <v>71</v>
      </c>
      <c r="G4430">
        <v>-157.8382</v>
      </c>
      <c r="H4430">
        <v>1.537793</v>
      </c>
      <c r="I4430">
        <v>220.16730000000001</v>
      </c>
      <c r="J4430">
        <v>-314.97620000000001</v>
      </c>
      <c r="K4430">
        <v>1.109915</v>
      </c>
      <c r="L4430">
        <v>214.07089999999999</v>
      </c>
      <c r="M4430">
        <v>0.99992170000000002</v>
      </c>
      <c r="N4430">
        <v>-1.157966E-2</v>
      </c>
      <c r="O4430">
        <v>-4.7744040000000003E-3</v>
      </c>
      <c r="P4430">
        <v>0.98478180000000004</v>
      </c>
      <c r="Q4430">
        <v>0.15572279999999999</v>
      </c>
      <c r="R4430">
        <v>7.7172249999999998E-2</v>
      </c>
      <c r="S4430">
        <v>3.0358580000000002</v>
      </c>
      <c r="T4430">
        <v>8.2458259999999995E-3</v>
      </c>
      <c r="U4430">
        <v>0.1174316</v>
      </c>
      <c r="V4430">
        <v>-8.1806409999999996E-2</v>
      </c>
      <c r="W4430">
        <v>0.1671446</v>
      </c>
      <c r="X4430">
        <v>0.98253259999999998</v>
      </c>
      <c r="Y4430">
        <v>-4.3423379999999998E-2</v>
      </c>
      <c r="Z4430">
        <v>1.2433600000000001E-4</v>
      </c>
      <c r="AA4430">
        <v>0.99905679999999997</v>
      </c>
      <c r="AB4430">
        <v>39</v>
      </c>
      <c r="AC4430">
        <v>157.13800000000001</v>
      </c>
      <c r="AD4430">
        <v>0.42787799999999998</v>
      </c>
      <c r="AE4430">
        <v>6.0964000000000098</v>
      </c>
      <c r="AF4430">
        <v>-6.8465703111660297</v>
      </c>
      <c r="AG4430">
        <v>0.42787799999999998</v>
      </c>
      <c r="AH4430">
        <v>157.10593705151501</v>
      </c>
      <c r="AI4430">
        <v>89.844103302675805</v>
      </c>
      <c r="AJ4430">
        <v>92.495332381233993</v>
      </c>
      <c r="AK4430">
        <v>157.25563284487799</v>
      </c>
      <c r="AL4430">
        <v>80.378158225109402</v>
      </c>
      <c r="AM4430">
        <v>94.759512139135197</v>
      </c>
      <c r="AN4430">
        <v>0.99999995804450303</v>
      </c>
    </row>
    <row r="4431" spans="1:40" x14ac:dyDescent="0.25">
      <c r="A4431" t="str">
        <f>"20190304154842192"</f>
        <v>20190304154842192</v>
      </c>
      <c r="B4431" t="str">
        <f>"1551685722181556"</f>
        <v>1551685722181556</v>
      </c>
      <c r="C4431" t="s">
        <v>40</v>
      </c>
      <c r="D4431">
        <v>4.3383200000000004</v>
      </c>
      <c r="E4431">
        <v>0.52133309999999999</v>
      </c>
      <c r="F4431" t="s">
        <v>72</v>
      </c>
      <c r="G4431">
        <v>-107.39749999999999</v>
      </c>
      <c r="H4431">
        <v>1.2470399999999999</v>
      </c>
      <c r="I4431">
        <v>219.09870000000001</v>
      </c>
      <c r="J4431">
        <v>-314.58170000000001</v>
      </c>
      <c r="K4431">
        <v>1.1099190000000001</v>
      </c>
      <c r="L4431">
        <v>214.06890000000001</v>
      </c>
      <c r="M4431">
        <v>0.99992080000000005</v>
      </c>
      <c r="N4431">
        <v>-1.159E-2</v>
      </c>
      <c r="O4431">
        <v>-4.9055369999999997E-3</v>
      </c>
      <c r="P4431">
        <v>0.98479070000000002</v>
      </c>
      <c r="Q4431">
        <v>0.155972</v>
      </c>
      <c r="R4431">
        <v>7.655091E-2</v>
      </c>
      <c r="S4431">
        <v>3.0402830000000001</v>
      </c>
      <c r="T4431">
        <v>2.0091530000000001E-3</v>
      </c>
      <c r="U4431">
        <v>7.3638919999999997E-2</v>
      </c>
      <c r="V4431">
        <v>-8.1316009999999994E-2</v>
      </c>
      <c r="W4431">
        <v>0.16740269999999999</v>
      </c>
      <c r="X4431">
        <v>0.9825294</v>
      </c>
      <c r="Y4431">
        <v>-2.9117839999999999E-2</v>
      </c>
      <c r="Z4431" s="1">
        <v>9.9058899999999994E-5</v>
      </c>
      <c r="AA4431">
        <v>0.99957600000000002</v>
      </c>
      <c r="AB4431">
        <v>39</v>
      </c>
      <c r="AC4431">
        <v>207.1842</v>
      </c>
      <c r="AD4431">
        <v>0.13712099999999899</v>
      </c>
      <c r="AE4431">
        <v>5.0297999999999901</v>
      </c>
      <c r="AF4431">
        <v>-6.0461548540701902</v>
      </c>
      <c r="AG4431">
        <v>0.13712099999999899</v>
      </c>
      <c r="AH4431">
        <v>207.15694056644099</v>
      </c>
      <c r="AI4431">
        <v>89.962091015060096</v>
      </c>
      <c r="AJ4431">
        <v>91.671780051433601</v>
      </c>
      <c r="AK4431">
        <v>207.245199740635</v>
      </c>
      <c r="AL4431">
        <v>80.363159157680599</v>
      </c>
      <c r="AM4431">
        <v>94.731125818346698</v>
      </c>
      <c r="AN4431">
        <v>0.999999989656985</v>
      </c>
    </row>
    <row r="4432" spans="1:40" x14ac:dyDescent="0.25">
      <c r="A4432" t="str">
        <f>"20190304154842212"</f>
        <v>20190304154842212</v>
      </c>
      <c r="B4432" t="str">
        <f>"1551685722201076"</f>
        <v>1551685722201076</v>
      </c>
      <c r="C4432" t="s">
        <v>40</v>
      </c>
      <c r="D4432">
        <v>4.332916</v>
      </c>
      <c r="E4432">
        <v>0.52286440000000001</v>
      </c>
      <c r="F4432" t="s">
        <v>72</v>
      </c>
      <c r="G4432">
        <v>-107.39749999999999</v>
      </c>
      <c r="H4432">
        <v>0.82854619999999901</v>
      </c>
      <c r="I4432">
        <v>217.60220000000001</v>
      </c>
      <c r="J4432">
        <v>-314.21480000000003</v>
      </c>
      <c r="K4432">
        <v>1.1099239999999999</v>
      </c>
      <c r="L4432">
        <v>214.06700000000001</v>
      </c>
      <c r="M4432">
        <v>0.99992020000000004</v>
      </c>
      <c r="N4432">
        <v>-1.1598600000000001E-2</v>
      </c>
      <c r="O4432">
        <v>-5.0176630000000003E-3</v>
      </c>
      <c r="P4432">
        <v>0.98475800000000002</v>
      </c>
      <c r="Q4432">
        <v>0.1564091</v>
      </c>
      <c r="R4432">
        <v>7.6078590000000001E-2</v>
      </c>
      <c r="S4432">
        <v>3.0429379999999999</v>
      </c>
      <c r="T4432">
        <v>-4.1317940000000003E-3</v>
      </c>
      <c r="U4432">
        <v>5.1895139999999999E-2</v>
      </c>
      <c r="V4432">
        <v>-8.0956570000000005E-2</v>
      </c>
      <c r="W4432">
        <v>0.167846</v>
      </c>
      <c r="X4432">
        <v>0.98248340000000001</v>
      </c>
      <c r="Y4432">
        <v>-2.206841E-2</v>
      </c>
      <c r="Z4432" s="1">
        <v>9.159432E-5</v>
      </c>
      <c r="AA4432">
        <v>0.99975650000000005</v>
      </c>
      <c r="AB4432">
        <v>39</v>
      </c>
      <c r="AC4432">
        <v>206.81729999999999</v>
      </c>
      <c r="AD4432">
        <v>-0.28137779999999901</v>
      </c>
      <c r="AE4432">
        <v>3.5352000000000001</v>
      </c>
      <c r="AF4432">
        <v>-4.5729562946714104</v>
      </c>
      <c r="AG4432">
        <v>-0.28137779999999901</v>
      </c>
      <c r="AH4432">
        <v>206.796573817275</v>
      </c>
      <c r="AI4432">
        <v>90.077940411859899</v>
      </c>
      <c r="AJ4432">
        <v>91.266792750021906</v>
      </c>
      <c r="AK4432">
        <v>206.84732061427101</v>
      </c>
      <c r="AL4432">
        <v>80.337394907271005</v>
      </c>
      <c r="AM4432">
        <v>94.710526742528003</v>
      </c>
      <c r="AN4432">
        <v>0.99999993860886005</v>
      </c>
    </row>
    <row r="4433" spans="1:40" x14ac:dyDescent="0.25">
      <c r="A4433" t="str">
        <f>"20190304154842234"</f>
        <v>20190304154842234</v>
      </c>
      <c r="B4433" t="str">
        <f>"1551685722231331"</f>
        <v>1551685722231331</v>
      </c>
      <c r="C4433" t="s">
        <v>40</v>
      </c>
      <c r="D4433">
        <v>4.3611500000000003</v>
      </c>
      <c r="E4433">
        <v>0.52405170000000001</v>
      </c>
      <c r="F4433" t="s">
        <v>72</v>
      </c>
      <c r="G4433">
        <v>-107.39749999999999</v>
      </c>
      <c r="H4433">
        <v>0.45069779999999998</v>
      </c>
      <c r="I4433">
        <v>216.66210000000001</v>
      </c>
      <c r="J4433">
        <v>-313.8306</v>
      </c>
      <c r="K4433">
        <v>1.1099410000000001</v>
      </c>
      <c r="L4433">
        <v>214.065</v>
      </c>
      <c r="M4433">
        <v>0.99991960000000002</v>
      </c>
      <c r="N4433">
        <v>-1.1606719999999999E-2</v>
      </c>
      <c r="O4433">
        <v>-5.1219899999999999E-3</v>
      </c>
      <c r="P4433">
        <v>0.9848365</v>
      </c>
      <c r="Q4433">
        <v>0.1560425</v>
      </c>
      <c r="R4433">
        <v>7.5815599999999997E-2</v>
      </c>
      <c r="S4433">
        <v>3.0449830000000002</v>
      </c>
      <c r="T4433">
        <v>-9.7050669999999995E-3</v>
      </c>
      <c r="U4433">
        <v>3.8208010000000001E-2</v>
      </c>
      <c r="V4433">
        <v>-8.0800880000000005E-2</v>
      </c>
      <c r="W4433">
        <v>0.16748640000000001</v>
      </c>
      <c r="X4433">
        <v>0.98255769999999998</v>
      </c>
      <c r="Y4433">
        <v>-1.7668039999999999E-2</v>
      </c>
      <c r="Z4433" s="1">
        <v>8.7572629999999998E-5</v>
      </c>
      <c r="AA4433">
        <v>0.99984390000000001</v>
      </c>
      <c r="AB4433">
        <v>39</v>
      </c>
      <c r="AC4433">
        <v>206.4331</v>
      </c>
      <c r="AD4433">
        <v>-0.65924320000000003</v>
      </c>
      <c r="AE4433">
        <v>2.59710000000001</v>
      </c>
      <c r="AF4433">
        <v>-3.6544480831210802</v>
      </c>
      <c r="AG4433">
        <v>-0.65924320000000003</v>
      </c>
      <c r="AH4433">
        <v>206.41498376651001</v>
      </c>
      <c r="AI4433">
        <v>90.182960585866795</v>
      </c>
      <c r="AJ4433">
        <v>91.014279947505898</v>
      </c>
      <c r="AK4433">
        <v>206.44838365973601</v>
      </c>
      <c r="AL4433">
        <v>80.358295460879802</v>
      </c>
      <c r="AM4433">
        <v>94.701154506750399</v>
      </c>
      <c r="AN4433">
        <v>1.00000005511151</v>
      </c>
    </row>
    <row r="4434" spans="1:40" x14ac:dyDescent="0.25">
      <c r="A4434" t="str">
        <f>"20190304154842257"</f>
        <v>20190304154842257</v>
      </c>
      <c r="B4434" t="str">
        <f>"1551685722250844"</f>
        <v>1551685722250844</v>
      </c>
      <c r="C4434" t="s">
        <v>40</v>
      </c>
      <c r="D4434">
        <v>4.3629150000000001</v>
      </c>
      <c r="E4434">
        <v>0.52463680000000001</v>
      </c>
      <c r="F4434" t="s">
        <v>45</v>
      </c>
      <c r="G4434">
        <v>-114.04770000000001</v>
      </c>
      <c r="H4434">
        <v>-0.05</v>
      </c>
      <c r="I4434">
        <v>215.88990000000001</v>
      </c>
      <c r="J4434">
        <v>-313.42419999999998</v>
      </c>
      <c r="K4434">
        <v>1.1099479999999999</v>
      </c>
      <c r="L4434">
        <v>214.06280000000001</v>
      </c>
      <c r="M4434">
        <v>0.99991890000000005</v>
      </c>
      <c r="N4434">
        <v>-1.1614559999999999E-2</v>
      </c>
      <c r="O4434">
        <v>-5.2192580000000001E-3</v>
      </c>
      <c r="P4434">
        <v>0.98483549999999997</v>
      </c>
      <c r="Q4434">
        <v>0.15615299999999999</v>
      </c>
      <c r="R4434">
        <v>7.5601139999999997E-2</v>
      </c>
      <c r="S4434">
        <v>3.046875</v>
      </c>
      <c r="T4434">
        <v>-1.769018E-2</v>
      </c>
      <c r="U4434">
        <v>2.7832030000000001E-2</v>
      </c>
      <c r="V4434">
        <v>-8.0687289999999995E-2</v>
      </c>
      <c r="W4434">
        <v>0.16760249999999999</v>
      </c>
      <c r="X4434">
        <v>0.98254719999999995</v>
      </c>
      <c r="Y4434">
        <v>-1.435269E-2</v>
      </c>
      <c r="Z4434" s="1">
        <v>9.4703170000000003E-5</v>
      </c>
      <c r="AA4434">
        <v>0.99989700000000004</v>
      </c>
      <c r="AB4434">
        <v>39</v>
      </c>
      <c r="AC4434">
        <v>199.37649999999999</v>
      </c>
      <c r="AD4434">
        <v>-1.159948</v>
      </c>
      <c r="AE4434">
        <v>1.8270999999999999</v>
      </c>
      <c r="AF4434">
        <v>-2.8676456712196301</v>
      </c>
      <c r="AG4434">
        <v>-1.159948</v>
      </c>
      <c r="AH4434">
        <v>199.35750006670199</v>
      </c>
      <c r="AI4434">
        <v>90.333333335653904</v>
      </c>
      <c r="AJ4434">
        <v>90.824110772315294</v>
      </c>
      <c r="AK4434">
        <v>199.38149789763199</v>
      </c>
      <c r="AL4434">
        <v>80.351547686669804</v>
      </c>
      <c r="AM4434">
        <v>94.694625121006993</v>
      </c>
      <c r="AN4434">
        <v>1.00000001850081</v>
      </c>
    </row>
    <row r="4435" spans="1:40" x14ac:dyDescent="0.25">
      <c r="A4435" t="str">
        <f>"20190304154842272"</f>
        <v>20190304154842272</v>
      </c>
      <c r="B4435" t="str">
        <f>"1551685722261580"</f>
        <v>1551685722261580</v>
      </c>
      <c r="C4435" t="s">
        <v>40</v>
      </c>
      <c r="D4435">
        <v>4.3429080000000004</v>
      </c>
      <c r="E4435">
        <v>0.5248739</v>
      </c>
      <c r="F4435" t="s">
        <v>45</v>
      </c>
      <c r="G4435">
        <v>-144.52090000000001</v>
      </c>
      <c r="H4435">
        <v>-0.05</v>
      </c>
      <c r="I4435">
        <v>215.29400000000001</v>
      </c>
      <c r="J4435">
        <v>-313.17579999999998</v>
      </c>
      <c r="K4435">
        <v>1.1099619999999999</v>
      </c>
      <c r="L4435">
        <v>214.06139999999999</v>
      </c>
      <c r="M4435">
        <v>0.99991859999999999</v>
      </c>
      <c r="N4435">
        <v>-1.1618939999999999E-2</v>
      </c>
      <c r="O4435">
        <v>-5.2729369999999897E-3</v>
      </c>
      <c r="P4435">
        <v>0.98494300000000001</v>
      </c>
      <c r="Q4435">
        <v>0.15555279999999999</v>
      </c>
      <c r="R4435">
        <v>7.5437009999999999E-2</v>
      </c>
      <c r="S4435">
        <v>3.0478209999999999</v>
      </c>
      <c r="T4435">
        <v>-2.093101E-2</v>
      </c>
      <c r="U4435">
        <v>2.2216799999999998E-2</v>
      </c>
      <c r="V4435">
        <v>-8.0579380000000006E-2</v>
      </c>
      <c r="W4435">
        <v>0.16700589999999901</v>
      </c>
      <c r="X4435">
        <v>0.98265760000000002</v>
      </c>
      <c r="Y4435">
        <v>-1.25614E-2</v>
      </c>
      <c r="Z4435" s="1">
        <v>9.1056269999999995E-5</v>
      </c>
      <c r="AA4435">
        <v>0.99992110000000001</v>
      </c>
      <c r="AB4435">
        <v>39</v>
      </c>
      <c r="AC4435">
        <v>168.654899999999</v>
      </c>
      <c r="AD4435">
        <v>-1.1599619999999999</v>
      </c>
      <c r="AE4435">
        <v>1.2326000000000099</v>
      </c>
      <c r="AF4435">
        <v>-2.1218491894173401</v>
      </c>
      <c r="AG4435">
        <v>-1.1599619999999999</v>
      </c>
      <c r="AH4435">
        <v>168.638078499557</v>
      </c>
      <c r="AI4435">
        <v>90.394066509275802</v>
      </c>
      <c r="AJ4435">
        <v>90.720872708357206</v>
      </c>
      <c r="AK4435">
        <v>168.655415791628</v>
      </c>
      <c r="AL4435">
        <v>80.386218685290501</v>
      </c>
      <c r="AM4435">
        <v>94.687850221868004</v>
      </c>
      <c r="AN4435">
        <v>0.99999998297687698</v>
      </c>
    </row>
    <row r="4436" spans="1:40" x14ac:dyDescent="0.25">
      <c r="A4436" t="str">
        <f>"20190304154842290"</f>
        <v>20190304154842290</v>
      </c>
      <c r="B4436" t="str">
        <f>"1551685722281100"</f>
        <v>1551685722281100</v>
      </c>
      <c r="C4436" t="s">
        <v>40</v>
      </c>
      <c r="D4436">
        <v>4.3998949999999999</v>
      </c>
      <c r="E4436">
        <v>0.5251749</v>
      </c>
      <c r="F4436" t="s">
        <v>54</v>
      </c>
      <c r="G4436">
        <v>-179.95070000000001</v>
      </c>
      <c r="H4436">
        <v>5.7011340000000001E-2</v>
      </c>
      <c r="I4436">
        <v>214.93510000000001</v>
      </c>
      <c r="J4436">
        <v>-312.82499999999999</v>
      </c>
      <c r="K4436">
        <v>1.109977</v>
      </c>
      <c r="L4436">
        <v>214.05950000000001</v>
      </c>
      <c r="M4436">
        <v>0.99991819999999998</v>
      </c>
      <c r="N4436">
        <v>-1.1624570000000001E-2</v>
      </c>
      <c r="O4436">
        <v>-5.3362189999999997E-3</v>
      </c>
      <c r="P4436">
        <v>0.98489119999999997</v>
      </c>
      <c r="Q4436">
        <v>0.15594620000000001</v>
      </c>
      <c r="R4436">
        <v>7.5302049999999995E-2</v>
      </c>
      <c r="S4436">
        <v>3.0480960000000001</v>
      </c>
      <c r="T4436">
        <v>-2.4090770000000001E-2</v>
      </c>
      <c r="U4436">
        <v>1.9989010000000001E-2</v>
      </c>
      <c r="V4436">
        <v>-8.0511089999999993E-2</v>
      </c>
      <c r="W4436">
        <v>0.16740179999999999</v>
      </c>
      <c r="X4436">
        <v>0.98259589999999997</v>
      </c>
      <c r="Y4436">
        <v>-1.189315E-2</v>
      </c>
      <c r="Z4436" s="1">
        <v>9.6270779999999999E-5</v>
      </c>
      <c r="AA4436">
        <v>0.99992919999999996</v>
      </c>
      <c r="AB4436">
        <v>39</v>
      </c>
      <c r="AC4436">
        <v>132.87429999999901</v>
      </c>
      <c r="AD4436">
        <v>-1.0529656599999999</v>
      </c>
      <c r="AE4436">
        <v>0.87559999999999105</v>
      </c>
      <c r="AF4436">
        <v>-1.5845822989648199</v>
      </c>
      <c r="AG4436">
        <v>-1.0529656599999999</v>
      </c>
      <c r="AH4436">
        <v>132.85939225466299</v>
      </c>
      <c r="AI4436">
        <v>90.454050962774701</v>
      </c>
      <c r="AJ4436">
        <v>90.683320704441698</v>
      </c>
      <c r="AK4436">
        <v>132.87301361834801</v>
      </c>
      <c r="AL4436">
        <v>80.363212053660305</v>
      </c>
      <c r="AM4436">
        <v>94.684187819061606</v>
      </c>
      <c r="AN4436">
        <v>1.0000000504765101</v>
      </c>
    </row>
    <row r="4437" spans="1:40" x14ac:dyDescent="0.25">
      <c r="A4437" t="str">
        <f>"20190304154842313"</f>
        <v>20190304154842313</v>
      </c>
      <c r="B4437" t="str">
        <f>"1551685722301597"</f>
        <v>1551685722301597</v>
      </c>
      <c r="C4437" t="s">
        <v>40</v>
      </c>
      <c r="D4437">
        <v>4.3818699999999904</v>
      </c>
      <c r="E4437">
        <v>0.52549169999999901</v>
      </c>
      <c r="F4437" t="s">
        <v>54</v>
      </c>
      <c r="G4437">
        <v>-182.1345</v>
      </c>
      <c r="H4437" s="1">
        <v>2.5693460000000001E-6</v>
      </c>
      <c r="I4437">
        <v>214.78819999999999</v>
      </c>
      <c r="J4437">
        <v>-312.45569999999998</v>
      </c>
      <c r="K4437">
        <v>1.1099939999999999</v>
      </c>
      <c r="L4437">
        <v>214.0575</v>
      </c>
      <c r="M4437">
        <v>0.99991790000000003</v>
      </c>
      <c r="N4437">
        <v>-1.162995E-2</v>
      </c>
      <c r="O4437">
        <v>-5.3862399999999996E-3</v>
      </c>
      <c r="P4437">
        <v>0.98487060000000004</v>
      </c>
      <c r="Q4437">
        <v>0.156004799999999</v>
      </c>
      <c r="R4437">
        <v>7.5447669999999994E-2</v>
      </c>
      <c r="S4437">
        <v>3.0488279999999999</v>
      </c>
      <c r="T4437">
        <v>-2.5894170000000001E-2</v>
      </c>
      <c r="U4437">
        <v>1.6998289999999999E-2</v>
      </c>
      <c r="V4437">
        <v>-8.0710770000000001E-2</v>
      </c>
      <c r="W4437">
        <v>0.16746329999999901</v>
      </c>
      <c r="X4437">
        <v>0.98256900000000003</v>
      </c>
      <c r="Y4437">
        <v>-1.096074E-2</v>
      </c>
      <c r="Z4437" s="1">
        <v>9.3387510000000001E-5</v>
      </c>
      <c r="AA4437">
        <v>0.99993989999999999</v>
      </c>
      <c r="AB4437">
        <v>39</v>
      </c>
      <c r="AC4437">
        <v>130.32119999999901</v>
      </c>
      <c r="AD4437">
        <v>-1.109991430654</v>
      </c>
      <c r="AE4437">
        <v>0.73069999999998403</v>
      </c>
      <c r="AF4437">
        <v>-1.4325741857900101</v>
      </c>
      <c r="AG4437">
        <v>-1.109991430654</v>
      </c>
      <c r="AH4437">
        <v>130.30592054580799</v>
      </c>
      <c r="AI4437">
        <v>90.488024204954897</v>
      </c>
      <c r="AJ4437">
        <v>90.629880420286398</v>
      </c>
      <c r="AK4437">
        <v>130.31852239441801</v>
      </c>
      <c r="AL4437">
        <v>80.359637539517394</v>
      </c>
      <c r="AM4437">
        <v>94.695881425276895</v>
      </c>
      <c r="AN4437">
        <v>1.0000000125009401</v>
      </c>
    </row>
    <row r="4438" spans="1:40" x14ac:dyDescent="0.25">
      <c r="A4438" t="str">
        <f>"20190304154842335"</f>
        <v>20190304154842335</v>
      </c>
      <c r="B4438" t="str">
        <f>"1551685722330877"</f>
        <v>1551685722330877</v>
      </c>
      <c r="C4438" t="s">
        <v>40</v>
      </c>
      <c r="D4438">
        <v>4.3688359999999999</v>
      </c>
      <c r="E4438">
        <v>0.52604439999999997</v>
      </c>
      <c r="F4438" t="s">
        <v>54</v>
      </c>
      <c r="G4438">
        <v>-187.30070000000001</v>
      </c>
      <c r="H4438" s="1">
        <v>3.4966250000000002E-6</v>
      </c>
      <c r="I4438">
        <v>214.66380000000001</v>
      </c>
      <c r="J4438">
        <v>-312.06900000000002</v>
      </c>
      <c r="K4438">
        <v>1.1100080000000001</v>
      </c>
      <c r="L4438">
        <v>214.05539999999999</v>
      </c>
      <c r="M4438">
        <v>0.99991770000000002</v>
      </c>
      <c r="N4438">
        <v>-1.1635049999999999E-2</v>
      </c>
      <c r="O4438">
        <v>-5.4221709999999999E-3</v>
      </c>
      <c r="P4438">
        <v>0.98489420000000005</v>
      </c>
      <c r="Q4438">
        <v>0.15597639999999999</v>
      </c>
      <c r="R4438">
        <v>7.5199429999999998E-2</v>
      </c>
      <c r="S4438">
        <v>3.0492249999999999</v>
      </c>
      <c r="T4438">
        <v>-2.7043339999999999E-2</v>
      </c>
      <c r="U4438">
        <v>1.4770510000000001E-2</v>
      </c>
      <c r="V4438">
        <v>-8.0504519999999996E-2</v>
      </c>
      <c r="W4438">
        <v>0.167437</v>
      </c>
      <c r="X4438">
        <v>0.98259039999999997</v>
      </c>
      <c r="Y4438">
        <v>-1.0265410000000001E-2</v>
      </c>
      <c r="Z4438" s="1">
        <v>9.0242979999999995E-5</v>
      </c>
      <c r="AA4438">
        <v>0.99994729999999998</v>
      </c>
      <c r="AB4438">
        <v>39</v>
      </c>
      <c r="AC4438">
        <v>124.7683</v>
      </c>
      <c r="AD4438">
        <v>-1.1100045033749999</v>
      </c>
      <c r="AE4438">
        <v>0.60840000000001704</v>
      </c>
      <c r="AF4438">
        <v>-1.2848501568867501</v>
      </c>
      <c r="AG4438">
        <v>-1.1100045033749999</v>
      </c>
      <c r="AH4438">
        <v>124.75329281445499</v>
      </c>
      <c r="AI4438">
        <v>90.509754260920403</v>
      </c>
      <c r="AJ4438">
        <v>90.590075715978202</v>
      </c>
      <c r="AK4438">
        <v>124.764846883937</v>
      </c>
      <c r="AL4438">
        <v>80.361165979475999</v>
      </c>
      <c r="AM4438">
        <v>94.683833373654295</v>
      </c>
      <c r="AN4438">
        <v>1.00000001044079</v>
      </c>
    </row>
    <row r="4439" spans="1:40" x14ac:dyDescent="0.25">
      <c r="A4439" t="str">
        <f>"20190304154842368"</f>
        <v>20190304154842368</v>
      </c>
      <c r="B4439" t="str">
        <f>"1551685722361643"</f>
        <v>1551685722361643</v>
      </c>
      <c r="C4439" t="s">
        <v>40</v>
      </c>
      <c r="D4439">
        <v>4.3838520000000001</v>
      </c>
      <c r="E4439">
        <v>0.52628839999999999</v>
      </c>
      <c r="F4439" t="s">
        <v>54</v>
      </c>
      <c r="G4439">
        <v>-189.8964</v>
      </c>
      <c r="H4439" s="1">
        <v>3.9771100000000003E-6</v>
      </c>
      <c r="I4439">
        <v>214.43440000000001</v>
      </c>
      <c r="J4439">
        <v>-311.4717</v>
      </c>
      <c r="K4439">
        <v>1.1100289999999999</v>
      </c>
      <c r="L4439">
        <v>214.0521</v>
      </c>
      <c r="M4439">
        <v>0.99991759999999996</v>
      </c>
      <c r="N4439">
        <v>-1.1642100000000001E-2</v>
      </c>
      <c r="O4439">
        <v>-5.4543279999999996E-3</v>
      </c>
      <c r="P4439">
        <v>0.98488149999999997</v>
      </c>
      <c r="Q4439">
        <v>0.1559672</v>
      </c>
      <c r="R4439">
        <v>7.5385569999999999E-2</v>
      </c>
      <c r="S4439">
        <v>3.0497130000000001</v>
      </c>
      <c r="T4439">
        <v>-2.770829E-2</v>
      </c>
      <c r="U4439">
        <v>9.4604489999999992E-3</v>
      </c>
      <c r="V4439">
        <v>-8.0731380000000005E-2</v>
      </c>
      <c r="W4439">
        <v>0.16743</v>
      </c>
      <c r="X4439">
        <v>0.98257300000000003</v>
      </c>
      <c r="Y4439">
        <v>-8.5558660000000005E-3</v>
      </c>
      <c r="Z4439" s="1">
        <v>7.4726709999999998E-5</v>
      </c>
      <c r="AA4439">
        <v>0.99996339999999995</v>
      </c>
      <c r="AB4439">
        <v>39</v>
      </c>
      <c r="AC4439">
        <v>121.5753</v>
      </c>
      <c r="AD4439">
        <v>-1.1100250228899999</v>
      </c>
      <c r="AE4439">
        <v>0.38230000000001402</v>
      </c>
      <c r="AF4439">
        <v>-1.04536351034982</v>
      </c>
      <c r="AG4439">
        <v>-1.1100250228899999</v>
      </c>
      <c r="AH4439">
        <v>121.561272350698</v>
      </c>
      <c r="AI4439">
        <v>90.523156995765703</v>
      </c>
      <c r="AJ4439">
        <v>90.492701661287001</v>
      </c>
      <c r="AK4439">
        <v>121.57083480811001</v>
      </c>
      <c r="AL4439">
        <v>80.361572987679693</v>
      </c>
      <c r="AM4439">
        <v>94.697056147325</v>
      </c>
      <c r="AN4439">
        <v>1.00000003047285</v>
      </c>
    </row>
    <row r="4440" spans="1:40" x14ac:dyDescent="0.25">
      <c r="A4440" t="str">
        <f>"20190304154842390"</f>
        <v>20190304154842390</v>
      </c>
      <c r="B4440" t="str">
        <f>"1551685722381163"</f>
        <v>1551685722381163</v>
      </c>
      <c r="C4440" t="s">
        <v>40</v>
      </c>
      <c r="D4440">
        <v>4.3792629999999999</v>
      </c>
      <c r="E4440">
        <v>0.52634419999999904</v>
      </c>
      <c r="F4440" t="s">
        <v>54</v>
      </c>
      <c r="G4440">
        <v>-192.30459999999999</v>
      </c>
      <c r="H4440" s="1">
        <v>3.5784849999999999E-6</v>
      </c>
      <c r="I4440">
        <v>214.35679999999999</v>
      </c>
      <c r="J4440">
        <v>-311.0881</v>
      </c>
      <c r="K4440">
        <v>1.1100410000000001</v>
      </c>
      <c r="L4440">
        <v>214.05</v>
      </c>
      <c r="M4440">
        <v>0.99991719999999895</v>
      </c>
      <c r="N4440">
        <v>-1.1646170000000001E-2</v>
      </c>
      <c r="O4440">
        <v>-5.4640940000000001E-3</v>
      </c>
      <c r="P4440">
        <v>0.98478060000000001</v>
      </c>
      <c r="Q4440">
        <v>0.1565541</v>
      </c>
      <c r="R4440">
        <v>7.5486189999999995E-2</v>
      </c>
      <c r="S4440">
        <v>3.049957</v>
      </c>
      <c r="T4440">
        <v>-2.8409960000000001E-2</v>
      </c>
      <c r="U4440">
        <v>7.7972409999999999E-3</v>
      </c>
      <c r="V4440">
        <v>-8.0845009999999995E-2</v>
      </c>
      <c r="W4440">
        <v>0.16801759999999999</v>
      </c>
      <c r="X4440">
        <v>0.98246330000000004</v>
      </c>
      <c r="Y4440">
        <v>-8.0201130000000006E-3</v>
      </c>
      <c r="Z4440" s="1">
        <v>7.1315780000000005E-5</v>
      </c>
      <c r="AA4440">
        <v>0.99996779999999996</v>
      </c>
      <c r="AB4440">
        <v>39</v>
      </c>
      <c r="AC4440">
        <v>118.7835</v>
      </c>
      <c r="AD4440">
        <v>-1.110037421515</v>
      </c>
      <c r="AE4440">
        <v>0.30679999999998098</v>
      </c>
      <c r="AF4440">
        <v>-0.95580021372852397</v>
      </c>
      <c r="AG4440">
        <v>-1.110037421515</v>
      </c>
      <c r="AH4440">
        <v>118.76967795303</v>
      </c>
      <c r="AI4440">
        <v>90.535461150767603</v>
      </c>
      <c r="AJ4440">
        <v>90.461078425843695</v>
      </c>
      <c r="AK4440">
        <v>118.778710795295</v>
      </c>
      <c r="AL4440">
        <v>80.327421742578096</v>
      </c>
      <c r="AM4440">
        <v>94.704160487369904</v>
      </c>
      <c r="AN4440">
        <v>0.99999998269927504</v>
      </c>
    </row>
    <row r="4441" spans="1:40" x14ac:dyDescent="0.25">
      <c r="A4441" t="str">
        <f>"20190304154842413"</f>
        <v>20190304154842413</v>
      </c>
      <c r="B4441" t="str">
        <f>"1551685722400684"</f>
        <v>1551685722400684</v>
      </c>
      <c r="C4441" t="s">
        <v>40</v>
      </c>
      <c r="D4441">
        <v>4.359712</v>
      </c>
      <c r="E4441">
        <v>0.52636890000000003</v>
      </c>
      <c r="F4441" t="s">
        <v>54</v>
      </c>
      <c r="G4441">
        <v>-188.96860000000001</v>
      </c>
      <c r="H4441" s="1">
        <v>3.8188450000000004E-6</v>
      </c>
      <c r="I4441">
        <v>214.3622</v>
      </c>
      <c r="J4441">
        <v>-310.69549999999998</v>
      </c>
      <c r="K4441">
        <v>1.110052</v>
      </c>
      <c r="L4441">
        <v>214.0479</v>
      </c>
      <c r="M4441">
        <v>0.99991730000000001</v>
      </c>
      <c r="N4441">
        <v>-1.1649959999999999E-2</v>
      </c>
      <c r="O4441">
        <v>-5.4686489999999999E-3</v>
      </c>
      <c r="P4441">
        <v>0.98474099999999998</v>
      </c>
      <c r="Q4441">
        <v>0.15669050000000001</v>
      </c>
      <c r="R4441">
        <v>7.5718980000000005E-2</v>
      </c>
      <c r="S4441">
        <v>3.0501710000000002</v>
      </c>
      <c r="T4441">
        <v>-2.7725340000000001E-2</v>
      </c>
      <c r="U4441">
        <v>7.7972409999999999E-3</v>
      </c>
      <c r="V4441">
        <v>-8.1085260000000006E-2</v>
      </c>
      <c r="W4441">
        <v>0.16815569999999999</v>
      </c>
      <c r="X4441">
        <v>0.98241990000000001</v>
      </c>
      <c r="Y4441">
        <v>-8.0245109999999998E-3</v>
      </c>
      <c r="Z4441" s="1">
        <v>6.9211569999999998E-5</v>
      </c>
      <c r="AA4441">
        <v>0.99996779999999996</v>
      </c>
      <c r="AB4441">
        <v>39</v>
      </c>
      <c r="AC4441">
        <v>121.72689999999901</v>
      </c>
      <c r="AD4441">
        <v>-1.110048181155</v>
      </c>
      <c r="AE4441">
        <v>0.31430000000000202</v>
      </c>
      <c r="AF4441">
        <v>-0.97994059916588305</v>
      </c>
      <c r="AG4441">
        <v>-1.110048181155</v>
      </c>
      <c r="AH4441">
        <v>121.713239123626</v>
      </c>
      <c r="AI4441">
        <v>90.522517121975</v>
      </c>
      <c r="AJ4441">
        <v>90.461291210207506</v>
      </c>
      <c r="AK4441">
        <v>121.722245577821</v>
      </c>
      <c r="AL4441">
        <v>80.319395253190905</v>
      </c>
      <c r="AM4441">
        <v>94.718284479645305</v>
      </c>
      <c r="AN4441">
        <v>1.0000000093738799</v>
      </c>
    </row>
    <row r="4442" spans="1:40" x14ac:dyDescent="0.25">
      <c r="A4442" t="str">
        <f>"20190304154842434"</f>
        <v>20190304154842434</v>
      </c>
      <c r="B4442" t="str">
        <f>"1551685722430940"</f>
        <v>1551685722430940</v>
      </c>
      <c r="C4442" t="s">
        <v>40</v>
      </c>
      <c r="D4442">
        <v>4.4056449999999998</v>
      </c>
      <c r="E4442">
        <v>0.52636300000000003</v>
      </c>
      <c r="F4442" t="s">
        <v>54</v>
      </c>
      <c r="G4442">
        <v>-190.33430000000001</v>
      </c>
      <c r="H4442" s="1">
        <v>3.9275260000000004E-6</v>
      </c>
      <c r="I4442">
        <v>214.3621</v>
      </c>
      <c r="J4442">
        <v>-310.3075</v>
      </c>
      <c r="K4442">
        <v>1.1100620000000001</v>
      </c>
      <c r="L4442">
        <v>214.04570000000001</v>
      </c>
      <c r="M4442">
        <v>0.9999171</v>
      </c>
      <c r="N4442">
        <v>-1.165337E-2</v>
      </c>
      <c r="O4442">
        <v>-5.4691840000000002E-3</v>
      </c>
      <c r="P4442">
        <v>0.98467340000000003</v>
      </c>
      <c r="Q4442">
        <v>0.15723299999999901</v>
      </c>
      <c r="R4442">
        <v>7.5473180000000001E-2</v>
      </c>
      <c r="S4442">
        <v>3.050354</v>
      </c>
      <c r="T4442">
        <v>-2.8132319999999999E-2</v>
      </c>
      <c r="U4442">
        <v>7.9650880000000004E-3</v>
      </c>
      <c r="V4442">
        <v>-8.0842490000000003E-2</v>
      </c>
      <c r="W4442">
        <v>0.16869960000000001</v>
      </c>
      <c r="X4442">
        <v>0.98234670000000002</v>
      </c>
      <c r="Y4442">
        <v>-8.0798980000000003E-3</v>
      </c>
      <c r="Z4442" s="1">
        <v>7.1043190000000004E-5</v>
      </c>
      <c r="AA4442">
        <v>0.9999673</v>
      </c>
      <c r="AB4442">
        <v>39</v>
      </c>
      <c r="AC4442">
        <v>119.97320000000001</v>
      </c>
      <c r="AD4442">
        <v>-1.1100580724739999</v>
      </c>
      <c r="AE4442">
        <v>0.31639999999998702</v>
      </c>
      <c r="AF4442">
        <v>-0.97251210136507005</v>
      </c>
      <c r="AG4442">
        <v>-1.1100580724739999</v>
      </c>
      <c r="AH4442">
        <v>119.95940524193099</v>
      </c>
      <c r="AI4442">
        <v>90.530160493540393</v>
      </c>
      <c r="AJ4442">
        <v>90.464487283381004</v>
      </c>
      <c r="AK4442">
        <v>119.968483005786</v>
      </c>
      <c r="AL4442">
        <v>80.287780839138705</v>
      </c>
      <c r="AM4442">
        <v>94.704570351815505</v>
      </c>
      <c r="AN4442">
        <v>1.0000000511152201</v>
      </c>
    </row>
    <row r="4443" spans="1:40" x14ac:dyDescent="0.25">
      <c r="A4443" t="str">
        <f>"20190304154842459"</f>
        <v>20190304154842459</v>
      </c>
      <c r="B4443" t="str">
        <f>"1551685722451436"</f>
        <v>1551685722451436</v>
      </c>
      <c r="C4443" t="s">
        <v>40</v>
      </c>
      <c r="D4443">
        <v>4.3662519999999896</v>
      </c>
      <c r="E4443">
        <v>0.52632709999999905</v>
      </c>
      <c r="F4443" t="s">
        <v>54</v>
      </c>
      <c r="G4443">
        <v>-190.1395</v>
      </c>
      <c r="H4443" s="1">
        <v>3.9642509999999996E-6</v>
      </c>
      <c r="I4443">
        <v>214.3372</v>
      </c>
      <c r="J4443">
        <v>-309.89179999999999</v>
      </c>
      <c r="K4443">
        <v>1.1100680000000001</v>
      </c>
      <c r="L4443">
        <v>214.04349999999999</v>
      </c>
      <c r="M4443">
        <v>0.9999171</v>
      </c>
      <c r="N4443">
        <v>-1.1656730000000001E-2</v>
      </c>
      <c r="O4443">
        <v>-5.4680619999999897E-3</v>
      </c>
      <c r="P4443">
        <v>0.98458250000000003</v>
      </c>
      <c r="Q4443">
        <v>0.15772359999999999</v>
      </c>
      <c r="R4443">
        <v>7.563491E-2</v>
      </c>
      <c r="S4443">
        <v>3.0506289999999998</v>
      </c>
      <c r="T4443">
        <v>-2.8180360000000002E-2</v>
      </c>
      <c r="U4443">
        <v>7.4005130000000001E-3</v>
      </c>
      <c r="V4443">
        <v>-8.1003710000000007E-2</v>
      </c>
      <c r="W4443">
        <v>0.1691917</v>
      </c>
      <c r="X4443">
        <v>0.98224869999999997</v>
      </c>
      <c r="Y4443">
        <v>-7.8934939999999992E-3</v>
      </c>
      <c r="Z4443" s="1">
        <v>6.9235480000000003E-5</v>
      </c>
      <c r="AA4443">
        <v>0.99996879999999999</v>
      </c>
      <c r="AB4443">
        <v>39</v>
      </c>
      <c r="AC4443">
        <v>119.75230000000001</v>
      </c>
      <c r="AD4443">
        <v>-1.1100640357489999</v>
      </c>
      <c r="AE4443">
        <v>0.29370000000000102</v>
      </c>
      <c r="AF4443">
        <v>-0.94847160798427199</v>
      </c>
      <c r="AG4443">
        <v>-1.1100640357489999</v>
      </c>
      <c r="AH4443">
        <v>119.738614698313</v>
      </c>
      <c r="AI4443">
        <v>90.531141664523204</v>
      </c>
      <c r="AJ4443">
        <v>90.453840924330905</v>
      </c>
      <c r="AK4443">
        <v>119.747516426963</v>
      </c>
      <c r="AL4443">
        <v>80.2591735871558</v>
      </c>
      <c r="AM4443">
        <v>94.714378386963105</v>
      </c>
      <c r="AN4443">
        <v>0.99999997051717104</v>
      </c>
    </row>
    <row r="4444" spans="1:40" x14ac:dyDescent="0.25">
      <c r="A4444" t="str">
        <f>"20190304154842481"</f>
        <v>20190304154842481</v>
      </c>
      <c r="B4444" t="str">
        <f>"1551685722470955"</f>
        <v>1551685722470955</v>
      </c>
      <c r="C4444" t="s">
        <v>40</v>
      </c>
      <c r="D4444">
        <v>4.3574070000000003</v>
      </c>
      <c r="E4444">
        <v>0.52631559999999999</v>
      </c>
      <c r="F4444" t="s">
        <v>54</v>
      </c>
      <c r="G4444">
        <v>-186.22540000000001</v>
      </c>
      <c r="H4444" s="1">
        <v>3.3315569999999999E-6</v>
      </c>
      <c r="I4444">
        <v>214.37</v>
      </c>
      <c r="J4444">
        <v>-309.49209999999999</v>
      </c>
      <c r="K4444">
        <v>1.1100699999999999</v>
      </c>
      <c r="L4444">
        <v>214.04130000000001</v>
      </c>
      <c r="M4444">
        <v>0.9999171</v>
      </c>
      <c r="N4444">
        <v>-1.165974E-2</v>
      </c>
      <c r="O4444">
        <v>-5.4668319999999996E-3</v>
      </c>
      <c r="P4444">
        <v>0.98447450000000003</v>
      </c>
      <c r="Q4444">
        <v>0.1583503</v>
      </c>
      <c r="R4444">
        <v>7.5732540000000001E-2</v>
      </c>
      <c r="S4444">
        <v>3.050751</v>
      </c>
      <c r="T4444">
        <v>-2.73844E-2</v>
      </c>
      <c r="U4444">
        <v>8.0566409999999998E-3</v>
      </c>
      <c r="V4444">
        <v>-8.1101610000000005E-2</v>
      </c>
      <c r="W4444">
        <v>0.16981949999999901</v>
      </c>
      <c r="X4444">
        <v>0.98213229999999996</v>
      </c>
      <c r="Y4444">
        <v>-8.1072379999999993E-3</v>
      </c>
      <c r="Z4444" s="1">
        <v>6.8979910000000001E-5</v>
      </c>
      <c r="AA4444">
        <v>0.99996719999999895</v>
      </c>
      <c r="AB4444">
        <v>39</v>
      </c>
      <c r="AC4444">
        <v>123.2667</v>
      </c>
      <c r="AD4444">
        <v>-1.1100666684430001</v>
      </c>
      <c r="AE4444">
        <v>0.32869999999999699</v>
      </c>
      <c r="AF4444">
        <v>-1.00253792202631</v>
      </c>
      <c r="AG4444">
        <v>-1.1100666684430001</v>
      </c>
      <c r="AH4444">
        <v>123.253065252105</v>
      </c>
      <c r="AI4444">
        <v>90.515997809844507</v>
      </c>
      <c r="AJ4444">
        <v>90.466032425772596</v>
      </c>
      <c r="AK4444">
        <v>123.26214108286899</v>
      </c>
      <c r="AL4444">
        <v>80.222675368056301</v>
      </c>
      <c r="AM4444">
        <v>94.720607274654697</v>
      </c>
      <c r="AN4444">
        <v>0.99999999421406605</v>
      </c>
    </row>
    <row r="4445" spans="1:40" x14ac:dyDescent="0.25">
      <c r="A4445" t="str">
        <f>"20190304154842503"</f>
        <v>20190304154842503</v>
      </c>
      <c r="B4445" t="str">
        <f>"1551685722491452"</f>
        <v>1551685722491452</v>
      </c>
      <c r="C4445" t="s">
        <v>40</v>
      </c>
      <c r="D4445">
        <v>4.443479</v>
      </c>
      <c r="E4445">
        <v>0.52642979999999995</v>
      </c>
      <c r="F4445" t="s">
        <v>54</v>
      </c>
      <c r="G4445">
        <v>-179.95769999999999</v>
      </c>
      <c r="H4445">
        <v>2.0979050000000002E-3</v>
      </c>
      <c r="I4445">
        <v>214.38720000000001</v>
      </c>
      <c r="J4445">
        <v>-309.10899999999998</v>
      </c>
      <c r="K4445">
        <v>1.1100719999999999</v>
      </c>
      <c r="L4445">
        <v>214.03919999999999</v>
      </c>
      <c r="M4445">
        <v>0.9999171</v>
      </c>
      <c r="N4445">
        <v>-1.166436E-2</v>
      </c>
      <c r="O4445">
        <v>-5.4662180000000001E-3</v>
      </c>
      <c r="P4445">
        <v>0.98439529999999997</v>
      </c>
      <c r="Q4445">
        <v>0.15879889999999999</v>
      </c>
      <c r="R4445">
        <v>7.5821689999999997E-2</v>
      </c>
      <c r="S4445">
        <v>3.0508730000000002</v>
      </c>
      <c r="T4445">
        <v>-2.6095630000000002E-2</v>
      </c>
      <c r="U4445">
        <v>8.1481929999999998E-3</v>
      </c>
      <c r="V4445">
        <v>-8.1190739999999997E-2</v>
      </c>
      <c r="W4445">
        <v>0.17027059999999999</v>
      </c>
      <c r="X4445">
        <v>0.9820468</v>
      </c>
      <c r="Y4445">
        <v>-8.1365650000000001E-3</v>
      </c>
      <c r="Z4445" s="1">
        <v>6.5246730000000002E-5</v>
      </c>
      <c r="AA4445">
        <v>0.99996689999999999</v>
      </c>
      <c r="AB4445">
        <v>39</v>
      </c>
      <c r="AC4445">
        <v>129.15129999999999</v>
      </c>
      <c r="AD4445">
        <v>-1.1079740950000001</v>
      </c>
      <c r="AE4445">
        <v>0.34800000000001302</v>
      </c>
      <c r="AF4445">
        <v>-1.0539343751703201</v>
      </c>
      <c r="AG4445">
        <v>-1.1079740950000001</v>
      </c>
      <c r="AH4445">
        <v>129.13796372813499</v>
      </c>
      <c r="AI4445">
        <v>90.491556209175499</v>
      </c>
      <c r="AJ4445">
        <v>90.467597979581399</v>
      </c>
      <c r="AK4445">
        <v>129.147017232732</v>
      </c>
      <c r="AL4445">
        <v>80.196446978101505</v>
      </c>
      <c r="AM4445">
        <v>94.726181275429397</v>
      </c>
      <c r="AN4445">
        <v>0.99999996543817304</v>
      </c>
    </row>
    <row r="4446" spans="1:40" x14ac:dyDescent="0.25">
      <c r="A4446" t="str">
        <f>"20190304154842524"</f>
        <v>20190304154842524</v>
      </c>
      <c r="B4446" t="str">
        <f>"1551685722520732"</f>
        <v>1551685722520732</v>
      </c>
      <c r="C4446" t="s">
        <v>40</v>
      </c>
      <c r="D4446">
        <v>4.373926</v>
      </c>
      <c r="E4446">
        <v>0.52681730000000004</v>
      </c>
      <c r="F4446" t="s">
        <v>54</v>
      </c>
      <c r="G4446">
        <v>-179.93549999999999</v>
      </c>
      <c r="H4446">
        <v>7.2235919999999995E-2</v>
      </c>
      <c r="I4446">
        <v>214.33760000000001</v>
      </c>
      <c r="J4446">
        <v>-308.7321</v>
      </c>
      <c r="K4446">
        <v>1.1100760000000001</v>
      </c>
      <c r="L4446">
        <v>214.03710000000001</v>
      </c>
      <c r="M4446">
        <v>0.9999171</v>
      </c>
      <c r="N4446">
        <v>-1.167255E-2</v>
      </c>
      <c r="O4446">
        <v>-5.4662280000000001E-3</v>
      </c>
      <c r="P4446">
        <v>0.98433809999999999</v>
      </c>
      <c r="Q4446">
        <v>0.1594991</v>
      </c>
      <c r="R4446">
        <v>7.5091190000000002E-2</v>
      </c>
      <c r="S4446">
        <v>3.0509949999999999</v>
      </c>
      <c r="T4446">
        <v>-2.4513009999999998E-2</v>
      </c>
      <c r="U4446">
        <v>7.0495610000000002E-3</v>
      </c>
      <c r="V4446">
        <v>-8.0461439999999995E-2</v>
      </c>
      <c r="W4446">
        <v>0.17097770000000001</v>
      </c>
      <c r="X4446">
        <v>0.98198399999999997</v>
      </c>
      <c r="Y4446">
        <v>-7.77647199999999E-3</v>
      </c>
      <c r="Z4446" s="1">
        <v>5.6737919999999897E-5</v>
      </c>
      <c r="AA4446">
        <v>0.99996980000000002</v>
      </c>
      <c r="AB4446">
        <v>39</v>
      </c>
      <c r="AC4446">
        <v>128.79660000000001</v>
      </c>
      <c r="AD4446">
        <v>-1.0378400800000001</v>
      </c>
      <c r="AE4446">
        <v>0.30049999999999899</v>
      </c>
      <c r="AF4446">
        <v>-1.00450971626847</v>
      </c>
      <c r="AG4446">
        <v>-1.0378400800000001</v>
      </c>
      <c r="AH4446">
        <v>128.78467074062499</v>
      </c>
      <c r="AI4446">
        <v>90.461706818020303</v>
      </c>
      <c r="AJ4446">
        <v>90.446893250260899</v>
      </c>
      <c r="AK4446">
        <v>128.792769865287</v>
      </c>
      <c r="AL4446">
        <v>80.1553305124757</v>
      </c>
      <c r="AM4446">
        <v>94.684216063721607</v>
      </c>
      <c r="AN4446">
        <v>0.999999996740081</v>
      </c>
    </row>
    <row r="4447" spans="1:40" x14ac:dyDescent="0.25">
      <c r="A4447" t="str">
        <f>"20190304154842547"</f>
        <v>20190304154842547</v>
      </c>
      <c r="B4447" t="str">
        <f>"1551685722541227"</f>
        <v>1551685722541227</v>
      </c>
      <c r="C4447" t="s">
        <v>40</v>
      </c>
      <c r="D4447">
        <v>4.3683730000000001</v>
      </c>
      <c r="E4447">
        <v>0.52674790000000005</v>
      </c>
      <c r="F4447" t="s">
        <v>45</v>
      </c>
      <c r="G4447">
        <v>-136.1037</v>
      </c>
      <c r="H4447">
        <v>-0.05</v>
      </c>
      <c r="I4447">
        <v>214.17519999999999</v>
      </c>
      <c r="J4447">
        <v>-308.33260000000001</v>
      </c>
      <c r="K4447">
        <v>1.1100810000000001</v>
      </c>
      <c r="L4447">
        <v>214.03489999999999</v>
      </c>
      <c r="M4447">
        <v>0.9999169</v>
      </c>
      <c r="N4447">
        <v>-1.1683600000000001E-2</v>
      </c>
      <c r="O4447">
        <v>-5.4664989999999997E-3</v>
      </c>
      <c r="P4447">
        <v>0.98443550000000002</v>
      </c>
      <c r="Q4447">
        <v>0.15909409999999999</v>
      </c>
      <c r="R4447">
        <v>7.4673429999999999E-2</v>
      </c>
      <c r="S4447">
        <v>3.0508730000000002</v>
      </c>
      <c r="T4447">
        <v>-2.0502090000000001E-2</v>
      </c>
      <c r="U4447">
        <v>2.4414060000000001E-3</v>
      </c>
      <c r="V4447">
        <v>-8.0045089999999999E-2</v>
      </c>
      <c r="W4447">
        <v>0.17058400000000001</v>
      </c>
      <c r="X4447">
        <v>0.98208649999999997</v>
      </c>
      <c r="Y4447">
        <v>-6.2666349999999996E-3</v>
      </c>
      <c r="Z4447" s="1">
        <v>3.0530139999999997E-5</v>
      </c>
      <c r="AA4447">
        <v>0.99998039999999999</v>
      </c>
      <c r="AB4447">
        <v>39</v>
      </c>
      <c r="AC4447">
        <v>172.22890000000001</v>
      </c>
      <c r="AD4447">
        <v>-1.1600809999999999</v>
      </c>
      <c r="AE4447">
        <v>0.14029999999999601</v>
      </c>
      <c r="AF4447">
        <v>-1.0818021061793699</v>
      </c>
      <c r="AG4447">
        <v>-1.1600809999999999</v>
      </c>
      <c r="AH4447">
        <v>172.21774586497199</v>
      </c>
      <c r="AI4447">
        <v>90.385938326472996</v>
      </c>
      <c r="AJ4447">
        <v>90.359904140039305</v>
      </c>
      <c r="AK4447">
        <v>172.22505065911699</v>
      </c>
      <c r="AL4447">
        <v>80.178224278012493</v>
      </c>
      <c r="AM4447">
        <v>94.659600255225996</v>
      </c>
      <c r="AN4447">
        <v>1.0000000054856699</v>
      </c>
    </row>
    <row r="4448" spans="1:40" x14ac:dyDescent="0.25">
      <c r="A4448" t="str">
        <f>"20190304154842569"</f>
        <v>20190304154842569</v>
      </c>
      <c r="B4448" t="str">
        <f>"1551685722560747"</f>
        <v>1551685722560747</v>
      </c>
      <c r="C4448" t="s">
        <v>40</v>
      </c>
      <c r="D4448">
        <v>4.3420550000000002</v>
      </c>
      <c r="E4448">
        <v>0.52667619999999904</v>
      </c>
      <c r="F4448" t="s">
        <v>45</v>
      </c>
      <c r="G4448">
        <v>-152.1917</v>
      </c>
      <c r="H4448">
        <v>-0.05</v>
      </c>
      <c r="I4448">
        <v>214.10130000000001</v>
      </c>
      <c r="J4448">
        <v>-307.93380000000002</v>
      </c>
      <c r="K4448">
        <v>1.1100890000000001</v>
      </c>
      <c r="L4448">
        <v>214.03280000000001</v>
      </c>
      <c r="M4448">
        <v>0.99991669999999999</v>
      </c>
      <c r="N4448">
        <v>-1.169502E-2</v>
      </c>
      <c r="O4448">
        <v>-5.4667800000000001E-3</v>
      </c>
      <c r="P4448">
        <v>0.98438309999999996</v>
      </c>
      <c r="Q4448">
        <v>0.1593763</v>
      </c>
      <c r="R4448">
        <v>7.4761209999999995E-2</v>
      </c>
      <c r="S4448">
        <v>3.0509949999999999</v>
      </c>
      <c r="T4448">
        <v>-2.2668000000000001E-2</v>
      </c>
      <c r="U4448">
        <v>1.296997E-3</v>
      </c>
      <c r="V4448">
        <v>-8.0133670000000004E-2</v>
      </c>
      <c r="W4448">
        <v>0.17087669999999999</v>
      </c>
      <c r="X4448">
        <v>0.98202840000000002</v>
      </c>
      <c r="Y4448">
        <v>-5.8917850000000001E-3</v>
      </c>
      <c r="Z4448" s="1">
        <v>3.3020359999999997E-5</v>
      </c>
      <c r="AA4448">
        <v>0.9999827</v>
      </c>
      <c r="AB4448">
        <v>39</v>
      </c>
      <c r="AC4448">
        <v>155.74209999999999</v>
      </c>
      <c r="AD4448">
        <v>-1.1600889999999999</v>
      </c>
      <c r="AE4448">
        <v>6.85000000000002E-2</v>
      </c>
      <c r="AF4448">
        <v>-0.91991393571274904</v>
      </c>
      <c r="AG4448">
        <v>-1.1600889999999999</v>
      </c>
      <c r="AH4448">
        <v>155.730757315413</v>
      </c>
      <c r="AI4448">
        <v>90.4267995333079</v>
      </c>
      <c r="AJ4448">
        <v>90.338446777665794</v>
      </c>
      <c r="AK4448">
        <v>155.737795098585</v>
      </c>
      <c r="AL4448">
        <v>80.161204001637202</v>
      </c>
      <c r="AM4448">
        <v>94.6650087108804</v>
      </c>
      <c r="AN4448">
        <v>1.00000001503855</v>
      </c>
    </row>
    <row r="4449" spans="1:40" x14ac:dyDescent="0.25">
      <c r="A4449" t="str">
        <f>"20190304154842591"</f>
        <v>20190304154842591</v>
      </c>
      <c r="B4449" t="str">
        <f>"1551685722581243"</f>
        <v>1551685722581243</v>
      </c>
      <c r="C4449" t="s">
        <v>40</v>
      </c>
      <c r="D4449">
        <v>4.394603</v>
      </c>
      <c r="E4449">
        <v>0.5265978</v>
      </c>
      <c r="F4449" t="s">
        <v>45</v>
      </c>
      <c r="G4449">
        <v>-152.70179999999999</v>
      </c>
      <c r="H4449">
        <v>-0.05</v>
      </c>
      <c r="I4449">
        <v>214.10499999999999</v>
      </c>
      <c r="J4449">
        <v>-307.5521</v>
      </c>
      <c r="K4449">
        <v>1.11009</v>
      </c>
      <c r="L4449">
        <v>214.0307</v>
      </c>
      <c r="M4449">
        <v>0.99991660000000004</v>
      </c>
      <c r="N4449">
        <v>-1.1705449999999999E-2</v>
      </c>
      <c r="O4449">
        <v>-5.4669430000000001E-3</v>
      </c>
      <c r="P4449">
        <v>0.98441489999999998</v>
      </c>
      <c r="Q4449">
        <v>0.1594159</v>
      </c>
      <c r="R4449">
        <v>7.4257310000000007E-2</v>
      </c>
      <c r="S4449">
        <v>3.0512079999999999</v>
      </c>
      <c r="T4449">
        <v>-2.2802469999999998E-2</v>
      </c>
      <c r="U4449">
        <v>1.419067E-3</v>
      </c>
      <c r="V4449">
        <v>-7.9630510000000002E-2</v>
      </c>
      <c r="W4449">
        <v>0.170927</v>
      </c>
      <c r="X4449">
        <v>0.98206059999999995</v>
      </c>
      <c r="Y4449">
        <v>-5.9319200000000002E-3</v>
      </c>
      <c r="Z4449" s="1">
        <v>3.3744629999999997E-5</v>
      </c>
      <c r="AA4449">
        <v>0.99998240000000005</v>
      </c>
      <c r="AB4449">
        <v>39</v>
      </c>
      <c r="AC4449">
        <v>154.8503</v>
      </c>
      <c r="AD4449">
        <v>-1.1600900000000001</v>
      </c>
      <c r="AE4449">
        <v>7.4299999999993802E-2</v>
      </c>
      <c r="AF4449">
        <v>-0.92086292457825403</v>
      </c>
      <c r="AG4449">
        <v>-1.1600900000000001</v>
      </c>
      <c r="AH4449">
        <v>154.83888901378401</v>
      </c>
      <c r="AI4449">
        <v>90.429258064550396</v>
      </c>
      <c r="AJ4449">
        <v>90.340747323791106</v>
      </c>
      <c r="AK4449">
        <v>154.84597298075499</v>
      </c>
      <c r="AL4449">
        <v>80.158279237135503</v>
      </c>
      <c r="AM4449">
        <v>94.635693815405205</v>
      </c>
      <c r="AN4449">
        <v>1.0000000397621001</v>
      </c>
    </row>
    <row r="4450" spans="1:40" x14ac:dyDescent="0.25">
      <c r="A4450" t="str">
        <f>"20190304154842614"</f>
        <v>20190304154842614</v>
      </c>
      <c r="B4450" t="str">
        <f>"1551685722611500"</f>
        <v>1551685722611500</v>
      </c>
      <c r="C4450" t="s">
        <v>40</v>
      </c>
      <c r="D4450">
        <v>4.3857629999999999</v>
      </c>
      <c r="E4450">
        <v>0.52652239999999995</v>
      </c>
      <c r="F4450" t="s">
        <v>54</v>
      </c>
      <c r="G4450">
        <v>-175.3869</v>
      </c>
      <c r="H4450">
        <v>7.9982079999999997E-2</v>
      </c>
      <c r="I4450">
        <v>214.0446</v>
      </c>
      <c r="J4450">
        <v>-307.15519999999998</v>
      </c>
      <c r="K4450">
        <v>1.11009</v>
      </c>
      <c r="L4450">
        <v>214.02850000000001</v>
      </c>
      <c r="M4450">
        <v>0.99991649999999999</v>
      </c>
      <c r="N4450">
        <v>-1.17156E-2</v>
      </c>
      <c r="O4450">
        <v>-5.466991E-3</v>
      </c>
      <c r="P4450">
        <v>0.98445240000000001</v>
      </c>
      <c r="Q4450">
        <v>0.1593435</v>
      </c>
      <c r="R4450">
        <v>7.3914099999999996E-2</v>
      </c>
      <c r="S4450">
        <v>3.0513309999999998</v>
      </c>
      <c r="T4450">
        <v>-2.3782370000000001E-2</v>
      </c>
      <c r="U4450">
        <v>3.2043460000000002E-4</v>
      </c>
      <c r="V4450">
        <v>-7.9288129999999998E-2</v>
      </c>
      <c r="W4450">
        <v>0.17086489999999999</v>
      </c>
      <c r="X4450">
        <v>0.9820991</v>
      </c>
      <c r="Y4450">
        <v>-5.5719139999999999E-3</v>
      </c>
      <c r="Z4450" s="1">
        <v>3.2912679999999999E-5</v>
      </c>
      <c r="AA4450">
        <v>0.99998450000000005</v>
      </c>
      <c r="AB4450">
        <v>39</v>
      </c>
      <c r="AC4450">
        <v>131.76829999999899</v>
      </c>
      <c r="AD4450">
        <v>-1.0301079200000001</v>
      </c>
      <c r="AE4450">
        <v>1.60999999999944E-2</v>
      </c>
      <c r="AF4450">
        <v>-0.73648024867817596</v>
      </c>
      <c r="AG4450">
        <v>-1.0301079200000001</v>
      </c>
      <c r="AH4450">
        <v>131.75819022293501</v>
      </c>
      <c r="AI4450">
        <v>90.447932016456903</v>
      </c>
      <c r="AJ4450">
        <v>90.320259183968901</v>
      </c>
      <c r="AK4450">
        <v>131.76427518985099</v>
      </c>
      <c r="AL4450">
        <v>80.161890350884804</v>
      </c>
      <c r="AM4450">
        <v>94.6156682935313</v>
      </c>
      <c r="AN4450">
        <v>1.00000003191585</v>
      </c>
    </row>
    <row r="4451" spans="1:40" x14ac:dyDescent="0.25">
      <c r="A4451" t="str">
        <f>"20190304154842637"</f>
        <v>20190304154842637</v>
      </c>
      <c r="B4451" t="str">
        <f>"1551685722631019"</f>
        <v>1551685722631019</v>
      </c>
      <c r="C4451" t="s">
        <v>40</v>
      </c>
      <c r="D4451">
        <v>4.2976320000000001</v>
      </c>
      <c r="E4451">
        <v>0.51455890000000004</v>
      </c>
      <c r="F4451" t="s">
        <v>54</v>
      </c>
      <c r="G4451">
        <v>-179.95769999999999</v>
      </c>
      <c r="H4451">
        <v>2.5622180000000001E-2</v>
      </c>
      <c r="I4451">
        <v>214.0266</v>
      </c>
      <c r="J4451">
        <v>-306.7457</v>
      </c>
      <c r="K4451">
        <v>1.110093</v>
      </c>
      <c r="L4451">
        <v>214.02629999999999</v>
      </c>
      <c r="M4451">
        <v>0.99991640000000004</v>
      </c>
      <c r="N4451">
        <v>-1.1725319999999999E-2</v>
      </c>
      <c r="O4451">
        <v>-5.4666810000000001E-3</v>
      </c>
      <c r="P4451">
        <v>0.98436809999999997</v>
      </c>
      <c r="Q4451">
        <v>0.15970599999999999</v>
      </c>
      <c r="R4451">
        <v>7.4254139999999996E-2</v>
      </c>
      <c r="S4451">
        <v>3.0516049999999999</v>
      </c>
      <c r="T4451">
        <v>-2.601755E-2</v>
      </c>
      <c r="U4451" s="1">
        <v>-4.5776370000000002E-5</v>
      </c>
      <c r="V4451">
        <v>-7.9627589999999998E-2</v>
      </c>
      <c r="W4451">
        <v>0.1712351</v>
      </c>
      <c r="X4451">
        <v>0.98200710000000002</v>
      </c>
      <c r="Y4451">
        <v>-5.4515589999999999E-3</v>
      </c>
      <c r="Z4451" s="1">
        <v>3.7707930000000001E-5</v>
      </c>
      <c r="AA4451">
        <v>0.99998520000000002</v>
      </c>
      <c r="AB4451">
        <v>39</v>
      </c>
      <c r="AC4451">
        <v>126.788</v>
      </c>
      <c r="AD4451">
        <v>-1.0844708199999999</v>
      </c>
      <c r="AE4451">
        <v>3.0000000000995799E-4</v>
      </c>
      <c r="AF4451">
        <v>-0.69340640564728895</v>
      </c>
      <c r="AG4451">
        <v>-1.0844708199999999</v>
      </c>
      <c r="AH4451">
        <v>126.77682846573801</v>
      </c>
      <c r="AI4451">
        <v>90.490098679096505</v>
      </c>
      <c r="AJ4451">
        <v>90.313376386249601</v>
      </c>
      <c r="AK4451">
        <v>126.783362967047</v>
      </c>
      <c r="AL4451">
        <v>80.140361647337897</v>
      </c>
      <c r="AM4451">
        <v>94.635776012181793</v>
      </c>
      <c r="AN4451">
        <v>0.99999997850581301</v>
      </c>
    </row>
    <row r="4452" spans="1:40" x14ac:dyDescent="0.25">
      <c r="A4452" t="str">
        <f>"20190304154842659"</f>
        <v>20190304154842659</v>
      </c>
      <c r="B4452" t="str">
        <f>"1551685722651516"</f>
        <v>1551685722651516</v>
      </c>
      <c r="C4452" t="s">
        <v>40</v>
      </c>
      <c r="D4452">
        <v>4.2610210000000004</v>
      </c>
      <c r="E4452">
        <v>0.51005459999999903</v>
      </c>
      <c r="F4452" t="s">
        <v>60</v>
      </c>
      <c r="G4452">
        <v>-245.20400000000001</v>
      </c>
      <c r="H4452" s="1">
        <v>1.1739699999999999E-6</v>
      </c>
      <c r="I4452">
        <v>215.9562</v>
      </c>
      <c r="J4452">
        <v>-306.3587</v>
      </c>
      <c r="K4452">
        <v>1.1100969999999999</v>
      </c>
      <c r="L4452">
        <v>214.02420000000001</v>
      </c>
      <c r="M4452">
        <v>0.99991629999999998</v>
      </c>
      <c r="N4452">
        <v>-1.1733840000000001E-2</v>
      </c>
      <c r="O4452">
        <v>-5.4664869999999999E-3</v>
      </c>
      <c r="P4452">
        <v>0.98445240000000001</v>
      </c>
      <c r="Q4452">
        <v>0.1592161</v>
      </c>
      <c r="R4452">
        <v>7.4186680000000005E-2</v>
      </c>
      <c r="S4452">
        <v>3.0493769999999998</v>
      </c>
      <c r="T4452">
        <v>-5.5004839999999999E-2</v>
      </c>
      <c r="U4452">
        <v>9.5626829999999996E-2</v>
      </c>
      <c r="V4452">
        <v>-7.9560339999999993E-2</v>
      </c>
      <c r="W4452">
        <v>0.17075499999999999</v>
      </c>
      <c r="X4452">
        <v>0.98209619999999997</v>
      </c>
      <c r="Y4452">
        <v>-3.6797780000000002E-2</v>
      </c>
      <c r="Z4452">
        <v>5.8219860000000001E-4</v>
      </c>
      <c r="AA4452">
        <v>0.9993225</v>
      </c>
      <c r="AB4452">
        <v>39</v>
      </c>
      <c r="AC4452">
        <v>61.154699999999899</v>
      </c>
      <c r="AD4452">
        <v>-1.11009582602999</v>
      </c>
      <c r="AE4452">
        <v>1.93199999999998</v>
      </c>
      <c r="AF4452">
        <v>-2.26554972486564</v>
      </c>
      <c r="AG4452">
        <v>-1.11009582602999</v>
      </c>
      <c r="AH4452">
        <v>61.123103908892503</v>
      </c>
      <c r="AI4452">
        <v>91.039757120757699</v>
      </c>
      <c r="AJ4452">
        <v>92.122716840415904</v>
      </c>
      <c r="AK4452">
        <v>61.175149037465196</v>
      </c>
      <c r="AL4452">
        <v>80.168281074713093</v>
      </c>
      <c r="AM4452">
        <v>94.631459484550106</v>
      </c>
      <c r="AN4452">
        <v>1.0000000318901701</v>
      </c>
    </row>
    <row r="4453" spans="1:40" x14ac:dyDescent="0.25">
      <c r="A4453" t="str">
        <f>"20190304154842681"</f>
        <v>20190304154842681</v>
      </c>
      <c r="B4453" t="str">
        <f>"1551685722671036"</f>
        <v>1551685722671036</v>
      </c>
      <c r="C4453" t="s">
        <v>40</v>
      </c>
      <c r="D4453">
        <v>4.275264</v>
      </c>
      <c r="E4453">
        <v>0.50959769999999904</v>
      </c>
      <c r="F4453" t="s">
        <v>45</v>
      </c>
      <c r="G4453">
        <v>-147.23599999999999</v>
      </c>
      <c r="H4453">
        <v>-0.05</v>
      </c>
      <c r="I4453">
        <v>220.9282</v>
      </c>
      <c r="J4453">
        <v>-305.9572</v>
      </c>
      <c r="K4453">
        <v>1.1100989999999999</v>
      </c>
      <c r="L4453">
        <v>214.02199999999999</v>
      </c>
      <c r="M4453">
        <v>0.99991609999999997</v>
      </c>
      <c r="N4453">
        <v>-1.1741929999999999E-2</v>
      </c>
      <c r="O4453">
        <v>-5.4661719999999896E-3</v>
      </c>
      <c r="P4453">
        <v>0.98429270000000002</v>
      </c>
      <c r="Q4453">
        <v>0.16005069999999999</v>
      </c>
      <c r="R4453">
        <v>7.4510779999999999E-2</v>
      </c>
      <c r="S4453">
        <v>3.0410159999999999</v>
      </c>
      <c r="T4453">
        <v>-2.2170780000000001E-2</v>
      </c>
      <c r="U4453">
        <v>0.1319427</v>
      </c>
      <c r="V4453">
        <v>-7.9883319999999994E-2</v>
      </c>
      <c r="W4453">
        <v>0.17159549999999901</v>
      </c>
      <c r="X4453">
        <v>0.98192349999999995</v>
      </c>
      <c r="Y4453">
        <v>-4.8804269999999997E-2</v>
      </c>
      <c r="Z4453">
        <v>4.4018140000000002E-4</v>
      </c>
      <c r="AA4453">
        <v>0.99880829999999998</v>
      </c>
      <c r="AB4453">
        <v>39</v>
      </c>
      <c r="AC4453">
        <v>158.72120000000001</v>
      </c>
      <c r="AD4453">
        <v>-1.160099</v>
      </c>
      <c r="AE4453">
        <v>6.9061999999999797</v>
      </c>
      <c r="AF4453">
        <v>-7.7733395393062299</v>
      </c>
      <c r="AG4453">
        <v>-1.160099</v>
      </c>
      <c r="AH4453">
        <v>158.67261476441001</v>
      </c>
      <c r="AI4453">
        <v>90.418395936108894</v>
      </c>
      <c r="AJ4453">
        <v>92.804666435241401</v>
      </c>
      <c r="AK4453">
        <v>158.867143593186</v>
      </c>
      <c r="AL4453">
        <v>80.119402836194297</v>
      </c>
      <c r="AM4453">
        <v>94.650993164588996</v>
      </c>
      <c r="AN4453">
        <v>1.0000000601433501</v>
      </c>
    </row>
    <row r="4454" spans="1:40" x14ac:dyDescent="0.25">
      <c r="A4454" t="str">
        <f>"20190304154842704"</f>
        <v>20190304154842704</v>
      </c>
      <c r="B4454" t="str">
        <f>"1551685722701291"</f>
        <v>1551685722701291</v>
      </c>
      <c r="C4454" t="s">
        <v>40</v>
      </c>
      <c r="D4454">
        <v>4.2300380000000004</v>
      </c>
      <c r="E4454">
        <v>0.50917179999999995</v>
      </c>
      <c r="F4454" t="s">
        <v>71</v>
      </c>
      <c r="G4454">
        <v>-157.8382</v>
      </c>
      <c r="H4454">
        <v>0.74651529999999999</v>
      </c>
      <c r="I4454">
        <v>220.6764</v>
      </c>
      <c r="J4454">
        <v>-305.57040000000001</v>
      </c>
      <c r="K4454">
        <v>1.110104</v>
      </c>
      <c r="L4454">
        <v>214.01990000000001</v>
      </c>
      <c r="M4454">
        <v>0.99991620000000003</v>
      </c>
      <c r="N4454">
        <v>-1.174892E-2</v>
      </c>
      <c r="O4454">
        <v>-5.4663280000000003E-3</v>
      </c>
      <c r="P4454">
        <v>0.98420859999999999</v>
      </c>
      <c r="Q4454">
        <v>0.1606252</v>
      </c>
      <c r="R4454">
        <v>7.4386960000000002E-2</v>
      </c>
      <c r="S4454">
        <v>3.0387569999999999</v>
      </c>
      <c r="T4454">
        <v>-7.4579719999999898E-3</v>
      </c>
      <c r="U4454">
        <v>0.13652039999999999</v>
      </c>
      <c r="V4454">
        <v>-7.9759960000000005E-2</v>
      </c>
      <c r="W4454">
        <v>0.17217560000000001</v>
      </c>
      <c r="X4454">
        <v>0.98183189999999998</v>
      </c>
      <c r="Y4454">
        <v>-5.0340530000000001E-2</v>
      </c>
      <c r="Z4454">
        <v>3.0684659999999998E-4</v>
      </c>
      <c r="AA4454">
        <v>0.99873210000000001</v>
      </c>
      <c r="AB4454">
        <v>39</v>
      </c>
      <c r="AC4454">
        <v>147.73220000000001</v>
      </c>
      <c r="AD4454">
        <v>-0.36358869999999999</v>
      </c>
      <c r="AE4454">
        <v>6.6564999999999896</v>
      </c>
      <c r="AF4454">
        <v>-7.4639636880624396</v>
      </c>
      <c r="AG4454">
        <v>-0.36358869999999999</v>
      </c>
      <c r="AH4454">
        <v>147.69271059894899</v>
      </c>
      <c r="AI4454">
        <v>90.140870217900698</v>
      </c>
      <c r="AJ4454">
        <v>92.893102151953698</v>
      </c>
      <c r="AK4454">
        <v>147.881640898201</v>
      </c>
      <c r="AL4454">
        <v>80.085662648675594</v>
      </c>
      <c r="AM4454">
        <v>94.644273647107298</v>
      </c>
      <c r="AN4454">
        <v>0.99999998415608504</v>
      </c>
    </row>
    <row r="4455" spans="1:40" x14ac:dyDescent="0.25">
      <c r="A4455" t="str">
        <f>"20190304154842725"</f>
        <v>20190304154842725</v>
      </c>
      <c r="B4455" t="str">
        <f>"1551685722720812"</f>
        <v>1551685722720812</v>
      </c>
      <c r="C4455" t="s">
        <v>40</v>
      </c>
      <c r="D4455">
        <v>4.2606789999999997</v>
      </c>
      <c r="E4455">
        <v>0.50874490000000006</v>
      </c>
      <c r="F4455" t="s">
        <v>71</v>
      </c>
      <c r="G4455">
        <v>-157.8382</v>
      </c>
      <c r="H4455">
        <v>1.1623680000000001</v>
      </c>
      <c r="I4455">
        <v>220.81649999999999</v>
      </c>
      <c r="J4455">
        <v>-305.18610000000001</v>
      </c>
      <c r="K4455">
        <v>1.1101049999999999</v>
      </c>
      <c r="L4455">
        <v>214.01779999999999</v>
      </c>
      <c r="M4455">
        <v>0.99991600000000003</v>
      </c>
      <c r="N4455">
        <v>-1.1755150000000001E-2</v>
      </c>
      <c r="O4455">
        <v>-5.466004E-3</v>
      </c>
      <c r="P4455">
        <v>0.9841029</v>
      </c>
      <c r="Q4455">
        <v>0.16138359999999999</v>
      </c>
      <c r="R4455">
        <v>7.4141819999999997E-2</v>
      </c>
      <c r="S4455">
        <v>3.0374150000000002</v>
      </c>
      <c r="T4455">
        <v>1.0757449999999999E-3</v>
      </c>
      <c r="U4455">
        <v>0.13974</v>
      </c>
      <c r="V4455">
        <v>-7.9513650000000005E-2</v>
      </c>
      <c r="W4455">
        <v>0.1729388</v>
      </c>
      <c r="X4455">
        <v>0.98171779999999997</v>
      </c>
      <c r="Y4455">
        <v>-5.1417259999999999E-2</v>
      </c>
      <c r="Z4455">
        <v>2.2712329999999999E-4</v>
      </c>
      <c r="AA4455">
        <v>0.99867729999999999</v>
      </c>
      <c r="AB4455">
        <v>39</v>
      </c>
      <c r="AC4455">
        <v>147.34790000000001</v>
      </c>
      <c r="AD4455">
        <v>5.2263000000000101E-2</v>
      </c>
      <c r="AE4455">
        <v>6.7986999999999904</v>
      </c>
      <c r="AF4455">
        <v>-7.6040573036051402</v>
      </c>
      <c r="AG4455">
        <v>5.2263000000000101E-2</v>
      </c>
      <c r="AH4455">
        <v>147.308515727306</v>
      </c>
      <c r="AI4455">
        <v>89.979699288887801</v>
      </c>
      <c r="AJ4455">
        <v>92.954982147548407</v>
      </c>
      <c r="AK4455">
        <v>147.50465492546201</v>
      </c>
      <c r="AL4455">
        <v>80.041269176116501</v>
      </c>
      <c r="AM4455">
        <v>94.630529706760598</v>
      </c>
      <c r="AN4455">
        <v>1.0000000439593</v>
      </c>
    </row>
    <row r="4456" spans="1:40" x14ac:dyDescent="0.25">
      <c r="A4456" t="str">
        <f>"20190304154842748"</f>
        <v>20190304154842748</v>
      </c>
      <c r="B4456" t="str">
        <f>"1551685722741311"</f>
        <v>1551685722741311</v>
      </c>
      <c r="C4456" t="s">
        <v>40</v>
      </c>
      <c r="D4456">
        <v>4.2678079999999996</v>
      </c>
      <c r="E4456">
        <v>0.50857849999999905</v>
      </c>
      <c r="F4456" t="s">
        <v>71</v>
      </c>
      <c r="G4456">
        <v>-157.8382</v>
      </c>
      <c r="H4456">
        <v>1.3726879999999999</v>
      </c>
      <c r="I4456">
        <v>220.9247</v>
      </c>
      <c r="J4456">
        <v>-304.78660000000002</v>
      </c>
      <c r="K4456">
        <v>1.1101099999999999</v>
      </c>
      <c r="L4456">
        <v>214.01560000000001</v>
      </c>
      <c r="M4456">
        <v>0.99991600000000003</v>
      </c>
      <c r="N4456">
        <v>-1.1760929999999999E-2</v>
      </c>
      <c r="O4456">
        <v>-5.4659169999999998E-3</v>
      </c>
      <c r="P4456">
        <v>0.98396550000000005</v>
      </c>
      <c r="Q4456">
        <v>0.16214310000000001</v>
      </c>
      <c r="R4456">
        <v>7.4310020000000004E-2</v>
      </c>
      <c r="S4456">
        <v>3.0368040000000001</v>
      </c>
      <c r="T4456">
        <v>5.4129360000000001E-3</v>
      </c>
      <c r="U4456">
        <v>0.14234920000000001</v>
      </c>
      <c r="V4456">
        <v>-7.9681139999999998E-2</v>
      </c>
      <c r="W4456">
        <v>0.17370239999999901</v>
      </c>
      <c r="X4456">
        <v>0.98156929999999998</v>
      </c>
      <c r="Y4456">
        <v>-5.2282839999999997E-2</v>
      </c>
      <c r="Z4456">
        <v>1.870687E-4</v>
      </c>
      <c r="AA4456">
        <v>0.99863230000000003</v>
      </c>
      <c r="AB4456">
        <v>39</v>
      </c>
      <c r="AC4456">
        <v>146.94839999999999</v>
      </c>
      <c r="AD4456">
        <v>0.26257799999999998</v>
      </c>
      <c r="AE4456">
        <v>6.9090999999999898</v>
      </c>
      <c r="AF4456">
        <v>-7.7122354374332804</v>
      </c>
      <c r="AG4456">
        <v>0.26257799999999998</v>
      </c>
      <c r="AH4456">
        <v>146.907969341946</v>
      </c>
      <c r="AI4456">
        <v>89.89773252581</v>
      </c>
      <c r="AJ4456">
        <v>93.005100967192305</v>
      </c>
      <c r="AK4456">
        <v>147.11049921342399</v>
      </c>
      <c r="AL4456">
        <v>79.996844835142497</v>
      </c>
      <c r="AM4456">
        <v>94.640939995192795</v>
      </c>
      <c r="AN4456">
        <v>0.99999994926997304</v>
      </c>
    </row>
    <row r="4457" spans="1:40" x14ac:dyDescent="0.25">
      <c r="A4457" t="str">
        <f>"20190304154842771"</f>
        <v>20190304154842771</v>
      </c>
      <c r="B4457" t="str">
        <f>"1551685722761261"</f>
        <v>1551685722761261</v>
      </c>
      <c r="C4457" t="s">
        <v>40</v>
      </c>
      <c r="D4457">
        <v>4.2437889999999996</v>
      </c>
      <c r="E4457">
        <v>0.50842699999999996</v>
      </c>
      <c r="F4457" t="s">
        <v>71</v>
      </c>
      <c r="G4457">
        <v>-157.8382</v>
      </c>
      <c r="H4457">
        <v>1.5659379999999901</v>
      </c>
      <c r="I4457">
        <v>220.9709</v>
      </c>
      <c r="J4457">
        <v>-304.39030000000002</v>
      </c>
      <c r="K4457">
        <v>1.110115</v>
      </c>
      <c r="L4457">
        <v>214.01349999999999</v>
      </c>
      <c r="M4457">
        <v>0.99991589999999997</v>
      </c>
      <c r="N4457">
        <v>-1.176606E-2</v>
      </c>
      <c r="O4457">
        <v>-5.4655880000000004E-3</v>
      </c>
      <c r="P4457">
        <v>0.98366600000000004</v>
      </c>
      <c r="Q4457">
        <v>0.1637672</v>
      </c>
      <c r="R4457">
        <v>7.4711230000000003E-2</v>
      </c>
      <c r="S4457">
        <v>3.0364990000000001</v>
      </c>
      <c r="T4457">
        <v>9.420276E-3</v>
      </c>
      <c r="U4457">
        <v>0.1437225</v>
      </c>
      <c r="V4457">
        <v>-8.0079880000000006E-2</v>
      </c>
      <c r="W4457">
        <v>0.17532790000000001</v>
      </c>
      <c r="X4457">
        <v>0.9812478</v>
      </c>
      <c r="Y4457">
        <v>-5.2737989999999998E-2</v>
      </c>
      <c r="Z4457">
        <v>1.4746240000000001E-4</v>
      </c>
      <c r="AA4457">
        <v>0.99860839999999995</v>
      </c>
      <c r="AB4457">
        <v>39</v>
      </c>
      <c r="AC4457">
        <v>146.5521</v>
      </c>
      <c r="AD4457">
        <v>0.45582299999999898</v>
      </c>
      <c r="AE4457">
        <v>6.9573999999999998</v>
      </c>
      <c r="AF4457">
        <v>-7.7582699834220303</v>
      </c>
      <c r="AG4457">
        <v>0.45582299999999898</v>
      </c>
      <c r="AH4457">
        <v>146.51046765619199</v>
      </c>
      <c r="AI4457">
        <v>89.821991489359803</v>
      </c>
      <c r="AJ4457">
        <v>93.031191851903301</v>
      </c>
      <c r="AK4457">
        <v>146.71644645566801</v>
      </c>
      <c r="AL4457">
        <v>79.902259093511702</v>
      </c>
      <c r="AM4457">
        <v>94.665583365767702</v>
      </c>
      <c r="AN4457">
        <v>0.99999995235203099</v>
      </c>
    </row>
    <row r="4458" spans="1:40" x14ac:dyDescent="0.25">
      <c r="A4458" t="str">
        <f>"20190304154842792"</f>
        <v>20190304154842792</v>
      </c>
      <c r="B4458" t="str">
        <f>"1551685722780781"</f>
        <v>1551685722780781</v>
      </c>
      <c r="C4458" t="s">
        <v>40</v>
      </c>
      <c r="D4458">
        <v>4.2929979999999999</v>
      </c>
      <c r="E4458">
        <v>0.50823249999999998</v>
      </c>
      <c r="F4458" t="s">
        <v>71</v>
      </c>
      <c r="G4458">
        <v>-157.8382</v>
      </c>
      <c r="H4458">
        <v>1.818147</v>
      </c>
      <c r="I4458">
        <v>221.06610000000001</v>
      </c>
      <c r="J4458">
        <v>-304.00970000000001</v>
      </c>
      <c r="K4458">
        <v>1.1101179999999999</v>
      </c>
      <c r="L4458">
        <v>214.01140000000001</v>
      </c>
      <c r="M4458">
        <v>0.99991589999999997</v>
      </c>
      <c r="N4458">
        <v>-1.177049E-2</v>
      </c>
      <c r="O4458">
        <v>-5.4656119999999999E-3</v>
      </c>
      <c r="P4458">
        <v>0.98357459999999997</v>
      </c>
      <c r="Q4458">
        <v>0.1641029</v>
      </c>
      <c r="R4458">
        <v>7.5174829999999998E-2</v>
      </c>
      <c r="S4458">
        <v>3.0362849999999999</v>
      </c>
      <c r="T4458">
        <v>1.4670249999999999E-2</v>
      </c>
      <c r="U4458">
        <v>0.1461182</v>
      </c>
      <c r="V4458">
        <v>-8.0543290000000003E-2</v>
      </c>
      <c r="W4458">
        <v>0.17566689999999999</v>
      </c>
      <c r="X4458">
        <v>0.9811493</v>
      </c>
      <c r="Y4458">
        <v>-5.3527459999999999E-2</v>
      </c>
      <c r="Z4458" s="1">
        <v>9.5287369999999996E-5</v>
      </c>
      <c r="AA4458">
        <v>0.99856639999999997</v>
      </c>
      <c r="AB4458">
        <v>39</v>
      </c>
      <c r="AC4458">
        <v>146.17150000000001</v>
      </c>
      <c r="AD4458">
        <v>0.70802900000000002</v>
      </c>
      <c r="AE4458">
        <v>7.0546999999999898</v>
      </c>
      <c r="AF4458">
        <v>-7.8533827428828697</v>
      </c>
      <c r="AG4458">
        <v>0.70802900000000002</v>
      </c>
      <c r="AH4458">
        <v>146.12733491344699</v>
      </c>
      <c r="AI4458">
        <v>89.722787677203698</v>
      </c>
      <c r="AJ4458">
        <v>93.076311597157101</v>
      </c>
      <c r="AK4458">
        <v>146.33992939207599</v>
      </c>
      <c r="AL4458">
        <v>79.882530261265003</v>
      </c>
      <c r="AM4458">
        <v>94.692931142791394</v>
      </c>
      <c r="AN4458">
        <v>1.0000000151050601</v>
      </c>
    </row>
    <row r="4459" spans="1:40" x14ac:dyDescent="0.25">
      <c r="A4459" t="str">
        <f>"20190304154842815"</f>
        <v>20190304154842815</v>
      </c>
      <c r="B4459" t="str">
        <f>"1551685722811037"</f>
        <v>1551685722811037</v>
      </c>
      <c r="C4459" t="s">
        <v>40</v>
      </c>
      <c r="D4459">
        <v>4.2581119999999997</v>
      </c>
      <c r="E4459">
        <v>0.50767289999999998</v>
      </c>
      <c r="F4459" t="s">
        <v>71</v>
      </c>
      <c r="G4459">
        <v>-157.8382</v>
      </c>
      <c r="H4459">
        <v>1.9204140000000001</v>
      </c>
      <c r="I4459">
        <v>221.20009999999999</v>
      </c>
      <c r="J4459">
        <v>-303.60160000000002</v>
      </c>
      <c r="K4459">
        <v>1.1101219999999901</v>
      </c>
      <c r="L4459">
        <v>214.00919999999999</v>
      </c>
      <c r="M4459">
        <v>0.99991569999999996</v>
      </c>
      <c r="N4459">
        <v>-1.177476E-2</v>
      </c>
      <c r="O4459">
        <v>-5.4655169999999996E-3</v>
      </c>
      <c r="P4459">
        <v>0.98348539999999995</v>
      </c>
      <c r="Q4459">
        <v>0.1642817</v>
      </c>
      <c r="R4459">
        <v>7.5948189999999999E-2</v>
      </c>
      <c r="S4459">
        <v>3.0359189999999998</v>
      </c>
      <c r="T4459">
        <v>1.6830680000000001E-2</v>
      </c>
      <c r="U4459">
        <v>0.149307299999999</v>
      </c>
      <c r="V4459">
        <v>-8.1316269999999996E-2</v>
      </c>
      <c r="W4459">
        <v>0.17584900000000001</v>
      </c>
      <c r="X4459">
        <v>0.98105290000000001</v>
      </c>
      <c r="Y4459">
        <v>-5.4579559999999999E-2</v>
      </c>
      <c r="Z4459" s="1">
        <v>7.5737739999999994E-5</v>
      </c>
      <c r="AA4459">
        <v>0.99850939999999999</v>
      </c>
      <c r="AB4459">
        <v>40</v>
      </c>
      <c r="AC4459">
        <v>145.76339999999999</v>
      </c>
      <c r="AD4459">
        <v>0.81029200000000001</v>
      </c>
      <c r="AE4459">
        <v>7.1908999999999903</v>
      </c>
      <c r="AF4459">
        <v>-7.9872739622476496</v>
      </c>
      <c r="AG4459">
        <v>0.81029200000000001</v>
      </c>
      <c r="AH4459">
        <v>145.71742583332099</v>
      </c>
      <c r="AI4459">
        <v>89.681875742267593</v>
      </c>
      <c r="AJ4459">
        <v>93.137439356140902</v>
      </c>
      <c r="AK4459">
        <v>145.93841615545401</v>
      </c>
      <c r="AL4459">
        <v>79.871931557922593</v>
      </c>
      <c r="AM4459">
        <v>94.738228922731594</v>
      </c>
      <c r="AN4459">
        <v>0.99999999958306096</v>
      </c>
    </row>
    <row r="4460" spans="1:40" x14ac:dyDescent="0.25">
      <c r="A4460" t="str">
        <f>"20190304154842838"</f>
        <v>20190304154842838</v>
      </c>
      <c r="B4460" t="str">
        <f>"1551685722831533"</f>
        <v>1551685722831533</v>
      </c>
      <c r="C4460" t="s">
        <v>40</v>
      </c>
      <c r="D4460">
        <v>4.2514440000000002</v>
      </c>
      <c r="E4460">
        <v>0.50718269999999999</v>
      </c>
      <c r="F4460" t="s">
        <v>71</v>
      </c>
      <c r="G4460">
        <v>-157.8382</v>
      </c>
      <c r="H4460">
        <v>1.845021</v>
      </c>
      <c r="I4460">
        <v>221.48070000000001</v>
      </c>
      <c r="J4460">
        <v>-303.20049999999998</v>
      </c>
      <c r="K4460">
        <v>1.110125</v>
      </c>
      <c r="L4460">
        <v>214.00700000000001</v>
      </c>
      <c r="M4460">
        <v>0.99991569999999996</v>
      </c>
      <c r="N4460">
        <v>-1.1778530000000001E-2</v>
      </c>
      <c r="O4460">
        <v>-5.4649420000000004E-3</v>
      </c>
      <c r="P4460">
        <v>0.98333530000000002</v>
      </c>
      <c r="Q4460">
        <v>0.16479839999999901</v>
      </c>
      <c r="R4460">
        <v>7.6768020000000006E-2</v>
      </c>
      <c r="S4460">
        <v>3.0357970000000001</v>
      </c>
      <c r="T4460">
        <v>1.530683E-2</v>
      </c>
      <c r="U4460">
        <v>0.1556091</v>
      </c>
      <c r="V4460">
        <v>-8.2134639999999995E-2</v>
      </c>
      <c r="W4460">
        <v>0.1763672</v>
      </c>
      <c r="X4460">
        <v>0.98089170000000003</v>
      </c>
      <c r="Y4460">
        <v>-5.6648459999999998E-2</v>
      </c>
      <c r="Z4460" s="1">
        <v>9.926298E-5</v>
      </c>
      <c r="AA4460">
        <v>0.99839420000000001</v>
      </c>
      <c r="AB4460">
        <v>40</v>
      </c>
      <c r="AC4460">
        <v>145.36229999999901</v>
      </c>
      <c r="AD4460">
        <v>0.73489599999999999</v>
      </c>
      <c r="AE4460">
        <v>7.4737</v>
      </c>
      <c r="AF4460">
        <v>-8.2678292644898992</v>
      </c>
      <c r="AG4460">
        <v>0.73489599999999999</v>
      </c>
      <c r="AH4460">
        <v>145.31557848101599</v>
      </c>
      <c r="AI4460">
        <v>89.710711710082194</v>
      </c>
      <c r="AJ4460">
        <v>93.256371851698006</v>
      </c>
      <c r="AK4460">
        <v>145.55244560690099</v>
      </c>
      <c r="AL4460">
        <v>79.841769559983803</v>
      </c>
      <c r="AM4460">
        <v>94.786477080002996</v>
      </c>
      <c r="AN4460">
        <v>1.00000000772632</v>
      </c>
    </row>
    <row r="4461" spans="1:40" x14ac:dyDescent="0.25">
      <c r="A4461" t="str">
        <f>"20190304154842859"</f>
        <v>20190304154842859</v>
      </c>
      <c r="B4461" t="str">
        <f>"1551685722851053"</f>
        <v>1551685722851053</v>
      </c>
      <c r="C4461" t="s">
        <v>40</v>
      </c>
      <c r="D4461">
        <v>4.2587679999999999</v>
      </c>
      <c r="E4461">
        <v>0.50703920000000002</v>
      </c>
      <c r="F4461" t="s">
        <v>71</v>
      </c>
      <c r="G4461">
        <v>-157.8382</v>
      </c>
      <c r="H4461">
        <v>1.785561</v>
      </c>
      <c r="I4461">
        <v>221.7568</v>
      </c>
      <c r="J4461">
        <v>-302.81599999999997</v>
      </c>
      <c r="K4461">
        <v>1.1101179999999999</v>
      </c>
      <c r="L4461">
        <v>214.00489999999999</v>
      </c>
      <c r="M4461">
        <v>0.99991569999999996</v>
      </c>
      <c r="N4461">
        <v>-1.178178E-2</v>
      </c>
      <c r="O4461">
        <v>-5.4649599999999996E-3</v>
      </c>
      <c r="P4461">
        <v>0.98338369999999997</v>
      </c>
      <c r="Q4461">
        <v>0.16453690000000001</v>
      </c>
      <c r="R4461">
        <v>7.6709340000000001E-2</v>
      </c>
      <c r="S4461">
        <v>3.0357970000000001</v>
      </c>
      <c r="T4461">
        <v>1.410723E-2</v>
      </c>
      <c r="U4461">
        <v>0.16184999999999999</v>
      </c>
      <c r="V4461">
        <v>-8.2076289999999996E-2</v>
      </c>
      <c r="W4461">
        <v>0.1761095</v>
      </c>
      <c r="X4461">
        <v>0.9809428</v>
      </c>
      <c r="Y4461">
        <v>-5.8695249999999997E-2</v>
      </c>
      <c r="Z4461">
        <v>1.2002369999999999E-4</v>
      </c>
      <c r="AA4461">
        <v>0.99827589999999999</v>
      </c>
      <c r="AB4461">
        <v>40</v>
      </c>
      <c r="AC4461">
        <v>144.97779999999901</v>
      </c>
      <c r="AD4461">
        <v>0.67544300000000002</v>
      </c>
      <c r="AE4461">
        <v>7.7519</v>
      </c>
      <c r="AF4461">
        <v>-8.5439521409534507</v>
      </c>
      <c r="AG4461">
        <v>0.67544300000000002</v>
      </c>
      <c r="AH4461">
        <v>144.93013113701701</v>
      </c>
      <c r="AI4461">
        <v>89.733439274471806</v>
      </c>
      <c r="AJ4461">
        <v>93.373808281164102</v>
      </c>
      <c r="AK4461">
        <v>145.18332635955801</v>
      </c>
      <c r="AL4461">
        <v>79.856768621275904</v>
      </c>
      <c r="AM4461">
        <v>94.782844449679104</v>
      </c>
      <c r="AN4461">
        <v>0.99999992512112401</v>
      </c>
    </row>
    <row r="4462" spans="1:40" x14ac:dyDescent="0.25">
      <c r="A4462" t="str">
        <f>"20190304154842882"</f>
        <v>20190304154842882</v>
      </c>
      <c r="B4462" t="str">
        <f>"1551685722871084"</f>
        <v>1551685722871084</v>
      </c>
      <c r="C4462" t="s">
        <v>40</v>
      </c>
      <c r="D4462">
        <v>4.2803849999999999</v>
      </c>
      <c r="E4462">
        <v>0.50670809999999999</v>
      </c>
      <c r="F4462" t="s">
        <v>71</v>
      </c>
      <c r="G4462">
        <v>-157.8382</v>
      </c>
      <c r="H4462">
        <v>1.714127</v>
      </c>
      <c r="I4462">
        <v>221.77250000000001</v>
      </c>
      <c r="J4462">
        <v>-302.41640000000001</v>
      </c>
      <c r="K4462">
        <v>1.11012</v>
      </c>
      <c r="L4462">
        <v>214.0027</v>
      </c>
      <c r="M4462">
        <v>0.99991569999999996</v>
      </c>
      <c r="N4462">
        <v>-1.178499E-2</v>
      </c>
      <c r="O4462">
        <v>-5.46474E-3</v>
      </c>
      <c r="P4462">
        <v>0.98334350000000004</v>
      </c>
      <c r="Q4462">
        <v>0.1645017</v>
      </c>
      <c r="R4462">
        <v>7.7297550000000007E-2</v>
      </c>
      <c r="S4462">
        <v>3.0359189999999998</v>
      </c>
      <c r="T4462">
        <v>1.2649540000000001E-2</v>
      </c>
      <c r="U4462">
        <v>0.16265869999999999</v>
      </c>
      <c r="V4462">
        <v>-8.2663799999999996E-2</v>
      </c>
      <c r="W4462">
        <v>0.1760767</v>
      </c>
      <c r="X4462">
        <v>0.98089950000000004</v>
      </c>
      <c r="Y4462">
        <v>-5.8958070000000001E-2</v>
      </c>
      <c r="Z4462">
        <v>1.378203E-4</v>
      </c>
      <c r="AA4462">
        <v>0.99826040000000005</v>
      </c>
      <c r="AB4462">
        <v>40</v>
      </c>
      <c r="AC4462">
        <v>144.57820000000001</v>
      </c>
      <c r="AD4462">
        <v>0.60400699999999996</v>
      </c>
      <c r="AE4462">
        <v>7.7698</v>
      </c>
      <c r="AF4462">
        <v>-8.5596720844521492</v>
      </c>
      <c r="AG4462">
        <v>0.60400699999999996</v>
      </c>
      <c r="AH4462">
        <v>144.53106272086001</v>
      </c>
      <c r="AI4462">
        <v>89.760976507608106</v>
      </c>
      <c r="AJ4462">
        <v>93.3893122251189</v>
      </c>
      <c r="AK4462">
        <v>144.78556869339801</v>
      </c>
      <c r="AL4462">
        <v>79.858679226575205</v>
      </c>
      <c r="AM4462">
        <v>94.817131621863993</v>
      </c>
      <c r="AN4462">
        <v>1.00000006860678</v>
      </c>
    </row>
    <row r="4463" spans="1:40" x14ac:dyDescent="0.25">
      <c r="A4463" t="str">
        <f>"20190304154842905"</f>
        <v>20190304154842905</v>
      </c>
      <c r="B4463" t="str">
        <f>"1551685722901338"</f>
        <v>1551685722901338</v>
      </c>
      <c r="C4463" t="s">
        <v>40</v>
      </c>
      <c r="D4463">
        <v>4.2592119999999998</v>
      </c>
      <c r="E4463">
        <v>0.50631229999999905</v>
      </c>
      <c r="F4463" t="s">
        <v>71</v>
      </c>
      <c r="G4463">
        <v>-157.25</v>
      </c>
      <c r="H4463">
        <v>1.6022320000000001</v>
      </c>
      <c r="I4463">
        <v>221.99979999999999</v>
      </c>
      <c r="J4463">
        <v>-302.0147</v>
      </c>
      <c r="K4463">
        <v>1.1101219999999901</v>
      </c>
      <c r="L4463">
        <v>214.00049999999999</v>
      </c>
      <c r="M4463">
        <v>0.99991560000000002</v>
      </c>
      <c r="N4463">
        <v>-1.1788069999999999E-2</v>
      </c>
      <c r="O4463">
        <v>-5.4644000000000003E-3</v>
      </c>
      <c r="P4463">
        <v>0.98338409999999998</v>
      </c>
      <c r="Q4463">
        <v>0.16428209999999999</v>
      </c>
      <c r="R4463">
        <v>7.7248280000000002E-2</v>
      </c>
      <c r="S4463">
        <v>3.0359799999999999</v>
      </c>
      <c r="T4463">
        <v>1.0293129999999999E-2</v>
      </c>
      <c r="U4463">
        <v>0.1672516</v>
      </c>
      <c r="V4463">
        <v>-8.2614640000000003E-2</v>
      </c>
      <c r="W4463">
        <v>0.17586070000000001</v>
      </c>
      <c r="X4463">
        <v>0.98094230000000004</v>
      </c>
      <c r="Y4463">
        <v>-6.0462330000000002E-2</v>
      </c>
      <c r="Z4463">
        <v>1.71351699999999E-4</v>
      </c>
      <c r="AA4463">
        <v>0.99817040000000001</v>
      </c>
      <c r="AB4463">
        <v>40</v>
      </c>
      <c r="AC4463">
        <v>144.7647</v>
      </c>
      <c r="AD4463">
        <v>0.49210999999999999</v>
      </c>
      <c r="AE4463">
        <v>7.9992999999999999</v>
      </c>
      <c r="AF4463">
        <v>-8.7901864702161205</v>
      </c>
      <c r="AG4463">
        <v>0.49210999999999999</v>
      </c>
      <c r="AH4463">
        <v>144.71715673086001</v>
      </c>
      <c r="AI4463">
        <v>89.8055251415513</v>
      </c>
      <c r="AJ4463">
        <v>93.475901454731002</v>
      </c>
      <c r="AK4463">
        <v>144.98470609929001</v>
      </c>
      <c r="AL4463">
        <v>79.871250387086604</v>
      </c>
      <c r="AM4463">
        <v>94.814071284710906</v>
      </c>
      <c r="AN4463">
        <v>0.99999998023805403</v>
      </c>
    </row>
    <row r="4464" spans="1:40" x14ac:dyDescent="0.25">
      <c r="A4464" t="str">
        <f>"20190304154842927"</f>
        <v>20190304154842927</v>
      </c>
      <c r="B4464" t="str">
        <f>"1551685722920861"</f>
        <v>1551685722920861</v>
      </c>
      <c r="C4464" t="s">
        <v>40</v>
      </c>
      <c r="D4464">
        <v>4.243201</v>
      </c>
      <c r="E4464">
        <v>0.50611539999999999</v>
      </c>
      <c r="F4464" t="s">
        <v>71</v>
      </c>
      <c r="G4464">
        <v>-157.25</v>
      </c>
      <c r="H4464">
        <v>1.384555</v>
      </c>
      <c r="I4464">
        <v>222.0959</v>
      </c>
      <c r="J4464">
        <v>-301.62130000000002</v>
      </c>
      <c r="K4464">
        <v>1.110123</v>
      </c>
      <c r="L4464">
        <v>213.9983</v>
      </c>
      <c r="M4464">
        <v>0.99991549999999996</v>
      </c>
      <c r="N4464">
        <v>-1.179083E-2</v>
      </c>
      <c r="O4464">
        <v>-5.4640579999999999E-3</v>
      </c>
      <c r="P4464">
        <v>0.98338630000000005</v>
      </c>
      <c r="Q4464">
        <v>0.16440389999999999</v>
      </c>
      <c r="R4464">
        <v>7.6959459999999993E-2</v>
      </c>
      <c r="S4464">
        <v>3.0364070000000001</v>
      </c>
      <c r="T4464">
        <v>5.7573320000000004E-3</v>
      </c>
      <c r="U4464">
        <v>0.169799799999999</v>
      </c>
      <c r="V4464">
        <v>-8.2325110000000007E-2</v>
      </c>
      <c r="W4464">
        <v>0.17598559999999999</v>
      </c>
      <c r="X4464">
        <v>0.98094429999999999</v>
      </c>
      <c r="Y4464">
        <v>-6.1289200000000002E-2</v>
      </c>
      <c r="Z4464">
        <v>2.288306E-4</v>
      </c>
      <c r="AA4464">
        <v>0.99812000000000001</v>
      </c>
      <c r="AB4464">
        <v>40</v>
      </c>
      <c r="AC4464">
        <v>144.37129999999999</v>
      </c>
      <c r="AD4464">
        <v>0.27443200000000001</v>
      </c>
      <c r="AE4464">
        <v>8.0975999999999999</v>
      </c>
      <c r="AF4464">
        <v>-8.8863551347069691</v>
      </c>
      <c r="AG4464">
        <v>0.27443200000000001</v>
      </c>
      <c r="AH4464">
        <v>144.32437582348399</v>
      </c>
      <c r="AI4464">
        <v>89.891258455240603</v>
      </c>
      <c r="AJ4464">
        <v>93.523373536135594</v>
      </c>
      <c r="AK4464">
        <v>144.59795322666599</v>
      </c>
      <c r="AL4464">
        <v>79.863981352121101</v>
      </c>
      <c r="AM4464">
        <v>94.797269106128098</v>
      </c>
      <c r="AN4464">
        <v>1.0000000374231801</v>
      </c>
    </row>
    <row r="4465" spans="1:40" x14ac:dyDescent="0.25">
      <c r="A4465" t="str">
        <f>"20190304154842942"</f>
        <v>20190304154842942</v>
      </c>
      <c r="B4465" t="str">
        <f>"1551685722931594"</f>
        <v>1551685722931594</v>
      </c>
      <c r="C4465" t="s">
        <v>40</v>
      </c>
      <c r="D4465">
        <v>4.2572729999999996</v>
      </c>
      <c r="E4465">
        <v>0.5060076</v>
      </c>
      <c r="F4465" t="s">
        <v>71</v>
      </c>
      <c r="G4465">
        <v>-157.25</v>
      </c>
      <c r="H4465">
        <v>1.305509</v>
      </c>
      <c r="I4465">
        <v>222.10740000000001</v>
      </c>
      <c r="J4465">
        <v>-301.35649999999998</v>
      </c>
      <c r="K4465">
        <v>1.110123</v>
      </c>
      <c r="L4465">
        <v>213.99680000000001</v>
      </c>
      <c r="M4465">
        <v>0.99991569999999996</v>
      </c>
      <c r="N4465">
        <v>-1.1792530000000001E-2</v>
      </c>
      <c r="O4465">
        <v>-5.4640679999999999E-3</v>
      </c>
      <c r="P4465">
        <v>0.98343939999999996</v>
      </c>
      <c r="Q4465">
        <v>0.1642777</v>
      </c>
      <c r="R4465">
        <v>7.6552019999999998E-2</v>
      </c>
      <c r="S4465">
        <v>3.0366209999999998</v>
      </c>
      <c r="T4465">
        <v>4.1108129999999996E-3</v>
      </c>
      <c r="U4465">
        <v>0.17056270000000001</v>
      </c>
      <c r="V4465">
        <v>-8.1918599999999994E-2</v>
      </c>
      <c r="W4465">
        <v>0.1758612</v>
      </c>
      <c r="X4465">
        <v>0.9810006</v>
      </c>
      <c r="Y4465">
        <v>-6.1535180000000002E-2</v>
      </c>
      <c r="Z4465">
        <v>2.4973049999999999E-4</v>
      </c>
      <c r="AA4465">
        <v>0.99810489999999996</v>
      </c>
      <c r="AB4465">
        <v>40</v>
      </c>
      <c r="AC4465">
        <v>144.10649999999899</v>
      </c>
      <c r="AD4465">
        <v>0.195386</v>
      </c>
      <c r="AE4465">
        <v>8.1105999999999998</v>
      </c>
      <c r="AF4465">
        <v>-8.8979249437302101</v>
      </c>
      <c r="AG4465">
        <v>0.195386</v>
      </c>
      <c r="AH4465">
        <v>144.05976452548299</v>
      </c>
      <c r="AI4465">
        <v>89.922438486929906</v>
      </c>
      <c r="AJ4465">
        <v>93.534413082705598</v>
      </c>
      <c r="AK4465">
        <v>144.334427629484</v>
      </c>
      <c r="AL4465">
        <v>79.871221466901602</v>
      </c>
      <c r="AM4465">
        <v>94.773417898581101</v>
      </c>
      <c r="AN4465">
        <v>0.99999999794587902</v>
      </c>
    </row>
    <row r="4466" spans="1:40" x14ac:dyDescent="0.25">
      <c r="A4466" t="str">
        <f>"20190304154842959"</f>
        <v>20190304154842959</v>
      </c>
      <c r="B4466" t="str">
        <f>"1551685722951114"</f>
        <v>1551685722951114</v>
      </c>
      <c r="C4466" t="s">
        <v>40</v>
      </c>
      <c r="D4466">
        <v>4.2767609999999996</v>
      </c>
      <c r="E4466">
        <v>0.50578449999999997</v>
      </c>
      <c r="F4466" t="s">
        <v>71</v>
      </c>
      <c r="G4466">
        <v>-157.25</v>
      </c>
      <c r="H4466">
        <v>1.2336009999999999</v>
      </c>
      <c r="I4466">
        <v>222.07239999999999</v>
      </c>
      <c r="J4466">
        <v>-301.03710000000001</v>
      </c>
      <c r="K4466">
        <v>1.110125</v>
      </c>
      <c r="L4466">
        <v>213.99510000000001</v>
      </c>
      <c r="M4466">
        <v>0.99991560000000002</v>
      </c>
      <c r="N4466">
        <v>-1.1794489999999999E-2</v>
      </c>
      <c r="O4466">
        <v>-5.4637219999999998E-3</v>
      </c>
      <c r="P4466">
        <v>0.9834524</v>
      </c>
      <c r="Q4466">
        <v>0.16438469999999999</v>
      </c>
      <c r="R4466">
        <v>7.6151549999999998E-2</v>
      </c>
      <c r="S4466">
        <v>3.036835</v>
      </c>
      <c r="T4466">
        <v>2.6032920000000001E-3</v>
      </c>
      <c r="U4466">
        <v>0.17018129999999901</v>
      </c>
      <c r="V4466">
        <v>-8.1517510000000001E-2</v>
      </c>
      <c r="W4466">
        <v>0.1759706</v>
      </c>
      <c r="X4466">
        <v>0.98101439999999995</v>
      </c>
      <c r="Y4466">
        <v>-6.1405800000000003E-2</v>
      </c>
      <c r="Z4466">
        <v>2.6705020000000003E-4</v>
      </c>
      <c r="AA4466">
        <v>0.99811289999999997</v>
      </c>
      <c r="AB4466">
        <v>40</v>
      </c>
      <c r="AC4466">
        <v>143.78710000000001</v>
      </c>
      <c r="AD4466">
        <v>0.123475999999999</v>
      </c>
      <c r="AE4466">
        <v>8.0772999999999797</v>
      </c>
      <c r="AF4466">
        <v>-8.8628402283272596</v>
      </c>
      <c r="AG4466">
        <v>0.123475999999999</v>
      </c>
      <c r="AH4466">
        <v>143.74071264668001</v>
      </c>
      <c r="AI4466">
        <v>89.950875142338305</v>
      </c>
      <c r="AJ4466">
        <v>93.5283064651194</v>
      </c>
      <c r="AK4466">
        <v>144.013741203438</v>
      </c>
      <c r="AL4466">
        <v>79.864854079105797</v>
      </c>
      <c r="AM4466">
        <v>94.750086974737002</v>
      </c>
      <c r="AN4466">
        <v>1.00000000475416</v>
      </c>
    </row>
    <row r="4467" spans="1:40" x14ac:dyDescent="0.25">
      <c r="A4467" t="str">
        <f>"20190304154842982"</f>
        <v>20190304154842982</v>
      </c>
      <c r="B4467" t="str">
        <f>"1551685722971610"</f>
        <v>1551685722971610</v>
      </c>
      <c r="C4467" t="s">
        <v>40</v>
      </c>
      <c r="D4467">
        <v>4.2441120000000003</v>
      </c>
      <c r="E4467">
        <v>0.50560439999999995</v>
      </c>
      <c r="F4467" t="s">
        <v>71</v>
      </c>
      <c r="G4467">
        <v>-157.25</v>
      </c>
      <c r="H4467">
        <v>1.1483219999999901</v>
      </c>
      <c r="I4467">
        <v>222.0643</v>
      </c>
      <c r="J4467">
        <v>-300.65370000000001</v>
      </c>
      <c r="K4467">
        <v>1.1101259999999999</v>
      </c>
      <c r="L4467">
        <v>213.99299999999999</v>
      </c>
      <c r="M4467">
        <v>0.99991569999999996</v>
      </c>
      <c r="N4467">
        <v>-1.179672E-2</v>
      </c>
      <c r="O4467">
        <v>-5.4633769999999898E-3</v>
      </c>
      <c r="P4467">
        <v>0.98342929999999995</v>
      </c>
      <c r="Q4467">
        <v>0.1646117</v>
      </c>
      <c r="R4467">
        <v>7.5962660000000001E-2</v>
      </c>
      <c r="S4467">
        <v>3.0371090000000001</v>
      </c>
      <c r="T4467">
        <v>8.080006E-4</v>
      </c>
      <c r="U4467">
        <v>0.1704407</v>
      </c>
      <c r="V4467">
        <v>-8.1328399999999995E-2</v>
      </c>
      <c r="W4467">
        <v>0.17619960000000001</v>
      </c>
      <c r="X4467">
        <v>0.980989</v>
      </c>
      <c r="Y4467">
        <v>-6.148526E-2</v>
      </c>
      <c r="Z4467">
        <v>2.8893529999999998E-4</v>
      </c>
      <c r="AA4467">
        <v>0.998108</v>
      </c>
      <c r="AB4467">
        <v>40</v>
      </c>
      <c r="AC4467">
        <v>143.40369999999999</v>
      </c>
      <c r="AD4467">
        <v>3.8195999999999897E-2</v>
      </c>
      <c r="AE4467">
        <v>8.0713000000000008</v>
      </c>
      <c r="AF4467">
        <v>-8.8547017310158491</v>
      </c>
      <c r="AG4467">
        <v>3.8195999999999897E-2</v>
      </c>
      <c r="AH4467">
        <v>143.35744974282301</v>
      </c>
      <c r="AI4467">
        <v>89.984763213735306</v>
      </c>
      <c r="AJ4467">
        <v>93.534475042524306</v>
      </c>
      <c r="AK4467">
        <v>143.63065688927901</v>
      </c>
      <c r="AL4467">
        <v>79.851525162892599</v>
      </c>
      <c r="AM4467">
        <v>94.739239788750595</v>
      </c>
      <c r="AN4467">
        <v>1.00000001290386</v>
      </c>
    </row>
    <row r="4468" spans="1:40" x14ac:dyDescent="0.25">
      <c r="A4468" t="str">
        <f>"20190304154843004"</f>
        <v>20190304154843004</v>
      </c>
      <c r="B4468" t="str">
        <f>"1551685723000889"</f>
        <v>1551685723000889</v>
      </c>
      <c r="C4468" t="s">
        <v>40</v>
      </c>
      <c r="D4468">
        <v>4.2914149999999998</v>
      </c>
      <c r="E4468">
        <v>0.50531289999999995</v>
      </c>
      <c r="F4468" t="s">
        <v>71</v>
      </c>
      <c r="G4468">
        <v>-157.25</v>
      </c>
      <c r="H4468">
        <v>1.093736</v>
      </c>
      <c r="I4468">
        <v>222.07380000000001</v>
      </c>
      <c r="J4468">
        <v>-300.25020000000001</v>
      </c>
      <c r="K4468">
        <v>1.110128</v>
      </c>
      <c r="L4468">
        <v>213.99080000000001</v>
      </c>
      <c r="M4468">
        <v>0.99991549999999996</v>
      </c>
      <c r="N4468">
        <v>-1.1798929999999999E-2</v>
      </c>
      <c r="O4468">
        <v>-5.4632700000000001E-3</v>
      </c>
      <c r="P4468">
        <v>0.98338559999999997</v>
      </c>
      <c r="Q4468">
        <v>0.16491939999999999</v>
      </c>
      <c r="R4468">
        <v>7.5860220000000006E-2</v>
      </c>
      <c r="S4468">
        <v>3.0373839999999999</v>
      </c>
      <c r="T4468">
        <v>-3.4594539999999998E-4</v>
      </c>
      <c r="U4468">
        <v>0.1711578</v>
      </c>
      <c r="V4468">
        <v>-8.1225599999999995E-2</v>
      </c>
      <c r="W4468">
        <v>0.1765089</v>
      </c>
      <c r="X4468">
        <v>0.98094190000000003</v>
      </c>
      <c r="Y4468">
        <v>-6.1714909999999998E-2</v>
      </c>
      <c r="Z4468">
        <v>3.0411019999999997E-4</v>
      </c>
      <c r="AA4468">
        <v>0.99809380000000003</v>
      </c>
      <c r="AB4468">
        <v>40</v>
      </c>
      <c r="AC4468">
        <v>143.00020000000001</v>
      </c>
      <c r="AD4468">
        <v>-1.63919999999999E-2</v>
      </c>
      <c r="AE4468">
        <v>8.0829999999999895</v>
      </c>
      <c r="AF4468">
        <v>-8.86418230023272</v>
      </c>
      <c r="AG4468">
        <v>-1.63919999999999E-2</v>
      </c>
      <c r="AH4468">
        <v>142.95390104433201</v>
      </c>
      <c r="AI4468">
        <v>90.006557303054905</v>
      </c>
      <c r="AJ4468">
        <v>93.548212478143995</v>
      </c>
      <c r="AK4468">
        <v>143.22846023169501</v>
      </c>
      <c r="AL4468">
        <v>79.833521274055599</v>
      </c>
      <c r="AM4468">
        <v>94.733502807989296</v>
      </c>
      <c r="AN4468">
        <v>1.00000000052509</v>
      </c>
    </row>
    <row r="4469" spans="1:40" x14ac:dyDescent="0.25">
      <c r="A4469" t="str">
        <f>"20190304154843020"</f>
        <v>20190304154843020</v>
      </c>
      <c r="B4469" t="str">
        <f>"1551685723011627"</f>
        <v>1551685723011627</v>
      </c>
      <c r="C4469" t="s">
        <v>40</v>
      </c>
      <c r="D4469">
        <v>4.2826300000000002</v>
      </c>
      <c r="E4469">
        <v>0.50521709999999997</v>
      </c>
      <c r="F4469" t="s">
        <v>71</v>
      </c>
      <c r="G4469">
        <v>-157.25</v>
      </c>
      <c r="H4469">
        <v>1.019776</v>
      </c>
      <c r="I4469">
        <v>222.1474</v>
      </c>
      <c r="J4469">
        <v>-299.97059999999999</v>
      </c>
      <c r="K4469">
        <v>1.110131</v>
      </c>
      <c r="L4469">
        <v>213.98929999999999</v>
      </c>
      <c r="M4469">
        <v>0.99991549999999996</v>
      </c>
      <c r="N4469">
        <v>-1.1800400000000001E-2</v>
      </c>
      <c r="O4469">
        <v>-5.4630410000000001E-3</v>
      </c>
      <c r="P4469">
        <v>0.98331400000000002</v>
      </c>
      <c r="Q4469">
        <v>0.165325799999999</v>
      </c>
      <c r="R4469">
        <v>7.5902059999999993E-2</v>
      </c>
      <c r="S4469">
        <v>3.0376280000000002</v>
      </c>
      <c r="T4469">
        <v>-1.918077E-3</v>
      </c>
      <c r="U4469">
        <v>0.17326349999999999</v>
      </c>
      <c r="V4469">
        <v>-8.1266329999999998E-2</v>
      </c>
      <c r="W4469">
        <v>0.17691579999999901</v>
      </c>
      <c r="X4469">
        <v>0.98086519999999999</v>
      </c>
      <c r="Y4469">
        <v>-6.2399650000000001E-2</v>
      </c>
      <c r="Z4469">
        <v>3.2720079999999999E-4</v>
      </c>
      <c r="AA4469">
        <v>0.99805120000000003</v>
      </c>
      <c r="AB4469">
        <v>40</v>
      </c>
      <c r="AC4469">
        <v>142.72059999999999</v>
      </c>
      <c r="AD4469">
        <v>-9.0354999999999894E-2</v>
      </c>
      <c r="AE4469">
        <v>8.1581000000000099</v>
      </c>
      <c r="AF4469">
        <v>-8.9377174141207494</v>
      </c>
      <c r="AG4469">
        <v>-9.0354999999999894E-2</v>
      </c>
      <c r="AH4469">
        <v>142.67384181885899</v>
      </c>
      <c r="AI4469">
        <v>90.036214285514902</v>
      </c>
      <c r="AJ4469">
        <v>93.584575697842794</v>
      </c>
      <c r="AK4469">
        <v>142.953545237443</v>
      </c>
      <c r="AL4469">
        <v>79.809834631599301</v>
      </c>
      <c r="AM4469">
        <v>94.736234238170695</v>
      </c>
      <c r="AN4469">
        <v>0.99999997862617396</v>
      </c>
    </row>
    <row r="4470" spans="1:40" x14ac:dyDescent="0.25">
      <c r="A4470" t="str">
        <f>"20190304154843039"</f>
        <v>20190304154843039</v>
      </c>
      <c r="B4470" t="str">
        <f>"1551685723031146"</f>
        <v>1551685723031146</v>
      </c>
      <c r="C4470" t="s">
        <v>40</v>
      </c>
      <c r="D4470">
        <v>4.3544199999999904</v>
      </c>
      <c r="E4470">
        <v>0.50584449999999903</v>
      </c>
      <c r="F4470" t="s">
        <v>71</v>
      </c>
      <c r="G4470">
        <v>-165.63679999999999</v>
      </c>
      <c r="H4470">
        <v>1.0651200000000001</v>
      </c>
      <c r="I4470">
        <v>221.6901</v>
      </c>
      <c r="J4470">
        <v>-299.63639999999998</v>
      </c>
      <c r="K4470">
        <v>1.1101289999999999</v>
      </c>
      <c r="L4470">
        <v>213.98740000000001</v>
      </c>
      <c r="M4470">
        <v>0.99991540000000001</v>
      </c>
      <c r="N4470">
        <v>-1.1802099999999999E-2</v>
      </c>
      <c r="O4470">
        <v>-5.4628119999999896E-3</v>
      </c>
      <c r="P4470">
        <v>0.98328380000000004</v>
      </c>
      <c r="Q4470">
        <v>0.16538849999999999</v>
      </c>
      <c r="R4470">
        <v>7.615479E-2</v>
      </c>
      <c r="S4470">
        <v>3.037598</v>
      </c>
      <c r="T4470">
        <v>-1.016498E-3</v>
      </c>
      <c r="U4470">
        <v>0.17413329999999999</v>
      </c>
      <c r="V4470">
        <v>-8.1518889999999997E-2</v>
      </c>
      <c r="W4470">
        <v>0.17697969999999999</v>
      </c>
      <c r="X4470">
        <v>0.98083279999999995</v>
      </c>
      <c r="Y4470">
        <v>-6.2684920000000005E-2</v>
      </c>
      <c r="Z4470">
        <v>3.1811030000000002E-4</v>
      </c>
      <c r="AA4470">
        <v>0.99803330000000001</v>
      </c>
      <c r="AB4470">
        <v>40</v>
      </c>
      <c r="AC4470">
        <v>133.99959999999999</v>
      </c>
      <c r="AD4470">
        <v>-4.5009E-2</v>
      </c>
      <c r="AE4470">
        <v>7.7026999999999903</v>
      </c>
      <c r="AF4470">
        <v>-8.4346497329672694</v>
      </c>
      <c r="AG4470">
        <v>-4.5009E-2</v>
      </c>
      <c r="AH4470">
        <v>133.95550387988001</v>
      </c>
      <c r="AI4470">
        <v>90.019213310046197</v>
      </c>
      <c r="AJ4470">
        <v>93.602932729251705</v>
      </c>
      <c r="AK4470">
        <v>134.220797053365</v>
      </c>
      <c r="AL4470">
        <v>79.806115597250795</v>
      </c>
      <c r="AM4470">
        <v>94.751042482429</v>
      </c>
      <c r="AN4470">
        <v>1.00000006259737</v>
      </c>
    </row>
    <row r="4471" spans="1:40" x14ac:dyDescent="0.25">
      <c r="A4471" t="str">
        <f>"20190304154843060"</f>
        <v>20190304154843060</v>
      </c>
      <c r="B4471" t="str">
        <f>"1551685723051643"</f>
        <v>1551685723051643</v>
      </c>
      <c r="C4471" t="s">
        <v>40</v>
      </c>
      <c r="D4471">
        <v>4.3307289999999998</v>
      </c>
      <c r="E4471">
        <v>0.54160529999999996</v>
      </c>
      <c r="F4471" t="s">
        <v>71</v>
      </c>
      <c r="G4471">
        <v>-157.25</v>
      </c>
      <c r="H4471">
        <v>1.0747910000000001</v>
      </c>
      <c r="I4471">
        <v>221.93780000000001</v>
      </c>
      <c r="J4471">
        <v>-299.26519999999999</v>
      </c>
      <c r="K4471">
        <v>1.110123</v>
      </c>
      <c r="L4471">
        <v>213.9854</v>
      </c>
      <c r="M4471">
        <v>0.99991549999999996</v>
      </c>
      <c r="N4471">
        <v>-1.1803940000000001E-2</v>
      </c>
      <c r="O4471">
        <v>-5.4625849999999998E-3</v>
      </c>
      <c r="P4471">
        <v>0.98327140000000002</v>
      </c>
      <c r="Q4471">
        <v>0.16532179999999999</v>
      </c>
      <c r="R4471">
        <v>7.6461879999999996E-2</v>
      </c>
      <c r="S4471">
        <v>3.0380250000000002</v>
      </c>
      <c r="T4471">
        <v>-7.5280669999999998E-4</v>
      </c>
      <c r="U4471">
        <v>0.16963200000000001</v>
      </c>
      <c r="V4471">
        <v>-8.1825259999999997E-2</v>
      </c>
      <c r="W4471">
        <v>0.1769145</v>
      </c>
      <c r="X4471">
        <v>0.980819</v>
      </c>
      <c r="Y4471">
        <v>-6.1202600000000003E-2</v>
      </c>
      <c r="Z4471">
        <v>3.0600959999999998E-4</v>
      </c>
      <c r="AA4471">
        <v>0.99812529999999999</v>
      </c>
      <c r="AB4471">
        <v>40</v>
      </c>
      <c r="AC4471">
        <v>142.01519999999999</v>
      </c>
      <c r="AD4471">
        <v>-3.5331999999999898E-2</v>
      </c>
      <c r="AE4471">
        <v>7.9524000000000097</v>
      </c>
      <c r="AF4471">
        <v>-8.7281048772030694</v>
      </c>
      <c r="AG4471">
        <v>-3.5331999999999898E-2</v>
      </c>
      <c r="AH4471">
        <v>141.96962839055499</v>
      </c>
      <c r="AI4471">
        <v>90.014232336753295</v>
      </c>
      <c r="AJ4471">
        <v>93.518040865405496</v>
      </c>
      <c r="AK4471">
        <v>142.237675910603</v>
      </c>
      <c r="AL4471">
        <v>79.809910654832194</v>
      </c>
      <c r="AM4471">
        <v>94.768882773885593</v>
      </c>
      <c r="AN4471">
        <v>1.00000001212265</v>
      </c>
    </row>
    <row r="4472" spans="1:40" x14ac:dyDescent="0.25">
      <c r="A4472" t="str">
        <f>"20190304154843083"</f>
        <v>20190304154843083</v>
      </c>
      <c r="B4472" t="str">
        <f>"1551685723080923"</f>
        <v>1551685723080923</v>
      </c>
      <c r="C4472" t="s">
        <v>40</v>
      </c>
      <c r="D4472">
        <v>4.2922039999999999</v>
      </c>
      <c r="E4472">
        <v>0.54790300000000003</v>
      </c>
      <c r="F4472" t="s">
        <v>54</v>
      </c>
      <c r="G4472">
        <v>-192.89580000000001</v>
      </c>
      <c r="H4472" s="1">
        <v>3.8544690000000003E-6</v>
      </c>
      <c r="I4472">
        <v>210.00049999999999</v>
      </c>
      <c r="J4472">
        <v>-298.85669999999999</v>
      </c>
      <c r="K4472">
        <v>1.11012</v>
      </c>
      <c r="L4472">
        <v>213.98320000000001</v>
      </c>
      <c r="M4472">
        <v>0.99991540000000001</v>
      </c>
      <c r="N4472">
        <v>-1.1805889999999999E-2</v>
      </c>
      <c r="O4472">
        <v>-5.4621189999999997E-3</v>
      </c>
      <c r="P4472">
        <v>0.98323579999999999</v>
      </c>
      <c r="Q4472">
        <v>0.1653464</v>
      </c>
      <c r="R4472">
        <v>7.6864600000000005E-2</v>
      </c>
      <c r="S4472">
        <v>3.0653380000000001</v>
      </c>
      <c r="T4472">
        <v>-3.1991239999999997E-2</v>
      </c>
      <c r="U4472">
        <v>-0.1148376</v>
      </c>
      <c r="V4472">
        <v>-8.2227999999999996E-2</v>
      </c>
      <c r="W4472">
        <v>0.17694070000000001</v>
      </c>
      <c r="X4472">
        <v>0.9807806</v>
      </c>
      <c r="Y4472">
        <v>3.1974099999999998E-2</v>
      </c>
      <c r="Z4472">
        <v>-3.630951E-4</v>
      </c>
      <c r="AA4472">
        <v>0.99948870000000001</v>
      </c>
      <c r="AB4472">
        <v>40</v>
      </c>
      <c r="AC4472">
        <v>105.960899999999</v>
      </c>
      <c r="AD4472">
        <v>-1.110116145531</v>
      </c>
      <c r="AE4472">
        <v>-3.9827000000000199</v>
      </c>
      <c r="AF4472">
        <v>3.4034561646799601</v>
      </c>
      <c r="AG4472">
        <v>-1.110116145531</v>
      </c>
      <c r="AH4472">
        <v>105.969459768758</v>
      </c>
      <c r="AI4472">
        <v>90.599888566336901</v>
      </c>
      <c r="AJ4472">
        <v>88.160444852374994</v>
      </c>
      <c r="AK4472">
        <v>106.029912172952</v>
      </c>
      <c r="AL4472">
        <v>79.808385527914197</v>
      </c>
      <c r="AM4472">
        <v>94.792432688970194</v>
      </c>
      <c r="AN4472">
        <v>1.0000000203184201</v>
      </c>
    </row>
    <row r="4473" spans="1:40" x14ac:dyDescent="0.25">
      <c r="A4473" t="str">
        <f>"20190304154843106"</f>
        <v>20190304154843106</v>
      </c>
      <c r="B4473" t="str">
        <f>"1551685723101419"</f>
        <v>1551685723101419</v>
      </c>
      <c r="C4473" t="s">
        <v>40</v>
      </c>
      <c r="D4473">
        <v>4.313199</v>
      </c>
      <c r="E4473">
        <v>0.54858850000000003</v>
      </c>
      <c r="F4473" t="s">
        <v>70</v>
      </c>
      <c r="G4473">
        <v>-168.41040000000001</v>
      </c>
      <c r="H4473">
        <v>0.35872270000000001</v>
      </c>
      <c r="I4473">
        <v>207.0394</v>
      </c>
      <c r="J4473">
        <v>-298.45979999999997</v>
      </c>
      <c r="K4473">
        <v>1.1101209999999999</v>
      </c>
      <c r="L4473">
        <v>213.98099999999999</v>
      </c>
      <c r="M4473">
        <v>0.99991540000000001</v>
      </c>
      <c r="N4473">
        <v>-1.1807689999999999E-2</v>
      </c>
      <c r="O4473">
        <v>-5.4617719999999897E-3</v>
      </c>
      <c r="P4473">
        <v>0.98322500000000002</v>
      </c>
      <c r="Q4473">
        <v>0.16535329999999901</v>
      </c>
      <c r="R4473">
        <v>7.6985670000000006E-2</v>
      </c>
      <c r="S4473">
        <v>3.0668950000000001</v>
      </c>
      <c r="T4473">
        <v>-1.7665150000000001E-2</v>
      </c>
      <c r="U4473">
        <v>-0.16325379999999901</v>
      </c>
      <c r="V4473">
        <v>-8.2348539999999998E-2</v>
      </c>
      <c r="W4473">
        <v>0.1769492</v>
      </c>
      <c r="X4473">
        <v>0.98076890000000005</v>
      </c>
      <c r="Y4473">
        <v>4.7698190000000001E-2</v>
      </c>
      <c r="Z4473">
        <v>-4.5210500000000001E-4</v>
      </c>
      <c r="AA4473">
        <v>0.99886169999999996</v>
      </c>
      <c r="AB4473">
        <v>40</v>
      </c>
      <c r="AC4473">
        <v>130.049399999999</v>
      </c>
      <c r="AD4473">
        <v>-0.75139829999999996</v>
      </c>
      <c r="AE4473">
        <v>-6.9415999999999896</v>
      </c>
      <c r="AF4473">
        <v>6.2309393607093204</v>
      </c>
      <c r="AG4473">
        <v>-0.75139829999999996</v>
      </c>
      <c r="AH4473">
        <v>130.08104590282699</v>
      </c>
      <c r="AI4473">
        <v>90.330579819325607</v>
      </c>
      <c r="AJ4473">
        <v>87.257603090660098</v>
      </c>
      <c r="AK4473">
        <v>130.23236044814399</v>
      </c>
      <c r="AL4473">
        <v>79.807890170180599</v>
      </c>
      <c r="AM4473">
        <v>94.799482224789699</v>
      </c>
      <c r="AN4473">
        <v>0.99999996831398996</v>
      </c>
    </row>
    <row r="4474" spans="1:40" x14ac:dyDescent="0.25">
      <c r="A4474" t="str">
        <f>"20190304154843128"</f>
        <v>20190304154843128</v>
      </c>
      <c r="B4474" t="str">
        <f>"1551685723120943"</f>
        <v>1551685723120943</v>
      </c>
      <c r="C4474" t="s">
        <v>40</v>
      </c>
      <c r="D4474">
        <v>4.3059250000000002</v>
      </c>
      <c r="E4474">
        <v>0.54919759999999995</v>
      </c>
      <c r="F4474" t="s">
        <v>70</v>
      </c>
      <c r="G4474">
        <v>-168.41050000000001</v>
      </c>
      <c r="H4474">
        <v>0.40216059999999998</v>
      </c>
      <c r="I4474">
        <v>206.83269999999999</v>
      </c>
      <c r="J4474">
        <v>-298.05309999999997</v>
      </c>
      <c r="K4474">
        <v>1.1101179999999999</v>
      </c>
      <c r="L4474">
        <v>213.97880000000001</v>
      </c>
      <c r="M4474">
        <v>0.99991549999999996</v>
      </c>
      <c r="N4474">
        <v>-1.1809450000000001E-2</v>
      </c>
      <c r="O4474">
        <v>-5.4616630000000003E-3</v>
      </c>
      <c r="P4474">
        <v>0.98322609999999999</v>
      </c>
      <c r="Q4474">
        <v>0.16538410000000001</v>
      </c>
      <c r="R4474">
        <v>7.690785E-2</v>
      </c>
      <c r="S4474">
        <v>3.0672299999999999</v>
      </c>
      <c r="T4474">
        <v>-1.6696570000000001E-2</v>
      </c>
      <c r="U4474">
        <v>-0.16859440000000001</v>
      </c>
      <c r="V4474">
        <v>-8.2270419999999997E-2</v>
      </c>
      <c r="W4474">
        <v>0.17698150000000001</v>
      </c>
      <c r="X4474">
        <v>0.98076960000000002</v>
      </c>
      <c r="Y4474">
        <v>4.9426640000000001E-2</v>
      </c>
      <c r="Z4474">
        <v>-4.6126229999999998E-4</v>
      </c>
      <c r="AA4474">
        <v>0.99877760000000004</v>
      </c>
      <c r="AB4474">
        <v>40</v>
      </c>
      <c r="AC4474">
        <v>129.64259999999899</v>
      </c>
      <c r="AD4474">
        <v>-0.70795739999999996</v>
      </c>
      <c r="AE4474">
        <v>-7.1461000000000103</v>
      </c>
      <c r="AF4474">
        <v>6.4376885408796403</v>
      </c>
      <c r="AG4474">
        <v>-0.70795739999999996</v>
      </c>
      <c r="AH4474">
        <v>129.675843099481</v>
      </c>
      <c r="AI4474">
        <v>90.312414985042395</v>
      </c>
      <c r="AJ4474">
        <v>87.157914685993006</v>
      </c>
      <c r="AK4474">
        <v>129.83747271489401</v>
      </c>
      <c r="AL4474">
        <v>79.806009556031697</v>
      </c>
      <c r="AM4474">
        <v>94.794947025041097</v>
      </c>
      <c r="AN4474">
        <v>0.99999994081669097</v>
      </c>
    </row>
    <row r="4475" spans="1:40" x14ac:dyDescent="0.25">
      <c r="A4475" t="str">
        <f>"20190304154843151"</f>
        <v>20190304154843151</v>
      </c>
      <c r="B4475" t="str">
        <f>"1551685723141434"</f>
        <v>1551685723141434</v>
      </c>
      <c r="C4475" t="s">
        <v>40</v>
      </c>
      <c r="D4475">
        <v>4.4223999999999997</v>
      </c>
      <c r="E4475">
        <v>0.54990839999999996</v>
      </c>
      <c r="F4475" t="s">
        <v>70</v>
      </c>
      <c r="G4475">
        <v>-168.41059999999999</v>
      </c>
      <c r="H4475">
        <v>0.37503809999999999</v>
      </c>
      <c r="I4475">
        <v>206.64230000000001</v>
      </c>
      <c r="J4475">
        <v>-297.6567</v>
      </c>
      <c r="K4475">
        <v>1.11012</v>
      </c>
      <c r="L4475">
        <v>213.97659999999999</v>
      </c>
      <c r="M4475">
        <v>0.99991529999999995</v>
      </c>
      <c r="N4475">
        <v>-1.18111E-2</v>
      </c>
      <c r="O4475">
        <v>-5.4613140000000001E-3</v>
      </c>
      <c r="P4475">
        <v>0.98322880000000001</v>
      </c>
      <c r="Q4475">
        <v>0.16549929999999999</v>
      </c>
      <c r="R4475">
        <v>7.6624390000000001E-2</v>
      </c>
      <c r="S4475">
        <v>3.0676570000000001</v>
      </c>
      <c r="T4475">
        <v>-1.7392990000000001E-2</v>
      </c>
      <c r="U4475">
        <v>-0.17359920000000001</v>
      </c>
      <c r="V4475">
        <v>-8.1986669999999998E-2</v>
      </c>
      <c r="W4475">
        <v>0.17709839999999999</v>
      </c>
      <c r="X4475">
        <v>0.98077230000000004</v>
      </c>
      <c r="Y4475">
        <v>5.1043529999999997E-2</v>
      </c>
      <c r="Z4475">
        <v>-4.7980549999999999E-4</v>
      </c>
      <c r="AA4475">
        <v>0.99869629999999998</v>
      </c>
      <c r="AB4475">
        <v>40</v>
      </c>
      <c r="AC4475">
        <v>129.24610000000001</v>
      </c>
      <c r="AD4475">
        <v>-0.73508189999999995</v>
      </c>
      <c r="AE4475">
        <v>-7.3342999999999803</v>
      </c>
      <c r="AF4475">
        <v>6.6280740988820801</v>
      </c>
      <c r="AG4475">
        <v>-0.73508189999999995</v>
      </c>
      <c r="AH4475">
        <v>129.2800615598</v>
      </c>
      <c r="AI4475">
        <v>90.325350977574502</v>
      </c>
      <c r="AJ4475">
        <v>87.065065912362797</v>
      </c>
      <c r="AK4475">
        <v>129.451944862044</v>
      </c>
      <c r="AL4475">
        <v>79.799204592177006</v>
      </c>
      <c r="AM4475">
        <v>94.778472909997404</v>
      </c>
      <c r="AN4475">
        <v>0.99999998089376896</v>
      </c>
    </row>
    <row r="4476" spans="1:40" x14ac:dyDescent="0.25">
      <c r="A4476" t="str">
        <f>"20190304154843173"</f>
        <v>20190304154843173</v>
      </c>
      <c r="B4476" t="str">
        <f>"1551685723160955"</f>
        <v>1551685723160955</v>
      </c>
      <c r="C4476" t="s">
        <v>40</v>
      </c>
      <c r="D4476">
        <v>4.3459190000000003</v>
      </c>
      <c r="E4476">
        <v>0.55019949999999995</v>
      </c>
      <c r="F4476" t="s">
        <v>70</v>
      </c>
      <c r="G4476">
        <v>-168.41069999999999</v>
      </c>
      <c r="H4476">
        <v>0.47599409999999998</v>
      </c>
      <c r="I4476">
        <v>206.39660000000001</v>
      </c>
      <c r="J4476">
        <v>-297.27710000000002</v>
      </c>
      <c r="K4476">
        <v>1.110123</v>
      </c>
      <c r="L4476">
        <v>213.97450000000001</v>
      </c>
      <c r="M4476">
        <v>0.99991540000000001</v>
      </c>
      <c r="N4476">
        <v>-1.181654E-2</v>
      </c>
      <c r="O4476">
        <v>-5.4611080000000001E-3</v>
      </c>
      <c r="P4476">
        <v>0.98319710000000005</v>
      </c>
      <c r="Q4476">
        <v>0.165687</v>
      </c>
      <c r="R4476">
        <v>7.6624960000000006E-2</v>
      </c>
      <c r="S4476">
        <v>3.0677490000000001</v>
      </c>
      <c r="T4476">
        <v>-1.505065E-2</v>
      </c>
      <c r="U4476">
        <v>-0.1799164</v>
      </c>
      <c r="V4476">
        <v>-8.1987030000000002E-2</v>
      </c>
      <c r="W4476">
        <v>0.1772918</v>
      </c>
      <c r="X4476">
        <v>0.98073730000000003</v>
      </c>
      <c r="Y4476">
        <v>5.309204E-2</v>
      </c>
      <c r="Z4476">
        <v>-4.818065E-4</v>
      </c>
      <c r="AA4476">
        <v>0.99858950000000002</v>
      </c>
      <c r="AB4476">
        <v>40</v>
      </c>
      <c r="AC4476">
        <v>128.8664</v>
      </c>
      <c r="AD4476">
        <v>-0.6341289</v>
      </c>
      <c r="AE4476">
        <v>-7.5778999999999996</v>
      </c>
      <c r="AF4476">
        <v>6.87381873646956</v>
      </c>
      <c r="AG4476">
        <v>-0.6341289</v>
      </c>
      <c r="AH4476">
        <v>128.90275413479</v>
      </c>
      <c r="AI4476">
        <v>90.281460775835896</v>
      </c>
      <c r="AJ4476">
        <v>86.947558415978506</v>
      </c>
      <c r="AK4476">
        <v>129.087456892674</v>
      </c>
      <c r="AL4476">
        <v>79.787945137663399</v>
      </c>
      <c r="AM4476">
        <v>94.778663537387004</v>
      </c>
      <c r="AN4476">
        <v>0.99999995352337401</v>
      </c>
    </row>
    <row r="4477" spans="1:40" x14ac:dyDescent="0.25">
      <c r="A4477" t="str">
        <f>"20190304154843195"</f>
        <v>20190304154843195</v>
      </c>
      <c r="B4477" t="str">
        <f>"1551685723191210"</f>
        <v>1551685723191210</v>
      </c>
      <c r="C4477" t="s">
        <v>40</v>
      </c>
      <c r="D4477">
        <v>4.3428129999999996</v>
      </c>
      <c r="E4477">
        <v>0.54991519999999905</v>
      </c>
      <c r="F4477" t="s">
        <v>70</v>
      </c>
      <c r="G4477">
        <v>-168.41079999999999</v>
      </c>
      <c r="H4477">
        <v>0.62935640000000004</v>
      </c>
      <c r="I4477">
        <v>206.3</v>
      </c>
      <c r="J4477">
        <v>-296.87720000000002</v>
      </c>
      <c r="K4477">
        <v>1.110125</v>
      </c>
      <c r="L4477">
        <v>213.97239999999999</v>
      </c>
      <c r="M4477">
        <v>0.99991509999999995</v>
      </c>
      <c r="N4477">
        <v>-1.1825789999999999E-2</v>
      </c>
      <c r="O4477">
        <v>-5.4609250000000002E-3</v>
      </c>
      <c r="P4477">
        <v>0.98317540000000003</v>
      </c>
      <c r="Q4477">
        <v>0.1657419</v>
      </c>
      <c r="R4477">
        <v>7.6785740000000005E-2</v>
      </c>
      <c r="S4477">
        <v>3.0674440000000001</v>
      </c>
      <c r="T4477">
        <v>-1.144302E-2</v>
      </c>
      <c r="U4477">
        <v>-0.18267820000000001</v>
      </c>
      <c r="V4477">
        <v>-8.2147429999999994E-2</v>
      </c>
      <c r="W4477">
        <v>0.17735509999999999</v>
      </c>
      <c r="X4477">
        <v>0.98071249999999999</v>
      </c>
      <c r="Y4477">
        <v>5.3994640000000003E-2</v>
      </c>
      <c r="Z4477">
        <v>-4.643618E-4</v>
      </c>
      <c r="AA4477">
        <v>0.99854109999999996</v>
      </c>
      <c r="AB4477">
        <v>40</v>
      </c>
      <c r="AC4477">
        <v>128.46639999999999</v>
      </c>
      <c r="AD4477">
        <v>-0.48076859999999999</v>
      </c>
      <c r="AE4477">
        <v>-7.6723999999999801</v>
      </c>
      <c r="AF4477">
        <v>6.97059382407756</v>
      </c>
      <c r="AG4477">
        <v>-0.48076859999999999</v>
      </c>
      <c r="AH4477">
        <v>128.504592156245</v>
      </c>
      <c r="AI4477">
        <v>90.214042523747494</v>
      </c>
      <c r="AJ4477">
        <v>86.895094779625396</v>
      </c>
      <c r="AK4477">
        <v>128.69440750067599</v>
      </c>
      <c r="AL4477">
        <v>79.784260596865494</v>
      </c>
      <c r="AM4477">
        <v>94.788089640778097</v>
      </c>
      <c r="AN4477">
        <v>1.00000001970393</v>
      </c>
    </row>
    <row r="4478" spans="1:40" x14ac:dyDescent="0.25">
      <c r="A4478" t="str">
        <f>"20190304154843217"</f>
        <v>20190304154843217</v>
      </c>
      <c r="B4478" t="str">
        <f>"1551685723211706"</f>
        <v>1551685723211706</v>
      </c>
      <c r="C4478" t="s">
        <v>40</v>
      </c>
      <c r="D4478">
        <v>4.3967010000000002</v>
      </c>
      <c r="E4478">
        <v>0.54987769999999903</v>
      </c>
      <c r="F4478" t="s">
        <v>70</v>
      </c>
      <c r="G4478">
        <v>-168.41069999999999</v>
      </c>
      <c r="H4478">
        <v>0.58628649999999904</v>
      </c>
      <c r="I4478">
        <v>206.42850000000001</v>
      </c>
      <c r="J4478">
        <v>-296.48349999999999</v>
      </c>
      <c r="K4478">
        <v>1.110125</v>
      </c>
      <c r="L4478">
        <v>213.97020000000001</v>
      </c>
      <c r="M4478">
        <v>0.999915</v>
      </c>
      <c r="N4478">
        <v>-1.183609E-2</v>
      </c>
      <c r="O4478">
        <v>-5.4606289999999998E-3</v>
      </c>
      <c r="P4478">
        <v>0.98313220000000001</v>
      </c>
      <c r="Q4478">
        <v>0.1661571</v>
      </c>
      <c r="R4478">
        <v>7.6436199999999996E-2</v>
      </c>
      <c r="S4478">
        <v>3.0675050000000001</v>
      </c>
      <c r="T4478">
        <v>-1.2507320000000001E-2</v>
      </c>
      <c r="U4478">
        <v>-0.18012999999999901</v>
      </c>
      <c r="V4478">
        <v>-8.1797320000000007E-2</v>
      </c>
      <c r="W4478">
        <v>0.1777803</v>
      </c>
      <c r="X4478">
        <v>0.9806648</v>
      </c>
      <c r="Y4478">
        <v>5.3166959999999999E-2</v>
      </c>
      <c r="Z4478">
        <v>-4.6556590000000001E-4</v>
      </c>
      <c r="AA4478">
        <v>0.99858550000000001</v>
      </c>
      <c r="AB4478">
        <v>40</v>
      </c>
      <c r="AC4478">
        <v>128.0728</v>
      </c>
      <c r="AD4478">
        <v>-0.52383849999999998</v>
      </c>
      <c r="AE4478">
        <v>-7.5416999999999899</v>
      </c>
      <c r="AF4478">
        <v>6.8420664071657997</v>
      </c>
      <c r="AG4478">
        <v>-0.52383849999999998</v>
      </c>
      <c r="AH4478">
        <v>128.10993976341501</v>
      </c>
      <c r="AI4478">
        <v>90.233946363638196</v>
      </c>
      <c r="AJ4478">
        <v>86.942864598631303</v>
      </c>
      <c r="AK4478">
        <v>128.29358887208599</v>
      </c>
      <c r="AL4478">
        <v>79.759505274961995</v>
      </c>
      <c r="AM4478">
        <v>94.768008050507703</v>
      </c>
      <c r="AN4478">
        <v>1.00000004329315</v>
      </c>
    </row>
    <row r="4479" spans="1:40" x14ac:dyDescent="0.25">
      <c r="A4479" t="str">
        <f>"20190304154843240"</f>
        <v>20190304154843240</v>
      </c>
      <c r="B4479" t="str">
        <f>"1551685723231230"</f>
        <v>1551685723231230</v>
      </c>
      <c r="C4479" t="s">
        <v>40</v>
      </c>
      <c r="D4479">
        <v>4.3637579999999998</v>
      </c>
      <c r="E4479">
        <v>0.54990289999999997</v>
      </c>
      <c r="F4479" t="s">
        <v>70</v>
      </c>
      <c r="G4479">
        <v>-168.41069999999999</v>
      </c>
      <c r="H4479">
        <v>0.57752609999999904</v>
      </c>
      <c r="I4479">
        <v>206.45609999999999</v>
      </c>
      <c r="J4479">
        <v>-296.0797</v>
      </c>
      <c r="K4479">
        <v>1.1101319999999999</v>
      </c>
      <c r="L4479">
        <v>213.96799999999999</v>
      </c>
      <c r="M4479">
        <v>0.999915</v>
      </c>
      <c r="N4479">
        <v>-1.184643E-2</v>
      </c>
      <c r="O4479">
        <v>-5.4604519999999898E-3</v>
      </c>
      <c r="P4479">
        <v>0.98327169999999997</v>
      </c>
      <c r="Q4479">
        <v>0.1655422</v>
      </c>
      <c r="R4479">
        <v>7.5978920000000005E-2</v>
      </c>
      <c r="S4479">
        <v>3.067596</v>
      </c>
      <c r="T4479">
        <v>-1.275599E-2</v>
      </c>
      <c r="U4479">
        <v>-0.17997739999999901</v>
      </c>
      <c r="V4479">
        <v>-8.1341029999999995E-2</v>
      </c>
      <c r="W4479">
        <v>0.177176799999999</v>
      </c>
      <c r="X4479">
        <v>0.98081189999999996</v>
      </c>
      <c r="Y4479">
        <v>5.3115849999999999E-2</v>
      </c>
      <c r="Z4479">
        <v>-4.6719479999999999E-4</v>
      </c>
      <c r="AA4479">
        <v>0.99858829999999998</v>
      </c>
      <c r="AB4479">
        <v>40</v>
      </c>
      <c r="AC4479">
        <v>127.669</v>
      </c>
      <c r="AD4479">
        <v>-0.53260589999999997</v>
      </c>
      <c r="AE4479">
        <v>-7.51189999999999</v>
      </c>
      <c r="AF4479">
        <v>6.8144904939305198</v>
      </c>
      <c r="AG4479">
        <v>-0.53260589999999997</v>
      </c>
      <c r="AH4479">
        <v>127.705902755463</v>
      </c>
      <c r="AI4479">
        <v>90.238614978458102</v>
      </c>
      <c r="AJ4479">
        <v>86.945547619475406</v>
      </c>
      <c r="AK4479">
        <v>127.888695936445</v>
      </c>
      <c r="AL4479">
        <v>79.794640441223507</v>
      </c>
      <c r="AM4479">
        <v>94.740824392930705</v>
      </c>
      <c r="AN4479">
        <v>0.99999998240065502</v>
      </c>
    </row>
    <row r="4480" spans="1:40" x14ac:dyDescent="0.25">
      <c r="A4480" t="str">
        <f>"20190304154843261"</f>
        <v>20190304154843261</v>
      </c>
      <c r="B4480" t="str">
        <f>"1551685723251722"</f>
        <v>1551685723251722</v>
      </c>
      <c r="C4480" t="s">
        <v>40</v>
      </c>
      <c r="D4480">
        <v>4.3758839999999903</v>
      </c>
      <c r="E4480">
        <v>0.54983680000000001</v>
      </c>
      <c r="F4480" t="s">
        <v>70</v>
      </c>
      <c r="G4480">
        <v>-168.41069999999999</v>
      </c>
      <c r="H4480">
        <v>0.47102739999999998</v>
      </c>
      <c r="I4480">
        <v>206.42949999999999</v>
      </c>
      <c r="J4480">
        <v>-295.69830000000002</v>
      </c>
      <c r="K4480">
        <v>1.110136</v>
      </c>
      <c r="L4480">
        <v>213.9659</v>
      </c>
      <c r="M4480">
        <v>0.99991490000000005</v>
      </c>
      <c r="N4480">
        <v>-1.1855610000000001E-2</v>
      </c>
      <c r="O4480">
        <v>-5.4601490000000001E-3</v>
      </c>
      <c r="P4480">
        <v>0.98336710000000005</v>
      </c>
      <c r="Q4480">
        <v>0.1650906</v>
      </c>
      <c r="R4480">
        <v>7.5726260000000004E-2</v>
      </c>
      <c r="S4480">
        <v>3.0676570000000001</v>
      </c>
      <c r="T4480">
        <v>-1.535571E-2</v>
      </c>
      <c r="U4480">
        <v>-0.1811371</v>
      </c>
      <c r="V4480">
        <v>-8.1088480000000004E-2</v>
      </c>
      <c r="W4480">
        <v>0.17673520000000001</v>
      </c>
      <c r="X4480">
        <v>0.98091249999999997</v>
      </c>
      <c r="Y4480">
        <v>5.3490650000000001E-2</v>
      </c>
      <c r="Z4480">
        <v>-4.8851329999999998E-4</v>
      </c>
      <c r="AA4480">
        <v>0.99856820000000002</v>
      </c>
      <c r="AB4480">
        <v>40</v>
      </c>
      <c r="AC4480">
        <v>127.2876</v>
      </c>
      <c r="AD4480">
        <v>-0.63910859999999903</v>
      </c>
      <c r="AE4480">
        <v>-7.5364000000000102</v>
      </c>
      <c r="AF4480">
        <v>6.8410577293667902</v>
      </c>
      <c r="AG4480">
        <v>-0.63910859999999903</v>
      </c>
      <c r="AH4480">
        <v>127.323656399906</v>
      </c>
      <c r="AI4480">
        <v>90.287182902688897</v>
      </c>
      <c r="AJ4480">
        <v>86.924474095108096</v>
      </c>
      <c r="AK4480">
        <v>127.50890953067</v>
      </c>
      <c r="AL4480">
        <v>79.820348162128894</v>
      </c>
      <c r="AM4480">
        <v>94.725689215038102</v>
      </c>
      <c r="AN4480">
        <v>1.0000000025819999</v>
      </c>
    </row>
    <row r="4481" spans="1:40" x14ac:dyDescent="0.25">
      <c r="A4481" t="str">
        <f>"20190304154843278"</f>
        <v>20190304154843278</v>
      </c>
      <c r="B4481" t="str">
        <f>"1551685723271242"</f>
        <v>1551685723271242</v>
      </c>
      <c r="C4481" t="s">
        <v>40</v>
      </c>
      <c r="D4481">
        <v>4.3817750000000002</v>
      </c>
      <c r="E4481">
        <v>0.54984369999999905</v>
      </c>
      <c r="F4481" t="s">
        <v>70</v>
      </c>
      <c r="G4481">
        <v>-168.41059999999999</v>
      </c>
      <c r="H4481">
        <v>0.40937040000000002</v>
      </c>
      <c r="I4481">
        <v>206.42619999999999</v>
      </c>
      <c r="J4481">
        <v>-295.41090000000003</v>
      </c>
      <c r="K4481">
        <v>1.110136</v>
      </c>
      <c r="L4481">
        <v>213.96440000000001</v>
      </c>
      <c r="M4481">
        <v>0.99991479999999999</v>
      </c>
      <c r="N4481">
        <v>-1.186215E-2</v>
      </c>
      <c r="O4481">
        <v>-5.4599490000000004E-3</v>
      </c>
      <c r="P4481">
        <v>0.98339580000000004</v>
      </c>
      <c r="Q4481">
        <v>0.1649727</v>
      </c>
      <c r="R4481">
        <v>7.5608629999999996E-2</v>
      </c>
      <c r="S4481">
        <v>3.0675349999999999</v>
      </c>
      <c r="T4481">
        <v>-1.6887070000000001E-2</v>
      </c>
      <c r="U4481">
        <v>-0.18170169999999999</v>
      </c>
      <c r="V4481">
        <v>-8.0970360000000005E-2</v>
      </c>
      <c r="W4481">
        <v>0.17662439999999999</v>
      </c>
      <c r="X4481">
        <v>0.98094219999999999</v>
      </c>
      <c r="Y4481">
        <v>5.3676010000000003E-2</v>
      </c>
      <c r="Z4481">
        <v>-5.009554E-4</v>
      </c>
      <c r="AA4481">
        <v>0.99855830000000001</v>
      </c>
      <c r="AB4481">
        <v>40</v>
      </c>
      <c r="AC4481">
        <v>127.0003</v>
      </c>
      <c r="AD4481">
        <v>-0.70076559999999999</v>
      </c>
      <c r="AE4481">
        <v>-7.5382000000000096</v>
      </c>
      <c r="AF4481">
        <v>6.8444160594121399</v>
      </c>
      <c r="AG4481">
        <v>-0.70076559999999999</v>
      </c>
      <c r="AH4481">
        <v>127.035713592588</v>
      </c>
      <c r="AI4481">
        <v>90.315599099542894</v>
      </c>
      <c r="AJ4481">
        <v>86.916006152358406</v>
      </c>
      <c r="AK4481">
        <v>127.221891322204</v>
      </c>
      <c r="AL4481">
        <v>79.826797859259997</v>
      </c>
      <c r="AM4481">
        <v>94.718694278180493</v>
      </c>
      <c r="AN4481">
        <v>0.99999998880736396</v>
      </c>
    </row>
    <row r="4482" spans="1:40" x14ac:dyDescent="0.25">
      <c r="A4482" t="str">
        <f>"20190304154843295"</f>
        <v>20190304154843295</v>
      </c>
      <c r="B4482" t="str">
        <f>"1551685723291738"</f>
        <v>1551685723291738</v>
      </c>
      <c r="C4482" t="s">
        <v>40</v>
      </c>
      <c r="D4482">
        <v>4.3845869999999998</v>
      </c>
      <c r="E4482">
        <v>0.5498828</v>
      </c>
      <c r="F4482" t="s">
        <v>70</v>
      </c>
      <c r="G4482">
        <v>-168.41059999999999</v>
      </c>
      <c r="H4482">
        <v>0.39757730000000002</v>
      </c>
      <c r="I4482">
        <v>206.40819999999999</v>
      </c>
      <c r="J4482">
        <v>-295.09629999999999</v>
      </c>
      <c r="K4482">
        <v>1.110136</v>
      </c>
      <c r="L4482">
        <v>213.96260000000001</v>
      </c>
      <c r="M4482">
        <v>0.99991479999999999</v>
      </c>
      <c r="N4482">
        <v>-1.186893E-2</v>
      </c>
      <c r="O4482">
        <v>-5.4597509999999997E-3</v>
      </c>
      <c r="P4482">
        <v>0.98355360000000003</v>
      </c>
      <c r="Q4482">
        <v>0.1642701</v>
      </c>
      <c r="R4482">
        <v>7.5084570000000003E-2</v>
      </c>
      <c r="S4482">
        <v>3.0675659999999998</v>
      </c>
      <c r="T4482">
        <v>-1.7210360000000001E-2</v>
      </c>
      <c r="U4482">
        <v>-0.18251039999999999</v>
      </c>
      <c r="V4482">
        <v>-8.0446809999999994E-2</v>
      </c>
      <c r="W4482">
        <v>0.1759307</v>
      </c>
      <c r="X4482">
        <v>0.98110989999999998</v>
      </c>
      <c r="Y4482">
        <v>5.3937859999999997E-2</v>
      </c>
      <c r="Z4482">
        <v>-5.057137E-4</v>
      </c>
      <c r="AA4482">
        <v>0.99854419999999999</v>
      </c>
      <c r="AB4482">
        <v>40</v>
      </c>
      <c r="AC4482">
        <v>126.6857</v>
      </c>
      <c r="AD4482">
        <v>-0.71255869999999999</v>
      </c>
      <c r="AE4482">
        <v>-7.55440000000001</v>
      </c>
      <c r="AF4482">
        <v>6.86235005751697</v>
      </c>
      <c r="AG4482">
        <v>-0.71255869999999999</v>
      </c>
      <c r="AH4482">
        <v>126.72106479884199</v>
      </c>
      <c r="AI4482">
        <v>90.321702202959898</v>
      </c>
      <c r="AJ4482">
        <v>86.900278376536505</v>
      </c>
      <c r="AK4482">
        <v>126.908738280566</v>
      </c>
      <c r="AL4482">
        <v>79.867176036711797</v>
      </c>
      <c r="AM4482">
        <v>94.687522105790904</v>
      </c>
      <c r="AN4482">
        <v>0.99999996815983705</v>
      </c>
    </row>
    <row r="4483" spans="1:40" x14ac:dyDescent="0.25">
      <c r="A4483" t="str">
        <f>"20190304154843319"</f>
        <v>20190304154843319</v>
      </c>
      <c r="B4483" t="str">
        <f>"1551685723311258"</f>
        <v>1551685723311258</v>
      </c>
      <c r="C4483" t="s">
        <v>40</v>
      </c>
      <c r="D4483">
        <v>4.4244960000000004</v>
      </c>
      <c r="E4483">
        <v>0.5499638</v>
      </c>
      <c r="F4483" t="s">
        <v>70</v>
      </c>
      <c r="G4483">
        <v>-168.41059999999999</v>
      </c>
      <c r="H4483">
        <v>0.29602620000000002</v>
      </c>
      <c r="I4483">
        <v>206.3527</v>
      </c>
      <c r="J4483">
        <v>-294.68540000000002</v>
      </c>
      <c r="K4483">
        <v>1.1101350000000001</v>
      </c>
      <c r="L4483">
        <v>213.96039999999999</v>
      </c>
      <c r="M4483">
        <v>0.99991459999999999</v>
      </c>
      <c r="N4483">
        <v>-1.187712E-2</v>
      </c>
      <c r="O4483">
        <v>-5.4593230000000003E-3</v>
      </c>
      <c r="P4483">
        <v>0.98363959999999995</v>
      </c>
      <c r="Q4483">
        <v>0.16362779999999999</v>
      </c>
      <c r="R4483">
        <v>7.5360189999999994E-2</v>
      </c>
      <c r="S4483">
        <v>3.0675349999999999</v>
      </c>
      <c r="T4483">
        <v>-1.971185E-2</v>
      </c>
      <c r="U4483">
        <v>-0.18426509999999999</v>
      </c>
      <c r="V4483">
        <v>-8.0722740000000001E-2</v>
      </c>
      <c r="W4483">
        <v>0.17529700000000001</v>
      </c>
      <c r="X4483">
        <v>0.98120070000000004</v>
      </c>
      <c r="Y4483">
        <v>5.4507460000000001E-2</v>
      </c>
      <c r="Z4483">
        <v>-5.2872070000000001E-4</v>
      </c>
      <c r="AA4483">
        <v>0.99851319999999999</v>
      </c>
      <c r="AB4483">
        <v>40</v>
      </c>
      <c r="AC4483">
        <v>126.2748</v>
      </c>
      <c r="AD4483">
        <v>-0.81410879999999997</v>
      </c>
      <c r="AE4483">
        <v>-7.6076999999999897</v>
      </c>
      <c r="AF4483">
        <v>6.9178765862832696</v>
      </c>
      <c r="AG4483">
        <v>-0.81410879999999997</v>
      </c>
      <c r="AH4483">
        <v>126.309222679629</v>
      </c>
      <c r="AI4483">
        <v>90.368734374130597</v>
      </c>
      <c r="AJ4483">
        <v>86.865078324468598</v>
      </c>
      <c r="AK4483">
        <v>126.501144356616</v>
      </c>
      <c r="AL4483">
        <v>79.904057934160903</v>
      </c>
      <c r="AM4483">
        <v>94.703094832421797</v>
      </c>
      <c r="AN4483">
        <v>1.0000000063212899</v>
      </c>
    </row>
    <row r="4484" spans="1:40" x14ac:dyDescent="0.25">
      <c r="A4484" t="str">
        <f>"20190304154843340"</f>
        <v>20190304154843340</v>
      </c>
      <c r="B4484" t="str">
        <f>"1551685723331754"</f>
        <v>1551685723331754</v>
      </c>
      <c r="C4484" t="s">
        <v>40</v>
      </c>
      <c r="D4484">
        <v>4.3999639999999998</v>
      </c>
      <c r="E4484">
        <v>0.54998150000000001</v>
      </c>
      <c r="F4484" t="s">
        <v>70</v>
      </c>
      <c r="G4484">
        <v>-168.41059999999999</v>
      </c>
      <c r="H4484">
        <v>0.2127705</v>
      </c>
      <c r="I4484">
        <v>206.3904</v>
      </c>
      <c r="J4484">
        <v>-294.29899999999998</v>
      </c>
      <c r="K4484">
        <v>1.1101289999999999</v>
      </c>
      <c r="L4484">
        <v>213.95830000000001</v>
      </c>
      <c r="M4484">
        <v>0.99991459999999999</v>
      </c>
      <c r="N4484">
        <v>-1.1884189999999999E-2</v>
      </c>
      <c r="O4484">
        <v>-5.4580469999999997E-3</v>
      </c>
      <c r="P4484">
        <v>0.9836705</v>
      </c>
      <c r="Q4484">
        <v>0.16348009999999999</v>
      </c>
      <c r="R4484">
        <v>7.5276609999999994E-2</v>
      </c>
      <c r="S4484">
        <v>3.0676269999999999</v>
      </c>
      <c r="T4484">
        <v>-2.179909E-2</v>
      </c>
      <c r="U4484">
        <v>-0.1838989</v>
      </c>
      <c r="V4484">
        <v>-8.0638230000000005E-2</v>
      </c>
      <c r="W4484">
        <v>0.1751566</v>
      </c>
      <c r="X4484">
        <v>0.98123269999999996</v>
      </c>
      <c r="Y4484">
        <v>5.4387690000000002E-2</v>
      </c>
      <c r="Z4484">
        <v>-5.4262050000000001E-4</v>
      </c>
      <c r="AA4484">
        <v>0.99851970000000001</v>
      </c>
      <c r="AB4484">
        <v>40</v>
      </c>
      <c r="AC4484">
        <v>125.8884</v>
      </c>
      <c r="AD4484">
        <v>-0.89735849999999995</v>
      </c>
      <c r="AE4484">
        <v>-7.5678999999999998</v>
      </c>
      <c r="AF4484">
        <v>6.8802856699669004</v>
      </c>
      <c r="AG4484">
        <v>-0.89735849999999995</v>
      </c>
      <c r="AH4484">
        <v>125.921458265905</v>
      </c>
      <c r="AI4484">
        <v>90.407693903431706</v>
      </c>
      <c r="AJ4484">
        <v>86.872497073295904</v>
      </c>
      <c r="AK4484">
        <v>126.112478506252</v>
      </c>
      <c r="AL4484">
        <v>79.912228462283295</v>
      </c>
      <c r="AM4484">
        <v>94.698040603950901</v>
      </c>
      <c r="AN4484">
        <v>0.99999998510519095</v>
      </c>
    </row>
    <row r="4485" spans="1:40" x14ac:dyDescent="0.25">
      <c r="A4485" t="str">
        <f>"20190304154843372"</f>
        <v>20190304154843372</v>
      </c>
      <c r="B4485" t="str">
        <f>"1551685723361034"</f>
        <v>1551685723361034</v>
      </c>
      <c r="C4485" t="s">
        <v>40</v>
      </c>
      <c r="D4485">
        <v>4.438561</v>
      </c>
      <c r="E4485">
        <v>0.55004699999999995</v>
      </c>
      <c r="F4485" t="s">
        <v>70</v>
      </c>
      <c r="G4485">
        <v>-168.41059999999999</v>
      </c>
      <c r="H4485">
        <v>0.2020245</v>
      </c>
      <c r="I4485">
        <v>206.4008</v>
      </c>
      <c r="J4485">
        <v>-293.72379999999998</v>
      </c>
      <c r="K4485">
        <v>1.1101379999999901</v>
      </c>
      <c r="L4485">
        <v>213.95509999999999</v>
      </c>
      <c r="M4485">
        <v>0.99991450000000004</v>
      </c>
      <c r="N4485">
        <v>-1.1893590000000001E-2</v>
      </c>
      <c r="O4485">
        <v>-5.4480300000000004E-3</v>
      </c>
      <c r="P4485">
        <v>0.98366699999999996</v>
      </c>
      <c r="Q4485">
        <v>0.16332749999999999</v>
      </c>
      <c r="R4485">
        <v>7.5654780000000005E-2</v>
      </c>
      <c r="S4485">
        <v>3.067596</v>
      </c>
      <c r="T4485">
        <v>-2.212751E-2</v>
      </c>
      <c r="U4485">
        <v>-0.1841583</v>
      </c>
      <c r="V4485">
        <v>-8.1008549999999999E-2</v>
      </c>
      <c r="W4485">
        <v>0.17501249999999999</v>
      </c>
      <c r="X4485">
        <v>0.98122790000000004</v>
      </c>
      <c r="Y4485">
        <v>5.4482339999999997E-2</v>
      </c>
      <c r="Z4485">
        <v>-5.4611239999999999E-4</v>
      </c>
      <c r="AA4485">
        <v>0.99851460000000003</v>
      </c>
      <c r="AB4485">
        <v>40</v>
      </c>
      <c r="AC4485">
        <v>125.31319999999999</v>
      </c>
      <c r="AD4485">
        <v>-0.90811349999999902</v>
      </c>
      <c r="AE4485">
        <v>-7.55429999999998</v>
      </c>
      <c r="AF4485">
        <v>6.8710700276794299</v>
      </c>
      <c r="AG4485">
        <v>-0.90811349999999902</v>
      </c>
      <c r="AH4485">
        <v>125.345940215832</v>
      </c>
      <c r="AI4485">
        <v>90.4144702775627</v>
      </c>
      <c r="AJ4485">
        <v>86.8623658860582</v>
      </c>
      <c r="AK4485">
        <v>125.537408775413</v>
      </c>
      <c r="AL4485">
        <v>79.920614224791706</v>
      </c>
      <c r="AM4485">
        <v>94.719541455244794</v>
      </c>
      <c r="AN4485">
        <v>0.99999997603388002</v>
      </c>
    </row>
    <row r="4486" spans="1:40" x14ac:dyDescent="0.25">
      <c r="A4486" t="str">
        <f>"20190304154843396"</f>
        <v>20190304154843396</v>
      </c>
      <c r="B4486" t="str">
        <f>"1551685723391291"</f>
        <v>1551685723391291</v>
      </c>
      <c r="C4486" t="s">
        <v>40</v>
      </c>
      <c r="D4486">
        <v>4.3418380000000001</v>
      </c>
      <c r="E4486">
        <v>0.56952069999999999</v>
      </c>
      <c r="F4486" t="s">
        <v>70</v>
      </c>
      <c r="G4486">
        <v>-168.41059999999999</v>
      </c>
      <c r="H4486">
        <v>0.21091460000000001</v>
      </c>
      <c r="I4486">
        <v>206.4521</v>
      </c>
      <c r="J4486">
        <v>-293.31169999999997</v>
      </c>
      <c r="K4486">
        <v>1.1101399999999999</v>
      </c>
      <c r="L4486">
        <v>213.9529</v>
      </c>
      <c r="M4486">
        <v>0.99991450000000004</v>
      </c>
      <c r="N4486">
        <v>-1.1899440000000001E-2</v>
      </c>
      <c r="O4486">
        <v>-5.4300919999999897E-3</v>
      </c>
      <c r="P4486">
        <v>0.9835817</v>
      </c>
      <c r="Q4486">
        <v>0.1638657</v>
      </c>
      <c r="R4486">
        <v>7.5598180000000001E-2</v>
      </c>
      <c r="S4486">
        <v>3.067596</v>
      </c>
      <c r="T4486">
        <v>-2.2011639999999999E-2</v>
      </c>
      <c r="U4486">
        <v>-0.18367</v>
      </c>
      <c r="V4486">
        <v>-8.0936530000000007E-2</v>
      </c>
      <c r="W4486">
        <v>0.17555419999999999</v>
      </c>
      <c r="X4486">
        <v>0.98113709999999998</v>
      </c>
      <c r="Y4486">
        <v>5.4341920000000002E-2</v>
      </c>
      <c r="Z4486">
        <v>-5.4405649999999996E-4</v>
      </c>
      <c r="AA4486">
        <v>0.99852220000000003</v>
      </c>
      <c r="AB4486">
        <v>40</v>
      </c>
      <c r="AC4486">
        <v>124.9011</v>
      </c>
      <c r="AD4486">
        <v>-0.89922539999999995</v>
      </c>
      <c r="AE4486">
        <v>-7.5007999999999901</v>
      </c>
      <c r="AF4486">
        <v>6.8220646079722096</v>
      </c>
      <c r="AG4486">
        <v>-0.89922539999999995</v>
      </c>
      <c r="AH4486">
        <v>124.93353884754499</v>
      </c>
      <c r="AI4486">
        <v>90.411773278425997</v>
      </c>
      <c r="AJ4486">
        <v>86.874436544453303</v>
      </c>
      <c r="AK4486">
        <v>125.122892792672</v>
      </c>
      <c r="AL4486">
        <v>79.889089313459394</v>
      </c>
      <c r="AM4486">
        <v>94.715798932069703</v>
      </c>
      <c r="AN4486">
        <v>1.00000000401124</v>
      </c>
    </row>
    <row r="4487" spans="1:40" x14ac:dyDescent="0.25">
      <c r="A4487" t="str">
        <f>"20190304154843419"</f>
        <v>20190304154843419</v>
      </c>
      <c r="B4487" t="str">
        <f>"1551685723411786"</f>
        <v>1551685723411786</v>
      </c>
      <c r="C4487" t="s">
        <v>40</v>
      </c>
      <c r="D4487">
        <v>3.877259</v>
      </c>
      <c r="E4487">
        <v>0.57506330000000005</v>
      </c>
      <c r="F4487" t="s">
        <v>70</v>
      </c>
      <c r="G4487">
        <v>-168.4134</v>
      </c>
      <c r="H4487">
        <v>2.513709</v>
      </c>
      <c r="I4487">
        <v>200.21449999999999</v>
      </c>
      <c r="J4487">
        <v>-292.89729999999997</v>
      </c>
      <c r="K4487">
        <v>1.1101479999999999</v>
      </c>
      <c r="L4487">
        <v>213.95070000000001</v>
      </c>
      <c r="M4487">
        <v>0.99991459999999999</v>
      </c>
      <c r="N4487">
        <v>-1.1904720000000001E-2</v>
      </c>
      <c r="O4487">
        <v>-5.4049819999999896E-3</v>
      </c>
      <c r="P4487">
        <v>0.98348990000000003</v>
      </c>
      <c r="Q4487">
        <v>0.1645529</v>
      </c>
      <c r="R4487">
        <v>7.530046E-2</v>
      </c>
      <c r="S4487">
        <v>3.0703130000000001</v>
      </c>
      <c r="T4487">
        <v>3.4504060000000003E-2</v>
      </c>
      <c r="U4487">
        <v>-0.33772279999999999</v>
      </c>
      <c r="V4487">
        <v>-8.0617190000000005E-2</v>
      </c>
      <c r="W4487">
        <v>0.17624419999999999</v>
      </c>
      <c r="X4487">
        <v>0.98103969999999896</v>
      </c>
      <c r="Y4487">
        <v>0.1039641</v>
      </c>
      <c r="Z4487">
        <v>-1.630216E-4</v>
      </c>
      <c r="AA4487">
        <v>0.99458100000000005</v>
      </c>
      <c r="AB4487">
        <v>40</v>
      </c>
      <c r="AC4487">
        <v>124.483899999999</v>
      </c>
      <c r="AD4487">
        <v>1.4035610000000001</v>
      </c>
      <c r="AE4487">
        <v>-13.7362</v>
      </c>
      <c r="AF4487">
        <v>13.061477967490401</v>
      </c>
      <c r="AG4487">
        <v>1.4035610000000001</v>
      </c>
      <c r="AH4487">
        <v>124.540688604739</v>
      </c>
      <c r="AI4487">
        <v>89.357831402001196</v>
      </c>
      <c r="AJ4487">
        <v>84.012866672679905</v>
      </c>
      <c r="AK4487">
        <v>125.231606666681</v>
      </c>
      <c r="AL4487">
        <v>79.848929229452196</v>
      </c>
      <c r="AM4487">
        <v>94.697740154057499</v>
      </c>
      <c r="AN4487">
        <v>1.00000002116661</v>
      </c>
    </row>
    <row r="4488" spans="1:40" x14ac:dyDescent="0.25">
      <c r="A4488" t="str">
        <f>"20190304154843441"</f>
        <v>20190304154843441</v>
      </c>
      <c r="B4488" t="str">
        <f>"1551685723431310"</f>
        <v>1551685723431310</v>
      </c>
      <c r="C4488" t="s">
        <v>40</v>
      </c>
      <c r="D4488">
        <v>4.5687540000000002</v>
      </c>
      <c r="E4488">
        <v>0.57683379999999995</v>
      </c>
      <c r="F4488" t="s">
        <v>70</v>
      </c>
      <c r="G4488">
        <v>-168.4143</v>
      </c>
      <c r="H4488">
        <v>3.407079</v>
      </c>
      <c r="I4488">
        <v>198.4539</v>
      </c>
      <c r="J4488">
        <v>-292.5104</v>
      </c>
      <c r="K4488">
        <v>1.11016</v>
      </c>
      <c r="L4488">
        <v>213.9486</v>
      </c>
      <c r="M4488">
        <v>0.99991470000000005</v>
      </c>
      <c r="N4488">
        <v>-1.190917E-2</v>
      </c>
      <c r="O4488">
        <v>-5.3755869999999898E-3</v>
      </c>
      <c r="P4488">
        <v>0.98336109999999999</v>
      </c>
      <c r="Q4488">
        <v>0.16523460000000001</v>
      </c>
      <c r="R4488">
        <v>7.5490970000000004E-2</v>
      </c>
      <c r="S4488">
        <v>3.07016</v>
      </c>
      <c r="T4488">
        <v>5.6650640000000002E-2</v>
      </c>
      <c r="U4488">
        <v>-0.38220209999999999</v>
      </c>
      <c r="V4488">
        <v>-8.0780679999999994E-2</v>
      </c>
      <c r="W4488">
        <v>0.1769271</v>
      </c>
      <c r="X4488">
        <v>0.98090330000000003</v>
      </c>
      <c r="Y4488">
        <v>0.1181947</v>
      </c>
      <c r="Z4488">
        <v>2.1706629999999999E-4</v>
      </c>
      <c r="AA4488">
        <v>0.99299040000000005</v>
      </c>
      <c r="AB4488">
        <v>40</v>
      </c>
      <c r="AC4488">
        <v>124.09610000000001</v>
      </c>
      <c r="AD4488">
        <v>2.2969189999999999</v>
      </c>
      <c r="AE4488">
        <v>-15.4946999999999</v>
      </c>
      <c r="AF4488">
        <v>14.8223394044069</v>
      </c>
      <c r="AG4488">
        <v>2.2969189999999999</v>
      </c>
      <c r="AH4488">
        <v>124.135730878782</v>
      </c>
      <c r="AI4488">
        <v>88.947435888486197</v>
      </c>
      <c r="AJ4488">
        <v>83.190875833797193</v>
      </c>
      <c r="AK4488">
        <v>125.038623085515</v>
      </c>
      <c r="AL4488">
        <v>79.809177037072999</v>
      </c>
      <c r="AM4488">
        <v>94.7078759292706</v>
      </c>
      <c r="AN4488">
        <v>1.0000000004632801</v>
      </c>
    </row>
    <row r="4489" spans="1:40" x14ac:dyDescent="0.25">
      <c r="A4489" t="str">
        <f>"20190304154843462"</f>
        <v>20190304154843462</v>
      </c>
      <c r="B4489" t="str">
        <f>"1551685723451803"</f>
        <v>1551685723451803</v>
      </c>
      <c r="C4489" t="s">
        <v>40</v>
      </c>
      <c r="D4489">
        <v>4.5470750000000004</v>
      </c>
      <c r="E4489">
        <v>0.57628100000000004</v>
      </c>
      <c r="F4489" t="s">
        <v>70</v>
      </c>
      <c r="G4489">
        <v>-168.41419999999999</v>
      </c>
      <c r="H4489">
        <v>2.6871489999999998</v>
      </c>
      <c r="I4489">
        <v>197.94399999999999</v>
      </c>
      <c r="J4489">
        <v>-292.13420000000002</v>
      </c>
      <c r="K4489">
        <v>1.110174</v>
      </c>
      <c r="L4489">
        <v>213.94659999999999</v>
      </c>
      <c r="M4489">
        <v>0.99991479999999999</v>
      </c>
      <c r="N4489">
        <v>-1.191308E-2</v>
      </c>
      <c r="O4489">
        <v>-5.34192E-3</v>
      </c>
      <c r="P4489">
        <v>0.98326279999999999</v>
      </c>
      <c r="Q4489">
        <v>0.16600210000000001</v>
      </c>
      <c r="R4489">
        <v>7.5084609999999996E-2</v>
      </c>
      <c r="S4489">
        <v>3.0746150000000001</v>
      </c>
      <c r="T4489">
        <v>3.9072389999999999E-2</v>
      </c>
      <c r="U4489">
        <v>-0.3965302</v>
      </c>
      <c r="V4489">
        <v>-8.0342780000000003E-2</v>
      </c>
      <c r="W4489">
        <v>0.1776963</v>
      </c>
      <c r="X4489">
        <v>0.98080020000000001</v>
      </c>
      <c r="Y4489">
        <v>0.1226105</v>
      </c>
      <c r="Z4489" s="1">
        <v>-8.8523029999999995E-5</v>
      </c>
      <c r="AA4489">
        <v>0.99245490000000003</v>
      </c>
      <c r="AB4489">
        <v>40</v>
      </c>
      <c r="AC4489">
        <v>123.72</v>
      </c>
      <c r="AD4489">
        <v>1.576975</v>
      </c>
      <c r="AE4489">
        <v>-16.002599999999902</v>
      </c>
      <c r="AF4489">
        <v>15.3389713200262</v>
      </c>
      <c r="AG4489">
        <v>1.576975</v>
      </c>
      <c r="AH4489">
        <v>123.78394507047</v>
      </c>
      <c r="AI4489">
        <v>89.275645903301694</v>
      </c>
      <c r="AJ4489">
        <v>82.936071964231402</v>
      </c>
      <c r="AK4489">
        <v>124.740674795819</v>
      </c>
      <c r="AL4489">
        <v>79.764395386343296</v>
      </c>
      <c r="AM4489">
        <v>94.682959049673698</v>
      </c>
      <c r="AN4489">
        <v>0.999999984825929</v>
      </c>
    </row>
    <row r="4490" spans="1:40" x14ac:dyDescent="0.25">
      <c r="A4490" t="str">
        <f>"20190304154843484"</f>
        <v>20190304154843484</v>
      </c>
      <c r="B4490" t="str">
        <f>"1551685723481082"</f>
        <v>1551685723481082</v>
      </c>
      <c r="C4490" t="s">
        <v>40</v>
      </c>
      <c r="D4490">
        <v>4.616015</v>
      </c>
      <c r="E4490">
        <v>0.57481590000000005</v>
      </c>
      <c r="F4490" t="s">
        <v>70</v>
      </c>
      <c r="G4490">
        <v>-168.41390000000001</v>
      </c>
      <c r="H4490">
        <v>1.9851399999999999</v>
      </c>
      <c r="I4490">
        <v>198.12780000000001</v>
      </c>
      <c r="J4490">
        <v>-291.7371</v>
      </c>
      <c r="K4490">
        <v>1.110182</v>
      </c>
      <c r="L4490">
        <v>213.94450000000001</v>
      </c>
      <c r="M4490">
        <v>0.999915</v>
      </c>
      <c r="N4490">
        <v>-1.191685E-2</v>
      </c>
      <c r="O4490">
        <v>-5.3020709999999898E-3</v>
      </c>
      <c r="P4490">
        <v>0.98318850000000002</v>
      </c>
      <c r="Q4490">
        <v>0.166383</v>
      </c>
      <c r="R4490">
        <v>7.5214470000000005E-2</v>
      </c>
      <c r="S4490">
        <v>3.077423</v>
      </c>
      <c r="T4490">
        <v>2.1764760000000001E-2</v>
      </c>
      <c r="U4490">
        <v>-0.39347840000000001</v>
      </c>
      <c r="V4490">
        <v>-8.043488E-2</v>
      </c>
      <c r="W4490">
        <v>0.17807919999999999</v>
      </c>
      <c r="X4490">
        <v>0.98072320000000002</v>
      </c>
      <c r="Y4490">
        <v>0.1215688</v>
      </c>
      <c r="Z4490">
        <v>-3.9944699999999999E-4</v>
      </c>
      <c r="AA4490">
        <v>0.99258290000000005</v>
      </c>
      <c r="AB4490">
        <v>40</v>
      </c>
      <c r="AC4490">
        <v>123.3232</v>
      </c>
      <c r="AD4490">
        <v>0.87495800000000001</v>
      </c>
      <c r="AE4490">
        <v>-15.8166999999999</v>
      </c>
      <c r="AF4490">
        <v>15.161812049685601</v>
      </c>
      <c r="AG4490">
        <v>0.87495800000000001</v>
      </c>
      <c r="AH4490">
        <v>123.399222538977</v>
      </c>
      <c r="AI4490">
        <v>89.596785099885693</v>
      </c>
      <c r="AJ4490">
        <v>82.995292001373102</v>
      </c>
      <c r="AK4490">
        <v>124.33026268514</v>
      </c>
      <c r="AL4490">
        <v>79.742101241237506</v>
      </c>
      <c r="AM4490">
        <v>94.6886698420426</v>
      </c>
      <c r="AN4490">
        <v>0.99999998320574701</v>
      </c>
    </row>
    <row r="4491" spans="1:40" x14ac:dyDescent="0.25">
      <c r="A4491" t="str">
        <f>"20190304154843508"</f>
        <v>20190304154843508</v>
      </c>
      <c r="B4491" t="str">
        <f>"1551685723501578"</f>
        <v>1551685723501578</v>
      </c>
      <c r="C4491" t="s">
        <v>40</v>
      </c>
      <c r="D4491">
        <v>4.5066160000000002</v>
      </c>
      <c r="E4491">
        <v>0.57364309999999996</v>
      </c>
      <c r="F4491" t="s">
        <v>48</v>
      </c>
      <c r="G4491">
        <v>-234.53700000000001</v>
      </c>
      <c r="H4491">
        <v>1.162585</v>
      </c>
      <c r="I4491">
        <v>206.85839999999999</v>
      </c>
      <c r="J4491">
        <v>-291.3236</v>
      </c>
      <c r="K4491">
        <v>1.1101780000000001</v>
      </c>
      <c r="L4491">
        <v>213.94239999999999</v>
      </c>
      <c r="M4491">
        <v>0.99991509999999995</v>
      </c>
      <c r="N4491">
        <v>-1.1920409999999999E-2</v>
      </c>
      <c r="O4491">
        <v>-5.2575829999999997E-3</v>
      </c>
      <c r="P4491">
        <v>0.98315370000000002</v>
      </c>
      <c r="Q4491">
        <v>0.166483399999999</v>
      </c>
      <c r="R4491">
        <v>7.5445609999999996E-2</v>
      </c>
      <c r="S4491">
        <v>3.0800480000000001</v>
      </c>
      <c r="T4491">
        <v>2.8244260000000001E-3</v>
      </c>
      <c r="U4491">
        <v>-0.38156129999999999</v>
      </c>
      <c r="V4491">
        <v>-8.0623210000000001E-2</v>
      </c>
      <c r="W4491">
        <v>0.1781819</v>
      </c>
      <c r="X4491">
        <v>0.98068909999999998</v>
      </c>
      <c r="Y4491">
        <v>0.11772299999999999</v>
      </c>
      <c r="Z4491">
        <v>-7.17821E-4</v>
      </c>
      <c r="AA4491">
        <v>0.99304619999999999</v>
      </c>
      <c r="AB4491">
        <v>40</v>
      </c>
      <c r="AC4491">
        <v>56.7865999999999</v>
      </c>
      <c r="AD4491">
        <v>5.2406999999999801E-2</v>
      </c>
      <c r="AE4491">
        <v>-7.0839999999999996</v>
      </c>
      <c r="AF4491">
        <v>6.78531490099276</v>
      </c>
      <c r="AG4491">
        <v>5.2406999999999801E-2</v>
      </c>
      <c r="AH4491">
        <v>56.823014741159</v>
      </c>
      <c r="AI4491">
        <v>89.947529755593706</v>
      </c>
      <c r="AJ4491">
        <v>83.190475294967797</v>
      </c>
      <c r="AK4491">
        <v>57.226726702418098</v>
      </c>
      <c r="AL4491">
        <v>79.736121513356906</v>
      </c>
      <c r="AM4491">
        <v>94.699761444446295</v>
      </c>
      <c r="AN4491">
        <v>1.0000000011685599</v>
      </c>
    </row>
    <row r="4492" spans="1:40" x14ac:dyDescent="0.25">
      <c r="A4492" t="str">
        <f>"20190304154843530"</f>
        <v>20190304154843530</v>
      </c>
      <c r="B4492" t="str">
        <f>"1551685723521098"</f>
        <v>1551685723521098</v>
      </c>
      <c r="C4492" t="s">
        <v>40</v>
      </c>
      <c r="D4492">
        <v>4.4639860000000002</v>
      </c>
      <c r="E4492">
        <v>0.57265909999999998</v>
      </c>
      <c r="F4492" t="s">
        <v>48</v>
      </c>
      <c r="G4492">
        <v>-234.58179999999999</v>
      </c>
      <c r="H4492">
        <v>0.98579220000000001</v>
      </c>
      <c r="I4492">
        <v>207.0992</v>
      </c>
      <c r="J4492">
        <v>-290.91680000000002</v>
      </c>
      <c r="K4492">
        <v>1.110182</v>
      </c>
      <c r="L4492">
        <v>213.94030000000001</v>
      </c>
      <c r="M4492">
        <v>0.99991540000000001</v>
      </c>
      <c r="N4492">
        <v>-1.1923629999999999E-2</v>
      </c>
      <c r="O4492">
        <v>-5.2123899999999999E-3</v>
      </c>
      <c r="P4492">
        <v>0.9831242</v>
      </c>
      <c r="Q4492">
        <v>0.166533399999999</v>
      </c>
      <c r="R4492">
        <v>7.5720159999999995E-2</v>
      </c>
      <c r="S4492">
        <v>3.0810550000000001</v>
      </c>
      <c r="T4492">
        <v>-6.7514180000000003E-3</v>
      </c>
      <c r="U4492">
        <v>-0.37158200000000002</v>
      </c>
      <c r="V4492">
        <v>-8.0854369999999995E-2</v>
      </c>
      <c r="W4492">
        <v>0.17823449999999999</v>
      </c>
      <c r="X4492">
        <v>0.98066050000000005</v>
      </c>
      <c r="Y4492">
        <v>0.114556199999999</v>
      </c>
      <c r="Z4492">
        <v>-8.6107060000000001E-4</v>
      </c>
      <c r="AA4492">
        <v>0.99341639999999998</v>
      </c>
      <c r="AB4492">
        <v>40</v>
      </c>
      <c r="AC4492">
        <v>56.335000000000001</v>
      </c>
      <c r="AD4492">
        <v>-0.12438979999999999</v>
      </c>
      <c r="AE4492">
        <v>-6.8411000000000097</v>
      </c>
      <c r="AF4492">
        <v>6.5473147513153602</v>
      </c>
      <c r="AG4492">
        <v>-0.12438979999999999</v>
      </c>
      <c r="AH4492">
        <v>56.369624784413297</v>
      </c>
      <c r="AI4492">
        <v>90.125589018790393</v>
      </c>
      <c r="AJ4492">
        <v>83.3747992083334</v>
      </c>
      <c r="AK4492">
        <v>56.748721585694597</v>
      </c>
      <c r="AL4492">
        <v>79.733058625299407</v>
      </c>
      <c r="AM4492">
        <v>94.713312649346406</v>
      </c>
      <c r="AN4492">
        <v>0.99999999119929806</v>
      </c>
    </row>
    <row r="4493" spans="1:40" x14ac:dyDescent="0.25">
      <c r="A4493" t="str">
        <f>"20190304154843552"</f>
        <v>20190304154843552</v>
      </c>
      <c r="B4493" t="str">
        <f>"1551685723541595"</f>
        <v>1551685723541595</v>
      </c>
      <c r="C4493" t="s">
        <v>40</v>
      </c>
      <c r="D4493">
        <v>4.4912010000000002</v>
      </c>
      <c r="E4493">
        <v>0.57249510000000003</v>
      </c>
      <c r="F4493" t="s">
        <v>70</v>
      </c>
      <c r="G4493">
        <v>-168.41299999999899</v>
      </c>
      <c r="H4493">
        <v>0.55319790000000002</v>
      </c>
      <c r="I4493">
        <v>199.5009</v>
      </c>
      <c r="J4493">
        <v>-290.53980000000001</v>
      </c>
      <c r="K4493">
        <v>1.1101799999999999</v>
      </c>
      <c r="L4493">
        <v>213.9384</v>
      </c>
      <c r="M4493">
        <v>0.99991549999999996</v>
      </c>
      <c r="N4493">
        <v>-1.192642E-2</v>
      </c>
      <c r="O4493">
        <v>-5.1698270000000001E-3</v>
      </c>
      <c r="P4493">
        <v>0.98320050000000003</v>
      </c>
      <c r="Q4493">
        <v>0.16614590000000001</v>
      </c>
      <c r="R4493">
        <v>7.5579199999999902E-2</v>
      </c>
      <c r="S4493">
        <v>3.0818180000000002</v>
      </c>
      <c r="T4493">
        <v>-1.401114E-2</v>
      </c>
      <c r="U4493">
        <v>-0.36325069999999998</v>
      </c>
      <c r="V4493">
        <v>-8.0672549999999996E-2</v>
      </c>
      <c r="W4493">
        <v>0.17785020000000001</v>
      </c>
      <c r="X4493">
        <v>0.98074530000000004</v>
      </c>
      <c r="Y4493">
        <v>0.1119184</v>
      </c>
      <c r="Z4493">
        <v>-9.6129600000000005E-4</v>
      </c>
      <c r="AA4493">
        <v>0.99371699999999996</v>
      </c>
      <c r="AB4493">
        <v>40</v>
      </c>
      <c r="AC4493">
        <v>122.1268</v>
      </c>
      <c r="AD4493">
        <v>-0.55698209999999904</v>
      </c>
      <c r="AE4493">
        <v>-14.4375</v>
      </c>
      <c r="AF4493">
        <v>13.805604493647801</v>
      </c>
      <c r="AG4493">
        <v>-0.55698209999999904</v>
      </c>
      <c r="AH4493">
        <v>122.197305739637</v>
      </c>
      <c r="AI4493">
        <v>90.259504646117506</v>
      </c>
      <c r="AJ4493">
        <v>83.554170871314597</v>
      </c>
      <c r="AK4493">
        <v>122.975958929057</v>
      </c>
      <c r="AL4493">
        <v>79.755435499027499</v>
      </c>
      <c r="AM4493">
        <v>94.702356453259497</v>
      </c>
      <c r="AN4493">
        <v>1.00000004871781</v>
      </c>
    </row>
    <row r="4494" spans="1:40" x14ac:dyDescent="0.25">
      <c r="A4494" t="str">
        <f>"20190304154843573"</f>
        <v>20190304154843573</v>
      </c>
      <c r="B4494" t="str">
        <f>"1551685723571850"</f>
        <v>1551685723571850</v>
      </c>
      <c r="C4494" t="s">
        <v>40</v>
      </c>
      <c r="D4494">
        <v>4.4709130000000004</v>
      </c>
      <c r="E4494">
        <v>0.572291199999999</v>
      </c>
      <c r="F4494" t="s">
        <v>70</v>
      </c>
      <c r="G4494">
        <v>-168.41290000000001</v>
      </c>
      <c r="H4494">
        <v>0.31140899999999999</v>
      </c>
      <c r="I4494">
        <v>199.55779999999999</v>
      </c>
      <c r="J4494">
        <v>-290.1454</v>
      </c>
      <c r="K4494">
        <v>1.1101829999999999</v>
      </c>
      <c r="L4494">
        <v>213.93639999999999</v>
      </c>
      <c r="M4494">
        <v>0.99991580000000002</v>
      </c>
      <c r="N4494">
        <v>-1.192879E-2</v>
      </c>
      <c r="O4494">
        <v>-5.125714E-3</v>
      </c>
      <c r="P4494">
        <v>0.98333839999999995</v>
      </c>
      <c r="Q4494">
        <v>0.16549730000000001</v>
      </c>
      <c r="R4494">
        <v>7.520992E-2</v>
      </c>
      <c r="S4494">
        <v>3.0825809999999998</v>
      </c>
      <c r="T4494">
        <v>-2.0160790000000001E-2</v>
      </c>
      <c r="U4494">
        <v>-0.36297610000000002</v>
      </c>
      <c r="V4494">
        <v>-8.0261139999999995E-2</v>
      </c>
      <c r="W4494">
        <v>0.17720540000000001</v>
      </c>
      <c r="X4494">
        <v>0.98089570000000004</v>
      </c>
      <c r="Y4494">
        <v>0.1118437</v>
      </c>
      <c r="Z4494">
        <v>-1.061434E-3</v>
      </c>
      <c r="AA4494">
        <v>0.99372519999999998</v>
      </c>
      <c r="AB4494">
        <v>40</v>
      </c>
      <c r="AC4494">
        <v>121.7325</v>
      </c>
      <c r="AD4494">
        <v>-0.79877399999999898</v>
      </c>
      <c r="AE4494">
        <v>-14.3786</v>
      </c>
      <c r="AF4494">
        <v>13.7538167269746</v>
      </c>
      <c r="AG4494">
        <v>-0.79877399999999898</v>
      </c>
      <c r="AH4494">
        <v>121.799434403943</v>
      </c>
      <c r="AI4494">
        <v>90.373373696570397</v>
      </c>
      <c r="AJ4494">
        <v>83.557346587611207</v>
      </c>
      <c r="AK4494">
        <v>122.57613036632701</v>
      </c>
      <c r="AL4494">
        <v>79.792975507119905</v>
      </c>
      <c r="AM4494">
        <v>94.677768161034805</v>
      </c>
      <c r="AN4494">
        <v>0.99999998933087397</v>
      </c>
    </row>
    <row r="4495" spans="1:40" x14ac:dyDescent="0.25">
      <c r="A4495" t="str">
        <f>"20190304154843597"</f>
        <v>20190304154843597</v>
      </c>
      <c r="B4495" t="str">
        <f>"1551685723591370"</f>
        <v>1551685723591370</v>
      </c>
      <c r="C4495" t="s">
        <v>40</v>
      </c>
      <c r="D4495">
        <v>4.4894319999999999</v>
      </c>
      <c r="E4495">
        <v>0.5720788</v>
      </c>
      <c r="F4495" t="s">
        <v>54</v>
      </c>
      <c r="G4495">
        <v>-177.59989999999999</v>
      </c>
      <c r="H4495">
        <v>8.0001169999999996E-2</v>
      </c>
      <c r="I4495">
        <v>200.7131</v>
      </c>
      <c r="J4495">
        <v>-289.73840000000001</v>
      </c>
      <c r="K4495">
        <v>1.1101810000000001</v>
      </c>
      <c r="L4495">
        <v>213.93430000000001</v>
      </c>
      <c r="M4495">
        <v>0.99991580000000002</v>
      </c>
      <c r="N4495">
        <v>-1.1930949999999999E-2</v>
      </c>
      <c r="O4495">
        <v>-5.0805249999999998E-3</v>
      </c>
      <c r="P4495">
        <v>0.9834929</v>
      </c>
      <c r="Q4495">
        <v>0.16481760000000001</v>
      </c>
      <c r="R4495">
        <v>7.4679079999999995E-2</v>
      </c>
      <c r="S4495">
        <v>3.0832519999999999</v>
      </c>
      <c r="T4495">
        <v>-2.8222440000000001E-2</v>
      </c>
      <c r="U4495">
        <v>-0.36225889999999999</v>
      </c>
      <c r="V4495">
        <v>-7.9687240000000006E-2</v>
      </c>
      <c r="W4495">
        <v>0.1765301</v>
      </c>
      <c r="X4495">
        <v>0.9810643</v>
      </c>
      <c r="Y4495">
        <v>0.11163140000000001</v>
      </c>
      <c r="Z4495">
        <v>-1.1914930000000001E-3</v>
      </c>
      <c r="AA4495">
        <v>0.99374899999999999</v>
      </c>
      <c r="AB4495">
        <v>40</v>
      </c>
      <c r="AC4495">
        <v>112.13849999999999</v>
      </c>
      <c r="AD4495">
        <v>-1.03017982999999</v>
      </c>
      <c r="AE4495">
        <v>-13.2212</v>
      </c>
      <c r="AF4495">
        <v>12.6502132931245</v>
      </c>
      <c r="AG4495">
        <v>-1.03017982999999</v>
      </c>
      <c r="AH4495">
        <v>112.19488909637801</v>
      </c>
      <c r="AI4495">
        <v>90.522766016887203</v>
      </c>
      <c r="AJ4495">
        <v>83.566947943040503</v>
      </c>
      <c r="AK4495">
        <v>112.910505738803</v>
      </c>
      <c r="AL4495">
        <v>79.832287698689797</v>
      </c>
      <c r="AM4495">
        <v>94.643672377559795</v>
      </c>
      <c r="AN4495">
        <v>1.0000000465796499</v>
      </c>
    </row>
    <row r="4496" spans="1:40" x14ac:dyDescent="0.25">
      <c r="A4496" t="str">
        <f>"20190304154843618"</f>
        <v>20190304154843618</v>
      </c>
      <c r="B4496" t="str">
        <f>"1551685723611866"</f>
        <v>1551685723611866</v>
      </c>
      <c r="C4496" t="s">
        <v>40</v>
      </c>
      <c r="D4496">
        <v>4.5960789999999996</v>
      </c>
      <c r="E4496">
        <v>0.57203909999999902</v>
      </c>
      <c r="F4496" t="s">
        <v>54</v>
      </c>
      <c r="G4496">
        <v>-188.97630000000001</v>
      </c>
      <c r="H4496" s="1">
        <v>6.8544900000000003E-6</v>
      </c>
      <c r="I4496">
        <v>202.08330000000001</v>
      </c>
      <c r="J4496">
        <v>-289.34109999999998</v>
      </c>
      <c r="K4496">
        <v>1.1101780000000001</v>
      </c>
      <c r="L4496">
        <v>213.9323</v>
      </c>
      <c r="M4496">
        <v>0.99991609999999997</v>
      </c>
      <c r="N4496">
        <v>-1.193286E-2</v>
      </c>
      <c r="O4496">
        <v>-5.0368899999999996E-3</v>
      </c>
      <c r="P4496">
        <v>0.98364600000000002</v>
      </c>
      <c r="Q4496">
        <v>0.16409689999999999</v>
      </c>
      <c r="R4496">
        <v>7.4249460000000003E-2</v>
      </c>
      <c r="S4496">
        <v>3.0835880000000002</v>
      </c>
      <c r="T4496">
        <v>-3.3974289999999997E-2</v>
      </c>
      <c r="U4496">
        <v>-0.36267090000000002</v>
      </c>
      <c r="V4496">
        <v>-7.921665E-2</v>
      </c>
      <c r="W4496">
        <v>0.17581240000000001</v>
      </c>
      <c r="X4496">
        <v>0.98123119999999997</v>
      </c>
      <c r="Y4496">
        <v>0.111789899999999</v>
      </c>
      <c r="Z4496">
        <v>-1.2876539999999901E-3</v>
      </c>
      <c r="AA4496">
        <v>0.99373100000000003</v>
      </c>
      <c r="AB4496">
        <v>40</v>
      </c>
      <c r="AC4496">
        <v>100.36479999999899</v>
      </c>
      <c r="AD4496">
        <v>-1.1101711455100001</v>
      </c>
      <c r="AE4496">
        <v>-11.848999999999901</v>
      </c>
      <c r="AF4496">
        <v>11.341918561788001</v>
      </c>
      <c r="AG4496">
        <v>-1.1101711455100001</v>
      </c>
      <c r="AH4496">
        <v>100.41109624706699</v>
      </c>
      <c r="AI4496">
        <v>90.629448749951607</v>
      </c>
      <c r="AJ4496">
        <v>83.555480286355305</v>
      </c>
      <c r="AK4496">
        <v>101.055726439289</v>
      </c>
      <c r="AL4496">
        <v>79.874061496627206</v>
      </c>
      <c r="AM4496">
        <v>94.615586404803807</v>
      </c>
      <c r="AN4496">
        <v>0.99999997274220997</v>
      </c>
    </row>
    <row r="4497" spans="1:40" x14ac:dyDescent="0.25">
      <c r="A4497" t="str">
        <f>"20190304154843641"</f>
        <v>20190304154843641</v>
      </c>
      <c r="B4497" t="str">
        <f>"1551685723631390"</f>
        <v>1551685723631390</v>
      </c>
      <c r="C4497" t="s">
        <v>40</v>
      </c>
      <c r="D4497">
        <v>4.565982</v>
      </c>
      <c r="E4497">
        <v>0.57203590000000004</v>
      </c>
      <c r="F4497" t="s">
        <v>45</v>
      </c>
      <c r="G4497">
        <v>-198.89510000000001</v>
      </c>
      <c r="H4497">
        <v>-0.05</v>
      </c>
      <c r="I4497">
        <v>203.25960000000001</v>
      </c>
      <c r="J4497">
        <v>-288.95240000000001</v>
      </c>
      <c r="K4497">
        <v>1.1101700000000001</v>
      </c>
      <c r="L4497">
        <v>213.93039999999999</v>
      </c>
      <c r="M4497">
        <v>0.99991629999999998</v>
      </c>
      <c r="N4497">
        <v>-1.19346E-2</v>
      </c>
      <c r="O4497">
        <v>-4.9943309999999899E-3</v>
      </c>
      <c r="P4497">
        <v>0.98383379999999998</v>
      </c>
      <c r="Q4497">
        <v>0.16308239999999999</v>
      </c>
      <c r="R4497">
        <v>7.3993169999999997E-2</v>
      </c>
      <c r="S4497">
        <v>3.083923</v>
      </c>
      <c r="T4497">
        <v>-3.9558410000000002E-2</v>
      </c>
      <c r="U4497">
        <v>-0.36390689999999998</v>
      </c>
      <c r="V4497">
        <v>-7.8919450000000002E-2</v>
      </c>
      <c r="W4497">
        <v>0.17480209999999999</v>
      </c>
      <c r="X4497">
        <v>0.98143570000000002</v>
      </c>
      <c r="Y4497">
        <v>0.1122088</v>
      </c>
      <c r="Z4497">
        <v>-1.3846970000000001E-3</v>
      </c>
      <c r="AA4497">
        <v>0.99368369999999995</v>
      </c>
      <c r="AB4497">
        <v>40</v>
      </c>
      <c r="AC4497">
        <v>90.057299999999998</v>
      </c>
      <c r="AD4497">
        <v>-1.1601699999999999</v>
      </c>
      <c r="AE4497">
        <v>-10.6707999999999</v>
      </c>
      <c r="AF4497">
        <v>10.219186391089</v>
      </c>
      <c r="AG4497">
        <v>-1.1601699999999999</v>
      </c>
      <c r="AH4497">
        <v>90.094728798640702</v>
      </c>
      <c r="AI4497">
        <v>90.733069663427699</v>
      </c>
      <c r="AJ4497">
        <v>83.528762034536598</v>
      </c>
      <c r="AK4497">
        <v>90.679865032019805</v>
      </c>
      <c r="AL4497">
        <v>79.932858682215794</v>
      </c>
      <c r="AM4497">
        <v>94.597390300428103</v>
      </c>
      <c r="AN4497">
        <v>1.0000000434936001</v>
      </c>
    </row>
    <row r="4498" spans="1:40" x14ac:dyDescent="0.25">
      <c r="A4498" t="str">
        <f>"20190304154843663"</f>
        <v>20190304154843663</v>
      </c>
      <c r="B4498" t="str">
        <f>"1551685723661642"</f>
        <v>1551685723661642</v>
      </c>
      <c r="C4498" t="s">
        <v>40</v>
      </c>
      <c r="D4498">
        <v>3.1614849999999999</v>
      </c>
      <c r="E4498">
        <v>0.5720769</v>
      </c>
      <c r="F4498" t="s">
        <v>60</v>
      </c>
      <c r="G4498">
        <v>-217.77600000000001</v>
      </c>
      <c r="H4498">
        <v>8.0001030000000001E-2</v>
      </c>
      <c r="I4498">
        <v>205.5077</v>
      </c>
      <c r="J4498">
        <v>-288.55680000000001</v>
      </c>
      <c r="K4498">
        <v>1.1101719999999999</v>
      </c>
      <c r="L4498">
        <v>213.92850000000001</v>
      </c>
      <c r="M4498">
        <v>0.99991660000000004</v>
      </c>
      <c r="N4498">
        <v>-1.193635E-2</v>
      </c>
      <c r="O4498">
        <v>-4.9510589999999998E-3</v>
      </c>
      <c r="P4498">
        <v>0.98400399999999999</v>
      </c>
      <c r="Q4498">
        <v>0.1621187</v>
      </c>
      <c r="R4498">
        <v>7.3852119999999993E-2</v>
      </c>
      <c r="S4498">
        <v>3.0841059999999998</v>
      </c>
      <c r="T4498">
        <v>-4.4637679999999999E-2</v>
      </c>
      <c r="U4498">
        <v>-0.3649597</v>
      </c>
      <c r="V4498">
        <v>-7.8736959999999995E-2</v>
      </c>
      <c r="W4498">
        <v>0.17384189999999999</v>
      </c>
      <c r="X4498">
        <v>0.98162079999999996</v>
      </c>
      <c r="Y4498">
        <v>0.1125758</v>
      </c>
      <c r="Z4498">
        <v>-1.4735999999999901E-3</v>
      </c>
      <c r="AA4498">
        <v>0.99364200000000003</v>
      </c>
      <c r="AB4498">
        <v>40</v>
      </c>
      <c r="AC4498">
        <v>70.780799999999999</v>
      </c>
      <c r="AD4498">
        <v>-1.0301709699999999</v>
      </c>
      <c r="AE4498">
        <v>-8.4208000000000105</v>
      </c>
      <c r="AF4498">
        <v>8.0685466179521796</v>
      </c>
      <c r="AG4498">
        <v>-1.0301709699999999</v>
      </c>
      <c r="AH4498">
        <v>70.806837502581999</v>
      </c>
      <c r="AI4498">
        <v>90.828180496115095</v>
      </c>
      <c r="AJ4498">
        <v>83.4991001248316</v>
      </c>
      <c r="AK4498">
        <v>71.272511769058298</v>
      </c>
      <c r="AL4498">
        <v>79.988728650271895</v>
      </c>
      <c r="AM4498">
        <v>94.585943679387697</v>
      </c>
      <c r="AN4498">
        <v>0.99999995502914396</v>
      </c>
    </row>
    <row r="4499" spans="1:40" x14ac:dyDescent="0.25">
      <c r="A4499" t="str">
        <f>"20190304154843731"</f>
        <v>20190304154843731</v>
      </c>
      <c r="B4499" t="str">
        <f>"1551685723721179"</f>
        <v>1551685723721179</v>
      </c>
      <c r="C4499" t="s">
        <v>40</v>
      </c>
      <c r="D4499">
        <v>3.253355</v>
      </c>
      <c r="E4499">
        <v>0.76934829999999998</v>
      </c>
      <c r="F4499" t="s">
        <v>60</v>
      </c>
      <c r="G4499">
        <v>-223.6788</v>
      </c>
      <c r="H4499">
        <v>8.0000749999999995E-2</v>
      </c>
      <c r="I4499">
        <v>206.22139999999999</v>
      </c>
      <c r="J4499">
        <v>-287.34679999999997</v>
      </c>
      <c r="K4499">
        <v>1.1101760000000001</v>
      </c>
      <c r="L4499">
        <v>213.92259999999999</v>
      </c>
      <c r="M4499">
        <v>0.99991719999999895</v>
      </c>
      <c r="N4499">
        <v>-1.194131E-2</v>
      </c>
      <c r="O4499">
        <v>-4.8151629999999999E-3</v>
      </c>
      <c r="P4499">
        <v>0.98421959999999997</v>
      </c>
      <c r="Q4499">
        <v>0.16133110000000001</v>
      </c>
      <c r="R4499">
        <v>7.2690879999999999E-2</v>
      </c>
      <c r="S4499">
        <v>3.0842900000000002</v>
      </c>
      <c r="T4499">
        <v>-4.8974160000000003E-2</v>
      </c>
      <c r="U4499">
        <v>-0.366394</v>
      </c>
      <c r="V4499">
        <v>-7.7443639999999994E-2</v>
      </c>
      <c r="W4499">
        <v>0.17306189999999999</v>
      </c>
      <c r="X4499">
        <v>0.98186150000000005</v>
      </c>
      <c r="Y4499">
        <v>0.113156199999999</v>
      </c>
      <c r="Z4499">
        <v>-1.5543829999999999E-3</v>
      </c>
      <c r="AA4499">
        <v>0.99357600000000001</v>
      </c>
      <c r="AB4499">
        <v>40</v>
      </c>
      <c r="AC4499">
        <v>63.6679999999999</v>
      </c>
      <c r="AD4499">
        <v>-1.0301752500000001</v>
      </c>
      <c r="AE4499">
        <v>-7.7012</v>
      </c>
      <c r="AF4499">
        <v>7.3926095567764003</v>
      </c>
      <c r="AG4499">
        <v>-1.0301752500000001</v>
      </c>
      <c r="AH4499">
        <v>63.687913519924898</v>
      </c>
      <c r="AI4499">
        <v>90.920519829281503</v>
      </c>
      <c r="AJ4499">
        <v>83.378990946109994</v>
      </c>
      <c r="AK4499">
        <v>64.123804204258505</v>
      </c>
      <c r="AL4499">
        <v>80.034107363894293</v>
      </c>
      <c r="AM4499">
        <v>94.509827940052801</v>
      </c>
      <c r="AN4499">
        <v>0.99999997189515399</v>
      </c>
    </row>
    <row r="4500" spans="1:40" x14ac:dyDescent="0.25">
      <c r="A4500" t="str">
        <f>"20190304154843753"</f>
        <v>20190304154843753</v>
      </c>
      <c r="B4500" t="str">
        <f>"1551685723741675"</f>
        <v>1551685723741675</v>
      </c>
      <c r="C4500" t="s">
        <v>40</v>
      </c>
      <c r="D4500">
        <v>4.0052180000000002</v>
      </c>
      <c r="E4500">
        <v>0.75851610000000003</v>
      </c>
      <c r="F4500" t="s">
        <v>60</v>
      </c>
      <c r="G4500">
        <v>-278.34910000000002</v>
      </c>
      <c r="H4500">
        <v>8.0000740000000001E-2</v>
      </c>
      <c r="I4500">
        <v>208.52950000000001</v>
      </c>
      <c r="J4500">
        <v>-286.96350000000001</v>
      </c>
      <c r="K4500">
        <v>1.1101760000000001</v>
      </c>
      <c r="L4500">
        <v>213.92080000000001</v>
      </c>
      <c r="M4500">
        <v>0.99991739999999996</v>
      </c>
      <c r="N4500">
        <v>-1.1942660000000001E-2</v>
      </c>
      <c r="O4500">
        <v>-4.7702159999999999E-3</v>
      </c>
      <c r="P4500">
        <v>0.98441610000000002</v>
      </c>
      <c r="Q4500">
        <v>0.16042970000000001</v>
      </c>
      <c r="R4500">
        <v>7.2026389999999996E-2</v>
      </c>
      <c r="S4500">
        <v>3.253174</v>
      </c>
      <c r="T4500">
        <v>-0.37246780000000002</v>
      </c>
      <c r="U4500">
        <v>-1.9499359999999999</v>
      </c>
      <c r="V4500">
        <v>-7.6736250000000006E-2</v>
      </c>
      <c r="W4500">
        <v>0.17216429999999999</v>
      </c>
      <c r="X4500">
        <v>0.98207489999999997</v>
      </c>
      <c r="Y4500">
        <v>0.50727259999999996</v>
      </c>
      <c r="Z4500">
        <v>-2.956551E-2</v>
      </c>
      <c r="AA4500">
        <v>0.8612784</v>
      </c>
      <c r="AB4500">
        <v>40</v>
      </c>
      <c r="AC4500">
        <v>8.6143999999999892</v>
      </c>
      <c r="AD4500">
        <v>-1.03017526</v>
      </c>
      <c r="AE4500">
        <v>-5.3913000000000002</v>
      </c>
      <c r="AF4500">
        <v>5.29572342914072</v>
      </c>
      <c r="AG4500">
        <v>-1.03017526</v>
      </c>
      <c r="AH4500">
        <v>8.5521382580731302</v>
      </c>
      <c r="AI4500">
        <v>95.847454471745493</v>
      </c>
      <c r="AJ4500">
        <v>58.233048967334497</v>
      </c>
      <c r="AK4500">
        <v>10.111627786339</v>
      </c>
      <c r="AL4500">
        <v>80.086320602384504</v>
      </c>
      <c r="AM4500">
        <v>94.467834526043504</v>
      </c>
      <c r="AN4500">
        <v>1.0000000537342699</v>
      </c>
    </row>
    <row r="4501" spans="1:40" x14ac:dyDescent="0.25">
      <c r="A4501" t="str">
        <f>"20190304154843774"</f>
        <v>20190304154843774</v>
      </c>
      <c r="B4501" t="str">
        <f>"1551685723770955"</f>
        <v>1551685723770955</v>
      </c>
      <c r="C4501" t="s">
        <v>40</v>
      </c>
      <c r="D4501">
        <v>3.9598119999999999</v>
      </c>
      <c r="E4501">
        <v>0.63414579999999998</v>
      </c>
      <c r="F4501" t="s">
        <v>60</v>
      </c>
      <c r="G4501">
        <v>-277.54239999999999</v>
      </c>
      <c r="H4501">
        <v>8.0000979999999999E-2</v>
      </c>
      <c r="I4501">
        <v>208.49950000000001</v>
      </c>
      <c r="J4501">
        <v>-286.56389999999999</v>
      </c>
      <c r="K4501">
        <v>1.1101700000000001</v>
      </c>
      <c r="L4501">
        <v>213.91900000000001</v>
      </c>
      <c r="M4501">
        <v>0.99991759999999996</v>
      </c>
      <c r="N4501">
        <v>-1.1944049999999999E-2</v>
      </c>
      <c r="O4501">
        <v>-4.7228859999999999E-3</v>
      </c>
      <c r="P4501">
        <v>0.98465789999999997</v>
      </c>
      <c r="Q4501">
        <v>0.15966720000000001</v>
      </c>
      <c r="R4501">
        <v>7.0396589999999995E-2</v>
      </c>
      <c r="S4501">
        <v>3.2417910000000001</v>
      </c>
      <c r="T4501">
        <v>-0.35448279999999999</v>
      </c>
      <c r="U4501">
        <v>-1.8654790000000001</v>
      </c>
      <c r="V4501">
        <v>-7.5061320000000001E-2</v>
      </c>
      <c r="W4501">
        <v>0.17140569999999999</v>
      </c>
      <c r="X4501">
        <v>0.98233689999999996</v>
      </c>
      <c r="Y4501">
        <v>0.492174</v>
      </c>
      <c r="Z4501">
        <v>-2.7659010000000001E-2</v>
      </c>
      <c r="AA4501">
        <v>0.87005730000000003</v>
      </c>
      <c r="AB4501">
        <v>40</v>
      </c>
      <c r="AC4501">
        <v>9.0214999999999996</v>
      </c>
      <c r="AD4501">
        <v>-1.03016902</v>
      </c>
      <c r="AE4501">
        <v>-5.4194999999999904</v>
      </c>
      <c r="AF4501">
        <v>5.3257990739521697</v>
      </c>
      <c r="AG4501">
        <v>-1.03016902</v>
      </c>
      <c r="AH4501">
        <v>8.9611344543864906</v>
      </c>
      <c r="AI4501">
        <v>95.643860856839694</v>
      </c>
      <c r="AJ4501">
        <v>59.276053982582198</v>
      </c>
      <c r="AK4501">
        <v>10.475080653411201</v>
      </c>
      <c r="AL4501">
        <v>80.130440023806401</v>
      </c>
      <c r="AM4501">
        <v>94.369535514259297</v>
      </c>
      <c r="AN4501">
        <v>0.99999995042711898</v>
      </c>
    </row>
    <row r="4502" spans="1:40" x14ac:dyDescent="0.25">
      <c r="A4502" t="str">
        <f>"20190304154843798"</f>
        <v>20190304154843798</v>
      </c>
      <c r="B4502" t="str">
        <f>"1551685723791454"</f>
        <v>1551685723791454</v>
      </c>
      <c r="C4502" t="s">
        <v>40</v>
      </c>
      <c r="D4502">
        <v>4.226718</v>
      </c>
      <c r="E4502">
        <v>0.63067450000000003</v>
      </c>
      <c r="F4502" t="s">
        <v>76</v>
      </c>
      <c r="G4502">
        <v>-175.65790000000001</v>
      </c>
      <c r="H4502">
        <v>5.8384070000000001</v>
      </c>
      <c r="I4502">
        <v>182.7817</v>
      </c>
      <c r="J4502">
        <v>-286.1558</v>
      </c>
      <c r="K4502">
        <v>1.1101639999999999</v>
      </c>
      <c r="L4502">
        <v>213.9171</v>
      </c>
      <c r="M4502">
        <v>0.99991790000000003</v>
      </c>
      <c r="N4502">
        <v>-1.194547E-2</v>
      </c>
      <c r="O4502">
        <v>-4.6737719999999996E-3</v>
      </c>
      <c r="P4502">
        <v>0.98477380000000003</v>
      </c>
      <c r="Q4502">
        <v>0.15970599999999999</v>
      </c>
      <c r="R4502">
        <v>6.8666980000000002E-2</v>
      </c>
      <c r="S4502">
        <v>3.0873719999999998</v>
      </c>
      <c r="T4502">
        <v>0.13162370000000001</v>
      </c>
      <c r="U4502">
        <v>-0.86679079999999997</v>
      </c>
      <c r="V4502">
        <v>-7.3284409999999994E-2</v>
      </c>
      <c r="W4502">
        <v>0.17144799999999999</v>
      </c>
      <c r="X4502">
        <v>0.98246369999999905</v>
      </c>
      <c r="Y4502">
        <v>0.26564850000000001</v>
      </c>
      <c r="Z4502">
        <v>3.685533E-3</v>
      </c>
      <c r="AA4502">
        <v>0.96406289999999994</v>
      </c>
      <c r="AB4502">
        <v>40</v>
      </c>
      <c r="AC4502">
        <v>110.4979</v>
      </c>
      <c r="AD4502">
        <v>4.728243</v>
      </c>
      <c r="AE4502">
        <v>-31.135400000000001</v>
      </c>
      <c r="AF4502">
        <v>30.5667298473684</v>
      </c>
      <c r="AG4502">
        <v>4.728243</v>
      </c>
      <c r="AH4502">
        <v>110.454855096758</v>
      </c>
      <c r="AI4502">
        <v>87.637521994928505</v>
      </c>
      <c r="AJ4502">
        <v>74.531368156227401</v>
      </c>
      <c r="AK4502">
        <v>114.703776179665</v>
      </c>
      <c r="AL4502">
        <v>80.127980207516401</v>
      </c>
      <c r="AM4502">
        <v>94.2659344069654</v>
      </c>
      <c r="AN4502">
        <v>0.99999997163536802</v>
      </c>
    </row>
    <row r="4503" spans="1:40" x14ac:dyDescent="0.25">
      <c r="A4503" t="str">
        <f>"20190304154843820"</f>
        <v>20190304154843820</v>
      </c>
      <c r="B4503" t="str">
        <f>"1551685723810971"</f>
        <v>1551685723810971</v>
      </c>
      <c r="C4503" t="s">
        <v>40</v>
      </c>
      <c r="D4503">
        <v>4.5545939999999998</v>
      </c>
      <c r="E4503">
        <v>0.61285429999999996</v>
      </c>
      <c r="F4503" t="s">
        <v>76</v>
      </c>
      <c r="G4503">
        <v>-174.44649999999999</v>
      </c>
      <c r="H4503">
        <v>6.1860239999999997</v>
      </c>
      <c r="I4503">
        <v>183.29820000000001</v>
      </c>
      <c r="J4503">
        <v>-285.7543</v>
      </c>
      <c r="K4503">
        <v>1.1101639999999999</v>
      </c>
      <c r="L4503">
        <v>213.9153</v>
      </c>
      <c r="M4503">
        <v>0.99991790000000003</v>
      </c>
      <c r="N4503">
        <v>-1.194681E-2</v>
      </c>
      <c r="O4503">
        <v>-4.6245440000000004E-3</v>
      </c>
      <c r="P4503">
        <v>0.98497699999999999</v>
      </c>
      <c r="Q4503">
        <v>0.1595685</v>
      </c>
      <c r="R4503">
        <v>6.6017640000000002E-2</v>
      </c>
      <c r="S4503">
        <v>3.0825499999999999</v>
      </c>
      <c r="T4503">
        <v>0.14006569999999999</v>
      </c>
      <c r="U4503">
        <v>-0.84490969999999999</v>
      </c>
      <c r="V4503">
        <v>-7.0587869999999997E-2</v>
      </c>
      <c r="W4503">
        <v>0.17131459999999901</v>
      </c>
      <c r="X4503">
        <v>0.98268440000000001</v>
      </c>
      <c r="Y4503">
        <v>0.25970799999999999</v>
      </c>
      <c r="Z4503">
        <v>3.9502259999999898E-3</v>
      </c>
      <c r="AA4503">
        <v>0.96567910000000001</v>
      </c>
      <c r="AB4503">
        <v>40</v>
      </c>
      <c r="AC4503">
        <v>111.3078</v>
      </c>
      <c r="AD4503">
        <v>5.0758599999999996</v>
      </c>
      <c r="AE4503">
        <v>-30.617099999999901</v>
      </c>
      <c r="AF4503">
        <v>30.043905026027598</v>
      </c>
      <c r="AG4503">
        <v>5.0758599999999996</v>
      </c>
      <c r="AH4503">
        <v>111.23316618077099</v>
      </c>
      <c r="AI4503">
        <v>87.477525014275201</v>
      </c>
      <c r="AJ4503">
        <v>74.885167869121602</v>
      </c>
      <c r="AK4503">
        <v>115.33090584293301</v>
      </c>
      <c r="AL4503">
        <v>80.135738377659393</v>
      </c>
      <c r="AM4503">
        <v>94.108595220596499</v>
      </c>
      <c r="AN4503">
        <v>0.99999998478382801</v>
      </c>
    </row>
    <row r="4504" spans="1:40" x14ac:dyDescent="0.25">
      <c r="A4504" t="str">
        <f>"20190304154843842"</f>
        <v>20190304154843842</v>
      </c>
      <c r="B4504" t="str">
        <f>"1551685723831467"</f>
        <v>1551685723831467</v>
      </c>
      <c r="C4504" t="s">
        <v>40</v>
      </c>
      <c r="D4504">
        <v>4.4179199999999996</v>
      </c>
      <c r="E4504">
        <v>0.60386059999999997</v>
      </c>
      <c r="F4504" t="s">
        <v>76</v>
      </c>
      <c r="G4504">
        <v>-169.62729999999999</v>
      </c>
      <c r="H4504">
        <v>5.0847930000000003</v>
      </c>
      <c r="I4504">
        <v>187.00970000000001</v>
      </c>
      <c r="J4504">
        <v>-285.37349999999998</v>
      </c>
      <c r="K4504">
        <v>1.11016</v>
      </c>
      <c r="L4504">
        <v>213.9135</v>
      </c>
      <c r="M4504">
        <v>0.99991830000000004</v>
      </c>
      <c r="N4504">
        <v>-1.194803E-2</v>
      </c>
      <c r="O4504">
        <v>-4.5779389999999996E-3</v>
      </c>
      <c r="P4504">
        <v>0.98516919999999997</v>
      </c>
      <c r="Q4504">
        <v>0.15934699999999999</v>
      </c>
      <c r="R4504">
        <v>6.3644329999999999E-2</v>
      </c>
      <c r="S4504">
        <v>3.0764469999999999</v>
      </c>
      <c r="T4504">
        <v>0.1052965</v>
      </c>
      <c r="U4504">
        <v>-0.71278379999999997</v>
      </c>
      <c r="V4504">
        <v>-6.8169110000000005E-2</v>
      </c>
      <c r="W4504">
        <v>0.171097</v>
      </c>
      <c r="X4504">
        <v>0.98289300000000002</v>
      </c>
      <c r="Y4504">
        <v>0.22117539999999999</v>
      </c>
      <c r="Z4504">
        <v>2.1871170000000001E-3</v>
      </c>
      <c r="AA4504">
        <v>0.97523159999999998</v>
      </c>
      <c r="AB4504">
        <v>40</v>
      </c>
      <c r="AC4504">
        <v>115.7462</v>
      </c>
      <c r="AD4504">
        <v>3.9746329999999999</v>
      </c>
      <c r="AE4504">
        <v>-26.903799999999901</v>
      </c>
      <c r="AF4504">
        <v>26.344129056612299</v>
      </c>
      <c r="AG4504">
        <v>3.9746329999999999</v>
      </c>
      <c r="AH4504">
        <v>115.73867832192499</v>
      </c>
      <c r="AI4504">
        <v>88.082168998641194</v>
      </c>
      <c r="AJ4504">
        <v>77.176960753895202</v>
      </c>
      <c r="AK4504">
        <v>118.765535838231</v>
      </c>
      <c r="AL4504">
        <v>80.148392235052995</v>
      </c>
      <c r="AM4504">
        <v>93.967428550929498</v>
      </c>
      <c r="AN4504">
        <v>0.99999993020809297</v>
      </c>
    </row>
    <row r="4505" spans="1:40" x14ac:dyDescent="0.25">
      <c r="A4505" t="str">
        <f>"20190304154843864"</f>
        <v>20190304154843864</v>
      </c>
      <c r="B4505" t="str">
        <f>"1551685723861723"</f>
        <v>1551685723861723</v>
      </c>
      <c r="C4505" t="s">
        <v>40</v>
      </c>
      <c r="D4505">
        <v>4.4426139999999998</v>
      </c>
      <c r="E4505">
        <v>0.59551529999999997</v>
      </c>
      <c r="F4505" t="s">
        <v>70</v>
      </c>
      <c r="G4505">
        <v>-168.4177</v>
      </c>
      <c r="H4505">
        <v>4.58216</v>
      </c>
      <c r="I4505">
        <v>189.19569999999999</v>
      </c>
      <c r="J4505">
        <v>-284.97300000000001</v>
      </c>
      <c r="K4505">
        <v>1.110163</v>
      </c>
      <c r="L4505">
        <v>213.9118</v>
      </c>
      <c r="M4505">
        <v>0.99991830000000004</v>
      </c>
      <c r="N4505">
        <v>-1.194928E-2</v>
      </c>
      <c r="O4505">
        <v>-4.5281139999999998E-3</v>
      </c>
      <c r="P4505">
        <v>0.98527310000000001</v>
      </c>
      <c r="Q4505">
        <v>0.159251</v>
      </c>
      <c r="R4505">
        <v>6.2257729999999997E-2</v>
      </c>
      <c r="S4505">
        <v>3.0723569999999998</v>
      </c>
      <c r="T4505">
        <v>9.1208220000000007E-2</v>
      </c>
      <c r="U4505">
        <v>-0.64932250000000002</v>
      </c>
      <c r="V4505">
        <v>-6.6734119999999994E-2</v>
      </c>
      <c r="W4505">
        <v>0.17100360000000001</v>
      </c>
      <c r="X4505">
        <v>0.98300779999999999</v>
      </c>
      <c r="Y4505">
        <v>0.20229710000000001</v>
      </c>
      <c r="Z4505">
        <v>1.5608659999999999E-3</v>
      </c>
      <c r="AA4505">
        <v>0.97932300000000005</v>
      </c>
      <c r="AB4505">
        <v>40</v>
      </c>
      <c r="AC4505">
        <v>116.5553</v>
      </c>
      <c r="AD4505">
        <v>3.471997</v>
      </c>
      <c r="AE4505">
        <v>-24.716100000000001</v>
      </c>
      <c r="AF4505">
        <v>24.167510979696999</v>
      </c>
      <c r="AG4505">
        <v>3.471997</v>
      </c>
      <c r="AH4505">
        <v>116.56704559487601</v>
      </c>
      <c r="AI4505">
        <v>88.329432006901499</v>
      </c>
      <c r="AJ4505">
        <v>78.286975238445095</v>
      </c>
      <c r="AK4505">
        <v>119.09659721772</v>
      </c>
      <c r="AL4505">
        <v>80.153824446701194</v>
      </c>
      <c r="AM4505">
        <v>93.883718574155495</v>
      </c>
      <c r="AN4505">
        <v>1.00000000442298</v>
      </c>
    </row>
    <row r="4506" spans="1:40" x14ac:dyDescent="0.25">
      <c r="A4506" t="str">
        <f>"20190304154843887"</f>
        <v>20190304154843887</v>
      </c>
      <c r="B4506" t="str">
        <f>"1551685723881243"</f>
        <v>1551685723881243</v>
      </c>
      <c r="C4506" t="s">
        <v>40</v>
      </c>
      <c r="D4506">
        <v>4.5396280000000004</v>
      </c>
      <c r="E4506">
        <v>0.59150919999999996</v>
      </c>
      <c r="F4506" t="s">
        <v>70</v>
      </c>
      <c r="G4506">
        <v>-168.41679999999999</v>
      </c>
      <c r="H4506">
        <v>4.0860320000000003</v>
      </c>
      <c r="I4506">
        <v>191.6035</v>
      </c>
      <c r="J4506">
        <v>-284.5641</v>
      </c>
      <c r="K4506">
        <v>1.110161</v>
      </c>
      <c r="L4506">
        <v>213.91</v>
      </c>
      <c r="M4506">
        <v>0.99991870000000005</v>
      </c>
      <c r="N4506">
        <v>-1.1950540000000001E-2</v>
      </c>
      <c r="O4506">
        <v>-4.4770929999999997E-3</v>
      </c>
      <c r="P4506">
        <v>0.98537140000000001</v>
      </c>
      <c r="Q4506">
        <v>0.15946270000000001</v>
      </c>
      <c r="R4506">
        <v>6.012642E-2</v>
      </c>
      <c r="S4506">
        <v>3.0693049999999999</v>
      </c>
      <c r="T4506">
        <v>7.8365210000000005E-2</v>
      </c>
      <c r="U4506">
        <v>-0.58744810000000003</v>
      </c>
      <c r="V4506">
        <v>-6.4553749999999993E-2</v>
      </c>
      <c r="W4506">
        <v>0.17121829999999999</v>
      </c>
      <c r="X4506">
        <v>0.98311599999999999</v>
      </c>
      <c r="Y4506">
        <v>0.18355589999999999</v>
      </c>
      <c r="Z4506">
        <v>1.0487649999999999E-3</v>
      </c>
      <c r="AA4506">
        <v>0.98300869999999996</v>
      </c>
      <c r="AB4506">
        <v>40</v>
      </c>
      <c r="AC4506">
        <v>116.1473</v>
      </c>
      <c r="AD4506">
        <v>2.9758710000000002</v>
      </c>
      <c r="AE4506">
        <v>-22.3065</v>
      </c>
      <c r="AF4506">
        <v>21.772452706842699</v>
      </c>
      <c r="AG4506">
        <v>2.9758710000000002</v>
      </c>
      <c r="AH4506">
        <v>116.172461160899</v>
      </c>
      <c r="AI4506">
        <v>88.557733429525499</v>
      </c>
      <c r="AJ4506">
        <v>79.3850538730713</v>
      </c>
      <c r="AK4506">
        <v>118.232551512944</v>
      </c>
      <c r="AL4506">
        <v>80.141338671670596</v>
      </c>
      <c r="AM4506">
        <v>93.756785045688403</v>
      </c>
      <c r="AN4506">
        <v>0.99999998117497602</v>
      </c>
    </row>
    <row r="4507" spans="1:40" x14ac:dyDescent="0.25">
      <c r="A4507" t="str">
        <f>"20190304154843903"</f>
        <v>20190304154843903</v>
      </c>
      <c r="B4507" t="str">
        <f>"1551685723891002"</f>
        <v>1551685723891002</v>
      </c>
      <c r="C4507" t="s">
        <v>40</v>
      </c>
      <c r="D4507">
        <v>4.6119260000000004</v>
      </c>
      <c r="E4507">
        <v>0.58969709999999997</v>
      </c>
      <c r="F4507" t="s">
        <v>70</v>
      </c>
      <c r="G4507">
        <v>-168.41630000000001</v>
      </c>
      <c r="H4507">
        <v>3.7770299999999999</v>
      </c>
      <c r="I4507">
        <v>192.61420000000001</v>
      </c>
      <c r="J4507">
        <v>-284.27890000000002</v>
      </c>
      <c r="K4507">
        <v>1.110168</v>
      </c>
      <c r="L4507">
        <v>213.90870000000001</v>
      </c>
      <c r="M4507">
        <v>0.9999188</v>
      </c>
      <c r="N4507">
        <v>-1.1951389999999999E-2</v>
      </c>
      <c r="O4507">
        <v>-4.4413279999999996E-3</v>
      </c>
      <c r="P4507">
        <v>0.98538899999999996</v>
      </c>
      <c r="Q4507">
        <v>0.15958029999999901</v>
      </c>
      <c r="R4507">
        <v>5.9523680000000002E-2</v>
      </c>
      <c r="S4507">
        <v>3.0674739999999998</v>
      </c>
      <c r="T4507">
        <v>7.0433140000000005E-2</v>
      </c>
      <c r="U4507">
        <v>-0.56242369999999997</v>
      </c>
      <c r="V4507">
        <v>-6.3916269999999997E-2</v>
      </c>
      <c r="W4507">
        <v>0.17133660000000001</v>
      </c>
      <c r="X4507">
        <v>0.98313709999999999</v>
      </c>
      <c r="Y4507">
        <v>0.17595539999999901</v>
      </c>
      <c r="Z4507">
        <v>7.8912749999999999E-4</v>
      </c>
      <c r="AA4507">
        <v>0.98439779999999999</v>
      </c>
      <c r="AB4507">
        <v>40</v>
      </c>
      <c r="AC4507">
        <v>115.8626</v>
      </c>
      <c r="AD4507">
        <v>2.6668620000000001</v>
      </c>
      <c r="AE4507">
        <v>-21.294499999999999</v>
      </c>
      <c r="AF4507">
        <v>20.769025474978601</v>
      </c>
      <c r="AG4507">
        <v>2.6668620000000001</v>
      </c>
      <c r="AH4507">
        <v>115.89664365832699</v>
      </c>
      <c r="AI4507">
        <v>88.702479308983598</v>
      </c>
      <c r="AJ4507">
        <v>79.840264411398707</v>
      </c>
      <c r="AK4507">
        <v>117.773072403553</v>
      </c>
      <c r="AL4507">
        <v>80.134459491081998</v>
      </c>
      <c r="AM4507">
        <v>93.719711177527799</v>
      </c>
      <c r="AN4507">
        <v>1.0000000387333401</v>
      </c>
    </row>
    <row r="4508" spans="1:40" x14ac:dyDescent="0.25">
      <c r="A4508" t="str">
        <f>"20190304154843922"</f>
        <v>20190304154843922</v>
      </c>
      <c r="B4508" t="str">
        <f>"1551685723911499"</f>
        <v>1551685723911499</v>
      </c>
      <c r="C4508" t="s">
        <v>40</v>
      </c>
      <c r="D4508">
        <v>4.5261449999999996</v>
      </c>
      <c r="E4508">
        <v>0.58594009999999996</v>
      </c>
      <c r="F4508" t="s">
        <v>70</v>
      </c>
      <c r="G4508">
        <v>-168.4161</v>
      </c>
      <c r="H4508">
        <v>3.5831209999999998</v>
      </c>
      <c r="I4508">
        <v>193.1266</v>
      </c>
      <c r="J4508">
        <v>-283.94409999999999</v>
      </c>
      <c r="K4508">
        <v>1.1101730000000001</v>
      </c>
      <c r="L4508">
        <v>213.90719999999999</v>
      </c>
      <c r="M4508">
        <v>0.99991890000000005</v>
      </c>
      <c r="N4508">
        <v>-1.195239E-2</v>
      </c>
      <c r="O4508">
        <v>-4.3992450000000004E-3</v>
      </c>
      <c r="P4508">
        <v>0.98546129999999998</v>
      </c>
      <c r="Q4508">
        <v>0.15970500000000001</v>
      </c>
      <c r="R4508">
        <v>5.7970109999999998E-2</v>
      </c>
      <c r="S4508">
        <v>3.0671080000000002</v>
      </c>
      <c r="T4508">
        <v>6.5464620000000001E-2</v>
      </c>
      <c r="U4508">
        <v>-0.55014039999999997</v>
      </c>
      <c r="V4508">
        <v>-6.2321830000000002E-2</v>
      </c>
      <c r="W4508">
        <v>0.171463</v>
      </c>
      <c r="X4508">
        <v>0.98321740000000002</v>
      </c>
      <c r="Y4508">
        <v>0.1722041</v>
      </c>
      <c r="Z4508">
        <v>6.4036319999999998E-4</v>
      </c>
      <c r="AA4508">
        <v>0.98506110000000002</v>
      </c>
      <c r="AB4508">
        <v>40</v>
      </c>
      <c r="AC4508">
        <v>115.52800000000001</v>
      </c>
      <c r="AD4508">
        <v>2.4729480000000001</v>
      </c>
      <c r="AE4508">
        <v>-20.7806</v>
      </c>
      <c r="AF4508">
        <v>20.2631330168022</v>
      </c>
      <c r="AG4508">
        <v>2.4729480000000001</v>
      </c>
      <c r="AH4508">
        <v>115.567014130926</v>
      </c>
      <c r="AI4508">
        <v>88.792563660485101</v>
      </c>
      <c r="AJ4508">
        <v>80.055040144642803</v>
      </c>
      <c r="AK4508">
        <v>117.35605986315799</v>
      </c>
      <c r="AL4508">
        <v>80.127108267956501</v>
      </c>
      <c r="AM4508">
        <v>93.626875581421103</v>
      </c>
      <c r="AN4508">
        <v>1.0000000132631499</v>
      </c>
    </row>
    <row r="4509" spans="1:40" x14ac:dyDescent="0.25">
      <c r="A4509" t="str">
        <f>"20190304154843942"</f>
        <v>20190304154843942</v>
      </c>
      <c r="B4509" t="str">
        <f>"1551685723931020"</f>
        <v>1551685723931020</v>
      </c>
      <c r="C4509" t="s">
        <v>40</v>
      </c>
      <c r="D4509">
        <v>4.5250050000000002</v>
      </c>
      <c r="E4509">
        <v>0.58304019999999901</v>
      </c>
      <c r="F4509" t="s">
        <v>70</v>
      </c>
      <c r="G4509">
        <v>-168.41560000000001</v>
      </c>
      <c r="H4509">
        <v>3.008346</v>
      </c>
      <c r="I4509">
        <v>194.10740000000001</v>
      </c>
      <c r="J4509">
        <v>-283.56849999999997</v>
      </c>
      <c r="K4509">
        <v>1.110177</v>
      </c>
      <c r="L4509">
        <v>213.90559999999999</v>
      </c>
      <c r="M4509">
        <v>0.99991920000000001</v>
      </c>
      <c r="N4509">
        <v>-1.1953500000000001E-2</v>
      </c>
      <c r="O4509">
        <v>-4.3519179999999998E-3</v>
      </c>
      <c r="P4509">
        <v>0.98551999999999995</v>
      </c>
      <c r="Q4509">
        <v>0.15967979999999901</v>
      </c>
      <c r="R4509">
        <v>5.7036089999999998E-2</v>
      </c>
      <c r="S4509">
        <v>3.066986</v>
      </c>
      <c r="T4509">
        <v>5.0392510000000001E-2</v>
      </c>
      <c r="U4509">
        <v>-0.52563479999999996</v>
      </c>
      <c r="V4509">
        <v>-6.1341699999999902E-2</v>
      </c>
      <c r="W4509">
        <v>0.17144000000000001</v>
      </c>
      <c r="X4509">
        <v>0.98328300000000002</v>
      </c>
      <c r="Y4509">
        <v>0.16462669999999999</v>
      </c>
      <c r="Z4509">
        <v>2.2885719999999999E-4</v>
      </c>
      <c r="AA4509">
        <v>0.98635589999999995</v>
      </c>
      <c r="AB4509">
        <v>40</v>
      </c>
      <c r="AC4509">
        <v>115.15289999999899</v>
      </c>
      <c r="AD4509">
        <v>1.89816899999999</v>
      </c>
      <c r="AE4509">
        <v>-19.798199999999898</v>
      </c>
      <c r="AF4509">
        <v>19.2917493318688</v>
      </c>
      <c r="AG4509">
        <v>1.89816899999999</v>
      </c>
      <c r="AH4509">
        <v>115.20757036748699</v>
      </c>
      <c r="AI4509">
        <v>89.069035288011193</v>
      </c>
      <c r="AJ4509">
        <v>80.493897759034397</v>
      </c>
      <c r="AK4509">
        <v>116.827046987483</v>
      </c>
      <c r="AL4509">
        <v>80.128445425387298</v>
      </c>
      <c r="AM4509">
        <v>93.569747156161299</v>
      </c>
      <c r="AN4509">
        <v>0.99999996792394397</v>
      </c>
    </row>
    <row r="4510" spans="1:40" x14ac:dyDescent="0.25">
      <c r="A4510" t="str">
        <f>"20190304154843965"</f>
        <v>20190304154843965</v>
      </c>
      <c r="B4510" t="str">
        <f>"1551685723961275"</f>
        <v>1551685723961275</v>
      </c>
      <c r="C4510" t="s">
        <v>40</v>
      </c>
      <c r="D4510">
        <v>4.4929389999999998</v>
      </c>
      <c r="E4510">
        <v>0.58038239999999996</v>
      </c>
      <c r="F4510" t="s">
        <v>70</v>
      </c>
      <c r="G4510">
        <v>-168.4152</v>
      </c>
      <c r="H4510">
        <v>2.5455839999999998</v>
      </c>
      <c r="I4510">
        <v>194.9307</v>
      </c>
      <c r="J4510">
        <v>-283.17869999999999</v>
      </c>
      <c r="K4510">
        <v>1.1101810000000001</v>
      </c>
      <c r="L4510">
        <v>213.904</v>
      </c>
      <c r="M4510">
        <v>0.99991940000000001</v>
      </c>
      <c r="N4510">
        <v>-1.1954650000000001E-2</v>
      </c>
      <c r="O4510">
        <v>-4.3022069999999997E-3</v>
      </c>
      <c r="P4510">
        <v>0.98551169999999999</v>
      </c>
      <c r="Q4510">
        <v>0.1597864</v>
      </c>
      <c r="R4510">
        <v>5.6880060000000003E-2</v>
      </c>
      <c r="S4510">
        <v>3.0671390000000001</v>
      </c>
      <c r="T4510">
        <v>3.8233280000000001E-2</v>
      </c>
      <c r="U4510">
        <v>-0.50540160000000001</v>
      </c>
      <c r="V4510">
        <v>-6.1136589999999998E-2</v>
      </c>
      <c r="W4510">
        <v>0.17154759999999999</v>
      </c>
      <c r="X4510">
        <v>0.98327699999999996</v>
      </c>
      <c r="Y4510">
        <v>0.15834110000000001</v>
      </c>
      <c r="Z4510" s="1">
        <v>-7.6932369999999905E-5</v>
      </c>
      <c r="AA4510">
        <v>0.98738440000000005</v>
      </c>
      <c r="AB4510">
        <v>40</v>
      </c>
      <c r="AC4510">
        <v>114.76349999999999</v>
      </c>
      <c r="AD4510">
        <v>1.435403</v>
      </c>
      <c r="AE4510">
        <v>-18.973299999999998</v>
      </c>
      <c r="AF4510">
        <v>18.476539306358799</v>
      </c>
      <c r="AG4510">
        <v>1.435403</v>
      </c>
      <c r="AH4510">
        <v>114.82658541426601</v>
      </c>
      <c r="AI4510">
        <v>89.292899283697693</v>
      </c>
      <c r="AJ4510">
        <v>80.858993058576203</v>
      </c>
      <c r="AK4510">
        <v>116.312456789509</v>
      </c>
      <c r="AL4510">
        <v>80.122187615330802</v>
      </c>
      <c r="AM4510">
        <v>93.557863255733196</v>
      </c>
      <c r="AN4510">
        <v>0.99999996021579296</v>
      </c>
    </row>
    <row r="4511" spans="1:40" x14ac:dyDescent="0.25">
      <c r="A4511" t="str">
        <f>"20190304154843988"</f>
        <v>20190304154843988</v>
      </c>
      <c r="B4511" t="str">
        <f>"1551685723981771"</f>
        <v>1551685723981771</v>
      </c>
      <c r="C4511" t="s">
        <v>40</v>
      </c>
      <c r="D4511">
        <v>4.6983160000000002</v>
      </c>
      <c r="E4511">
        <v>0.57851669999999999</v>
      </c>
      <c r="F4511" t="s">
        <v>70</v>
      </c>
      <c r="G4511">
        <v>-168.41480000000001</v>
      </c>
      <c r="H4511">
        <v>2.265698</v>
      </c>
      <c r="I4511">
        <v>195.74969999999999</v>
      </c>
      <c r="J4511">
        <v>-282.76249999999999</v>
      </c>
      <c r="K4511">
        <v>1.1101760000000001</v>
      </c>
      <c r="L4511">
        <v>213.90219999999999</v>
      </c>
      <c r="M4511">
        <v>0.99991969999999997</v>
      </c>
      <c r="N4511">
        <v>-1.1955850000000001E-2</v>
      </c>
      <c r="O4511">
        <v>-4.2470040000000004E-3</v>
      </c>
      <c r="P4511">
        <v>0.98548329999999995</v>
      </c>
      <c r="Q4511">
        <v>0.15984139999999999</v>
      </c>
      <c r="R4511">
        <v>5.721441E-2</v>
      </c>
      <c r="S4511">
        <v>3.0671390000000001</v>
      </c>
      <c r="T4511">
        <v>3.0882840000000002E-2</v>
      </c>
      <c r="U4511">
        <v>-0.4851837</v>
      </c>
      <c r="V4511">
        <v>-6.141684E-2</v>
      </c>
      <c r="W4511">
        <v>0.17160300000000001</v>
      </c>
      <c r="X4511">
        <v>0.98324990000000001</v>
      </c>
      <c r="Y4511">
        <v>0.15205089999999999</v>
      </c>
      <c r="Z4511">
        <v>-2.4680569999999997E-4</v>
      </c>
      <c r="AA4511">
        <v>0.98837260000000005</v>
      </c>
      <c r="AB4511">
        <v>40</v>
      </c>
      <c r="AC4511">
        <v>114.34769999999899</v>
      </c>
      <c r="AD4511">
        <v>1.1555219999999999</v>
      </c>
      <c r="AE4511">
        <v>-18.1525</v>
      </c>
      <c r="AF4511">
        <v>17.664906949737698</v>
      </c>
      <c r="AG4511">
        <v>1.1555219999999999</v>
      </c>
      <c r="AH4511">
        <v>114.41237149345601</v>
      </c>
      <c r="AI4511">
        <v>89.428129441303298</v>
      </c>
      <c r="AJ4511">
        <v>81.223018639283893</v>
      </c>
      <c r="AK4511">
        <v>115.773809298096</v>
      </c>
      <c r="AL4511">
        <v>80.1189659662151</v>
      </c>
      <c r="AM4511">
        <v>93.574228566490703</v>
      </c>
      <c r="AN4511">
        <v>0.99999999184729704</v>
      </c>
    </row>
    <row r="4512" spans="1:40" x14ac:dyDescent="0.25">
      <c r="A4512" t="str">
        <f>"20190304154844010"</f>
        <v>20190304154844010</v>
      </c>
      <c r="B4512" t="str">
        <f>"1551685724001290"</f>
        <v>1551685724001290</v>
      </c>
      <c r="C4512" t="s">
        <v>40</v>
      </c>
      <c r="D4512">
        <v>4.5673120000000003</v>
      </c>
      <c r="E4512">
        <v>0.57711820000000003</v>
      </c>
      <c r="F4512" t="s">
        <v>70</v>
      </c>
      <c r="G4512">
        <v>-168.4145</v>
      </c>
      <c r="H4512">
        <v>2.063491</v>
      </c>
      <c r="I4512">
        <v>196.4068</v>
      </c>
      <c r="J4512">
        <v>-282.37060000000002</v>
      </c>
      <c r="K4512">
        <v>1.1101799999999999</v>
      </c>
      <c r="L4512">
        <v>213.9006</v>
      </c>
      <c r="M4512">
        <v>0.99991980000000003</v>
      </c>
      <c r="N4512">
        <v>-1.1956929999999999E-2</v>
      </c>
      <c r="O4512">
        <v>-4.1919050000000001E-3</v>
      </c>
      <c r="P4512">
        <v>0.98543939999999997</v>
      </c>
      <c r="Q4512">
        <v>0.15988729999999901</v>
      </c>
      <c r="R4512">
        <v>5.783692E-2</v>
      </c>
      <c r="S4512">
        <v>3.067291</v>
      </c>
      <c r="T4512">
        <v>2.557278E-2</v>
      </c>
      <c r="U4512">
        <v>-0.46929929999999997</v>
      </c>
      <c r="V4512">
        <v>-6.1985970000000001E-2</v>
      </c>
      <c r="W4512">
        <v>0.17164949999999901</v>
      </c>
      <c r="X4512">
        <v>0.98320609999999997</v>
      </c>
      <c r="Y4512">
        <v>0.14709900000000001</v>
      </c>
      <c r="Z4512">
        <v>-3.5947440000000001E-4</v>
      </c>
      <c r="AA4512">
        <v>0.98912169999999999</v>
      </c>
      <c r="AB4512">
        <v>40</v>
      </c>
      <c r="AC4512">
        <v>113.95610000000001</v>
      </c>
      <c r="AD4512">
        <v>0.95331100000000002</v>
      </c>
      <c r="AE4512">
        <v>-17.493799999999901</v>
      </c>
      <c r="AF4512">
        <v>17.014755682595101</v>
      </c>
      <c r="AG4512">
        <v>0.95331100000000002</v>
      </c>
      <c r="AH4512">
        <v>114.020640400669</v>
      </c>
      <c r="AI4512">
        <v>89.526214851412007</v>
      </c>
      <c r="AJ4512">
        <v>81.512653845437697</v>
      </c>
      <c r="AK4512">
        <v>115.287107475987</v>
      </c>
      <c r="AL4512">
        <v>80.116261898216294</v>
      </c>
      <c r="AM4512">
        <v>93.607423005079497</v>
      </c>
      <c r="AN4512">
        <v>1.00000002320215</v>
      </c>
    </row>
    <row r="4513" spans="1:40" x14ac:dyDescent="0.25">
      <c r="A4513" t="str">
        <f>"20190304154844027"</f>
        <v>20190304154844027</v>
      </c>
      <c r="B4513" t="str">
        <f>"1551685724021788"</f>
        <v>1551685724021788</v>
      </c>
      <c r="C4513" t="s">
        <v>40</v>
      </c>
      <c r="D4513">
        <v>4.5266989999999998</v>
      </c>
      <c r="E4513">
        <v>0.57591369999999997</v>
      </c>
      <c r="F4513" t="s">
        <v>70</v>
      </c>
      <c r="G4513">
        <v>-168.41419999999999</v>
      </c>
      <c r="H4513">
        <v>1.8519540000000001</v>
      </c>
      <c r="I4513">
        <v>196.96440000000001</v>
      </c>
      <c r="J4513">
        <v>-282.0634</v>
      </c>
      <c r="K4513">
        <v>1.1101829999999999</v>
      </c>
      <c r="L4513">
        <v>213.89940000000001</v>
      </c>
      <c r="M4513">
        <v>0.99992000000000003</v>
      </c>
      <c r="N4513">
        <v>-1.195777E-2</v>
      </c>
      <c r="O4513">
        <v>-4.1437080000000003E-3</v>
      </c>
      <c r="P4513">
        <v>0.98539310000000002</v>
      </c>
      <c r="Q4513">
        <v>0.15995470000000001</v>
      </c>
      <c r="R4513">
        <v>5.8438509999999999E-2</v>
      </c>
      <c r="S4513">
        <v>3.0678709999999998</v>
      </c>
      <c r="T4513">
        <v>1.9970539999999998E-2</v>
      </c>
      <c r="U4513">
        <v>-0.45594790000000002</v>
      </c>
      <c r="V4513">
        <v>-6.2540780000000004E-2</v>
      </c>
      <c r="W4513">
        <v>0.1717167</v>
      </c>
      <c r="X4513">
        <v>0.98315920000000001</v>
      </c>
      <c r="Y4513">
        <v>0.1429086</v>
      </c>
      <c r="Z4513">
        <v>-4.7263950000000002E-4</v>
      </c>
      <c r="AA4513">
        <v>0.98973580000000005</v>
      </c>
      <c r="AB4513">
        <v>40</v>
      </c>
      <c r="AC4513">
        <v>113.64919999999999</v>
      </c>
      <c r="AD4513">
        <v>0.74177099999999996</v>
      </c>
      <c r="AE4513">
        <v>-16.934999999999999</v>
      </c>
      <c r="AF4513">
        <v>16.463205762294098</v>
      </c>
      <c r="AG4513">
        <v>0.74177099999999996</v>
      </c>
      <c r="AH4513">
        <v>113.71366391961099</v>
      </c>
      <c r="AI4513">
        <v>89.630112796207797</v>
      </c>
      <c r="AJ4513">
        <v>81.762086237600599</v>
      </c>
      <c r="AK4513">
        <v>114.901630668195</v>
      </c>
      <c r="AL4513">
        <v>80.112353294489907</v>
      </c>
      <c r="AM4513">
        <v>93.639798259021006</v>
      </c>
      <c r="AN4513">
        <v>0.99999999338326895</v>
      </c>
    </row>
    <row r="4514" spans="1:40" x14ac:dyDescent="0.25">
      <c r="A4514" t="str">
        <f>"20190304154844043"</f>
        <v>20190304154844043</v>
      </c>
      <c r="B4514" t="str">
        <f>"1551685724031547"</f>
        <v>1551685724031547</v>
      </c>
      <c r="C4514" t="s">
        <v>40</v>
      </c>
      <c r="D4514">
        <v>4.5923860000000003</v>
      </c>
      <c r="E4514">
        <v>0.57532369999999899</v>
      </c>
      <c r="F4514" t="s">
        <v>48</v>
      </c>
      <c r="G4514">
        <v>-234.52010000000001</v>
      </c>
      <c r="H4514">
        <v>1.3625179999999999</v>
      </c>
      <c r="I4514">
        <v>207.0147</v>
      </c>
      <c r="J4514">
        <v>-281.78100000000001</v>
      </c>
      <c r="K4514">
        <v>1.1101859999999999</v>
      </c>
      <c r="L4514">
        <v>213.8982</v>
      </c>
      <c r="M4514">
        <v>0.99992009999999998</v>
      </c>
      <c r="N4514">
        <v>-1.195855E-2</v>
      </c>
      <c r="O4514">
        <v>-4.0947789999999998E-3</v>
      </c>
      <c r="P4514">
        <v>0.98536489999999999</v>
      </c>
      <c r="Q4514">
        <v>0.1597856</v>
      </c>
      <c r="R4514">
        <v>5.9372460000000002E-2</v>
      </c>
      <c r="S4514">
        <v>3.068146</v>
      </c>
      <c r="T4514">
        <v>1.6287329999999999E-2</v>
      </c>
      <c r="U4514">
        <v>-0.44429020000000002</v>
      </c>
      <c r="V4514">
        <v>-6.3428699999999893E-2</v>
      </c>
      <c r="W4514">
        <v>0.17154710000000001</v>
      </c>
      <c r="X4514">
        <v>0.98313189999999995</v>
      </c>
      <c r="Y4514">
        <v>0.13926160000000001</v>
      </c>
      <c r="Z4514">
        <v>-5.3964970000000003E-4</v>
      </c>
      <c r="AA4514">
        <v>0.99025549999999996</v>
      </c>
      <c r="AB4514">
        <v>40</v>
      </c>
      <c r="AC4514">
        <v>47.2608999999999</v>
      </c>
      <c r="AD4514">
        <v>0.252332</v>
      </c>
      <c r="AE4514">
        <v>-6.88349999999999</v>
      </c>
      <c r="AF4514">
        <v>6.6897187634941098</v>
      </c>
      <c r="AG4514">
        <v>0.252332</v>
      </c>
      <c r="AH4514">
        <v>47.287372166157702</v>
      </c>
      <c r="AI4514">
        <v>89.697278854311904</v>
      </c>
      <c r="AJ4514">
        <v>81.947831229001395</v>
      </c>
      <c r="AK4514">
        <v>47.758890009647097</v>
      </c>
      <c r="AL4514">
        <v>80.122216793402202</v>
      </c>
      <c r="AM4514">
        <v>93.691434475645195</v>
      </c>
      <c r="AN4514">
        <v>0.99999997014985398</v>
      </c>
    </row>
    <row r="4515" spans="1:40" x14ac:dyDescent="0.25">
      <c r="A4515" t="str">
        <f>"20190304154844065"</f>
        <v>20190304154844065</v>
      </c>
      <c r="B4515" t="str">
        <f>"1551685724061803"</f>
        <v>1551685724061803</v>
      </c>
      <c r="C4515" t="s">
        <v>40</v>
      </c>
      <c r="D4515">
        <v>4.4732519999999996</v>
      </c>
      <c r="E4515">
        <v>0.5741349</v>
      </c>
      <c r="F4515" t="s">
        <v>70</v>
      </c>
      <c r="G4515">
        <v>-168.41390000000001</v>
      </c>
      <c r="H4515">
        <v>1.6180139999999901</v>
      </c>
      <c r="I4515">
        <v>197.77209999999999</v>
      </c>
      <c r="J4515">
        <v>-281.38099999999997</v>
      </c>
      <c r="K4515">
        <v>1.1101939999999999</v>
      </c>
      <c r="L4515">
        <v>213.89670000000001</v>
      </c>
      <c r="M4515">
        <v>0.99992049999999999</v>
      </c>
      <c r="N4515">
        <v>-1.1959630000000001E-2</v>
      </c>
      <c r="O4515">
        <v>-4.0171909999999998E-3</v>
      </c>
      <c r="P4515">
        <v>0.98533269999999995</v>
      </c>
      <c r="Q4515">
        <v>0.15963379999999999</v>
      </c>
      <c r="R4515">
        <v>6.0305459999999998E-2</v>
      </c>
      <c r="S4515">
        <v>3.0686650000000002</v>
      </c>
      <c r="T4515">
        <v>1.3746980000000001E-2</v>
      </c>
      <c r="U4515">
        <v>-0.43650820000000001</v>
      </c>
      <c r="V4515">
        <v>-6.4288300000000007E-2</v>
      </c>
      <c r="W4515">
        <v>0.1713944</v>
      </c>
      <c r="X4515">
        <v>0.9831027</v>
      </c>
      <c r="Y4515">
        <v>0.13685349999999999</v>
      </c>
      <c r="Z4515">
        <v>-5.8319129999999896E-4</v>
      </c>
      <c r="AA4515">
        <v>0.99059109999999995</v>
      </c>
      <c r="AB4515">
        <v>40</v>
      </c>
      <c r="AC4515">
        <v>112.96709999999899</v>
      </c>
      <c r="AD4515">
        <v>0.50781999999999905</v>
      </c>
      <c r="AE4515">
        <v>-16.124600000000001</v>
      </c>
      <c r="AF4515">
        <v>15.670316699910799</v>
      </c>
      <c r="AG4515">
        <v>0.50781999999999905</v>
      </c>
      <c r="AH4515">
        <v>113.028730131372</v>
      </c>
      <c r="AI4515">
        <v>89.745019763934195</v>
      </c>
      <c r="AJ4515">
        <v>82.106821436103502</v>
      </c>
      <c r="AK4515">
        <v>114.110957150216</v>
      </c>
      <c r="AL4515">
        <v>80.131097409330096</v>
      </c>
      <c r="AM4515">
        <v>93.741431294561707</v>
      </c>
      <c r="AN4515">
        <v>0.99999997230776905</v>
      </c>
    </row>
    <row r="4516" spans="1:40" x14ac:dyDescent="0.25">
      <c r="A4516" t="str">
        <f>"20190304154844082"</f>
        <v>20190304154844082</v>
      </c>
      <c r="B4516" t="str">
        <f>"1551685724071563"</f>
        <v>1551685724071563</v>
      </c>
      <c r="C4516" t="s">
        <v>40</v>
      </c>
      <c r="D4516">
        <v>4.5378769999999999</v>
      </c>
      <c r="E4516">
        <v>0.57391159999999997</v>
      </c>
      <c r="F4516" t="s">
        <v>70</v>
      </c>
      <c r="G4516">
        <v>-168.41370000000001</v>
      </c>
      <c r="H4516">
        <v>1.4838559999999901</v>
      </c>
      <c r="I4516">
        <v>198.28909999999999</v>
      </c>
      <c r="J4516">
        <v>-281.08390000000003</v>
      </c>
      <c r="K4516">
        <v>1.110201</v>
      </c>
      <c r="L4516">
        <v>213.8955</v>
      </c>
      <c r="M4516">
        <v>0.99992080000000005</v>
      </c>
      <c r="N4516">
        <v>-1.196036E-2</v>
      </c>
      <c r="O4516">
        <v>-3.9517709999999998E-3</v>
      </c>
      <c r="P4516">
        <v>0.98527480000000001</v>
      </c>
      <c r="Q4516">
        <v>0.159859</v>
      </c>
      <c r="R4516">
        <v>6.0655050000000002E-2</v>
      </c>
      <c r="S4516">
        <v>3.069</v>
      </c>
      <c r="T4516">
        <v>1.015222E-2</v>
      </c>
      <c r="U4516">
        <v>-0.42401119999999998</v>
      </c>
      <c r="V4516">
        <v>-6.457591E-2</v>
      </c>
      <c r="W4516">
        <v>0.17161850000000001</v>
      </c>
      <c r="X4516">
        <v>0.98304480000000005</v>
      </c>
      <c r="Y4516">
        <v>0.132945799999999</v>
      </c>
      <c r="Z4516">
        <v>-6.4002449999999995E-4</v>
      </c>
      <c r="AA4516">
        <v>0.99112310000000003</v>
      </c>
      <c r="AB4516">
        <v>40</v>
      </c>
      <c r="AC4516">
        <v>112.67019999999999</v>
      </c>
      <c r="AD4516">
        <v>0.37365499999999902</v>
      </c>
      <c r="AE4516">
        <v>-15.606400000000001</v>
      </c>
      <c r="AF4516">
        <v>15.160835901917901</v>
      </c>
      <c r="AG4516">
        <v>0.37365499999999902</v>
      </c>
      <c r="AH4516">
        <v>112.729780946105</v>
      </c>
      <c r="AI4516">
        <v>89.811782180587301</v>
      </c>
      <c r="AJ4516">
        <v>82.340348018192898</v>
      </c>
      <c r="AK4516">
        <v>113.745303531446</v>
      </c>
      <c r="AL4516">
        <v>80.118064771884306</v>
      </c>
      <c r="AM4516">
        <v>93.758342388843005</v>
      </c>
      <c r="AN4516">
        <v>1.0000000182508</v>
      </c>
    </row>
    <row r="4517" spans="1:40" x14ac:dyDescent="0.25">
      <c r="A4517" t="str">
        <f>"20190304154844094"</f>
        <v>20190304154844094</v>
      </c>
      <c r="B4517" t="str">
        <f>"1551685724091083"</f>
        <v>1551685724091083</v>
      </c>
      <c r="C4517" t="s">
        <v>40</v>
      </c>
      <c r="D4517">
        <v>4.5506789999999997</v>
      </c>
      <c r="E4517">
        <v>0.57364729999999997</v>
      </c>
      <c r="F4517" t="s">
        <v>70</v>
      </c>
      <c r="G4517">
        <v>-168.41370000000001</v>
      </c>
      <c r="H4517">
        <v>1.506767</v>
      </c>
      <c r="I4517">
        <v>198.42670000000001</v>
      </c>
      <c r="J4517">
        <v>-280.84699999999998</v>
      </c>
      <c r="K4517">
        <v>1.110209</v>
      </c>
      <c r="L4517">
        <v>213.8946</v>
      </c>
      <c r="M4517">
        <v>0.99992099999999995</v>
      </c>
      <c r="N4517">
        <v>-1.196094E-2</v>
      </c>
      <c r="O4517">
        <v>-3.8955420000000001E-3</v>
      </c>
      <c r="P4517">
        <v>0.98526239999999998</v>
      </c>
      <c r="Q4517">
        <v>0.15987179999999901</v>
      </c>
      <c r="R4517">
        <v>6.0820310000000002E-2</v>
      </c>
      <c r="S4517">
        <v>3.0690309999999998</v>
      </c>
      <c r="T4517">
        <v>1.080298E-2</v>
      </c>
      <c r="U4517">
        <v>-0.42135620000000001</v>
      </c>
      <c r="V4517">
        <v>-6.4688270000000006E-2</v>
      </c>
      <c r="W4517">
        <v>0.17163120000000001</v>
      </c>
      <c r="X4517">
        <v>0.9830352</v>
      </c>
      <c r="Y4517">
        <v>0.13215879999999999</v>
      </c>
      <c r="Z4517">
        <v>-6.2259879999999998E-4</v>
      </c>
      <c r="AA4517">
        <v>0.99122829999999995</v>
      </c>
      <c r="AB4517">
        <v>40</v>
      </c>
      <c r="AC4517">
        <v>112.43329999999899</v>
      </c>
      <c r="AD4517">
        <v>0.39655800000000002</v>
      </c>
      <c r="AE4517">
        <v>-15.467899999999901</v>
      </c>
      <c r="AF4517">
        <v>15.029579199691501</v>
      </c>
      <c r="AG4517">
        <v>0.39655800000000002</v>
      </c>
      <c r="AH4517">
        <v>112.491333522388</v>
      </c>
      <c r="AI4517">
        <v>89.799798893588203</v>
      </c>
      <c r="AJ4517">
        <v>82.389976344000999</v>
      </c>
      <c r="AK4517">
        <v>113.491610380734</v>
      </c>
      <c r="AL4517">
        <v>80.117326201248204</v>
      </c>
      <c r="AM4517">
        <v>93.764899653073996</v>
      </c>
      <c r="AN4517">
        <v>1.00000002276403</v>
      </c>
    </row>
    <row r="4518" spans="1:40" x14ac:dyDescent="0.25">
      <c r="A4518" t="str">
        <f>"20190304154844110"</f>
        <v>20190304154844110</v>
      </c>
      <c r="B4518" t="str">
        <f>"1551685724101820"</f>
        <v>1551685724101820</v>
      </c>
      <c r="C4518" t="s">
        <v>40</v>
      </c>
      <c r="D4518">
        <v>4.5174240000000001</v>
      </c>
      <c r="E4518">
        <v>0.53674419999999901</v>
      </c>
      <c r="F4518" t="s">
        <v>70</v>
      </c>
      <c r="G4518">
        <v>-168.4136</v>
      </c>
      <c r="H4518">
        <v>1.5370740000000001</v>
      </c>
      <c r="I4518">
        <v>198.55510000000001</v>
      </c>
      <c r="J4518">
        <v>-280.56349999999998</v>
      </c>
      <c r="K4518">
        <v>1.1102179999999999</v>
      </c>
      <c r="L4518">
        <v>213.89359999999999</v>
      </c>
      <c r="M4518">
        <v>0.99992119999999995</v>
      </c>
      <c r="N4518">
        <v>-1.1961690000000001E-2</v>
      </c>
      <c r="O4518">
        <v>-3.822481E-3</v>
      </c>
      <c r="P4518">
        <v>0.98513890000000004</v>
      </c>
      <c r="Q4518">
        <v>0.1605647</v>
      </c>
      <c r="R4518">
        <v>6.099682E-2</v>
      </c>
      <c r="S4518">
        <v>3.0688170000000001</v>
      </c>
      <c r="T4518">
        <v>1.1651989999999999E-2</v>
      </c>
      <c r="U4518">
        <v>-0.4186859</v>
      </c>
      <c r="V4518">
        <v>-6.4796119999999999E-2</v>
      </c>
      <c r="W4518">
        <v>0.17232169999999999</v>
      </c>
      <c r="X4518">
        <v>0.98290730000000004</v>
      </c>
      <c r="Y4518">
        <v>0.13139379999999901</v>
      </c>
      <c r="Z4518">
        <v>-6.0116010000000003E-4</v>
      </c>
      <c r="AA4518">
        <v>0.99133009999999999</v>
      </c>
      <c r="AB4518">
        <v>40</v>
      </c>
      <c r="AC4518">
        <v>112.14989999999899</v>
      </c>
      <c r="AD4518">
        <v>0.42685600000000001</v>
      </c>
      <c r="AE4518">
        <v>-15.3384999999999</v>
      </c>
      <c r="AF4518">
        <v>14.909454391934799</v>
      </c>
      <c r="AG4518">
        <v>0.42685600000000001</v>
      </c>
      <c r="AH4518">
        <v>112.206120232714</v>
      </c>
      <c r="AI4518">
        <v>89.783934744288899</v>
      </c>
      <c r="AJ4518">
        <v>82.431126844614198</v>
      </c>
      <c r="AK4518">
        <v>113.193142256889</v>
      </c>
      <c r="AL4518">
        <v>80.077165209715403</v>
      </c>
      <c r="AM4518">
        <v>93.771647798487905</v>
      </c>
      <c r="AN4518">
        <v>1.00000003292561</v>
      </c>
    </row>
    <row r="4519" spans="1:40" x14ac:dyDescent="0.25">
      <c r="A4519" t="str">
        <f>"20190304154844133"</f>
        <v>20190304154844133</v>
      </c>
      <c r="B4519" t="str">
        <f>"1551685724121340"</f>
        <v>1551685724121340</v>
      </c>
      <c r="C4519" t="s">
        <v>40</v>
      </c>
      <c r="D4519">
        <v>4.5441240000000001</v>
      </c>
      <c r="E4519">
        <v>0.53492910000000005</v>
      </c>
      <c r="F4519" t="s">
        <v>70</v>
      </c>
      <c r="G4519">
        <v>-169.39240000000001</v>
      </c>
      <c r="H4519">
        <v>0.64941599999999999</v>
      </c>
      <c r="I4519">
        <v>209.34710000000001</v>
      </c>
      <c r="J4519">
        <v>-280.18009999999998</v>
      </c>
      <c r="K4519">
        <v>1.1102339999999999</v>
      </c>
      <c r="L4519">
        <v>213.8922</v>
      </c>
      <c r="M4519">
        <v>0.99992159999999997</v>
      </c>
      <c r="N4519">
        <v>-1.1962769999999999E-2</v>
      </c>
      <c r="O4519">
        <v>-3.7118300000000002E-3</v>
      </c>
      <c r="P4519">
        <v>0.9850624</v>
      </c>
      <c r="Q4519">
        <v>0.160969899999999</v>
      </c>
      <c r="R4519">
        <v>6.1162130000000002E-2</v>
      </c>
      <c r="S4519">
        <v>3.0550540000000002</v>
      </c>
      <c r="T4519">
        <v>-1.266217E-2</v>
      </c>
      <c r="U4519">
        <v>-0.12493899999999999</v>
      </c>
      <c r="V4519">
        <v>-6.4856140000000007E-2</v>
      </c>
      <c r="W4519">
        <v>0.17272560000000001</v>
      </c>
      <c r="X4519">
        <v>0.98283240000000005</v>
      </c>
      <c r="Y4519">
        <v>3.715127E-2</v>
      </c>
      <c r="Z4519">
        <v>-3.2828840000000001E-4</v>
      </c>
      <c r="AA4519">
        <v>0.99930960000000002</v>
      </c>
      <c r="AB4519">
        <v>40</v>
      </c>
      <c r="AC4519">
        <v>110.78769999999901</v>
      </c>
      <c r="AD4519">
        <v>-0.46081800000000001</v>
      </c>
      <c r="AE4519">
        <v>-4.5450999999999899</v>
      </c>
      <c r="AF4519">
        <v>4.1337427689093502</v>
      </c>
      <c r="AG4519">
        <v>-0.46081800000000001</v>
      </c>
      <c r="AH4519">
        <v>110.801894751693</v>
      </c>
      <c r="AI4519">
        <v>90.238122456043001</v>
      </c>
      <c r="AJ4519">
        <v>87.863428042221102</v>
      </c>
      <c r="AK4519">
        <v>110.87993534934</v>
      </c>
      <c r="AL4519">
        <v>80.053670720607798</v>
      </c>
      <c r="AM4519">
        <v>93.775418204774695</v>
      </c>
      <c r="AN4519">
        <v>0.999999989140409</v>
      </c>
    </row>
    <row r="4520" spans="1:40" x14ac:dyDescent="0.25">
      <c r="A4520" t="str">
        <f>"20190304154844156"</f>
        <v>20190304154844156</v>
      </c>
      <c r="B4520" t="str">
        <f>"1551685724151596"</f>
        <v>1551685724151596</v>
      </c>
      <c r="C4520" t="s">
        <v>40</v>
      </c>
      <c r="D4520">
        <v>4.4815139999999998</v>
      </c>
      <c r="E4520">
        <v>0.53533850000000005</v>
      </c>
      <c r="F4520" t="s">
        <v>70</v>
      </c>
      <c r="G4520">
        <v>-169.3922</v>
      </c>
      <c r="H4520">
        <v>0.42217250000000001</v>
      </c>
      <c r="I4520">
        <v>209.9014</v>
      </c>
      <c r="J4520">
        <v>-279.76319999999998</v>
      </c>
      <c r="K4520">
        <v>1.11025</v>
      </c>
      <c r="L4520">
        <v>213.89080000000001</v>
      </c>
      <c r="M4520">
        <v>0.99992199999999998</v>
      </c>
      <c r="N4520">
        <v>-1.1964219999999999E-2</v>
      </c>
      <c r="O4520">
        <v>-3.579479E-3</v>
      </c>
      <c r="P4520">
        <v>0.98488690000000001</v>
      </c>
      <c r="Q4520">
        <v>0.1620492</v>
      </c>
      <c r="R4520">
        <v>6.1136799999999998E-2</v>
      </c>
      <c r="S4520">
        <v>3.0554199999999998</v>
      </c>
      <c r="T4520">
        <v>-1.8975140000000001E-2</v>
      </c>
      <c r="U4520">
        <v>-0.1100616</v>
      </c>
      <c r="V4520">
        <v>-6.4704960000000006E-2</v>
      </c>
      <c r="W4520">
        <v>0.1738025</v>
      </c>
      <c r="X4520">
        <v>0.98265250000000004</v>
      </c>
      <c r="Y4520">
        <v>3.241902E-2</v>
      </c>
      <c r="Z4520">
        <v>-3.152346E-4</v>
      </c>
      <c r="AA4520">
        <v>0.99947430000000004</v>
      </c>
      <c r="AB4520">
        <v>40</v>
      </c>
      <c r="AC4520">
        <v>110.370999999999</v>
      </c>
      <c r="AD4520">
        <v>-0.68807749999999901</v>
      </c>
      <c r="AE4520">
        <v>-3.98940000000001</v>
      </c>
      <c r="AF4520">
        <v>3.5941359699334798</v>
      </c>
      <c r="AG4520">
        <v>-0.68807749999999901</v>
      </c>
      <c r="AH4520">
        <v>110.380289426262</v>
      </c>
      <c r="AI4520">
        <v>90.356970834189696</v>
      </c>
      <c r="AJ4520">
        <v>88.135028535266997</v>
      </c>
      <c r="AK4520">
        <v>110.44093243830299</v>
      </c>
      <c r="AL4520">
        <v>79.991021336908503</v>
      </c>
      <c r="AM4520">
        <v>93.767330644790405</v>
      </c>
      <c r="AN4520">
        <v>0.99999998830555004</v>
      </c>
    </row>
    <row r="4521" spans="1:40" x14ac:dyDescent="0.25">
      <c r="A4521" t="str">
        <f>"20190304154844179"</f>
        <v>20190304154844179</v>
      </c>
      <c r="B4521" t="str">
        <f>"1551685724171115"</f>
        <v>1551685724171115</v>
      </c>
      <c r="C4521" t="s">
        <v>40</v>
      </c>
      <c r="D4521">
        <v>4.4883089999999903</v>
      </c>
      <c r="E4521">
        <v>0.53552599999999995</v>
      </c>
      <c r="F4521" t="s">
        <v>70</v>
      </c>
      <c r="G4521">
        <v>-169.3922</v>
      </c>
      <c r="H4521">
        <v>0.42704009999999998</v>
      </c>
      <c r="I4521">
        <v>209.7903</v>
      </c>
      <c r="J4521">
        <v>-279.34359999999998</v>
      </c>
      <c r="K4521">
        <v>1.1102639999999999</v>
      </c>
      <c r="L4521">
        <v>213.88939999999999</v>
      </c>
      <c r="M4521">
        <v>0.99992259999999999</v>
      </c>
      <c r="N4521">
        <v>-1.1965679999999999E-2</v>
      </c>
      <c r="O4521">
        <v>-3.437018E-3</v>
      </c>
      <c r="P4521">
        <v>0.98478410000000005</v>
      </c>
      <c r="Q4521">
        <v>0.16276489999999999</v>
      </c>
      <c r="R4521">
        <v>6.0893120000000002E-2</v>
      </c>
      <c r="S4521">
        <v>3.0561829999999999</v>
      </c>
      <c r="T4521">
        <v>-1.8917199999999999E-2</v>
      </c>
      <c r="U4521">
        <v>-0.11354060000000001</v>
      </c>
      <c r="V4521">
        <v>-6.4325149999999998E-2</v>
      </c>
      <c r="W4521">
        <v>0.1745167</v>
      </c>
      <c r="X4521">
        <v>0.9825509</v>
      </c>
      <c r="Y4521">
        <v>3.3688570000000001E-2</v>
      </c>
      <c r="Z4521">
        <v>-3.2570979999999998E-4</v>
      </c>
      <c r="AA4521">
        <v>0.99943230000000005</v>
      </c>
      <c r="AB4521">
        <v>40</v>
      </c>
      <c r="AC4521">
        <v>109.951399999999</v>
      </c>
      <c r="AD4521">
        <v>-0.6832239</v>
      </c>
      <c r="AE4521">
        <v>-4.0990999999999902</v>
      </c>
      <c r="AF4521">
        <v>3.72100034791807</v>
      </c>
      <c r="AG4521">
        <v>-0.6832239</v>
      </c>
      <c r="AH4521">
        <v>109.96060023199099</v>
      </c>
      <c r="AI4521">
        <v>90.355790611888295</v>
      </c>
      <c r="AJ4521">
        <v>88.061884956510397</v>
      </c>
      <c r="AK4521">
        <v>110.025661742461</v>
      </c>
      <c r="AL4521">
        <v>79.949466109276102</v>
      </c>
      <c r="AM4521">
        <v>93.745666186562701</v>
      </c>
      <c r="AN4521">
        <v>1.00000003729611</v>
      </c>
    </row>
    <row r="4522" spans="1:40" x14ac:dyDescent="0.25">
      <c r="A4522" t="str">
        <f>"20190304154844200"</f>
        <v>20190304154844200</v>
      </c>
      <c r="B4522" t="str">
        <f>"1551685724191611"</f>
        <v>1551685724191611</v>
      </c>
      <c r="C4522" t="s">
        <v>40</v>
      </c>
      <c r="D4522">
        <v>4.4449639999999997</v>
      </c>
      <c r="E4522">
        <v>0.53581679999999998</v>
      </c>
      <c r="F4522" t="s">
        <v>70</v>
      </c>
      <c r="G4522">
        <v>-169.3922</v>
      </c>
      <c r="H4522">
        <v>0.52862739999999997</v>
      </c>
      <c r="I4522">
        <v>209.73480000000001</v>
      </c>
      <c r="J4522">
        <v>-278.97030000000001</v>
      </c>
      <c r="K4522">
        <v>1.1102650000000001</v>
      </c>
      <c r="L4522">
        <v>213.88820000000001</v>
      </c>
      <c r="M4522">
        <v>0.99992309999999995</v>
      </c>
      <c r="N4522">
        <v>-1.1966920000000001E-2</v>
      </c>
      <c r="O4522">
        <v>-3.3047240000000002E-3</v>
      </c>
      <c r="P4522">
        <v>0.98472490000000001</v>
      </c>
      <c r="Q4522">
        <v>0.16319649999999999</v>
      </c>
      <c r="R4522">
        <v>6.0694690000000003E-2</v>
      </c>
      <c r="S4522">
        <v>3.056152</v>
      </c>
      <c r="T4522">
        <v>-1.6165970000000002E-2</v>
      </c>
      <c r="U4522">
        <v>-0.1154785</v>
      </c>
      <c r="V4522">
        <v>-6.3999239999999999E-2</v>
      </c>
      <c r="W4522">
        <v>0.17494770000000001</v>
      </c>
      <c r="X4522">
        <v>0.98249549999999997</v>
      </c>
      <c r="Y4522">
        <v>3.4454329999999998E-2</v>
      </c>
      <c r="Z4522">
        <v>-3.1939579999999999E-4</v>
      </c>
      <c r="AA4522">
        <v>0.99940620000000002</v>
      </c>
      <c r="AB4522">
        <v>40</v>
      </c>
      <c r="AC4522">
        <v>109.57810000000001</v>
      </c>
      <c r="AD4522">
        <v>-0.58163759999999998</v>
      </c>
      <c r="AE4522">
        <v>-4.1534000000000004</v>
      </c>
      <c r="AF4522">
        <v>3.7911194080219301</v>
      </c>
      <c r="AG4522">
        <v>-0.58163759999999998</v>
      </c>
      <c r="AH4522">
        <v>109.588145201755</v>
      </c>
      <c r="AI4522">
        <v>90.303911922953006</v>
      </c>
      <c r="AJ4522">
        <v>88.018685763209803</v>
      </c>
      <c r="AK4522">
        <v>109.655243638527</v>
      </c>
      <c r="AL4522">
        <v>79.924385454241303</v>
      </c>
      <c r="AM4522">
        <v>93.726951547254302</v>
      </c>
      <c r="AN4522">
        <v>1.0000000039880499</v>
      </c>
    </row>
    <row r="4523" spans="1:40" x14ac:dyDescent="0.25">
      <c r="A4523" t="str">
        <f>"20190304154844221"</f>
        <v>20190304154844221</v>
      </c>
      <c r="B4523" t="str">
        <f>"1551685724211131"</f>
        <v>1551685724211131</v>
      </c>
      <c r="C4523" t="s">
        <v>40</v>
      </c>
      <c r="D4523">
        <v>4.4316879999999896</v>
      </c>
      <c r="E4523">
        <v>0.53612890000000002</v>
      </c>
      <c r="F4523" t="s">
        <v>70</v>
      </c>
      <c r="G4523">
        <v>-169.39230000000001</v>
      </c>
      <c r="H4523">
        <v>0.61664010000000002</v>
      </c>
      <c r="I4523">
        <v>209.64320000000001</v>
      </c>
      <c r="J4523">
        <v>-278.59280000000001</v>
      </c>
      <c r="K4523">
        <v>1.110268</v>
      </c>
      <c r="L4523">
        <v>213.8871</v>
      </c>
      <c r="M4523">
        <v>0.99992349999999997</v>
      </c>
      <c r="N4523">
        <v>-1.1968060000000001E-2</v>
      </c>
      <c r="O4523">
        <v>-3.1669659999999998E-3</v>
      </c>
      <c r="P4523">
        <v>0.98467470000000001</v>
      </c>
      <c r="Q4523">
        <v>0.1633831</v>
      </c>
      <c r="R4523">
        <v>6.1009300000000002E-2</v>
      </c>
      <c r="S4523">
        <v>3.056152</v>
      </c>
      <c r="T4523">
        <v>-1.376629E-2</v>
      </c>
      <c r="U4523">
        <v>-0.118392899999999</v>
      </c>
      <c r="V4523">
        <v>-6.4180719999999997E-2</v>
      </c>
      <c r="W4523">
        <v>0.17513399999999901</v>
      </c>
      <c r="X4523">
        <v>0.9824505</v>
      </c>
      <c r="Y4523">
        <v>3.5543940000000003E-2</v>
      </c>
      <c r="Z4523">
        <v>-3.1644049999999998E-4</v>
      </c>
      <c r="AA4523">
        <v>0.99936809999999998</v>
      </c>
      <c r="AB4523">
        <v>40</v>
      </c>
      <c r="AC4523">
        <v>109.20050000000001</v>
      </c>
      <c r="AD4523">
        <v>-0.49362790000000001</v>
      </c>
      <c r="AE4523">
        <v>-4.2438999999999902</v>
      </c>
      <c r="AF4523">
        <v>3.8979401903005799</v>
      </c>
      <c r="AG4523">
        <v>-0.49362790000000001</v>
      </c>
      <c r="AH4523">
        <v>109.211165306665</v>
      </c>
      <c r="AI4523">
        <v>90.258806921752594</v>
      </c>
      <c r="AJ4523">
        <v>87.955879716286205</v>
      </c>
      <c r="AK4523">
        <v>109.28182023498</v>
      </c>
      <c r="AL4523">
        <v>79.913544173658195</v>
      </c>
      <c r="AM4523">
        <v>93.737660703545799</v>
      </c>
      <c r="AN4523">
        <v>1.00000003386298</v>
      </c>
    </row>
    <row r="4524" spans="1:40" x14ac:dyDescent="0.25">
      <c r="A4524" t="str">
        <f>"20190304154844244"</f>
        <v>20190304154844244</v>
      </c>
      <c r="B4524" t="str">
        <f>"1551685724241387"</f>
        <v>1551685724241387</v>
      </c>
      <c r="C4524" t="s">
        <v>40</v>
      </c>
      <c r="D4524">
        <v>4.4006850000000002</v>
      </c>
      <c r="E4524">
        <v>0.53664619999999996</v>
      </c>
      <c r="F4524" t="s">
        <v>70</v>
      </c>
      <c r="G4524">
        <v>-169.39230000000001</v>
      </c>
      <c r="H4524">
        <v>0.65708540000000004</v>
      </c>
      <c r="I4524">
        <v>209.60830000000001</v>
      </c>
      <c r="J4524">
        <v>-278.19159999999999</v>
      </c>
      <c r="K4524">
        <v>1.110279</v>
      </c>
      <c r="L4524">
        <v>213.886</v>
      </c>
      <c r="M4524">
        <v>0.99992400000000004</v>
      </c>
      <c r="N4524">
        <v>-1.196912E-2</v>
      </c>
      <c r="O4524">
        <v>-3.0180160000000001E-3</v>
      </c>
      <c r="P4524">
        <v>0.98468270000000002</v>
      </c>
      <c r="Q4524">
        <v>0.16333129999999901</v>
      </c>
      <c r="R4524">
        <v>6.1018620000000003E-2</v>
      </c>
      <c r="S4524">
        <v>3.0562130000000001</v>
      </c>
      <c r="T4524">
        <v>-1.268244E-2</v>
      </c>
      <c r="U4524">
        <v>-0.119751</v>
      </c>
      <c r="V4524">
        <v>-6.4045450000000004E-2</v>
      </c>
      <c r="W4524">
        <v>0.1750833</v>
      </c>
      <c r="X4524">
        <v>0.98246829999999996</v>
      </c>
      <c r="Y4524">
        <v>3.6135540000000001E-2</v>
      </c>
      <c r="Z4524">
        <v>-3.1488909999999998E-4</v>
      </c>
      <c r="AA4524">
        <v>0.99934690000000004</v>
      </c>
      <c r="AB4524">
        <v>40</v>
      </c>
      <c r="AC4524">
        <v>108.7993</v>
      </c>
      <c r="AD4524">
        <v>-0.45319359999999997</v>
      </c>
      <c r="AE4524">
        <v>-4.2776999999999799</v>
      </c>
      <c r="AF4524">
        <v>3.94923061018125</v>
      </c>
      <c r="AG4524">
        <v>-0.45319359999999997</v>
      </c>
      <c r="AH4524">
        <v>108.809830517115</v>
      </c>
      <c r="AI4524">
        <v>90.238478865106899</v>
      </c>
      <c r="AJ4524">
        <v>87.921373779130107</v>
      </c>
      <c r="AK4524">
        <v>108.88241834205699</v>
      </c>
      <c r="AL4524">
        <v>79.916494017210496</v>
      </c>
      <c r="AM4524">
        <v>93.729737927037107</v>
      </c>
      <c r="AN4524">
        <v>0.99999997105474003</v>
      </c>
    </row>
    <row r="4525" spans="1:40" x14ac:dyDescent="0.25">
      <c r="A4525" t="str">
        <f>"20190304154844259"</f>
        <v>20190304154844259</v>
      </c>
      <c r="B4525" t="str">
        <f>"1551685724251147"</f>
        <v>1551685724251147</v>
      </c>
      <c r="C4525" t="s">
        <v>40</v>
      </c>
      <c r="D4525">
        <v>4.4232019999999999</v>
      </c>
      <c r="E4525">
        <v>0.53671780000000002</v>
      </c>
      <c r="F4525" t="s">
        <v>70</v>
      </c>
      <c r="G4525">
        <v>-169.39240000000001</v>
      </c>
      <c r="H4525">
        <v>0.72246359999999998</v>
      </c>
      <c r="I4525">
        <v>209.49350000000001</v>
      </c>
      <c r="J4525">
        <v>-277.89449999999999</v>
      </c>
      <c r="K4525">
        <v>1.110274</v>
      </c>
      <c r="L4525">
        <v>213.8852</v>
      </c>
      <c r="M4525">
        <v>0.99992420000000004</v>
      </c>
      <c r="N4525">
        <v>-1.196998E-2</v>
      </c>
      <c r="O4525">
        <v>-2.9067630000000001E-3</v>
      </c>
      <c r="P4525">
        <v>0.98464819999999997</v>
      </c>
      <c r="Q4525">
        <v>0.16345409999999999</v>
      </c>
      <c r="R4525">
        <v>6.124342E-2</v>
      </c>
      <c r="S4525">
        <v>3.0561219999999998</v>
      </c>
      <c r="T4525">
        <v>-1.089263E-2</v>
      </c>
      <c r="U4525">
        <v>-0.1233826</v>
      </c>
      <c r="V4525">
        <v>-6.4161620000000003E-2</v>
      </c>
      <c r="W4525">
        <v>0.1752059</v>
      </c>
      <c r="X4525">
        <v>0.9824389</v>
      </c>
      <c r="Y4525">
        <v>3.7433689999999999E-2</v>
      </c>
      <c r="Z4525">
        <v>-3.152516E-4</v>
      </c>
      <c r="AA4525">
        <v>0.99929900000000005</v>
      </c>
      <c r="AB4525">
        <v>40</v>
      </c>
      <c r="AC4525">
        <v>108.502099999999</v>
      </c>
      <c r="AD4525">
        <v>-0.3878104</v>
      </c>
      <c r="AE4525">
        <v>-4.3916999999999797</v>
      </c>
      <c r="AF4525">
        <v>4.0762169899018597</v>
      </c>
      <c r="AG4525">
        <v>-0.3878104</v>
      </c>
      <c r="AH4525">
        <v>108.51302410445</v>
      </c>
      <c r="AI4525">
        <v>90.204621929267802</v>
      </c>
      <c r="AJ4525">
        <v>87.848735003513994</v>
      </c>
      <c r="AK4525">
        <v>108.590249756357</v>
      </c>
      <c r="AL4525">
        <v>79.909359632623605</v>
      </c>
      <c r="AM4525">
        <v>93.736595531704594</v>
      </c>
      <c r="AN4525">
        <v>1.00000000655452</v>
      </c>
    </row>
    <row r="4526" spans="1:40" x14ac:dyDescent="0.25">
      <c r="A4526" t="str">
        <f>"20190304154844273"</f>
        <v>20190304154844273</v>
      </c>
      <c r="B4526" t="str">
        <f>"1551685724261545"</f>
        <v>1551685724261545</v>
      </c>
      <c r="C4526" t="s">
        <v>40</v>
      </c>
      <c r="D4526">
        <v>4.3998629999999999</v>
      </c>
      <c r="E4526">
        <v>0.53694459999999999</v>
      </c>
      <c r="F4526" t="s">
        <v>70</v>
      </c>
      <c r="G4526">
        <v>-169.39240000000001</v>
      </c>
      <c r="H4526">
        <v>0.75879099999999999</v>
      </c>
      <c r="I4526">
        <v>209.51439999999999</v>
      </c>
      <c r="J4526">
        <v>-277.66460000000001</v>
      </c>
      <c r="K4526">
        <v>1.110274</v>
      </c>
      <c r="L4526">
        <v>213.88460000000001</v>
      </c>
      <c r="M4526">
        <v>0.99992440000000005</v>
      </c>
      <c r="N4526">
        <v>-1.1970669999999999E-2</v>
      </c>
      <c r="O4526">
        <v>-2.8200780000000002E-3</v>
      </c>
      <c r="P4526">
        <v>0.98460999999999999</v>
      </c>
      <c r="Q4526">
        <v>0.16356889999999999</v>
      </c>
      <c r="R4526">
        <v>6.155211E-2</v>
      </c>
      <c r="S4526">
        <v>3.0560610000000001</v>
      </c>
      <c r="T4526">
        <v>-9.8989009999999999E-3</v>
      </c>
      <c r="U4526">
        <v>-0.12310790000000001</v>
      </c>
      <c r="V4526">
        <v>-6.4386079999999998E-2</v>
      </c>
      <c r="W4526">
        <v>0.175320899999999</v>
      </c>
      <c r="X4526">
        <v>0.98240369999999999</v>
      </c>
      <c r="Y4526">
        <v>3.7431590000000001E-2</v>
      </c>
      <c r="Z4526">
        <v>-3.0935579999999998E-4</v>
      </c>
      <c r="AA4526">
        <v>0.99929920000000005</v>
      </c>
      <c r="AB4526">
        <v>40</v>
      </c>
      <c r="AC4526">
        <v>108.2722</v>
      </c>
      <c r="AD4526">
        <v>-0.35148299999999999</v>
      </c>
      <c r="AE4526">
        <v>-4.3702000000000103</v>
      </c>
      <c r="AF4526">
        <v>4.0647819331275796</v>
      </c>
      <c r="AG4526">
        <v>-0.35148299999999999</v>
      </c>
      <c r="AH4526">
        <v>108.282955316231</v>
      </c>
      <c r="AI4526">
        <v>90.185848713015901</v>
      </c>
      <c r="AJ4526">
        <v>87.850210614671894</v>
      </c>
      <c r="AK4526">
        <v>108.359791456425</v>
      </c>
      <c r="AL4526">
        <v>79.902667036950405</v>
      </c>
      <c r="AM4526">
        <v>93.749764203266494</v>
      </c>
      <c r="AN4526">
        <v>1.00000000752413</v>
      </c>
    </row>
    <row r="4527" spans="1:40" x14ac:dyDescent="0.25">
      <c r="A4527" t="str">
        <f>"20190304154844287"</f>
        <v>20190304154844287</v>
      </c>
      <c r="B4527" t="str">
        <f>"1551685724281051"</f>
        <v>1551685724281051</v>
      </c>
      <c r="C4527" t="s">
        <v>40</v>
      </c>
      <c r="D4527">
        <v>4.3906919999999996</v>
      </c>
      <c r="E4527">
        <v>0.5372962</v>
      </c>
      <c r="F4527" t="s">
        <v>70</v>
      </c>
      <c r="G4527">
        <v>-169.39240000000001</v>
      </c>
      <c r="H4527">
        <v>0.80075649999999998</v>
      </c>
      <c r="I4527">
        <v>209.49549999999999</v>
      </c>
      <c r="J4527">
        <v>-277.3931</v>
      </c>
      <c r="K4527">
        <v>1.1102780000000001</v>
      </c>
      <c r="L4527">
        <v>213.88390000000001</v>
      </c>
      <c r="M4527">
        <v>0.9999247</v>
      </c>
      <c r="N4527">
        <v>-1.197138E-2</v>
      </c>
      <c r="O4527">
        <v>-2.718491E-3</v>
      </c>
      <c r="P4527">
        <v>0.98457530000000004</v>
      </c>
      <c r="Q4527">
        <v>0.16368160000000001</v>
      </c>
      <c r="R4527">
        <v>6.1809540000000003E-2</v>
      </c>
      <c r="S4527">
        <v>3.0560610000000001</v>
      </c>
      <c r="T4527">
        <v>-8.735418E-3</v>
      </c>
      <c r="U4527">
        <v>-0.1238861</v>
      </c>
      <c r="V4527">
        <v>-6.4544030000000002E-2</v>
      </c>
      <c r="W4527">
        <v>0.17543310000000001</v>
      </c>
      <c r="X4527">
        <v>0.9823733</v>
      </c>
      <c r="Y4527">
        <v>3.7787279999999999E-2</v>
      </c>
      <c r="Z4527">
        <v>-3.0503490000000002E-4</v>
      </c>
      <c r="AA4527">
        <v>0.9992858</v>
      </c>
      <c r="AB4527">
        <v>40</v>
      </c>
      <c r="AC4527">
        <v>108.00069999999999</v>
      </c>
      <c r="AD4527">
        <v>-0.3095215</v>
      </c>
      <c r="AE4527">
        <v>-4.3884000000000096</v>
      </c>
      <c r="AF4527">
        <v>4.0947302499439298</v>
      </c>
      <c r="AG4527">
        <v>-0.3095215</v>
      </c>
      <c r="AH4527">
        <v>108.011345859909</v>
      </c>
      <c r="AI4527">
        <v>90.164070700769102</v>
      </c>
      <c r="AJ4527">
        <v>87.828945989778902</v>
      </c>
      <c r="AK4527">
        <v>108.089377155425</v>
      </c>
      <c r="AL4527">
        <v>79.896137195997795</v>
      </c>
      <c r="AM4527">
        <v>93.759052660493694</v>
      </c>
      <c r="AN4527">
        <v>1.00000000246857</v>
      </c>
    </row>
    <row r="4528" spans="1:40" x14ac:dyDescent="0.25">
      <c r="A4528" t="str">
        <f>"20190304154844312"</f>
        <v>20190304154844312</v>
      </c>
      <c r="B4528" t="str">
        <f>"1551685724301548"</f>
        <v>1551685724301548</v>
      </c>
      <c r="C4528" t="s">
        <v>40</v>
      </c>
      <c r="D4528">
        <v>4.3922309999999998</v>
      </c>
      <c r="E4528">
        <v>0.5375626</v>
      </c>
      <c r="F4528" t="s">
        <v>70</v>
      </c>
      <c r="G4528">
        <v>-169.39240000000001</v>
      </c>
      <c r="H4528">
        <v>0.84112929999999997</v>
      </c>
      <c r="I4528">
        <v>209.44120000000001</v>
      </c>
      <c r="J4528">
        <v>-276.9753</v>
      </c>
      <c r="K4528">
        <v>1.1102780000000001</v>
      </c>
      <c r="L4528">
        <v>213.88290000000001</v>
      </c>
      <c r="M4528">
        <v>0.99992499999999995</v>
      </c>
      <c r="N4528">
        <v>-1.1972440000000001E-2</v>
      </c>
      <c r="O4528">
        <v>-2.5612289999999999E-3</v>
      </c>
      <c r="P4528">
        <v>0.9845294</v>
      </c>
      <c r="Q4528">
        <v>0.16370589999999999</v>
      </c>
      <c r="R4528">
        <v>6.2466920000000002E-2</v>
      </c>
      <c r="S4528">
        <v>3.056152</v>
      </c>
      <c r="T4528">
        <v>-7.6153280000000002E-3</v>
      </c>
      <c r="U4528">
        <v>-0.1257172</v>
      </c>
      <c r="V4528">
        <v>-6.5047770000000005E-2</v>
      </c>
      <c r="W4528">
        <v>0.17545749999999999</v>
      </c>
      <c r="X4528">
        <v>0.98233570000000003</v>
      </c>
      <c r="Y4528">
        <v>3.854105E-2</v>
      </c>
      <c r="Z4528">
        <v>-3.0309469999999998E-4</v>
      </c>
      <c r="AA4528">
        <v>0.99925699999999995</v>
      </c>
      <c r="AB4528">
        <v>40</v>
      </c>
      <c r="AC4528">
        <v>107.5829</v>
      </c>
      <c r="AD4528">
        <v>-0.26914870000000002</v>
      </c>
      <c r="AE4528">
        <v>-4.4416999999999902</v>
      </c>
      <c r="AF4528">
        <v>4.1660951917421398</v>
      </c>
      <c r="AG4528">
        <v>-0.26914870000000002</v>
      </c>
      <c r="AH4528">
        <v>107.593251839814</v>
      </c>
      <c r="AI4528">
        <v>90.143219995554404</v>
      </c>
      <c r="AJ4528">
        <v>87.782570183717993</v>
      </c>
      <c r="AK4528">
        <v>107.67421525896999</v>
      </c>
      <c r="AL4528">
        <v>79.894716995927297</v>
      </c>
      <c r="AM4528">
        <v>93.788450023486305</v>
      </c>
      <c r="AN4528">
        <v>0.99999998709135596</v>
      </c>
    </row>
    <row r="4529" spans="1:40" x14ac:dyDescent="0.25">
      <c r="A4529" t="str">
        <f>"20190304154844345"</f>
        <v>20190304154844345</v>
      </c>
      <c r="B4529" t="str">
        <f>"1551685724341563"</f>
        <v>1551685724341563</v>
      </c>
      <c r="C4529" t="s">
        <v>40</v>
      </c>
      <c r="D4529">
        <v>4.3773549999999997</v>
      </c>
      <c r="E4529">
        <v>0.53757449999999996</v>
      </c>
      <c r="F4529" t="s">
        <v>70</v>
      </c>
      <c r="G4529">
        <v>-169.39240000000001</v>
      </c>
      <c r="H4529">
        <v>0.86991309999999999</v>
      </c>
      <c r="I4529">
        <v>209.46879999999999</v>
      </c>
      <c r="J4529">
        <v>-276.37540000000001</v>
      </c>
      <c r="K4529">
        <v>1.110287</v>
      </c>
      <c r="L4529">
        <v>213.88159999999999</v>
      </c>
      <c r="M4529">
        <v>0.99992550000000002</v>
      </c>
      <c r="N4529">
        <v>-1.197398E-2</v>
      </c>
      <c r="O4529">
        <v>-2.3366139999999999E-3</v>
      </c>
      <c r="P4529">
        <v>0.98449980000000004</v>
      </c>
      <c r="Q4529">
        <v>0.16397400000000001</v>
      </c>
      <c r="R4529">
        <v>6.2230220000000003E-2</v>
      </c>
      <c r="S4529">
        <v>3.056244</v>
      </c>
      <c r="T4529">
        <v>-6.8273539999999999E-3</v>
      </c>
      <c r="U4529">
        <v>-0.1253967</v>
      </c>
      <c r="V4529">
        <v>-6.4591199999999904E-2</v>
      </c>
      <c r="W4529">
        <v>0.17572650000000001</v>
      </c>
      <c r="X4529">
        <v>0.98231769999999996</v>
      </c>
      <c r="Y4529">
        <v>3.8659760000000001E-2</v>
      </c>
      <c r="Z4529">
        <v>-2.9747680000000002E-4</v>
      </c>
      <c r="AA4529">
        <v>0.99925240000000004</v>
      </c>
      <c r="AB4529">
        <v>40</v>
      </c>
      <c r="AC4529">
        <v>106.982999999999</v>
      </c>
      <c r="AD4529">
        <v>-0.2403739</v>
      </c>
      <c r="AE4529">
        <v>-4.4127999999999998</v>
      </c>
      <c r="AF4529">
        <v>4.1627710548604702</v>
      </c>
      <c r="AG4529">
        <v>-0.2403739</v>
      </c>
      <c r="AH4529">
        <v>106.99248044434999</v>
      </c>
      <c r="AI4529">
        <v>90.128625624162396</v>
      </c>
      <c r="AJ4529">
        <v>87.771909093663794</v>
      </c>
      <c r="AK4529">
        <v>107.073700384836</v>
      </c>
      <c r="AL4529">
        <v>79.879060754819804</v>
      </c>
      <c r="AM4529">
        <v>93.762004271414995</v>
      </c>
      <c r="AN4529">
        <v>0.99999994482648802</v>
      </c>
    </row>
    <row r="4530" spans="1:40" x14ac:dyDescent="0.25">
      <c r="A4530" t="str">
        <f>"20190304154844367"</f>
        <v>20190304154844367</v>
      </c>
      <c r="B4530" t="str">
        <f>"1551685724361846"</f>
        <v>1551685724361846</v>
      </c>
      <c r="C4530" t="s">
        <v>40</v>
      </c>
      <c r="D4530">
        <v>4.4077210000000004</v>
      </c>
      <c r="E4530">
        <v>0.53755620000000004</v>
      </c>
      <c r="F4530" t="s">
        <v>70</v>
      </c>
      <c r="G4530">
        <v>-169.39240000000001</v>
      </c>
      <c r="H4530">
        <v>0.88878060000000003</v>
      </c>
      <c r="I4530">
        <v>209.4691</v>
      </c>
      <c r="J4530">
        <v>-275.98410000000001</v>
      </c>
      <c r="K4530">
        <v>1.1102939999999999</v>
      </c>
      <c r="L4530">
        <v>213.88079999999999</v>
      </c>
      <c r="M4530">
        <v>0.99992590000000003</v>
      </c>
      <c r="N4530">
        <v>-1.197498E-2</v>
      </c>
      <c r="O4530">
        <v>-2.1900980000000001E-3</v>
      </c>
      <c r="P4530">
        <v>0.98452220000000001</v>
      </c>
      <c r="Q4530">
        <v>0.1637999</v>
      </c>
      <c r="R4530">
        <v>6.2336580000000003E-2</v>
      </c>
      <c r="S4530">
        <v>3.0562130000000001</v>
      </c>
      <c r="T4530">
        <v>-6.3267949999999996E-3</v>
      </c>
      <c r="U4530">
        <v>-0.1260529</v>
      </c>
      <c r="V4530">
        <v>-6.4553860000000005E-2</v>
      </c>
      <c r="W4530">
        <v>0.17555370000000001</v>
      </c>
      <c r="X4530">
        <v>0.98235110000000003</v>
      </c>
      <c r="Y4530">
        <v>3.902079E-2</v>
      </c>
      <c r="Z4530">
        <v>-2.9580269999999998E-4</v>
      </c>
      <c r="AA4530">
        <v>0.99923839999999997</v>
      </c>
      <c r="AB4530">
        <v>40</v>
      </c>
      <c r="AC4530">
        <v>106.5917</v>
      </c>
      <c r="AD4530">
        <v>-0.2215134</v>
      </c>
      <c r="AE4530">
        <v>-4.41169999999999</v>
      </c>
      <c r="AF4530">
        <v>4.1782083958184097</v>
      </c>
      <c r="AG4530">
        <v>-0.2215134</v>
      </c>
      <c r="AH4530">
        <v>106.600647486978</v>
      </c>
      <c r="AI4530">
        <v>90.118967636430597</v>
      </c>
      <c r="AJ4530">
        <v>87.755442988543606</v>
      </c>
      <c r="AK4530">
        <v>106.68272839700001</v>
      </c>
      <c r="AL4530">
        <v>79.889118301260396</v>
      </c>
      <c r="AM4530">
        <v>93.759708238628804</v>
      </c>
      <c r="AN4530">
        <v>0.99999999304789899</v>
      </c>
    </row>
    <row r="4531" spans="1:40" x14ac:dyDescent="0.25">
      <c r="A4531" t="str">
        <f>"20190304154844389"</f>
        <v>20190304154844389</v>
      </c>
      <c r="B4531" t="str">
        <f>"1551685724381327"</f>
        <v>1551685724381327</v>
      </c>
      <c r="C4531" t="s">
        <v>40</v>
      </c>
      <c r="D4531">
        <v>4.387912</v>
      </c>
      <c r="E4531">
        <v>0.53732590000000002</v>
      </c>
      <c r="F4531" t="s">
        <v>70</v>
      </c>
      <c r="G4531">
        <v>-169.39240000000001</v>
      </c>
      <c r="H4531">
        <v>0.87318419999999897</v>
      </c>
      <c r="I4531">
        <v>209.49780000000001</v>
      </c>
      <c r="J4531">
        <v>-275.58150000000001</v>
      </c>
      <c r="K4531">
        <v>1.1102939999999999</v>
      </c>
      <c r="L4531">
        <v>213.8801</v>
      </c>
      <c r="M4531">
        <v>0.99992630000000005</v>
      </c>
      <c r="N4531">
        <v>-1.1975970000000001E-2</v>
      </c>
      <c r="O4531">
        <v>-2.0391760000000002E-3</v>
      </c>
      <c r="P4531">
        <v>0.98447530000000005</v>
      </c>
      <c r="Q4531">
        <v>0.1640249</v>
      </c>
      <c r="R4531">
        <v>6.2484869999999998E-2</v>
      </c>
      <c r="S4531">
        <v>3.056244</v>
      </c>
      <c r="T4531">
        <v>-6.7975519999999897E-3</v>
      </c>
      <c r="U4531">
        <v>-0.12567139999999999</v>
      </c>
      <c r="V4531">
        <v>-6.4554050000000002E-2</v>
      </c>
      <c r="W4531">
        <v>0.17577909999999999</v>
      </c>
      <c r="X4531">
        <v>0.98231080000000004</v>
      </c>
      <c r="Y4531">
        <v>3.9046629999999999E-2</v>
      </c>
      <c r="Z4531">
        <v>-2.9720279999999999E-4</v>
      </c>
      <c r="AA4531">
        <v>0.99923740000000005</v>
      </c>
      <c r="AB4531">
        <v>40</v>
      </c>
      <c r="AC4531">
        <v>106.1891</v>
      </c>
      <c r="AD4531">
        <v>-0.23710980000000001</v>
      </c>
      <c r="AE4531">
        <v>-4.3822999999999803</v>
      </c>
      <c r="AF4531">
        <v>4.1657163791193002</v>
      </c>
      <c r="AG4531">
        <v>-0.23710980000000001</v>
      </c>
      <c r="AH4531">
        <v>106.19728752597</v>
      </c>
      <c r="AI4531">
        <v>90.127827449969999</v>
      </c>
      <c r="AJ4531">
        <v>87.753655784525705</v>
      </c>
      <c r="AK4531">
        <v>106.27922323710401</v>
      </c>
      <c r="AL4531">
        <v>79.8760000369262</v>
      </c>
      <c r="AM4531">
        <v>93.759873075495904</v>
      </c>
      <c r="AN4531">
        <v>1.00000001258242</v>
      </c>
    </row>
    <row r="4532" spans="1:40" x14ac:dyDescent="0.25">
      <c r="A4532" t="str">
        <f>"20190304154844410"</f>
        <v>20190304154844410</v>
      </c>
      <c r="B4532" t="str">
        <f>"1551685724401820"</f>
        <v>1551685724401820</v>
      </c>
      <c r="C4532" t="s">
        <v>40</v>
      </c>
      <c r="D4532">
        <v>4.3406630000000002</v>
      </c>
      <c r="E4532">
        <v>0.51597649999999995</v>
      </c>
      <c r="F4532" t="s">
        <v>70</v>
      </c>
      <c r="G4532">
        <v>-169.39240000000001</v>
      </c>
      <c r="H4532">
        <v>0.8663902</v>
      </c>
      <c r="I4532">
        <v>209.59379999999999</v>
      </c>
      <c r="J4532">
        <v>-275.19319999999999</v>
      </c>
      <c r="K4532">
        <v>1.11029</v>
      </c>
      <c r="L4532">
        <v>213.8794</v>
      </c>
      <c r="M4532">
        <v>0.99992669999999995</v>
      </c>
      <c r="N4532">
        <v>-1.197691E-2</v>
      </c>
      <c r="O4532">
        <v>-1.8933859999999999E-3</v>
      </c>
      <c r="P4532">
        <v>0.98437419999999998</v>
      </c>
      <c r="Q4532">
        <v>0.16464089999999901</v>
      </c>
      <c r="R4532">
        <v>6.2458960000000001E-2</v>
      </c>
      <c r="S4532">
        <v>3.056305</v>
      </c>
      <c r="T4532">
        <v>-7.019043E-3</v>
      </c>
      <c r="U4532">
        <v>-0.1233673</v>
      </c>
      <c r="V4532">
        <v>-6.4384780000000003E-2</v>
      </c>
      <c r="W4532">
        <v>0.17639440000000001</v>
      </c>
      <c r="X4532">
        <v>0.98221159999999996</v>
      </c>
      <c r="Y4532">
        <v>3.8439420000000002E-2</v>
      </c>
      <c r="Z4532">
        <v>-2.9274040000000002E-4</v>
      </c>
      <c r="AA4532">
        <v>0.99926090000000001</v>
      </c>
      <c r="AB4532">
        <v>40</v>
      </c>
      <c r="AC4532">
        <v>105.800799999999</v>
      </c>
      <c r="AD4532">
        <v>-0.2438998</v>
      </c>
      <c r="AE4532">
        <v>-4.2856000000000103</v>
      </c>
      <c r="AF4532">
        <v>4.0852345635789602</v>
      </c>
      <c r="AG4532">
        <v>-0.2438998</v>
      </c>
      <c r="AH4532">
        <v>105.808163830975</v>
      </c>
      <c r="AI4532">
        <v>90.131974694801897</v>
      </c>
      <c r="AJ4532">
        <v>87.788918311426002</v>
      </c>
      <c r="AK4532">
        <v>105.88728045348201</v>
      </c>
      <c r="AL4532">
        <v>79.840186271639297</v>
      </c>
      <c r="AM4532">
        <v>93.750419976615504</v>
      </c>
      <c r="AN4532">
        <v>1.0000000057107801</v>
      </c>
    </row>
    <row r="4533" spans="1:40" x14ac:dyDescent="0.25">
      <c r="A4533" t="str">
        <f>"20190304154844434"</f>
        <v>20190304154844434</v>
      </c>
      <c r="B4533" t="str">
        <f>"1551685724431099"</f>
        <v>1551685724431099</v>
      </c>
      <c r="C4533" t="s">
        <v>40</v>
      </c>
      <c r="D4533">
        <v>4.3277939999999999</v>
      </c>
      <c r="E4533">
        <v>0.51110059999999902</v>
      </c>
      <c r="F4533" t="s">
        <v>72</v>
      </c>
      <c r="G4533">
        <v>-107.39749999999999</v>
      </c>
      <c r="H4533">
        <v>2.880385</v>
      </c>
      <c r="I4533">
        <v>216.5137</v>
      </c>
      <c r="J4533">
        <v>-274.78859999999997</v>
      </c>
      <c r="K4533">
        <v>1.110295</v>
      </c>
      <c r="L4533">
        <v>213.87880000000001</v>
      </c>
      <c r="M4533">
        <v>0.9999268</v>
      </c>
      <c r="N4533">
        <v>-1.197787E-2</v>
      </c>
      <c r="O4533">
        <v>-1.741397E-3</v>
      </c>
      <c r="P4533">
        <v>0.98440700000000003</v>
      </c>
      <c r="Q4533">
        <v>0.16443929999999901</v>
      </c>
      <c r="R4533">
        <v>6.2471119999999998E-2</v>
      </c>
      <c r="S4533">
        <v>3.039215</v>
      </c>
      <c r="T4533">
        <v>3.2061930000000002E-2</v>
      </c>
      <c r="U4533">
        <v>4.7714230000000003E-2</v>
      </c>
      <c r="V4533">
        <v>-6.4247529999999997E-2</v>
      </c>
      <c r="W4533">
        <v>0.17619489999999999</v>
      </c>
      <c r="X4533">
        <v>0.98225640000000003</v>
      </c>
      <c r="Y4533">
        <v>-1.7438559999999999E-2</v>
      </c>
      <c r="Z4533" s="1">
        <v>-2.6752369999999999E-5</v>
      </c>
      <c r="AA4533">
        <v>0.99984790000000001</v>
      </c>
      <c r="AB4533">
        <v>40</v>
      </c>
      <c r="AC4533">
        <v>167.39109999999999</v>
      </c>
      <c r="AD4533">
        <v>1.7700899999999999</v>
      </c>
      <c r="AE4533">
        <v>2.63489999999998</v>
      </c>
      <c r="AF4533">
        <v>-2.9260841419920101</v>
      </c>
      <c r="AG4533">
        <v>1.7700899999999999</v>
      </c>
      <c r="AH4533">
        <v>167.36754674149299</v>
      </c>
      <c r="AI4533">
        <v>89.394151297621804</v>
      </c>
      <c r="AJ4533">
        <v>91.001599157036694</v>
      </c>
      <c r="AK4533">
        <v>167.402481729752</v>
      </c>
      <c r="AL4533">
        <v>79.851798719914598</v>
      </c>
      <c r="AM4533">
        <v>93.742277689317007</v>
      </c>
      <c r="AN4533">
        <v>1.00000001161903</v>
      </c>
    </row>
    <row r="4534" spans="1:40" x14ac:dyDescent="0.25">
      <c r="A4534" t="str">
        <f>"20190304154844456"</f>
        <v>20190304154844456</v>
      </c>
      <c r="B4534" t="str">
        <f>"1551685724451595"</f>
        <v>1551685724451595</v>
      </c>
      <c r="C4534" t="s">
        <v>40</v>
      </c>
      <c r="D4534">
        <v>4.3019970000000001</v>
      </c>
      <c r="E4534">
        <v>0.51023370000000001</v>
      </c>
      <c r="F4534" t="s">
        <v>72</v>
      </c>
      <c r="G4534">
        <v>-107.39749999999999</v>
      </c>
      <c r="H4534">
        <v>2.0386259999999998</v>
      </c>
      <c r="I4534">
        <v>218.63800000000001</v>
      </c>
      <c r="J4534">
        <v>-274.38459999999998</v>
      </c>
      <c r="K4534">
        <v>1.1102970000000001</v>
      </c>
      <c r="L4534">
        <v>213.87819999999999</v>
      </c>
      <c r="M4534">
        <v>0.99992709999999996</v>
      </c>
      <c r="N4534">
        <v>-1.1978829999999999E-2</v>
      </c>
      <c r="O4534">
        <v>-1.5900039999999999E-3</v>
      </c>
      <c r="P4534">
        <v>0.98437339999999995</v>
      </c>
      <c r="Q4534">
        <v>0.1644602</v>
      </c>
      <c r="R4534">
        <v>6.2945940000000006E-2</v>
      </c>
      <c r="S4534">
        <v>3.039215</v>
      </c>
      <c r="T4534">
        <v>1.6856070000000001E-2</v>
      </c>
      <c r="U4534">
        <v>8.6410520000000005E-2</v>
      </c>
      <c r="V4534">
        <v>-6.4573740000000004E-2</v>
      </c>
      <c r="W4534">
        <v>0.1762156</v>
      </c>
      <c r="X4534">
        <v>0.98223130000000003</v>
      </c>
      <c r="Y4534">
        <v>-3.001011E-2</v>
      </c>
      <c r="Z4534" s="1">
        <v>6.8721300000000002E-5</v>
      </c>
      <c r="AA4534">
        <v>0.99954960000000004</v>
      </c>
      <c r="AB4534">
        <v>40</v>
      </c>
      <c r="AC4534">
        <v>166.9871</v>
      </c>
      <c r="AD4534">
        <v>0.92832899999999996</v>
      </c>
      <c r="AE4534">
        <v>4.75980000000001</v>
      </c>
      <c r="AF4534">
        <v>-5.0251679807949499</v>
      </c>
      <c r="AG4534">
        <v>0.92832899999999996</v>
      </c>
      <c r="AH4534">
        <v>166.97416398828</v>
      </c>
      <c r="AI4534">
        <v>89.681599154640693</v>
      </c>
      <c r="AJ4534">
        <v>91.723823794062397</v>
      </c>
      <c r="AK4534">
        <v>167.05234373558599</v>
      </c>
      <c r="AL4534">
        <v>79.850593891531304</v>
      </c>
      <c r="AM4534">
        <v>93.761320140865493</v>
      </c>
      <c r="AN4534">
        <v>1.00000001614031</v>
      </c>
    </row>
    <row r="4535" spans="1:40" x14ac:dyDescent="0.25">
      <c r="A4535" t="str">
        <f>"20190304154844479"</f>
        <v>20190304154844479</v>
      </c>
      <c r="B4535" t="str">
        <f>"1551685724471664"</f>
        <v>1551685724471664</v>
      </c>
      <c r="C4535" t="s">
        <v>40</v>
      </c>
      <c r="D4535">
        <v>4.3220409999999996</v>
      </c>
      <c r="E4535">
        <v>0.50989790000000002</v>
      </c>
      <c r="F4535" t="s">
        <v>72</v>
      </c>
      <c r="G4535">
        <v>-107.39749999999999</v>
      </c>
      <c r="H4535">
        <v>1.7516290000000001</v>
      </c>
      <c r="I4535">
        <v>219.06540000000001</v>
      </c>
      <c r="J4535">
        <v>-273.97559999999999</v>
      </c>
      <c r="K4535">
        <v>1.1102989999999999</v>
      </c>
      <c r="L4535">
        <v>213.8777</v>
      </c>
      <c r="M4535">
        <v>0.99992720000000002</v>
      </c>
      <c r="N4535">
        <v>-1.1979780000000001E-2</v>
      </c>
      <c r="O4535">
        <v>-1.4364670000000001E-3</v>
      </c>
      <c r="P4535">
        <v>0.98432339999999996</v>
      </c>
      <c r="Q4535">
        <v>0.1646001</v>
      </c>
      <c r="R4535">
        <v>6.3358960000000006E-2</v>
      </c>
      <c r="S4535">
        <v>3.0396730000000001</v>
      </c>
      <c r="T4535">
        <v>1.1675120000000001E-2</v>
      </c>
      <c r="U4535">
        <v>9.4421389999999994E-2</v>
      </c>
      <c r="V4535">
        <v>-6.4835760000000006E-2</v>
      </c>
      <c r="W4535">
        <v>0.1763564</v>
      </c>
      <c r="X4535">
        <v>0.98218879999999997</v>
      </c>
      <c r="Y4535">
        <v>-3.2484209999999999E-2</v>
      </c>
      <c r="Z4535">
        <v>1.095393E-4</v>
      </c>
      <c r="AA4535">
        <v>0.99947229999999998</v>
      </c>
      <c r="AB4535">
        <v>40</v>
      </c>
      <c r="AC4535">
        <v>166.57810000000001</v>
      </c>
      <c r="AD4535">
        <v>0.64132999999999996</v>
      </c>
      <c r="AE4535">
        <v>5.1877000000000004</v>
      </c>
      <c r="AF4535">
        <v>-5.4269154011728098</v>
      </c>
      <c r="AG4535">
        <v>0.64132999999999996</v>
      </c>
      <c r="AH4535">
        <v>166.56800902352899</v>
      </c>
      <c r="AI4535">
        <v>89.779514482344197</v>
      </c>
      <c r="AJ4535">
        <v>91.866080999943406</v>
      </c>
      <c r="AK4535">
        <v>166.657626123147</v>
      </c>
      <c r="AL4535">
        <v>79.842398613623104</v>
      </c>
      <c r="AM4535">
        <v>93.776701262136598</v>
      </c>
      <c r="AN4535">
        <v>1.0000000472205799</v>
      </c>
    </row>
    <row r="4536" spans="1:40" x14ac:dyDescent="0.25">
      <c r="A4536" t="str">
        <f>"20190304154844500"</f>
        <v>20190304154844500</v>
      </c>
      <c r="B4536" t="str">
        <f>"1551685724491184"</f>
        <v>1551685724491184</v>
      </c>
      <c r="C4536" t="s">
        <v>40</v>
      </c>
      <c r="D4536">
        <v>4.3281289999999997</v>
      </c>
      <c r="E4536">
        <v>0.50989709999999999</v>
      </c>
      <c r="F4536" t="s">
        <v>72</v>
      </c>
      <c r="G4536">
        <v>-107.39749999999999</v>
      </c>
      <c r="H4536">
        <v>1.67163499999999</v>
      </c>
      <c r="I4536">
        <v>219.26599999999999</v>
      </c>
      <c r="J4536">
        <v>-273.58350000000002</v>
      </c>
      <c r="K4536">
        <v>1.110295</v>
      </c>
      <c r="L4536">
        <v>213.87729999999999</v>
      </c>
      <c r="M4536">
        <v>0.99992749999999997</v>
      </c>
      <c r="N4536">
        <v>-1.198069E-2</v>
      </c>
      <c r="O4536">
        <v>-1.2897270000000001E-3</v>
      </c>
      <c r="P4536">
        <v>0.98438000000000003</v>
      </c>
      <c r="Q4536">
        <v>0.16420299999999999</v>
      </c>
      <c r="R4536">
        <v>6.3509330000000003E-2</v>
      </c>
      <c r="S4536">
        <v>3.0397639999999999</v>
      </c>
      <c r="T4536">
        <v>1.0244369999999999E-2</v>
      </c>
      <c r="U4536">
        <v>9.8327639999999994E-2</v>
      </c>
      <c r="V4536">
        <v>-6.4841369999999995E-2</v>
      </c>
      <c r="W4536">
        <v>0.17596120000000001</v>
      </c>
      <c r="X4536">
        <v>0.98225929999999995</v>
      </c>
      <c r="Y4536">
        <v>-3.3619669999999997E-2</v>
      </c>
      <c r="Z4536">
        <v>1.2502229999999999E-4</v>
      </c>
      <c r="AA4536">
        <v>0.99943470000000001</v>
      </c>
      <c r="AB4536">
        <v>40</v>
      </c>
      <c r="AC4536">
        <v>166.18600000000001</v>
      </c>
      <c r="AD4536">
        <v>0.56133999999999895</v>
      </c>
      <c r="AE4536">
        <v>5.3887</v>
      </c>
      <c r="AF4536">
        <v>-5.60298159133092</v>
      </c>
      <c r="AG4536">
        <v>0.56133999999999895</v>
      </c>
      <c r="AH4536">
        <v>166.177017323575</v>
      </c>
      <c r="AI4536">
        <v>89.806567567511095</v>
      </c>
      <c r="AJ4536">
        <v>91.931107168552899</v>
      </c>
      <c r="AK4536">
        <v>166.27239576029501</v>
      </c>
      <c r="AL4536">
        <v>79.865401555461105</v>
      </c>
      <c r="AM4536">
        <v>93.776756795227399</v>
      </c>
      <c r="AN4536">
        <v>1.0000000398027</v>
      </c>
    </row>
    <row r="4537" spans="1:40" x14ac:dyDescent="0.25">
      <c r="A4537" t="str">
        <f>"20190304154844523"</f>
        <v>20190304154844523</v>
      </c>
      <c r="B4537" t="str">
        <f>"1551685724521440"</f>
        <v>1551685724521440</v>
      </c>
      <c r="C4537" t="s">
        <v>40</v>
      </c>
      <c r="D4537">
        <v>4.3301160000000003</v>
      </c>
      <c r="E4537">
        <v>0.5099186</v>
      </c>
      <c r="F4537" t="s">
        <v>72</v>
      </c>
      <c r="G4537">
        <v>-107.39749999999999</v>
      </c>
      <c r="H4537">
        <v>1.605318</v>
      </c>
      <c r="I4537">
        <v>219.2688</v>
      </c>
      <c r="J4537">
        <v>-273.18220000000002</v>
      </c>
      <c r="K4537">
        <v>1.1102959999999999</v>
      </c>
      <c r="L4537">
        <v>213.87690000000001</v>
      </c>
      <c r="M4537">
        <v>0.99992749999999997</v>
      </c>
      <c r="N4537">
        <v>-1.198164E-2</v>
      </c>
      <c r="O4537">
        <v>-1.138937E-3</v>
      </c>
      <c r="P4537">
        <v>0.98434290000000002</v>
      </c>
      <c r="Q4537">
        <v>0.16445509999999999</v>
      </c>
      <c r="R4537">
        <v>6.3431489999999993E-2</v>
      </c>
      <c r="S4537">
        <v>3.0397340000000002</v>
      </c>
      <c r="T4537">
        <v>9.0554950000000002E-3</v>
      </c>
      <c r="U4537">
        <v>9.8617549999999998E-2</v>
      </c>
      <c r="V4537">
        <v>-6.4615930000000002E-2</v>
      </c>
      <c r="W4537">
        <v>0.1762137</v>
      </c>
      <c r="X4537">
        <v>0.98222889999999996</v>
      </c>
      <c r="Y4537">
        <v>-3.3564490000000002E-2</v>
      </c>
      <c r="Z4537">
        <v>1.341208E-4</v>
      </c>
      <c r="AA4537">
        <v>0.99943660000000001</v>
      </c>
      <c r="AB4537">
        <v>40</v>
      </c>
      <c r="AC4537">
        <v>165.78469999999999</v>
      </c>
      <c r="AD4537">
        <v>0.49502200000000002</v>
      </c>
      <c r="AE4537">
        <v>5.3918999999999899</v>
      </c>
      <c r="AF4537">
        <v>-5.5806786954485501</v>
      </c>
      <c r="AG4537">
        <v>0.49502200000000002</v>
      </c>
      <c r="AH4537">
        <v>165.77697451089</v>
      </c>
      <c r="AI4537">
        <v>89.829008039594598</v>
      </c>
      <c r="AJ4537">
        <v>91.928064098109999</v>
      </c>
      <c r="AK4537">
        <v>165.87161993381099</v>
      </c>
      <c r="AL4537">
        <v>79.850704823548099</v>
      </c>
      <c r="AM4537">
        <v>93.763779751587805</v>
      </c>
      <c r="AN4537">
        <v>1.0000000492363299</v>
      </c>
    </row>
    <row r="4538" spans="1:40" x14ac:dyDescent="0.25">
      <c r="A4538" t="str">
        <f>"20190304154844546"</f>
        <v>20190304154844546</v>
      </c>
      <c r="B4538" t="str">
        <f>"1551685724540960"</f>
        <v>1551685724540960</v>
      </c>
      <c r="C4538" t="s">
        <v>40</v>
      </c>
      <c r="D4538">
        <v>4.310981</v>
      </c>
      <c r="E4538">
        <v>0.50977209999999995</v>
      </c>
      <c r="F4538" t="s">
        <v>72</v>
      </c>
      <c r="G4538">
        <v>-107.39749999999999</v>
      </c>
      <c r="H4538">
        <v>1.641815</v>
      </c>
      <c r="I4538">
        <v>219.2354</v>
      </c>
      <c r="J4538">
        <v>-272.77460000000002</v>
      </c>
      <c r="K4538">
        <v>1.1102939999999999</v>
      </c>
      <c r="L4538">
        <v>213.8766</v>
      </c>
      <c r="M4538">
        <v>0.99992769999999997</v>
      </c>
      <c r="N4538">
        <v>-1.19826E-2</v>
      </c>
      <c r="O4538">
        <v>-9.857621999999999E-4</v>
      </c>
      <c r="P4538">
        <v>0.98422580000000004</v>
      </c>
      <c r="Q4538">
        <v>0.16498119999999999</v>
      </c>
      <c r="R4538">
        <v>6.3880729999999997E-2</v>
      </c>
      <c r="S4538">
        <v>3.0397639999999999</v>
      </c>
      <c r="T4538">
        <v>9.7466710000000002E-3</v>
      </c>
      <c r="U4538">
        <v>9.8251340000000006E-2</v>
      </c>
      <c r="V4538">
        <v>-6.4914150000000004E-2</v>
      </c>
      <c r="W4538">
        <v>0.17673889999999901</v>
      </c>
      <c r="X4538">
        <v>0.98211479999999995</v>
      </c>
      <c r="Y4538">
        <v>-3.3290809999999997E-2</v>
      </c>
      <c r="Z4538">
        <v>1.3118639999999999E-4</v>
      </c>
      <c r="AA4538">
        <v>0.99944569999999999</v>
      </c>
      <c r="AB4538">
        <v>40</v>
      </c>
      <c r="AC4538">
        <v>165.37710000000001</v>
      </c>
      <c r="AD4538">
        <v>0.53152100000000002</v>
      </c>
      <c r="AE4538">
        <v>5.3587999999999996</v>
      </c>
      <c r="AF4538">
        <v>-5.5217746192962203</v>
      </c>
      <c r="AG4538">
        <v>0.53152100000000002</v>
      </c>
      <c r="AH4538">
        <v>165.37003031535801</v>
      </c>
      <c r="AI4538">
        <v>89.815947045450002</v>
      </c>
      <c r="AJ4538">
        <v>91.912419570292201</v>
      </c>
      <c r="AK4538">
        <v>165.46304552987701</v>
      </c>
      <c r="AL4538">
        <v>79.820132575826705</v>
      </c>
      <c r="AM4538">
        <v>93.781538344542398</v>
      </c>
      <c r="AN4538">
        <v>0.99999998301123605</v>
      </c>
    </row>
    <row r="4539" spans="1:40" x14ac:dyDescent="0.25">
      <c r="A4539" t="str">
        <f>"20190304154844567"</f>
        <v>20190304154844567</v>
      </c>
      <c r="B4539" t="str">
        <f>"1551685724561459"</f>
        <v>1551685724561459</v>
      </c>
      <c r="C4539" t="s">
        <v>40</v>
      </c>
      <c r="D4539">
        <v>4.3521210000000004</v>
      </c>
      <c r="E4539">
        <v>0.49908829999999998</v>
      </c>
      <c r="F4539" t="s">
        <v>72</v>
      </c>
      <c r="G4539">
        <v>-107.39749999999999</v>
      </c>
      <c r="H4539">
        <v>1.7248479999999999</v>
      </c>
      <c r="I4539">
        <v>219.35079999999999</v>
      </c>
      <c r="J4539">
        <v>-272.38069999999999</v>
      </c>
      <c r="K4539">
        <v>1.11029</v>
      </c>
      <c r="L4539">
        <v>213.87629999999999</v>
      </c>
      <c r="M4539">
        <v>0.99992789999999998</v>
      </c>
      <c r="N4539">
        <v>-1.1983509999999999E-2</v>
      </c>
      <c r="O4539">
        <v>-8.3807089999999999E-4</v>
      </c>
      <c r="P4539">
        <v>0.98422960000000004</v>
      </c>
      <c r="Q4539">
        <v>0.1647952</v>
      </c>
      <c r="R4539">
        <v>6.4301860000000002E-2</v>
      </c>
      <c r="S4539">
        <v>3.0396730000000001</v>
      </c>
      <c r="T4539">
        <v>1.129663E-2</v>
      </c>
      <c r="U4539">
        <v>0.1006165</v>
      </c>
      <c r="V4539">
        <v>-6.5189830000000004E-2</v>
      </c>
      <c r="W4539">
        <v>0.17655399999999999</v>
      </c>
      <c r="X4539">
        <v>0.98212980000000005</v>
      </c>
      <c r="Y4539">
        <v>-3.392104E-2</v>
      </c>
      <c r="Z4539">
        <v>1.271391E-4</v>
      </c>
      <c r="AA4539">
        <v>0.99942450000000005</v>
      </c>
      <c r="AB4539">
        <v>40</v>
      </c>
      <c r="AC4539">
        <v>164.98320000000001</v>
      </c>
      <c r="AD4539">
        <v>0.61455799999999905</v>
      </c>
      <c r="AE4539">
        <v>5.4744999999999999</v>
      </c>
      <c r="AF4539">
        <v>-5.6126978244209704</v>
      </c>
      <c r="AG4539">
        <v>0.61455799999999905</v>
      </c>
      <c r="AH4539">
        <v>164.976267106074</v>
      </c>
      <c r="AI4539">
        <v>89.786690184999003</v>
      </c>
      <c r="AJ4539">
        <v>91.948522153263795</v>
      </c>
      <c r="AK4539">
        <v>165.072858964332</v>
      </c>
      <c r="AL4539">
        <v>79.830895859887306</v>
      </c>
      <c r="AM4539">
        <v>93.797493209252494</v>
      </c>
      <c r="AN4539">
        <v>0.99999998644973398</v>
      </c>
    </row>
    <row r="4540" spans="1:40" x14ac:dyDescent="0.25">
      <c r="A4540" t="str">
        <f>"20190304154844590"</f>
        <v>20190304154844590</v>
      </c>
      <c r="B4540" t="str">
        <f>"1551685724581580"</f>
        <v>1551685724581580</v>
      </c>
      <c r="C4540" t="s">
        <v>40</v>
      </c>
      <c r="D4540">
        <v>4.3630879999999896</v>
      </c>
      <c r="E4540">
        <v>0.50088350000000004</v>
      </c>
      <c r="F4540" t="s">
        <v>45</v>
      </c>
      <c r="G4540">
        <v>-149.42519999999999</v>
      </c>
      <c r="H4540">
        <v>-0.05</v>
      </c>
      <c r="I4540">
        <v>221.39400000000001</v>
      </c>
      <c r="J4540">
        <v>-271.976</v>
      </c>
      <c r="K4540">
        <v>1.1102989999999999</v>
      </c>
      <c r="L4540">
        <v>213.87610000000001</v>
      </c>
      <c r="M4540">
        <v>0.99992800000000004</v>
      </c>
      <c r="N4540">
        <v>-1.1984450000000001E-2</v>
      </c>
      <c r="O4540">
        <v>-6.8632459999999997E-4</v>
      </c>
      <c r="P4540">
        <v>0.98411599999999999</v>
      </c>
      <c r="Q4540">
        <v>0.16546859999999999</v>
      </c>
      <c r="R4540">
        <v>6.4311359999999998E-2</v>
      </c>
      <c r="S4540">
        <v>3.0407099999999998</v>
      </c>
      <c r="T4540">
        <v>-2.8694150000000002E-2</v>
      </c>
      <c r="U4540">
        <v>0.1859131</v>
      </c>
      <c r="V4540">
        <v>-6.5050239999999995E-2</v>
      </c>
      <c r="W4540">
        <v>0.177227</v>
      </c>
      <c r="X4540">
        <v>0.9820179</v>
      </c>
      <c r="Y4540">
        <v>-6.1706219999999999E-2</v>
      </c>
      <c r="Z4540">
        <v>6.5925929999999895E-4</v>
      </c>
      <c r="AA4540">
        <v>0.99809409999999998</v>
      </c>
      <c r="AB4540">
        <v>40</v>
      </c>
      <c r="AC4540">
        <v>122.5508</v>
      </c>
      <c r="AD4540">
        <v>-1.160299</v>
      </c>
      <c r="AE4540">
        <v>7.5178999999999903</v>
      </c>
      <c r="AF4540">
        <v>-7.6013350564563398</v>
      </c>
      <c r="AG4540">
        <v>-1.160299</v>
      </c>
      <c r="AH4540">
        <v>122.53466807202101</v>
      </c>
      <c r="AI4540">
        <v>90.541485225532398</v>
      </c>
      <c r="AJ4540">
        <v>93.549746725559501</v>
      </c>
      <c r="AK4540">
        <v>122.77569575421001</v>
      </c>
      <c r="AL4540">
        <v>79.791718636309994</v>
      </c>
      <c r="AM4540">
        <v>93.789815949675301</v>
      </c>
      <c r="AN4540">
        <v>1.0000000495867301</v>
      </c>
    </row>
    <row r="4541" spans="1:40" x14ac:dyDescent="0.25">
      <c r="A4541" t="str">
        <f>"20190304154844612"</f>
        <v>20190304154844612</v>
      </c>
      <c r="B4541" t="str">
        <f>"1551685724601098"</f>
        <v>1551685724601098</v>
      </c>
      <c r="C4541" t="s">
        <v>40</v>
      </c>
      <c r="D4541">
        <v>4.3476239999999997</v>
      </c>
      <c r="E4541">
        <v>0.50125940000000002</v>
      </c>
      <c r="F4541" t="s">
        <v>45</v>
      </c>
      <c r="G4541">
        <v>-154.5856</v>
      </c>
      <c r="H4541">
        <v>-0.05</v>
      </c>
      <c r="I4541">
        <v>220.51070000000001</v>
      </c>
      <c r="J4541">
        <v>-271.58690000000001</v>
      </c>
      <c r="K4541">
        <v>1.1103000000000001</v>
      </c>
      <c r="L4541">
        <v>213.876</v>
      </c>
      <c r="M4541">
        <v>0.99992800000000004</v>
      </c>
      <c r="N4541">
        <v>-1.198537E-2</v>
      </c>
      <c r="O4541">
        <v>-5.4030349999999996E-4</v>
      </c>
      <c r="P4541">
        <v>0.98419500000000004</v>
      </c>
      <c r="Q4541">
        <v>0.16489500000000001</v>
      </c>
      <c r="R4541">
        <v>6.4575229999999997E-2</v>
      </c>
      <c r="S4541">
        <v>3.0422060000000002</v>
      </c>
      <c r="T4541">
        <v>-3.0069470000000001E-2</v>
      </c>
      <c r="U4541">
        <v>0.17193599999999901</v>
      </c>
      <c r="V4541">
        <v>-6.5170370000000005E-2</v>
      </c>
      <c r="W4541">
        <v>0.1766558</v>
      </c>
      <c r="X4541">
        <v>0.98211280000000001</v>
      </c>
      <c r="Y4541">
        <v>-5.6960169999999997E-2</v>
      </c>
      <c r="Z4541">
        <v>6.2178120000000003E-4</v>
      </c>
      <c r="AA4541">
        <v>0.99837629999999999</v>
      </c>
      <c r="AB4541">
        <v>40</v>
      </c>
      <c r="AC4541">
        <v>117.0013</v>
      </c>
      <c r="AD4541">
        <v>-1.1603000000000001</v>
      </c>
      <c r="AE4541">
        <v>6.6347000000000298</v>
      </c>
      <c r="AF4541">
        <v>-6.6972632443088402</v>
      </c>
      <c r="AG4541">
        <v>-1.1603000000000001</v>
      </c>
      <c r="AH4541">
        <v>116.986229593582</v>
      </c>
      <c r="AI4541">
        <v>90.567327034255598</v>
      </c>
      <c r="AJ4541">
        <v>93.276509887467697</v>
      </c>
      <c r="AK4541">
        <v>117.18352079356499</v>
      </c>
      <c r="AL4541">
        <v>79.824970148893996</v>
      </c>
      <c r="AM4541">
        <v>93.796428445724899</v>
      </c>
      <c r="AN4541">
        <v>1.0000000003617</v>
      </c>
    </row>
    <row r="4542" spans="1:40" x14ac:dyDescent="0.25">
      <c r="A4542" t="str">
        <f>"20190304154844635"</f>
        <v>20190304154844635</v>
      </c>
      <c r="B4542" t="str">
        <f>"1551685724631355"</f>
        <v>1551685724631355</v>
      </c>
      <c r="C4542" t="s">
        <v>40</v>
      </c>
      <c r="D4542">
        <v>4.386603</v>
      </c>
      <c r="E4542">
        <v>0.50213229999999998</v>
      </c>
      <c r="F4542" t="s">
        <v>54</v>
      </c>
      <c r="G4542">
        <v>-177.27889999999999</v>
      </c>
      <c r="H4542">
        <v>7.9980960000000004E-2</v>
      </c>
      <c r="I4542">
        <v>219.14429999999999</v>
      </c>
      <c r="J4542">
        <v>-271.18259999999998</v>
      </c>
      <c r="K4542">
        <v>1.1103000000000001</v>
      </c>
      <c r="L4542">
        <v>213.8759</v>
      </c>
      <c r="M4542">
        <v>0.99992820000000004</v>
      </c>
      <c r="N4542">
        <v>-1.198631E-2</v>
      </c>
      <c r="O4542">
        <v>-3.886788E-4</v>
      </c>
      <c r="P4542">
        <v>0.98414769999999896</v>
      </c>
      <c r="Q4542">
        <v>0.16496810000000001</v>
      </c>
      <c r="R4542">
        <v>6.5108739999999998E-2</v>
      </c>
      <c r="S4542">
        <v>3.0426030000000002</v>
      </c>
      <c r="T4542">
        <v>-3.3240560000000002E-2</v>
      </c>
      <c r="U4542">
        <v>0.1699677</v>
      </c>
      <c r="V4542">
        <v>-6.5554429999999997E-2</v>
      </c>
      <c r="W4542">
        <v>0.176729</v>
      </c>
      <c r="X4542">
        <v>0.98207409999999995</v>
      </c>
      <c r="Y4542">
        <v>-5.6156709999999999E-2</v>
      </c>
      <c r="Z4542">
        <v>6.4294769999999996E-4</v>
      </c>
      <c r="AA4542">
        <v>0.99842180000000003</v>
      </c>
      <c r="AB4542">
        <v>40</v>
      </c>
      <c r="AC4542">
        <v>93.903700000000001</v>
      </c>
      <c r="AD4542">
        <v>-1.03031904</v>
      </c>
      <c r="AE4542">
        <v>5.2683999999999802</v>
      </c>
      <c r="AF4542">
        <v>-5.3042640389709197</v>
      </c>
      <c r="AG4542">
        <v>-1.03031904</v>
      </c>
      <c r="AH4542">
        <v>93.890377370282593</v>
      </c>
      <c r="AI4542">
        <v>90.627717091892407</v>
      </c>
      <c r="AJ4542">
        <v>93.233443592178801</v>
      </c>
      <c r="AK4542">
        <v>94.045732157570001</v>
      </c>
      <c r="AL4542">
        <v>79.820709362408294</v>
      </c>
      <c r="AM4542">
        <v>93.818885472838701</v>
      </c>
      <c r="AN4542">
        <v>1.0000000303122101</v>
      </c>
    </row>
    <row r="4543" spans="1:40" x14ac:dyDescent="0.25">
      <c r="A4543" t="str">
        <f>"20190304154844657"</f>
        <v>20190304154844657</v>
      </c>
      <c r="B4543" t="str">
        <f>"1551685724650874"</f>
        <v>1551685724650874</v>
      </c>
      <c r="C4543" t="s">
        <v>40</v>
      </c>
      <c r="D4543">
        <v>4.3408720000000001</v>
      </c>
      <c r="E4543">
        <v>0.50331669999999995</v>
      </c>
      <c r="F4543" t="s">
        <v>71</v>
      </c>
      <c r="G4543">
        <v>-157.8382</v>
      </c>
      <c r="H4543">
        <v>4.5169830000000001E-2</v>
      </c>
      <c r="I4543">
        <v>219.99469999999999</v>
      </c>
      <c r="J4543">
        <v>-270.77249999999998</v>
      </c>
      <c r="K4543">
        <v>1.110301</v>
      </c>
      <c r="L4543">
        <v>213.8759</v>
      </c>
      <c r="M4543">
        <v>0.99992820000000004</v>
      </c>
      <c r="N4543">
        <v>-1.198753E-2</v>
      </c>
      <c r="O4543">
        <v>-2.3455460000000001E-4</v>
      </c>
      <c r="P4543">
        <v>0.98404060000000004</v>
      </c>
      <c r="Q4543">
        <v>0.16527269999999999</v>
      </c>
      <c r="R4543">
        <v>6.5949190000000005E-2</v>
      </c>
      <c r="S4543">
        <v>3.0422359999999999</v>
      </c>
      <c r="T4543">
        <v>-2.858722E-2</v>
      </c>
      <c r="U4543">
        <v>0.1642303</v>
      </c>
      <c r="V4543">
        <v>-6.6243339999999998E-2</v>
      </c>
      <c r="W4543">
        <v>0.1770332</v>
      </c>
      <c r="X4543">
        <v>0.98197310000000004</v>
      </c>
      <c r="Y4543">
        <v>-5.413374E-2</v>
      </c>
      <c r="Z4543">
        <v>5.7827219999999997E-4</v>
      </c>
      <c r="AA4543">
        <v>0.99853349999999996</v>
      </c>
      <c r="AB4543">
        <v>40</v>
      </c>
      <c r="AC4543">
        <v>112.934299999999</v>
      </c>
      <c r="AD4543">
        <v>-1.0651311699999999</v>
      </c>
      <c r="AE4543">
        <v>6.1187999999999896</v>
      </c>
      <c r="AF4543">
        <v>-6.1447460064976296</v>
      </c>
      <c r="AG4543">
        <v>-1.0651311699999999</v>
      </c>
      <c r="AH4543">
        <v>112.922846313107</v>
      </c>
      <c r="AI4543">
        <v>90.539621242256601</v>
      </c>
      <c r="AJ4543">
        <v>93.114703039356897</v>
      </c>
      <c r="AK4543">
        <v>113.094923083873</v>
      </c>
      <c r="AL4543">
        <v>79.803000980530896</v>
      </c>
      <c r="AM4543">
        <v>93.859293131170006</v>
      </c>
      <c r="AN4543">
        <v>1.0000000515601</v>
      </c>
    </row>
    <row r="4544" spans="1:40" x14ac:dyDescent="0.25">
      <c r="A4544" t="str">
        <f>"20190304154844679"</f>
        <v>20190304154844679</v>
      </c>
      <c r="B4544" t="str">
        <f>"1551685724671002"</f>
        <v>1551685724671002</v>
      </c>
      <c r="C4544" t="s">
        <v>40</v>
      </c>
      <c r="D4544">
        <v>4.384595</v>
      </c>
      <c r="E4544">
        <v>0.50427159999999904</v>
      </c>
      <c r="F4544" t="s">
        <v>71</v>
      </c>
      <c r="G4544">
        <v>-157.8382</v>
      </c>
      <c r="H4544">
        <v>0.29031180000000001</v>
      </c>
      <c r="I4544">
        <v>219.7389</v>
      </c>
      <c r="J4544">
        <v>-270.3698</v>
      </c>
      <c r="K4544">
        <v>1.1103019999999999</v>
      </c>
      <c r="L4544">
        <v>213.876</v>
      </c>
      <c r="M4544">
        <v>0.99992820000000004</v>
      </c>
      <c r="N4544">
        <v>-1.1988489999999999E-2</v>
      </c>
      <c r="O4544" s="1">
        <v>-8.3288150000000003E-5</v>
      </c>
      <c r="P4544">
        <v>0.98396459999999997</v>
      </c>
      <c r="Q4544">
        <v>0.16542379999999901</v>
      </c>
      <c r="R4544">
        <v>6.670044E-2</v>
      </c>
      <c r="S4544">
        <v>3.041779</v>
      </c>
      <c r="T4544">
        <v>-2.2084119999999999E-2</v>
      </c>
      <c r="U4544">
        <v>0.1579132</v>
      </c>
      <c r="V4544">
        <v>-6.6845979999999999E-2</v>
      </c>
      <c r="W4544">
        <v>0.17718429999999999</v>
      </c>
      <c r="X4544">
        <v>0.98190500000000003</v>
      </c>
      <c r="Y4544">
        <v>-5.1924499999999998E-2</v>
      </c>
      <c r="Z4544">
        <v>4.994496E-4</v>
      </c>
      <c r="AA4544">
        <v>0.99865090000000001</v>
      </c>
      <c r="AB4544">
        <v>40</v>
      </c>
      <c r="AC4544">
        <v>112.5316</v>
      </c>
      <c r="AD4544">
        <v>-0.8199902</v>
      </c>
      <c r="AE4544">
        <v>5.8629000000000202</v>
      </c>
      <c r="AF4544">
        <v>-5.8719622630250701</v>
      </c>
      <c r="AG4544">
        <v>-0.8199902</v>
      </c>
      <c r="AH4544">
        <v>112.525152713081</v>
      </c>
      <c r="AI4544">
        <v>90.416949542838296</v>
      </c>
      <c r="AJ4544">
        <v>92.987187815836606</v>
      </c>
      <c r="AK4544">
        <v>112.681242085134</v>
      </c>
      <c r="AL4544">
        <v>79.794204461648803</v>
      </c>
      <c r="AM4544">
        <v>93.894564251027205</v>
      </c>
      <c r="AN4544">
        <v>1.0000000451168201</v>
      </c>
    </row>
    <row r="4545" spans="1:40" x14ac:dyDescent="0.25">
      <c r="A4545" t="str">
        <f>"20190304154844701"</f>
        <v>20190304154844701</v>
      </c>
      <c r="B4545" t="str">
        <f>"1551685724691497"</f>
        <v>1551685724691497</v>
      </c>
      <c r="C4545" t="s">
        <v>40</v>
      </c>
      <c r="D4545">
        <v>4.4042050000000001</v>
      </c>
      <c r="E4545">
        <v>0.50452619999999904</v>
      </c>
      <c r="F4545" t="s">
        <v>71</v>
      </c>
      <c r="G4545">
        <v>-157.8382</v>
      </c>
      <c r="H4545">
        <v>0.48914530000000001</v>
      </c>
      <c r="I4545">
        <v>219.53540000000001</v>
      </c>
      <c r="J4545">
        <v>-269.98450000000003</v>
      </c>
      <c r="K4545">
        <v>1.1102920000000001</v>
      </c>
      <c r="L4545">
        <v>213.87610000000001</v>
      </c>
      <c r="M4545">
        <v>0.99992820000000004</v>
      </c>
      <c r="N4545">
        <v>-1.198922E-2</v>
      </c>
      <c r="O4545" s="1">
        <v>6.1126979999999998E-5</v>
      </c>
      <c r="P4545">
        <v>0.98389490000000002</v>
      </c>
      <c r="Q4545">
        <v>0.16548399999999999</v>
      </c>
      <c r="R4545">
        <v>6.7571590000000001E-2</v>
      </c>
      <c r="S4545">
        <v>3.0413209999999999</v>
      </c>
      <c r="T4545">
        <v>-1.6786099999999901E-2</v>
      </c>
      <c r="U4545">
        <v>0.15295410000000001</v>
      </c>
      <c r="V4545">
        <v>-6.7574690000000007E-2</v>
      </c>
      <c r="W4545">
        <v>0.1772444</v>
      </c>
      <c r="X4545">
        <v>0.98184419999999994</v>
      </c>
      <c r="Y4545">
        <v>-5.0165040000000001E-2</v>
      </c>
      <c r="Z4545">
        <v>4.3967369999999998E-4</v>
      </c>
      <c r="AA4545">
        <v>0.99874090000000004</v>
      </c>
      <c r="AB4545">
        <v>40</v>
      </c>
      <c r="AC4545">
        <v>112.1463</v>
      </c>
      <c r="AD4545">
        <v>-0.62114670000000005</v>
      </c>
      <c r="AE4545">
        <v>5.6593</v>
      </c>
      <c r="AF4545">
        <v>-5.6522713760542898</v>
      </c>
      <c r="AG4545">
        <v>-0.62114670000000005</v>
      </c>
      <c r="AH4545">
        <v>112.143214228245</v>
      </c>
      <c r="AI4545">
        <v>90.316948314395304</v>
      </c>
      <c r="AJ4545">
        <v>92.885395055112298</v>
      </c>
      <c r="AK4545">
        <v>112.28728553301799</v>
      </c>
      <c r="AL4545">
        <v>79.790704878569599</v>
      </c>
      <c r="AM4545">
        <v>93.937130409533694</v>
      </c>
      <c r="AN4545">
        <v>0.99999997456679701</v>
      </c>
    </row>
    <row r="4546" spans="1:40" x14ac:dyDescent="0.25">
      <c r="A4546" t="str">
        <f>"20190304154844724"</f>
        <v>20190304154844724</v>
      </c>
      <c r="B4546" t="str">
        <f>"1551685724721753"</f>
        <v>1551685724721753</v>
      </c>
      <c r="C4546" t="s">
        <v>40</v>
      </c>
      <c r="D4546">
        <v>4.4374260000000003</v>
      </c>
      <c r="E4546">
        <v>0.48826049999999899</v>
      </c>
      <c r="F4546" t="s">
        <v>71</v>
      </c>
      <c r="G4546">
        <v>-157.8382</v>
      </c>
      <c r="H4546">
        <v>0.53114700000000004</v>
      </c>
      <c r="I4546">
        <v>219.53440000000001</v>
      </c>
      <c r="J4546">
        <v>-269.57130000000001</v>
      </c>
      <c r="K4546">
        <v>1.110298</v>
      </c>
      <c r="L4546">
        <v>213.87629999999999</v>
      </c>
      <c r="M4546">
        <v>0.99992809999999999</v>
      </c>
      <c r="N4546">
        <v>-1.1989909999999999E-2</v>
      </c>
      <c r="O4546">
        <v>2.1603219999999999E-4</v>
      </c>
      <c r="P4546">
        <v>0.98397179999999995</v>
      </c>
      <c r="Q4546">
        <v>0.16467519999999999</v>
      </c>
      <c r="R4546">
        <v>6.8420659999999994E-2</v>
      </c>
      <c r="S4546">
        <v>3.0411990000000002</v>
      </c>
      <c r="T4546">
        <v>-1.57037999999999E-2</v>
      </c>
      <c r="U4546">
        <v>0.15344240000000001</v>
      </c>
      <c r="V4546">
        <v>-6.8271529999999997E-2</v>
      </c>
      <c r="W4546">
        <v>0.17643710000000001</v>
      </c>
      <c r="X4546">
        <v>0.98194139999999996</v>
      </c>
      <c r="Y4546">
        <v>-5.0172479999999998E-2</v>
      </c>
      <c r="Z4546">
        <v>4.3191870000000002E-4</v>
      </c>
      <c r="AA4546">
        <v>0.99874050000000003</v>
      </c>
      <c r="AB4546">
        <v>40</v>
      </c>
      <c r="AC4546">
        <v>111.73309999999999</v>
      </c>
      <c r="AD4546">
        <v>-0.57915099999999997</v>
      </c>
      <c r="AE4546">
        <v>5.6581000000000099</v>
      </c>
      <c r="AF4546">
        <v>-5.6338092088079401</v>
      </c>
      <c r="AG4546">
        <v>-0.57915099999999997</v>
      </c>
      <c r="AH4546">
        <v>111.73132559950101</v>
      </c>
      <c r="AI4546">
        <v>90.296608931361206</v>
      </c>
      <c r="AJ4546">
        <v>92.886570455909705</v>
      </c>
      <c r="AK4546">
        <v>111.874770803358</v>
      </c>
      <c r="AL4546">
        <v>79.837700520570195</v>
      </c>
      <c r="AM4546">
        <v>93.977208539866695</v>
      </c>
      <c r="AN4546">
        <v>0.99999998254945499</v>
      </c>
    </row>
    <row r="4547" spans="1:40" x14ac:dyDescent="0.25">
      <c r="A4547" t="str">
        <f>"20190304154844747"</f>
        <v>20190304154844747</v>
      </c>
      <c r="B4547" t="str">
        <f>"1551685724741273"</f>
        <v>1551685724741273</v>
      </c>
      <c r="C4547" t="s">
        <v>40</v>
      </c>
      <c r="D4547">
        <v>4.4468170000000002</v>
      </c>
      <c r="E4547">
        <v>0.48724109999999998</v>
      </c>
      <c r="F4547" t="s">
        <v>60</v>
      </c>
      <c r="G4547">
        <v>-218.2491</v>
      </c>
      <c r="H4547" s="1">
        <v>2.6754499999999999E-6</v>
      </c>
      <c r="I4547">
        <v>218.6781</v>
      </c>
      <c r="J4547">
        <v>-269.16570000000002</v>
      </c>
      <c r="K4547">
        <v>1.1102989999999999</v>
      </c>
      <c r="L4547">
        <v>213.87649999999999</v>
      </c>
      <c r="M4547">
        <v>0.99992809999999999</v>
      </c>
      <c r="N4547">
        <v>-1.199062E-2</v>
      </c>
      <c r="O4547">
        <v>3.6825280000000001E-4</v>
      </c>
      <c r="P4547">
        <v>0.98396609999999995</v>
      </c>
      <c r="Q4547">
        <v>0.16443139999999901</v>
      </c>
      <c r="R4547">
        <v>6.9090310000000002E-2</v>
      </c>
      <c r="S4547">
        <v>3.0400700000000001</v>
      </c>
      <c r="T4547">
        <v>-6.5768359999999998E-2</v>
      </c>
      <c r="U4547">
        <v>0.284439099999999</v>
      </c>
      <c r="V4547">
        <v>-6.8791019999999994E-2</v>
      </c>
      <c r="W4547">
        <v>0.17619399999999999</v>
      </c>
      <c r="X4547">
        <v>0.98194879999999996</v>
      </c>
      <c r="Y4547">
        <v>-9.2756279999999997E-2</v>
      </c>
      <c r="Z4547">
        <v>1.554927E-3</v>
      </c>
      <c r="AA4547">
        <v>0.99568760000000001</v>
      </c>
      <c r="AB4547">
        <v>40</v>
      </c>
      <c r="AC4547">
        <v>50.916600000000003</v>
      </c>
      <c r="AD4547">
        <v>-1.1102963245499999</v>
      </c>
      <c r="AE4547">
        <v>4.8015999999999996</v>
      </c>
      <c r="AF4547">
        <v>-4.7805949672961203</v>
      </c>
      <c r="AG4547">
        <v>-1.1102963245499999</v>
      </c>
      <c r="AH4547">
        <v>50.894377449671701</v>
      </c>
      <c r="AI4547">
        <v>91.244273709792594</v>
      </c>
      <c r="AJ4547">
        <v>95.366144332524101</v>
      </c>
      <c r="AK4547">
        <v>51.130465499145402</v>
      </c>
      <c r="AL4547">
        <v>79.851850862879402</v>
      </c>
      <c r="AM4547">
        <v>94.007343484221195</v>
      </c>
      <c r="AN4547">
        <v>0.99999998794503997</v>
      </c>
    </row>
    <row r="4548" spans="1:40" x14ac:dyDescent="0.25">
      <c r="A4548" t="str">
        <f>"20190304154844769"</f>
        <v>20190304154844769</v>
      </c>
      <c r="B4548" t="str">
        <f>"1551685724761769"</f>
        <v>1551685724761769</v>
      </c>
      <c r="C4548" t="s">
        <v>40</v>
      </c>
      <c r="D4548">
        <v>4.4318770000000001</v>
      </c>
      <c r="E4548">
        <v>0.48714099999999999</v>
      </c>
      <c r="F4548" t="s">
        <v>60</v>
      </c>
      <c r="G4548">
        <v>-221.56270000000001</v>
      </c>
      <c r="H4548" s="1">
        <v>-8.7423249999999998E-7</v>
      </c>
      <c r="I4548">
        <v>218.483</v>
      </c>
      <c r="J4548">
        <v>-268.76490000000001</v>
      </c>
      <c r="K4548">
        <v>1.1103080000000001</v>
      </c>
      <c r="L4548">
        <v>213.8768</v>
      </c>
      <c r="M4548">
        <v>0.99992809999999999</v>
      </c>
      <c r="N4548">
        <v>-1.199136E-2</v>
      </c>
      <c r="O4548">
        <v>5.1856629999999905E-4</v>
      </c>
      <c r="P4548">
        <v>0.98385180000000005</v>
      </c>
      <c r="Q4548">
        <v>0.16459550000000001</v>
      </c>
      <c r="R4548">
        <v>7.0316130000000004E-2</v>
      </c>
      <c r="S4548">
        <v>3.0401310000000001</v>
      </c>
      <c r="T4548">
        <v>-7.0908429999999995E-2</v>
      </c>
      <c r="U4548">
        <v>0.29418949999999999</v>
      </c>
      <c r="V4548">
        <v>-6.9869120000000007E-2</v>
      </c>
      <c r="W4548">
        <v>0.17635689999999901</v>
      </c>
      <c r="X4548">
        <v>0.98184349999999998</v>
      </c>
      <c r="Y4548">
        <v>-9.5763409999999993E-2</v>
      </c>
      <c r="Z4548">
        <v>1.6838279999999901E-3</v>
      </c>
      <c r="AA4548">
        <v>0.99540269999999997</v>
      </c>
      <c r="AB4548">
        <v>40</v>
      </c>
      <c r="AC4548">
        <v>47.202199999999998</v>
      </c>
      <c r="AD4548">
        <v>-1.1103088742325</v>
      </c>
      <c r="AE4548">
        <v>4.6062000000000003</v>
      </c>
      <c r="AF4548">
        <v>-4.5792103621522697</v>
      </c>
      <c r="AG4548">
        <v>-1.1103088742325</v>
      </c>
      <c r="AH4548">
        <v>47.178724544826402</v>
      </c>
      <c r="AI4548">
        <v>91.341852274724602</v>
      </c>
      <c r="AJ4548">
        <v>95.543815436555903</v>
      </c>
      <c r="AK4548">
        <v>47.413436945803099</v>
      </c>
      <c r="AL4548">
        <v>79.842369582237595</v>
      </c>
      <c r="AM4548">
        <v>94.070372579476597</v>
      </c>
      <c r="AN4548">
        <v>1.0000000542997101</v>
      </c>
    </row>
    <row r="4549" spans="1:40" x14ac:dyDescent="0.25">
      <c r="A4549" t="str">
        <f>"20190304154844791"</f>
        <v>20190304154844791</v>
      </c>
      <c r="B4549" t="str">
        <f>"1551685724781290"</f>
        <v>1551685724781290</v>
      </c>
      <c r="C4549" t="s">
        <v>40</v>
      </c>
      <c r="D4549">
        <v>4.4402299999999997</v>
      </c>
      <c r="E4549">
        <v>0.48745579999999999</v>
      </c>
      <c r="F4549" t="s">
        <v>60</v>
      </c>
      <c r="G4549">
        <v>-219.09460000000001</v>
      </c>
      <c r="H4549" s="1">
        <v>3.1216939999999999E-6</v>
      </c>
      <c r="I4549">
        <v>218.76169999999999</v>
      </c>
      <c r="J4549">
        <v>-268.37520000000001</v>
      </c>
      <c r="K4549">
        <v>1.110311</v>
      </c>
      <c r="L4549">
        <v>213.87710000000001</v>
      </c>
      <c r="M4549">
        <v>0.99992789999999998</v>
      </c>
      <c r="N4549">
        <v>-1.1992310000000001E-2</v>
      </c>
      <c r="O4549">
        <v>6.6482580000000002E-4</v>
      </c>
      <c r="P4549">
        <v>0.98378319999999997</v>
      </c>
      <c r="Q4549">
        <v>0.16454759999999999</v>
      </c>
      <c r="R4549">
        <v>7.1376750000000003E-2</v>
      </c>
      <c r="S4549">
        <v>3.0392459999999999</v>
      </c>
      <c r="T4549">
        <v>-6.7937730000000002E-2</v>
      </c>
      <c r="U4549">
        <v>0.29890440000000001</v>
      </c>
      <c r="V4549">
        <v>-7.078595E-2</v>
      </c>
      <c r="W4549">
        <v>0.17630850000000001</v>
      </c>
      <c r="X4549">
        <v>0.98178650000000001</v>
      </c>
      <c r="Y4549">
        <v>-9.7177330000000006E-2</v>
      </c>
      <c r="Z4549">
        <v>1.660733E-3</v>
      </c>
      <c r="AA4549">
        <v>0.99526570000000003</v>
      </c>
      <c r="AB4549">
        <v>40</v>
      </c>
      <c r="AC4549">
        <v>49.2805999999999</v>
      </c>
      <c r="AD4549">
        <v>-1.1103078783059901</v>
      </c>
      <c r="AE4549">
        <v>4.8845999999999696</v>
      </c>
      <c r="AF4549">
        <v>-4.8493958711657399</v>
      </c>
      <c r="AG4549">
        <v>-1.1103078783059901</v>
      </c>
      <c r="AH4549">
        <v>49.259075345219998</v>
      </c>
      <c r="AI4549">
        <v>91.285027922719095</v>
      </c>
      <c r="AJ4549">
        <v>95.622466114725498</v>
      </c>
      <c r="AK4549">
        <v>49.5096548944341</v>
      </c>
      <c r="AL4549">
        <v>79.845186641746295</v>
      </c>
      <c r="AM4549">
        <v>94.123839957702899</v>
      </c>
      <c r="AN4549">
        <v>1.0000000347359499</v>
      </c>
    </row>
    <row r="4550" spans="1:40" x14ac:dyDescent="0.25">
      <c r="A4550" t="str">
        <f>"20190304154844814"</f>
        <v>20190304154844814</v>
      </c>
      <c r="B4550" t="str">
        <f>"1551685724811545"</f>
        <v>1551685724811545</v>
      </c>
      <c r="C4550" t="s">
        <v>40</v>
      </c>
      <c r="D4550">
        <v>4.4493980000000004</v>
      </c>
      <c r="E4550">
        <v>0.48758240000000003</v>
      </c>
      <c r="F4550" t="s">
        <v>60</v>
      </c>
      <c r="G4550">
        <v>-218.0772</v>
      </c>
      <c r="H4550" s="1">
        <v>2.576662E-6</v>
      </c>
      <c r="I4550">
        <v>218.8443</v>
      </c>
      <c r="J4550">
        <v>-267.9633</v>
      </c>
      <c r="K4550">
        <v>1.1103179999999999</v>
      </c>
      <c r="L4550">
        <v>213.8775</v>
      </c>
      <c r="M4550">
        <v>0.99992780000000003</v>
      </c>
      <c r="N4550">
        <v>-1.199331E-2</v>
      </c>
      <c r="O4550">
        <v>8.1954929999999895E-4</v>
      </c>
      <c r="P4550">
        <v>0.98355110000000001</v>
      </c>
      <c r="Q4550">
        <v>0.16532620000000001</v>
      </c>
      <c r="R4550">
        <v>7.2762859999999999E-2</v>
      </c>
      <c r="S4550">
        <v>3.03891</v>
      </c>
      <c r="T4550">
        <v>-6.7082639999999999E-2</v>
      </c>
      <c r="U4550">
        <v>0.30010989999999999</v>
      </c>
      <c r="V4550">
        <v>-7.2020520000000005E-2</v>
      </c>
      <c r="W4550">
        <v>0.17708479999999999</v>
      </c>
      <c r="X4550">
        <v>0.98155700000000001</v>
      </c>
      <c r="Y4550">
        <v>-9.7425680000000001E-2</v>
      </c>
      <c r="Z4550">
        <v>1.650112E-3</v>
      </c>
      <c r="AA4550">
        <v>0.9952415</v>
      </c>
      <c r="AB4550">
        <v>40</v>
      </c>
      <c r="AC4550">
        <v>49.886099999999999</v>
      </c>
      <c r="AD4550">
        <v>-1.1103154233379999</v>
      </c>
      <c r="AE4550">
        <v>4.9668000000000001</v>
      </c>
      <c r="AF4550">
        <v>-4.9234962403044804</v>
      </c>
      <c r="AG4550">
        <v>-1.1103154233379999</v>
      </c>
      <c r="AH4550">
        <v>49.865694344589897</v>
      </c>
      <c r="AI4550">
        <v>91.269373522113398</v>
      </c>
      <c r="AJ4550">
        <v>95.638830502358502</v>
      </c>
      <c r="AK4550">
        <v>50.1204657603624</v>
      </c>
      <c r="AL4550">
        <v>79.799997174826302</v>
      </c>
      <c r="AM4550">
        <v>94.196486219546898</v>
      </c>
      <c r="AN4550">
        <v>1.0000000629705501</v>
      </c>
    </row>
    <row r="4551" spans="1:40" x14ac:dyDescent="0.25">
      <c r="A4551" t="str">
        <f>"20190304154844836"</f>
        <v>20190304154844836</v>
      </c>
      <c r="B4551" t="str">
        <f>"1551685724831065"</f>
        <v>1551685724831065</v>
      </c>
      <c r="C4551" t="s">
        <v>40</v>
      </c>
      <c r="D4551">
        <v>4.472404</v>
      </c>
      <c r="E4551">
        <v>0.48761480000000001</v>
      </c>
      <c r="F4551" t="s">
        <v>60</v>
      </c>
      <c r="G4551">
        <v>-215.49600000000001</v>
      </c>
      <c r="H4551" s="1">
        <v>1.1915810000000001E-6</v>
      </c>
      <c r="I4551">
        <v>219.10820000000001</v>
      </c>
      <c r="J4551">
        <v>-267.56459999999998</v>
      </c>
      <c r="K4551">
        <v>1.110325</v>
      </c>
      <c r="L4551">
        <v>213.87799999999999</v>
      </c>
      <c r="M4551">
        <v>0.99992769999999997</v>
      </c>
      <c r="N4551">
        <v>-1.199416E-2</v>
      </c>
      <c r="O4551">
        <v>9.6897040000000002E-4</v>
      </c>
      <c r="P4551">
        <v>0.98330039999999996</v>
      </c>
      <c r="Q4551">
        <v>0.1663115</v>
      </c>
      <c r="R4551">
        <v>7.3899590000000001E-2</v>
      </c>
      <c r="S4551">
        <v>3.0385740000000001</v>
      </c>
      <c r="T4551">
        <v>-6.4302559999999995E-2</v>
      </c>
      <c r="U4551">
        <v>0.3029327</v>
      </c>
      <c r="V4551">
        <v>-7.3010790000000006E-2</v>
      </c>
      <c r="W4551">
        <v>0.178067899999999</v>
      </c>
      <c r="X4551">
        <v>0.98130589999999995</v>
      </c>
      <c r="Y4551">
        <v>-9.8205410000000007E-2</v>
      </c>
      <c r="Z4551">
        <v>1.6180980000000001E-3</v>
      </c>
      <c r="AA4551">
        <v>0.99516490000000002</v>
      </c>
      <c r="AB4551">
        <v>40</v>
      </c>
      <c r="AC4551">
        <v>52.068600000000004</v>
      </c>
      <c r="AD4551">
        <v>-1.1103238084189999</v>
      </c>
      <c r="AE4551">
        <v>5.2302000000000204</v>
      </c>
      <c r="AF4551">
        <v>-5.1774102143299201</v>
      </c>
      <c r="AG4551">
        <v>-1.1103238084189999</v>
      </c>
      <c r="AH4551">
        <v>52.050211791412899</v>
      </c>
      <c r="AI4551">
        <v>91.216036556959807</v>
      </c>
      <c r="AJ4551">
        <v>95.680498916175694</v>
      </c>
      <c r="AK4551">
        <v>52.318858387945802</v>
      </c>
      <c r="AL4551">
        <v>79.742759486943598</v>
      </c>
      <c r="AM4551">
        <v>94.255061334718405</v>
      </c>
      <c r="AN4551">
        <v>1.00000001092082</v>
      </c>
    </row>
    <row r="4552" spans="1:40" x14ac:dyDescent="0.25">
      <c r="A4552" t="str">
        <f>"20190304154844858"</f>
        <v>20190304154844858</v>
      </c>
      <c r="B4552" t="str">
        <f>"1551685724851561"</f>
        <v>1551685724851561</v>
      </c>
      <c r="C4552" t="s">
        <v>40</v>
      </c>
      <c r="D4552">
        <v>4.4500479999999998</v>
      </c>
      <c r="E4552">
        <v>0.4876163</v>
      </c>
      <c r="F4552" t="s">
        <v>60</v>
      </c>
      <c r="G4552">
        <v>-212.28290000000001</v>
      </c>
      <c r="H4552" s="1">
        <v>-5.334588E-7</v>
      </c>
      <c r="I4552">
        <v>219.4554</v>
      </c>
      <c r="J4552">
        <v>-267.1635</v>
      </c>
      <c r="K4552">
        <v>1.11032999999999</v>
      </c>
      <c r="L4552">
        <v>213.8785</v>
      </c>
      <c r="M4552">
        <v>0.99992749999999997</v>
      </c>
      <c r="N4552">
        <v>-1.199501E-2</v>
      </c>
      <c r="O4552">
        <v>1.1196400000000001E-3</v>
      </c>
      <c r="P4552">
        <v>0.98315920000000001</v>
      </c>
      <c r="Q4552">
        <v>0.16656679999999999</v>
      </c>
      <c r="R4552">
        <v>7.518975E-2</v>
      </c>
      <c r="S4552">
        <v>3.0382389999999999</v>
      </c>
      <c r="T4552">
        <v>-6.1022640000000003E-2</v>
      </c>
      <c r="U4552">
        <v>0.30653380000000002</v>
      </c>
      <c r="V4552">
        <v>-7.4153220000000006E-2</v>
      </c>
      <c r="W4552">
        <v>0.1783227</v>
      </c>
      <c r="X4552">
        <v>0.98117390000000004</v>
      </c>
      <c r="Y4552">
        <v>-9.9236480000000002E-2</v>
      </c>
      <c r="Z4552">
        <v>1.5817159999999999E-3</v>
      </c>
      <c r="AA4552">
        <v>0.99506260000000002</v>
      </c>
      <c r="AB4552">
        <v>40</v>
      </c>
      <c r="AC4552">
        <v>54.880599999999902</v>
      </c>
      <c r="AD4552">
        <v>-1.1103305334587901</v>
      </c>
      <c r="AE4552">
        <v>5.5768999999999904</v>
      </c>
      <c r="AF4552">
        <v>-5.51321194931778</v>
      </c>
      <c r="AG4552">
        <v>-1.1103305334587901</v>
      </c>
      <c r="AH4552">
        <v>54.864582325822497</v>
      </c>
      <c r="AI4552">
        <v>91.153565996020006</v>
      </c>
      <c r="AJ4552">
        <v>95.738254419527905</v>
      </c>
      <c r="AK4552">
        <v>55.152069169511599</v>
      </c>
      <c r="AL4552">
        <v>79.727922473536395</v>
      </c>
      <c r="AM4552">
        <v>94.321970923245502</v>
      </c>
      <c r="AN4552">
        <v>0.99999995370643302</v>
      </c>
    </row>
    <row r="4553" spans="1:40" x14ac:dyDescent="0.25">
      <c r="A4553" t="str">
        <f>"20190304154844874"</f>
        <v>20190304154844874</v>
      </c>
      <c r="B4553" t="str">
        <f>"1551685724871082"</f>
        <v>1551685724871082</v>
      </c>
      <c r="C4553" t="s">
        <v>40</v>
      </c>
      <c r="D4553">
        <v>4.4678380000000004</v>
      </c>
      <c r="E4553">
        <v>0.48774980000000001</v>
      </c>
      <c r="F4553" t="s">
        <v>60</v>
      </c>
      <c r="G4553">
        <v>-212.34530000000001</v>
      </c>
      <c r="H4553" s="1">
        <v>-5.0201369999999996E-7</v>
      </c>
      <c r="I4553">
        <v>219.49529999999999</v>
      </c>
      <c r="J4553">
        <v>-266.8768</v>
      </c>
      <c r="K4553">
        <v>1.110331</v>
      </c>
      <c r="L4553">
        <v>213.87889999999999</v>
      </c>
      <c r="M4553">
        <v>0.99992740000000002</v>
      </c>
      <c r="N4553">
        <v>-1.199565E-2</v>
      </c>
      <c r="O4553">
        <v>1.227101E-3</v>
      </c>
      <c r="P4553">
        <v>0.98311000000000004</v>
      </c>
      <c r="Q4553">
        <v>0.1666289</v>
      </c>
      <c r="R4553">
        <v>7.5693529999999995E-2</v>
      </c>
      <c r="S4553">
        <v>3.0379939999999999</v>
      </c>
      <c r="T4553">
        <v>-6.1533930000000001E-2</v>
      </c>
      <c r="U4553">
        <v>0.31127929999999998</v>
      </c>
      <c r="V4553">
        <v>-7.4550980000000003E-2</v>
      </c>
      <c r="W4553">
        <v>0.17838409999999999</v>
      </c>
      <c r="X4553">
        <v>0.98113260000000002</v>
      </c>
      <c r="Y4553">
        <v>-0.100675</v>
      </c>
      <c r="Z4553">
        <v>1.612231E-3</v>
      </c>
      <c r="AA4553">
        <v>0.99491799999999997</v>
      </c>
      <c r="AB4553">
        <v>40</v>
      </c>
      <c r="AC4553">
        <v>54.531500000000001</v>
      </c>
      <c r="AD4553">
        <v>-1.1103315020136999</v>
      </c>
      <c r="AE4553">
        <v>5.6163999999999898</v>
      </c>
      <c r="AF4553">
        <v>-5.5471996747456904</v>
      </c>
      <c r="AG4553">
        <v>-1.1103315020136999</v>
      </c>
      <c r="AH4553">
        <v>54.515987208347902</v>
      </c>
      <c r="AI4553">
        <v>91.160794249831099</v>
      </c>
      <c r="AJ4553">
        <v>95.810056644599797</v>
      </c>
      <c r="AK4553">
        <v>54.808732165382303</v>
      </c>
      <c r="AL4553">
        <v>79.724347225139297</v>
      </c>
      <c r="AM4553">
        <v>94.345247753368099</v>
      </c>
      <c r="AN4553">
        <v>0.99999995726726398</v>
      </c>
    </row>
    <row r="4554" spans="1:40" x14ac:dyDescent="0.25">
      <c r="A4554" t="str">
        <f>"20190304154844887"</f>
        <v>20190304154844887</v>
      </c>
      <c r="B4554" t="str">
        <f>"1551685724881818"</f>
        <v>1551685724881818</v>
      </c>
      <c r="C4554" t="s">
        <v>40</v>
      </c>
      <c r="D4554">
        <v>4.4875299999999996</v>
      </c>
      <c r="E4554">
        <v>0.48785610000000001</v>
      </c>
      <c r="F4554" t="s">
        <v>60</v>
      </c>
      <c r="G4554">
        <v>-212.94820000000001</v>
      </c>
      <c r="H4554" s="1">
        <v>-1.7803429999999999E-7</v>
      </c>
      <c r="I4554">
        <v>219.42310000000001</v>
      </c>
      <c r="J4554">
        <v>-266.62869999999998</v>
      </c>
      <c r="K4554">
        <v>1.11032999999999</v>
      </c>
      <c r="L4554">
        <v>213.8793</v>
      </c>
      <c r="M4554">
        <v>0.99992729999999996</v>
      </c>
      <c r="N4554">
        <v>-1.199621E-2</v>
      </c>
      <c r="O4554">
        <v>1.3202559999999999E-3</v>
      </c>
      <c r="P4554">
        <v>0.9830392</v>
      </c>
      <c r="Q4554">
        <v>0.16681699999999999</v>
      </c>
      <c r="R4554">
        <v>7.6197940000000006E-2</v>
      </c>
      <c r="S4554">
        <v>3.0380549999999999</v>
      </c>
      <c r="T4554">
        <v>-6.2550190000000006E-2</v>
      </c>
      <c r="U4554">
        <v>0.3123322</v>
      </c>
      <c r="V4554">
        <v>-7.496382E-2</v>
      </c>
      <c r="W4554">
        <v>0.178571799999999</v>
      </c>
      <c r="X4554">
        <v>0.98106709999999997</v>
      </c>
      <c r="Y4554">
        <v>-0.1009205</v>
      </c>
      <c r="Z4554">
        <v>1.631815E-3</v>
      </c>
      <c r="AA4554">
        <v>0.99489309999999997</v>
      </c>
      <c r="AB4554">
        <v>40</v>
      </c>
      <c r="AC4554">
        <v>53.680499999999903</v>
      </c>
      <c r="AD4554">
        <v>-1.11033017803429</v>
      </c>
      <c r="AE4554">
        <v>5.5438000000000001</v>
      </c>
      <c r="AF4554">
        <v>-5.4706022860639196</v>
      </c>
      <c r="AG4554">
        <v>-1.11033017803429</v>
      </c>
      <c r="AH4554">
        <v>53.665055742601297</v>
      </c>
      <c r="AI4554">
        <v>91.179171521842406</v>
      </c>
      <c r="AJ4554">
        <v>95.820610885570304</v>
      </c>
      <c r="AK4554">
        <v>53.954596934209803</v>
      </c>
      <c r="AL4554">
        <v>79.713418366693503</v>
      </c>
      <c r="AM4554">
        <v>94.369508030710307</v>
      </c>
      <c r="AN4554">
        <v>1.00000005838331</v>
      </c>
    </row>
    <row r="4555" spans="1:40" x14ac:dyDescent="0.25">
      <c r="A4555" t="str">
        <f>"20190304154844903"</f>
        <v>20190304154844903</v>
      </c>
      <c r="B4555" t="str">
        <f>"1551685724891578"</f>
        <v>1551685724891578</v>
      </c>
      <c r="C4555" t="s">
        <v>40</v>
      </c>
      <c r="D4555">
        <v>4.4832450000000001</v>
      </c>
      <c r="E4555">
        <v>0.48795240000000001</v>
      </c>
      <c r="F4555" t="s">
        <v>60</v>
      </c>
      <c r="G4555">
        <v>-212.7474</v>
      </c>
      <c r="H4555" s="1">
        <v>-2.8533809999999998E-7</v>
      </c>
      <c r="I4555">
        <v>219.43360000000001</v>
      </c>
      <c r="J4555">
        <v>-266.35599999999999</v>
      </c>
      <c r="K4555">
        <v>1.1103320000000001</v>
      </c>
      <c r="L4555">
        <v>213.87970000000001</v>
      </c>
      <c r="M4555">
        <v>0.99992720000000002</v>
      </c>
      <c r="N4555">
        <v>-1.199683E-2</v>
      </c>
      <c r="O4555">
        <v>1.422532E-3</v>
      </c>
      <c r="P4555">
        <v>0.98298949999999996</v>
      </c>
      <c r="Q4555">
        <v>0.16675329999999999</v>
      </c>
      <c r="R4555">
        <v>7.6975870000000002E-2</v>
      </c>
      <c r="S4555">
        <v>3.0381469999999999</v>
      </c>
      <c r="T4555">
        <v>-6.2607049999999997E-2</v>
      </c>
      <c r="U4555">
        <v>0.31318659999999998</v>
      </c>
      <c r="V4555">
        <v>-7.5641600000000003E-2</v>
      </c>
      <c r="W4555">
        <v>0.178508</v>
      </c>
      <c r="X4555">
        <v>0.98102659999999997</v>
      </c>
      <c r="Y4555">
        <v>-0.1010925</v>
      </c>
      <c r="Z4555">
        <v>1.6346519999999999E-3</v>
      </c>
      <c r="AA4555">
        <v>0.99487570000000003</v>
      </c>
      <c r="AB4555">
        <v>40</v>
      </c>
      <c r="AC4555">
        <v>53.608600000000003</v>
      </c>
      <c r="AD4555">
        <v>-1.1103322853380999</v>
      </c>
      <c r="AE4555">
        <v>5.5538999999999898</v>
      </c>
      <c r="AF4555">
        <v>-5.4753051019402603</v>
      </c>
      <c r="AG4555">
        <v>-1.1103322853380999</v>
      </c>
      <c r="AH4555">
        <v>53.593700436664697</v>
      </c>
      <c r="AI4555">
        <v>91.180716638950798</v>
      </c>
      <c r="AJ4555">
        <v>95.833282985285905</v>
      </c>
      <c r="AK4555">
        <v>53.884102759887803</v>
      </c>
      <c r="AL4555">
        <v>79.717132650847205</v>
      </c>
      <c r="AM4555">
        <v>94.409040846595602</v>
      </c>
      <c r="AN4555">
        <v>0.99999997381105898</v>
      </c>
    </row>
    <row r="4556" spans="1:40" x14ac:dyDescent="0.25">
      <c r="A4556" t="str">
        <f>"20190304154844920"</f>
        <v>20190304154844920</v>
      </c>
      <c r="B4556" t="str">
        <f>"1551685724911098"</f>
        <v>1551685724911098</v>
      </c>
      <c r="C4556" t="s">
        <v>40</v>
      </c>
      <c r="D4556">
        <v>4.4836090000000004</v>
      </c>
      <c r="E4556">
        <v>0.4881762</v>
      </c>
      <c r="F4556" t="s">
        <v>60</v>
      </c>
      <c r="G4556">
        <v>-213.185</v>
      </c>
      <c r="H4556" s="1">
        <v>-5.1197840000000002E-8</v>
      </c>
      <c r="I4556">
        <v>219.40520000000001</v>
      </c>
      <c r="J4556">
        <v>-266.03969999999998</v>
      </c>
      <c r="K4556">
        <v>1.110333</v>
      </c>
      <c r="L4556">
        <v>213.88030000000001</v>
      </c>
      <c r="M4556">
        <v>0.99992689999999995</v>
      </c>
      <c r="N4556">
        <v>-1.1997560000000001E-2</v>
      </c>
      <c r="O4556">
        <v>1.5412570000000001E-3</v>
      </c>
      <c r="P4556">
        <v>0.98296280000000003</v>
      </c>
      <c r="Q4556">
        <v>0.1667129</v>
      </c>
      <c r="R4556">
        <v>7.7401579999999998E-2</v>
      </c>
      <c r="S4556">
        <v>3.0379640000000001</v>
      </c>
      <c r="T4556">
        <v>-6.343973E-2</v>
      </c>
      <c r="U4556">
        <v>0.31570429999999999</v>
      </c>
      <c r="V4556">
        <v>-7.5950909999999996E-2</v>
      </c>
      <c r="W4556">
        <v>0.17846809999999999</v>
      </c>
      <c r="X4556">
        <v>0.98101000000000005</v>
      </c>
      <c r="Y4556">
        <v>-0.1017952</v>
      </c>
      <c r="Z4556">
        <v>1.658652E-3</v>
      </c>
      <c r="AA4556">
        <v>0.99480400000000002</v>
      </c>
      <c r="AB4556">
        <v>40</v>
      </c>
      <c r="AC4556">
        <v>52.854699999999902</v>
      </c>
      <c r="AD4556">
        <v>-1.11033305119784</v>
      </c>
      <c r="AE4556">
        <v>5.5248999999999997</v>
      </c>
      <c r="AF4556">
        <v>-5.44104968978505</v>
      </c>
      <c r="AG4556">
        <v>-1.11033305119784</v>
      </c>
      <c r="AH4556">
        <v>52.840086534751997</v>
      </c>
      <c r="AI4556">
        <v>91.197453891766003</v>
      </c>
      <c r="AJ4556">
        <v>95.879140461771698</v>
      </c>
      <c r="AK4556">
        <v>53.131088885993798</v>
      </c>
      <c r="AL4556">
        <v>79.719456456177397</v>
      </c>
      <c r="AM4556">
        <v>94.427073172144702</v>
      </c>
      <c r="AN4556">
        <v>1.00000001177371</v>
      </c>
    </row>
    <row r="4557" spans="1:40" x14ac:dyDescent="0.25">
      <c r="A4557" t="str">
        <f>"20190304154844937"</f>
        <v>20190304154844937</v>
      </c>
      <c r="B4557" t="str">
        <f>"1551685724931594"</f>
        <v>1551685724931594</v>
      </c>
      <c r="C4557" t="s">
        <v>40</v>
      </c>
      <c r="D4557">
        <v>4.4791610000000004</v>
      </c>
      <c r="E4557">
        <v>0.48839969999999999</v>
      </c>
      <c r="F4557" t="s">
        <v>60</v>
      </c>
      <c r="G4557">
        <v>-213.7629</v>
      </c>
      <c r="H4557" s="1">
        <v>2.606357E-7</v>
      </c>
      <c r="I4557">
        <v>219.3058</v>
      </c>
      <c r="J4557">
        <v>-265.75259999999997</v>
      </c>
      <c r="K4557">
        <v>1.11032999999999</v>
      </c>
      <c r="L4557">
        <v>213.88079999999999</v>
      </c>
      <c r="M4557">
        <v>0.99992669999999995</v>
      </c>
      <c r="N4557">
        <v>-1.199824E-2</v>
      </c>
      <c r="O4557">
        <v>1.6487769999999999E-3</v>
      </c>
      <c r="P4557">
        <v>0.98305399999999998</v>
      </c>
      <c r="Q4557">
        <v>0.16617970000000001</v>
      </c>
      <c r="R4557">
        <v>7.7388899999999899E-2</v>
      </c>
      <c r="S4557">
        <v>3.038116</v>
      </c>
      <c r="T4557">
        <v>-6.4527989999999993E-2</v>
      </c>
      <c r="U4557">
        <v>0.31530760000000002</v>
      </c>
      <c r="V4557">
        <v>-7.5831540000000003E-2</v>
      </c>
      <c r="W4557">
        <v>0.17793699999999901</v>
      </c>
      <c r="X4557">
        <v>0.98111570000000003</v>
      </c>
      <c r="Y4557">
        <v>-0.1015537</v>
      </c>
      <c r="Z4557">
        <v>1.6712669999999999E-3</v>
      </c>
      <c r="AA4557">
        <v>0.99482859999999995</v>
      </c>
      <c r="AB4557">
        <v>40</v>
      </c>
      <c r="AC4557">
        <v>51.9896999999999</v>
      </c>
      <c r="AD4557">
        <v>-1.1103297393642999</v>
      </c>
      <c r="AE4557">
        <v>5.4250000000000096</v>
      </c>
      <c r="AF4557">
        <v>-5.3368590621174299</v>
      </c>
      <c r="AG4557">
        <v>-1.1103297393642999</v>
      </c>
      <c r="AH4557">
        <v>51.975123568180102</v>
      </c>
      <c r="AI4557">
        <v>91.217408212045896</v>
      </c>
      <c r="AJ4557">
        <v>95.862643039986907</v>
      </c>
      <c r="AK4557">
        <v>52.260198686061301</v>
      </c>
      <c r="AL4557">
        <v>79.750381188863699</v>
      </c>
      <c r="AM4557">
        <v>94.419668540934595</v>
      </c>
      <c r="AN4557">
        <v>1.00000000760713</v>
      </c>
    </row>
    <row r="4558" spans="1:40" x14ac:dyDescent="0.25">
      <c r="A4558" t="str">
        <f>"20190304154844959"</f>
        <v>20190304154844959</v>
      </c>
      <c r="B4558" t="str">
        <f>"1551685724951114"</f>
        <v>1551685724951114</v>
      </c>
      <c r="C4558" t="s">
        <v>40</v>
      </c>
      <c r="D4558">
        <v>4.4885669999999998</v>
      </c>
      <c r="E4558">
        <v>0.4886046</v>
      </c>
      <c r="F4558" t="s">
        <v>60</v>
      </c>
      <c r="G4558">
        <v>-215.19710000000001</v>
      </c>
      <c r="H4558" s="1">
        <v>1.0321090000000001E-6</v>
      </c>
      <c r="I4558">
        <v>219.11709999999999</v>
      </c>
      <c r="J4558">
        <v>-265.33940000000001</v>
      </c>
      <c r="K4558">
        <v>1.110325</v>
      </c>
      <c r="L4558">
        <v>213.88159999999999</v>
      </c>
      <c r="M4558">
        <v>0.99992639999999999</v>
      </c>
      <c r="N4558">
        <v>-1.19992E-2</v>
      </c>
      <c r="O4558">
        <v>1.803678E-3</v>
      </c>
      <c r="P4558">
        <v>0.98324160000000005</v>
      </c>
      <c r="Q4558">
        <v>0.16534689999999999</v>
      </c>
      <c r="R4558">
        <v>7.678828E-2</v>
      </c>
      <c r="S4558">
        <v>3.038208</v>
      </c>
      <c r="T4558">
        <v>-6.6726800000000003E-2</v>
      </c>
      <c r="U4558">
        <v>0.31468200000000002</v>
      </c>
      <c r="V4558">
        <v>-7.5078019999999995E-2</v>
      </c>
      <c r="W4558">
        <v>0.1771083</v>
      </c>
      <c r="X4558">
        <v>0.98132359999999996</v>
      </c>
      <c r="Y4558">
        <v>-0.101192</v>
      </c>
      <c r="Z4558">
        <v>1.6990690000000001E-3</v>
      </c>
      <c r="AA4558">
        <v>0.99486549999999996</v>
      </c>
      <c r="AB4558">
        <v>40</v>
      </c>
      <c r="AC4558">
        <v>50.142299999999999</v>
      </c>
      <c r="AD4558">
        <v>-1.110323967891</v>
      </c>
      <c r="AE4558">
        <v>5.2355</v>
      </c>
      <c r="AF4558">
        <v>-5.1425500422478398</v>
      </c>
      <c r="AG4558">
        <v>-1.110323967891</v>
      </c>
      <c r="AH4558">
        <v>50.127348251567703</v>
      </c>
      <c r="AI4558">
        <v>91.262274735597202</v>
      </c>
      <c r="AJ4558">
        <v>95.857465418118494</v>
      </c>
      <c r="AK4558">
        <v>50.402675355427803</v>
      </c>
      <c r="AL4558">
        <v>79.798628795387501</v>
      </c>
      <c r="AM4558">
        <v>94.374999307248899</v>
      </c>
      <c r="AN4558">
        <v>1.00000003346648</v>
      </c>
    </row>
    <row r="4559" spans="1:40" x14ac:dyDescent="0.25">
      <c r="A4559" t="str">
        <f>"20190304154844985"</f>
        <v>20190304154844985</v>
      </c>
      <c r="B4559" t="str">
        <f>"1551685724981370"</f>
        <v>1551685724981370</v>
      </c>
      <c r="C4559" t="s">
        <v>40</v>
      </c>
      <c r="D4559">
        <v>4.4985080000000002</v>
      </c>
      <c r="E4559">
        <v>0.48873939999999999</v>
      </c>
      <c r="F4559" t="s">
        <v>60</v>
      </c>
      <c r="G4559">
        <v>-217.13509999999999</v>
      </c>
      <c r="H4559" s="1">
        <v>2.075773E-6</v>
      </c>
      <c r="I4559">
        <v>218.8347</v>
      </c>
      <c r="J4559">
        <v>-264.88900000000001</v>
      </c>
      <c r="K4559">
        <v>1.110325</v>
      </c>
      <c r="L4559">
        <v>213.8826</v>
      </c>
      <c r="M4559">
        <v>0.99992599999999998</v>
      </c>
      <c r="N4559">
        <v>-1.2000240000000001E-2</v>
      </c>
      <c r="O4559">
        <v>1.9729410000000002E-3</v>
      </c>
      <c r="P4559">
        <v>0.98319319999999999</v>
      </c>
      <c r="Q4559">
        <v>0.1658838</v>
      </c>
      <c r="R4559">
        <v>7.6248270000000007E-2</v>
      </c>
      <c r="S4559">
        <v>3.038513</v>
      </c>
      <c r="T4559">
        <v>-6.9988129999999996E-2</v>
      </c>
      <c r="U4559">
        <v>0.31221009999999999</v>
      </c>
      <c r="V4559">
        <v>-7.4372540000000001E-2</v>
      </c>
      <c r="W4559">
        <v>0.17764559999999999</v>
      </c>
      <c r="X4559">
        <v>0.98128009999999999</v>
      </c>
      <c r="Y4559">
        <v>-0.1002098</v>
      </c>
      <c r="Z4559">
        <v>1.7322069999999999E-3</v>
      </c>
      <c r="AA4559">
        <v>0.99496479999999998</v>
      </c>
      <c r="AB4559">
        <v>40</v>
      </c>
      <c r="AC4559">
        <v>47.753900000000002</v>
      </c>
      <c r="AD4559">
        <v>-1.1103229242270001</v>
      </c>
      <c r="AE4559">
        <v>4.9520999999999997</v>
      </c>
      <c r="AF4559">
        <v>-4.8552710813495699</v>
      </c>
      <c r="AG4559">
        <v>-1.1103229242270001</v>
      </c>
      <c r="AH4559">
        <v>47.738045048759702</v>
      </c>
      <c r="AI4559">
        <v>91.325547013591304</v>
      </c>
      <c r="AJ4559">
        <v>95.807385771354006</v>
      </c>
      <c r="AK4559">
        <v>47.997160534211403</v>
      </c>
      <c r="AL4559">
        <v>79.767346723868002</v>
      </c>
      <c r="AM4559">
        <v>94.334237853538994</v>
      </c>
      <c r="AN4559">
        <v>0.99999993428070799</v>
      </c>
    </row>
    <row r="4560" spans="1:40" x14ac:dyDescent="0.25">
      <c r="A4560" t="str">
        <f>"20190304154845003"</f>
        <v>20190304154845003</v>
      </c>
      <c r="B4560" t="str">
        <f>"1551685724991130"</f>
        <v>1551685724991130</v>
      </c>
      <c r="C4560" t="s">
        <v>40</v>
      </c>
      <c r="D4560">
        <v>4.5210100000000004</v>
      </c>
      <c r="E4560">
        <v>0.48876009999999998</v>
      </c>
      <c r="F4560" t="s">
        <v>60</v>
      </c>
      <c r="G4560">
        <v>-216.05330000000001</v>
      </c>
      <c r="H4560" s="1">
        <v>1.498757E-6</v>
      </c>
      <c r="I4560">
        <v>218.86500000000001</v>
      </c>
      <c r="J4560">
        <v>-264.55549999999999</v>
      </c>
      <c r="K4560">
        <v>1.110325</v>
      </c>
      <c r="L4560">
        <v>213.88329999999999</v>
      </c>
      <c r="M4560">
        <v>0.99992579999999998</v>
      </c>
      <c r="N4560">
        <v>-1.2001039999999999E-2</v>
      </c>
      <c r="O4560">
        <v>2.0981020000000001E-3</v>
      </c>
      <c r="P4560">
        <v>0.98304950000000002</v>
      </c>
      <c r="Q4560">
        <v>0.16721169999999999</v>
      </c>
      <c r="R4560">
        <v>7.5192389999999998E-2</v>
      </c>
      <c r="S4560">
        <v>3.0389400000000002</v>
      </c>
      <c r="T4560">
        <v>-6.9092990000000007E-2</v>
      </c>
      <c r="U4560">
        <v>0.31004330000000002</v>
      </c>
      <c r="V4560">
        <v>-7.3194170000000003E-2</v>
      </c>
      <c r="W4560">
        <v>0.17897299999999999</v>
      </c>
      <c r="X4560">
        <v>0.98112759999999999</v>
      </c>
      <c r="Y4560">
        <v>-9.9370169999999994E-2</v>
      </c>
      <c r="Z4560">
        <v>1.702063E-3</v>
      </c>
      <c r="AA4560">
        <v>0.99504910000000002</v>
      </c>
      <c r="AB4560">
        <v>40</v>
      </c>
      <c r="AC4560">
        <v>48.502199999999903</v>
      </c>
      <c r="AD4560">
        <v>-1.1103235012429999</v>
      </c>
      <c r="AE4560">
        <v>4.9817000000000098</v>
      </c>
      <c r="AF4560">
        <v>-4.8773898101851998</v>
      </c>
      <c r="AG4560">
        <v>-1.1103235012429999</v>
      </c>
      <c r="AH4560">
        <v>48.487401337322403</v>
      </c>
      <c r="AI4560">
        <v>91.305214694779707</v>
      </c>
      <c r="AJ4560">
        <v>95.744110251432403</v>
      </c>
      <c r="AK4560">
        <v>48.744741645478904</v>
      </c>
      <c r="AL4560">
        <v>79.690054780702198</v>
      </c>
      <c r="AM4560">
        <v>94.266481646226197</v>
      </c>
      <c r="AN4560">
        <v>1.0000000443663699</v>
      </c>
    </row>
    <row r="4561" spans="1:40" x14ac:dyDescent="0.25">
      <c r="A4561" t="str">
        <f>"20190304154845026"</f>
        <v>20190304154845026</v>
      </c>
      <c r="B4561" t="str">
        <f>"1551685725021386"</f>
        <v>1551685725021386</v>
      </c>
      <c r="C4561" t="s">
        <v>40</v>
      </c>
      <c r="D4561">
        <v>4.5268389999999998</v>
      </c>
      <c r="E4561">
        <v>0.48877179999999998</v>
      </c>
      <c r="F4561" t="s">
        <v>60</v>
      </c>
      <c r="G4561">
        <v>-212.8734</v>
      </c>
      <c r="H4561" s="1">
        <v>-2.0399850000000001E-7</v>
      </c>
      <c r="I4561">
        <v>219.10720000000001</v>
      </c>
      <c r="J4561">
        <v>-264.15030000000002</v>
      </c>
      <c r="K4561">
        <v>1.11032999999999</v>
      </c>
      <c r="L4561">
        <v>213.8843</v>
      </c>
      <c r="M4561">
        <v>0.99992559999999997</v>
      </c>
      <c r="N4561">
        <v>-1.200205E-2</v>
      </c>
      <c r="O4561">
        <v>2.2497870000000001E-3</v>
      </c>
      <c r="P4561">
        <v>0.98300949999999998</v>
      </c>
      <c r="Q4561">
        <v>0.16808779999999901</v>
      </c>
      <c r="R4561">
        <v>7.3750309999999999E-2</v>
      </c>
      <c r="S4561">
        <v>3.0393370000000002</v>
      </c>
      <c r="T4561">
        <v>-6.5296409999999999E-2</v>
      </c>
      <c r="U4561">
        <v>0.30720520000000001</v>
      </c>
      <c r="V4561">
        <v>-7.1603009999999995E-2</v>
      </c>
      <c r="W4561">
        <v>0.17985019999999999</v>
      </c>
      <c r="X4561">
        <v>0.98108459999999997</v>
      </c>
      <c r="Y4561">
        <v>-9.829019E-2</v>
      </c>
      <c r="Z4561">
        <v>1.6232149999999999E-3</v>
      </c>
      <c r="AA4561">
        <v>0.9951565</v>
      </c>
      <c r="AB4561">
        <v>40</v>
      </c>
      <c r="AC4561">
        <v>51.276899999999998</v>
      </c>
      <c r="AD4561">
        <v>-1.1103302039984999</v>
      </c>
      <c r="AE4561">
        <v>5.2229000000000099</v>
      </c>
      <c r="AF4561">
        <v>-5.1051472683063004</v>
      </c>
      <c r="AG4561">
        <v>-1.1103302039984999</v>
      </c>
      <c r="AH4561">
        <v>51.264731330084402</v>
      </c>
      <c r="AI4561">
        <v>91.234656183652305</v>
      </c>
      <c r="AJ4561">
        <v>95.686993404695698</v>
      </c>
      <c r="AK4561">
        <v>51.530263342416099</v>
      </c>
      <c r="AL4561">
        <v>79.638965904195203</v>
      </c>
      <c r="AM4561">
        <v>94.174246805946893</v>
      </c>
      <c r="AN4561">
        <v>1.0000000389191199</v>
      </c>
    </row>
    <row r="4562" spans="1:40" x14ac:dyDescent="0.25">
      <c r="A4562" t="str">
        <f>"20190304154845042"</f>
        <v>20190304154845042</v>
      </c>
      <c r="B4562" t="str">
        <f>"1551685725031146"</f>
        <v>1551685725031146</v>
      </c>
      <c r="C4562" t="s">
        <v>40</v>
      </c>
      <c r="D4562">
        <v>4.5281039999999999</v>
      </c>
      <c r="E4562">
        <v>0.48877559999999898</v>
      </c>
      <c r="F4562" t="s">
        <v>60</v>
      </c>
      <c r="G4562">
        <v>-211.03630000000001</v>
      </c>
      <c r="H4562" s="1">
        <v>-1.184812E-6</v>
      </c>
      <c r="I4562">
        <v>219.18010000000001</v>
      </c>
      <c r="J4562">
        <v>-263.84359999999998</v>
      </c>
      <c r="K4562">
        <v>1.1103320000000001</v>
      </c>
      <c r="L4562">
        <v>213.88509999999999</v>
      </c>
      <c r="M4562">
        <v>0.99992530000000002</v>
      </c>
      <c r="N4562">
        <v>-1.2002809999999999E-2</v>
      </c>
      <c r="O4562">
        <v>2.3646380000000001E-3</v>
      </c>
      <c r="P4562">
        <v>0.98308770000000001</v>
      </c>
      <c r="Q4562">
        <v>0.16786860000000001</v>
      </c>
      <c r="R4562">
        <v>7.3204199999999997E-2</v>
      </c>
      <c r="S4562">
        <v>3.0399479999999999</v>
      </c>
      <c r="T4562">
        <v>-6.3549159999999993E-2</v>
      </c>
      <c r="U4562">
        <v>0.3031006</v>
      </c>
      <c r="V4562">
        <v>-7.0943889999999996E-2</v>
      </c>
      <c r="W4562">
        <v>0.1796325</v>
      </c>
      <c r="X4562">
        <v>0.9811723</v>
      </c>
      <c r="Y4562">
        <v>-9.6827540000000004E-2</v>
      </c>
      <c r="Z4562">
        <v>1.5711309999999999E-3</v>
      </c>
      <c r="AA4562">
        <v>0.99529990000000002</v>
      </c>
      <c r="AB4562">
        <v>40</v>
      </c>
      <c r="AC4562">
        <v>52.807299999999898</v>
      </c>
      <c r="AD4562">
        <v>-1.1103331848119999</v>
      </c>
      <c r="AE4562">
        <v>5.2950000000000097</v>
      </c>
      <c r="AF4562">
        <v>-5.1678441142784397</v>
      </c>
      <c r="AG4562">
        <v>-1.1103331848119999</v>
      </c>
      <c r="AH4562">
        <v>52.796565076019697</v>
      </c>
      <c r="AI4562">
        <v>91.199047281698398</v>
      </c>
      <c r="AJ4562">
        <v>95.590428696446494</v>
      </c>
      <c r="AK4562">
        <v>53.060500717550298</v>
      </c>
      <c r="AL4562">
        <v>79.651645045545195</v>
      </c>
      <c r="AM4562">
        <v>94.135587590083802</v>
      </c>
      <c r="AN4562">
        <v>0.99999997643593497</v>
      </c>
    </row>
    <row r="4563" spans="1:40" x14ac:dyDescent="0.25">
      <c r="A4563" t="str">
        <f>"20190304154845059"</f>
        <v>20190304154845059</v>
      </c>
      <c r="B4563" t="str">
        <f>"1551685725051642"</f>
        <v>1551685725051642</v>
      </c>
      <c r="C4563" t="s">
        <v>40</v>
      </c>
      <c r="D4563">
        <v>4.5193329999999996</v>
      </c>
      <c r="E4563">
        <v>0.48879679999999998</v>
      </c>
      <c r="F4563" t="s">
        <v>60</v>
      </c>
      <c r="G4563">
        <v>-211.45859999999999</v>
      </c>
      <c r="H4563" s="1">
        <v>-9.5586349999999998E-7</v>
      </c>
      <c r="I4563">
        <v>219.08420000000001</v>
      </c>
      <c r="J4563">
        <v>-263.54390000000001</v>
      </c>
      <c r="K4563">
        <v>1.110333</v>
      </c>
      <c r="L4563">
        <v>213.88589999999999</v>
      </c>
      <c r="M4563">
        <v>0.99992490000000001</v>
      </c>
      <c r="N4563">
        <v>-1.200355E-2</v>
      </c>
      <c r="O4563">
        <v>2.4767470000000001E-3</v>
      </c>
      <c r="P4563">
        <v>0.98314990000000002</v>
      </c>
      <c r="Q4563">
        <v>0.1680885</v>
      </c>
      <c r="R4563">
        <v>7.185068E-2</v>
      </c>
      <c r="S4563">
        <v>3.0400999999999998</v>
      </c>
      <c r="T4563">
        <v>-6.443691E-2</v>
      </c>
      <c r="U4563">
        <v>0.30172729999999998</v>
      </c>
      <c r="V4563">
        <v>-6.948029E-2</v>
      </c>
      <c r="W4563">
        <v>0.17985489999999901</v>
      </c>
      <c r="X4563">
        <v>0.98123629999999995</v>
      </c>
      <c r="Y4563">
        <v>-9.6265229999999993E-2</v>
      </c>
      <c r="Z4563">
        <v>1.574186E-3</v>
      </c>
      <c r="AA4563">
        <v>0.99535450000000003</v>
      </c>
      <c r="AB4563">
        <v>40</v>
      </c>
      <c r="AC4563">
        <v>52.085299999999997</v>
      </c>
      <c r="AD4563">
        <v>-1.1103339558634999</v>
      </c>
      <c r="AE4563">
        <v>5.1983000000000104</v>
      </c>
      <c r="AF4563">
        <v>-5.06699271407998</v>
      </c>
      <c r="AG4563">
        <v>-1.1103339558634999</v>
      </c>
      <c r="AH4563">
        <v>52.074584626407002</v>
      </c>
      <c r="AI4563">
        <v>91.215735282634895</v>
      </c>
      <c r="AJ4563">
        <v>95.557533439877503</v>
      </c>
      <c r="AK4563">
        <v>52.332299974976301</v>
      </c>
      <c r="AL4563">
        <v>79.6386915967215</v>
      </c>
      <c r="AM4563">
        <v>94.050292463624103</v>
      </c>
      <c r="AN4563">
        <v>0.999999986095092</v>
      </c>
    </row>
    <row r="4564" spans="1:40" x14ac:dyDescent="0.25">
      <c r="A4564" t="str">
        <f>"20190304154845081"</f>
        <v>20190304154845081</v>
      </c>
      <c r="B4564" t="str">
        <f>"1551685725071162"</f>
        <v>1551685725071162</v>
      </c>
      <c r="C4564" t="s">
        <v>40</v>
      </c>
      <c r="D4564">
        <v>4.539415</v>
      </c>
      <c r="E4564">
        <v>0.48061490000000001</v>
      </c>
      <c r="F4564" t="s">
        <v>60</v>
      </c>
      <c r="G4564">
        <v>-210.83170000000001</v>
      </c>
      <c r="H4564" s="1">
        <v>-1.2880439999999999E-6</v>
      </c>
      <c r="I4564">
        <v>219.05080000000001</v>
      </c>
      <c r="J4564">
        <v>-263.149</v>
      </c>
      <c r="K4564">
        <v>1.110333</v>
      </c>
      <c r="L4564">
        <v>213.887</v>
      </c>
      <c r="M4564">
        <v>0.99992449999999999</v>
      </c>
      <c r="N4564">
        <v>-1.20045E-2</v>
      </c>
      <c r="O4564">
        <v>2.6247330000000002E-3</v>
      </c>
      <c r="P4564">
        <v>0.98306879999999996</v>
      </c>
      <c r="Q4564">
        <v>0.168775799999999</v>
      </c>
      <c r="R4564">
        <v>7.1347339999999995E-2</v>
      </c>
      <c r="S4564">
        <v>3.0405880000000001</v>
      </c>
      <c r="T4564">
        <v>-6.4047220000000002E-2</v>
      </c>
      <c r="U4564">
        <v>0.29792790000000002</v>
      </c>
      <c r="V4564">
        <v>-6.883185E-2</v>
      </c>
      <c r="W4564">
        <v>0.18054200000000001</v>
      </c>
      <c r="X4564">
        <v>0.98115580000000002</v>
      </c>
      <c r="Y4564">
        <v>-9.4871150000000001E-2</v>
      </c>
      <c r="Z4564">
        <v>1.543897E-3</v>
      </c>
      <c r="AA4564">
        <v>0.99548829999999999</v>
      </c>
      <c r="AB4564">
        <v>40</v>
      </c>
      <c r="AC4564">
        <v>52.317299999999904</v>
      </c>
      <c r="AD4564">
        <v>-1.1103342880439999</v>
      </c>
      <c r="AE4564">
        <v>5.1638000000000002</v>
      </c>
      <c r="AF4564">
        <v>-5.0242122031073198</v>
      </c>
      <c r="AG4564">
        <v>-1.1103342880439999</v>
      </c>
      <c r="AH4564">
        <v>52.307341414373397</v>
      </c>
      <c r="AI4564">
        <v>91.210472461125704</v>
      </c>
      <c r="AJ4564">
        <v>95.486528977163204</v>
      </c>
      <c r="AK4564">
        <v>52.559808944980702</v>
      </c>
      <c r="AL4564">
        <v>79.598668335167105</v>
      </c>
      <c r="AM4564">
        <v>94.012944423341295</v>
      </c>
      <c r="AN4564">
        <v>0.99999997060602996</v>
      </c>
    </row>
    <row r="4565" spans="1:40" x14ac:dyDescent="0.25">
      <c r="A4565" t="str">
        <f>"20190304154845098"</f>
        <v>20190304154845098</v>
      </c>
      <c r="B4565" t="str">
        <f>"1551685725091658"</f>
        <v>1551685725091658</v>
      </c>
      <c r="C4565" t="s">
        <v>40</v>
      </c>
      <c r="D4565">
        <v>4.6269999999999998</v>
      </c>
      <c r="E4565">
        <v>0.48058640000000002</v>
      </c>
      <c r="F4565" t="s">
        <v>60</v>
      </c>
      <c r="G4565">
        <v>-234.7816</v>
      </c>
      <c r="H4565" s="1">
        <v>8.9275079999999999E-7</v>
      </c>
      <c r="I4565">
        <v>217.2466</v>
      </c>
      <c r="J4565">
        <v>-262.85480000000001</v>
      </c>
      <c r="K4565">
        <v>1.110333</v>
      </c>
      <c r="L4565">
        <v>213.8879</v>
      </c>
      <c r="M4565">
        <v>0.99992440000000005</v>
      </c>
      <c r="N4565">
        <v>-1.200522E-2</v>
      </c>
      <c r="O4565">
        <v>2.734874E-3</v>
      </c>
      <c r="P4565">
        <v>0.98314109999999999</v>
      </c>
      <c r="Q4565">
        <v>0.16858909999999999</v>
      </c>
      <c r="R4565">
        <v>7.0790690000000003E-2</v>
      </c>
      <c r="S4565">
        <v>3.0459290000000001</v>
      </c>
      <c r="T4565">
        <v>-0.11922099999999999</v>
      </c>
      <c r="U4565">
        <v>0.36073300000000003</v>
      </c>
      <c r="V4565">
        <v>-6.8166099999999993E-2</v>
      </c>
      <c r="W4565">
        <v>0.18035760000000001</v>
      </c>
      <c r="X4565">
        <v>0.9812362</v>
      </c>
      <c r="Y4565">
        <v>-0.1147802</v>
      </c>
      <c r="Z4565">
        <v>2.8554700000000001E-3</v>
      </c>
      <c r="AA4565">
        <v>0.99338680000000001</v>
      </c>
      <c r="AB4565">
        <v>40</v>
      </c>
      <c r="AC4565">
        <v>28.0732</v>
      </c>
      <c r="AD4565">
        <v>-1.1103321072491901</v>
      </c>
      <c r="AE4565">
        <v>3.35869999999999</v>
      </c>
      <c r="AF4565">
        <v>-3.2768515912981</v>
      </c>
      <c r="AG4565">
        <v>-1.1103321072491901</v>
      </c>
      <c r="AH4565">
        <v>28.039038590103001</v>
      </c>
      <c r="AI4565">
        <v>92.252386340505794</v>
      </c>
      <c r="AJ4565">
        <v>96.665775653069801</v>
      </c>
      <c r="AK4565">
        <v>28.251695149089201</v>
      </c>
      <c r="AL4565">
        <v>79.609410115787597</v>
      </c>
      <c r="AM4565">
        <v>93.973931123018403</v>
      </c>
      <c r="AN4565">
        <v>0.99999998062870399</v>
      </c>
    </row>
    <row r="4566" spans="1:40" x14ac:dyDescent="0.25">
      <c r="A4566" t="str">
        <f>"20190304154845115"</f>
        <v>20190304154845115</v>
      </c>
      <c r="B4566" t="str">
        <f>"1551685725111178"</f>
        <v>1551685725111178</v>
      </c>
      <c r="C4566" t="s">
        <v>40</v>
      </c>
      <c r="D4566">
        <v>4.7633700000000001</v>
      </c>
      <c r="E4566">
        <v>0.50360709999999997</v>
      </c>
      <c r="F4566" t="s">
        <v>60</v>
      </c>
      <c r="G4566">
        <v>-234.78530000000001</v>
      </c>
      <c r="H4566" s="1">
        <v>8.9665660000000004E-7</v>
      </c>
      <c r="I4566">
        <v>217.20249999999999</v>
      </c>
      <c r="J4566">
        <v>-262.54570000000001</v>
      </c>
      <c r="K4566">
        <v>1.1103229999999999</v>
      </c>
      <c r="L4566">
        <v>213.8888</v>
      </c>
      <c r="M4566">
        <v>0.99992400000000004</v>
      </c>
      <c r="N4566">
        <v>-1.2005969999999999E-2</v>
      </c>
      <c r="O4566">
        <v>2.8506769999999998E-3</v>
      </c>
      <c r="P4566">
        <v>0.98334600000000005</v>
      </c>
      <c r="Q4566">
        <v>0.1676252</v>
      </c>
      <c r="R4566">
        <v>7.0234350000000001E-2</v>
      </c>
      <c r="S4566">
        <v>3.046173</v>
      </c>
      <c r="T4566">
        <v>-0.1204959</v>
      </c>
      <c r="U4566">
        <v>0.35971069999999999</v>
      </c>
      <c r="V4566">
        <v>-6.7495949999999999E-2</v>
      </c>
      <c r="W4566">
        <v>0.17939749999999999</v>
      </c>
      <c r="X4566">
        <v>0.98145850000000001</v>
      </c>
      <c r="Y4566">
        <v>-0.11432539999999999</v>
      </c>
      <c r="Z4566">
        <v>2.863272E-3</v>
      </c>
      <c r="AA4566">
        <v>0.99343930000000003</v>
      </c>
      <c r="AB4566">
        <v>40</v>
      </c>
      <c r="AC4566">
        <v>27.760400000000001</v>
      </c>
      <c r="AD4566">
        <v>-1.1103221033434001</v>
      </c>
      <c r="AE4566">
        <v>3.3136999999999799</v>
      </c>
      <c r="AF4566">
        <v>-3.2294512368842998</v>
      </c>
      <c r="AG4566">
        <v>-1.1103221033434001</v>
      </c>
      <c r="AH4566">
        <v>27.7260031624212</v>
      </c>
      <c r="AI4566">
        <v>92.277871543972196</v>
      </c>
      <c r="AJ4566">
        <v>96.6437231442561</v>
      </c>
      <c r="AK4566">
        <v>27.935522580169799</v>
      </c>
      <c r="AL4566">
        <v>79.665331896964105</v>
      </c>
      <c r="AM4566">
        <v>93.934097743355494</v>
      </c>
      <c r="AN4566">
        <v>0.999999976747451</v>
      </c>
    </row>
    <row r="4567" spans="1:40" x14ac:dyDescent="0.25">
      <c r="A4567" t="str">
        <f>"20190304154845132"</f>
        <v>20190304154845132</v>
      </c>
      <c r="B4567" t="str">
        <f>"1551685725120938"</f>
        <v>1551685725120938</v>
      </c>
      <c r="C4567" t="s">
        <v>40</v>
      </c>
      <c r="D4567">
        <v>4.5756569999999996</v>
      </c>
      <c r="E4567">
        <v>0.55045909999999998</v>
      </c>
      <c r="F4567" t="s">
        <v>71</v>
      </c>
      <c r="G4567">
        <v>-157.8382</v>
      </c>
      <c r="H4567">
        <v>1.1574979999999999</v>
      </c>
      <c r="I4567">
        <v>219.9768</v>
      </c>
      <c r="J4567">
        <v>-262.2321</v>
      </c>
      <c r="K4567">
        <v>1.1103190000000001</v>
      </c>
      <c r="L4567">
        <v>213.88980000000001</v>
      </c>
      <c r="M4567">
        <v>0.99992360000000002</v>
      </c>
      <c r="N4567">
        <v>-1.200672E-2</v>
      </c>
      <c r="O4567">
        <v>2.9683280000000001E-3</v>
      </c>
      <c r="P4567">
        <v>0.98348159999999896</v>
      </c>
      <c r="Q4567">
        <v>0.16689619999999999</v>
      </c>
      <c r="R4567">
        <v>7.0067119999999997E-2</v>
      </c>
      <c r="S4567">
        <v>3.0379640000000001</v>
      </c>
      <c r="T4567">
        <v>1.37043E-3</v>
      </c>
      <c r="U4567">
        <v>0.17663570000000001</v>
      </c>
      <c r="V4567">
        <v>-6.721154E-2</v>
      </c>
      <c r="W4567">
        <v>0.17867130000000001</v>
      </c>
      <c r="X4567">
        <v>0.98161050000000005</v>
      </c>
      <c r="Y4567">
        <v>-5.5081360000000003E-2</v>
      </c>
      <c r="Z4567">
        <v>3.5550030000000002E-4</v>
      </c>
      <c r="AA4567">
        <v>0.99848179999999997</v>
      </c>
      <c r="AB4567">
        <v>40</v>
      </c>
      <c r="AC4567">
        <v>104.3939</v>
      </c>
      <c r="AD4567">
        <v>4.7178999999999797E-2</v>
      </c>
      <c r="AE4567">
        <v>6.0869999999999802</v>
      </c>
      <c r="AF4567">
        <v>-5.7770743567309903</v>
      </c>
      <c r="AG4567">
        <v>4.7178999999999797E-2</v>
      </c>
      <c r="AH4567">
        <v>104.411488287314</v>
      </c>
      <c r="AI4567">
        <v>89.974150074836501</v>
      </c>
      <c r="AJ4567">
        <v>93.166939071265702</v>
      </c>
      <c r="AK4567">
        <v>104.57119919152299</v>
      </c>
      <c r="AL4567">
        <v>79.7076236387351</v>
      </c>
      <c r="AM4567">
        <v>93.916967489644406</v>
      </c>
      <c r="AN4567">
        <v>0.99999999913155502</v>
      </c>
    </row>
    <row r="4568" spans="1:40" x14ac:dyDescent="0.25">
      <c r="A4568" t="str">
        <f>"20190304154845150"</f>
        <v>20190304154845150</v>
      </c>
      <c r="B4568" t="str">
        <f>"1551685725141435"</f>
        <v>1551685725141435</v>
      </c>
      <c r="C4568" t="s">
        <v>40</v>
      </c>
      <c r="D4568">
        <v>4.5224919999999997</v>
      </c>
      <c r="E4568">
        <v>0.55542959999999997</v>
      </c>
      <c r="F4568" t="s">
        <v>54</v>
      </c>
      <c r="G4568">
        <v>-199.6063</v>
      </c>
      <c r="H4568" s="1">
        <v>2.6746729999999999E-6</v>
      </c>
      <c r="I4568">
        <v>209.87979999999999</v>
      </c>
      <c r="J4568">
        <v>-261.91120000000001</v>
      </c>
      <c r="K4568">
        <v>1.110317</v>
      </c>
      <c r="L4568">
        <v>213.89080000000001</v>
      </c>
      <c r="M4568">
        <v>0.99992320000000001</v>
      </c>
      <c r="N4568">
        <v>-1.2007459999999999E-2</v>
      </c>
      <c r="O4568">
        <v>3.0884839999999998E-3</v>
      </c>
      <c r="P4568">
        <v>0.98356889999999997</v>
      </c>
      <c r="Q4568">
        <v>0.1663741</v>
      </c>
      <c r="R4568">
        <v>7.0085709999999996E-2</v>
      </c>
      <c r="S4568">
        <v>3.0736690000000002</v>
      </c>
      <c r="T4568">
        <v>-5.4494260000000003E-2</v>
      </c>
      <c r="U4568">
        <v>-0.19680790000000001</v>
      </c>
      <c r="V4568">
        <v>-6.711172E-2</v>
      </c>
      <c r="W4568">
        <v>0.17815049999999999</v>
      </c>
      <c r="X4568">
        <v>0.98171200000000003</v>
      </c>
      <c r="Y4568">
        <v>6.6963850000000005E-2</v>
      </c>
      <c r="Z4568">
        <v>-1.0131230000000001E-3</v>
      </c>
      <c r="AA4568">
        <v>0.9977549</v>
      </c>
      <c r="AB4568">
        <v>40</v>
      </c>
      <c r="AC4568">
        <v>62.304900000000004</v>
      </c>
      <c r="AD4568">
        <v>-1.110314325327</v>
      </c>
      <c r="AE4568">
        <v>-4.0110000000000197</v>
      </c>
      <c r="AF4568">
        <v>4.2020934400271202</v>
      </c>
      <c r="AG4568">
        <v>-1.110314325327</v>
      </c>
      <c r="AH4568">
        <v>62.272519373389301</v>
      </c>
      <c r="AI4568">
        <v>91.019153997361698</v>
      </c>
      <c r="AJ4568">
        <v>86.139584754271496</v>
      </c>
      <c r="AK4568">
        <v>62.4240102547801</v>
      </c>
      <c r="AL4568">
        <v>79.737950020630706</v>
      </c>
      <c r="AM4568">
        <v>93.910765104111803</v>
      </c>
      <c r="AN4568">
        <v>1.0000000172778001</v>
      </c>
    </row>
    <row r="4569" spans="1:40" x14ac:dyDescent="0.25">
      <c r="A4569" t="str">
        <f>"20190304154845172"</f>
        <v>20190304154845172</v>
      </c>
      <c r="B4569" t="str">
        <f>"1551685725160954"</f>
        <v>1551685725160954</v>
      </c>
      <c r="C4569" t="s">
        <v>40</v>
      </c>
      <c r="D4569">
        <v>4.5191720000000002</v>
      </c>
      <c r="E4569">
        <v>0.55659309999999995</v>
      </c>
      <c r="F4569" t="s">
        <v>54</v>
      </c>
      <c r="G4569">
        <v>-178.92949999999999</v>
      </c>
      <c r="H4569">
        <v>8.0004080000000005E-2</v>
      </c>
      <c r="I4569">
        <v>207.51490000000001</v>
      </c>
      <c r="J4569">
        <v>-261.51339999999999</v>
      </c>
      <c r="K4569">
        <v>1.1103190000000001</v>
      </c>
      <c r="L4569">
        <v>213.8922</v>
      </c>
      <c r="M4569">
        <v>0.99992259999999999</v>
      </c>
      <c r="N4569">
        <v>-1.2008370000000001E-2</v>
      </c>
      <c r="O4569">
        <v>3.2376029999999999E-3</v>
      </c>
      <c r="P4569">
        <v>0.98364850000000004</v>
      </c>
      <c r="Q4569">
        <v>0.16586999999999999</v>
      </c>
      <c r="R4569">
        <v>7.0161029999999999E-2</v>
      </c>
      <c r="S4569">
        <v>3.0733950000000001</v>
      </c>
      <c r="T4569">
        <v>-3.8159730000000003E-2</v>
      </c>
      <c r="U4569">
        <v>-0.23614499999999999</v>
      </c>
      <c r="V4569">
        <v>-6.7040180000000005E-2</v>
      </c>
      <c r="W4569">
        <v>0.17764839999999901</v>
      </c>
      <c r="X4569">
        <v>0.98180780000000001</v>
      </c>
      <c r="Y4569">
        <v>7.9825289999999993E-2</v>
      </c>
      <c r="Z4569">
        <v>-9.7617540000000005E-4</v>
      </c>
      <c r="AA4569">
        <v>0.99680840000000004</v>
      </c>
      <c r="AB4569">
        <v>40</v>
      </c>
      <c r="AC4569">
        <v>82.5839</v>
      </c>
      <c r="AD4569">
        <v>-1.0303149199999999</v>
      </c>
      <c r="AE4569">
        <v>-6.3772999999999902</v>
      </c>
      <c r="AF4569">
        <v>6.6436317969877301</v>
      </c>
      <c r="AG4569">
        <v>-1.0303149199999999</v>
      </c>
      <c r="AH4569">
        <v>82.550045705787298</v>
      </c>
      <c r="AI4569">
        <v>90.712772545145896</v>
      </c>
      <c r="AJ4569">
        <v>85.398749863764806</v>
      </c>
      <c r="AK4569">
        <v>82.823362877366193</v>
      </c>
      <c r="AL4569">
        <v>79.767183844075404</v>
      </c>
      <c r="AM4569">
        <v>93.906229199808706</v>
      </c>
      <c r="AN4569">
        <v>0.999999947948914</v>
      </c>
    </row>
    <row r="4570" spans="1:40" x14ac:dyDescent="0.25">
      <c r="A4570" t="str">
        <f>"20190304154845194"</f>
        <v>20190304154845194</v>
      </c>
      <c r="B4570" t="str">
        <f>"1551685725191210"</f>
        <v>1551685725191210</v>
      </c>
      <c r="C4570" t="s">
        <v>40</v>
      </c>
      <c r="D4570">
        <v>4.4871249999999998</v>
      </c>
      <c r="E4570">
        <v>0.55736079999999999</v>
      </c>
      <c r="F4570" t="s">
        <v>70</v>
      </c>
      <c r="G4570">
        <v>-168.41050000000001</v>
      </c>
      <c r="H4570">
        <v>0.13516619999999999</v>
      </c>
      <c r="I4570">
        <v>206.4768</v>
      </c>
      <c r="J4570">
        <v>-261.12520000000001</v>
      </c>
      <c r="K4570">
        <v>1.110312</v>
      </c>
      <c r="L4570">
        <v>213.89359999999999</v>
      </c>
      <c r="M4570">
        <v>0.99992210000000004</v>
      </c>
      <c r="N4570">
        <v>-1.2009270000000001E-2</v>
      </c>
      <c r="O4570">
        <v>3.383208E-3</v>
      </c>
      <c r="P4570">
        <v>0.98379870000000003</v>
      </c>
      <c r="Q4570">
        <v>0.16488900000000001</v>
      </c>
      <c r="R4570">
        <v>7.0369790000000002E-2</v>
      </c>
      <c r="S4570">
        <v>3.0727540000000002</v>
      </c>
      <c r="T4570">
        <v>-3.218269E-2</v>
      </c>
      <c r="U4570">
        <v>-0.2447357</v>
      </c>
      <c r="V4570">
        <v>-6.7104179999999999E-2</v>
      </c>
      <c r="W4570">
        <v>0.17667040000000001</v>
      </c>
      <c r="X4570">
        <v>0.98197999999999996</v>
      </c>
      <c r="Y4570">
        <v>8.2758219999999993E-2</v>
      </c>
      <c r="Z4570">
        <v>-9.2526819999999999E-4</v>
      </c>
      <c r="AA4570">
        <v>0.99656920000000004</v>
      </c>
      <c r="AB4570">
        <v>40</v>
      </c>
      <c r="AC4570">
        <v>92.714699999999993</v>
      </c>
      <c r="AD4570">
        <v>-0.97514579999999995</v>
      </c>
      <c r="AE4570">
        <v>-7.4167999999999896</v>
      </c>
      <c r="AF4570">
        <v>7.7296036753190602</v>
      </c>
      <c r="AG4570">
        <v>-0.97514579999999995</v>
      </c>
      <c r="AH4570">
        <v>92.678887780400999</v>
      </c>
      <c r="AI4570">
        <v>90.600745096888005</v>
      </c>
      <c r="AJ4570">
        <v>85.232451721347402</v>
      </c>
      <c r="AK4570">
        <v>93.005773597776894</v>
      </c>
      <c r="AL4570">
        <v>79.824120884592006</v>
      </c>
      <c r="AM4570">
        <v>93.909263203755501</v>
      </c>
      <c r="AN4570">
        <v>1.0000000608048101</v>
      </c>
    </row>
    <row r="4571" spans="1:40" x14ac:dyDescent="0.25">
      <c r="A4571" t="str">
        <f>"20190304154845215"</f>
        <v>20190304154845215</v>
      </c>
      <c r="B4571" t="str">
        <f>"1551685725211707"</f>
        <v>1551685725211707</v>
      </c>
      <c r="C4571" t="s">
        <v>40</v>
      </c>
      <c r="D4571">
        <v>4.5201669999999998</v>
      </c>
      <c r="E4571">
        <v>0.55772749999999904</v>
      </c>
      <c r="F4571" t="s">
        <v>70</v>
      </c>
      <c r="G4571">
        <v>-168.41059999999999</v>
      </c>
      <c r="H4571">
        <v>0.20047570000000001</v>
      </c>
      <c r="I4571">
        <v>206.33600000000001</v>
      </c>
      <c r="J4571">
        <v>-260.73090000000002</v>
      </c>
      <c r="K4571">
        <v>1.110306</v>
      </c>
      <c r="L4571">
        <v>213.89510000000001</v>
      </c>
      <c r="M4571">
        <v>0.99992159999999997</v>
      </c>
      <c r="N4571">
        <v>-1.2010470000000001E-2</v>
      </c>
      <c r="O4571">
        <v>3.5309569999999999E-3</v>
      </c>
      <c r="P4571">
        <v>0.98386430000000002</v>
      </c>
      <c r="Q4571">
        <v>0.164542299999999</v>
      </c>
      <c r="R4571">
        <v>7.0261630000000005E-2</v>
      </c>
      <c r="S4571">
        <v>3.0723569999999998</v>
      </c>
      <c r="T4571">
        <v>-3.014886E-2</v>
      </c>
      <c r="U4571">
        <v>-0.25044250000000001</v>
      </c>
      <c r="V4571">
        <v>-6.6850820000000005E-2</v>
      </c>
      <c r="W4571">
        <v>0.17632590000000001</v>
      </c>
      <c r="X4571">
        <v>0.98205909999999996</v>
      </c>
      <c r="Y4571">
        <v>8.4755289999999997E-2</v>
      </c>
      <c r="Z4571">
        <v>-9.1726790000000002E-4</v>
      </c>
      <c r="AA4571">
        <v>0.99640139999999999</v>
      </c>
      <c r="AB4571">
        <v>40</v>
      </c>
      <c r="AC4571">
        <v>92.320300000000003</v>
      </c>
      <c r="AD4571">
        <v>-0.90983029999999998</v>
      </c>
      <c r="AE4571">
        <v>-7.5591000000000204</v>
      </c>
      <c r="AF4571">
        <v>7.8842947522888798</v>
      </c>
      <c r="AG4571">
        <v>-0.90983029999999998</v>
      </c>
      <c r="AH4571">
        <v>92.284128312334602</v>
      </c>
      <c r="AI4571">
        <v>90.5628113070117</v>
      </c>
      <c r="AJ4571">
        <v>85.1167929544917</v>
      </c>
      <c r="AK4571">
        <v>92.624781960786294</v>
      </c>
      <c r="AL4571">
        <v>79.8441731174604</v>
      </c>
      <c r="AM4571">
        <v>93.894236090217206</v>
      </c>
      <c r="AN4571">
        <v>0.99999996551914505</v>
      </c>
    </row>
    <row r="4572" spans="1:40" x14ac:dyDescent="0.25">
      <c r="A4572" t="str">
        <f>"20190304154845239"</f>
        <v>20190304154845239</v>
      </c>
      <c r="B4572" t="str">
        <f>"1551685725231226"</f>
        <v>1551685725231226</v>
      </c>
      <c r="C4572" t="s">
        <v>40</v>
      </c>
      <c r="D4572">
        <v>4.5381140000000002</v>
      </c>
      <c r="E4572">
        <v>0.55812839999999997</v>
      </c>
      <c r="F4572" t="s">
        <v>70</v>
      </c>
      <c r="G4572">
        <v>-168.41059999999999</v>
      </c>
      <c r="H4572">
        <v>0.2500095</v>
      </c>
      <c r="I4572">
        <v>206.2764</v>
      </c>
      <c r="J4572">
        <v>-260.31909999999999</v>
      </c>
      <c r="K4572">
        <v>1.1103050000000001</v>
      </c>
      <c r="L4572">
        <v>213.89670000000001</v>
      </c>
      <c r="M4572">
        <v>0.99992110000000001</v>
      </c>
      <c r="N4572">
        <v>-1.201147E-2</v>
      </c>
      <c r="O4572">
        <v>3.6850849999999998E-3</v>
      </c>
      <c r="P4572">
        <v>0.98393209999999998</v>
      </c>
      <c r="Q4572">
        <v>0.16418550000000001</v>
      </c>
      <c r="R4572">
        <v>7.0149630000000004E-2</v>
      </c>
      <c r="S4572">
        <v>3.0721129999999999</v>
      </c>
      <c r="T4572">
        <v>-2.8626680000000002E-2</v>
      </c>
      <c r="U4572">
        <v>-0.25352479999999999</v>
      </c>
      <c r="V4572">
        <v>-6.6586790000000007E-2</v>
      </c>
      <c r="W4572">
        <v>0.17597099999999999</v>
      </c>
      <c r="X4572">
        <v>0.98214069999999998</v>
      </c>
      <c r="Y4572">
        <v>8.5908760000000001E-2</v>
      </c>
      <c r="Z4572">
        <v>-9.0652840000000001E-4</v>
      </c>
      <c r="AA4572">
        <v>0.99630260000000004</v>
      </c>
      <c r="AB4572">
        <v>40</v>
      </c>
      <c r="AC4572">
        <v>91.908500000000004</v>
      </c>
      <c r="AD4572">
        <v>-0.86029549999999899</v>
      </c>
      <c r="AE4572">
        <v>-7.6203000000000101</v>
      </c>
      <c r="AF4572">
        <v>7.9582707982951097</v>
      </c>
      <c r="AG4572">
        <v>-0.86029549999999899</v>
      </c>
      <c r="AH4572">
        <v>91.871797885597005</v>
      </c>
      <c r="AI4572">
        <v>90.534505469600703</v>
      </c>
      <c r="AJ4572">
        <v>85.049188623868204</v>
      </c>
      <c r="AK4572">
        <v>92.219853769013895</v>
      </c>
      <c r="AL4572">
        <v>79.864830482707404</v>
      </c>
      <c r="AM4572">
        <v>93.878581402320606</v>
      </c>
      <c r="AN4572">
        <v>0.99999997401999596</v>
      </c>
    </row>
    <row r="4573" spans="1:40" x14ac:dyDescent="0.25">
      <c r="A4573" t="str">
        <f>"20190304154845260"</f>
        <v>20190304154845260</v>
      </c>
      <c r="B4573" t="str">
        <f>"1551685725251723"</f>
        <v>1551685725251723</v>
      </c>
      <c r="C4573" t="s">
        <v>40</v>
      </c>
      <c r="D4573">
        <v>4.4777769999999997</v>
      </c>
      <c r="E4573">
        <v>0.55831149999999996</v>
      </c>
      <c r="F4573" t="s">
        <v>70</v>
      </c>
      <c r="G4573">
        <v>-168.41059999999999</v>
      </c>
      <c r="H4573">
        <v>0.2300644</v>
      </c>
      <c r="I4573">
        <v>206.20769999999999</v>
      </c>
      <c r="J4573">
        <v>-259.9228</v>
      </c>
      <c r="K4573">
        <v>1.1103080000000001</v>
      </c>
      <c r="L4573">
        <v>213.89830000000001</v>
      </c>
      <c r="M4573">
        <v>0.99992060000000005</v>
      </c>
      <c r="N4573">
        <v>-1.2012190000000001E-2</v>
      </c>
      <c r="O4573">
        <v>3.8334900000000002E-3</v>
      </c>
      <c r="P4573">
        <v>0.98384139999999998</v>
      </c>
      <c r="Q4573">
        <v>0.16462639999999901</v>
      </c>
      <c r="R4573">
        <v>7.0387279999999997E-2</v>
      </c>
      <c r="S4573">
        <v>3.072235</v>
      </c>
      <c r="T4573">
        <v>-2.9422759999999999E-2</v>
      </c>
      <c r="U4573">
        <v>-0.257019</v>
      </c>
      <c r="V4573">
        <v>-6.6678399999999999E-2</v>
      </c>
      <c r="W4573">
        <v>0.17641180000000001</v>
      </c>
      <c r="X4573">
        <v>0.98205540000000002</v>
      </c>
      <c r="Y4573">
        <v>8.7178249999999999E-2</v>
      </c>
      <c r="Z4573">
        <v>-9.3195620000000002E-4</v>
      </c>
      <c r="AA4573">
        <v>0.99619230000000003</v>
      </c>
      <c r="AB4573">
        <v>40</v>
      </c>
      <c r="AC4573">
        <v>91.512200000000007</v>
      </c>
      <c r="AD4573">
        <v>-0.88024360000000001</v>
      </c>
      <c r="AE4573">
        <v>-7.6906000000000097</v>
      </c>
      <c r="AF4573">
        <v>8.0406411407672191</v>
      </c>
      <c r="AG4573">
        <v>-0.88024360000000001</v>
      </c>
      <c r="AH4573">
        <v>91.473639498971295</v>
      </c>
      <c r="AI4573">
        <v>90.549218152108196</v>
      </c>
      <c r="AJ4573">
        <v>84.976544746062302</v>
      </c>
      <c r="AK4573">
        <v>91.830569321646394</v>
      </c>
      <c r="AL4573">
        <v>79.839173079685494</v>
      </c>
      <c r="AM4573">
        <v>93.884237545812297</v>
      </c>
      <c r="AN4573">
        <v>0.99999997043747901</v>
      </c>
    </row>
    <row r="4574" spans="1:40" x14ac:dyDescent="0.25">
      <c r="A4574" t="str">
        <f>"20190304154845281"</f>
        <v>20190304154845281</v>
      </c>
      <c r="B4574" t="str">
        <f>"1551685725271242"</f>
        <v>1551685725271242</v>
      </c>
      <c r="C4574" t="s">
        <v>40</v>
      </c>
      <c r="D4574">
        <v>4.4989970000000001</v>
      </c>
      <c r="E4574">
        <v>0.55841019999999997</v>
      </c>
      <c r="F4574" t="s">
        <v>70</v>
      </c>
      <c r="G4574">
        <v>-168.41069999999999</v>
      </c>
      <c r="H4574">
        <v>0.32841679999999901</v>
      </c>
      <c r="I4574">
        <v>206.2167</v>
      </c>
      <c r="J4574">
        <v>-259.52789999999999</v>
      </c>
      <c r="K4574">
        <v>1.110312</v>
      </c>
      <c r="L4574">
        <v>213.8999</v>
      </c>
      <c r="M4574">
        <v>0.99991989999999997</v>
      </c>
      <c r="N4574">
        <v>-1.201284E-2</v>
      </c>
      <c r="O4574">
        <v>3.9817170000000001E-3</v>
      </c>
      <c r="P4574">
        <v>0.98368719999999998</v>
      </c>
      <c r="Q4574">
        <v>0.16536120000000001</v>
      </c>
      <c r="R4574">
        <v>7.0819270000000004E-2</v>
      </c>
      <c r="S4574">
        <v>3.0721129999999999</v>
      </c>
      <c r="T4574">
        <v>-2.6247380000000001E-2</v>
      </c>
      <c r="U4574">
        <v>-0.25787349999999998</v>
      </c>
      <c r="V4574">
        <v>-6.6965839999999999E-2</v>
      </c>
      <c r="W4574">
        <v>0.17714530000000001</v>
      </c>
      <c r="X4574">
        <v>0.98190379999999999</v>
      </c>
      <c r="Y4574">
        <v>8.7605639999999999E-2</v>
      </c>
      <c r="Z4574">
        <v>-8.8695099999999997E-4</v>
      </c>
      <c r="AA4574">
        <v>0.99615480000000001</v>
      </c>
      <c r="AB4574">
        <v>40</v>
      </c>
      <c r="AC4574">
        <v>91.117199999999997</v>
      </c>
      <c r="AD4574">
        <v>-0.78189520000000001</v>
      </c>
      <c r="AE4574">
        <v>-7.6831999999999896</v>
      </c>
      <c r="AF4574">
        <v>8.0453799210467594</v>
      </c>
      <c r="AG4574">
        <v>-0.78189520000000001</v>
      </c>
      <c r="AH4574">
        <v>91.079223612677595</v>
      </c>
      <c r="AI4574">
        <v>90.489951935613902</v>
      </c>
      <c r="AJ4574">
        <v>84.951944865160002</v>
      </c>
      <c r="AK4574">
        <v>91.437216012222805</v>
      </c>
      <c r="AL4574">
        <v>79.7964742076731</v>
      </c>
      <c r="AM4574">
        <v>93.901530710938999</v>
      </c>
      <c r="AN4574">
        <v>0.99999997674671703</v>
      </c>
    </row>
    <row r="4575" spans="1:40" x14ac:dyDescent="0.25">
      <c r="A4575" t="str">
        <f>"20190304154845317"</f>
        <v>20190304154845317</v>
      </c>
      <c r="B4575" t="str">
        <f>"1551685725311261"</f>
        <v>1551685725311261</v>
      </c>
      <c r="C4575" t="s">
        <v>40</v>
      </c>
      <c r="D4575">
        <v>4.6734910000000003</v>
      </c>
      <c r="E4575">
        <v>0.55860829999999995</v>
      </c>
      <c r="F4575" t="s">
        <v>70</v>
      </c>
      <c r="G4575">
        <v>-168.41069999999999</v>
      </c>
      <c r="H4575">
        <v>0.41075129999999999</v>
      </c>
      <c r="I4575">
        <v>206.26320000000001</v>
      </c>
      <c r="J4575">
        <v>-258.90789999999998</v>
      </c>
      <c r="K4575">
        <v>1.110311</v>
      </c>
      <c r="L4575">
        <v>213.90260000000001</v>
      </c>
      <c r="M4575">
        <v>0.999919</v>
      </c>
      <c r="N4575">
        <v>-1.2013909999999999E-2</v>
      </c>
      <c r="O4575">
        <v>4.2142209999999998E-3</v>
      </c>
      <c r="P4575">
        <v>0.9837321</v>
      </c>
      <c r="Q4575">
        <v>0.16494329999999999</v>
      </c>
      <c r="R4575">
        <v>7.1168620000000002E-2</v>
      </c>
      <c r="S4575">
        <v>3.0722659999999999</v>
      </c>
      <c r="T4575">
        <v>-2.3586510000000002E-2</v>
      </c>
      <c r="U4575">
        <v>-0.2574921</v>
      </c>
      <c r="V4575">
        <v>-6.7085660000000005E-2</v>
      </c>
      <c r="W4575">
        <v>0.1767291</v>
      </c>
      <c r="X4575">
        <v>0.98197069999999997</v>
      </c>
      <c r="Y4575">
        <v>8.7711369999999997E-2</v>
      </c>
      <c r="Z4575">
        <v>-8.4569249999999995E-4</v>
      </c>
      <c r="AA4575">
        <v>0.99614550000000002</v>
      </c>
      <c r="AB4575">
        <v>40</v>
      </c>
      <c r="AC4575">
        <v>90.497200000000007</v>
      </c>
      <c r="AD4575">
        <v>-0.69955970000000001</v>
      </c>
      <c r="AE4575">
        <v>-7.6393999999999904</v>
      </c>
      <c r="AF4575">
        <v>8.0202589955010506</v>
      </c>
      <c r="AG4575">
        <v>-0.69955970000000001</v>
      </c>
      <c r="AH4575">
        <v>90.458832655524105</v>
      </c>
      <c r="AI4575">
        <v>90.441354478319695</v>
      </c>
      <c r="AJ4575">
        <v>84.933291537403505</v>
      </c>
      <c r="AK4575">
        <v>90.8163770667432</v>
      </c>
      <c r="AL4575">
        <v>79.820703827194194</v>
      </c>
      <c r="AM4575">
        <v>93.908224533708605</v>
      </c>
      <c r="AN4575">
        <v>1.0000000581114601</v>
      </c>
    </row>
    <row r="4576" spans="1:40" x14ac:dyDescent="0.25">
      <c r="A4576" t="str">
        <f>"20190304154845339"</f>
        <v>20190304154845339</v>
      </c>
      <c r="B4576" t="str">
        <f>"1551685725331753"</f>
        <v>1551685725331753</v>
      </c>
      <c r="C4576" t="s">
        <v>40</v>
      </c>
      <c r="D4576">
        <v>4.56806</v>
      </c>
      <c r="E4576">
        <v>0.5589693</v>
      </c>
      <c r="F4576" t="s">
        <v>70</v>
      </c>
      <c r="G4576">
        <v>-168.41059999999999</v>
      </c>
      <c r="H4576">
        <v>0.3316212</v>
      </c>
      <c r="I4576">
        <v>206.33760000000001</v>
      </c>
      <c r="J4576">
        <v>-258.50150000000002</v>
      </c>
      <c r="K4576">
        <v>1.1103069999999999</v>
      </c>
      <c r="L4576">
        <v>213.90450000000001</v>
      </c>
      <c r="M4576">
        <v>0.99991839999999999</v>
      </c>
      <c r="N4576">
        <v>-1.20147E-2</v>
      </c>
      <c r="O4576">
        <v>4.3662629999999996E-3</v>
      </c>
      <c r="P4576">
        <v>0.98389119999999997</v>
      </c>
      <c r="Q4576">
        <v>0.16361819999999999</v>
      </c>
      <c r="R4576">
        <v>7.2025489999999998E-2</v>
      </c>
      <c r="S4576">
        <v>3.072632</v>
      </c>
      <c r="T4576">
        <v>-2.6437519999999999E-2</v>
      </c>
      <c r="U4576">
        <v>-0.2568512</v>
      </c>
      <c r="V4576">
        <v>-6.7792099999999994E-2</v>
      </c>
      <c r="W4576">
        <v>0.1754068</v>
      </c>
      <c r="X4576">
        <v>0.98215920000000001</v>
      </c>
      <c r="Y4576">
        <v>8.7645500000000001E-2</v>
      </c>
      <c r="Z4576">
        <v>-8.8900779999999998E-4</v>
      </c>
      <c r="AA4576">
        <v>0.99615129999999996</v>
      </c>
      <c r="AB4576">
        <v>40</v>
      </c>
      <c r="AC4576">
        <v>90.090900000000005</v>
      </c>
      <c r="AD4576">
        <v>-0.77868579999999898</v>
      </c>
      <c r="AE4576">
        <v>-7.5669000000000004</v>
      </c>
      <c r="AF4576">
        <v>7.9596262982557002</v>
      </c>
      <c r="AG4576">
        <v>-0.77868579999999898</v>
      </c>
      <c r="AH4576">
        <v>90.050319374186998</v>
      </c>
      <c r="AI4576">
        <v>90.493513370238801</v>
      </c>
      <c r="AJ4576">
        <v>84.948703930173394</v>
      </c>
      <c r="AK4576">
        <v>90.404767693834003</v>
      </c>
      <c r="AL4576">
        <v>79.897667827092107</v>
      </c>
      <c r="AM4576">
        <v>93.948494657667993</v>
      </c>
      <c r="AN4576">
        <v>1.0000000042266399</v>
      </c>
    </row>
    <row r="4577" spans="1:40" x14ac:dyDescent="0.25">
      <c r="A4577" t="str">
        <f>"20190304154845362"</f>
        <v>20190304154845362</v>
      </c>
      <c r="B4577" t="str">
        <f>"1551685725351274"</f>
        <v>1551685725351274</v>
      </c>
      <c r="C4577" t="s">
        <v>40</v>
      </c>
      <c r="D4577">
        <v>4.5449390000000003</v>
      </c>
      <c r="E4577">
        <v>0.55919949999999996</v>
      </c>
      <c r="F4577" t="s">
        <v>70</v>
      </c>
      <c r="G4577">
        <v>-168.41059999999999</v>
      </c>
      <c r="H4577">
        <v>0.2487888</v>
      </c>
      <c r="I4577">
        <v>206.34460000000001</v>
      </c>
      <c r="J4577">
        <v>-258.10379999999998</v>
      </c>
      <c r="K4577">
        <v>1.1103069999999999</v>
      </c>
      <c r="L4577">
        <v>213.90639999999999</v>
      </c>
      <c r="M4577">
        <v>0.99991770000000002</v>
      </c>
      <c r="N4577">
        <v>-1.2015629999999999E-2</v>
      </c>
      <c r="O4577">
        <v>4.5154430000000001E-3</v>
      </c>
      <c r="P4577">
        <v>0.98408340000000005</v>
      </c>
      <c r="Q4577">
        <v>0.1623549</v>
      </c>
      <c r="R4577">
        <v>7.225927E-2</v>
      </c>
      <c r="S4577">
        <v>3.0728909999999998</v>
      </c>
      <c r="T4577">
        <v>-2.9384259999999999E-2</v>
      </c>
      <c r="U4577">
        <v>-0.25785829999999998</v>
      </c>
      <c r="V4577">
        <v>-6.7877309999999996E-2</v>
      </c>
      <c r="W4577">
        <v>0.1741471</v>
      </c>
      <c r="X4577">
        <v>0.98237750000000001</v>
      </c>
      <c r="Y4577">
        <v>8.8110030000000006E-2</v>
      </c>
      <c r="Z4577">
        <v>-9.3979060000000001E-4</v>
      </c>
      <c r="AA4577">
        <v>0.9961103</v>
      </c>
      <c r="AB4577">
        <v>40</v>
      </c>
      <c r="AC4577">
        <v>89.693199999999905</v>
      </c>
      <c r="AD4577">
        <v>-0.86151819999999901</v>
      </c>
      <c r="AE4577">
        <v>-7.5617999999999697</v>
      </c>
      <c r="AF4577">
        <v>7.9660268830482002</v>
      </c>
      <c r="AG4577">
        <v>-0.86151819999999901</v>
      </c>
      <c r="AH4577">
        <v>89.649925476344507</v>
      </c>
      <c r="AI4577">
        <v>90.548423585359899</v>
      </c>
      <c r="AJ4577">
        <v>84.922202729854106</v>
      </c>
      <c r="AK4577">
        <v>90.007271571937494</v>
      </c>
      <c r="AL4577">
        <v>79.970972047834294</v>
      </c>
      <c r="AM4577">
        <v>93.952566182339794</v>
      </c>
      <c r="AN4577">
        <v>1.00000004707874</v>
      </c>
    </row>
    <row r="4578" spans="1:40" x14ac:dyDescent="0.25">
      <c r="A4578" t="str">
        <f>"20190304154845382"</f>
        <v>20190304154845382</v>
      </c>
      <c r="B4578" t="str">
        <f>"1551685725371769"</f>
        <v>1551685725371769</v>
      </c>
      <c r="C4578" t="s">
        <v>40</v>
      </c>
      <c r="D4578">
        <v>4.527609</v>
      </c>
      <c r="E4578">
        <v>0.55942289999999995</v>
      </c>
      <c r="F4578" t="s">
        <v>70</v>
      </c>
      <c r="G4578">
        <v>-168.41059999999999</v>
      </c>
      <c r="H4578">
        <v>0.19848250000000001</v>
      </c>
      <c r="I4578">
        <v>206.33529999999999</v>
      </c>
      <c r="J4578">
        <v>-257.71440000000001</v>
      </c>
      <c r="K4578">
        <v>1.1102989999999999</v>
      </c>
      <c r="L4578">
        <v>213.90819999999999</v>
      </c>
      <c r="M4578">
        <v>0.99991699999999994</v>
      </c>
      <c r="N4578">
        <v>-1.201648E-2</v>
      </c>
      <c r="O4578">
        <v>4.6612859999999997E-3</v>
      </c>
      <c r="P4578">
        <v>0.98425390000000001</v>
      </c>
      <c r="Q4578">
        <v>0.1612092</v>
      </c>
      <c r="R4578">
        <v>7.2496790000000005E-2</v>
      </c>
      <c r="S4578">
        <v>3.0727229999999999</v>
      </c>
      <c r="T4578">
        <v>-3.123629E-2</v>
      </c>
      <c r="U4578">
        <v>-0.25936890000000001</v>
      </c>
      <c r="V4578">
        <v>-6.7970370000000002E-2</v>
      </c>
      <c r="W4578">
        <v>0.17300409999999999</v>
      </c>
      <c r="X4578">
        <v>0.98257300000000003</v>
      </c>
      <c r="Y4578">
        <v>8.8745199999999996E-2</v>
      </c>
      <c r="Z4578">
        <v>-9.7585260000000002E-4</v>
      </c>
      <c r="AA4578">
        <v>0.99605390000000005</v>
      </c>
      <c r="AB4578">
        <v>40</v>
      </c>
      <c r="AC4578">
        <v>89.303799999999995</v>
      </c>
      <c r="AD4578">
        <v>-0.91181650000000003</v>
      </c>
      <c r="AE4578">
        <v>-7.5728999999999997</v>
      </c>
      <c r="AF4578">
        <v>7.9882914682472599</v>
      </c>
      <c r="AG4578">
        <v>-0.91181650000000003</v>
      </c>
      <c r="AH4578">
        <v>89.258288958166503</v>
      </c>
      <c r="AI4578">
        <v>90.5829538863442</v>
      </c>
      <c r="AJ4578">
        <v>84.885861628249302</v>
      </c>
      <c r="AK4578">
        <v>89.619676174659801</v>
      </c>
      <c r="AL4578">
        <v>80.037470515080699</v>
      </c>
      <c r="AM4578">
        <v>93.957182946894704</v>
      </c>
      <c r="AN4578">
        <v>1.00000004507187</v>
      </c>
    </row>
    <row r="4579" spans="1:40" x14ac:dyDescent="0.25">
      <c r="A4579" t="str">
        <f>"20190304154845404"</f>
        <v>20190304154845404</v>
      </c>
      <c r="B4579" t="str">
        <f>"1551685725402026"</f>
        <v>1551685725402026</v>
      </c>
      <c r="C4579" t="s">
        <v>40</v>
      </c>
      <c r="D4579">
        <v>4.5079479999999998</v>
      </c>
      <c r="E4579">
        <v>0.55977189999999999</v>
      </c>
      <c r="F4579" t="s">
        <v>70</v>
      </c>
      <c r="G4579">
        <v>-168.41059999999999</v>
      </c>
      <c r="H4579">
        <v>0.13565250000000001</v>
      </c>
      <c r="I4579">
        <v>206.34729999999999</v>
      </c>
      <c r="J4579">
        <v>-257.31049999999999</v>
      </c>
      <c r="K4579">
        <v>1.1102860000000001</v>
      </c>
      <c r="L4579">
        <v>213.91030000000001</v>
      </c>
      <c r="M4579">
        <v>0.99991629999999998</v>
      </c>
      <c r="N4579">
        <v>-1.201731E-2</v>
      </c>
      <c r="O4579">
        <v>4.8123159999999996E-3</v>
      </c>
      <c r="P4579">
        <v>0.98447079999999998</v>
      </c>
      <c r="Q4579">
        <v>0.15963579999999999</v>
      </c>
      <c r="R4579">
        <v>7.303461E-2</v>
      </c>
      <c r="S4579">
        <v>3.0726469999999999</v>
      </c>
      <c r="T4579">
        <v>-3.3533220000000002E-2</v>
      </c>
      <c r="U4579">
        <v>-0.26014710000000002</v>
      </c>
      <c r="V4579">
        <v>-6.8358150000000006E-2</v>
      </c>
      <c r="W4579">
        <v>0.17143429999999901</v>
      </c>
      <c r="X4579">
        <v>0.98282119999999995</v>
      </c>
      <c r="Y4579">
        <v>8.9147039999999997E-2</v>
      </c>
      <c r="Z4579">
        <v>-1.016931E-3</v>
      </c>
      <c r="AA4579">
        <v>0.99601790000000001</v>
      </c>
      <c r="AB4579">
        <v>40</v>
      </c>
      <c r="AC4579">
        <v>88.899900000000002</v>
      </c>
      <c r="AD4579">
        <v>-0.97463350000000004</v>
      </c>
      <c r="AE4579">
        <v>-7.5630000000000104</v>
      </c>
      <c r="AF4579">
        <v>7.9898042604444797</v>
      </c>
      <c r="AG4579">
        <v>-0.97463350000000004</v>
      </c>
      <c r="AH4579">
        <v>88.851869625654999</v>
      </c>
      <c r="AI4579">
        <v>90.625937981728597</v>
      </c>
      <c r="AJ4579">
        <v>84.8616261352701</v>
      </c>
      <c r="AK4579">
        <v>89.215702757720507</v>
      </c>
      <c r="AL4579">
        <v>80.128777573169302</v>
      </c>
      <c r="AM4579">
        <v>93.978685068580504</v>
      </c>
      <c r="AN4579">
        <v>1.0000000335286701</v>
      </c>
    </row>
    <row r="4580" spans="1:40" x14ac:dyDescent="0.25">
      <c r="A4580" t="str">
        <f>"20190304154845428"</f>
        <v>20190304154845428</v>
      </c>
      <c r="B4580" t="str">
        <f>"1551685725421549"</f>
        <v>1551685725421549</v>
      </c>
      <c r="C4580" t="s">
        <v>40</v>
      </c>
      <c r="D4580">
        <v>4.4909319999999999</v>
      </c>
      <c r="E4580">
        <v>0.56003419999999904</v>
      </c>
      <c r="F4580" t="s">
        <v>70</v>
      </c>
      <c r="G4580">
        <v>-168.41050000000001</v>
      </c>
      <c r="H4580">
        <v>3.7517549999999997E-2</v>
      </c>
      <c r="I4580">
        <v>206.34530000000001</v>
      </c>
      <c r="J4580">
        <v>-256.89920000000001</v>
      </c>
      <c r="K4580">
        <v>1.110276</v>
      </c>
      <c r="L4580">
        <v>213.91239999999999</v>
      </c>
      <c r="M4580">
        <v>0.99991549999999996</v>
      </c>
      <c r="N4580">
        <v>-1.201816E-2</v>
      </c>
      <c r="O4580">
        <v>4.9661469999999997E-3</v>
      </c>
      <c r="P4580">
        <v>0.98487939999999996</v>
      </c>
      <c r="Q4580">
        <v>0.1569769</v>
      </c>
      <c r="R4580">
        <v>7.3287950000000004E-2</v>
      </c>
      <c r="S4580">
        <v>3.0727389999999999</v>
      </c>
      <c r="T4580">
        <v>-3.7078020000000003E-2</v>
      </c>
      <c r="U4580">
        <v>-0.2614746</v>
      </c>
      <c r="V4580">
        <v>-6.8456500000000003E-2</v>
      </c>
      <c r="W4580">
        <v>0.1687814</v>
      </c>
      <c r="X4580">
        <v>0.98327339999999996</v>
      </c>
      <c r="Y4580">
        <v>8.9723159999999996E-2</v>
      </c>
      <c r="Z4580">
        <v>-1.080765E-3</v>
      </c>
      <c r="AA4580">
        <v>0.99596609999999997</v>
      </c>
      <c r="AB4580">
        <v>40</v>
      </c>
      <c r="AC4580">
        <v>88.488699999999994</v>
      </c>
      <c r="AD4580">
        <v>-1.07275845</v>
      </c>
      <c r="AE4580">
        <v>-7.5670999999999804</v>
      </c>
      <c r="AF4580">
        <v>8.0053182828854599</v>
      </c>
      <c r="AG4580">
        <v>-1.07275845</v>
      </c>
      <c r="AH4580">
        <v>88.437123378858601</v>
      </c>
      <c r="AI4580">
        <v>90.692144576955798</v>
      </c>
      <c r="AJ4580">
        <v>84.827688908728106</v>
      </c>
      <c r="AK4580">
        <v>88.805184099971399</v>
      </c>
      <c r="AL4580">
        <v>80.283025518715903</v>
      </c>
      <c r="AM4580">
        <v>93.982564467579607</v>
      </c>
      <c r="AN4580">
        <v>1.0000000162628799</v>
      </c>
    </row>
    <row r="4581" spans="1:40" x14ac:dyDescent="0.25">
      <c r="A4581" t="str">
        <f>"20190304154845449"</f>
        <v>20190304154845449</v>
      </c>
      <c r="B4581" t="str">
        <f>"1551685725441066"</f>
        <v>1551685725441066</v>
      </c>
      <c r="C4581" t="s">
        <v>40</v>
      </c>
      <c r="D4581">
        <v>4.5493730000000001</v>
      </c>
      <c r="E4581">
        <v>0.56040489999999998</v>
      </c>
      <c r="F4581" t="s">
        <v>54</v>
      </c>
      <c r="G4581">
        <v>-179.95779999999999</v>
      </c>
      <c r="H4581">
        <v>1.9932680000000001E-2</v>
      </c>
      <c r="I4581">
        <v>207.32570000000001</v>
      </c>
      <c r="J4581">
        <v>-256.5016</v>
      </c>
      <c r="K4581">
        <v>1.110268</v>
      </c>
      <c r="L4581">
        <v>213.9145</v>
      </c>
      <c r="M4581">
        <v>0.99991459999999999</v>
      </c>
      <c r="N4581">
        <v>-1.201899E-2</v>
      </c>
      <c r="O4581">
        <v>5.1149699999999999E-3</v>
      </c>
      <c r="P4581">
        <v>0.98531440000000003</v>
      </c>
      <c r="Q4581">
        <v>0.154029799999999</v>
      </c>
      <c r="R4581">
        <v>7.3692350000000004E-2</v>
      </c>
      <c r="S4581">
        <v>3.0725709999999999</v>
      </c>
      <c r="T4581">
        <v>-4.3541669999999998E-2</v>
      </c>
      <c r="U4581">
        <v>-0.26303100000000001</v>
      </c>
      <c r="V4581">
        <v>-6.8711640000000004E-2</v>
      </c>
      <c r="W4581">
        <v>0.16584079999999901</v>
      </c>
      <c r="X4581">
        <v>0.98375579999999996</v>
      </c>
      <c r="Y4581">
        <v>9.0373079999999995E-2</v>
      </c>
      <c r="Z4581">
        <v>-1.1942890000000001E-3</v>
      </c>
      <c r="AA4581">
        <v>0.99590719999999999</v>
      </c>
      <c r="AB4581">
        <v>40</v>
      </c>
      <c r="AC4581">
        <v>76.543800000000005</v>
      </c>
      <c r="AD4581">
        <v>-1.0903353200000001</v>
      </c>
      <c r="AE4581">
        <v>-6.5887999999999902</v>
      </c>
      <c r="AF4581">
        <v>6.9788556987984203</v>
      </c>
      <c r="AG4581">
        <v>-1.0903353200000001</v>
      </c>
      <c r="AH4581">
        <v>76.493687536628499</v>
      </c>
      <c r="AI4581">
        <v>90.813257276058806</v>
      </c>
      <c r="AJ4581">
        <v>84.787085565157199</v>
      </c>
      <c r="AK4581">
        <v>76.819121909366103</v>
      </c>
      <c r="AL4581">
        <v>80.453917961130003</v>
      </c>
      <c r="AM4581">
        <v>93.995405790419596</v>
      </c>
      <c r="AN4581">
        <v>0.99999996722488405</v>
      </c>
    </row>
    <row r="4582" spans="1:40" x14ac:dyDescent="0.25">
      <c r="A4582" t="str">
        <f>"20190304154845473"</f>
        <v>20190304154845473</v>
      </c>
      <c r="B4582" t="str">
        <f>"1551685725461562"</f>
        <v>1551685725461562</v>
      </c>
      <c r="C4582" t="s">
        <v>40</v>
      </c>
      <c r="D4582">
        <v>4.5341100000000001</v>
      </c>
      <c r="E4582">
        <v>0.56076429999999999</v>
      </c>
      <c r="F4582" t="s">
        <v>54</v>
      </c>
      <c r="G4582">
        <v>-188.5643</v>
      </c>
      <c r="H4582" s="1">
        <v>4.7162909999999996E-6</v>
      </c>
      <c r="I4582">
        <v>208.04839999999999</v>
      </c>
      <c r="J4582">
        <v>-256.08980000000003</v>
      </c>
      <c r="K4582">
        <v>1.110257</v>
      </c>
      <c r="L4582">
        <v>213.91669999999999</v>
      </c>
      <c r="M4582">
        <v>0.99991390000000002</v>
      </c>
      <c r="N4582">
        <v>-1.201988E-2</v>
      </c>
      <c r="O4582">
        <v>5.2693330000000002E-3</v>
      </c>
      <c r="P4582">
        <v>0.98554560000000002</v>
      </c>
      <c r="Q4582">
        <v>0.15239059999999999</v>
      </c>
      <c r="R4582">
        <v>7.4009110000000003E-2</v>
      </c>
      <c r="S4582">
        <v>3.072403</v>
      </c>
      <c r="T4582">
        <v>-5.0210600000000001E-2</v>
      </c>
      <c r="U4582">
        <v>-0.26528930000000001</v>
      </c>
      <c r="V4582">
        <v>-6.8874270000000001E-2</v>
      </c>
      <c r="W4582">
        <v>0.16420560000000001</v>
      </c>
      <c r="X4582">
        <v>0.98401870000000002</v>
      </c>
      <c r="Y4582">
        <v>9.125366E-2</v>
      </c>
      <c r="Z4582">
        <v>-1.3164870000000001E-3</v>
      </c>
      <c r="AA4582">
        <v>0.99582680000000001</v>
      </c>
      <c r="AB4582">
        <v>40</v>
      </c>
      <c r="AC4582">
        <v>67.525499999999994</v>
      </c>
      <c r="AD4582">
        <v>-1.1102522837090001</v>
      </c>
      <c r="AE4582">
        <v>-5.8682999999999996</v>
      </c>
      <c r="AF4582">
        <v>6.2223890197555098</v>
      </c>
      <c r="AG4582">
        <v>-1.1102522837090001</v>
      </c>
      <c r="AH4582">
        <v>67.475533651964994</v>
      </c>
      <c r="AI4582">
        <v>90.938685945139596</v>
      </c>
      <c r="AJ4582">
        <v>84.731258378673104</v>
      </c>
      <c r="AK4582">
        <v>67.770926117798595</v>
      </c>
      <c r="AL4582">
        <v>80.548910466459304</v>
      </c>
      <c r="AM4582">
        <v>94.003765083995205</v>
      </c>
      <c r="AN4582">
        <v>0.99999997304454102</v>
      </c>
    </row>
    <row r="4583" spans="1:40" x14ac:dyDescent="0.25">
      <c r="A4583" t="str">
        <f>"20190304154845494"</f>
        <v>20190304154845494</v>
      </c>
      <c r="B4583" t="str">
        <f>"1551685725491818"</f>
        <v>1551685725491818</v>
      </c>
      <c r="C4583" t="s">
        <v>40</v>
      </c>
      <c r="D4583">
        <v>4.539263</v>
      </c>
      <c r="E4583">
        <v>0.56739830000000002</v>
      </c>
      <c r="F4583" t="s">
        <v>54</v>
      </c>
      <c r="G4583">
        <v>-191.971</v>
      </c>
      <c r="H4583" s="1">
        <v>4.4168720000000001E-6</v>
      </c>
      <c r="I4583">
        <v>208.33179999999999</v>
      </c>
      <c r="J4583">
        <v>-255.70140000000001</v>
      </c>
      <c r="K4583">
        <v>1.1102510000000001</v>
      </c>
      <c r="L4583">
        <v>213.91890000000001</v>
      </c>
      <c r="M4583">
        <v>0.99991319999999995</v>
      </c>
      <c r="N4583">
        <v>-1.202072E-2</v>
      </c>
      <c r="O4583">
        <v>5.4147589999999999E-3</v>
      </c>
      <c r="P4583">
        <v>0.98573639999999996</v>
      </c>
      <c r="Q4583">
        <v>0.15101609999999999</v>
      </c>
      <c r="R4583">
        <v>7.4284219999999998E-2</v>
      </c>
      <c r="S4583">
        <v>3.072327</v>
      </c>
      <c r="T4583">
        <v>-5.3199049999999998E-2</v>
      </c>
      <c r="U4583">
        <v>-0.26760859999999997</v>
      </c>
      <c r="V4583">
        <v>-6.9004199999999905E-2</v>
      </c>
      <c r="W4583">
        <v>0.1628338</v>
      </c>
      <c r="X4583">
        <v>0.98423760000000005</v>
      </c>
      <c r="Y4583">
        <v>9.2144459999999997E-2</v>
      </c>
      <c r="Z4583">
        <v>-1.3797739999999901E-3</v>
      </c>
      <c r="AA4583">
        <v>0.99574470000000004</v>
      </c>
      <c r="AB4583">
        <v>40</v>
      </c>
      <c r="AC4583">
        <v>63.730400000000003</v>
      </c>
      <c r="AD4583">
        <v>-1.110246583128</v>
      </c>
      <c r="AE4583">
        <v>-5.5871000000000199</v>
      </c>
      <c r="AF4583">
        <v>5.9303416573219101</v>
      </c>
      <c r="AG4583">
        <v>-1.110246583128</v>
      </c>
      <c r="AH4583">
        <v>63.680031695435098</v>
      </c>
      <c r="AI4583">
        <v>90.994534972014705</v>
      </c>
      <c r="AJ4583">
        <v>84.679551157051094</v>
      </c>
      <c r="AK4583">
        <v>63.965209578172598</v>
      </c>
      <c r="AL4583">
        <v>80.628581818030398</v>
      </c>
      <c r="AM4583">
        <v>94.010404254478402</v>
      </c>
      <c r="AN4583">
        <v>1.00000003964691</v>
      </c>
    </row>
    <row r="4584" spans="1:40" x14ac:dyDescent="0.25">
      <c r="A4584" t="str">
        <f>"20190304154845517"</f>
        <v>20190304154845517</v>
      </c>
      <c r="B4584" t="str">
        <f>"1551685725511341"</f>
        <v>1551685725511341</v>
      </c>
      <c r="C4584" t="s">
        <v>40</v>
      </c>
      <c r="D4584">
        <v>4.5325610000000003</v>
      </c>
      <c r="E4584">
        <v>0.56780249999999999</v>
      </c>
      <c r="F4584" t="s">
        <v>48</v>
      </c>
      <c r="G4584">
        <v>-177.71369999999999</v>
      </c>
      <c r="H4584">
        <v>0.78574290000000002</v>
      </c>
      <c r="I4584">
        <v>205.8099</v>
      </c>
      <c r="J4584">
        <v>-255.28890000000001</v>
      </c>
      <c r="K4584">
        <v>1.1102620000000001</v>
      </c>
      <c r="L4584">
        <v>213.9213</v>
      </c>
      <c r="M4584">
        <v>0.99991220000000003</v>
      </c>
      <c r="N4584">
        <v>-1.202164E-2</v>
      </c>
      <c r="O4584">
        <v>5.5692440000000001E-3</v>
      </c>
      <c r="P4584">
        <v>0.98543840000000005</v>
      </c>
      <c r="Q4584">
        <v>0.152913299999999</v>
      </c>
      <c r="R4584">
        <v>7.4354569999999995E-2</v>
      </c>
      <c r="S4584">
        <v>3.0694270000000001</v>
      </c>
      <c r="T4584">
        <v>-1.2771960000000001E-2</v>
      </c>
      <c r="U4584">
        <v>-0.31915280000000001</v>
      </c>
      <c r="V4584">
        <v>-6.8924490000000005E-2</v>
      </c>
      <c r="W4584">
        <v>0.1647286</v>
      </c>
      <c r="X4584">
        <v>0.98392780000000002</v>
      </c>
      <c r="Y4584">
        <v>0.1089548</v>
      </c>
      <c r="Z4584">
        <v>-8.3911710000000004E-4</v>
      </c>
      <c r="AA4584">
        <v>0.99404630000000005</v>
      </c>
      <c r="AB4584">
        <v>40</v>
      </c>
      <c r="AC4584">
        <v>77.575199999999995</v>
      </c>
      <c r="AD4584">
        <v>-0.3245191</v>
      </c>
      <c r="AE4584">
        <v>-8.1113999999999997</v>
      </c>
      <c r="AF4584">
        <v>8.5431927509144696</v>
      </c>
      <c r="AG4584">
        <v>-0.3245191</v>
      </c>
      <c r="AH4584">
        <v>77.527477082626206</v>
      </c>
      <c r="AI4584">
        <v>90.2383876658742</v>
      </c>
      <c r="AJ4584">
        <v>83.711624369564902</v>
      </c>
      <c r="AK4584">
        <v>77.997443277473394</v>
      </c>
      <c r="AL4584">
        <v>80.518531401605301</v>
      </c>
      <c r="AM4584">
        <v>94.007043893811101</v>
      </c>
      <c r="AN4584">
        <v>1.0000000062962799</v>
      </c>
    </row>
    <row r="4585" spans="1:40" x14ac:dyDescent="0.25">
      <c r="A4585" t="str">
        <f>"20190304154845540"</f>
        <v>20190304154845540</v>
      </c>
      <c r="B4585" t="str">
        <f>"1551685725531834"</f>
        <v>1551685725531834</v>
      </c>
      <c r="C4585" t="s">
        <v>40</v>
      </c>
      <c r="D4585">
        <v>4.4935419999999997</v>
      </c>
      <c r="E4585">
        <v>0.56771579999999999</v>
      </c>
      <c r="F4585" t="s">
        <v>48</v>
      </c>
      <c r="G4585">
        <v>-177.65539999999999</v>
      </c>
      <c r="H4585">
        <v>1.0463579999999999</v>
      </c>
      <c r="I4585">
        <v>205.76900000000001</v>
      </c>
      <c r="J4585">
        <v>-254.87370000000001</v>
      </c>
      <c r="K4585">
        <v>1.1102799999999999</v>
      </c>
      <c r="L4585">
        <v>213.9238</v>
      </c>
      <c r="M4585">
        <v>0.99991140000000001</v>
      </c>
      <c r="N4585">
        <v>-1.202249E-2</v>
      </c>
      <c r="O4585">
        <v>5.7247419999999997E-3</v>
      </c>
      <c r="P4585">
        <v>0.98495410000000005</v>
      </c>
      <c r="Q4585">
        <v>0.15583810000000001</v>
      </c>
      <c r="R4585">
        <v>7.4702290000000005E-2</v>
      </c>
      <c r="S4585">
        <v>3.0690309999999998</v>
      </c>
      <c r="T4585">
        <v>-2.5262829999999998E-3</v>
      </c>
      <c r="U4585">
        <v>-0.32228089999999998</v>
      </c>
      <c r="V4585">
        <v>-6.9122690000000001E-2</v>
      </c>
      <c r="W4585">
        <v>0.16764860000000001</v>
      </c>
      <c r="X4585">
        <v>0.98342059999999998</v>
      </c>
      <c r="Y4585">
        <v>0.11012760000000001</v>
      </c>
      <c r="Z4585">
        <v>-6.451114E-4</v>
      </c>
      <c r="AA4585">
        <v>0.99391719999999895</v>
      </c>
      <c r="AB4585">
        <v>40</v>
      </c>
      <c r="AC4585">
        <v>77.218299999999999</v>
      </c>
      <c r="AD4585">
        <v>-6.3922000000000007E-2</v>
      </c>
      <c r="AE4585">
        <v>-8.1547999999999892</v>
      </c>
      <c r="AF4585">
        <v>8.5967472955214799</v>
      </c>
      <c r="AG4585">
        <v>-6.3922000000000007E-2</v>
      </c>
      <c r="AH4585">
        <v>77.170294685397394</v>
      </c>
      <c r="AI4585">
        <v>90.047167682714402</v>
      </c>
      <c r="AJ4585">
        <v>83.643475771607399</v>
      </c>
      <c r="AK4585">
        <v>77.647682076905696</v>
      </c>
      <c r="AL4585">
        <v>80.348868631248394</v>
      </c>
      <c r="AM4585">
        <v>94.020594659528896</v>
      </c>
      <c r="AN4585">
        <v>1.0000000379295699</v>
      </c>
    </row>
    <row r="4586" spans="1:40" x14ac:dyDescent="0.25">
      <c r="A4586" t="str">
        <f>"20190304154845563"</f>
        <v>20190304154845563</v>
      </c>
      <c r="B4586" t="str">
        <f>"1551685725551355"</f>
        <v>1551685725551355</v>
      </c>
      <c r="C4586" t="s">
        <v>40</v>
      </c>
      <c r="D4586">
        <v>4.7347149999999996</v>
      </c>
      <c r="E4586">
        <v>0.57072619999999996</v>
      </c>
      <c r="F4586" t="s">
        <v>70</v>
      </c>
      <c r="G4586">
        <v>-168.41149999999999</v>
      </c>
      <c r="H4586">
        <v>1.3502369999999999</v>
      </c>
      <c r="I4586">
        <v>204.893</v>
      </c>
      <c r="J4586">
        <v>-254.4726</v>
      </c>
      <c r="K4586">
        <v>1.1102909999999999</v>
      </c>
      <c r="L4586">
        <v>213.92619999999999</v>
      </c>
      <c r="M4586">
        <v>0.99991050000000004</v>
      </c>
      <c r="N4586">
        <v>-1.2023310000000001E-2</v>
      </c>
      <c r="O4586">
        <v>5.874995E-3</v>
      </c>
      <c r="P4586">
        <v>0.98473390000000005</v>
      </c>
      <c r="Q4586">
        <v>0.15720410000000001</v>
      </c>
      <c r="R4586">
        <v>7.4742390000000006E-2</v>
      </c>
      <c r="S4586">
        <v>3.0687709999999999</v>
      </c>
      <c r="T4586">
        <v>8.5178609999999998E-3</v>
      </c>
      <c r="U4586">
        <v>-0.32052609999999998</v>
      </c>
      <c r="V4586">
        <v>-6.9016820000000006E-2</v>
      </c>
      <c r="W4586">
        <v>0.16901260000000001</v>
      </c>
      <c r="X4586">
        <v>0.98319449999999997</v>
      </c>
      <c r="Y4586">
        <v>0.10972519999999999</v>
      </c>
      <c r="Z4586">
        <v>-4.22867E-4</v>
      </c>
      <c r="AA4586">
        <v>0.99396189999999995</v>
      </c>
      <c r="AB4586">
        <v>40</v>
      </c>
      <c r="AC4586">
        <v>86.061099999999996</v>
      </c>
      <c r="AD4586">
        <v>0.23994599999999999</v>
      </c>
      <c r="AE4586">
        <v>-9.0331999999999901</v>
      </c>
      <c r="AF4586">
        <v>9.5386158036708508</v>
      </c>
      <c r="AG4586">
        <v>0.23994599999999999</v>
      </c>
      <c r="AH4586">
        <v>86.005879433688307</v>
      </c>
      <c r="AI4586">
        <v>89.841126223967507</v>
      </c>
      <c r="AJ4586">
        <v>83.671385782506604</v>
      </c>
      <c r="AK4586">
        <v>86.5335429916924</v>
      </c>
      <c r="AL4586">
        <v>80.269585519553104</v>
      </c>
      <c r="AM4586">
        <v>94.015376931853396</v>
      </c>
      <c r="AN4586">
        <v>1.0000000026159599</v>
      </c>
    </row>
    <row r="4587" spans="1:40" x14ac:dyDescent="0.25">
      <c r="A4587" t="str">
        <f>"20190304154845584"</f>
        <v>20190304154845584</v>
      </c>
      <c r="B4587" t="str">
        <f>"1551685725581610"</f>
        <v>1551685725581610</v>
      </c>
      <c r="C4587" t="s">
        <v>40</v>
      </c>
      <c r="D4587">
        <v>4.6989539999999996</v>
      </c>
      <c r="E4587">
        <v>0.57047440000000005</v>
      </c>
      <c r="F4587" t="s">
        <v>70</v>
      </c>
      <c r="G4587">
        <v>-168.4118</v>
      </c>
      <c r="H4587">
        <v>1.691038</v>
      </c>
      <c r="I4587">
        <v>204.27879999999999</v>
      </c>
      <c r="J4587">
        <v>-254.07499999999999</v>
      </c>
      <c r="K4587">
        <v>1.1102920000000001</v>
      </c>
      <c r="L4587">
        <v>213.92869999999999</v>
      </c>
      <c r="M4587">
        <v>0.99990970000000001</v>
      </c>
      <c r="N4587">
        <v>-1.2024139999999999E-2</v>
      </c>
      <c r="O4587">
        <v>6.0235820000000004E-3</v>
      </c>
      <c r="P4587">
        <v>0.98456089999999996</v>
      </c>
      <c r="Q4587">
        <v>0.15857349999999901</v>
      </c>
      <c r="R4587">
        <v>7.4125609999999995E-2</v>
      </c>
      <c r="S4587">
        <v>3.069321</v>
      </c>
      <c r="T4587">
        <v>2.0713209999999999E-2</v>
      </c>
      <c r="U4587">
        <v>-0.3440704</v>
      </c>
      <c r="V4587">
        <v>-6.8255510000000005E-2</v>
      </c>
      <c r="W4587">
        <v>0.170381</v>
      </c>
      <c r="X4587">
        <v>0.98301139999999998</v>
      </c>
      <c r="Y4587">
        <v>0.11738759999999999</v>
      </c>
      <c r="Z4587">
        <v>-2.0039E-4</v>
      </c>
      <c r="AA4587">
        <v>0.99308620000000003</v>
      </c>
      <c r="AB4587">
        <v>40</v>
      </c>
      <c r="AC4587">
        <v>85.663199999999904</v>
      </c>
      <c r="AD4587">
        <v>0.58074599999999998</v>
      </c>
      <c r="AE4587">
        <v>-9.6499000000000006</v>
      </c>
      <c r="AF4587">
        <v>10.1653001050821</v>
      </c>
      <c r="AG4587">
        <v>0.58074599999999998</v>
      </c>
      <c r="AH4587">
        <v>85.599629625996101</v>
      </c>
      <c r="AI4587">
        <v>89.613998072672402</v>
      </c>
      <c r="AJ4587">
        <v>83.227612923315405</v>
      </c>
      <c r="AK4587">
        <v>86.203057859049395</v>
      </c>
      <c r="AL4587">
        <v>80.190027632575806</v>
      </c>
      <c r="AM4587">
        <v>93.971963990963303</v>
      </c>
      <c r="AN4587">
        <v>0.99999995616815895</v>
      </c>
    </row>
    <row r="4588" spans="1:40" x14ac:dyDescent="0.25">
      <c r="A4588" t="str">
        <f>"20190304154845606"</f>
        <v>20190304154845606</v>
      </c>
      <c r="B4588" t="str">
        <f>"1551685725601130"</f>
        <v>1551685725601130</v>
      </c>
      <c r="C4588" t="s">
        <v>40</v>
      </c>
      <c r="D4588">
        <v>4.7351859999999997</v>
      </c>
      <c r="E4588">
        <v>0.56956909999999905</v>
      </c>
      <c r="F4588" t="s">
        <v>70</v>
      </c>
      <c r="G4588">
        <v>-168.4117</v>
      </c>
      <c r="H4588">
        <v>1.4665619999999999</v>
      </c>
      <c r="I4588">
        <v>204.33670000000001</v>
      </c>
      <c r="J4588">
        <v>-253.67529999999999</v>
      </c>
      <c r="K4588">
        <v>1.1102909999999999</v>
      </c>
      <c r="L4588">
        <v>213.93119999999999</v>
      </c>
      <c r="M4588">
        <v>0.99990880000000004</v>
      </c>
      <c r="N4588">
        <v>-1.2024969999999999E-2</v>
      </c>
      <c r="O4588">
        <v>6.1730020000000003E-3</v>
      </c>
      <c r="P4588">
        <v>0.98446500000000003</v>
      </c>
      <c r="Q4588">
        <v>0.15955329999999901</v>
      </c>
      <c r="R4588">
        <v>7.3291309999999998E-2</v>
      </c>
      <c r="S4588">
        <v>3.0708920000000002</v>
      </c>
      <c r="T4588">
        <v>1.2772800000000001E-2</v>
      </c>
      <c r="U4588">
        <v>-0.34385680000000002</v>
      </c>
      <c r="V4588">
        <v>-6.7274529999999999E-2</v>
      </c>
      <c r="W4588">
        <v>0.1713606</v>
      </c>
      <c r="X4588">
        <v>0.98290880000000003</v>
      </c>
      <c r="Y4588">
        <v>0.1174116</v>
      </c>
      <c r="Z4588">
        <v>-3.6514810000000001E-4</v>
      </c>
      <c r="AA4588">
        <v>0.9930833</v>
      </c>
      <c r="AB4588">
        <v>40</v>
      </c>
      <c r="AC4588">
        <v>85.263599999999997</v>
      </c>
      <c r="AD4588">
        <v>0.356271</v>
      </c>
      <c r="AE4588">
        <v>-9.5944999999999805</v>
      </c>
      <c r="AF4588">
        <v>10.120513026292601</v>
      </c>
      <c r="AG4588">
        <v>0.356271</v>
      </c>
      <c r="AH4588">
        <v>85.201275106707499</v>
      </c>
      <c r="AI4588">
        <v>89.762090337669903</v>
      </c>
      <c r="AJ4588">
        <v>83.225942439338993</v>
      </c>
      <c r="AK4588">
        <v>85.800984800581702</v>
      </c>
      <c r="AL4588">
        <v>80.133063497286301</v>
      </c>
      <c r="AM4588">
        <v>93.915464449377296</v>
      </c>
      <c r="AN4588">
        <v>1.0000000133682601</v>
      </c>
    </row>
    <row r="4589" spans="1:40" x14ac:dyDescent="0.25">
      <c r="A4589" t="str">
        <f>"20190304154845629"</f>
        <v>20190304154845629</v>
      </c>
      <c r="B4589" t="str">
        <f>"1551685725621630"</f>
        <v>1551685725621630</v>
      </c>
      <c r="C4589" t="s">
        <v>40</v>
      </c>
      <c r="D4589">
        <v>4.6754850000000001</v>
      </c>
      <c r="E4589">
        <v>0.56825150000000002</v>
      </c>
      <c r="F4589" t="s">
        <v>70</v>
      </c>
      <c r="G4589">
        <v>-168.41159999999999</v>
      </c>
      <c r="H4589">
        <v>1.323502</v>
      </c>
      <c r="I4589">
        <v>204.52600000000001</v>
      </c>
      <c r="J4589">
        <v>-253.262</v>
      </c>
      <c r="K4589">
        <v>1.1102909999999999</v>
      </c>
      <c r="L4589">
        <v>213.93389999999999</v>
      </c>
      <c r="M4589">
        <v>0.99990769999999995</v>
      </c>
      <c r="N4589">
        <v>-1.2025849999999999E-2</v>
      </c>
      <c r="O4589">
        <v>6.3277250000000002E-3</v>
      </c>
      <c r="P4589">
        <v>0.98461259999999995</v>
      </c>
      <c r="Q4589">
        <v>0.15864489999999901</v>
      </c>
      <c r="R4589">
        <v>7.32796E-2</v>
      </c>
      <c r="S4589">
        <v>3.0713200000000001</v>
      </c>
      <c r="T4589">
        <v>7.6813699999999999E-3</v>
      </c>
      <c r="U4589">
        <v>-0.33879090000000001</v>
      </c>
      <c r="V4589">
        <v>-6.7109000000000002E-2</v>
      </c>
      <c r="W4589">
        <v>0.17045569999999999</v>
      </c>
      <c r="X4589">
        <v>0.98307739999999999</v>
      </c>
      <c r="Y4589">
        <v>0.1159314</v>
      </c>
      <c r="Z4589">
        <v>-4.6304119999999999E-4</v>
      </c>
      <c r="AA4589">
        <v>0.9932571</v>
      </c>
      <c r="AB4589">
        <v>40</v>
      </c>
      <c r="AC4589">
        <v>84.850399999999993</v>
      </c>
      <c r="AD4589">
        <v>0.21321100000000001</v>
      </c>
      <c r="AE4589">
        <v>-9.4079000000000104</v>
      </c>
      <c r="AF4589">
        <v>9.9445984026940604</v>
      </c>
      <c r="AG4589">
        <v>0.21321100000000001</v>
      </c>
      <c r="AH4589">
        <v>84.788637258589802</v>
      </c>
      <c r="AI4589">
        <v>89.856904190824906</v>
      </c>
      <c r="AJ4589">
        <v>83.310516586108804</v>
      </c>
      <c r="AK4589">
        <v>85.370097250091703</v>
      </c>
      <c r="AL4589">
        <v>80.185684226442604</v>
      </c>
      <c r="AM4589">
        <v>93.905192455017499</v>
      </c>
      <c r="AN4589">
        <v>0.99999996896712395</v>
      </c>
    </row>
    <row r="4590" spans="1:40" x14ac:dyDescent="0.25">
      <c r="A4590" t="str">
        <f>"20190304154845651"</f>
        <v>20190304154845651</v>
      </c>
      <c r="B4590" t="str">
        <f>"1551685725641146"</f>
        <v>1551685725641146</v>
      </c>
      <c r="C4590" t="s">
        <v>40</v>
      </c>
      <c r="D4590">
        <v>4.6179569999999996</v>
      </c>
      <c r="E4590">
        <v>0.56715890000000002</v>
      </c>
      <c r="F4590" t="s">
        <v>48</v>
      </c>
      <c r="G4590">
        <v>-177.66329999999999</v>
      </c>
      <c r="H4590">
        <v>1.0111669999999999</v>
      </c>
      <c r="I4590">
        <v>205.8451</v>
      </c>
      <c r="J4590">
        <v>-252.85919999999999</v>
      </c>
      <c r="K4590">
        <v>1.1102860000000001</v>
      </c>
      <c r="L4590">
        <v>213.9366</v>
      </c>
      <c r="M4590">
        <v>0.99990670000000004</v>
      </c>
      <c r="N4590">
        <v>-1.2026739999999999E-2</v>
      </c>
      <c r="O4590">
        <v>6.4786310000000003E-3</v>
      </c>
      <c r="P4590">
        <v>0.98478449999999995</v>
      </c>
      <c r="Q4590">
        <v>0.15731629999999899</v>
      </c>
      <c r="R4590">
        <v>7.382996E-2</v>
      </c>
      <c r="S4590">
        <v>3.0719759999999998</v>
      </c>
      <c r="T4590">
        <v>-4.0279629999999999E-3</v>
      </c>
      <c r="U4590">
        <v>-0.32868960000000003</v>
      </c>
      <c r="V4590">
        <v>-6.7509479999999997E-2</v>
      </c>
      <c r="W4590">
        <v>0.16912959999999999</v>
      </c>
      <c r="X4590">
        <v>0.98327900000000001</v>
      </c>
      <c r="Y4590">
        <v>0.1128276</v>
      </c>
      <c r="Z4590">
        <v>-6.8497079999999997E-4</v>
      </c>
      <c r="AA4590">
        <v>0.99361429999999995</v>
      </c>
      <c r="AB4590">
        <v>40</v>
      </c>
      <c r="AC4590">
        <v>75.195899999999995</v>
      </c>
      <c r="AD4590">
        <v>-9.9119000000000096E-2</v>
      </c>
      <c r="AE4590">
        <v>-8.0914999999999893</v>
      </c>
      <c r="AF4590">
        <v>8.5785171474932493</v>
      </c>
      <c r="AG4590">
        <v>-9.9119000000000096E-2</v>
      </c>
      <c r="AH4590">
        <v>75.1417669708961</v>
      </c>
      <c r="AI4590">
        <v>90.075090670949507</v>
      </c>
      <c r="AJ4590">
        <v>83.487057712131602</v>
      </c>
      <c r="AK4590">
        <v>75.629927439701106</v>
      </c>
      <c r="AL4590">
        <v>80.262783693356994</v>
      </c>
      <c r="AM4590">
        <v>93.927621430854799</v>
      </c>
      <c r="AN4590">
        <v>0.99999997166351395</v>
      </c>
    </row>
    <row r="4591" spans="1:40" x14ac:dyDescent="0.25">
      <c r="A4591" t="str">
        <f>"20190304154845673"</f>
        <v>20190304154845673</v>
      </c>
      <c r="B4591" t="str">
        <f>"1551685725661642"</f>
        <v>1551685725661642</v>
      </c>
      <c r="C4591" t="s">
        <v>40</v>
      </c>
      <c r="D4591">
        <v>4.6278350000000001</v>
      </c>
      <c r="E4591">
        <v>0.5661583</v>
      </c>
      <c r="F4591" t="s">
        <v>70</v>
      </c>
      <c r="G4591">
        <v>-168.4111</v>
      </c>
      <c r="H4591">
        <v>0.64541630000000005</v>
      </c>
      <c r="I4591">
        <v>205.18389999999999</v>
      </c>
      <c r="J4591">
        <v>-252.4682</v>
      </c>
      <c r="K4591">
        <v>1.1102799999999999</v>
      </c>
      <c r="L4591">
        <v>213.9393</v>
      </c>
      <c r="M4591">
        <v>0.99990579999999996</v>
      </c>
      <c r="N4591">
        <v>-1.202756E-2</v>
      </c>
      <c r="O4591">
        <v>6.6246539999999998E-3</v>
      </c>
      <c r="P4591">
        <v>0.98495529999999998</v>
      </c>
      <c r="Q4591">
        <v>0.15598290000000001</v>
      </c>
      <c r="R4591">
        <v>7.4383199999999997E-2</v>
      </c>
      <c r="S4591">
        <v>3.0729220000000002</v>
      </c>
      <c r="T4591">
        <v>-1.691461E-2</v>
      </c>
      <c r="U4591">
        <v>-0.31849670000000002</v>
      </c>
      <c r="V4591">
        <v>-6.7917130000000006E-2</v>
      </c>
      <c r="W4591">
        <v>0.167799</v>
      </c>
      <c r="X4591">
        <v>0.98347890000000004</v>
      </c>
      <c r="Y4591">
        <v>0.1096761</v>
      </c>
      <c r="Z4591">
        <v>-9.193192E-4</v>
      </c>
      <c r="AA4591">
        <v>0.99396689999999999</v>
      </c>
      <c r="AB4591">
        <v>40</v>
      </c>
      <c r="AC4591">
        <v>84.057099999999906</v>
      </c>
      <c r="AD4591">
        <v>-0.46486369999999899</v>
      </c>
      <c r="AE4591">
        <v>-8.7553999999999998</v>
      </c>
      <c r="AF4591">
        <v>9.3118155508556395</v>
      </c>
      <c r="AG4591">
        <v>-0.46486369999999899</v>
      </c>
      <c r="AH4591">
        <v>83.994708189337103</v>
      </c>
      <c r="AI4591">
        <v>90.3151660356192</v>
      </c>
      <c r="AJ4591">
        <v>83.673911493991596</v>
      </c>
      <c r="AK4591">
        <v>84.510573367624403</v>
      </c>
      <c r="AL4591">
        <v>80.340127090067398</v>
      </c>
      <c r="AM4591">
        <v>93.950462542250705</v>
      </c>
      <c r="AN4591">
        <v>0.99999999384682303</v>
      </c>
    </row>
    <row r="4592" spans="1:40" x14ac:dyDescent="0.25">
      <c r="A4592" t="str">
        <f>"20190304154845695"</f>
        <v>20190304154845695</v>
      </c>
      <c r="B4592" t="str">
        <f>"1551685725691898"</f>
        <v>1551685725691898</v>
      </c>
      <c r="C4592" t="s">
        <v>40</v>
      </c>
      <c r="D4592">
        <v>4.6224730000000003</v>
      </c>
      <c r="E4592">
        <v>0.56582840000000001</v>
      </c>
      <c r="F4592" t="s">
        <v>70</v>
      </c>
      <c r="G4592">
        <v>-168.4109</v>
      </c>
      <c r="H4592">
        <v>0.3450394</v>
      </c>
      <c r="I4592">
        <v>205.49189999999999</v>
      </c>
      <c r="J4592">
        <v>-252.0575</v>
      </c>
      <c r="K4592">
        <v>1.1102749999999999</v>
      </c>
      <c r="L4592">
        <v>213.94210000000001</v>
      </c>
      <c r="M4592">
        <v>0.99990480000000004</v>
      </c>
      <c r="N4592">
        <v>-1.202844E-2</v>
      </c>
      <c r="O4592">
        <v>6.7787209999999997E-3</v>
      </c>
      <c r="P4592">
        <v>0.98505529999999997</v>
      </c>
      <c r="Q4592">
        <v>0.15493509999999999</v>
      </c>
      <c r="R4592">
        <v>7.5243669999999999E-2</v>
      </c>
      <c r="S4592">
        <v>3.0735929999999998</v>
      </c>
      <c r="T4592">
        <v>-2.7980209999999998E-2</v>
      </c>
      <c r="U4592">
        <v>-0.30888369999999998</v>
      </c>
      <c r="V4592">
        <v>-6.8624920000000006E-2</v>
      </c>
      <c r="W4592">
        <v>0.1667535</v>
      </c>
      <c r="X4592">
        <v>0.98360760000000003</v>
      </c>
      <c r="Y4592">
        <v>0.106725</v>
      </c>
      <c r="Z4592">
        <v>-1.108314E-3</v>
      </c>
      <c r="AA4592">
        <v>0.99428799999999995</v>
      </c>
      <c r="AB4592">
        <v>40</v>
      </c>
      <c r="AC4592">
        <v>83.646600000000007</v>
      </c>
      <c r="AD4592">
        <v>-0.76523559999999902</v>
      </c>
      <c r="AE4592">
        <v>-8.4502000000000201</v>
      </c>
      <c r="AF4592">
        <v>9.0163167530942392</v>
      </c>
      <c r="AG4592">
        <v>-0.76523559999999902</v>
      </c>
      <c r="AH4592">
        <v>83.580467684078002</v>
      </c>
      <c r="AI4592">
        <v>90.521541185104596</v>
      </c>
      <c r="AJ4592">
        <v>83.842977039662003</v>
      </c>
      <c r="AK4592">
        <v>84.068865411666096</v>
      </c>
      <c r="AL4592">
        <v>80.400886076348399</v>
      </c>
      <c r="AM4592">
        <v>93.990978831991498</v>
      </c>
      <c r="AN4592">
        <v>1.0000000100924999</v>
      </c>
    </row>
    <row r="4593" spans="1:40" x14ac:dyDescent="0.25">
      <c r="A4593" t="str">
        <f>"20190304154845718"</f>
        <v>20190304154845718</v>
      </c>
      <c r="B4593" t="str">
        <f>"1551685725711422"</f>
        <v>1551685725711422</v>
      </c>
      <c r="C4593" t="s">
        <v>40</v>
      </c>
      <c r="D4593">
        <v>4.7211089999999896</v>
      </c>
      <c r="E4593">
        <v>0.56579849999999998</v>
      </c>
      <c r="F4593" t="s">
        <v>70</v>
      </c>
      <c r="G4593">
        <v>-168.41079999999999</v>
      </c>
      <c r="H4593">
        <v>0.1058979</v>
      </c>
      <c r="I4593">
        <v>205.66810000000001</v>
      </c>
      <c r="J4593">
        <v>-251.65270000000001</v>
      </c>
      <c r="K4593">
        <v>1.1102749999999999</v>
      </c>
      <c r="L4593">
        <v>213.94499999999999</v>
      </c>
      <c r="M4593">
        <v>0.99990369999999995</v>
      </c>
      <c r="N4593">
        <v>-1.202931E-2</v>
      </c>
      <c r="O4593">
        <v>6.9305819999999898E-3</v>
      </c>
      <c r="P4593">
        <v>0.9851027</v>
      </c>
      <c r="Q4593">
        <v>0.15464269999999999</v>
      </c>
      <c r="R4593">
        <v>7.5222520000000001E-2</v>
      </c>
      <c r="S4593">
        <v>3.0745390000000001</v>
      </c>
      <c r="T4593">
        <v>-3.6915900000000001E-2</v>
      </c>
      <c r="U4593">
        <v>-0.30412289999999997</v>
      </c>
      <c r="V4593">
        <v>-6.8453390000000003E-2</v>
      </c>
      <c r="W4593">
        <v>0.1664629</v>
      </c>
      <c r="X4593">
        <v>0.98366869999999995</v>
      </c>
      <c r="Y4593">
        <v>0.1053161</v>
      </c>
      <c r="Z4593">
        <v>-1.2656049999999999E-3</v>
      </c>
      <c r="AA4593">
        <v>0.99443800000000004</v>
      </c>
      <c r="AB4593">
        <v>40</v>
      </c>
      <c r="AC4593">
        <v>83.241900000000001</v>
      </c>
      <c r="AD4593">
        <v>-1.0043770999999999</v>
      </c>
      <c r="AE4593">
        <v>-8.2768999999999799</v>
      </c>
      <c r="AF4593">
        <v>8.8523815674734596</v>
      </c>
      <c r="AG4593">
        <v>-1.0043770999999999</v>
      </c>
      <c r="AH4593">
        <v>83.170542978078899</v>
      </c>
      <c r="AI4593">
        <v>90.687991150396201</v>
      </c>
      <c r="AJ4593">
        <v>83.924511335798996</v>
      </c>
      <c r="AK4593">
        <v>83.646354684729801</v>
      </c>
      <c r="AL4593">
        <v>80.417771542766104</v>
      </c>
      <c r="AM4593">
        <v>93.980788894246999</v>
      </c>
      <c r="AN4593">
        <v>0.99999993751929395</v>
      </c>
    </row>
    <row r="4594" spans="1:40" x14ac:dyDescent="0.25">
      <c r="A4594" t="str">
        <f>"20190304154845740"</f>
        <v>20190304154845740</v>
      </c>
      <c r="B4594" t="str">
        <f>"1551685725731916"</f>
        <v>1551685725731916</v>
      </c>
      <c r="C4594" t="s">
        <v>40</v>
      </c>
      <c r="D4594">
        <v>4.5776659999999998</v>
      </c>
      <c r="E4594">
        <v>0.5653475</v>
      </c>
      <c r="F4594" t="s">
        <v>70</v>
      </c>
      <c r="G4594">
        <v>-168.41079999999999</v>
      </c>
      <c r="H4594">
        <v>3.2285689999999999E-2</v>
      </c>
      <c r="I4594">
        <v>205.70689999999999</v>
      </c>
      <c r="J4594">
        <v>-251.24610000000001</v>
      </c>
      <c r="K4594">
        <v>1.110269</v>
      </c>
      <c r="L4594">
        <v>213.94800000000001</v>
      </c>
      <c r="M4594">
        <v>0.99990259999999997</v>
      </c>
      <c r="N4594">
        <v>-1.203017E-2</v>
      </c>
      <c r="O4594">
        <v>7.0827429999999999E-3</v>
      </c>
      <c r="P4594">
        <v>0.98517270000000001</v>
      </c>
      <c r="Q4594">
        <v>0.15416340000000001</v>
      </c>
      <c r="R4594">
        <v>7.529073E-2</v>
      </c>
      <c r="S4594">
        <v>3.0748600000000001</v>
      </c>
      <c r="T4594">
        <v>-3.9818409999999999E-2</v>
      </c>
      <c r="U4594">
        <v>-0.30430600000000002</v>
      </c>
      <c r="V4594">
        <v>-6.8370769999999997E-2</v>
      </c>
      <c r="W4594">
        <v>0.1659851</v>
      </c>
      <c r="X4594">
        <v>0.98375520000000005</v>
      </c>
      <c r="Y4594">
        <v>0.1055141</v>
      </c>
      <c r="Z4594">
        <v>-1.3242939999999999E-3</v>
      </c>
      <c r="AA4594">
        <v>0.994417</v>
      </c>
      <c r="AB4594">
        <v>40</v>
      </c>
      <c r="AC4594">
        <v>82.835300000000004</v>
      </c>
      <c r="AD4594">
        <v>-1.07798331</v>
      </c>
      <c r="AE4594">
        <v>-8.2410999999999799</v>
      </c>
      <c r="AF4594">
        <v>8.8261567433750905</v>
      </c>
      <c r="AG4594">
        <v>-1.07798331</v>
      </c>
      <c r="AH4594">
        <v>82.760969670977403</v>
      </c>
      <c r="AI4594">
        <v>90.742042948814202</v>
      </c>
      <c r="AJ4594">
        <v>83.912621850019093</v>
      </c>
      <c r="AK4594">
        <v>83.237258434884296</v>
      </c>
      <c r="AL4594">
        <v>80.445533859224795</v>
      </c>
      <c r="AM4594">
        <v>93.975651207563999</v>
      </c>
      <c r="AN4594">
        <v>0.99999995456972002</v>
      </c>
    </row>
    <row r="4595" spans="1:40" x14ac:dyDescent="0.25">
      <c r="A4595" t="str">
        <f>"20190304154845763"</f>
        <v>20190304154845763</v>
      </c>
      <c r="B4595" t="str">
        <f>"1551685725751435"</f>
        <v>1551685725751435</v>
      </c>
      <c r="C4595" t="s">
        <v>40</v>
      </c>
      <c r="D4595">
        <v>4.6087559999999996</v>
      </c>
      <c r="E4595">
        <v>0.56493230000000005</v>
      </c>
      <c r="F4595" t="s">
        <v>54</v>
      </c>
      <c r="G4595">
        <v>-179.95779999999999</v>
      </c>
      <c r="H4595">
        <v>4.7791649999999998E-2</v>
      </c>
      <c r="I4595">
        <v>206.9819</v>
      </c>
      <c r="J4595">
        <v>-250.8415</v>
      </c>
      <c r="K4595">
        <v>1.110269</v>
      </c>
      <c r="L4595">
        <v>213.95099999999999</v>
      </c>
      <c r="M4595">
        <v>0.99990159999999995</v>
      </c>
      <c r="N4595">
        <v>-1.2031210000000001E-2</v>
      </c>
      <c r="O4595">
        <v>7.2341289999999997E-3</v>
      </c>
      <c r="P4595">
        <v>0.98508200000000001</v>
      </c>
      <c r="Q4595">
        <v>0.15465079999999901</v>
      </c>
      <c r="R4595">
        <v>7.5478459999999997E-2</v>
      </c>
      <c r="S4595">
        <v>3.0752869999999999</v>
      </c>
      <c r="T4595">
        <v>-4.5833949999999998E-2</v>
      </c>
      <c r="U4595">
        <v>-0.30050660000000001</v>
      </c>
      <c r="V4595">
        <v>-6.841013E-2</v>
      </c>
      <c r="W4595">
        <v>0.166472799999999</v>
      </c>
      <c r="X4595">
        <v>0.98367009999999999</v>
      </c>
      <c r="Y4595">
        <v>0.1044303</v>
      </c>
      <c r="Z4595">
        <v>-1.426851E-3</v>
      </c>
      <c r="AA4595">
        <v>0.99453119999999995</v>
      </c>
      <c r="AB4595">
        <v>40</v>
      </c>
      <c r="AC4595">
        <v>70.883700000000005</v>
      </c>
      <c r="AD4595">
        <v>-1.06247735</v>
      </c>
      <c r="AE4595">
        <v>-6.9690999999999903</v>
      </c>
      <c r="AF4595">
        <v>7.4800720226495701</v>
      </c>
      <c r="AG4595">
        <v>-1.06247735</v>
      </c>
      <c r="AH4595">
        <v>70.815668041429305</v>
      </c>
      <c r="AI4595">
        <v>90.854813566208193</v>
      </c>
      <c r="AJ4595">
        <v>83.9703562958871</v>
      </c>
      <c r="AK4595">
        <v>71.217548228910502</v>
      </c>
      <c r="AL4595">
        <v>80.417196914841199</v>
      </c>
      <c r="AM4595">
        <v>93.978275620047498</v>
      </c>
      <c r="AN4595">
        <v>1.00000000233023</v>
      </c>
    </row>
    <row r="4596" spans="1:40" x14ac:dyDescent="0.25">
      <c r="A4596" t="str">
        <f>"20190304154845785"</f>
        <v>20190304154845785</v>
      </c>
      <c r="B4596" t="str">
        <f>"1551685725781373"</f>
        <v>1551685725781373</v>
      </c>
      <c r="C4596" t="s">
        <v>40</v>
      </c>
      <c r="D4596">
        <v>4.6504260000000004</v>
      </c>
      <c r="E4596">
        <v>0.56407479999999999</v>
      </c>
      <c r="F4596" t="s">
        <v>54</v>
      </c>
      <c r="G4596">
        <v>-181.4016</v>
      </c>
      <c r="H4596" s="1">
        <v>3.5823439999999999E-6</v>
      </c>
      <c r="I4596">
        <v>207.2492</v>
      </c>
      <c r="J4596">
        <v>-250.4358</v>
      </c>
      <c r="K4596">
        <v>1.110271</v>
      </c>
      <c r="L4596">
        <v>213.95410000000001</v>
      </c>
      <c r="M4596">
        <v>0.99990029999999996</v>
      </c>
      <c r="N4596">
        <v>-1.2032320000000001E-2</v>
      </c>
      <c r="O4596">
        <v>7.3861100000000004E-3</v>
      </c>
      <c r="P4596">
        <v>0.98500810000000005</v>
      </c>
      <c r="Q4596">
        <v>0.15545900000000001</v>
      </c>
      <c r="R4596">
        <v>7.4776339999999997E-2</v>
      </c>
      <c r="S4596">
        <v>3.0758969999999999</v>
      </c>
      <c r="T4596">
        <v>-4.9180149999999999E-2</v>
      </c>
      <c r="U4596">
        <v>-0.2968597</v>
      </c>
      <c r="V4596">
        <v>-6.7559229999999998E-2</v>
      </c>
      <c r="W4596">
        <v>0.1672814</v>
      </c>
      <c r="X4596">
        <v>0.98359169999999996</v>
      </c>
      <c r="Y4596">
        <v>0.103392</v>
      </c>
      <c r="Z4596">
        <v>-1.4773129999999901E-3</v>
      </c>
      <c r="AA4596">
        <v>0.99463959999999996</v>
      </c>
      <c r="AB4596">
        <v>40</v>
      </c>
      <c r="AC4596">
        <v>69.034199999999998</v>
      </c>
      <c r="AD4596">
        <v>-1.1102674176559999</v>
      </c>
      <c r="AE4596">
        <v>-6.7049000000000003</v>
      </c>
      <c r="AF4596">
        <v>7.2127999868502304</v>
      </c>
      <c r="AG4596">
        <v>-1.1102674176559999</v>
      </c>
      <c r="AH4596">
        <v>68.965118210582105</v>
      </c>
      <c r="AI4596">
        <v>90.917320952268597</v>
      </c>
      <c r="AJ4596">
        <v>84.029358229787107</v>
      </c>
      <c r="AK4596">
        <v>69.350160109321905</v>
      </c>
      <c r="AL4596">
        <v>80.370208390832005</v>
      </c>
      <c r="AM4596">
        <v>93.929261099946402</v>
      </c>
      <c r="AN4596">
        <v>0.99999997432652099</v>
      </c>
    </row>
    <row r="4597" spans="1:40" x14ac:dyDescent="0.25">
      <c r="A4597" t="str">
        <f>"20190304154845807"</f>
        <v>20190304154845807</v>
      </c>
      <c r="B4597" t="str">
        <f>"1551685725801871"</f>
        <v>1551685725801871</v>
      </c>
      <c r="C4597" t="s">
        <v>40</v>
      </c>
      <c r="D4597">
        <v>4.6621860000000002</v>
      </c>
      <c r="E4597">
        <v>0.56404309999999902</v>
      </c>
      <c r="F4597" t="s">
        <v>54</v>
      </c>
      <c r="G4597">
        <v>-184.69370000000001</v>
      </c>
      <c r="H4597" s="1">
        <v>4.1503839999999997E-6</v>
      </c>
      <c r="I4597">
        <v>207.70699999999999</v>
      </c>
      <c r="J4597">
        <v>-250.0316</v>
      </c>
      <c r="K4597">
        <v>1.110269</v>
      </c>
      <c r="L4597">
        <v>213.9572</v>
      </c>
      <c r="M4597">
        <v>0.99989930000000005</v>
      </c>
      <c r="N4597">
        <v>-1.2033169999999999E-2</v>
      </c>
      <c r="O4597">
        <v>7.5370790000000003E-3</v>
      </c>
      <c r="P4597">
        <v>0.98506400000000005</v>
      </c>
      <c r="Q4597">
        <v>0.15534000000000001</v>
      </c>
      <c r="R4597">
        <v>7.4288019999999996E-2</v>
      </c>
      <c r="S4597">
        <v>3.07605</v>
      </c>
      <c r="T4597">
        <v>-5.1949019999999999E-2</v>
      </c>
      <c r="U4597">
        <v>-0.29229739999999999</v>
      </c>
      <c r="V4597">
        <v>-6.6921309999999998E-2</v>
      </c>
      <c r="W4597">
        <v>0.16716439999999999</v>
      </c>
      <c r="X4597">
        <v>0.98365519999999995</v>
      </c>
      <c r="Y4597">
        <v>0.1020737</v>
      </c>
      <c r="Z4597">
        <v>-1.5120540000000001E-3</v>
      </c>
      <c r="AA4597">
        <v>0.99477570000000004</v>
      </c>
      <c r="AB4597">
        <v>41</v>
      </c>
      <c r="AC4597">
        <v>65.337899999999905</v>
      </c>
      <c r="AD4597">
        <v>-1.1102648496159999</v>
      </c>
      <c r="AE4597">
        <v>-6.2502000000000004</v>
      </c>
      <c r="AF4597">
        <v>6.7405862616402903</v>
      </c>
      <c r="AG4597">
        <v>-1.1102648496159999</v>
      </c>
      <c r="AH4597">
        <v>65.270256280779094</v>
      </c>
      <c r="AI4597">
        <v>90.969368339637498</v>
      </c>
      <c r="AJ4597">
        <v>84.103855155521401</v>
      </c>
      <c r="AK4597">
        <v>65.6267822321458</v>
      </c>
      <c r="AL4597">
        <v>80.377007748695405</v>
      </c>
      <c r="AM4597">
        <v>93.892023607019496</v>
      </c>
      <c r="AN4597">
        <v>0.99999997542325703</v>
      </c>
    </row>
    <row r="4598" spans="1:40" x14ac:dyDescent="0.25">
      <c r="A4598" t="str">
        <f>"20190304154845830"</f>
        <v>20190304154845830</v>
      </c>
      <c r="B4598" t="str">
        <f>"1551685725821390"</f>
        <v>1551685725821390</v>
      </c>
      <c r="C4598" t="s">
        <v>40</v>
      </c>
      <c r="D4598">
        <v>4.6489079999999996</v>
      </c>
      <c r="E4598">
        <v>0.56421109999999997</v>
      </c>
      <c r="F4598" t="s">
        <v>54</v>
      </c>
      <c r="G4598">
        <v>-186.75899999999999</v>
      </c>
      <c r="H4598" s="1">
        <v>4.4418280000000003E-6</v>
      </c>
      <c r="I4598">
        <v>207.91890000000001</v>
      </c>
      <c r="J4598">
        <v>-249.6276</v>
      </c>
      <c r="K4598">
        <v>1.110279</v>
      </c>
      <c r="L4598">
        <v>213.96039999999999</v>
      </c>
      <c r="M4598">
        <v>0.99989819999999996</v>
      </c>
      <c r="N4598">
        <v>-1.2033790000000001E-2</v>
      </c>
      <c r="O4598">
        <v>7.6882269999999997E-3</v>
      </c>
      <c r="P4598">
        <v>0.98491189999999995</v>
      </c>
      <c r="Q4598">
        <v>0.15659149999999999</v>
      </c>
      <c r="R4598">
        <v>7.3675190000000002E-2</v>
      </c>
      <c r="S4598">
        <v>3.0761409999999998</v>
      </c>
      <c r="T4598">
        <v>-5.3978089999999999E-2</v>
      </c>
      <c r="U4598">
        <v>-0.29356379999999999</v>
      </c>
      <c r="V4598">
        <v>-6.616168E-2</v>
      </c>
      <c r="W4598">
        <v>0.16841519999999999</v>
      </c>
      <c r="X4598">
        <v>0.98349319999999896</v>
      </c>
      <c r="Y4598">
        <v>0.10262549999999999</v>
      </c>
      <c r="Z4598">
        <v>-1.5595819999999999E-3</v>
      </c>
      <c r="AA4598">
        <v>0.99471880000000001</v>
      </c>
      <c r="AB4598">
        <v>41</v>
      </c>
      <c r="AC4598">
        <v>62.868600000000001</v>
      </c>
      <c r="AD4598">
        <v>-1.1102745581719999</v>
      </c>
      <c r="AE4598">
        <v>-6.0414999999999797</v>
      </c>
      <c r="AF4598">
        <v>6.5226886992686399</v>
      </c>
      <c r="AG4598">
        <v>-1.1102745581719999</v>
      </c>
      <c r="AH4598">
        <v>62.8008825058727</v>
      </c>
      <c r="AI4598">
        <v>91.007424663329502</v>
      </c>
      <c r="AJ4598">
        <v>84.070348962484303</v>
      </c>
      <c r="AK4598">
        <v>63.148468081011401</v>
      </c>
      <c r="AL4598">
        <v>80.304311410253206</v>
      </c>
      <c r="AM4598">
        <v>93.848610298713595</v>
      </c>
      <c r="AN4598">
        <v>0.99999996096885002</v>
      </c>
    </row>
    <row r="4599" spans="1:40" x14ac:dyDescent="0.25">
      <c r="A4599" t="str">
        <f>"20190304154845847"</f>
        <v>20190304154845847</v>
      </c>
      <c r="B4599" t="str">
        <f>"1551685725841885"</f>
        <v>1551685725841885</v>
      </c>
      <c r="C4599" t="s">
        <v>40</v>
      </c>
      <c r="D4599">
        <v>4.6241700000000003</v>
      </c>
      <c r="E4599">
        <v>0.56427919999999998</v>
      </c>
      <c r="F4599" t="s">
        <v>54</v>
      </c>
      <c r="G4599">
        <v>-182.9812</v>
      </c>
      <c r="H4599" s="1">
        <v>3.8574349999999996E-6</v>
      </c>
      <c r="I4599">
        <v>207.53299999999999</v>
      </c>
      <c r="J4599">
        <v>-249.3083</v>
      </c>
      <c r="K4599">
        <v>1.1102810000000001</v>
      </c>
      <c r="L4599">
        <v>213.96289999999999</v>
      </c>
      <c r="M4599">
        <v>0.99989720000000004</v>
      </c>
      <c r="N4599">
        <v>-1.203427E-2</v>
      </c>
      <c r="O4599">
        <v>7.8076100000000004E-3</v>
      </c>
      <c r="P4599">
        <v>0.98483089999999995</v>
      </c>
      <c r="Q4599">
        <v>0.15721969999999999</v>
      </c>
      <c r="R4599">
        <v>7.3420460000000007E-2</v>
      </c>
      <c r="S4599">
        <v>3.0762939999999999</v>
      </c>
      <c r="T4599">
        <v>-5.1248549999999997E-2</v>
      </c>
      <c r="U4599">
        <v>-0.29667660000000001</v>
      </c>
      <c r="V4599">
        <v>-6.5790130000000002E-2</v>
      </c>
      <c r="W4599">
        <v>0.16904269999999999</v>
      </c>
      <c r="X4599">
        <v>0.98341049999999997</v>
      </c>
      <c r="Y4599">
        <v>0.1037387</v>
      </c>
      <c r="Z4599">
        <v>-1.5238280000000001E-3</v>
      </c>
      <c r="AA4599">
        <v>0.99460340000000003</v>
      </c>
      <c r="AB4599">
        <v>41</v>
      </c>
      <c r="AC4599">
        <v>66.327100000000002</v>
      </c>
      <c r="AD4599">
        <v>-1.11027714256499</v>
      </c>
      <c r="AE4599">
        <v>-6.4298999999999999</v>
      </c>
      <c r="AF4599">
        <v>6.9456694582503502</v>
      </c>
      <c r="AG4599">
        <v>-1.11027714256499</v>
      </c>
      <c r="AH4599">
        <v>66.256479530330793</v>
      </c>
      <c r="AI4599">
        <v>90.954799500929894</v>
      </c>
      <c r="AJ4599">
        <v>84.015538970588807</v>
      </c>
      <c r="AK4599">
        <v>66.628793470313795</v>
      </c>
      <c r="AL4599">
        <v>80.267835650653097</v>
      </c>
      <c r="AM4599">
        <v>93.827382606024699</v>
      </c>
      <c r="AN4599">
        <v>0.999999993569478</v>
      </c>
    </row>
    <row r="4600" spans="1:40" x14ac:dyDescent="0.25">
      <c r="A4600" t="str">
        <f>"20190304154845862"</f>
        <v>20190304154845862</v>
      </c>
      <c r="B4600" t="str">
        <f>"1551685725851646"</f>
        <v>1551685725851646</v>
      </c>
      <c r="C4600" t="s">
        <v>40</v>
      </c>
      <c r="D4600">
        <v>4.5482950000000004</v>
      </c>
      <c r="E4600">
        <v>0.56427590000000005</v>
      </c>
      <c r="F4600" t="s">
        <v>54</v>
      </c>
      <c r="G4600">
        <v>-180.06020000000001</v>
      </c>
      <c r="H4600" s="1">
        <v>3.2827139999999999E-6</v>
      </c>
      <c r="I4600">
        <v>207.25749999999999</v>
      </c>
      <c r="J4600">
        <v>-249.048</v>
      </c>
      <c r="K4600">
        <v>1.1102810000000001</v>
      </c>
      <c r="L4600">
        <v>213.96510000000001</v>
      </c>
      <c r="M4600">
        <v>0.99989640000000002</v>
      </c>
      <c r="N4600">
        <v>-1.2034690000000001E-2</v>
      </c>
      <c r="O4600">
        <v>7.9051759999999999E-3</v>
      </c>
      <c r="P4600">
        <v>0.98481189999999996</v>
      </c>
      <c r="Q4600">
        <v>0.15754770000000001</v>
      </c>
      <c r="R4600">
        <v>7.2969590000000001E-2</v>
      </c>
      <c r="S4600">
        <v>3.0762939999999999</v>
      </c>
      <c r="T4600">
        <v>-4.9323199999999998E-2</v>
      </c>
      <c r="U4600">
        <v>-0.29788209999999998</v>
      </c>
      <c r="V4600">
        <v>-6.5243380000000004E-2</v>
      </c>
      <c r="W4600">
        <v>0.1693712</v>
      </c>
      <c r="X4600">
        <v>0.9833904</v>
      </c>
      <c r="Y4600">
        <v>0.1042232</v>
      </c>
      <c r="Z4600">
        <v>-1.4937679999999999E-3</v>
      </c>
      <c r="AA4600">
        <v>0.99455280000000001</v>
      </c>
      <c r="AB4600">
        <v>41</v>
      </c>
      <c r="AC4600">
        <v>68.987799999999993</v>
      </c>
      <c r="AD4600">
        <v>-1.1102777172860001</v>
      </c>
      <c r="AE4600">
        <v>-6.70760000000001</v>
      </c>
      <c r="AF4600">
        <v>7.2509300580506997</v>
      </c>
      <c r="AG4600">
        <v>-1.1102777172860001</v>
      </c>
      <c r="AH4600">
        <v>68.914932890063099</v>
      </c>
      <c r="AI4600">
        <v>90.917937421453104</v>
      </c>
      <c r="AJ4600">
        <v>83.993685734708507</v>
      </c>
      <c r="AK4600">
        <v>69.304232760763995</v>
      </c>
      <c r="AL4600">
        <v>80.248738587001995</v>
      </c>
      <c r="AM4600">
        <v>93.795745799776597</v>
      </c>
      <c r="AN4600">
        <v>0.99999999041771204</v>
      </c>
    </row>
    <row r="4601" spans="1:40" x14ac:dyDescent="0.25">
      <c r="A4601" t="str">
        <f>"20190304154845875"</f>
        <v>20190304154845875</v>
      </c>
      <c r="B4601" t="str">
        <f>"1551685725871167"</f>
        <v>1551685725871167</v>
      </c>
      <c r="C4601" t="s">
        <v>40</v>
      </c>
      <c r="D4601">
        <v>4.5921000000000003</v>
      </c>
      <c r="E4601">
        <v>0.56398990000000004</v>
      </c>
      <c r="F4601" t="s">
        <v>54</v>
      </c>
      <c r="G4601">
        <v>-179.95779999999999</v>
      </c>
      <c r="H4601">
        <v>1.629593E-2</v>
      </c>
      <c r="I4601">
        <v>207.2484</v>
      </c>
      <c r="J4601">
        <v>-248.8151</v>
      </c>
      <c r="K4601">
        <v>1.1102890000000001</v>
      </c>
      <c r="L4601">
        <v>213.96690000000001</v>
      </c>
      <c r="M4601">
        <v>0.9998956</v>
      </c>
      <c r="N4601">
        <v>-1.203507E-2</v>
      </c>
      <c r="O4601">
        <v>7.9924909999999991E-3</v>
      </c>
      <c r="P4601">
        <v>0.98475290000000004</v>
      </c>
      <c r="Q4601">
        <v>0.15826460000000001</v>
      </c>
      <c r="R4601">
        <v>7.2208460000000002E-2</v>
      </c>
      <c r="S4601">
        <v>3.0762179999999999</v>
      </c>
      <c r="T4601">
        <v>-4.8709269999999999E-2</v>
      </c>
      <c r="U4601">
        <v>-0.29905700000000002</v>
      </c>
      <c r="V4601">
        <v>-6.4396839999999997E-2</v>
      </c>
      <c r="W4601">
        <v>0.170088299999999</v>
      </c>
      <c r="X4601">
        <v>0.98332240000000004</v>
      </c>
      <c r="Y4601">
        <v>0.10468909999999999</v>
      </c>
      <c r="Z4601">
        <v>-1.4886770000000001E-3</v>
      </c>
      <c r="AA4601">
        <v>0.9945039</v>
      </c>
      <c r="AB4601">
        <v>41</v>
      </c>
      <c r="AC4601">
        <v>68.857299999999995</v>
      </c>
      <c r="AD4601">
        <v>-1.09399306999999</v>
      </c>
      <c r="AE4601">
        <v>-6.7184999999999997</v>
      </c>
      <c r="AF4601">
        <v>7.26684958388336</v>
      </c>
      <c r="AG4601">
        <v>-1.09399306999999</v>
      </c>
      <c r="AH4601">
        <v>68.784199918734899</v>
      </c>
      <c r="AI4601">
        <v>90.906154144121501</v>
      </c>
      <c r="AJ4601">
        <v>83.969239098075505</v>
      </c>
      <c r="AK4601">
        <v>69.175646597429605</v>
      </c>
      <c r="AL4601">
        <v>80.2070465867005</v>
      </c>
      <c r="AM4601">
        <v>93.746895130442695</v>
      </c>
      <c r="AN4601">
        <v>0.99999996257031698</v>
      </c>
    </row>
    <row r="4602" spans="1:40" x14ac:dyDescent="0.25">
      <c r="A4602" t="str">
        <f>"20190304154845891"</f>
        <v>20190304154845891</v>
      </c>
      <c r="B4602" t="str">
        <f>"1551685725881902"</f>
        <v>1551685725881902</v>
      </c>
      <c r="C4602" t="s">
        <v>40</v>
      </c>
      <c r="D4602">
        <v>4.5630949999999997</v>
      </c>
      <c r="E4602">
        <v>0.56388110000000002</v>
      </c>
      <c r="F4602" t="s">
        <v>54</v>
      </c>
      <c r="G4602">
        <v>-179.95779999999999</v>
      </c>
      <c r="H4602">
        <v>4.225371E-2</v>
      </c>
      <c r="I4602">
        <v>207.27260000000001</v>
      </c>
      <c r="J4602">
        <v>-248.5035</v>
      </c>
      <c r="K4602">
        <v>1.1102909999999999</v>
      </c>
      <c r="L4602">
        <v>213.96960000000001</v>
      </c>
      <c r="M4602">
        <v>0.99989470000000003</v>
      </c>
      <c r="N4602">
        <v>-1.203561E-2</v>
      </c>
      <c r="O4602">
        <v>8.1090109999999993E-3</v>
      </c>
      <c r="P4602">
        <v>0.98472329999999997</v>
      </c>
      <c r="Q4602">
        <v>0.1587054</v>
      </c>
      <c r="R4602">
        <v>7.1642479999999994E-2</v>
      </c>
      <c r="S4602">
        <v>3.0760649999999998</v>
      </c>
      <c r="T4602">
        <v>-4.7712329999999997E-2</v>
      </c>
      <c r="U4602">
        <v>-0.29905700000000002</v>
      </c>
      <c r="V4602">
        <v>-6.3716239999999993E-2</v>
      </c>
      <c r="W4602">
        <v>0.17052899999999999</v>
      </c>
      <c r="X4602">
        <v>0.98329040000000001</v>
      </c>
      <c r="Y4602">
        <v>0.1048105</v>
      </c>
      <c r="Z4602">
        <v>-1.4713149999999999E-3</v>
      </c>
      <c r="AA4602">
        <v>0.99449109999999996</v>
      </c>
      <c r="AB4602">
        <v>41</v>
      </c>
      <c r="AC4602">
        <v>68.545699999999997</v>
      </c>
      <c r="AD4602">
        <v>-1.0680372899999999</v>
      </c>
      <c r="AE4602">
        <v>-6.6970000000000001</v>
      </c>
      <c r="AF4602">
        <v>7.25091414173502</v>
      </c>
      <c r="AG4602">
        <v>-1.0680372899999999</v>
      </c>
      <c r="AH4602">
        <v>68.472669416295005</v>
      </c>
      <c r="AI4602">
        <v>90.888659685533895</v>
      </c>
      <c r="AJ4602">
        <v>83.955190575858694</v>
      </c>
      <c r="AK4602">
        <v>68.863799753839203</v>
      </c>
      <c r="AL4602">
        <v>80.181421903617903</v>
      </c>
      <c r="AM4602">
        <v>93.707526136347198</v>
      </c>
      <c r="AN4602">
        <v>0.999999954906447</v>
      </c>
    </row>
    <row r="4603" spans="1:40" x14ac:dyDescent="0.25">
      <c r="A4603" t="str">
        <f>"20190304154845908"</f>
        <v>20190304154845908</v>
      </c>
      <c r="B4603" t="str">
        <f>"1551685725901422"</f>
        <v>1551685725901422</v>
      </c>
      <c r="C4603" t="s">
        <v>40</v>
      </c>
      <c r="D4603">
        <v>4.6838259999999998</v>
      </c>
      <c r="E4603">
        <v>0.56376359999999903</v>
      </c>
      <c r="F4603" t="s">
        <v>54</v>
      </c>
      <c r="G4603">
        <v>-179.9453</v>
      </c>
      <c r="H4603">
        <v>6.245974E-2</v>
      </c>
      <c r="I4603">
        <v>207.2833</v>
      </c>
      <c r="J4603">
        <v>-248.2099</v>
      </c>
      <c r="K4603">
        <v>1.1102939999999999</v>
      </c>
      <c r="L4603">
        <v>213.97200000000001</v>
      </c>
      <c r="M4603">
        <v>0.9998939</v>
      </c>
      <c r="N4603">
        <v>-1.203627E-2</v>
      </c>
      <c r="O4603">
        <v>8.2189740000000004E-3</v>
      </c>
      <c r="P4603">
        <v>0.98462640000000001</v>
      </c>
      <c r="Q4603">
        <v>0.15957260000000001</v>
      </c>
      <c r="R4603">
        <v>7.1047879999999994E-2</v>
      </c>
      <c r="S4603">
        <v>3.0759430000000001</v>
      </c>
      <c r="T4603">
        <v>-4.7012209999999999E-2</v>
      </c>
      <c r="U4603">
        <v>-0.29998780000000003</v>
      </c>
      <c r="V4603">
        <v>-6.3014550000000003E-2</v>
      </c>
      <c r="W4603">
        <v>0.17139579999999999</v>
      </c>
      <c r="X4603">
        <v>0.98318490000000003</v>
      </c>
      <c r="Y4603">
        <v>0.1052221</v>
      </c>
      <c r="Z4603">
        <v>-1.463617E-3</v>
      </c>
      <c r="AA4603">
        <v>0.99444759999999999</v>
      </c>
      <c r="AB4603">
        <v>41</v>
      </c>
      <c r="AC4603">
        <v>68.264600000000002</v>
      </c>
      <c r="AD4603">
        <v>-1.0478342599999999</v>
      </c>
      <c r="AE4603">
        <v>-6.6887000000000096</v>
      </c>
      <c r="AF4603">
        <v>7.2478881621000397</v>
      </c>
      <c r="AG4603">
        <v>-1.0478342599999999</v>
      </c>
      <c r="AH4603">
        <v>68.191401900952897</v>
      </c>
      <c r="AI4603">
        <v>90.875411905469804</v>
      </c>
      <c r="AJ4603">
        <v>83.932957498553606</v>
      </c>
      <c r="AK4603">
        <v>68.583504814671102</v>
      </c>
      <c r="AL4603">
        <v>80.131015774836598</v>
      </c>
      <c r="AM4603">
        <v>93.667200540022705</v>
      </c>
      <c r="AN4603">
        <v>0.99999995067867498</v>
      </c>
    </row>
    <row r="4604" spans="1:40" x14ac:dyDescent="0.25">
      <c r="A4604" t="str">
        <f>"20190304154845930"</f>
        <v>20190304154845930</v>
      </c>
      <c r="B4604" t="str">
        <f>"1551685725921918"</f>
        <v>1551685725921918</v>
      </c>
      <c r="C4604" t="s">
        <v>40</v>
      </c>
      <c r="D4604">
        <v>4.6197800000000004</v>
      </c>
      <c r="E4604">
        <v>0.56362019999999902</v>
      </c>
      <c r="F4604" t="s">
        <v>54</v>
      </c>
      <c r="G4604">
        <v>-179.9376</v>
      </c>
      <c r="H4604">
        <v>7.0132819999999998E-2</v>
      </c>
      <c r="I4604">
        <v>207.2901</v>
      </c>
      <c r="J4604">
        <v>-247.80269999999999</v>
      </c>
      <c r="K4604">
        <v>1.110293</v>
      </c>
      <c r="L4604">
        <v>213.97550000000001</v>
      </c>
      <c r="M4604">
        <v>0.99989269999999997</v>
      </c>
      <c r="N4604">
        <v>-1.203719E-2</v>
      </c>
      <c r="O4604">
        <v>8.3710769999999993E-3</v>
      </c>
      <c r="P4604">
        <v>0.98472360000000003</v>
      </c>
      <c r="Q4604">
        <v>0.15940099999999999</v>
      </c>
      <c r="R4604">
        <v>7.0077860000000006E-2</v>
      </c>
      <c r="S4604">
        <v>3.0761720000000001</v>
      </c>
      <c r="T4604">
        <v>-4.6867010000000001E-2</v>
      </c>
      <c r="U4604">
        <v>-0.30107119999999998</v>
      </c>
      <c r="V4604">
        <v>-6.1893530000000002E-2</v>
      </c>
      <c r="W4604">
        <v>0.1712272</v>
      </c>
      <c r="X4604">
        <v>0.98328550000000003</v>
      </c>
      <c r="Y4604">
        <v>0.10571319999999999</v>
      </c>
      <c r="Z4604">
        <v>-1.4679020000000001E-3</v>
      </c>
      <c r="AA4604">
        <v>0.99439560000000005</v>
      </c>
      <c r="AB4604">
        <v>41</v>
      </c>
      <c r="AC4604">
        <v>67.865099999999899</v>
      </c>
      <c r="AD4604">
        <v>-1.04016018</v>
      </c>
      <c r="AE4604">
        <v>-6.6854000000000102</v>
      </c>
      <c r="AF4604">
        <v>7.2516236241524403</v>
      </c>
      <c r="AG4604">
        <v>-1.04016018</v>
      </c>
      <c r="AH4604">
        <v>67.790981808072203</v>
      </c>
      <c r="AI4604">
        <v>90.874070792259602</v>
      </c>
      <c r="AJ4604">
        <v>83.894269559822405</v>
      </c>
      <c r="AK4604">
        <v>68.185667063458396</v>
      </c>
      <c r="AL4604">
        <v>80.140820972545001</v>
      </c>
      <c r="AM4604">
        <v>93.601767311543099</v>
      </c>
      <c r="AN4604">
        <v>0.99999996879297404</v>
      </c>
    </row>
    <row r="4605" spans="1:40" x14ac:dyDescent="0.25">
      <c r="A4605" t="str">
        <f>"20190304154845954"</f>
        <v>20190304154845954</v>
      </c>
      <c r="B4605" t="str">
        <f>"1551685725951199"</f>
        <v>1551685725951199</v>
      </c>
      <c r="C4605" t="s">
        <v>40</v>
      </c>
      <c r="D4605">
        <v>4.6228930000000004</v>
      </c>
      <c r="E4605">
        <v>0.56340330000000005</v>
      </c>
      <c r="F4605" t="s">
        <v>54</v>
      </c>
      <c r="G4605">
        <v>-179.95779999999999</v>
      </c>
      <c r="H4605">
        <v>1.088182E-2</v>
      </c>
      <c r="I4605">
        <v>207.28899999999999</v>
      </c>
      <c r="J4605">
        <v>-247.3869</v>
      </c>
      <c r="K4605">
        <v>1.1102879999999999</v>
      </c>
      <c r="L4605">
        <v>213.97909999999999</v>
      </c>
      <c r="M4605">
        <v>0.99989130000000004</v>
      </c>
      <c r="N4605">
        <v>-1.203802E-2</v>
      </c>
      <c r="O4605">
        <v>8.5266930000000001E-3</v>
      </c>
      <c r="P4605">
        <v>0.98489539999999998</v>
      </c>
      <c r="Q4605">
        <v>0.1588387</v>
      </c>
      <c r="R4605">
        <v>6.8930469999999994E-2</v>
      </c>
      <c r="S4605">
        <v>3.0762019999999999</v>
      </c>
      <c r="T4605">
        <v>-4.9849150000000002E-2</v>
      </c>
      <c r="U4605">
        <v>-0.30317690000000003</v>
      </c>
      <c r="V4605">
        <v>-6.0591310000000002E-2</v>
      </c>
      <c r="W4605">
        <v>0.17066809999999999</v>
      </c>
      <c r="X4605">
        <v>0.9834638</v>
      </c>
      <c r="Y4605">
        <v>0.1065387</v>
      </c>
      <c r="Z4605">
        <v>-1.5394339999999999E-3</v>
      </c>
      <c r="AA4605">
        <v>0.99430730000000001</v>
      </c>
      <c r="AB4605">
        <v>41</v>
      </c>
      <c r="AC4605">
        <v>67.429100000000005</v>
      </c>
      <c r="AD4605">
        <v>-1.0994061799999999</v>
      </c>
      <c r="AE4605">
        <v>-6.69009999999997</v>
      </c>
      <c r="AF4605">
        <v>7.2629336297301998</v>
      </c>
      <c r="AG4605">
        <v>-1.0994061799999999</v>
      </c>
      <c r="AH4605">
        <v>67.351869508141405</v>
      </c>
      <c r="AI4605">
        <v>90.929784906171307</v>
      </c>
      <c r="AJ4605">
        <v>83.845254870230804</v>
      </c>
      <c r="AK4605">
        <v>67.751259952123405</v>
      </c>
      <c r="AL4605">
        <v>80.173333704029503</v>
      </c>
      <c r="AM4605">
        <v>93.525542857654301</v>
      </c>
      <c r="AN4605">
        <v>0.99999997655778206</v>
      </c>
    </row>
    <row r="4606" spans="1:40" x14ac:dyDescent="0.25">
      <c r="A4606" t="str">
        <f>"20190304154845976"</f>
        <v>20190304154845976</v>
      </c>
      <c r="B4606" t="str">
        <f>"1551685725971293"</f>
        <v>1551685725971293</v>
      </c>
      <c r="C4606" t="s">
        <v>40</v>
      </c>
      <c r="D4606">
        <v>4.6516219999999997</v>
      </c>
      <c r="E4606">
        <v>0.56334659999999903</v>
      </c>
      <c r="F4606" t="s">
        <v>54</v>
      </c>
      <c r="G4606">
        <v>-185.80009999999999</v>
      </c>
      <c r="H4606" s="1">
        <v>4.2891759999999997E-6</v>
      </c>
      <c r="I4606">
        <v>207.86959999999999</v>
      </c>
      <c r="J4606">
        <v>-246.99289999999999</v>
      </c>
      <c r="K4606">
        <v>1.1102860000000001</v>
      </c>
      <c r="L4606">
        <v>213.98269999999999</v>
      </c>
      <c r="M4606">
        <v>0.9998899</v>
      </c>
      <c r="N4606">
        <v>-1.2038800000000001E-2</v>
      </c>
      <c r="O4606">
        <v>8.6743819999999996E-3</v>
      </c>
      <c r="P4606">
        <v>0.9850314</v>
      </c>
      <c r="Q4606">
        <v>0.15825330000000001</v>
      </c>
      <c r="R4606">
        <v>6.8329349999999997E-2</v>
      </c>
      <c r="S4606">
        <v>3.0762939999999999</v>
      </c>
      <c r="T4606">
        <v>-5.5459260000000003E-2</v>
      </c>
      <c r="U4606">
        <v>-0.3051758</v>
      </c>
      <c r="V4606">
        <v>-5.984333E-2</v>
      </c>
      <c r="W4606">
        <v>0.1700855</v>
      </c>
      <c r="X4606">
        <v>0.9836106</v>
      </c>
      <c r="Y4606">
        <v>0.1073177</v>
      </c>
      <c r="Z4606">
        <v>-1.6644299999999999E-3</v>
      </c>
      <c r="AA4606">
        <v>0.99422339999999998</v>
      </c>
      <c r="AB4606">
        <v>41</v>
      </c>
      <c r="AC4606">
        <v>61.192799999999998</v>
      </c>
      <c r="AD4606">
        <v>-1.110281710824</v>
      </c>
      <c r="AE4606">
        <v>-6.1131000000000002</v>
      </c>
      <c r="AF4606">
        <v>6.6415533436329897</v>
      </c>
      <c r="AG4606">
        <v>-1.110281710824</v>
      </c>
      <c r="AH4606">
        <v>61.117544834372197</v>
      </c>
      <c r="AI4606">
        <v>91.034650022946806</v>
      </c>
      <c r="AJ4606">
        <v>83.798088323865301</v>
      </c>
      <c r="AK4606">
        <v>61.487374662406999</v>
      </c>
      <c r="AL4606">
        <v>80.207210320329906</v>
      </c>
      <c r="AM4606">
        <v>93.481610516938204</v>
      </c>
      <c r="AN4606">
        <v>1.0000000569440399</v>
      </c>
    </row>
    <row r="4607" spans="1:40" x14ac:dyDescent="0.25">
      <c r="A4607" t="str">
        <f>"20190304154845997"</f>
        <v>20190304154845997</v>
      </c>
      <c r="B4607" t="str">
        <f>"1551685725991773"</f>
        <v>1551685725991773</v>
      </c>
      <c r="C4607" t="s">
        <v>40</v>
      </c>
      <c r="D4607">
        <v>4.5550100000000002</v>
      </c>
      <c r="E4607">
        <v>0.56347100000000006</v>
      </c>
      <c r="F4607" t="s">
        <v>54</v>
      </c>
      <c r="G4607">
        <v>-189.89869999999999</v>
      </c>
      <c r="H4607" s="1">
        <v>4.8693059999999999E-6</v>
      </c>
      <c r="I4607">
        <v>208.2851</v>
      </c>
      <c r="J4607">
        <v>-246.5908</v>
      </c>
      <c r="K4607">
        <v>1.1102810000000001</v>
      </c>
      <c r="L4607">
        <v>213.9863</v>
      </c>
      <c r="M4607">
        <v>0.99988869999999996</v>
      </c>
      <c r="N4607">
        <v>-1.2039589999999999E-2</v>
      </c>
      <c r="O4607">
        <v>8.8249330000000001E-3</v>
      </c>
      <c r="P4607">
        <v>0.98515609999999998</v>
      </c>
      <c r="Q4607">
        <v>0.1575116</v>
      </c>
      <c r="R4607">
        <v>6.82474E-2</v>
      </c>
      <c r="S4607">
        <v>3.0764770000000001</v>
      </c>
      <c r="T4607">
        <v>-5.9826610000000002E-2</v>
      </c>
      <c r="U4607">
        <v>-0.30700680000000002</v>
      </c>
      <c r="V4607">
        <v>-5.9611829999999998E-2</v>
      </c>
      <c r="W4607">
        <v>0.16934630000000001</v>
      </c>
      <c r="X4607">
        <v>0.98375210000000002</v>
      </c>
      <c r="Y4607">
        <v>0.1080435</v>
      </c>
      <c r="Z4607">
        <v>-1.7651800000000001E-3</v>
      </c>
      <c r="AA4607">
        <v>0.99414460000000004</v>
      </c>
      <c r="AB4607">
        <v>41</v>
      </c>
      <c r="AC4607">
        <v>56.692100000000003</v>
      </c>
      <c r="AD4607">
        <v>-1.1102761306940001</v>
      </c>
      <c r="AE4607">
        <v>-5.7012</v>
      </c>
      <c r="AF4607">
        <v>6.1989643666686103</v>
      </c>
      <c r="AG4607">
        <v>-1.1102761306940001</v>
      </c>
      <c r="AH4607">
        <v>56.618077519032902</v>
      </c>
      <c r="AI4607">
        <v>91.116749959965006</v>
      </c>
      <c r="AJ4607">
        <v>83.751723548979399</v>
      </c>
      <c r="AK4607">
        <v>56.967241237897703</v>
      </c>
      <c r="AL4607">
        <v>80.250185931660695</v>
      </c>
      <c r="AM4607">
        <v>93.467677438493496</v>
      </c>
      <c r="AN4607">
        <v>0.99999996692702398</v>
      </c>
    </row>
    <row r="4608" spans="1:40" x14ac:dyDescent="0.25">
      <c r="A4608" t="str">
        <f>"20190304154846020"</f>
        <v>20190304154846020</v>
      </c>
      <c r="B4608" t="str">
        <f>"1551685726011296"</f>
        <v>1551685726011296</v>
      </c>
      <c r="C4608" t="s">
        <v>40</v>
      </c>
      <c r="D4608">
        <v>4.4266519999999998</v>
      </c>
      <c r="E4608">
        <v>0.57900399999999996</v>
      </c>
      <c r="F4608" t="s">
        <v>54</v>
      </c>
      <c r="G4608">
        <v>-191.61619999999999</v>
      </c>
      <c r="H4608" s="1">
        <v>4.4487710000000003E-6</v>
      </c>
      <c r="I4608">
        <v>208.4641</v>
      </c>
      <c r="J4608">
        <v>-246.1782</v>
      </c>
      <c r="K4608">
        <v>1.110284</v>
      </c>
      <c r="L4608">
        <v>213.99010000000001</v>
      </c>
      <c r="M4608">
        <v>0.99988719999999998</v>
      </c>
      <c r="N4608">
        <v>-1.204043E-2</v>
      </c>
      <c r="O4608">
        <v>8.9792999999999904E-3</v>
      </c>
      <c r="P4608">
        <v>0.98509080000000004</v>
      </c>
      <c r="Q4608">
        <v>0.15809049999999999</v>
      </c>
      <c r="R4608">
        <v>6.7849300000000001E-2</v>
      </c>
      <c r="S4608">
        <v>3.0765530000000001</v>
      </c>
      <c r="T4608">
        <v>-6.2134620000000002E-2</v>
      </c>
      <c r="U4608">
        <v>-0.30903629999999999</v>
      </c>
      <c r="V4608">
        <v>-5.906264E-2</v>
      </c>
      <c r="W4608">
        <v>0.1699252</v>
      </c>
      <c r="X4608">
        <v>0.98368540000000004</v>
      </c>
      <c r="Y4608">
        <v>0.1088414</v>
      </c>
      <c r="Z4608">
        <v>-1.8263050000000001E-3</v>
      </c>
      <c r="AA4608">
        <v>0.99405750000000004</v>
      </c>
      <c r="AB4608">
        <v>41</v>
      </c>
      <c r="AC4608">
        <v>54.561999999999998</v>
      </c>
      <c r="AD4608">
        <v>-1.110279551229</v>
      </c>
      <c r="AE4608">
        <v>-5.5260000000000096</v>
      </c>
      <c r="AF4608">
        <v>6.0132765736691898</v>
      </c>
      <c r="AG4608">
        <v>-1.110279551229</v>
      </c>
      <c r="AH4608">
        <v>54.487843584079798</v>
      </c>
      <c r="AI4608">
        <v>91.160291869302696</v>
      </c>
      <c r="AJ4608">
        <v>83.702324340573298</v>
      </c>
      <c r="AK4608">
        <v>54.829894348580197</v>
      </c>
      <c r="AL4608">
        <v>80.216529623269295</v>
      </c>
      <c r="AM4608">
        <v>93.436039824894607</v>
      </c>
      <c r="AN4608">
        <v>0.99999996760598397</v>
      </c>
    </row>
    <row r="4609" spans="1:40" x14ac:dyDescent="0.25">
      <c r="A4609" t="str">
        <f>"20190304154846041"</f>
        <v>20190304154846041</v>
      </c>
      <c r="B4609" t="str">
        <f>"1551685726031789"</f>
        <v>1551685726031789</v>
      </c>
      <c r="C4609" t="s">
        <v>40</v>
      </c>
      <c r="D4609">
        <v>4.3670090000000004</v>
      </c>
      <c r="E4609">
        <v>0.57728299999999999</v>
      </c>
      <c r="F4609" t="s">
        <v>70</v>
      </c>
      <c r="G4609">
        <v>-168.41220000000001</v>
      </c>
      <c r="H4609">
        <v>1.8098160000000001</v>
      </c>
      <c r="I4609">
        <v>203.0205</v>
      </c>
      <c r="J4609">
        <v>-245.78829999999999</v>
      </c>
      <c r="K4609">
        <v>1.1102879999999999</v>
      </c>
      <c r="L4609">
        <v>213.99369999999999</v>
      </c>
      <c r="M4609">
        <v>0.99988589999999999</v>
      </c>
      <c r="N4609">
        <v>-1.204128E-2</v>
      </c>
      <c r="O4609">
        <v>9.1251419999999993E-3</v>
      </c>
      <c r="P4609">
        <v>0.98504530000000001</v>
      </c>
      <c r="Q4609">
        <v>0.1586562</v>
      </c>
      <c r="R4609">
        <v>6.7186850000000006E-2</v>
      </c>
      <c r="S4609">
        <v>3.0708160000000002</v>
      </c>
      <c r="T4609">
        <v>2.7624369999999999E-2</v>
      </c>
      <c r="U4609">
        <v>-0.43316650000000001</v>
      </c>
      <c r="V4609">
        <v>-5.8256620000000002E-2</v>
      </c>
      <c r="W4609">
        <v>0.170491899999999</v>
      </c>
      <c r="X4609">
        <v>0.98363540000000005</v>
      </c>
      <c r="Y4609">
        <v>0.14870700000000001</v>
      </c>
      <c r="Z4609" s="1">
        <v>-4.3173899999999997E-5</v>
      </c>
      <c r="AA4609">
        <v>0.98888129999999996</v>
      </c>
      <c r="AB4609">
        <v>41</v>
      </c>
      <c r="AC4609">
        <v>77.376099999999894</v>
      </c>
      <c r="AD4609">
        <v>0.69952800000000004</v>
      </c>
      <c r="AE4609">
        <v>-10.973199999999901</v>
      </c>
      <c r="AF4609">
        <v>11.6779264793482</v>
      </c>
      <c r="AG4609">
        <v>0.69952800000000004</v>
      </c>
      <c r="AH4609">
        <v>77.266548009824604</v>
      </c>
      <c r="AI4609">
        <v>89.487114774654103</v>
      </c>
      <c r="AJ4609">
        <v>81.405466403489498</v>
      </c>
      <c r="AK4609">
        <v>78.147186434537602</v>
      </c>
      <c r="AL4609">
        <v>80.183579228184797</v>
      </c>
      <c r="AM4609">
        <v>93.389430589987597</v>
      </c>
      <c r="AN4609">
        <v>0.99999996093629595</v>
      </c>
    </row>
    <row r="4610" spans="1:40" x14ac:dyDescent="0.25">
      <c r="A4610" t="str">
        <f>"20190304154846064"</f>
        <v>20190304154846064</v>
      </c>
      <c r="B4610" t="str">
        <f>"1551685726062045"</f>
        <v>1551685726062045</v>
      </c>
      <c r="C4610" t="s">
        <v>40</v>
      </c>
      <c r="D4610">
        <v>4.3696679999999999</v>
      </c>
      <c r="E4610">
        <v>0.57703859999999996</v>
      </c>
      <c r="F4610" t="s">
        <v>70</v>
      </c>
      <c r="G4610">
        <v>-168.41210000000001</v>
      </c>
      <c r="H4610">
        <v>1.712755</v>
      </c>
      <c r="I4610">
        <v>203.37190000000001</v>
      </c>
      <c r="J4610">
        <v>-245.3734</v>
      </c>
      <c r="K4610">
        <v>1.110284</v>
      </c>
      <c r="L4610">
        <v>213.99760000000001</v>
      </c>
      <c r="M4610">
        <v>0.99988449999999995</v>
      </c>
      <c r="N4610">
        <v>-1.2042199999999999E-2</v>
      </c>
      <c r="O4610">
        <v>9.2801649999999999E-3</v>
      </c>
      <c r="P4610">
        <v>0.9851084</v>
      </c>
      <c r="Q4610">
        <v>0.1584536</v>
      </c>
      <c r="R4610">
        <v>6.6738969999999995E-2</v>
      </c>
      <c r="S4610">
        <v>3.0704349999999998</v>
      </c>
      <c r="T4610">
        <v>2.390838E-2</v>
      </c>
      <c r="U4610">
        <v>-0.42149350000000002</v>
      </c>
      <c r="V4610">
        <v>-5.7655930000000001E-2</v>
      </c>
      <c r="W4610">
        <v>0.17029129999999901</v>
      </c>
      <c r="X4610">
        <v>0.98370559999999996</v>
      </c>
      <c r="Y4610">
        <v>0.14518879999999901</v>
      </c>
      <c r="Z4610">
        <v>-1.325322E-4</v>
      </c>
      <c r="AA4610">
        <v>0.98940399999999995</v>
      </c>
      <c r="AB4610">
        <v>41</v>
      </c>
      <c r="AC4610">
        <v>76.961299999999994</v>
      </c>
      <c r="AD4610">
        <v>0.60247099999999998</v>
      </c>
      <c r="AE4610">
        <v>-10.625699999999901</v>
      </c>
      <c r="AF4610">
        <v>11.3388258144427</v>
      </c>
      <c r="AG4610">
        <v>0.60247099999999998</v>
      </c>
      <c r="AH4610">
        <v>76.854748390678907</v>
      </c>
      <c r="AI4610">
        <v>89.555672214044094</v>
      </c>
      <c r="AJ4610">
        <v>81.607366194223601</v>
      </c>
      <c r="AK4610">
        <v>77.689022984915098</v>
      </c>
      <c r="AL4610">
        <v>80.1952439206798</v>
      </c>
      <c r="AM4610">
        <v>93.354323204672596</v>
      </c>
      <c r="AN4610">
        <v>1.0000000202956001</v>
      </c>
    </row>
    <row r="4611" spans="1:40" x14ac:dyDescent="0.25">
      <c r="A4611" t="str">
        <f>"20190304154846086"</f>
        <v>20190304154846086</v>
      </c>
      <c r="B4611" t="str">
        <f>"1551685726081209"</f>
        <v>1551685726081209</v>
      </c>
      <c r="C4611" t="s">
        <v>40</v>
      </c>
      <c r="D4611">
        <v>4.3816850000000001</v>
      </c>
      <c r="E4611">
        <v>0.57696199999999997</v>
      </c>
      <c r="F4611" t="s">
        <v>70</v>
      </c>
      <c r="G4611">
        <v>-168.41200000000001</v>
      </c>
      <c r="H4611">
        <v>1.6833</v>
      </c>
      <c r="I4611">
        <v>203.4427</v>
      </c>
      <c r="J4611">
        <v>-244.9803</v>
      </c>
      <c r="K4611">
        <v>1.110284</v>
      </c>
      <c r="L4611">
        <v>214.00139999999999</v>
      </c>
      <c r="M4611">
        <v>0.99988319999999997</v>
      </c>
      <c r="N4611">
        <v>-1.2043079999999999E-2</v>
      </c>
      <c r="O4611">
        <v>9.4271400000000005E-3</v>
      </c>
      <c r="P4611">
        <v>0.98510929999999997</v>
      </c>
      <c r="Q4611">
        <v>0.15850539999999999</v>
      </c>
      <c r="R4611">
        <v>6.6604170000000004E-2</v>
      </c>
      <c r="S4611">
        <v>3.0702060000000002</v>
      </c>
      <c r="T4611">
        <v>2.286053E-2</v>
      </c>
      <c r="U4611">
        <v>-0.4210663</v>
      </c>
      <c r="V4611">
        <v>-5.7375830000000003E-2</v>
      </c>
      <c r="W4611">
        <v>0.17034389999999999</v>
      </c>
      <c r="X4611">
        <v>0.9837129</v>
      </c>
      <c r="Y4611">
        <v>0.14520910000000001</v>
      </c>
      <c r="Z4611">
        <v>-1.5753579999999999E-4</v>
      </c>
      <c r="AA4611">
        <v>0.98940099999999997</v>
      </c>
      <c r="AB4611">
        <v>41</v>
      </c>
      <c r="AC4611">
        <v>76.568299999999994</v>
      </c>
      <c r="AD4611">
        <v>0.57301599999999997</v>
      </c>
      <c r="AE4611">
        <v>-10.5586999999999</v>
      </c>
      <c r="AF4611">
        <v>11.279483127914199</v>
      </c>
      <c r="AG4611">
        <v>0.57301599999999997</v>
      </c>
      <c r="AH4611">
        <v>76.461149157003106</v>
      </c>
      <c r="AI4611">
        <v>89.575218346137504</v>
      </c>
      <c r="AJ4611">
        <v>81.608299581295</v>
      </c>
      <c r="AK4611">
        <v>77.290765408156204</v>
      </c>
      <c r="AL4611">
        <v>80.192185769519995</v>
      </c>
      <c r="AM4611">
        <v>93.3380396905239</v>
      </c>
      <c r="AN4611">
        <v>1.0000000498809001</v>
      </c>
    </row>
    <row r="4612" spans="1:40" x14ac:dyDescent="0.25">
      <c r="A4612" t="str">
        <f>"20190304154846109"</f>
        <v>20190304154846109</v>
      </c>
      <c r="B4612" t="str">
        <f>"1551685726101705"</f>
        <v>1551685726101705</v>
      </c>
      <c r="C4612" t="s">
        <v>40</v>
      </c>
      <c r="D4612">
        <v>4.3633160000000002</v>
      </c>
      <c r="E4612">
        <v>0.57684019999999903</v>
      </c>
      <c r="F4612" t="s">
        <v>70</v>
      </c>
      <c r="G4612">
        <v>-168.41200000000001</v>
      </c>
      <c r="H4612">
        <v>1.588387</v>
      </c>
      <c r="I4612">
        <v>203.501</v>
      </c>
      <c r="J4612">
        <v>-244.55709999999999</v>
      </c>
      <c r="K4612">
        <v>1.1102909999999999</v>
      </c>
      <c r="L4612">
        <v>214.00559999999999</v>
      </c>
      <c r="M4612">
        <v>0.99988169999999998</v>
      </c>
      <c r="N4612">
        <v>-1.2044030000000001E-2</v>
      </c>
      <c r="O4612">
        <v>9.5855590000000004E-3</v>
      </c>
      <c r="P4612">
        <v>0.98503079999999998</v>
      </c>
      <c r="Q4612">
        <v>0.15890389999999999</v>
      </c>
      <c r="R4612">
        <v>6.6815219999999995E-2</v>
      </c>
      <c r="S4612">
        <v>3.0707399999999998</v>
      </c>
      <c r="T4612">
        <v>1.917541E-2</v>
      </c>
      <c r="U4612">
        <v>-0.42111209999999999</v>
      </c>
      <c r="V4612">
        <v>-5.743185E-2</v>
      </c>
      <c r="W4612">
        <v>0.1707428</v>
      </c>
      <c r="X4612">
        <v>0.98364039999999997</v>
      </c>
      <c r="Y4612">
        <v>0.1453575</v>
      </c>
      <c r="Z4612">
        <v>-2.5323650000000001E-4</v>
      </c>
      <c r="AA4612">
        <v>0.98937920000000001</v>
      </c>
      <c r="AB4612">
        <v>41</v>
      </c>
      <c r="AC4612">
        <v>76.1450999999999</v>
      </c>
      <c r="AD4612">
        <v>0.47809600000000002</v>
      </c>
      <c r="AE4612">
        <v>-10.5046</v>
      </c>
      <c r="AF4612">
        <v>11.233628896546501</v>
      </c>
      <c r="AG4612">
        <v>0.47809600000000002</v>
      </c>
      <c r="AH4612">
        <v>76.037959809171696</v>
      </c>
      <c r="AI4612">
        <v>89.643620136345902</v>
      </c>
      <c r="AJ4612">
        <v>81.596076971501901</v>
      </c>
      <c r="AK4612">
        <v>76.864779489124601</v>
      </c>
      <c r="AL4612">
        <v>80.168989974609502</v>
      </c>
      <c r="AM4612">
        <v>93.341537183983306</v>
      </c>
      <c r="AN4612">
        <v>0.99999997882920999</v>
      </c>
    </row>
    <row r="4613" spans="1:40" x14ac:dyDescent="0.25">
      <c r="A4613" t="str">
        <f>"20190304154846130"</f>
        <v>20190304154846130</v>
      </c>
      <c r="B4613" t="str">
        <f>"1551685726121225"</f>
        <v>1551685726121225</v>
      </c>
      <c r="C4613" t="s">
        <v>40</v>
      </c>
      <c r="D4613">
        <v>4.386952</v>
      </c>
      <c r="E4613">
        <v>0.576816199999999</v>
      </c>
      <c r="F4613" t="s">
        <v>70</v>
      </c>
      <c r="G4613">
        <v>-168.41200000000001</v>
      </c>
      <c r="H4613">
        <v>1.587688</v>
      </c>
      <c r="I4613">
        <v>203.6036</v>
      </c>
      <c r="J4613">
        <v>-244.1609</v>
      </c>
      <c r="K4613">
        <v>1.110293</v>
      </c>
      <c r="L4613">
        <v>214.0095</v>
      </c>
      <c r="M4613">
        <v>0.9998802</v>
      </c>
      <c r="N4613">
        <v>-1.2044940000000001E-2</v>
      </c>
      <c r="O4613">
        <v>9.7340220000000002E-3</v>
      </c>
      <c r="P4613">
        <v>0.98497000000000001</v>
      </c>
      <c r="Q4613">
        <v>0.1591571</v>
      </c>
      <c r="R4613">
        <v>6.7107379999999994E-2</v>
      </c>
      <c r="S4613">
        <v>3.0709379999999999</v>
      </c>
      <c r="T4613">
        <v>1.9254799999999999E-2</v>
      </c>
      <c r="U4613">
        <v>-0.41950989999999999</v>
      </c>
      <c r="V4613">
        <v>-5.7578440000000002E-2</v>
      </c>
      <c r="W4613">
        <v>0.17099600000000001</v>
      </c>
      <c r="X4613">
        <v>0.98358789999999996</v>
      </c>
      <c r="Y4613">
        <v>0.14498910000000001</v>
      </c>
      <c r="Z4613">
        <v>-2.4737089999999999E-4</v>
      </c>
      <c r="AA4613">
        <v>0.98943320000000001</v>
      </c>
      <c r="AB4613">
        <v>41</v>
      </c>
      <c r="AC4613">
        <v>75.748899999999907</v>
      </c>
      <c r="AD4613">
        <v>0.47739499999999901</v>
      </c>
      <c r="AE4613">
        <v>-10.405900000000001</v>
      </c>
      <c r="AF4613">
        <v>11.1423674210308</v>
      </c>
      <c r="AG4613">
        <v>0.47739499999999901</v>
      </c>
      <c r="AH4613">
        <v>75.641063378003906</v>
      </c>
      <c r="AI4613">
        <v>89.642253210379295</v>
      </c>
      <c r="AJ4613">
        <v>81.620263158669005</v>
      </c>
      <c r="AK4613">
        <v>76.458817193875504</v>
      </c>
      <c r="AL4613">
        <v>80.154266687333504</v>
      </c>
      <c r="AM4613">
        <v>93.350225182798397</v>
      </c>
      <c r="AN4613">
        <v>1.00000003289762</v>
      </c>
    </row>
    <row r="4614" spans="1:40" x14ac:dyDescent="0.25">
      <c r="A4614" t="str">
        <f>"20190304154846155"</f>
        <v>20190304154846155</v>
      </c>
      <c r="B4614" t="str">
        <f>"1551685726151482"</f>
        <v>1551685726151482</v>
      </c>
      <c r="C4614" t="s">
        <v>40</v>
      </c>
      <c r="D4614">
        <v>4.3640150000000002</v>
      </c>
      <c r="E4614">
        <v>0.57694749999999995</v>
      </c>
      <c r="F4614" t="s">
        <v>70</v>
      </c>
      <c r="G4614">
        <v>-168.4119</v>
      </c>
      <c r="H4614">
        <v>1.5564610000000001</v>
      </c>
      <c r="I4614">
        <v>203.6951</v>
      </c>
      <c r="J4614">
        <v>-243.74619999999999</v>
      </c>
      <c r="K4614">
        <v>1.1102920000000001</v>
      </c>
      <c r="L4614">
        <v>214.0136</v>
      </c>
      <c r="M4614">
        <v>0.99987870000000001</v>
      </c>
      <c r="N4614">
        <v>-1.204587E-2</v>
      </c>
      <c r="O4614">
        <v>9.8889849999999994E-3</v>
      </c>
      <c r="P4614">
        <v>0.98488390000000003</v>
      </c>
      <c r="Q4614">
        <v>0.15957089999999999</v>
      </c>
      <c r="R4614">
        <v>6.7387139999999998E-2</v>
      </c>
      <c r="S4614">
        <v>3.0713499999999998</v>
      </c>
      <c r="T4614">
        <v>1.8091800000000002E-2</v>
      </c>
      <c r="U4614">
        <v>-0.4182129</v>
      </c>
      <c r="V4614">
        <v>-5.7706029999999998E-2</v>
      </c>
      <c r="W4614">
        <v>0.17140939999999999</v>
      </c>
      <c r="X4614">
        <v>0.98350839999999995</v>
      </c>
      <c r="Y4614">
        <v>0.1447145</v>
      </c>
      <c r="Z4614">
        <v>-2.7482439999999998E-4</v>
      </c>
      <c r="AA4614">
        <v>0.98947339999999995</v>
      </c>
      <c r="AB4614">
        <v>41</v>
      </c>
      <c r="AC4614">
        <v>75.334299999999899</v>
      </c>
      <c r="AD4614">
        <v>0.44616899999999998</v>
      </c>
      <c r="AE4614">
        <v>-10.3185</v>
      </c>
      <c r="AF4614">
        <v>11.062648193099699</v>
      </c>
      <c r="AG4614">
        <v>0.44616899999999998</v>
      </c>
      <c r="AH4614">
        <v>75.225978894949804</v>
      </c>
      <c r="AI4614">
        <v>89.663795782758498</v>
      </c>
      <c r="AJ4614">
        <v>81.634110716458494</v>
      </c>
      <c r="AK4614">
        <v>76.036367302260601</v>
      </c>
      <c r="AL4614">
        <v>80.130225045788706</v>
      </c>
      <c r="AM4614">
        <v>93.357902879878196</v>
      </c>
      <c r="AN4614">
        <v>0.99999997058863999</v>
      </c>
    </row>
    <row r="4615" spans="1:40" x14ac:dyDescent="0.25">
      <c r="A4615" t="str">
        <f>"20190304154846177"</f>
        <v>20190304154846177</v>
      </c>
      <c r="B4615" t="str">
        <f>"1551685726171614"</f>
        <v>1551685726171614</v>
      </c>
      <c r="C4615" t="s">
        <v>40</v>
      </c>
      <c r="D4615">
        <v>4.3749580000000003</v>
      </c>
      <c r="E4615">
        <v>0.57717640000000003</v>
      </c>
      <c r="F4615" t="s">
        <v>70</v>
      </c>
      <c r="G4615">
        <v>-168.4119</v>
      </c>
      <c r="H4615">
        <v>1.556149</v>
      </c>
      <c r="I4615">
        <v>203.7518</v>
      </c>
      <c r="J4615">
        <v>-243.34569999999999</v>
      </c>
      <c r="K4615">
        <v>1.1102920000000001</v>
      </c>
      <c r="L4615">
        <v>214.01769999999999</v>
      </c>
      <c r="M4615">
        <v>0.99987700000000002</v>
      </c>
      <c r="N4615">
        <v>-1.204678E-2</v>
      </c>
      <c r="O4615">
        <v>1.0038760000000001E-2</v>
      </c>
      <c r="P4615">
        <v>0.98484470000000002</v>
      </c>
      <c r="Q4615">
        <v>0.15952949999999999</v>
      </c>
      <c r="R4615">
        <v>6.8052169999999995E-2</v>
      </c>
      <c r="S4615">
        <v>3.0717469999999998</v>
      </c>
      <c r="T4615">
        <v>1.818109E-2</v>
      </c>
      <c r="U4615">
        <v>-0.41842649999999998</v>
      </c>
      <c r="V4615">
        <v>-5.8223709999999998E-2</v>
      </c>
      <c r="W4615">
        <v>0.17136860000000001</v>
      </c>
      <c r="X4615">
        <v>0.98348500000000005</v>
      </c>
      <c r="Y4615">
        <v>0.14491319999999999</v>
      </c>
      <c r="Z4615">
        <v>-2.7050810000000001E-4</v>
      </c>
      <c r="AA4615">
        <v>0.98944430000000005</v>
      </c>
      <c r="AB4615">
        <v>41</v>
      </c>
      <c r="AC4615">
        <v>74.933799999999906</v>
      </c>
      <c r="AD4615">
        <v>0.445857</v>
      </c>
      <c r="AE4615">
        <v>-10.265899999999901</v>
      </c>
      <c r="AF4615">
        <v>11.0172968303405</v>
      </c>
      <c r="AG4615">
        <v>0.445857</v>
      </c>
      <c r="AH4615">
        <v>74.824358998899797</v>
      </c>
      <c r="AI4615">
        <v>89.662236521247706</v>
      </c>
      <c r="AJ4615">
        <v>81.623834659164004</v>
      </c>
      <c r="AK4615">
        <v>75.632429007063607</v>
      </c>
      <c r="AL4615">
        <v>80.132597830180899</v>
      </c>
      <c r="AM4615">
        <v>93.388037144054707</v>
      </c>
      <c r="AN4615">
        <v>0.999999971348561</v>
      </c>
    </row>
    <row r="4616" spans="1:40" x14ac:dyDescent="0.25">
      <c r="A4616" t="str">
        <f>"20190304154846199"</f>
        <v>20190304154846199</v>
      </c>
      <c r="B4616" t="str">
        <f>"1551685726191121"</f>
        <v>1551685726191121</v>
      </c>
      <c r="C4616" t="s">
        <v>40</v>
      </c>
      <c r="D4616">
        <v>4.3844900000000004</v>
      </c>
      <c r="E4616">
        <v>0.57715869999999903</v>
      </c>
      <c r="F4616" t="s">
        <v>70</v>
      </c>
      <c r="G4616">
        <v>-168.4119</v>
      </c>
      <c r="H4616">
        <v>1.557177</v>
      </c>
      <c r="I4616">
        <v>203.81569999999999</v>
      </c>
      <c r="J4616">
        <v>-242.92349999999999</v>
      </c>
      <c r="K4616">
        <v>1.110287</v>
      </c>
      <c r="L4616">
        <v>214.0222</v>
      </c>
      <c r="M4616">
        <v>0.99987550000000003</v>
      </c>
      <c r="N4616">
        <v>-1.204908E-2</v>
      </c>
      <c r="O4616">
        <v>1.019658E-2</v>
      </c>
      <c r="P4616">
        <v>0.98479490000000003</v>
      </c>
      <c r="Q4616">
        <v>0.1596757</v>
      </c>
      <c r="R4616">
        <v>6.8433610000000006E-2</v>
      </c>
      <c r="S4616">
        <v>3.072098</v>
      </c>
      <c r="T4616">
        <v>1.832247E-2</v>
      </c>
      <c r="U4616">
        <v>-0.41825869999999998</v>
      </c>
      <c r="V4616">
        <v>-5.845057E-2</v>
      </c>
      <c r="W4616">
        <v>0.17151659999999999</v>
      </c>
      <c r="X4616">
        <v>0.98344580000000004</v>
      </c>
      <c r="Y4616">
        <v>0.14500109999999999</v>
      </c>
      <c r="Z4616">
        <v>-2.6436379999999999E-4</v>
      </c>
      <c r="AA4616">
        <v>0.98943139999999996</v>
      </c>
      <c r="AB4616">
        <v>41</v>
      </c>
      <c r="AC4616">
        <v>74.511599999999902</v>
      </c>
      <c r="AD4616">
        <v>0.44688999999999901</v>
      </c>
      <c r="AE4616">
        <v>-10.2065</v>
      </c>
      <c r="AF4616">
        <v>10.965400734952601</v>
      </c>
      <c r="AG4616">
        <v>0.44688999999999901</v>
      </c>
      <c r="AH4616">
        <v>74.4010199079367</v>
      </c>
      <c r="AI4616">
        <v>89.6595345969058</v>
      </c>
      <c r="AJ4616">
        <v>81.615967717167706</v>
      </c>
      <c r="AK4616">
        <v>75.206060176633301</v>
      </c>
      <c r="AL4616">
        <v>80.123991175952298</v>
      </c>
      <c r="AM4616">
        <v>93.401342447992405</v>
      </c>
      <c r="AN4616">
        <v>1.0000000273732601</v>
      </c>
    </row>
    <row r="4617" spans="1:40" x14ac:dyDescent="0.25">
      <c r="A4617" t="str">
        <f>"20190304154846221"</f>
        <v>20190304154846221</v>
      </c>
      <c r="B4617" t="str">
        <f>"1551685726211617"</f>
        <v>1551685726211617</v>
      </c>
      <c r="C4617" t="s">
        <v>40</v>
      </c>
      <c r="D4617">
        <v>4.3865780000000001</v>
      </c>
      <c r="E4617">
        <v>0.57723950000000002</v>
      </c>
      <c r="F4617" t="s">
        <v>70</v>
      </c>
      <c r="G4617">
        <v>-168.4118</v>
      </c>
      <c r="H4617">
        <v>1.5620210000000001</v>
      </c>
      <c r="I4617">
        <v>203.9059</v>
      </c>
      <c r="J4617">
        <v>-242.53450000000001</v>
      </c>
      <c r="K4617">
        <v>1.1102920000000001</v>
      </c>
      <c r="L4617">
        <v>214.02629999999999</v>
      </c>
      <c r="M4617">
        <v>0.99987400000000004</v>
      </c>
      <c r="N4617">
        <v>-1.205494E-2</v>
      </c>
      <c r="O4617">
        <v>1.034215E-2</v>
      </c>
      <c r="P4617">
        <v>0.9848519</v>
      </c>
      <c r="Q4617">
        <v>0.15926270000000001</v>
      </c>
      <c r="R4617">
        <v>6.8572049999999996E-2</v>
      </c>
      <c r="S4617">
        <v>3.0722809999999998</v>
      </c>
      <c r="T4617">
        <v>1.862741E-2</v>
      </c>
      <c r="U4617">
        <v>-0.41711429999999999</v>
      </c>
      <c r="V4617">
        <v>-5.8444910000000003E-2</v>
      </c>
      <c r="W4617">
        <v>0.1711097</v>
      </c>
      <c r="X4617">
        <v>0.98351699999999997</v>
      </c>
      <c r="Y4617">
        <v>0.1447754</v>
      </c>
      <c r="Z4617">
        <v>-2.5324119999999998E-4</v>
      </c>
      <c r="AA4617">
        <v>0.98946449999999997</v>
      </c>
      <c r="AB4617">
        <v>41</v>
      </c>
      <c r="AC4617">
        <v>74.122699999999995</v>
      </c>
      <c r="AD4617">
        <v>0.45172899999999899</v>
      </c>
      <c r="AE4617">
        <v>-10.120399999999901</v>
      </c>
      <c r="AF4617">
        <v>10.886105421072299</v>
      </c>
      <c r="AG4617">
        <v>0.45172899999999899</v>
      </c>
      <c r="AH4617">
        <v>74.011362400324003</v>
      </c>
      <c r="AI4617">
        <v>89.654021479568101</v>
      </c>
      <c r="AJ4617">
        <v>81.632536573816296</v>
      </c>
      <c r="AK4617">
        <v>74.8090443374345</v>
      </c>
      <c r="AL4617">
        <v>80.147654512265504</v>
      </c>
      <c r="AM4617">
        <v>93.400768223110902</v>
      </c>
      <c r="AN4617">
        <v>1.0000000131139899</v>
      </c>
    </row>
    <row r="4618" spans="1:40" x14ac:dyDescent="0.25">
      <c r="A4618" t="str">
        <f>"20190304154846242"</f>
        <v>20190304154846242</v>
      </c>
      <c r="B4618" t="str">
        <f>"1551685726231137"</f>
        <v>1551685726231137</v>
      </c>
      <c r="C4618" t="s">
        <v>40</v>
      </c>
      <c r="D4618">
        <v>4.4109629999999997</v>
      </c>
      <c r="E4618">
        <v>0.57726339999999998</v>
      </c>
      <c r="F4618" t="s">
        <v>70</v>
      </c>
      <c r="G4618">
        <v>-168.4118</v>
      </c>
      <c r="H4618">
        <v>1.546349</v>
      </c>
      <c r="I4618">
        <v>203.96129999999999</v>
      </c>
      <c r="J4618">
        <v>-242.14240000000001</v>
      </c>
      <c r="K4618">
        <v>1.1102959999999999</v>
      </c>
      <c r="L4618">
        <v>214.03039999999999</v>
      </c>
      <c r="M4618">
        <v>0.99987239999999999</v>
      </c>
      <c r="N4618">
        <v>-1.2065309999999999E-2</v>
      </c>
      <c r="O4618">
        <v>1.0487639999999999E-2</v>
      </c>
      <c r="P4618">
        <v>0.98479649999999996</v>
      </c>
      <c r="Q4618">
        <v>0.1596543</v>
      </c>
      <c r="R4618">
        <v>6.8458710000000006E-2</v>
      </c>
      <c r="S4618">
        <v>3.0722499999999999</v>
      </c>
      <c r="T4618">
        <v>1.8075109999999998E-2</v>
      </c>
      <c r="U4618">
        <v>-0.41717530000000003</v>
      </c>
      <c r="V4618">
        <v>-5.8188480000000001E-2</v>
      </c>
      <c r="W4618">
        <v>0.17151140000000001</v>
      </c>
      <c r="X4618">
        <v>0.98346219999999995</v>
      </c>
      <c r="Y4618">
        <v>0.14493989999999901</v>
      </c>
      <c r="Z4618">
        <v>-2.6660619999999998E-4</v>
      </c>
      <c r="AA4618">
        <v>0.9894404</v>
      </c>
      <c r="AB4618">
        <v>41</v>
      </c>
      <c r="AC4618">
        <v>73.730599999999995</v>
      </c>
      <c r="AD4618">
        <v>0.43605299999999902</v>
      </c>
      <c r="AE4618">
        <v>-10.069099999999899</v>
      </c>
      <c r="AF4618">
        <v>10.841490022697201</v>
      </c>
      <c r="AG4618">
        <v>0.43605299999999902</v>
      </c>
      <c r="AH4618">
        <v>73.6184078910008</v>
      </c>
      <c r="AI4618">
        <v>89.664253475485097</v>
      </c>
      <c r="AJ4618">
        <v>81.622493969410101</v>
      </c>
      <c r="AK4618">
        <v>74.413695167870998</v>
      </c>
      <c r="AL4618">
        <v>80.124293114648907</v>
      </c>
      <c r="AM4618">
        <v>93.386070198007005</v>
      </c>
      <c r="AN4618">
        <v>0.99999997918175498</v>
      </c>
    </row>
    <row r="4619" spans="1:40" x14ac:dyDescent="0.25">
      <c r="A4619" t="str">
        <f>"20190304154846266"</f>
        <v>20190304154846266</v>
      </c>
      <c r="B4619" t="str">
        <f>"1551685726261393"</f>
        <v>1551685726261393</v>
      </c>
      <c r="C4619" t="s">
        <v>40</v>
      </c>
      <c r="D4619">
        <v>4.3985629999999896</v>
      </c>
      <c r="E4619">
        <v>0.57747850000000001</v>
      </c>
      <c r="F4619" t="s">
        <v>70</v>
      </c>
      <c r="G4619">
        <v>-168.4118</v>
      </c>
      <c r="H4619">
        <v>1.5522689999999999</v>
      </c>
      <c r="I4619">
        <v>204.0052</v>
      </c>
      <c r="J4619">
        <v>-241.7244</v>
      </c>
      <c r="K4619">
        <v>1.1103019999999999</v>
      </c>
      <c r="L4619">
        <v>214.035</v>
      </c>
      <c r="M4619">
        <v>0.9998705</v>
      </c>
      <c r="N4619">
        <v>-1.208352E-2</v>
      </c>
      <c r="O4619">
        <v>1.064214E-2</v>
      </c>
      <c r="P4619">
        <v>0.984684</v>
      </c>
      <c r="Q4619">
        <v>0.1603125</v>
      </c>
      <c r="R4619">
        <v>6.8537760000000003E-2</v>
      </c>
      <c r="S4619">
        <v>3.0723720000000001</v>
      </c>
      <c r="T4619">
        <v>1.841843E-2</v>
      </c>
      <c r="U4619">
        <v>-0.41775509999999899</v>
      </c>
      <c r="V4619">
        <v>-5.811682E-2</v>
      </c>
      <c r="W4619">
        <v>0.17218599999999901</v>
      </c>
      <c r="X4619">
        <v>0.98334860000000002</v>
      </c>
      <c r="Y4619">
        <v>0.14527089999999901</v>
      </c>
      <c r="Z4619">
        <v>-2.5679389999999999E-4</v>
      </c>
      <c r="AA4619">
        <v>0.98939189999999999</v>
      </c>
      <c r="AB4619">
        <v>41</v>
      </c>
      <c r="AC4619">
        <v>73.312600000000003</v>
      </c>
      <c r="AD4619">
        <v>0.441967</v>
      </c>
      <c r="AE4619">
        <v>-10.0297999999999</v>
      </c>
      <c r="AF4619">
        <v>10.8091061264674</v>
      </c>
      <c r="AG4619">
        <v>0.441967</v>
      </c>
      <c r="AH4619">
        <v>73.199090040748004</v>
      </c>
      <c r="AI4619">
        <v>89.657770464480294</v>
      </c>
      <c r="AJ4619">
        <v>81.599996226004393</v>
      </c>
      <c r="AK4619">
        <v>73.994181479869496</v>
      </c>
      <c r="AL4619">
        <v>80.085058159944595</v>
      </c>
      <c r="AM4619">
        <v>93.3822996692125</v>
      </c>
      <c r="AN4619">
        <v>1.00000002624243</v>
      </c>
    </row>
    <row r="4620" spans="1:40" x14ac:dyDescent="0.25">
      <c r="A4620" t="str">
        <f>"20190304154846283"</f>
        <v>20190304154846283</v>
      </c>
      <c r="B4620" t="str">
        <f>"1551685726281544"</f>
        <v>1551685726281544</v>
      </c>
      <c r="C4620" t="s">
        <v>40</v>
      </c>
      <c r="D4620">
        <v>4.4066299999999998</v>
      </c>
      <c r="E4620">
        <v>0.57758759999999998</v>
      </c>
      <c r="F4620" t="s">
        <v>70</v>
      </c>
      <c r="G4620">
        <v>-168.4118</v>
      </c>
      <c r="H4620">
        <v>1.6017669999999999</v>
      </c>
      <c r="I4620">
        <v>204.0291</v>
      </c>
      <c r="J4620">
        <v>-241.3954</v>
      </c>
      <c r="K4620">
        <v>1.1103050000000001</v>
      </c>
      <c r="L4620">
        <v>214.0386</v>
      </c>
      <c r="M4620">
        <v>0.99986889999999995</v>
      </c>
      <c r="N4620">
        <v>-1.210259E-2</v>
      </c>
      <c r="O4620">
        <v>1.076242E-2</v>
      </c>
      <c r="P4620">
        <v>0.98463460000000003</v>
      </c>
      <c r="Q4620">
        <v>0.1606551</v>
      </c>
      <c r="R4620">
        <v>6.8446080000000006E-2</v>
      </c>
      <c r="S4620">
        <v>3.0725099999999999</v>
      </c>
      <c r="T4620">
        <v>2.059853E-2</v>
      </c>
      <c r="U4620">
        <v>-0.41934199999999999</v>
      </c>
      <c r="V4620">
        <v>-5.7907260000000002E-2</v>
      </c>
      <c r="W4620">
        <v>0.17254710000000001</v>
      </c>
      <c r="X4620">
        <v>0.98329759999999999</v>
      </c>
      <c r="Y4620">
        <v>0.1458856</v>
      </c>
      <c r="Z4620">
        <v>-1.9867530000000001E-4</v>
      </c>
      <c r="AA4620">
        <v>0.9893014</v>
      </c>
      <c r="AB4620">
        <v>41</v>
      </c>
      <c r="AC4620">
        <v>72.983599999999996</v>
      </c>
      <c r="AD4620">
        <v>0.49146200000000001</v>
      </c>
      <c r="AE4620">
        <v>-10.009499999999999</v>
      </c>
      <c r="AF4620">
        <v>10.793977424619801</v>
      </c>
      <c r="AG4620">
        <v>0.49146200000000001</v>
      </c>
      <c r="AH4620">
        <v>72.868394884343203</v>
      </c>
      <c r="AI4620">
        <v>89.617744524481694</v>
      </c>
      <c r="AJ4620">
        <v>81.574062241748706</v>
      </c>
      <c r="AK4620">
        <v>73.6651508962088</v>
      </c>
      <c r="AL4620">
        <v>80.064053635296602</v>
      </c>
      <c r="AM4620">
        <v>93.370306190040793</v>
      </c>
      <c r="AN4620">
        <v>0.99999996132243796</v>
      </c>
    </row>
    <row r="4621" spans="1:40" x14ac:dyDescent="0.25">
      <c r="A4621" t="str">
        <f>"20190304154846299"</f>
        <v>20190304154846299</v>
      </c>
      <c r="B4621" t="str">
        <f>"1551685726291304"</f>
        <v>1551685726291304</v>
      </c>
      <c r="C4621" t="s">
        <v>40</v>
      </c>
      <c r="D4621">
        <v>4.3834710000000001</v>
      </c>
      <c r="E4621">
        <v>0.57770140000000003</v>
      </c>
      <c r="F4621" t="s">
        <v>70</v>
      </c>
      <c r="G4621">
        <v>-168.4118</v>
      </c>
      <c r="H4621">
        <v>1.615213</v>
      </c>
      <c r="I4621">
        <v>204.05860000000001</v>
      </c>
      <c r="J4621">
        <v>-241.11529999999999</v>
      </c>
      <c r="K4621">
        <v>1.110317</v>
      </c>
      <c r="L4621">
        <v>214.04169999999999</v>
      </c>
      <c r="M4621">
        <v>0.99986770000000003</v>
      </c>
      <c r="N4621">
        <v>-1.212034E-2</v>
      </c>
      <c r="O4621">
        <v>1.0863029999999999E-2</v>
      </c>
      <c r="P4621">
        <v>0.98454509999999995</v>
      </c>
      <c r="Q4621">
        <v>0.16145079999999901</v>
      </c>
      <c r="R4621">
        <v>6.786035E-2</v>
      </c>
      <c r="S4621">
        <v>3.0725560000000001</v>
      </c>
      <c r="T4621">
        <v>2.1257640000000001E-2</v>
      </c>
      <c r="U4621">
        <v>-0.42015079999999999</v>
      </c>
      <c r="V4621">
        <v>-5.7223320000000001E-2</v>
      </c>
      <c r="W4621">
        <v>0.1733596</v>
      </c>
      <c r="X4621">
        <v>0.98319480000000004</v>
      </c>
      <c r="Y4621">
        <v>0.1462387</v>
      </c>
      <c r="Z4621">
        <v>-1.8097680000000001E-4</v>
      </c>
      <c r="AA4621">
        <v>0.9892493</v>
      </c>
      <c r="AB4621">
        <v>41</v>
      </c>
      <c r="AC4621">
        <v>72.703499999999906</v>
      </c>
      <c r="AD4621">
        <v>0.50489600000000001</v>
      </c>
      <c r="AE4621">
        <v>-9.9830999999999808</v>
      </c>
      <c r="AF4621">
        <v>10.771839172783</v>
      </c>
      <c r="AG4621">
        <v>0.50489600000000001</v>
      </c>
      <c r="AH4621">
        <v>72.587318967926905</v>
      </c>
      <c r="AI4621">
        <v>89.605790745396106</v>
      </c>
      <c r="AJ4621">
        <v>81.559003230882794</v>
      </c>
      <c r="AK4621">
        <v>73.383964965697203</v>
      </c>
      <c r="AL4621">
        <v>80.016789290070406</v>
      </c>
      <c r="AM4621">
        <v>93.330937256159004</v>
      </c>
      <c r="AN4621">
        <v>1.00000003700551</v>
      </c>
    </row>
    <row r="4622" spans="1:40" x14ac:dyDescent="0.25">
      <c r="A4622" t="str">
        <f>"20190304154846320"</f>
        <v>20190304154846320</v>
      </c>
      <c r="B4622" t="str">
        <f>"1551685726311799"</f>
        <v>1551685726311799</v>
      </c>
      <c r="C4622" t="s">
        <v>40</v>
      </c>
      <c r="D4622">
        <v>4.4059549999999996</v>
      </c>
      <c r="E4622">
        <v>0.57803700000000002</v>
      </c>
      <c r="F4622" t="s">
        <v>70</v>
      </c>
      <c r="G4622">
        <v>-168.4118</v>
      </c>
      <c r="H4622">
        <v>1.659891</v>
      </c>
      <c r="I4622">
        <v>204.0368</v>
      </c>
      <c r="J4622">
        <v>-240.72219999999999</v>
      </c>
      <c r="K4622">
        <v>1.1103209999999999</v>
      </c>
      <c r="L4622">
        <v>214.0461</v>
      </c>
      <c r="M4622">
        <v>0.99986569999999997</v>
      </c>
      <c r="N4622">
        <v>-1.214697E-2</v>
      </c>
      <c r="O4622">
        <v>1.100071E-2</v>
      </c>
      <c r="P4622">
        <v>0.98447929999999995</v>
      </c>
      <c r="Q4622">
        <v>0.16175200000000001</v>
      </c>
      <c r="R4622">
        <v>6.8093840000000003E-2</v>
      </c>
      <c r="S4622">
        <v>3.0724330000000002</v>
      </c>
      <c r="T4622">
        <v>2.3226380000000001E-2</v>
      </c>
      <c r="U4622">
        <v>-0.42280580000000001</v>
      </c>
      <c r="V4622">
        <v>-5.7321219999999999E-2</v>
      </c>
      <c r="W4622">
        <v>0.17368649999999999</v>
      </c>
      <c r="X4622">
        <v>0.98313130000000004</v>
      </c>
      <c r="Y4622">
        <v>0.14721890000000001</v>
      </c>
      <c r="Z4622">
        <v>-1.2875049999999999E-4</v>
      </c>
      <c r="AA4622">
        <v>0.98910390000000004</v>
      </c>
      <c r="AB4622">
        <v>41</v>
      </c>
      <c r="AC4622">
        <v>72.310399999999902</v>
      </c>
      <c r="AD4622">
        <v>0.54957</v>
      </c>
      <c r="AE4622">
        <v>-10.0092999999999</v>
      </c>
      <c r="AF4622">
        <v>10.8036063812531</v>
      </c>
      <c r="AG4622">
        <v>0.54957</v>
      </c>
      <c r="AH4622">
        <v>72.191814776944497</v>
      </c>
      <c r="AI4622">
        <v>89.568639860193201</v>
      </c>
      <c r="AJ4622">
        <v>81.488769006983404</v>
      </c>
      <c r="AK4622">
        <v>72.997794890082901</v>
      </c>
      <c r="AL4622">
        <v>79.997769783453506</v>
      </c>
      <c r="AM4622">
        <v>93.336838119660797</v>
      </c>
      <c r="AN4622">
        <v>0.99999993779211205</v>
      </c>
    </row>
    <row r="4623" spans="1:40" x14ac:dyDescent="0.25">
      <c r="A4623" t="str">
        <f>"20190304154846343"</f>
        <v>20190304154846343</v>
      </c>
      <c r="B4623" t="str">
        <f>"1551685726331320"</f>
        <v>1551685726331320</v>
      </c>
      <c r="C4623" t="s">
        <v>40</v>
      </c>
      <c r="D4623">
        <v>4.4502739999999896</v>
      </c>
      <c r="E4623">
        <v>0.57832240000000001</v>
      </c>
      <c r="F4623" t="s">
        <v>70</v>
      </c>
      <c r="G4623">
        <v>-168.4118</v>
      </c>
      <c r="H4623">
        <v>1.6959419999999901</v>
      </c>
      <c r="I4623">
        <v>204.05080000000001</v>
      </c>
      <c r="J4623">
        <v>-240.31790000000001</v>
      </c>
      <c r="K4623">
        <v>1.110322</v>
      </c>
      <c r="L4623">
        <v>214.05070000000001</v>
      </c>
      <c r="M4623">
        <v>0.99986390000000003</v>
      </c>
      <c r="N4623">
        <v>-1.2176599999999999E-2</v>
      </c>
      <c r="O4623">
        <v>1.113625E-2</v>
      </c>
      <c r="P4623">
        <v>0.9845178</v>
      </c>
      <c r="Q4623">
        <v>0.1615588</v>
      </c>
      <c r="R4623">
        <v>6.7997639999999998E-2</v>
      </c>
      <c r="S4623">
        <v>3.0725709999999999</v>
      </c>
      <c r="T4623">
        <v>2.4885299999999999E-2</v>
      </c>
      <c r="U4623">
        <v>-0.42471310000000001</v>
      </c>
      <c r="V4623">
        <v>-5.7089429999999997E-2</v>
      </c>
      <c r="W4623">
        <v>0.1735235</v>
      </c>
      <c r="X4623">
        <v>0.98317359999999998</v>
      </c>
      <c r="Y4623">
        <v>0.14794930000000001</v>
      </c>
      <c r="Z4623" s="1">
        <v>-8.4040219999999895E-5</v>
      </c>
      <c r="AA4623">
        <v>0.98899499999999996</v>
      </c>
      <c r="AB4623">
        <v>41</v>
      </c>
      <c r="AC4623">
        <v>71.906099999999995</v>
      </c>
      <c r="AD4623">
        <v>0.58561999999999903</v>
      </c>
      <c r="AE4623">
        <v>-9.9998999999999896</v>
      </c>
      <c r="AF4623">
        <v>10.799400732623001</v>
      </c>
      <c r="AG4623">
        <v>0.58561999999999903</v>
      </c>
      <c r="AH4623">
        <v>71.785599714769404</v>
      </c>
      <c r="AI4623">
        <v>89.537797733576696</v>
      </c>
      <c r="AJ4623">
        <v>81.444600011489399</v>
      </c>
      <c r="AK4623">
        <v>72.595745973006402</v>
      </c>
      <c r="AL4623">
        <v>80.0072532992139</v>
      </c>
      <c r="AM4623">
        <v>93.323232578041996</v>
      </c>
      <c r="AN4623">
        <v>0.99999996790346701</v>
      </c>
    </row>
    <row r="4624" spans="1:40" x14ac:dyDescent="0.25">
      <c r="A4624" t="str">
        <f>"20190304154846367"</f>
        <v>20190304154846367</v>
      </c>
      <c r="B4624" t="str">
        <f>"1551685726361575"</f>
        <v>1551685726361575</v>
      </c>
      <c r="C4624" t="s">
        <v>40</v>
      </c>
      <c r="D4624">
        <v>4.4331189999999996</v>
      </c>
      <c r="E4624">
        <v>0.57873399999999997</v>
      </c>
      <c r="F4624" t="s">
        <v>70</v>
      </c>
      <c r="G4624">
        <v>-168.4118</v>
      </c>
      <c r="H4624">
        <v>1.683414</v>
      </c>
      <c r="I4624">
        <v>204.04169999999999</v>
      </c>
      <c r="J4624">
        <v>-239.89160000000001</v>
      </c>
      <c r="K4624">
        <v>1.1103209999999999</v>
      </c>
      <c r="L4624">
        <v>214.0556</v>
      </c>
      <c r="M4624">
        <v>0.99986200000000003</v>
      </c>
      <c r="N4624">
        <v>-1.2208480000000001E-2</v>
      </c>
      <c r="O4624">
        <v>1.126942E-2</v>
      </c>
      <c r="P4624">
        <v>0.98453679999999999</v>
      </c>
      <c r="Q4624">
        <v>0.16162029999999999</v>
      </c>
      <c r="R4624">
        <v>6.75732E-2</v>
      </c>
      <c r="S4624">
        <v>3.072708</v>
      </c>
      <c r="T4624">
        <v>2.4490950000000001E-2</v>
      </c>
      <c r="U4624">
        <v>-0.42770390000000003</v>
      </c>
      <c r="V4624">
        <v>-5.6531049999999999E-2</v>
      </c>
      <c r="W4624">
        <v>0.17361789999999999</v>
      </c>
      <c r="X4624">
        <v>0.98318919999999999</v>
      </c>
      <c r="Y4624">
        <v>0.1490194</v>
      </c>
      <c r="Z4624" s="1">
        <v>-9.6717620000000005E-5</v>
      </c>
      <c r="AA4624">
        <v>0.98883430000000005</v>
      </c>
      <c r="AB4624">
        <v>41</v>
      </c>
      <c r="AC4624">
        <v>71.479799999999997</v>
      </c>
      <c r="AD4624">
        <v>0.57309299999999996</v>
      </c>
      <c r="AE4624">
        <v>-10.0139</v>
      </c>
      <c r="AF4624">
        <v>10.818177883297</v>
      </c>
      <c r="AG4624">
        <v>0.57309299999999996</v>
      </c>
      <c r="AH4624">
        <v>71.357902291717593</v>
      </c>
      <c r="AI4624">
        <v>89.545051611775605</v>
      </c>
      <c r="AJ4624">
        <v>81.379348429737803</v>
      </c>
      <c r="AK4624">
        <v>72.175561153174399</v>
      </c>
      <c r="AL4624">
        <v>80.001761225486803</v>
      </c>
      <c r="AM4624">
        <v>93.290748409814995</v>
      </c>
      <c r="AN4624">
        <v>0.99999996890557497</v>
      </c>
    </row>
    <row r="4625" spans="1:40" x14ac:dyDescent="0.25">
      <c r="A4625" t="str">
        <f>"20190304154846389"</f>
        <v>20190304154846389</v>
      </c>
      <c r="B4625" t="str">
        <f>"1551685726381658"</f>
        <v>1551685726381658</v>
      </c>
      <c r="C4625" t="s">
        <v>40</v>
      </c>
      <c r="D4625">
        <v>4.4120739999999996</v>
      </c>
      <c r="E4625">
        <v>0.57894400000000001</v>
      </c>
      <c r="F4625" t="s">
        <v>70</v>
      </c>
      <c r="G4625">
        <v>-168.4119</v>
      </c>
      <c r="H4625">
        <v>1.685873</v>
      </c>
      <c r="I4625">
        <v>203.99610000000001</v>
      </c>
      <c r="J4625">
        <v>-239.4888</v>
      </c>
      <c r="K4625">
        <v>1.1103160000000001</v>
      </c>
      <c r="L4625">
        <v>214.06020000000001</v>
      </c>
      <c r="M4625">
        <v>0.99986050000000004</v>
      </c>
      <c r="N4625">
        <v>-1.2237059999999999E-2</v>
      </c>
      <c r="O4625">
        <v>1.1379709999999999E-2</v>
      </c>
      <c r="P4625">
        <v>0.98456279999999996</v>
      </c>
      <c r="Q4625">
        <v>0.16149579999999999</v>
      </c>
      <c r="R4625">
        <v>6.7493869999999997E-2</v>
      </c>
      <c r="S4625">
        <v>3.0727540000000002</v>
      </c>
      <c r="T4625">
        <v>2.47432E-2</v>
      </c>
      <c r="U4625">
        <v>-0.43243409999999899</v>
      </c>
      <c r="V4625">
        <v>-5.6337430000000001E-2</v>
      </c>
      <c r="W4625">
        <v>0.1735235</v>
      </c>
      <c r="X4625">
        <v>0.98321700000000001</v>
      </c>
      <c r="Y4625">
        <v>0.15061920000000001</v>
      </c>
      <c r="Z4625" s="1">
        <v>-9.2923990000000006E-5</v>
      </c>
      <c r="AA4625">
        <v>0.98859180000000002</v>
      </c>
      <c r="AB4625">
        <v>41</v>
      </c>
      <c r="AC4625">
        <v>71.076899999999995</v>
      </c>
      <c r="AD4625">
        <v>0.57555699999999899</v>
      </c>
      <c r="AE4625">
        <v>-10.0640999999999</v>
      </c>
      <c r="AF4625">
        <v>10.8716443459302</v>
      </c>
      <c r="AG4625">
        <v>0.57555699999999899</v>
      </c>
      <c r="AH4625">
        <v>70.953200800205494</v>
      </c>
      <c r="AI4625">
        <v>89.540600428775704</v>
      </c>
      <c r="AJ4625">
        <v>81.288733712047602</v>
      </c>
      <c r="AK4625">
        <v>71.783567899895701</v>
      </c>
      <c r="AL4625">
        <v>80.007253523094207</v>
      </c>
      <c r="AM4625">
        <v>93.279409648465105</v>
      </c>
      <c r="AN4625">
        <v>0.99999999008012697</v>
      </c>
    </row>
    <row r="4626" spans="1:40" x14ac:dyDescent="0.25">
      <c r="A4626" t="str">
        <f>"20190304154846410"</f>
        <v>20190304154846410</v>
      </c>
      <c r="B4626" t="str">
        <f>"1551685726401179"</f>
        <v>1551685726401179</v>
      </c>
      <c r="C4626" t="s">
        <v>40</v>
      </c>
      <c r="D4626">
        <v>4.4115339999999996</v>
      </c>
      <c r="E4626">
        <v>0.57913019999999904</v>
      </c>
      <c r="F4626" t="s">
        <v>70</v>
      </c>
      <c r="G4626">
        <v>-168.4119</v>
      </c>
      <c r="H4626">
        <v>1.687899</v>
      </c>
      <c r="I4626">
        <v>204.0153</v>
      </c>
      <c r="J4626">
        <v>-239.0915</v>
      </c>
      <c r="K4626">
        <v>1.1103050000000001</v>
      </c>
      <c r="L4626">
        <v>214.06479999999999</v>
      </c>
      <c r="M4626">
        <v>0.9998591</v>
      </c>
      <c r="N4626">
        <v>-1.2263029999999999E-2</v>
      </c>
      <c r="O4626">
        <v>1.1467099999999999E-2</v>
      </c>
      <c r="P4626">
        <v>0.9845507</v>
      </c>
      <c r="Q4626">
        <v>0.16139809999999999</v>
      </c>
      <c r="R4626">
        <v>6.7902939999999995E-2</v>
      </c>
      <c r="S4626">
        <v>3.072708</v>
      </c>
      <c r="T4626">
        <v>2.497077E-2</v>
      </c>
      <c r="U4626">
        <v>-0.43424990000000002</v>
      </c>
      <c r="V4626">
        <v>-5.6653660000000002E-2</v>
      </c>
      <c r="W4626">
        <v>0.17345360000000001</v>
      </c>
      <c r="X4626">
        <v>0.98321119999999995</v>
      </c>
      <c r="Y4626">
        <v>0.15128039999999901</v>
      </c>
      <c r="Z4626" s="1">
        <v>-8.7896939999999998E-5</v>
      </c>
      <c r="AA4626">
        <v>0.98849089999999995</v>
      </c>
      <c r="AB4626">
        <v>41</v>
      </c>
      <c r="AC4626">
        <v>70.679599999999994</v>
      </c>
      <c r="AD4626">
        <v>0.57759400000000005</v>
      </c>
      <c r="AE4626">
        <v>-10.049499999999901</v>
      </c>
      <c r="AF4626">
        <v>10.8586793120983</v>
      </c>
      <c r="AG4626">
        <v>0.57759400000000005</v>
      </c>
      <c r="AH4626">
        <v>70.555086463395597</v>
      </c>
      <c r="AI4626">
        <v>89.536420681159498</v>
      </c>
      <c r="AJ4626">
        <v>81.250624422884599</v>
      </c>
      <c r="AK4626">
        <v>71.388127563965796</v>
      </c>
      <c r="AL4626">
        <v>80.011320529382999</v>
      </c>
      <c r="AM4626">
        <v>93.297796337092805</v>
      </c>
      <c r="AN4626">
        <v>1.00000002617489</v>
      </c>
    </row>
    <row r="4627" spans="1:40" x14ac:dyDescent="0.25">
      <c r="A4627" t="str">
        <f>"20190304154846433"</f>
        <v>20190304154846433</v>
      </c>
      <c r="B4627" t="str">
        <f>"1551685726421676"</f>
        <v>1551685726421676</v>
      </c>
      <c r="C4627" t="s">
        <v>40</v>
      </c>
      <c r="D4627">
        <v>4.4478799999999996</v>
      </c>
      <c r="E4627">
        <v>0.58377769999999995</v>
      </c>
      <c r="F4627" t="s">
        <v>70</v>
      </c>
      <c r="G4627">
        <v>-168.4118</v>
      </c>
      <c r="H4627">
        <v>1.68515999999999</v>
      </c>
      <c r="I4627">
        <v>204.0771</v>
      </c>
      <c r="J4627">
        <v>-238.69200000000001</v>
      </c>
      <c r="K4627">
        <v>1.1102860000000001</v>
      </c>
      <c r="L4627">
        <v>214.06950000000001</v>
      </c>
      <c r="M4627">
        <v>0.99985820000000003</v>
      </c>
      <c r="N4627">
        <v>-1.228665E-2</v>
      </c>
      <c r="O4627">
        <v>1.1528679999999999E-2</v>
      </c>
      <c r="P4627">
        <v>0.98447030000000002</v>
      </c>
      <c r="Q4627">
        <v>0.16176599999999999</v>
      </c>
      <c r="R4627">
        <v>6.8191539999999995E-2</v>
      </c>
      <c r="S4627">
        <v>3.0729220000000002</v>
      </c>
      <c r="T4627">
        <v>2.4994249999999999E-2</v>
      </c>
      <c r="U4627">
        <v>-0.43423460000000003</v>
      </c>
      <c r="V4627">
        <v>-5.687329E-2</v>
      </c>
      <c r="W4627">
        <v>0.17384659999999999</v>
      </c>
      <c r="X4627">
        <v>0.98312909999999998</v>
      </c>
      <c r="Y4627">
        <v>0.15132699999999999</v>
      </c>
      <c r="Z4627" s="1">
        <v>-8.7655270000000006E-5</v>
      </c>
      <c r="AA4627">
        <v>0.98848380000000002</v>
      </c>
      <c r="AB4627">
        <v>41</v>
      </c>
      <c r="AC4627">
        <v>70.280199999999994</v>
      </c>
      <c r="AD4627">
        <v>0.574873999999999</v>
      </c>
      <c r="AE4627">
        <v>-9.9923999999999999</v>
      </c>
      <c r="AF4627">
        <v>10.8013264352067</v>
      </c>
      <c r="AG4627">
        <v>0.574873999999999</v>
      </c>
      <c r="AH4627">
        <v>70.155719808321805</v>
      </c>
      <c r="AI4627">
        <v>89.535981339888195</v>
      </c>
      <c r="AJ4627">
        <v>81.247344646613101</v>
      </c>
      <c r="AK4627">
        <v>70.984675491964595</v>
      </c>
      <c r="AL4627">
        <v>79.988455846910796</v>
      </c>
      <c r="AM4627">
        <v>93.310828412835406</v>
      </c>
      <c r="AN4627">
        <v>1.0000000193568901</v>
      </c>
    </row>
    <row r="4628" spans="1:40" x14ac:dyDescent="0.25">
      <c r="A4628" t="str">
        <f>"20190304154846454"</f>
        <v>20190304154846454</v>
      </c>
      <c r="B4628" t="str">
        <f>"1551685726451931"</f>
        <v>1551685726451931</v>
      </c>
      <c r="C4628" t="s">
        <v>40</v>
      </c>
      <c r="D4628">
        <v>4.4463280000000003</v>
      </c>
      <c r="E4628">
        <v>0.58425700000000003</v>
      </c>
      <c r="F4628" t="s">
        <v>70</v>
      </c>
      <c r="G4628">
        <v>-168.41220000000001</v>
      </c>
      <c r="H4628">
        <v>1.8711089999999999</v>
      </c>
      <c r="I4628">
        <v>203.31909999999999</v>
      </c>
      <c r="J4628">
        <v>-238.28870000000001</v>
      </c>
      <c r="K4628">
        <v>1.110255</v>
      </c>
      <c r="L4628">
        <v>214.07419999999999</v>
      </c>
      <c r="M4628">
        <v>0.99985749999999995</v>
      </c>
      <c r="N4628">
        <v>-1.230818E-2</v>
      </c>
      <c r="O4628">
        <v>1.156808E-2</v>
      </c>
      <c r="P4628">
        <v>0.98450020000000005</v>
      </c>
      <c r="Q4628">
        <v>0.1614419</v>
      </c>
      <c r="R4628">
        <v>6.8528510000000001E-2</v>
      </c>
      <c r="S4628">
        <v>3.0744020000000001</v>
      </c>
      <c r="T4628">
        <v>3.3283710000000001E-2</v>
      </c>
      <c r="U4628">
        <v>-0.47027590000000002</v>
      </c>
      <c r="V4628">
        <v>-5.716185E-2</v>
      </c>
      <c r="W4628">
        <v>0.17354700000000001</v>
      </c>
      <c r="X4628">
        <v>0.98316530000000002</v>
      </c>
      <c r="Y4628">
        <v>0.16263039999999901</v>
      </c>
      <c r="Z4628">
        <v>1.346075E-4</v>
      </c>
      <c r="AA4628">
        <v>0.98668710000000004</v>
      </c>
      <c r="AB4628">
        <v>41</v>
      </c>
      <c r="AC4628">
        <v>69.876499999999993</v>
      </c>
      <c r="AD4628">
        <v>0.76085399999999903</v>
      </c>
      <c r="AE4628">
        <v>-10.755100000000001</v>
      </c>
      <c r="AF4628">
        <v>11.561439273806201</v>
      </c>
      <c r="AG4628">
        <v>0.76085399999999903</v>
      </c>
      <c r="AH4628">
        <v>69.739321431077599</v>
      </c>
      <c r="AI4628">
        <v>89.383345230590095</v>
      </c>
      <c r="AJ4628">
        <v>80.587070480204304</v>
      </c>
      <c r="AK4628">
        <v>70.695252531965593</v>
      </c>
      <c r="AL4628">
        <v>80.005886658219694</v>
      </c>
      <c r="AM4628">
        <v>93.327466779594204</v>
      </c>
      <c r="AN4628">
        <v>1.00000002271425</v>
      </c>
    </row>
    <row r="4629" spans="1:40" x14ac:dyDescent="0.25">
      <c r="A4629" t="str">
        <f>"20190304154846478"</f>
        <v>20190304154846478</v>
      </c>
      <c r="B4629" t="str">
        <f>"1551685726471451"</f>
        <v>1551685726471451</v>
      </c>
      <c r="C4629" t="s">
        <v>40</v>
      </c>
      <c r="D4629">
        <v>4.423972</v>
      </c>
      <c r="E4629">
        <v>0.58471549999999906</v>
      </c>
      <c r="F4629" t="s">
        <v>70</v>
      </c>
      <c r="G4629">
        <v>-168.41220000000001</v>
      </c>
      <c r="H4629">
        <v>1.8982220000000001</v>
      </c>
      <c r="I4629">
        <v>203.3253</v>
      </c>
      <c r="J4629">
        <v>-237.8759</v>
      </c>
      <c r="K4629">
        <v>1.110233</v>
      </c>
      <c r="L4629">
        <v>214.07900000000001</v>
      </c>
      <c r="M4629">
        <v>0.99985690000000005</v>
      </c>
      <c r="N4629">
        <v>-1.232779E-2</v>
      </c>
      <c r="O4629">
        <v>1.159145E-2</v>
      </c>
      <c r="P4629">
        <v>0.98437350000000001</v>
      </c>
      <c r="Q4629">
        <v>0.16196150000000001</v>
      </c>
      <c r="R4629">
        <v>6.9119979999999998E-2</v>
      </c>
      <c r="S4629">
        <v>3.0744319999999998</v>
      </c>
      <c r="T4629">
        <v>3.4670470000000002E-2</v>
      </c>
      <c r="U4629">
        <v>-0.47293089999999999</v>
      </c>
      <c r="V4629">
        <v>-5.7722580000000002E-2</v>
      </c>
      <c r="W4629">
        <v>0.17408699999999999</v>
      </c>
      <c r="X4629">
        <v>0.9830371</v>
      </c>
      <c r="Y4629">
        <v>0.16348399999999999</v>
      </c>
      <c r="Z4629">
        <v>1.747675E-4</v>
      </c>
      <c r="AA4629">
        <v>0.98654600000000003</v>
      </c>
      <c r="AB4629">
        <v>41</v>
      </c>
      <c r="AC4629">
        <v>69.463699999999903</v>
      </c>
      <c r="AD4629">
        <v>0.78798900000000005</v>
      </c>
      <c r="AE4629">
        <v>-10.7537</v>
      </c>
      <c r="AF4629">
        <v>11.5567711926755</v>
      </c>
      <c r="AG4629">
        <v>0.78798900000000005</v>
      </c>
      <c r="AH4629">
        <v>69.325659763987304</v>
      </c>
      <c r="AI4629">
        <v>89.357640082846899</v>
      </c>
      <c r="AJ4629">
        <v>80.535671834379301</v>
      </c>
      <c r="AK4629">
        <v>70.286748315568801</v>
      </c>
      <c r="AL4629">
        <v>79.974469068963998</v>
      </c>
      <c r="AM4629">
        <v>93.360470375645207</v>
      </c>
      <c r="AN4629">
        <v>1.0000000598936301</v>
      </c>
    </row>
    <row r="4630" spans="1:40" x14ac:dyDescent="0.25">
      <c r="A4630" t="str">
        <f>"20190304154846499"</f>
        <v>20190304154846499</v>
      </c>
      <c r="B4630" t="str">
        <f>"1551685726491919"</f>
        <v>1551685726491919</v>
      </c>
      <c r="C4630" t="s">
        <v>40</v>
      </c>
      <c r="D4630">
        <v>4.7308110000000001</v>
      </c>
      <c r="E4630">
        <v>0.58471549999999906</v>
      </c>
      <c r="F4630" t="s">
        <v>70</v>
      </c>
      <c r="G4630">
        <v>-168.41220000000001</v>
      </c>
      <c r="H4630">
        <v>2.0170309999999998</v>
      </c>
      <c r="I4630">
        <v>203.35579999999999</v>
      </c>
      <c r="J4630">
        <v>-237.47630000000001</v>
      </c>
      <c r="K4630">
        <v>1.110225</v>
      </c>
      <c r="L4630">
        <v>214.08369999999999</v>
      </c>
      <c r="M4630">
        <v>0.99985659999999998</v>
      </c>
      <c r="N4630">
        <v>-1.234451E-2</v>
      </c>
      <c r="O4630">
        <v>1.160071E-2</v>
      </c>
      <c r="P4630">
        <v>0.98437330000000001</v>
      </c>
      <c r="Q4630">
        <v>0.1618346</v>
      </c>
      <c r="R4630">
        <v>6.9421189999999994E-2</v>
      </c>
      <c r="S4630">
        <v>3.0743559999999999</v>
      </c>
      <c r="T4630">
        <v>4.0134910000000003E-2</v>
      </c>
      <c r="U4630">
        <v>-0.47459410000000002</v>
      </c>
      <c r="V4630">
        <v>-5.8008700000000003E-2</v>
      </c>
      <c r="W4630">
        <v>0.17397899999999999</v>
      </c>
      <c r="X4630">
        <v>0.98303929999999995</v>
      </c>
      <c r="Y4630">
        <v>0.164016</v>
      </c>
      <c r="Z4630">
        <v>3.3879899999999998E-4</v>
      </c>
      <c r="AA4630">
        <v>0.98645760000000005</v>
      </c>
      <c r="AB4630">
        <v>41</v>
      </c>
      <c r="AC4630">
        <v>69.064099999999996</v>
      </c>
      <c r="AD4630">
        <v>0.906806</v>
      </c>
      <c r="AE4630">
        <v>-10.7279</v>
      </c>
      <c r="AF4630">
        <v>11.5264912877927</v>
      </c>
      <c r="AG4630">
        <v>0.906806</v>
      </c>
      <c r="AH4630">
        <v>68.923389112373599</v>
      </c>
      <c r="AI4630">
        <v>89.256542365491896</v>
      </c>
      <c r="AJ4630">
        <v>80.505926283208794</v>
      </c>
      <c r="AK4630">
        <v>69.886449797259402</v>
      </c>
      <c r="AL4630">
        <v>79.980752132244007</v>
      </c>
      <c r="AM4630">
        <v>93.377081599079204</v>
      </c>
      <c r="AN4630">
        <v>0.99999998353058905</v>
      </c>
    </row>
    <row r="4631" spans="1:40" x14ac:dyDescent="0.25">
      <c r="A4631" t="str">
        <f>"20190304154846522"</f>
        <v>20190304154846522</v>
      </c>
      <c r="B4631" t="str">
        <f>"1551685726511440"</f>
        <v>1551685726511440</v>
      </c>
      <c r="C4631" t="s">
        <v>40</v>
      </c>
      <c r="D4631">
        <v>4.7287480000000004</v>
      </c>
      <c r="E4631">
        <v>0.58471549999999906</v>
      </c>
      <c r="F4631" t="s">
        <v>70</v>
      </c>
      <c r="G4631">
        <v>-168.41220000000001</v>
      </c>
      <c r="H4631">
        <v>2.0221749999999998</v>
      </c>
      <c r="I4631">
        <v>203.4349</v>
      </c>
      <c r="J4631">
        <v>-237.07310000000001</v>
      </c>
      <c r="K4631">
        <v>1.110209</v>
      </c>
      <c r="L4631">
        <v>214.0883</v>
      </c>
      <c r="M4631">
        <v>0.99985659999999998</v>
      </c>
      <c r="N4631">
        <v>-1.235931E-2</v>
      </c>
      <c r="O4631">
        <v>1.159132E-2</v>
      </c>
      <c r="P4631">
        <v>0.9843615</v>
      </c>
      <c r="Q4631">
        <v>0.16177359999999999</v>
      </c>
      <c r="R4631">
        <v>6.9728750000000006E-2</v>
      </c>
      <c r="S4631">
        <v>3.0744020000000001</v>
      </c>
      <c r="T4631">
        <v>4.0597080000000001E-2</v>
      </c>
      <c r="U4631">
        <v>-0.47402949999999999</v>
      </c>
      <c r="V4631">
        <v>-5.8318540000000002E-2</v>
      </c>
      <c r="W4631">
        <v>0.17393439999999999</v>
      </c>
      <c r="X4631">
        <v>0.98302889999999998</v>
      </c>
      <c r="Y4631">
        <v>0.16382739999999901</v>
      </c>
      <c r="Z4631">
        <v>3.5144780000000001E-4</v>
      </c>
      <c r="AA4631">
        <v>0.9864889</v>
      </c>
      <c r="AB4631">
        <v>41</v>
      </c>
      <c r="AC4631">
        <v>68.660899999999998</v>
      </c>
      <c r="AD4631">
        <v>0.91196599999999906</v>
      </c>
      <c r="AE4631">
        <v>-10.6534</v>
      </c>
      <c r="AF4631">
        <v>11.4466434021769</v>
      </c>
      <c r="AG4631">
        <v>0.91196599999999906</v>
      </c>
      <c r="AH4631">
        <v>68.520986135220397</v>
      </c>
      <c r="AI4631">
        <v>89.247899507462293</v>
      </c>
      <c r="AJ4631">
        <v>80.516136343187398</v>
      </c>
      <c r="AK4631">
        <v>69.476491478087993</v>
      </c>
      <c r="AL4631">
        <v>79.983347487219604</v>
      </c>
      <c r="AM4631">
        <v>93.395113248900003</v>
      </c>
      <c r="AN4631">
        <v>1.00000002292315</v>
      </c>
    </row>
    <row r="4632" spans="1:40" x14ac:dyDescent="0.25">
      <c r="A4632" t="str">
        <f>"20190304154846544"</f>
        <v>20190304154846544</v>
      </c>
      <c r="B4632" t="str">
        <f>"1551685726541696"</f>
        <v>1551685726541696</v>
      </c>
      <c r="C4632" t="s">
        <v>40</v>
      </c>
      <c r="D4632">
        <v>4.6429640000000001</v>
      </c>
      <c r="E4632">
        <v>0.56079269999999903</v>
      </c>
      <c r="F4632" t="s">
        <v>70</v>
      </c>
      <c r="G4632">
        <v>-168.41210000000001</v>
      </c>
      <c r="H4632">
        <v>2.026545</v>
      </c>
      <c r="I4632">
        <v>203.5095</v>
      </c>
      <c r="J4632">
        <v>-236.66489999999999</v>
      </c>
      <c r="K4632">
        <v>1.1101909999999999</v>
      </c>
      <c r="L4632">
        <v>214.09309999999999</v>
      </c>
      <c r="M4632">
        <v>0.99985679999999999</v>
      </c>
      <c r="N4632">
        <v>-1.237458E-2</v>
      </c>
      <c r="O4632">
        <v>1.15525E-2</v>
      </c>
      <c r="P4632">
        <v>0.98441679999999998</v>
      </c>
      <c r="Q4632">
        <v>0.161304799999999</v>
      </c>
      <c r="R4632">
        <v>7.0031609999999994E-2</v>
      </c>
      <c r="S4632">
        <v>3.0744630000000002</v>
      </c>
      <c r="T4632">
        <v>4.103267E-2</v>
      </c>
      <c r="U4632">
        <v>-0.4736938</v>
      </c>
      <c r="V4632">
        <v>-5.8649510000000002E-2</v>
      </c>
      <c r="W4632">
        <v>0.17348459999999999</v>
      </c>
      <c r="X4632">
        <v>0.98308870000000004</v>
      </c>
      <c r="Y4632">
        <v>0.16368070000000001</v>
      </c>
      <c r="Z4632">
        <v>3.6247610000000001E-4</v>
      </c>
      <c r="AA4632">
        <v>0.98651330000000004</v>
      </c>
      <c r="AB4632">
        <v>41</v>
      </c>
      <c r="AC4632">
        <v>68.252799999999894</v>
      </c>
      <c r="AD4632">
        <v>0.916354</v>
      </c>
      <c r="AE4632">
        <v>-10.583599999999899</v>
      </c>
      <c r="AF4632">
        <v>11.369443119768899</v>
      </c>
      <c r="AG4632">
        <v>0.916354</v>
      </c>
      <c r="AH4632">
        <v>68.113978697142002</v>
      </c>
      <c r="AI4632">
        <v>89.239749252457401</v>
      </c>
      <c r="AJ4632">
        <v>80.523672113316096</v>
      </c>
      <c r="AK4632">
        <v>69.062421297415398</v>
      </c>
      <c r="AL4632">
        <v>80.009517074201298</v>
      </c>
      <c r="AM4632">
        <v>93.4141285785701</v>
      </c>
      <c r="AN4632">
        <v>1.0000000317640401</v>
      </c>
    </row>
    <row r="4633" spans="1:40" x14ac:dyDescent="0.25">
      <c r="A4633" t="str">
        <f>"20190304154846568"</f>
        <v>20190304154846568</v>
      </c>
      <c r="B4633" t="str">
        <f>"1551685726561216"</f>
        <v>1551685726561216</v>
      </c>
      <c r="C4633" t="s">
        <v>40</v>
      </c>
      <c r="D4633">
        <v>4.6292369999999998</v>
      </c>
      <c r="E4633">
        <v>0.56125999999999998</v>
      </c>
      <c r="F4633" t="s">
        <v>54</v>
      </c>
      <c r="G4633">
        <v>-199.91550000000001</v>
      </c>
      <c r="H4633" s="1">
        <v>2.548874E-6</v>
      </c>
      <c r="I4633">
        <v>210.69159999999999</v>
      </c>
      <c r="J4633">
        <v>-236.24359999999999</v>
      </c>
      <c r="K4633">
        <v>1.1101620000000001</v>
      </c>
      <c r="L4633">
        <v>214.09790000000001</v>
      </c>
      <c r="M4633">
        <v>0.99985749999999995</v>
      </c>
      <c r="N4633">
        <v>-1.239285E-2</v>
      </c>
      <c r="O4633">
        <v>1.1474959999999999E-2</v>
      </c>
      <c r="P4633">
        <v>0.98448080000000004</v>
      </c>
      <c r="Q4633">
        <v>0.16083789999999901</v>
      </c>
      <c r="R4633">
        <v>7.020788E-2</v>
      </c>
      <c r="S4633">
        <v>3.0830839999999999</v>
      </c>
      <c r="T4633">
        <v>-9.3139050000000001E-2</v>
      </c>
      <c r="U4633">
        <v>-0.28536990000000001</v>
      </c>
      <c r="V4633">
        <v>-5.8888080000000002E-2</v>
      </c>
      <c r="W4633">
        <v>0.17304129999999901</v>
      </c>
      <c r="X4633">
        <v>0.98315260000000004</v>
      </c>
      <c r="Y4633">
        <v>0.10351879999999999</v>
      </c>
      <c r="Z4633">
        <v>-2.4069959999999998E-3</v>
      </c>
      <c r="AA4633">
        <v>0.99462459999999997</v>
      </c>
      <c r="AB4633">
        <v>41</v>
      </c>
      <c r="AC4633">
        <v>36.3280999999999</v>
      </c>
      <c r="AD4633">
        <v>-1.110159451126</v>
      </c>
      <c r="AE4633">
        <v>-3.4063000000000101</v>
      </c>
      <c r="AF4633">
        <v>3.8194353867016</v>
      </c>
      <c r="AG4633">
        <v>-1.110159451126</v>
      </c>
      <c r="AH4633">
        <v>36.2530571558829</v>
      </c>
      <c r="AI4633">
        <v>91.744344142206202</v>
      </c>
      <c r="AJ4633">
        <v>83.985798113604801</v>
      </c>
      <c r="AK4633">
        <v>36.470600403994197</v>
      </c>
      <c r="AL4633">
        <v>80.035306686232602</v>
      </c>
      <c r="AM4633">
        <v>93.427760988743003</v>
      </c>
      <c r="AN4633">
        <v>1.0000000661792601</v>
      </c>
    </row>
    <row r="4634" spans="1:40" x14ac:dyDescent="0.25">
      <c r="A4634" t="str">
        <f>"20190304154846590"</f>
        <v>20190304154846590</v>
      </c>
      <c r="B4634" t="str">
        <f>"1551685726581712"</f>
        <v>1551685726581712</v>
      </c>
      <c r="C4634" t="s">
        <v>40</v>
      </c>
      <c r="D4634">
        <v>4.6594680000000004</v>
      </c>
      <c r="E4634">
        <v>0.56149839999999995</v>
      </c>
      <c r="F4634" t="s">
        <v>54</v>
      </c>
      <c r="G4634">
        <v>-200.97120000000001</v>
      </c>
      <c r="H4634" s="1">
        <v>2.9820500000000001E-6</v>
      </c>
      <c r="I4634">
        <v>210.79159999999999</v>
      </c>
      <c r="J4634">
        <v>-235.8297</v>
      </c>
      <c r="K4634">
        <v>1.1101179999999999</v>
      </c>
      <c r="L4634">
        <v>214.1026</v>
      </c>
      <c r="M4634">
        <v>0.99985860000000004</v>
      </c>
      <c r="N4634">
        <v>-1.241482E-2</v>
      </c>
      <c r="O4634">
        <v>1.1360429999999999E-2</v>
      </c>
      <c r="P4634">
        <v>0.98453199999999996</v>
      </c>
      <c r="Q4634">
        <v>0.1604419</v>
      </c>
      <c r="R4634">
        <v>7.039347E-2</v>
      </c>
      <c r="S4634">
        <v>3.0837400000000001</v>
      </c>
      <c r="T4634">
        <v>-9.7057340000000006E-2</v>
      </c>
      <c r="U4634">
        <v>-0.2890625</v>
      </c>
      <c r="V4634">
        <v>-5.9169020000000003E-2</v>
      </c>
      <c r="W4634">
        <v>0.17267299999999999</v>
      </c>
      <c r="X4634">
        <v>0.98320039999999997</v>
      </c>
      <c r="Y4634">
        <v>0.1045604</v>
      </c>
      <c r="Z4634">
        <v>-2.5082080000000001E-3</v>
      </c>
      <c r="AA4634">
        <v>0.99451540000000005</v>
      </c>
      <c r="AB4634">
        <v>41</v>
      </c>
      <c r="AC4634">
        <v>34.8584999999999</v>
      </c>
      <c r="AD4634">
        <v>-1.1101150179499999</v>
      </c>
      <c r="AE4634">
        <v>-3.3109999999999999</v>
      </c>
      <c r="AF4634">
        <v>3.7031022300086098</v>
      </c>
      <c r="AG4634">
        <v>-1.1101150179499999</v>
      </c>
      <c r="AH4634">
        <v>34.783671132292497</v>
      </c>
      <c r="AI4634">
        <v>91.817699843070201</v>
      </c>
      <c r="AJ4634">
        <v>83.9231269194226</v>
      </c>
      <c r="AK4634">
        <v>34.997844203871402</v>
      </c>
      <c r="AL4634">
        <v>80.056730382728006</v>
      </c>
      <c r="AM4634">
        <v>93.443907654692595</v>
      </c>
      <c r="AN4634">
        <v>0.99999998220845998</v>
      </c>
    </row>
    <row r="4635" spans="1:40" x14ac:dyDescent="0.25">
      <c r="A4635" t="str">
        <f>"20190304154846610"</f>
        <v>20190304154846610</v>
      </c>
      <c r="B4635" t="str">
        <f>"1551685726601232"</f>
        <v>1551685726601232</v>
      </c>
      <c r="C4635" t="s">
        <v>40</v>
      </c>
      <c r="D4635">
        <v>4.393211</v>
      </c>
      <c r="E4635">
        <v>0.56149839999999995</v>
      </c>
      <c r="F4635" t="s">
        <v>54</v>
      </c>
      <c r="G4635">
        <v>-200.6747</v>
      </c>
      <c r="H4635" s="1">
        <v>2.8509410000000002E-6</v>
      </c>
      <c r="I4635">
        <v>210.78729999999999</v>
      </c>
      <c r="J4635">
        <v>-235.44800000000001</v>
      </c>
      <c r="K4635">
        <v>1.110079</v>
      </c>
      <c r="L4635">
        <v>214.10679999999999</v>
      </c>
      <c r="M4635">
        <v>0.99985970000000002</v>
      </c>
      <c r="N4635">
        <v>-1.243795E-2</v>
      </c>
      <c r="O4635">
        <v>1.1223530000000001E-2</v>
      </c>
      <c r="P4635">
        <v>0.98456060000000001</v>
      </c>
      <c r="Q4635">
        <v>0.16017400000000001</v>
      </c>
      <c r="R4635">
        <v>7.0602769999999995E-2</v>
      </c>
      <c r="S4635">
        <v>3.0837859999999999</v>
      </c>
      <c r="T4635">
        <v>-9.7378850000000003E-2</v>
      </c>
      <c r="U4635">
        <v>-0.2908173</v>
      </c>
      <c r="V4635">
        <v>-5.9496449999999999E-2</v>
      </c>
      <c r="W4635">
        <v>0.17243439999999999</v>
      </c>
      <c r="X4635">
        <v>0.9832225</v>
      </c>
      <c r="Y4635">
        <v>0.1049831</v>
      </c>
      <c r="Z4635">
        <v>-2.522392E-3</v>
      </c>
      <c r="AA4635">
        <v>0.99447079999999999</v>
      </c>
      <c r="AB4635">
        <v>41</v>
      </c>
      <c r="AC4635">
        <v>34.7732999999999</v>
      </c>
      <c r="AD4635">
        <v>-1.1100761490590001</v>
      </c>
      <c r="AE4635">
        <v>-3.3195000000000001</v>
      </c>
      <c r="AF4635">
        <v>3.70585772859403</v>
      </c>
      <c r="AG4635">
        <v>-1.1100761490590001</v>
      </c>
      <c r="AH4635">
        <v>34.698808075627603</v>
      </c>
      <c r="AI4635">
        <v>91.822013422309993</v>
      </c>
      <c r="AJ4635">
        <v>83.903877598902994</v>
      </c>
      <c r="AK4635">
        <v>34.913792868013203</v>
      </c>
      <c r="AL4635">
        <v>80.070609188119406</v>
      </c>
      <c r="AM4635">
        <v>93.462841681342198</v>
      </c>
      <c r="AN4635">
        <v>0.99999996718610495</v>
      </c>
    </row>
    <row r="4636" spans="1:40" x14ac:dyDescent="0.25">
      <c r="A4636" t="str">
        <f>"20190304154846634"</f>
        <v>20190304154846634</v>
      </c>
      <c r="B4636" t="str">
        <f>"1551685726631488"</f>
        <v>1551685726631488</v>
      </c>
      <c r="C4636" t="s">
        <v>40</v>
      </c>
      <c r="D4636">
        <v>4.6311010000000001</v>
      </c>
      <c r="E4636">
        <v>0.56234319999999904</v>
      </c>
      <c r="F4636" t="s">
        <v>54</v>
      </c>
      <c r="G4636">
        <v>-200.6283</v>
      </c>
      <c r="H4636" s="1">
        <v>2.826339E-6</v>
      </c>
      <c r="I4636">
        <v>210.83320000000001</v>
      </c>
      <c r="J4636">
        <v>-235.0427</v>
      </c>
      <c r="K4636">
        <v>1.110047</v>
      </c>
      <c r="L4636">
        <v>214.1112</v>
      </c>
      <c r="M4636">
        <v>0.99986140000000001</v>
      </c>
      <c r="N4636">
        <v>-1.246682E-2</v>
      </c>
      <c r="O4636">
        <v>1.1048209999999999E-2</v>
      </c>
      <c r="P4636">
        <v>0.98463750000000005</v>
      </c>
      <c r="Q4636">
        <v>0.15971089999999999</v>
      </c>
      <c r="R4636">
        <v>7.0581320000000003E-2</v>
      </c>
      <c r="S4636">
        <v>3.0838320000000001</v>
      </c>
      <c r="T4636">
        <v>-9.8314639999999995E-2</v>
      </c>
      <c r="U4636">
        <v>-0.28993229999999998</v>
      </c>
      <c r="V4636">
        <v>-5.9630389999999998E-2</v>
      </c>
      <c r="W4636">
        <v>0.17200599999999999</v>
      </c>
      <c r="X4636">
        <v>0.98328950000000004</v>
      </c>
      <c r="Y4636">
        <v>0.10452350000000001</v>
      </c>
      <c r="Z4636">
        <v>-2.5292800000000001E-3</v>
      </c>
      <c r="AA4636">
        <v>0.99451920000000005</v>
      </c>
      <c r="AB4636">
        <v>41</v>
      </c>
      <c r="AC4636">
        <v>34.414400000000001</v>
      </c>
      <c r="AD4636">
        <v>-1.1100441736610001</v>
      </c>
      <c r="AE4636">
        <v>-3.2779999999999898</v>
      </c>
      <c r="AF4636">
        <v>3.6542791860341302</v>
      </c>
      <c r="AG4636">
        <v>-1.1100441736610001</v>
      </c>
      <c r="AH4636">
        <v>34.3406736244062</v>
      </c>
      <c r="AI4636">
        <v>91.841024235629604</v>
      </c>
      <c r="AJ4636">
        <v>83.925867363316399</v>
      </c>
      <c r="AK4636">
        <v>34.552392383378503</v>
      </c>
      <c r="AL4636">
        <v>80.095527781098397</v>
      </c>
      <c r="AM4636">
        <v>93.470382384240096</v>
      </c>
      <c r="AN4636">
        <v>1.0000000441289001</v>
      </c>
    </row>
    <row r="4637" spans="1:40" x14ac:dyDescent="0.25">
      <c r="A4637" t="str">
        <f>"20190304154846656"</f>
        <v>20190304154846656</v>
      </c>
      <c r="B4637" t="str">
        <f>"1551685726651008"</f>
        <v>1551685726651008</v>
      </c>
      <c r="C4637" t="s">
        <v>40</v>
      </c>
      <c r="D4637">
        <v>4.6378409999999999</v>
      </c>
      <c r="E4637">
        <v>0.56294469999999996</v>
      </c>
      <c r="F4637" t="s">
        <v>54</v>
      </c>
      <c r="G4637">
        <v>-199.85919999999999</v>
      </c>
      <c r="H4637" s="1">
        <v>2.555847E-6</v>
      </c>
      <c r="I4637">
        <v>210.7259</v>
      </c>
      <c r="J4637">
        <v>-234.63040000000001</v>
      </c>
      <c r="K4637">
        <v>1.11002</v>
      </c>
      <c r="L4637">
        <v>214.1155</v>
      </c>
      <c r="M4637">
        <v>0.99986299999999995</v>
      </c>
      <c r="N4637">
        <v>-1.2502249999999999E-2</v>
      </c>
      <c r="O4637">
        <v>1.0840229999999999E-2</v>
      </c>
      <c r="P4637">
        <v>0.98467800000000005</v>
      </c>
      <c r="Q4637">
        <v>0.15949279999999999</v>
      </c>
      <c r="R4637">
        <v>7.0506949999999999E-2</v>
      </c>
      <c r="S4637">
        <v>3.083847</v>
      </c>
      <c r="T4637">
        <v>-9.7295759999999995E-2</v>
      </c>
      <c r="U4637">
        <v>-0.2967224</v>
      </c>
      <c r="V4637">
        <v>-5.974666E-2</v>
      </c>
      <c r="W4637">
        <v>0.1718285</v>
      </c>
      <c r="X4637">
        <v>0.9833134</v>
      </c>
      <c r="Y4637">
        <v>0.1064861</v>
      </c>
      <c r="Z4637">
        <v>-2.548982E-3</v>
      </c>
      <c r="AA4637">
        <v>0.9943109</v>
      </c>
      <c r="AB4637">
        <v>41</v>
      </c>
      <c r="AC4637">
        <v>34.7712</v>
      </c>
      <c r="AD4637">
        <v>-1.110017444153</v>
      </c>
      <c r="AE4637">
        <v>-3.3896000000000002</v>
      </c>
      <c r="AF4637">
        <v>3.7625597444100398</v>
      </c>
      <c r="AG4637">
        <v>-1.110017444153</v>
      </c>
      <c r="AH4637">
        <v>34.697382190696501</v>
      </c>
      <c r="AI4637">
        <v>91.8216745774873</v>
      </c>
      <c r="AJ4637">
        <v>83.811069038414303</v>
      </c>
      <c r="AK4637">
        <v>34.918438187350901</v>
      </c>
      <c r="AL4637">
        <v>80.105850743348498</v>
      </c>
      <c r="AM4637">
        <v>93.477048198554598</v>
      </c>
      <c r="AN4637">
        <v>0.99999996970648197</v>
      </c>
    </row>
    <row r="4638" spans="1:40" x14ac:dyDescent="0.25">
      <c r="A4638" t="str">
        <f>"20190304154846679"</f>
        <v>20190304154846679</v>
      </c>
      <c r="B4638" t="str">
        <f>"1551685726671507"</f>
        <v>1551685726671507</v>
      </c>
      <c r="C4638" t="s">
        <v>40</v>
      </c>
      <c r="D4638">
        <v>4.6638250000000001</v>
      </c>
      <c r="E4638">
        <v>0.56278930000000005</v>
      </c>
      <c r="F4638" t="s">
        <v>54</v>
      </c>
      <c r="G4638">
        <v>-199.11019999999999</v>
      </c>
      <c r="H4638" s="1">
        <v>2.6965899999999999E-6</v>
      </c>
      <c r="I4638">
        <v>210.63579999999999</v>
      </c>
      <c r="J4638">
        <v>-234.22069999999999</v>
      </c>
      <c r="K4638">
        <v>1.110004</v>
      </c>
      <c r="L4638">
        <v>214.11969999999999</v>
      </c>
      <c r="M4638">
        <v>0.99986520000000001</v>
      </c>
      <c r="N4638">
        <v>-1.2542289999999999E-2</v>
      </c>
      <c r="O4638">
        <v>1.060942E-2</v>
      </c>
      <c r="P4638">
        <v>0.9847378</v>
      </c>
      <c r="Q4638">
        <v>0.1593338</v>
      </c>
      <c r="R4638">
        <v>7.0032230000000001E-2</v>
      </c>
      <c r="S4638">
        <v>3.0839080000000001</v>
      </c>
      <c r="T4638">
        <v>-9.6372959999999994E-2</v>
      </c>
      <c r="U4638">
        <v>-0.30210880000000001</v>
      </c>
      <c r="V4638">
        <v>-5.9489069999999998E-2</v>
      </c>
      <c r="W4638">
        <v>0.17171249999999999</v>
      </c>
      <c r="X4638">
        <v>0.98334929999999998</v>
      </c>
      <c r="Y4638">
        <v>0.1079753</v>
      </c>
      <c r="Z4638">
        <v>-2.559689E-3</v>
      </c>
      <c r="AA4638">
        <v>0.99415030000000004</v>
      </c>
      <c r="AB4638">
        <v>41</v>
      </c>
      <c r="AC4638">
        <v>35.110500000000002</v>
      </c>
      <c r="AD4638">
        <v>-1.11000130341</v>
      </c>
      <c r="AE4638">
        <v>-3.4839000000000002</v>
      </c>
      <c r="AF4638">
        <v>3.8524223125260302</v>
      </c>
      <c r="AG4638">
        <v>-1.11000130341</v>
      </c>
      <c r="AH4638">
        <v>35.036881418496897</v>
      </c>
      <c r="AI4638">
        <v>91.803713960190905</v>
      </c>
      <c r="AJ4638">
        <v>83.725342696607498</v>
      </c>
      <c r="AK4638">
        <v>35.265511765766703</v>
      </c>
      <c r="AL4638">
        <v>80.112597520785997</v>
      </c>
      <c r="AM4638">
        <v>93.461967809932801</v>
      </c>
      <c r="AN4638">
        <v>0.99999998895810205</v>
      </c>
    </row>
    <row r="4639" spans="1:40" x14ac:dyDescent="0.25">
      <c r="A4639" t="str">
        <f>"20190304154846700"</f>
        <v>20190304154846700</v>
      </c>
      <c r="B4639" t="str">
        <f>"1551685726691025"</f>
        <v>1551685726691025</v>
      </c>
      <c r="C4639" t="s">
        <v>40</v>
      </c>
      <c r="D4639">
        <v>4.544454</v>
      </c>
      <c r="E4639">
        <v>0.56301029999999996</v>
      </c>
      <c r="F4639" t="s">
        <v>54</v>
      </c>
      <c r="G4639">
        <v>-198.03579999999999</v>
      </c>
      <c r="H4639" s="1">
        <v>2.8930219999999998E-6</v>
      </c>
      <c r="I4639">
        <v>210.56890000000001</v>
      </c>
      <c r="J4639">
        <v>-233.8253</v>
      </c>
      <c r="K4639">
        <v>1.1099969999999999</v>
      </c>
      <c r="L4639">
        <v>214.12370000000001</v>
      </c>
      <c r="M4639">
        <v>0.99986699999999995</v>
      </c>
      <c r="N4639">
        <v>-1.259061E-2</v>
      </c>
      <c r="O4639">
        <v>1.037545E-2</v>
      </c>
      <c r="P4639">
        <v>0.98475729999999995</v>
      </c>
      <c r="Q4639">
        <v>0.15947</v>
      </c>
      <c r="R4639">
        <v>6.9445640000000003E-2</v>
      </c>
      <c r="S4639">
        <v>3.083313</v>
      </c>
      <c r="T4639">
        <v>-9.4583029999999998E-2</v>
      </c>
      <c r="U4639">
        <v>-0.30256650000000002</v>
      </c>
      <c r="V4639">
        <v>-5.9126989999999997E-2</v>
      </c>
      <c r="W4639">
        <v>0.171898</v>
      </c>
      <c r="X4639">
        <v>0.98333870000000001</v>
      </c>
      <c r="Y4639">
        <v>0.1079099</v>
      </c>
      <c r="Z4639">
        <v>-2.519145E-3</v>
      </c>
      <c r="AA4639">
        <v>0.99415750000000003</v>
      </c>
      <c r="AB4639">
        <v>41</v>
      </c>
      <c r="AC4639">
        <v>35.789499999999997</v>
      </c>
      <c r="AD4639">
        <v>-1.1099941069779999</v>
      </c>
      <c r="AE4639">
        <v>-3.5548000000000002</v>
      </c>
      <c r="AF4639">
        <v>3.9222342541359398</v>
      </c>
      <c r="AG4639">
        <v>-1.1099941069779999</v>
      </c>
      <c r="AH4639">
        <v>35.716667455764799</v>
      </c>
      <c r="AI4639">
        <v>91.769421426917802</v>
      </c>
      <c r="AJ4639">
        <v>83.733161374613402</v>
      </c>
      <c r="AK4639">
        <v>35.9485235108138</v>
      </c>
      <c r="AL4639">
        <v>80.101808456184699</v>
      </c>
      <c r="AM4639">
        <v>93.440984341948294</v>
      </c>
      <c r="AN4639">
        <v>0.99999996113407397</v>
      </c>
    </row>
    <row r="4640" spans="1:40" x14ac:dyDescent="0.25">
      <c r="A4640" t="str">
        <f>"20190304154846723"</f>
        <v>20190304154846723</v>
      </c>
      <c r="B4640" t="str">
        <f>"1551685726711520"</f>
        <v>1551685726711520</v>
      </c>
      <c r="C4640" t="s">
        <v>40</v>
      </c>
      <c r="D4640">
        <v>4.5308729999999997</v>
      </c>
      <c r="E4640">
        <v>0.56270679999999995</v>
      </c>
      <c r="F4640" t="s">
        <v>54</v>
      </c>
      <c r="G4640">
        <v>-197.24850000000001</v>
      </c>
      <c r="H4640" s="1">
        <v>3.0396359999999998E-6</v>
      </c>
      <c r="I4640">
        <v>210.48920000000001</v>
      </c>
      <c r="J4640">
        <v>-233.42439999999999</v>
      </c>
      <c r="K4640">
        <v>1.109999</v>
      </c>
      <c r="L4640">
        <v>214.1276</v>
      </c>
      <c r="M4640">
        <v>0.9998688</v>
      </c>
      <c r="N4640">
        <v>-1.265226E-2</v>
      </c>
      <c r="O4640">
        <v>1.013419E-2</v>
      </c>
      <c r="P4640">
        <v>0.98472990000000005</v>
      </c>
      <c r="Q4640">
        <v>0.15977640000000001</v>
      </c>
      <c r="R4640">
        <v>6.9128309999999998E-2</v>
      </c>
      <c r="S4640">
        <v>3.0832060000000001</v>
      </c>
      <c r="T4640">
        <v>-9.356594E-2</v>
      </c>
      <c r="U4640">
        <v>-0.30636600000000003</v>
      </c>
      <c r="V4640">
        <v>-5.904297E-2</v>
      </c>
      <c r="W4640">
        <v>0.1722658</v>
      </c>
      <c r="X4640">
        <v>0.98327940000000003</v>
      </c>
      <c r="Y4640">
        <v>0.1088872</v>
      </c>
      <c r="Z4640">
        <v>-2.517413E-3</v>
      </c>
      <c r="AA4640">
        <v>0.99405089999999996</v>
      </c>
      <c r="AB4640">
        <v>41</v>
      </c>
      <c r="AC4640">
        <v>36.175899999999899</v>
      </c>
      <c r="AD4640">
        <v>-1.1099959603639999</v>
      </c>
      <c r="AE4640">
        <v>-3.6383999999999901</v>
      </c>
      <c r="AF4640">
        <v>4.0011266505320799</v>
      </c>
      <c r="AG4640">
        <v>-1.1099959603639999</v>
      </c>
      <c r="AH4640">
        <v>36.1035169979207</v>
      </c>
      <c r="AI4640">
        <v>91.750284557882097</v>
      </c>
      <c r="AJ4640">
        <v>83.676073328269396</v>
      </c>
      <c r="AK4640">
        <v>36.3415058180694</v>
      </c>
      <c r="AL4640">
        <v>80.080416119988598</v>
      </c>
      <c r="AM4640">
        <v>93.4363131247366</v>
      </c>
      <c r="AN4640">
        <v>0.99999997831021004</v>
      </c>
    </row>
    <row r="4641" spans="1:40" x14ac:dyDescent="0.25">
      <c r="A4641" t="str">
        <f>"20190304154846745"</f>
        <v>20190304154846745</v>
      </c>
      <c r="B4641" t="str">
        <f>"1551685726741776"</f>
        <v>1551685726741776</v>
      </c>
      <c r="C4641" t="s">
        <v>40</v>
      </c>
      <c r="D4641">
        <v>4.6117339999999896</v>
      </c>
      <c r="E4641">
        <v>0.56297659999999905</v>
      </c>
      <c r="F4641" t="s">
        <v>54</v>
      </c>
      <c r="G4641">
        <v>-195.6814</v>
      </c>
      <c r="H4641" s="1">
        <v>3.3259729999999999E-6</v>
      </c>
      <c r="I4641">
        <v>210.39359999999999</v>
      </c>
      <c r="J4641">
        <v>-233.01060000000001</v>
      </c>
      <c r="K4641">
        <v>1.110009</v>
      </c>
      <c r="L4641">
        <v>214.13149999999999</v>
      </c>
      <c r="M4641">
        <v>0.99987040000000005</v>
      </c>
      <c r="N4641">
        <v>-1.2726350000000001E-2</v>
      </c>
      <c r="O4641">
        <v>9.8816630000000006E-3</v>
      </c>
      <c r="P4641">
        <v>0.98471030000000004</v>
      </c>
      <c r="Q4641">
        <v>0.15990379999999901</v>
      </c>
      <c r="R4641">
        <v>6.9113859999999999E-2</v>
      </c>
      <c r="S4641">
        <v>3.0826419999999999</v>
      </c>
      <c r="T4641">
        <v>-9.0658429999999998E-2</v>
      </c>
      <c r="U4641">
        <v>-0.30497740000000001</v>
      </c>
      <c r="V4641">
        <v>-5.9274809999999997E-2</v>
      </c>
      <c r="W4641">
        <v>0.172466799999999</v>
      </c>
      <c r="X4641">
        <v>0.98323020000000005</v>
      </c>
      <c r="Y4641">
        <v>0.1082149</v>
      </c>
      <c r="Z4641">
        <v>-2.4420029999999999E-3</v>
      </c>
      <c r="AA4641">
        <v>0.99412449999999997</v>
      </c>
      <c r="AB4641">
        <v>41</v>
      </c>
      <c r="AC4641">
        <v>37.3292</v>
      </c>
      <c r="AD4641">
        <v>-1.1100056740269999</v>
      </c>
      <c r="AE4641">
        <v>-3.73789999999999</v>
      </c>
      <c r="AF4641">
        <v>4.1030299343460701</v>
      </c>
      <c r="AG4641">
        <v>-1.1100056740269999</v>
      </c>
      <c r="AH4641">
        <v>37.257820941621198</v>
      </c>
      <c r="AI4641">
        <v>91.696234310131302</v>
      </c>
      <c r="AJ4641">
        <v>83.715606412701604</v>
      </c>
      <c r="AK4641">
        <v>37.499495844029902</v>
      </c>
      <c r="AL4641">
        <v>80.068724529749602</v>
      </c>
      <c r="AM4641">
        <v>93.449945944331006</v>
      </c>
      <c r="AN4641">
        <v>0.99999996319740703</v>
      </c>
    </row>
    <row r="4642" spans="1:40" x14ac:dyDescent="0.25">
      <c r="A4642" t="str">
        <f>"20190304154846769"</f>
        <v>20190304154846769</v>
      </c>
      <c r="B4642" t="str">
        <f>"1551685726761296"</f>
        <v>1551685726761296</v>
      </c>
      <c r="C4642" t="s">
        <v>40</v>
      </c>
      <c r="D4642">
        <v>4.5974550000000001</v>
      </c>
      <c r="E4642">
        <v>0.56348009999999904</v>
      </c>
      <c r="F4642" t="s">
        <v>54</v>
      </c>
      <c r="G4642">
        <v>-194.89590000000001</v>
      </c>
      <c r="H4642" s="1">
        <v>3.47134E-6</v>
      </c>
      <c r="I4642">
        <v>210.3246</v>
      </c>
      <c r="J4642">
        <v>-232.58969999999999</v>
      </c>
      <c r="K4642">
        <v>1.1100209999999999</v>
      </c>
      <c r="L4642">
        <v>214.13550000000001</v>
      </c>
      <c r="M4642">
        <v>0.99987170000000003</v>
      </c>
      <c r="N4642">
        <v>-1.280892E-2</v>
      </c>
      <c r="O4642">
        <v>9.6217239999999999E-3</v>
      </c>
      <c r="P4642">
        <v>0.98475239999999997</v>
      </c>
      <c r="Q4642">
        <v>0.1597345</v>
      </c>
      <c r="R4642">
        <v>6.8903119999999998E-2</v>
      </c>
      <c r="S4642">
        <v>3.0827789999999999</v>
      </c>
      <c r="T4642">
        <v>-8.9779020000000001E-2</v>
      </c>
      <c r="U4642">
        <v>-0.30790709999999999</v>
      </c>
      <c r="V4642">
        <v>-5.93184E-2</v>
      </c>
      <c r="W4642">
        <v>0.172379</v>
      </c>
      <c r="X4642">
        <v>0.98324299999999998</v>
      </c>
      <c r="Y4642">
        <v>0.1088882</v>
      </c>
      <c r="Z4642">
        <v>-2.4372080000000002E-3</v>
      </c>
      <c r="AA4642">
        <v>0.99405100000000002</v>
      </c>
      <c r="AB4642">
        <v>41</v>
      </c>
      <c r="AC4642">
        <v>37.693799999999896</v>
      </c>
      <c r="AD4642">
        <v>-1.11001752866</v>
      </c>
      <c r="AE4642">
        <v>-3.8109000000000002</v>
      </c>
      <c r="AF4642">
        <v>4.1698531363397704</v>
      </c>
      <c r="AG4642">
        <v>-1.11001752866</v>
      </c>
      <c r="AH4642">
        <v>37.623087774907098</v>
      </c>
      <c r="AI4642">
        <v>91.679664152892499</v>
      </c>
      <c r="AJ4642">
        <v>83.6755889463535</v>
      </c>
      <c r="AK4642">
        <v>37.869731287810097</v>
      </c>
      <c r="AL4642">
        <v>80.073831902912403</v>
      </c>
      <c r="AM4642">
        <v>93.452432023473193</v>
      </c>
      <c r="AN4642">
        <v>0.99999999463427902</v>
      </c>
    </row>
    <row r="4643" spans="1:40" x14ac:dyDescent="0.25">
      <c r="A4643" t="str">
        <f>"20190304154846790"</f>
        <v>20190304154846790</v>
      </c>
      <c r="B4643" t="str">
        <f>"1551685726781792"</f>
        <v>1551685726781792</v>
      </c>
      <c r="C4643" t="s">
        <v>40</v>
      </c>
      <c r="D4643">
        <v>4.617267</v>
      </c>
      <c r="E4643">
        <v>0.56374849999999999</v>
      </c>
      <c r="F4643" t="s">
        <v>54</v>
      </c>
      <c r="G4643">
        <v>-195.32470000000001</v>
      </c>
      <c r="H4643" s="1">
        <v>3.3921710000000002E-6</v>
      </c>
      <c r="I4643">
        <v>210.36009999999999</v>
      </c>
      <c r="J4643">
        <v>-232.1968</v>
      </c>
      <c r="K4643">
        <v>1.110028</v>
      </c>
      <c r="L4643">
        <v>214.13900000000001</v>
      </c>
      <c r="M4643">
        <v>0.99987289999999995</v>
      </c>
      <c r="N4643">
        <v>-1.2893999999999999E-2</v>
      </c>
      <c r="O4643">
        <v>9.3782799999999993E-3</v>
      </c>
      <c r="P4643">
        <v>0.98486589999999996</v>
      </c>
      <c r="Q4643">
        <v>0.15910250000000001</v>
      </c>
      <c r="R4643">
        <v>6.8744570000000005E-2</v>
      </c>
      <c r="S4643">
        <v>3.0832060000000001</v>
      </c>
      <c r="T4643">
        <v>-9.1840030000000003E-2</v>
      </c>
      <c r="U4643">
        <v>-0.31236269999999999</v>
      </c>
      <c r="V4643">
        <v>-5.9397760000000001E-2</v>
      </c>
      <c r="W4643">
        <v>0.17183319999999999</v>
      </c>
      <c r="X4643">
        <v>0.98333380000000004</v>
      </c>
      <c r="Y4643">
        <v>0.1100511</v>
      </c>
      <c r="Z4643">
        <v>-2.5040940000000001E-3</v>
      </c>
      <c r="AA4643">
        <v>0.9939228</v>
      </c>
      <c r="AB4643">
        <v>41</v>
      </c>
      <c r="AC4643">
        <v>36.872099999999897</v>
      </c>
      <c r="AD4643">
        <v>-1.1100246078289999</v>
      </c>
      <c r="AE4643">
        <v>-3.7789000000000201</v>
      </c>
      <c r="AF4643">
        <v>4.1208635132779197</v>
      </c>
      <c r="AG4643">
        <v>-1.1100246078289999</v>
      </c>
      <c r="AH4643">
        <v>36.802028878429802</v>
      </c>
      <c r="AI4643">
        <v>91.716910926790803</v>
      </c>
      <c r="AJ4643">
        <v>83.610986485366595</v>
      </c>
      <c r="AK4643">
        <v>37.048657199604897</v>
      </c>
      <c r="AL4643">
        <v>80.105578213533093</v>
      </c>
      <c r="AM4643">
        <v>93.456721270999395</v>
      </c>
      <c r="AN4643">
        <v>1.0000000523688399</v>
      </c>
    </row>
    <row r="4644" spans="1:40" x14ac:dyDescent="0.25">
      <c r="A4644" t="str">
        <f>"20190304154846813"</f>
        <v>20190304154846813</v>
      </c>
      <c r="B4644" t="str">
        <f>"1551685726801312"</f>
        <v>1551685726801312</v>
      </c>
      <c r="C4644" t="s">
        <v>40</v>
      </c>
      <c r="D4644">
        <v>4.5811590000000004</v>
      </c>
      <c r="E4644">
        <v>0.56401610000000002</v>
      </c>
      <c r="F4644" t="s">
        <v>54</v>
      </c>
      <c r="G4644">
        <v>-195.874</v>
      </c>
      <c r="H4644" s="1">
        <v>3.2889930000000002E-6</v>
      </c>
      <c r="I4644">
        <v>210.42580000000001</v>
      </c>
      <c r="J4644">
        <v>-231.80009999999999</v>
      </c>
      <c r="K4644">
        <v>1.1100369999999999</v>
      </c>
      <c r="L4644">
        <v>214.14250000000001</v>
      </c>
      <c r="M4644">
        <v>0.99987409999999999</v>
      </c>
      <c r="N4644">
        <v>-1.298788E-2</v>
      </c>
      <c r="O4644">
        <v>9.1327790000000006E-3</v>
      </c>
      <c r="P4644">
        <v>0.98484769999999999</v>
      </c>
      <c r="Q4644">
        <v>0.15911110000000001</v>
      </c>
      <c r="R4644">
        <v>6.8984909999999997E-2</v>
      </c>
      <c r="S4644">
        <v>3.083313</v>
      </c>
      <c r="T4644">
        <v>-9.4226119999999997E-2</v>
      </c>
      <c r="U4644">
        <v>-0.3152008</v>
      </c>
      <c r="V4644">
        <v>-5.9878710000000002E-2</v>
      </c>
      <c r="W4644">
        <v>0.17193420000000001</v>
      </c>
      <c r="X4644">
        <v>0.98328689999999996</v>
      </c>
      <c r="Y4644">
        <v>0.110705399999999</v>
      </c>
      <c r="Z4644">
        <v>-2.567897E-3</v>
      </c>
      <c r="AA4644">
        <v>0.99384989999999995</v>
      </c>
      <c r="AB4644">
        <v>41</v>
      </c>
      <c r="AC4644">
        <v>35.926099999999899</v>
      </c>
      <c r="AD4644">
        <v>-1.110033711007</v>
      </c>
      <c r="AE4644">
        <v>-3.7166999999999999</v>
      </c>
      <c r="AF4644">
        <v>4.0408608992698198</v>
      </c>
      <c r="AG4644">
        <v>-1.110033711007</v>
      </c>
      <c r="AH4644">
        <v>35.856785979841803</v>
      </c>
      <c r="AI4644">
        <v>91.7620169707901</v>
      </c>
      <c r="AJ4644">
        <v>83.570211389846307</v>
      </c>
      <c r="AK4644">
        <v>36.100828694795901</v>
      </c>
      <c r="AL4644">
        <v>80.099703174451093</v>
      </c>
      <c r="AM4644">
        <v>93.484807816994305</v>
      </c>
      <c r="AN4644">
        <v>0.99999997837625598</v>
      </c>
    </row>
    <row r="4645" spans="1:40" x14ac:dyDescent="0.25">
      <c r="A4645" t="str">
        <f>"20190304154846834"</f>
        <v>20190304154846834</v>
      </c>
      <c r="B4645" t="str">
        <f>"1551685726831569"</f>
        <v>1551685726831569</v>
      </c>
      <c r="C4645" t="s">
        <v>40</v>
      </c>
      <c r="D4645">
        <v>4.644933</v>
      </c>
      <c r="E4645">
        <v>0.56421499999999902</v>
      </c>
      <c r="F4645" t="s">
        <v>54</v>
      </c>
      <c r="G4645">
        <v>-195.58949999999999</v>
      </c>
      <c r="H4645" s="1">
        <v>3.3398650000000001E-6</v>
      </c>
      <c r="I4645">
        <v>210.4211</v>
      </c>
      <c r="J4645">
        <v>-231.40209999999999</v>
      </c>
      <c r="K4645">
        <v>1.11005</v>
      </c>
      <c r="L4645">
        <v>214.14599999999999</v>
      </c>
      <c r="M4645">
        <v>0.99987499999999996</v>
      </c>
      <c r="N4645">
        <v>-1.308696E-2</v>
      </c>
      <c r="O4645">
        <v>8.8836239999999997E-3</v>
      </c>
      <c r="P4645">
        <v>0.98485180000000005</v>
      </c>
      <c r="Q4645">
        <v>0.1589797</v>
      </c>
      <c r="R4645">
        <v>6.922884E-2</v>
      </c>
      <c r="S4645">
        <v>3.0836329999999998</v>
      </c>
      <c r="T4645">
        <v>-9.4528559999999998E-2</v>
      </c>
      <c r="U4645">
        <v>-0.31690980000000002</v>
      </c>
      <c r="V4645">
        <v>-6.0365269999999999E-2</v>
      </c>
      <c r="W4645">
        <v>0.17190129999999901</v>
      </c>
      <c r="X4645">
        <v>0.98326290000000005</v>
      </c>
      <c r="Y4645">
        <v>0.110991699999999</v>
      </c>
      <c r="Z4645">
        <v>-2.5804539999999998E-3</v>
      </c>
      <c r="AA4645">
        <v>0.99381799999999998</v>
      </c>
      <c r="AB4645">
        <v>40</v>
      </c>
      <c r="AC4645">
        <v>35.812600000000003</v>
      </c>
      <c r="AD4645">
        <v>-1.1100466601350001</v>
      </c>
      <c r="AE4645">
        <v>-3.7248999999999901</v>
      </c>
      <c r="AF4645">
        <v>4.0390868534811801</v>
      </c>
      <c r="AG4645">
        <v>-1.1100466601350001</v>
      </c>
      <c r="AH4645">
        <v>35.744119489071998</v>
      </c>
      <c r="AI4645">
        <v>91.767527839296207</v>
      </c>
      <c r="AJ4645">
        <v>83.552922858385799</v>
      </c>
      <c r="AK4645">
        <v>35.988727460785498</v>
      </c>
      <c r="AL4645">
        <v>80.101616678108201</v>
      </c>
      <c r="AM4645">
        <v>93.513139428964195</v>
      </c>
      <c r="AN4645">
        <v>0.99999997664013596</v>
      </c>
    </row>
    <row r="4646" spans="1:40" x14ac:dyDescent="0.25">
      <c r="A4646" t="str">
        <f>"20190304154846857"</f>
        <v>20190304154846857</v>
      </c>
      <c r="B4646" t="str">
        <f>"1551685726851088"</f>
        <v>1551685726851088</v>
      </c>
      <c r="C4646" t="s">
        <v>40</v>
      </c>
      <c r="D4646">
        <v>4.5745909999999999</v>
      </c>
      <c r="E4646">
        <v>0.56440729999999995</v>
      </c>
      <c r="F4646" t="s">
        <v>54</v>
      </c>
      <c r="G4646">
        <v>-195.30359999999999</v>
      </c>
      <c r="H4646" s="1">
        <v>3.3902979999999999E-6</v>
      </c>
      <c r="I4646">
        <v>210.42449999999999</v>
      </c>
      <c r="J4646">
        <v>-230.98929999999999</v>
      </c>
      <c r="K4646">
        <v>1.110052</v>
      </c>
      <c r="L4646">
        <v>214.14940000000001</v>
      </c>
      <c r="M4646">
        <v>0.99987599999999999</v>
      </c>
      <c r="N4646">
        <v>-1.31894E-2</v>
      </c>
      <c r="O4646">
        <v>8.6205799999999992E-3</v>
      </c>
      <c r="P4646">
        <v>0.98479830000000002</v>
      </c>
      <c r="Q4646">
        <v>0.1591254</v>
      </c>
      <c r="R4646">
        <v>6.9655079999999994E-2</v>
      </c>
      <c r="S4646">
        <v>3.0838009999999998</v>
      </c>
      <c r="T4646">
        <v>-9.4828250000000003E-2</v>
      </c>
      <c r="U4646">
        <v>-0.3179169</v>
      </c>
      <c r="V4646">
        <v>-6.1047570000000002E-2</v>
      </c>
      <c r="W4646">
        <v>0.17214879999999999</v>
      </c>
      <c r="X4646">
        <v>0.98317750000000004</v>
      </c>
      <c r="Y4646">
        <v>0.1110454</v>
      </c>
      <c r="Z4646">
        <v>-2.5879319999999998E-3</v>
      </c>
      <c r="AA4646">
        <v>0.99381200000000003</v>
      </c>
      <c r="AB4646">
        <v>40</v>
      </c>
      <c r="AC4646">
        <v>35.685699999999997</v>
      </c>
      <c r="AD4646">
        <v>-1.1100486097019999</v>
      </c>
      <c r="AE4646">
        <v>-3.7249000000000101</v>
      </c>
      <c r="AF4646">
        <v>4.0285636921233197</v>
      </c>
      <c r="AG4646">
        <v>-1.1100486097019999</v>
      </c>
      <c r="AH4646">
        <v>35.618167513729098</v>
      </c>
      <c r="AI4646">
        <v>91.773756642623198</v>
      </c>
      <c r="AJ4646">
        <v>83.547031150279807</v>
      </c>
      <c r="AK4646">
        <v>35.862450981123096</v>
      </c>
      <c r="AL4646">
        <v>80.087221667635106</v>
      </c>
      <c r="AM4646">
        <v>93.553054607338595</v>
      </c>
      <c r="AN4646">
        <v>1.00000000582529</v>
      </c>
    </row>
    <row r="4647" spans="1:40" x14ac:dyDescent="0.25">
      <c r="A4647" t="str">
        <f>"20190304154846879"</f>
        <v>20190304154846879</v>
      </c>
      <c r="B4647" t="str">
        <f>"1551685726871585"</f>
        <v>1551685726871585</v>
      </c>
      <c r="C4647" t="s">
        <v>40</v>
      </c>
      <c r="D4647">
        <v>4.6009000000000002</v>
      </c>
      <c r="E4647">
        <v>0.56455500000000003</v>
      </c>
      <c r="F4647" t="s">
        <v>54</v>
      </c>
      <c r="G4647">
        <v>-194.6728</v>
      </c>
      <c r="H4647" s="1">
        <v>3.5037360000000002E-6</v>
      </c>
      <c r="I4647">
        <v>210.4068</v>
      </c>
      <c r="J4647">
        <v>-230.58449999999999</v>
      </c>
      <c r="K4647">
        <v>1.110053</v>
      </c>
      <c r="L4647">
        <v>214.15260000000001</v>
      </c>
      <c r="M4647">
        <v>0.99987689999999996</v>
      </c>
      <c r="N4647">
        <v>-1.3294179999999999E-2</v>
      </c>
      <c r="O4647">
        <v>8.3545000000000008E-3</v>
      </c>
      <c r="P4647">
        <v>0.98481669999999999</v>
      </c>
      <c r="Q4647">
        <v>0.15889729999999999</v>
      </c>
      <c r="R4647">
        <v>6.9915160000000004E-2</v>
      </c>
      <c r="S4647">
        <v>3.0840450000000001</v>
      </c>
      <c r="T4647">
        <v>-9.426677E-2</v>
      </c>
      <c r="U4647">
        <v>-0.31782529999999998</v>
      </c>
      <c r="V4647">
        <v>-6.156507E-2</v>
      </c>
      <c r="W4647">
        <v>0.17202579999999901</v>
      </c>
      <c r="X4647">
        <v>0.98316680000000001</v>
      </c>
      <c r="Y4647">
        <v>0.1107445</v>
      </c>
      <c r="Z4647">
        <v>-2.5698980000000001E-3</v>
      </c>
      <c r="AA4647">
        <v>0.9938456</v>
      </c>
      <c r="AB4647">
        <v>40</v>
      </c>
      <c r="AC4647">
        <v>35.911700000000003</v>
      </c>
      <c r="AD4647">
        <v>-1.110049496264</v>
      </c>
      <c r="AE4647">
        <v>-3.7458</v>
      </c>
      <c r="AF4647">
        <v>4.0418997001435297</v>
      </c>
      <c r="AG4647">
        <v>-1.110049496264</v>
      </c>
      <c r="AH4647">
        <v>35.845269299421503</v>
      </c>
      <c r="AI4647">
        <v>91.762594997230906</v>
      </c>
      <c r="AJ4647">
        <v>83.566523282020796</v>
      </c>
      <c r="AK4647">
        <v>36.089506705110601</v>
      </c>
      <c r="AL4647">
        <v>80.094376169210193</v>
      </c>
      <c r="AM4647">
        <v>93.583134592486303</v>
      </c>
      <c r="AN4647">
        <v>1.0000000451659901</v>
      </c>
    </row>
    <row r="4648" spans="1:40" x14ac:dyDescent="0.25">
      <c r="A4648" t="str">
        <f>"20190304154846898"</f>
        <v>20190304154846898</v>
      </c>
      <c r="B4648" t="str">
        <f>"1551685726891105"</f>
        <v>1551685726891105</v>
      </c>
      <c r="C4648" t="s">
        <v>40</v>
      </c>
      <c r="D4648">
        <v>4.6258460000000001</v>
      </c>
      <c r="E4648">
        <v>0.56464879999999995</v>
      </c>
      <c r="F4648" t="s">
        <v>54</v>
      </c>
      <c r="G4648">
        <v>-194.56610000000001</v>
      </c>
      <c r="H4648" s="1">
        <v>3.5203220000000002E-6</v>
      </c>
      <c r="I4648">
        <v>210.43350000000001</v>
      </c>
      <c r="J4648">
        <v>-230.24709999999999</v>
      </c>
      <c r="K4648">
        <v>1.110053</v>
      </c>
      <c r="L4648">
        <v>214.15530000000001</v>
      </c>
      <c r="M4648">
        <v>0.99987749999999997</v>
      </c>
      <c r="N4648">
        <v>-1.3389460000000001E-2</v>
      </c>
      <c r="O4648">
        <v>8.1220939999999998E-3</v>
      </c>
      <c r="P4648">
        <v>0.98484839999999996</v>
      </c>
      <c r="Q4648">
        <v>0.1587866</v>
      </c>
      <c r="R4648">
        <v>6.9719320000000001E-2</v>
      </c>
      <c r="S4648">
        <v>3.0841829999999999</v>
      </c>
      <c r="T4648">
        <v>-9.5051410000000003E-2</v>
      </c>
      <c r="U4648">
        <v>-0.31846619999999998</v>
      </c>
      <c r="V4648">
        <v>-6.1593839999999997E-2</v>
      </c>
      <c r="W4648">
        <v>0.17201029999999901</v>
      </c>
      <c r="X4648">
        <v>0.98316760000000003</v>
      </c>
      <c r="Y4648">
        <v>0.1107122</v>
      </c>
      <c r="Z4648">
        <v>-2.585707E-3</v>
      </c>
      <c r="AA4648">
        <v>0.99384919999999999</v>
      </c>
      <c r="AB4648">
        <v>40</v>
      </c>
      <c r="AC4648">
        <v>35.680999999999898</v>
      </c>
      <c r="AD4648">
        <v>-1.1100494796780001</v>
      </c>
      <c r="AE4648">
        <v>-3.7218</v>
      </c>
      <c r="AF4648">
        <v>4.0076704957300402</v>
      </c>
      <c r="AG4648">
        <v>-1.1100494796780001</v>
      </c>
      <c r="AH4648">
        <v>35.615491692893301</v>
      </c>
      <c r="AI4648">
        <v>91.774005384599803</v>
      </c>
      <c r="AJ4648">
        <v>83.579739537101005</v>
      </c>
      <c r="AK4648">
        <v>35.857452240451103</v>
      </c>
      <c r="AL4648">
        <v>80.095276610486707</v>
      </c>
      <c r="AM4648">
        <v>93.584801753975896</v>
      </c>
      <c r="AN4648">
        <v>0.99999993706089596</v>
      </c>
    </row>
    <row r="4649" spans="1:40" x14ac:dyDescent="0.25">
      <c r="A4649" t="str">
        <f>"20190304154846912"</f>
        <v>20190304154846912</v>
      </c>
      <c r="B4649" t="str">
        <f>"1551685726901841"</f>
        <v>1551685726901841</v>
      </c>
      <c r="C4649" t="s">
        <v>40</v>
      </c>
      <c r="D4649">
        <v>4.5986549999999999</v>
      </c>
      <c r="E4649">
        <v>0.56474979999999997</v>
      </c>
      <c r="F4649" t="s">
        <v>54</v>
      </c>
      <c r="G4649">
        <v>-194.2953</v>
      </c>
      <c r="H4649" s="1">
        <v>3.5691479999999999E-6</v>
      </c>
      <c r="I4649">
        <v>210.42439999999999</v>
      </c>
      <c r="J4649">
        <v>-229.98920000000001</v>
      </c>
      <c r="K4649">
        <v>1.1100540000000001</v>
      </c>
      <c r="L4649">
        <v>214.15719999999999</v>
      </c>
      <c r="M4649">
        <v>0.99987789999999999</v>
      </c>
      <c r="N4649">
        <v>-1.346874E-2</v>
      </c>
      <c r="O4649">
        <v>7.9370220000000002E-3</v>
      </c>
      <c r="P4649">
        <v>0.98490739999999999</v>
      </c>
      <c r="Q4649">
        <v>0.1585056</v>
      </c>
      <c r="R4649">
        <v>6.952593E-2</v>
      </c>
      <c r="S4649">
        <v>3.0841669999999999</v>
      </c>
      <c r="T4649">
        <v>-9.5227000000000006E-2</v>
      </c>
      <c r="U4649">
        <v>-0.32005309999999998</v>
      </c>
      <c r="V4649">
        <v>-6.1579160000000001E-2</v>
      </c>
      <c r="W4649">
        <v>0.1718092</v>
      </c>
      <c r="X4649">
        <v>0.98320379999999996</v>
      </c>
      <c r="Y4649">
        <v>0.1110341</v>
      </c>
      <c r="Z4649">
        <v>-2.5969679999999998E-3</v>
      </c>
      <c r="AA4649">
        <v>0.99381319999999995</v>
      </c>
      <c r="AB4649">
        <v>40</v>
      </c>
      <c r="AC4649">
        <v>35.693899999999999</v>
      </c>
      <c r="AD4649">
        <v>-1.1100504308520001</v>
      </c>
      <c r="AE4649">
        <v>-3.7327999999999899</v>
      </c>
      <c r="AF4649">
        <v>4.0121729134894597</v>
      </c>
      <c r="AG4649">
        <v>-1.1100504308520001</v>
      </c>
      <c r="AH4649">
        <v>35.629059343342597</v>
      </c>
      <c r="AI4649">
        <v>91.773315335243296</v>
      </c>
      <c r="AJ4649">
        <v>83.5750141285137</v>
      </c>
      <c r="AK4649">
        <v>35.871431712969098</v>
      </c>
      <c r="AL4649">
        <v>80.106974079881994</v>
      </c>
      <c r="AM4649">
        <v>93.583817984137596</v>
      </c>
      <c r="AN4649">
        <v>1.00000005324269</v>
      </c>
    </row>
    <row r="4650" spans="1:40" x14ac:dyDescent="0.25">
      <c r="A4650" t="str">
        <f>"20190304154846936"</f>
        <v>20190304154846936</v>
      </c>
      <c r="B4650" t="str">
        <f>"1551685726931120"</f>
        <v>1551685726931120</v>
      </c>
      <c r="C4650" t="s">
        <v>40</v>
      </c>
      <c r="D4650">
        <v>4.6249570000000002</v>
      </c>
      <c r="E4650">
        <v>0.56483329999999998</v>
      </c>
      <c r="F4650" t="s">
        <v>54</v>
      </c>
      <c r="G4650">
        <v>-194.25970000000001</v>
      </c>
      <c r="H4650" s="1">
        <v>3.5746980000000002E-6</v>
      </c>
      <c r="I4650">
        <v>210.4333</v>
      </c>
      <c r="J4650">
        <v>-229.5849</v>
      </c>
      <c r="K4650">
        <v>1.110058</v>
      </c>
      <c r="L4650">
        <v>214.1601</v>
      </c>
      <c r="M4650">
        <v>0.99987839999999995</v>
      </c>
      <c r="N4650">
        <v>-1.361129E-2</v>
      </c>
      <c r="O4650">
        <v>7.6240279999999997E-3</v>
      </c>
      <c r="P4650">
        <v>0.98499199999999998</v>
      </c>
      <c r="Q4650">
        <v>0.1583029</v>
      </c>
      <c r="R4650">
        <v>6.8785830000000006E-2</v>
      </c>
      <c r="S4650">
        <v>3.0840909999999999</v>
      </c>
      <c r="T4650">
        <v>-9.5817089999999994E-2</v>
      </c>
      <c r="U4650">
        <v>-0.3214417</v>
      </c>
      <c r="V4650">
        <v>-6.113909E-2</v>
      </c>
      <c r="W4650">
        <v>0.17175000000000001</v>
      </c>
      <c r="X4650">
        <v>0.98324160000000005</v>
      </c>
      <c r="Y4650">
        <v>0.1111671</v>
      </c>
      <c r="Z4650">
        <v>-2.6134219999999998E-3</v>
      </c>
      <c r="AA4650">
        <v>0.99379830000000002</v>
      </c>
      <c r="AB4650">
        <v>40</v>
      </c>
      <c r="AC4650">
        <v>35.325199999999903</v>
      </c>
      <c r="AD4650">
        <v>-1.1100544253019999</v>
      </c>
      <c r="AE4650">
        <v>-3.7267999999999901</v>
      </c>
      <c r="AF4650">
        <v>3.9921382225938098</v>
      </c>
      <c r="AG4650">
        <v>-1.1100544253019999</v>
      </c>
      <c r="AH4650">
        <v>35.261321436744304</v>
      </c>
      <c r="AI4650">
        <v>91.791682547887703</v>
      </c>
      <c r="AJ4650">
        <v>83.540717543553399</v>
      </c>
      <c r="AK4650">
        <v>35.503945948032701</v>
      </c>
      <c r="AL4650">
        <v>80.110417111598906</v>
      </c>
      <c r="AM4650">
        <v>93.558136141454099</v>
      </c>
      <c r="AN4650">
        <v>1.00000004739829</v>
      </c>
    </row>
    <row r="4651" spans="1:40" x14ac:dyDescent="0.25">
      <c r="A4651" t="str">
        <f>"20190304154846959"</f>
        <v>20190304154846959</v>
      </c>
      <c r="B4651" t="str">
        <f>"1551685726951616"</f>
        <v>1551685726951616</v>
      </c>
      <c r="C4651" t="s">
        <v>40</v>
      </c>
      <c r="D4651">
        <v>4.6144489999999996</v>
      </c>
      <c r="E4651">
        <v>0.56491000000000002</v>
      </c>
      <c r="F4651" t="s">
        <v>54</v>
      </c>
      <c r="G4651">
        <v>-194.1258</v>
      </c>
      <c r="H4651" s="1">
        <v>3.5990650000000001E-6</v>
      </c>
      <c r="I4651">
        <v>210.42609999999999</v>
      </c>
      <c r="J4651">
        <v>-229.16800000000001</v>
      </c>
      <c r="K4651">
        <v>1.1100669999999999</v>
      </c>
      <c r="L4651">
        <v>214.16300000000001</v>
      </c>
      <c r="M4651">
        <v>0.99987890000000001</v>
      </c>
      <c r="N4651">
        <v>-1.376806E-2</v>
      </c>
      <c r="O4651">
        <v>7.2721469999999996E-3</v>
      </c>
      <c r="P4651">
        <v>0.98497000000000001</v>
      </c>
      <c r="Q4651">
        <v>0.1586726</v>
      </c>
      <c r="R4651">
        <v>6.8244559999999996E-2</v>
      </c>
      <c r="S4651">
        <v>3.0839080000000001</v>
      </c>
      <c r="T4651">
        <v>-9.6542600000000006E-2</v>
      </c>
      <c r="U4651">
        <v>-0.32475279999999901</v>
      </c>
      <c r="V4651">
        <v>-6.0935080000000003E-2</v>
      </c>
      <c r="W4651">
        <v>0.1722766</v>
      </c>
      <c r="X4651">
        <v>0.98316210000000004</v>
      </c>
      <c r="Y4651">
        <v>0.1118772</v>
      </c>
      <c r="Z4651">
        <v>-2.6456819999999999E-3</v>
      </c>
      <c r="AA4651">
        <v>0.99371849999999995</v>
      </c>
      <c r="AB4651">
        <v>40</v>
      </c>
      <c r="AC4651">
        <v>35.042200000000001</v>
      </c>
      <c r="AD4651">
        <v>-1.1100634009350001</v>
      </c>
      <c r="AE4651">
        <v>-3.7368999999999901</v>
      </c>
      <c r="AF4651">
        <v>3.98770070087012</v>
      </c>
      <c r="AG4651">
        <v>-1.1100634009350001</v>
      </c>
      <c r="AH4651">
        <v>34.979388604232497</v>
      </c>
      <c r="AI4651">
        <v>91.805969480551497</v>
      </c>
      <c r="AJ4651">
        <v>83.496276437630002</v>
      </c>
      <c r="AK4651">
        <v>35.223452766015498</v>
      </c>
      <c r="AL4651">
        <v>80.079788280297805</v>
      </c>
      <c r="AM4651">
        <v>93.546579666518596</v>
      </c>
      <c r="AN4651">
        <v>1.0000000128792801</v>
      </c>
    </row>
    <row r="4652" spans="1:40" x14ac:dyDescent="0.25">
      <c r="A4652" t="str">
        <f>"20190304154846980"</f>
        <v>20190304154846980</v>
      </c>
      <c r="B4652" t="str">
        <f>"1551685726971136"</f>
        <v>1551685726971136</v>
      </c>
      <c r="C4652" t="s">
        <v>40</v>
      </c>
      <c r="D4652">
        <v>4.6643790000000003</v>
      </c>
      <c r="E4652">
        <v>0.56496080000000004</v>
      </c>
      <c r="F4652" t="s">
        <v>54</v>
      </c>
      <c r="G4652">
        <v>-193.35400000000001</v>
      </c>
      <c r="H4652" s="1">
        <v>3.7411999999999999E-6</v>
      </c>
      <c r="I4652">
        <v>210.3663</v>
      </c>
      <c r="J4652">
        <v>-228.76830000000001</v>
      </c>
      <c r="K4652">
        <v>1.11006</v>
      </c>
      <c r="L4652">
        <v>214.16560000000001</v>
      </c>
      <c r="M4652">
        <v>0.99987939999999997</v>
      </c>
      <c r="N4652">
        <v>-1.391529E-2</v>
      </c>
      <c r="O4652">
        <v>6.9041049999999998E-3</v>
      </c>
      <c r="P4652">
        <v>0.98494550000000003</v>
      </c>
      <c r="Q4652">
        <v>0.15925449999999999</v>
      </c>
      <c r="R4652">
        <v>6.7235279999999994E-2</v>
      </c>
      <c r="S4652">
        <v>3.0838320000000001</v>
      </c>
      <c r="T4652">
        <v>-9.5584150000000007E-2</v>
      </c>
      <c r="U4652">
        <v>-0.32691959999999998</v>
      </c>
      <c r="V4652">
        <v>-6.0277480000000001E-2</v>
      </c>
      <c r="W4652">
        <v>0.17300550000000001</v>
      </c>
      <c r="X4652">
        <v>0.98307460000000002</v>
      </c>
      <c r="Y4652">
        <v>0.112205399999999</v>
      </c>
      <c r="Z4652">
        <v>-2.6343970000000001E-3</v>
      </c>
      <c r="AA4652">
        <v>0.99368160000000005</v>
      </c>
      <c r="AB4652">
        <v>40</v>
      </c>
      <c r="AC4652">
        <v>35.414299999999997</v>
      </c>
      <c r="AD4652">
        <v>-1.1100562588</v>
      </c>
      <c r="AE4652">
        <v>-3.7993000000000099</v>
      </c>
      <c r="AF4652">
        <v>4.0398131833508204</v>
      </c>
      <c r="AG4652">
        <v>-1.1100562588</v>
      </c>
      <c r="AH4652">
        <v>35.352883484113001</v>
      </c>
      <c r="AI4652">
        <v>91.786836529525999</v>
      </c>
      <c r="AJ4652">
        <v>83.481024311900001</v>
      </c>
      <c r="AK4652">
        <v>35.600262444191898</v>
      </c>
      <c r="AL4652">
        <v>80.037388351554497</v>
      </c>
      <c r="AM4652">
        <v>93.508713251628393</v>
      </c>
      <c r="AN4652">
        <v>0.99999997339527902</v>
      </c>
    </row>
    <row r="4653" spans="1:40" x14ac:dyDescent="0.25">
      <c r="A4653" t="str">
        <f>"20190304154847003"</f>
        <v>20190304154847003</v>
      </c>
      <c r="B4653" t="str">
        <f>"1551685726991634"</f>
        <v>1551685726991634</v>
      </c>
      <c r="C4653" t="s">
        <v>40</v>
      </c>
      <c r="D4653">
        <v>4.6551589999999896</v>
      </c>
      <c r="E4653">
        <v>0.56486239999999999</v>
      </c>
      <c r="F4653" t="s">
        <v>54</v>
      </c>
      <c r="G4653">
        <v>-192.67529999999999</v>
      </c>
      <c r="H4653" s="1">
        <v>3.8671109999999999E-6</v>
      </c>
      <c r="I4653">
        <v>210.30330000000001</v>
      </c>
      <c r="J4653">
        <v>-228.3741</v>
      </c>
      <c r="K4653">
        <v>1.110052</v>
      </c>
      <c r="L4653">
        <v>214.1679</v>
      </c>
      <c r="M4653">
        <v>0.9998802</v>
      </c>
      <c r="N4653">
        <v>-1.4051499999999899E-2</v>
      </c>
      <c r="O4653">
        <v>6.5053430000000002E-3</v>
      </c>
      <c r="P4653">
        <v>0.98487780000000003</v>
      </c>
      <c r="Q4653">
        <v>0.15975739999999999</v>
      </c>
      <c r="R4653">
        <v>6.7032519999999998E-2</v>
      </c>
      <c r="S4653">
        <v>3.0836939999999999</v>
      </c>
      <c r="T4653">
        <v>-9.4840289999999994E-2</v>
      </c>
      <c r="U4653">
        <v>-0.32998660000000002</v>
      </c>
      <c r="V4653">
        <v>-6.0454319999999999E-2</v>
      </c>
      <c r="W4653">
        <v>0.17364560000000001</v>
      </c>
      <c r="X4653">
        <v>0.98295089999999996</v>
      </c>
      <c r="Y4653">
        <v>0.1127915</v>
      </c>
      <c r="Z4653">
        <v>-2.6324809999999999E-3</v>
      </c>
      <c r="AA4653">
        <v>0.99361520000000003</v>
      </c>
      <c r="AB4653">
        <v>40</v>
      </c>
      <c r="AC4653">
        <v>35.698799999999999</v>
      </c>
      <c r="AD4653">
        <v>-1.1100481328889999</v>
      </c>
      <c r="AE4653">
        <v>-3.86459999999999</v>
      </c>
      <c r="AF4653">
        <v>4.0928625554075904</v>
      </c>
      <c r="AG4653">
        <v>-1.1100481328889999</v>
      </c>
      <c r="AH4653">
        <v>35.638841806507003</v>
      </c>
      <c r="AI4653">
        <v>91.772381065068899</v>
      </c>
      <c r="AJ4653">
        <v>83.448695991101999</v>
      </c>
      <c r="AK4653">
        <v>35.890260183843999</v>
      </c>
      <c r="AL4653">
        <v>80.000149922372202</v>
      </c>
      <c r="AM4653">
        <v>93.519422899991596</v>
      </c>
      <c r="AN4653">
        <v>0.99999999550841601</v>
      </c>
    </row>
    <row r="4654" spans="1:40" x14ac:dyDescent="0.25">
      <c r="A4654" t="str">
        <f>"20190304154847024"</f>
        <v>20190304154847024</v>
      </c>
      <c r="B4654" t="str">
        <f>"1551685727021890"</f>
        <v>1551685727021890</v>
      </c>
      <c r="C4654" t="s">
        <v>40</v>
      </c>
      <c r="D4654">
        <v>4.6318519999999896</v>
      </c>
      <c r="E4654">
        <v>0.56528819999999902</v>
      </c>
      <c r="F4654" t="s">
        <v>54</v>
      </c>
      <c r="G4654">
        <v>-191.62559999999999</v>
      </c>
      <c r="H4654" s="1">
        <v>4.0593899999999998E-6</v>
      </c>
      <c r="I4654">
        <v>210.2336</v>
      </c>
      <c r="J4654">
        <v>-227.9845</v>
      </c>
      <c r="K4654">
        <v>1.1100350000000001</v>
      </c>
      <c r="L4654">
        <v>214.17009999999999</v>
      </c>
      <c r="M4654">
        <v>0.99988129999999997</v>
      </c>
      <c r="N4654">
        <v>-1.417494E-2</v>
      </c>
      <c r="O4654">
        <v>6.0683409999999997E-3</v>
      </c>
      <c r="P4654">
        <v>0.98485319999999998</v>
      </c>
      <c r="Q4654">
        <v>0.16001969999999999</v>
      </c>
      <c r="R4654">
        <v>6.6768549999999996E-2</v>
      </c>
      <c r="S4654">
        <v>3.0836329999999998</v>
      </c>
      <c r="T4654">
        <v>-9.3146320000000005E-2</v>
      </c>
      <c r="U4654">
        <v>-0.33013920000000002</v>
      </c>
      <c r="V4654">
        <v>-6.0605249999999999E-2</v>
      </c>
      <c r="W4654">
        <v>0.17403399999999999</v>
      </c>
      <c r="X4654">
        <v>0.98287290000000005</v>
      </c>
      <c r="Y4654">
        <v>0.11241039999999999</v>
      </c>
      <c r="Z4654">
        <v>-2.5888259999999998E-3</v>
      </c>
      <c r="AA4654">
        <v>0.9936585</v>
      </c>
      <c r="AB4654">
        <v>40</v>
      </c>
      <c r="AC4654">
        <v>36.358899999999998</v>
      </c>
      <c r="AD4654">
        <v>-1.11003094061</v>
      </c>
      <c r="AE4654">
        <v>-3.9364999999999899</v>
      </c>
      <c r="AF4654">
        <v>4.15326155648546</v>
      </c>
      <c r="AG4654">
        <v>-1.11003094061</v>
      </c>
      <c r="AH4654">
        <v>36.3008970113926</v>
      </c>
      <c r="AI4654">
        <v>91.740134263413793</v>
      </c>
      <c r="AJ4654">
        <v>83.4730508152293</v>
      </c>
      <c r="AK4654">
        <v>36.554573914592702</v>
      </c>
      <c r="AL4654">
        <v>79.977552045286998</v>
      </c>
      <c r="AM4654">
        <v>93.528466595509698</v>
      </c>
      <c r="AN4654">
        <v>0.999999983518986</v>
      </c>
    </row>
    <row r="4655" spans="1:40" x14ac:dyDescent="0.25">
      <c r="A4655" t="str">
        <f>"20190304154847047"</f>
        <v>20190304154847047</v>
      </c>
      <c r="B4655" t="str">
        <f>"1551685727041408"</f>
        <v>1551685727041408</v>
      </c>
      <c r="C4655" t="s">
        <v>40</v>
      </c>
      <c r="D4655">
        <v>4.6786310000000002</v>
      </c>
      <c r="E4655">
        <v>0.56548859999999901</v>
      </c>
      <c r="F4655" t="s">
        <v>54</v>
      </c>
      <c r="G4655">
        <v>-190.93719999999999</v>
      </c>
      <c r="H4655" s="1">
        <v>4.1880199999999899E-6</v>
      </c>
      <c r="I4655">
        <v>210.15899999999999</v>
      </c>
      <c r="J4655">
        <v>-227.57589999999999</v>
      </c>
      <c r="K4655">
        <v>1.110006</v>
      </c>
      <c r="L4655">
        <v>214.1721</v>
      </c>
      <c r="M4655">
        <v>0.99988259999999995</v>
      </c>
      <c r="N4655">
        <v>-1.429186E-2</v>
      </c>
      <c r="O4655">
        <v>5.5550720000000003E-3</v>
      </c>
      <c r="P4655">
        <v>0.98483659999999995</v>
      </c>
      <c r="Q4655">
        <v>0.160275</v>
      </c>
      <c r="R4655">
        <v>6.6401950000000001E-2</v>
      </c>
      <c r="S4655">
        <v>3.083771</v>
      </c>
      <c r="T4655">
        <v>-9.2397690000000005E-2</v>
      </c>
      <c r="U4655">
        <v>-0.3338776</v>
      </c>
      <c r="V4655">
        <v>-6.0724390000000003E-2</v>
      </c>
      <c r="W4655">
        <v>0.1744106</v>
      </c>
      <c r="X4655">
        <v>0.98279879999999997</v>
      </c>
      <c r="Y4655">
        <v>0.1130869</v>
      </c>
      <c r="Z4655">
        <v>-2.5864310000000001E-3</v>
      </c>
      <c r="AA4655">
        <v>0.99358170000000001</v>
      </c>
      <c r="AB4655">
        <v>40</v>
      </c>
      <c r="AC4655">
        <v>36.6387</v>
      </c>
      <c r="AD4655">
        <v>-1.1100018119799999</v>
      </c>
      <c r="AE4655">
        <v>-4.0130999999999801</v>
      </c>
      <c r="AF4655">
        <v>4.2127686284613803</v>
      </c>
      <c r="AG4655">
        <v>-1.1100018119799999</v>
      </c>
      <c r="AH4655">
        <v>36.582660238072499</v>
      </c>
      <c r="AI4655">
        <v>91.726548712107103</v>
      </c>
      <c r="AJ4655">
        <v>83.430896018501997</v>
      </c>
      <c r="AK4655">
        <v>36.841152990016397</v>
      </c>
      <c r="AL4655">
        <v>79.955639446337301</v>
      </c>
      <c r="AM4655">
        <v>93.535651288408602</v>
      </c>
      <c r="AN4655">
        <v>0.99999999510733595</v>
      </c>
    </row>
    <row r="4656" spans="1:40" x14ac:dyDescent="0.25">
      <c r="A4656" t="str">
        <f>"20190304154847070"</f>
        <v>20190304154847070</v>
      </c>
      <c r="B4656" t="str">
        <f>"1551685727061904"</f>
        <v>1551685727061904</v>
      </c>
      <c r="C4656" t="s">
        <v>40</v>
      </c>
      <c r="D4656">
        <v>4.6837839999999904</v>
      </c>
      <c r="E4656">
        <v>0.5656854</v>
      </c>
      <c r="F4656" t="s">
        <v>54</v>
      </c>
      <c r="G4656">
        <v>-190.40559999999999</v>
      </c>
      <c r="H4656" s="1">
        <v>4.2862560000000004E-6</v>
      </c>
      <c r="I4656">
        <v>210.114</v>
      </c>
      <c r="J4656">
        <v>-227.17140000000001</v>
      </c>
      <c r="K4656">
        <v>1.109958</v>
      </c>
      <c r="L4656">
        <v>214.1738</v>
      </c>
      <c r="M4656">
        <v>0.99988410000000005</v>
      </c>
      <c r="N4656">
        <v>-1.439504E-2</v>
      </c>
      <c r="O4656">
        <v>4.9792350000000003E-3</v>
      </c>
      <c r="P4656">
        <v>0.98480780000000001</v>
      </c>
      <c r="Q4656">
        <v>0.1606621</v>
      </c>
      <c r="R4656">
        <v>6.5886710000000001E-2</v>
      </c>
      <c r="S4656">
        <v>3.0838930000000002</v>
      </c>
      <c r="T4656">
        <v>-9.209299E-2</v>
      </c>
      <c r="U4656">
        <v>-0.33668520000000002</v>
      </c>
      <c r="V4656">
        <v>-6.0751769999999997E-2</v>
      </c>
      <c r="W4656">
        <v>0.17490629999999999</v>
      </c>
      <c r="X4656">
        <v>0.98270900000000005</v>
      </c>
      <c r="Y4656">
        <v>0.11340459999999999</v>
      </c>
      <c r="Z4656">
        <v>-2.5836219999999998E-3</v>
      </c>
      <c r="AA4656">
        <v>0.99354549999999997</v>
      </c>
      <c r="AB4656">
        <v>40</v>
      </c>
      <c r="AC4656">
        <v>36.765799999999999</v>
      </c>
      <c r="AD4656">
        <v>-1.1099537137440001</v>
      </c>
      <c r="AE4656">
        <v>-4.0597999999999903</v>
      </c>
      <c r="AF4656">
        <v>4.2390171592098396</v>
      </c>
      <c r="AG4656">
        <v>-1.1099537137440001</v>
      </c>
      <c r="AH4656">
        <v>36.712070069185401</v>
      </c>
      <c r="AI4656">
        <v>91.720331327617302</v>
      </c>
      <c r="AJ4656">
        <v>83.413420889059395</v>
      </c>
      <c r="AK4656">
        <v>36.972656822136898</v>
      </c>
      <c r="AL4656">
        <v>79.926794452681193</v>
      </c>
      <c r="AM4656">
        <v>93.537563842820802</v>
      </c>
      <c r="AN4656">
        <v>0.99999998500941101</v>
      </c>
    </row>
    <row r="4657" spans="1:40" x14ac:dyDescent="0.25">
      <c r="A4657" t="str">
        <f>"20190304154847092"</f>
        <v>20190304154847092</v>
      </c>
      <c r="B4657" t="str">
        <f>"1551685727081426"</f>
        <v>1551685727081426</v>
      </c>
      <c r="C4657" t="s">
        <v>40</v>
      </c>
      <c r="D4657">
        <v>4.6384470000000002</v>
      </c>
      <c r="E4657">
        <v>0.60473679999999996</v>
      </c>
      <c r="F4657" t="s">
        <v>54</v>
      </c>
      <c r="G4657">
        <v>-189.3546</v>
      </c>
      <c r="H4657" s="1">
        <v>4.2684130000000002E-6</v>
      </c>
      <c r="I4657">
        <v>210.00299999999999</v>
      </c>
      <c r="J4657">
        <v>-226.7842</v>
      </c>
      <c r="K4657">
        <v>1.109901</v>
      </c>
      <c r="L4657">
        <v>214.17519999999999</v>
      </c>
      <c r="M4657">
        <v>0.99988580000000005</v>
      </c>
      <c r="N4657">
        <v>-1.4482490000000001E-2</v>
      </c>
      <c r="O4657">
        <v>4.3508269999999998E-3</v>
      </c>
      <c r="P4657">
        <v>0.9848133</v>
      </c>
      <c r="Q4657">
        <v>0.16090409999999999</v>
      </c>
      <c r="R4657">
        <v>6.5212850000000003E-2</v>
      </c>
      <c r="S4657">
        <v>3.0838009999999998</v>
      </c>
      <c r="T4657">
        <v>-9.0512040000000002E-2</v>
      </c>
      <c r="U4657">
        <v>-0.34011839999999999</v>
      </c>
      <c r="V4657">
        <v>-6.0669830000000001E-2</v>
      </c>
      <c r="W4657">
        <v>0.17524300000000001</v>
      </c>
      <c r="X4657">
        <v>0.98265409999999997</v>
      </c>
      <c r="Y4657">
        <v>0.1138781</v>
      </c>
      <c r="Z4657">
        <v>-2.5576990000000001E-3</v>
      </c>
      <c r="AA4657">
        <v>0.99349140000000002</v>
      </c>
      <c r="AB4657">
        <v>40</v>
      </c>
      <c r="AC4657">
        <v>37.429599999999901</v>
      </c>
      <c r="AD4657">
        <v>-1.1098967315870001</v>
      </c>
      <c r="AE4657">
        <v>-4.1722000000000001</v>
      </c>
      <c r="AF4657">
        <v>4.3312655524259398</v>
      </c>
      <c r="AG4657">
        <v>-1.1098967315870001</v>
      </c>
      <c r="AH4657">
        <v>37.378627745630297</v>
      </c>
      <c r="AI4657">
        <v>91.689505812581103</v>
      </c>
      <c r="AJ4657">
        <v>83.390303276100497</v>
      </c>
      <c r="AK4657">
        <v>37.645099869529098</v>
      </c>
      <c r="AL4657">
        <v>79.907200577814393</v>
      </c>
      <c r="AM4657">
        <v>93.533001459339303</v>
      </c>
      <c r="AN4657">
        <v>1.00000000878401</v>
      </c>
    </row>
    <row r="4658" spans="1:40" x14ac:dyDescent="0.25">
      <c r="A4658" t="str">
        <f>"20190304154847114"</f>
        <v>20190304154847114</v>
      </c>
      <c r="B4658" t="str">
        <f>"1551685727111680"</f>
        <v>1551685727111680</v>
      </c>
      <c r="C4658" t="s">
        <v>40</v>
      </c>
      <c r="D4658">
        <v>4.681298</v>
      </c>
      <c r="E4658">
        <v>0.60671019999999998</v>
      </c>
      <c r="F4658" t="s">
        <v>70</v>
      </c>
      <c r="G4658">
        <v>-168.41210000000001</v>
      </c>
      <c r="H4658">
        <v>0.29468729999999999</v>
      </c>
      <c r="I4658">
        <v>201.88419999999999</v>
      </c>
      <c r="J4658">
        <v>-226.38910000000001</v>
      </c>
      <c r="K4658">
        <v>1.109829</v>
      </c>
      <c r="L4658">
        <v>214.1763</v>
      </c>
      <c r="M4658">
        <v>0.99988739999999998</v>
      </c>
      <c r="N4658">
        <v>-1.4560500000000001E-2</v>
      </c>
      <c r="O4658">
        <v>3.6082110000000001E-3</v>
      </c>
      <c r="P4658">
        <v>0.98483089999999995</v>
      </c>
      <c r="Q4658">
        <v>0.16100149999999999</v>
      </c>
      <c r="R4658">
        <v>6.4704090000000006E-2</v>
      </c>
      <c r="S4658">
        <v>3.0964969999999998</v>
      </c>
      <c r="T4658">
        <v>-4.3243410000000003E-2</v>
      </c>
      <c r="U4658">
        <v>-0.65200809999999998</v>
      </c>
      <c r="V4658">
        <v>-6.0858009999999997E-2</v>
      </c>
      <c r="W4658">
        <v>0.1754289</v>
      </c>
      <c r="X4658">
        <v>0.98260930000000002</v>
      </c>
      <c r="Y4658">
        <v>0.2095339</v>
      </c>
      <c r="Z4658">
        <v>-2.9872779999999999E-3</v>
      </c>
      <c r="AA4658">
        <v>0.97779680000000002</v>
      </c>
      <c r="AB4658">
        <v>40</v>
      </c>
      <c r="AC4658">
        <v>57.976999999999997</v>
      </c>
      <c r="AD4658">
        <v>-0.81514169999999997</v>
      </c>
      <c r="AE4658">
        <v>-12.2921</v>
      </c>
      <c r="AF4658">
        <v>12.4988709641495</v>
      </c>
      <c r="AG4658">
        <v>-0.81514169999999997</v>
      </c>
      <c r="AH4658">
        <v>57.921308177952497</v>
      </c>
      <c r="AI4658">
        <v>90.788146166742607</v>
      </c>
      <c r="AJ4658">
        <v>77.822832937907805</v>
      </c>
      <c r="AK4658">
        <v>59.260139827837797</v>
      </c>
      <c r="AL4658">
        <v>79.896381771152207</v>
      </c>
      <c r="AM4658">
        <v>93.544093073437907</v>
      </c>
      <c r="AN4658">
        <v>1.00000001639143</v>
      </c>
    </row>
    <row r="4659" spans="1:40" x14ac:dyDescent="0.25">
      <c r="A4659" t="str">
        <f>"20190304154847137"</f>
        <v>20190304154847137</v>
      </c>
      <c r="B4659" t="str">
        <f>"1551685727131200"</f>
        <v>1551685727131200</v>
      </c>
      <c r="C4659" t="s">
        <v>40</v>
      </c>
      <c r="D4659">
        <v>4.6850839999999998</v>
      </c>
      <c r="E4659">
        <v>0.60633700000000001</v>
      </c>
      <c r="F4659" t="s">
        <v>70</v>
      </c>
      <c r="G4659">
        <v>-168.41220000000001</v>
      </c>
      <c r="H4659">
        <v>0.27829169999999998</v>
      </c>
      <c r="I4659">
        <v>201.6464</v>
      </c>
      <c r="J4659">
        <v>-225.9743</v>
      </c>
      <c r="K4659">
        <v>1.1097429999999999</v>
      </c>
      <c r="L4659">
        <v>214.17699999999999</v>
      </c>
      <c r="M4659">
        <v>0.99988940000000004</v>
      </c>
      <c r="N4659">
        <v>-1.463223E-2</v>
      </c>
      <c r="O4659">
        <v>2.7179159999999999E-3</v>
      </c>
      <c r="P4659">
        <v>0.98492749999999996</v>
      </c>
      <c r="Q4659">
        <v>0.16077910000000001</v>
      </c>
      <c r="R4659">
        <v>6.3782649999999996E-2</v>
      </c>
      <c r="S4659">
        <v>3.097458</v>
      </c>
      <c r="T4659">
        <v>-4.4423700000000003E-2</v>
      </c>
      <c r="U4659">
        <v>-0.66941830000000002</v>
      </c>
      <c r="V4659">
        <v>-6.0773309999999997E-2</v>
      </c>
      <c r="W4659">
        <v>0.17529129999999901</v>
      </c>
      <c r="X4659">
        <v>0.98263909999999999</v>
      </c>
      <c r="Y4659">
        <v>0.2138543</v>
      </c>
      <c r="Z4659">
        <v>-3.0978749999999999E-3</v>
      </c>
      <c r="AA4659">
        <v>0.97686059999999997</v>
      </c>
      <c r="AB4659">
        <v>40</v>
      </c>
      <c r="AC4659">
        <v>57.562100000000001</v>
      </c>
      <c r="AD4659">
        <v>-0.83145129999999901</v>
      </c>
      <c r="AE4659">
        <v>-12.5306</v>
      </c>
      <c r="AF4659">
        <v>12.6844926171095</v>
      </c>
      <c r="AG4659">
        <v>-0.83145129999999901</v>
      </c>
      <c r="AH4659">
        <v>57.516369237887801</v>
      </c>
      <c r="AI4659">
        <v>90.808772977488999</v>
      </c>
      <c r="AJ4659">
        <v>77.563232523719805</v>
      </c>
      <c r="AK4659">
        <v>58.904332561593598</v>
      </c>
      <c r="AL4659">
        <v>79.904389775149895</v>
      </c>
      <c r="AM4659">
        <v>93.539066019706297</v>
      </c>
      <c r="AN4659">
        <v>1.0000000179564199</v>
      </c>
    </row>
    <row r="4660" spans="1:40" x14ac:dyDescent="0.25">
      <c r="A4660" t="str">
        <f>"20190304154847158"</f>
        <v>20190304154847158</v>
      </c>
      <c r="B4660" t="str">
        <f>"1551685727151697"</f>
        <v>1551685727151697</v>
      </c>
      <c r="C4660" t="s">
        <v>40</v>
      </c>
      <c r="D4660">
        <v>4.6594059999999997</v>
      </c>
      <c r="E4660">
        <v>0.60694999999999999</v>
      </c>
      <c r="F4660" t="s">
        <v>70</v>
      </c>
      <c r="G4660">
        <v>-168.41210000000001</v>
      </c>
      <c r="H4660">
        <v>0.2137203</v>
      </c>
      <c r="I4660">
        <v>201.73179999999999</v>
      </c>
      <c r="J4660">
        <v>-225.5873</v>
      </c>
      <c r="K4660">
        <v>1.1096539999999999</v>
      </c>
      <c r="L4660">
        <v>214.1772</v>
      </c>
      <c r="M4660">
        <v>0.99989050000000002</v>
      </c>
      <c r="N4660">
        <v>-1.469056E-2</v>
      </c>
      <c r="O4660">
        <v>1.79728299999999E-3</v>
      </c>
      <c r="P4660">
        <v>0.98505960000000004</v>
      </c>
      <c r="Q4660">
        <v>0.16042490000000001</v>
      </c>
      <c r="R4660">
        <v>6.2620999999999996E-2</v>
      </c>
      <c r="S4660">
        <v>3.097153</v>
      </c>
      <c r="T4660">
        <v>-4.820907E-2</v>
      </c>
      <c r="U4660">
        <v>-0.66961669999999995</v>
      </c>
      <c r="V4660">
        <v>-6.0481210000000001E-2</v>
      </c>
      <c r="W4660">
        <v>0.1750082</v>
      </c>
      <c r="X4660">
        <v>0.98270760000000001</v>
      </c>
      <c r="Y4660">
        <v>0.21302889999999999</v>
      </c>
      <c r="Z4660">
        <v>-3.2233800000000001E-3</v>
      </c>
      <c r="AA4660">
        <v>0.97704060000000004</v>
      </c>
      <c r="AB4660">
        <v>40</v>
      </c>
      <c r="AC4660">
        <v>57.175199999999897</v>
      </c>
      <c r="AD4660">
        <v>-0.89593370000000006</v>
      </c>
      <c r="AE4660">
        <v>-12.445399999999999</v>
      </c>
      <c r="AF4660">
        <v>12.545209898038699</v>
      </c>
      <c r="AG4660">
        <v>-0.89593370000000006</v>
      </c>
      <c r="AH4660">
        <v>57.139341567795299</v>
      </c>
      <c r="AI4660">
        <v>90.877417642339097</v>
      </c>
      <c r="AJ4660">
        <v>77.616920746434602</v>
      </c>
      <c r="AK4660">
        <v>58.507173435244901</v>
      </c>
      <c r="AL4660">
        <v>79.920865079147404</v>
      </c>
      <c r="AM4660">
        <v>93.521853933172807</v>
      </c>
      <c r="AN4660">
        <v>1.0000000369640301</v>
      </c>
    </row>
    <row r="4661" spans="1:40" x14ac:dyDescent="0.25">
      <c r="A4661" t="str">
        <f>"20190304154847181"</f>
        <v>20190304154847181</v>
      </c>
      <c r="B4661" t="str">
        <f>"1551685727171217"</f>
        <v>1551685727171217</v>
      </c>
      <c r="C4661" t="s">
        <v>40</v>
      </c>
      <c r="D4661">
        <v>4.589353</v>
      </c>
      <c r="E4661">
        <v>0.60739270000000001</v>
      </c>
      <c r="F4661" t="s">
        <v>70</v>
      </c>
      <c r="G4661">
        <v>-168.41220000000001</v>
      </c>
      <c r="H4661">
        <v>0.197403</v>
      </c>
      <c r="I4661">
        <v>201.654</v>
      </c>
      <c r="J4661">
        <v>-225.18520000000001</v>
      </c>
      <c r="K4661">
        <v>1.1095619999999999</v>
      </c>
      <c r="L4661">
        <v>214.17689999999999</v>
      </c>
      <c r="M4661">
        <v>0.99989099999999997</v>
      </c>
      <c r="N4661">
        <v>-1.474322E-2</v>
      </c>
      <c r="O4661">
        <v>7.350395E-4</v>
      </c>
      <c r="P4661">
        <v>0.98526150000000001</v>
      </c>
      <c r="Q4661">
        <v>0.15981619999999999</v>
      </c>
      <c r="R4661">
        <v>6.098108E-2</v>
      </c>
      <c r="S4661">
        <v>3.0966640000000001</v>
      </c>
      <c r="T4661">
        <v>-4.9406650000000003E-2</v>
      </c>
      <c r="U4661">
        <v>-0.67826839999999999</v>
      </c>
      <c r="V4661">
        <v>-5.9848360000000003E-2</v>
      </c>
      <c r="W4661">
        <v>0.17446639999999999</v>
      </c>
      <c r="X4661">
        <v>0.98284260000000001</v>
      </c>
      <c r="Y4661">
        <v>0.2146265</v>
      </c>
      <c r="Z4661">
        <v>-3.2938329999999999E-3</v>
      </c>
      <c r="AA4661">
        <v>0.97669059999999996</v>
      </c>
      <c r="AB4661">
        <v>40</v>
      </c>
      <c r="AC4661">
        <v>56.773000000000003</v>
      </c>
      <c r="AD4661">
        <v>-0.91215900000000005</v>
      </c>
      <c r="AE4661">
        <v>-12.5228999999999</v>
      </c>
      <c r="AF4661">
        <v>12.5615393507841</v>
      </c>
      <c r="AG4661">
        <v>-0.91215900000000005</v>
      </c>
      <c r="AH4661">
        <v>56.749809063250801</v>
      </c>
      <c r="AI4661">
        <v>90.899096477473094</v>
      </c>
      <c r="AJ4661">
        <v>77.5188537075813</v>
      </c>
      <c r="AK4661">
        <v>58.130586902404502</v>
      </c>
      <c r="AL4661">
        <v>79.952392241445494</v>
      </c>
      <c r="AM4661">
        <v>93.484616517201303</v>
      </c>
      <c r="AN4661">
        <v>0.99999996364920396</v>
      </c>
    </row>
    <row r="4662" spans="1:40" x14ac:dyDescent="0.25">
      <c r="A4662" t="str">
        <f>"20190304154847204"</f>
        <v>20190304154847204</v>
      </c>
      <c r="B4662" t="str">
        <f>"1551685727201472"</f>
        <v>1551685727201472</v>
      </c>
      <c r="C4662" t="s">
        <v>40</v>
      </c>
      <c r="D4662">
        <v>4.7080859999999998</v>
      </c>
      <c r="E4662">
        <v>0.60916539999999997</v>
      </c>
      <c r="F4662" t="s">
        <v>70</v>
      </c>
      <c r="G4662">
        <v>-168.41220000000001</v>
      </c>
      <c r="H4662">
        <v>0.163038299999999</v>
      </c>
      <c r="I4662">
        <v>201.57599999999999</v>
      </c>
      <c r="J4662">
        <v>-224.78190000000001</v>
      </c>
      <c r="K4662">
        <v>1.109461</v>
      </c>
      <c r="L4662">
        <v>214.17609999999999</v>
      </c>
      <c r="M4662">
        <v>0.99989059999999996</v>
      </c>
      <c r="N4662">
        <v>-1.4788920000000001E-2</v>
      </c>
      <c r="O4662">
        <v>-4.5400980000000001E-4</v>
      </c>
      <c r="P4662">
        <v>0.98535830000000002</v>
      </c>
      <c r="Q4662">
        <v>0.1597481</v>
      </c>
      <c r="R4662">
        <v>5.958078E-2</v>
      </c>
      <c r="S4662">
        <v>3.0957789999999998</v>
      </c>
      <c r="T4662">
        <v>-5.1611190000000001E-2</v>
      </c>
      <c r="U4662">
        <v>-0.68711849999999997</v>
      </c>
      <c r="V4662">
        <v>-5.9575679999999999E-2</v>
      </c>
      <c r="W4662">
        <v>0.17445749999999999</v>
      </c>
      <c r="X4662">
        <v>0.98286079999999998</v>
      </c>
      <c r="Y4662">
        <v>0.21618180000000001</v>
      </c>
      <c r="Z4662">
        <v>-3.397466E-3</v>
      </c>
      <c r="AA4662">
        <v>0.97634719999999997</v>
      </c>
      <c r="AB4662">
        <v>40</v>
      </c>
      <c r="AC4662">
        <v>56.369700000000002</v>
      </c>
      <c r="AD4662">
        <v>-0.94642269999999995</v>
      </c>
      <c r="AE4662">
        <v>-12.6000999999999</v>
      </c>
      <c r="AF4662">
        <v>12.5711284688749</v>
      </c>
      <c r="AG4662">
        <v>-0.94642269999999995</v>
      </c>
      <c r="AH4662">
        <v>56.360284034413397</v>
      </c>
      <c r="AI4662">
        <v>90.938971840791496</v>
      </c>
      <c r="AJ4662">
        <v>77.426035808896003</v>
      </c>
      <c r="AK4662">
        <v>57.753013803158296</v>
      </c>
      <c r="AL4662">
        <v>79.952910653239599</v>
      </c>
      <c r="AM4662">
        <v>93.468714750178506</v>
      </c>
      <c r="AN4662">
        <v>1.0000000165651699</v>
      </c>
    </row>
    <row r="4663" spans="1:40" x14ac:dyDescent="0.25">
      <c r="A4663" t="str">
        <f>"20190304154847226"</f>
        <v>20190304154847226</v>
      </c>
      <c r="B4663" t="str">
        <f>"1551685727220993"</f>
        <v>1551685727220993</v>
      </c>
      <c r="C4663" t="s">
        <v>40</v>
      </c>
      <c r="D4663">
        <v>4.7081540000000004</v>
      </c>
      <c r="E4663">
        <v>0.62373269999999903</v>
      </c>
      <c r="F4663" t="s">
        <v>70</v>
      </c>
      <c r="G4663">
        <v>-168.41220000000001</v>
      </c>
      <c r="H4663">
        <v>0.1448441</v>
      </c>
      <c r="I4663">
        <v>201.3297</v>
      </c>
      <c r="J4663">
        <v>-224.386</v>
      </c>
      <c r="K4663">
        <v>1.109353</v>
      </c>
      <c r="L4663">
        <v>214.1748</v>
      </c>
      <c r="M4663">
        <v>0.99988869999999996</v>
      </c>
      <c r="N4663">
        <v>-1.4827760000000001E-2</v>
      </c>
      <c r="O4663">
        <v>-1.7523860000000001E-3</v>
      </c>
      <c r="P4663">
        <v>0.98554529999999996</v>
      </c>
      <c r="Q4663">
        <v>0.1591979</v>
      </c>
      <c r="R4663">
        <v>5.7936769999999999E-2</v>
      </c>
      <c r="S4663">
        <v>3.0958100000000002</v>
      </c>
      <c r="T4663">
        <v>-5.2974699999999902E-2</v>
      </c>
      <c r="U4663">
        <v>-0.70552060000000005</v>
      </c>
      <c r="V4663">
        <v>-5.9164759999999997E-2</v>
      </c>
      <c r="W4663">
        <v>0.17396310000000001</v>
      </c>
      <c r="X4663">
        <v>0.98297319999999999</v>
      </c>
      <c r="Y4663">
        <v>0.2204306</v>
      </c>
      <c r="Z4663">
        <v>-3.5132679999999999E-3</v>
      </c>
      <c r="AA4663">
        <v>0.97539629999999999</v>
      </c>
      <c r="AB4663">
        <v>40</v>
      </c>
      <c r="AC4663">
        <v>55.973799999999898</v>
      </c>
      <c r="AD4663">
        <v>-0.9645089</v>
      </c>
      <c r="AE4663">
        <v>-12.8451</v>
      </c>
      <c r="AF4663">
        <v>12.743387302197601</v>
      </c>
      <c r="AG4663">
        <v>-0.9645089</v>
      </c>
      <c r="AH4663">
        <v>55.980435802053599</v>
      </c>
      <c r="AI4663">
        <v>90.962456340132604</v>
      </c>
      <c r="AJ4663">
        <v>77.175725029175197</v>
      </c>
      <c r="AK4663">
        <v>57.420670406569101</v>
      </c>
      <c r="AL4663">
        <v>79.981677110004597</v>
      </c>
      <c r="AM4663">
        <v>93.444454335923695</v>
      </c>
      <c r="AN4663">
        <v>0.99999997045285305</v>
      </c>
    </row>
    <row r="4664" spans="1:40" x14ac:dyDescent="0.25">
      <c r="A4664" t="str">
        <f>"20190304154847248"</f>
        <v>20190304154847248</v>
      </c>
      <c r="B4664" t="str">
        <f>"1551685727241489"</f>
        <v>1551685727241489</v>
      </c>
      <c r="C4664" t="s">
        <v>40</v>
      </c>
      <c r="D4664">
        <v>4.3744149999999999</v>
      </c>
      <c r="E4664">
        <v>0.62199910000000003</v>
      </c>
      <c r="F4664" t="s">
        <v>70</v>
      </c>
      <c r="G4664">
        <v>-168.41290000000001</v>
      </c>
      <c r="H4664">
        <v>-3.1039239999999999E-2</v>
      </c>
      <c r="I4664">
        <v>199.2544</v>
      </c>
      <c r="J4664">
        <v>-223.99549999999999</v>
      </c>
      <c r="K4664">
        <v>1.109229</v>
      </c>
      <c r="L4664">
        <v>214.1729</v>
      </c>
      <c r="M4664">
        <v>0.99988469999999996</v>
      </c>
      <c r="N4664">
        <v>-1.486112E-2</v>
      </c>
      <c r="O4664">
        <v>-3.1703439999999999E-3</v>
      </c>
      <c r="P4664">
        <v>0.98562439999999996</v>
      </c>
      <c r="Q4664">
        <v>0.15925059999999999</v>
      </c>
      <c r="R4664">
        <v>5.64278E-2</v>
      </c>
      <c r="S4664">
        <v>3.1028440000000002</v>
      </c>
      <c r="T4664">
        <v>-6.3215259999999995E-2</v>
      </c>
      <c r="U4664">
        <v>-0.82710269999999997</v>
      </c>
      <c r="V4664">
        <v>-5.9000560000000001E-2</v>
      </c>
      <c r="W4664">
        <v>0.1740659</v>
      </c>
      <c r="X4664">
        <v>0.98296490000000003</v>
      </c>
      <c r="Y4664">
        <v>0.25441629999999998</v>
      </c>
      <c r="Z4664">
        <v>-4.4531040000000003E-3</v>
      </c>
      <c r="AA4664">
        <v>0.96708450000000001</v>
      </c>
      <c r="AB4664">
        <v>40</v>
      </c>
      <c r="AC4664">
        <v>55.5825999999999</v>
      </c>
      <c r="AD4664">
        <v>-1.1402682399999999</v>
      </c>
      <c r="AE4664">
        <v>-14.9184999999999</v>
      </c>
      <c r="AF4664">
        <v>14.7364044321042</v>
      </c>
      <c r="AG4664">
        <v>-1.1402682399999999</v>
      </c>
      <c r="AH4664">
        <v>55.6077922291975</v>
      </c>
      <c r="AI4664">
        <v>91.135530853408497</v>
      </c>
      <c r="AJ4664">
        <v>75.1574460985033</v>
      </c>
      <c r="AK4664">
        <v>57.538581698294301</v>
      </c>
      <c r="AL4664">
        <v>79.975696138528704</v>
      </c>
      <c r="AM4664">
        <v>93.434946793918797</v>
      </c>
      <c r="AN4664">
        <v>0.99999999912756599</v>
      </c>
    </row>
    <row r="4665" spans="1:40" x14ac:dyDescent="0.25">
      <c r="A4665" t="str">
        <f>"20190304154847271"</f>
        <v>20190304154847271</v>
      </c>
      <c r="B4665" t="str">
        <f>"1551685727261009"</f>
        <v>1551685727261009</v>
      </c>
      <c r="C4665" t="s">
        <v>40</v>
      </c>
      <c r="D4665">
        <v>4.6864129999999999</v>
      </c>
      <c r="E4665">
        <v>0.62159709999999901</v>
      </c>
      <c r="F4665" t="s">
        <v>70</v>
      </c>
      <c r="G4665">
        <v>-168.4128</v>
      </c>
      <c r="H4665">
        <v>1.507473E-2</v>
      </c>
      <c r="I4665">
        <v>199.50819999999999</v>
      </c>
      <c r="J4665">
        <v>-223.5967</v>
      </c>
      <c r="K4665">
        <v>1.1090899999999999</v>
      </c>
      <c r="L4665">
        <v>214.17019999999999</v>
      </c>
      <c r="M4665">
        <v>0.99987780000000004</v>
      </c>
      <c r="N4665">
        <v>-1.489091E-2</v>
      </c>
      <c r="O4665">
        <v>-4.76663E-3</v>
      </c>
      <c r="P4665">
        <v>0.98574759999999995</v>
      </c>
      <c r="Q4665">
        <v>0.1589969</v>
      </c>
      <c r="R4665">
        <v>5.4970970000000001E-2</v>
      </c>
      <c r="S4665">
        <v>3.1004640000000001</v>
      </c>
      <c r="T4665">
        <v>-6.1031219999999997E-2</v>
      </c>
      <c r="U4665">
        <v>-0.81800839999999997</v>
      </c>
      <c r="V4665">
        <v>-5.9058960000000001E-2</v>
      </c>
      <c r="W4665">
        <v>0.17386260000000001</v>
      </c>
      <c r="X4665">
        <v>0.98299740000000002</v>
      </c>
      <c r="Y4665">
        <v>0.25041069999999999</v>
      </c>
      <c r="Z4665">
        <v>-4.296696E-3</v>
      </c>
      <c r="AA4665">
        <v>0.96813020000000005</v>
      </c>
      <c r="AB4665">
        <v>40</v>
      </c>
      <c r="AC4665">
        <v>55.183900000000001</v>
      </c>
      <c r="AD4665">
        <v>-1.0940152700000001</v>
      </c>
      <c r="AE4665">
        <v>-14.662000000000001</v>
      </c>
      <c r="AF4665">
        <v>14.3934789979147</v>
      </c>
      <c r="AG4665">
        <v>-1.0940152700000001</v>
      </c>
      <c r="AH4665">
        <v>55.232892412330102</v>
      </c>
      <c r="AI4665">
        <v>91.098064006035699</v>
      </c>
      <c r="AJ4665">
        <v>75.393794485176301</v>
      </c>
      <c r="AK4665">
        <v>57.088015478788897</v>
      </c>
      <c r="AL4665">
        <v>79.9875250094113</v>
      </c>
      <c r="AM4665">
        <v>93.438225217777301</v>
      </c>
      <c r="AN4665">
        <v>1.0000000264208999</v>
      </c>
    </row>
    <row r="4666" spans="1:40" x14ac:dyDescent="0.25">
      <c r="A4666" t="str">
        <f>"20190304154847293"</f>
        <v>20190304154847293</v>
      </c>
      <c r="B4666" t="str">
        <f>"1551685727281505"</f>
        <v>1551685727281505</v>
      </c>
      <c r="C4666" t="s">
        <v>40</v>
      </c>
      <c r="D4666">
        <v>4.7337689999999997</v>
      </c>
      <c r="E4666">
        <v>0.62218709999999999</v>
      </c>
      <c r="F4666" t="s">
        <v>70</v>
      </c>
      <c r="G4666">
        <v>-168.4128</v>
      </c>
      <c r="H4666">
        <v>-4.3106079999999998E-4</v>
      </c>
      <c r="I4666">
        <v>199.57300000000001</v>
      </c>
      <c r="J4666">
        <v>-223.2192</v>
      </c>
      <c r="K4666">
        <v>1.108946</v>
      </c>
      <c r="L4666">
        <v>214.1669</v>
      </c>
      <c r="M4666">
        <v>0.99986810000000004</v>
      </c>
      <c r="N4666">
        <v>-1.4915339999999999E-2</v>
      </c>
      <c r="O4666">
        <v>-6.4336659999999898E-3</v>
      </c>
      <c r="P4666">
        <v>0.98588620000000005</v>
      </c>
      <c r="Q4666">
        <v>0.15880920000000001</v>
      </c>
      <c r="R4666">
        <v>5.2990969999999998E-2</v>
      </c>
      <c r="S4666">
        <v>3.0991360000000001</v>
      </c>
      <c r="T4666">
        <v>-6.2308910000000002E-2</v>
      </c>
      <c r="U4666">
        <v>-0.81977840000000002</v>
      </c>
      <c r="V4666">
        <v>-5.8663460000000001E-2</v>
      </c>
      <c r="W4666">
        <v>0.1737184</v>
      </c>
      <c r="X4666">
        <v>0.98304650000000005</v>
      </c>
      <c r="Y4666">
        <v>0.2494131</v>
      </c>
      <c r="Z4666">
        <v>-4.3237800000000002E-3</v>
      </c>
      <c r="AA4666">
        <v>0.96838749999999996</v>
      </c>
      <c r="AB4666">
        <v>40</v>
      </c>
      <c r="AC4666">
        <v>54.806399999999996</v>
      </c>
      <c r="AD4666">
        <v>-1.1093770608</v>
      </c>
      <c r="AE4666">
        <v>-14.5939</v>
      </c>
      <c r="AF4666">
        <v>14.235506106364699</v>
      </c>
      <c r="AG4666">
        <v>-1.1093770608</v>
      </c>
      <c r="AH4666">
        <v>54.878171808431901</v>
      </c>
      <c r="AI4666">
        <v>91.121000132278297</v>
      </c>
      <c r="AJ4666">
        <v>75.457883224134505</v>
      </c>
      <c r="AK4666">
        <v>56.705326845042997</v>
      </c>
      <c r="AL4666">
        <v>79.995913983829396</v>
      </c>
      <c r="AM4666">
        <v>93.415084968702502</v>
      </c>
      <c r="AN4666">
        <v>0.99999995259998897</v>
      </c>
    </row>
    <row r="4667" spans="1:40" x14ac:dyDescent="0.25">
      <c r="A4667" t="str">
        <f>"20190304154847314"</f>
        <v>20190304154847314</v>
      </c>
      <c r="B4667" t="str">
        <f>"1551685727311761"</f>
        <v>1551685727311761</v>
      </c>
      <c r="C4667" t="s">
        <v>40</v>
      </c>
      <c r="D4667">
        <v>4.8186049999999998</v>
      </c>
      <c r="E4667">
        <v>0.62303330000000001</v>
      </c>
      <c r="F4667" t="s">
        <v>70</v>
      </c>
      <c r="G4667">
        <v>-168.4128</v>
      </c>
      <c r="H4667">
        <v>6.3333510000000001E-3</v>
      </c>
      <c r="I4667">
        <v>199.4674</v>
      </c>
      <c r="J4667">
        <v>-222.8252</v>
      </c>
      <c r="K4667">
        <v>1.1088009999999999</v>
      </c>
      <c r="L4667">
        <v>214.1626</v>
      </c>
      <c r="M4667">
        <v>0.99985380000000001</v>
      </c>
      <c r="N4667">
        <v>-1.493767E-2</v>
      </c>
      <c r="O4667">
        <v>-8.3352310000000002E-3</v>
      </c>
      <c r="P4667">
        <v>0.98609669999999905</v>
      </c>
      <c r="Q4667">
        <v>0.15820049999999999</v>
      </c>
      <c r="R4667">
        <v>5.085348E-2</v>
      </c>
      <c r="S4667">
        <v>3.0976409999999999</v>
      </c>
      <c r="T4667">
        <v>-6.2317490000000003E-2</v>
      </c>
      <c r="U4667">
        <v>-0.83081050000000001</v>
      </c>
      <c r="V4667">
        <v>-5.8339799999999997E-2</v>
      </c>
      <c r="W4667">
        <v>0.17315440000000001</v>
      </c>
      <c r="X4667">
        <v>0.98316530000000002</v>
      </c>
      <c r="Y4667">
        <v>0.25090639999999997</v>
      </c>
      <c r="Z4667">
        <v>-4.3443900000000001E-3</v>
      </c>
      <c r="AA4667">
        <v>0.96800160000000002</v>
      </c>
      <c r="AB4667">
        <v>39</v>
      </c>
      <c r="AC4667">
        <v>54.412399999999899</v>
      </c>
      <c r="AD4667">
        <v>-1.1024676489999901</v>
      </c>
      <c r="AE4667">
        <v>-14.6952</v>
      </c>
      <c r="AF4667">
        <v>14.235652151174699</v>
      </c>
      <c r="AG4667">
        <v>-1.1024676489999901</v>
      </c>
      <c r="AH4667">
        <v>54.512153775223403</v>
      </c>
      <c r="AI4667">
        <v>91.121021539595603</v>
      </c>
      <c r="AJ4667">
        <v>75.364276747554399</v>
      </c>
      <c r="AK4667">
        <v>56.351079282476398</v>
      </c>
      <c r="AL4667">
        <v>80.028726475437196</v>
      </c>
      <c r="AM4667">
        <v>93.395877947779596</v>
      </c>
      <c r="AN4667">
        <v>0.99999999281374496</v>
      </c>
    </row>
    <row r="4668" spans="1:40" x14ac:dyDescent="0.25">
      <c r="A4668" t="str">
        <f>"20190304154847348"</f>
        <v>20190304154847348</v>
      </c>
      <c r="B4668" t="str">
        <f>"1551685727341040"</f>
        <v>1551685727341040</v>
      </c>
      <c r="C4668" t="s">
        <v>40</v>
      </c>
      <c r="D4668">
        <v>4.7680119999999997</v>
      </c>
      <c r="E4668">
        <v>0.63075639999999999</v>
      </c>
      <c r="F4668" t="s">
        <v>70</v>
      </c>
      <c r="G4668">
        <v>-168.41290000000001</v>
      </c>
      <c r="H4668">
        <v>1.8678670000000001E-2</v>
      </c>
      <c r="I4668">
        <v>199.3135</v>
      </c>
      <c r="J4668">
        <v>-222.2226</v>
      </c>
      <c r="K4668">
        <v>1.10859</v>
      </c>
      <c r="L4668">
        <v>214.15440000000001</v>
      </c>
      <c r="M4668">
        <v>0.99982199999999999</v>
      </c>
      <c r="N4668">
        <v>-1.4966230000000001E-2</v>
      </c>
      <c r="O4668">
        <v>-1.1504439999999999E-2</v>
      </c>
      <c r="P4668">
        <v>0.98644370000000003</v>
      </c>
      <c r="Q4668">
        <v>0.15714069999999999</v>
      </c>
      <c r="R4668">
        <v>4.7287429999999998E-2</v>
      </c>
      <c r="S4668">
        <v>3.095825</v>
      </c>
      <c r="T4668">
        <v>-6.2021260000000002E-2</v>
      </c>
      <c r="U4668">
        <v>-0.84484859999999995</v>
      </c>
      <c r="V4668">
        <v>-5.7815169999999999E-2</v>
      </c>
      <c r="W4668">
        <v>0.17215449999999999</v>
      </c>
      <c r="X4668">
        <v>0.98337189999999997</v>
      </c>
      <c r="Y4668">
        <v>0.25207010000000002</v>
      </c>
      <c r="Z4668">
        <v>-4.3428929999999996E-3</v>
      </c>
      <c r="AA4668">
        <v>0.96769919999999998</v>
      </c>
      <c r="AB4668">
        <v>39</v>
      </c>
      <c r="AC4668">
        <v>53.8096999999999</v>
      </c>
      <c r="AD4668">
        <v>-1.0899113300000001</v>
      </c>
      <c r="AE4668">
        <v>-14.8409</v>
      </c>
      <c r="AF4668">
        <v>14.2153781835193</v>
      </c>
      <c r="AG4668">
        <v>-1.0899113300000001</v>
      </c>
      <c r="AH4668">
        <v>53.956322100379303</v>
      </c>
      <c r="AI4668">
        <v>91.119035299382503</v>
      </c>
      <c r="AJ4668">
        <v>75.240204840695597</v>
      </c>
      <c r="AK4668">
        <v>55.808149747215403</v>
      </c>
      <c r="AL4668">
        <v>80.0868903713924</v>
      </c>
      <c r="AM4668">
        <v>93.364705053159994</v>
      </c>
      <c r="AN4668">
        <v>1.0000000297309899</v>
      </c>
    </row>
    <row r="4669" spans="1:40" x14ac:dyDescent="0.25">
      <c r="A4669" t="str">
        <f>"20190304154847370"</f>
        <v>20190304154847370</v>
      </c>
      <c r="B4669" t="str">
        <f>"1551685727361538"</f>
        <v>1551685727361538</v>
      </c>
      <c r="C4669" t="s">
        <v>40</v>
      </c>
      <c r="D4669">
        <v>4.7234720000000001</v>
      </c>
      <c r="E4669">
        <v>0.63229669999999905</v>
      </c>
      <c r="F4669" t="s">
        <v>70</v>
      </c>
      <c r="G4669">
        <v>-168.41329999999999</v>
      </c>
      <c r="H4669">
        <v>0.1161442</v>
      </c>
      <c r="I4669">
        <v>198.19210000000001</v>
      </c>
      <c r="J4669">
        <v>-221.839</v>
      </c>
      <c r="K4669">
        <v>1.1084529999999999</v>
      </c>
      <c r="L4669">
        <v>214.1481</v>
      </c>
      <c r="M4669">
        <v>0.99979410000000002</v>
      </c>
      <c r="N4669">
        <v>-1.4981039999999999E-2</v>
      </c>
      <c r="O4669">
        <v>-1.369268E-2</v>
      </c>
      <c r="P4669">
        <v>0.98658449999999998</v>
      </c>
      <c r="Q4669">
        <v>0.15713440000000001</v>
      </c>
      <c r="R4669">
        <v>4.4270909999999997E-2</v>
      </c>
      <c r="S4669">
        <v>3.0943299999999998</v>
      </c>
      <c r="T4669">
        <v>-5.7069059999999998E-2</v>
      </c>
      <c r="U4669">
        <v>-0.91792300000000004</v>
      </c>
      <c r="V4669">
        <v>-5.6902889999999998E-2</v>
      </c>
      <c r="W4669">
        <v>0.172178</v>
      </c>
      <c r="X4669">
        <v>0.98342099999999999</v>
      </c>
      <c r="Y4669">
        <v>0.27116220000000002</v>
      </c>
      <c r="Z4669">
        <v>-4.4758699999999998E-3</v>
      </c>
      <c r="AA4669">
        <v>0.96252320000000002</v>
      </c>
      <c r="AB4669">
        <v>39</v>
      </c>
      <c r="AC4669">
        <v>53.425699999999999</v>
      </c>
      <c r="AD4669">
        <v>-0.99230879999999999</v>
      </c>
      <c r="AE4669">
        <v>-15.9559999999999</v>
      </c>
      <c r="AF4669">
        <v>15.2180607526535</v>
      </c>
      <c r="AG4669">
        <v>-0.99230879999999999</v>
      </c>
      <c r="AH4669">
        <v>53.622211490573399</v>
      </c>
      <c r="AI4669">
        <v>91.019900492367398</v>
      </c>
      <c r="AJ4669">
        <v>74.155981740959206</v>
      </c>
      <c r="AK4669">
        <v>55.748682629868398</v>
      </c>
      <c r="AL4669">
        <v>80.085523542335395</v>
      </c>
      <c r="AM4669">
        <v>93.311566669359607</v>
      </c>
      <c r="AN4669">
        <v>1.0000000329076699</v>
      </c>
    </row>
    <row r="4670" spans="1:40" x14ac:dyDescent="0.25">
      <c r="A4670" t="str">
        <f>"20190304154847393"</f>
        <v>20190304154847393</v>
      </c>
      <c r="B4670" t="str">
        <f>"1551685727391792"</f>
        <v>1551685727391792</v>
      </c>
      <c r="C4670" t="s">
        <v>40</v>
      </c>
      <c r="D4670">
        <v>4.8217119999999998</v>
      </c>
      <c r="E4670">
        <v>0.63374269999999999</v>
      </c>
      <c r="F4670" t="s">
        <v>70</v>
      </c>
      <c r="G4670">
        <v>-168.41329999999999</v>
      </c>
      <c r="H4670">
        <v>-3.7459369999999999E-2</v>
      </c>
      <c r="I4670">
        <v>197.9177</v>
      </c>
      <c r="J4670">
        <v>-221.441</v>
      </c>
      <c r="K4670">
        <v>1.108314</v>
      </c>
      <c r="L4670">
        <v>214.1404</v>
      </c>
      <c r="M4670">
        <v>0.99975749999999997</v>
      </c>
      <c r="N4670">
        <v>-1.49943E-2</v>
      </c>
      <c r="O4670">
        <v>-1.6129910000000001E-2</v>
      </c>
      <c r="P4670">
        <v>0.98669949999999995</v>
      </c>
      <c r="Q4670">
        <v>0.15750159999999999</v>
      </c>
      <c r="R4670">
        <v>4.022017E-2</v>
      </c>
      <c r="S4670">
        <v>3.0935519999999999</v>
      </c>
      <c r="T4670">
        <v>-6.6350820000000005E-2</v>
      </c>
      <c r="U4670">
        <v>-0.93980410000000003</v>
      </c>
      <c r="V4670">
        <v>-5.5195330000000001E-2</v>
      </c>
      <c r="W4670">
        <v>0.17256969999999999</v>
      </c>
      <c r="X4670">
        <v>0.98344960000000003</v>
      </c>
      <c r="Y4670">
        <v>0.27510259999999997</v>
      </c>
      <c r="Z4670">
        <v>-4.8919130000000003E-3</v>
      </c>
      <c r="AA4670">
        <v>0.96140239999999999</v>
      </c>
      <c r="AB4670">
        <v>39</v>
      </c>
      <c r="AC4670">
        <v>53.027699999999903</v>
      </c>
      <c r="AD4670">
        <v>-1.1457733699999999</v>
      </c>
      <c r="AE4670">
        <v>-16.2227</v>
      </c>
      <c r="AF4670">
        <v>15.358604113470999</v>
      </c>
      <c r="AG4670">
        <v>-1.1457733699999999</v>
      </c>
      <c r="AH4670">
        <v>53.259762761549403</v>
      </c>
      <c r="AI4670">
        <v>91.184170783772004</v>
      </c>
      <c r="AJ4670">
        <v>73.913939906069999</v>
      </c>
      <c r="AK4670">
        <v>55.441878091802202</v>
      </c>
      <c r="AL4670">
        <v>80.062739125519002</v>
      </c>
      <c r="AM4670">
        <v>93.212310233445706</v>
      </c>
      <c r="AN4670">
        <v>0.99999997077602898</v>
      </c>
    </row>
    <row r="4671" spans="1:40" x14ac:dyDescent="0.25">
      <c r="A4671" t="str">
        <f>"20190304154847416"</f>
        <v>20190304154847416</v>
      </c>
      <c r="B4671" t="str">
        <f>"1551685727411313"</f>
        <v>1551685727411313</v>
      </c>
      <c r="C4671" t="s">
        <v>40</v>
      </c>
      <c r="D4671">
        <v>4.8393280000000001</v>
      </c>
      <c r="E4671">
        <v>0.63303920000000002</v>
      </c>
      <c r="F4671" t="s">
        <v>70</v>
      </c>
      <c r="G4671">
        <v>-168.4134</v>
      </c>
      <c r="H4671">
        <v>1.6975400000000002E-2</v>
      </c>
      <c r="I4671">
        <v>197.60040000000001</v>
      </c>
      <c r="J4671">
        <v>-221.04750000000001</v>
      </c>
      <c r="K4671">
        <v>1.108163</v>
      </c>
      <c r="L4671">
        <v>214.1318</v>
      </c>
      <c r="M4671">
        <v>0.99971259999999995</v>
      </c>
      <c r="N4671">
        <v>-1.500638E-2</v>
      </c>
      <c r="O4671">
        <v>-1.8697510000000001E-2</v>
      </c>
      <c r="P4671">
        <v>0.98686209999999996</v>
      </c>
      <c r="Q4671">
        <v>0.15756489999999901</v>
      </c>
      <c r="R4671">
        <v>3.5733359999999999E-2</v>
      </c>
      <c r="S4671">
        <v>3.089874</v>
      </c>
      <c r="T4671">
        <v>-6.3589450000000006E-2</v>
      </c>
      <c r="U4671">
        <v>-0.96377559999999995</v>
      </c>
      <c r="V4671">
        <v>-5.3181230000000003E-2</v>
      </c>
      <c r="W4671">
        <v>0.17265520000000001</v>
      </c>
      <c r="X4671">
        <v>0.98354560000000002</v>
      </c>
      <c r="Y4671">
        <v>0.2797654</v>
      </c>
      <c r="Z4671">
        <v>-4.8587830000000002E-3</v>
      </c>
      <c r="AA4671">
        <v>0.96005609999999997</v>
      </c>
      <c r="AB4671">
        <v>39</v>
      </c>
      <c r="AC4671">
        <v>52.634099999999997</v>
      </c>
      <c r="AD4671">
        <v>-1.0911876</v>
      </c>
      <c r="AE4671">
        <v>-16.531399999999898</v>
      </c>
      <c r="AF4671">
        <v>15.5381933864504</v>
      </c>
      <c r="AG4671">
        <v>-1.0911876</v>
      </c>
      <c r="AH4671">
        <v>52.913327536526701</v>
      </c>
      <c r="AI4671">
        <v>91.133545402933294</v>
      </c>
      <c r="AJ4671">
        <v>73.634929548812394</v>
      </c>
      <c r="AK4671">
        <v>55.158375384712699</v>
      </c>
      <c r="AL4671">
        <v>80.057766020602401</v>
      </c>
      <c r="AM4671">
        <v>93.095022435173505</v>
      </c>
      <c r="AN4671">
        <v>1.0000000042953501</v>
      </c>
    </row>
    <row r="4672" spans="1:40" x14ac:dyDescent="0.25">
      <c r="A4672" t="str">
        <f>"20190304154847438"</f>
        <v>20190304154847438</v>
      </c>
      <c r="B4672" t="str">
        <f>"1551685727431809"</f>
        <v>1551685727431809</v>
      </c>
      <c r="C4672" t="s">
        <v>40</v>
      </c>
      <c r="D4672">
        <v>4.8210579999999998</v>
      </c>
      <c r="E4672">
        <v>0.63311549999999905</v>
      </c>
      <c r="F4672" t="s">
        <v>70</v>
      </c>
      <c r="G4672">
        <v>-168.4135</v>
      </c>
      <c r="H4672">
        <v>3.0878070000000001E-2</v>
      </c>
      <c r="I4672">
        <v>197.53460000000001</v>
      </c>
      <c r="J4672">
        <v>-220.65539999999999</v>
      </c>
      <c r="K4672">
        <v>1.108025</v>
      </c>
      <c r="L4672">
        <v>214.12200000000001</v>
      </c>
      <c r="M4672">
        <v>0.99965870000000001</v>
      </c>
      <c r="N4672">
        <v>-1.5017549999999999E-2</v>
      </c>
      <c r="O4672">
        <v>-2.138114E-2</v>
      </c>
      <c r="P4672">
        <v>0.98700569999999999</v>
      </c>
      <c r="Q4672">
        <v>0.1576803</v>
      </c>
      <c r="R4672">
        <v>3.093342E-2</v>
      </c>
      <c r="S4672">
        <v>3.0852659999999998</v>
      </c>
      <c r="T4672">
        <v>-6.3145640000000003E-2</v>
      </c>
      <c r="U4672">
        <v>-0.97288509999999995</v>
      </c>
      <c r="V4672">
        <v>-5.0970929999999998E-2</v>
      </c>
      <c r="W4672">
        <v>0.17278850000000001</v>
      </c>
      <c r="X4672">
        <v>0.98363920000000005</v>
      </c>
      <c r="Y4672">
        <v>0.28017690000000001</v>
      </c>
      <c r="Z4672">
        <v>-4.8400439999999999E-3</v>
      </c>
      <c r="AA4672">
        <v>0.95993620000000002</v>
      </c>
      <c r="AB4672">
        <v>39</v>
      </c>
      <c r="AC4672">
        <v>52.241900000000001</v>
      </c>
      <c r="AD4672">
        <v>-1.0771469300000001</v>
      </c>
      <c r="AE4672">
        <v>-16.587399999999999</v>
      </c>
      <c r="AF4672">
        <v>15.4605193163016</v>
      </c>
      <c r="AG4672">
        <v>-1.0771469300000001</v>
      </c>
      <c r="AH4672">
        <v>52.564352458180103</v>
      </c>
      <c r="AI4672">
        <v>91.126246590419996</v>
      </c>
      <c r="AJ4672">
        <v>73.610042673132597</v>
      </c>
      <c r="AK4672">
        <v>54.801451188689597</v>
      </c>
      <c r="AL4672">
        <v>80.050011796886807</v>
      </c>
      <c r="AM4672">
        <v>92.966341133455103</v>
      </c>
      <c r="AN4672">
        <v>0.99999998860697703</v>
      </c>
    </row>
    <row r="4673" spans="1:40" x14ac:dyDescent="0.25">
      <c r="A4673" t="str">
        <f>"20190304154847460"</f>
        <v>20190304154847460</v>
      </c>
      <c r="B4673" t="str">
        <f>"1551685727451329"</f>
        <v>1551685727451329</v>
      </c>
      <c r="C4673" t="s">
        <v>40</v>
      </c>
      <c r="D4673">
        <v>4.7853159999999999</v>
      </c>
      <c r="E4673">
        <v>0.63298369999999904</v>
      </c>
      <c r="F4673" t="s">
        <v>70</v>
      </c>
      <c r="G4673">
        <v>-168.4135</v>
      </c>
      <c r="H4673">
        <v>3.2220840000000001E-2</v>
      </c>
      <c r="I4673">
        <v>197.357</v>
      </c>
      <c r="J4673">
        <v>-220.26939999999999</v>
      </c>
      <c r="K4673">
        <v>1.107901</v>
      </c>
      <c r="L4673">
        <v>214.1113</v>
      </c>
      <c r="M4673">
        <v>0.99959560000000003</v>
      </c>
      <c r="N4673">
        <v>-1.5026629999999999E-2</v>
      </c>
      <c r="O4673">
        <v>-2.414496E-2</v>
      </c>
      <c r="P4673">
        <v>0.98711850000000001</v>
      </c>
      <c r="Q4673">
        <v>0.1577769</v>
      </c>
      <c r="R4673">
        <v>2.6530939999999999E-2</v>
      </c>
      <c r="S4673">
        <v>3.0806119999999999</v>
      </c>
      <c r="T4673">
        <v>-6.3436389999999995E-2</v>
      </c>
      <c r="U4673">
        <v>-0.98860170000000003</v>
      </c>
      <c r="V4673">
        <v>-4.9240539999999999E-2</v>
      </c>
      <c r="W4673">
        <v>0.17290079999999999</v>
      </c>
      <c r="X4673">
        <v>0.98370760000000002</v>
      </c>
      <c r="Y4673">
        <v>0.2823832</v>
      </c>
      <c r="Z4673">
        <v>-4.8798770000000003E-3</v>
      </c>
      <c r="AA4673">
        <v>0.95928930000000001</v>
      </c>
      <c r="AB4673">
        <v>39</v>
      </c>
      <c r="AC4673">
        <v>51.855899999999899</v>
      </c>
      <c r="AD4673">
        <v>-1.0756801600000001</v>
      </c>
      <c r="AE4673">
        <v>-16.754300000000001</v>
      </c>
      <c r="AF4673">
        <v>15.491178795232299</v>
      </c>
      <c r="AG4673">
        <v>-1.0756801600000001</v>
      </c>
      <c r="AH4673">
        <v>52.225008272019899</v>
      </c>
      <c r="AI4673">
        <v>91.131251711383797</v>
      </c>
      <c r="AJ4673">
        <v>73.478391621966594</v>
      </c>
      <c r="AK4673">
        <v>54.4847244398375</v>
      </c>
      <c r="AL4673">
        <v>80.043479070687596</v>
      </c>
      <c r="AM4673">
        <v>92.865609984307596</v>
      </c>
      <c r="AN4673">
        <v>0.99999997985894495</v>
      </c>
    </row>
    <row r="4674" spans="1:40" x14ac:dyDescent="0.25">
      <c r="A4674" t="str">
        <f>"20190304154847482"</f>
        <v>20190304154847482</v>
      </c>
      <c r="B4674" t="str">
        <f>"1551685727471825"</f>
        <v>1551685727471825</v>
      </c>
      <c r="C4674" t="s">
        <v>40</v>
      </c>
      <c r="D4674">
        <v>4.8339639999999999</v>
      </c>
      <c r="E4674">
        <v>0.63315909999999997</v>
      </c>
      <c r="F4674" t="s">
        <v>70</v>
      </c>
      <c r="G4674">
        <v>-168.4136</v>
      </c>
      <c r="H4674">
        <v>4.4040679999999999E-2</v>
      </c>
      <c r="I4674">
        <v>197.23480000000001</v>
      </c>
      <c r="J4674">
        <v>-219.88659999999999</v>
      </c>
      <c r="K4674">
        <v>1.1077650000000001</v>
      </c>
      <c r="L4674">
        <v>214.09950000000001</v>
      </c>
      <c r="M4674">
        <v>0.99952200000000002</v>
      </c>
      <c r="N4674">
        <v>-1.503406E-2</v>
      </c>
      <c r="O4674">
        <v>-2.7015290000000001E-2</v>
      </c>
      <c r="P4674">
        <v>0.98723079999999996</v>
      </c>
      <c r="Q4674">
        <v>0.1577308</v>
      </c>
      <c r="R4674">
        <v>2.2288240000000001E-2</v>
      </c>
      <c r="S4674">
        <v>3.0761409999999998</v>
      </c>
      <c r="T4674">
        <v>-6.3107250000000004E-2</v>
      </c>
      <c r="U4674">
        <v>-1.0011289999999999</v>
      </c>
      <c r="V4674">
        <v>-4.7778649999999999E-2</v>
      </c>
      <c r="W4674">
        <v>0.17286979999999999</v>
      </c>
      <c r="X4674">
        <v>0.98378520000000003</v>
      </c>
      <c r="Y4674">
        <v>0.28357090000000001</v>
      </c>
      <c r="Z4674">
        <v>-4.8778429999999998E-3</v>
      </c>
      <c r="AA4674">
        <v>0.95893890000000004</v>
      </c>
      <c r="AB4674">
        <v>39</v>
      </c>
      <c r="AC4674">
        <v>51.4729999999999</v>
      </c>
      <c r="AD4674">
        <v>-1.0637243199999999</v>
      </c>
      <c r="AE4674">
        <v>-16.864699999999999</v>
      </c>
      <c r="AF4674">
        <v>15.461865032790801</v>
      </c>
      <c r="AG4674">
        <v>-1.0637243199999999</v>
      </c>
      <c r="AH4674">
        <v>51.889853097027597</v>
      </c>
      <c r="AI4674">
        <v>91.125489802544493</v>
      </c>
      <c r="AJ4674">
        <v>73.407273136824202</v>
      </c>
      <c r="AK4674">
        <v>54.154940994818702</v>
      </c>
      <c r="AL4674">
        <v>80.045283033814897</v>
      </c>
      <c r="AM4674">
        <v>92.780450182114194</v>
      </c>
      <c r="AN4674">
        <v>1.0000000434434499</v>
      </c>
    </row>
    <row r="4675" spans="1:40" x14ac:dyDescent="0.25">
      <c r="A4675" t="str">
        <f>"20190304154847505"</f>
        <v>20190304154847505</v>
      </c>
      <c r="B4675" t="str">
        <f>"1551685727502081"</f>
        <v>1551685727502081</v>
      </c>
      <c r="C4675" t="s">
        <v>40</v>
      </c>
      <c r="D4675">
        <v>4.8344839999999998</v>
      </c>
      <c r="E4675">
        <v>0.63360329999999998</v>
      </c>
      <c r="F4675" t="s">
        <v>70</v>
      </c>
      <c r="G4675">
        <v>-168.4136</v>
      </c>
      <c r="H4675">
        <v>-5.2738189999999999E-3</v>
      </c>
      <c r="I4675">
        <v>197.0856</v>
      </c>
      <c r="J4675">
        <v>-219.48660000000001</v>
      </c>
      <c r="K4675">
        <v>1.107621</v>
      </c>
      <c r="L4675">
        <v>214.08580000000001</v>
      </c>
      <c r="M4675">
        <v>0.99943219999999999</v>
      </c>
      <c r="N4675">
        <v>-1.5040950000000001E-2</v>
      </c>
      <c r="O4675">
        <v>-3.015321E-2</v>
      </c>
      <c r="P4675">
        <v>0.98741889999999999</v>
      </c>
      <c r="Q4675">
        <v>0.15703710000000001</v>
      </c>
      <c r="R4675">
        <v>1.8531479999999999E-2</v>
      </c>
      <c r="S4675">
        <v>3.0723569999999998</v>
      </c>
      <c r="T4675">
        <v>-6.6433909999999999E-2</v>
      </c>
      <c r="U4675">
        <v>-1.015533</v>
      </c>
      <c r="V4675">
        <v>-4.7072179999999998E-2</v>
      </c>
      <c r="W4675">
        <v>0.1721963</v>
      </c>
      <c r="X4675">
        <v>0.98393730000000001</v>
      </c>
      <c r="Y4675">
        <v>0.28495779999999998</v>
      </c>
      <c r="Z4675">
        <v>-5.007961E-3</v>
      </c>
      <c r="AA4675">
        <v>0.95852700000000002</v>
      </c>
      <c r="AB4675">
        <v>39</v>
      </c>
      <c r="AC4675">
        <v>51.073</v>
      </c>
      <c r="AD4675">
        <v>-1.1128948190000001</v>
      </c>
      <c r="AE4675">
        <v>-17.0002</v>
      </c>
      <c r="AF4675">
        <v>15.445676731805101</v>
      </c>
      <c r="AG4675">
        <v>-1.1128948190000001</v>
      </c>
      <c r="AH4675">
        <v>51.540408583283103</v>
      </c>
      <c r="AI4675">
        <v>91.184927690591294</v>
      </c>
      <c r="AJ4675">
        <v>73.317529994399607</v>
      </c>
      <c r="AK4675">
        <v>53.816551185609597</v>
      </c>
      <c r="AL4675">
        <v>80.084458632956</v>
      </c>
      <c r="AM4675">
        <v>92.738977854051697</v>
      </c>
      <c r="AN4675">
        <v>0.99999998309746596</v>
      </c>
    </row>
    <row r="4676" spans="1:40" x14ac:dyDescent="0.25">
      <c r="A4676" t="str">
        <f>"20190304154847527"</f>
        <v>20190304154847527</v>
      </c>
      <c r="B4676" t="str">
        <f>"1551685727521601"</f>
        <v>1551685727521601</v>
      </c>
      <c r="C4676" t="s">
        <v>40</v>
      </c>
      <c r="D4676">
        <v>4.7824429999999998</v>
      </c>
      <c r="E4676">
        <v>0.63440920000000001</v>
      </c>
      <c r="F4676" t="s">
        <v>70</v>
      </c>
      <c r="G4676">
        <v>-168.41370000000001</v>
      </c>
      <c r="H4676">
        <v>1.9645690000000002E-3</v>
      </c>
      <c r="I4676">
        <v>196.92259999999999</v>
      </c>
      <c r="J4676">
        <v>-219.10079999999999</v>
      </c>
      <c r="K4676">
        <v>1.1074930000000001</v>
      </c>
      <c r="L4676">
        <v>214.07140000000001</v>
      </c>
      <c r="M4676">
        <v>0.99933170000000004</v>
      </c>
      <c r="N4676">
        <v>-1.504722E-2</v>
      </c>
      <c r="O4676">
        <v>-3.3314209999999997E-2</v>
      </c>
      <c r="P4676">
        <v>0.98744030000000005</v>
      </c>
      <c r="Q4676">
        <v>0.15729219999999999</v>
      </c>
      <c r="R4676">
        <v>1.486722E-2</v>
      </c>
      <c r="S4676">
        <v>3.0681150000000001</v>
      </c>
      <c r="T4676">
        <v>-6.6418290000000005E-2</v>
      </c>
      <c r="U4676">
        <v>-1.0310520000000001</v>
      </c>
      <c r="V4676">
        <v>-4.6472189999999997E-2</v>
      </c>
      <c r="W4676">
        <v>0.1724687</v>
      </c>
      <c r="X4676">
        <v>0.98391810000000002</v>
      </c>
      <c r="Y4676">
        <v>0.28668250000000001</v>
      </c>
      <c r="Z4676">
        <v>-5.0227229999999998E-3</v>
      </c>
      <c r="AA4676">
        <v>0.95801250000000004</v>
      </c>
      <c r="AB4676">
        <v>39</v>
      </c>
      <c r="AC4676">
        <v>50.687100000000001</v>
      </c>
      <c r="AD4676">
        <v>-1.105528431</v>
      </c>
      <c r="AE4676">
        <v>-17.148800000000001</v>
      </c>
      <c r="AF4676">
        <v>15.443894938826899</v>
      </c>
      <c r="AG4676">
        <v>-1.105528431</v>
      </c>
      <c r="AH4676">
        <v>51.208463508933299</v>
      </c>
      <c r="AI4676">
        <v>91.184091870625906</v>
      </c>
      <c r="AJ4676">
        <v>73.217281385860204</v>
      </c>
      <c r="AK4676">
        <v>53.498063693362099</v>
      </c>
      <c r="AL4676">
        <v>80.068614102137701</v>
      </c>
      <c r="AM4676">
        <v>92.704171219333702</v>
      </c>
      <c r="AN4676">
        <v>0.99999997221534698</v>
      </c>
    </row>
    <row r="4677" spans="1:40" x14ac:dyDescent="0.25">
      <c r="A4677" t="str">
        <f>"20190304154847549"</f>
        <v>20190304154847549</v>
      </c>
      <c r="B4677" t="str">
        <f>"1551685727541120"</f>
        <v>1551685727541120</v>
      </c>
      <c r="C4677" t="s">
        <v>40</v>
      </c>
      <c r="D4677">
        <v>4.7630369999999997</v>
      </c>
      <c r="E4677">
        <v>0.63530019999999998</v>
      </c>
      <c r="F4677" t="s">
        <v>70</v>
      </c>
      <c r="G4677">
        <v>-168.41370000000001</v>
      </c>
      <c r="H4677">
        <v>3.9573669999999998E-2</v>
      </c>
      <c r="I4677">
        <v>196.73580000000001</v>
      </c>
      <c r="J4677">
        <v>-218.70590000000001</v>
      </c>
      <c r="K4677">
        <v>1.1073569999999999</v>
      </c>
      <c r="L4677">
        <v>214.05529999999999</v>
      </c>
      <c r="M4677">
        <v>0.99921360000000004</v>
      </c>
      <c r="N4677">
        <v>-1.505334E-2</v>
      </c>
      <c r="O4677">
        <v>-3.6682680000000002E-2</v>
      </c>
      <c r="P4677">
        <v>0.9875275</v>
      </c>
      <c r="Q4677">
        <v>0.1570445</v>
      </c>
      <c r="R4677">
        <v>1.124847E-2</v>
      </c>
      <c r="S4677">
        <v>3.0642399999999999</v>
      </c>
      <c r="T4677">
        <v>-6.4558030000000002E-2</v>
      </c>
      <c r="U4677">
        <v>-1.0480039999999999</v>
      </c>
      <c r="V4677">
        <v>-4.6127340000000003E-2</v>
      </c>
      <c r="W4677">
        <v>0.17224130000000001</v>
      </c>
      <c r="X4677">
        <v>0.98397420000000002</v>
      </c>
      <c r="Y4677">
        <v>0.28857529999999998</v>
      </c>
      <c r="Z4677">
        <v>-4.9758950000000001E-3</v>
      </c>
      <c r="AA4677">
        <v>0.95744430000000003</v>
      </c>
      <c r="AB4677">
        <v>39</v>
      </c>
      <c r="AC4677">
        <v>50.292200000000001</v>
      </c>
      <c r="AD4677">
        <v>-1.0677833299999999</v>
      </c>
      <c r="AE4677">
        <v>-17.319499999999898</v>
      </c>
      <c r="AF4677">
        <v>15.456550208892301</v>
      </c>
      <c r="AG4677">
        <v>-1.0677833299999999</v>
      </c>
      <c r="AH4677">
        <v>50.8732402341642</v>
      </c>
      <c r="AI4677">
        <v>91.150496074007293</v>
      </c>
      <c r="AJ4677">
        <v>73.099919533996797</v>
      </c>
      <c r="AK4677">
        <v>53.180181247555197</v>
      </c>
      <c r="AL4677">
        <v>80.081841500750699</v>
      </c>
      <c r="AM4677">
        <v>92.683981382668406</v>
      </c>
      <c r="AN4677">
        <v>1.0000000115934</v>
      </c>
    </row>
    <row r="4678" spans="1:40" x14ac:dyDescent="0.25">
      <c r="A4678" t="str">
        <f>"20190304154847571"</f>
        <v>20190304154847571</v>
      </c>
      <c r="B4678" t="str">
        <f>"1551685727561616"</f>
        <v>1551685727561616</v>
      </c>
      <c r="C4678" t="s">
        <v>40</v>
      </c>
      <c r="D4678">
        <v>4.7574809999999896</v>
      </c>
      <c r="E4678">
        <v>0.63603480000000001</v>
      </c>
      <c r="F4678" t="s">
        <v>70</v>
      </c>
      <c r="G4678">
        <v>-168.41380000000001</v>
      </c>
      <c r="H4678">
        <v>1.8259049999999999E-2</v>
      </c>
      <c r="I4678">
        <v>196.54220000000001</v>
      </c>
      <c r="J4678">
        <v>-218.33009999999999</v>
      </c>
      <c r="K4678">
        <v>1.1072310000000001</v>
      </c>
      <c r="L4678">
        <v>214.0385</v>
      </c>
      <c r="M4678">
        <v>0.99908569999999997</v>
      </c>
      <c r="N4678">
        <v>-1.5059019999999999E-2</v>
      </c>
      <c r="O4678">
        <v>-4.0012699999999998E-2</v>
      </c>
      <c r="P4678">
        <v>0.98763749999999995</v>
      </c>
      <c r="Q4678">
        <v>0.15655060000000001</v>
      </c>
      <c r="R4678">
        <v>7.985008E-3</v>
      </c>
      <c r="S4678">
        <v>3.0605929999999999</v>
      </c>
      <c r="T4678">
        <v>-6.6276429999999997E-2</v>
      </c>
      <c r="U4678">
        <v>-1.0657810000000001</v>
      </c>
      <c r="V4678">
        <v>-4.6107740000000001E-2</v>
      </c>
      <c r="W4678">
        <v>0.1717688</v>
      </c>
      <c r="X4678">
        <v>0.98405770000000004</v>
      </c>
      <c r="Y4678">
        <v>0.29069650000000002</v>
      </c>
      <c r="Z4678">
        <v>-5.055571E-3</v>
      </c>
      <c r="AA4678">
        <v>0.95680200000000004</v>
      </c>
      <c r="AB4678">
        <v>39</v>
      </c>
      <c r="AC4678">
        <v>49.9162999999999</v>
      </c>
      <c r="AD4678">
        <v>-1.0889719499999999</v>
      </c>
      <c r="AE4678">
        <v>-17.496299999999898</v>
      </c>
      <c r="AF4678">
        <v>15.478212256892499</v>
      </c>
      <c r="AG4678">
        <v>-1.0889719499999999</v>
      </c>
      <c r="AH4678">
        <v>50.555041805559398</v>
      </c>
      <c r="AI4678">
        <v>91.179931866674295</v>
      </c>
      <c r="AJ4678">
        <v>72.977216420526304</v>
      </c>
      <c r="AK4678">
        <v>52.882635775263303</v>
      </c>
      <c r="AL4678">
        <v>80.109323234587706</v>
      </c>
      <c r="AM4678">
        <v>92.682615282877094</v>
      </c>
      <c r="AN4678">
        <v>1.00000000063531</v>
      </c>
    </row>
    <row r="4679" spans="1:40" x14ac:dyDescent="0.25">
      <c r="A4679" t="str">
        <f>"20190304154847594"</f>
        <v>20190304154847594</v>
      </c>
      <c r="B4679" t="str">
        <f>"1551685727591872"</f>
        <v>1551685727591872</v>
      </c>
      <c r="C4679" t="s">
        <v>40</v>
      </c>
      <c r="D4679">
        <v>4.8243410000000004</v>
      </c>
      <c r="E4679">
        <v>0.63630220000000004</v>
      </c>
      <c r="F4679" t="s">
        <v>70</v>
      </c>
      <c r="G4679">
        <v>-168.41380000000001</v>
      </c>
      <c r="H4679">
        <v>1.8672939999999999E-2</v>
      </c>
      <c r="I4679">
        <v>196.38290000000001</v>
      </c>
      <c r="J4679">
        <v>-217.93260000000001</v>
      </c>
      <c r="K4679">
        <v>1.107094</v>
      </c>
      <c r="L4679">
        <v>214.01929999999999</v>
      </c>
      <c r="M4679">
        <v>0.99893220000000005</v>
      </c>
      <c r="N4679">
        <v>-1.5064549999999999E-2</v>
      </c>
      <c r="O4679">
        <v>-4.3676930000000003E-2</v>
      </c>
      <c r="P4679">
        <v>0.98765389999999997</v>
      </c>
      <c r="Q4679">
        <v>0.15661320000000001</v>
      </c>
      <c r="R4679">
        <v>3.55814E-3</v>
      </c>
      <c r="S4679">
        <v>3.056854</v>
      </c>
      <c r="T4679">
        <v>-6.6660759999999999E-2</v>
      </c>
      <c r="U4679">
        <v>-1.081223</v>
      </c>
      <c r="V4679">
        <v>-4.5247469999999998E-2</v>
      </c>
      <c r="W4679">
        <v>0.17184539999999901</v>
      </c>
      <c r="X4679">
        <v>0.98408419999999996</v>
      </c>
      <c r="Y4679">
        <v>0.29185169999999999</v>
      </c>
      <c r="Z4679">
        <v>-5.0694109999999898E-3</v>
      </c>
      <c r="AA4679">
        <v>0.95645020000000003</v>
      </c>
      <c r="AB4679">
        <v>39</v>
      </c>
      <c r="AC4679">
        <v>49.518799999999999</v>
      </c>
      <c r="AD4679">
        <v>-1.0884210599999999</v>
      </c>
      <c r="AE4679">
        <v>-17.636399999999899</v>
      </c>
      <c r="AF4679">
        <v>15.449867548734099</v>
      </c>
      <c r="AG4679">
        <v>-1.0884210599999999</v>
      </c>
      <c r="AH4679">
        <v>50.220393797378797</v>
      </c>
      <c r="AI4679">
        <v>91.186700324375806</v>
      </c>
      <c r="AJ4679">
        <v>72.899940508075602</v>
      </c>
      <c r="AK4679">
        <v>52.554457668603902</v>
      </c>
      <c r="AL4679">
        <v>80.104867565851706</v>
      </c>
      <c r="AM4679">
        <v>92.632563816739406</v>
      </c>
      <c r="AN4679">
        <v>0.99999994386609803</v>
      </c>
    </row>
    <row r="4680" spans="1:40" x14ac:dyDescent="0.25">
      <c r="A4680" t="str">
        <f>"20190304154847617"</f>
        <v>20190304154847617</v>
      </c>
      <c r="B4680" t="str">
        <f>"1551685727611393"</f>
        <v>1551685727611393</v>
      </c>
      <c r="C4680" t="s">
        <v>40</v>
      </c>
      <c r="D4680">
        <v>4.7878299999999996</v>
      </c>
      <c r="E4680">
        <v>0.63624040000000004</v>
      </c>
      <c r="F4680" t="s">
        <v>70</v>
      </c>
      <c r="G4680">
        <v>-168.41390000000001</v>
      </c>
      <c r="H4680">
        <v>2.576637E-2</v>
      </c>
      <c r="I4680">
        <v>196.22890000000001</v>
      </c>
      <c r="J4680">
        <v>-217.5386</v>
      </c>
      <c r="K4680">
        <v>1.106968</v>
      </c>
      <c r="L4680">
        <v>213.99860000000001</v>
      </c>
      <c r="M4680">
        <v>0.99876089999999995</v>
      </c>
      <c r="N4680">
        <v>-1.5069600000000001E-2</v>
      </c>
      <c r="O4680">
        <v>-4.7432439999999999E-2</v>
      </c>
      <c r="P4680">
        <v>0.98763529999999999</v>
      </c>
      <c r="Q4680">
        <v>0.15676899999999999</v>
      </c>
      <c r="R4680">
        <v>-6.73793E-4</v>
      </c>
      <c r="S4680">
        <v>3.0520019999999999</v>
      </c>
      <c r="T4680">
        <v>-6.6643709999999995E-2</v>
      </c>
      <c r="U4680">
        <v>-1.096481</v>
      </c>
      <c r="V4680">
        <v>-4.4673160000000003E-2</v>
      </c>
      <c r="W4680">
        <v>0.17201640000000001</v>
      </c>
      <c r="X4680">
        <v>0.98408059999999997</v>
      </c>
      <c r="Y4680">
        <v>0.29297489999999998</v>
      </c>
      <c r="Z4680">
        <v>-5.0693409999999998E-3</v>
      </c>
      <c r="AA4680">
        <v>0.95610669999999998</v>
      </c>
      <c r="AB4680">
        <v>39</v>
      </c>
      <c r="AC4680">
        <v>49.124699999999898</v>
      </c>
      <c r="AD4680">
        <v>-1.08120163</v>
      </c>
      <c r="AE4680">
        <v>-17.7697</v>
      </c>
      <c r="AF4680">
        <v>15.412723835601801</v>
      </c>
      <c r="AG4680">
        <v>-1.08120163</v>
      </c>
      <c r="AH4680">
        <v>49.890979541588798</v>
      </c>
      <c r="AI4680">
        <v>91.186182811098405</v>
      </c>
      <c r="AJ4680">
        <v>72.832613332228703</v>
      </c>
      <c r="AK4680">
        <v>52.228640539616599</v>
      </c>
      <c r="AL4680">
        <v>80.094922249442902</v>
      </c>
      <c r="AM4680">
        <v>92.599205236475797</v>
      </c>
      <c r="AN4680">
        <v>0.99999998019485203</v>
      </c>
    </row>
    <row r="4681" spans="1:40" x14ac:dyDescent="0.25">
      <c r="A4681" t="str">
        <f>"20190304154847639"</f>
        <v>20190304154847639</v>
      </c>
      <c r="B4681" t="str">
        <f>"1551685727631889"</f>
        <v>1551685727631889</v>
      </c>
      <c r="C4681" t="s">
        <v>40</v>
      </c>
      <c r="D4681">
        <v>4.8536849999999996</v>
      </c>
      <c r="E4681">
        <v>0.63615859999999902</v>
      </c>
      <c r="F4681" t="s">
        <v>70</v>
      </c>
      <c r="G4681">
        <v>-168.41390000000001</v>
      </c>
      <c r="H4681">
        <v>4.5626640000000003E-2</v>
      </c>
      <c r="I4681">
        <v>196.11869999999999</v>
      </c>
      <c r="J4681">
        <v>-217.15170000000001</v>
      </c>
      <c r="K4681">
        <v>1.1068559999999901</v>
      </c>
      <c r="L4681">
        <v>213.9768</v>
      </c>
      <c r="M4681">
        <v>0.99857359999999995</v>
      </c>
      <c r="N4681">
        <v>-1.5073960000000001E-2</v>
      </c>
      <c r="O4681">
        <v>-5.1221799999999998E-2</v>
      </c>
      <c r="P4681">
        <v>0.98761449999999995</v>
      </c>
      <c r="Q4681">
        <v>0.15681979999999901</v>
      </c>
      <c r="R4681">
        <v>-5.0224079999999999E-3</v>
      </c>
      <c r="S4681">
        <v>3.0472410000000001</v>
      </c>
      <c r="T4681">
        <v>-6.583369E-2</v>
      </c>
      <c r="U4681">
        <v>-1.1091</v>
      </c>
      <c r="V4681">
        <v>-4.4024639999999997E-2</v>
      </c>
      <c r="W4681">
        <v>0.17207839999999999</v>
      </c>
      <c r="X4681">
        <v>0.98409899999999995</v>
      </c>
      <c r="Y4681">
        <v>0.2933249</v>
      </c>
      <c r="Z4681">
        <v>-5.0306200000000004E-3</v>
      </c>
      <c r="AA4681">
        <v>0.95599959999999995</v>
      </c>
      <c r="AB4681">
        <v>39</v>
      </c>
      <c r="AC4681">
        <v>48.737799999999901</v>
      </c>
      <c r="AD4681">
        <v>-1.06122935999999</v>
      </c>
      <c r="AE4681">
        <v>-17.8581</v>
      </c>
      <c r="AF4681">
        <v>15.3315224687704</v>
      </c>
      <c r="AG4681">
        <v>-1.06122935999999</v>
      </c>
      <c r="AH4681">
        <v>49.567916026439903</v>
      </c>
      <c r="AI4681">
        <v>91.171739518295198</v>
      </c>
      <c r="AJ4681">
        <v>72.812986560199505</v>
      </c>
      <c r="AK4681">
        <v>51.895665408289503</v>
      </c>
      <c r="AL4681">
        <v>80.091316269685294</v>
      </c>
      <c r="AM4681">
        <v>92.561475386808596</v>
      </c>
      <c r="AN4681">
        <v>0.99999999323734401</v>
      </c>
    </row>
    <row r="4682" spans="1:40" x14ac:dyDescent="0.25">
      <c r="A4682" t="str">
        <f>"20190304154847661"</f>
        <v>20190304154847661</v>
      </c>
      <c r="B4682" t="str">
        <f>"1551685727651410"</f>
        <v>1551685727651410</v>
      </c>
      <c r="C4682" t="s">
        <v>40</v>
      </c>
      <c r="D4682">
        <v>4.818943</v>
      </c>
      <c r="E4682">
        <v>0.6363105</v>
      </c>
      <c r="F4682" t="s">
        <v>70</v>
      </c>
      <c r="G4682">
        <v>-168.41399999999999</v>
      </c>
      <c r="H4682">
        <v>5.119228E-2</v>
      </c>
      <c r="I4682">
        <v>196.00550000000001</v>
      </c>
      <c r="J4682">
        <v>-216.7757</v>
      </c>
      <c r="K4682">
        <v>1.1067579999999999</v>
      </c>
      <c r="L4682">
        <v>213.95410000000001</v>
      </c>
      <c r="M4682">
        <v>0.99837260000000005</v>
      </c>
      <c r="N4682">
        <v>-1.5077429999999999E-2</v>
      </c>
      <c r="O4682">
        <v>-5.499855E-2</v>
      </c>
      <c r="P4682">
        <v>0.98751310000000003</v>
      </c>
      <c r="Q4682">
        <v>0.1572624</v>
      </c>
      <c r="R4682">
        <v>-9.3074379999999995E-3</v>
      </c>
      <c r="S4682">
        <v>3.0423740000000001</v>
      </c>
      <c r="T4682">
        <v>-6.5895919999999997E-2</v>
      </c>
      <c r="U4682">
        <v>-1.121826</v>
      </c>
      <c r="V4682">
        <v>-4.3425659999999998E-2</v>
      </c>
      <c r="W4682">
        <v>0.1725293</v>
      </c>
      <c r="X4682">
        <v>0.98404669999999905</v>
      </c>
      <c r="Y4682">
        <v>0.29372500000000001</v>
      </c>
      <c r="Z4682">
        <v>-5.0200280000000002E-3</v>
      </c>
      <c r="AA4682">
        <v>0.95587679999999997</v>
      </c>
      <c r="AB4682">
        <v>39</v>
      </c>
      <c r="AC4682">
        <v>48.3616999999999</v>
      </c>
      <c r="AD4682">
        <v>-1.0555657199999999</v>
      </c>
      <c r="AE4682">
        <v>-17.948599999999999</v>
      </c>
      <c r="AF4682">
        <v>15.254914151127499</v>
      </c>
      <c r="AG4682">
        <v>-1.0555657199999999</v>
      </c>
      <c r="AH4682">
        <v>49.255119774218798</v>
      </c>
      <c r="AI4682">
        <v>91.172751820348196</v>
      </c>
      <c r="AJ4682">
        <v>72.791606223302907</v>
      </c>
      <c r="AK4682">
        <v>51.574154852214001</v>
      </c>
      <c r="AL4682">
        <v>80.065089692746895</v>
      </c>
      <c r="AM4682">
        <v>92.526804661431896</v>
      </c>
      <c r="AN4682">
        <v>1.0000000275429</v>
      </c>
    </row>
    <row r="4683" spans="1:40" x14ac:dyDescent="0.25">
      <c r="A4683" t="str">
        <f>"20190304154847683"</f>
        <v>20190304154847683</v>
      </c>
      <c r="B4683" t="str">
        <f>"1551685727671905"</f>
        <v>1551685727671905</v>
      </c>
      <c r="C4683" t="s">
        <v>40</v>
      </c>
      <c r="D4683">
        <v>4.8326659999999997</v>
      </c>
      <c r="E4683">
        <v>0.63635249999999999</v>
      </c>
      <c r="F4683" t="s">
        <v>70</v>
      </c>
      <c r="G4683">
        <v>-168.41399999999999</v>
      </c>
      <c r="H4683">
        <v>7.7983860000000002E-2</v>
      </c>
      <c r="I4683">
        <v>195.8647</v>
      </c>
      <c r="J4683">
        <v>-216.39189999999999</v>
      </c>
      <c r="K4683">
        <v>1.1066640000000001</v>
      </c>
      <c r="L4683">
        <v>213.92939999999999</v>
      </c>
      <c r="M4683">
        <v>0.99814720000000001</v>
      </c>
      <c r="N4683">
        <v>-1.5080430000000001E-2</v>
      </c>
      <c r="O4683">
        <v>-5.8946390000000001E-2</v>
      </c>
      <c r="P4683">
        <v>0.98743890000000001</v>
      </c>
      <c r="Q4683">
        <v>0.1573918</v>
      </c>
      <c r="R4683">
        <v>-1.3859979999999999E-2</v>
      </c>
      <c r="S4683">
        <v>3.0374910000000002</v>
      </c>
      <c r="T4683">
        <v>-6.4612870000000003E-2</v>
      </c>
      <c r="U4683">
        <v>-1.1361540000000001</v>
      </c>
      <c r="V4683">
        <v>-4.2734849999999998E-2</v>
      </c>
      <c r="W4683">
        <v>0.17266599999999999</v>
      </c>
      <c r="X4683">
        <v>0.98405299999999996</v>
      </c>
      <c r="Y4683">
        <v>0.2944079</v>
      </c>
      <c r="Z4683">
        <v>-4.975302E-3</v>
      </c>
      <c r="AA4683">
        <v>0.95566689999999999</v>
      </c>
      <c r="AB4683">
        <v>39</v>
      </c>
      <c r="AC4683">
        <v>47.977899999999899</v>
      </c>
      <c r="AD4683">
        <v>-1.0286801400000001</v>
      </c>
      <c r="AE4683">
        <v>-18.064699999999899</v>
      </c>
      <c r="AF4683">
        <v>15.1987159168074</v>
      </c>
      <c r="AG4683">
        <v>-1.0286801400000001</v>
      </c>
      <c r="AH4683">
        <v>48.939720276935802</v>
      </c>
      <c r="AI4683">
        <v>91.149977300561204</v>
      </c>
      <c r="AJ4683">
        <v>72.747299759071097</v>
      </c>
      <c r="AK4683">
        <v>51.255783762761503</v>
      </c>
      <c r="AL4683">
        <v>80.057138359422396</v>
      </c>
      <c r="AM4683">
        <v>92.486643530592701</v>
      </c>
      <c r="AN4683">
        <v>1.0000000608847499</v>
      </c>
    </row>
    <row r="4684" spans="1:40" x14ac:dyDescent="0.25">
      <c r="A4684" t="str">
        <f>"20190304154847706"</f>
        <v>20190304154847706</v>
      </c>
      <c r="B4684" t="str">
        <f>"1551685727701185"</f>
        <v>1551685727701185</v>
      </c>
      <c r="C4684" t="s">
        <v>40</v>
      </c>
      <c r="D4684">
        <v>4.7903260000000003</v>
      </c>
      <c r="E4684">
        <v>0.63643989999999995</v>
      </c>
      <c r="F4684" t="s">
        <v>70</v>
      </c>
      <c r="G4684">
        <v>-168.41409999999999</v>
      </c>
      <c r="H4684">
        <v>0.11003209999999999</v>
      </c>
      <c r="I4684">
        <v>195.7184</v>
      </c>
      <c r="J4684">
        <v>-215.9958</v>
      </c>
      <c r="K4684">
        <v>1.106571</v>
      </c>
      <c r="L4684">
        <v>213.9023</v>
      </c>
      <c r="M4684">
        <v>0.99789229999999995</v>
      </c>
      <c r="N4684">
        <v>-1.508337E-2</v>
      </c>
      <c r="O4684">
        <v>-6.3113610000000001E-2</v>
      </c>
      <c r="P4684">
        <v>0.98736360000000001</v>
      </c>
      <c r="Q4684">
        <v>0.15731619999999999</v>
      </c>
      <c r="R4684">
        <v>-1.9096120000000001E-2</v>
      </c>
      <c r="S4684">
        <v>3.0320429999999998</v>
      </c>
      <c r="T4684">
        <v>-6.2981839999999997E-2</v>
      </c>
      <c r="U4684">
        <v>-1.150879</v>
      </c>
      <c r="V4684">
        <v>-4.1583389999999998E-2</v>
      </c>
      <c r="W4684">
        <v>0.17259360000000001</v>
      </c>
      <c r="X4684">
        <v>0.98411490000000001</v>
      </c>
      <c r="Y4684">
        <v>0.29504750000000002</v>
      </c>
      <c r="Z4684">
        <v>-4.9223309999999899E-3</v>
      </c>
      <c r="AA4684">
        <v>0.95546989999999998</v>
      </c>
      <c r="AB4684">
        <v>39</v>
      </c>
      <c r="AC4684">
        <v>47.581699999999998</v>
      </c>
      <c r="AD4684">
        <v>-0.99653890000000001</v>
      </c>
      <c r="AE4684">
        <v>-18.183899999999898</v>
      </c>
      <c r="AF4684">
        <v>15.138450557116</v>
      </c>
      <c r="AG4684">
        <v>-0.99653890000000001</v>
      </c>
      <c r="AH4684">
        <v>48.615991905758897</v>
      </c>
      <c r="AI4684">
        <v>91.121208477996404</v>
      </c>
      <c r="AJ4684">
        <v>72.704023108516196</v>
      </c>
      <c r="AK4684">
        <v>50.928189090426898</v>
      </c>
      <c r="AL4684">
        <v>80.061348514426399</v>
      </c>
      <c r="AM4684">
        <v>92.419571418065004</v>
      </c>
      <c r="AN4684">
        <v>0.99999993274342802</v>
      </c>
    </row>
    <row r="4685" spans="1:40" x14ac:dyDescent="0.25">
      <c r="A4685" t="str">
        <f>"20190304154847728"</f>
        <v>20190304154847728</v>
      </c>
      <c r="B4685" t="str">
        <f>"1551685727721684"</f>
        <v>1551685727721684</v>
      </c>
      <c r="C4685" t="s">
        <v>40</v>
      </c>
      <c r="D4685">
        <v>4.8114949999999999</v>
      </c>
      <c r="E4685">
        <v>0.63648850000000001</v>
      </c>
      <c r="F4685" t="s">
        <v>70</v>
      </c>
      <c r="G4685">
        <v>-168.41419999999999</v>
      </c>
      <c r="H4685">
        <v>0.1200123</v>
      </c>
      <c r="I4685">
        <v>195.5444</v>
      </c>
      <c r="J4685">
        <v>-215.61510000000001</v>
      </c>
      <c r="K4685">
        <v>1.1064769999999999</v>
      </c>
      <c r="L4685">
        <v>213.87459999999999</v>
      </c>
      <c r="M4685">
        <v>0.99762510000000004</v>
      </c>
      <c r="N4685">
        <v>-1.5086179999999999E-2</v>
      </c>
      <c r="O4685">
        <v>-6.7204840000000002E-2</v>
      </c>
      <c r="P4685">
        <v>0.98725160000000001</v>
      </c>
      <c r="Q4685">
        <v>0.1573445</v>
      </c>
      <c r="R4685">
        <v>-2.4015760000000001E-2</v>
      </c>
      <c r="S4685">
        <v>3.0257869999999998</v>
      </c>
      <c r="T4685">
        <v>-6.2734479999999995E-2</v>
      </c>
      <c r="U4685">
        <v>-1.1674040000000001</v>
      </c>
      <c r="V4685">
        <v>-4.0673699999999903E-2</v>
      </c>
      <c r="W4685">
        <v>0.17262559999999999</v>
      </c>
      <c r="X4685">
        <v>0.98414740000000001</v>
      </c>
      <c r="Y4685">
        <v>0.29633520000000002</v>
      </c>
      <c r="Z4685">
        <v>-4.9211139999999999E-3</v>
      </c>
      <c r="AA4685">
        <v>0.95507129999999996</v>
      </c>
      <c r="AB4685">
        <v>39</v>
      </c>
      <c r="AC4685">
        <v>47.200899999999997</v>
      </c>
      <c r="AD4685">
        <v>-0.98646469999999897</v>
      </c>
      <c r="AE4685">
        <v>-18.330199999999898</v>
      </c>
      <c r="AF4685">
        <v>15.1105244679822</v>
      </c>
      <c r="AG4685">
        <v>-0.98646469999999897</v>
      </c>
      <c r="AH4685">
        <v>48.307847451434498</v>
      </c>
      <c r="AI4685">
        <v>91.116507563962301</v>
      </c>
      <c r="AJ4685">
        <v>72.630501106139803</v>
      </c>
      <c r="AK4685">
        <v>50.625578393662899</v>
      </c>
      <c r="AL4685">
        <v>80.059488049583393</v>
      </c>
      <c r="AM4685">
        <v>92.366622981928998</v>
      </c>
      <c r="AN4685">
        <v>1.0000000262869</v>
      </c>
    </row>
    <row r="4686" spans="1:40" x14ac:dyDescent="0.25">
      <c r="A4686" t="str">
        <f>"20190304154847749"</f>
        <v>20190304154847749</v>
      </c>
      <c r="B4686" t="str">
        <f>"1551685727741202"</f>
        <v>1551685727741202</v>
      </c>
      <c r="C4686" t="s">
        <v>40</v>
      </c>
      <c r="D4686">
        <v>4.8277109999999999</v>
      </c>
      <c r="E4686">
        <v>0.63662319999999994</v>
      </c>
      <c r="F4686" t="s">
        <v>70</v>
      </c>
      <c r="G4686">
        <v>-168.41419999999999</v>
      </c>
      <c r="H4686">
        <v>0.13055129999999901</v>
      </c>
      <c r="I4686">
        <v>195.39</v>
      </c>
      <c r="J4686">
        <v>-215.23589999999999</v>
      </c>
      <c r="K4686">
        <v>1.10639</v>
      </c>
      <c r="L4686">
        <v>213.84540000000001</v>
      </c>
      <c r="M4686">
        <v>0.99733660000000002</v>
      </c>
      <c r="N4686">
        <v>-1.5088799999999999E-2</v>
      </c>
      <c r="O4686">
        <v>-7.1358959999999999E-2</v>
      </c>
      <c r="P4686">
        <v>0.98718070000000002</v>
      </c>
      <c r="Q4686">
        <v>0.15702099999999999</v>
      </c>
      <c r="R4686">
        <v>-2.86222E-2</v>
      </c>
      <c r="S4686">
        <v>3.0199129999999998</v>
      </c>
      <c r="T4686">
        <v>-6.2437529999999998E-2</v>
      </c>
      <c r="U4686">
        <v>-1.1826479999999999</v>
      </c>
      <c r="V4686">
        <v>-4.0148959999999997E-2</v>
      </c>
      <c r="W4686">
        <v>0.1723095</v>
      </c>
      <c r="X4686">
        <v>0.98422430000000005</v>
      </c>
      <c r="Y4686">
        <v>0.29716870000000001</v>
      </c>
      <c r="Z4686">
        <v>-4.9104780000000002E-3</v>
      </c>
      <c r="AA4686">
        <v>0.95481229999999995</v>
      </c>
      <c r="AB4686">
        <v>39</v>
      </c>
      <c r="AC4686">
        <v>46.8216999999999</v>
      </c>
      <c r="AD4686">
        <v>-0.97583869999999895</v>
      </c>
      <c r="AE4686">
        <v>-18.455400000000001</v>
      </c>
      <c r="AF4686">
        <v>15.0611504071653</v>
      </c>
      <c r="AG4686">
        <v>-0.97583869999999895</v>
      </c>
      <c r="AH4686">
        <v>48.001371643177499</v>
      </c>
      <c r="AI4686">
        <v>91.111226831074205</v>
      </c>
      <c r="AJ4686">
        <v>72.579968291285198</v>
      </c>
      <c r="AK4686">
        <v>50.318209351904798</v>
      </c>
      <c r="AL4686">
        <v>80.077874380067797</v>
      </c>
      <c r="AM4686">
        <v>92.335942401596597</v>
      </c>
      <c r="AN4686">
        <v>0.99999998774490995</v>
      </c>
    </row>
    <row r="4687" spans="1:40" x14ac:dyDescent="0.25">
      <c r="A4687" t="str">
        <f>"20190304154847773"</f>
        <v>20190304154847773</v>
      </c>
      <c r="B4687" t="str">
        <f>"1551685727761697"</f>
        <v>1551685727761697</v>
      </c>
      <c r="C4687" t="s">
        <v>40</v>
      </c>
      <c r="D4687">
        <v>4.8377730000000003</v>
      </c>
      <c r="E4687">
        <v>0.63677620000000001</v>
      </c>
      <c r="F4687" t="s">
        <v>70</v>
      </c>
      <c r="G4687">
        <v>-168.4143</v>
      </c>
      <c r="H4687">
        <v>0.1382399</v>
      </c>
      <c r="I4687">
        <v>195.23740000000001</v>
      </c>
      <c r="J4687">
        <v>-214.85319999999999</v>
      </c>
      <c r="K4687">
        <v>1.1062959999999999</v>
      </c>
      <c r="L4687">
        <v>213.8142</v>
      </c>
      <c r="M4687">
        <v>0.99702159999999995</v>
      </c>
      <c r="N4687">
        <v>-1.509128E-2</v>
      </c>
      <c r="O4687">
        <v>-7.563185E-2</v>
      </c>
      <c r="P4687">
        <v>0.98710730000000002</v>
      </c>
      <c r="Q4687">
        <v>0.15644159999999999</v>
      </c>
      <c r="R4687">
        <v>-3.3840540000000002E-2</v>
      </c>
      <c r="S4687">
        <v>3.01416</v>
      </c>
      <c r="T4687">
        <v>-6.2322740000000001E-2</v>
      </c>
      <c r="U4687">
        <v>-1.197891</v>
      </c>
      <c r="V4687">
        <v>-3.913734E-2</v>
      </c>
      <c r="W4687">
        <v>0.17173260000000001</v>
      </c>
      <c r="X4687">
        <v>0.98436590000000002</v>
      </c>
      <c r="Y4687">
        <v>0.29787329999999901</v>
      </c>
      <c r="Z4687">
        <v>-4.9017369999999998E-3</v>
      </c>
      <c r="AA4687">
        <v>0.95459280000000002</v>
      </c>
      <c r="AB4687">
        <v>38</v>
      </c>
      <c r="AC4687">
        <v>46.438899999999897</v>
      </c>
      <c r="AD4687">
        <v>-0.96805609999999997</v>
      </c>
      <c r="AE4687">
        <v>-18.576799999999899</v>
      </c>
      <c r="AF4687">
        <v>15.005299394099101</v>
      </c>
      <c r="AG4687">
        <v>-0.96805609999999997</v>
      </c>
      <c r="AH4687">
        <v>47.6931515938101</v>
      </c>
      <c r="AI4687">
        <v>91.109217306961597</v>
      </c>
      <c r="AJ4687">
        <v>72.535294381283506</v>
      </c>
      <c r="AK4687">
        <v>50.007327977701898</v>
      </c>
      <c r="AL4687">
        <v>80.111428832236598</v>
      </c>
      <c r="AM4687">
        <v>92.276819976594297</v>
      </c>
      <c r="AN4687">
        <v>1.00000002118392</v>
      </c>
    </row>
    <row r="4688" spans="1:40" x14ac:dyDescent="0.25">
      <c r="A4688" t="str">
        <f>"20190304154847794"</f>
        <v>20190304154847794</v>
      </c>
      <c r="B4688" t="str">
        <f>"1551685727791953"</f>
        <v>1551685727791953</v>
      </c>
      <c r="C4688" t="s">
        <v>40</v>
      </c>
      <c r="D4688">
        <v>4.771725</v>
      </c>
      <c r="E4688">
        <v>0.63689719999999905</v>
      </c>
      <c r="F4688" t="s">
        <v>70</v>
      </c>
      <c r="G4688">
        <v>-168.4143</v>
      </c>
      <c r="H4688">
        <v>0.1232767</v>
      </c>
      <c r="I4688">
        <v>195.05099999999999</v>
      </c>
      <c r="J4688">
        <v>-214.47049999999999</v>
      </c>
      <c r="K4688">
        <v>1.106217</v>
      </c>
      <c r="L4688">
        <v>213.78110000000001</v>
      </c>
      <c r="M4688">
        <v>0.9966817</v>
      </c>
      <c r="N4688">
        <v>-1.5093570000000001E-2</v>
      </c>
      <c r="O4688">
        <v>-7.9987379999999997E-2</v>
      </c>
      <c r="P4688">
        <v>0.98701070000000002</v>
      </c>
      <c r="Q4688">
        <v>0.1558813</v>
      </c>
      <c r="R4688">
        <v>-3.88721E-2</v>
      </c>
      <c r="S4688">
        <v>3.0076139999999998</v>
      </c>
      <c r="T4688">
        <v>-6.3663010000000006E-2</v>
      </c>
      <c r="U4688">
        <v>-1.215195</v>
      </c>
      <c r="V4688">
        <v>-3.8397599999999997E-2</v>
      </c>
      <c r="W4688">
        <v>0.17117689999999999</v>
      </c>
      <c r="X4688">
        <v>0.98449180000000003</v>
      </c>
      <c r="Y4688">
        <v>0.29914220000000002</v>
      </c>
      <c r="Z4688">
        <v>-4.9356490000000003E-3</v>
      </c>
      <c r="AA4688">
        <v>0.95419580000000004</v>
      </c>
      <c r="AB4688">
        <v>38</v>
      </c>
      <c r="AC4688">
        <v>46.056199999999897</v>
      </c>
      <c r="AD4688">
        <v>-0.98294029999999999</v>
      </c>
      <c r="AE4688">
        <v>-18.7301</v>
      </c>
      <c r="AF4688">
        <v>14.9798838190969</v>
      </c>
      <c r="AG4688">
        <v>-0.98294029999999999</v>
      </c>
      <c r="AH4688">
        <v>47.388417089383303</v>
      </c>
      <c r="AI4688">
        <v>91.133025006573305</v>
      </c>
      <c r="AJ4688">
        <v>72.457809205504603</v>
      </c>
      <c r="AK4688">
        <v>49.709407209343802</v>
      </c>
      <c r="AL4688">
        <v>80.143746503297194</v>
      </c>
      <c r="AM4688">
        <v>92.233544138766106</v>
      </c>
      <c r="AN4688">
        <v>1.0000000055233</v>
      </c>
    </row>
    <row r="4689" spans="1:40" x14ac:dyDescent="0.25">
      <c r="A4689" t="str">
        <f>"20190304154847818"</f>
        <v>20190304154847818</v>
      </c>
      <c r="B4689" t="str">
        <f>"1551685727811474"</f>
        <v>1551685727811474</v>
      </c>
      <c r="C4689" t="s">
        <v>40</v>
      </c>
      <c r="D4689">
        <v>4.8222569999999996</v>
      </c>
      <c r="E4689">
        <v>0.63798880000000002</v>
      </c>
      <c r="F4689" t="s">
        <v>70</v>
      </c>
      <c r="G4689">
        <v>-168.4144</v>
      </c>
      <c r="H4689">
        <v>0.10289379999999999</v>
      </c>
      <c r="I4689">
        <v>194.887</v>
      </c>
      <c r="J4689">
        <v>-214.07249999999999</v>
      </c>
      <c r="K4689">
        <v>1.106141</v>
      </c>
      <c r="L4689">
        <v>213.745</v>
      </c>
      <c r="M4689">
        <v>0.99630200000000002</v>
      </c>
      <c r="N4689">
        <v>-1.509574E-2</v>
      </c>
      <c r="O4689">
        <v>-8.4585339999999995E-2</v>
      </c>
      <c r="P4689">
        <v>0.98673040000000001</v>
      </c>
      <c r="Q4689">
        <v>0.15630079999999999</v>
      </c>
      <c r="R4689">
        <v>-4.3972289999999997E-2</v>
      </c>
      <c r="S4689">
        <v>3.001312</v>
      </c>
      <c r="T4689">
        <v>-6.5380809999999998E-2</v>
      </c>
      <c r="U4689">
        <v>-1.2312620000000001</v>
      </c>
      <c r="V4689">
        <v>-3.7809849999999999E-2</v>
      </c>
      <c r="W4689">
        <v>0.1715988</v>
      </c>
      <c r="X4689">
        <v>0.98444109999999996</v>
      </c>
      <c r="Y4689">
        <v>0.2998112</v>
      </c>
      <c r="Z4689">
        <v>-4.9618120000000003E-3</v>
      </c>
      <c r="AA4689">
        <v>0.95398559999999999</v>
      </c>
      <c r="AB4689">
        <v>38</v>
      </c>
      <c r="AC4689">
        <v>45.658099999999898</v>
      </c>
      <c r="AD4689">
        <v>-1.0032471999999999</v>
      </c>
      <c r="AE4689">
        <v>-18.858000000000001</v>
      </c>
      <c r="AF4689">
        <v>14.921801886708799</v>
      </c>
      <c r="AG4689">
        <v>-1.0032471999999999</v>
      </c>
      <c r="AH4689">
        <v>47.070312543051202</v>
      </c>
      <c r="AI4689">
        <v>91.163937186122496</v>
      </c>
      <c r="AJ4689">
        <v>72.410817701148602</v>
      </c>
      <c r="AK4689">
        <v>49.389077733756302</v>
      </c>
      <c r="AL4689">
        <v>80.119210374470697</v>
      </c>
      <c r="AM4689">
        <v>92.199502394882003</v>
      </c>
      <c r="AN4689">
        <v>1.0000000061438299</v>
      </c>
    </row>
    <row r="4690" spans="1:40" x14ac:dyDescent="0.25">
      <c r="A4690" t="str">
        <f>"20190304154847840"</f>
        <v>20190304154847840</v>
      </c>
      <c r="B4690" t="str">
        <f>"1551685727831969"</f>
        <v>1551685727831969</v>
      </c>
      <c r="C4690" t="s">
        <v>40</v>
      </c>
      <c r="D4690">
        <v>4.8561239999999897</v>
      </c>
      <c r="E4690">
        <v>0.64195190000000002</v>
      </c>
      <c r="F4690" t="s">
        <v>70</v>
      </c>
      <c r="G4690">
        <v>-168.41489999999999</v>
      </c>
      <c r="H4690">
        <v>1.3288899999999999</v>
      </c>
      <c r="I4690">
        <v>194.5795</v>
      </c>
      <c r="J4690">
        <v>-213.6968</v>
      </c>
      <c r="K4690">
        <v>1.106077</v>
      </c>
      <c r="L4690">
        <v>213.70910000000001</v>
      </c>
      <c r="M4690">
        <v>0.99591779999999996</v>
      </c>
      <c r="N4690">
        <v>-1.5097360000000001E-2</v>
      </c>
      <c r="O4690">
        <v>-8.8993499999999906E-2</v>
      </c>
      <c r="P4690">
        <v>0.98651390000000005</v>
      </c>
      <c r="Q4690">
        <v>0.15635689999999999</v>
      </c>
      <c r="R4690">
        <v>-4.8403670000000003E-2</v>
      </c>
      <c r="S4690">
        <v>2.9822540000000002</v>
      </c>
      <c r="T4690">
        <v>1.4551639999999999E-2</v>
      </c>
      <c r="U4690">
        <v>-1.251846</v>
      </c>
      <c r="V4690">
        <v>-3.7715070000000003E-2</v>
      </c>
      <c r="W4690">
        <v>0.17166219999999999</v>
      </c>
      <c r="X4690">
        <v>0.98443369999999997</v>
      </c>
      <c r="Y4690">
        <v>0.30346679999999998</v>
      </c>
      <c r="Z4690">
        <v>-3.384527E-3</v>
      </c>
      <c r="AA4690">
        <v>0.95283600000000002</v>
      </c>
      <c r="AB4690">
        <v>38</v>
      </c>
      <c r="AC4690">
        <v>45.2819</v>
      </c>
      <c r="AD4690">
        <v>0.22281300000000001</v>
      </c>
      <c r="AE4690">
        <v>-19.1296</v>
      </c>
      <c r="AF4690">
        <v>15.0231176853357</v>
      </c>
      <c r="AG4690">
        <v>0.22281300000000001</v>
      </c>
      <c r="AH4690">
        <v>46.803832221053099</v>
      </c>
      <c r="AI4690">
        <v>89.740291952935806</v>
      </c>
      <c r="AJ4690">
        <v>72.204382458837102</v>
      </c>
      <c r="AK4690">
        <v>49.156306016592701</v>
      </c>
      <c r="AL4690">
        <v>80.115523282005</v>
      </c>
      <c r="AM4690">
        <v>92.194010654149906</v>
      </c>
      <c r="AN4690">
        <v>1.0000000235548101</v>
      </c>
    </row>
    <row r="4691" spans="1:40" x14ac:dyDescent="0.25">
      <c r="A4691" t="str">
        <f>"20190304154847862"</f>
        <v>20190304154847862</v>
      </c>
      <c r="B4691" t="str">
        <f>"1551685727851490"</f>
        <v>1551685727851490</v>
      </c>
      <c r="C4691" t="s">
        <v>40</v>
      </c>
      <c r="D4691">
        <v>4.8651819999999999</v>
      </c>
      <c r="E4691">
        <v>0.64198940000000004</v>
      </c>
      <c r="F4691" t="s">
        <v>70</v>
      </c>
      <c r="G4691">
        <v>-168.41470000000001</v>
      </c>
      <c r="H4691">
        <v>0.19074060000000001</v>
      </c>
      <c r="I4691">
        <v>193.99799999999999</v>
      </c>
      <c r="J4691">
        <v>-213.31450000000001</v>
      </c>
      <c r="K4691">
        <v>1.1060110000000001</v>
      </c>
      <c r="L4691">
        <v>213.67080000000001</v>
      </c>
      <c r="M4691">
        <v>0.9955003</v>
      </c>
      <c r="N4691">
        <v>-1.5098830000000001E-2</v>
      </c>
      <c r="O4691">
        <v>-9.3548880000000001E-2</v>
      </c>
      <c r="P4691">
        <v>0.98620680000000005</v>
      </c>
      <c r="Q4691">
        <v>0.15667020000000001</v>
      </c>
      <c r="R4691">
        <v>-5.3394230000000001E-2</v>
      </c>
      <c r="S4691">
        <v>2.9867710000000001</v>
      </c>
      <c r="T4691">
        <v>-6.0372589999999997E-2</v>
      </c>
      <c r="U4691">
        <v>-1.300125</v>
      </c>
      <c r="V4691">
        <v>-3.7201329999999998E-2</v>
      </c>
      <c r="W4691">
        <v>0.17197689999999999</v>
      </c>
      <c r="X4691">
        <v>0.98439829999999995</v>
      </c>
      <c r="Y4691">
        <v>0.3114865</v>
      </c>
      <c r="Z4691">
        <v>-5.0272980000000004E-3</v>
      </c>
      <c r="AA4691">
        <v>0.95023729999999995</v>
      </c>
      <c r="AB4691">
        <v>38</v>
      </c>
      <c r="AC4691">
        <v>44.899799999999999</v>
      </c>
      <c r="AD4691">
        <v>-0.91527039999999904</v>
      </c>
      <c r="AE4691">
        <v>-19.672799999999999</v>
      </c>
      <c r="AF4691">
        <v>15.380342740504499</v>
      </c>
      <c r="AG4691">
        <v>-0.91527039999999904</v>
      </c>
      <c r="AH4691">
        <v>46.527213466598397</v>
      </c>
      <c r="AI4691">
        <v>91.070027750869301</v>
      </c>
      <c r="AJ4691">
        <v>71.707839352588493</v>
      </c>
      <c r="AK4691">
        <v>49.011980736213097</v>
      </c>
      <c r="AL4691">
        <v>80.097219898772707</v>
      </c>
      <c r="AM4691">
        <v>92.164231059651499</v>
      </c>
      <c r="AN4691">
        <v>1.0000000030651299</v>
      </c>
    </row>
    <row r="4692" spans="1:40" x14ac:dyDescent="0.25">
      <c r="A4692" t="str">
        <f>"20190304154847884"</f>
        <v>20190304154847884</v>
      </c>
      <c r="B4692" t="str">
        <f>"1551685727881745"</f>
        <v>1551685727881745</v>
      </c>
      <c r="C4692" t="s">
        <v>40</v>
      </c>
      <c r="D4692">
        <v>4.862622</v>
      </c>
      <c r="E4692">
        <v>0.64269080000000001</v>
      </c>
      <c r="F4692" t="s">
        <v>70</v>
      </c>
      <c r="G4692">
        <v>-168.41470000000001</v>
      </c>
      <c r="H4692">
        <v>0.2073545</v>
      </c>
      <c r="I4692">
        <v>193.84780000000001</v>
      </c>
      <c r="J4692">
        <v>-212.94499999999999</v>
      </c>
      <c r="K4692">
        <v>1.1059460000000001</v>
      </c>
      <c r="L4692">
        <v>213.63200000000001</v>
      </c>
      <c r="M4692">
        <v>0.9950698</v>
      </c>
      <c r="N4692">
        <v>-1.510032E-2</v>
      </c>
      <c r="O4692">
        <v>-9.8021129999999998E-2</v>
      </c>
      <c r="P4692">
        <v>0.98592029999999997</v>
      </c>
      <c r="Q4692">
        <v>0.15667990000000001</v>
      </c>
      <c r="R4692">
        <v>-5.841967E-2</v>
      </c>
      <c r="S4692">
        <v>2.980194</v>
      </c>
      <c r="T4692">
        <v>-5.9645530000000002E-2</v>
      </c>
      <c r="U4692">
        <v>-1.3157350000000001</v>
      </c>
      <c r="V4692">
        <v>-3.6578840000000001E-2</v>
      </c>
      <c r="W4692">
        <v>0.17198769999999999</v>
      </c>
      <c r="X4692">
        <v>0.98441979999999996</v>
      </c>
      <c r="Y4692">
        <v>0.31215859999999901</v>
      </c>
      <c r="Z4692">
        <v>-5.0083920000000004E-3</v>
      </c>
      <c r="AA4692">
        <v>0.95001679999999999</v>
      </c>
      <c r="AB4692">
        <v>38</v>
      </c>
      <c r="AC4692">
        <v>44.530299999999897</v>
      </c>
      <c r="AD4692">
        <v>-0.89859149999999899</v>
      </c>
      <c r="AE4692">
        <v>-19.784199999999998</v>
      </c>
      <c r="AF4692">
        <v>15.318286814516</v>
      </c>
      <c r="AG4692">
        <v>-0.89859149999999899</v>
      </c>
      <c r="AH4692">
        <v>46.239573601627903</v>
      </c>
      <c r="AI4692">
        <v>91.056841517551007</v>
      </c>
      <c r="AJ4692">
        <v>71.670953284662502</v>
      </c>
      <c r="AK4692">
        <v>48.719149669057302</v>
      </c>
      <c r="AL4692">
        <v>80.096592330020798</v>
      </c>
      <c r="AM4692">
        <v>92.128004116754795</v>
      </c>
      <c r="AN4692">
        <v>1.0000000615595299</v>
      </c>
    </row>
    <row r="4693" spans="1:40" x14ac:dyDescent="0.25">
      <c r="A4693" t="str">
        <f>"20190304154847907"</f>
        <v>20190304154847907</v>
      </c>
      <c r="B4693" t="str">
        <f>"1551685727901265"</f>
        <v>1551685727901265</v>
      </c>
      <c r="C4693" t="s">
        <v>40</v>
      </c>
      <c r="D4693">
        <v>4.8262210000000003</v>
      </c>
      <c r="E4693">
        <v>0.64310469999999997</v>
      </c>
      <c r="F4693" t="s">
        <v>70</v>
      </c>
      <c r="G4693">
        <v>-168.41480000000001</v>
      </c>
      <c r="H4693">
        <v>0.220973</v>
      </c>
      <c r="I4693">
        <v>193.61850000000001</v>
      </c>
      <c r="J4693">
        <v>-212.55840000000001</v>
      </c>
      <c r="K4693">
        <v>1.10588</v>
      </c>
      <c r="L4693">
        <v>213.58969999999999</v>
      </c>
      <c r="M4693">
        <v>0.99459109999999995</v>
      </c>
      <c r="N4693">
        <v>-1.5102010000000001E-2</v>
      </c>
      <c r="O4693">
        <v>-0.1027643</v>
      </c>
      <c r="P4693">
        <v>0.98557720000000004</v>
      </c>
      <c r="Q4693">
        <v>0.15670599999999901</v>
      </c>
      <c r="R4693">
        <v>-6.3884739999999995E-2</v>
      </c>
      <c r="S4693">
        <v>2.973068</v>
      </c>
      <c r="T4693">
        <v>-5.9083219999999999E-2</v>
      </c>
      <c r="U4693">
        <v>-1.336212</v>
      </c>
      <c r="V4693">
        <v>-3.5783950000000002E-2</v>
      </c>
      <c r="W4693">
        <v>0.1720131</v>
      </c>
      <c r="X4693">
        <v>0.98444449999999994</v>
      </c>
      <c r="Y4693">
        <v>0.31392799999999998</v>
      </c>
      <c r="Z4693">
        <v>-5.0123310000000001E-3</v>
      </c>
      <c r="AA4693">
        <v>0.94943359999999999</v>
      </c>
      <c r="AB4693">
        <v>38</v>
      </c>
      <c r="AC4693">
        <v>44.1435999999999</v>
      </c>
      <c r="AD4693">
        <v>-0.884907</v>
      </c>
      <c r="AE4693">
        <v>-19.9711999999999</v>
      </c>
      <c r="AF4693">
        <v>15.3234280475455</v>
      </c>
      <c r="AG4693">
        <v>-0.884907</v>
      </c>
      <c r="AH4693">
        <v>45.947072439330903</v>
      </c>
      <c r="AI4693">
        <v>91.046678765965098</v>
      </c>
      <c r="AJ4693">
        <v>71.556368150904603</v>
      </c>
      <c r="AK4693">
        <v>48.442997154099302</v>
      </c>
      <c r="AL4693">
        <v>80.095114240685106</v>
      </c>
      <c r="AM4693">
        <v>92.081749690139603</v>
      </c>
      <c r="AN4693">
        <v>0.99999998561473102</v>
      </c>
    </row>
    <row r="4694" spans="1:40" x14ac:dyDescent="0.25">
      <c r="A4694" t="str">
        <f>"20190304154847929"</f>
        <v>20190304154847929</v>
      </c>
      <c r="B4694" t="str">
        <f>"1551685727921765"</f>
        <v>1551685727921765</v>
      </c>
      <c r="C4694" t="s">
        <v>40</v>
      </c>
      <c r="D4694">
        <v>4.8905940000000001</v>
      </c>
      <c r="E4694">
        <v>0.64333750000000001</v>
      </c>
      <c r="F4694" t="s">
        <v>70</v>
      </c>
      <c r="G4694">
        <v>-168.41489999999999</v>
      </c>
      <c r="H4694">
        <v>0.1989908</v>
      </c>
      <c r="I4694">
        <v>193.40440000000001</v>
      </c>
      <c r="J4694">
        <v>-212.184</v>
      </c>
      <c r="K4694">
        <v>1.1058129999999999</v>
      </c>
      <c r="L4694">
        <v>213.54679999999999</v>
      </c>
      <c r="M4694">
        <v>0.99409899999999995</v>
      </c>
      <c r="N4694">
        <v>-1.5103439999999999E-2</v>
      </c>
      <c r="O4694">
        <v>-0.1074195</v>
      </c>
      <c r="P4694">
        <v>0.98532520000000001</v>
      </c>
      <c r="Q4694">
        <v>0.15598090000000001</v>
      </c>
      <c r="R4694">
        <v>-6.9312689999999996E-2</v>
      </c>
      <c r="S4694">
        <v>2.9656980000000002</v>
      </c>
      <c r="T4694">
        <v>-6.0925359999999998E-2</v>
      </c>
      <c r="U4694">
        <v>-1.3561099999999999</v>
      </c>
      <c r="V4694">
        <v>-3.4963180000000003E-2</v>
      </c>
      <c r="W4694">
        <v>0.17128779999999999</v>
      </c>
      <c r="X4694">
        <v>0.98460049999999999</v>
      </c>
      <c r="Y4694">
        <v>0.31564109999999901</v>
      </c>
      <c r="Z4694">
        <v>-5.0564470000000004E-3</v>
      </c>
      <c r="AA4694">
        <v>0.94886519999999996</v>
      </c>
      <c r="AB4694">
        <v>38</v>
      </c>
      <c r="AC4694">
        <v>43.769100000000002</v>
      </c>
      <c r="AD4694">
        <v>-0.90682220000000002</v>
      </c>
      <c r="AE4694">
        <v>-20.142399999999899</v>
      </c>
      <c r="AF4694">
        <v>15.3182074475158</v>
      </c>
      <c r="AG4694">
        <v>-0.90682220000000002</v>
      </c>
      <c r="AH4694">
        <v>45.663542718723797</v>
      </c>
      <c r="AI4694">
        <v>91.0786177838187</v>
      </c>
      <c r="AJ4694">
        <v>71.455552515512693</v>
      </c>
      <c r="AK4694">
        <v>48.172906695903798</v>
      </c>
      <c r="AL4694">
        <v>80.137297487142305</v>
      </c>
      <c r="AM4694">
        <v>92.033719549220805</v>
      </c>
      <c r="AN4694">
        <v>1.0000000394924</v>
      </c>
    </row>
    <row r="4695" spans="1:40" x14ac:dyDescent="0.25">
      <c r="A4695" t="str">
        <f>"20190304154847951"</f>
        <v>20190304154847951</v>
      </c>
      <c r="B4695" t="str">
        <f>"1551685727941281"</f>
        <v>1551685727941281</v>
      </c>
      <c r="C4695" t="s">
        <v>40</v>
      </c>
      <c r="D4695">
        <v>4.8216929999999998</v>
      </c>
      <c r="E4695">
        <v>0.64516090000000004</v>
      </c>
      <c r="F4695" t="s">
        <v>70</v>
      </c>
      <c r="G4695">
        <v>-168.41489999999999</v>
      </c>
      <c r="H4695">
        <v>8.4783549999999999E-2</v>
      </c>
      <c r="I4695">
        <v>193.20670000000001</v>
      </c>
      <c r="J4695">
        <v>-211.80779999999999</v>
      </c>
      <c r="K4695">
        <v>1.105748</v>
      </c>
      <c r="L4695">
        <v>213.50190000000001</v>
      </c>
      <c r="M4695">
        <v>0.99357600000000001</v>
      </c>
      <c r="N4695">
        <v>-1.510449E-2</v>
      </c>
      <c r="O4695">
        <v>-0.1121548</v>
      </c>
      <c r="P4695">
        <v>0.98507860000000003</v>
      </c>
      <c r="Q4695">
        <v>0.15502779999999899</v>
      </c>
      <c r="R4695">
        <v>-7.4743760000000006E-2</v>
      </c>
      <c r="S4695">
        <v>2.9588779999999999</v>
      </c>
      <c r="T4695">
        <v>-6.9021219999999994E-2</v>
      </c>
      <c r="U4695">
        <v>-1.3750309999999999</v>
      </c>
      <c r="V4695">
        <v>-3.4228519999999998E-2</v>
      </c>
      <c r="W4695">
        <v>0.17033499999999999</v>
      </c>
      <c r="X4695">
        <v>0.98479159999999999</v>
      </c>
      <c r="Y4695">
        <v>0.3169285</v>
      </c>
      <c r="Z4695">
        <v>-5.1826199999999998E-3</v>
      </c>
      <c r="AA4695">
        <v>0.94843520000000003</v>
      </c>
      <c r="AB4695">
        <v>38</v>
      </c>
      <c r="AC4695">
        <v>43.392899999999997</v>
      </c>
      <c r="AD4695">
        <v>-1.0209644499999999</v>
      </c>
      <c r="AE4695">
        <v>-20.295199999999902</v>
      </c>
      <c r="AF4695">
        <v>15.292899763687499</v>
      </c>
      <c r="AG4695">
        <v>-1.0209644499999999</v>
      </c>
      <c r="AH4695">
        <v>45.374913917213703</v>
      </c>
      <c r="AI4695">
        <v>91.221486212525093</v>
      </c>
      <c r="AJ4695">
        <v>71.374421677733594</v>
      </c>
      <c r="AK4695">
        <v>47.893610895242702</v>
      </c>
      <c r="AL4695">
        <v>80.192703262297798</v>
      </c>
      <c r="AM4695">
        <v>91.990634952364204</v>
      </c>
      <c r="AN4695">
        <v>1.00000004961847</v>
      </c>
    </row>
    <row r="4696" spans="1:40" x14ac:dyDescent="0.25">
      <c r="A4696" t="str">
        <f>"20190304154847974"</f>
        <v>20190304154847974</v>
      </c>
      <c r="B4696" t="str">
        <f>"1551685727971537"</f>
        <v>1551685727971537</v>
      </c>
      <c r="C4696" t="s">
        <v>40</v>
      </c>
      <c r="D4696">
        <v>4.8533730000000004</v>
      </c>
      <c r="E4696">
        <v>0.64559290000000003</v>
      </c>
      <c r="F4696" t="s">
        <v>70</v>
      </c>
      <c r="G4696">
        <v>-168.41499999999999</v>
      </c>
      <c r="H4696">
        <v>1.553392E-2</v>
      </c>
      <c r="I4696">
        <v>192.822</v>
      </c>
      <c r="J4696">
        <v>-211.42740000000001</v>
      </c>
      <c r="K4696">
        <v>1.1056950000000001</v>
      </c>
      <c r="L4696">
        <v>213.4545</v>
      </c>
      <c r="M4696">
        <v>0.99301649999999997</v>
      </c>
      <c r="N4696">
        <v>-1.5105260000000001E-2</v>
      </c>
      <c r="O4696">
        <v>-0.1170045</v>
      </c>
      <c r="P4696">
        <v>0.9848595</v>
      </c>
      <c r="Q4696">
        <v>0.15360489999999999</v>
      </c>
      <c r="R4696">
        <v>-8.0360650000000006E-2</v>
      </c>
      <c r="S4696">
        <v>2.9504239999999999</v>
      </c>
      <c r="T4696">
        <v>-7.4125049999999998E-2</v>
      </c>
      <c r="U4696">
        <v>-1.4060969999999999</v>
      </c>
      <c r="V4696">
        <v>-3.3439459999999997E-2</v>
      </c>
      <c r="W4696">
        <v>0.16891149999999999</v>
      </c>
      <c r="X4696">
        <v>0.98506380000000004</v>
      </c>
      <c r="Y4696">
        <v>0.32148860000000001</v>
      </c>
      <c r="Z4696">
        <v>-5.3108779999999998E-3</v>
      </c>
      <c r="AA4696">
        <v>0.94689849999999998</v>
      </c>
      <c r="AB4696">
        <v>38</v>
      </c>
      <c r="AC4696">
        <v>43.0124</v>
      </c>
      <c r="AD4696">
        <v>-1.0901610799999999</v>
      </c>
      <c r="AE4696">
        <v>-20.6325</v>
      </c>
      <c r="AF4696">
        <v>15.4494641916862</v>
      </c>
      <c r="AG4696">
        <v>-1.0901610799999999</v>
      </c>
      <c r="AH4696">
        <v>45.107711363390898</v>
      </c>
      <c r="AI4696">
        <v>91.3097865371751</v>
      </c>
      <c r="AJ4696">
        <v>71.093584919054607</v>
      </c>
      <c r="AK4696">
        <v>47.6925572750459</v>
      </c>
      <c r="AL4696">
        <v>80.2754625083777</v>
      </c>
      <c r="AM4696">
        <v>91.944244100782797</v>
      </c>
      <c r="AN4696">
        <v>0.99999999119389005</v>
      </c>
    </row>
    <row r="4697" spans="1:40" x14ac:dyDescent="0.25">
      <c r="A4697" t="str">
        <f>"20190304154847992"</f>
        <v>20190304154847992</v>
      </c>
      <c r="B4697" t="str">
        <f>"1551685727981298"</f>
        <v>1551685727981298</v>
      </c>
      <c r="C4697" t="s">
        <v>40</v>
      </c>
      <c r="D4697">
        <v>4.8343689999999997</v>
      </c>
      <c r="E4697">
        <v>0.6456153</v>
      </c>
      <c r="F4697" t="s">
        <v>70</v>
      </c>
      <c r="G4697">
        <v>-168.4151</v>
      </c>
      <c r="H4697">
        <v>-7.6622959999999999E-3</v>
      </c>
      <c r="I4697">
        <v>192.59469999999999</v>
      </c>
      <c r="J4697">
        <v>-211.11680000000001</v>
      </c>
      <c r="K4697">
        <v>1.1056520000000001</v>
      </c>
      <c r="L4697">
        <v>213.4144</v>
      </c>
      <c r="M4697">
        <v>0.99253749999999996</v>
      </c>
      <c r="N4697">
        <v>-1.510571E-2</v>
      </c>
      <c r="O4697">
        <v>-0.1210007</v>
      </c>
      <c r="P4697">
        <v>0.98455919999999997</v>
      </c>
      <c r="Q4697">
        <v>0.153175799999999</v>
      </c>
      <c r="R4697">
        <v>-8.4737099999999996E-2</v>
      </c>
      <c r="S4697">
        <v>2.9415589999999998</v>
      </c>
      <c r="T4697">
        <v>-7.6138849999999994E-2</v>
      </c>
      <c r="U4697">
        <v>-1.4265749999999999</v>
      </c>
      <c r="V4697">
        <v>-3.3021990000000001E-2</v>
      </c>
      <c r="W4697">
        <v>0.16848289999999999</v>
      </c>
      <c r="X4697">
        <v>0.98515129999999995</v>
      </c>
      <c r="Y4697">
        <v>0.32412819999999998</v>
      </c>
      <c r="Z4697">
        <v>-5.3585509999999996E-3</v>
      </c>
      <c r="AA4697">
        <v>0.94599800000000001</v>
      </c>
      <c r="AB4697">
        <v>38</v>
      </c>
      <c r="AC4697">
        <v>42.701700000000002</v>
      </c>
      <c r="AD4697">
        <v>-1.113314296</v>
      </c>
      <c r="AE4697">
        <v>-20.819700000000001</v>
      </c>
      <c r="AF4697">
        <v>15.490658155856</v>
      </c>
      <c r="AG4697">
        <v>-1.113314296</v>
      </c>
      <c r="AH4697">
        <v>44.8827105248739</v>
      </c>
      <c r="AI4697">
        <v>91.343209039416493</v>
      </c>
      <c r="AJ4697">
        <v>70.9585808847294</v>
      </c>
      <c r="AK4697">
        <v>47.493764463168198</v>
      </c>
      <c r="AL4697">
        <v>80.300376750238996</v>
      </c>
      <c r="AM4697">
        <v>91.919819350365103</v>
      </c>
      <c r="AN4697">
        <v>1.0000000116538299</v>
      </c>
    </row>
    <row r="4698" spans="1:40" x14ac:dyDescent="0.25">
      <c r="A4698" t="str">
        <f>"20190304154848007"</f>
        <v>20190304154848007</v>
      </c>
      <c r="B4698" t="str">
        <f>"1551685728001794"</f>
        <v>1551685728001794</v>
      </c>
      <c r="C4698" t="s">
        <v>40</v>
      </c>
      <c r="D4698">
        <v>4.7709380000000001</v>
      </c>
      <c r="E4698">
        <v>0.64571420000000002</v>
      </c>
      <c r="F4698" t="s">
        <v>70</v>
      </c>
      <c r="G4698">
        <v>-168.4151</v>
      </c>
      <c r="H4698">
        <v>-1.279783E-2</v>
      </c>
      <c r="I4698">
        <v>192.465</v>
      </c>
      <c r="J4698">
        <v>-210.852</v>
      </c>
      <c r="K4698">
        <v>1.1056189999999999</v>
      </c>
      <c r="L4698">
        <v>213.37909999999999</v>
      </c>
      <c r="M4698">
        <v>0.99211280000000002</v>
      </c>
      <c r="N4698">
        <v>-1.5106339999999999E-2</v>
      </c>
      <c r="O4698">
        <v>-0.1244354</v>
      </c>
      <c r="P4698">
        <v>0.98430419999999996</v>
      </c>
      <c r="Q4698">
        <v>0.15221799999999999</v>
      </c>
      <c r="R4698">
        <v>-8.9301749999999999E-2</v>
      </c>
      <c r="S4698">
        <v>2.9350740000000002</v>
      </c>
      <c r="T4698">
        <v>-7.6873659999999996E-2</v>
      </c>
      <c r="U4698">
        <v>-1.4399409999999999</v>
      </c>
      <c r="V4698">
        <v>-3.187827E-2</v>
      </c>
      <c r="W4698">
        <v>0.16751740000000001</v>
      </c>
      <c r="X4698">
        <v>0.98535360000000005</v>
      </c>
      <c r="Y4698">
        <v>0.325150299999999</v>
      </c>
      <c r="Z4698">
        <v>-5.358369E-3</v>
      </c>
      <c r="AA4698">
        <v>0.94564720000000002</v>
      </c>
      <c r="AB4698">
        <v>38</v>
      </c>
      <c r="AC4698">
        <v>42.436900000000001</v>
      </c>
      <c r="AD4698">
        <v>-1.1184168299999999</v>
      </c>
      <c r="AE4698">
        <v>-20.914099999999902</v>
      </c>
      <c r="AF4698">
        <v>15.4616169340072</v>
      </c>
      <c r="AG4698">
        <v>-1.1184168299999999</v>
      </c>
      <c r="AH4698">
        <v>44.684771962445701</v>
      </c>
      <c r="AI4698">
        <v>91.354970395636499</v>
      </c>
      <c r="AJ4698">
        <v>70.913594553558994</v>
      </c>
      <c r="AK4698">
        <v>47.297370960290998</v>
      </c>
      <c r="AL4698">
        <v>80.356493400967196</v>
      </c>
      <c r="AM4698">
        <v>91.852993170631606</v>
      </c>
      <c r="AN4698">
        <v>1.00000001021695</v>
      </c>
    </row>
    <row r="4699" spans="1:40" x14ac:dyDescent="0.25">
      <c r="A4699" t="str">
        <f>"20190304154848031"</f>
        <v>20190304154848031</v>
      </c>
      <c r="B4699" t="str">
        <f>"1551685728021313"</f>
        <v>1551685728021313</v>
      </c>
      <c r="C4699" t="s">
        <v>40</v>
      </c>
      <c r="D4699">
        <v>4.8565559999999897</v>
      </c>
      <c r="E4699">
        <v>0.64530969999999999</v>
      </c>
      <c r="F4699" t="s">
        <v>45</v>
      </c>
      <c r="G4699">
        <v>-169.84829999999999</v>
      </c>
      <c r="H4699">
        <v>-0.05</v>
      </c>
      <c r="I4699">
        <v>193.01480000000001</v>
      </c>
      <c r="J4699">
        <v>-210.471</v>
      </c>
      <c r="K4699">
        <v>1.1055790000000001</v>
      </c>
      <c r="L4699">
        <v>213.32679999999999</v>
      </c>
      <c r="M4699">
        <v>0.99147640000000004</v>
      </c>
      <c r="N4699">
        <v>-1.5106710000000001E-2</v>
      </c>
      <c r="O4699">
        <v>-0.12940789999999999</v>
      </c>
      <c r="P4699">
        <v>0.98378290000000002</v>
      </c>
      <c r="Q4699">
        <v>0.15163570000000001</v>
      </c>
      <c r="R4699">
        <v>-9.580205E-2</v>
      </c>
      <c r="S4699">
        <v>2.9286500000000002</v>
      </c>
      <c r="T4699">
        <v>-8.2538959999999995E-2</v>
      </c>
      <c r="U4699">
        <v>-1.4544979999999901</v>
      </c>
      <c r="V4699">
        <v>-3.0307790000000001E-2</v>
      </c>
      <c r="W4699">
        <v>0.16692179999999901</v>
      </c>
      <c r="X4699">
        <v>0.98550420000000005</v>
      </c>
      <c r="Y4699">
        <v>0.32499149999999999</v>
      </c>
      <c r="Z4699">
        <v>-5.3718630000000002E-3</v>
      </c>
      <c r="AA4699">
        <v>0.94570169999999998</v>
      </c>
      <c r="AB4699">
        <v>38</v>
      </c>
      <c r="AC4699">
        <v>40.622699999999902</v>
      </c>
      <c r="AD4699">
        <v>-1.1555789999999999</v>
      </c>
      <c r="AE4699">
        <v>-20.311999999999902</v>
      </c>
      <c r="AF4699">
        <v>14.874039377314499</v>
      </c>
      <c r="AG4699">
        <v>-1.1555789999999999</v>
      </c>
      <c r="AH4699">
        <v>42.882116521786102</v>
      </c>
      <c r="AI4699">
        <v>91.458421122649099</v>
      </c>
      <c r="AJ4699">
        <v>70.870446980145999</v>
      </c>
      <c r="AK4699">
        <v>45.403175303178799</v>
      </c>
      <c r="AL4699">
        <v>80.391105918452197</v>
      </c>
      <c r="AM4699">
        <v>91.761495598227498</v>
      </c>
      <c r="AN4699">
        <v>0.99999998883378205</v>
      </c>
    </row>
    <row r="4700" spans="1:40" x14ac:dyDescent="0.25">
      <c r="A4700" t="str">
        <f>"20190304154848053"</f>
        <v>20190304154848053</v>
      </c>
      <c r="B4700" t="str">
        <f>"1551685728041809"</f>
        <v>1551685728041809</v>
      </c>
      <c r="C4700" t="s">
        <v>40</v>
      </c>
      <c r="D4700">
        <v>4.8659030000000003</v>
      </c>
      <c r="E4700">
        <v>0.64530559999999904</v>
      </c>
      <c r="F4700" t="s">
        <v>45</v>
      </c>
      <c r="G4700">
        <v>-170.3777</v>
      </c>
      <c r="H4700">
        <v>-0.05</v>
      </c>
      <c r="I4700">
        <v>193.13849999999999</v>
      </c>
      <c r="J4700">
        <v>-210.09979999999999</v>
      </c>
      <c r="K4700">
        <v>1.1055349999999999</v>
      </c>
      <c r="L4700">
        <v>213.2739</v>
      </c>
      <c r="M4700">
        <v>0.99082490000000001</v>
      </c>
      <c r="N4700">
        <v>-1.510628E-2</v>
      </c>
      <c r="O4700">
        <v>-0.13430520000000001</v>
      </c>
      <c r="P4700">
        <v>0.98309829999999998</v>
      </c>
      <c r="Q4700">
        <v>0.1516007</v>
      </c>
      <c r="R4700">
        <v>-0.102643</v>
      </c>
      <c r="S4700">
        <v>2.9192809999999998</v>
      </c>
      <c r="T4700">
        <v>-8.4140179999999995E-2</v>
      </c>
      <c r="U4700">
        <v>-1.4699549999999999</v>
      </c>
      <c r="V4700">
        <v>-2.830189E-2</v>
      </c>
      <c r="W4700">
        <v>0.166866299999999</v>
      </c>
      <c r="X4700">
        <v>0.98557320000000004</v>
      </c>
      <c r="Y4700">
        <v>0.32552550000000002</v>
      </c>
      <c r="Z4700">
        <v>-5.3451260000000004E-3</v>
      </c>
      <c r="AA4700">
        <v>0.94551810000000003</v>
      </c>
      <c r="AB4700">
        <v>38</v>
      </c>
      <c r="AC4700">
        <v>39.722099999999898</v>
      </c>
      <c r="AD4700">
        <v>-1.155535</v>
      </c>
      <c r="AE4700">
        <v>-20.135400000000001</v>
      </c>
      <c r="AF4700">
        <v>14.6076038424409</v>
      </c>
      <c r="AG4700">
        <v>-1.155535</v>
      </c>
      <c r="AH4700">
        <v>42.038430558136803</v>
      </c>
      <c r="AI4700">
        <v>91.487333965873603</v>
      </c>
      <c r="AJ4700">
        <v>70.838573660318801</v>
      </c>
      <c r="AK4700">
        <v>44.519063275693597</v>
      </c>
      <c r="AL4700">
        <v>80.394330650268898</v>
      </c>
      <c r="AM4700">
        <v>91.644863457773496</v>
      </c>
      <c r="AN4700">
        <v>0.99999994580574902</v>
      </c>
    </row>
    <row r="4701" spans="1:40" x14ac:dyDescent="0.25">
      <c r="A4701" t="str">
        <f>"20190304154848074"</f>
        <v>20190304154848074</v>
      </c>
      <c r="B4701" t="str">
        <f>"1551685728072066"</f>
        <v>1551685728072066</v>
      </c>
      <c r="C4701" t="s">
        <v>40</v>
      </c>
      <c r="D4701">
        <v>4.8568530000000001</v>
      </c>
      <c r="E4701">
        <v>0.64552480000000001</v>
      </c>
      <c r="F4701" t="s">
        <v>44</v>
      </c>
      <c r="G4701">
        <v>-175.43199999999999</v>
      </c>
      <c r="H4701">
        <v>7.9985829999999994E-2</v>
      </c>
      <c r="I4701">
        <v>195.5241</v>
      </c>
      <c r="J4701">
        <v>-209.7313</v>
      </c>
      <c r="K4701">
        <v>1.1054919999999999</v>
      </c>
      <c r="L4701">
        <v>213.2193</v>
      </c>
      <c r="M4701">
        <v>0.99014519999999995</v>
      </c>
      <c r="N4701">
        <v>-1.510591E-2</v>
      </c>
      <c r="O4701">
        <v>-0.1392272</v>
      </c>
      <c r="P4701">
        <v>0.98238460000000005</v>
      </c>
      <c r="Q4701">
        <v>0.151331299999999</v>
      </c>
      <c r="R4701">
        <v>-0.10963339999999901</v>
      </c>
      <c r="S4701">
        <v>2.909332</v>
      </c>
      <c r="T4701">
        <v>-8.6064340000000003E-2</v>
      </c>
      <c r="U4701">
        <v>-1.489563</v>
      </c>
      <c r="V4701">
        <v>-2.6174699999999999E-2</v>
      </c>
      <c r="W4701">
        <v>0.16657529999999901</v>
      </c>
      <c r="X4701">
        <v>0.98568129999999998</v>
      </c>
      <c r="Y4701">
        <v>0.32718079999999999</v>
      </c>
      <c r="Z4701">
        <v>-5.3405569999999897E-3</v>
      </c>
      <c r="AA4701">
        <v>0.94494659999999997</v>
      </c>
      <c r="AB4701">
        <v>38</v>
      </c>
      <c r="AC4701">
        <v>34.299299999999903</v>
      </c>
      <c r="AD4701">
        <v>-1.0255061700000001</v>
      </c>
      <c r="AE4701">
        <v>-17.6952</v>
      </c>
      <c r="AF4701">
        <v>12.7378835678913</v>
      </c>
      <c r="AG4701">
        <v>-1.0255061700000001</v>
      </c>
      <c r="AH4701">
        <v>36.403396892685201</v>
      </c>
      <c r="AI4701">
        <v>91.523125883942996</v>
      </c>
      <c r="AJ4701">
        <v>70.714588499761305</v>
      </c>
      <c r="AK4701">
        <v>38.581247336241297</v>
      </c>
      <c r="AL4701">
        <v>80.411241255881905</v>
      </c>
      <c r="AM4701">
        <v>91.521128053700096</v>
      </c>
      <c r="AN4701">
        <v>1.0000000353299301</v>
      </c>
    </row>
    <row r="4702" spans="1:40" x14ac:dyDescent="0.25">
      <c r="A4702" t="str">
        <f>"20190304154848098"</f>
        <v>20190304154848098</v>
      </c>
      <c r="B4702" t="str">
        <f>"1551685728091275"</f>
        <v>1551685728091275</v>
      </c>
      <c r="C4702" t="s">
        <v>40</v>
      </c>
      <c r="D4702">
        <v>4.8561949999999996</v>
      </c>
      <c r="E4702">
        <v>0.64476750000000005</v>
      </c>
      <c r="F4702" t="s">
        <v>44</v>
      </c>
      <c r="G4702">
        <v>-176.84630000000001</v>
      </c>
      <c r="H4702">
        <v>7.9985920000000002E-2</v>
      </c>
      <c r="I4702">
        <v>196.0633</v>
      </c>
      <c r="J4702">
        <v>-209.35040000000001</v>
      </c>
      <c r="K4702">
        <v>1.10544</v>
      </c>
      <c r="L4702">
        <v>213.1609</v>
      </c>
      <c r="M4702">
        <v>0.98940859999999997</v>
      </c>
      <c r="N4702">
        <v>-1.51062E-2</v>
      </c>
      <c r="O4702">
        <v>-0.14436979999999999</v>
      </c>
      <c r="P4702">
        <v>0.98153190000000001</v>
      </c>
      <c r="Q4702">
        <v>0.1510888</v>
      </c>
      <c r="R4702">
        <v>-0.1173343</v>
      </c>
      <c r="S4702">
        <v>2.8989410000000002</v>
      </c>
      <c r="T4702">
        <v>-9.0402479999999993E-2</v>
      </c>
      <c r="U4702">
        <v>-1.512375</v>
      </c>
      <c r="V4702">
        <v>-2.3547869999999999E-2</v>
      </c>
      <c r="W4702">
        <v>0.16630539999999999</v>
      </c>
      <c r="X4702">
        <v>0.98579309999999998</v>
      </c>
      <c r="Y4702">
        <v>0.32949349999999999</v>
      </c>
      <c r="Z4702">
        <v>-5.3601760000000004E-3</v>
      </c>
      <c r="AA4702">
        <v>0.94414260000000005</v>
      </c>
      <c r="AB4702">
        <v>38</v>
      </c>
      <c r="AC4702">
        <v>32.504099999999902</v>
      </c>
      <c r="AD4702">
        <v>-1.02545408</v>
      </c>
      <c r="AE4702">
        <v>-17.0976</v>
      </c>
      <c r="AF4702">
        <v>12.215772334564999</v>
      </c>
      <c r="AG4702">
        <v>-1.02545408</v>
      </c>
      <c r="AH4702">
        <v>34.6051830441329</v>
      </c>
      <c r="AI4702">
        <v>91.600602029607501</v>
      </c>
      <c r="AJ4702">
        <v>70.556758098713701</v>
      </c>
      <c r="AK4702">
        <v>36.712332305617103</v>
      </c>
      <c r="AL4702">
        <v>80.426923914367507</v>
      </c>
      <c r="AM4702">
        <v>91.368377440214203</v>
      </c>
      <c r="AN4702">
        <v>1.0000000121291499</v>
      </c>
    </row>
    <row r="4703" spans="1:40" x14ac:dyDescent="0.25">
      <c r="A4703" t="str">
        <f>"20190304154848119"</f>
        <v>20190304154848119</v>
      </c>
      <c r="B4703" t="str">
        <f>"1551685728111771"</f>
        <v>1551685728111771</v>
      </c>
      <c r="C4703" t="s">
        <v>40</v>
      </c>
      <c r="D4703">
        <v>4.7830719999999998</v>
      </c>
      <c r="E4703">
        <v>0.64426260000000002</v>
      </c>
      <c r="F4703" t="s">
        <v>44</v>
      </c>
      <c r="G4703">
        <v>-176.80959999999999</v>
      </c>
      <c r="H4703">
        <v>7.9985890000000004E-2</v>
      </c>
      <c r="I4703">
        <v>195.93100000000001</v>
      </c>
      <c r="J4703">
        <v>-208.98009999999999</v>
      </c>
      <c r="K4703">
        <v>1.1053839999999999</v>
      </c>
      <c r="L4703">
        <v>213.10220000000001</v>
      </c>
      <c r="M4703">
        <v>0.98865559999999997</v>
      </c>
      <c r="N4703">
        <v>-1.5106690000000001E-2</v>
      </c>
      <c r="O4703">
        <v>-0.14943899999999999</v>
      </c>
      <c r="P4703">
        <v>0.9806802</v>
      </c>
      <c r="Q4703">
        <v>0.1498149</v>
      </c>
      <c r="R4703">
        <v>-0.12578699999999901</v>
      </c>
      <c r="S4703">
        <v>2.88768</v>
      </c>
      <c r="T4703">
        <v>-9.0999129999999998E-2</v>
      </c>
      <c r="U4703">
        <v>-1.5289919999999999</v>
      </c>
      <c r="V4703">
        <v>-2.0121699999999999E-2</v>
      </c>
      <c r="W4703">
        <v>0.16499620000000001</v>
      </c>
      <c r="X4703">
        <v>0.98608890000000005</v>
      </c>
      <c r="Y4703">
        <v>0.33041429999999999</v>
      </c>
      <c r="Z4703">
        <v>-5.3162869999999899E-3</v>
      </c>
      <c r="AA4703">
        <v>0.94382100000000002</v>
      </c>
      <c r="AB4703">
        <v>38</v>
      </c>
      <c r="AC4703">
        <v>32.170499999999997</v>
      </c>
      <c r="AD4703">
        <v>-1.02539810999999</v>
      </c>
      <c r="AE4703">
        <v>-17.171199999999999</v>
      </c>
      <c r="AF4703">
        <v>12.160648525483699</v>
      </c>
      <c r="AG4703">
        <v>-1.02539810999999</v>
      </c>
      <c r="AH4703">
        <v>34.348353905251798</v>
      </c>
      <c r="AI4703">
        <v>91.611951865982803</v>
      </c>
      <c r="AJ4703">
        <v>70.504063623231701</v>
      </c>
      <c r="AK4703">
        <v>36.451916682731003</v>
      </c>
      <c r="AL4703">
        <v>80.502986029596002</v>
      </c>
      <c r="AM4703">
        <v>91.1689904537551</v>
      </c>
      <c r="AN4703">
        <v>0.99999997376426897</v>
      </c>
    </row>
    <row r="4704" spans="1:40" x14ac:dyDescent="0.25">
      <c r="A4704" t="str">
        <f>"20190304154848142"</f>
        <v>20190304154848142</v>
      </c>
      <c r="B4704" t="str">
        <f>"1551685728131291"</f>
        <v>1551685728131291</v>
      </c>
      <c r="C4704" t="s">
        <v>40</v>
      </c>
      <c r="D4704">
        <v>4.8437190000000001</v>
      </c>
      <c r="E4704">
        <v>0.64344159999999995</v>
      </c>
      <c r="F4704" t="s">
        <v>44</v>
      </c>
      <c r="G4704">
        <v>-179.03049999999999</v>
      </c>
      <c r="H4704">
        <v>7.9986080000000001E-2</v>
      </c>
      <c r="I4704">
        <v>196.95930000000001</v>
      </c>
      <c r="J4704">
        <v>-208.61150000000001</v>
      </c>
      <c r="K4704">
        <v>1.105308</v>
      </c>
      <c r="L4704">
        <v>213.04169999999999</v>
      </c>
      <c r="M4704">
        <v>0.98786569999999996</v>
      </c>
      <c r="N4704">
        <v>-1.5107850000000001E-2</v>
      </c>
      <c r="O4704">
        <v>-0.15457409999999999</v>
      </c>
      <c r="P4704">
        <v>0.97990549999999998</v>
      </c>
      <c r="Q4704">
        <v>0.14762639999999999</v>
      </c>
      <c r="R4704">
        <v>-0.13413249999999999</v>
      </c>
      <c r="S4704">
        <v>2.8753359999999999</v>
      </c>
      <c r="T4704">
        <v>-9.8444459999999998E-2</v>
      </c>
      <c r="U4704">
        <v>-1.54982</v>
      </c>
      <c r="V4704">
        <v>-1.6893849999999998E-2</v>
      </c>
      <c r="W4704">
        <v>0.16277730000000001</v>
      </c>
      <c r="X4704">
        <v>0.98651820000000001</v>
      </c>
      <c r="Y4704">
        <v>0.33247379999999999</v>
      </c>
      <c r="Z4704">
        <v>-5.3263069999999997E-3</v>
      </c>
      <c r="AA4704">
        <v>0.94309750000000003</v>
      </c>
      <c r="AB4704">
        <v>38</v>
      </c>
      <c r="AC4704">
        <v>29.581</v>
      </c>
      <c r="AD4704">
        <v>-1.0253219200000001</v>
      </c>
      <c r="AE4704">
        <v>-16.0823999999999</v>
      </c>
      <c r="AF4704">
        <v>11.3056022288331</v>
      </c>
      <c r="AG4704">
        <v>-1.0253219200000001</v>
      </c>
      <c r="AH4704">
        <v>31.6822167777106</v>
      </c>
      <c r="AI4704">
        <v>91.745845871096293</v>
      </c>
      <c r="AJ4704">
        <v>70.361374416802306</v>
      </c>
      <c r="AK4704">
        <v>33.654580471996297</v>
      </c>
      <c r="AL4704">
        <v>80.631862478617293</v>
      </c>
      <c r="AM4704">
        <v>90.981078405497897</v>
      </c>
      <c r="AN4704">
        <v>1.00000000524717</v>
      </c>
    </row>
    <row r="4705" spans="1:40" x14ac:dyDescent="0.25">
      <c r="A4705" t="str">
        <f>"20190304154848164"</f>
        <v>20190304154848164</v>
      </c>
      <c r="B4705" t="str">
        <f>"1551685728151788"</f>
        <v>1551685728151788</v>
      </c>
      <c r="C4705" t="s">
        <v>40</v>
      </c>
      <c r="D4705">
        <v>4.7775220000000003</v>
      </c>
      <c r="E4705">
        <v>0.64278310000000005</v>
      </c>
      <c r="F4705" t="s">
        <v>44</v>
      </c>
      <c r="G4705">
        <v>-179.94540000000001</v>
      </c>
      <c r="H4705">
        <v>6.2337610000000002E-2</v>
      </c>
      <c r="I4705">
        <v>197.34030000000001</v>
      </c>
      <c r="J4705">
        <v>-208.245</v>
      </c>
      <c r="K4705">
        <v>1.105219</v>
      </c>
      <c r="L4705">
        <v>212.9796</v>
      </c>
      <c r="M4705">
        <v>0.98703370000000001</v>
      </c>
      <c r="N4705">
        <v>-1.5110429999999999E-2</v>
      </c>
      <c r="O4705">
        <v>-0.1598</v>
      </c>
      <c r="P4705">
        <v>0.97885820000000001</v>
      </c>
      <c r="Q4705">
        <v>0.14642569999999999</v>
      </c>
      <c r="R4705">
        <v>-0.14281569999999999</v>
      </c>
      <c r="S4705">
        <v>2.8625639999999999</v>
      </c>
      <c r="T4705">
        <v>-0.1041498</v>
      </c>
      <c r="U4705">
        <v>-1.5679320000000001</v>
      </c>
      <c r="V4705">
        <v>-1.3369850000000001E-2</v>
      </c>
      <c r="W4705">
        <v>0.161541299999999</v>
      </c>
      <c r="X4705">
        <v>0.98677539999999997</v>
      </c>
      <c r="Y4705">
        <v>0.33382200000000001</v>
      </c>
      <c r="Z4705">
        <v>-5.2925189999999999E-3</v>
      </c>
      <c r="AA4705">
        <v>0.9426213</v>
      </c>
      <c r="AB4705">
        <v>38</v>
      </c>
      <c r="AC4705">
        <v>28.299600000000002</v>
      </c>
      <c r="AD4705">
        <v>-1.04288139</v>
      </c>
      <c r="AE4705">
        <v>-15.639299999999899</v>
      </c>
      <c r="AF4705">
        <v>10.904143142264299</v>
      </c>
      <c r="AG4705">
        <v>-1.04288139</v>
      </c>
      <c r="AH4705">
        <v>30.4036661183371</v>
      </c>
      <c r="AI4705">
        <v>91.849292405507896</v>
      </c>
      <c r="AJ4705">
        <v>70.269847956872596</v>
      </c>
      <c r="AK4705">
        <v>32.316727134657697</v>
      </c>
      <c r="AL4705">
        <v>80.703630051036598</v>
      </c>
      <c r="AM4705">
        <v>90.776254766336606</v>
      </c>
      <c r="AN4705">
        <v>1.0000000172699299</v>
      </c>
    </row>
    <row r="4706" spans="1:40" x14ac:dyDescent="0.25">
      <c r="A4706" t="str">
        <f>"20190304154848187"</f>
        <v>20190304154848187</v>
      </c>
      <c r="B4706" t="str">
        <f>"1551685728182060"</f>
        <v>1551685728182060</v>
      </c>
      <c r="C4706" t="s">
        <v>40</v>
      </c>
      <c r="D4706">
        <v>4.7278330000000004</v>
      </c>
      <c r="E4706">
        <v>0.64233390000000001</v>
      </c>
      <c r="F4706" t="s">
        <v>44</v>
      </c>
      <c r="G4706">
        <v>-179.95689999999999</v>
      </c>
      <c r="H4706">
        <v>5.0857140000000002E-2</v>
      </c>
      <c r="I4706">
        <v>197.20670000000001</v>
      </c>
      <c r="J4706">
        <v>-207.8554</v>
      </c>
      <c r="K4706">
        <v>1.105092</v>
      </c>
      <c r="L4706">
        <v>212.9111</v>
      </c>
      <c r="M4706">
        <v>0.98609060000000004</v>
      </c>
      <c r="N4706">
        <v>-1.511536E-2</v>
      </c>
      <c r="O4706">
        <v>-0.1655199</v>
      </c>
      <c r="P4706">
        <v>0.97773770000000004</v>
      </c>
      <c r="Q4706">
        <v>0.14529239999999999</v>
      </c>
      <c r="R4706">
        <v>-0.151391</v>
      </c>
      <c r="S4706">
        <v>2.8489230000000001</v>
      </c>
      <c r="T4706">
        <v>-0.1061859</v>
      </c>
      <c r="U4706">
        <v>-1.5885009999999999</v>
      </c>
      <c r="V4706">
        <v>-1.043003E-2</v>
      </c>
      <c r="W4706">
        <v>0.1603812</v>
      </c>
      <c r="X4706">
        <v>0.98699999999999999</v>
      </c>
      <c r="Y4706">
        <v>0.33545649999999999</v>
      </c>
      <c r="Z4706">
        <v>-5.2350249999999999E-3</v>
      </c>
      <c r="AA4706">
        <v>0.94204120000000002</v>
      </c>
      <c r="AB4706">
        <v>38</v>
      </c>
      <c r="AC4706">
        <v>27.898499999999999</v>
      </c>
      <c r="AD4706">
        <v>-1.05423486</v>
      </c>
      <c r="AE4706">
        <v>-15.7043999999999</v>
      </c>
      <c r="AF4706">
        <v>10.857672610537399</v>
      </c>
      <c r="AG4706">
        <v>-1.05423486</v>
      </c>
      <c r="AH4706">
        <v>30.0806618124303</v>
      </c>
      <c r="AI4706">
        <v>91.888083278781394</v>
      </c>
      <c r="AJ4706">
        <v>70.152854881631598</v>
      </c>
      <c r="AK4706">
        <v>31.997604296751</v>
      </c>
      <c r="AL4706">
        <v>80.7709764864601</v>
      </c>
      <c r="AM4706">
        <v>90.605445244304903</v>
      </c>
      <c r="AN4706">
        <v>0.999999957419619</v>
      </c>
    </row>
    <row r="4707" spans="1:40" x14ac:dyDescent="0.25">
      <c r="A4707" t="str">
        <f>"20190304154848209"</f>
        <v>20190304154848209</v>
      </c>
      <c r="B4707" t="str">
        <f>"1551685728201582"</f>
        <v>1551685728201582</v>
      </c>
      <c r="C4707" t="s">
        <v>40</v>
      </c>
      <c r="D4707">
        <v>4.7213349999999998</v>
      </c>
      <c r="E4707">
        <v>0.64168910000000001</v>
      </c>
      <c r="F4707" t="s">
        <v>44</v>
      </c>
      <c r="G4707">
        <v>-179.93799999999999</v>
      </c>
      <c r="H4707">
        <v>6.9693710000000006E-2</v>
      </c>
      <c r="I4707">
        <v>197.05029999999999</v>
      </c>
      <c r="J4707">
        <v>-207.4907</v>
      </c>
      <c r="K4707">
        <v>1.1049519999999999</v>
      </c>
      <c r="L4707">
        <v>212.8449</v>
      </c>
      <c r="M4707">
        <v>0.98514290000000004</v>
      </c>
      <c r="N4707">
        <v>-1.5122480000000001E-2</v>
      </c>
      <c r="O4707">
        <v>-0.17106930000000001</v>
      </c>
      <c r="P4707">
        <v>0.976522</v>
      </c>
      <c r="Q4707">
        <v>0.1444792</v>
      </c>
      <c r="R4707">
        <v>-0.15978239999999999</v>
      </c>
      <c r="S4707">
        <v>2.8345790000000002</v>
      </c>
      <c r="T4707">
        <v>-0.105129</v>
      </c>
      <c r="U4707">
        <v>-1.610428</v>
      </c>
      <c r="V4707">
        <v>-7.47964599999999E-3</v>
      </c>
      <c r="W4707">
        <v>0.1595424</v>
      </c>
      <c r="X4707">
        <v>0.98716269999999995</v>
      </c>
      <c r="Y4707">
        <v>0.33770609999999901</v>
      </c>
      <c r="Z4707">
        <v>-5.1906019999999999E-3</v>
      </c>
      <c r="AA4707">
        <v>0.94123730000000005</v>
      </c>
      <c r="AB4707">
        <v>37</v>
      </c>
      <c r="AC4707">
        <v>27.552700000000002</v>
      </c>
      <c r="AD4707">
        <v>-1.03525829</v>
      </c>
      <c r="AE4707">
        <v>-15.794600000000001</v>
      </c>
      <c r="AF4707">
        <v>10.836243204462299</v>
      </c>
      <c r="AG4707">
        <v>-1.03525829</v>
      </c>
      <c r="AH4707">
        <v>29.817048679058299</v>
      </c>
      <c r="AI4707">
        <v>91.869022678320405</v>
      </c>
      <c r="AJ4707">
        <v>70.027620177018306</v>
      </c>
      <c r="AK4707">
        <v>31.741964627959</v>
      </c>
      <c r="AL4707">
        <v>80.819663135943003</v>
      </c>
      <c r="AM4707">
        <v>90.434116835381005</v>
      </c>
      <c r="AN4707">
        <v>0.99999995938666597</v>
      </c>
    </row>
    <row r="4708" spans="1:40" x14ac:dyDescent="0.25">
      <c r="A4708" t="str">
        <f>"20190304154848231"</f>
        <v>20190304154848231</v>
      </c>
      <c r="B4708" t="str">
        <f>"1551685728222080"</f>
        <v>1551685728222080</v>
      </c>
      <c r="C4708" t="s">
        <v>40</v>
      </c>
      <c r="D4708">
        <v>4.7152000000000003</v>
      </c>
      <c r="E4708">
        <v>0.64095990000000003</v>
      </c>
      <c r="F4708" t="s">
        <v>44</v>
      </c>
      <c r="G4708">
        <v>-179.89859999999999</v>
      </c>
      <c r="H4708">
        <v>7.9986020000000005E-2</v>
      </c>
      <c r="I4708">
        <v>196.90260000000001</v>
      </c>
      <c r="J4708">
        <v>-207.12440000000001</v>
      </c>
      <c r="K4708">
        <v>1.1047659999999999</v>
      </c>
      <c r="L4708">
        <v>212.77600000000001</v>
      </c>
      <c r="M4708">
        <v>0.98411729999999997</v>
      </c>
      <c r="N4708">
        <v>-1.5132629999999999E-2</v>
      </c>
      <c r="O4708">
        <v>-0.17687320000000001</v>
      </c>
      <c r="P4708">
        <v>0.97520390000000001</v>
      </c>
      <c r="Q4708">
        <v>0.1438171</v>
      </c>
      <c r="R4708">
        <v>-0.16820829999999901</v>
      </c>
      <c r="S4708">
        <v>2.8209230000000001</v>
      </c>
      <c r="T4708">
        <v>-0.1047891</v>
      </c>
      <c r="U4708">
        <v>-1.629883</v>
      </c>
      <c r="V4708">
        <v>-4.7264619999999999E-3</v>
      </c>
      <c r="W4708">
        <v>0.15885750000000001</v>
      </c>
      <c r="X4708">
        <v>0.98729020000000001</v>
      </c>
      <c r="Y4708">
        <v>0.33899439999999997</v>
      </c>
      <c r="Z4708">
        <v>-5.1196289999999997E-3</v>
      </c>
      <c r="AA4708">
        <v>0.94077449999999996</v>
      </c>
      <c r="AB4708">
        <v>37</v>
      </c>
      <c r="AC4708">
        <v>27.2258</v>
      </c>
      <c r="AD4708">
        <v>-1.0247799799999999</v>
      </c>
      <c r="AE4708">
        <v>-15.873399999999901</v>
      </c>
      <c r="AF4708">
        <v>10.795595942260899</v>
      </c>
      <c r="AG4708">
        <v>-1.0247799799999999</v>
      </c>
      <c r="AH4708">
        <v>29.573080664094601</v>
      </c>
      <c r="AI4708">
        <v>91.864397784891096</v>
      </c>
      <c r="AJ4708">
        <v>69.945487609133096</v>
      </c>
      <c r="AK4708">
        <v>31.498605774240499</v>
      </c>
      <c r="AL4708">
        <v>80.859412259574</v>
      </c>
      <c r="AM4708">
        <v>90.274290432386707</v>
      </c>
      <c r="AN4708">
        <v>0.99999999188266298</v>
      </c>
    </row>
    <row r="4709" spans="1:40" x14ac:dyDescent="0.25">
      <c r="A4709" t="str">
        <f>"20190304154848254"</f>
        <v>20190304154848254</v>
      </c>
      <c r="B4709" t="str">
        <f>"1551685728241599"</f>
        <v>1551685728241599</v>
      </c>
      <c r="C4709" t="s">
        <v>40</v>
      </c>
      <c r="D4709">
        <v>4.6660250000000003</v>
      </c>
      <c r="E4709">
        <v>0.64047889999999996</v>
      </c>
      <c r="F4709" t="s">
        <v>44</v>
      </c>
      <c r="G4709">
        <v>-179.86</v>
      </c>
      <c r="H4709">
        <v>7.9985979999999998E-2</v>
      </c>
      <c r="I4709">
        <v>196.76730000000001</v>
      </c>
      <c r="J4709">
        <v>-206.75720000000001</v>
      </c>
      <c r="K4709">
        <v>1.1045499999999999</v>
      </c>
      <c r="L4709">
        <v>212.70419999999999</v>
      </c>
      <c r="M4709">
        <v>0.98299879999999995</v>
      </c>
      <c r="N4709">
        <v>-1.514686E-2</v>
      </c>
      <c r="O4709">
        <v>-0.1829867</v>
      </c>
      <c r="P4709">
        <v>0.97379400000000005</v>
      </c>
      <c r="Q4709">
        <v>0.1431336</v>
      </c>
      <c r="R4709">
        <v>-0.1767436</v>
      </c>
      <c r="S4709">
        <v>2.8074949999999999</v>
      </c>
      <c r="T4709">
        <v>-0.10552449999999999</v>
      </c>
      <c r="U4709">
        <v>-1.6484529999999999</v>
      </c>
      <c r="V4709">
        <v>-2.1562529999999999E-3</v>
      </c>
      <c r="W4709">
        <v>0.15815599999999999</v>
      </c>
      <c r="X4709">
        <v>0.98741179999999995</v>
      </c>
      <c r="Y4709">
        <v>0.33973189999999998</v>
      </c>
      <c r="Z4709">
        <v>-5.0274489999999998E-3</v>
      </c>
      <c r="AA4709">
        <v>0.94050880000000003</v>
      </c>
      <c r="AB4709">
        <v>37</v>
      </c>
      <c r="AC4709">
        <v>26.897200000000002</v>
      </c>
      <c r="AD4709">
        <v>-1.0245640199999999</v>
      </c>
      <c r="AE4709">
        <v>-15.9368999999999</v>
      </c>
      <c r="AF4709">
        <v>10.733827688588001</v>
      </c>
      <c r="AG4709">
        <v>-1.0245640199999999</v>
      </c>
      <c r="AH4709">
        <v>29.328024260037001</v>
      </c>
      <c r="AI4709">
        <v>91.878997435511494</v>
      </c>
      <c r="AJ4709">
        <v>69.897769072593107</v>
      </c>
      <c r="AK4709">
        <v>31.247364613302999</v>
      </c>
      <c r="AL4709">
        <v>80.900120104033206</v>
      </c>
      <c r="AM4709">
        <v>90.125119023369905</v>
      </c>
      <c r="AN4709">
        <v>1.00000001627111</v>
      </c>
    </row>
    <row r="4710" spans="1:40" x14ac:dyDescent="0.25">
      <c r="A4710" t="str">
        <f>"20190304154848275"</f>
        <v>20190304154848275</v>
      </c>
      <c r="B4710" t="str">
        <f>"1551685728271854"</f>
        <v>1551685728271854</v>
      </c>
      <c r="C4710" t="s">
        <v>40</v>
      </c>
      <c r="D4710">
        <v>4.6665979999999996</v>
      </c>
      <c r="E4710">
        <v>0.61890959999999995</v>
      </c>
      <c r="F4710" t="s">
        <v>44</v>
      </c>
      <c r="G4710">
        <v>-179.6062</v>
      </c>
      <c r="H4710">
        <v>7.9985909999999993E-2</v>
      </c>
      <c r="I4710">
        <v>196.47890000000001</v>
      </c>
      <c r="J4710">
        <v>-206.398</v>
      </c>
      <c r="K4710">
        <v>1.104325</v>
      </c>
      <c r="L4710">
        <v>212.63140000000001</v>
      </c>
      <c r="M4710">
        <v>0.98181110000000005</v>
      </c>
      <c r="N4710">
        <v>-1.516435E-2</v>
      </c>
      <c r="O4710">
        <v>-0.1892537</v>
      </c>
      <c r="P4710">
        <v>0.97228840000000005</v>
      </c>
      <c r="Q4710">
        <v>0.14248079999999999</v>
      </c>
      <c r="R4710">
        <v>-0.1853503</v>
      </c>
      <c r="S4710">
        <v>2.7932739999999998</v>
      </c>
      <c r="T4710">
        <v>-0.10540629999999999</v>
      </c>
      <c r="U4710">
        <v>-1.6692499999999999</v>
      </c>
      <c r="V4710">
        <v>3.4539589999999897E-4</v>
      </c>
      <c r="W4710">
        <v>0.1574864</v>
      </c>
      <c r="X4710">
        <v>0.98752110000000004</v>
      </c>
      <c r="Y4710">
        <v>0.34099689999999999</v>
      </c>
      <c r="Z4710">
        <v>-4.9484400000000001E-3</v>
      </c>
      <c r="AA4710">
        <v>0.94005139999999998</v>
      </c>
      <c r="AB4710">
        <v>37</v>
      </c>
      <c r="AC4710">
        <v>26.791799999999899</v>
      </c>
      <c r="AD4710">
        <v>-1.02433909</v>
      </c>
      <c r="AE4710">
        <v>-16.1525</v>
      </c>
      <c r="AF4710">
        <v>10.777942325330899</v>
      </c>
      <c r="AG4710">
        <v>-1.02433909</v>
      </c>
      <c r="AH4710">
        <v>29.333335840603599</v>
      </c>
      <c r="AI4710">
        <v>91.877373295413094</v>
      </c>
      <c r="AJ4710">
        <v>69.825162547406194</v>
      </c>
      <c r="AK4710">
        <v>31.267521533967201</v>
      </c>
      <c r="AL4710">
        <v>80.938972154711806</v>
      </c>
      <c r="AM4710">
        <v>89.979960198800597</v>
      </c>
      <c r="AN4710">
        <v>1.0000000042142401</v>
      </c>
    </row>
    <row r="4711" spans="1:40" x14ac:dyDescent="0.25">
      <c r="A4711" t="str">
        <f>"20190304154848298"</f>
        <v>20190304154848298</v>
      </c>
      <c r="B4711" t="str">
        <f>"1551685728291922"</f>
        <v>1551685728291922</v>
      </c>
      <c r="C4711" t="s">
        <v>40</v>
      </c>
      <c r="D4711">
        <v>4.6127750000000001</v>
      </c>
      <c r="E4711">
        <v>0.62748749999999998</v>
      </c>
      <c r="F4711" t="s">
        <v>70</v>
      </c>
      <c r="G4711">
        <v>-168.41569999999999</v>
      </c>
      <c r="H4711">
        <v>1.4068989999999999</v>
      </c>
      <c r="I4711">
        <v>192.01849999999999</v>
      </c>
      <c r="J4711">
        <v>-206.02350000000001</v>
      </c>
      <c r="K4711">
        <v>1.1040859999999999</v>
      </c>
      <c r="L4711">
        <v>212.55269999999999</v>
      </c>
      <c r="M4711">
        <v>0.98047289999999998</v>
      </c>
      <c r="N4711">
        <v>-1.518511E-2</v>
      </c>
      <c r="O4711">
        <v>-0.1960674</v>
      </c>
      <c r="P4711">
        <v>0.97044680000000005</v>
      </c>
      <c r="Q4711">
        <v>0.14234440000000001</v>
      </c>
      <c r="R4711">
        <v>-0.19486319999999999</v>
      </c>
      <c r="S4711">
        <v>2.7932589999999999</v>
      </c>
      <c r="T4711">
        <v>2.2254110000000001E-2</v>
      </c>
      <c r="U4711">
        <v>-1.5159</v>
      </c>
      <c r="V4711">
        <v>3.2511100000000002E-3</v>
      </c>
      <c r="W4711">
        <v>0.15732679999999999</v>
      </c>
      <c r="X4711">
        <v>0.98754129999999996</v>
      </c>
      <c r="Y4711">
        <v>0.29542649999999998</v>
      </c>
      <c r="Z4711">
        <v>-5.5627029999999996E-3</v>
      </c>
      <c r="AA4711">
        <v>0.95534929999999996</v>
      </c>
      <c r="AB4711">
        <v>37</v>
      </c>
      <c r="AC4711">
        <v>37.607799999999997</v>
      </c>
      <c r="AD4711">
        <v>0.302812999999999</v>
      </c>
      <c r="AE4711">
        <v>-20.534199999999998</v>
      </c>
      <c r="AF4711">
        <v>12.760396345896201</v>
      </c>
      <c r="AG4711">
        <v>0.302812999999999</v>
      </c>
      <c r="AH4711">
        <v>40.902186957270601</v>
      </c>
      <c r="AI4711">
        <v>89.595074366916407</v>
      </c>
      <c r="AJ4711">
        <v>72.673464532655103</v>
      </c>
      <c r="AK4711">
        <v>42.8475006097771</v>
      </c>
      <c r="AL4711">
        <v>80.948232463150504</v>
      </c>
      <c r="AM4711">
        <v>89.811375778630705</v>
      </c>
      <c r="AN4711">
        <v>1.0000000554600701</v>
      </c>
    </row>
    <row r="4712" spans="1:40" x14ac:dyDescent="0.25">
      <c r="A4712" t="str">
        <f>"20190304154848320"</f>
        <v>20190304154848320</v>
      </c>
      <c r="B4712" t="str">
        <f>"1551685728311443"</f>
        <v>1551685728311443</v>
      </c>
      <c r="C4712" t="s">
        <v>40</v>
      </c>
      <c r="D4712">
        <v>4.8116750000000001</v>
      </c>
      <c r="E4712">
        <v>0.62257280000000004</v>
      </c>
      <c r="F4712" t="s">
        <v>70</v>
      </c>
      <c r="G4712">
        <v>-168.41579999999999</v>
      </c>
      <c r="H4712">
        <v>0.18398999999999999</v>
      </c>
      <c r="I4712">
        <v>190.64859999999999</v>
      </c>
      <c r="J4712">
        <v>-205.6626</v>
      </c>
      <c r="K4712">
        <v>1.1038520000000001</v>
      </c>
      <c r="L4712">
        <v>212.47409999999999</v>
      </c>
      <c r="M4712">
        <v>0.97907630000000001</v>
      </c>
      <c r="N4712">
        <v>-1.520501E-2</v>
      </c>
      <c r="O4712">
        <v>-0.20292450000000001</v>
      </c>
      <c r="P4712">
        <v>0.96839640000000005</v>
      </c>
      <c r="Q4712">
        <v>0.14278929999999901</v>
      </c>
      <c r="R4712">
        <v>-0.20449809999999999</v>
      </c>
      <c r="S4712">
        <v>2.7766109999999999</v>
      </c>
      <c r="T4712">
        <v>-6.7929030000000001E-2</v>
      </c>
      <c r="U4712">
        <v>-1.6172029999999999</v>
      </c>
      <c r="V4712">
        <v>6.2718390000000004E-3</v>
      </c>
      <c r="W4712">
        <v>0.15774070000000001</v>
      </c>
      <c r="X4712">
        <v>0.98746069999999997</v>
      </c>
      <c r="Y4712">
        <v>0.31732850000000001</v>
      </c>
      <c r="Z4712">
        <v>-4.5929159999999998E-3</v>
      </c>
      <c r="AA4712">
        <v>0.94830449999999999</v>
      </c>
      <c r="AB4712">
        <v>37</v>
      </c>
      <c r="AC4712">
        <v>37.2468</v>
      </c>
      <c r="AD4712">
        <v>-0.91986199999999996</v>
      </c>
      <c r="AE4712">
        <v>-21.825500000000002</v>
      </c>
      <c r="AF4712">
        <v>13.8058704739815</v>
      </c>
      <c r="AG4712">
        <v>-0.91986199999999996</v>
      </c>
      <c r="AH4712">
        <v>40.882555699852901</v>
      </c>
      <c r="AI4712">
        <v>91.221212946760204</v>
      </c>
      <c r="AJ4712">
        <v>71.340386590818596</v>
      </c>
      <c r="AK4712">
        <v>43.1605325059246</v>
      </c>
      <c r="AL4712">
        <v>80.924217828554305</v>
      </c>
      <c r="AM4712">
        <v>89.636091773186095</v>
      </c>
      <c r="AN4712">
        <v>1.0000000492226999</v>
      </c>
    </row>
    <row r="4713" spans="1:40" x14ac:dyDescent="0.25">
      <c r="A4713" t="str">
        <f>"20190304154849650"</f>
        <v>20190304154849650</v>
      </c>
      <c r="B4713" t="str">
        <f>"1551685729642077"</f>
        <v>1551685729642077</v>
      </c>
      <c r="C4713" t="s">
        <v>40</v>
      </c>
      <c r="D4713">
        <v>4.2421150000000001</v>
      </c>
      <c r="E4713">
        <v>0.73266759999999997</v>
      </c>
      <c r="F4713" t="s">
        <v>70</v>
      </c>
      <c r="G4713">
        <v>-168.41579999999999</v>
      </c>
      <c r="H4713">
        <v>0.45014720000000003</v>
      </c>
      <c r="I4713">
        <v>190.85300000000001</v>
      </c>
      <c r="J4713">
        <v>-189.30019999999999</v>
      </c>
      <c r="K4713">
        <v>1.0918779999999999</v>
      </c>
      <c r="L4713">
        <v>200.3451</v>
      </c>
      <c r="M4713">
        <v>0.38321169999999999</v>
      </c>
      <c r="N4713">
        <v>-1.8721089999999999E-2</v>
      </c>
      <c r="O4713">
        <v>-0.92347100000000004</v>
      </c>
      <c r="P4713">
        <v>0.2448466</v>
      </c>
      <c r="Q4713">
        <v>0.14282059999999999</v>
      </c>
      <c r="R4713">
        <v>-0.95898539999999999</v>
      </c>
      <c r="S4713">
        <v>2.766006</v>
      </c>
      <c r="T4713">
        <v>-4.8542740000000001E-2</v>
      </c>
      <c r="U4713">
        <v>-1.605621</v>
      </c>
      <c r="V4713">
        <v>0.14846289999999901</v>
      </c>
      <c r="W4713">
        <v>0.1546614</v>
      </c>
      <c r="X4713">
        <v>0.97674899999999998</v>
      </c>
      <c r="Y4713">
        <v>-0.606236199999999</v>
      </c>
      <c r="Z4713">
        <v>1.114372E-3</v>
      </c>
      <c r="AA4713">
        <v>0.79528390000000004</v>
      </c>
      <c r="AB4713">
        <v>33</v>
      </c>
      <c r="AC4713">
        <v>20.884399999999999</v>
      </c>
      <c r="AD4713">
        <v>-0.64173080000000005</v>
      </c>
      <c r="AE4713">
        <v>-9.4921000000000202</v>
      </c>
      <c r="AF4713">
        <v>-15.6391557550303</v>
      </c>
      <c r="AG4713">
        <v>-0.64173080000000005</v>
      </c>
      <c r="AH4713">
        <v>16.758647379394102</v>
      </c>
      <c r="AI4713">
        <v>91.603623477801094</v>
      </c>
      <c r="AJ4713">
        <v>133.020957336431</v>
      </c>
      <c r="AK4713">
        <v>22.931360036784501</v>
      </c>
      <c r="AL4713">
        <v>81.102840858782997</v>
      </c>
      <c r="AM4713">
        <v>81.357366443673698</v>
      </c>
      <c r="AN4713">
        <v>0.99999999516368498</v>
      </c>
    </row>
    <row r="4714" spans="1:40" x14ac:dyDescent="0.25">
      <c r="A4714" t="str">
        <f>"20190304154849673"</f>
        <v>20190304154849673</v>
      </c>
      <c r="B4714" t="str">
        <f>"1551685729661597"</f>
        <v>1551685729661597</v>
      </c>
      <c r="C4714" t="s">
        <v>40</v>
      </c>
      <c r="D4714">
        <v>4.8703409999999998</v>
      </c>
      <c r="E4714">
        <v>0.71507969999999998</v>
      </c>
      <c r="F4714" t="s">
        <v>55</v>
      </c>
      <c r="G4714">
        <v>-222.05850000000001</v>
      </c>
      <c r="H4714">
        <v>9.9843729999999997</v>
      </c>
      <c r="I4714">
        <v>97.150019999999998</v>
      </c>
      <c r="J4714">
        <v>-189.18469999999999</v>
      </c>
      <c r="K4714">
        <v>1.091904</v>
      </c>
      <c r="L4714">
        <v>200.03100000000001</v>
      </c>
      <c r="M4714">
        <v>0.36418309999999998</v>
      </c>
      <c r="N4714">
        <v>-1.874441E-2</v>
      </c>
      <c r="O4714">
        <v>-0.93113880000000004</v>
      </c>
      <c r="P4714">
        <v>0.22680049999999999</v>
      </c>
      <c r="Q4714">
        <v>0.1448981</v>
      </c>
      <c r="R4714">
        <v>-0.96310249999999997</v>
      </c>
      <c r="S4714">
        <v>-1.06575</v>
      </c>
      <c r="T4714">
        <v>0.28930640000000002</v>
      </c>
      <c r="U4714">
        <v>-3.3573149999999998</v>
      </c>
      <c r="V4714">
        <v>0.14673439999999999</v>
      </c>
      <c r="W4714">
        <v>0.1568408</v>
      </c>
      <c r="X4714">
        <v>0.97666269999999999</v>
      </c>
      <c r="Y4714">
        <v>0.62801209999999996</v>
      </c>
      <c r="Z4714">
        <v>-8.5487510000000003E-2</v>
      </c>
      <c r="AA4714">
        <v>0.77349380000000001</v>
      </c>
      <c r="AB4714">
        <v>33</v>
      </c>
      <c r="AC4714">
        <v>-32.873800000000003</v>
      </c>
      <c r="AD4714">
        <v>8.8924690000000002</v>
      </c>
      <c r="AE4714">
        <v>-102.880979999999</v>
      </c>
      <c r="AF4714">
        <v>67.6310846807459</v>
      </c>
      <c r="AG4714">
        <v>8.8924690000000002</v>
      </c>
      <c r="AH4714">
        <v>83.274611119725193</v>
      </c>
      <c r="AI4714">
        <v>85.261492747794506</v>
      </c>
      <c r="AJ4714">
        <v>50.918384475488601</v>
      </c>
      <c r="AK4714">
        <v>107.646181897695</v>
      </c>
      <c r="AL4714">
        <v>80.976427977660904</v>
      </c>
      <c r="AM4714">
        <v>81.455752275940696</v>
      </c>
      <c r="AN4714">
        <v>1.0000000251296399</v>
      </c>
    </row>
    <row r="4715" spans="1:40" x14ac:dyDescent="0.25">
      <c r="A4715" t="str">
        <f>"20190304154849695"</f>
        <v>20190304154849695</v>
      </c>
      <c r="B4715" t="str">
        <f>"1551685729691453"</f>
        <v>1551685729691453</v>
      </c>
      <c r="C4715" t="s">
        <v>40</v>
      </c>
      <c r="D4715">
        <v>4.4607839999999896</v>
      </c>
      <c r="E4715">
        <v>0.69974519999999996</v>
      </c>
      <c r="F4715" t="s">
        <v>55</v>
      </c>
      <c r="G4715">
        <v>-220.03579999999999</v>
      </c>
      <c r="H4715">
        <v>9.1098630000000007</v>
      </c>
      <c r="I4715">
        <v>97.150019999999998</v>
      </c>
      <c r="J4715">
        <v>-189.07579999999999</v>
      </c>
      <c r="K4715">
        <v>1.091926</v>
      </c>
      <c r="L4715">
        <v>199.714</v>
      </c>
      <c r="M4715">
        <v>0.34488809999999998</v>
      </c>
      <c r="N4715">
        <v>-1.876626E-2</v>
      </c>
      <c r="O4715">
        <v>-0.93845619999999996</v>
      </c>
      <c r="P4715">
        <v>0.20852570000000001</v>
      </c>
      <c r="Q4715">
        <v>0.14644460000000001</v>
      </c>
      <c r="R4715">
        <v>-0.96699080000000004</v>
      </c>
      <c r="S4715">
        <v>-0.99253849999999999</v>
      </c>
      <c r="T4715">
        <v>0.25795360000000001</v>
      </c>
      <c r="U4715">
        <v>-3.3098749999999999</v>
      </c>
      <c r="V4715">
        <v>0.1450523</v>
      </c>
      <c r="W4715">
        <v>0.15848699999999999</v>
      </c>
      <c r="X4715">
        <v>0.97664819999999997</v>
      </c>
      <c r="Y4715">
        <v>0.59923970000000004</v>
      </c>
      <c r="Z4715">
        <v>-8.1026500000000001E-2</v>
      </c>
      <c r="AA4715">
        <v>0.79645869999999996</v>
      </c>
      <c r="AB4715">
        <v>33</v>
      </c>
      <c r="AC4715">
        <v>-30.96</v>
      </c>
      <c r="AD4715">
        <v>8.0179369999999999</v>
      </c>
      <c r="AE4715">
        <v>-102.56398</v>
      </c>
      <c r="AF4715">
        <v>64.080136690114998</v>
      </c>
      <c r="AG4715">
        <v>8.0179369999999999</v>
      </c>
      <c r="AH4715">
        <v>85.112427121940399</v>
      </c>
      <c r="AI4715">
        <v>85.696102005801507</v>
      </c>
      <c r="AJ4715">
        <v>53.024343130718997</v>
      </c>
      <c r="AK4715">
        <v>106.83948934054</v>
      </c>
      <c r="AL4715">
        <v>80.880912828757303</v>
      </c>
      <c r="AM4715">
        <v>81.552154894496496</v>
      </c>
      <c r="AN4715">
        <v>1.0000000027337601</v>
      </c>
    </row>
    <row r="4716" spans="1:40" x14ac:dyDescent="0.25">
      <c r="A4716" t="str">
        <f>"20190304154849761"</f>
        <v>20190304154849761</v>
      </c>
      <c r="B4716" t="str">
        <f>"1551685729751953"</f>
        <v>1551685729751953</v>
      </c>
      <c r="C4716" t="s">
        <v>40</v>
      </c>
      <c r="D4716">
        <v>4.9348749999999999</v>
      </c>
      <c r="E4716">
        <v>0.69721699999999998</v>
      </c>
      <c r="F4716" t="s">
        <v>77</v>
      </c>
      <c r="G4716">
        <v>-213.29640000000001</v>
      </c>
      <c r="H4716">
        <v>6.9643649999999901</v>
      </c>
      <c r="I4716">
        <v>115.08750000000001</v>
      </c>
      <c r="J4716">
        <v>-188.7928</v>
      </c>
      <c r="K4716">
        <v>1.0919639999999999</v>
      </c>
      <c r="L4716">
        <v>198.76320000000001</v>
      </c>
      <c r="M4716">
        <v>0.28648089999999998</v>
      </c>
      <c r="N4716">
        <v>-1.8822390000000001E-2</v>
      </c>
      <c r="O4716">
        <v>-0.957901</v>
      </c>
      <c r="P4716">
        <v>0.1565192</v>
      </c>
      <c r="Q4716">
        <v>0.14845520000000001</v>
      </c>
      <c r="R4716">
        <v>-0.9764543</v>
      </c>
      <c r="S4716">
        <v>-0.93585209999999996</v>
      </c>
      <c r="T4716">
        <v>0.22690279999999999</v>
      </c>
      <c r="U4716">
        <v>-3.2698360000000002</v>
      </c>
      <c r="V4716">
        <v>0.13713590000000001</v>
      </c>
      <c r="W4716">
        <v>0.16093089999999999</v>
      </c>
      <c r="X4716">
        <v>0.97739200000000004</v>
      </c>
      <c r="Y4716">
        <v>0.53842100000000004</v>
      </c>
      <c r="Z4716">
        <v>-7.7753749999999996E-2</v>
      </c>
      <c r="AA4716">
        <v>0.83908119999999997</v>
      </c>
      <c r="AB4716">
        <v>32</v>
      </c>
      <c r="AC4716">
        <v>-24.503599999999999</v>
      </c>
      <c r="AD4716">
        <v>5.8724009999999902</v>
      </c>
      <c r="AE4716">
        <v>-83.675700000000006</v>
      </c>
      <c r="AF4716">
        <v>47.237637672159401</v>
      </c>
      <c r="AG4716">
        <v>5.8724009999999902</v>
      </c>
      <c r="AH4716">
        <v>72.815870963319796</v>
      </c>
      <c r="AI4716">
        <v>86.129409080114996</v>
      </c>
      <c r="AJ4716">
        <v>57.0274275141442</v>
      </c>
      <c r="AK4716">
        <v>86.994428387672301</v>
      </c>
      <c r="AL4716">
        <v>80.7390675095142</v>
      </c>
      <c r="AM4716">
        <v>82.013083434365996</v>
      </c>
      <c r="AN4716">
        <v>1.0000000656538</v>
      </c>
    </row>
    <row r="4717" spans="1:40" x14ac:dyDescent="0.25">
      <c r="A4717" t="str">
        <f>"20190304154849784"</f>
        <v>20190304154849784</v>
      </c>
      <c r="B4717" t="str">
        <f>"1551685729782208"</f>
        <v>1551685729782208</v>
      </c>
      <c r="C4717" t="s">
        <v>40</v>
      </c>
      <c r="D4717">
        <v>4.9355710000000004</v>
      </c>
      <c r="E4717">
        <v>0.69999429999999996</v>
      </c>
      <c r="F4717" t="s">
        <v>55</v>
      </c>
      <c r="G4717">
        <v>-223.18629999999999</v>
      </c>
      <c r="H4717">
        <v>7.8997029999999997</v>
      </c>
      <c r="I4717">
        <v>97.150019999999998</v>
      </c>
      <c r="J4717">
        <v>-188.71350000000001</v>
      </c>
      <c r="K4717">
        <v>1.0919760000000001</v>
      </c>
      <c r="L4717">
        <v>198.4494</v>
      </c>
      <c r="M4717">
        <v>0.2670189</v>
      </c>
      <c r="N4717">
        <v>-1.8838150000000001E-2</v>
      </c>
      <c r="O4717">
        <v>-0.96350720000000001</v>
      </c>
      <c r="P4717">
        <v>0.14188999999999999</v>
      </c>
      <c r="Q4717">
        <v>0.1484771</v>
      </c>
      <c r="R4717">
        <v>-0.97868370000000005</v>
      </c>
      <c r="S4717">
        <v>-1.087845</v>
      </c>
      <c r="T4717">
        <v>0.21532519999999999</v>
      </c>
      <c r="U4717">
        <v>-3.213959</v>
      </c>
      <c r="V4717">
        <v>0.13194739999999999</v>
      </c>
      <c r="W4717">
        <v>0.16121559999999999</v>
      </c>
      <c r="X4717">
        <v>0.97805900000000001</v>
      </c>
      <c r="Y4717">
        <v>0.561173699999999</v>
      </c>
      <c r="Z4717">
        <v>-7.5484280000000001E-2</v>
      </c>
      <c r="AA4717">
        <v>0.82424889999999995</v>
      </c>
      <c r="AB4717">
        <v>32</v>
      </c>
      <c r="AC4717">
        <v>-34.4727999999999</v>
      </c>
      <c r="AD4717">
        <v>6.8077269999999999</v>
      </c>
      <c r="AE4717">
        <v>-101.29938</v>
      </c>
      <c r="AF4717">
        <v>60.031348253679496</v>
      </c>
      <c r="AG4717">
        <v>6.8077269999999999</v>
      </c>
      <c r="AH4717">
        <v>88.057055389215606</v>
      </c>
      <c r="AI4717">
        <v>86.3449961328961</v>
      </c>
      <c r="AJ4717">
        <v>55.716478103227601</v>
      </c>
      <c r="AK4717">
        <v>106.790228597379</v>
      </c>
      <c r="AL4717">
        <v>80.7225389432827</v>
      </c>
      <c r="AM4717">
        <v>82.316762731831801</v>
      </c>
      <c r="AN4717">
        <v>0.99999999676555995</v>
      </c>
    </row>
    <row r="4718" spans="1:40" x14ac:dyDescent="0.25">
      <c r="A4718" t="str">
        <f>"20190304154849807"</f>
        <v>20190304154849807</v>
      </c>
      <c r="B4718" t="str">
        <f>"1551685729801545"</f>
        <v>1551685729801545</v>
      </c>
      <c r="C4718" t="s">
        <v>40</v>
      </c>
      <c r="D4718">
        <v>4.9760739999999997</v>
      </c>
      <c r="E4718">
        <v>0.69873989999999997</v>
      </c>
      <c r="F4718" t="s">
        <v>78</v>
      </c>
      <c r="G4718">
        <v>-219.86340000000001</v>
      </c>
      <c r="H4718">
        <v>7.0124029999999999</v>
      </c>
      <c r="I4718">
        <v>112.40300000000001</v>
      </c>
      <c r="J4718">
        <v>-188.6369</v>
      </c>
      <c r="K4718">
        <v>1.091993</v>
      </c>
      <c r="L4718">
        <v>198.1172</v>
      </c>
      <c r="M4718">
        <v>0.24631719999999999</v>
      </c>
      <c r="N4718">
        <v>-1.8853330000000001E-2</v>
      </c>
      <c r="O4718">
        <v>-0.96900600000000003</v>
      </c>
      <c r="P4718">
        <v>0.1246483</v>
      </c>
      <c r="Q4718">
        <v>0.14898359999999999</v>
      </c>
      <c r="R4718">
        <v>-0.98095200000000005</v>
      </c>
      <c r="S4718">
        <v>-1.158401</v>
      </c>
      <c r="T4718">
        <v>0.22016859999999999</v>
      </c>
      <c r="U4718">
        <v>-3.1998899999999999</v>
      </c>
      <c r="V4718">
        <v>0.12819430000000001</v>
      </c>
      <c r="W4718">
        <v>0.1619159</v>
      </c>
      <c r="X4718">
        <v>0.97844240000000005</v>
      </c>
      <c r="Y4718">
        <v>0.56069849999999999</v>
      </c>
      <c r="Z4718">
        <v>-7.7333620000000006E-2</v>
      </c>
      <c r="AA4718">
        <v>0.82440079999999905</v>
      </c>
      <c r="AB4718">
        <v>32</v>
      </c>
      <c r="AC4718">
        <v>-31.226500000000001</v>
      </c>
      <c r="AD4718">
        <v>5.9204099999999897</v>
      </c>
      <c r="AE4718">
        <v>-85.714200000000005</v>
      </c>
      <c r="AF4718">
        <v>51.165172825587497</v>
      </c>
      <c r="AG4718">
        <v>5.9204099999999897</v>
      </c>
      <c r="AH4718">
        <v>75.063182614480695</v>
      </c>
      <c r="AI4718">
        <v>86.271177745020495</v>
      </c>
      <c r="AJ4718">
        <v>55.720559257857602</v>
      </c>
      <c r="AK4718">
        <v>91.035199505769199</v>
      </c>
      <c r="AL4718">
        <v>80.681880882614493</v>
      </c>
      <c r="AM4718">
        <v>82.535695361406795</v>
      </c>
      <c r="AN4718">
        <v>1.00000003367152</v>
      </c>
    </row>
    <row r="4719" spans="1:40" x14ac:dyDescent="0.25">
      <c r="A4719" t="str">
        <f>"20190304154849829"</f>
        <v>20190304154849829</v>
      </c>
      <c r="B4719" t="str">
        <f>"1551685729822038"</f>
        <v>1551685729822038</v>
      </c>
      <c r="C4719" t="s">
        <v>40</v>
      </c>
      <c r="D4719">
        <v>5.0812160000000004</v>
      </c>
      <c r="E4719">
        <v>0.69335469999999999</v>
      </c>
      <c r="F4719" t="s">
        <v>78</v>
      </c>
      <c r="G4719">
        <v>-220.84710000000001</v>
      </c>
      <c r="H4719">
        <v>7.0054939999999997</v>
      </c>
      <c r="I4719">
        <v>113.1563</v>
      </c>
      <c r="J4719">
        <v>-188.5684</v>
      </c>
      <c r="K4719">
        <v>1.0920219999999901</v>
      </c>
      <c r="L4719">
        <v>197.78809999999999</v>
      </c>
      <c r="M4719">
        <v>0.22570170000000001</v>
      </c>
      <c r="N4719">
        <v>-1.8867249999999999E-2</v>
      </c>
      <c r="O4719">
        <v>-0.97401389999999999</v>
      </c>
      <c r="P4719">
        <v>0.1091519</v>
      </c>
      <c r="Q4719">
        <v>0.1488447</v>
      </c>
      <c r="R4719">
        <v>-0.98281810000000003</v>
      </c>
      <c r="S4719">
        <v>-1.204742</v>
      </c>
      <c r="T4719">
        <v>0.22117980000000001</v>
      </c>
      <c r="U4719">
        <v>-3.1777500000000001</v>
      </c>
      <c r="V4719">
        <v>0.1228561</v>
      </c>
      <c r="W4719">
        <v>0.16204479999999999</v>
      </c>
      <c r="X4719">
        <v>0.97910569999999997</v>
      </c>
      <c r="Y4719">
        <v>0.5555078</v>
      </c>
      <c r="Z4719">
        <v>-7.8437099999999996E-2</v>
      </c>
      <c r="AA4719">
        <v>0.82780359999999997</v>
      </c>
      <c r="AB4719">
        <v>32</v>
      </c>
      <c r="AC4719">
        <v>-32.278700000000001</v>
      </c>
      <c r="AD4719">
        <v>5.9134719999999996</v>
      </c>
      <c r="AE4719">
        <v>-84.631799999999899</v>
      </c>
      <c r="AF4719">
        <v>50.335891558878302</v>
      </c>
      <c r="AG4719">
        <v>5.9134719999999996</v>
      </c>
      <c r="AH4719">
        <v>74.841568490921304</v>
      </c>
      <c r="AI4719">
        <v>86.248834116290695</v>
      </c>
      <c r="AJ4719">
        <v>56.076565870383703</v>
      </c>
      <c r="AK4719">
        <v>90.387673409061705</v>
      </c>
      <c r="AL4719">
        <v>80.674396821610301</v>
      </c>
      <c r="AM4719">
        <v>82.848026404012003</v>
      </c>
      <c r="AN4719">
        <v>1.0000000551433601</v>
      </c>
    </row>
    <row r="4720" spans="1:40" x14ac:dyDescent="0.25">
      <c r="A4720" t="str">
        <f>"20190304154849842"</f>
        <v>20190304154849842</v>
      </c>
      <c r="B4720" t="str">
        <f>"1551685729831797"</f>
        <v>1551685729831797</v>
      </c>
      <c r="C4720" t="s">
        <v>40</v>
      </c>
      <c r="D4720">
        <v>5.012588</v>
      </c>
      <c r="E4720">
        <v>0.69075390000000003</v>
      </c>
      <c r="F4720" t="s">
        <v>78</v>
      </c>
      <c r="G4720">
        <v>-219.2885</v>
      </c>
      <c r="H4720">
        <v>6.4160349999999999</v>
      </c>
      <c r="I4720">
        <v>117.8488</v>
      </c>
      <c r="J4720">
        <v>-188.5351</v>
      </c>
      <c r="K4720">
        <v>1.0920339999999999</v>
      </c>
      <c r="L4720">
        <v>197.60980000000001</v>
      </c>
      <c r="M4720">
        <v>0.2144884</v>
      </c>
      <c r="N4720">
        <v>-1.8874269999999999E-2</v>
      </c>
      <c r="O4720">
        <v>-0.97654419999999997</v>
      </c>
      <c r="P4720">
        <v>0.10072589999999999</v>
      </c>
      <c r="Q4720">
        <v>0.1487994</v>
      </c>
      <c r="R4720">
        <v>-0.98372409999999999</v>
      </c>
      <c r="S4720">
        <v>-1.2125549999999901</v>
      </c>
      <c r="T4720">
        <v>0.21014479999999999</v>
      </c>
      <c r="U4720">
        <v>-3.1552889999999998</v>
      </c>
      <c r="V4720">
        <v>0.11997969999999999</v>
      </c>
      <c r="W4720">
        <v>0.16214310000000001</v>
      </c>
      <c r="X4720">
        <v>0.97944600000000004</v>
      </c>
      <c r="Y4720">
        <v>0.54973519999999998</v>
      </c>
      <c r="Z4720">
        <v>-7.6212249999999995E-2</v>
      </c>
      <c r="AA4720">
        <v>0.83185509999999996</v>
      </c>
      <c r="AB4720">
        <v>32</v>
      </c>
      <c r="AC4720">
        <v>-30.753399999999999</v>
      </c>
      <c r="AD4720">
        <v>5.324001</v>
      </c>
      <c r="AE4720">
        <v>-79.760999999999996</v>
      </c>
      <c r="AF4720">
        <v>46.966086329699003</v>
      </c>
      <c r="AG4720">
        <v>5.324001</v>
      </c>
      <c r="AH4720">
        <v>71.031075127341197</v>
      </c>
      <c r="AI4720">
        <v>86.422413977737094</v>
      </c>
      <c r="AJ4720">
        <v>56.5271318924325</v>
      </c>
      <c r="AK4720">
        <v>85.3204072043889</v>
      </c>
      <c r="AL4720">
        <v>80.668688552586104</v>
      </c>
      <c r="AM4720">
        <v>83.016202877020206</v>
      </c>
      <c r="AN4720">
        <v>0.99999999010285001</v>
      </c>
    </row>
    <row r="4721" spans="1:40" x14ac:dyDescent="0.25">
      <c r="A4721" t="str">
        <f>"20190304154849856"</f>
        <v>20190304154849856</v>
      </c>
      <c r="B4721" t="str">
        <f>"1551685729851318"</f>
        <v>1551685729851318</v>
      </c>
      <c r="C4721" t="s">
        <v>40</v>
      </c>
      <c r="D4721">
        <v>4.9996739999999997</v>
      </c>
      <c r="E4721">
        <v>0.68865569999999998</v>
      </c>
      <c r="F4721" t="s">
        <v>78</v>
      </c>
      <c r="G4721">
        <v>-219.45779999999999</v>
      </c>
      <c r="H4721">
        <v>6.2891690000000002</v>
      </c>
      <c r="I4721">
        <v>117.8764</v>
      </c>
      <c r="J4721">
        <v>-188.501</v>
      </c>
      <c r="K4721">
        <v>1.092049</v>
      </c>
      <c r="L4721">
        <v>197.41890000000001</v>
      </c>
      <c r="M4721">
        <v>0.20244670000000001</v>
      </c>
      <c r="N4721">
        <v>-1.8881709999999999E-2</v>
      </c>
      <c r="O4721">
        <v>-0.97911119999999996</v>
      </c>
      <c r="P4721">
        <v>9.1464290000000004E-2</v>
      </c>
      <c r="Q4721">
        <v>0.1491333</v>
      </c>
      <c r="R4721">
        <v>-0.98457799999999995</v>
      </c>
      <c r="S4721">
        <v>-1.2191160000000001</v>
      </c>
      <c r="T4721">
        <v>0.20489540000000001</v>
      </c>
      <c r="U4721">
        <v>-3.1434630000000001</v>
      </c>
      <c r="V4721">
        <v>0.1171306</v>
      </c>
      <c r="W4721">
        <v>0.1626184</v>
      </c>
      <c r="X4721">
        <v>0.97971209999999997</v>
      </c>
      <c r="Y4721">
        <v>0.54201060000000001</v>
      </c>
      <c r="Z4721">
        <v>-7.5351970000000004E-2</v>
      </c>
      <c r="AA4721">
        <v>0.83698660000000003</v>
      </c>
      <c r="AB4721">
        <v>32</v>
      </c>
      <c r="AC4721">
        <v>-30.956800000000001</v>
      </c>
      <c r="AD4721">
        <v>5.19712</v>
      </c>
      <c r="AE4721">
        <v>-79.542500000000004</v>
      </c>
      <c r="AF4721">
        <v>46.250073589002902</v>
      </c>
      <c r="AG4721">
        <v>5.19712</v>
      </c>
      <c r="AH4721">
        <v>71.362050773323105</v>
      </c>
      <c r="AI4721">
        <v>86.502739300391596</v>
      </c>
      <c r="AJ4721">
        <v>57.052541806963397</v>
      </c>
      <c r="AK4721">
        <v>85.197544881627493</v>
      </c>
      <c r="AL4721">
        <v>80.641090241035698</v>
      </c>
      <c r="AM4721">
        <v>83.182298020982202</v>
      </c>
      <c r="AN4721">
        <v>1.00000006018066</v>
      </c>
    </row>
    <row r="4722" spans="1:40" x14ac:dyDescent="0.25">
      <c r="A4722" t="str">
        <f>"20190304154849869"</f>
        <v>20190304154849869</v>
      </c>
      <c r="B4722" t="str">
        <f>"1551685729862055"</f>
        <v>1551685729862055</v>
      </c>
      <c r="C4722" t="s">
        <v>40</v>
      </c>
      <c r="D4722">
        <v>5.0103629999999999</v>
      </c>
      <c r="E4722">
        <v>0.64580530000000003</v>
      </c>
      <c r="F4722" t="s">
        <v>78</v>
      </c>
      <c r="G4722">
        <v>-219.69579999999999</v>
      </c>
      <c r="H4722">
        <v>6.2107530000000004</v>
      </c>
      <c r="I4722">
        <v>118.15779999999999</v>
      </c>
      <c r="J4722">
        <v>-188.46719999999999</v>
      </c>
      <c r="K4722">
        <v>1.0920719999999999</v>
      </c>
      <c r="L4722">
        <v>197.21340000000001</v>
      </c>
      <c r="M4722">
        <v>0.18945129999999999</v>
      </c>
      <c r="N4722">
        <v>-1.8889380000000001E-2</v>
      </c>
      <c r="O4722">
        <v>-0.98170860000000004</v>
      </c>
      <c r="P4722">
        <v>8.10255E-2</v>
      </c>
      <c r="Q4722">
        <v>0.14978540000000001</v>
      </c>
      <c r="R4722">
        <v>-0.98539319999999997</v>
      </c>
      <c r="S4722">
        <v>-1.2321930000000001</v>
      </c>
      <c r="T4722">
        <v>0.20218900000000001</v>
      </c>
      <c r="U4722">
        <v>-3.130814</v>
      </c>
      <c r="V4722">
        <v>0.11452809999999999</v>
      </c>
      <c r="W4722">
        <v>0.16340070000000001</v>
      </c>
      <c r="X4722">
        <v>0.97988960000000003</v>
      </c>
      <c r="Y4722">
        <v>0.53503730000000005</v>
      </c>
      <c r="Z4722">
        <v>-7.5138499999999997E-2</v>
      </c>
      <c r="AA4722">
        <v>0.84148040000000002</v>
      </c>
      <c r="AB4722">
        <v>32</v>
      </c>
      <c r="AC4722">
        <v>-31.2286</v>
      </c>
      <c r="AD4722">
        <v>5.1186809999999996</v>
      </c>
      <c r="AE4722">
        <v>-79.055599999999998</v>
      </c>
      <c r="AF4722">
        <v>45.477784997713798</v>
      </c>
      <c r="AG4722">
        <v>5.1186809999999996</v>
      </c>
      <c r="AH4722">
        <v>71.4469474824744</v>
      </c>
      <c r="AI4722">
        <v>86.541358909610196</v>
      </c>
      <c r="AJ4722">
        <v>57.522218041184701</v>
      </c>
      <c r="AK4722">
        <v>84.847487458624897</v>
      </c>
      <c r="AL4722">
        <v>80.595660018918494</v>
      </c>
      <c r="AM4722">
        <v>83.333596838772493</v>
      </c>
      <c r="AN4722">
        <v>1.0000000513191201</v>
      </c>
    </row>
    <row r="4723" spans="1:40" x14ac:dyDescent="0.25">
      <c r="A4723" t="str">
        <f>"20190304154849883"</f>
        <v>20190304154849883</v>
      </c>
      <c r="B4723" t="str">
        <f>"1551685729871814"</f>
        <v>1551685729871814</v>
      </c>
      <c r="C4723" t="s">
        <v>40</v>
      </c>
      <c r="D4723">
        <v>5.0362479999999996</v>
      </c>
      <c r="E4723">
        <v>0.64812040000000004</v>
      </c>
      <c r="F4723" t="s">
        <v>77</v>
      </c>
      <c r="G4723">
        <v>-213.29589999999999</v>
      </c>
      <c r="H4723">
        <v>3.7673290000000001</v>
      </c>
      <c r="I4723">
        <v>114.10720000000001</v>
      </c>
      <c r="J4723">
        <v>-188.43790000000001</v>
      </c>
      <c r="K4723">
        <v>1.0920890000000001</v>
      </c>
      <c r="L4723">
        <v>197.01480000000001</v>
      </c>
      <c r="M4723">
        <v>0.17684330000000001</v>
      </c>
      <c r="N4723">
        <v>-1.8896260000000002E-2</v>
      </c>
      <c r="O4723">
        <v>-0.98405770000000004</v>
      </c>
      <c r="P4723">
        <v>7.1200349999999996E-2</v>
      </c>
      <c r="Q4723">
        <v>0.15062519999999999</v>
      </c>
      <c r="R4723">
        <v>-0.98602380000000001</v>
      </c>
      <c r="S4723">
        <v>-0.92781069999999999</v>
      </c>
      <c r="T4723">
        <v>9.9970939999999994E-2</v>
      </c>
      <c r="U4723">
        <v>-3.1055450000000002</v>
      </c>
      <c r="V4723">
        <v>0.11172989999999999</v>
      </c>
      <c r="W4723">
        <v>0.1643782</v>
      </c>
      <c r="X4723">
        <v>0.98004910000000001</v>
      </c>
      <c r="Y4723">
        <v>0.45092310000000002</v>
      </c>
      <c r="Z4723">
        <v>-4.8423929999999997E-2</v>
      </c>
      <c r="AA4723">
        <v>0.89124820000000005</v>
      </c>
      <c r="AB4723">
        <v>32</v>
      </c>
      <c r="AC4723">
        <v>-24.857999999999901</v>
      </c>
      <c r="AD4723">
        <v>2.6752400000000001</v>
      </c>
      <c r="AE4723">
        <v>-82.907600000000002</v>
      </c>
      <c r="AF4723">
        <v>39.092996583121803</v>
      </c>
      <c r="AG4723">
        <v>2.6752400000000001</v>
      </c>
      <c r="AH4723">
        <v>77.129985007384704</v>
      </c>
      <c r="AI4723">
        <v>88.227955749984602</v>
      </c>
      <c r="AJ4723">
        <v>63.1220277950314</v>
      </c>
      <c r="AK4723">
        <v>86.512738242093405</v>
      </c>
      <c r="AL4723">
        <v>80.538885251062297</v>
      </c>
      <c r="AM4723">
        <v>83.496109620953305</v>
      </c>
      <c r="AN4723">
        <v>1.0000000008000201</v>
      </c>
    </row>
    <row r="4724" spans="1:40" x14ac:dyDescent="0.25">
      <c r="A4724" t="str">
        <f>"20190304154849897"</f>
        <v>20190304154849897</v>
      </c>
      <c r="B4724" t="str">
        <f>"1551685729891976"</f>
        <v>1551685729891976</v>
      </c>
      <c r="C4724" t="s">
        <v>40</v>
      </c>
      <c r="D4724">
        <v>4.941681</v>
      </c>
      <c r="E4724">
        <v>0.64494050000000003</v>
      </c>
      <c r="F4724" t="s">
        <v>77</v>
      </c>
      <c r="G4724">
        <v>-214.2852</v>
      </c>
      <c r="H4724">
        <v>4.1425939999999999</v>
      </c>
      <c r="I4724">
        <v>115.08459999999999</v>
      </c>
      <c r="J4724">
        <v>-188.40989999999999</v>
      </c>
      <c r="K4724">
        <v>1.0921160000000001</v>
      </c>
      <c r="L4724">
        <v>196.81059999999999</v>
      </c>
      <c r="M4724">
        <v>0.16384460000000001</v>
      </c>
      <c r="N4724">
        <v>-1.8903E-2</v>
      </c>
      <c r="O4724">
        <v>-0.98630490000000004</v>
      </c>
      <c r="P4724">
        <v>6.374792E-2</v>
      </c>
      <c r="Q4724">
        <v>0.15174389999999999</v>
      </c>
      <c r="R4724">
        <v>-0.98636170000000001</v>
      </c>
      <c r="S4724">
        <v>-0.97654719999999995</v>
      </c>
      <c r="T4724">
        <v>0.11525299999999999</v>
      </c>
      <c r="U4724">
        <v>-3.0954280000000001</v>
      </c>
      <c r="V4724">
        <v>0.1062091</v>
      </c>
      <c r="W4724">
        <v>0.16575989999999999</v>
      </c>
      <c r="X4724">
        <v>0.98043009999999997</v>
      </c>
      <c r="Y4724">
        <v>0.45271460000000002</v>
      </c>
      <c r="Z4724">
        <v>-5.2984379999999998E-2</v>
      </c>
      <c r="AA4724">
        <v>0.89007990000000003</v>
      </c>
      <c r="AB4724">
        <v>32</v>
      </c>
      <c r="AC4724">
        <v>-25.875299999999999</v>
      </c>
      <c r="AD4724">
        <v>3.050478</v>
      </c>
      <c r="AE4724">
        <v>-81.725999999999999</v>
      </c>
      <c r="AF4724">
        <v>38.8690392160835</v>
      </c>
      <c r="AG4724">
        <v>3.050478</v>
      </c>
      <c r="AH4724">
        <v>76.284287205353905</v>
      </c>
      <c r="AI4724">
        <v>87.959427346640197</v>
      </c>
      <c r="AJ4724">
        <v>62.999848850457298</v>
      </c>
      <c r="AK4724">
        <v>85.670298820763094</v>
      </c>
      <c r="AL4724">
        <v>80.458618071081503</v>
      </c>
      <c r="AM4724">
        <v>83.817310170291805</v>
      </c>
      <c r="AN4724">
        <v>0.99999994917841295</v>
      </c>
    </row>
    <row r="4725" spans="1:40" x14ac:dyDescent="0.25">
      <c r="A4725" t="str">
        <f>"20190304154849911"</f>
        <v>20190304154849911</v>
      </c>
      <c r="B4725" t="str">
        <f>"1551685729901725"</f>
        <v>1551685729901725</v>
      </c>
      <c r="C4725" t="s">
        <v>40</v>
      </c>
      <c r="D4725">
        <v>4.9281309999999996</v>
      </c>
      <c r="E4725">
        <v>0.64400690000000005</v>
      </c>
      <c r="F4725" t="s">
        <v>56</v>
      </c>
      <c r="G4725">
        <v>-215.31450000000001</v>
      </c>
      <c r="H4725">
        <v>4.097607</v>
      </c>
      <c r="I4725">
        <v>111.6114</v>
      </c>
      <c r="J4725">
        <v>-188.38550000000001</v>
      </c>
      <c r="K4725">
        <v>1.092133</v>
      </c>
      <c r="L4725">
        <v>196.61600000000001</v>
      </c>
      <c r="M4725">
        <v>0.15142849999999999</v>
      </c>
      <c r="N4725">
        <v>-1.8909100000000002E-2</v>
      </c>
      <c r="O4725">
        <v>-0.98828729999999998</v>
      </c>
      <c r="P4725">
        <v>5.4600339999999997E-2</v>
      </c>
      <c r="Q4725">
        <v>0.15208089999999999</v>
      </c>
      <c r="R4725">
        <v>-0.98685869999999998</v>
      </c>
      <c r="S4725">
        <v>-0.97506709999999996</v>
      </c>
      <c r="T4725">
        <v>0.1089246</v>
      </c>
      <c r="U4725">
        <v>-3.0877530000000002</v>
      </c>
      <c r="V4725">
        <v>0.1029653</v>
      </c>
      <c r="W4725">
        <v>0.1662546</v>
      </c>
      <c r="X4725">
        <v>0.98069240000000002</v>
      </c>
      <c r="Y4725">
        <v>0.44173440000000003</v>
      </c>
      <c r="Z4725">
        <v>-5.1387139999999998E-2</v>
      </c>
      <c r="AA4725">
        <v>0.89567299999999905</v>
      </c>
      <c r="AB4725">
        <v>32</v>
      </c>
      <c r="AC4725">
        <v>-26.928999999999998</v>
      </c>
      <c r="AD4725">
        <v>3.005474</v>
      </c>
      <c r="AE4725">
        <v>-85.004599999999897</v>
      </c>
      <c r="AF4725">
        <v>39.447954337170898</v>
      </c>
      <c r="AG4725">
        <v>3.005474</v>
      </c>
      <c r="AH4725">
        <v>79.854724045138994</v>
      </c>
      <c r="AI4725">
        <v>88.067344854124599</v>
      </c>
      <c r="AJ4725">
        <v>63.710789183250398</v>
      </c>
      <c r="AK4725">
        <v>89.117624113738003</v>
      </c>
      <c r="AL4725">
        <v>80.429875652251098</v>
      </c>
      <c r="AM4725">
        <v>84.006334788413596</v>
      </c>
      <c r="AN4725">
        <v>1.0000000142215</v>
      </c>
    </row>
    <row r="4726" spans="1:40" x14ac:dyDescent="0.25">
      <c r="A4726" t="str">
        <f>"20190304154849926"</f>
        <v>20190304154849926</v>
      </c>
      <c r="B4726" t="str">
        <f>"1551685729922223"</f>
        <v>1551685729922223</v>
      </c>
      <c r="C4726" t="s">
        <v>40</v>
      </c>
      <c r="D4726">
        <v>4.9471679999999996</v>
      </c>
      <c r="E4726">
        <v>0.64201039999999998</v>
      </c>
      <c r="F4726" t="s">
        <v>56</v>
      </c>
      <c r="G4726">
        <v>-215.36439999999999</v>
      </c>
      <c r="H4726">
        <v>4.0805860000000003</v>
      </c>
      <c r="I4726">
        <v>113.2439</v>
      </c>
      <c r="J4726">
        <v>-188.3629</v>
      </c>
      <c r="K4726">
        <v>1.0921510000000001</v>
      </c>
      <c r="L4726">
        <v>196.404</v>
      </c>
      <c r="M4726">
        <v>0.13785159999999999</v>
      </c>
      <c r="N4726">
        <v>-1.8914469999999999E-2</v>
      </c>
      <c r="O4726">
        <v>-0.99027240000000005</v>
      </c>
      <c r="P4726">
        <v>4.4599550000000002E-2</v>
      </c>
      <c r="Q4726">
        <v>0.15246599999999999</v>
      </c>
      <c r="R4726">
        <v>-0.98730220000000002</v>
      </c>
      <c r="S4726">
        <v>-0.99604800000000004</v>
      </c>
      <c r="T4726">
        <v>0.11033279999999999</v>
      </c>
      <c r="U4726">
        <v>-3.078049</v>
      </c>
      <c r="V4726">
        <v>9.9438239999999997E-2</v>
      </c>
      <c r="W4726">
        <v>0.16681029999999999</v>
      </c>
      <c r="X4726">
        <v>0.980962</v>
      </c>
      <c r="Y4726">
        <v>0.43575540000000001</v>
      </c>
      <c r="Z4726">
        <v>-5.1995199999999998E-2</v>
      </c>
      <c r="AA4726">
        <v>0.89856199999999997</v>
      </c>
      <c r="AB4726">
        <v>32</v>
      </c>
      <c r="AC4726">
        <v>-27.0015</v>
      </c>
      <c r="AD4726">
        <v>2.988435</v>
      </c>
      <c r="AE4726">
        <v>-83.1601</v>
      </c>
      <c r="AF4726">
        <v>38.164838502643903</v>
      </c>
      <c r="AG4726">
        <v>2.988435</v>
      </c>
      <c r="AH4726">
        <v>78.551245054542804</v>
      </c>
      <c r="AI4726">
        <v>88.040143242287499</v>
      </c>
      <c r="AJ4726">
        <v>64.086778202544394</v>
      </c>
      <c r="AK4726">
        <v>87.382971689574404</v>
      </c>
      <c r="AL4726">
        <v>80.397585761996595</v>
      </c>
      <c r="AM4726">
        <v>84.211807983716099</v>
      </c>
      <c r="AN4726">
        <v>1.00000004260219</v>
      </c>
    </row>
    <row r="4727" spans="1:40" x14ac:dyDescent="0.25">
      <c r="A4727" t="str">
        <f>"20190304154849940"</f>
        <v>20190304154849940</v>
      </c>
      <c r="B4727" t="str">
        <f>"1551685729931983"</f>
        <v>1551685729931983</v>
      </c>
      <c r="C4727" t="s">
        <v>40</v>
      </c>
      <c r="D4727">
        <v>4.9745530000000002</v>
      </c>
      <c r="E4727">
        <v>0.64055519999999999</v>
      </c>
      <c r="F4727" t="s">
        <v>56</v>
      </c>
      <c r="G4727">
        <v>-215.87960000000001</v>
      </c>
      <c r="H4727">
        <v>4.0793670000000004</v>
      </c>
      <c r="I4727">
        <v>112.9751</v>
      </c>
      <c r="J4727">
        <v>-188.3424</v>
      </c>
      <c r="K4727">
        <v>1.092177</v>
      </c>
      <c r="L4727">
        <v>196.18709999999999</v>
      </c>
      <c r="M4727">
        <v>0.1239244</v>
      </c>
      <c r="N4727">
        <v>-1.8918910000000001E-2</v>
      </c>
      <c r="O4727">
        <v>-0.99211159999999998</v>
      </c>
      <c r="P4727">
        <v>3.8894669999999999E-2</v>
      </c>
      <c r="Q4727">
        <v>0.1518216</v>
      </c>
      <c r="R4727">
        <v>-0.98764260000000004</v>
      </c>
      <c r="S4727">
        <v>-1.011673</v>
      </c>
      <c r="T4727">
        <v>0.109828</v>
      </c>
      <c r="U4727">
        <v>-3.0673219999999999</v>
      </c>
      <c r="V4727">
        <v>9.1281089999999995E-2</v>
      </c>
      <c r="W4727">
        <v>0.166549799999999</v>
      </c>
      <c r="X4727">
        <v>0.98179879999999997</v>
      </c>
      <c r="Y4727">
        <v>0.42814920000000001</v>
      </c>
      <c r="Z4727">
        <v>-5.2057949999999999E-2</v>
      </c>
      <c r="AA4727">
        <v>0.90220739999999999</v>
      </c>
      <c r="AB4727">
        <v>32</v>
      </c>
      <c r="AC4727">
        <v>-27.537199999999999</v>
      </c>
      <c r="AD4727">
        <v>2.98719</v>
      </c>
      <c r="AE4727">
        <v>-83.211999999999904</v>
      </c>
      <c r="AF4727">
        <v>37.595030957394599</v>
      </c>
      <c r="AG4727">
        <v>2.98719</v>
      </c>
      <c r="AH4727">
        <v>79.065367970248403</v>
      </c>
      <c r="AI4727">
        <v>88.045800418045204</v>
      </c>
      <c r="AJ4727">
        <v>64.569238275896495</v>
      </c>
      <c r="AK4727">
        <v>87.599326875577901</v>
      </c>
      <c r="AL4727">
        <v>80.412722446593605</v>
      </c>
      <c r="AM4727">
        <v>84.688291140669804</v>
      </c>
      <c r="AN4727">
        <v>0.99999997847653299</v>
      </c>
    </row>
    <row r="4728" spans="1:40" x14ac:dyDescent="0.25">
      <c r="A4728" t="str">
        <f>"20190304154849963"</f>
        <v>20190304154849963</v>
      </c>
      <c r="B4728" t="str">
        <f>"1551685729951502"</f>
        <v>1551685729951502</v>
      </c>
      <c r="C4728" t="s">
        <v>40</v>
      </c>
      <c r="D4728">
        <v>4.8954060000000004</v>
      </c>
      <c r="E4728">
        <v>0.63847359999999997</v>
      </c>
      <c r="F4728" t="s">
        <v>56</v>
      </c>
      <c r="G4728">
        <v>-216.00960000000001</v>
      </c>
      <c r="H4728">
        <v>3.9221650000000001</v>
      </c>
      <c r="I4728">
        <v>112.9751</v>
      </c>
      <c r="J4728">
        <v>-188.3175</v>
      </c>
      <c r="K4728">
        <v>1.0922019999999999</v>
      </c>
      <c r="L4728">
        <v>195.86349999999999</v>
      </c>
      <c r="M4728">
        <v>0.1030798</v>
      </c>
      <c r="N4728">
        <v>-1.8922830000000002E-2</v>
      </c>
      <c r="O4728">
        <v>-0.99449339999999997</v>
      </c>
      <c r="P4728">
        <v>2.6930590000000001E-2</v>
      </c>
      <c r="Q4728">
        <v>0.1516672</v>
      </c>
      <c r="R4728">
        <v>-0.98806519999999998</v>
      </c>
      <c r="S4728">
        <v>-1.01796</v>
      </c>
      <c r="T4728">
        <v>0.10412449999999999</v>
      </c>
      <c r="U4728">
        <v>-3.0616150000000002</v>
      </c>
      <c r="V4728">
        <v>8.2534629999999998E-2</v>
      </c>
      <c r="W4728">
        <v>0.1668047</v>
      </c>
      <c r="X4728">
        <v>0.98252949999999994</v>
      </c>
      <c r="Y4728">
        <v>0.41130230000000001</v>
      </c>
      <c r="Z4728">
        <v>-5.0594149999999997E-2</v>
      </c>
      <c r="AA4728">
        <v>0.91009379999999995</v>
      </c>
      <c r="AB4728">
        <v>32</v>
      </c>
      <c r="AC4728">
        <v>-27.6921</v>
      </c>
      <c r="AD4728">
        <v>2.8299629999999998</v>
      </c>
      <c r="AE4728">
        <v>-82.888399999999905</v>
      </c>
      <c r="AF4728">
        <v>36.052375494310198</v>
      </c>
      <c r="AG4728">
        <v>2.8299629999999998</v>
      </c>
      <c r="AH4728">
        <v>79.508321930093402</v>
      </c>
      <c r="AI4728">
        <v>88.143326802712295</v>
      </c>
      <c r="AJ4728">
        <v>65.608486504493598</v>
      </c>
      <c r="AK4728">
        <v>87.346183233747993</v>
      </c>
      <c r="AL4728">
        <v>80.397910723264204</v>
      </c>
      <c r="AM4728">
        <v>85.198302036481095</v>
      </c>
      <c r="AN4728">
        <v>0.99999999573078802</v>
      </c>
    </row>
    <row r="4729" spans="1:40" x14ac:dyDescent="0.25">
      <c r="A4729" t="str">
        <f>"20190304154849976"</f>
        <v>20190304154849976</v>
      </c>
      <c r="B4729" t="str">
        <f>"1551685729971999"</f>
        <v>1551685729971999</v>
      </c>
      <c r="C4729" t="s">
        <v>40</v>
      </c>
      <c r="D4729">
        <v>4.916671</v>
      </c>
      <c r="E4729">
        <v>0.63656969999999902</v>
      </c>
      <c r="F4729" t="s">
        <v>56</v>
      </c>
      <c r="G4729">
        <v>-216.55520000000001</v>
      </c>
      <c r="H4729">
        <v>3.7261410000000001</v>
      </c>
      <c r="I4729">
        <v>112.9751</v>
      </c>
      <c r="J4729">
        <v>-188.3065</v>
      </c>
      <c r="K4729">
        <v>1.09222</v>
      </c>
      <c r="L4729">
        <v>195.68100000000001</v>
      </c>
      <c r="M4729">
        <v>9.1292419999999999E-2</v>
      </c>
      <c r="N4729">
        <v>-1.8923200000000001E-2</v>
      </c>
      <c r="O4729">
        <v>-0.99564450000000004</v>
      </c>
      <c r="P4729">
        <v>2.0257230000000001E-2</v>
      </c>
      <c r="Q4729">
        <v>0.15163189999999999</v>
      </c>
      <c r="R4729">
        <v>-0.98822989999999999</v>
      </c>
      <c r="S4729">
        <v>-1.03894</v>
      </c>
      <c r="T4729">
        <v>9.6910479999999993E-2</v>
      </c>
      <c r="U4729">
        <v>-3.0496829999999999</v>
      </c>
      <c r="V4729">
        <v>7.751297E-2</v>
      </c>
      <c r="W4729">
        <v>0.1670017</v>
      </c>
      <c r="X4729">
        <v>0.98290500000000003</v>
      </c>
      <c r="Y4729">
        <v>0.4072153</v>
      </c>
      <c r="Z4729">
        <v>-4.8553909999999999E-2</v>
      </c>
      <c r="AA4729">
        <v>0.91204070000000004</v>
      </c>
      <c r="AB4729">
        <v>32</v>
      </c>
      <c r="AC4729">
        <v>-28.248699999999999</v>
      </c>
      <c r="AD4729">
        <v>2.633921</v>
      </c>
      <c r="AE4729">
        <v>-82.7058999999999</v>
      </c>
      <c r="AF4729">
        <v>35.650087714361703</v>
      </c>
      <c r="AG4729">
        <v>2.633921</v>
      </c>
      <c r="AH4729">
        <v>79.708656952952495</v>
      </c>
      <c r="AI4729">
        <v>88.272210202688697</v>
      </c>
      <c r="AJ4729">
        <v>65.903185142122098</v>
      </c>
      <c r="AK4729">
        <v>87.357519923126205</v>
      </c>
      <c r="AL4729">
        <v>80.386463247220604</v>
      </c>
      <c r="AM4729">
        <v>85.490923746233506</v>
      </c>
      <c r="AN4729">
        <v>1.0000000336730499</v>
      </c>
    </row>
    <row r="4730" spans="1:40" x14ac:dyDescent="0.25">
      <c r="A4730" t="str">
        <f>"20190304154849988"</f>
        <v>20190304154849988</v>
      </c>
      <c r="B4730" t="str">
        <f>"1551685729981758"</f>
        <v>1551685729981758</v>
      </c>
      <c r="C4730" t="s">
        <v>40</v>
      </c>
      <c r="D4730">
        <v>4.8996409999999999</v>
      </c>
      <c r="E4730">
        <v>0.63569580000000003</v>
      </c>
      <c r="F4730" t="s">
        <v>56</v>
      </c>
      <c r="G4730">
        <v>-216.69380000000001</v>
      </c>
      <c r="H4730">
        <v>3.652447</v>
      </c>
      <c r="I4730">
        <v>112.9751</v>
      </c>
      <c r="J4730">
        <v>-188.29769999999999</v>
      </c>
      <c r="K4730">
        <v>1.092239</v>
      </c>
      <c r="L4730">
        <v>195.5009</v>
      </c>
      <c r="M4730">
        <v>7.9634010000000005E-2</v>
      </c>
      <c r="N4730">
        <v>-1.8921839999999999E-2</v>
      </c>
      <c r="O4730">
        <v>-0.99664459999999999</v>
      </c>
      <c r="P4730">
        <v>1.3719530000000001E-2</v>
      </c>
      <c r="Q4730">
        <v>0.1517491</v>
      </c>
      <c r="R4730">
        <v>-0.98832379999999997</v>
      </c>
      <c r="S4730">
        <v>-1.044357</v>
      </c>
      <c r="T4730">
        <v>9.4190360000000001E-2</v>
      </c>
      <c r="U4730">
        <v>-3.0427089999999999</v>
      </c>
      <c r="V4730">
        <v>7.2497729999999996E-2</v>
      </c>
      <c r="W4730">
        <v>0.1673482</v>
      </c>
      <c r="X4730">
        <v>0.98322869999999996</v>
      </c>
      <c r="Y4730">
        <v>0.39860909999999999</v>
      </c>
      <c r="Z4730">
        <v>-4.7850759999999999E-2</v>
      </c>
      <c r="AA4730">
        <v>0.91587169999999896</v>
      </c>
      <c r="AB4730">
        <v>31</v>
      </c>
      <c r="AC4730">
        <v>-28.396100000000001</v>
      </c>
      <c r="AD4730">
        <v>2.5602079999999998</v>
      </c>
      <c r="AE4730">
        <v>-82.525800000000004</v>
      </c>
      <c r="AF4730">
        <v>34.848934201533503</v>
      </c>
      <c r="AG4730">
        <v>2.5602079999999998</v>
      </c>
      <c r="AH4730">
        <v>79.933131543093495</v>
      </c>
      <c r="AI4730">
        <v>88.318258984058104</v>
      </c>
      <c r="AJ4730">
        <v>66.443949411844102</v>
      </c>
      <c r="AK4730">
        <v>87.237081555216903</v>
      </c>
      <c r="AL4730">
        <v>80.366326643292396</v>
      </c>
      <c r="AM4730">
        <v>85.7829641682751</v>
      </c>
      <c r="AN4730">
        <v>1.0000000087010401</v>
      </c>
    </row>
    <row r="4731" spans="1:40" x14ac:dyDescent="0.25">
      <c r="A4731" t="str">
        <f>"20190304154850000"</f>
        <v>20190304154850000</v>
      </c>
      <c r="B4731" t="str">
        <f>"1551685729992190"</f>
        <v>1551685729992190</v>
      </c>
      <c r="C4731" t="s">
        <v>40</v>
      </c>
      <c r="D4731">
        <v>4.8865669999999897</v>
      </c>
      <c r="E4731">
        <v>0.6346598</v>
      </c>
      <c r="F4731" t="s">
        <v>56</v>
      </c>
      <c r="G4731">
        <v>-217.05269999999999</v>
      </c>
      <c r="H4731">
        <v>3.6675550000000001</v>
      </c>
      <c r="I4731">
        <v>112.9751</v>
      </c>
      <c r="J4731">
        <v>-188.2919</v>
      </c>
      <c r="K4731">
        <v>1.092263</v>
      </c>
      <c r="L4731">
        <v>195.32820000000001</v>
      </c>
      <c r="M4731">
        <v>6.8430400000000002E-2</v>
      </c>
      <c r="N4731">
        <v>-1.8918219999999999E-2</v>
      </c>
      <c r="O4731">
        <v>-0.99747660000000005</v>
      </c>
      <c r="P4731">
        <v>8.1085380000000002E-3</v>
      </c>
      <c r="Q4731">
        <v>0.15197759999999999</v>
      </c>
      <c r="R4731">
        <v>-0.98835070000000003</v>
      </c>
      <c r="S4731">
        <v>-1.057709</v>
      </c>
      <c r="T4731">
        <v>9.4729900000000006E-2</v>
      </c>
      <c r="U4731">
        <v>-3.0355829999999999</v>
      </c>
      <c r="V4731">
        <v>6.7019659999999995E-2</v>
      </c>
      <c r="W4731">
        <v>0.16782339999999901</v>
      </c>
      <c r="X4731">
        <v>0.98353630000000003</v>
      </c>
      <c r="Y4731">
        <v>0.39255069999999997</v>
      </c>
      <c r="Z4731">
        <v>-4.8099709999999997E-2</v>
      </c>
      <c r="AA4731">
        <v>0.91847179999999995</v>
      </c>
      <c r="AB4731">
        <v>31</v>
      </c>
      <c r="AC4731">
        <v>-28.7607999999999</v>
      </c>
      <c r="AD4731">
        <v>2.5752919999999899</v>
      </c>
      <c r="AE4731">
        <v>-82.353099999999998</v>
      </c>
      <c r="AF4731">
        <v>34.2999257040901</v>
      </c>
      <c r="AG4731">
        <v>2.5752919999999899</v>
      </c>
      <c r="AH4731">
        <v>80.121687804018407</v>
      </c>
      <c r="AI4731">
        <v>88.307490365547693</v>
      </c>
      <c r="AJ4731">
        <v>66.824334948355698</v>
      </c>
      <c r="AK4731">
        <v>87.192900449267995</v>
      </c>
      <c r="AL4731">
        <v>80.338708934203396</v>
      </c>
      <c r="AM4731">
        <v>86.101804406252</v>
      </c>
      <c r="AN4731">
        <v>0.99999999091588199</v>
      </c>
    </row>
    <row r="4732" spans="1:40" x14ac:dyDescent="0.25">
      <c r="A4732" t="str">
        <f>"20190304154850013"</f>
        <v>20190304154850013</v>
      </c>
      <c r="B4732" t="str">
        <f>"1551685730001954"</f>
        <v>1551685730001954</v>
      </c>
      <c r="C4732" t="s">
        <v>40</v>
      </c>
      <c r="D4732">
        <v>4.8984030000000001</v>
      </c>
      <c r="E4732">
        <v>0.6346598</v>
      </c>
      <c r="F4732" t="s">
        <v>56</v>
      </c>
      <c r="G4732">
        <v>-217.2912</v>
      </c>
      <c r="H4732">
        <v>3.6470929999999999</v>
      </c>
      <c r="I4732">
        <v>112.9751</v>
      </c>
      <c r="J4732">
        <v>-188.2869</v>
      </c>
      <c r="K4732">
        <v>1.0922879999999999</v>
      </c>
      <c r="L4732">
        <v>195.13929999999999</v>
      </c>
      <c r="M4732">
        <v>5.6169160000000003E-2</v>
      </c>
      <c r="N4732">
        <v>-1.8913050000000001E-2</v>
      </c>
      <c r="O4732">
        <v>-0.99824210000000002</v>
      </c>
      <c r="P4732">
        <v>1.4901820000000001E-3</v>
      </c>
      <c r="Q4732">
        <v>0.1518099</v>
      </c>
      <c r="R4732">
        <v>-0.98840870000000003</v>
      </c>
      <c r="S4732">
        <v>-1.0668489999999999</v>
      </c>
      <c r="T4732">
        <v>9.398985E-2</v>
      </c>
      <c r="U4732">
        <v>-3.0296630000000002</v>
      </c>
      <c r="V4732">
        <v>6.1493590000000001E-2</v>
      </c>
      <c r="W4732">
        <v>0.16790379999999999</v>
      </c>
      <c r="X4732">
        <v>0.98388359999999997</v>
      </c>
      <c r="Y4732">
        <v>0.38426189999999999</v>
      </c>
      <c r="Z4732">
        <v>-4.7956949999999998E-2</v>
      </c>
      <c r="AA4732">
        <v>0.92197770000000001</v>
      </c>
      <c r="AB4732">
        <v>31</v>
      </c>
      <c r="AC4732">
        <v>-29.004300000000001</v>
      </c>
      <c r="AD4732">
        <v>2.554805</v>
      </c>
      <c r="AE4732">
        <v>-82.164199999999994</v>
      </c>
      <c r="AF4732">
        <v>33.5455741765035</v>
      </c>
      <c r="AG4732">
        <v>2.554805</v>
      </c>
      <c r="AH4732">
        <v>80.335934616657696</v>
      </c>
      <c r="AI4732">
        <v>88.319087903019906</v>
      </c>
      <c r="AJ4732">
        <v>67.336231833606107</v>
      </c>
      <c r="AK4732">
        <v>87.0958952313553</v>
      </c>
      <c r="AL4732">
        <v>80.334036554631595</v>
      </c>
      <c r="AM4732">
        <v>86.423615448332498</v>
      </c>
      <c r="AN4732">
        <v>1.00000004300724</v>
      </c>
    </row>
    <row r="4733" spans="1:40" x14ac:dyDescent="0.25">
      <c r="A4733" t="str">
        <f>"20190304154850027"</f>
        <v>20190304154850027</v>
      </c>
      <c r="B4733" t="str">
        <f>"1551685730021473"</f>
        <v>1551685730021473</v>
      </c>
      <c r="C4733" t="s">
        <v>40</v>
      </c>
      <c r="D4733">
        <v>4.8549340000000001</v>
      </c>
      <c r="E4733">
        <v>0.61085059999999902</v>
      </c>
      <c r="F4733" t="s">
        <v>56</v>
      </c>
      <c r="G4733">
        <v>-217.7518</v>
      </c>
      <c r="H4733">
        <v>3.6289289999999998</v>
      </c>
      <c r="I4733">
        <v>113.2192</v>
      </c>
      <c r="J4733">
        <v>-188.28489999999999</v>
      </c>
      <c r="K4733">
        <v>1.0923160000000001</v>
      </c>
      <c r="L4733">
        <v>194.93700000000001</v>
      </c>
      <c r="M4733">
        <v>4.3021469999999999E-2</v>
      </c>
      <c r="N4733">
        <v>-1.8904009999999999E-2</v>
      </c>
      <c r="O4733">
        <v>-0.99889539999999999</v>
      </c>
      <c r="P4733">
        <v>-5.7304640000000002E-3</v>
      </c>
      <c r="Q4733">
        <v>0.15193019999999999</v>
      </c>
      <c r="R4733">
        <v>-0.9883748</v>
      </c>
      <c r="S4733">
        <v>-1.0871120000000001</v>
      </c>
      <c r="T4733">
        <v>9.3590499999999993E-2</v>
      </c>
      <c r="U4733">
        <v>-3.022446</v>
      </c>
      <c r="V4733">
        <v>5.5707050000000001E-2</v>
      </c>
      <c r="W4733">
        <v>0.16827839999999999</v>
      </c>
      <c r="X4733">
        <v>0.98416420000000004</v>
      </c>
      <c r="Y4733">
        <v>0.37827549999999999</v>
      </c>
      <c r="Z4733">
        <v>-4.7885120000000003E-2</v>
      </c>
      <c r="AA4733">
        <v>0.92445370000000004</v>
      </c>
      <c r="AB4733">
        <v>31</v>
      </c>
      <c r="AC4733">
        <v>-29.466899999999999</v>
      </c>
      <c r="AD4733">
        <v>2.536613</v>
      </c>
      <c r="AE4733">
        <v>-81.717799999999997</v>
      </c>
      <c r="AF4733">
        <v>32.927779223863901</v>
      </c>
      <c r="AG4733">
        <v>2.536613</v>
      </c>
      <c r="AH4733">
        <v>80.305703518388796</v>
      </c>
      <c r="AI4733">
        <v>88.325973968533702</v>
      </c>
      <c r="AJ4733">
        <v>67.704880036626705</v>
      </c>
      <c r="AK4733">
        <v>86.831325382667401</v>
      </c>
      <c r="AL4733">
        <v>80.312263672846996</v>
      </c>
      <c r="AM4733">
        <v>86.760320452993497</v>
      </c>
      <c r="AN4733">
        <v>1.0000000339439501</v>
      </c>
    </row>
    <row r="4734" spans="1:40" x14ac:dyDescent="0.25">
      <c r="A4734" t="str">
        <f>"20190304154850040"</f>
        <v>20190304154850040</v>
      </c>
      <c r="B4734" t="str">
        <f>"1551685730031233"</f>
        <v>1551685730031233</v>
      </c>
      <c r="C4734" t="s">
        <v>40</v>
      </c>
      <c r="D4734">
        <v>4.8323219999999996</v>
      </c>
      <c r="E4734">
        <v>0.61085059999999902</v>
      </c>
      <c r="F4734" t="s">
        <v>77</v>
      </c>
      <c r="G4734">
        <v>-213.16149999999999</v>
      </c>
      <c r="H4734">
        <v>2.4111009999999999</v>
      </c>
      <c r="I4734">
        <v>113.33069999999999</v>
      </c>
      <c r="J4734">
        <v>-188.28559999999999</v>
      </c>
      <c r="K4734">
        <v>1.0923480000000001</v>
      </c>
      <c r="L4734">
        <v>194.7424</v>
      </c>
      <c r="M4734">
        <v>3.0364390000000002E-2</v>
      </c>
      <c r="N4734">
        <v>-1.8891359999999999E-2</v>
      </c>
      <c r="O4734">
        <v>-0.99936049999999998</v>
      </c>
      <c r="P4734">
        <v>-5.3064969999999899E-3</v>
      </c>
      <c r="Q4734">
        <v>0.1513118</v>
      </c>
      <c r="R4734">
        <v>-0.98847209999999996</v>
      </c>
      <c r="S4734">
        <v>-0.92135619999999996</v>
      </c>
      <c r="T4734">
        <v>4.8844699999999998E-2</v>
      </c>
      <c r="U4734">
        <v>-3.022446</v>
      </c>
      <c r="V4734">
        <v>4.2749349999999998E-2</v>
      </c>
      <c r="W4734">
        <v>0.168232399999999</v>
      </c>
      <c r="X4734">
        <v>0.98481989999999997</v>
      </c>
      <c r="Y4734">
        <v>0.3203241</v>
      </c>
      <c r="Z4734">
        <v>-3.4344199999999998E-2</v>
      </c>
      <c r="AA4734">
        <v>0.94668529999999995</v>
      </c>
      <c r="AB4734">
        <v>31</v>
      </c>
      <c r="AC4734">
        <v>-24.875900000000001</v>
      </c>
      <c r="AD4734">
        <v>1.3187530000000001</v>
      </c>
      <c r="AE4734">
        <v>-81.411699999999996</v>
      </c>
      <c r="AF4734">
        <v>27.3303240733322</v>
      </c>
      <c r="AG4734">
        <v>1.3187530000000001</v>
      </c>
      <c r="AH4734">
        <v>80.599328263256893</v>
      </c>
      <c r="AI4734">
        <v>89.112259262366905</v>
      </c>
      <c r="AJ4734">
        <v>71.268781286385703</v>
      </c>
      <c r="AK4734">
        <v>85.117198261671007</v>
      </c>
      <c r="AL4734">
        <v>80.314936491659907</v>
      </c>
      <c r="AM4734">
        <v>87.514448434674193</v>
      </c>
      <c r="AN4734">
        <v>0.999999941385594</v>
      </c>
    </row>
    <row r="4735" spans="1:40" x14ac:dyDescent="0.25">
      <c r="A4735" t="str">
        <f>"20190304154850064"</f>
        <v>20190304154850064</v>
      </c>
      <c r="B4735" t="str">
        <f>"1551685730051729"</f>
        <v>1551685730051729</v>
      </c>
      <c r="C4735" t="s">
        <v>40</v>
      </c>
      <c r="D4735">
        <v>5.0437390000000004</v>
      </c>
      <c r="E4735">
        <v>0.55738730000000003</v>
      </c>
      <c r="F4735" t="s">
        <v>77</v>
      </c>
      <c r="G4735">
        <v>-212.9203</v>
      </c>
      <c r="H4735">
        <v>2.3593790000000001</v>
      </c>
      <c r="I4735">
        <v>113.8326</v>
      </c>
      <c r="J4735">
        <v>-188.292</v>
      </c>
      <c r="K4735">
        <v>1.0924160000000001</v>
      </c>
      <c r="L4735">
        <v>194.41579999999999</v>
      </c>
      <c r="M4735">
        <v>9.1292830000000002E-3</v>
      </c>
      <c r="N4735">
        <v>-1.8861760000000002E-2</v>
      </c>
      <c r="O4735">
        <v>-0.99978049999999996</v>
      </c>
      <c r="P4735">
        <v>-1.2773899999999999E-2</v>
      </c>
      <c r="Q4735">
        <v>0.15088080000000001</v>
      </c>
      <c r="R4735">
        <v>-0.98846979999999995</v>
      </c>
      <c r="S4735">
        <v>-0.92034910000000003</v>
      </c>
      <c r="T4735">
        <v>4.7337530000000003E-2</v>
      </c>
      <c r="U4735">
        <v>-3.0227659999999998</v>
      </c>
      <c r="V4735">
        <v>2.9191399999999999E-2</v>
      </c>
      <c r="W4735">
        <v>0.16838</v>
      </c>
      <c r="X4735">
        <v>0.98528979999999999</v>
      </c>
      <c r="Y4735">
        <v>0.29981609999999997</v>
      </c>
      <c r="Z4735">
        <v>-3.3840639999999998E-2</v>
      </c>
      <c r="AA4735">
        <v>0.95339660000000004</v>
      </c>
      <c r="AB4735">
        <v>31</v>
      </c>
      <c r="AC4735">
        <v>-24.628299999999999</v>
      </c>
      <c r="AD4735">
        <v>1.2669629999999901</v>
      </c>
      <c r="AE4735">
        <v>-80.583199999999906</v>
      </c>
      <c r="AF4735">
        <v>25.357338264022601</v>
      </c>
      <c r="AG4735">
        <v>1.2669629999999901</v>
      </c>
      <c r="AH4735">
        <v>80.336799644831004</v>
      </c>
      <c r="AI4735">
        <v>89.138378464601402</v>
      </c>
      <c r="AJ4735">
        <v>72.482329291996706</v>
      </c>
      <c r="AK4735">
        <v>84.253196831058901</v>
      </c>
      <c r="AL4735">
        <v>80.306357589002701</v>
      </c>
      <c r="AM4735">
        <v>88.302981615448502</v>
      </c>
      <c r="AN4735">
        <v>0.99999997610899904</v>
      </c>
    </row>
    <row r="4736" spans="1:40" x14ac:dyDescent="0.25">
      <c r="A4736" t="str">
        <f>"20190304154850079"</f>
        <v>20190304154850079</v>
      </c>
      <c r="B4736" t="str">
        <f>"1551685730071249"</f>
        <v>1551685730071249</v>
      </c>
      <c r="C4736" t="s">
        <v>40</v>
      </c>
      <c r="D4736">
        <v>5.062335</v>
      </c>
      <c r="E4736">
        <v>0.51747410000000005</v>
      </c>
      <c r="F4736" t="s">
        <v>55</v>
      </c>
      <c r="G4736">
        <v>-212.23339999999999</v>
      </c>
      <c r="H4736">
        <v>24.7408</v>
      </c>
      <c r="I4736">
        <v>51.46951</v>
      </c>
      <c r="J4736">
        <v>-188.2997</v>
      </c>
      <c r="K4736">
        <v>1.092468</v>
      </c>
      <c r="L4736">
        <v>194.2088</v>
      </c>
      <c r="M4736">
        <v>-4.314783E-3</v>
      </c>
      <c r="N4736">
        <v>-1.8835770000000002E-2</v>
      </c>
      <c r="O4736">
        <v>-0.99981339999999996</v>
      </c>
      <c r="P4736">
        <v>-1.8248090000000002E-2</v>
      </c>
      <c r="Q4736">
        <v>0.15116499999999999</v>
      </c>
      <c r="R4736">
        <v>-0.98834010000000005</v>
      </c>
      <c r="S4736">
        <v>-0.494751</v>
      </c>
      <c r="T4736">
        <v>0.48869560000000001</v>
      </c>
      <c r="U4736">
        <v>-2.9539949999999999</v>
      </c>
      <c r="V4736">
        <v>2.1372550000000001E-2</v>
      </c>
      <c r="W4736">
        <v>0.16898440000000001</v>
      </c>
      <c r="X4736">
        <v>0.98538700000000001</v>
      </c>
      <c r="Y4736">
        <v>0.1584557</v>
      </c>
      <c r="Z4736">
        <v>-0.179641299999999</v>
      </c>
      <c r="AA4736">
        <v>0.97088660000000004</v>
      </c>
      <c r="AB4736">
        <v>31</v>
      </c>
      <c r="AC4736">
        <v>-23.933699999999899</v>
      </c>
      <c r="AD4736">
        <v>23.648332</v>
      </c>
      <c r="AE4736">
        <v>-142.73928999999899</v>
      </c>
      <c r="AF4736">
        <v>22.711145505817999</v>
      </c>
      <c r="AG4736">
        <v>23.648332</v>
      </c>
      <c r="AH4736">
        <v>139.12689205791</v>
      </c>
      <c r="AI4736">
        <v>80.476946175441995</v>
      </c>
      <c r="AJ4736">
        <v>80.728781777337801</v>
      </c>
      <c r="AK4736">
        <v>142.93820983299699</v>
      </c>
      <c r="AL4736">
        <v>80.271225075152898</v>
      </c>
      <c r="AM4736">
        <v>88.757478085189405</v>
      </c>
      <c r="AN4736">
        <v>1.0000000265529301</v>
      </c>
    </row>
    <row r="4737" spans="1:40" x14ac:dyDescent="0.25">
      <c r="A4737" t="str">
        <f>"20190304154850091"</f>
        <v>20190304154850091</v>
      </c>
      <c r="B4737" t="str">
        <f>"1551685730081986"</f>
        <v>1551685730081986</v>
      </c>
      <c r="C4737" t="s">
        <v>40</v>
      </c>
      <c r="D4737">
        <v>4.9638939999999998</v>
      </c>
      <c r="E4737">
        <v>0.51502510000000001</v>
      </c>
      <c r="F4737" t="s">
        <v>79</v>
      </c>
      <c r="G4737">
        <v>-192.83090000000001</v>
      </c>
      <c r="H4737" s="1">
        <v>-5.8146929999999996E-6</v>
      </c>
      <c r="I4737">
        <v>131.2901</v>
      </c>
      <c r="J4737">
        <v>-188.30869999999999</v>
      </c>
      <c r="K4737">
        <v>1.0925260000000001</v>
      </c>
      <c r="L4737">
        <v>194.02070000000001</v>
      </c>
      <c r="M4737">
        <v>-1.651147E-2</v>
      </c>
      <c r="N4737">
        <v>-1.8808539999999999E-2</v>
      </c>
      <c r="O4737">
        <v>-0.99968690000000004</v>
      </c>
      <c r="P4737">
        <v>-2.327181E-2</v>
      </c>
      <c r="Q4737">
        <v>0.1514141</v>
      </c>
      <c r="R4737">
        <v>-0.98819639999999997</v>
      </c>
      <c r="S4737">
        <v>-0.21888730000000001</v>
      </c>
      <c r="T4737">
        <v>-5.2774429999999997E-2</v>
      </c>
      <c r="U4737">
        <v>-3.0394290000000002</v>
      </c>
      <c r="V4737">
        <v>1.433328E-2</v>
      </c>
      <c r="W4737">
        <v>0.1695159</v>
      </c>
      <c r="X4737">
        <v>0.98542320000000005</v>
      </c>
      <c r="Y4737">
        <v>5.5329540000000003E-2</v>
      </c>
      <c r="Z4737">
        <v>-1.4762239999999999E-3</v>
      </c>
      <c r="AA4737">
        <v>0.99846699999999999</v>
      </c>
      <c r="AB4737">
        <v>31</v>
      </c>
      <c r="AC4737">
        <v>-4.5222000000000202</v>
      </c>
      <c r="AD4737">
        <v>-1.0925318146930001</v>
      </c>
      <c r="AE4737">
        <v>-62.730600000000003</v>
      </c>
      <c r="AF4737">
        <v>3.4845742748319899</v>
      </c>
      <c r="AG4737">
        <v>-1.0925318146930001</v>
      </c>
      <c r="AH4737">
        <v>62.777783012091099</v>
      </c>
      <c r="AI4737">
        <v>90.995494924556198</v>
      </c>
      <c r="AJ4737">
        <v>86.822972587227795</v>
      </c>
      <c r="AK4737">
        <v>62.883908303763498</v>
      </c>
      <c r="AL4737">
        <v>80.240326172955307</v>
      </c>
      <c r="AM4737">
        <v>89.166674234248703</v>
      </c>
      <c r="AN4737">
        <v>0.99999998318330396</v>
      </c>
    </row>
    <row r="4738" spans="1:40" x14ac:dyDescent="0.25">
      <c r="A4738" t="str">
        <f>"20190304154850110"</f>
        <v>20190304154850110</v>
      </c>
      <c r="B4738" t="str">
        <f>"1551685730101504"</f>
        <v>1551685730101504</v>
      </c>
      <c r="C4738" t="s">
        <v>40</v>
      </c>
      <c r="D4738">
        <v>5.0138389999999999</v>
      </c>
      <c r="E4738">
        <v>0.51274960000000003</v>
      </c>
      <c r="F4738" t="s">
        <v>79</v>
      </c>
      <c r="G4738">
        <v>-191.90180000000001</v>
      </c>
      <c r="H4738" s="1">
        <v>-9.3645660000000004E-6</v>
      </c>
      <c r="I4738">
        <v>143.2921</v>
      </c>
      <c r="J4738">
        <v>-188.3263</v>
      </c>
      <c r="K4738">
        <v>1.0926370000000001</v>
      </c>
      <c r="L4738">
        <v>193.7525</v>
      </c>
      <c r="M4738">
        <v>-3.3837829999999999E-2</v>
      </c>
      <c r="N4738">
        <v>-1.875684E-2</v>
      </c>
      <c r="O4738">
        <v>-0.99925149999999996</v>
      </c>
      <c r="P4738">
        <v>-2.6062209999999999E-2</v>
      </c>
      <c r="Q4738">
        <v>0.152633399999999</v>
      </c>
      <c r="R4738">
        <v>-0.98793949999999997</v>
      </c>
      <c r="S4738">
        <v>-0.21537780000000001</v>
      </c>
      <c r="T4738">
        <v>-6.5488930000000001E-2</v>
      </c>
      <c r="U4738">
        <v>-3.0407869999999999</v>
      </c>
      <c r="V4738" s="1">
        <v>1.798609E-5</v>
      </c>
      <c r="W4738">
        <v>0.17130229999999999</v>
      </c>
      <c r="X4738">
        <v>0.9852185</v>
      </c>
      <c r="Y4738">
        <v>3.6838799999999998E-2</v>
      </c>
      <c r="Z4738">
        <v>2.7453099999999999E-3</v>
      </c>
      <c r="AA4738">
        <v>0.99931749999999997</v>
      </c>
      <c r="AB4738">
        <v>31</v>
      </c>
      <c r="AC4738">
        <v>-3.5754999999999999</v>
      </c>
      <c r="AD4738">
        <v>-1.0926463645660001</v>
      </c>
      <c r="AE4738">
        <v>-50.4603999999999</v>
      </c>
      <c r="AF4738">
        <v>1.86481117169633</v>
      </c>
      <c r="AG4738">
        <v>-1.0926463645660001</v>
      </c>
      <c r="AH4738">
        <v>50.528928006228703</v>
      </c>
      <c r="AI4738">
        <v>91.237938370042997</v>
      </c>
      <c r="AJ4738">
        <v>87.886411919714902</v>
      </c>
      <c r="AK4738">
        <v>50.575131855910399</v>
      </c>
      <c r="AL4738">
        <v>80.136453697289497</v>
      </c>
      <c r="AM4738">
        <v>89.998954011676702</v>
      </c>
      <c r="AN4738">
        <v>0.99999998552551905</v>
      </c>
    </row>
    <row r="4739" spans="1:40" x14ac:dyDescent="0.25">
      <c r="A4739" t="str">
        <f>"20190304154850123"</f>
        <v>20190304154850123</v>
      </c>
      <c r="B4739" t="str">
        <f>"1551685730111266"</f>
        <v>1551685730111266</v>
      </c>
      <c r="C4739" t="s">
        <v>40</v>
      </c>
      <c r="D4739">
        <v>4.8655879999999998</v>
      </c>
      <c r="E4739">
        <v>0.5133276</v>
      </c>
      <c r="F4739" t="s">
        <v>79</v>
      </c>
      <c r="G4739">
        <v>-191.1799</v>
      </c>
      <c r="H4739" s="1">
        <v>-1.186305E-5</v>
      </c>
      <c r="I4739">
        <v>151.85120000000001</v>
      </c>
      <c r="J4739">
        <v>-188.34119999999999</v>
      </c>
      <c r="K4739">
        <v>1.0927249999999999</v>
      </c>
      <c r="L4739">
        <v>193.57409999999999</v>
      </c>
      <c r="M4739">
        <v>-4.5290619999999997E-2</v>
      </c>
      <c r="N4739">
        <v>-1.8712900000000001E-2</v>
      </c>
      <c r="O4739">
        <v>-0.99879850000000003</v>
      </c>
      <c r="P4739">
        <v>-3.0597050000000001E-2</v>
      </c>
      <c r="Q4739">
        <v>0.15355189999999999</v>
      </c>
      <c r="R4739">
        <v>-0.98766659999999995</v>
      </c>
      <c r="S4739">
        <v>-0.2072601</v>
      </c>
      <c r="T4739">
        <v>-7.9362150000000006E-2</v>
      </c>
      <c r="U4739">
        <v>-3.0434109999999999</v>
      </c>
      <c r="V4739">
        <v>-6.7595830000000004E-3</v>
      </c>
      <c r="W4739">
        <v>0.17246489999999901</v>
      </c>
      <c r="X4739">
        <v>0.98499239999999999</v>
      </c>
      <c r="Y4739">
        <v>2.266897E-2</v>
      </c>
      <c r="Z4739">
        <v>7.3120040000000004E-3</v>
      </c>
      <c r="AA4739">
        <v>0.9997163</v>
      </c>
      <c r="AB4739">
        <v>31</v>
      </c>
      <c r="AC4739">
        <v>-2.83870000000001</v>
      </c>
      <c r="AD4739">
        <v>-1.0927368630499901</v>
      </c>
      <c r="AE4739">
        <v>-41.722899999999903</v>
      </c>
      <c r="AF4739">
        <v>0.94515364596872198</v>
      </c>
      <c r="AG4739">
        <v>-1.0927368630499901</v>
      </c>
      <c r="AH4739">
        <v>41.780133827000498</v>
      </c>
      <c r="AI4739">
        <v>91.497815615213995</v>
      </c>
      <c r="AJ4739">
        <v>88.704071170371293</v>
      </c>
      <c r="AK4739">
        <v>41.805107007020403</v>
      </c>
      <c r="AL4739">
        <v>80.068834723550296</v>
      </c>
      <c r="AM4739">
        <v>90.3931903408144</v>
      </c>
      <c r="AN4739">
        <v>0.99999993087604899</v>
      </c>
    </row>
    <row r="4740" spans="1:40" x14ac:dyDescent="0.25">
      <c r="A4740" t="str">
        <f>"20190304154850137"</f>
        <v>20190304154850137</v>
      </c>
      <c r="B4740" t="str">
        <f>"1551685730131761"</f>
        <v>1551685730131761</v>
      </c>
      <c r="C4740" t="s">
        <v>40</v>
      </c>
      <c r="D4740">
        <v>4.8549959999999999</v>
      </c>
      <c r="E4740">
        <v>0.51401169999999996</v>
      </c>
      <c r="F4740" t="s">
        <v>79</v>
      </c>
      <c r="G4740">
        <v>-191.6397</v>
      </c>
      <c r="H4740" s="1">
        <v>-1.087069E-5</v>
      </c>
      <c r="I4740">
        <v>149.17949999999999</v>
      </c>
      <c r="J4740">
        <v>-188.3596</v>
      </c>
      <c r="K4740">
        <v>1.09284</v>
      </c>
      <c r="L4740">
        <v>193.37459999999999</v>
      </c>
      <c r="M4740">
        <v>-5.8035320000000001E-2</v>
      </c>
      <c r="N4740">
        <v>-1.865851E-2</v>
      </c>
      <c r="O4740">
        <v>-0.99814040000000004</v>
      </c>
      <c r="P4740">
        <v>-3.6829809999999998E-2</v>
      </c>
      <c r="Q4740">
        <v>0.1546729</v>
      </c>
      <c r="R4740">
        <v>-0.98727940000000003</v>
      </c>
      <c r="S4740">
        <v>-0.22602839999999999</v>
      </c>
      <c r="T4740">
        <v>-7.4878689999999998E-2</v>
      </c>
      <c r="U4740">
        <v>-3.0420989999999999</v>
      </c>
      <c r="V4740">
        <v>-1.3119520000000001E-2</v>
      </c>
      <c r="W4740">
        <v>0.17379639999999999</v>
      </c>
      <c r="X4740">
        <v>0.98469419999999996</v>
      </c>
      <c r="Y4740">
        <v>1.6077379999999999E-2</v>
      </c>
      <c r="Z4740">
        <v>5.8921889999999999E-3</v>
      </c>
      <c r="AA4740">
        <v>0.9998534</v>
      </c>
      <c r="AB4740">
        <v>31</v>
      </c>
      <c r="AC4740">
        <v>-3.2801</v>
      </c>
      <c r="AD4740">
        <v>-1.09285087069</v>
      </c>
      <c r="AE4740">
        <v>-44.195099999999996</v>
      </c>
      <c r="AF4740">
        <v>0.70881580471115102</v>
      </c>
      <c r="AG4740">
        <v>-1.09285087069</v>
      </c>
      <c r="AH4740">
        <v>44.284049399603298</v>
      </c>
      <c r="AI4740">
        <v>91.413489105188404</v>
      </c>
      <c r="AJ4740">
        <v>89.0829951884797</v>
      </c>
      <c r="AK4740">
        <v>44.303202752138397</v>
      </c>
      <c r="AL4740">
        <v>79.991376249329804</v>
      </c>
      <c r="AM4740">
        <v>90.763332059065903</v>
      </c>
      <c r="AN4740">
        <v>0.99999998898581499</v>
      </c>
    </row>
    <row r="4741" spans="1:40" x14ac:dyDescent="0.25">
      <c r="A4741" t="str">
        <f>"20190304154850153"</f>
        <v>20190304154850153</v>
      </c>
      <c r="B4741" t="str">
        <f>"1551685730141522"</f>
        <v>1551685730141522</v>
      </c>
      <c r="C4741" t="s">
        <v>40</v>
      </c>
      <c r="D4741">
        <v>4.7874470000000002</v>
      </c>
      <c r="E4741">
        <v>0.51435980000000003</v>
      </c>
      <c r="F4741" t="s">
        <v>79</v>
      </c>
      <c r="G4741">
        <v>-192.2954</v>
      </c>
      <c r="H4741" s="1">
        <v>-1.0038989999999999E-5</v>
      </c>
      <c r="I4741">
        <v>145.5847</v>
      </c>
      <c r="J4741">
        <v>-188.38200000000001</v>
      </c>
      <c r="K4741">
        <v>1.0929949999999999</v>
      </c>
      <c r="L4741">
        <v>193.1591</v>
      </c>
      <c r="M4741">
        <v>-7.1688569999999993E-2</v>
      </c>
      <c r="N4741">
        <v>-1.8591429999999999E-2</v>
      </c>
      <c r="O4741">
        <v>-0.99725390000000003</v>
      </c>
      <c r="P4741">
        <v>-3.816978E-2</v>
      </c>
      <c r="Q4741">
        <v>0.15716340000000001</v>
      </c>
      <c r="R4741">
        <v>-0.98683469999999995</v>
      </c>
      <c r="S4741">
        <v>-0.25038149999999998</v>
      </c>
      <c r="T4741">
        <v>-6.9522619999999993E-2</v>
      </c>
      <c r="U4741">
        <v>-3.0401919999999998</v>
      </c>
      <c r="V4741">
        <v>-2.5214319999999998E-2</v>
      </c>
      <c r="W4741">
        <v>0.17671500000000001</v>
      </c>
      <c r="X4741">
        <v>0.98393909999999996</v>
      </c>
      <c r="Y4741">
        <v>1.040423E-2</v>
      </c>
      <c r="Z4741">
        <v>4.1988659999999999E-3</v>
      </c>
      <c r="AA4741">
        <v>0.99993710000000002</v>
      </c>
      <c r="AB4741">
        <v>31</v>
      </c>
      <c r="AC4741">
        <v>-3.91339999999999</v>
      </c>
      <c r="AD4741">
        <v>-1.0930050389899999</v>
      </c>
      <c r="AE4741">
        <v>-47.574399999999997</v>
      </c>
      <c r="AF4741">
        <v>0.49193980191662801</v>
      </c>
      <c r="AG4741">
        <v>-1.0930050389899999</v>
      </c>
      <c r="AH4741">
        <v>47.707533868788801</v>
      </c>
      <c r="AI4741">
        <v>91.312377514753805</v>
      </c>
      <c r="AJ4741">
        <v>89.409211224991395</v>
      </c>
      <c r="AK4741">
        <v>47.722588494607002</v>
      </c>
      <c r="AL4741">
        <v>79.821524561906799</v>
      </c>
      <c r="AM4741">
        <v>91.467934358105893</v>
      </c>
      <c r="AN4741">
        <v>1.0000000528334301</v>
      </c>
    </row>
    <row r="4742" spans="1:40" x14ac:dyDescent="0.25">
      <c r="A4742" t="str">
        <f>"20190304154850176"</f>
        <v>20190304154850176</v>
      </c>
      <c r="B4742" t="str">
        <f>"1551685730171778"</f>
        <v>1551685730171778</v>
      </c>
      <c r="C4742" t="s">
        <v>40</v>
      </c>
      <c r="D4742">
        <v>4.9837360000000004</v>
      </c>
      <c r="E4742">
        <v>0.51447690000000001</v>
      </c>
      <c r="F4742" t="s">
        <v>79</v>
      </c>
      <c r="G4742">
        <v>-192.58150000000001</v>
      </c>
      <c r="H4742" s="1">
        <v>-9.5800399999999992E-6</v>
      </c>
      <c r="I4742">
        <v>143.65190000000001</v>
      </c>
      <c r="J4742">
        <v>-188.42250000000001</v>
      </c>
      <c r="K4742">
        <v>1.0932729999999999</v>
      </c>
      <c r="L4742">
        <v>192.83250000000001</v>
      </c>
      <c r="M4742">
        <v>-9.2031130000000003E-2</v>
      </c>
      <c r="N4742">
        <v>-1.8460270000000001E-2</v>
      </c>
      <c r="O4742">
        <v>-0.99558519999999995</v>
      </c>
      <c r="P4742">
        <v>-4.7186489999999998E-2</v>
      </c>
      <c r="Q4742">
        <v>0.15898289999999901</v>
      </c>
      <c r="R4742">
        <v>-0.98615350000000002</v>
      </c>
      <c r="S4742">
        <v>-0.25793460000000001</v>
      </c>
      <c r="T4742">
        <v>-6.7132949999999997E-2</v>
      </c>
      <c r="U4742">
        <v>-3.040756</v>
      </c>
      <c r="V4742">
        <v>-3.6361009999999999E-2</v>
      </c>
      <c r="W4742">
        <v>0.17883499999999999</v>
      </c>
      <c r="X4742">
        <v>0.98320689999999999</v>
      </c>
      <c r="Y4742">
        <v>-7.5516869999999996E-3</v>
      </c>
      <c r="Z4742">
        <v>3.5047780000000001E-3</v>
      </c>
      <c r="AA4742">
        <v>0.9999654</v>
      </c>
      <c r="AB4742">
        <v>31</v>
      </c>
      <c r="AC4742">
        <v>-4.15899999999999</v>
      </c>
      <c r="AD4742">
        <v>-1.0932825800399999</v>
      </c>
      <c r="AE4742">
        <v>-49.180599999999998</v>
      </c>
      <c r="AF4742">
        <v>-0.385383878414359</v>
      </c>
      <c r="AG4742">
        <v>-1.0932825800399999</v>
      </c>
      <c r="AH4742">
        <v>49.330430783568097</v>
      </c>
      <c r="AI4742">
        <v>91.269567554651005</v>
      </c>
      <c r="AJ4742">
        <v>90.447602426704506</v>
      </c>
      <c r="AK4742">
        <v>49.344049173390403</v>
      </c>
      <c r="AL4742">
        <v>79.698090211331504</v>
      </c>
      <c r="AM4742">
        <v>92.117950370843005</v>
      </c>
      <c r="AN4742">
        <v>0.99999994424041305</v>
      </c>
    </row>
    <row r="4743" spans="1:40" x14ac:dyDescent="0.25">
      <c r="A4743" t="str">
        <f>"20190304154850188"</f>
        <v>20190304154850188</v>
      </c>
      <c r="B4743" t="str">
        <f>"1551685730181538"</f>
        <v>1551685730181538</v>
      </c>
      <c r="C4743" t="s">
        <v>40</v>
      </c>
      <c r="D4743">
        <v>4.7544659999999999</v>
      </c>
      <c r="E4743">
        <v>0.51451999999999998</v>
      </c>
      <c r="F4743" t="s">
        <v>79</v>
      </c>
      <c r="G4743">
        <v>-193.61689999999999</v>
      </c>
      <c r="H4743" s="1">
        <v>-7.9511170000000007E-6</v>
      </c>
      <c r="I4743">
        <v>137.66329999999999</v>
      </c>
      <c r="J4743">
        <v>-188.44630000000001</v>
      </c>
      <c r="K4743">
        <v>1.0934489999999999</v>
      </c>
      <c r="L4743">
        <v>192.66050000000001</v>
      </c>
      <c r="M4743">
        <v>-0.1025829</v>
      </c>
      <c r="N4743">
        <v>-1.838097E-2</v>
      </c>
      <c r="O4743">
        <v>-0.99455459999999996</v>
      </c>
      <c r="P4743">
        <v>-5.2695529999999997E-2</v>
      </c>
      <c r="Q4743">
        <v>0.15915699999999999</v>
      </c>
      <c r="R4743">
        <v>-0.985846</v>
      </c>
      <c r="S4743">
        <v>-0.28605649999999999</v>
      </c>
      <c r="T4743">
        <v>-6.0206889999999999E-2</v>
      </c>
      <c r="U4743">
        <v>-3.0381619999999998</v>
      </c>
      <c r="V4743">
        <v>-4.1376250000000003E-2</v>
      </c>
      <c r="W4743">
        <v>0.1791141</v>
      </c>
      <c r="X4743">
        <v>0.98295779999999999</v>
      </c>
      <c r="Y4743">
        <v>-8.9002079999999997E-3</v>
      </c>
      <c r="Z4743">
        <v>1.3205510000000001E-3</v>
      </c>
      <c r="AA4743">
        <v>0.9999595</v>
      </c>
      <c r="AB4743">
        <v>31</v>
      </c>
      <c r="AC4743">
        <v>-5.1705999999999701</v>
      </c>
      <c r="AD4743">
        <v>-1.09345695111699</v>
      </c>
      <c r="AE4743">
        <v>-54.997199999999999</v>
      </c>
      <c r="AF4743">
        <v>-0.49921702565526799</v>
      </c>
      <c r="AG4743">
        <v>-1.09345695111699</v>
      </c>
      <c r="AH4743">
        <v>55.215831091278403</v>
      </c>
      <c r="AI4743">
        <v>91.134452197701293</v>
      </c>
      <c r="AJ4743">
        <v>90.518008128040606</v>
      </c>
      <c r="AK4743">
        <v>55.228913341140803</v>
      </c>
      <c r="AL4743">
        <v>79.681836536954506</v>
      </c>
      <c r="AM4743">
        <v>92.410363700333704</v>
      </c>
      <c r="AN4743">
        <v>0.99999994573185402</v>
      </c>
    </row>
    <row r="4744" spans="1:40" x14ac:dyDescent="0.25">
      <c r="A4744" t="str">
        <f>"20190304154850201"</f>
        <v>20190304154850201</v>
      </c>
      <c r="B4744" t="str">
        <f>"1551685730191298"</f>
        <v>1551685730191298</v>
      </c>
      <c r="C4744" t="s">
        <v>40</v>
      </c>
      <c r="D4744">
        <v>4.873793</v>
      </c>
      <c r="E4744">
        <v>0.51452299999999995</v>
      </c>
      <c r="F4744" t="s">
        <v>79</v>
      </c>
      <c r="G4744">
        <v>-193.6354</v>
      </c>
      <c r="H4744" s="1">
        <v>-8.8813120000000003E-6</v>
      </c>
      <c r="I4744">
        <v>140.63419999999999</v>
      </c>
      <c r="J4744">
        <v>-188.47290000000001</v>
      </c>
      <c r="K4744">
        <v>1.093658</v>
      </c>
      <c r="L4744">
        <v>192.4838</v>
      </c>
      <c r="M4744">
        <v>-0.1132452</v>
      </c>
      <c r="N4744">
        <v>-1.828981E-2</v>
      </c>
      <c r="O4744">
        <v>-0.99339880000000003</v>
      </c>
      <c r="P4744">
        <v>-5.8743160000000003E-2</v>
      </c>
      <c r="Q4744">
        <v>0.15919159999999999</v>
      </c>
      <c r="R4744">
        <v>-0.98549850000000006</v>
      </c>
      <c r="S4744">
        <v>-0.3029327</v>
      </c>
      <c r="T4744">
        <v>-6.3834070000000007E-2</v>
      </c>
      <c r="U4744">
        <v>-3.037201</v>
      </c>
      <c r="V4744">
        <v>-4.5993109999999997E-2</v>
      </c>
      <c r="W4744">
        <v>0.17921779999999901</v>
      </c>
      <c r="X4744">
        <v>0.98273370000000004</v>
      </c>
      <c r="Y4744">
        <v>-1.409057E-2</v>
      </c>
      <c r="Z4744">
        <v>2.5716060000000002E-3</v>
      </c>
      <c r="AA4744">
        <v>0.99989740000000005</v>
      </c>
      <c r="AB4744">
        <v>31</v>
      </c>
      <c r="AC4744">
        <v>-5.1624999999999899</v>
      </c>
      <c r="AD4744">
        <v>-1.0936668813120001</v>
      </c>
      <c r="AE4744">
        <v>-51.849600000000002</v>
      </c>
      <c r="AF4744">
        <v>-0.74309393837873905</v>
      </c>
      <c r="AG4744">
        <v>-1.0936668813120001</v>
      </c>
      <c r="AH4744">
        <v>52.077726555801902</v>
      </c>
      <c r="AI4744">
        <v>91.202950200839396</v>
      </c>
      <c r="AJ4744">
        <v>90.817494542884504</v>
      </c>
      <c r="AK4744">
        <v>52.094509298671802</v>
      </c>
      <c r="AL4744">
        <v>79.675797344220399</v>
      </c>
      <c r="AM4744">
        <v>92.679555612322702</v>
      </c>
      <c r="AN4744">
        <v>0.99999995555999999</v>
      </c>
    </row>
    <row r="4745" spans="1:40" x14ac:dyDescent="0.25">
      <c r="A4745" t="str">
        <f>"20190304154850213"</f>
        <v>20190304154850213</v>
      </c>
      <c r="B4745" t="str">
        <f>"1551685730202034"</f>
        <v>1551685730202034</v>
      </c>
      <c r="C4745" t="s">
        <v>40</v>
      </c>
      <c r="D4745">
        <v>4.8599389999999998</v>
      </c>
      <c r="E4745">
        <v>0.51456709999999894</v>
      </c>
      <c r="F4745" t="s">
        <v>79</v>
      </c>
      <c r="G4745">
        <v>-193.98099999999999</v>
      </c>
      <c r="H4745" s="1">
        <v>-8.8605589999999905E-6</v>
      </c>
      <c r="I4745">
        <v>140.39760000000001</v>
      </c>
      <c r="J4745">
        <v>-188.49969999999999</v>
      </c>
      <c r="K4745">
        <v>1.0938760000000001</v>
      </c>
      <c r="L4745">
        <v>192.31370000000001</v>
      </c>
      <c r="M4745">
        <v>-0.1233981</v>
      </c>
      <c r="N4745">
        <v>-1.819981E-2</v>
      </c>
      <c r="O4745">
        <v>-0.99219040000000003</v>
      </c>
      <c r="P4745">
        <v>-6.4098299999999997E-2</v>
      </c>
      <c r="Q4745">
        <v>0.15919220000000001</v>
      </c>
      <c r="R4745">
        <v>-0.98516459999999995</v>
      </c>
      <c r="S4745">
        <v>-0.32098389999999999</v>
      </c>
      <c r="T4745">
        <v>-6.3733460000000006E-2</v>
      </c>
      <c r="U4745">
        <v>-3.0353240000000001</v>
      </c>
      <c r="V4745">
        <v>-5.081285E-2</v>
      </c>
      <c r="W4745">
        <v>0.17929049999999999</v>
      </c>
      <c r="X4745">
        <v>0.98248310000000005</v>
      </c>
      <c r="Y4745">
        <v>-1.836894E-2</v>
      </c>
      <c r="Z4745">
        <v>2.612198E-3</v>
      </c>
      <c r="AA4745">
        <v>0.99982789999999999</v>
      </c>
      <c r="AB4745">
        <v>31</v>
      </c>
      <c r="AC4745">
        <v>-5.4813000000000001</v>
      </c>
      <c r="AD4745">
        <v>-1.0938848605589999</v>
      </c>
      <c r="AE4745">
        <v>-51.9161</v>
      </c>
      <c r="AF4745">
        <v>-0.96759030623455899</v>
      </c>
      <c r="AG4745">
        <v>-1.0938848605589999</v>
      </c>
      <c r="AH4745">
        <v>52.172773214777401</v>
      </c>
      <c r="AI4745">
        <v>91.200914373626205</v>
      </c>
      <c r="AJ4745">
        <v>91.062479195175996</v>
      </c>
      <c r="AK4745">
        <v>52.193209136912301</v>
      </c>
      <c r="AL4745">
        <v>79.671564196404304</v>
      </c>
      <c r="AM4745">
        <v>92.960631286480194</v>
      </c>
      <c r="AN4745">
        <v>1.0000000354504901</v>
      </c>
    </row>
    <row r="4746" spans="1:40" x14ac:dyDescent="0.25">
      <c r="A4746" t="str">
        <f>"20190304154850225"</f>
        <v>20190304154850225</v>
      </c>
      <c r="B4746" t="str">
        <f>"1551685730221554"</f>
        <v>1551685730221554</v>
      </c>
      <c r="C4746" t="s">
        <v>40</v>
      </c>
      <c r="D4746">
        <v>4.8587249999999997</v>
      </c>
      <c r="E4746">
        <v>0.51456459999999904</v>
      </c>
      <c r="F4746" t="s">
        <v>79</v>
      </c>
      <c r="G4746">
        <v>-194.2773</v>
      </c>
      <c r="H4746" s="1">
        <v>-8.8852960000000002E-6</v>
      </c>
      <c r="I4746">
        <v>140.33770000000001</v>
      </c>
      <c r="J4746">
        <v>-188.5284</v>
      </c>
      <c r="K4746">
        <v>1.094141</v>
      </c>
      <c r="L4746">
        <v>192.1464</v>
      </c>
      <c r="M4746">
        <v>-0.13311190000000001</v>
      </c>
      <c r="N4746">
        <v>-1.8099649999999998E-2</v>
      </c>
      <c r="O4746">
        <v>-0.99093589999999998</v>
      </c>
      <c r="P4746">
        <v>-6.9436010000000006E-2</v>
      </c>
      <c r="Q4746">
        <v>0.15922320000000001</v>
      </c>
      <c r="R4746">
        <v>-0.98479799999999995</v>
      </c>
      <c r="S4746">
        <v>-0.337204</v>
      </c>
      <c r="T4746">
        <v>-6.3843730000000001E-2</v>
      </c>
      <c r="U4746">
        <v>-3.0335390000000002</v>
      </c>
      <c r="V4746">
        <v>-5.5241640000000002E-2</v>
      </c>
      <c r="W4746">
        <v>0.1793553</v>
      </c>
      <c r="X4746">
        <v>0.9822322</v>
      </c>
      <c r="Y4746">
        <v>-2.2816360000000001E-2</v>
      </c>
      <c r="Z4746">
        <v>2.7291279999999999E-3</v>
      </c>
      <c r="AA4746">
        <v>0.99973599999999996</v>
      </c>
      <c r="AB4746">
        <v>31</v>
      </c>
      <c r="AC4746">
        <v>-5.7488999999999901</v>
      </c>
      <c r="AD4746">
        <v>-1.0941498852959901</v>
      </c>
      <c r="AE4746">
        <v>-51.808699999999902</v>
      </c>
      <c r="AF4746">
        <v>-1.1992310654721201</v>
      </c>
      <c r="AG4746">
        <v>-1.0941498852959901</v>
      </c>
      <c r="AH4746">
        <v>52.0899255638803</v>
      </c>
      <c r="AI4746">
        <v>91.203003318867601</v>
      </c>
      <c r="AJ4746">
        <v>91.318848938254902</v>
      </c>
      <c r="AK4746">
        <v>52.115215286617399</v>
      </c>
      <c r="AL4746">
        <v>79.667790183621406</v>
      </c>
      <c r="AM4746">
        <v>93.218976141691698</v>
      </c>
      <c r="AN4746">
        <v>1.0000000285724</v>
      </c>
    </row>
    <row r="4747" spans="1:40" x14ac:dyDescent="0.25">
      <c r="A4747" t="str">
        <f>"20190304154850237"</f>
        <v>20190304154850237</v>
      </c>
      <c r="B4747" t="str">
        <f>"1551685730231314"</f>
        <v>1551685730231314</v>
      </c>
      <c r="C4747" t="s">
        <v>40</v>
      </c>
      <c r="D4747">
        <v>4.8501089999999998</v>
      </c>
      <c r="E4747">
        <v>0.51454440000000001</v>
      </c>
      <c r="F4747" t="s">
        <v>79</v>
      </c>
      <c r="G4747">
        <v>-194.61349999999999</v>
      </c>
      <c r="H4747" s="1">
        <v>-8.8136339999999994E-6</v>
      </c>
      <c r="I4747">
        <v>139.93450000000001</v>
      </c>
      <c r="J4747">
        <v>-188.55709999999999</v>
      </c>
      <c r="K4747">
        <v>1.094433</v>
      </c>
      <c r="L4747">
        <v>191.98500000000001</v>
      </c>
      <c r="M4747">
        <v>-0.14229530000000001</v>
      </c>
      <c r="N4747">
        <v>-1.7997840000000001E-2</v>
      </c>
      <c r="O4747">
        <v>-0.98966069999999995</v>
      </c>
      <c r="P4747">
        <v>-7.4684929999999997E-2</v>
      </c>
      <c r="Q4747">
        <v>0.1595356</v>
      </c>
      <c r="R4747">
        <v>-0.98436310000000005</v>
      </c>
      <c r="S4747">
        <v>-0.35333249999999999</v>
      </c>
      <c r="T4747">
        <v>-6.3531760000000007E-2</v>
      </c>
      <c r="U4747">
        <v>-3.0316770000000002</v>
      </c>
      <c r="V4747">
        <v>-5.9232359999999998E-2</v>
      </c>
      <c r="W4747">
        <v>0.17967379999999999</v>
      </c>
      <c r="X4747">
        <v>0.98194139999999996</v>
      </c>
      <c r="Y4747">
        <v>-2.6767590000000001E-2</v>
      </c>
      <c r="Z4747">
        <v>2.71069E-3</v>
      </c>
      <c r="AA4747">
        <v>0.99963800000000003</v>
      </c>
      <c r="AB4747">
        <v>31</v>
      </c>
      <c r="AC4747">
        <v>-6.0563999999999902</v>
      </c>
      <c r="AD4747">
        <v>-1.0944418136339999</v>
      </c>
      <c r="AE4747">
        <v>-52.0505</v>
      </c>
      <c r="AF4747">
        <v>-1.41237310217511</v>
      </c>
      <c r="AG4747">
        <v>-1.0944418136339999</v>
      </c>
      <c r="AH4747">
        <v>52.359771716761799</v>
      </c>
      <c r="AI4747">
        <v>91.197006286854005</v>
      </c>
      <c r="AJ4747">
        <v>91.545144234805306</v>
      </c>
      <c r="AK4747">
        <v>52.390249998397501</v>
      </c>
      <c r="AL4747">
        <v>79.649240153199997</v>
      </c>
      <c r="AM4747">
        <v>93.451995097691395</v>
      </c>
      <c r="AN4747">
        <v>1.0000000299557801</v>
      </c>
    </row>
    <row r="4748" spans="1:40" x14ac:dyDescent="0.25">
      <c r="A4748" t="str">
        <f>"20190304154850248"</f>
        <v>20190304154850248</v>
      </c>
      <c r="B4748" t="str">
        <f>"1551685730242049"</f>
        <v>1551685730242049</v>
      </c>
      <c r="C4748" t="s">
        <v>40</v>
      </c>
      <c r="D4748">
        <v>5.0856120000000002</v>
      </c>
      <c r="E4748">
        <v>0.51424720000000002</v>
      </c>
      <c r="F4748" t="s">
        <v>79</v>
      </c>
      <c r="G4748">
        <v>-194.97499999999999</v>
      </c>
      <c r="H4748" s="1">
        <v>-8.6742110000000008E-6</v>
      </c>
      <c r="I4748">
        <v>139.3141</v>
      </c>
      <c r="J4748">
        <v>-188.5898</v>
      </c>
      <c r="K4748">
        <v>1.094781</v>
      </c>
      <c r="L4748">
        <v>191.81</v>
      </c>
      <c r="M4748">
        <v>-0.15203220000000001</v>
      </c>
      <c r="N4748">
        <v>-1.7880730000000001E-2</v>
      </c>
      <c r="O4748">
        <v>-0.98821400000000004</v>
      </c>
      <c r="P4748">
        <v>-8.0952960000000004E-2</v>
      </c>
      <c r="Q4748">
        <v>0.16038459999999999</v>
      </c>
      <c r="R4748">
        <v>-0.98372959999999998</v>
      </c>
      <c r="S4748">
        <v>-0.36918640000000003</v>
      </c>
      <c r="T4748">
        <v>-6.2957050000000001E-2</v>
      </c>
      <c r="U4748">
        <v>-3.0298609999999999</v>
      </c>
      <c r="V4748">
        <v>-6.2757660000000007E-2</v>
      </c>
      <c r="W4748">
        <v>0.18047959999999999</v>
      </c>
      <c r="X4748">
        <v>0.98157450000000002</v>
      </c>
      <c r="Y4748">
        <v>-3.1381550000000001E-2</v>
      </c>
      <c r="Z4748">
        <v>2.6179139999999998E-3</v>
      </c>
      <c r="AA4748">
        <v>0.99950399999999995</v>
      </c>
      <c r="AB4748">
        <v>31</v>
      </c>
      <c r="AC4748">
        <v>-6.3851999999999904</v>
      </c>
      <c r="AD4748">
        <v>-1.0947896742109999</v>
      </c>
      <c r="AE4748">
        <v>-52.495899999999999</v>
      </c>
      <c r="AF4748">
        <v>-1.6706739756981701</v>
      </c>
      <c r="AG4748">
        <v>-1.0947896742109999</v>
      </c>
      <c r="AH4748">
        <v>52.833735014853502</v>
      </c>
      <c r="AI4748">
        <v>91.186486789589296</v>
      </c>
      <c r="AJ4748">
        <v>91.811166335458495</v>
      </c>
      <c r="AK4748">
        <v>52.871478810258303</v>
      </c>
      <c r="AL4748">
        <v>79.602303133969897</v>
      </c>
      <c r="AM4748">
        <v>93.6582668913654</v>
      </c>
      <c r="AN4748">
        <v>0.99999995447754098</v>
      </c>
    </row>
    <row r="4749" spans="1:40" x14ac:dyDescent="0.25">
      <c r="A4749" t="str">
        <f>"20190304154850265"</f>
        <v>20190304154850265</v>
      </c>
      <c r="B4749" t="str">
        <f>"1551685730261570"</f>
        <v>1551685730261570</v>
      </c>
      <c r="C4749" t="s">
        <v>40</v>
      </c>
      <c r="D4749">
        <v>4.880414</v>
      </c>
      <c r="E4749">
        <v>0.51421539999999999</v>
      </c>
      <c r="F4749" t="s">
        <v>79</v>
      </c>
      <c r="G4749">
        <v>-195.57249999999999</v>
      </c>
      <c r="H4749" s="1">
        <v>-8.0085089999999993E-6</v>
      </c>
      <c r="I4749">
        <v>136.9648</v>
      </c>
      <c r="J4749">
        <v>-188.63120000000001</v>
      </c>
      <c r="K4749">
        <v>1.095286</v>
      </c>
      <c r="L4749">
        <v>191.60130000000001</v>
      </c>
      <c r="M4749">
        <v>-0.16310329999999901</v>
      </c>
      <c r="N4749">
        <v>-1.7722129999999999E-2</v>
      </c>
      <c r="O4749">
        <v>-0.9864501</v>
      </c>
      <c r="P4749">
        <v>-8.5573609999999994E-2</v>
      </c>
      <c r="Q4749">
        <v>0.16325129999999999</v>
      </c>
      <c r="R4749">
        <v>-0.98286669999999998</v>
      </c>
      <c r="S4749">
        <v>-0.38548280000000001</v>
      </c>
      <c r="T4749">
        <v>-6.0438039999999998E-2</v>
      </c>
      <c r="U4749">
        <v>-3.0277400000000001</v>
      </c>
      <c r="V4749">
        <v>-6.9209610000000005E-2</v>
      </c>
      <c r="W4749">
        <v>0.18332850000000001</v>
      </c>
      <c r="X4749">
        <v>0.98061240000000005</v>
      </c>
      <c r="Y4749">
        <v>-3.72047E-2</v>
      </c>
      <c r="Z4749">
        <v>1.934229E-3</v>
      </c>
      <c r="AA4749">
        <v>0.99930580000000002</v>
      </c>
      <c r="AB4749">
        <v>31</v>
      </c>
      <c r="AC4749">
        <v>-6.9412999999999796</v>
      </c>
      <c r="AD4749">
        <v>-1.0952940085089999</v>
      </c>
      <c r="AE4749">
        <v>-54.636499999999998</v>
      </c>
      <c r="AF4749">
        <v>-2.0636548497589899</v>
      </c>
      <c r="AG4749">
        <v>-1.0952940085089999</v>
      </c>
      <c r="AH4749">
        <v>55.015199638945198</v>
      </c>
      <c r="AI4749">
        <v>91.139745903851505</v>
      </c>
      <c r="AJ4749">
        <v>92.148193680707806</v>
      </c>
      <c r="AK4749">
        <v>55.064784859445403</v>
      </c>
      <c r="AL4749">
        <v>79.436304051296005</v>
      </c>
      <c r="AM4749">
        <v>94.037124067645607</v>
      </c>
      <c r="AN4749">
        <v>0.99999999403118101</v>
      </c>
    </row>
    <row r="4750" spans="1:40" x14ac:dyDescent="0.25">
      <c r="A4750" t="str">
        <f>"20190304154850279"</f>
        <v>20190304154850279</v>
      </c>
      <c r="B4750" t="str">
        <f>"1551685730271330"</f>
        <v>1551685730271330</v>
      </c>
      <c r="C4750" t="s">
        <v>40</v>
      </c>
      <c r="D4750">
        <v>4.8555640000000002</v>
      </c>
      <c r="E4750">
        <v>0.51412190000000002</v>
      </c>
      <c r="F4750" t="s">
        <v>79</v>
      </c>
      <c r="G4750">
        <v>-196.9315</v>
      </c>
      <c r="H4750" s="1">
        <v>-5.579834E-6</v>
      </c>
      <c r="I4750">
        <v>128.376</v>
      </c>
      <c r="J4750">
        <v>-188.67070000000001</v>
      </c>
      <c r="K4750">
        <v>1.0958139999999901</v>
      </c>
      <c r="L4750">
        <v>191.41030000000001</v>
      </c>
      <c r="M4750">
        <v>-0.17282239999999999</v>
      </c>
      <c r="N4750">
        <v>-1.7568690000000001E-2</v>
      </c>
      <c r="O4750">
        <v>-0.98479649999999996</v>
      </c>
      <c r="P4750">
        <v>-9.2532459999999997E-2</v>
      </c>
      <c r="Q4750">
        <v>0.164744</v>
      </c>
      <c r="R4750">
        <v>-0.98198640000000004</v>
      </c>
      <c r="S4750">
        <v>-0.3973083</v>
      </c>
      <c r="T4750">
        <v>-5.2428130000000003E-2</v>
      </c>
      <c r="U4750">
        <v>-3.0263979999999999</v>
      </c>
      <c r="V4750">
        <v>-7.2081080000000006E-2</v>
      </c>
      <c r="W4750">
        <v>0.18466949999999999</v>
      </c>
      <c r="X4750">
        <v>0.98015379999999996</v>
      </c>
      <c r="Y4750">
        <v>-4.316043E-2</v>
      </c>
      <c r="Z4750">
        <v>-5.1877770000000002E-4</v>
      </c>
      <c r="AA4750">
        <v>0.99906799999999996</v>
      </c>
      <c r="AB4750">
        <v>31</v>
      </c>
      <c r="AC4750">
        <v>-8.2607999999999802</v>
      </c>
      <c r="AD4750">
        <v>-1.09581957983399</v>
      </c>
      <c r="AE4750">
        <v>-63.034300000000002</v>
      </c>
      <c r="AF4750">
        <v>-2.7581378761991902</v>
      </c>
      <c r="AG4750">
        <v>-1.09581957983399</v>
      </c>
      <c r="AH4750">
        <v>63.4945343900906</v>
      </c>
      <c r="AI4750">
        <v>90.987808945038495</v>
      </c>
      <c r="AJ4750">
        <v>92.487306596689095</v>
      </c>
      <c r="AK4750">
        <v>63.563857989505799</v>
      </c>
      <c r="AL4750">
        <v>79.358135738442201</v>
      </c>
      <c r="AM4750">
        <v>94.205993514471999</v>
      </c>
      <c r="AN4750">
        <v>0.99999998898932796</v>
      </c>
    </row>
    <row r="4751" spans="1:40" x14ac:dyDescent="0.25">
      <c r="A4751" t="str">
        <f>"20190304154850292"</f>
        <v>20190304154850292</v>
      </c>
      <c r="B4751" t="str">
        <f>"1551685730282065"</f>
        <v>1551685730282065</v>
      </c>
      <c r="C4751" t="s">
        <v>40</v>
      </c>
      <c r="D4751">
        <v>4.8498640000000002</v>
      </c>
      <c r="E4751">
        <v>0.51404850000000002</v>
      </c>
      <c r="F4751" t="s">
        <v>79</v>
      </c>
      <c r="G4751">
        <v>-197.99039999999999</v>
      </c>
      <c r="H4751" s="1">
        <v>-4.1115999999999997E-6</v>
      </c>
      <c r="I4751">
        <v>123.723</v>
      </c>
      <c r="J4751">
        <v>-188.70859999999999</v>
      </c>
      <c r="K4751">
        <v>1.0963540000000001</v>
      </c>
      <c r="L4751">
        <v>191.2328</v>
      </c>
      <c r="M4751">
        <v>-0.1815321</v>
      </c>
      <c r="N4751">
        <v>-1.7423109999999999E-2</v>
      </c>
      <c r="O4751">
        <v>-0.98323079999999996</v>
      </c>
      <c r="P4751">
        <v>-9.8500450000000003E-2</v>
      </c>
      <c r="Q4751">
        <v>0.1657576</v>
      </c>
      <c r="R4751">
        <v>-0.98123539999999998</v>
      </c>
      <c r="S4751">
        <v>-0.41636659999999998</v>
      </c>
      <c r="T4751">
        <v>-4.895687E-2</v>
      </c>
      <c r="U4751">
        <v>-3.0240019999999999</v>
      </c>
      <c r="V4751">
        <v>-7.4981039999999999E-2</v>
      </c>
      <c r="W4751">
        <v>0.18553169999999999</v>
      </c>
      <c r="X4751">
        <v>0.97977329999999996</v>
      </c>
      <c r="Y4751">
        <v>-4.5716140000000002E-2</v>
      </c>
      <c r="Z4751">
        <v>-1.5031319999999999E-3</v>
      </c>
      <c r="AA4751">
        <v>0.99895330000000004</v>
      </c>
      <c r="AB4751">
        <v>31</v>
      </c>
      <c r="AC4751">
        <v>-9.2818000000000005</v>
      </c>
      <c r="AD4751">
        <v>-1.0963581116000001</v>
      </c>
      <c r="AE4751">
        <v>-67.509799999999998</v>
      </c>
      <c r="AF4751">
        <v>-3.1287088898897499</v>
      </c>
      <c r="AG4751">
        <v>-1.0963581116000001</v>
      </c>
      <c r="AH4751">
        <v>68.055367303508703</v>
      </c>
      <c r="AI4751">
        <v>90.921969889473502</v>
      </c>
      <c r="AJ4751">
        <v>92.632205082655105</v>
      </c>
      <c r="AK4751">
        <v>68.1360685631481</v>
      </c>
      <c r="AL4751">
        <v>79.307866154202699</v>
      </c>
      <c r="AM4751">
        <v>94.376256757472703</v>
      </c>
      <c r="AN4751">
        <v>0.99999994372862899</v>
      </c>
    </row>
    <row r="4752" spans="1:40" x14ac:dyDescent="0.25">
      <c r="A4752" t="str">
        <f>"20190304154850311"</f>
        <v>20190304154850311</v>
      </c>
      <c r="B4752" t="str">
        <f>"1551685730301586"</f>
        <v>1551685730301586</v>
      </c>
      <c r="C4752" t="s">
        <v>40</v>
      </c>
      <c r="D4752">
        <v>4.8287879999999896</v>
      </c>
      <c r="E4752">
        <v>0.51370159999999998</v>
      </c>
      <c r="F4752" t="s">
        <v>79</v>
      </c>
      <c r="G4752">
        <v>-198.85939999999999</v>
      </c>
      <c r="H4752" s="1">
        <v>-2.701566E-6</v>
      </c>
      <c r="I4752">
        <v>120.2351</v>
      </c>
      <c r="J4752">
        <v>-188.76900000000001</v>
      </c>
      <c r="K4752">
        <v>1.097275</v>
      </c>
      <c r="L4752">
        <v>190.96360000000001</v>
      </c>
      <c r="M4752">
        <v>-0.1937557</v>
      </c>
      <c r="N4752">
        <v>-1.718801E-2</v>
      </c>
      <c r="O4752">
        <v>-0.98089930000000003</v>
      </c>
      <c r="P4752">
        <v>-0.10416250000000001</v>
      </c>
      <c r="Q4752">
        <v>0.1659602</v>
      </c>
      <c r="R4752">
        <v>-0.98061609999999999</v>
      </c>
      <c r="S4752">
        <v>-0.43205260000000001</v>
      </c>
      <c r="T4752">
        <v>-4.6664600000000001E-2</v>
      </c>
      <c r="U4752">
        <v>-3.0218959999999999</v>
      </c>
      <c r="V4752">
        <v>-8.1935460000000002E-2</v>
      </c>
      <c r="W4752">
        <v>0.1855396</v>
      </c>
      <c r="X4752">
        <v>0.97921480000000005</v>
      </c>
      <c r="Y4752">
        <v>-5.2967220000000002E-2</v>
      </c>
      <c r="Z4752">
        <v>-2.0340559999999998E-3</v>
      </c>
      <c r="AA4752">
        <v>0.99859419999999999</v>
      </c>
      <c r="AB4752">
        <v>31</v>
      </c>
      <c r="AC4752">
        <v>-10.090399999999899</v>
      </c>
      <c r="AD4752">
        <v>-1.097277701566</v>
      </c>
      <c r="AE4752">
        <v>-70.728499999999997</v>
      </c>
      <c r="AF4752">
        <v>-3.8060480763984401</v>
      </c>
      <c r="AG4752">
        <v>-1.097277701566</v>
      </c>
      <c r="AH4752">
        <v>71.326318406954897</v>
      </c>
      <c r="AI4752">
        <v>90.880111693325304</v>
      </c>
      <c r="AJ4752">
        <v>93.054466723874995</v>
      </c>
      <c r="AK4752">
        <v>71.436221329270495</v>
      </c>
      <c r="AL4752">
        <v>79.307406059909894</v>
      </c>
      <c r="AM4752">
        <v>94.783062528788406</v>
      </c>
      <c r="AN4752">
        <v>0.99999999365630499</v>
      </c>
    </row>
    <row r="4753" spans="1:40" x14ac:dyDescent="0.25">
      <c r="A4753" t="str">
        <f>"20190304154850324"</f>
        <v>20190304154850324</v>
      </c>
      <c r="B4753" t="str">
        <f>"1551685730311346"</f>
        <v>1551685730311346</v>
      </c>
      <c r="C4753" t="s">
        <v>40</v>
      </c>
      <c r="D4753">
        <v>4.858104</v>
      </c>
      <c r="E4753">
        <v>0.5135904</v>
      </c>
      <c r="F4753" t="s">
        <v>79</v>
      </c>
      <c r="G4753">
        <v>-199.0284</v>
      </c>
      <c r="H4753" s="1">
        <v>-3.252354E-6</v>
      </c>
      <c r="I4753">
        <v>121.3522</v>
      </c>
      <c r="J4753">
        <v>-188.8073</v>
      </c>
      <c r="K4753">
        <v>1.097855</v>
      </c>
      <c r="L4753">
        <v>190.79990000000001</v>
      </c>
      <c r="M4753">
        <v>-0.20058960000000001</v>
      </c>
      <c r="N4753">
        <v>-1.7044549999999999E-2</v>
      </c>
      <c r="O4753">
        <v>-0.97952720000000004</v>
      </c>
      <c r="P4753">
        <v>-0.10748249999999999</v>
      </c>
      <c r="Q4753">
        <v>0.1661145</v>
      </c>
      <c r="R4753">
        <v>-0.98023150000000003</v>
      </c>
      <c r="S4753">
        <v>-0.44509890000000002</v>
      </c>
      <c r="T4753">
        <v>-4.7605040000000001E-2</v>
      </c>
      <c r="U4753">
        <v>-3.0200650000000002</v>
      </c>
      <c r="V4753">
        <v>-8.5704299999999997E-2</v>
      </c>
      <c r="W4753">
        <v>0.18554200000000001</v>
      </c>
      <c r="X4753">
        <v>0.97889170000000003</v>
      </c>
      <c r="Y4753">
        <v>-5.5618170000000001E-2</v>
      </c>
      <c r="Z4753">
        <v>-1.604896E-3</v>
      </c>
      <c r="AA4753">
        <v>0.99845079999999997</v>
      </c>
      <c r="AB4753">
        <v>31</v>
      </c>
      <c r="AC4753">
        <v>-10.2211</v>
      </c>
      <c r="AD4753">
        <v>-1.0978582523539999</v>
      </c>
      <c r="AE4753">
        <v>-69.447699999999998</v>
      </c>
      <c r="AF4753">
        <v>-3.91825133507656</v>
      </c>
      <c r="AG4753">
        <v>-1.0978582523539999</v>
      </c>
      <c r="AH4753">
        <v>70.069190987720205</v>
      </c>
      <c r="AI4753">
        <v>90.896248438276402</v>
      </c>
      <c r="AJ4753">
        <v>93.200632047601005</v>
      </c>
      <c r="AK4753">
        <v>70.187246077479799</v>
      </c>
      <c r="AL4753">
        <v>79.307266303139897</v>
      </c>
      <c r="AM4753">
        <v>95.003623044471595</v>
      </c>
      <c r="AN4753">
        <v>1.0000000105656901</v>
      </c>
    </row>
    <row r="4754" spans="1:40" x14ac:dyDescent="0.25">
      <c r="A4754" t="str">
        <f>"20190304154850343"</f>
        <v>20190304154850343</v>
      </c>
      <c r="B4754" t="str">
        <f>"1551685730331842"</f>
        <v>1551685730331842</v>
      </c>
      <c r="C4754" t="s">
        <v>40</v>
      </c>
      <c r="D4754">
        <v>4.8129759999999999</v>
      </c>
      <c r="E4754">
        <v>0.51319329999999996</v>
      </c>
      <c r="F4754" t="s">
        <v>79</v>
      </c>
      <c r="G4754">
        <v>-199.18190000000001</v>
      </c>
      <c r="H4754" s="1">
        <v>-3.476781E-6</v>
      </c>
      <c r="I4754">
        <v>121.7666</v>
      </c>
      <c r="J4754">
        <v>-188.87190000000001</v>
      </c>
      <c r="K4754">
        <v>1.098835</v>
      </c>
      <c r="L4754">
        <v>190.53030000000001</v>
      </c>
      <c r="M4754">
        <v>-0.21115629999999999</v>
      </c>
      <c r="N4754">
        <v>-1.6818989999999999E-2</v>
      </c>
      <c r="O4754">
        <v>-0.9773077</v>
      </c>
      <c r="P4754">
        <v>-0.1108469</v>
      </c>
      <c r="Q4754">
        <v>0.16833380000000001</v>
      </c>
      <c r="R4754">
        <v>-0.97947810000000002</v>
      </c>
      <c r="S4754">
        <v>-0.45368960000000003</v>
      </c>
      <c r="T4754">
        <v>-4.8010589999999999E-2</v>
      </c>
      <c r="U4754">
        <v>-3.0189059999999999</v>
      </c>
      <c r="V4754">
        <v>-9.3227190000000001E-2</v>
      </c>
      <c r="W4754">
        <v>0.1875241</v>
      </c>
      <c r="X4754">
        <v>0.97782590000000003</v>
      </c>
      <c r="Y4754">
        <v>-6.3561510000000002E-2</v>
      </c>
      <c r="Z4754">
        <v>-1.2883580000000001E-3</v>
      </c>
      <c r="AA4754">
        <v>0.99797709999999995</v>
      </c>
      <c r="AB4754">
        <v>31</v>
      </c>
      <c r="AC4754">
        <v>-10.31</v>
      </c>
      <c r="AD4754">
        <v>-1.098838476781</v>
      </c>
      <c r="AE4754">
        <v>-68.7637</v>
      </c>
      <c r="AF4754">
        <v>-4.4433645960456403</v>
      </c>
      <c r="AG4754">
        <v>-1.098838476781</v>
      </c>
      <c r="AH4754">
        <v>69.372797702810502</v>
      </c>
      <c r="AI4754">
        <v>90.905611847037406</v>
      </c>
      <c r="AJ4754">
        <v>93.664819023320504</v>
      </c>
      <c r="AK4754">
        <v>69.523636240105503</v>
      </c>
      <c r="AL4754">
        <v>79.1916718417543</v>
      </c>
      <c r="AM4754">
        <v>95.446191874864894</v>
      </c>
      <c r="AN4754">
        <v>1.00000004387345</v>
      </c>
    </row>
    <row r="4755" spans="1:40" x14ac:dyDescent="0.25">
      <c r="A4755" t="str">
        <f>"20190304154850357"</f>
        <v>20190304154850357</v>
      </c>
      <c r="B4755" t="str">
        <f>"1551685730351361"</f>
        <v>1551685730351361</v>
      </c>
      <c r="C4755" t="s">
        <v>40</v>
      </c>
      <c r="D4755">
        <v>4.8166739999999999</v>
      </c>
      <c r="E4755">
        <v>0.5128199</v>
      </c>
      <c r="F4755" t="s">
        <v>44</v>
      </c>
      <c r="G4755">
        <v>-199.9615</v>
      </c>
      <c r="H4755">
        <v>5.3678589999999998E-2</v>
      </c>
      <c r="I4755">
        <v>117.4585</v>
      </c>
      <c r="J4755">
        <v>-188.9135</v>
      </c>
      <c r="K4755">
        <v>1.0994660000000001</v>
      </c>
      <c r="L4755">
        <v>190.3614</v>
      </c>
      <c r="M4755">
        <v>-0.2172365</v>
      </c>
      <c r="N4755">
        <v>-1.668238E-2</v>
      </c>
      <c r="O4755">
        <v>-0.97597659999999997</v>
      </c>
      <c r="P4755">
        <v>-0.113104</v>
      </c>
      <c r="Q4755">
        <v>0.17005039999999999</v>
      </c>
      <c r="R4755">
        <v>-0.97892299999999999</v>
      </c>
      <c r="S4755">
        <v>-0.45808409999999999</v>
      </c>
      <c r="T4755">
        <v>-4.3173070000000001E-2</v>
      </c>
      <c r="U4755">
        <v>-3.0184329999999999</v>
      </c>
      <c r="V4755">
        <v>-9.7242090000000003E-2</v>
      </c>
      <c r="W4755">
        <v>0.1890578</v>
      </c>
      <c r="X4755">
        <v>0.97713919999999999</v>
      </c>
      <c r="Y4755">
        <v>-6.8329970000000004E-2</v>
      </c>
      <c r="Z4755">
        <v>-2.711209E-3</v>
      </c>
      <c r="AA4755">
        <v>0.99765910000000002</v>
      </c>
      <c r="AB4755">
        <v>31</v>
      </c>
      <c r="AC4755">
        <v>-11.048</v>
      </c>
      <c r="AD4755">
        <v>-1.04578741</v>
      </c>
      <c r="AE4755">
        <v>-72.902900000000002</v>
      </c>
      <c r="AF4755">
        <v>-5.0542673364273103</v>
      </c>
      <c r="AG4755">
        <v>-1.04578741</v>
      </c>
      <c r="AH4755">
        <v>73.546983835583603</v>
      </c>
      <c r="AI4755">
        <v>90.812734968973004</v>
      </c>
      <c r="AJ4755">
        <v>93.931277446532206</v>
      </c>
      <c r="AK4755">
        <v>73.727865294789297</v>
      </c>
      <c r="AL4755">
        <v>79.102195806651196</v>
      </c>
      <c r="AM4755">
        <v>95.683199411740603</v>
      </c>
      <c r="AN4755">
        <v>0.99999994599252195</v>
      </c>
    </row>
    <row r="4756" spans="1:40" x14ac:dyDescent="0.25">
      <c r="A4756" t="str">
        <f>"20190304154850367"</f>
        <v>20190304154850367</v>
      </c>
      <c r="B4756" t="str">
        <f>"1551685730362098"</f>
        <v>1551685730362098</v>
      </c>
      <c r="C4756" t="s">
        <v>40</v>
      </c>
      <c r="D4756">
        <v>4.816821</v>
      </c>
      <c r="E4756">
        <v>0.51260360000000005</v>
      </c>
      <c r="F4756" t="s">
        <v>44</v>
      </c>
      <c r="G4756">
        <v>-200.77449999999999</v>
      </c>
      <c r="H4756">
        <v>7.998595E-2</v>
      </c>
      <c r="I4756">
        <v>112.6721</v>
      </c>
      <c r="J4756">
        <v>-188.95500000000001</v>
      </c>
      <c r="K4756">
        <v>1.1000920000000001</v>
      </c>
      <c r="L4756">
        <v>190.19550000000001</v>
      </c>
      <c r="M4756">
        <v>-0.22276670000000001</v>
      </c>
      <c r="N4756">
        <v>-1.655063E-2</v>
      </c>
      <c r="O4756">
        <v>-0.97473129999999997</v>
      </c>
      <c r="P4756">
        <v>-0.11461440000000001</v>
      </c>
      <c r="Q4756">
        <v>0.1714289</v>
      </c>
      <c r="R4756">
        <v>-0.97850709999999996</v>
      </c>
      <c r="S4756">
        <v>-0.46080019999999999</v>
      </c>
      <c r="T4756">
        <v>-3.960669E-2</v>
      </c>
      <c r="U4756">
        <v>-3.0182190000000002</v>
      </c>
      <c r="V4756">
        <v>-0.1014745</v>
      </c>
      <c r="W4756">
        <v>0.19025539999999999</v>
      </c>
      <c r="X4756">
        <v>0.97647620000000002</v>
      </c>
      <c r="Y4756">
        <v>-7.3097720000000005E-2</v>
      </c>
      <c r="Z4756">
        <v>-3.7306489999999999E-3</v>
      </c>
      <c r="AA4756">
        <v>0.99731780000000003</v>
      </c>
      <c r="AB4756">
        <v>31</v>
      </c>
      <c r="AC4756">
        <v>-11.8194999999999</v>
      </c>
      <c r="AD4756">
        <v>-1.0201060500000001</v>
      </c>
      <c r="AE4756">
        <v>-77.523399999999995</v>
      </c>
      <c r="AF4756">
        <v>-5.74861005593245</v>
      </c>
      <c r="AG4756">
        <v>-1.0201060500000001</v>
      </c>
      <c r="AH4756">
        <v>78.194954477131901</v>
      </c>
      <c r="AI4756">
        <v>90.745408386689107</v>
      </c>
      <c r="AJ4756">
        <v>94.204614401004307</v>
      </c>
      <c r="AK4756">
        <v>78.412614033771007</v>
      </c>
      <c r="AL4756">
        <v>79.032310359256599</v>
      </c>
      <c r="AM4756">
        <v>95.932828812792494</v>
      </c>
      <c r="AN4756">
        <v>0.99999998027292403</v>
      </c>
    </row>
    <row r="4757" spans="1:40" x14ac:dyDescent="0.25">
      <c r="A4757" t="str">
        <f>"20190304154850379"</f>
        <v>20190304154850379</v>
      </c>
      <c r="B4757" t="str">
        <f>"1551685730371858"</f>
        <v>1551685730371858</v>
      </c>
      <c r="C4757" t="s">
        <v>40</v>
      </c>
      <c r="D4757">
        <v>4.8488860000000003</v>
      </c>
      <c r="E4757">
        <v>0.51233450000000003</v>
      </c>
      <c r="F4757" t="s">
        <v>44</v>
      </c>
      <c r="G4757">
        <v>-201.89529999999999</v>
      </c>
      <c r="H4757">
        <v>7.9986589999999996E-2</v>
      </c>
      <c r="I4757">
        <v>105.7</v>
      </c>
      <c r="J4757">
        <v>-188.99189999999999</v>
      </c>
      <c r="K4757">
        <v>1.1006290000000001</v>
      </c>
      <c r="L4757">
        <v>190.05109999999999</v>
      </c>
      <c r="M4757">
        <v>-0.22715299999999999</v>
      </c>
      <c r="N4757">
        <v>-1.6437799999999999E-2</v>
      </c>
      <c r="O4757">
        <v>-0.97372040000000004</v>
      </c>
      <c r="P4757">
        <v>-0.1140647</v>
      </c>
      <c r="Q4757">
        <v>0.1722418</v>
      </c>
      <c r="R4757">
        <v>-0.97842830000000003</v>
      </c>
      <c r="S4757">
        <v>-0.4622192</v>
      </c>
      <c r="T4757">
        <v>-3.6437749999999998E-2</v>
      </c>
      <c r="U4757">
        <v>-3.0181429999999998</v>
      </c>
      <c r="V4757">
        <v>-0.1066201</v>
      </c>
      <c r="W4757">
        <v>0.19093840000000001</v>
      </c>
      <c r="X4757">
        <v>0.97579439999999995</v>
      </c>
      <c r="Y4757">
        <v>-7.7125470000000002E-2</v>
      </c>
      <c r="Z4757">
        <v>-4.6364630000000004E-3</v>
      </c>
      <c r="AA4757">
        <v>0.99701059999999997</v>
      </c>
      <c r="AB4757">
        <v>31</v>
      </c>
      <c r="AC4757">
        <v>-12.9034</v>
      </c>
      <c r="AD4757">
        <v>-1.02064241</v>
      </c>
      <c r="AE4757">
        <v>-84.351099999999903</v>
      </c>
      <c r="AF4757">
        <v>-6.5962489474203396</v>
      </c>
      <c r="AG4757">
        <v>-1.02064241</v>
      </c>
      <c r="AH4757">
        <v>85.064753733456399</v>
      </c>
      <c r="AI4757">
        <v>90.685368392195997</v>
      </c>
      <c r="AJ4757">
        <v>94.434062424822301</v>
      </c>
      <c r="AK4757">
        <v>85.326224215296307</v>
      </c>
      <c r="AL4757">
        <v>78.992446956288205</v>
      </c>
      <c r="AM4757">
        <v>96.235681884339996</v>
      </c>
      <c r="AN4757">
        <v>1.0000000146949599</v>
      </c>
    </row>
    <row r="4758" spans="1:40" x14ac:dyDescent="0.25">
      <c r="A4758" t="str">
        <f>"20190304154850391"</f>
        <v>20190304154850391</v>
      </c>
      <c r="B4758" t="str">
        <f>"1551685730381619"</f>
        <v>1551685730381619</v>
      </c>
      <c r="C4758" t="s">
        <v>40</v>
      </c>
      <c r="D4758">
        <v>4.8056469999999996</v>
      </c>
      <c r="E4758">
        <v>0.51208310000000001</v>
      </c>
      <c r="F4758" t="s">
        <v>44</v>
      </c>
      <c r="G4758">
        <v>-202.37270000000001</v>
      </c>
      <c r="H4758">
        <v>7.9986260000000003E-2</v>
      </c>
      <c r="I4758">
        <v>101.88330000000001</v>
      </c>
      <c r="J4758">
        <v>-189.0335</v>
      </c>
      <c r="K4758">
        <v>1.1012200000000001</v>
      </c>
      <c r="L4758">
        <v>189.8896</v>
      </c>
      <c r="M4758">
        <v>-0.23187089999999999</v>
      </c>
      <c r="N4758">
        <v>-1.6316020000000001E-2</v>
      </c>
      <c r="O4758">
        <v>-0.97260990000000003</v>
      </c>
      <c r="P4758">
        <v>-0.1135278</v>
      </c>
      <c r="Q4758">
        <v>0.17321529999999999</v>
      </c>
      <c r="R4758">
        <v>-0.9783191</v>
      </c>
      <c r="S4758">
        <v>-0.45816040000000002</v>
      </c>
      <c r="T4758">
        <v>-3.4946919999999999E-2</v>
      </c>
      <c r="U4758">
        <v>-3.018875</v>
      </c>
      <c r="V4758">
        <v>-0.1121052</v>
      </c>
      <c r="W4758">
        <v>0.19175039999999999</v>
      </c>
      <c r="X4758">
        <v>0.97502009999999995</v>
      </c>
      <c r="Y4758">
        <v>-8.3302539999999994E-2</v>
      </c>
      <c r="Z4758">
        <v>-5.0079520000000004E-3</v>
      </c>
      <c r="AA4758">
        <v>0.9965117</v>
      </c>
      <c r="AB4758">
        <v>30</v>
      </c>
      <c r="AC4758">
        <v>-13.3392</v>
      </c>
      <c r="AD4758">
        <v>-1.02123374</v>
      </c>
      <c r="AE4758">
        <v>-88.006299999999996</v>
      </c>
      <c r="AF4758">
        <v>-7.4322718889062003</v>
      </c>
      <c r="AG4758">
        <v>-1.02123374</v>
      </c>
      <c r="AH4758">
        <v>88.688888852916193</v>
      </c>
      <c r="AI4758">
        <v>90.657415412484696</v>
      </c>
      <c r="AJ4758">
        <v>94.790286033727199</v>
      </c>
      <c r="AK4758">
        <v>89.005621113204299</v>
      </c>
      <c r="AL4758">
        <v>78.945046734820593</v>
      </c>
      <c r="AM4758">
        <v>96.558914003581904</v>
      </c>
      <c r="AN4758">
        <v>0.99999999358560399</v>
      </c>
    </row>
    <row r="4759" spans="1:40" x14ac:dyDescent="0.25">
      <c r="A4759" t="str">
        <f>"20190304154850402"</f>
        <v>20190304154850402</v>
      </c>
      <c r="B4759" t="str">
        <f>"1551685730391377"</f>
        <v>1551685730391377</v>
      </c>
      <c r="C4759" t="s">
        <v>40</v>
      </c>
      <c r="D4759">
        <v>4.8212570000000001</v>
      </c>
      <c r="E4759">
        <v>0.51208310000000001</v>
      </c>
      <c r="F4759" t="s">
        <v>44</v>
      </c>
      <c r="G4759">
        <v>-203.20070000000001</v>
      </c>
      <c r="H4759">
        <v>7.9986619999999994E-2</v>
      </c>
      <c r="I4759">
        <v>95.760459999999995</v>
      </c>
      <c r="J4759">
        <v>-189.0711</v>
      </c>
      <c r="K4759">
        <v>1.1017509999999999</v>
      </c>
      <c r="L4759">
        <v>189.74680000000001</v>
      </c>
      <c r="M4759">
        <v>-0.235455</v>
      </c>
      <c r="N4759">
        <v>-1.620916E-2</v>
      </c>
      <c r="O4759">
        <v>-0.97175009999999995</v>
      </c>
      <c r="P4759">
        <v>-0.11183709999999999</v>
      </c>
      <c r="Q4759">
        <v>0.17425399999999999</v>
      </c>
      <c r="R4759">
        <v>-0.97832920000000001</v>
      </c>
      <c r="S4759">
        <v>-0.45446779999999998</v>
      </c>
      <c r="T4759">
        <v>-3.2759900000000002E-2</v>
      </c>
      <c r="U4759">
        <v>-3.0195470000000002</v>
      </c>
      <c r="V4759">
        <v>-0.1175689</v>
      </c>
      <c r="W4759">
        <v>0.19264700000000001</v>
      </c>
      <c r="X4759">
        <v>0.9741995</v>
      </c>
      <c r="Y4759">
        <v>-8.8199399999999997E-2</v>
      </c>
      <c r="Z4759">
        <v>-5.6079600000000004E-3</v>
      </c>
      <c r="AA4759">
        <v>0.9960871</v>
      </c>
      <c r="AB4759">
        <v>30</v>
      </c>
      <c r="AC4759">
        <v>-14.1296</v>
      </c>
      <c r="AD4759">
        <v>-1.02176438</v>
      </c>
      <c r="AE4759">
        <v>-93.986339999999998</v>
      </c>
      <c r="AF4759">
        <v>-8.3992461073665101</v>
      </c>
      <c r="AG4759">
        <v>-1.02176438</v>
      </c>
      <c r="AH4759">
        <v>94.659615066904607</v>
      </c>
      <c r="AI4759">
        <v>90.616011719399097</v>
      </c>
      <c r="AJ4759">
        <v>95.070634569101699</v>
      </c>
      <c r="AK4759">
        <v>95.037014169400805</v>
      </c>
      <c r="AL4759">
        <v>78.892699326116798</v>
      </c>
      <c r="AM4759">
        <v>96.881323545524197</v>
      </c>
      <c r="AN4759">
        <v>0.99999998932822998</v>
      </c>
    </row>
    <row r="4760" spans="1:40" x14ac:dyDescent="0.25">
      <c r="A4760" t="str">
        <f>"20190304154850413"</f>
        <v>20190304154850413</v>
      </c>
      <c r="B4760" t="str">
        <f>"1551685730411874"</f>
        <v>1551685730411874</v>
      </c>
      <c r="C4760" t="s">
        <v>40</v>
      </c>
      <c r="D4760">
        <v>4.8291570000000004</v>
      </c>
      <c r="E4760">
        <v>0.50291629999999998</v>
      </c>
      <c r="F4760" t="s">
        <v>44</v>
      </c>
      <c r="G4760">
        <v>-204.59639999999999</v>
      </c>
      <c r="H4760">
        <v>7.9986810000000005E-2</v>
      </c>
      <c r="I4760">
        <v>85.317830000000001</v>
      </c>
      <c r="J4760">
        <v>-189.11250000000001</v>
      </c>
      <c r="K4760">
        <v>1.1023270000000001</v>
      </c>
      <c r="L4760">
        <v>189.58959999999999</v>
      </c>
      <c r="M4760">
        <v>-0.23926349999999999</v>
      </c>
      <c r="N4760">
        <v>-1.6096349999999999E-2</v>
      </c>
      <c r="O4760">
        <v>-0.9708213</v>
      </c>
      <c r="P4760">
        <v>-0.1110212</v>
      </c>
      <c r="Q4760">
        <v>0.1755118</v>
      </c>
      <c r="R4760">
        <v>-0.9781976</v>
      </c>
      <c r="S4760">
        <v>-0.44903559999999998</v>
      </c>
      <c r="T4760">
        <v>-2.9552220000000001E-2</v>
      </c>
      <c r="U4760">
        <v>-3.0203700000000002</v>
      </c>
      <c r="V4760">
        <v>-0.1223947</v>
      </c>
      <c r="W4760">
        <v>0.19371559999999999</v>
      </c>
      <c r="X4760">
        <v>0.97339299999999995</v>
      </c>
      <c r="Y4760">
        <v>-9.389612E-2</v>
      </c>
      <c r="Z4760">
        <v>-6.5230899999999996E-3</v>
      </c>
      <c r="AA4760">
        <v>0.99556060000000002</v>
      </c>
      <c r="AB4760">
        <v>30</v>
      </c>
      <c r="AC4760">
        <v>-15.483899999999901</v>
      </c>
      <c r="AD4760">
        <v>-1.02234019</v>
      </c>
      <c r="AE4760">
        <v>-104.27177</v>
      </c>
      <c r="AF4760">
        <v>-9.9166803146330693</v>
      </c>
      <c r="AG4760">
        <v>-1.02234019</v>
      </c>
      <c r="AH4760">
        <v>104.93770802542799</v>
      </c>
      <c r="AI4760">
        <v>90.555702405110594</v>
      </c>
      <c r="AJ4760">
        <v>95.398455716548796</v>
      </c>
      <c r="AK4760">
        <v>105.410190653261</v>
      </c>
      <c r="AL4760">
        <v>78.830298444397101</v>
      </c>
      <c r="AM4760">
        <v>97.1667744342502</v>
      </c>
      <c r="AN4760">
        <v>1.00000006436022</v>
      </c>
    </row>
    <row r="4761" spans="1:40" x14ac:dyDescent="0.25">
      <c r="A4761" t="str">
        <f>"20190304154850425"</f>
        <v>20190304154850425</v>
      </c>
      <c r="B4761" t="str">
        <f>"1551685730421635"</f>
        <v>1551685730421635</v>
      </c>
      <c r="C4761" t="s">
        <v>40</v>
      </c>
      <c r="D4761">
        <v>4.8229989999999896</v>
      </c>
      <c r="E4761">
        <v>0.50287219999999999</v>
      </c>
      <c r="F4761" t="s">
        <v>79</v>
      </c>
      <c r="G4761">
        <v>-196.0076</v>
      </c>
      <c r="H4761" s="1">
        <v>-7.0398909999999997E-6</v>
      </c>
      <c r="I4761">
        <v>133.66249999999999</v>
      </c>
      <c r="J4761">
        <v>-189.15440000000001</v>
      </c>
      <c r="K4761">
        <v>1.102894</v>
      </c>
      <c r="L4761">
        <v>189.4332</v>
      </c>
      <c r="M4761">
        <v>-0.2425784</v>
      </c>
      <c r="N4761">
        <v>-1.5987330000000001E-2</v>
      </c>
      <c r="O4761">
        <v>-0.97000010000000003</v>
      </c>
      <c r="P4761">
        <v>-0.1095667</v>
      </c>
      <c r="Q4761">
        <v>0.17674570000000001</v>
      </c>
      <c r="R4761">
        <v>-0.97813930000000004</v>
      </c>
      <c r="S4761">
        <v>-0.3741913</v>
      </c>
      <c r="T4761">
        <v>-5.9822920000000002E-2</v>
      </c>
      <c r="U4761">
        <v>-3.035126</v>
      </c>
      <c r="V4761">
        <v>-0.1273591</v>
      </c>
      <c r="W4761">
        <v>0.19475729999999999</v>
      </c>
      <c r="X4761">
        <v>0.97254779999999996</v>
      </c>
      <c r="Y4761">
        <v>-0.1220469</v>
      </c>
      <c r="Z4761">
        <v>2.9366349999999999E-3</v>
      </c>
      <c r="AA4761">
        <v>0.99251999999999996</v>
      </c>
      <c r="AB4761">
        <v>30</v>
      </c>
      <c r="AC4761">
        <v>-6.8531999999999798</v>
      </c>
      <c r="AD4761">
        <v>-1.102901039891</v>
      </c>
      <c r="AE4761">
        <v>-55.770699999999998</v>
      </c>
      <c r="AF4761">
        <v>-6.8793914702410204</v>
      </c>
      <c r="AG4761">
        <v>-1.102901039891</v>
      </c>
      <c r="AH4761">
        <v>55.7456718093338</v>
      </c>
      <c r="AI4761">
        <v>91.124890280583102</v>
      </c>
      <c r="AJ4761">
        <v>97.035115977861594</v>
      </c>
      <c r="AK4761">
        <v>56.179376493323304</v>
      </c>
      <c r="AL4761">
        <v>78.769453740295901</v>
      </c>
      <c r="AM4761">
        <v>97.460661693872197</v>
      </c>
      <c r="AN4761">
        <v>0.99999998477046903</v>
      </c>
    </row>
    <row r="4762" spans="1:40" x14ac:dyDescent="0.25">
      <c r="A4762" t="str">
        <f>"20190304154850437"</f>
        <v>20190304154850437</v>
      </c>
      <c r="B4762" t="str">
        <f>"1551685730431393"</f>
        <v>1551685730431393</v>
      </c>
      <c r="C4762" t="s">
        <v>40</v>
      </c>
      <c r="D4762">
        <v>4.8561300000000003</v>
      </c>
      <c r="E4762">
        <v>0.502579</v>
      </c>
      <c r="F4762" t="s">
        <v>79</v>
      </c>
      <c r="G4762">
        <v>-196.12540000000001</v>
      </c>
      <c r="H4762" s="1">
        <v>-6.5153119999999996E-6</v>
      </c>
      <c r="I4762">
        <v>131.8956</v>
      </c>
      <c r="J4762">
        <v>-189.1953</v>
      </c>
      <c r="K4762">
        <v>1.103426</v>
      </c>
      <c r="L4762">
        <v>189.2816</v>
      </c>
      <c r="M4762">
        <v>-0.24554680000000001</v>
      </c>
      <c r="N4762">
        <v>-1.5886549999999999E-2</v>
      </c>
      <c r="O4762">
        <v>-0.96925459999999997</v>
      </c>
      <c r="P4762">
        <v>-0.1084299</v>
      </c>
      <c r="Q4762">
        <v>0.17808950000000001</v>
      </c>
      <c r="R4762">
        <v>-0.97802199999999995</v>
      </c>
      <c r="S4762">
        <v>-0.36787409999999998</v>
      </c>
      <c r="T4762">
        <v>-5.820227E-2</v>
      </c>
      <c r="U4762">
        <v>-3.0363769999999999</v>
      </c>
      <c r="V4762">
        <v>-0.13163720000000001</v>
      </c>
      <c r="W4762">
        <v>0.19590340000000001</v>
      </c>
      <c r="X4762">
        <v>0.97174760000000004</v>
      </c>
      <c r="Y4762">
        <v>-0.1271668</v>
      </c>
      <c r="Z4762">
        <v>2.4961269999999999E-3</v>
      </c>
      <c r="AA4762">
        <v>0.99187820000000004</v>
      </c>
      <c r="AB4762">
        <v>30</v>
      </c>
      <c r="AC4762">
        <v>-6.9301000000000004</v>
      </c>
      <c r="AD4762">
        <v>-1.1034325153119999</v>
      </c>
      <c r="AE4762">
        <v>-57.386000000000003</v>
      </c>
      <c r="AF4762">
        <v>-7.3721612194553101</v>
      </c>
      <c r="AG4762">
        <v>-1.1034325153119999</v>
      </c>
      <c r="AH4762">
        <v>57.309656470506901</v>
      </c>
      <c r="AI4762">
        <v>91.094016743594594</v>
      </c>
      <c r="AJ4762">
        <v>97.330121127852493</v>
      </c>
      <c r="AK4762">
        <v>57.792413421910297</v>
      </c>
      <c r="AL4762">
        <v>78.702496853993296</v>
      </c>
      <c r="AM4762">
        <v>97.7145777418271</v>
      </c>
      <c r="AN4762">
        <v>0.99999994633057798</v>
      </c>
    </row>
    <row r="4763" spans="1:40" x14ac:dyDescent="0.25">
      <c r="A4763" t="str">
        <f>"20190304154850448"</f>
        <v>20190304154850448</v>
      </c>
      <c r="B4763" t="str">
        <f>"1551685730442130"</f>
        <v>1551685730442130</v>
      </c>
      <c r="C4763" t="s">
        <v>40</v>
      </c>
      <c r="D4763">
        <v>4.8397500000000004</v>
      </c>
      <c r="E4763">
        <v>0.50231949999999903</v>
      </c>
      <c r="F4763" t="s">
        <v>79</v>
      </c>
      <c r="G4763">
        <v>-196.23429999999999</v>
      </c>
      <c r="H4763" s="1">
        <v>-5.9681139999999996E-6</v>
      </c>
      <c r="I4763">
        <v>130.05950000000001</v>
      </c>
      <c r="J4763">
        <v>-189.23929999999999</v>
      </c>
      <c r="K4763">
        <v>1.1039829999999999</v>
      </c>
      <c r="L4763">
        <v>189.11940000000001</v>
      </c>
      <c r="M4763">
        <v>-0.24846099999999999</v>
      </c>
      <c r="N4763">
        <v>-1.5783330000000002E-2</v>
      </c>
      <c r="O4763">
        <v>-0.96851330000000002</v>
      </c>
      <c r="P4763">
        <v>-0.1069292</v>
      </c>
      <c r="Q4763">
        <v>0.1788747</v>
      </c>
      <c r="R4763">
        <v>-0.97804429999999998</v>
      </c>
      <c r="S4763">
        <v>-0.36105350000000003</v>
      </c>
      <c r="T4763">
        <v>-5.6598540000000003E-2</v>
      </c>
      <c r="U4763">
        <v>-3.0376889999999999</v>
      </c>
      <c r="V4763">
        <v>-0.13626640000000001</v>
      </c>
      <c r="W4763">
        <v>0.1964786</v>
      </c>
      <c r="X4763">
        <v>0.97099310000000005</v>
      </c>
      <c r="Y4763">
        <v>-0.13239389999999901</v>
      </c>
      <c r="Z4763">
        <v>2.0641570000000001E-3</v>
      </c>
      <c r="AA4763">
        <v>0.99119500000000005</v>
      </c>
      <c r="AB4763">
        <v>30</v>
      </c>
      <c r="AC4763">
        <v>-6.9950000000000001</v>
      </c>
      <c r="AD4763">
        <v>-1.103988968114</v>
      </c>
      <c r="AE4763">
        <v>-59.059899999999999</v>
      </c>
      <c r="AF4763">
        <v>-7.8975940230758601</v>
      </c>
      <c r="AG4763">
        <v>-1.103988968114</v>
      </c>
      <c r="AH4763">
        <v>58.9253213628932</v>
      </c>
      <c r="AI4763">
        <v>91.063823155770294</v>
      </c>
      <c r="AJ4763">
        <v>97.633699294991899</v>
      </c>
      <c r="AK4763">
        <v>59.462461105434201</v>
      </c>
      <c r="AL4763">
        <v>78.668887594963095</v>
      </c>
      <c r="AM4763">
        <v>97.988555198194206</v>
      </c>
      <c r="AN4763">
        <v>0.99999998613726504</v>
      </c>
    </row>
    <row r="4764" spans="1:40" x14ac:dyDescent="0.25">
      <c r="A4764" t="str">
        <f>"20190304154850460"</f>
        <v>20190304154850460</v>
      </c>
      <c r="B4764" t="str">
        <f>"1551685730451890"</f>
        <v>1551685730451890</v>
      </c>
      <c r="C4764" t="s">
        <v>40</v>
      </c>
      <c r="D4764">
        <v>4.8093130000000004</v>
      </c>
      <c r="E4764">
        <v>0.50200310000000004</v>
      </c>
      <c r="F4764" t="s">
        <v>79</v>
      </c>
      <c r="G4764">
        <v>-196.19370000000001</v>
      </c>
      <c r="H4764" s="1">
        <v>-5.7433380000000003E-6</v>
      </c>
      <c r="I4764">
        <v>129.33369999999999</v>
      </c>
      <c r="J4764">
        <v>-189.2799</v>
      </c>
      <c r="K4764">
        <v>1.1044659999999999</v>
      </c>
      <c r="L4764">
        <v>188.97110000000001</v>
      </c>
      <c r="M4764">
        <v>-0.25076959999999998</v>
      </c>
      <c r="N4764">
        <v>-1.5694119999999999E-2</v>
      </c>
      <c r="O4764">
        <v>-0.96791970000000005</v>
      </c>
      <c r="P4764">
        <v>-0.1046854</v>
      </c>
      <c r="Q4764">
        <v>0.17957609999999999</v>
      </c>
      <c r="R4764">
        <v>-0.97815830000000004</v>
      </c>
      <c r="S4764">
        <v>-0.35350039999999999</v>
      </c>
      <c r="T4764">
        <v>-5.6116939999999997E-2</v>
      </c>
      <c r="U4764">
        <v>-3.0389710000000001</v>
      </c>
      <c r="V4764">
        <v>-0.14099829999999999</v>
      </c>
      <c r="W4764">
        <v>0.19699800000000001</v>
      </c>
      <c r="X4764">
        <v>0.97021199999999996</v>
      </c>
      <c r="Y4764">
        <v>-0.137233299999999</v>
      </c>
      <c r="Z4764">
        <v>1.9722490000000001E-3</v>
      </c>
      <c r="AA4764">
        <v>0.9905368</v>
      </c>
      <c r="AB4764">
        <v>30</v>
      </c>
      <c r="AC4764">
        <v>-6.9138000000000002</v>
      </c>
      <c r="AD4764">
        <v>-1.104471743338</v>
      </c>
      <c r="AE4764">
        <v>-59.6374</v>
      </c>
      <c r="AF4764">
        <v>-8.2614645848558794</v>
      </c>
      <c r="AG4764">
        <v>-1.104471743338</v>
      </c>
      <c r="AH4764">
        <v>59.445183441675702</v>
      </c>
      <c r="AI4764">
        <v>91.054283660143099</v>
      </c>
      <c r="AJ4764">
        <v>97.912069471712499</v>
      </c>
      <c r="AK4764">
        <v>60.026673148968797</v>
      </c>
      <c r="AL4764">
        <v>78.638535446296402</v>
      </c>
      <c r="AM4764">
        <v>98.268753678288306</v>
      </c>
      <c r="AN4764">
        <v>1.00000002877544</v>
      </c>
    </row>
    <row r="4765" spans="1:40" x14ac:dyDescent="0.25">
      <c r="A4765" t="str">
        <f>"20190304154850480"</f>
        <v>20190304154850480</v>
      </c>
      <c r="B4765" t="str">
        <f>"1551685730471413"</f>
        <v>1551685730471413</v>
      </c>
      <c r="C4765" t="s">
        <v>40</v>
      </c>
      <c r="D4765">
        <v>4.8436890000000004</v>
      </c>
      <c r="E4765">
        <v>0.49870779999999998</v>
      </c>
      <c r="F4765" t="s">
        <v>79</v>
      </c>
      <c r="G4765">
        <v>-196.2895</v>
      </c>
      <c r="H4765" s="1">
        <v>-5.0419610000000002E-6</v>
      </c>
      <c r="I4765">
        <v>126.8724</v>
      </c>
      <c r="J4765">
        <v>-189.34690000000001</v>
      </c>
      <c r="K4765">
        <v>1.1052409999999999</v>
      </c>
      <c r="L4765">
        <v>188.72790000000001</v>
      </c>
      <c r="M4765">
        <v>-0.25415450000000001</v>
      </c>
      <c r="N4765">
        <v>-1.555575E-2</v>
      </c>
      <c r="O4765">
        <v>-0.96703859999999997</v>
      </c>
      <c r="P4765">
        <v>-9.8490610000000006E-2</v>
      </c>
      <c r="Q4765">
        <v>0.18039140000000001</v>
      </c>
      <c r="R4765">
        <v>-0.97865150000000001</v>
      </c>
      <c r="S4765">
        <v>-0.34317019999999998</v>
      </c>
      <c r="T4765">
        <v>-5.407178E-2</v>
      </c>
      <c r="U4765">
        <v>-3.0401760000000002</v>
      </c>
      <c r="V4765">
        <v>-0.15085760000000001</v>
      </c>
      <c r="W4765">
        <v>0.19753090000000001</v>
      </c>
      <c r="X4765">
        <v>0.96861940000000002</v>
      </c>
      <c r="Y4765">
        <v>-0.14406150000000001</v>
      </c>
      <c r="Z4765">
        <v>1.4342440000000001E-3</v>
      </c>
      <c r="AA4765">
        <v>0.98956770000000005</v>
      </c>
      <c r="AB4765">
        <v>30</v>
      </c>
      <c r="AC4765">
        <v>-6.9425999999999899</v>
      </c>
      <c r="AD4765">
        <v>-1.105246041961</v>
      </c>
      <c r="AE4765">
        <v>-61.855499999999999</v>
      </c>
      <c r="AF4765">
        <v>-9.0053414215742702</v>
      </c>
      <c r="AG4765">
        <v>-1.105246041961</v>
      </c>
      <c r="AH4765">
        <v>61.569183998668102</v>
      </c>
      <c r="AI4765">
        <v>91.017597608801907</v>
      </c>
      <c r="AJ4765">
        <v>98.321292524724697</v>
      </c>
      <c r="AK4765">
        <v>62.234091631470299</v>
      </c>
      <c r="AL4765">
        <v>78.607390286734699</v>
      </c>
      <c r="AM4765">
        <v>98.852410535489696</v>
      </c>
      <c r="AN4765">
        <v>1.0000000069944599</v>
      </c>
    </row>
    <row r="4766" spans="1:40" x14ac:dyDescent="0.25">
      <c r="A4766" t="str">
        <f>"20190304154850493"</f>
        <v>20190304154850493</v>
      </c>
      <c r="B4766" t="str">
        <f>"1551685730482145"</f>
        <v>1551685730482145</v>
      </c>
      <c r="C4766" t="s">
        <v>40</v>
      </c>
      <c r="D4766">
        <v>4.7876070000000004</v>
      </c>
      <c r="E4766">
        <v>0.49870779999999998</v>
      </c>
      <c r="F4766" t="s">
        <v>79</v>
      </c>
      <c r="G4766">
        <v>-193.6217</v>
      </c>
      <c r="H4766" s="1">
        <v>-1.013758E-5</v>
      </c>
      <c r="I4766">
        <v>145.06639999999999</v>
      </c>
      <c r="J4766">
        <v>-189.39660000000001</v>
      </c>
      <c r="K4766">
        <v>1.1057870000000001</v>
      </c>
      <c r="L4766">
        <v>188.54859999999999</v>
      </c>
      <c r="M4766">
        <v>-0.25632850000000001</v>
      </c>
      <c r="N4766">
        <v>-1.545962E-2</v>
      </c>
      <c r="O4766">
        <v>-0.96646620000000005</v>
      </c>
      <c r="P4766">
        <v>-9.5730629999999997E-2</v>
      </c>
      <c r="Q4766">
        <v>0.18095320000000001</v>
      </c>
      <c r="R4766">
        <v>-0.97882170000000002</v>
      </c>
      <c r="S4766">
        <v>-0.29858400000000002</v>
      </c>
      <c r="T4766">
        <v>-7.7198390000000006E-2</v>
      </c>
      <c r="U4766">
        <v>-3.0496219999999998</v>
      </c>
      <c r="V4766">
        <v>-0.1559972</v>
      </c>
      <c r="W4766">
        <v>0.1978548</v>
      </c>
      <c r="X4766">
        <v>0.96773880000000001</v>
      </c>
      <c r="Y4766">
        <v>-0.16090499999999999</v>
      </c>
      <c r="Z4766">
        <v>8.5590969999999999E-3</v>
      </c>
      <c r="AA4766">
        <v>0.98693280000000005</v>
      </c>
      <c r="AB4766">
        <v>30</v>
      </c>
      <c r="AC4766">
        <v>-4.2250999999999896</v>
      </c>
      <c r="AD4766">
        <v>-1.10579713757999</v>
      </c>
      <c r="AE4766">
        <v>-43.482199999999999</v>
      </c>
      <c r="AF4766">
        <v>-7.0586317154184304</v>
      </c>
      <c r="AG4766">
        <v>-1.10579713757999</v>
      </c>
      <c r="AH4766">
        <v>43.084633905916299</v>
      </c>
      <c r="AI4766">
        <v>91.450879272142799</v>
      </c>
      <c r="AJ4766">
        <v>99.304212093377103</v>
      </c>
      <c r="AK4766">
        <v>43.673020823046201</v>
      </c>
      <c r="AL4766">
        <v>78.588458659003805</v>
      </c>
      <c r="AM4766">
        <v>99.157170675388699</v>
      </c>
      <c r="AN4766">
        <v>1.00000001665816</v>
      </c>
    </row>
    <row r="4767" spans="1:40" x14ac:dyDescent="0.25">
      <c r="A4767" t="str">
        <f>"20190304154850506"</f>
        <v>20190304154850506</v>
      </c>
      <c r="B4767" t="str">
        <f>"1551685730501665"</f>
        <v>1551685730501665</v>
      </c>
      <c r="C4767" t="s">
        <v>40</v>
      </c>
      <c r="D4767">
        <v>4.861491</v>
      </c>
      <c r="E4767">
        <v>0.49862210000000001</v>
      </c>
      <c r="F4767" t="s">
        <v>79</v>
      </c>
      <c r="G4767">
        <v>-193.64330000000001</v>
      </c>
      <c r="H4767" s="1">
        <v>-9.8233520000000002E-6</v>
      </c>
      <c r="I4767">
        <v>143.8604</v>
      </c>
      <c r="J4767">
        <v>-189.44489999999999</v>
      </c>
      <c r="K4767">
        <v>1.1062890000000001</v>
      </c>
      <c r="L4767">
        <v>188.37520000000001</v>
      </c>
      <c r="M4767">
        <v>-0.25808700000000001</v>
      </c>
      <c r="N4767">
        <v>-1.537256E-2</v>
      </c>
      <c r="O4767">
        <v>-0.96599939999999995</v>
      </c>
      <c r="P4767">
        <v>-9.2530909999999994E-2</v>
      </c>
      <c r="Q4767">
        <v>0.18178269999999999</v>
      </c>
      <c r="R4767">
        <v>-0.9789757</v>
      </c>
      <c r="S4767">
        <v>-0.28988649999999999</v>
      </c>
      <c r="T4767">
        <v>-7.5483439999999999E-2</v>
      </c>
      <c r="U4767">
        <v>-3.0504910000000001</v>
      </c>
      <c r="V4767">
        <v>-0.1611146</v>
      </c>
      <c r="W4767">
        <v>0.1984582</v>
      </c>
      <c r="X4767">
        <v>0.96677630000000003</v>
      </c>
      <c r="Y4767">
        <v>-0.16551350000000001</v>
      </c>
      <c r="Z4767">
        <v>8.0815169999999999E-3</v>
      </c>
      <c r="AA4767">
        <v>0.98617440000000001</v>
      </c>
      <c r="AB4767">
        <v>30</v>
      </c>
      <c r="AC4767">
        <v>-4.1984000000000199</v>
      </c>
      <c r="AD4767">
        <v>-1.1062988233519999</v>
      </c>
      <c r="AE4767">
        <v>-44.514800000000001</v>
      </c>
      <c r="AF4767">
        <v>-7.4293693011217297</v>
      </c>
      <c r="AG4767">
        <v>-1.1062988233519999</v>
      </c>
      <c r="AH4767">
        <v>44.063056012640203</v>
      </c>
      <c r="AI4767">
        <v>91.418223565351695</v>
      </c>
      <c r="AJ4767">
        <v>99.570493738495898</v>
      </c>
      <c r="AK4767">
        <v>44.6986837666621</v>
      </c>
      <c r="AL4767">
        <v>78.553186685693305</v>
      </c>
      <c r="AM4767">
        <v>99.461469754207897</v>
      </c>
      <c r="AN4767">
        <v>0.99999999286104502</v>
      </c>
    </row>
    <row r="4768" spans="1:40" x14ac:dyDescent="0.25">
      <c r="A4768" t="str">
        <f>"20190304154850524"</f>
        <v>20190304154850524</v>
      </c>
      <c r="B4768" t="str">
        <f>"1551685730511427"</f>
        <v>1551685730511427</v>
      </c>
      <c r="C4768" t="s">
        <v>40</v>
      </c>
      <c r="D4768">
        <v>4.6883879999999998</v>
      </c>
      <c r="E4768">
        <v>0.49901889999999999</v>
      </c>
      <c r="F4768" t="s">
        <v>79</v>
      </c>
      <c r="G4768">
        <v>-193.47300000000001</v>
      </c>
      <c r="H4768" s="1">
        <v>-9.9537629999999999E-6</v>
      </c>
      <c r="I4768">
        <v>144.46940000000001</v>
      </c>
      <c r="J4768">
        <v>-189.5077</v>
      </c>
      <c r="K4768">
        <v>1.1069059999999999</v>
      </c>
      <c r="L4768">
        <v>188.15029999999999</v>
      </c>
      <c r="M4768">
        <v>-0.26007219999999998</v>
      </c>
      <c r="N4768">
        <v>-1.526681E-2</v>
      </c>
      <c r="O4768">
        <v>-0.96546860000000001</v>
      </c>
      <c r="P4768">
        <v>-8.5035949999999999E-2</v>
      </c>
      <c r="Q4768">
        <v>0.1825533</v>
      </c>
      <c r="R4768">
        <v>-0.9795121</v>
      </c>
      <c r="S4768">
        <v>-0.28002929999999998</v>
      </c>
      <c r="T4768">
        <v>-7.6908470000000007E-2</v>
      </c>
      <c r="U4768">
        <v>-3.0522770000000001</v>
      </c>
      <c r="V4768">
        <v>-0.1707622</v>
      </c>
      <c r="W4768">
        <v>0.19895779999999999</v>
      </c>
      <c r="X4768">
        <v>0.96501610000000004</v>
      </c>
      <c r="Y4768">
        <v>-0.17074819999999999</v>
      </c>
      <c r="Z4768">
        <v>8.5783539999999998E-3</v>
      </c>
      <c r="AA4768">
        <v>0.98527739999999997</v>
      </c>
      <c r="AB4768">
        <v>30</v>
      </c>
      <c r="AC4768">
        <v>-3.9652999999999801</v>
      </c>
      <c r="AD4768">
        <v>-1.106915953763</v>
      </c>
      <c r="AE4768">
        <v>-43.680899999999902</v>
      </c>
      <c r="AF4768">
        <v>-7.52789746766656</v>
      </c>
      <c r="AG4768">
        <v>-1.106915953763</v>
      </c>
      <c r="AH4768">
        <v>43.181329321125197</v>
      </c>
      <c r="AI4768">
        <v>91.446597782632907</v>
      </c>
      <c r="AJ4768">
        <v>99.889117848581293</v>
      </c>
      <c r="AK4768">
        <v>43.846570050026301</v>
      </c>
      <c r="AL4768">
        <v>78.523979413024193</v>
      </c>
      <c r="AM4768">
        <v>100.034766052454</v>
      </c>
      <c r="AN4768">
        <v>1.0000000041944399</v>
      </c>
    </row>
    <row r="4769" spans="1:40" x14ac:dyDescent="0.25">
      <c r="A4769" t="str">
        <f>"20190304154850537"</f>
        <v>20190304154850537</v>
      </c>
      <c r="B4769" t="str">
        <f>"1551685730531922"</f>
        <v>1551685730531922</v>
      </c>
      <c r="C4769" t="s">
        <v>40</v>
      </c>
      <c r="D4769">
        <v>4.8633150000000001</v>
      </c>
      <c r="E4769">
        <v>0.4981739</v>
      </c>
      <c r="F4769" t="s">
        <v>79</v>
      </c>
      <c r="G4769">
        <v>-193.05590000000001</v>
      </c>
      <c r="H4769" s="1">
        <v>-1.04494899999999E-5</v>
      </c>
      <c r="I4769">
        <v>146.62970000000001</v>
      </c>
      <c r="J4769">
        <v>-189.5582</v>
      </c>
      <c r="K4769">
        <v>1.1073809999999999</v>
      </c>
      <c r="L4769">
        <v>187.97020000000001</v>
      </c>
      <c r="M4769">
        <v>-0.26141779999999998</v>
      </c>
      <c r="N4769">
        <v>-1.518767E-2</v>
      </c>
      <c r="O4769">
        <v>-0.96510629999999997</v>
      </c>
      <c r="P4769">
        <v>-8.2306829999999997E-2</v>
      </c>
      <c r="Q4769">
        <v>0.182842</v>
      </c>
      <c r="R4769">
        <v>-0.97969079999999997</v>
      </c>
      <c r="S4769">
        <v>-0.26109310000000002</v>
      </c>
      <c r="T4769">
        <v>-8.1451889999999999E-2</v>
      </c>
      <c r="U4769">
        <v>-3.0552670000000002</v>
      </c>
      <c r="V4769">
        <v>-0.17501120000000001</v>
      </c>
      <c r="W4769">
        <v>0.1990026</v>
      </c>
      <c r="X4769">
        <v>0.96424529999999997</v>
      </c>
      <c r="Y4769">
        <v>-0.17826020000000001</v>
      </c>
      <c r="Z4769">
        <v>9.992117E-3</v>
      </c>
      <c r="AA4769">
        <v>0.98393269999999999</v>
      </c>
      <c r="AB4769">
        <v>30</v>
      </c>
      <c r="AC4769">
        <v>-3.4977</v>
      </c>
      <c r="AD4769">
        <v>-1.1073914494899999</v>
      </c>
      <c r="AE4769">
        <v>-41.340499999999899</v>
      </c>
      <c r="AF4769">
        <v>-7.4270557285702603</v>
      </c>
      <c r="AG4769">
        <v>-1.1073914494899999</v>
      </c>
      <c r="AH4769">
        <v>40.787984452173397</v>
      </c>
      <c r="AI4769">
        <v>91.5300486548077</v>
      </c>
      <c r="AJ4769">
        <v>100.319882852879</v>
      </c>
      <c r="AK4769">
        <v>41.473451125852002</v>
      </c>
      <c r="AL4769">
        <v>78.521359867498802</v>
      </c>
      <c r="AM4769">
        <v>100.287237385981</v>
      </c>
      <c r="AN4769">
        <v>0.99999997675214403</v>
      </c>
    </row>
    <row r="4770" spans="1:40" x14ac:dyDescent="0.25">
      <c r="A4770" t="str">
        <f>"20190304154850549"</f>
        <v>20190304154850549</v>
      </c>
      <c r="B4770" t="str">
        <f>"1551685730541682"</f>
        <v>1551685730541682</v>
      </c>
      <c r="C4770" t="s">
        <v>40</v>
      </c>
      <c r="D4770">
        <v>4.8229749999999996</v>
      </c>
      <c r="E4770">
        <v>0.49910460000000001</v>
      </c>
      <c r="F4770" t="s">
        <v>79</v>
      </c>
      <c r="G4770">
        <v>-192.93799999999999</v>
      </c>
      <c r="H4770" s="1">
        <v>-1.0268369999999999E-5</v>
      </c>
      <c r="I4770">
        <v>146.0222</v>
      </c>
      <c r="J4770">
        <v>-189.6027</v>
      </c>
      <c r="K4770">
        <v>1.1077859999999999</v>
      </c>
      <c r="L4770">
        <v>187.81110000000001</v>
      </c>
      <c r="M4770">
        <v>-0.26243430000000001</v>
      </c>
      <c r="N4770">
        <v>-1.512149E-2</v>
      </c>
      <c r="O4770">
        <v>-0.96483149999999995</v>
      </c>
      <c r="P4770">
        <v>-7.9051380000000004E-2</v>
      </c>
      <c r="Q4770">
        <v>0.18319009999999999</v>
      </c>
      <c r="R4770">
        <v>-0.97989389999999998</v>
      </c>
      <c r="S4770">
        <v>-0.24627689999999999</v>
      </c>
      <c r="T4770">
        <v>-8.0690739999999997E-2</v>
      </c>
      <c r="U4770">
        <v>-3.0565639999999998</v>
      </c>
      <c r="V4770">
        <v>-0.17941279999999901</v>
      </c>
      <c r="W4770">
        <v>0.19913719999999999</v>
      </c>
      <c r="X4770">
        <v>0.96340820000000005</v>
      </c>
      <c r="Y4770">
        <v>-0.18406410000000001</v>
      </c>
      <c r="Z4770">
        <v>9.7842190000000002E-3</v>
      </c>
      <c r="AA4770">
        <v>0.98286560000000001</v>
      </c>
      <c r="AB4770">
        <v>30</v>
      </c>
      <c r="AC4770">
        <v>-3.3352999999999802</v>
      </c>
      <c r="AD4770">
        <v>-1.10779626837</v>
      </c>
      <c r="AE4770">
        <v>-41.788899999999998</v>
      </c>
      <c r="AF4770">
        <v>-7.7443155112371098</v>
      </c>
      <c r="AG4770">
        <v>-1.10779626837</v>
      </c>
      <c r="AH4770">
        <v>41.170500481570798</v>
      </c>
      <c r="AI4770">
        <v>91.5147629856544</v>
      </c>
      <c r="AJ4770">
        <v>100.653055645131</v>
      </c>
      <c r="AK4770">
        <v>41.907180115259798</v>
      </c>
      <c r="AL4770">
        <v>78.513490253523898</v>
      </c>
      <c r="AM4770">
        <v>100.54918906895099</v>
      </c>
      <c r="AN4770">
        <v>0.99999996852745898</v>
      </c>
    </row>
    <row r="4771" spans="1:40" x14ac:dyDescent="0.25">
      <c r="A4771" t="str">
        <f>"20190304154850561"</f>
        <v>20190304154850561</v>
      </c>
      <c r="B4771" t="str">
        <f>"1551685730551441"</f>
        <v>1551685730551441</v>
      </c>
      <c r="C4771" t="s">
        <v>40</v>
      </c>
      <c r="D4771">
        <v>4.808287</v>
      </c>
      <c r="E4771">
        <v>0.49929180000000001</v>
      </c>
      <c r="F4771" t="s">
        <v>79</v>
      </c>
      <c r="G4771">
        <v>-193.27189999999999</v>
      </c>
      <c r="H4771" s="1">
        <v>-9.1891169999999997E-6</v>
      </c>
      <c r="I4771">
        <v>141.8443</v>
      </c>
      <c r="J4771">
        <v>-189.64420000000001</v>
      </c>
      <c r="K4771">
        <v>1.1081510000000001</v>
      </c>
      <c r="L4771">
        <v>187.66300000000001</v>
      </c>
      <c r="M4771">
        <v>-0.26317639999999998</v>
      </c>
      <c r="N4771">
        <v>-1.506453E-2</v>
      </c>
      <c r="O4771">
        <v>-0.96463049999999995</v>
      </c>
      <c r="P4771">
        <v>-7.6716939999999997E-2</v>
      </c>
      <c r="Q4771">
        <v>0.18365429999999999</v>
      </c>
      <c r="R4771">
        <v>-0.979993</v>
      </c>
      <c r="S4771">
        <v>-0.24391170000000001</v>
      </c>
      <c r="T4771">
        <v>-7.3640819999999996E-2</v>
      </c>
      <c r="U4771">
        <v>-3.0556489999999998</v>
      </c>
      <c r="V4771">
        <v>-0.1826023</v>
      </c>
      <c r="W4771">
        <v>0.1994031</v>
      </c>
      <c r="X4771">
        <v>0.96275379999999999</v>
      </c>
      <c r="Y4771">
        <v>-0.18555360000000001</v>
      </c>
      <c r="Z4771">
        <v>7.6753239999999999E-3</v>
      </c>
      <c r="AA4771">
        <v>0.98260409999999998</v>
      </c>
      <c r="AB4771">
        <v>30</v>
      </c>
      <c r="AC4771">
        <v>-3.6276999999999702</v>
      </c>
      <c r="AD4771">
        <v>-1.1081601891169901</v>
      </c>
      <c r="AE4771">
        <v>-45.8186999999999</v>
      </c>
      <c r="AF4771">
        <v>-8.5550054755218099</v>
      </c>
      <c r="AG4771">
        <v>-1.1081601891169901</v>
      </c>
      <c r="AH4771">
        <v>45.131712356102597</v>
      </c>
      <c r="AI4771">
        <v>91.381954002102603</v>
      </c>
      <c r="AJ4771">
        <v>100.73343493061</v>
      </c>
      <c r="AK4771">
        <v>45.948749687939703</v>
      </c>
      <c r="AL4771">
        <v>78.497944316984302</v>
      </c>
      <c r="AM4771">
        <v>100.739532572355</v>
      </c>
      <c r="AN4771">
        <v>1.0000000378346601</v>
      </c>
    </row>
    <row r="4772" spans="1:40" x14ac:dyDescent="0.25">
      <c r="A4772" t="str">
        <f>"20190304154850572"</f>
        <v>20190304154850572</v>
      </c>
      <c r="B4772" t="str">
        <f>"1551685730562179"</f>
        <v>1551685730562179</v>
      </c>
      <c r="C4772" t="s">
        <v>40</v>
      </c>
      <c r="D4772">
        <v>5.037528</v>
      </c>
      <c r="E4772">
        <v>0.4998938</v>
      </c>
      <c r="F4772" t="s">
        <v>79</v>
      </c>
      <c r="G4772">
        <v>-193.3974</v>
      </c>
      <c r="H4772" s="1">
        <v>-8.5200100000000004E-6</v>
      </c>
      <c r="I4772">
        <v>139.5403</v>
      </c>
      <c r="J4772">
        <v>-189.68780000000001</v>
      </c>
      <c r="K4772">
        <v>1.1085259999999999</v>
      </c>
      <c r="L4772">
        <v>187.50720000000001</v>
      </c>
      <c r="M4772">
        <v>-0.2638817</v>
      </c>
      <c r="N4772">
        <v>-1.5006719999999999E-2</v>
      </c>
      <c r="O4772">
        <v>-0.96443849999999998</v>
      </c>
      <c r="P4772">
        <v>-7.4309479999999997E-2</v>
      </c>
      <c r="Q4772">
        <v>0.1844614</v>
      </c>
      <c r="R4772">
        <v>-0.98002710000000004</v>
      </c>
      <c r="S4772">
        <v>-0.23832700000000001</v>
      </c>
      <c r="T4772">
        <v>-7.0368410000000006E-2</v>
      </c>
      <c r="U4772">
        <v>-3.0558010000000002</v>
      </c>
      <c r="V4772">
        <v>-0.185812</v>
      </c>
      <c r="W4772">
        <v>0.19999790000000001</v>
      </c>
      <c r="X4772">
        <v>0.96201599999999998</v>
      </c>
      <c r="Y4772">
        <v>-0.18806049999999999</v>
      </c>
      <c r="Z4772">
        <v>6.7145729999999997E-3</v>
      </c>
      <c r="AA4772">
        <v>0.98213450000000002</v>
      </c>
      <c r="AB4772">
        <v>30</v>
      </c>
      <c r="AC4772">
        <v>-3.7095999999999898</v>
      </c>
      <c r="AD4772">
        <v>-1.1085345200100001</v>
      </c>
      <c r="AE4772">
        <v>-47.966900000000003</v>
      </c>
      <c r="AF4772">
        <v>-9.0761082911069106</v>
      </c>
      <c r="AG4772">
        <v>-1.1085345200100001</v>
      </c>
      <c r="AH4772">
        <v>47.220262010644099</v>
      </c>
      <c r="AI4772">
        <v>91.320653578674495</v>
      </c>
      <c r="AJ4772">
        <v>100.88001423052</v>
      </c>
      <c r="AK4772">
        <v>48.097377629636298</v>
      </c>
      <c r="AL4772">
        <v>78.463164024387694</v>
      </c>
      <c r="AM4772">
        <v>100.931979483606</v>
      </c>
      <c r="AN4772">
        <v>1.0000000218022</v>
      </c>
    </row>
    <row r="4773" spans="1:40" x14ac:dyDescent="0.25">
      <c r="A4773" t="str">
        <f>"20190304154850589"</f>
        <v>20190304154850589</v>
      </c>
      <c r="B4773" t="str">
        <f>"1551685730581701"</f>
        <v>1551685730581701</v>
      </c>
      <c r="C4773" t="s">
        <v>40</v>
      </c>
      <c r="D4773">
        <v>4.7431749999999999</v>
      </c>
      <c r="E4773">
        <v>0.5568689</v>
      </c>
      <c r="F4773" t="s">
        <v>79</v>
      </c>
      <c r="G4773">
        <v>-193.744</v>
      </c>
      <c r="H4773" s="1">
        <v>-7.0819470000000001E-6</v>
      </c>
      <c r="I4773">
        <v>134.88900000000001</v>
      </c>
      <c r="J4773">
        <v>-189.74860000000001</v>
      </c>
      <c r="K4773">
        <v>1.1090249999999999</v>
      </c>
      <c r="L4773">
        <v>187.2895</v>
      </c>
      <c r="M4773">
        <v>-0.26455070000000003</v>
      </c>
      <c r="N4773">
        <v>-1.493305E-2</v>
      </c>
      <c r="O4773">
        <v>-0.96425620000000001</v>
      </c>
      <c r="P4773">
        <v>-6.9686890000000001E-2</v>
      </c>
      <c r="Q4773">
        <v>0.18516969999999999</v>
      </c>
      <c r="R4773">
        <v>-0.98023269999999996</v>
      </c>
      <c r="S4773">
        <v>-0.23553470000000001</v>
      </c>
      <c r="T4773">
        <v>-6.4369800000000005E-2</v>
      </c>
      <c r="U4773">
        <v>-3.0554049999999999</v>
      </c>
      <c r="V4773">
        <v>-0.1912276</v>
      </c>
      <c r="W4773">
        <v>0.20042119999999999</v>
      </c>
      <c r="X4773">
        <v>0.960866</v>
      </c>
      <c r="Y4773">
        <v>-0.18962560000000001</v>
      </c>
      <c r="Z4773">
        <v>4.9425759999999997E-3</v>
      </c>
      <c r="AA4773">
        <v>0.98184400000000005</v>
      </c>
      <c r="AB4773">
        <v>30</v>
      </c>
      <c r="AC4773">
        <v>-3.9954000000000098</v>
      </c>
      <c r="AD4773">
        <v>-1.1090320819470001</v>
      </c>
      <c r="AE4773">
        <v>-52.400500000000001</v>
      </c>
      <c r="AF4773">
        <v>-10.0066591254628</v>
      </c>
      <c r="AG4773">
        <v>-1.1090320819470001</v>
      </c>
      <c r="AH4773">
        <v>51.567277730508501</v>
      </c>
      <c r="AI4773">
        <v>91.209487542641099</v>
      </c>
      <c r="AJ4773">
        <v>100.981793512945</v>
      </c>
      <c r="AK4773">
        <v>52.540910836674698</v>
      </c>
      <c r="AL4773">
        <v>78.438409980851105</v>
      </c>
      <c r="AM4773">
        <v>101.255705421437</v>
      </c>
      <c r="AN4773">
        <v>1.00000006118359</v>
      </c>
    </row>
    <row r="4774" spans="1:40" x14ac:dyDescent="0.25">
      <c r="A4774" t="str">
        <f>"20190304154850601"</f>
        <v>20190304154850601</v>
      </c>
      <c r="B4774" t="str">
        <f>"1551685730591458"</f>
        <v>1551685730591458</v>
      </c>
      <c r="C4774" t="s">
        <v>40</v>
      </c>
      <c r="D4774">
        <v>4.8631320000000002</v>
      </c>
      <c r="E4774">
        <v>0.5611623</v>
      </c>
      <c r="F4774" t="s">
        <v>55</v>
      </c>
      <c r="G4774">
        <v>-212.22550000000001</v>
      </c>
      <c r="H4774">
        <v>0.86961669999999902</v>
      </c>
      <c r="I4774">
        <v>86.848159999999993</v>
      </c>
      <c r="J4774">
        <v>-189.7895</v>
      </c>
      <c r="K4774">
        <v>1.1093360000000001</v>
      </c>
      <c r="L4774">
        <v>187.14279999999999</v>
      </c>
      <c r="M4774">
        <v>-0.26483030000000002</v>
      </c>
      <c r="N4774">
        <v>-1.4887859999999999E-2</v>
      </c>
      <c r="O4774">
        <v>-0.96418020000000004</v>
      </c>
      <c r="P4774">
        <v>-6.8278270000000002E-2</v>
      </c>
      <c r="Q4774">
        <v>0.18499019999999999</v>
      </c>
      <c r="R4774">
        <v>-0.98036559999999995</v>
      </c>
      <c r="S4774">
        <v>-0.67445369999999905</v>
      </c>
      <c r="T4774">
        <v>-7.1830749999999997E-3</v>
      </c>
      <c r="U4774">
        <v>-3.0139010000000002</v>
      </c>
      <c r="V4774">
        <v>-0.19304879999999999</v>
      </c>
      <c r="W4774">
        <v>0.20006009999999999</v>
      </c>
      <c r="X4774">
        <v>0.96057700000000001</v>
      </c>
      <c r="Y4774">
        <v>-4.7896889999999998E-2</v>
      </c>
      <c r="Z4774">
        <v>-1.222288E-2</v>
      </c>
      <c r="AA4774">
        <v>0.99877749999999998</v>
      </c>
      <c r="AB4774">
        <v>30</v>
      </c>
      <c r="AC4774">
        <v>-22.436</v>
      </c>
      <c r="AD4774">
        <v>-0.2397193</v>
      </c>
      <c r="AE4774">
        <v>-100.29464</v>
      </c>
      <c r="AF4774">
        <v>-4.9292316471394599</v>
      </c>
      <c r="AG4774">
        <v>-0.2397193</v>
      </c>
      <c r="AH4774">
        <v>102.654647504878</v>
      </c>
      <c r="AI4774">
        <v>90.133642973927905</v>
      </c>
      <c r="AJ4774">
        <v>92.749095294361297</v>
      </c>
      <c r="AK4774">
        <v>102.773203921667</v>
      </c>
      <c r="AL4774">
        <v>78.459526787799902</v>
      </c>
      <c r="AM4774">
        <v>101.363455866424</v>
      </c>
      <c r="AN4774">
        <v>1.00000002786122</v>
      </c>
    </row>
    <row r="4775" spans="1:40" x14ac:dyDescent="0.25">
      <c r="A4775" t="str">
        <f>"20190304154850612"</f>
        <v>20190304154850612</v>
      </c>
      <c r="B4775" t="str">
        <f>"1551685730602194"</f>
        <v>1551685730602194</v>
      </c>
      <c r="C4775" t="s">
        <v>40</v>
      </c>
      <c r="D4775">
        <v>4.8984569999999996</v>
      </c>
      <c r="E4775">
        <v>0.56405909999999904</v>
      </c>
      <c r="F4775" t="s">
        <v>55</v>
      </c>
      <c r="G4775">
        <v>-211.35890000000001</v>
      </c>
      <c r="H4775">
        <v>0.74119000000000002</v>
      </c>
      <c r="I4775">
        <v>94.886179999999996</v>
      </c>
      <c r="J4775">
        <v>-189.83189999999999</v>
      </c>
      <c r="K4775">
        <v>1.1096490000000001</v>
      </c>
      <c r="L4775">
        <v>186.99039999999999</v>
      </c>
      <c r="M4775">
        <v>-0.26506259999999998</v>
      </c>
      <c r="N4775">
        <v>-1.4842380000000001E-2</v>
      </c>
      <c r="O4775">
        <v>-0.96411690000000005</v>
      </c>
      <c r="P4775">
        <v>-6.6401920000000003E-2</v>
      </c>
      <c r="Q4775">
        <v>0.1847635</v>
      </c>
      <c r="R4775">
        <v>-0.9805374</v>
      </c>
      <c r="S4775">
        <v>-0.70449830000000002</v>
      </c>
      <c r="T4775">
        <v>-1.202345E-2</v>
      </c>
      <c r="U4775">
        <v>-3.0132750000000001</v>
      </c>
      <c r="V4775">
        <v>-0.19528519999999999</v>
      </c>
      <c r="W4775">
        <v>0.1996465</v>
      </c>
      <c r="X4775">
        <v>0.96021089999999998</v>
      </c>
      <c r="Y4775">
        <v>-3.8624850000000002E-2</v>
      </c>
      <c r="Z4775">
        <v>-1.0661210000000001E-2</v>
      </c>
      <c r="AA4775">
        <v>0.99919690000000005</v>
      </c>
      <c r="AB4775">
        <v>30</v>
      </c>
      <c r="AC4775">
        <v>-21.527000000000001</v>
      </c>
      <c r="AD4775">
        <v>-0.36845899999999898</v>
      </c>
      <c r="AE4775">
        <v>-92.104219999999899</v>
      </c>
      <c r="AF4775">
        <v>-3.6591873003725301</v>
      </c>
      <c r="AG4775">
        <v>-0.36845899999999898</v>
      </c>
      <c r="AH4775">
        <v>94.514220629597006</v>
      </c>
      <c r="AI4775">
        <v>90.223196411163698</v>
      </c>
      <c r="AJ4775">
        <v>92.217140762457106</v>
      </c>
      <c r="AK4775">
        <v>94.585745833894194</v>
      </c>
      <c r="AL4775">
        <v>78.483711957514103</v>
      </c>
      <c r="AM4775">
        <v>101.495879304779</v>
      </c>
      <c r="AN4775">
        <v>1.00000000339005</v>
      </c>
    </row>
    <row r="4776" spans="1:40" x14ac:dyDescent="0.25">
      <c r="A4776" t="str">
        <f>"20190304154850623"</f>
        <v>20190304154850623</v>
      </c>
      <c r="B4776" t="str">
        <f>"1551685730611953"</f>
        <v>1551685730611953</v>
      </c>
      <c r="C4776" t="s">
        <v>40</v>
      </c>
      <c r="D4776">
        <v>4.897322</v>
      </c>
      <c r="E4776">
        <v>0.56499500000000002</v>
      </c>
      <c r="F4776" t="s">
        <v>55</v>
      </c>
      <c r="G4776">
        <v>-211.3588</v>
      </c>
      <c r="H4776">
        <v>0.59110260000000003</v>
      </c>
      <c r="I4776">
        <v>97.165760000000006</v>
      </c>
      <c r="J4776">
        <v>-189.87219999999999</v>
      </c>
      <c r="K4776">
        <v>1.1099220000000001</v>
      </c>
      <c r="L4776">
        <v>186.8449</v>
      </c>
      <c r="M4776">
        <v>-0.26509169999999999</v>
      </c>
      <c r="N4776">
        <v>-1.4802869999999999E-2</v>
      </c>
      <c r="O4776">
        <v>-0.96410969999999996</v>
      </c>
      <c r="P4776">
        <v>-6.4853499999999994E-2</v>
      </c>
      <c r="Q4776">
        <v>0.1841053</v>
      </c>
      <c r="R4776">
        <v>-0.98076459999999999</v>
      </c>
      <c r="S4776">
        <v>-0.72230530000000004</v>
      </c>
      <c r="T4776">
        <v>-1.739812E-2</v>
      </c>
      <c r="U4776">
        <v>-3.0139309999999999</v>
      </c>
      <c r="V4776">
        <v>-0.1969998</v>
      </c>
      <c r="W4776">
        <v>0.19882369999999999</v>
      </c>
      <c r="X4776">
        <v>0.96003139999999998</v>
      </c>
      <c r="Y4776">
        <v>-3.3108470000000001E-2</v>
      </c>
      <c r="Z4776">
        <v>-8.9504939999999998E-3</v>
      </c>
      <c r="AA4776">
        <v>0.99941170000000001</v>
      </c>
      <c r="AB4776">
        <v>30</v>
      </c>
      <c r="AC4776">
        <v>-21.486599999999999</v>
      </c>
      <c r="AD4776">
        <v>-0.51881939999999904</v>
      </c>
      <c r="AE4776">
        <v>-89.679140000000004</v>
      </c>
      <c r="AF4776">
        <v>-3.0579940950855402</v>
      </c>
      <c r="AG4776">
        <v>-0.51881939999999904</v>
      </c>
      <c r="AH4776">
        <v>92.163617991229899</v>
      </c>
      <c r="AI4776">
        <v>90.322356040397196</v>
      </c>
      <c r="AJ4776">
        <v>91.900380046359004</v>
      </c>
      <c r="AK4776">
        <v>92.215795733099597</v>
      </c>
      <c r="AL4776">
        <v>78.531819787591104</v>
      </c>
      <c r="AM4776">
        <v>101.59620049765699</v>
      </c>
      <c r="AN4776">
        <v>1.00000003693384</v>
      </c>
    </row>
    <row r="4777" spans="1:40" x14ac:dyDescent="0.25">
      <c r="A4777" t="str">
        <f>"20190304154850634"</f>
        <v>20190304154850634</v>
      </c>
      <c r="B4777" t="str">
        <f>"1551685730631474"</f>
        <v>1551685730631474</v>
      </c>
      <c r="C4777" t="s">
        <v>40</v>
      </c>
      <c r="D4777">
        <v>4.8418640000000002</v>
      </c>
      <c r="E4777">
        <v>0.56663839999999999</v>
      </c>
      <c r="F4777" t="s">
        <v>55</v>
      </c>
      <c r="G4777">
        <v>-211.3588</v>
      </c>
      <c r="H4777">
        <v>0.45604450000000002</v>
      </c>
      <c r="I4777">
        <v>97.495350000000002</v>
      </c>
      <c r="J4777">
        <v>-189.91030000000001</v>
      </c>
      <c r="K4777">
        <v>1.1101719999999999</v>
      </c>
      <c r="L4777">
        <v>186.70740000000001</v>
      </c>
      <c r="M4777">
        <v>-0.265067</v>
      </c>
      <c r="N4777">
        <v>-1.4766710000000001E-2</v>
      </c>
      <c r="O4777">
        <v>-0.96411709999999995</v>
      </c>
      <c r="P4777">
        <v>-6.4059809999999995E-2</v>
      </c>
      <c r="Q4777">
        <v>0.1834576</v>
      </c>
      <c r="R4777">
        <v>-0.98093839999999999</v>
      </c>
      <c r="S4777">
        <v>-0.72505189999999997</v>
      </c>
      <c r="T4777">
        <v>-2.206373E-2</v>
      </c>
      <c r="U4777">
        <v>-3.0150450000000002</v>
      </c>
      <c r="V4777">
        <v>-0.19790679999999999</v>
      </c>
      <c r="W4777">
        <v>0.19802400000000001</v>
      </c>
      <c r="X4777">
        <v>0.96001009999999998</v>
      </c>
      <c r="Y4777">
        <v>-3.2302450000000003E-2</v>
      </c>
      <c r="Z4777">
        <v>-7.4721769999999896E-3</v>
      </c>
      <c r="AA4777">
        <v>0.99945019999999996</v>
      </c>
      <c r="AB4777">
        <v>30</v>
      </c>
      <c r="AC4777">
        <v>-21.448499999999999</v>
      </c>
      <c r="AD4777">
        <v>-0.65412749999999997</v>
      </c>
      <c r="AE4777">
        <v>-89.212050000000005</v>
      </c>
      <c r="AF4777">
        <v>-2.96847712380983</v>
      </c>
      <c r="AG4777">
        <v>-0.65412749999999997</v>
      </c>
      <c r="AH4777">
        <v>91.701474691968698</v>
      </c>
      <c r="AI4777">
        <v>90.408482951231903</v>
      </c>
      <c r="AJ4777">
        <v>91.854079664443901</v>
      </c>
      <c r="AK4777">
        <v>91.751840307988402</v>
      </c>
      <c r="AL4777">
        <v>78.578568326284994</v>
      </c>
      <c r="AM4777">
        <v>101.648385783564</v>
      </c>
      <c r="AN4777">
        <v>0.999999999082125</v>
      </c>
    </row>
    <row r="4778" spans="1:40" x14ac:dyDescent="0.25">
      <c r="A4778" t="str">
        <f>"20190304154850645"</f>
        <v>20190304154850645</v>
      </c>
      <c r="B4778" t="str">
        <f>"1551685730642210"</f>
        <v>1551685730642210</v>
      </c>
      <c r="C4778" t="s">
        <v>40</v>
      </c>
      <c r="D4778">
        <v>4.8890129999999896</v>
      </c>
      <c r="E4778">
        <v>0.56716919999999904</v>
      </c>
      <c r="F4778" t="s">
        <v>55</v>
      </c>
      <c r="G4778">
        <v>-211.4522</v>
      </c>
      <c r="H4778">
        <v>0.30693860000000001</v>
      </c>
      <c r="I4778">
        <v>98.375470000000007</v>
      </c>
      <c r="J4778">
        <v>-189.9485</v>
      </c>
      <c r="K4778">
        <v>1.110406</v>
      </c>
      <c r="L4778">
        <v>186.56829999999999</v>
      </c>
      <c r="M4778">
        <v>-0.2649069</v>
      </c>
      <c r="N4778">
        <v>-1.4733100000000001E-2</v>
      </c>
      <c r="O4778">
        <v>-0.9641615</v>
      </c>
      <c r="P4778">
        <v>-6.3146179999999996E-2</v>
      </c>
      <c r="Q4778">
        <v>0.1827445</v>
      </c>
      <c r="R4778">
        <v>-0.98113059999999996</v>
      </c>
      <c r="S4778">
        <v>-0.73538210000000004</v>
      </c>
      <c r="T4778">
        <v>-2.741909E-2</v>
      </c>
      <c r="U4778">
        <v>-3.015396</v>
      </c>
      <c r="V4778">
        <v>-0.19879040000000001</v>
      </c>
      <c r="W4778">
        <v>0.1971686</v>
      </c>
      <c r="X4778">
        <v>0.96000359999999996</v>
      </c>
      <c r="Y4778">
        <v>-2.8925759999999998E-2</v>
      </c>
      <c r="Z4778">
        <v>-5.7792149999999999E-3</v>
      </c>
      <c r="AA4778">
        <v>0.99956480000000003</v>
      </c>
      <c r="AB4778">
        <v>30</v>
      </c>
      <c r="AC4778">
        <v>-21.503699999999998</v>
      </c>
      <c r="AD4778">
        <v>-0.80346739999999905</v>
      </c>
      <c r="AE4778">
        <v>-88.192830000000001</v>
      </c>
      <c r="AF4778">
        <v>-2.6299288200217901</v>
      </c>
      <c r="AG4778">
        <v>-0.80346739999999905</v>
      </c>
      <c r="AH4778">
        <v>90.7313445479584</v>
      </c>
      <c r="AI4778">
        <v>90.507153978794804</v>
      </c>
      <c r="AJ4778">
        <v>91.660304310649394</v>
      </c>
      <c r="AK4778">
        <v>90.773007931551902</v>
      </c>
      <c r="AL4778">
        <v>78.628564860533203</v>
      </c>
      <c r="AM4778">
        <v>101.699039233593</v>
      </c>
      <c r="AN4778">
        <v>0.99999999598554001</v>
      </c>
    </row>
    <row r="4779" spans="1:40" x14ac:dyDescent="0.25">
      <c r="A4779" t="str">
        <f>"20190304154850656"</f>
        <v>20190304154850656</v>
      </c>
      <c r="B4779" t="str">
        <f>"1551685730651970"</f>
        <v>1551685730651970</v>
      </c>
      <c r="C4779" t="s">
        <v>40</v>
      </c>
      <c r="D4779">
        <v>4.873507</v>
      </c>
      <c r="E4779">
        <v>0.56744059999999996</v>
      </c>
      <c r="F4779" t="s">
        <v>55</v>
      </c>
      <c r="G4779">
        <v>-211.48349999999999</v>
      </c>
      <c r="H4779">
        <v>0.22229160000000001</v>
      </c>
      <c r="I4779">
        <v>98.375470000000007</v>
      </c>
      <c r="J4779">
        <v>-189.9873</v>
      </c>
      <c r="K4779">
        <v>1.1106400000000001</v>
      </c>
      <c r="L4779">
        <v>186.4273</v>
      </c>
      <c r="M4779">
        <v>-0.2646655</v>
      </c>
      <c r="N4779">
        <v>-1.470072E-2</v>
      </c>
      <c r="O4779">
        <v>-0.96422839999999999</v>
      </c>
      <c r="P4779">
        <v>-6.224358E-2</v>
      </c>
      <c r="Q4779">
        <v>0.182529</v>
      </c>
      <c r="R4779">
        <v>-0.98122860000000001</v>
      </c>
      <c r="S4779">
        <v>-0.7364349</v>
      </c>
      <c r="T4779">
        <v>-3.0370000000000001E-2</v>
      </c>
      <c r="U4779">
        <v>-3.0159449999999999</v>
      </c>
      <c r="V4779">
        <v>-0.1995538</v>
      </c>
      <c r="W4779">
        <v>0.19681190000000001</v>
      </c>
      <c r="X4779">
        <v>0.95991839999999995</v>
      </c>
      <c r="Y4779">
        <v>-2.8386640000000001E-2</v>
      </c>
      <c r="Z4779">
        <v>-4.835682E-3</v>
      </c>
      <c r="AA4779">
        <v>0.99958530000000001</v>
      </c>
      <c r="AB4779">
        <v>30</v>
      </c>
      <c r="AC4779">
        <v>-21.496199999999899</v>
      </c>
      <c r="AD4779">
        <v>-0.88834840000000004</v>
      </c>
      <c r="AE4779">
        <v>-88.051829999999995</v>
      </c>
      <c r="AF4779">
        <v>-2.5770655877726698</v>
      </c>
      <c r="AG4779">
        <v>-0.88834840000000004</v>
      </c>
      <c r="AH4779">
        <v>90.592450101431098</v>
      </c>
      <c r="AI4779">
        <v>90.561596502064006</v>
      </c>
      <c r="AJ4779">
        <v>91.629442325324007</v>
      </c>
      <c r="AK4779">
        <v>90.633451028324799</v>
      </c>
      <c r="AL4779">
        <v>78.6494106489274</v>
      </c>
      <c r="AM4779">
        <v>101.743734223244</v>
      </c>
      <c r="AN4779">
        <v>0.99999998886730401</v>
      </c>
    </row>
    <row r="4780" spans="1:40" x14ac:dyDescent="0.25">
      <c r="A4780" t="str">
        <f>"20190304154850667"</f>
        <v>20190304154850667</v>
      </c>
      <c r="B4780" t="str">
        <f>"1551685730661730"</f>
        <v>1551685730661730</v>
      </c>
      <c r="C4780" t="s">
        <v>40</v>
      </c>
      <c r="D4780">
        <v>4.9024070000000002</v>
      </c>
      <c r="E4780">
        <v>0.56783479999999997</v>
      </c>
      <c r="F4780" t="s">
        <v>55</v>
      </c>
      <c r="G4780">
        <v>-211.45349999999999</v>
      </c>
      <c r="H4780">
        <v>0.13755629999999999</v>
      </c>
      <c r="I4780">
        <v>98.375470000000007</v>
      </c>
      <c r="J4780">
        <v>-190.02629999999999</v>
      </c>
      <c r="K4780">
        <v>1.110862</v>
      </c>
      <c r="L4780">
        <v>186.28460000000001</v>
      </c>
      <c r="M4780">
        <v>-0.26431329999999997</v>
      </c>
      <c r="N4780">
        <v>-1.4670239999999999E-2</v>
      </c>
      <c r="O4780">
        <v>-0.9643254</v>
      </c>
      <c r="P4780">
        <v>-6.1801910000000002E-2</v>
      </c>
      <c r="Q4780">
        <v>0.18247769999999999</v>
      </c>
      <c r="R4780">
        <v>-0.98126579999999997</v>
      </c>
      <c r="S4780">
        <v>-0.73550419999999905</v>
      </c>
      <c r="T4780">
        <v>-3.3339979999999998E-2</v>
      </c>
      <c r="U4780">
        <v>-3.016937</v>
      </c>
      <c r="V4780">
        <v>-0.19974230000000001</v>
      </c>
      <c r="W4780">
        <v>0.19662579999999999</v>
      </c>
      <c r="X4780">
        <v>0.95991740000000003</v>
      </c>
      <c r="Y4780">
        <v>-2.8387030000000001E-2</v>
      </c>
      <c r="Z4780">
        <v>-3.890073E-3</v>
      </c>
      <c r="AA4780">
        <v>0.99958939999999996</v>
      </c>
      <c r="AB4780">
        <v>30</v>
      </c>
      <c r="AC4780">
        <v>-21.427199999999999</v>
      </c>
      <c r="AD4780">
        <v>-0.97330569999999905</v>
      </c>
      <c r="AE4780">
        <v>-87.909130000000005</v>
      </c>
      <c r="AF4780">
        <v>-2.5727379704132098</v>
      </c>
      <c r="AG4780">
        <v>-0.97330569999999905</v>
      </c>
      <c r="AH4780">
        <v>90.435760279612694</v>
      </c>
      <c r="AI4780">
        <v>90.616366866831996</v>
      </c>
      <c r="AJ4780">
        <v>91.629524435129497</v>
      </c>
      <c r="AK4780">
        <v>90.477583091070798</v>
      </c>
      <c r="AL4780">
        <v>78.660286636150801</v>
      </c>
      <c r="AM4780">
        <v>101.75453082989</v>
      </c>
      <c r="AN4780">
        <v>1.00000005322884</v>
      </c>
    </row>
    <row r="4781" spans="1:40" x14ac:dyDescent="0.25">
      <c r="A4781" t="str">
        <f>"20190304154850682"</f>
        <v>20190304154850682</v>
      </c>
      <c r="B4781" t="str">
        <f>"1551685730671490"</f>
        <v>1551685730671490</v>
      </c>
      <c r="C4781" t="s">
        <v>40</v>
      </c>
      <c r="D4781">
        <v>4.9399769999999998</v>
      </c>
      <c r="E4781">
        <v>0.56749810000000001</v>
      </c>
      <c r="F4781" t="s">
        <v>55</v>
      </c>
      <c r="G4781">
        <v>-211.49700000000001</v>
      </c>
      <c r="H4781">
        <v>8.2870360000000004E-2</v>
      </c>
      <c r="I4781">
        <v>98.375470000000007</v>
      </c>
      <c r="J4781">
        <v>-190.0762</v>
      </c>
      <c r="K4781">
        <v>1.111137</v>
      </c>
      <c r="L4781">
        <v>186.1011</v>
      </c>
      <c r="M4781">
        <v>-0.26369890000000001</v>
      </c>
      <c r="N4781">
        <v>-1.4634579999999999E-2</v>
      </c>
      <c r="O4781">
        <v>-0.96449390000000002</v>
      </c>
      <c r="P4781">
        <v>-6.1906889999999999E-2</v>
      </c>
      <c r="Q4781">
        <v>0.18234649999999999</v>
      </c>
      <c r="R4781">
        <v>-0.98128349999999998</v>
      </c>
      <c r="S4781">
        <v>-0.73696899999999999</v>
      </c>
      <c r="T4781">
        <v>-3.5284160000000002E-2</v>
      </c>
      <c r="U4781">
        <v>-3.0174259999999999</v>
      </c>
      <c r="V4781">
        <v>-0.19915949999999999</v>
      </c>
      <c r="W4781">
        <v>0.1963336</v>
      </c>
      <c r="X4781">
        <v>0.96009820000000001</v>
      </c>
      <c r="Y4781">
        <v>-2.732884E-2</v>
      </c>
      <c r="Z4781">
        <v>-3.2537360000000001E-3</v>
      </c>
      <c r="AA4781">
        <v>0.99962119999999999</v>
      </c>
      <c r="AB4781">
        <v>30</v>
      </c>
      <c r="AC4781">
        <v>-21.4208</v>
      </c>
      <c r="AD4781">
        <v>-1.02826664</v>
      </c>
      <c r="AE4781">
        <v>-87.725629999999995</v>
      </c>
      <c r="AF4781">
        <v>-2.4728657157379601</v>
      </c>
      <c r="AG4781">
        <v>-1.02826664</v>
      </c>
      <c r="AH4781">
        <v>90.257451289817496</v>
      </c>
      <c r="AI4781">
        <v>90.6524745844618</v>
      </c>
      <c r="AJ4781">
        <v>91.5693921229377</v>
      </c>
      <c r="AK4781">
        <v>90.297175539796299</v>
      </c>
      <c r="AL4781">
        <v>78.677360342839094</v>
      </c>
      <c r="AM4781">
        <v>101.71903796267701</v>
      </c>
      <c r="AN4781">
        <v>0.99999997128622398</v>
      </c>
    </row>
    <row r="4782" spans="1:40" x14ac:dyDescent="0.25">
      <c r="A4782" t="str">
        <f>"20190304154850695"</f>
        <v>20190304154850695</v>
      </c>
      <c r="B4782" t="str">
        <f>"1551685730691985"</f>
        <v>1551685730691985</v>
      </c>
      <c r="C4782" t="s">
        <v>40</v>
      </c>
      <c r="D4782">
        <v>4.9174530000000001</v>
      </c>
      <c r="E4782">
        <v>0.5676158</v>
      </c>
      <c r="F4782" t="s">
        <v>55</v>
      </c>
      <c r="G4782">
        <v>-211.42500000000001</v>
      </c>
      <c r="H4782">
        <v>-3.717065E-2</v>
      </c>
      <c r="I4782">
        <v>98.375470000000007</v>
      </c>
      <c r="J4782">
        <v>-190.1259</v>
      </c>
      <c r="K4782">
        <v>1.111402</v>
      </c>
      <c r="L4782">
        <v>185.91739999999999</v>
      </c>
      <c r="M4782">
        <v>-0.26294790000000001</v>
      </c>
      <c r="N4782">
        <v>-1.46017E-2</v>
      </c>
      <c r="O4782">
        <v>-0.96469959999999999</v>
      </c>
      <c r="P4782">
        <v>-6.2189939999999999E-2</v>
      </c>
      <c r="Q4782">
        <v>0.18226020000000001</v>
      </c>
      <c r="R4782">
        <v>-0.98128179999999998</v>
      </c>
      <c r="S4782">
        <v>-0.73451230000000001</v>
      </c>
      <c r="T4782">
        <v>-3.950679E-2</v>
      </c>
      <c r="U4782">
        <v>-3.0182190000000002</v>
      </c>
      <c r="V4782">
        <v>-0.19825889999999999</v>
      </c>
      <c r="W4782">
        <v>0.1960952</v>
      </c>
      <c r="X4782">
        <v>0.96033329999999995</v>
      </c>
      <c r="Y4782">
        <v>-2.7377820000000001E-2</v>
      </c>
      <c r="Z4782">
        <v>-1.916701E-3</v>
      </c>
      <c r="AA4782">
        <v>0.99962329999999999</v>
      </c>
      <c r="AB4782">
        <v>30</v>
      </c>
      <c r="AC4782">
        <v>-21.299099999999999</v>
      </c>
      <c r="AD4782">
        <v>-1.14857265</v>
      </c>
      <c r="AE4782">
        <v>-87.541929999999994</v>
      </c>
      <c r="AF4782">
        <v>-2.47159510497367</v>
      </c>
      <c r="AG4782">
        <v>-1.14857265</v>
      </c>
      <c r="AH4782">
        <v>90.047179807970295</v>
      </c>
      <c r="AI4782">
        <v>90.7305062250079</v>
      </c>
      <c r="AJ4782">
        <v>91.572247148437199</v>
      </c>
      <c r="AK4782">
        <v>90.088415419876199</v>
      </c>
      <c r="AL4782">
        <v>78.6912905782211</v>
      </c>
      <c r="AM4782">
        <v>101.66472245052699</v>
      </c>
      <c r="AN4782">
        <v>0.99999998299056903</v>
      </c>
    </row>
    <row r="4783" spans="1:40" x14ac:dyDescent="0.25">
      <c r="A4783" t="str">
        <f>"20190304154850713"</f>
        <v>20190304154850713</v>
      </c>
      <c r="B4783" t="str">
        <f>"1551685730701746"</f>
        <v>1551685730701746</v>
      </c>
      <c r="C4783" t="s">
        <v>40</v>
      </c>
      <c r="D4783">
        <v>4.9280989999999996</v>
      </c>
      <c r="E4783">
        <v>0.56779899999999905</v>
      </c>
      <c r="F4783" t="s">
        <v>45</v>
      </c>
      <c r="G4783">
        <v>-211.09530000000001</v>
      </c>
      <c r="H4783">
        <v>-0.05</v>
      </c>
      <c r="I4783">
        <v>99.936509999999998</v>
      </c>
      <c r="J4783">
        <v>-190.1858</v>
      </c>
      <c r="K4783">
        <v>1.1117109999999999</v>
      </c>
      <c r="L4783">
        <v>185.69409999999999</v>
      </c>
      <c r="M4783">
        <v>-0.26181890000000002</v>
      </c>
      <c r="N4783">
        <v>-1.4566330000000001E-2</v>
      </c>
      <c r="O4783">
        <v>-0.96500699999999995</v>
      </c>
      <c r="P4783">
        <v>-6.3562110000000005E-2</v>
      </c>
      <c r="Q4783">
        <v>0.18216789999999999</v>
      </c>
      <c r="R4783">
        <v>-0.9812109</v>
      </c>
      <c r="S4783">
        <v>-0.73606870000000002</v>
      </c>
      <c r="T4783">
        <v>-4.076743E-2</v>
      </c>
      <c r="U4783">
        <v>-3.018097</v>
      </c>
      <c r="V4783">
        <v>-0.19593340000000001</v>
      </c>
      <c r="W4783">
        <v>0.1958347</v>
      </c>
      <c r="X4783">
        <v>0.96086360000000004</v>
      </c>
      <c r="Y4783">
        <v>-2.5712189999999999E-2</v>
      </c>
      <c r="Z4783">
        <v>-1.487408E-3</v>
      </c>
      <c r="AA4783">
        <v>0.99966829999999995</v>
      </c>
      <c r="AB4783">
        <v>30</v>
      </c>
      <c r="AC4783">
        <v>-20.909500000000001</v>
      </c>
      <c r="AD4783">
        <v>-1.1617109999999999</v>
      </c>
      <c r="AE4783">
        <v>-85.757589999999993</v>
      </c>
      <c r="AF4783">
        <v>-2.27499157024645</v>
      </c>
      <c r="AG4783">
        <v>-1.1617109999999999</v>
      </c>
      <c r="AH4783">
        <v>88.225265102644201</v>
      </c>
      <c r="AI4783">
        <v>90.754151052734898</v>
      </c>
      <c r="AJ4783">
        <v>91.477111304664007</v>
      </c>
      <c r="AK4783">
        <v>88.262237460445405</v>
      </c>
      <c r="AL4783">
        <v>78.7065113515619</v>
      </c>
      <c r="AM4783">
        <v>101.52539171715701</v>
      </c>
      <c r="AN4783">
        <v>0.99999999238230497</v>
      </c>
    </row>
    <row r="4784" spans="1:40" x14ac:dyDescent="0.25">
      <c r="A4784" t="str">
        <f>"20190304154850726"</f>
        <v>20190304154850726</v>
      </c>
      <c r="B4784" t="str">
        <f>"1551685730722242"</f>
        <v>1551685730722242</v>
      </c>
      <c r="C4784" t="s">
        <v>40</v>
      </c>
      <c r="D4784">
        <v>4.9446409999999998</v>
      </c>
      <c r="E4784">
        <v>0.56794429999999996</v>
      </c>
      <c r="F4784" t="s">
        <v>45</v>
      </c>
      <c r="G4784">
        <v>-211.5026</v>
      </c>
      <c r="H4784">
        <v>-0.05</v>
      </c>
      <c r="I4784">
        <v>99.113240000000005</v>
      </c>
      <c r="J4784">
        <v>-190.23089999999999</v>
      </c>
      <c r="K4784">
        <v>1.1119319999999999</v>
      </c>
      <c r="L4784">
        <v>185.52459999999999</v>
      </c>
      <c r="M4784">
        <v>-0.26079049999999998</v>
      </c>
      <c r="N4784">
        <v>-1.4543479999999999E-2</v>
      </c>
      <c r="O4784">
        <v>-0.96528619999999998</v>
      </c>
      <c r="P4784">
        <v>-6.4102080000000006E-2</v>
      </c>
      <c r="Q4784">
        <v>0.1825688</v>
      </c>
      <c r="R4784">
        <v>-0.98110149999999996</v>
      </c>
      <c r="S4784">
        <v>-0.74276730000000002</v>
      </c>
      <c r="T4784">
        <v>-4.0478939999999998E-2</v>
      </c>
      <c r="U4784">
        <v>-3.0168460000000001</v>
      </c>
      <c r="V4784">
        <v>-0.19446079999999999</v>
      </c>
      <c r="W4784">
        <v>0.1961167</v>
      </c>
      <c r="X4784">
        <v>0.96110519999999999</v>
      </c>
      <c r="Y4784">
        <v>-2.2458100000000002E-2</v>
      </c>
      <c r="Z4784">
        <v>-1.5444479999999999E-3</v>
      </c>
      <c r="AA4784">
        <v>0.99974660000000004</v>
      </c>
      <c r="AB4784">
        <v>30</v>
      </c>
      <c r="AC4784">
        <v>-21.271699999999999</v>
      </c>
      <c r="AD4784">
        <v>-1.161932</v>
      </c>
      <c r="AE4784">
        <v>-86.411359999999902</v>
      </c>
      <c r="AF4784">
        <v>-2.00185315704134</v>
      </c>
      <c r="AG4784">
        <v>-1.161932</v>
      </c>
      <c r="AH4784">
        <v>88.953366773020406</v>
      </c>
      <c r="AI4784">
        <v>90.7481803910933</v>
      </c>
      <c r="AJ4784">
        <v>91.289196621988097</v>
      </c>
      <c r="AK4784">
        <v>88.983475782251105</v>
      </c>
      <c r="AL4784">
        <v>78.690034338770502</v>
      </c>
      <c r="AM4784">
        <v>101.438261393342</v>
      </c>
      <c r="AN4784">
        <v>0.99999998411128399</v>
      </c>
    </row>
    <row r="4785" spans="1:40" x14ac:dyDescent="0.25">
      <c r="A4785" t="str">
        <f>"20190304154850739"</f>
        <v>20190304154850739</v>
      </c>
      <c r="B4785" t="str">
        <f>"1551685730732001"</f>
        <v>1551685730732001</v>
      </c>
      <c r="C4785" t="s">
        <v>40</v>
      </c>
      <c r="D4785">
        <v>4.9007480000000001</v>
      </c>
      <c r="E4785">
        <v>0.56822879999999998</v>
      </c>
      <c r="F4785" t="s">
        <v>55</v>
      </c>
      <c r="G4785">
        <v>-211.78720000000001</v>
      </c>
      <c r="H4785">
        <v>-3.1100329999999999E-2</v>
      </c>
      <c r="I4785">
        <v>98.375470000000007</v>
      </c>
      <c r="J4785">
        <v>-190.2756</v>
      </c>
      <c r="K4785">
        <v>1.1121490000000001</v>
      </c>
      <c r="L4785">
        <v>185.35489999999999</v>
      </c>
      <c r="M4785">
        <v>-0.25966089999999997</v>
      </c>
      <c r="N4785">
        <v>-1.452258E-2</v>
      </c>
      <c r="O4785">
        <v>-0.96559090000000003</v>
      </c>
      <c r="P4785">
        <v>-6.4401050000000001E-2</v>
      </c>
      <c r="Q4785">
        <v>0.1829074</v>
      </c>
      <c r="R4785">
        <v>-0.98101879999999997</v>
      </c>
      <c r="S4785">
        <v>-0.74610900000000002</v>
      </c>
      <c r="T4785">
        <v>-3.956163E-2</v>
      </c>
      <c r="U4785">
        <v>-3.0164029999999999</v>
      </c>
      <c r="V4785">
        <v>-0.19312170000000001</v>
      </c>
      <c r="W4785">
        <v>0.1963453</v>
      </c>
      <c r="X4785">
        <v>0.96132850000000003</v>
      </c>
      <c r="Y4785">
        <v>-2.0210809999999999E-2</v>
      </c>
      <c r="Z4785">
        <v>-1.802035E-3</v>
      </c>
      <c r="AA4785">
        <v>0.99979410000000002</v>
      </c>
      <c r="AB4785">
        <v>30</v>
      </c>
      <c r="AC4785">
        <v>-21.511600000000001</v>
      </c>
      <c r="AD4785">
        <v>-1.14324933</v>
      </c>
      <c r="AE4785">
        <v>-86.979429999999994</v>
      </c>
      <c r="AF4785">
        <v>-1.8136474663970901</v>
      </c>
      <c r="AG4785">
        <v>-1.14324933</v>
      </c>
      <c r="AH4785">
        <v>89.5671114903069</v>
      </c>
      <c r="AI4785">
        <v>90.731143170793501</v>
      </c>
      <c r="AJ4785">
        <v>91.160025646430498</v>
      </c>
      <c r="AK4785">
        <v>89.592766431671095</v>
      </c>
      <c r="AL4785">
        <v>78.676676733698002</v>
      </c>
      <c r="AM4785">
        <v>101.35897996238199</v>
      </c>
      <c r="AN4785">
        <v>0.99999997637761395</v>
      </c>
    </row>
    <row r="4786" spans="1:40" x14ac:dyDescent="0.25">
      <c r="A4786" t="str">
        <f>"20190304154850753"</f>
        <v>20190304154850753</v>
      </c>
      <c r="B4786" t="str">
        <f>"1551685730741762"</f>
        <v>1551685730741762</v>
      </c>
      <c r="C4786" t="s">
        <v>40</v>
      </c>
      <c r="D4786">
        <v>4.8921349999999997</v>
      </c>
      <c r="E4786">
        <v>0.56847349999999996</v>
      </c>
      <c r="F4786" t="s">
        <v>55</v>
      </c>
      <c r="G4786">
        <v>-211.90309999999999</v>
      </c>
      <c r="H4786">
        <v>3.414971E-2</v>
      </c>
      <c r="I4786">
        <v>98.375470000000007</v>
      </c>
      <c r="J4786">
        <v>-190.32239999999999</v>
      </c>
      <c r="K4786">
        <v>1.1123609999999999</v>
      </c>
      <c r="L4786">
        <v>185.1764</v>
      </c>
      <c r="M4786">
        <v>-0.25837589999999999</v>
      </c>
      <c r="N4786">
        <v>-1.450225E-2</v>
      </c>
      <c r="O4786">
        <v>-0.96593549999999995</v>
      </c>
      <c r="P4786">
        <v>-6.4440919999999999E-2</v>
      </c>
      <c r="Q4786">
        <v>0.18328729999999999</v>
      </c>
      <c r="R4786">
        <v>-0.98094510000000001</v>
      </c>
      <c r="S4786">
        <v>-0.74987789999999999</v>
      </c>
      <c r="T4786">
        <v>-3.7375930000000002E-2</v>
      </c>
      <c r="U4786">
        <v>-3.0157929999999999</v>
      </c>
      <c r="V4786">
        <v>-0.191881</v>
      </c>
      <c r="W4786">
        <v>0.19661600000000001</v>
      </c>
      <c r="X4786">
        <v>0.96152159999999998</v>
      </c>
      <c r="Y4786">
        <v>-1.7657269999999999E-2</v>
      </c>
      <c r="Z4786">
        <v>-2.452596E-3</v>
      </c>
      <c r="AA4786">
        <v>0.99984110000000004</v>
      </c>
      <c r="AB4786">
        <v>30</v>
      </c>
      <c r="AC4786">
        <v>-21.5807</v>
      </c>
      <c r="AD4786">
        <v>-1.07821129</v>
      </c>
      <c r="AE4786">
        <v>-86.800929999999994</v>
      </c>
      <c r="AF4786">
        <v>-1.58164083233077</v>
      </c>
      <c r="AG4786">
        <v>-1.07821129</v>
      </c>
      <c r="AH4786">
        <v>89.416452072122595</v>
      </c>
      <c r="AI4786">
        <v>90.690748740361798</v>
      </c>
      <c r="AJ4786">
        <v>91.0133693834116</v>
      </c>
      <c r="AK4786">
        <v>89.436938836671899</v>
      </c>
      <c r="AL4786">
        <v>78.660858454391402</v>
      </c>
      <c r="AM4786">
        <v>101.285675547027</v>
      </c>
      <c r="AN4786">
        <v>0.99999997844177901</v>
      </c>
    </row>
    <row r="4787" spans="1:40" x14ac:dyDescent="0.25">
      <c r="A4787" t="str">
        <f>"20190304154850768"</f>
        <v>20190304154850768</v>
      </c>
      <c r="B4787" t="str">
        <f>"1551685730762257"</f>
        <v>1551685730762257</v>
      </c>
      <c r="C4787" t="s">
        <v>40</v>
      </c>
      <c r="D4787">
        <v>4.9217969999999998</v>
      </c>
      <c r="E4787">
        <v>0.56885649999999999</v>
      </c>
      <c r="F4787" t="s">
        <v>55</v>
      </c>
      <c r="G4787">
        <v>-211.9881</v>
      </c>
      <c r="H4787">
        <v>9.1624739999999996E-2</v>
      </c>
      <c r="I4787">
        <v>98.375470000000007</v>
      </c>
      <c r="J4787">
        <v>-190.3725</v>
      </c>
      <c r="K4787">
        <v>1.112571</v>
      </c>
      <c r="L4787">
        <v>184.98330000000001</v>
      </c>
      <c r="M4787">
        <v>-0.25680350000000002</v>
      </c>
      <c r="N4787">
        <v>-1.44831E-2</v>
      </c>
      <c r="O4787">
        <v>-0.96635539999999998</v>
      </c>
      <c r="P4787">
        <v>-6.4976610000000004E-2</v>
      </c>
      <c r="Q4787">
        <v>0.1834904</v>
      </c>
      <c r="R4787">
        <v>-0.98087199999999997</v>
      </c>
      <c r="S4787">
        <v>-0.75267030000000001</v>
      </c>
      <c r="T4787">
        <v>-3.5459640000000001E-2</v>
      </c>
      <c r="U4787">
        <v>-3.0154879999999999</v>
      </c>
      <c r="V4787">
        <v>-0.1898763</v>
      </c>
      <c r="W4787">
        <v>0.19671559999999999</v>
      </c>
      <c r="X4787">
        <v>0.96189919999999995</v>
      </c>
      <c r="Y4787">
        <v>-1.5135269999999999E-2</v>
      </c>
      <c r="Z4787">
        <v>-3.0221359999999999E-3</v>
      </c>
      <c r="AA4787">
        <v>0.99988089999999996</v>
      </c>
      <c r="AB4787">
        <v>30</v>
      </c>
      <c r="AC4787">
        <v>-21.615600000000001</v>
      </c>
      <c r="AD4787">
        <v>-1.0209462600000001</v>
      </c>
      <c r="AE4787">
        <v>-86.607830000000007</v>
      </c>
      <c r="AF4787">
        <v>-1.35280665525995</v>
      </c>
      <c r="AG4787">
        <v>-1.0209462600000001</v>
      </c>
      <c r="AH4787">
        <v>89.242568549254401</v>
      </c>
      <c r="AI4787">
        <v>90.655367077098603</v>
      </c>
      <c r="AJ4787">
        <v>90.868466438802599</v>
      </c>
      <c r="AK4787">
        <v>89.258660411080996</v>
      </c>
      <c r="AL4787">
        <v>78.6550389929929</v>
      </c>
      <c r="AM4787">
        <v>101.16647248797</v>
      </c>
      <c r="AN4787">
        <v>1.00000005377284</v>
      </c>
    </row>
    <row r="4788" spans="1:40" x14ac:dyDescent="0.25">
      <c r="A4788" t="str">
        <f>"20190304154850790"</f>
        <v>20190304154850790</v>
      </c>
      <c r="B4788" t="str">
        <f>"1551685730781781"</f>
        <v>1551685730781781</v>
      </c>
      <c r="C4788" t="s">
        <v>40</v>
      </c>
      <c r="D4788">
        <v>4.848592</v>
      </c>
      <c r="E4788">
        <v>0.56928690000000004</v>
      </c>
      <c r="F4788" t="s">
        <v>55</v>
      </c>
      <c r="G4788">
        <v>-212.1404</v>
      </c>
      <c r="H4788">
        <v>0.13364519999999999</v>
      </c>
      <c r="I4788">
        <v>98.375470000000007</v>
      </c>
      <c r="J4788">
        <v>-190.44730000000001</v>
      </c>
      <c r="K4788">
        <v>1.1128659999999999</v>
      </c>
      <c r="L4788">
        <v>184.6917</v>
      </c>
      <c r="M4788">
        <v>-0.25418210000000002</v>
      </c>
      <c r="N4788">
        <v>-1.44586E-2</v>
      </c>
      <c r="O4788">
        <v>-0.96704829999999997</v>
      </c>
      <c r="P4788">
        <v>-6.3322080000000003E-2</v>
      </c>
      <c r="Q4788">
        <v>0.18241170000000001</v>
      </c>
      <c r="R4788">
        <v>-0.98118130000000003</v>
      </c>
      <c r="S4788">
        <v>-0.75770569999999904</v>
      </c>
      <c r="T4788">
        <v>-3.4073829999999999E-2</v>
      </c>
      <c r="U4788">
        <v>-3.0146790000000001</v>
      </c>
      <c r="V4788">
        <v>-0.1890751</v>
      </c>
      <c r="W4788">
        <v>0.19548679999999999</v>
      </c>
      <c r="X4788">
        <v>0.96230740000000003</v>
      </c>
      <c r="Y4788">
        <v>-1.079043E-2</v>
      </c>
      <c r="Z4788">
        <v>-3.4177830000000002E-3</v>
      </c>
      <c r="AA4788">
        <v>0.99993589999999999</v>
      </c>
      <c r="AB4788">
        <v>30</v>
      </c>
      <c r="AC4788">
        <v>-21.693099999999902</v>
      </c>
      <c r="AD4788">
        <v>-0.9792208</v>
      </c>
      <c r="AE4788">
        <v>-86.316230000000004</v>
      </c>
      <c r="AF4788">
        <v>-0.96174924790648197</v>
      </c>
      <c r="AG4788">
        <v>-0.9792208</v>
      </c>
      <c r="AH4788">
        <v>88.984491844506195</v>
      </c>
      <c r="AI4788">
        <v>90.630443317454194</v>
      </c>
      <c r="AJ4788">
        <v>90.619231803385205</v>
      </c>
      <c r="AK4788">
        <v>88.9950764021021</v>
      </c>
      <c r="AL4788">
        <v>78.726837592955704</v>
      </c>
      <c r="AM4788">
        <v>101.11593168324799</v>
      </c>
      <c r="AN4788">
        <v>1.0000000072544999</v>
      </c>
    </row>
    <row r="4789" spans="1:40" x14ac:dyDescent="0.25">
      <c r="A4789" t="str">
        <f>"20190304154850802"</f>
        <v>20190304154850802</v>
      </c>
      <c r="B4789" t="str">
        <f>"1551685730791538"</f>
        <v>1551685730791538</v>
      </c>
      <c r="C4789" t="s">
        <v>40</v>
      </c>
      <c r="D4789">
        <v>4.8265349999999998</v>
      </c>
      <c r="E4789">
        <v>0.56963399999999997</v>
      </c>
      <c r="F4789" t="s">
        <v>55</v>
      </c>
      <c r="G4789">
        <v>-212.10380000000001</v>
      </c>
      <c r="H4789">
        <v>7.8555169999999994E-2</v>
      </c>
      <c r="I4789">
        <v>98.375470000000007</v>
      </c>
      <c r="J4789">
        <v>-190.48310000000001</v>
      </c>
      <c r="K4789">
        <v>1.1129979999999999</v>
      </c>
      <c r="L4789">
        <v>184.5497</v>
      </c>
      <c r="M4789">
        <v>-0.25275419999999998</v>
      </c>
      <c r="N4789">
        <v>-1.444938E-2</v>
      </c>
      <c r="O4789">
        <v>-0.96742289999999997</v>
      </c>
      <c r="P4789">
        <v>-6.182207E-2</v>
      </c>
      <c r="Q4789">
        <v>0.18200089999999999</v>
      </c>
      <c r="R4789">
        <v>-0.98135329999999998</v>
      </c>
      <c r="S4789">
        <v>-0.75656129999999999</v>
      </c>
      <c r="T4789">
        <v>-3.61321E-2</v>
      </c>
      <c r="U4789">
        <v>-3.0154109999999998</v>
      </c>
      <c r="V4789">
        <v>-0.18920690000000001</v>
      </c>
      <c r="W4789">
        <v>0.1950056</v>
      </c>
      <c r="X4789">
        <v>0.96237910000000004</v>
      </c>
      <c r="Y4789">
        <v>-9.7281309999999992E-3</v>
      </c>
      <c r="Z4789">
        <v>-2.7683540000000002E-3</v>
      </c>
      <c r="AA4789">
        <v>0.99994890000000003</v>
      </c>
      <c r="AB4789">
        <v>30</v>
      </c>
      <c r="AC4789">
        <v>-21.620699999999999</v>
      </c>
      <c r="AD4789">
        <v>-1.0344428299999999</v>
      </c>
      <c r="AE4789">
        <v>-86.174229999999994</v>
      </c>
      <c r="AF4789">
        <v>-0.86451110600425096</v>
      </c>
      <c r="AG4789">
        <v>-1.0344428299999999</v>
      </c>
      <c r="AH4789">
        <v>88.828855088344397</v>
      </c>
      <c r="AI4789">
        <v>90.667167474634198</v>
      </c>
      <c r="AJ4789">
        <v>90.557603425939007</v>
      </c>
      <c r="AK4789">
        <v>88.839084572765699</v>
      </c>
      <c r="AL4789">
        <v>78.754949084040206</v>
      </c>
      <c r="AM4789">
        <v>101.12267910691401</v>
      </c>
      <c r="AN4789">
        <v>0.999999983577889</v>
      </c>
    </row>
    <row r="4790" spans="1:40" x14ac:dyDescent="0.25">
      <c r="A4790" t="str">
        <f>"20190304154850813"</f>
        <v>20190304154850813</v>
      </c>
      <c r="B4790" t="str">
        <f>"1551685730802275"</f>
        <v>1551685730802275</v>
      </c>
      <c r="C4790" t="s">
        <v>40</v>
      </c>
      <c r="D4790">
        <v>4.8169459999999997</v>
      </c>
      <c r="E4790">
        <v>0.56982929999999998</v>
      </c>
      <c r="F4790" t="s">
        <v>55</v>
      </c>
      <c r="G4790">
        <v>-212.05459999999999</v>
      </c>
      <c r="H4790">
        <v>7.2937429999999998E-2</v>
      </c>
      <c r="I4790">
        <v>98.375470000000007</v>
      </c>
      <c r="J4790">
        <v>-190.52119999999999</v>
      </c>
      <c r="K4790">
        <v>1.1131390000000001</v>
      </c>
      <c r="L4790">
        <v>184.39830000000001</v>
      </c>
      <c r="M4790">
        <v>-0.25119659999999999</v>
      </c>
      <c r="N4790">
        <v>-1.4439789999999999E-2</v>
      </c>
      <c r="O4790">
        <v>-0.96782849999999998</v>
      </c>
      <c r="P4790">
        <v>-6.014593E-2</v>
      </c>
      <c r="Q4790">
        <v>0.1814434</v>
      </c>
      <c r="R4790">
        <v>-0.98156019999999999</v>
      </c>
      <c r="S4790">
        <v>-0.75502009999999997</v>
      </c>
      <c r="T4790">
        <v>-3.6401870000000003E-2</v>
      </c>
      <c r="U4790">
        <v>-3.016159</v>
      </c>
      <c r="V4790">
        <v>-0.1893917</v>
      </c>
      <c r="W4790">
        <v>0.19437460000000001</v>
      </c>
      <c r="X4790">
        <v>0.96247039999999995</v>
      </c>
      <c r="Y4790">
        <v>-8.6578999999999996E-3</v>
      </c>
      <c r="Z4790">
        <v>-2.673904E-3</v>
      </c>
      <c r="AA4790">
        <v>0.99995889999999998</v>
      </c>
      <c r="AB4790">
        <v>30</v>
      </c>
      <c r="AC4790">
        <v>-21.5334</v>
      </c>
      <c r="AD4790">
        <v>-1.04020156999999</v>
      </c>
      <c r="AE4790">
        <v>-86.022829999999999</v>
      </c>
      <c r="AF4790">
        <v>-0.76797850982985205</v>
      </c>
      <c r="AG4790">
        <v>-1.04020156999999</v>
      </c>
      <c r="AH4790">
        <v>88.661497921785099</v>
      </c>
      <c r="AI4790">
        <v>90.672154108565394</v>
      </c>
      <c r="AJ4790">
        <v>90.4962788581322</v>
      </c>
      <c r="AK4790">
        <v>88.670925471839396</v>
      </c>
      <c r="AL4790">
        <v>78.791808052939302</v>
      </c>
      <c r="AM4790">
        <v>101.13224173131999</v>
      </c>
      <c r="AN4790">
        <v>0.99999998601510398</v>
      </c>
    </row>
    <row r="4791" spans="1:40" x14ac:dyDescent="0.25">
      <c r="A4791" t="str">
        <f>"20190304154850827"</f>
        <v>20190304154850827</v>
      </c>
      <c r="B4791" t="str">
        <f>"1551685730821794"</f>
        <v>1551685730821794</v>
      </c>
      <c r="C4791" t="s">
        <v>40</v>
      </c>
      <c r="D4791">
        <v>4.8568230000000003</v>
      </c>
      <c r="E4791">
        <v>0.57021109999999997</v>
      </c>
      <c r="F4791" t="s">
        <v>55</v>
      </c>
      <c r="G4791">
        <v>-211.95320000000001</v>
      </c>
      <c r="H4791">
        <v>5.6140299999999997E-2</v>
      </c>
      <c r="I4791">
        <v>98.375470000000007</v>
      </c>
      <c r="J4791">
        <v>-190.56399999999999</v>
      </c>
      <c r="K4791">
        <v>1.1132919999999999</v>
      </c>
      <c r="L4791">
        <v>184.226</v>
      </c>
      <c r="M4791">
        <v>-0.2492984</v>
      </c>
      <c r="N4791">
        <v>-1.4431070000000001E-2</v>
      </c>
      <c r="O4791">
        <v>-0.96831920000000005</v>
      </c>
      <c r="P4791">
        <v>-5.7983560000000003E-2</v>
      </c>
      <c r="Q4791">
        <v>0.18110799999999999</v>
      </c>
      <c r="R4791">
        <v>-0.98175250000000003</v>
      </c>
      <c r="S4791">
        <v>-0.75170899999999996</v>
      </c>
      <c r="T4791">
        <v>-3.7072180000000003E-2</v>
      </c>
      <c r="U4791">
        <v>-3.017166</v>
      </c>
      <c r="V4791">
        <v>-0.18971099999999999</v>
      </c>
      <c r="W4791">
        <v>0.1939593</v>
      </c>
      <c r="X4791">
        <v>0.96249130000000005</v>
      </c>
      <c r="Y4791">
        <v>-7.8088439999999997E-3</v>
      </c>
      <c r="Z4791">
        <v>-2.4559170000000002E-3</v>
      </c>
      <c r="AA4791">
        <v>0.99996649999999998</v>
      </c>
      <c r="AB4791">
        <v>30</v>
      </c>
      <c r="AC4791">
        <v>-21.389199999999899</v>
      </c>
      <c r="AD4791">
        <v>-1.0571516999999999</v>
      </c>
      <c r="AE4791">
        <v>-85.850530000000006</v>
      </c>
      <c r="AF4791">
        <v>-0.69080004887262003</v>
      </c>
      <c r="AG4791">
        <v>-1.0571516999999999</v>
      </c>
      <c r="AH4791">
        <v>88.459592540051702</v>
      </c>
      <c r="AI4791">
        <v>90.684669679590698</v>
      </c>
      <c r="AJ4791">
        <v>90.447426012283998</v>
      </c>
      <c r="AK4791">
        <v>88.468606221508296</v>
      </c>
      <c r="AL4791">
        <v>78.816064653141197</v>
      </c>
      <c r="AM4791">
        <v>101.150303851817</v>
      </c>
      <c r="AN4791">
        <v>0.99999998807658996</v>
      </c>
    </row>
    <row r="4792" spans="1:40" x14ac:dyDescent="0.25">
      <c r="A4792" t="str">
        <f>"20190304154850839"</f>
        <v>20190304154850839</v>
      </c>
      <c r="B4792" t="str">
        <f>"1551685730831554"</f>
        <v>1551685730831554</v>
      </c>
      <c r="C4792" t="s">
        <v>40</v>
      </c>
      <c r="D4792">
        <v>4.8183249999999997</v>
      </c>
      <c r="E4792">
        <v>0.57037569999999904</v>
      </c>
      <c r="F4792" t="s">
        <v>55</v>
      </c>
      <c r="G4792">
        <v>-211.84630000000001</v>
      </c>
      <c r="H4792">
        <v>6.1634420000000002E-2</v>
      </c>
      <c r="I4792">
        <v>98.375470000000007</v>
      </c>
      <c r="J4792">
        <v>-190.60159999999999</v>
      </c>
      <c r="K4792">
        <v>1.1134170000000001</v>
      </c>
      <c r="L4792">
        <v>184.0727</v>
      </c>
      <c r="M4792">
        <v>-0.247534</v>
      </c>
      <c r="N4792">
        <v>-1.442449E-2</v>
      </c>
      <c r="O4792">
        <v>-0.96877179999999996</v>
      </c>
      <c r="P4792">
        <v>-5.569234E-2</v>
      </c>
      <c r="Q4792">
        <v>0.18155160000000001</v>
      </c>
      <c r="R4792">
        <v>-0.98180310000000004</v>
      </c>
      <c r="S4792">
        <v>-0.7482605</v>
      </c>
      <c r="T4792">
        <v>-3.6973829999999999E-2</v>
      </c>
      <c r="U4792">
        <v>-3.0183870000000002</v>
      </c>
      <c r="V4792">
        <v>-0.19024779999999999</v>
      </c>
      <c r="W4792">
        <v>0.19433249999999999</v>
      </c>
      <c r="X4792">
        <v>0.96231009999999995</v>
      </c>
      <c r="Y4792">
        <v>-7.1582190000000004E-3</v>
      </c>
      <c r="Z4792">
        <v>-2.4802880000000002E-3</v>
      </c>
      <c r="AA4792">
        <v>0.99997130000000001</v>
      </c>
      <c r="AB4792">
        <v>30</v>
      </c>
      <c r="AC4792">
        <v>-21.244700000000002</v>
      </c>
      <c r="AD4792">
        <v>-1.05178258</v>
      </c>
      <c r="AE4792">
        <v>-85.697230000000005</v>
      </c>
      <c r="AF4792">
        <v>-0.63168797354599704</v>
      </c>
      <c r="AG4792">
        <v>-1.05178258</v>
      </c>
      <c r="AH4792">
        <v>88.276505683859696</v>
      </c>
      <c r="AI4792">
        <v>90.682608677879401</v>
      </c>
      <c r="AJ4792">
        <v>90.409989462464196</v>
      </c>
      <c r="AK4792">
        <v>88.285031189007498</v>
      </c>
      <c r="AL4792">
        <v>78.7942676771207</v>
      </c>
      <c r="AM4792">
        <v>101.18311283224</v>
      </c>
      <c r="AN4792">
        <v>1.0000000372615401</v>
      </c>
    </row>
    <row r="4793" spans="1:40" x14ac:dyDescent="0.25">
      <c r="A4793" t="str">
        <f>"20190304154850850"</f>
        <v>20190304154850850</v>
      </c>
      <c r="B4793" t="str">
        <f>"1551685730842289"</f>
        <v>1551685730842289</v>
      </c>
      <c r="C4793" t="s">
        <v>40</v>
      </c>
      <c r="D4793">
        <v>4.8552160000000004</v>
      </c>
      <c r="E4793">
        <v>0.57052840000000005</v>
      </c>
      <c r="F4793" t="s">
        <v>55</v>
      </c>
      <c r="G4793">
        <v>-211.67509999999999</v>
      </c>
      <c r="H4793">
        <v>0.12270300000000001</v>
      </c>
      <c r="I4793">
        <v>98.375470000000007</v>
      </c>
      <c r="J4793">
        <v>-190.6377</v>
      </c>
      <c r="K4793">
        <v>1.113537</v>
      </c>
      <c r="L4793">
        <v>183.9247</v>
      </c>
      <c r="M4793">
        <v>-0.24579110000000001</v>
      </c>
      <c r="N4793">
        <v>-1.441859E-2</v>
      </c>
      <c r="O4793">
        <v>-0.96921579999999996</v>
      </c>
      <c r="P4793">
        <v>-5.3336990000000001E-2</v>
      </c>
      <c r="Q4793">
        <v>0.1812453</v>
      </c>
      <c r="R4793">
        <v>-0.98199099999999995</v>
      </c>
      <c r="S4793">
        <v>-0.74263000000000001</v>
      </c>
      <c r="T4793">
        <v>-3.4911629999999999E-2</v>
      </c>
      <c r="U4793">
        <v>-3.0199579999999999</v>
      </c>
      <c r="V4793">
        <v>-0.19089439999999999</v>
      </c>
      <c r="W4793">
        <v>0.1939612</v>
      </c>
      <c r="X4793">
        <v>0.96225689999999997</v>
      </c>
      <c r="Y4793">
        <v>-7.2388000000000001E-3</v>
      </c>
      <c r="Z4793">
        <v>-3.1185029999999999E-3</v>
      </c>
      <c r="AA4793">
        <v>0.99996890000000005</v>
      </c>
      <c r="AB4793">
        <v>30</v>
      </c>
      <c r="AC4793">
        <v>-21.037399999999899</v>
      </c>
      <c r="AD4793">
        <v>-0.99083399999999999</v>
      </c>
      <c r="AE4793">
        <v>-85.549229999999994</v>
      </c>
      <c r="AF4793">
        <v>-0.63744437844392998</v>
      </c>
      <c r="AG4793">
        <v>-0.99083399999999999</v>
      </c>
      <c r="AH4793">
        <v>88.084467901447198</v>
      </c>
      <c r="AI4793">
        <v>90.644457838946195</v>
      </c>
      <c r="AJ4793">
        <v>90.414627412491697</v>
      </c>
      <c r="AK4793">
        <v>88.092346845978895</v>
      </c>
      <c r="AL4793">
        <v>78.815953595995495</v>
      </c>
      <c r="AM4793">
        <v>101.22076302152</v>
      </c>
      <c r="AN4793">
        <v>0.99999998032720405</v>
      </c>
    </row>
    <row r="4794" spans="1:40" x14ac:dyDescent="0.25">
      <c r="A4794" t="str">
        <f>"20190304154850861"</f>
        <v>20190304154850861</v>
      </c>
      <c r="B4794" t="str">
        <f>"1551685730852050"</f>
        <v>1551685730852050</v>
      </c>
      <c r="C4794" t="s">
        <v>40</v>
      </c>
      <c r="D4794">
        <v>4.8657159999999999</v>
      </c>
      <c r="E4794">
        <v>0.57072040000000002</v>
      </c>
      <c r="F4794" t="s">
        <v>55</v>
      </c>
      <c r="G4794">
        <v>-211.5017</v>
      </c>
      <c r="H4794">
        <v>0.1165755</v>
      </c>
      <c r="I4794">
        <v>98.375470000000007</v>
      </c>
      <c r="J4794">
        <v>-190.672</v>
      </c>
      <c r="K4794">
        <v>1.1136410000000001</v>
      </c>
      <c r="L4794">
        <v>183.78190000000001</v>
      </c>
      <c r="M4794">
        <v>-0.24401870000000001</v>
      </c>
      <c r="N4794">
        <v>-1.441394E-2</v>
      </c>
      <c r="O4794">
        <v>-0.96966339999999995</v>
      </c>
      <c r="P4794">
        <v>-5.1217989999999998E-2</v>
      </c>
      <c r="Q4794">
        <v>0.18109500000000001</v>
      </c>
      <c r="R4794">
        <v>-0.98213110000000003</v>
      </c>
      <c r="S4794">
        <v>-0.73689269999999996</v>
      </c>
      <c r="T4794">
        <v>-3.5210489999999997E-2</v>
      </c>
      <c r="U4794">
        <v>-3.0215000000000001</v>
      </c>
      <c r="V4794">
        <v>-0.19126560000000001</v>
      </c>
      <c r="W4794">
        <v>0.19375719999999999</v>
      </c>
      <c r="X4794">
        <v>0.96222430000000003</v>
      </c>
      <c r="Y4794">
        <v>-7.3201400000000002E-3</v>
      </c>
      <c r="Z4794">
        <v>-3.0228870000000001E-3</v>
      </c>
      <c r="AA4794">
        <v>0.99996859999999999</v>
      </c>
      <c r="AB4794">
        <v>30</v>
      </c>
      <c r="AC4794">
        <v>-20.829699999999999</v>
      </c>
      <c r="AD4794">
        <v>-0.99706549999999905</v>
      </c>
      <c r="AE4794">
        <v>-85.40643</v>
      </c>
      <c r="AF4794">
        <v>-0.64295239198423804</v>
      </c>
      <c r="AG4794">
        <v>-0.99706549999999905</v>
      </c>
      <c r="AH4794">
        <v>87.896151246932106</v>
      </c>
      <c r="AI4794">
        <v>90.649899522546505</v>
      </c>
      <c r="AJ4794">
        <v>90.419105966956494</v>
      </c>
      <c r="AK4794">
        <v>87.904157645774802</v>
      </c>
      <c r="AL4794">
        <v>78.827868100629303</v>
      </c>
      <c r="AM4794">
        <v>101.24239812661</v>
      </c>
      <c r="AN4794">
        <v>0.99999999290284403</v>
      </c>
    </row>
    <row r="4795" spans="1:40" x14ac:dyDescent="0.25">
      <c r="A4795" t="str">
        <f>"20190304154850873"</f>
        <v>20190304154850873</v>
      </c>
      <c r="B4795" t="str">
        <f>"1551685730861810"</f>
        <v>1551685730861810</v>
      </c>
      <c r="C4795" t="s">
        <v>40</v>
      </c>
      <c r="D4795">
        <v>4.8393899999999999</v>
      </c>
      <c r="E4795">
        <v>0.57088509999999903</v>
      </c>
      <c r="F4795" t="s">
        <v>55</v>
      </c>
      <c r="G4795">
        <v>-211.3587</v>
      </c>
      <c r="H4795">
        <v>0.12750419999999901</v>
      </c>
      <c r="I4795">
        <v>98.363050000000001</v>
      </c>
      <c r="J4795">
        <v>-190.70760000000001</v>
      </c>
      <c r="K4795">
        <v>1.1137410000000001</v>
      </c>
      <c r="L4795">
        <v>183.63329999999999</v>
      </c>
      <c r="M4795">
        <v>-0.24215220000000001</v>
      </c>
      <c r="N4795">
        <v>-1.440902E-2</v>
      </c>
      <c r="O4795">
        <v>-0.97013150000000004</v>
      </c>
      <c r="P4795">
        <v>-4.8969270000000002E-2</v>
      </c>
      <c r="Q4795">
        <v>0.18084420000000001</v>
      </c>
      <c r="R4795">
        <v>-0.98229219999999895</v>
      </c>
      <c r="S4795">
        <v>-0.73207089999999997</v>
      </c>
      <c r="T4795">
        <v>-3.489685E-2</v>
      </c>
      <c r="U4795">
        <v>-3.0228419999999998</v>
      </c>
      <c r="V4795">
        <v>-0.1916747</v>
      </c>
      <c r="W4795">
        <v>0.1934517</v>
      </c>
      <c r="X4795">
        <v>0.96220430000000001</v>
      </c>
      <c r="Y4795">
        <v>-7.0042400000000001E-3</v>
      </c>
      <c r="Z4795">
        <v>-3.1167259999999998E-3</v>
      </c>
      <c r="AA4795">
        <v>0.99997060000000004</v>
      </c>
      <c r="AB4795">
        <v>30</v>
      </c>
      <c r="AC4795">
        <v>-20.6510999999999</v>
      </c>
      <c r="AD4795">
        <v>-0.98623680000000002</v>
      </c>
      <c r="AE4795">
        <v>-85.270249999999905</v>
      </c>
      <c r="AF4795">
        <v>-0.614082041823106</v>
      </c>
      <c r="AG4795">
        <v>-0.98623680000000002</v>
      </c>
      <c r="AH4795">
        <v>87.722069128158694</v>
      </c>
      <c r="AI4795">
        <v>90.644118884037297</v>
      </c>
      <c r="AJ4795">
        <v>90.401081904578604</v>
      </c>
      <c r="AK4795">
        <v>87.729762178551596</v>
      </c>
      <c r="AL4795">
        <v>78.845708849251295</v>
      </c>
      <c r="AM4795">
        <v>101.26605840681999</v>
      </c>
      <c r="AN4795">
        <v>0.99999993289573197</v>
      </c>
    </row>
    <row r="4796" spans="1:40" x14ac:dyDescent="0.25">
      <c r="A4796" t="str">
        <f>"20190304154850885"</f>
        <v>20190304154850885</v>
      </c>
      <c r="B4796" t="str">
        <f>"1551685730881330"</f>
        <v>1551685730881330</v>
      </c>
      <c r="C4796" t="s">
        <v>40</v>
      </c>
      <c r="D4796">
        <v>4.8727859999999996</v>
      </c>
      <c r="E4796">
        <v>0.57121509999999998</v>
      </c>
      <c r="F4796" t="s">
        <v>55</v>
      </c>
      <c r="G4796">
        <v>-211.3587</v>
      </c>
      <c r="H4796">
        <v>0.127109</v>
      </c>
      <c r="I4796">
        <v>97.68159</v>
      </c>
      <c r="J4796">
        <v>-190.74260000000001</v>
      </c>
      <c r="K4796">
        <v>1.113831</v>
      </c>
      <c r="L4796">
        <v>183.4846</v>
      </c>
      <c r="M4796">
        <v>-0.24020810000000001</v>
      </c>
      <c r="N4796">
        <v>-1.440496E-2</v>
      </c>
      <c r="O4796">
        <v>-0.97061470000000005</v>
      </c>
      <c r="P4796">
        <v>-4.693257E-2</v>
      </c>
      <c r="Q4796">
        <v>0.18013899999999999</v>
      </c>
      <c r="R4796">
        <v>-0.98252090000000003</v>
      </c>
      <c r="S4796">
        <v>-0.72662349999999998</v>
      </c>
      <c r="T4796">
        <v>-3.4714219999999997E-2</v>
      </c>
      <c r="U4796">
        <v>-3.0242610000000001</v>
      </c>
      <c r="V4796">
        <v>-0.19181049999999999</v>
      </c>
      <c r="W4796">
        <v>0.1927017</v>
      </c>
      <c r="X4796">
        <v>0.96232779999999996</v>
      </c>
      <c r="Y4796">
        <v>-6.8104250000000002E-3</v>
      </c>
      <c r="Z4796">
        <v>-3.1708499999999998E-3</v>
      </c>
      <c r="AA4796">
        <v>0.99997179999999997</v>
      </c>
      <c r="AB4796">
        <v>30</v>
      </c>
      <c r="AC4796">
        <v>-20.6160999999999</v>
      </c>
      <c r="AD4796">
        <v>-0.98672199999999999</v>
      </c>
      <c r="AE4796">
        <v>-85.80301</v>
      </c>
      <c r="AF4796">
        <v>-0.60027542948619195</v>
      </c>
      <c r="AG4796">
        <v>-0.98672199999999999</v>
      </c>
      <c r="AH4796">
        <v>88.231926751027004</v>
      </c>
      <c r="AI4796">
        <v>90.640712986421093</v>
      </c>
      <c r="AJ4796">
        <v>90.389799013738198</v>
      </c>
      <c r="AK4796">
        <v>88.239485770799504</v>
      </c>
      <c r="AL4796">
        <v>78.889505565252705</v>
      </c>
      <c r="AM4796">
        <v>101.27242618164399</v>
      </c>
      <c r="AN4796">
        <v>1.0000000038729899</v>
      </c>
    </row>
    <row r="4797" spans="1:40" x14ac:dyDescent="0.25">
      <c r="A4797" t="str">
        <f>"20190304154850898"</f>
        <v>20190304154850898</v>
      </c>
      <c r="B4797" t="str">
        <f>"1551685730892066"</f>
        <v>1551685730892066</v>
      </c>
      <c r="C4797" t="s">
        <v>40</v>
      </c>
      <c r="D4797">
        <v>4.9805129999999904</v>
      </c>
      <c r="E4797">
        <v>0.571272</v>
      </c>
      <c r="F4797" t="s">
        <v>55</v>
      </c>
      <c r="G4797">
        <v>-211.3587</v>
      </c>
      <c r="H4797">
        <v>9.9276359999999994E-2</v>
      </c>
      <c r="I4797">
        <v>97.229669999999999</v>
      </c>
      <c r="J4797">
        <v>-190.78380000000001</v>
      </c>
      <c r="K4797">
        <v>1.1139289999999999</v>
      </c>
      <c r="L4797">
        <v>183.30840000000001</v>
      </c>
      <c r="M4797">
        <v>-0.23786009999999999</v>
      </c>
      <c r="N4797">
        <v>-1.440044E-2</v>
      </c>
      <c r="O4797">
        <v>-0.97119270000000002</v>
      </c>
      <c r="P4797">
        <v>-4.4499129999999998E-2</v>
      </c>
      <c r="Q4797">
        <v>0.17964249999999901</v>
      </c>
      <c r="R4797">
        <v>-0.98272519999999997</v>
      </c>
      <c r="S4797">
        <v>-0.72309880000000004</v>
      </c>
      <c r="T4797">
        <v>-3.5583969999999999E-2</v>
      </c>
      <c r="U4797">
        <v>-3.0253450000000002</v>
      </c>
      <c r="V4797">
        <v>-0.19193009999999999</v>
      </c>
      <c r="W4797">
        <v>0.19215660000000001</v>
      </c>
      <c r="X4797">
        <v>0.96241299999999996</v>
      </c>
      <c r="Y4797">
        <v>-5.575254E-3</v>
      </c>
      <c r="Z4797">
        <v>-2.8938190000000002E-3</v>
      </c>
      <c r="AA4797">
        <v>0.99998030000000004</v>
      </c>
      <c r="AB4797">
        <v>30</v>
      </c>
      <c r="AC4797">
        <v>-20.5748999999999</v>
      </c>
      <c r="AD4797">
        <v>-1.01465264</v>
      </c>
      <c r="AE4797">
        <v>-86.078729999999993</v>
      </c>
      <c r="AF4797">
        <v>-0.49248897063392499</v>
      </c>
      <c r="AG4797">
        <v>-1.01465264</v>
      </c>
      <c r="AH4797">
        <v>88.490525419126897</v>
      </c>
      <c r="AI4797">
        <v>90.656927573815096</v>
      </c>
      <c r="AJ4797">
        <v>90.318873099777406</v>
      </c>
      <c r="AK4797">
        <v>88.497712706708995</v>
      </c>
      <c r="AL4797">
        <v>78.9213328534601</v>
      </c>
      <c r="AM4797">
        <v>101.27830183256999</v>
      </c>
      <c r="AN4797">
        <v>1.00000005238928</v>
      </c>
    </row>
    <row r="4798" spans="1:40" x14ac:dyDescent="0.25">
      <c r="A4798" t="str">
        <f>"20190304154850913"</f>
        <v>20190304154850913</v>
      </c>
      <c r="B4798" t="str">
        <f>"1551685730901907"</f>
        <v>1551685730901907</v>
      </c>
      <c r="C4798" t="s">
        <v>40</v>
      </c>
      <c r="D4798">
        <v>4.8649680000000002</v>
      </c>
      <c r="E4798">
        <v>0.57143809999999995</v>
      </c>
      <c r="F4798" t="s">
        <v>55</v>
      </c>
      <c r="G4798">
        <v>-211.3587</v>
      </c>
      <c r="H4798">
        <v>5.9530079999999999E-2</v>
      </c>
      <c r="I4798">
        <v>96.406739999999999</v>
      </c>
      <c r="J4798">
        <v>-190.82689999999999</v>
      </c>
      <c r="K4798">
        <v>1.1140219999999901</v>
      </c>
      <c r="L4798">
        <v>183.1217</v>
      </c>
      <c r="M4798">
        <v>-0.23531879999999999</v>
      </c>
      <c r="N4798">
        <v>-1.4396040000000001E-2</v>
      </c>
      <c r="O4798">
        <v>-0.9718116</v>
      </c>
      <c r="P4798">
        <v>-4.2756009999999997E-2</v>
      </c>
      <c r="Q4798">
        <v>0.17882779999999901</v>
      </c>
      <c r="R4798">
        <v>-0.98295089999999996</v>
      </c>
      <c r="S4798">
        <v>-0.71667479999999995</v>
      </c>
      <c r="T4798">
        <v>-3.672624E-2</v>
      </c>
      <c r="U4798">
        <v>-3.026993</v>
      </c>
      <c r="V4798">
        <v>-0.19118859999999999</v>
      </c>
      <c r="W4798">
        <v>0.1913058</v>
      </c>
      <c r="X4798">
        <v>0.96272999999999997</v>
      </c>
      <c r="Y4798">
        <v>-5.09101E-3</v>
      </c>
      <c r="Z4798">
        <v>-2.5335079999999999E-3</v>
      </c>
      <c r="AA4798">
        <v>0.99998379999999998</v>
      </c>
      <c r="AB4798">
        <v>30</v>
      </c>
      <c r="AC4798">
        <v>-20.5318</v>
      </c>
      <c r="AD4798">
        <v>-1.05449191999999</v>
      </c>
      <c r="AE4798">
        <v>-86.714959999999905</v>
      </c>
      <c r="AF4798">
        <v>-0.45260246010365801</v>
      </c>
      <c r="AG4798">
        <v>-1.05449191999999</v>
      </c>
      <c r="AH4798">
        <v>89.098882207670997</v>
      </c>
      <c r="AI4798">
        <v>90.678059421190994</v>
      </c>
      <c r="AJ4798">
        <v>90.291047284425304</v>
      </c>
      <c r="AK4798">
        <v>89.106271456349603</v>
      </c>
      <c r="AL4798">
        <v>78.971001235871597</v>
      </c>
      <c r="AM4798">
        <v>101.23223442054299</v>
      </c>
      <c r="AN4798">
        <v>1.0000000213917899</v>
      </c>
    </row>
    <row r="4799" spans="1:40" x14ac:dyDescent="0.25">
      <c r="A4799" t="str">
        <f>"20190304154850937"</f>
        <v>20190304154850937</v>
      </c>
      <c r="B4799" t="str">
        <f>"1551685730931187"</f>
        <v>1551685730931187</v>
      </c>
      <c r="C4799" t="s">
        <v>40</v>
      </c>
      <c r="D4799">
        <v>5.0024259999999998</v>
      </c>
      <c r="E4799">
        <v>0.57150780000000001</v>
      </c>
      <c r="F4799" t="s">
        <v>55</v>
      </c>
      <c r="G4799">
        <v>-211.3587</v>
      </c>
      <c r="H4799">
        <v>2.1183670000000002E-2</v>
      </c>
      <c r="I4799">
        <v>95.985569999999996</v>
      </c>
      <c r="J4799">
        <v>-190.89240000000001</v>
      </c>
      <c r="K4799">
        <v>1.1141399999999999</v>
      </c>
      <c r="L4799">
        <v>182.83250000000001</v>
      </c>
      <c r="M4799">
        <v>-0.23126569999999999</v>
      </c>
      <c r="N4799">
        <v>-1.4390389999999999E-2</v>
      </c>
      <c r="O4799">
        <v>-0.97278419999999999</v>
      </c>
      <c r="P4799">
        <v>-4.0066860000000003E-2</v>
      </c>
      <c r="Q4799">
        <v>0.18007770000000001</v>
      </c>
      <c r="R4799">
        <v>-0.98283600000000004</v>
      </c>
      <c r="S4799">
        <v>-0.71347050000000001</v>
      </c>
      <c r="T4799">
        <v>-3.7974599999999997E-2</v>
      </c>
      <c r="U4799">
        <v>-3.0279389999999999</v>
      </c>
      <c r="V4799">
        <v>-0.18981390000000001</v>
      </c>
      <c r="W4799">
        <v>0.1925094</v>
      </c>
      <c r="X4799">
        <v>0.96276209999999995</v>
      </c>
      <c r="Y4799">
        <v>-1.9951489999999999E-3</v>
      </c>
      <c r="Z4799">
        <v>-2.1312950000000001E-3</v>
      </c>
      <c r="AA4799">
        <v>0.99999579999999999</v>
      </c>
      <c r="AB4799">
        <v>30</v>
      </c>
      <c r="AC4799">
        <v>-20.466299999999901</v>
      </c>
      <c r="AD4799">
        <v>-1.09295632999999</v>
      </c>
      <c r="AE4799">
        <v>-86.84693</v>
      </c>
      <c r="AF4799">
        <v>-0.175414632376064</v>
      </c>
      <c r="AG4799">
        <v>-1.09295632999999</v>
      </c>
      <c r="AH4799">
        <v>89.212327322790898</v>
      </c>
      <c r="AI4799">
        <v>90.701904468022903</v>
      </c>
      <c r="AJ4799">
        <v>90.112658255302406</v>
      </c>
      <c r="AK4799">
        <v>89.219194516546295</v>
      </c>
      <c r="AL4799">
        <v>78.900733997889702</v>
      </c>
      <c r="AM4799">
        <v>101.153140882664</v>
      </c>
      <c r="AN4799">
        <v>1.0000000234589801</v>
      </c>
    </row>
    <row r="4800" spans="1:40" x14ac:dyDescent="0.25">
      <c r="A4800" t="str">
        <f>"20190304154850948"</f>
        <v>20190304154850948</v>
      </c>
      <c r="B4800" t="str">
        <f>"1551685730941923"</f>
        <v>1551685730941923</v>
      </c>
      <c r="C4800" t="s">
        <v>40</v>
      </c>
      <c r="D4800">
        <v>5.004416</v>
      </c>
      <c r="E4800">
        <v>0.57150579999999995</v>
      </c>
      <c r="F4800" t="s">
        <v>55</v>
      </c>
      <c r="G4800">
        <v>-211.3587</v>
      </c>
      <c r="H4800">
        <v>0.12641810000000001</v>
      </c>
      <c r="I4800">
        <v>95.000810000000001</v>
      </c>
      <c r="J4800">
        <v>-190.92859999999999</v>
      </c>
      <c r="K4800">
        <v>1.114195</v>
      </c>
      <c r="L4800">
        <v>182.66980000000001</v>
      </c>
      <c r="M4800">
        <v>-0.2289486</v>
      </c>
      <c r="N4800">
        <v>-1.438743E-2</v>
      </c>
      <c r="O4800">
        <v>-0.97333219999999998</v>
      </c>
      <c r="P4800">
        <v>-3.8632220000000002E-2</v>
      </c>
      <c r="Q4800">
        <v>0.18079239999999999</v>
      </c>
      <c r="R4800">
        <v>-0.98276240000000004</v>
      </c>
      <c r="S4800">
        <v>-0.70600889999999905</v>
      </c>
      <c r="T4800">
        <v>-3.4071560000000001E-2</v>
      </c>
      <c r="U4800">
        <v>-3.029846</v>
      </c>
      <c r="V4800">
        <v>-0.18892400000000001</v>
      </c>
      <c r="W4800">
        <v>0.19320509999999999</v>
      </c>
      <c r="X4800">
        <v>0.96279780000000004</v>
      </c>
      <c r="Y4800">
        <v>-2.089816E-3</v>
      </c>
      <c r="Z4800">
        <v>-3.3512110000000002E-3</v>
      </c>
      <c r="AA4800">
        <v>0.9999922</v>
      </c>
      <c r="AB4800">
        <v>30</v>
      </c>
      <c r="AC4800">
        <v>-20.430099999999999</v>
      </c>
      <c r="AD4800">
        <v>-0.98777689999999996</v>
      </c>
      <c r="AE4800">
        <v>-87.668989999999994</v>
      </c>
      <c r="AF4800">
        <v>-0.18641519284300401</v>
      </c>
      <c r="AG4800">
        <v>-0.98777689999999996</v>
      </c>
      <c r="AH4800">
        <v>90.006971891023099</v>
      </c>
      <c r="AI4800">
        <v>90.628763005641005</v>
      </c>
      <c r="AJ4800">
        <v>90.118666235412206</v>
      </c>
      <c r="AK4800">
        <v>90.012584913553695</v>
      </c>
      <c r="AL4800">
        <v>78.8601109507741</v>
      </c>
      <c r="AM4800">
        <v>101.101752432201</v>
      </c>
      <c r="AN4800">
        <v>1.00000004606342</v>
      </c>
    </row>
    <row r="4801" spans="1:40" x14ac:dyDescent="0.25">
      <c r="A4801" t="str">
        <f>"20190304154850959"</f>
        <v>20190304154850959</v>
      </c>
      <c r="B4801" t="str">
        <f>"1551685730951683"</f>
        <v>1551685730951683</v>
      </c>
      <c r="C4801" t="s">
        <v>40</v>
      </c>
      <c r="D4801">
        <v>4.994548</v>
      </c>
      <c r="E4801">
        <v>0.57146580000000002</v>
      </c>
      <c r="F4801" t="s">
        <v>55</v>
      </c>
      <c r="G4801">
        <v>-212.2252</v>
      </c>
      <c r="H4801">
        <v>0.136219799999999</v>
      </c>
      <c r="I4801">
        <v>90.660769999999999</v>
      </c>
      <c r="J4801">
        <v>-190.95869999999999</v>
      </c>
      <c r="K4801">
        <v>1.1142289999999999</v>
      </c>
      <c r="L4801">
        <v>182.53309999999999</v>
      </c>
      <c r="M4801">
        <v>-0.22698160000000001</v>
      </c>
      <c r="N4801">
        <v>-1.438507E-2</v>
      </c>
      <c r="O4801">
        <v>-0.97379289999999996</v>
      </c>
      <c r="P4801">
        <v>-3.7723930000000003E-2</v>
      </c>
      <c r="Q4801">
        <v>0.1815571</v>
      </c>
      <c r="R4801">
        <v>-0.9826568</v>
      </c>
      <c r="S4801">
        <v>-0.70155330000000005</v>
      </c>
      <c r="T4801">
        <v>-3.2215599999999997E-2</v>
      </c>
      <c r="U4801">
        <v>-3.0309599999999999</v>
      </c>
      <c r="V4801">
        <v>-0.187856</v>
      </c>
      <c r="W4801">
        <v>0.19396070000000001</v>
      </c>
      <c r="X4801">
        <v>0.96285480000000001</v>
      </c>
      <c r="Y4801">
        <v>-1.5459779999999999E-3</v>
      </c>
      <c r="Z4801">
        <v>-3.9299590000000002E-3</v>
      </c>
      <c r="AA4801">
        <v>0.99999110000000002</v>
      </c>
      <c r="AB4801">
        <v>30</v>
      </c>
      <c r="AC4801">
        <v>-21.266500000000001</v>
      </c>
      <c r="AD4801">
        <v>-0.97800920000000002</v>
      </c>
      <c r="AE4801">
        <v>-91.872330000000005</v>
      </c>
      <c r="AF4801">
        <v>-0.14416114980407699</v>
      </c>
      <c r="AG4801">
        <v>-0.97800920000000002</v>
      </c>
      <c r="AH4801">
        <v>94.291333451431001</v>
      </c>
      <c r="AI4801">
        <v>90.594261663135498</v>
      </c>
      <c r="AJ4801">
        <v>90.0875989204457</v>
      </c>
      <c r="AK4801">
        <v>94.296515569141505</v>
      </c>
      <c r="AL4801">
        <v>78.815982997325193</v>
      </c>
      <c r="AM4801">
        <v>101.039902198481</v>
      </c>
      <c r="AN4801">
        <v>0.99999999788176497</v>
      </c>
    </row>
    <row r="4802" spans="1:40" x14ac:dyDescent="0.25">
      <c r="A4802" t="str">
        <f>"20190304154850970"</f>
        <v>20190304154850970</v>
      </c>
      <c r="B4802" t="str">
        <f>"1551685730961443"</f>
        <v>1551685730961443</v>
      </c>
      <c r="C4802" t="s">
        <v>40</v>
      </c>
      <c r="D4802">
        <v>5.0789140000000002</v>
      </c>
      <c r="E4802">
        <v>0.57146580000000002</v>
      </c>
      <c r="F4802" t="s">
        <v>55</v>
      </c>
      <c r="G4802">
        <v>-212.2253</v>
      </c>
      <c r="H4802">
        <v>0.1987216</v>
      </c>
      <c r="I4802">
        <v>90.221630000000005</v>
      </c>
      <c r="J4802">
        <v>-190.99090000000001</v>
      </c>
      <c r="K4802">
        <v>1.1142650000000001</v>
      </c>
      <c r="L4802">
        <v>182.3861</v>
      </c>
      <c r="M4802">
        <v>-0.2248588</v>
      </c>
      <c r="N4802">
        <v>-1.438249E-2</v>
      </c>
      <c r="O4802">
        <v>-0.97428539999999997</v>
      </c>
      <c r="P4802">
        <v>-3.6663840000000003E-2</v>
      </c>
      <c r="Q4802">
        <v>0.1819422</v>
      </c>
      <c r="R4802">
        <v>-0.98262579999999999</v>
      </c>
      <c r="S4802">
        <v>-0.69844059999999997</v>
      </c>
      <c r="T4802">
        <v>-3.0066369999999999E-2</v>
      </c>
      <c r="U4802">
        <v>-3.0317080000000001</v>
      </c>
      <c r="V4802">
        <v>-0.1867962</v>
      </c>
      <c r="W4802">
        <v>0.19433819999999999</v>
      </c>
      <c r="X4802">
        <v>0.96298490000000003</v>
      </c>
      <c r="Y4802">
        <v>-3.9636990000000002E-4</v>
      </c>
      <c r="Z4802">
        <v>-4.599293E-3</v>
      </c>
      <c r="AA4802">
        <v>0.99998929999999997</v>
      </c>
      <c r="AB4802">
        <v>29</v>
      </c>
      <c r="AC4802">
        <v>-21.234399999999901</v>
      </c>
      <c r="AD4802">
        <v>-0.91554340000000001</v>
      </c>
      <c r="AE4802">
        <v>-92.164469999999994</v>
      </c>
      <c r="AF4802">
        <v>-3.5626569256539398E-2</v>
      </c>
      <c r="AG4802">
        <v>-0.91554340000000001</v>
      </c>
      <c r="AH4802">
        <v>94.570142226093793</v>
      </c>
      <c r="AI4802">
        <v>90.554669043535895</v>
      </c>
      <c r="AJ4802">
        <v>90.021584528819702</v>
      </c>
      <c r="AK4802">
        <v>94.574580568106796</v>
      </c>
      <c r="AL4802">
        <v>78.793934740568304</v>
      </c>
      <c r="AM4802">
        <v>100.977690325178</v>
      </c>
      <c r="AN4802">
        <v>1.0000000369708399</v>
      </c>
    </row>
    <row r="4803" spans="1:40" x14ac:dyDescent="0.25">
      <c r="A4803" t="str">
        <f>"20190304154850981"</f>
        <v>20190304154850981</v>
      </c>
      <c r="B4803" t="str">
        <f>"1551685730971203"</f>
        <v>1551685730971203</v>
      </c>
      <c r="C4803" t="s">
        <v>40</v>
      </c>
      <c r="D4803">
        <v>4.9724599999999999</v>
      </c>
      <c r="E4803">
        <v>0.57157849999999999</v>
      </c>
      <c r="F4803" t="s">
        <v>55</v>
      </c>
      <c r="G4803">
        <v>-212.2253</v>
      </c>
      <c r="H4803">
        <v>0.22907540000000001</v>
      </c>
      <c r="I4803">
        <v>89.768199999999993</v>
      </c>
      <c r="J4803">
        <v>-191.02189999999999</v>
      </c>
      <c r="K4803">
        <v>1.1142860000000001</v>
      </c>
      <c r="L4803">
        <v>182.24199999999999</v>
      </c>
      <c r="M4803">
        <v>-0.2227634</v>
      </c>
      <c r="N4803">
        <v>-1.438008E-2</v>
      </c>
      <c r="O4803">
        <v>-0.97476649999999998</v>
      </c>
      <c r="P4803">
        <v>-3.5437429999999999E-2</v>
      </c>
      <c r="Q4803">
        <v>0.18209239999999999</v>
      </c>
      <c r="R4803">
        <v>-0.98264280000000004</v>
      </c>
      <c r="S4803">
        <v>-0.69525150000000002</v>
      </c>
      <c r="T4803">
        <v>-2.8981799999999999E-2</v>
      </c>
      <c r="U4803">
        <v>-3.0324710000000001</v>
      </c>
      <c r="V4803">
        <v>-0.18593100000000001</v>
      </c>
      <c r="W4803">
        <v>0.19448460000000001</v>
      </c>
      <c r="X4803">
        <v>0.9631227</v>
      </c>
      <c r="Y4803">
        <v>6.9921419999999896E-4</v>
      </c>
      <c r="Z4803">
        <v>-4.9361980000000001E-3</v>
      </c>
      <c r="AA4803">
        <v>0.99998759999999998</v>
      </c>
      <c r="AB4803">
        <v>29</v>
      </c>
      <c r="AC4803">
        <v>-21.203399999999998</v>
      </c>
      <c r="AD4803">
        <v>-0.88521059999999996</v>
      </c>
      <c r="AE4803">
        <v>-92.473799999999997</v>
      </c>
      <c r="AF4803">
        <v>6.8587026967769305E-2</v>
      </c>
      <c r="AG4803">
        <v>-0.88521059999999996</v>
      </c>
      <c r="AH4803">
        <v>94.865252663111505</v>
      </c>
      <c r="AI4803">
        <v>90.534625109764406</v>
      </c>
      <c r="AJ4803">
        <v>89.958575491240794</v>
      </c>
      <c r="AK4803">
        <v>94.869407423165697</v>
      </c>
      <c r="AL4803">
        <v>78.785382673237905</v>
      </c>
      <c r="AM4803">
        <v>100.926545034258</v>
      </c>
      <c r="AN4803">
        <v>0.99999996582672401</v>
      </c>
    </row>
    <row r="4804" spans="1:40" x14ac:dyDescent="0.25">
      <c r="A4804" t="str">
        <f>"20190304154850994"</f>
        <v>20190304154850994</v>
      </c>
      <c r="B4804" t="str">
        <f>"1551685730991962"</f>
        <v>1551685730991962</v>
      </c>
      <c r="C4804" t="s">
        <v>40</v>
      </c>
      <c r="D4804">
        <v>4.9379869999999997</v>
      </c>
      <c r="E4804">
        <v>0.5718337</v>
      </c>
      <c r="F4804" t="s">
        <v>55</v>
      </c>
      <c r="G4804">
        <v>-212.2253</v>
      </c>
      <c r="H4804">
        <v>0.24503739999999999</v>
      </c>
      <c r="I4804">
        <v>89.403269999999907</v>
      </c>
      <c r="J4804">
        <v>-191.05520000000001</v>
      </c>
      <c r="K4804">
        <v>1.114304</v>
      </c>
      <c r="L4804">
        <v>182.08619999999999</v>
      </c>
      <c r="M4804">
        <v>-0.22049369999999999</v>
      </c>
      <c r="N4804">
        <v>-1.43774E-2</v>
      </c>
      <c r="O4804">
        <v>-0.97528269999999995</v>
      </c>
      <c r="P4804">
        <v>-3.4089710000000002E-2</v>
      </c>
      <c r="Q4804">
        <v>0.18175469999999999</v>
      </c>
      <c r="R4804">
        <v>-0.98275319999999999</v>
      </c>
      <c r="S4804">
        <v>-0.6927643</v>
      </c>
      <c r="T4804">
        <v>-2.839947E-2</v>
      </c>
      <c r="U4804">
        <v>-3.0332490000000001</v>
      </c>
      <c r="V4804">
        <v>-0.18502879999999999</v>
      </c>
      <c r="W4804">
        <v>0.19414490000000001</v>
      </c>
      <c r="X4804">
        <v>0.96336500000000003</v>
      </c>
      <c r="Y4804">
        <v>2.1916629999999999E-3</v>
      </c>
      <c r="Z4804">
        <v>-5.1154929999999996E-3</v>
      </c>
      <c r="AA4804">
        <v>0.99998450000000005</v>
      </c>
      <c r="AB4804">
        <v>29</v>
      </c>
      <c r="AC4804">
        <v>-21.170099999999898</v>
      </c>
      <c r="AD4804">
        <v>-0.8692666</v>
      </c>
      <c r="AE4804">
        <v>-92.682929999999999</v>
      </c>
      <c r="AF4804">
        <v>0.21083423664968801</v>
      </c>
      <c r="AG4804">
        <v>-0.8692666</v>
      </c>
      <c r="AH4804">
        <v>95.061785891971098</v>
      </c>
      <c r="AI4804">
        <v>90.523909753871706</v>
      </c>
      <c r="AJ4804">
        <v>89.872925886917997</v>
      </c>
      <c r="AK4804">
        <v>95.065993985589699</v>
      </c>
      <c r="AL4804">
        <v>78.805224759601501</v>
      </c>
      <c r="AM4804">
        <v>100.872122922866</v>
      </c>
      <c r="AN4804">
        <v>1.0000000111252201</v>
      </c>
    </row>
    <row r="4805" spans="1:40" x14ac:dyDescent="0.25">
      <c r="A4805" t="str">
        <f>"20190304154851005"</f>
        <v>20190304154851005</v>
      </c>
      <c r="B4805" t="str">
        <f>"1551685731001722"</f>
        <v>1551685731001722</v>
      </c>
      <c r="C4805" t="s">
        <v>40</v>
      </c>
      <c r="D4805">
        <v>4.9554859999999996</v>
      </c>
      <c r="E4805">
        <v>0.57198950000000004</v>
      </c>
      <c r="F4805" t="s">
        <v>55</v>
      </c>
      <c r="G4805">
        <v>-212.2253</v>
      </c>
      <c r="H4805">
        <v>0.2201562</v>
      </c>
      <c r="I4805">
        <v>89.117400000000004</v>
      </c>
      <c r="J4805">
        <v>-191.0864</v>
      </c>
      <c r="K4805">
        <v>1.1143160000000001</v>
      </c>
      <c r="L4805">
        <v>181.93790000000001</v>
      </c>
      <c r="M4805">
        <v>-0.21832570000000001</v>
      </c>
      <c r="N4805">
        <v>-1.4374899999999999E-2</v>
      </c>
      <c r="O4805">
        <v>-0.97577009999999997</v>
      </c>
      <c r="P4805">
        <v>-3.284372E-2</v>
      </c>
      <c r="Q4805">
        <v>0.18142240000000001</v>
      </c>
      <c r="R4805">
        <v>-0.98285659999999997</v>
      </c>
      <c r="S4805">
        <v>-0.69090269999999898</v>
      </c>
      <c r="T4805">
        <v>-2.9180290000000001E-2</v>
      </c>
      <c r="U4805">
        <v>-3.034103</v>
      </c>
      <c r="V4805">
        <v>-0.1841245</v>
      </c>
      <c r="W4805">
        <v>0.19381470000000001</v>
      </c>
      <c r="X4805">
        <v>0.96360469999999998</v>
      </c>
      <c r="Y4805">
        <v>3.7696240000000001E-3</v>
      </c>
      <c r="Z4805">
        <v>-4.8678810000000001E-3</v>
      </c>
      <c r="AA4805">
        <v>0.99998100000000001</v>
      </c>
      <c r="AB4805">
        <v>29</v>
      </c>
      <c r="AC4805">
        <v>-21.1389</v>
      </c>
      <c r="AD4805">
        <v>-0.89415979999999995</v>
      </c>
      <c r="AE4805">
        <v>-92.820499999999996</v>
      </c>
      <c r="AF4805">
        <v>0.36161138736221998</v>
      </c>
      <c r="AG4805">
        <v>-0.89415979999999995</v>
      </c>
      <c r="AH4805">
        <v>95.188070254379198</v>
      </c>
      <c r="AI4805">
        <v>90.538194609452702</v>
      </c>
      <c r="AJ4805">
        <v>89.782339251172502</v>
      </c>
      <c r="AK4805">
        <v>95.192956689536899</v>
      </c>
      <c r="AL4805">
        <v>78.824509943794695</v>
      </c>
      <c r="AM4805">
        <v>100.817616363924</v>
      </c>
      <c r="AN4805">
        <v>0.99999999364921499</v>
      </c>
    </row>
    <row r="4806" spans="1:40" x14ac:dyDescent="0.25">
      <c r="A4806" t="str">
        <f>"20190304154851018"</f>
        <v>20190304154851018</v>
      </c>
      <c r="B4806" t="str">
        <f>"1551685731011483"</f>
        <v>1551685731011483</v>
      </c>
      <c r="C4806" t="s">
        <v>40</v>
      </c>
      <c r="D4806">
        <v>4.9302849999999996</v>
      </c>
      <c r="E4806">
        <v>0.57217099999999999</v>
      </c>
      <c r="F4806" t="s">
        <v>55</v>
      </c>
      <c r="G4806">
        <v>-212.2252</v>
      </c>
      <c r="H4806">
        <v>0.1873618</v>
      </c>
      <c r="I4806">
        <v>88.719660000000005</v>
      </c>
      <c r="J4806">
        <v>-191.1156</v>
      </c>
      <c r="K4806">
        <v>1.1143270000000001</v>
      </c>
      <c r="L4806">
        <v>181.7979</v>
      </c>
      <c r="M4806">
        <v>-0.2162799</v>
      </c>
      <c r="N4806">
        <v>-1.437254E-2</v>
      </c>
      <c r="O4806">
        <v>-0.97622569999999997</v>
      </c>
      <c r="P4806">
        <v>-3.196628E-2</v>
      </c>
      <c r="Q4806">
        <v>0.18046619999999999</v>
      </c>
      <c r="R4806">
        <v>-0.98306179999999999</v>
      </c>
      <c r="S4806">
        <v>-0.68821719999999997</v>
      </c>
      <c r="T4806">
        <v>-3.0177949999999999E-2</v>
      </c>
      <c r="U4806">
        <v>-3.034897</v>
      </c>
      <c r="V4806">
        <v>-0.18299679999999999</v>
      </c>
      <c r="W4806">
        <v>0.19286600000000001</v>
      </c>
      <c r="X4806">
        <v>0.96400980000000003</v>
      </c>
      <c r="Y4806">
        <v>4.9678530000000004E-3</v>
      </c>
      <c r="Z4806">
        <v>-4.5522560000000002E-3</v>
      </c>
      <c r="AA4806">
        <v>0.99997729999999996</v>
      </c>
      <c r="AB4806">
        <v>29</v>
      </c>
      <c r="AC4806">
        <v>-21.1096</v>
      </c>
      <c r="AD4806">
        <v>-0.92696520000000004</v>
      </c>
      <c r="AE4806">
        <v>-93.078239999999994</v>
      </c>
      <c r="AF4806">
        <v>0.47678583084245202</v>
      </c>
      <c r="AG4806">
        <v>-0.92696520000000004</v>
      </c>
      <c r="AH4806">
        <v>95.431799538186695</v>
      </c>
      <c r="AI4806">
        <v>90.5565111519212</v>
      </c>
      <c r="AJ4806">
        <v>89.713747527742598</v>
      </c>
      <c r="AK4806">
        <v>95.437492382748403</v>
      </c>
      <c r="AL4806">
        <v>78.879911957171899</v>
      </c>
      <c r="AM4806">
        <v>100.74849817278999</v>
      </c>
      <c r="AN4806">
        <v>1.00000000863114</v>
      </c>
    </row>
    <row r="4807" spans="1:40" x14ac:dyDescent="0.25">
      <c r="A4807" t="str">
        <f>"20190304154851030"</f>
        <v>20190304154851030</v>
      </c>
      <c r="B4807" t="str">
        <f>"1551685731021242"</f>
        <v>1551685731021242</v>
      </c>
      <c r="C4807" t="s">
        <v>40</v>
      </c>
      <c r="D4807">
        <v>4.9937459999999998</v>
      </c>
      <c r="E4807">
        <v>0.57217099999999999</v>
      </c>
      <c r="F4807" t="s">
        <v>55</v>
      </c>
      <c r="G4807">
        <v>-212.2252</v>
      </c>
      <c r="H4807">
        <v>9.9906679999999998E-2</v>
      </c>
      <c r="I4807">
        <v>88.561229999999995</v>
      </c>
      <c r="J4807">
        <v>-191.15180000000001</v>
      </c>
      <c r="K4807">
        <v>1.1143289999999999</v>
      </c>
      <c r="L4807">
        <v>181.6225</v>
      </c>
      <c r="M4807">
        <v>-0.21371190000000001</v>
      </c>
      <c r="N4807">
        <v>-1.436963E-2</v>
      </c>
      <c r="O4807">
        <v>-0.97679110000000002</v>
      </c>
      <c r="P4807">
        <v>-3.0651109999999999E-2</v>
      </c>
      <c r="Q4807">
        <v>0.18043629999999999</v>
      </c>
      <c r="R4807">
        <v>-0.98310909999999996</v>
      </c>
      <c r="S4807">
        <v>-0.68724059999999998</v>
      </c>
      <c r="T4807">
        <v>-3.3024310000000001E-2</v>
      </c>
      <c r="U4807">
        <v>-3.0353850000000002</v>
      </c>
      <c r="V4807">
        <v>-0.18175259999999999</v>
      </c>
      <c r="W4807">
        <v>0.19284299999999999</v>
      </c>
      <c r="X4807">
        <v>0.96424969999999999</v>
      </c>
      <c r="Y4807">
        <v>7.2573159999999998E-3</v>
      </c>
      <c r="Z4807">
        <v>-3.6530550000000001E-3</v>
      </c>
      <c r="AA4807">
        <v>0.99996700000000005</v>
      </c>
      <c r="AB4807">
        <v>29</v>
      </c>
      <c r="AC4807">
        <v>-21.0733999999999</v>
      </c>
      <c r="AD4807">
        <v>-1.01442232</v>
      </c>
      <c r="AE4807">
        <v>-93.061269999999993</v>
      </c>
      <c r="AF4807">
        <v>0.69600190068981105</v>
      </c>
      <c r="AG4807">
        <v>-1.01442232</v>
      </c>
      <c r="AH4807">
        <v>95.404119337269705</v>
      </c>
      <c r="AI4807">
        <v>90.609181042674095</v>
      </c>
      <c r="AJ4807">
        <v>89.582017377363798</v>
      </c>
      <c r="AK4807">
        <v>95.412050904532407</v>
      </c>
      <c r="AL4807">
        <v>78.881254391785305</v>
      </c>
      <c r="AM4807">
        <v>100.674509189788</v>
      </c>
      <c r="AN4807">
        <v>0.999999957102924</v>
      </c>
    </row>
    <row r="4808" spans="1:40" x14ac:dyDescent="0.25">
      <c r="A4808" t="str">
        <f>"20190304154851041"</f>
        <v>20190304154851041</v>
      </c>
      <c r="B4808" t="str">
        <f>"1551685731031979"</f>
        <v>1551685731031979</v>
      </c>
      <c r="C4808" t="s">
        <v>40</v>
      </c>
      <c r="D4808">
        <v>4.9199270000000004</v>
      </c>
      <c r="E4808">
        <v>0.58342669999999996</v>
      </c>
      <c r="F4808" t="s">
        <v>55</v>
      </c>
      <c r="G4808">
        <v>-212.2252</v>
      </c>
      <c r="H4808">
        <v>9.5172409999999999E-2</v>
      </c>
      <c r="I4808">
        <v>87.993899999999996</v>
      </c>
      <c r="J4808">
        <v>-191.18039999999999</v>
      </c>
      <c r="K4808">
        <v>1.1143339999999999</v>
      </c>
      <c r="L4808">
        <v>181.48150000000001</v>
      </c>
      <c r="M4808">
        <v>-0.2116498</v>
      </c>
      <c r="N4808">
        <v>-1.4367359999999999E-2</v>
      </c>
      <c r="O4808">
        <v>-0.97724009999999994</v>
      </c>
      <c r="P4808">
        <v>-2.9697390000000001E-2</v>
      </c>
      <c r="Q4808">
        <v>0.179956</v>
      </c>
      <c r="R4808">
        <v>-0.9832263</v>
      </c>
      <c r="S4808">
        <v>-0.68339539999999999</v>
      </c>
      <c r="T4808">
        <v>-3.3049580000000002E-2</v>
      </c>
      <c r="U4808">
        <v>-3.0363009999999999</v>
      </c>
      <c r="V4808">
        <v>-0.18066599999999999</v>
      </c>
      <c r="W4808">
        <v>0.1923723</v>
      </c>
      <c r="X4808">
        <v>0.96454790000000001</v>
      </c>
      <c r="Y4808">
        <v>8.097801E-3</v>
      </c>
      <c r="Z4808">
        <v>-3.6427080000000001E-3</v>
      </c>
      <c r="AA4808">
        <v>0.99996059999999998</v>
      </c>
      <c r="AB4808">
        <v>29</v>
      </c>
      <c r="AC4808">
        <v>-21.044799999999999</v>
      </c>
      <c r="AD4808">
        <v>-1.01916159</v>
      </c>
      <c r="AE4808">
        <v>-93.4876</v>
      </c>
      <c r="AF4808">
        <v>0.77918280589996702</v>
      </c>
      <c r="AG4808">
        <v>-1.01916159</v>
      </c>
      <c r="AH4808">
        <v>95.812999152907693</v>
      </c>
      <c r="AI4808">
        <v>90.609411306158407</v>
      </c>
      <c r="AJ4808">
        <v>89.534062157432501</v>
      </c>
      <c r="AK4808">
        <v>95.821587457454598</v>
      </c>
      <c r="AL4808">
        <v>78.908738365237198</v>
      </c>
      <c r="AM4808">
        <v>100.60893946250199</v>
      </c>
      <c r="AN4808">
        <v>0.99999997837884902</v>
      </c>
    </row>
    <row r="4809" spans="1:40" x14ac:dyDescent="0.25">
      <c r="A4809" t="str">
        <f>"20190304154851055"</f>
        <v>20190304154851055</v>
      </c>
      <c r="B4809" t="str">
        <f>"1551685731051499"</f>
        <v>1551685731051499</v>
      </c>
      <c r="C4809" t="s">
        <v>40</v>
      </c>
      <c r="D4809">
        <v>4.9931010000000002</v>
      </c>
      <c r="E4809">
        <v>0.58270900000000003</v>
      </c>
      <c r="F4809" t="s">
        <v>55</v>
      </c>
      <c r="G4809">
        <v>-212.2715</v>
      </c>
      <c r="H4809">
        <v>0.40944419999999998</v>
      </c>
      <c r="I4809">
        <v>98.375470000000007</v>
      </c>
      <c r="J4809">
        <v>-191.21350000000001</v>
      </c>
      <c r="K4809">
        <v>1.114336</v>
      </c>
      <c r="L4809">
        <v>181.31700000000001</v>
      </c>
      <c r="M4809">
        <v>-0.20924409999999999</v>
      </c>
      <c r="N4809">
        <v>-1.4364750000000001E-2</v>
      </c>
      <c r="O4809">
        <v>-0.97775820000000002</v>
      </c>
      <c r="P4809">
        <v>-2.7874820000000002E-2</v>
      </c>
      <c r="Q4809">
        <v>0.17988280000000001</v>
      </c>
      <c r="R4809">
        <v>-0.98329330000000004</v>
      </c>
      <c r="S4809">
        <v>-0.76963809999999999</v>
      </c>
      <c r="T4809">
        <v>-2.5721069999999999E-2</v>
      </c>
      <c r="U4809">
        <v>-3.0326230000000001</v>
      </c>
      <c r="V4809">
        <v>-0.18008209999999999</v>
      </c>
      <c r="W4809">
        <v>0.1923021</v>
      </c>
      <c r="X4809">
        <v>0.9646711</v>
      </c>
      <c r="Y4809">
        <v>3.7695670000000001E-2</v>
      </c>
      <c r="Z4809">
        <v>-5.9193519999999897E-3</v>
      </c>
      <c r="AA4809">
        <v>0.99927180000000004</v>
      </c>
      <c r="AB4809">
        <v>29</v>
      </c>
      <c r="AC4809">
        <v>-21.058</v>
      </c>
      <c r="AD4809">
        <v>-0.70489179999999996</v>
      </c>
      <c r="AE4809">
        <v>-82.94153</v>
      </c>
      <c r="AF4809">
        <v>3.2347197983062701</v>
      </c>
      <c r="AG4809">
        <v>-0.70489179999999996</v>
      </c>
      <c r="AH4809">
        <v>85.506021465170505</v>
      </c>
      <c r="AI4809">
        <v>90.471984811428996</v>
      </c>
      <c r="AJ4809">
        <v>87.833515679476093</v>
      </c>
      <c r="AK4809">
        <v>85.570088181708996</v>
      </c>
      <c r="AL4809">
        <v>78.912837251622193</v>
      </c>
      <c r="AM4809">
        <v>100.574106619433</v>
      </c>
      <c r="AN4809">
        <v>0.99999999579001497</v>
      </c>
    </row>
    <row r="4810" spans="1:40" x14ac:dyDescent="0.25">
      <c r="A4810" t="str">
        <f>"20190304154851070"</f>
        <v>20190304154851070</v>
      </c>
      <c r="B4810" t="str">
        <f>"1551685731061258"</f>
        <v>1551685731061258</v>
      </c>
      <c r="C4810" t="s">
        <v>40</v>
      </c>
      <c r="D4810">
        <v>4.9564120000000003</v>
      </c>
      <c r="E4810">
        <v>0.58246750000000003</v>
      </c>
      <c r="F4810" t="s">
        <v>55</v>
      </c>
      <c r="G4810">
        <v>-211.93459999999999</v>
      </c>
      <c r="H4810">
        <v>0.15450510000000001</v>
      </c>
      <c r="I4810">
        <v>98.375470000000007</v>
      </c>
      <c r="J4810">
        <v>-191.2527</v>
      </c>
      <c r="K4810">
        <v>1.1143320000000001</v>
      </c>
      <c r="L4810">
        <v>181.11940000000001</v>
      </c>
      <c r="M4810">
        <v>-0.20635519999999999</v>
      </c>
      <c r="N4810">
        <v>-1.436169E-2</v>
      </c>
      <c r="O4810">
        <v>-0.97837189999999996</v>
      </c>
      <c r="P4810">
        <v>-2.6196000000000001E-2</v>
      </c>
      <c r="Q4810">
        <v>0.18130099999999999</v>
      </c>
      <c r="R4810">
        <v>-0.98307880000000003</v>
      </c>
      <c r="S4810">
        <v>-0.75845340000000006</v>
      </c>
      <c r="T4810">
        <v>-3.5131570000000001E-2</v>
      </c>
      <c r="U4810">
        <v>-3.0359039999999999</v>
      </c>
      <c r="V4810">
        <v>-0.17883399999999999</v>
      </c>
      <c r="W4810">
        <v>0.1937268</v>
      </c>
      <c r="X4810">
        <v>0.96461830000000004</v>
      </c>
      <c r="Y4810">
        <v>3.6930129999999999E-2</v>
      </c>
      <c r="Z4810">
        <v>-2.9706139999999999E-3</v>
      </c>
      <c r="AA4810">
        <v>0.99931340000000002</v>
      </c>
      <c r="AB4810">
        <v>29</v>
      </c>
      <c r="AC4810">
        <v>-20.681899999999899</v>
      </c>
      <c r="AD4810">
        <v>-0.95982690000000004</v>
      </c>
      <c r="AE4810">
        <v>-82.743930000000006</v>
      </c>
      <c r="AF4810">
        <v>3.1598748429080299</v>
      </c>
      <c r="AG4810">
        <v>-0.95982690000000004</v>
      </c>
      <c r="AH4810">
        <v>85.220138142602295</v>
      </c>
      <c r="AI4810">
        <v>90.644846932576698</v>
      </c>
      <c r="AJ4810">
        <v>87.876504385406705</v>
      </c>
      <c r="AK4810">
        <v>85.284101811211102</v>
      </c>
      <c r="AL4810">
        <v>78.829644389251001</v>
      </c>
      <c r="AM4810">
        <v>100.503018536212</v>
      </c>
      <c r="AN4810">
        <v>1.00000006864456</v>
      </c>
    </row>
    <row r="4811" spans="1:40" x14ac:dyDescent="0.25">
      <c r="A4811" t="str">
        <f>"20190304154851081"</f>
        <v>20190304154851081</v>
      </c>
      <c r="B4811" t="str">
        <f>"1551685731071995"</f>
        <v>1551685731071995</v>
      </c>
      <c r="C4811" t="s">
        <v>40</v>
      </c>
      <c r="D4811">
        <v>5.0229489999999997</v>
      </c>
      <c r="E4811">
        <v>0.58203070000000001</v>
      </c>
      <c r="F4811" t="s">
        <v>55</v>
      </c>
      <c r="G4811">
        <v>-211.7441</v>
      </c>
      <c r="H4811">
        <v>0.28542380000000001</v>
      </c>
      <c r="I4811">
        <v>98.375470000000007</v>
      </c>
      <c r="J4811">
        <v>-191.2807</v>
      </c>
      <c r="K4811">
        <v>1.1143299999999901</v>
      </c>
      <c r="L4811">
        <v>180.97579999999999</v>
      </c>
      <c r="M4811">
        <v>-0.2042612</v>
      </c>
      <c r="N4811">
        <v>-1.435958E-2</v>
      </c>
      <c r="O4811">
        <v>-0.97881110000000005</v>
      </c>
      <c r="P4811">
        <v>-2.3745909999999999E-2</v>
      </c>
      <c r="Q4811">
        <v>0.18139259999999999</v>
      </c>
      <c r="R4811">
        <v>-0.98312409999999995</v>
      </c>
      <c r="S4811">
        <v>-0.75215149999999997</v>
      </c>
      <c r="T4811">
        <v>-3.0424590000000001E-2</v>
      </c>
      <c r="U4811">
        <v>-3.0371700000000001</v>
      </c>
      <c r="V4811">
        <v>-0.17917169999999999</v>
      </c>
      <c r="W4811">
        <v>0.19381290000000001</v>
      </c>
      <c r="X4811">
        <v>0.96453829999999996</v>
      </c>
      <c r="Y4811">
        <v>3.7016779999999999E-2</v>
      </c>
      <c r="Z4811">
        <v>-4.4478E-3</v>
      </c>
      <c r="AA4811">
        <v>0.99930479999999999</v>
      </c>
      <c r="AB4811">
        <v>29</v>
      </c>
      <c r="AC4811">
        <v>-20.4634</v>
      </c>
      <c r="AD4811">
        <v>-0.82890619999999904</v>
      </c>
      <c r="AE4811">
        <v>-82.60033</v>
      </c>
      <c r="AF4811">
        <v>3.1577865281647601</v>
      </c>
      <c r="AG4811">
        <v>-0.82890619999999904</v>
      </c>
      <c r="AH4811">
        <v>85.030698365258402</v>
      </c>
      <c r="AI4811">
        <v>90.558135007082001</v>
      </c>
      <c r="AJ4811">
        <v>87.873183016560603</v>
      </c>
      <c r="AK4811">
        <v>85.093350890239407</v>
      </c>
      <c r="AL4811">
        <v>78.824615540190294</v>
      </c>
      <c r="AM4811">
        <v>100.523262537631</v>
      </c>
      <c r="AN4811">
        <v>1.0000000352270899</v>
      </c>
    </row>
    <row r="4812" spans="1:40" x14ac:dyDescent="0.25">
      <c r="A4812" t="str">
        <f>"20190304154851094"</f>
        <v>20190304154851094</v>
      </c>
      <c r="B4812" t="str">
        <f>"1551685731081755"</f>
        <v>1551685731081755</v>
      </c>
      <c r="C4812" t="s">
        <v>40</v>
      </c>
      <c r="D4812">
        <v>4.9704810000000004</v>
      </c>
      <c r="E4812">
        <v>0.58134399999999997</v>
      </c>
      <c r="F4812" t="s">
        <v>55</v>
      </c>
      <c r="G4812">
        <v>-211.4452</v>
      </c>
      <c r="H4812">
        <v>0.26964460000000001</v>
      </c>
      <c r="I4812">
        <v>98.375470000000007</v>
      </c>
      <c r="J4812">
        <v>-191.3107</v>
      </c>
      <c r="K4812">
        <v>1.1143289999999999</v>
      </c>
      <c r="L4812">
        <v>180.82140000000001</v>
      </c>
      <c r="M4812">
        <v>-0.2020081</v>
      </c>
      <c r="N4812">
        <v>-1.435734E-2</v>
      </c>
      <c r="O4812">
        <v>-0.97927869999999995</v>
      </c>
      <c r="P4812">
        <v>-2.1874500000000002E-2</v>
      </c>
      <c r="Q4812">
        <v>0.18166550000000001</v>
      </c>
      <c r="R4812">
        <v>-0.98311709999999997</v>
      </c>
      <c r="S4812">
        <v>-0.74195859999999902</v>
      </c>
      <c r="T4812">
        <v>-3.1079409999999998E-2</v>
      </c>
      <c r="U4812">
        <v>-3.039307</v>
      </c>
      <c r="V4812">
        <v>-0.17877770000000001</v>
      </c>
      <c r="W4812">
        <v>0.19408790000000001</v>
      </c>
      <c r="X4812">
        <v>0.96455599999999997</v>
      </c>
      <c r="Y4812">
        <v>3.5992570000000002E-2</v>
      </c>
      <c r="Z4812">
        <v>-4.2444589999999999E-3</v>
      </c>
      <c r="AA4812">
        <v>0.99934299999999998</v>
      </c>
      <c r="AB4812">
        <v>29</v>
      </c>
      <c r="AC4812">
        <v>-20.134499999999999</v>
      </c>
      <c r="AD4812">
        <v>-0.8446844</v>
      </c>
      <c r="AE4812">
        <v>-82.445930000000004</v>
      </c>
      <c r="AF4812">
        <v>3.0625533630772899</v>
      </c>
      <c r="AG4812">
        <v>-0.8446844</v>
      </c>
      <c r="AH4812">
        <v>84.8052089157636</v>
      </c>
      <c r="AI4812">
        <v>90.570291935814694</v>
      </c>
      <c r="AJ4812">
        <v>87.931787861810307</v>
      </c>
      <c r="AK4812">
        <v>84.864693389439694</v>
      </c>
      <c r="AL4812">
        <v>78.808553003234096</v>
      </c>
      <c r="AM4812">
        <v>100.50044864091301</v>
      </c>
      <c r="AN4812">
        <v>0.99999992803984705</v>
      </c>
    </row>
    <row r="4813" spans="1:40" x14ac:dyDescent="0.25">
      <c r="A4813" t="str">
        <f>"20190304154851107"</f>
        <v>20190304154851107</v>
      </c>
      <c r="B4813" t="str">
        <f>"1551685731101275"</f>
        <v>1551685731101275</v>
      </c>
      <c r="C4813" t="s">
        <v>40</v>
      </c>
      <c r="D4813">
        <v>4.9850979999999998</v>
      </c>
      <c r="E4813">
        <v>0.57967380000000002</v>
      </c>
      <c r="F4813" t="s">
        <v>55</v>
      </c>
      <c r="G4813">
        <v>-211.3587</v>
      </c>
      <c r="H4813">
        <v>0.21495210000000001</v>
      </c>
      <c r="I4813">
        <v>97.486140000000006</v>
      </c>
      <c r="J4813">
        <v>-191.3442</v>
      </c>
      <c r="K4813">
        <v>1.114322</v>
      </c>
      <c r="L4813">
        <v>180.64519999999999</v>
      </c>
      <c r="M4813">
        <v>-0.19944149999999999</v>
      </c>
      <c r="N4813">
        <v>-1.4354860000000001E-2</v>
      </c>
      <c r="O4813">
        <v>-0.97980480000000003</v>
      </c>
      <c r="P4813">
        <v>-1.9513160000000002E-2</v>
      </c>
      <c r="Q4813">
        <v>0.18145349999999999</v>
      </c>
      <c r="R4813">
        <v>-0.98320620000000003</v>
      </c>
      <c r="S4813">
        <v>-0.7316589</v>
      </c>
      <c r="T4813">
        <v>-3.2821889999999999E-2</v>
      </c>
      <c r="U4813">
        <v>-3.0413359999999998</v>
      </c>
      <c r="V4813">
        <v>-0.17857139999999999</v>
      </c>
      <c r="W4813">
        <v>0.19387740000000001</v>
      </c>
      <c r="X4813">
        <v>0.96463659999999996</v>
      </c>
      <c r="Y4813">
        <v>3.5261239999999999E-2</v>
      </c>
      <c r="Z4813">
        <v>-3.6981029999999999E-3</v>
      </c>
      <c r="AA4813">
        <v>0.99937129999999996</v>
      </c>
      <c r="AB4813">
        <v>29</v>
      </c>
      <c r="AC4813">
        <v>-20.014500000000002</v>
      </c>
      <c r="AD4813">
        <v>-0.89936990000000006</v>
      </c>
      <c r="AE4813">
        <v>-83.159059999999897</v>
      </c>
      <c r="AF4813">
        <v>3.0249121417626901</v>
      </c>
      <c r="AG4813">
        <v>-0.89936990000000006</v>
      </c>
      <c r="AH4813">
        <v>85.470707921966294</v>
      </c>
      <c r="AI4813">
        <v>90.602498342902905</v>
      </c>
      <c r="AJ4813">
        <v>87.973078770725493</v>
      </c>
      <c r="AK4813">
        <v>85.528947569606402</v>
      </c>
      <c r="AL4813">
        <v>78.820847891422005</v>
      </c>
      <c r="AM4813">
        <v>100.48774379593399</v>
      </c>
      <c r="AN4813">
        <v>0.99999998059413897</v>
      </c>
    </row>
    <row r="4814" spans="1:40" x14ac:dyDescent="0.25">
      <c r="A4814" t="str">
        <f>"20190304154851120"</f>
        <v>20190304154851120</v>
      </c>
      <c r="B4814" t="str">
        <f>"1551685731112010"</f>
        <v>1551685731112010</v>
      </c>
      <c r="C4814" t="s">
        <v>40</v>
      </c>
      <c r="D4814">
        <v>4.9819250000000004</v>
      </c>
      <c r="E4814">
        <v>0.57951070000000005</v>
      </c>
      <c r="F4814" t="s">
        <v>55</v>
      </c>
      <c r="G4814">
        <v>-211.3587</v>
      </c>
      <c r="H4814">
        <v>0.1092752</v>
      </c>
      <c r="I4814">
        <v>95.072010000000006</v>
      </c>
      <c r="J4814">
        <v>-191.37569999999999</v>
      </c>
      <c r="K4814">
        <v>1.114314</v>
      </c>
      <c r="L4814">
        <v>180.47810000000001</v>
      </c>
      <c r="M4814">
        <v>-0.19700860000000001</v>
      </c>
      <c r="N4814">
        <v>-1.4352500000000001E-2</v>
      </c>
      <c r="O4814">
        <v>-0.98029670000000002</v>
      </c>
      <c r="P4814">
        <v>-1.7480349999999999E-2</v>
      </c>
      <c r="Q4814">
        <v>0.1810958</v>
      </c>
      <c r="R4814">
        <v>-0.98331049999999998</v>
      </c>
      <c r="S4814">
        <v>-0.7118835</v>
      </c>
      <c r="T4814">
        <v>-3.5746930000000003E-2</v>
      </c>
      <c r="U4814">
        <v>-3.043701</v>
      </c>
      <c r="V4814">
        <v>-0.17817839999999999</v>
      </c>
      <c r="W4814">
        <v>0.19352369999999999</v>
      </c>
      <c r="X4814">
        <v>0.96478030000000004</v>
      </c>
      <c r="Y4814">
        <v>3.1419009999999997E-2</v>
      </c>
      <c r="Z4814">
        <v>-2.7805130000000001E-3</v>
      </c>
      <c r="AA4814">
        <v>0.99950240000000001</v>
      </c>
      <c r="AB4814">
        <v>29</v>
      </c>
      <c r="AC4814">
        <v>-19.983000000000001</v>
      </c>
      <c r="AD4814">
        <v>-1.0050387999999999</v>
      </c>
      <c r="AE4814">
        <v>-85.406090000000006</v>
      </c>
      <c r="AF4814">
        <v>2.7634565883884799</v>
      </c>
      <c r="AG4814">
        <v>-1.0050387999999999</v>
      </c>
      <c r="AH4814">
        <v>87.657652247712804</v>
      </c>
      <c r="AI4814">
        <v>90.656569808656499</v>
      </c>
      <c r="AJ4814">
        <v>88.194316497697997</v>
      </c>
      <c r="AK4814">
        <v>87.706959774503403</v>
      </c>
      <c r="AL4814">
        <v>78.841504807268393</v>
      </c>
      <c r="AM4814">
        <v>100.46364853654801</v>
      </c>
      <c r="AN4814">
        <v>0.99999999597817002</v>
      </c>
    </row>
    <row r="4815" spans="1:40" x14ac:dyDescent="0.25">
      <c r="A4815" t="str">
        <f>"20190304154851134"</f>
        <v>20190304154851134</v>
      </c>
      <c r="B4815" t="str">
        <f>"1551685731121771"</f>
        <v>1551685731121771</v>
      </c>
      <c r="C4815" t="s">
        <v>40</v>
      </c>
      <c r="D4815">
        <v>5.0420530000000001</v>
      </c>
      <c r="E4815">
        <v>0.57907350000000002</v>
      </c>
      <c r="F4815" t="s">
        <v>55</v>
      </c>
      <c r="G4815">
        <v>-212.2252</v>
      </c>
      <c r="H4815">
        <v>3.9335969999999998E-2</v>
      </c>
      <c r="I4815">
        <v>90.409970000000001</v>
      </c>
      <c r="J4815">
        <v>-191.40700000000001</v>
      </c>
      <c r="K4815">
        <v>1.1143080000000001</v>
      </c>
      <c r="L4815">
        <v>180.30969999999999</v>
      </c>
      <c r="M4815">
        <v>-0.19455790000000001</v>
      </c>
      <c r="N4815">
        <v>-1.4350160000000001E-2</v>
      </c>
      <c r="O4815">
        <v>-0.98078620000000005</v>
      </c>
      <c r="P4815">
        <v>-1.5765749999999999E-2</v>
      </c>
      <c r="Q4815">
        <v>0.18083460000000001</v>
      </c>
      <c r="R4815">
        <v>-0.98338740000000002</v>
      </c>
      <c r="S4815">
        <v>-0.70489499999999905</v>
      </c>
      <c r="T4815">
        <v>-3.6342619999999999E-2</v>
      </c>
      <c r="U4815">
        <v>-3.0450740000000001</v>
      </c>
      <c r="V4815">
        <v>-0.1774531</v>
      </c>
      <c r="W4815">
        <v>0.19327059999999999</v>
      </c>
      <c r="X4815">
        <v>0.96496470000000001</v>
      </c>
      <c r="Y4815">
        <v>3.164115E-2</v>
      </c>
      <c r="Z4815">
        <v>-2.591692E-3</v>
      </c>
      <c r="AA4815">
        <v>0.99949589999999999</v>
      </c>
      <c r="AB4815">
        <v>29</v>
      </c>
      <c r="AC4815">
        <v>-20.818199999999901</v>
      </c>
      <c r="AD4815">
        <v>-1.0749720300000001</v>
      </c>
      <c r="AE4815">
        <v>-89.899729999999906</v>
      </c>
      <c r="AF4815">
        <v>2.9274044018721099</v>
      </c>
      <c r="AG4815">
        <v>-1.0749720300000001</v>
      </c>
      <c r="AH4815">
        <v>92.219729718797495</v>
      </c>
      <c r="AI4815">
        <v>90.667509729309401</v>
      </c>
      <c r="AJ4815">
        <v>88.181824934330507</v>
      </c>
      <c r="AK4815">
        <v>92.272443398912102</v>
      </c>
      <c r="AL4815">
        <v>78.856285463015794</v>
      </c>
      <c r="AM4815">
        <v>100.420042007647</v>
      </c>
      <c r="AN4815">
        <v>0.99999999988502997</v>
      </c>
    </row>
    <row r="4816" spans="1:40" x14ac:dyDescent="0.25">
      <c r="A4816" t="str">
        <f>"20190304154851149"</f>
        <v>20190304154851149</v>
      </c>
      <c r="B4816" t="str">
        <f>"1551685731141291"</f>
        <v>1551685731141291</v>
      </c>
      <c r="C4816" t="s">
        <v>40</v>
      </c>
      <c r="D4816">
        <v>5.031568</v>
      </c>
      <c r="E4816">
        <v>0.57863940000000003</v>
      </c>
      <c r="F4816" t="s">
        <v>55</v>
      </c>
      <c r="G4816">
        <v>-212.2252</v>
      </c>
      <c r="H4816">
        <v>-1.653025E-2</v>
      </c>
      <c r="I4816">
        <v>89.275219999999905</v>
      </c>
      <c r="J4816">
        <v>-191.4419</v>
      </c>
      <c r="K4816">
        <v>1.1143050000000001</v>
      </c>
      <c r="L4816">
        <v>180.11850000000001</v>
      </c>
      <c r="M4816">
        <v>-0.19177669999999999</v>
      </c>
      <c r="N4816">
        <v>-1.434766E-2</v>
      </c>
      <c r="O4816">
        <v>-0.98133380000000003</v>
      </c>
      <c r="P4816">
        <v>-1.394363E-2</v>
      </c>
      <c r="Q4816">
        <v>0.1806441</v>
      </c>
      <c r="R4816">
        <v>-0.98344980000000004</v>
      </c>
      <c r="S4816">
        <v>-0.69668580000000002</v>
      </c>
      <c r="T4816">
        <v>-3.7842750000000001E-2</v>
      </c>
      <c r="U4816">
        <v>-3.046478</v>
      </c>
      <c r="V4816">
        <v>-0.1765061</v>
      </c>
      <c r="W4816">
        <v>0.19309009999999999</v>
      </c>
      <c r="X4816">
        <v>0.96517450000000005</v>
      </c>
      <c r="Y4816">
        <v>3.1815549999999998E-2</v>
      </c>
      <c r="Z4816">
        <v>-2.1172130000000002E-3</v>
      </c>
      <c r="AA4816">
        <v>0.99949149999999998</v>
      </c>
      <c r="AB4816">
        <v>29</v>
      </c>
      <c r="AC4816">
        <v>-20.783300000000001</v>
      </c>
      <c r="AD4816">
        <v>-1.1308352499999901</v>
      </c>
      <c r="AE4816">
        <v>-90.843279999999993</v>
      </c>
      <c r="AF4816">
        <v>2.97359829760943</v>
      </c>
      <c r="AG4816">
        <v>-1.1308352499999901</v>
      </c>
      <c r="AH4816">
        <v>93.129199402137004</v>
      </c>
      <c r="AI4816">
        <v>90.695334066524197</v>
      </c>
      <c r="AJ4816">
        <v>88.171177577216994</v>
      </c>
      <c r="AK4816">
        <v>93.183522451564301</v>
      </c>
      <c r="AL4816">
        <v>78.8668259309636</v>
      </c>
      <c r="AM4816">
        <v>100.363438406954</v>
      </c>
      <c r="AN4816">
        <v>1.00000000275273</v>
      </c>
    </row>
    <row r="4817" spans="1:40" x14ac:dyDescent="0.25">
      <c r="A4817" t="str">
        <f>"20190304154851163"</f>
        <v>20190304154851163</v>
      </c>
      <c r="B4817" t="str">
        <f>"1551685731152026"</f>
        <v>1551685731152026</v>
      </c>
      <c r="C4817" t="s">
        <v>40</v>
      </c>
      <c r="D4817">
        <v>4.9914550000000002</v>
      </c>
      <c r="E4817">
        <v>0.57821119999999904</v>
      </c>
      <c r="F4817" t="s">
        <v>45</v>
      </c>
      <c r="G4817">
        <v>-210.8843</v>
      </c>
      <c r="H4817">
        <v>-0.05</v>
      </c>
      <c r="I4817">
        <v>94.020139999999998</v>
      </c>
      <c r="J4817">
        <v>-191.4744</v>
      </c>
      <c r="K4817">
        <v>1.1143050000000001</v>
      </c>
      <c r="L4817">
        <v>179.9376</v>
      </c>
      <c r="M4817">
        <v>-0.1891456</v>
      </c>
      <c r="N4817">
        <v>-1.4345429999999999E-2</v>
      </c>
      <c r="O4817">
        <v>-0.98184439999999995</v>
      </c>
      <c r="P4817">
        <v>-1.1841279999999999E-2</v>
      </c>
      <c r="Q4817">
        <v>0.18086250000000001</v>
      </c>
      <c r="R4817">
        <v>-0.98343720000000001</v>
      </c>
      <c r="S4817">
        <v>-0.68835449999999998</v>
      </c>
      <c r="T4817">
        <v>-4.1221979999999998E-2</v>
      </c>
      <c r="U4817">
        <v>-3.0482939999999998</v>
      </c>
      <c r="V4817">
        <v>-0.17597209999999999</v>
      </c>
      <c r="W4817">
        <v>0.19331319999999999</v>
      </c>
      <c r="X4817">
        <v>0.96522739999999996</v>
      </c>
      <c r="Y4817">
        <v>3.1767789999999997E-2</v>
      </c>
      <c r="Z4817">
        <v>-1.05222E-3</v>
      </c>
      <c r="AA4817">
        <v>0.99949469999999996</v>
      </c>
      <c r="AB4817">
        <v>29</v>
      </c>
      <c r="AC4817">
        <v>-19.4099</v>
      </c>
      <c r="AD4817">
        <v>-1.1643049999999999</v>
      </c>
      <c r="AE4817">
        <v>-85.917459999999906</v>
      </c>
      <c r="AF4817">
        <v>2.8063901979929602</v>
      </c>
      <c r="AG4817">
        <v>-1.1643049999999999</v>
      </c>
      <c r="AH4817">
        <v>88.022541562134506</v>
      </c>
      <c r="AI4817">
        <v>90.757442328491905</v>
      </c>
      <c r="AJ4817">
        <v>88.1738783977883</v>
      </c>
      <c r="AK4817">
        <v>88.074963838392307</v>
      </c>
      <c r="AL4817">
        <v>78.853798352884198</v>
      </c>
      <c r="AM4817">
        <v>100.332207237026</v>
      </c>
      <c r="AN4817">
        <v>1.0000000534917</v>
      </c>
    </row>
    <row r="4818" spans="1:40" x14ac:dyDescent="0.25">
      <c r="A4818" t="str">
        <f>"20190304154851177"</f>
        <v>20190304154851177</v>
      </c>
      <c r="B4818" t="str">
        <f>"1551685731171547"</f>
        <v>1551685731171547</v>
      </c>
      <c r="C4818" t="s">
        <v>40</v>
      </c>
      <c r="D4818">
        <v>5.05</v>
      </c>
      <c r="E4818">
        <v>0.57752199999999998</v>
      </c>
      <c r="F4818" t="s">
        <v>45</v>
      </c>
      <c r="G4818">
        <v>-210.40090000000001</v>
      </c>
      <c r="H4818">
        <v>-0.05</v>
      </c>
      <c r="I4818">
        <v>94.878169999999997</v>
      </c>
      <c r="J4818">
        <v>-191.50460000000001</v>
      </c>
      <c r="K4818">
        <v>1.1143000000000001</v>
      </c>
      <c r="L4818">
        <v>179.7671</v>
      </c>
      <c r="M4818">
        <v>-0.18666630000000001</v>
      </c>
      <c r="N4818">
        <v>-1.4343369999999999E-2</v>
      </c>
      <c r="O4818">
        <v>-0.98231889999999999</v>
      </c>
      <c r="P4818">
        <v>-1.005079E-2</v>
      </c>
      <c r="Q4818">
        <v>0.18090719999999999</v>
      </c>
      <c r="R4818">
        <v>-0.98344920000000002</v>
      </c>
      <c r="S4818">
        <v>-0.67866519999999997</v>
      </c>
      <c r="T4818">
        <v>-4.1749479999999999E-2</v>
      </c>
      <c r="U4818">
        <v>-3.050049</v>
      </c>
      <c r="V4818">
        <v>-0.17528769999999999</v>
      </c>
      <c r="W4818">
        <v>0.1933656</v>
      </c>
      <c r="X4818">
        <v>0.96534140000000002</v>
      </c>
      <c r="Y4818">
        <v>3.1144310000000001E-2</v>
      </c>
      <c r="Z4818">
        <v>-8.854345E-4</v>
      </c>
      <c r="AA4818">
        <v>0.99951449999999997</v>
      </c>
      <c r="AB4818">
        <v>29</v>
      </c>
      <c r="AC4818">
        <v>-18.8963</v>
      </c>
      <c r="AD4818">
        <v>-1.1642999999999999</v>
      </c>
      <c r="AE4818">
        <v>-84.888930000000002</v>
      </c>
      <c r="AF4818">
        <v>2.7160821684294598</v>
      </c>
      <c r="AG4818">
        <v>-1.1642999999999999</v>
      </c>
      <c r="AH4818">
        <v>86.908647599921196</v>
      </c>
      <c r="AI4818">
        <v>90.767161147682998</v>
      </c>
      <c r="AJ4818">
        <v>88.209966275080106</v>
      </c>
      <c r="AK4818">
        <v>86.958873753533297</v>
      </c>
      <c r="AL4818">
        <v>78.850738004493806</v>
      </c>
      <c r="AM4818">
        <v>100.29169375211499</v>
      </c>
      <c r="AN4818">
        <v>1.0000000257943</v>
      </c>
    </row>
    <row r="4819" spans="1:40" x14ac:dyDescent="0.25">
      <c r="A4819" t="str">
        <f>"20190304154851193"</f>
        <v>20190304154851193</v>
      </c>
      <c r="B4819" t="str">
        <f>"1551685731181307"</f>
        <v>1551685731181307</v>
      </c>
      <c r="C4819" t="s">
        <v>40</v>
      </c>
      <c r="D4819">
        <v>4.9955350000000003</v>
      </c>
      <c r="E4819">
        <v>0.5771946</v>
      </c>
      <c r="F4819" t="s">
        <v>45</v>
      </c>
      <c r="G4819">
        <v>-209.34829999999999</v>
      </c>
      <c r="H4819">
        <v>-0.05</v>
      </c>
      <c r="I4819">
        <v>98.265150000000006</v>
      </c>
      <c r="J4819">
        <v>-191.5412</v>
      </c>
      <c r="K4819">
        <v>1.114296</v>
      </c>
      <c r="L4819">
        <v>179.55789999999999</v>
      </c>
      <c r="M4819">
        <v>-0.1836256</v>
      </c>
      <c r="N4819">
        <v>-1.434087E-2</v>
      </c>
      <c r="O4819">
        <v>-0.98289179999999998</v>
      </c>
      <c r="P4819">
        <v>-8.5822720000000002E-3</v>
      </c>
      <c r="Q4819">
        <v>0.18102399999999999</v>
      </c>
      <c r="R4819">
        <v>-0.98344120000000002</v>
      </c>
      <c r="S4819">
        <v>-0.66812130000000003</v>
      </c>
      <c r="T4819">
        <v>-4.3594960000000002E-2</v>
      </c>
      <c r="U4819">
        <v>-3.051682</v>
      </c>
      <c r="V4819">
        <v>-0.1737311</v>
      </c>
      <c r="W4819">
        <v>0.1934989</v>
      </c>
      <c r="X4819">
        <v>0.96559600000000001</v>
      </c>
      <c r="Y4819">
        <v>3.0830900000000001E-2</v>
      </c>
      <c r="Z4819">
        <v>-3.0053609999999999E-4</v>
      </c>
      <c r="AA4819">
        <v>0.99952459999999999</v>
      </c>
      <c r="AB4819">
        <v>29</v>
      </c>
      <c r="AC4819">
        <v>-17.807099999999899</v>
      </c>
      <c r="AD4819">
        <v>-1.164296</v>
      </c>
      <c r="AE4819">
        <v>-81.292749999999899</v>
      </c>
      <c r="AF4819">
        <v>2.5747830307124402</v>
      </c>
      <c r="AG4819">
        <v>-1.164296</v>
      </c>
      <c r="AH4819">
        <v>83.164079570244297</v>
      </c>
      <c r="AI4819">
        <v>90.801703655645696</v>
      </c>
      <c r="AJ4819">
        <v>88.226673188916095</v>
      </c>
      <c r="AK4819">
        <v>83.212073784978998</v>
      </c>
      <c r="AL4819">
        <v>78.842952907588398</v>
      </c>
      <c r="AM4819">
        <v>100.19959521401</v>
      </c>
      <c r="AN4819">
        <v>0.99999997731220902</v>
      </c>
    </row>
    <row r="4820" spans="1:40" x14ac:dyDescent="0.25">
      <c r="A4820" t="str">
        <f>"20190304154851205"</f>
        <v>20190304154851205</v>
      </c>
      <c r="B4820" t="str">
        <f>"1551685731201803"</f>
        <v>1551685731201803</v>
      </c>
      <c r="C4820" t="s">
        <v>40</v>
      </c>
      <c r="D4820">
        <v>5.0429370000000002</v>
      </c>
      <c r="E4820">
        <v>0.57663299999999995</v>
      </c>
      <c r="F4820" t="s">
        <v>45</v>
      </c>
      <c r="G4820">
        <v>-209.0471</v>
      </c>
      <c r="H4820">
        <v>-0.05</v>
      </c>
      <c r="I4820">
        <v>98.713220000000007</v>
      </c>
      <c r="J4820">
        <v>-191.56909999999999</v>
      </c>
      <c r="K4820">
        <v>1.11429</v>
      </c>
      <c r="L4820">
        <v>179.39490000000001</v>
      </c>
      <c r="M4820">
        <v>-0.18125849999999999</v>
      </c>
      <c r="N4820">
        <v>-1.433893E-2</v>
      </c>
      <c r="O4820">
        <v>-0.98333110000000001</v>
      </c>
      <c r="P4820">
        <v>-7.2097990000000002E-3</v>
      </c>
      <c r="Q4820">
        <v>0.1811604</v>
      </c>
      <c r="R4820">
        <v>-0.9834273</v>
      </c>
      <c r="S4820">
        <v>-0.66105649999999905</v>
      </c>
      <c r="T4820">
        <v>-4.3965940000000002E-2</v>
      </c>
      <c r="U4820">
        <v>-3.0528409999999999</v>
      </c>
      <c r="V4820">
        <v>-0.1727447</v>
      </c>
      <c r="W4820">
        <v>0.1936464</v>
      </c>
      <c r="X4820">
        <v>0.96574340000000003</v>
      </c>
      <c r="Y4820">
        <v>3.09497E-2</v>
      </c>
      <c r="Z4820">
        <v>-1.807937E-4</v>
      </c>
      <c r="AA4820">
        <v>0.99952090000000005</v>
      </c>
      <c r="AB4820">
        <v>29</v>
      </c>
      <c r="AC4820">
        <v>-17.478000000000002</v>
      </c>
      <c r="AD4820">
        <v>-1.16429</v>
      </c>
      <c r="AE4820">
        <v>-80.68168</v>
      </c>
      <c r="AF4820">
        <v>2.5621741087328198</v>
      </c>
      <c r="AG4820">
        <v>-1.16429</v>
      </c>
      <c r="AH4820">
        <v>82.496902376660998</v>
      </c>
      <c r="AI4820">
        <v>90.808179810877405</v>
      </c>
      <c r="AJ4820">
        <v>88.2210897040829</v>
      </c>
      <c r="AK4820">
        <v>82.544892083713407</v>
      </c>
      <c r="AL4820">
        <v>78.834338964194103</v>
      </c>
      <c r="AM4820">
        <v>100.14137425133799</v>
      </c>
      <c r="AN4820">
        <v>0.99999998712730398</v>
      </c>
    </row>
    <row r="4821" spans="1:40" x14ac:dyDescent="0.25">
      <c r="A4821" t="str">
        <f>"20190304154851219"</f>
        <v>20190304154851219</v>
      </c>
      <c r="B4821" t="str">
        <f>"1551685731211563"</f>
        <v>1551685731211563</v>
      </c>
      <c r="C4821" t="s">
        <v>40</v>
      </c>
      <c r="D4821">
        <v>5.010554</v>
      </c>
      <c r="E4821">
        <v>0.57638059999999902</v>
      </c>
      <c r="F4821" t="s">
        <v>45</v>
      </c>
      <c r="G4821">
        <v>-208.0393</v>
      </c>
      <c r="H4821">
        <v>-0.05</v>
      </c>
      <c r="I4821">
        <v>102.30670000000001</v>
      </c>
      <c r="J4821">
        <v>-191.59729999999999</v>
      </c>
      <c r="K4821">
        <v>1.1142829999999999</v>
      </c>
      <c r="L4821">
        <v>179.22799999999901</v>
      </c>
      <c r="M4821">
        <v>-0.17883789999999999</v>
      </c>
      <c r="N4821">
        <v>-1.433689E-2</v>
      </c>
      <c r="O4821">
        <v>-0.98377409999999998</v>
      </c>
      <c r="P4821">
        <v>-5.7930409999999996E-3</v>
      </c>
      <c r="Q4821">
        <v>0.18148829999999999</v>
      </c>
      <c r="R4821">
        <v>-0.98337600000000003</v>
      </c>
      <c r="S4821">
        <v>-0.65255739999999995</v>
      </c>
      <c r="T4821">
        <v>-4.6129580000000003E-2</v>
      </c>
      <c r="U4821">
        <v>-3.0542600000000002</v>
      </c>
      <c r="V4821">
        <v>-0.17174420000000001</v>
      </c>
      <c r="W4821">
        <v>0.19398499999999999</v>
      </c>
      <c r="X4821">
        <v>0.96585390000000004</v>
      </c>
      <c r="Y4821">
        <v>3.065501E-2</v>
      </c>
      <c r="Z4821">
        <v>5.0441410000000005E-4</v>
      </c>
      <c r="AA4821">
        <v>0.99952989999999997</v>
      </c>
      <c r="AB4821">
        <v>29</v>
      </c>
      <c r="AC4821">
        <v>-16.442</v>
      </c>
      <c r="AD4821">
        <v>-1.164283</v>
      </c>
      <c r="AE4821">
        <v>-76.921299999999903</v>
      </c>
      <c r="AF4821">
        <v>2.41848872795953</v>
      </c>
      <c r="AG4821">
        <v>-1.164283</v>
      </c>
      <c r="AH4821">
        <v>78.604493833730899</v>
      </c>
      <c r="AI4821">
        <v>90.848196778883405</v>
      </c>
      <c r="AJ4821">
        <v>88.237689869015497</v>
      </c>
      <c r="AK4821">
        <v>78.650308921760697</v>
      </c>
      <c r="AL4821">
        <v>78.814563815456296</v>
      </c>
      <c r="AM4821">
        <v>100.08271641964301</v>
      </c>
      <c r="AN4821">
        <v>1.0000000033019201</v>
      </c>
    </row>
    <row r="4822" spans="1:40" x14ac:dyDescent="0.25">
      <c r="A4822" t="str">
        <f>"20190304154851232"</f>
        <v>20190304154851232</v>
      </c>
      <c r="B4822" t="str">
        <f>"1551685731221324"</f>
        <v>1551685731221324</v>
      </c>
      <c r="C4822" t="s">
        <v>40</v>
      </c>
      <c r="D4822">
        <v>5.0640470000000004</v>
      </c>
      <c r="E4822">
        <v>0.57639469999999904</v>
      </c>
      <c r="F4822" t="s">
        <v>45</v>
      </c>
      <c r="G4822">
        <v>-207.7962</v>
      </c>
      <c r="H4822">
        <v>-0.05</v>
      </c>
      <c r="I4822">
        <v>102.6511</v>
      </c>
      <c r="J4822">
        <v>-191.62559999999999</v>
      </c>
      <c r="K4822">
        <v>1.114268</v>
      </c>
      <c r="L4822">
        <v>179.0582</v>
      </c>
      <c r="M4822">
        <v>-0.1763777</v>
      </c>
      <c r="N4822">
        <v>-1.433475E-2</v>
      </c>
      <c r="O4822">
        <v>-0.98421829999999999</v>
      </c>
      <c r="P4822">
        <v>-4.331372E-3</v>
      </c>
      <c r="Q4822">
        <v>0.1815891</v>
      </c>
      <c r="R4822">
        <v>-0.98336520000000005</v>
      </c>
      <c r="S4822">
        <v>-0.646347</v>
      </c>
      <c r="T4822">
        <v>-4.6455620000000003E-2</v>
      </c>
      <c r="U4822">
        <v>-3.055466</v>
      </c>
      <c r="V4822">
        <v>-0.17075560000000001</v>
      </c>
      <c r="W4822">
        <v>0.19409770000000001</v>
      </c>
      <c r="X4822">
        <v>0.96600649999999999</v>
      </c>
      <c r="Y4822">
        <v>3.1129560000000001E-2</v>
      </c>
      <c r="Z4822">
        <v>6.1037250000000004E-4</v>
      </c>
      <c r="AA4822">
        <v>0.99951520000000005</v>
      </c>
      <c r="AB4822">
        <v>29</v>
      </c>
      <c r="AC4822">
        <v>-16.1706</v>
      </c>
      <c r="AD4822">
        <v>-1.1642680000000001</v>
      </c>
      <c r="AE4822">
        <v>-76.4071</v>
      </c>
      <c r="AF4822">
        <v>2.4386002654741699</v>
      </c>
      <c r="AG4822">
        <v>-1.1642680000000001</v>
      </c>
      <c r="AH4822">
        <v>78.0440665715292</v>
      </c>
      <c r="AI4822">
        <v>90.854263033673604</v>
      </c>
      <c r="AJ4822">
        <v>88.210292416194406</v>
      </c>
      <c r="AK4822">
        <v>78.090835686730102</v>
      </c>
      <c r="AL4822">
        <v>78.807981152674103</v>
      </c>
      <c r="AM4822">
        <v>100.024307076475</v>
      </c>
      <c r="AN4822">
        <v>0.99999997505944904</v>
      </c>
    </row>
    <row r="4823" spans="1:40" x14ac:dyDescent="0.25">
      <c r="A4823" t="str">
        <f>"20190304154851248"</f>
        <v>20190304154851248</v>
      </c>
      <c r="B4823" t="str">
        <f>"1551685731241822"</f>
        <v>1551685731241822</v>
      </c>
      <c r="C4823" t="s">
        <v>40</v>
      </c>
      <c r="D4823">
        <v>5.0831739999999996</v>
      </c>
      <c r="E4823">
        <v>0.5759978</v>
      </c>
      <c r="F4823" t="s">
        <v>45</v>
      </c>
      <c r="G4823">
        <v>-207.6163</v>
      </c>
      <c r="H4823">
        <v>-0.05</v>
      </c>
      <c r="I4823">
        <v>102.90470000000001</v>
      </c>
      <c r="J4823">
        <v>-191.65950000000001</v>
      </c>
      <c r="K4823">
        <v>1.114247</v>
      </c>
      <c r="L4823">
        <v>178.85069999999999</v>
      </c>
      <c r="M4823">
        <v>-0.17339019999999999</v>
      </c>
      <c r="N4823">
        <v>-1.433192E-2</v>
      </c>
      <c r="O4823">
        <v>-0.98474890000000004</v>
      </c>
      <c r="P4823">
        <v>-4.1371669999999998E-3</v>
      </c>
      <c r="Q4823">
        <v>0.18139230000000001</v>
      </c>
      <c r="R4823">
        <v>-0.98340209999999995</v>
      </c>
      <c r="S4823">
        <v>-0.64181519999999903</v>
      </c>
      <c r="T4823">
        <v>-4.6729920000000001E-2</v>
      </c>
      <c r="U4823">
        <v>-3.056549</v>
      </c>
      <c r="V4823">
        <v>-0.16800309999999999</v>
      </c>
      <c r="W4823">
        <v>0.19393450000000001</v>
      </c>
      <c r="X4823">
        <v>0.96652179999999999</v>
      </c>
      <c r="Y4823">
        <v>3.267163E-2</v>
      </c>
      <c r="Z4823">
        <v>7.0212619999999895E-4</v>
      </c>
      <c r="AA4823">
        <v>0.99946590000000002</v>
      </c>
      <c r="AB4823">
        <v>29</v>
      </c>
      <c r="AC4823">
        <v>-15.9567999999999</v>
      </c>
      <c r="AD4823">
        <v>-1.164247</v>
      </c>
      <c r="AE4823">
        <v>-75.945999999999898</v>
      </c>
      <c r="AF4823">
        <v>2.5448378301990902</v>
      </c>
      <c r="AG4823">
        <v>-1.164247</v>
      </c>
      <c r="AH4823">
        <v>77.545007289065595</v>
      </c>
      <c r="AI4823">
        <v>90.859701302877198</v>
      </c>
      <c r="AJ4823">
        <v>88.120366981041002</v>
      </c>
      <c r="AK4823">
        <v>77.595488439214407</v>
      </c>
      <c r="AL4823">
        <v>78.817513349767296</v>
      </c>
      <c r="AM4823">
        <v>99.860763606606099</v>
      </c>
      <c r="AN4823">
        <v>1.00000001088755</v>
      </c>
    </row>
    <row r="4824" spans="1:40" x14ac:dyDescent="0.25">
      <c r="A4824" t="str">
        <f>"20190304154851261"</f>
        <v>20190304154851261</v>
      </c>
      <c r="B4824" t="str">
        <f>"1551685731251579"</f>
        <v>1551685731251579</v>
      </c>
      <c r="C4824" t="s">
        <v>40</v>
      </c>
      <c r="D4824">
        <v>5.0566279999999999</v>
      </c>
      <c r="E4824">
        <v>0.57595969999999996</v>
      </c>
      <c r="F4824" t="s">
        <v>45</v>
      </c>
      <c r="G4824">
        <v>-206.88579999999999</v>
      </c>
      <c r="H4824">
        <v>-0.05</v>
      </c>
      <c r="I4824">
        <v>105.8865</v>
      </c>
      <c r="J4824">
        <v>-191.68440000000001</v>
      </c>
      <c r="K4824">
        <v>1.114228</v>
      </c>
      <c r="L4824">
        <v>178.6962</v>
      </c>
      <c r="M4824">
        <v>-0.17118039999999901</v>
      </c>
      <c r="N4824">
        <v>-1.4329440000000001E-2</v>
      </c>
      <c r="O4824">
        <v>-0.9851356</v>
      </c>
      <c r="P4824">
        <v>-3.4298229999999998E-3</v>
      </c>
      <c r="Q4824">
        <v>0.18083469999999999</v>
      </c>
      <c r="R4824">
        <v>-0.98350760000000004</v>
      </c>
      <c r="S4824">
        <v>-0.63792419999999905</v>
      </c>
      <c r="T4824">
        <v>-4.87777E-2</v>
      </c>
      <c r="U4824">
        <v>-3.0569310000000001</v>
      </c>
      <c r="V4824">
        <v>-0.1665304</v>
      </c>
      <c r="W4824">
        <v>0.1933984</v>
      </c>
      <c r="X4824">
        <v>0.96688399999999997</v>
      </c>
      <c r="Y4824">
        <v>3.3669599999999897E-2</v>
      </c>
      <c r="Z4824">
        <v>1.356066E-3</v>
      </c>
      <c r="AA4824">
        <v>0.99943210000000005</v>
      </c>
      <c r="AB4824">
        <v>29</v>
      </c>
      <c r="AC4824">
        <v>-15.2013999999999</v>
      </c>
      <c r="AD4824">
        <v>-1.164228</v>
      </c>
      <c r="AE4824">
        <v>-72.809700000000007</v>
      </c>
      <c r="AF4824">
        <v>2.5114890779491001</v>
      </c>
      <c r="AG4824">
        <v>-1.164228</v>
      </c>
      <c r="AH4824">
        <v>74.319025430277605</v>
      </c>
      <c r="AI4824">
        <v>90.896968820144707</v>
      </c>
      <c r="AJ4824">
        <v>88.0645200269132</v>
      </c>
      <c r="AK4824">
        <v>74.370562355887103</v>
      </c>
      <c r="AL4824">
        <v>78.848822168190395</v>
      </c>
      <c r="AM4824">
        <v>99.772408549782995</v>
      </c>
      <c r="AN4824">
        <v>0.99999999235135895</v>
      </c>
    </row>
    <row r="4825" spans="1:40" x14ac:dyDescent="0.25">
      <c r="A4825" t="str">
        <f>"20190304154851273"</f>
        <v>20190304154851273</v>
      </c>
      <c r="B4825" t="str">
        <f>"1551685731261339"</f>
        <v>1551685731261339</v>
      </c>
      <c r="C4825" t="s">
        <v>40</v>
      </c>
      <c r="D4825">
        <v>5.0685419999999999</v>
      </c>
      <c r="E4825">
        <v>0.57597290000000001</v>
      </c>
      <c r="F4825" t="s">
        <v>44</v>
      </c>
      <c r="G4825">
        <v>-204.53049999999999</v>
      </c>
      <c r="H4825">
        <v>7.9986349999999998E-2</v>
      </c>
      <c r="I4825">
        <v>116.875</v>
      </c>
      <c r="J4825">
        <v>-191.70840000000001</v>
      </c>
      <c r="K4825">
        <v>1.1142049999999999</v>
      </c>
      <c r="L4825">
        <v>178.5454</v>
      </c>
      <c r="M4825">
        <v>-0.16903119999999999</v>
      </c>
      <c r="N4825">
        <v>-1.432692E-2</v>
      </c>
      <c r="O4825">
        <v>-0.98550669999999996</v>
      </c>
      <c r="P4825">
        <v>-3.0611879999999998E-3</v>
      </c>
      <c r="Q4825">
        <v>0.1803505</v>
      </c>
      <c r="R4825">
        <v>-0.98359790000000002</v>
      </c>
      <c r="S4825">
        <v>-0.63533019999999996</v>
      </c>
      <c r="T4825">
        <v>-5.1150559999999998E-2</v>
      </c>
      <c r="U4825">
        <v>-3.0574949999999999</v>
      </c>
      <c r="V4825">
        <v>-0.16478039999999999</v>
      </c>
      <c r="W4825">
        <v>0.19293940000000001</v>
      </c>
      <c r="X4825">
        <v>0.96727540000000001</v>
      </c>
      <c r="Y4825">
        <v>3.4999269999999999E-2</v>
      </c>
      <c r="Z4825">
        <v>2.1121540000000002E-3</v>
      </c>
      <c r="AA4825">
        <v>0.99938510000000003</v>
      </c>
      <c r="AB4825">
        <v>29</v>
      </c>
      <c r="AC4825">
        <v>-12.822099999999899</v>
      </c>
      <c r="AD4825">
        <v>-1.0342186499999999</v>
      </c>
      <c r="AE4825">
        <v>-61.670400000000001</v>
      </c>
      <c r="AF4825">
        <v>2.21167427930517</v>
      </c>
      <c r="AG4825">
        <v>-1.0342186499999999</v>
      </c>
      <c r="AH4825">
        <v>62.933414254694199</v>
      </c>
      <c r="AI4825">
        <v>90.940906875378403</v>
      </c>
      <c r="AJ4825">
        <v>87.987277915668201</v>
      </c>
      <c r="AK4825">
        <v>62.980756911033502</v>
      </c>
      <c r="AL4825">
        <v>78.875625239596701</v>
      </c>
      <c r="AM4825">
        <v>99.667824311112298</v>
      </c>
      <c r="AN4825">
        <v>0.99999994587083796</v>
      </c>
    </row>
    <row r="4826" spans="1:40" x14ac:dyDescent="0.25">
      <c r="A4826" t="str">
        <f>"20190304154851283"</f>
        <v>20190304154851283</v>
      </c>
      <c r="B4826" t="str">
        <f>"1551685731281835"</f>
        <v>1551685731281835</v>
      </c>
      <c r="C4826" t="s">
        <v>40</v>
      </c>
      <c r="D4826">
        <v>5.0541749999999999</v>
      </c>
      <c r="E4826">
        <v>0.57600369999999901</v>
      </c>
      <c r="F4826" t="s">
        <v>79</v>
      </c>
      <c r="G4826">
        <v>-203.88339999999999</v>
      </c>
      <c r="H4826">
        <v>7.9989859999999996E-2</v>
      </c>
      <c r="I4826">
        <v>119.8188</v>
      </c>
      <c r="J4826">
        <v>-191.73169999999999</v>
      </c>
      <c r="K4826">
        <v>1.114174</v>
      </c>
      <c r="L4826">
        <v>178.3965</v>
      </c>
      <c r="M4826">
        <v>-0.16694129999999999</v>
      </c>
      <c r="N4826">
        <v>-1.432401E-2</v>
      </c>
      <c r="O4826">
        <v>-0.98586289999999999</v>
      </c>
      <c r="P4826">
        <v>-2.9465450000000001E-3</v>
      </c>
      <c r="Q4826">
        <v>0.17988850000000001</v>
      </c>
      <c r="R4826">
        <v>-0.98368259999999996</v>
      </c>
      <c r="S4826">
        <v>-0.63395690000000005</v>
      </c>
      <c r="T4826">
        <v>-5.3851839999999998E-2</v>
      </c>
      <c r="U4826">
        <v>-3.0579070000000002</v>
      </c>
      <c r="V4826">
        <v>-0.16283349999999999</v>
      </c>
      <c r="W4826">
        <v>0.19250709999999999</v>
      </c>
      <c r="X4826">
        <v>0.96769119999999997</v>
      </c>
      <c r="Y4826">
        <v>3.666005E-2</v>
      </c>
      <c r="Z4826">
        <v>2.9734840000000002E-3</v>
      </c>
      <c r="AA4826">
        <v>0.99932339999999997</v>
      </c>
      <c r="AB4826">
        <v>29</v>
      </c>
      <c r="AC4826">
        <v>-12.1517</v>
      </c>
      <c r="AD4826">
        <v>-1.03418414</v>
      </c>
      <c r="AE4826">
        <v>-58.5777</v>
      </c>
      <c r="AF4826">
        <v>2.2004408055948499</v>
      </c>
      <c r="AG4826">
        <v>-1.03418414</v>
      </c>
      <c r="AH4826">
        <v>59.766467983613197</v>
      </c>
      <c r="AI4826">
        <v>90.990661958649298</v>
      </c>
      <c r="AJ4826">
        <v>87.891475674789305</v>
      </c>
      <c r="AK4826">
        <v>59.815902332160903</v>
      </c>
      <c r="AL4826">
        <v>78.900867974850698</v>
      </c>
      <c r="AM4826">
        <v>99.551686178590202</v>
      </c>
      <c r="AN4826">
        <v>0.99999999541504903</v>
      </c>
    </row>
    <row r="4827" spans="1:40" x14ac:dyDescent="0.25">
      <c r="A4827" t="str">
        <f>"20190304154851297"</f>
        <v>20190304154851297</v>
      </c>
      <c r="B4827" t="str">
        <f>"1551685731291750"</f>
        <v>1551685731291750</v>
      </c>
      <c r="C4827" t="s">
        <v>40</v>
      </c>
      <c r="D4827">
        <v>5.0507860000000004</v>
      </c>
      <c r="E4827">
        <v>0.57603369999999998</v>
      </c>
      <c r="F4827" t="s">
        <v>79</v>
      </c>
      <c r="G4827">
        <v>-203.28550000000001</v>
      </c>
      <c r="H4827">
        <v>7.9988909999999996E-2</v>
      </c>
      <c r="I4827">
        <v>122.6523</v>
      </c>
      <c r="J4827">
        <v>-191.75559999999999</v>
      </c>
      <c r="K4827">
        <v>1.114134</v>
      </c>
      <c r="L4827">
        <v>178.24180000000001</v>
      </c>
      <c r="M4827">
        <v>-0.1647882</v>
      </c>
      <c r="N4827">
        <v>-1.432075E-2</v>
      </c>
      <c r="O4827">
        <v>-0.98622520000000002</v>
      </c>
      <c r="P4827">
        <v>-2.1854980000000001E-3</v>
      </c>
      <c r="Q4827">
        <v>0.17996579999999901</v>
      </c>
      <c r="R4827">
        <v>-0.98367070000000001</v>
      </c>
      <c r="S4827">
        <v>-0.63386540000000002</v>
      </c>
      <c r="T4827">
        <v>-5.6737540000000003E-2</v>
      </c>
      <c r="U4827">
        <v>-3.058243</v>
      </c>
      <c r="V4827">
        <v>-0.16144700000000001</v>
      </c>
      <c r="W4827">
        <v>0.19260910000000001</v>
      </c>
      <c r="X4827">
        <v>0.96790319999999996</v>
      </c>
      <c r="Y4827">
        <v>3.879022E-2</v>
      </c>
      <c r="Z4827">
        <v>3.8943340000000002E-3</v>
      </c>
      <c r="AA4827">
        <v>0.99923980000000001</v>
      </c>
      <c r="AB4827">
        <v>29</v>
      </c>
      <c r="AC4827">
        <v>-11.5299</v>
      </c>
      <c r="AD4827">
        <v>-1.03414509</v>
      </c>
      <c r="AE4827">
        <v>-55.589500000000001</v>
      </c>
      <c r="AF4827">
        <v>2.21007726392441</v>
      </c>
      <c r="AG4827">
        <v>-1.03414509</v>
      </c>
      <c r="AH4827">
        <v>56.7107469065609</v>
      </c>
      <c r="AI4827">
        <v>91.0439053901964</v>
      </c>
      <c r="AJ4827">
        <v>87.768252761372693</v>
      </c>
      <c r="AK4827">
        <v>56.763216190414099</v>
      </c>
      <c r="AL4827">
        <v>78.894912422025698</v>
      </c>
      <c r="AM4827">
        <v>99.469797991756806</v>
      </c>
      <c r="AN4827">
        <v>1.00000000189102</v>
      </c>
    </row>
    <row r="4828" spans="1:40" x14ac:dyDescent="0.25">
      <c r="A4828" t="str">
        <f>"20190304154851310"</f>
        <v>20190304154851310</v>
      </c>
      <c r="B4828" t="str">
        <f>"1551685731301529"</f>
        <v>1551685731301529</v>
      </c>
      <c r="C4828" t="s">
        <v>40</v>
      </c>
      <c r="D4828">
        <v>5.0344249999999997</v>
      </c>
      <c r="E4828">
        <v>0.57603369999999998</v>
      </c>
      <c r="F4828" t="s">
        <v>79</v>
      </c>
      <c r="G4828">
        <v>-203.15479999999999</v>
      </c>
      <c r="H4828">
        <v>7.9988790000000004E-2</v>
      </c>
      <c r="I4828">
        <v>123.02330000000001</v>
      </c>
      <c r="J4828">
        <v>-191.7816</v>
      </c>
      <c r="K4828">
        <v>1.114087</v>
      </c>
      <c r="L4828">
        <v>178.07159999999999</v>
      </c>
      <c r="M4828">
        <v>-0.1624485</v>
      </c>
      <c r="N4828">
        <v>-1.431673E-2</v>
      </c>
      <c r="O4828">
        <v>-0.98661330000000003</v>
      </c>
      <c r="P4828">
        <v>-1.817623E-3</v>
      </c>
      <c r="Q4828">
        <v>0.1795851</v>
      </c>
      <c r="R4828">
        <v>-0.98374119999999998</v>
      </c>
      <c r="S4828">
        <v>-0.63146969999999902</v>
      </c>
      <c r="T4828">
        <v>-5.728722E-2</v>
      </c>
      <c r="U4828">
        <v>-3.0588679999999999</v>
      </c>
      <c r="V4828">
        <v>-0.1594949</v>
      </c>
      <c r="W4828">
        <v>0.19226190000000001</v>
      </c>
      <c r="X4828">
        <v>0.96829580000000004</v>
      </c>
      <c r="Y4828">
        <v>4.0368590000000003E-2</v>
      </c>
      <c r="Z4828">
        <v>4.0759100000000003E-3</v>
      </c>
      <c r="AA4828">
        <v>0.99917659999999997</v>
      </c>
      <c r="AB4828">
        <v>29</v>
      </c>
      <c r="AC4828">
        <v>-11.373199999999899</v>
      </c>
      <c r="AD4828">
        <v>-1.03409821</v>
      </c>
      <c r="AE4828">
        <v>-55.048299999999898</v>
      </c>
      <c r="AF4828">
        <v>2.2778988996762601</v>
      </c>
      <c r="AG4828">
        <v>-1.03409821</v>
      </c>
      <c r="AH4828">
        <v>56.145690438100999</v>
      </c>
      <c r="AI4828">
        <v>91.054294245433496</v>
      </c>
      <c r="AJ4828">
        <v>87.676714757087595</v>
      </c>
      <c r="AK4828">
        <v>56.201394442452496</v>
      </c>
      <c r="AL4828">
        <v>78.915184485423893</v>
      </c>
      <c r="AM4828">
        <v>99.353606373279007</v>
      </c>
      <c r="AN4828">
        <v>1.00000000880763</v>
      </c>
    </row>
    <row r="4829" spans="1:40" x14ac:dyDescent="0.25">
      <c r="A4829" t="str">
        <f>"20190304154851327"</f>
        <v>20190304154851327</v>
      </c>
      <c r="B4829" t="str">
        <f>"1551685731322024"</f>
        <v>1551685731322024</v>
      </c>
      <c r="C4829" t="s">
        <v>40</v>
      </c>
      <c r="D4829">
        <v>5.0257230000000002</v>
      </c>
      <c r="E4829">
        <v>0.5763971</v>
      </c>
      <c r="F4829" t="s">
        <v>79</v>
      </c>
      <c r="G4829">
        <v>-202.9494</v>
      </c>
      <c r="H4829">
        <v>7.9988489999999995E-2</v>
      </c>
      <c r="I4829">
        <v>123.86709999999999</v>
      </c>
      <c r="J4829">
        <v>-191.81450000000001</v>
      </c>
      <c r="K4829">
        <v>1.1140129999999999</v>
      </c>
      <c r="L4829">
        <v>177.8519</v>
      </c>
      <c r="M4829">
        <v>-0.15950690000000001</v>
      </c>
      <c r="N4829">
        <v>-1.4310679999999999E-2</v>
      </c>
      <c r="O4829">
        <v>-0.9870932</v>
      </c>
      <c r="P4829">
        <v>-2.6396779999999999E-3</v>
      </c>
      <c r="Q4829">
        <v>0.17904310000000001</v>
      </c>
      <c r="R4829">
        <v>-0.98383790000000004</v>
      </c>
      <c r="S4829">
        <v>-0.6302643</v>
      </c>
      <c r="T4829">
        <v>-5.8360339999999997E-2</v>
      </c>
      <c r="U4829">
        <v>-3.0590820000000001</v>
      </c>
      <c r="V4829">
        <v>-0.15576599999999999</v>
      </c>
      <c r="W4829">
        <v>0.19177939999999999</v>
      </c>
      <c r="X4829">
        <v>0.96899829999999998</v>
      </c>
      <c r="Y4829">
        <v>4.295442E-2</v>
      </c>
      <c r="Z4829">
        <v>4.4290290000000001E-3</v>
      </c>
      <c r="AA4829">
        <v>0.99906719999999904</v>
      </c>
      <c r="AB4829">
        <v>29</v>
      </c>
      <c r="AC4829">
        <v>-11.134899999999901</v>
      </c>
      <c r="AD4829">
        <v>-1.0340245099999901</v>
      </c>
      <c r="AE4829">
        <v>-53.9848</v>
      </c>
      <c r="AF4829">
        <v>2.3796420630697401</v>
      </c>
      <c r="AG4829">
        <v>-1.0340245099999901</v>
      </c>
      <c r="AH4829">
        <v>55.050382810414298</v>
      </c>
      <c r="AI4829">
        <v>91.075070093977104</v>
      </c>
      <c r="AJ4829">
        <v>87.524837903181293</v>
      </c>
      <c r="AK4829">
        <v>55.1114920012947</v>
      </c>
      <c r="AL4829">
        <v>78.943354314670103</v>
      </c>
      <c r="AM4829">
        <v>99.132143748098997</v>
      </c>
      <c r="AN4829">
        <v>1.00000004521162</v>
      </c>
    </row>
    <row r="4830" spans="1:40" x14ac:dyDescent="0.25">
      <c r="A4830" t="str">
        <f>"20190304154851342"</f>
        <v>20190304154851342</v>
      </c>
      <c r="B4830" t="str">
        <f>"1551685731331783"</f>
        <v>1551685731331783</v>
      </c>
      <c r="C4830" t="s">
        <v>40</v>
      </c>
      <c r="D4830">
        <v>4.9817499999999999</v>
      </c>
      <c r="E4830">
        <v>0.5766076</v>
      </c>
      <c r="F4830" t="s">
        <v>79</v>
      </c>
      <c r="G4830">
        <v>-202.77549999999999</v>
      </c>
      <c r="H4830">
        <v>7.9988219999999999E-2</v>
      </c>
      <c r="I4830">
        <v>125.13849999999999</v>
      </c>
      <c r="J4830">
        <v>-191.84200000000001</v>
      </c>
      <c r="K4830">
        <v>1.1139380000000001</v>
      </c>
      <c r="L4830">
        <v>177.66550000000001</v>
      </c>
      <c r="M4830">
        <v>-0.1570792</v>
      </c>
      <c r="N4830">
        <v>-1.4305089999999999E-2</v>
      </c>
      <c r="O4830">
        <v>-0.98748250000000004</v>
      </c>
      <c r="P4830">
        <v>-1.9916909999999999E-3</v>
      </c>
      <c r="Q4830">
        <v>0.17868049999999999</v>
      </c>
      <c r="R4830">
        <v>-0.98390529999999998</v>
      </c>
      <c r="S4830">
        <v>-0.63597109999999901</v>
      </c>
      <c r="T4830">
        <v>-5.9995769999999997E-2</v>
      </c>
      <c r="U4830">
        <v>-3.0585170000000002</v>
      </c>
      <c r="V4830">
        <v>-0.15399019999999999</v>
      </c>
      <c r="W4830">
        <v>0.19145690000000001</v>
      </c>
      <c r="X4830">
        <v>0.96934580000000004</v>
      </c>
      <c r="Y4830">
        <v>4.7232999999999997E-2</v>
      </c>
      <c r="Z4830">
        <v>4.9608159999999998E-3</v>
      </c>
      <c r="AA4830">
        <v>0.99887159999999997</v>
      </c>
      <c r="AB4830">
        <v>29</v>
      </c>
      <c r="AC4830">
        <v>-10.933499999999899</v>
      </c>
      <c r="AD4830">
        <v>-1.0339497799999999</v>
      </c>
      <c r="AE4830">
        <v>-52.527000000000001</v>
      </c>
      <c r="AF4830">
        <v>2.5450558653329001</v>
      </c>
      <c r="AG4830">
        <v>-1.0339497799999999</v>
      </c>
      <c r="AH4830">
        <v>53.572501603599299</v>
      </c>
      <c r="AI4830">
        <v>91.104426533638403</v>
      </c>
      <c r="AJ4830">
        <v>87.280108209696706</v>
      </c>
      <c r="AK4830">
        <v>53.642886663311401</v>
      </c>
      <c r="AL4830">
        <v>78.962180600505306</v>
      </c>
      <c r="AM4830">
        <v>99.026574558055401</v>
      </c>
      <c r="AN4830">
        <v>1.00000000311564</v>
      </c>
    </row>
    <row r="4831" spans="1:40" x14ac:dyDescent="0.25">
      <c r="A4831" t="str">
        <f>"20190304154851356"</f>
        <v>20190304154851356</v>
      </c>
      <c r="B4831" t="str">
        <f>"1551685731351303"</f>
        <v>1551685731351303</v>
      </c>
      <c r="C4831" t="s">
        <v>40</v>
      </c>
      <c r="D4831">
        <v>5.0771739999999896</v>
      </c>
      <c r="E4831">
        <v>0.57696840000000005</v>
      </c>
      <c r="F4831" t="s">
        <v>79</v>
      </c>
      <c r="G4831">
        <v>-202.7269</v>
      </c>
      <c r="H4831">
        <v>7.9988199999999995E-2</v>
      </c>
      <c r="I4831">
        <v>125.29430000000001</v>
      </c>
      <c r="J4831">
        <v>-191.86750000000001</v>
      </c>
      <c r="K4831">
        <v>1.113861</v>
      </c>
      <c r="L4831">
        <v>177.49080000000001</v>
      </c>
      <c r="M4831">
        <v>-0.15485660000000001</v>
      </c>
      <c r="N4831">
        <v>-1.4299630000000001E-2</v>
      </c>
      <c r="O4831">
        <v>-0.98783350000000003</v>
      </c>
      <c r="P4831">
        <v>-1.5953810000000001E-3</v>
      </c>
      <c r="Q4831">
        <v>0.17816599999999999</v>
      </c>
      <c r="R4831">
        <v>-0.98399939999999997</v>
      </c>
      <c r="S4831">
        <v>-0.63574219999999904</v>
      </c>
      <c r="T4831">
        <v>-6.0388570000000003E-2</v>
      </c>
      <c r="U4831">
        <v>-3.0587770000000001</v>
      </c>
      <c r="V4831">
        <v>-0.1521711</v>
      </c>
      <c r="W4831">
        <v>0.19098280000000001</v>
      </c>
      <c r="X4831">
        <v>0.96972650000000005</v>
      </c>
      <c r="Y4831">
        <v>4.9391490000000003E-2</v>
      </c>
      <c r="Z4831">
        <v>5.0951299999999998E-3</v>
      </c>
      <c r="AA4831">
        <v>0.9987665</v>
      </c>
      <c r="AB4831">
        <v>29</v>
      </c>
      <c r="AC4831">
        <v>-10.8593999999999</v>
      </c>
      <c r="AD4831">
        <v>-1.0338727999999999</v>
      </c>
      <c r="AE4831">
        <v>-52.1965</v>
      </c>
      <c r="AF4831">
        <v>2.6435827636758402</v>
      </c>
      <c r="AG4831">
        <v>-1.0338727999999999</v>
      </c>
      <c r="AH4831">
        <v>53.228526845336503</v>
      </c>
      <c r="AI4831">
        <v>91.1113628371846</v>
      </c>
      <c r="AJ4831">
        <v>87.156754222544706</v>
      </c>
      <c r="AK4831">
        <v>53.304160183982802</v>
      </c>
      <c r="AL4831">
        <v>78.989854936036394</v>
      </c>
      <c r="AM4831">
        <v>98.918221892242101</v>
      </c>
      <c r="AN4831">
        <v>0.99999997918664896</v>
      </c>
    </row>
    <row r="4832" spans="1:40" x14ac:dyDescent="0.25">
      <c r="A4832" t="str">
        <f>"20190304154851370"</f>
        <v>20190304154851370</v>
      </c>
      <c r="B4832" t="str">
        <f>"1551685731362040"</f>
        <v>1551685731362040</v>
      </c>
      <c r="C4832" t="s">
        <v>40</v>
      </c>
      <c r="D4832">
        <v>5.0978079999999997</v>
      </c>
      <c r="E4832">
        <v>0.57705810000000002</v>
      </c>
      <c r="F4832" t="s">
        <v>79</v>
      </c>
      <c r="G4832">
        <v>-202.6062</v>
      </c>
      <c r="H4832">
        <v>7.9988199999999995E-2</v>
      </c>
      <c r="I4832">
        <v>125.9786</v>
      </c>
      <c r="J4832">
        <v>-191.8955</v>
      </c>
      <c r="K4832">
        <v>1.1137709999999901</v>
      </c>
      <c r="L4832">
        <v>177.29589999999999</v>
      </c>
      <c r="M4832">
        <v>-0.15244269999999999</v>
      </c>
      <c r="N4832">
        <v>-1.429325E-2</v>
      </c>
      <c r="O4832">
        <v>-0.98820909999999995</v>
      </c>
      <c r="P4832">
        <v>-2.1946539999999999E-3</v>
      </c>
      <c r="Q4832">
        <v>0.17707439999999999</v>
      </c>
      <c r="R4832">
        <v>-0.98419509999999999</v>
      </c>
      <c r="S4832">
        <v>-0.63768009999999997</v>
      </c>
      <c r="T4832">
        <v>-6.1392780000000001E-2</v>
      </c>
      <c r="U4832">
        <v>-3.0588679999999999</v>
      </c>
      <c r="V4832">
        <v>-0.14918419999999999</v>
      </c>
      <c r="W4832">
        <v>0.18994639999999999</v>
      </c>
      <c r="X4832">
        <v>0.97039399999999998</v>
      </c>
      <c r="Y4832">
        <v>5.2430749999999998E-2</v>
      </c>
      <c r="Z4832">
        <v>5.4249199999999997E-3</v>
      </c>
      <c r="AA4832">
        <v>0.99860979999999999</v>
      </c>
      <c r="AB4832">
        <v>29</v>
      </c>
      <c r="AC4832">
        <v>-10.710699999999999</v>
      </c>
      <c r="AD4832">
        <v>-1.03378279999999</v>
      </c>
      <c r="AE4832">
        <v>-51.317299999999904</v>
      </c>
      <c r="AF4832">
        <v>2.76067158525233</v>
      </c>
      <c r="AG4832">
        <v>-1.03378279999999</v>
      </c>
      <c r="AH4832">
        <v>52.329980876788298</v>
      </c>
      <c r="AI4832">
        <v>91.130164147725594</v>
      </c>
      <c r="AJ4832">
        <v>86.980156810204704</v>
      </c>
      <c r="AK4832">
        <v>52.412946044314502</v>
      </c>
      <c r="AL4832">
        <v>79.050344237572901</v>
      </c>
      <c r="AM4832">
        <v>98.739979895403394</v>
      </c>
      <c r="AN4832">
        <v>1.0000000378192899</v>
      </c>
    </row>
    <row r="4833" spans="1:40" x14ac:dyDescent="0.25">
      <c r="A4833" t="str">
        <f>"20190304154851382"</f>
        <v>20190304154851382</v>
      </c>
      <c r="B4833" t="str">
        <f>"1551685731371800"</f>
        <v>1551685731371800</v>
      </c>
      <c r="C4833" t="s">
        <v>40</v>
      </c>
      <c r="D4833">
        <v>5.0262630000000001</v>
      </c>
      <c r="E4833">
        <v>0.57715019999999995</v>
      </c>
      <c r="F4833" t="s">
        <v>79</v>
      </c>
      <c r="G4833">
        <v>-202.14850000000001</v>
      </c>
      <c r="H4833">
        <v>7.9987879999999997E-2</v>
      </c>
      <c r="I4833">
        <v>128.3614</v>
      </c>
      <c r="J4833">
        <v>-191.91480000000001</v>
      </c>
      <c r="K4833">
        <v>1.11371</v>
      </c>
      <c r="L4833">
        <v>177.1591</v>
      </c>
      <c r="M4833">
        <v>-0.1508149</v>
      </c>
      <c r="N4833">
        <v>-1.4288520000000001E-2</v>
      </c>
      <c r="O4833">
        <v>-0.98845890000000003</v>
      </c>
      <c r="P4833">
        <v>-2.208743E-3</v>
      </c>
      <c r="Q4833">
        <v>0.17648839999999999</v>
      </c>
      <c r="R4833">
        <v>-0.98430010000000001</v>
      </c>
      <c r="S4833">
        <v>-0.64080809999999999</v>
      </c>
      <c r="T4833">
        <v>-6.4610840000000003E-2</v>
      </c>
      <c r="U4833">
        <v>-3.0583800000000001</v>
      </c>
      <c r="V4833">
        <v>-0.1475514</v>
      </c>
      <c r="W4833">
        <v>0.18939400000000001</v>
      </c>
      <c r="X4833">
        <v>0.97075149999999999</v>
      </c>
      <c r="Y4833">
        <v>5.5083519999999997E-2</v>
      </c>
      <c r="Z4833">
        <v>6.4571719999999997E-3</v>
      </c>
      <c r="AA4833">
        <v>0.99846089999999998</v>
      </c>
      <c r="AB4833">
        <v>29</v>
      </c>
      <c r="AC4833">
        <v>-10.233700000000001</v>
      </c>
      <c r="AD4833">
        <v>-1.03372212</v>
      </c>
      <c r="AE4833">
        <v>-48.797699999999899</v>
      </c>
      <c r="AF4833">
        <v>2.75526824086311</v>
      </c>
      <c r="AG4833">
        <v>-1.03372212</v>
      </c>
      <c r="AH4833">
        <v>49.761600177805903</v>
      </c>
      <c r="AI4833">
        <v>91.188242635180202</v>
      </c>
      <c r="AJ4833">
        <v>86.830805055094501</v>
      </c>
      <c r="AK4833">
        <v>49.848539966144401</v>
      </c>
      <c r="AL4833">
        <v>79.082579024098706</v>
      </c>
      <c r="AM4833">
        <v>98.642639434777493</v>
      </c>
      <c r="AN4833">
        <v>0.99999998881510399</v>
      </c>
    </row>
    <row r="4834" spans="1:40" x14ac:dyDescent="0.25">
      <c r="A4834" t="str">
        <f>"20190304154851393"</f>
        <v>20190304154851393</v>
      </c>
      <c r="B4834" t="str">
        <f>"1551685731381560"</f>
        <v>1551685731381560</v>
      </c>
      <c r="C4834" t="s">
        <v>40</v>
      </c>
      <c r="D4834">
        <v>5.0459379999999996</v>
      </c>
      <c r="E4834">
        <v>0.57716480000000003</v>
      </c>
      <c r="F4834" t="s">
        <v>79</v>
      </c>
      <c r="G4834">
        <v>-201.9589</v>
      </c>
      <c r="H4834">
        <v>6.2468379999999997E-2</v>
      </c>
      <c r="I4834">
        <v>129.31489999999999</v>
      </c>
      <c r="J4834">
        <v>-191.93430000000001</v>
      </c>
      <c r="K4834">
        <v>1.1136469999999901</v>
      </c>
      <c r="L4834">
        <v>177.02029999999999</v>
      </c>
      <c r="M4834">
        <v>-0.149175</v>
      </c>
      <c r="N4834">
        <v>-1.42839E-2</v>
      </c>
      <c r="O4834">
        <v>-0.98870769999999997</v>
      </c>
      <c r="P4834">
        <v>-2.0400499999999998E-3</v>
      </c>
      <c r="Q4834">
        <v>0.1763807</v>
      </c>
      <c r="R4834">
        <v>-0.98432010000000003</v>
      </c>
      <c r="S4834">
        <v>-0.64207460000000005</v>
      </c>
      <c r="T4834">
        <v>-6.7200899999999994E-2</v>
      </c>
      <c r="U4834">
        <v>-3.0584560000000001</v>
      </c>
      <c r="V4834">
        <v>-0.14607679999999901</v>
      </c>
      <c r="W4834">
        <v>0.18931719999999999</v>
      </c>
      <c r="X4834">
        <v>0.97098949999999995</v>
      </c>
      <c r="Y4834">
        <v>5.7128730000000003E-2</v>
      </c>
      <c r="Z4834">
        <v>7.2875469999999897E-3</v>
      </c>
      <c r="AA4834">
        <v>0.99834020000000001</v>
      </c>
      <c r="AB4834">
        <v>29</v>
      </c>
      <c r="AC4834">
        <v>-10.0245999999999</v>
      </c>
      <c r="AD4834">
        <v>-1.05117861999999</v>
      </c>
      <c r="AE4834">
        <v>-47.705399999999997</v>
      </c>
      <c r="AF4834">
        <v>2.7939319813874399</v>
      </c>
      <c r="AG4834">
        <v>-1.05117861999999</v>
      </c>
      <c r="AH4834">
        <v>48.6444583267754</v>
      </c>
      <c r="AI4834">
        <v>91.235899777911698</v>
      </c>
      <c r="AJ4834">
        <v>86.712784236291</v>
      </c>
      <c r="AK4834">
        <v>48.735965757468598</v>
      </c>
      <c r="AL4834">
        <v>79.087060774838903</v>
      </c>
      <c r="AM4834">
        <v>98.5554851716483</v>
      </c>
      <c r="AN4834">
        <v>1.00000002141216</v>
      </c>
    </row>
    <row r="4835" spans="1:40" x14ac:dyDescent="0.25">
      <c r="A4835" t="str">
        <f>"20190304154851404"</f>
        <v>20190304154851404</v>
      </c>
      <c r="B4835" t="str">
        <f>"1551685731401849"</f>
        <v>1551685731401849</v>
      </c>
      <c r="C4835" t="s">
        <v>40</v>
      </c>
      <c r="D4835">
        <v>4.9666649999999999</v>
      </c>
      <c r="E4835">
        <v>0.57735990000000004</v>
      </c>
      <c r="F4835" t="s">
        <v>79</v>
      </c>
      <c r="G4835">
        <v>-201.946</v>
      </c>
      <c r="H4835">
        <v>5.540929E-2</v>
      </c>
      <c r="I4835">
        <v>129.31870000000001</v>
      </c>
      <c r="J4835">
        <v>-191.9547</v>
      </c>
      <c r="K4835">
        <v>1.113578</v>
      </c>
      <c r="L4835">
        <v>176.87289999999999</v>
      </c>
      <c r="M4835">
        <v>-0.1475051</v>
      </c>
      <c r="N4835">
        <v>-1.4278839999999999E-2</v>
      </c>
      <c r="O4835">
        <v>-0.98895840000000002</v>
      </c>
      <c r="P4835">
        <v>-1.8233399999999999E-3</v>
      </c>
      <c r="Q4835">
        <v>0.17649770000000001</v>
      </c>
      <c r="R4835">
        <v>-0.9842997</v>
      </c>
      <c r="S4835">
        <v>-0.64195249999999904</v>
      </c>
      <c r="T4835">
        <v>-6.7854049999999999E-2</v>
      </c>
      <c r="U4835">
        <v>-3.058624</v>
      </c>
      <c r="V4835">
        <v>-0.14461299999999999</v>
      </c>
      <c r="W4835">
        <v>0.1894652</v>
      </c>
      <c r="X4835">
        <v>0.97117969999999998</v>
      </c>
      <c r="Y4835">
        <v>5.8764610000000002E-2</v>
      </c>
      <c r="Z4835">
        <v>7.5035099999999997E-3</v>
      </c>
      <c r="AA4835">
        <v>0.99824369999999996</v>
      </c>
      <c r="AB4835">
        <v>29</v>
      </c>
      <c r="AC4835">
        <v>-9.9912999999999901</v>
      </c>
      <c r="AD4835">
        <v>-1.0581687099999999</v>
      </c>
      <c r="AE4835">
        <v>-47.554199999999902</v>
      </c>
      <c r="AF4835">
        <v>2.8654259692219202</v>
      </c>
      <c r="AG4835">
        <v>-1.0581687099999999</v>
      </c>
      <c r="AH4835">
        <v>48.484837807852401</v>
      </c>
      <c r="AI4835">
        <v>91.248089652619001</v>
      </c>
      <c r="AJ4835">
        <v>86.617786526337994</v>
      </c>
      <c r="AK4835">
        <v>48.580962158624097</v>
      </c>
      <c r="AL4835">
        <v>79.078424417644101</v>
      </c>
      <c r="AM4835">
        <v>98.469367837377902</v>
      </c>
      <c r="AN4835">
        <v>0.99999999573606502</v>
      </c>
    </row>
    <row r="4836" spans="1:40" x14ac:dyDescent="0.25">
      <c r="A4836" t="str">
        <f>"20190304154851417"</f>
        <v>20190304154851417</v>
      </c>
      <c r="B4836" t="str">
        <f>"1551685731411591"</f>
        <v>1551685731411591</v>
      </c>
      <c r="C4836" t="s">
        <v>40</v>
      </c>
      <c r="D4836">
        <v>5.1406039999999997</v>
      </c>
      <c r="E4836">
        <v>0.57735990000000004</v>
      </c>
      <c r="F4836" t="s">
        <v>79</v>
      </c>
      <c r="G4836">
        <v>-201.95339999999999</v>
      </c>
      <c r="H4836">
        <v>6.986916E-2</v>
      </c>
      <c r="I4836">
        <v>129.3057</v>
      </c>
      <c r="J4836">
        <v>-191.97620000000001</v>
      </c>
      <c r="K4836">
        <v>1.113505</v>
      </c>
      <c r="L4836">
        <v>176.7158</v>
      </c>
      <c r="M4836">
        <v>-0.14576210000000001</v>
      </c>
      <c r="N4836">
        <v>-1.427345E-2</v>
      </c>
      <c r="O4836">
        <v>-0.9892166</v>
      </c>
      <c r="P4836">
        <v>-1.50941799999999E-3</v>
      </c>
      <c r="Q4836">
        <v>0.17668710000000001</v>
      </c>
      <c r="R4836">
        <v>-0.98426599999999997</v>
      </c>
      <c r="S4836">
        <v>-0.64294430000000002</v>
      </c>
      <c r="T4836">
        <v>-6.7113279999999997E-2</v>
      </c>
      <c r="U4836">
        <v>-3.0587010000000001</v>
      </c>
      <c r="V4836">
        <v>-0.14317060000000001</v>
      </c>
      <c r="W4836">
        <v>0.18968570000000001</v>
      </c>
      <c r="X4836">
        <v>0.97135039999999995</v>
      </c>
      <c r="Y4836">
        <v>6.0828609999999998E-2</v>
      </c>
      <c r="Z4836">
        <v>7.2769899999999997E-3</v>
      </c>
      <c r="AA4836">
        <v>0.9981217</v>
      </c>
      <c r="AB4836">
        <v>29</v>
      </c>
      <c r="AC4836">
        <v>-9.9771999999999803</v>
      </c>
      <c r="AD4836">
        <v>-1.0436358400000001</v>
      </c>
      <c r="AE4836">
        <v>-47.4101</v>
      </c>
      <c r="AF4836">
        <v>2.9579453395100899</v>
      </c>
      <c r="AG4836">
        <v>-1.0436358400000001</v>
      </c>
      <c r="AH4836">
        <v>48.335657903299499</v>
      </c>
      <c r="AI4836">
        <v>91.234596597896299</v>
      </c>
      <c r="AJ4836">
        <v>86.498098836832995</v>
      </c>
      <c r="AK4836">
        <v>48.437324878061297</v>
      </c>
      <c r="AL4836">
        <v>79.065557887147506</v>
      </c>
      <c r="AM4836">
        <v>98.384647046519305</v>
      </c>
      <c r="AN4836">
        <v>1.0000000425344999</v>
      </c>
    </row>
    <row r="4837" spans="1:40" x14ac:dyDescent="0.25">
      <c r="A4837" t="str">
        <f>"20190304154851429"</f>
        <v>20190304154851429</v>
      </c>
      <c r="B4837" t="str">
        <f>"1551685731421351"</f>
        <v>1551685731421351</v>
      </c>
      <c r="C4837" t="s">
        <v>40</v>
      </c>
      <c r="D4837">
        <v>5.2571969999999997</v>
      </c>
      <c r="E4837">
        <v>0.61509360000000002</v>
      </c>
      <c r="F4837" t="s">
        <v>79</v>
      </c>
      <c r="G4837">
        <v>-201.98849999999999</v>
      </c>
      <c r="H4837">
        <v>7.9987600000000006E-2</v>
      </c>
      <c r="I4837">
        <v>129.02930000000001</v>
      </c>
      <c r="J4837">
        <v>-191.99789999999999</v>
      </c>
      <c r="K4837">
        <v>1.1134389999999901</v>
      </c>
      <c r="L4837">
        <v>176.5566</v>
      </c>
      <c r="M4837">
        <v>-0.144042899999999</v>
      </c>
      <c r="N4837">
        <v>-1.426791E-2</v>
      </c>
      <c r="O4837">
        <v>-0.98946880000000004</v>
      </c>
      <c r="P4837">
        <v>-1.3932739999999999E-3</v>
      </c>
      <c r="Q4837">
        <v>0.1768351</v>
      </c>
      <c r="R4837">
        <v>-0.98423959999999999</v>
      </c>
      <c r="S4837">
        <v>-0.64224239999999999</v>
      </c>
      <c r="T4837">
        <v>-6.629562E-2</v>
      </c>
      <c r="U4837">
        <v>-3.0588839999999999</v>
      </c>
      <c r="V4837">
        <v>-0.1415563</v>
      </c>
      <c r="W4837">
        <v>0.18986639999999999</v>
      </c>
      <c r="X4837">
        <v>0.97155170000000002</v>
      </c>
      <c r="Y4837">
        <v>6.2331829999999998E-2</v>
      </c>
      <c r="Z4837">
        <v>7.0261150000000003E-3</v>
      </c>
      <c r="AA4837">
        <v>0.99803070000000005</v>
      </c>
      <c r="AB4837">
        <v>29</v>
      </c>
      <c r="AC4837">
        <v>-9.9906000000000006</v>
      </c>
      <c r="AD4837">
        <v>-1.0334513999999999</v>
      </c>
      <c r="AE4837">
        <v>-47.527299999999997</v>
      </c>
      <c r="AF4837">
        <v>3.0383498344250399</v>
      </c>
      <c r="AG4837">
        <v>-1.0334513999999999</v>
      </c>
      <c r="AH4837">
        <v>48.448840752869003</v>
      </c>
      <c r="AI4837">
        <v>91.219583015725803</v>
      </c>
      <c r="AJ4837">
        <v>86.411535558992199</v>
      </c>
      <c r="AK4837">
        <v>48.555017884965999</v>
      </c>
      <c r="AL4837">
        <v>79.0550132243212</v>
      </c>
      <c r="AM4837">
        <v>98.289734774184694</v>
      </c>
      <c r="AN4837">
        <v>1.0000000708457599</v>
      </c>
    </row>
    <row r="4838" spans="1:40" x14ac:dyDescent="0.25">
      <c r="A4838" t="str">
        <f>"20190304154851441"</f>
        <v>20190304154851441</v>
      </c>
      <c r="B4838" t="str">
        <f>"1551685731432086"</f>
        <v>1551685731432086</v>
      </c>
      <c r="C4838" t="s">
        <v>40</v>
      </c>
      <c r="D4838">
        <v>5.2135040000000004</v>
      </c>
      <c r="E4838">
        <v>0.61509360000000002</v>
      </c>
      <c r="F4838" t="s">
        <v>80</v>
      </c>
      <c r="G4838">
        <v>-209.94739999999999</v>
      </c>
      <c r="H4838">
        <v>0.25093720000000003</v>
      </c>
      <c r="I4838">
        <v>118.3871</v>
      </c>
      <c r="J4838">
        <v>-192.01769999999999</v>
      </c>
      <c r="K4838">
        <v>1.113375</v>
      </c>
      <c r="L4838">
        <v>176.4091</v>
      </c>
      <c r="M4838">
        <v>-0.14251529999999901</v>
      </c>
      <c r="N4838">
        <v>-1.426265E-2</v>
      </c>
      <c r="O4838">
        <v>-0.98968979999999995</v>
      </c>
      <c r="P4838">
        <v>-1.424135E-3</v>
      </c>
      <c r="Q4838">
        <v>0.17714179999999999</v>
      </c>
      <c r="R4838">
        <v>-0.98418419999999895</v>
      </c>
      <c r="S4838">
        <v>-0.94264219999999999</v>
      </c>
      <c r="T4838">
        <v>-4.5294050000000002E-2</v>
      </c>
      <c r="U4838">
        <v>-3.0548549999999999</v>
      </c>
      <c r="V4838">
        <v>-0.1399852</v>
      </c>
      <c r="W4838">
        <v>0.19020200000000001</v>
      </c>
      <c r="X4838">
        <v>0.97171359999999996</v>
      </c>
      <c r="Y4838">
        <v>0.15561889999999901</v>
      </c>
      <c r="Z4838">
        <v>2.2191849999999999E-4</v>
      </c>
      <c r="AA4838">
        <v>0.98781719999999895</v>
      </c>
      <c r="AB4838">
        <v>29</v>
      </c>
      <c r="AC4838">
        <v>-17.929699999999901</v>
      </c>
      <c r="AD4838">
        <v>-0.86243779999999903</v>
      </c>
      <c r="AE4838">
        <v>-58.021999999999899</v>
      </c>
      <c r="AF4838">
        <v>9.4748718438652109</v>
      </c>
      <c r="AG4838">
        <v>-0.86243779999999903</v>
      </c>
      <c r="AH4838">
        <v>59.973046292650203</v>
      </c>
      <c r="AI4838">
        <v>90.813788907196397</v>
      </c>
      <c r="AJ4838">
        <v>81.022299475705196</v>
      </c>
      <c r="AK4838">
        <v>60.7230045125972</v>
      </c>
      <c r="AL4838">
        <v>79.035426955706797</v>
      </c>
      <c r="AM4838">
        <v>98.197639232747505</v>
      </c>
      <c r="AN4838">
        <v>0.99999998872399898</v>
      </c>
    </row>
    <row r="4839" spans="1:40" x14ac:dyDescent="0.25">
      <c r="A4839" t="str">
        <f>"20190304154851460"</f>
        <v>20190304154851460</v>
      </c>
      <c r="B4839" t="str">
        <f>"1551685731451611"</f>
        <v>1551685731451611</v>
      </c>
      <c r="C4839" t="s">
        <v>40</v>
      </c>
      <c r="D4839">
        <v>5.1744849999999998</v>
      </c>
      <c r="E4839">
        <v>0.6494761</v>
      </c>
      <c r="F4839" t="s">
        <v>80</v>
      </c>
      <c r="G4839">
        <v>-209.94739999999999</v>
      </c>
      <c r="H4839">
        <v>0.27584839999999999</v>
      </c>
      <c r="I4839">
        <v>118.3207</v>
      </c>
      <c r="J4839">
        <v>-192.05</v>
      </c>
      <c r="K4839">
        <v>1.113267</v>
      </c>
      <c r="L4839">
        <v>176.1653</v>
      </c>
      <c r="M4839">
        <v>-0.14007329999999901</v>
      </c>
      <c r="N4839">
        <v>-1.4253989999999999E-2</v>
      </c>
      <c r="O4839">
        <v>-0.99003850000000004</v>
      </c>
      <c r="P4839">
        <v>-2.33E-3</v>
      </c>
      <c r="Q4839">
        <v>0.17712439999999999</v>
      </c>
      <c r="R4839">
        <v>-0.9841858</v>
      </c>
      <c r="S4839">
        <v>-0.94288640000000001</v>
      </c>
      <c r="T4839">
        <v>-4.4042350000000001E-2</v>
      </c>
      <c r="U4839">
        <v>-3.0547490000000002</v>
      </c>
      <c r="V4839">
        <v>-0.13663239999999999</v>
      </c>
      <c r="W4839">
        <v>0.19023899999999999</v>
      </c>
      <c r="X4839">
        <v>0.97218349999999998</v>
      </c>
      <c r="Y4839">
        <v>0.1581371</v>
      </c>
      <c r="Z4839">
        <v>-1.617837E-4</v>
      </c>
      <c r="AA4839">
        <v>0.98741719999999999</v>
      </c>
      <c r="AB4839">
        <v>29</v>
      </c>
      <c r="AC4839">
        <v>-17.897399999999902</v>
      </c>
      <c r="AD4839">
        <v>-0.83741859999999901</v>
      </c>
      <c r="AE4839">
        <v>-57.8446</v>
      </c>
      <c r="AF4839">
        <v>9.6157691830025502</v>
      </c>
      <c r="AG4839">
        <v>-0.83741859999999901</v>
      </c>
      <c r="AH4839">
        <v>59.769971736792897</v>
      </c>
      <c r="AI4839">
        <v>90.792511786296103</v>
      </c>
      <c r="AJ4839">
        <v>80.860590398826105</v>
      </c>
      <c r="AK4839">
        <v>60.544312766018201</v>
      </c>
      <c r="AL4839">
        <v>79.033267973741502</v>
      </c>
      <c r="AM4839">
        <v>98.000053136960901</v>
      </c>
      <c r="AN4839">
        <v>1.0000000237615001</v>
      </c>
    </row>
    <row r="4840" spans="1:40" x14ac:dyDescent="0.25">
      <c r="A4840" t="str">
        <f>"20190304154851472"</f>
        <v>20190304154851472</v>
      </c>
      <c r="B4840" t="str">
        <f>"1551685731461367"</f>
        <v>1551685731461367</v>
      </c>
      <c r="C4840" t="s">
        <v>40</v>
      </c>
      <c r="D4840">
        <v>5.167478</v>
      </c>
      <c r="E4840">
        <v>0.65031049999999901</v>
      </c>
      <c r="F4840" t="s">
        <v>56</v>
      </c>
      <c r="G4840">
        <v>-217.3021</v>
      </c>
      <c r="H4840">
        <v>1.3626069999999999</v>
      </c>
      <c r="I4840">
        <v>113.0643</v>
      </c>
      <c r="J4840">
        <v>-192.06960000000001</v>
      </c>
      <c r="K4840">
        <v>1.113199</v>
      </c>
      <c r="L4840">
        <v>176.01679999999999</v>
      </c>
      <c r="M4840">
        <v>-0.13863310000000001</v>
      </c>
      <c r="N4840">
        <v>-1.4248739999999999E-2</v>
      </c>
      <c r="O4840">
        <v>-0.99024120000000004</v>
      </c>
      <c r="P4840">
        <v>-2.6402330000000001E-3</v>
      </c>
      <c r="Q4840">
        <v>0.17656579999999999</v>
      </c>
      <c r="R4840">
        <v>-0.98428510000000002</v>
      </c>
      <c r="S4840">
        <v>-1.217819</v>
      </c>
      <c r="T4840">
        <v>1.202607E-2</v>
      </c>
      <c r="U4840">
        <v>-3.0431370000000002</v>
      </c>
      <c r="V4840">
        <v>-0.13488649999999999</v>
      </c>
      <c r="W4840">
        <v>0.1897124</v>
      </c>
      <c r="X4840">
        <v>0.97253009999999995</v>
      </c>
      <c r="Y4840">
        <v>0.2391528</v>
      </c>
      <c r="Z4840">
        <v>-1.7566120000000001E-2</v>
      </c>
      <c r="AA4840">
        <v>0.97082299999999999</v>
      </c>
      <c r="AB4840">
        <v>29</v>
      </c>
      <c r="AC4840">
        <v>-25.232499999999899</v>
      </c>
      <c r="AD4840">
        <v>0.24940799999999899</v>
      </c>
      <c r="AE4840">
        <v>-62.952499999999901</v>
      </c>
      <c r="AF4840">
        <v>16.2603933539094</v>
      </c>
      <c r="AG4840">
        <v>0.24940799999999899</v>
      </c>
      <c r="AH4840">
        <v>65.8420193668058</v>
      </c>
      <c r="AI4840">
        <v>89.789296209717193</v>
      </c>
      <c r="AJ4840">
        <v>76.127767189964601</v>
      </c>
      <c r="AK4840">
        <v>67.8206024057082</v>
      </c>
      <c r="AL4840">
        <v>79.063999095207393</v>
      </c>
      <c r="AM4840">
        <v>97.896346745777805</v>
      </c>
      <c r="AN4840">
        <v>0.99999997900100901</v>
      </c>
    </row>
    <row r="4841" spans="1:40" x14ac:dyDescent="0.25">
      <c r="A4841" t="str">
        <f>"20190304154851483"</f>
        <v>20190304154851483</v>
      </c>
      <c r="B4841" t="str">
        <f>"1551685731481863"</f>
        <v>1551685731481863</v>
      </c>
      <c r="C4841" t="s">
        <v>40</v>
      </c>
      <c r="D4841">
        <v>5.1906629999999998</v>
      </c>
      <c r="E4841">
        <v>0.65169429999999995</v>
      </c>
      <c r="F4841" t="s">
        <v>56</v>
      </c>
      <c r="G4841">
        <v>-217.4263</v>
      </c>
      <c r="H4841">
        <v>1.3851789999999999</v>
      </c>
      <c r="I4841">
        <v>113.0643</v>
      </c>
      <c r="J4841">
        <v>-192.08869999999999</v>
      </c>
      <c r="K4841">
        <v>1.113132</v>
      </c>
      <c r="L4841">
        <v>175.86879999999999</v>
      </c>
      <c r="M4841">
        <v>-0.13726259999999901</v>
      </c>
      <c r="N4841">
        <v>-1.424339E-2</v>
      </c>
      <c r="O4841">
        <v>-0.99043250000000005</v>
      </c>
      <c r="P4841">
        <v>-2.9527709999999999E-3</v>
      </c>
      <c r="Q4841">
        <v>0.17569949999999901</v>
      </c>
      <c r="R4841">
        <v>-0.98443959999999997</v>
      </c>
      <c r="S4841">
        <v>-1.225403</v>
      </c>
      <c r="T4841">
        <v>1.314509E-2</v>
      </c>
      <c r="U4841">
        <v>-3.0422669999999998</v>
      </c>
      <c r="V4841">
        <v>-0.1332132</v>
      </c>
      <c r="W4841">
        <v>0.18887660000000001</v>
      </c>
      <c r="X4841">
        <v>0.97292339999999999</v>
      </c>
      <c r="Y4841">
        <v>0.24267269999999999</v>
      </c>
      <c r="Z4841">
        <v>-1.7904799999999998E-2</v>
      </c>
      <c r="AA4841">
        <v>0.969943</v>
      </c>
      <c r="AB4841">
        <v>29</v>
      </c>
      <c r="AC4841">
        <v>-25.337599999999998</v>
      </c>
      <c r="AD4841">
        <v>0.27204699999999998</v>
      </c>
      <c r="AE4841">
        <v>-62.804499999999898</v>
      </c>
      <c r="AF4841">
        <v>16.475875495740102</v>
      </c>
      <c r="AG4841">
        <v>0.27204699999999998</v>
      </c>
      <c r="AH4841">
        <v>65.687112168987795</v>
      </c>
      <c r="AI4841">
        <v>89.769837100904695</v>
      </c>
      <c r="AJ4841">
        <v>75.919354166251594</v>
      </c>
      <c r="AK4841">
        <v>67.722412745135799</v>
      </c>
      <c r="AL4841">
        <v>79.112769257659295</v>
      </c>
      <c r="AM4841">
        <v>97.796489560493896</v>
      </c>
      <c r="AN4841">
        <v>1.00000003447467</v>
      </c>
    </row>
    <row r="4842" spans="1:40" x14ac:dyDescent="0.25">
      <c r="A4842" t="str">
        <f>"20190304154851496"</f>
        <v>20190304154851496</v>
      </c>
      <c r="B4842" t="str">
        <f>"1551685731491623"</f>
        <v>1551685731491623</v>
      </c>
      <c r="C4842" t="s">
        <v>40</v>
      </c>
      <c r="D4842">
        <v>5.104285</v>
      </c>
      <c r="E4842">
        <v>0.65191569999999899</v>
      </c>
      <c r="F4842" t="s">
        <v>56</v>
      </c>
      <c r="G4842">
        <v>-217.67320000000001</v>
      </c>
      <c r="H4842">
        <v>1.3183210000000001</v>
      </c>
      <c r="I4842">
        <v>112.9751</v>
      </c>
      <c r="J4842">
        <v>-192.1079</v>
      </c>
      <c r="K4842">
        <v>1.113065</v>
      </c>
      <c r="L4842">
        <v>175.71969999999999</v>
      </c>
      <c r="M4842">
        <v>-0.1359071</v>
      </c>
      <c r="N4842">
        <v>-1.423814E-2</v>
      </c>
      <c r="O4842">
        <v>-0.99061960000000004</v>
      </c>
      <c r="P4842">
        <v>-3.309776E-3</v>
      </c>
      <c r="Q4842">
        <v>0.1750109</v>
      </c>
      <c r="R4842">
        <v>-0.98456129999999997</v>
      </c>
      <c r="S4842">
        <v>-1.237411</v>
      </c>
      <c r="T4842">
        <v>9.9253650000000002E-3</v>
      </c>
      <c r="U4842">
        <v>-3.0419010000000002</v>
      </c>
      <c r="V4842">
        <v>-0.13150680000000001</v>
      </c>
      <c r="W4842">
        <v>0.1882182</v>
      </c>
      <c r="X4842">
        <v>0.97328309999999996</v>
      </c>
      <c r="Y4842">
        <v>0.24733250000000001</v>
      </c>
      <c r="Z4842">
        <v>-1.6908369999999999E-2</v>
      </c>
      <c r="AA4842">
        <v>0.96878310000000001</v>
      </c>
      <c r="AB4842">
        <v>29</v>
      </c>
      <c r="AC4842">
        <v>-25.565300000000001</v>
      </c>
      <c r="AD4842">
        <v>0.20525599999999899</v>
      </c>
      <c r="AE4842">
        <v>-62.744599999999899</v>
      </c>
      <c r="AF4842">
        <v>16.799593885043699</v>
      </c>
      <c r="AG4842">
        <v>0.20525599999999899</v>
      </c>
      <c r="AH4842">
        <v>65.636565873425198</v>
      </c>
      <c r="AI4842">
        <v>89.826422830252696</v>
      </c>
      <c r="AJ4842">
        <v>75.643421837416199</v>
      </c>
      <c r="AK4842">
        <v>67.752691934597095</v>
      </c>
      <c r="AL4842">
        <v>79.151182052792095</v>
      </c>
      <c r="AM4842">
        <v>97.695014370057393</v>
      </c>
      <c r="AN4842">
        <v>1.00000006100154</v>
      </c>
    </row>
    <row r="4843" spans="1:40" x14ac:dyDescent="0.25">
      <c r="A4843" t="str">
        <f>"20190304154851510"</f>
        <v>20190304154851510</v>
      </c>
      <c r="B4843" t="str">
        <f>"1551685731501946"</f>
        <v>1551685731501946</v>
      </c>
      <c r="C4843" t="s">
        <v>40</v>
      </c>
      <c r="D4843">
        <v>5.1003959999999999</v>
      </c>
      <c r="E4843">
        <v>0.65189739999999996</v>
      </c>
      <c r="F4843" t="s">
        <v>56</v>
      </c>
      <c r="G4843">
        <v>-217.69470000000001</v>
      </c>
      <c r="H4843">
        <v>1.224167</v>
      </c>
      <c r="I4843">
        <v>112.9751</v>
      </c>
      <c r="J4843">
        <v>-192.131</v>
      </c>
      <c r="K4843">
        <v>1.112986</v>
      </c>
      <c r="L4843">
        <v>175.53919999999999</v>
      </c>
      <c r="M4843">
        <v>-0.13431609999999999</v>
      </c>
      <c r="N4843">
        <v>-1.4231890000000001E-2</v>
      </c>
      <c r="O4843">
        <v>-0.99083659999999996</v>
      </c>
      <c r="P4843">
        <v>-3.4712219999999999E-3</v>
      </c>
      <c r="Q4843">
        <v>0.17425060000000001</v>
      </c>
      <c r="R4843">
        <v>-0.9846954</v>
      </c>
      <c r="S4843">
        <v>-1.2404630000000001</v>
      </c>
      <c r="T4843">
        <v>5.3874250000000004E-3</v>
      </c>
      <c r="U4843">
        <v>-3.0419010000000002</v>
      </c>
      <c r="V4843">
        <v>-0.12975819999999999</v>
      </c>
      <c r="W4843">
        <v>0.1874904</v>
      </c>
      <c r="X4843">
        <v>0.97365809999999997</v>
      </c>
      <c r="Y4843">
        <v>0.24972739999999999</v>
      </c>
      <c r="Z4843">
        <v>-1.551311E-2</v>
      </c>
      <c r="AA4843">
        <v>0.96819189999999999</v>
      </c>
      <c r="AB4843">
        <v>29</v>
      </c>
      <c r="AC4843">
        <v>-25.563700000000001</v>
      </c>
      <c r="AD4843">
        <v>0.111180999999999</v>
      </c>
      <c r="AE4843">
        <v>-62.564100000000003</v>
      </c>
      <c r="AF4843">
        <v>16.927747810477701</v>
      </c>
      <c r="AG4843">
        <v>0.111180999999999</v>
      </c>
      <c r="AH4843">
        <v>65.430848979939896</v>
      </c>
      <c r="AI4843">
        <v>89.905745540344796</v>
      </c>
      <c r="AJ4843">
        <v>75.494927978864794</v>
      </c>
      <c r="AK4843">
        <v>67.585183327306197</v>
      </c>
      <c r="AL4843">
        <v>79.193636746836205</v>
      </c>
      <c r="AM4843">
        <v>97.591007740974007</v>
      </c>
      <c r="AN4843">
        <v>0.99999996812750402</v>
      </c>
    </row>
    <row r="4844" spans="1:40" x14ac:dyDescent="0.25">
      <c r="A4844" t="str">
        <f>"20190304154851523"</f>
        <v>20190304154851523</v>
      </c>
      <c r="B4844" t="str">
        <f>"1551685731511685"</f>
        <v>1551685731511685</v>
      </c>
      <c r="C4844" t="s">
        <v>40</v>
      </c>
      <c r="D4844">
        <v>5.1942579999999996</v>
      </c>
      <c r="E4844">
        <v>0.65348409999999901</v>
      </c>
      <c r="F4844" t="s">
        <v>56</v>
      </c>
      <c r="G4844">
        <v>-217.65610000000001</v>
      </c>
      <c r="H4844">
        <v>1.180177</v>
      </c>
      <c r="I4844">
        <v>112.9751</v>
      </c>
      <c r="J4844">
        <v>-192.1507</v>
      </c>
      <c r="K4844">
        <v>1.112916</v>
      </c>
      <c r="L4844">
        <v>175.3826</v>
      </c>
      <c r="M4844">
        <v>-0.13299949999999999</v>
      </c>
      <c r="N4844">
        <v>-1.4226539999999999E-2</v>
      </c>
      <c r="O4844">
        <v>-0.99101410000000001</v>
      </c>
      <c r="P4844">
        <v>-3.8097460000000001E-3</v>
      </c>
      <c r="Q4844">
        <v>0.1737909</v>
      </c>
      <c r="R4844">
        <v>-0.98477539999999997</v>
      </c>
      <c r="S4844">
        <v>-1.2409520000000001</v>
      </c>
      <c r="T4844">
        <v>3.267884E-3</v>
      </c>
      <c r="U4844">
        <v>-3.0416720000000002</v>
      </c>
      <c r="V4844">
        <v>-0.12810339999999901</v>
      </c>
      <c r="W4844">
        <v>0.18705849999999999</v>
      </c>
      <c r="X4844">
        <v>0.9739603</v>
      </c>
      <c r="Y4844">
        <v>0.25117499999999998</v>
      </c>
      <c r="Z4844">
        <v>-1.486122E-2</v>
      </c>
      <c r="AA4844">
        <v>0.96782760000000001</v>
      </c>
      <c r="AB4844">
        <v>29</v>
      </c>
      <c r="AC4844">
        <v>-25.505400000000002</v>
      </c>
      <c r="AD4844">
        <v>6.7261000000000001E-2</v>
      </c>
      <c r="AE4844">
        <v>-62.407499999999999</v>
      </c>
      <c r="AF4844">
        <v>16.977744255930499</v>
      </c>
      <c r="AG4844">
        <v>6.7261000000000001E-2</v>
      </c>
      <c r="AH4844">
        <v>65.245449169420795</v>
      </c>
      <c r="AI4844">
        <v>89.942837828972003</v>
      </c>
      <c r="AJ4844">
        <v>75.414328315144502</v>
      </c>
      <c r="AK4844">
        <v>67.418224252655705</v>
      </c>
      <c r="AL4844">
        <v>79.218829005409901</v>
      </c>
      <c r="AM4844">
        <v>97.493008449430505</v>
      </c>
      <c r="AN4844">
        <v>1.0000000147449499</v>
      </c>
    </row>
    <row r="4845" spans="1:40" x14ac:dyDescent="0.25">
      <c r="A4845" t="str">
        <f>"20190304154851540"</f>
        <v>20190304154851540</v>
      </c>
      <c r="B4845" t="str">
        <f>"1551685731531206"</f>
        <v>1551685731531206</v>
      </c>
      <c r="C4845" t="s">
        <v>40</v>
      </c>
      <c r="D4845">
        <v>5.1215590000000004</v>
      </c>
      <c r="E4845">
        <v>0.65339809999999998</v>
      </c>
      <c r="F4845" t="s">
        <v>56</v>
      </c>
      <c r="G4845">
        <v>-217.792</v>
      </c>
      <c r="H4845">
        <v>1.1964669999999999</v>
      </c>
      <c r="I4845">
        <v>113.2439</v>
      </c>
      <c r="J4845">
        <v>-192.17789999999999</v>
      </c>
      <c r="K4845">
        <v>1.112822</v>
      </c>
      <c r="L4845">
        <v>175.16489999999999</v>
      </c>
      <c r="M4845">
        <v>-0.13122700000000001</v>
      </c>
      <c r="N4845">
        <v>-1.4219269999999999E-2</v>
      </c>
      <c r="O4845">
        <v>-0.99125059999999998</v>
      </c>
      <c r="P4845">
        <v>-5.5082319999999897E-3</v>
      </c>
      <c r="Q4845">
        <v>0.17302310000000001</v>
      </c>
      <c r="R4845">
        <v>-0.98490270000000002</v>
      </c>
      <c r="S4845">
        <v>-1.2547759999999999</v>
      </c>
      <c r="T4845">
        <v>4.089952E-3</v>
      </c>
      <c r="U4845">
        <v>-3.0408019999999998</v>
      </c>
      <c r="V4845">
        <v>-0.1246452</v>
      </c>
      <c r="W4845">
        <v>0.18633520000000001</v>
      </c>
      <c r="X4845">
        <v>0.97454739999999995</v>
      </c>
      <c r="Y4845">
        <v>0.25676300000000002</v>
      </c>
      <c r="Z4845">
        <v>-1.510627E-2</v>
      </c>
      <c r="AA4845">
        <v>0.96635629999999995</v>
      </c>
      <c r="AB4845">
        <v>28</v>
      </c>
      <c r="AC4845">
        <v>-25.614100000000001</v>
      </c>
      <c r="AD4845">
        <v>8.36449999999999E-2</v>
      </c>
      <c r="AE4845">
        <v>-61.9209999999999</v>
      </c>
      <c r="AF4845">
        <v>17.265999584277999</v>
      </c>
      <c r="AG4845">
        <v>8.36449999999999E-2</v>
      </c>
      <c r="AH4845">
        <v>64.746919812654895</v>
      </c>
      <c r="AI4845">
        <v>89.928480287536004</v>
      </c>
      <c r="AJ4845">
        <v>75.068455343285606</v>
      </c>
      <c r="AK4845">
        <v>67.009591577300895</v>
      </c>
      <c r="AL4845">
        <v>79.261011855329201</v>
      </c>
      <c r="AM4845">
        <v>97.288593006582602</v>
      </c>
      <c r="AN4845">
        <v>0.99999993374441698</v>
      </c>
    </row>
    <row r="4846" spans="1:40" x14ac:dyDescent="0.25">
      <c r="A4846" t="str">
        <f>"20190304154851553"</f>
        <v>20190304154851553</v>
      </c>
      <c r="B4846" t="str">
        <f>"1551685731541941"</f>
        <v>1551685731541941</v>
      </c>
      <c r="C4846" t="s">
        <v>40</v>
      </c>
      <c r="D4846">
        <v>5.1712319999999998</v>
      </c>
      <c r="E4846">
        <v>0.65382479999999998</v>
      </c>
      <c r="F4846" t="s">
        <v>56</v>
      </c>
      <c r="G4846">
        <v>-217.83860000000001</v>
      </c>
      <c r="H4846">
        <v>1.153519</v>
      </c>
      <c r="I4846">
        <v>113.2439</v>
      </c>
      <c r="J4846">
        <v>-192.1986</v>
      </c>
      <c r="K4846">
        <v>1.112754</v>
      </c>
      <c r="L4846">
        <v>174.99860000000001</v>
      </c>
      <c r="M4846">
        <v>-0.12991900000000001</v>
      </c>
      <c r="N4846">
        <v>-1.421382E-2</v>
      </c>
      <c r="O4846">
        <v>-0.99142280000000005</v>
      </c>
      <c r="P4846">
        <v>-5.8824469999999998E-3</v>
      </c>
      <c r="Q4846">
        <v>0.17302379999999901</v>
      </c>
      <c r="R4846">
        <v>-0.9849002</v>
      </c>
      <c r="S4846">
        <v>-1.2592319999999999</v>
      </c>
      <c r="T4846">
        <v>1.9984249999999999E-3</v>
      </c>
      <c r="U4846">
        <v>-3.038605</v>
      </c>
      <c r="V4846">
        <v>-0.1229548</v>
      </c>
      <c r="W4846">
        <v>0.18636140000000001</v>
      </c>
      <c r="X4846">
        <v>0.97475719999999999</v>
      </c>
      <c r="Y4846">
        <v>0.2594957</v>
      </c>
      <c r="Z4846">
        <v>-1.446222E-2</v>
      </c>
      <c r="AA4846">
        <v>0.96563600000000005</v>
      </c>
      <c r="AB4846">
        <v>28</v>
      </c>
      <c r="AC4846">
        <v>-25.64</v>
      </c>
      <c r="AD4846">
        <v>4.0764999999999899E-2</v>
      </c>
      <c r="AE4846">
        <v>-61.7547</v>
      </c>
      <c r="AF4846">
        <v>17.3987216164522</v>
      </c>
      <c r="AG4846">
        <v>4.0764999999999899E-2</v>
      </c>
      <c r="AH4846">
        <v>64.562634198385993</v>
      </c>
      <c r="AI4846">
        <v>89.965069460089495</v>
      </c>
      <c r="AJ4846">
        <v>74.917881084746</v>
      </c>
      <c r="AK4846">
        <v>66.865917404209995</v>
      </c>
      <c r="AL4846">
        <v>79.259484951685195</v>
      </c>
      <c r="AM4846">
        <v>97.189257513803696</v>
      </c>
      <c r="AN4846">
        <v>1.0000000266024101</v>
      </c>
    </row>
    <row r="4847" spans="1:40" x14ac:dyDescent="0.25">
      <c r="A4847" t="str">
        <f>"20190304154851564"</f>
        <v>20190304154851564</v>
      </c>
      <c r="B4847" t="str">
        <f>"1551685731561462"</f>
        <v>1551685731561462</v>
      </c>
      <c r="C4847" t="s">
        <v>40</v>
      </c>
      <c r="D4847">
        <v>5.097931</v>
      </c>
      <c r="E4847">
        <v>0.65456169999999902</v>
      </c>
      <c r="F4847" t="s">
        <v>56</v>
      </c>
      <c r="G4847">
        <v>-217.88589999999999</v>
      </c>
      <c r="H4847">
        <v>1.195889</v>
      </c>
      <c r="I4847">
        <v>113.2439</v>
      </c>
      <c r="J4847">
        <v>-192.21629999999999</v>
      </c>
      <c r="K4847">
        <v>1.1126929999999999</v>
      </c>
      <c r="L4847">
        <v>174.8537</v>
      </c>
      <c r="M4847">
        <v>-0.12882779999999999</v>
      </c>
      <c r="N4847">
        <v>-1.4209090000000001E-2</v>
      </c>
      <c r="O4847">
        <v>-0.99156549999999999</v>
      </c>
      <c r="P4847">
        <v>-6.3673899999999997E-3</v>
      </c>
      <c r="Q4847">
        <v>0.17255870000000001</v>
      </c>
      <c r="R4847">
        <v>-0.98497920000000005</v>
      </c>
      <c r="S4847">
        <v>-1.2635799999999999</v>
      </c>
      <c r="T4847">
        <v>4.0907859999999999E-3</v>
      </c>
      <c r="U4847">
        <v>-3.03775</v>
      </c>
      <c r="V4847">
        <v>-0.1213809</v>
      </c>
      <c r="W4847">
        <v>0.18591869999999999</v>
      </c>
      <c r="X4847">
        <v>0.97503890000000004</v>
      </c>
      <c r="Y4847">
        <v>0.26183020000000001</v>
      </c>
      <c r="Z4847">
        <v>-1.5100860000000001E-2</v>
      </c>
      <c r="AA4847">
        <v>0.96499579999999996</v>
      </c>
      <c r="AB4847">
        <v>28</v>
      </c>
      <c r="AC4847">
        <v>-25.669599999999999</v>
      </c>
      <c r="AD4847">
        <v>8.3196000000000006E-2</v>
      </c>
      <c r="AE4847">
        <v>-61.6098</v>
      </c>
      <c r="AF4847">
        <v>17.517770427544399</v>
      </c>
      <c r="AG4847">
        <v>8.3196000000000006E-2</v>
      </c>
      <c r="AH4847">
        <v>64.403491336504999</v>
      </c>
      <c r="AI4847">
        <v>89.928580550015596</v>
      </c>
      <c r="AJ4847">
        <v>74.783656071478703</v>
      </c>
      <c r="AK4847">
        <v>66.743455848928306</v>
      </c>
      <c r="AL4847">
        <v>79.285300373103098</v>
      </c>
      <c r="AM4847">
        <v>97.096145302054893</v>
      </c>
      <c r="AN4847">
        <v>0.99999997120385398</v>
      </c>
    </row>
    <row r="4848" spans="1:40" x14ac:dyDescent="0.25">
      <c r="A4848" t="str">
        <f>"20190304154851576"</f>
        <v>20190304154851576</v>
      </c>
      <c r="B4848" t="str">
        <f>"1551685731571222"</f>
        <v>1551685731571222</v>
      </c>
      <c r="C4848" t="s">
        <v>40</v>
      </c>
      <c r="D4848">
        <v>5.0664629999999997</v>
      </c>
      <c r="E4848">
        <v>0.65452809999999995</v>
      </c>
      <c r="F4848" t="s">
        <v>56</v>
      </c>
      <c r="G4848">
        <v>-218.00319999999999</v>
      </c>
      <c r="H4848">
        <v>1.2459450000000001</v>
      </c>
      <c r="I4848">
        <v>113.2439</v>
      </c>
      <c r="J4848">
        <v>-192.23339999999999</v>
      </c>
      <c r="K4848">
        <v>1.112641</v>
      </c>
      <c r="L4848">
        <v>174.71340000000001</v>
      </c>
      <c r="M4848">
        <v>-0.12778999999999999</v>
      </c>
      <c r="N4848">
        <v>-1.4204609999999999E-2</v>
      </c>
      <c r="O4848">
        <v>-0.99169980000000002</v>
      </c>
      <c r="P4848">
        <v>-6.7549009999999998E-3</v>
      </c>
      <c r="Q4848">
        <v>0.17229320000000001</v>
      </c>
      <c r="R4848">
        <v>-0.98502279999999998</v>
      </c>
      <c r="S4848">
        <v>-1.2708889999999999</v>
      </c>
      <c r="T4848">
        <v>6.5685509999999997E-3</v>
      </c>
      <c r="U4848">
        <v>-3.0363920000000002</v>
      </c>
      <c r="V4848">
        <v>-0.11995450000000001</v>
      </c>
      <c r="W4848">
        <v>0.18567320000000001</v>
      </c>
      <c r="X4848">
        <v>0.97526219999999997</v>
      </c>
      <c r="Y4848">
        <v>0.264966799999999</v>
      </c>
      <c r="Z4848">
        <v>-1.5856479999999999E-2</v>
      </c>
      <c r="AA4848">
        <v>0.96412719999999996</v>
      </c>
      <c r="AB4848">
        <v>28</v>
      </c>
      <c r="AC4848">
        <v>-25.7698</v>
      </c>
      <c r="AD4848">
        <v>0.13330400000000001</v>
      </c>
      <c r="AE4848">
        <v>-61.469499999999996</v>
      </c>
      <c r="AF4848">
        <v>17.702428453700701</v>
      </c>
      <c r="AG4848">
        <v>0.13330400000000001</v>
      </c>
      <c r="AH4848">
        <v>64.258622062973004</v>
      </c>
      <c r="AI4848">
        <v>89.885409333776593</v>
      </c>
      <c r="AJ4848">
        <v>74.597799607757594</v>
      </c>
      <c r="AK4848">
        <v>66.652563735739406</v>
      </c>
      <c r="AL4848">
        <v>79.299615934388896</v>
      </c>
      <c r="AM4848">
        <v>97.012000915856802</v>
      </c>
      <c r="AN4848">
        <v>0.99999998900866405</v>
      </c>
    </row>
    <row r="4849" spans="1:40" x14ac:dyDescent="0.25">
      <c r="A4849" t="str">
        <f>"20190304154851587"</f>
        <v>20190304154851587</v>
      </c>
      <c r="B4849" t="str">
        <f>"1551685731581957"</f>
        <v>1551685731581957</v>
      </c>
      <c r="C4849" t="s">
        <v>40</v>
      </c>
      <c r="D4849">
        <v>5.1167540000000002</v>
      </c>
      <c r="E4849">
        <v>0.65452319999999997</v>
      </c>
      <c r="F4849" t="s">
        <v>56</v>
      </c>
      <c r="G4849">
        <v>-217.9778</v>
      </c>
      <c r="H4849">
        <v>1.2458929999999999</v>
      </c>
      <c r="I4849">
        <v>113.2439</v>
      </c>
      <c r="J4849">
        <v>-192.2516</v>
      </c>
      <c r="K4849">
        <v>1.1125879999999999</v>
      </c>
      <c r="L4849">
        <v>174.5635</v>
      </c>
      <c r="M4849">
        <v>-0.1267114</v>
      </c>
      <c r="N4849">
        <v>-1.41999E-2</v>
      </c>
      <c r="O4849">
        <v>-0.9918382</v>
      </c>
      <c r="P4849">
        <v>-7.0484469999999898E-3</v>
      </c>
      <c r="Q4849">
        <v>0.1719145</v>
      </c>
      <c r="R4849">
        <v>-0.98508680000000004</v>
      </c>
      <c r="S4849">
        <v>-1.271423</v>
      </c>
      <c r="T4849">
        <v>6.5821409999999997E-3</v>
      </c>
      <c r="U4849">
        <v>-3.0357509999999999</v>
      </c>
      <c r="V4849">
        <v>-0.1185832</v>
      </c>
      <c r="W4849">
        <v>0.1853138</v>
      </c>
      <c r="X4849">
        <v>0.97549830000000004</v>
      </c>
      <c r="Y4849">
        <v>0.26623190000000002</v>
      </c>
      <c r="Z4849">
        <v>-1.585928E-2</v>
      </c>
      <c r="AA4849">
        <v>0.96377849999999998</v>
      </c>
      <c r="AB4849">
        <v>28</v>
      </c>
      <c r="AC4849">
        <v>-25.726199999999999</v>
      </c>
      <c r="AD4849">
        <v>0.13330500000000001</v>
      </c>
      <c r="AE4849">
        <v>-61.319600000000001</v>
      </c>
      <c r="AF4849">
        <v>17.748049819289701</v>
      </c>
      <c r="AG4849">
        <v>0.13330500000000001</v>
      </c>
      <c r="AH4849">
        <v>64.085114480510995</v>
      </c>
      <c r="AI4849">
        <v>89.885141201598501</v>
      </c>
      <c r="AJ4849">
        <v>74.520197041932406</v>
      </c>
      <c r="AK4849">
        <v>66.497465670438999</v>
      </c>
      <c r="AL4849">
        <v>79.320572444938406</v>
      </c>
      <c r="AM4849">
        <v>96.930963830317694</v>
      </c>
      <c r="AN4849">
        <v>1.00000005654778</v>
      </c>
    </row>
    <row r="4850" spans="1:40" x14ac:dyDescent="0.25">
      <c r="A4850" t="str">
        <f>"20190304154851599"</f>
        <v>20190304154851599</v>
      </c>
      <c r="B4850" t="str">
        <f>"1551685731591718"</f>
        <v>1551685731591718</v>
      </c>
      <c r="C4850" t="s">
        <v>40</v>
      </c>
      <c r="D4850">
        <v>5.2034449999999897</v>
      </c>
      <c r="E4850">
        <v>0.6547385</v>
      </c>
      <c r="F4850" t="s">
        <v>56</v>
      </c>
      <c r="G4850">
        <v>-217.95429999999999</v>
      </c>
      <c r="H4850">
        <v>1.2547520000000001</v>
      </c>
      <c r="I4850">
        <v>113.2439</v>
      </c>
      <c r="J4850">
        <v>-192.26820000000001</v>
      </c>
      <c r="K4850">
        <v>1.1125389999999999</v>
      </c>
      <c r="L4850">
        <v>174.42509999999999</v>
      </c>
      <c r="M4850">
        <v>-0.12574579999999999</v>
      </c>
      <c r="N4850">
        <v>-1.419576E-2</v>
      </c>
      <c r="O4850">
        <v>-0.99196119999999999</v>
      </c>
      <c r="P4850">
        <v>-7.5409730000000003E-3</v>
      </c>
      <c r="Q4850">
        <v>0.171577799999999</v>
      </c>
      <c r="R4850">
        <v>-0.98514199999999996</v>
      </c>
      <c r="S4850">
        <v>-1.272186</v>
      </c>
      <c r="T4850">
        <v>7.037878E-3</v>
      </c>
      <c r="U4850">
        <v>-3.0350799999999998</v>
      </c>
      <c r="V4850">
        <v>-0.1171278</v>
      </c>
      <c r="W4850">
        <v>0.1849943</v>
      </c>
      <c r="X4850">
        <v>0.97573469999999995</v>
      </c>
      <c r="Y4850">
        <v>0.26745140000000001</v>
      </c>
      <c r="Z4850">
        <v>-1.599778E-2</v>
      </c>
      <c r="AA4850">
        <v>0.96343860000000003</v>
      </c>
      <c r="AB4850">
        <v>28</v>
      </c>
      <c r="AC4850">
        <v>-25.6860999999999</v>
      </c>
      <c r="AD4850">
        <v>0.14221300000000001</v>
      </c>
      <c r="AE4850">
        <v>-61.181199999999897</v>
      </c>
      <c r="AF4850">
        <v>17.7880414745213</v>
      </c>
      <c r="AG4850">
        <v>0.14221300000000001</v>
      </c>
      <c r="AH4850">
        <v>63.9254260709669</v>
      </c>
      <c r="AI4850">
        <v>89.877201486013604</v>
      </c>
      <c r="AJ4850">
        <v>74.450115280553604</v>
      </c>
      <c r="AK4850">
        <v>66.354312161240301</v>
      </c>
      <c r="AL4850">
        <v>79.339200017997001</v>
      </c>
      <c r="AM4850">
        <v>96.845067813900798</v>
      </c>
      <c r="AN4850">
        <v>1.0000000086747001</v>
      </c>
    </row>
    <row r="4851" spans="1:40" x14ac:dyDescent="0.25">
      <c r="A4851" t="str">
        <f>"20190304154851611"</f>
        <v>20190304154851611</v>
      </c>
      <c r="B4851" t="str">
        <f>"1551685731601478"</f>
        <v>1551685731601478</v>
      </c>
      <c r="C4851" t="s">
        <v>40</v>
      </c>
      <c r="D4851">
        <v>4.950062</v>
      </c>
      <c r="E4851">
        <v>0.6547385</v>
      </c>
      <c r="F4851" t="s">
        <v>56</v>
      </c>
      <c r="G4851">
        <v>-217.98939999999999</v>
      </c>
      <c r="H4851">
        <v>1.2785770000000001</v>
      </c>
      <c r="I4851">
        <v>113.2439</v>
      </c>
      <c r="J4851">
        <v>-192.2868</v>
      </c>
      <c r="K4851">
        <v>1.1124889999999901</v>
      </c>
      <c r="L4851">
        <v>174.2698</v>
      </c>
      <c r="M4851">
        <v>-0.124678</v>
      </c>
      <c r="N4851">
        <v>-1.4191270000000001E-2</v>
      </c>
      <c r="O4851">
        <v>-0.99209579999999997</v>
      </c>
      <c r="P4851">
        <v>-7.4659259999999899E-3</v>
      </c>
      <c r="Q4851">
        <v>0.1712871</v>
      </c>
      <c r="R4851">
        <v>-0.98519279999999998</v>
      </c>
      <c r="S4851">
        <v>-1.275558</v>
      </c>
      <c r="T4851">
        <v>8.2354549999999992E-3</v>
      </c>
      <c r="U4851">
        <v>-3.0340729999999998</v>
      </c>
      <c r="V4851">
        <v>-0.1161326</v>
      </c>
      <c r="W4851">
        <v>0.18471960000000001</v>
      </c>
      <c r="X4851">
        <v>0.97590569999999999</v>
      </c>
      <c r="Y4851">
        <v>0.26951059999999999</v>
      </c>
      <c r="Z4851">
        <v>-1.6362680000000001E-2</v>
      </c>
      <c r="AA4851">
        <v>0.9628584</v>
      </c>
      <c r="AB4851">
        <v>28</v>
      </c>
      <c r="AC4851">
        <v>-25.702599999999901</v>
      </c>
      <c r="AD4851">
        <v>0.16608800000000001</v>
      </c>
      <c r="AE4851">
        <v>-61.0259</v>
      </c>
      <c r="AF4851">
        <v>17.892542949470499</v>
      </c>
      <c r="AG4851">
        <v>0.16608800000000001</v>
      </c>
      <c r="AH4851">
        <v>63.754104608601303</v>
      </c>
      <c r="AI4851">
        <v>89.856289466606796</v>
      </c>
      <c r="AJ4851">
        <v>74.323263386566097</v>
      </c>
      <c r="AK4851">
        <v>66.217494160281205</v>
      </c>
      <c r="AL4851">
        <v>79.355215340915706</v>
      </c>
      <c r="AM4851">
        <v>96.786273994092596</v>
      </c>
      <c r="AN4851">
        <v>1.0000000233497</v>
      </c>
    </row>
    <row r="4852" spans="1:40" x14ac:dyDescent="0.25">
      <c r="A4852" t="str">
        <f>"20190304154851621"</f>
        <v>20190304154851621</v>
      </c>
      <c r="B4852" t="str">
        <f>"1551685731611238"</f>
        <v>1551685731611238</v>
      </c>
      <c r="C4852" t="s">
        <v>40</v>
      </c>
      <c r="D4852">
        <v>3.8554909999999998</v>
      </c>
      <c r="E4852">
        <v>0.60442530000000005</v>
      </c>
      <c r="F4852" t="s">
        <v>56</v>
      </c>
      <c r="G4852">
        <v>-217.93860000000001</v>
      </c>
      <c r="H4852">
        <v>1.26874</v>
      </c>
      <c r="I4852">
        <v>113.2439</v>
      </c>
      <c r="J4852">
        <v>-192.30260000000001</v>
      </c>
      <c r="K4852">
        <v>1.1124499999999999</v>
      </c>
      <c r="L4852">
        <v>174.13589999999999</v>
      </c>
      <c r="M4852">
        <v>-0.12379850000000001</v>
      </c>
      <c r="N4852">
        <v>-1.4187399999999999E-2</v>
      </c>
      <c r="O4852">
        <v>-0.99220589999999997</v>
      </c>
      <c r="P4852">
        <v>-7.8503859999999905E-3</v>
      </c>
      <c r="Q4852">
        <v>0.1709369</v>
      </c>
      <c r="R4852">
        <v>-0.98525070000000003</v>
      </c>
      <c r="S4852">
        <v>-1.275345</v>
      </c>
      <c r="T4852">
        <v>7.7697039999999997E-3</v>
      </c>
      <c r="U4852">
        <v>-3.0340419999999999</v>
      </c>
      <c r="V4852">
        <v>-0.1148723</v>
      </c>
      <c r="W4852">
        <v>0.1843841</v>
      </c>
      <c r="X4852">
        <v>0.97611829999999999</v>
      </c>
      <c r="Y4852">
        <v>0.27031060000000001</v>
      </c>
      <c r="Z4852">
        <v>-1.621881E-2</v>
      </c>
      <c r="AA4852">
        <v>0.96263659999999995</v>
      </c>
      <c r="AB4852">
        <v>28</v>
      </c>
      <c r="AC4852">
        <v>-25.635999999999999</v>
      </c>
      <c r="AD4852">
        <v>0.15629000000000001</v>
      </c>
      <c r="AE4852">
        <v>-60.892000000000003</v>
      </c>
      <c r="AF4852">
        <v>17.8995544627459</v>
      </c>
      <c r="AG4852">
        <v>0.15629000000000001</v>
      </c>
      <c r="AH4852">
        <v>63.597148185410397</v>
      </c>
      <c r="AI4852">
        <v>89.864461922289706</v>
      </c>
      <c r="AJ4852">
        <v>74.280629106480802</v>
      </c>
      <c r="AK4852">
        <v>66.0682657093855</v>
      </c>
      <c r="AL4852">
        <v>79.374774202766304</v>
      </c>
      <c r="AM4852">
        <v>96.711854653828397</v>
      </c>
      <c r="AN4852">
        <v>1.0000000386174901</v>
      </c>
    </row>
    <row r="4853" spans="1:40" x14ac:dyDescent="0.25">
      <c r="A4853" t="str">
        <f>"20190304154851634"</f>
        <v>20190304154851634</v>
      </c>
      <c r="B4853" t="str">
        <f>"1551685731631733"</f>
        <v>1551685731631733</v>
      </c>
      <c r="C4853" t="s">
        <v>40</v>
      </c>
      <c r="D4853">
        <v>4.8770569999999998</v>
      </c>
      <c r="E4853">
        <v>0.58914699999999998</v>
      </c>
      <c r="F4853" t="s">
        <v>55</v>
      </c>
      <c r="G4853">
        <v>-214.15860000000001</v>
      </c>
      <c r="H4853">
        <v>3.095307</v>
      </c>
      <c r="I4853">
        <v>98.375470000000007</v>
      </c>
      <c r="J4853">
        <v>-192.32</v>
      </c>
      <c r="K4853">
        <v>1.112411</v>
      </c>
      <c r="L4853">
        <v>173.98820000000001</v>
      </c>
      <c r="M4853">
        <v>-0.1228373</v>
      </c>
      <c r="N4853">
        <v>-1.418324E-2</v>
      </c>
      <c r="O4853">
        <v>-0.99232560000000003</v>
      </c>
      <c r="P4853">
        <v>-7.7533089999999999E-3</v>
      </c>
      <c r="Q4853">
        <v>0.1709359</v>
      </c>
      <c r="R4853">
        <v>-0.98525200000000002</v>
      </c>
      <c r="S4853">
        <v>-0.8724518</v>
      </c>
      <c r="T4853">
        <v>7.9153059999999997E-2</v>
      </c>
      <c r="U4853">
        <v>-3.024216</v>
      </c>
      <c r="V4853">
        <v>-0.11400159999999999</v>
      </c>
      <c r="W4853">
        <v>0.1843948</v>
      </c>
      <c r="X4853">
        <v>0.97621829999999998</v>
      </c>
      <c r="Y4853">
        <v>0.1568475</v>
      </c>
      <c r="Z4853">
        <v>-3.9124369999999999E-2</v>
      </c>
      <c r="AA4853">
        <v>0.98684760000000005</v>
      </c>
      <c r="AB4853">
        <v>28</v>
      </c>
      <c r="AC4853">
        <v>-21.8386</v>
      </c>
      <c r="AD4853">
        <v>1.982896</v>
      </c>
      <c r="AE4853">
        <v>-75.612729999999999</v>
      </c>
      <c r="AF4853">
        <v>12.3763262339099</v>
      </c>
      <c r="AG4853">
        <v>1.982896</v>
      </c>
      <c r="AH4853">
        <v>77.673545464395204</v>
      </c>
      <c r="AI4853">
        <v>88.555846912900904</v>
      </c>
      <c r="AJ4853">
        <v>80.946725151459802</v>
      </c>
      <c r="AK4853">
        <v>78.678364196292605</v>
      </c>
      <c r="AL4853">
        <v>79.374149900132693</v>
      </c>
      <c r="AM4853">
        <v>96.660763363646197</v>
      </c>
      <c r="AN4853">
        <v>0.999999988162244</v>
      </c>
    </row>
    <row r="4854" spans="1:40" x14ac:dyDescent="0.25">
      <c r="A4854" t="str">
        <f>"20190304154851650"</f>
        <v>20190304154851650</v>
      </c>
      <c r="B4854" t="str">
        <f>"1551685731641497"</f>
        <v>1551685731641497</v>
      </c>
      <c r="C4854" t="s">
        <v>40</v>
      </c>
      <c r="D4854">
        <v>4.9188720000000004</v>
      </c>
      <c r="E4854">
        <v>0.51666469999999998</v>
      </c>
      <c r="F4854" t="s">
        <v>55</v>
      </c>
      <c r="G4854">
        <v>-211.3596</v>
      </c>
      <c r="H4854">
        <v>2.8508089999999999</v>
      </c>
      <c r="I4854">
        <v>97.203770000000006</v>
      </c>
      <c r="J4854">
        <v>-192.3441</v>
      </c>
      <c r="K4854">
        <v>1.1123510000000001</v>
      </c>
      <c r="L4854">
        <v>173.7816</v>
      </c>
      <c r="M4854">
        <v>-0.1215391</v>
      </c>
      <c r="N4854">
        <v>-1.417761E-2</v>
      </c>
      <c r="O4854">
        <v>-0.99248550000000002</v>
      </c>
      <c r="P4854">
        <v>-7.7704419999999998E-3</v>
      </c>
      <c r="Q4854">
        <v>0.17036960000000001</v>
      </c>
      <c r="R4854">
        <v>-0.9853499</v>
      </c>
      <c r="S4854">
        <v>-0.75061040000000001</v>
      </c>
      <c r="T4854">
        <v>6.8534849999999994E-2</v>
      </c>
      <c r="U4854">
        <v>-3.0271150000000002</v>
      </c>
      <c r="V4854">
        <v>-0.11268889999999999</v>
      </c>
      <c r="W4854">
        <v>0.18384700000000001</v>
      </c>
      <c r="X4854">
        <v>0.97647399999999995</v>
      </c>
      <c r="Y4854">
        <v>0.1207608</v>
      </c>
      <c r="Z4854">
        <v>-3.5930990000000003E-2</v>
      </c>
      <c r="AA4854">
        <v>0.9920312</v>
      </c>
      <c r="AB4854">
        <v>28</v>
      </c>
      <c r="AC4854">
        <v>-19.015499999999999</v>
      </c>
      <c r="AD4854">
        <v>1.7384579999999901</v>
      </c>
      <c r="AE4854">
        <v>-76.577830000000006</v>
      </c>
      <c r="AF4854">
        <v>9.5617262459664492</v>
      </c>
      <c r="AG4854">
        <v>1.7384579999999901</v>
      </c>
      <c r="AH4854">
        <v>78.2833737458093</v>
      </c>
      <c r="AI4854">
        <v>88.7372094390889</v>
      </c>
      <c r="AJ4854">
        <v>83.036244346461302</v>
      </c>
      <c r="AK4854">
        <v>78.884316882677197</v>
      </c>
      <c r="AL4854">
        <v>79.406082481824498</v>
      </c>
      <c r="AM4854">
        <v>96.583034608091197</v>
      </c>
      <c r="AN4854">
        <v>0.99999999013410401</v>
      </c>
    </row>
    <row r="4855" spans="1:40" x14ac:dyDescent="0.25">
      <c r="A4855" t="str">
        <f>"20190304154851662"</f>
        <v>20190304154851662</v>
      </c>
      <c r="B4855" t="str">
        <f>"1551685731651254"</f>
        <v>1551685731651254</v>
      </c>
      <c r="C4855" t="s">
        <v>40</v>
      </c>
      <c r="D4855">
        <v>4.8743100000000004</v>
      </c>
      <c r="E4855">
        <v>0.51808290000000001</v>
      </c>
      <c r="F4855" t="s">
        <v>79</v>
      </c>
      <c r="G4855">
        <v>-194.84819999999999</v>
      </c>
      <c r="H4855" s="1">
        <v>-5.9616879999999997E-6</v>
      </c>
      <c r="I4855">
        <v>130.7431</v>
      </c>
      <c r="J4855">
        <v>-192.3614</v>
      </c>
      <c r="K4855">
        <v>1.112317</v>
      </c>
      <c r="L4855">
        <v>173.6319</v>
      </c>
      <c r="M4855">
        <v>-0.1206303</v>
      </c>
      <c r="N4855">
        <v>-1.4173649999999999E-2</v>
      </c>
      <c r="O4855">
        <v>-0.99259629999999999</v>
      </c>
      <c r="P4855">
        <v>-7.7372209999999999E-3</v>
      </c>
      <c r="Q4855">
        <v>0.17020099999999999</v>
      </c>
      <c r="R4855">
        <v>-0.98537889999999995</v>
      </c>
      <c r="S4855">
        <v>-0.1778564</v>
      </c>
      <c r="T4855">
        <v>-7.9006309999999996E-2</v>
      </c>
      <c r="U4855">
        <v>-3.056854</v>
      </c>
      <c r="V4855">
        <v>-0.1118118</v>
      </c>
      <c r="W4855">
        <v>0.18368899999999999</v>
      </c>
      <c r="X4855">
        <v>0.97660460000000004</v>
      </c>
      <c r="Y4855">
        <v>-6.2764260000000002E-2</v>
      </c>
      <c r="Z4855">
        <v>1.1385549999999999E-2</v>
      </c>
      <c r="AA4855">
        <v>0.99796339999999994</v>
      </c>
      <c r="AB4855">
        <v>28</v>
      </c>
      <c r="AC4855">
        <v>-2.4867999999999801</v>
      </c>
      <c r="AD4855">
        <v>-1.1123229616879999</v>
      </c>
      <c r="AE4855">
        <v>-42.888800000000003</v>
      </c>
      <c r="AF4855">
        <v>-2.7037596148732899</v>
      </c>
      <c r="AG4855">
        <v>-1.1123229616879999</v>
      </c>
      <c r="AH4855">
        <v>42.846831679152501</v>
      </c>
      <c r="AI4855">
        <v>91.484139469206298</v>
      </c>
      <c r="AJ4855">
        <v>93.610742666926598</v>
      </c>
      <c r="AK4855">
        <v>42.946461593101503</v>
      </c>
      <c r="AL4855">
        <v>79.415292548948798</v>
      </c>
      <c r="AM4855">
        <v>96.531374938954997</v>
      </c>
      <c r="AN4855">
        <v>1.00000003604069</v>
      </c>
    </row>
    <row r="4856" spans="1:40" x14ac:dyDescent="0.25">
      <c r="A4856" t="str">
        <f>"20190304154851674"</f>
        <v>20190304154851674</v>
      </c>
      <c r="B4856" t="str">
        <f>"1551685731661990"</f>
        <v>1551685731661990</v>
      </c>
      <c r="C4856" t="s">
        <v>40</v>
      </c>
      <c r="D4856">
        <v>4.8889909999999999</v>
      </c>
      <c r="E4856">
        <v>0.51873210000000003</v>
      </c>
      <c r="F4856" t="s">
        <v>79</v>
      </c>
      <c r="G4856">
        <v>-195.28360000000001</v>
      </c>
      <c r="H4856" s="1">
        <v>-4.6281279999999997E-6</v>
      </c>
      <c r="I4856">
        <v>126.2893</v>
      </c>
      <c r="J4856">
        <v>-192.3784</v>
      </c>
      <c r="K4856">
        <v>1.112282</v>
      </c>
      <c r="L4856">
        <v>173.48400000000001</v>
      </c>
      <c r="M4856">
        <v>-0.119743</v>
      </c>
      <c r="N4856">
        <v>-1.416983E-2</v>
      </c>
      <c r="O4856">
        <v>-0.99270400000000003</v>
      </c>
      <c r="P4856">
        <v>-7.8319759999999992E-3</v>
      </c>
      <c r="Q4856">
        <v>0.16988989999999901</v>
      </c>
      <c r="R4856">
        <v>-0.98543230000000004</v>
      </c>
      <c r="S4856">
        <v>-0.18859860000000001</v>
      </c>
      <c r="T4856">
        <v>-7.1787950000000003E-2</v>
      </c>
      <c r="U4856">
        <v>-3.0554350000000001</v>
      </c>
      <c r="V4856">
        <v>-0.1108312</v>
      </c>
      <c r="W4856">
        <v>0.18338989999999999</v>
      </c>
      <c r="X4856">
        <v>0.97677250000000004</v>
      </c>
      <c r="Y4856">
        <v>-5.8349430000000001E-2</v>
      </c>
      <c r="Z4856">
        <v>9.0775370000000001E-3</v>
      </c>
      <c r="AA4856">
        <v>0.998255</v>
      </c>
      <c r="AB4856">
        <v>28</v>
      </c>
      <c r="AC4856">
        <v>-2.9051999999999998</v>
      </c>
      <c r="AD4856">
        <v>-1.1122866281279999</v>
      </c>
      <c r="AE4856">
        <v>-47.194699999999997</v>
      </c>
      <c r="AF4856">
        <v>-2.7659780254098298</v>
      </c>
      <c r="AG4856">
        <v>-1.1122866281279999</v>
      </c>
      <c r="AH4856">
        <v>47.176868801318598</v>
      </c>
      <c r="AI4856">
        <v>91.348294932701293</v>
      </c>
      <c r="AJ4856">
        <v>93.355408186216593</v>
      </c>
      <c r="AK4856">
        <v>47.2709717043873</v>
      </c>
      <c r="AL4856">
        <v>79.432725092246798</v>
      </c>
      <c r="AM4856">
        <v>96.473479195993406</v>
      </c>
      <c r="AN4856">
        <v>0.99999996353584897</v>
      </c>
    </row>
    <row r="4857" spans="1:40" x14ac:dyDescent="0.25">
      <c r="A4857" t="str">
        <f>"20190304154851685"</f>
        <v>20190304154851685</v>
      </c>
      <c r="B4857" t="str">
        <f>"1551685731681510"</f>
        <v>1551685731681510</v>
      </c>
      <c r="C4857" t="s">
        <v>40</v>
      </c>
      <c r="D4857">
        <v>4.8475570000000001</v>
      </c>
      <c r="E4857">
        <v>0.51934760000000002</v>
      </c>
      <c r="F4857" t="s">
        <v>79</v>
      </c>
      <c r="G4857">
        <v>-195.34039999999999</v>
      </c>
      <c r="H4857" s="1">
        <v>-4.8744759999999998E-6</v>
      </c>
      <c r="I4857">
        <v>126.84310000000001</v>
      </c>
      <c r="J4857">
        <v>-192.39400000000001</v>
      </c>
      <c r="K4857">
        <v>1.11225</v>
      </c>
      <c r="L4857">
        <v>173.34719999999999</v>
      </c>
      <c r="M4857">
        <v>-0.11894689999999999</v>
      </c>
      <c r="N4857">
        <v>-1.4166349999999999E-2</v>
      </c>
      <c r="O4857">
        <v>-0.9927996</v>
      </c>
      <c r="P4857">
        <v>-7.7538499999999996E-3</v>
      </c>
      <c r="Q4857">
        <v>0.16955379999999901</v>
      </c>
      <c r="R4857">
        <v>-0.98549039999999999</v>
      </c>
      <c r="S4857">
        <v>-0.1940308</v>
      </c>
      <c r="T4857">
        <v>-7.2863940000000002E-2</v>
      </c>
      <c r="U4857">
        <v>-3.0553590000000002</v>
      </c>
      <c r="V4857">
        <v>-0.11011559999999999</v>
      </c>
      <c r="W4857">
        <v>0.18306320000000001</v>
      </c>
      <c r="X4857">
        <v>0.97691479999999997</v>
      </c>
      <c r="Y4857">
        <v>-5.5780120000000002E-2</v>
      </c>
      <c r="Z4857">
        <v>9.4341129999999992E-3</v>
      </c>
      <c r="AA4857">
        <v>0.99839849999999997</v>
      </c>
      <c r="AB4857">
        <v>28</v>
      </c>
      <c r="AC4857">
        <v>-2.9463999999999801</v>
      </c>
      <c r="AD4857">
        <v>-1.1122548744759999</v>
      </c>
      <c r="AE4857">
        <v>-46.504099999999902</v>
      </c>
      <c r="AF4857">
        <v>-2.6051109627744902</v>
      </c>
      <c r="AG4857">
        <v>-1.1122548744759999</v>
      </c>
      <c r="AH4857">
        <v>46.497891110954001</v>
      </c>
      <c r="AI4857">
        <v>91.368140159458605</v>
      </c>
      <c r="AJ4857">
        <v>93.206725671153194</v>
      </c>
      <c r="AK4857">
        <v>46.584091617206703</v>
      </c>
      <c r="AL4857">
        <v>79.451766932620401</v>
      </c>
      <c r="AM4857">
        <v>96.431104447945003</v>
      </c>
      <c r="AN4857">
        <v>1.00000005350831</v>
      </c>
    </row>
    <row r="4858" spans="1:40" x14ac:dyDescent="0.25">
      <c r="A4858" t="str">
        <f>"20190304154851696"</f>
        <v>20190304154851696</v>
      </c>
      <c r="B4858" t="str">
        <f>"1551685731691269"</f>
        <v>1551685731691269</v>
      </c>
      <c r="C4858" t="s">
        <v>40</v>
      </c>
      <c r="D4858">
        <v>4.8510759999999999</v>
      </c>
      <c r="E4858">
        <v>0.51834460000000004</v>
      </c>
      <c r="F4858" t="s">
        <v>79</v>
      </c>
      <c r="G4858">
        <v>-195.37909999999999</v>
      </c>
      <c r="H4858" s="1">
        <v>-5.0741820000000004E-6</v>
      </c>
      <c r="I4858">
        <v>127.4717</v>
      </c>
      <c r="J4858">
        <v>-192.40960000000001</v>
      </c>
      <c r="K4858">
        <v>1.112223</v>
      </c>
      <c r="L4858">
        <v>173.21029999999999</v>
      </c>
      <c r="M4858">
        <v>-0.1181615</v>
      </c>
      <c r="N4858">
        <v>-1.416298E-2</v>
      </c>
      <c r="O4858">
        <v>-0.99289349999999998</v>
      </c>
      <c r="P4858">
        <v>-7.6805049999999998E-3</v>
      </c>
      <c r="Q4858">
        <v>0.16932739999999999</v>
      </c>
      <c r="R4858">
        <v>-0.98553000000000002</v>
      </c>
      <c r="S4858">
        <v>-0.19880680000000001</v>
      </c>
      <c r="T4858">
        <v>-7.4077009999999999E-2</v>
      </c>
      <c r="U4858">
        <v>-3.0553439999999998</v>
      </c>
      <c r="V4858">
        <v>-0.1094041</v>
      </c>
      <c r="W4858">
        <v>0.1828457</v>
      </c>
      <c r="X4858">
        <v>0.9770354</v>
      </c>
      <c r="Y4858">
        <v>-5.3436339999999999E-2</v>
      </c>
      <c r="Z4858">
        <v>9.8341620000000005E-3</v>
      </c>
      <c r="AA4858">
        <v>0.99852280000000004</v>
      </c>
      <c r="AB4858">
        <v>28</v>
      </c>
      <c r="AC4858">
        <v>-2.96949999999998</v>
      </c>
      <c r="AD4858">
        <v>-1.1122280741820001</v>
      </c>
      <c r="AE4858">
        <v>-45.738599999999899</v>
      </c>
      <c r="AF4858">
        <v>-2.4549448632846098</v>
      </c>
      <c r="AG4858">
        <v>-1.1122280741820001</v>
      </c>
      <c r="AH4858">
        <v>45.742089883403096</v>
      </c>
      <c r="AI4858">
        <v>91.390882974521801</v>
      </c>
      <c r="AJ4858">
        <v>93.072075693902605</v>
      </c>
      <c r="AK4858">
        <v>45.821420672782402</v>
      </c>
      <c r="AL4858">
        <v>79.4644420365928</v>
      </c>
      <c r="AM4858">
        <v>96.389113157572794</v>
      </c>
      <c r="AN4858">
        <v>0.99999998997922901</v>
      </c>
    </row>
    <row r="4859" spans="1:40" x14ac:dyDescent="0.25">
      <c r="A4859" t="str">
        <f>"20190304154851708"</f>
        <v>20190304154851708</v>
      </c>
      <c r="B4859" t="str">
        <f>"1551685731702006"</f>
        <v>1551685731702006</v>
      </c>
      <c r="C4859" t="s">
        <v>40</v>
      </c>
      <c r="D4859">
        <v>4.8504639999999997</v>
      </c>
      <c r="E4859">
        <v>0.51771069999999997</v>
      </c>
      <c r="F4859" t="s">
        <v>79</v>
      </c>
      <c r="G4859">
        <v>-195.0652</v>
      </c>
      <c r="H4859" s="1">
        <v>-5.9899169999999999E-6</v>
      </c>
      <c r="I4859">
        <v>130.72470000000001</v>
      </c>
      <c r="J4859">
        <v>-192.42679999999999</v>
      </c>
      <c r="K4859">
        <v>1.112193</v>
      </c>
      <c r="L4859">
        <v>173.0575</v>
      </c>
      <c r="M4859">
        <v>-0.1173022</v>
      </c>
      <c r="N4859">
        <v>-1.4159339999999999E-2</v>
      </c>
      <c r="O4859">
        <v>-0.99299550000000003</v>
      </c>
      <c r="P4859">
        <v>-7.58305099999999E-3</v>
      </c>
      <c r="Q4859">
        <v>0.16927799999999901</v>
      </c>
      <c r="R4859">
        <v>-0.98553959999999996</v>
      </c>
      <c r="S4859">
        <v>-0.19103999999999999</v>
      </c>
      <c r="T4859">
        <v>-8.0011250000000006E-2</v>
      </c>
      <c r="U4859">
        <v>-3.0563199999999999</v>
      </c>
      <c r="V4859">
        <v>-0.108639</v>
      </c>
      <c r="W4859">
        <v>0.18280489999999999</v>
      </c>
      <c r="X4859">
        <v>0.97712840000000001</v>
      </c>
      <c r="Y4859">
        <v>-5.5119920000000003E-2</v>
      </c>
      <c r="Z4859">
        <v>1.1749020000000001E-2</v>
      </c>
      <c r="AA4859">
        <v>0.99841060000000004</v>
      </c>
      <c r="AB4859">
        <v>28</v>
      </c>
      <c r="AC4859">
        <v>-2.6384000000000101</v>
      </c>
      <c r="AD4859">
        <v>-1.1121989899169999</v>
      </c>
      <c r="AE4859">
        <v>-42.332799999999899</v>
      </c>
      <c r="AF4859">
        <v>-2.3444340138358899</v>
      </c>
      <c r="AG4859">
        <v>-1.1121989899169999</v>
      </c>
      <c r="AH4859">
        <v>42.320908728862101</v>
      </c>
      <c r="AI4859">
        <v>91.503090540295403</v>
      </c>
      <c r="AJ4859">
        <v>93.170749988516107</v>
      </c>
      <c r="AK4859">
        <v>42.400385293946101</v>
      </c>
      <c r="AL4859">
        <v>79.466819747878404</v>
      </c>
      <c r="AM4859">
        <v>96.3441986172204</v>
      </c>
      <c r="AN4859">
        <v>0.99999998693578496</v>
      </c>
    </row>
    <row r="4860" spans="1:40" x14ac:dyDescent="0.25">
      <c r="A4860" t="str">
        <f>"20190304154851721"</f>
        <v>20190304154851721</v>
      </c>
      <c r="B4860" t="str">
        <f>"1551685731711766"</f>
        <v>1551685731711766</v>
      </c>
      <c r="C4860" t="s">
        <v>40</v>
      </c>
      <c r="D4860">
        <v>4.846768</v>
      </c>
      <c r="E4860">
        <v>0.51742979999999905</v>
      </c>
      <c r="F4860" t="s">
        <v>79</v>
      </c>
      <c r="G4860">
        <v>-194.95949999999999</v>
      </c>
      <c r="H4860" s="1">
        <v>-6.1643660000000001E-6</v>
      </c>
      <c r="I4860">
        <v>131.34610000000001</v>
      </c>
      <c r="J4860">
        <v>-192.4451</v>
      </c>
      <c r="K4860">
        <v>1.112163</v>
      </c>
      <c r="L4860">
        <v>172.89439999999999</v>
      </c>
      <c r="M4860">
        <v>-0.11640880000000001</v>
      </c>
      <c r="N4860">
        <v>-1.41555E-2</v>
      </c>
      <c r="O4860">
        <v>-0.9931006</v>
      </c>
      <c r="P4860">
        <v>-7.5965390000000002E-3</v>
      </c>
      <c r="Q4860">
        <v>0.1690594</v>
      </c>
      <c r="R4860">
        <v>-0.98557669999999997</v>
      </c>
      <c r="S4860">
        <v>-0.1855927</v>
      </c>
      <c r="T4860">
        <v>-8.1501599999999993E-2</v>
      </c>
      <c r="U4860">
        <v>-3.0565950000000002</v>
      </c>
      <c r="V4860">
        <v>-0.1077342</v>
      </c>
      <c r="W4860">
        <v>0.18259539999999999</v>
      </c>
      <c r="X4860">
        <v>0.97726769999999996</v>
      </c>
      <c r="Y4860">
        <v>-5.5999790000000001E-2</v>
      </c>
      <c r="Z4860">
        <v>1.223497E-2</v>
      </c>
      <c r="AA4860">
        <v>0.99835580000000002</v>
      </c>
      <c r="AB4860">
        <v>28</v>
      </c>
      <c r="AC4860">
        <v>-2.51439999999999</v>
      </c>
      <c r="AD4860">
        <v>-1.1121691643660001</v>
      </c>
      <c r="AE4860">
        <v>-41.548299999999898</v>
      </c>
      <c r="AF4860">
        <v>-2.3381005978084599</v>
      </c>
      <c r="AG4860">
        <v>-1.1121691643660001</v>
      </c>
      <c r="AH4860">
        <v>41.528851802075899</v>
      </c>
      <c r="AI4860">
        <v>91.531626516383696</v>
      </c>
      <c r="AJ4860">
        <v>93.222386731839407</v>
      </c>
      <c r="AK4860">
        <v>41.6094840950284</v>
      </c>
      <c r="AL4860">
        <v>79.479028289329193</v>
      </c>
      <c r="AM4860">
        <v>96.290896816180407</v>
      </c>
      <c r="AN4860">
        <v>0.99999994770704304</v>
      </c>
    </row>
    <row r="4861" spans="1:40" x14ac:dyDescent="0.25">
      <c r="A4861" t="str">
        <f>"20190304154851735"</f>
        <v>20190304154851735</v>
      </c>
      <c r="B4861" t="str">
        <f>"1551685731721526"</f>
        <v>1551685731721526</v>
      </c>
      <c r="C4861" t="s">
        <v>40</v>
      </c>
      <c r="D4861">
        <v>4.8426179999999999</v>
      </c>
      <c r="E4861">
        <v>0.51719110000000001</v>
      </c>
      <c r="F4861" t="s">
        <v>79</v>
      </c>
      <c r="G4861">
        <v>-194.8536</v>
      </c>
      <c r="H4861" s="1">
        <v>-6.5755640000000001E-6</v>
      </c>
      <c r="I4861">
        <v>132.7381</v>
      </c>
      <c r="J4861">
        <v>-192.46340000000001</v>
      </c>
      <c r="K4861">
        <v>1.112133</v>
      </c>
      <c r="L4861">
        <v>172.73060000000001</v>
      </c>
      <c r="M4861">
        <v>-0.1155259</v>
      </c>
      <c r="N4861">
        <v>-1.415172E-2</v>
      </c>
      <c r="O4861">
        <v>-0.99320359999999996</v>
      </c>
      <c r="P4861">
        <v>-7.2925350000000002E-3</v>
      </c>
      <c r="Q4861">
        <v>0.16898179999999999</v>
      </c>
      <c r="R4861">
        <v>-0.98559240000000004</v>
      </c>
      <c r="S4861">
        <v>-0.1833496</v>
      </c>
      <c r="T4861">
        <v>-8.4666370000000005E-2</v>
      </c>
      <c r="U4861">
        <v>-3.0569920000000002</v>
      </c>
      <c r="V4861">
        <v>-0.1071531</v>
      </c>
      <c r="W4861">
        <v>0.18252460000000001</v>
      </c>
      <c r="X4861">
        <v>0.97734489999999996</v>
      </c>
      <c r="Y4861">
        <v>-5.5850329999999997E-2</v>
      </c>
      <c r="Z4861">
        <v>1.3261429999999999E-2</v>
      </c>
      <c r="AA4861">
        <v>0.99835110000000005</v>
      </c>
      <c r="AB4861">
        <v>28</v>
      </c>
      <c r="AC4861">
        <v>-2.3901999999999899</v>
      </c>
      <c r="AD4861">
        <v>-1.112139575564</v>
      </c>
      <c r="AE4861">
        <v>-39.9925</v>
      </c>
      <c r="AF4861">
        <v>-2.2447096785465601</v>
      </c>
      <c r="AG4861">
        <v>-1.112139575564</v>
      </c>
      <c r="AH4861">
        <v>39.970033002206598</v>
      </c>
      <c r="AI4861">
        <v>91.5912995734151</v>
      </c>
      <c r="AJ4861">
        <v>93.214343976788498</v>
      </c>
      <c r="AK4861">
        <v>40.048459573046998</v>
      </c>
      <c r="AL4861">
        <v>79.483155095798494</v>
      </c>
      <c r="AM4861">
        <v>96.256744325382797</v>
      </c>
      <c r="AN4861">
        <v>1.0000000350003799</v>
      </c>
    </row>
    <row r="4862" spans="1:40" x14ac:dyDescent="0.25">
      <c r="A4862" t="str">
        <f>"20190304154851752"</f>
        <v>20190304154851752</v>
      </c>
      <c r="B4862" t="str">
        <f>"1551685731742022"</f>
        <v>1551685731742022</v>
      </c>
      <c r="C4862" t="s">
        <v>40</v>
      </c>
      <c r="D4862">
        <v>4.8467979999999997</v>
      </c>
      <c r="E4862">
        <v>0.51630569999999998</v>
      </c>
      <c r="F4862" t="s">
        <v>79</v>
      </c>
      <c r="G4862">
        <v>-194.78190000000001</v>
      </c>
      <c r="H4862" s="1">
        <v>-6.7945199999999996E-6</v>
      </c>
      <c r="I4862">
        <v>133.48699999999999</v>
      </c>
      <c r="J4862">
        <v>-192.48740000000001</v>
      </c>
      <c r="K4862">
        <v>1.1120950000000001</v>
      </c>
      <c r="L4862">
        <v>172.51300000000001</v>
      </c>
      <c r="M4862">
        <v>-0.1143866</v>
      </c>
      <c r="N4862">
        <v>-1.4146880000000001E-2</v>
      </c>
      <c r="O4862">
        <v>-0.99333550000000004</v>
      </c>
      <c r="P4862">
        <v>-7.380536E-3</v>
      </c>
      <c r="Q4862">
        <v>0.1687024</v>
      </c>
      <c r="R4862">
        <v>-0.9856395</v>
      </c>
      <c r="S4862">
        <v>-0.1806335</v>
      </c>
      <c r="T4862">
        <v>-8.6644170000000006E-2</v>
      </c>
      <c r="U4862">
        <v>-3.0573730000000001</v>
      </c>
      <c r="V4862">
        <v>-0.105929</v>
      </c>
      <c r="W4862">
        <v>0.1822568</v>
      </c>
      <c r="X4862">
        <v>0.97752830000000002</v>
      </c>
      <c r="Y4862">
        <v>-5.5596689999999997E-2</v>
      </c>
      <c r="Z4862">
        <v>1.390693E-2</v>
      </c>
      <c r="AA4862">
        <v>0.99835649999999998</v>
      </c>
      <c r="AB4862">
        <v>28</v>
      </c>
      <c r="AC4862">
        <v>-2.2945000000000002</v>
      </c>
      <c r="AD4862">
        <v>-1.11210179452</v>
      </c>
      <c r="AE4862">
        <v>-39.026000000000003</v>
      </c>
      <c r="AF4862">
        <v>-2.1832951509185499</v>
      </c>
      <c r="AG4862">
        <v>-1.11210179452</v>
      </c>
      <c r="AH4862">
        <v>39.000719058262902</v>
      </c>
      <c r="AI4862">
        <v>91.630789157458807</v>
      </c>
      <c r="AJ4862">
        <v>93.204124704888898</v>
      </c>
      <c r="AK4862">
        <v>39.077610407738</v>
      </c>
      <c r="AL4862">
        <v>79.498760678756298</v>
      </c>
      <c r="AM4862">
        <v>96.184673991869104</v>
      </c>
      <c r="AN4862">
        <v>1.0000000357440599</v>
      </c>
    </row>
    <row r="4863" spans="1:40" x14ac:dyDescent="0.25">
      <c r="A4863" t="str">
        <f>"20190304154851767"</f>
        <v>20190304154851767</v>
      </c>
      <c r="B4863" t="str">
        <f>"1551685731761542"</f>
        <v>1551685731761542</v>
      </c>
      <c r="C4863" t="s">
        <v>40</v>
      </c>
      <c r="D4863">
        <v>4.8501779999999997</v>
      </c>
      <c r="E4863">
        <v>0.5153818</v>
      </c>
      <c r="F4863" t="s">
        <v>79</v>
      </c>
      <c r="G4863">
        <v>-194.59829999999999</v>
      </c>
      <c r="H4863" s="1">
        <v>-7.3969369999999998E-6</v>
      </c>
      <c r="I4863">
        <v>135.49019999999999</v>
      </c>
      <c r="J4863">
        <v>-192.5078</v>
      </c>
      <c r="K4863">
        <v>1.112058</v>
      </c>
      <c r="L4863">
        <v>172.3262</v>
      </c>
      <c r="M4863">
        <v>-0.1134387</v>
      </c>
      <c r="N4863">
        <v>-1.414283E-2</v>
      </c>
      <c r="O4863">
        <v>-0.99344440000000001</v>
      </c>
      <c r="P4863">
        <v>-7.0288369999999996E-3</v>
      </c>
      <c r="Q4863">
        <v>0.16891879999999901</v>
      </c>
      <c r="R4863">
        <v>-0.98560530000000002</v>
      </c>
      <c r="S4863">
        <v>-0.17436219999999999</v>
      </c>
      <c r="T4863">
        <v>-9.1860289999999997E-2</v>
      </c>
      <c r="U4863">
        <v>-3.0581049999999999</v>
      </c>
      <c r="V4863">
        <v>-0.10532560000000001</v>
      </c>
      <c r="W4863">
        <v>0.18247910000000001</v>
      </c>
      <c r="X4863">
        <v>0.97755199999999998</v>
      </c>
      <c r="Y4863">
        <v>-5.6698800000000001E-2</v>
      </c>
      <c r="Z4863">
        <v>1.5592429999999999E-2</v>
      </c>
      <c r="AA4863">
        <v>0.99826959999999998</v>
      </c>
      <c r="AB4863">
        <v>28</v>
      </c>
      <c r="AC4863">
        <v>-2.0904999999999898</v>
      </c>
      <c r="AD4863">
        <v>-1.112065396937</v>
      </c>
      <c r="AE4863">
        <v>-36.835999999999999</v>
      </c>
      <c r="AF4863">
        <v>-2.1001345821607398</v>
      </c>
      <c r="AG4863">
        <v>-1.112065396937</v>
      </c>
      <c r="AH4863">
        <v>36.801909034278403</v>
      </c>
      <c r="AI4863">
        <v>91.728004674497697</v>
      </c>
      <c r="AJ4863">
        <v>93.266093744475896</v>
      </c>
      <c r="AK4863">
        <v>36.878554246032401</v>
      </c>
      <c r="AL4863">
        <v>79.485806300437005</v>
      </c>
      <c r="AM4863">
        <v>96.149567188691293</v>
      </c>
      <c r="AN4863">
        <v>1.00000000832808</v>
      </c>
    </row>
    <row r="4864" spans="1:40" x14ac:dyDescent="0.25">
      <c r="A4864" t="str">
        <f>"20190304154851779"</f>
        <v>20190304154851779</v>
      </c>
      <c r="B4864" t="str">
        <f>"1551685731772277"</f>
        <v>1551685731772277</v>
      </c>
      <c r="C4864" t="s">
        <v>40</v>
      </c>
      <c r="D4864">
        <v>4.8405500000000004</v>
      </c>
      <c r="E4864">
        <v>0.51501419999999998</v>
      </c>
      <c r="F4864" t="s">
        <v>79</v>
      </c>
      <c r="G4864">
        <v>-194.46700000000001</v>
      </c>
      <c r="H4864" s="1">
        <v>-7.6133800000000001E-6</v>
      </c>
      <c r="I4864">
        <v>136.22579999999999</v>
      </c>
      <c r="J4864">
        <v>-192.52440000000001</v>
      </c>
      <c r="K4864">
        <v>1.1120350000000001</v>
      </c>
      <c r="L4864">
        <v>172.17400000000001</v>
      </c>
      <c r="M4864">
        <v>-0.1126794</v>
      </c>
      <c r="N4864">
        <v>-1.413966E-2</v>
      </c>
      <c r="O4864">
        <v>-0.99353119999999995</v>
      </c>
      <c r="P4864">
        <v>-6.8909929999999998E-3</v>
      </c>
      <c r="Q4864">
        <v>0.1688654</v>
      </c>
      <c r="R4864">
        <v>-0.98561529999999997</v>
      </c>
      <c r="S4864">
        <v>-0.16600039999999999</v>
      </c>
      <c r="T4864">
        <v>-9.4224929999999998E-2</v>
      </c>
      <c r="U4864">
        <v>-3.0587770000000001</v>
      </c>
      <c r="V4864">
        <v>-0.1047037</v>
      </c>
      <c r="W4864">
        <v>0.18243129999999999</v>
      </c>
      <c r="X4864">
        <v>0.97762769999999999</v>
      </c>
      <c r="Y4864">
        <v>-5.8668369999999997E-2</v>
      </c>
      <c r="Z4864">
        <v>1.6354670000000002E-2</v>
      </c>
      <c r="AA4864">
        <v>0.99814360000000002</v>
      </c>
      <c r="AB4864">
        <v>28</v>
      </c>
      <c r="AC4864">
        <v>-1.9425999999999899</v>
      </c>
      <c r="AD4864">
        <v>-1.1120426133800001</v>
      </c>
      <c r="AE4864">
        <v>-35.9482</v>
      </c>
      <c r="AF4864">
        <v>-2.1187773847323199</v>
      </c>
      <c r="AG4864">
        <v>-1.1120426133800001</v>
      </c>
      <c r="AH4864">
        <v>35.903869125897998</v>
      </c>
      <c r="AI4864">
        <v>91.770963367926896</v>
      </c>
      <c r="AJ4864">
        <v>93.3772509154131</v>
      </c>
      <c r="AK4864">
        <v>35.983519485865102</v>
      </c>
      <c r="AL4864">
        <v>79.488591514681602</v>
      </c>
      <c r="AM4864">
        <v>96.113062756671098</v>
      </c>
      <c r="AN4864">
        <v>0.99999998191033401</v>
      </c>
    </row>
    <row r="4865" spans="1:40" x14ac:dyDescent="0.25">
      <c r="A4865" t="str">
        <f>"20190304154851794"</f>
        <v>20190304154851794</v>
      </c>
      <c r="B4865" t="str">
        <f>"1551685731791797"</f>
        <v>1551685731791797</v>
      </c>
      <c r="C4865" t="s">
        <v>40</v>
      </c>
      <c r="D4865">
        <v>4.662884</v>
      </c>
      <c r="E4865">
        <v>0.51445249999999998</v>
      </c>
      <c r="F4865" t="s">
        <v>79</v>
      </c>
      <c r="G4865">
        <v>-194.4203</v>
      </c>
      <c r="H4865" s="1">
        <v>-7.7164120000000007E-6</v>
      </c>
      <c r="I4865">
        <v>136.56890000000001</v>
      </c>
      <c r="J4865">
        <v>-192.54519999999999</v>
      </c>
      <c r="K4865">
        <v>1.1120080000000001</v>
      </c>
      <c r="L4865">
        <v>171.9813</v>
      </c>
      <c r="M4865">
        <v>-0.1117345</v>
      </c>
      <c r="N4865">
        <v>-1.41358E-2</v>
      </c>
      <c r="O4865">
        <v>-0.99363780000000002</v>
      </c>
      <c r="P4865">
        <v>-7.0621969999999897E-3</v>
      </c>
      <c r="Q4865">
        <v>0.16903979999999999</v>
      </c>
      <c r="R4865">
        <v>-0.98558380000000001</v>
      </c>
      <c r="S4865">
        <v>-0.16288759999999999</v>
      </c>
      <c r="T4865">
        <v>-9.554195E-2</v>
      </c>
      <c r="U4865">
        <v>-3.0590359999999999</v>
      </c>
      <c r="V4865">
        <v>-0.103585999999999</v>
      </c>
      <c r="W4865">
        <v>0.18261359999999999</v>
      </c>
      <c r="X4865">
        <v>0.97771280000000005</v>
      </c>
      <c r="Y4865">
        <v>-5.8736539999999997E-2</v>
      </c>
      <c r="Z4865">
        <v>1.67858E-2</v>
      </c>
      <c r="AA4865">
        <v>0.99813240000000003</v>
      </c>
      <c r="AB4865">
        <v>28</v>
      </c>
      <c r="AC4865">
        <v>-1.8751</v>
      </c>
      <c r="AD4865">
        <v>-1.1120157164119999</v>
      </c>
      <c r="AE4865">
        <v>-35.412399999999899</v>
      </c>
      <c r="AF4865">
        <v>-2.0917683750040301</v>
      </c>
      <c r="AG4865">
        <v>-1.1120157164119999</v>
      </c>
      <c r="AH4865">
        <v>35.365365317107504</v>
      </c>
      <c r="AI4865">
        <v>91.7978543073949</v>
      </c>
      <c r="AJ4865">
        <v>93.3849510732407</v>
      </c>
      <c r="AK4865">
        <v>35.4446207188155</v>
      </c>
      <c r="AL4865">
        <v>79.477968791678194</v>
      </c>
      <c r="AM4865">
        <v>96.047770257608306</v>
      </c>
      <c r="AN4865">
        <v>1.00000005279239</v>
      </c>
    </row>
    <row r="4866" spans="1:40" x14ac:dyDescent="0.25">
      <c r="A4866" t="str">
        <f>"20190304154851805"</f>
        <v>20190304154851805</v>
      </c>
      <c r="B4866" t="str">
        <f>"1551685731801558"</f>
        <v>1551685731801558</v>
      </c>
      <c r="C4866" t="s">
        <v>40</v>
      </c>
      <c r="D4866">
        <v>4.8286930000000003</v>
      </c>
      <c r="E4866">
        <v>0.51410109999999998</v>
      </c>
      <c r="F4866" t="s">
        <v>79</v>
      </c>
      <c r="G4866">
        <v>-194.30779999999999</v>
      </c>
      <c r="H4866" s="1">
        <v>-8.2014189999999994E-6</v>
      </c>
      <c r="I4866">
        <v>138.13560000000001</v>
      </c>
      <c r="J4866">
        <v>-192.56010000000001</v>
      </c>
      <c r="K4866">
        <v>1.111991</v>
      </c>
      <c r="L4866">
        <v>171.84219999999999</v>
      </c>
      <c r="M4866">
        <v>-0.11106829999999999</v>
      </c>
      <c r="N4866">
        <v>-1.4133089999999999E-2</v>
      </c>
      <c r="O4866">
        <v>-0.99371240000000005</v>
      </c>
      <c r="P4866">
        <v>-6.7925869999999897E-3</v>
      </c>
      <c r="Q4866">
        <v>0.16897609999999999</v>
      </c>
      <c r="R4866">
        <v>-0.98559699999999995</v>
      </c>
      <c r="S4866">
        <v>-0.1593628</v>
      </c>
      <c r="T4866">
        <v>-0.10053769999999999</v>
      </c>
      <c r="U4866">
        <v>-3.0599980000000002</v>
      </c>
      <c r="V4866">
        <v>-0.1031889</v>
      </c>
      <c r="W4866">
        <v>0.1825541</v>
      </c>
      <c r="X4866">
        <v>0.97776589999999997</v>
      </c>
      <c r="Y4866">
        <v>-5.923117E-2</v>
      </c>
      <c r="Z4866">
        <v>1.839464E-2</v>
      </c>
      <c r="AA4866">
        <v>0.99807480000000004</v>
      </c>
      <c r="AB4866">
        <v>28</v>
      </c>
      <c r="AC4866">
        <v>-1.74769999999998</v>
      </c>
      <c r="AD4866">
        <v>-1.1119992014190001</v>
      </c>
      <c r="AE4866">
        <v>-33.706599999999902</v>
      </c>
      <c r="AF4866">
        <v>-2.0050474338285098</v>
      </c>
      <c r="AG4866">
        <v>-1.1119992014190001</v>
      </c>
      <c r="AH4866">
        <v>33.655609636648897</v>
      </c>
      <c r="AI4866">
        <v>91.889047599690798</v>
      </c>
      <c r="AJ4866">
        <v>93.409390969455401</v>
      </c>
      <c r="AK4866">
        <v>33.733615540738498</v>
      </c>
      <c r="AL4866">
        <v>79.481436166158403</v>
      </c>
      <c r="AM4866">
        <v>96.024432012652994</v>
      </c>
      <c r="AN4866">
        <v>1.0000000518564101</v>
      </c>
    </row>
    <row r="4867" spans="1:40" x14ac:dyDescent="0.25">
      <c r="A4867" t="str">
        <f>"20190304154851819"</f>
        <v>20190304154851819</v>
      </c>
      <c r="B4867" t="str">
        <f>"1551685731812294"</f>
        <v>1551685731812294</v>
      </c>
      <c r="C4867" t="s">
        <v>40</v>
      </c>
      <c r="D4867">
        <v>4.8073930000000002</v>
      </c>
      <c r="E4867">
        <v>0.51383109999999999</v>
      </c>
      <c r="F4867" t="s">
        <v>79</v>
      </c>
      <c r="G4867">
        <v>-194.27250000000001</v>
      </c>
      <c r="H4867" s="1">
        <v>-8.2285779999999993E-6</v>
      </c>
      <c r="I4867">
        <v>138.2364</v>
      </c>
      <c r="J4867">
        <v>-192.5762</v>
      </c>
      <c r="K4867">
        <v>1.1119709999999901</v>
      </c>
      <c r="L4867">
        <v>171.69099999999901</v>
      </c>
      <c r="M4867">
        <v>-0.1103542</v>
      </c>
      <c r="N4867">
        <v>-1.4130200000000001E-2</v>
      </c>
      <c r="O4867">
        <v>-0.99379220000000001</v>
      </c>
      <c r="P4867">
        <v>-6.6005229999999996E-3</v>
      </c>
      <c r="Q4867">
        <v>0.1691011</v>
      </c>
      <c r="R4867">
        <v>-0.98557709999999998</v>
      </c>
      <c r="S4867">
        <v>-0.1559296</v>
      </c>
      <c r="T4867">
        <v>-0.1012583</v>
      </c>
      <c r="U4867">
        <v>-3.0601349999999998</v>
      </c>
      <c r="V4867">
        <v>-0.1026642</v>
      </c>
      <c r="W4867">
        <v>0.18268300000000001</v>
      </c>
      <c r="X4867">
        <v>0.97779700000000003</v>
      </c>
      <c r="Y4867">
        <v>-5.9632869999999998E-2</v>
      </c>
      <c r="Z4867">
        <v>1.8632059999999999E-2</v>
      </c>
      <c r="AA4867">
        <v>0.99804649999999995</v>
      </c>
      <c r="AB4867">
        <v>28</v>
      </c>
      <c r="AC4867">
        <v>-1.6962999999999999</v>
      </c>
      <c r="AD4867">
        <v>-1.1119792285779999</v>
      </c>
      <c r="AE4867">
        <v>-33.4545999999999</v>
      </c>
      <c r="AF4867">
        <v>-2.0040771431042401</v>
      </c>
      <c r="AG4867">
        <v>-1.1119792285779999</v>
      </c>
      <c r="AH4867">
        <v>33.400635559331597</v>
      </c>
      <c r="AI4867">
        <v>91.903375256063498</v>
      </c>
      <c r="AJ4867">
        <v>93.433697039764397</v>
      </c>
      <c r="AK4867">
        <v>33.479176793457597</v>
      </c>
      <c r="AL4867">
        <v>79.473923814771496</v>
      </c>
      <c r="AM4867">
        <v>95.9938330081646</v>
      </c>
      <c r="AN4867">
        <v>0.99999999482982005</v>
      </c>
    </row>
    <row r="4868" spans="1:40" x14ac:dyDescent="0.25">
      <c r="A4868" t="str">
        <f>"20190304154851829"</f>
        <v>20190304154851829</v>
      </c>
      <c r="B4868" t="str">
        <f>"1551685731822053"</f>
        <v>1551685731822053</v>
      </c>
      <c r="C4868" t="s">
        <v>40</v>
      </c>
      <c r="D4868">
        <v>4.8190540000000004</v>
      </c>
      <c r="E4868">
        <v>0.51350309999999999</v>
      </c>
      <c r="F4868" t="s">
        <v>79</v>
      </c>
      <c r="G4868">
        <v>-194.2595</v>
      </c>
      <c r="H4868" s="1">
        <v>-8.1838729999999992E-6</v>
      </c>
      <c r="I4868">
        <v>138.10239999999999</v>
      </c>
      <c r="J4868">
        <v>-192.59270000000001</v>
      </c>
      <c r="K4868">
        <v>1.1119509999999999</v>
      </c>
      <c r="L4868">
        <v>171.535</v>
      </c>
      <c r="M4868">
        <v>-0.1096258</v>
      </c>
      <c r="N4868">
        <v>-1.4127280000000001E-2</v>
      </c>
      <c r="O4868">
        <v>-0.99387259999999999</v>
      </c>
      <c r="P4868">
        <v>-6.2146650000000003E-3</v>
      </c>
      <c r="Q4868">
        <v>0.1689957</v>
      </c>
      <c r="R4868">
        <v>-0.98559739999999996</v>
      </c>
      <c r="S4868">
        <v>-0.15336610000000001</v>
      </c>
      <c r="T4868">
        <v>-0.1013126</v>
      </c>
      <c r="U4868">
        <v>-3.060257</v>
      </c>
      <c r="V4868">
        <v>-0.1023231</v>
      </c>
      <c r="W4868">
        <v>0.1825813</v>
      </c>
      <c r="X4868">
        <v>0.97785169999999999</v>
      </c>
      <c r="Y4868">
        <v>-5.9737199999999997E-2</v>
      </c>
      <c r="Z4868">
        <v>1.865487E-2</v>
      </c>
      <c r="AA4868">
        <v>0.99803980000000003</v>
      </c>
      <c r="AB4868">
        <v>28</v>
      </c>
      <c r="AC4868">
        <v>-1.6667999999999901</v>
      </c>
      <c r="AD4868">
        <v>-1.1119591838730001</v>
      </c>
      <c r="AE4868">
        <v>-33.432600000000001</v>
      </c>
      <c r="AF4868">
        <v>-2.0064749084236699</v>
      </c>
      <c r="AG4868">
        <v>-1.1119591838730001</v>
      </c>
      <c r="AH4868">
        <v>33.376971164709602</v>
      </c>
      <c r="AI4868">
        <v>91.904676425305297</v>
      </c>
      <c r="AJ4868">
        <v>93.440226975221904</v>
      </c>
      <c r="AK4868">
        <v>33.455711005964197</v>
      </c>
      <c r="AL4868">
        <v>79.479849971124196</v>
      </c>
      <c r="AM4868">
        <v>95.973731095478897</v>
      </c>
      <c r="AN4868">
        <v>0.99999994754809296</v>
      </c>
    </row>
    <row r="4869" spans="1:40" x14ac:dyDescent="0.25">
      <c r="A4869" t="str">
        <f>"20190304154851842"</f>
        <v>20190304154851842</v>
      </c>
      <c r="B4869" t="str">
        <f>"1551685731831814"</f>
        <v>1551685731831814</v>
      </c>
      <c r="C4869" t="s">
        <v>40</v>
      </c>
      <c r="D4869">
        <v>4.8197169999999998</v>
      </c>
      <c r="E4869">
        <v>0.51317500000000005</v>
      </c>
      <c r="F4869" t="s">
        <v>79</v>
      </c>
      <c r="G4869">
        <v>-194.22020000000001</v>
      </c>
      <c r="H4869" s="1">
        <v>-8.2123579999999996E-6</v>
      </c>
      <c r="I4869">
        <v>138.20910000000001</v>
      </c>
      <c r="J4869">
        <v>-192.60730000000001</v>
      </c>
      <c r="K4869">
        <v>1.1119380000000001</v>
      </c>
      <c r="L4869">
        <v>171.39619999999999</v>
      </c>
      <c r="M4869">
        <v>-0.10898969999999999</v>
      </c>
      <c r="N4869">
        <v>-1.412478E-2</v>
      </c>
      <c r="O4869">
        <v>-0.99394280000000002</v>
      </c>
      <c r="P4869">
        <v>-6.0040989999999997E-3</v>
      </c>
      <c r="Q4869">
        <v>0.16888239999999999</v>
      </c>
      <c r="R4869">
        <v>-0.98561840000000001</v>
      </c>
      <c r="S4869">
        <v>-0.1494598</v>
      </c>
      <c r="T4869">
        <v>-0.10211439999999999</v>
      </c>
      <c r="U4869">
        <v>-3.0604100000000001</v>
      </c>
      <c r="V4869">
        <v>-0.1018999</v>
      </c>
      <c r="W4869">
        <v>0.1824711</v>
      </c>
      <c r="X4869">
        <v>0.97791649999999997</v>
      </c>
      <c r="Y4869">
        <v>-6.037153E-2</v>
      </c>
      <c r="Z4869">
        <v>1.8917320000000001E-2</v>
      </c>
      <c r="AA4869">
        <v>0.99799669999999896</v>
      </c>
      <c r="AB4869">
        <v>28</v>
      </c>
      <c r="AC4869">
        <v>-1.61289999999999</v>
      </c>
      <c r="AD4869">
        <v>-1.111946212358</v>
      </c>
      <c r="AE4869">
        <v>-33.187099999999901</v>
      </c>
      <c r="AF4869">
        <v>-2.0118688788838299</v>
      </c>
      <c r="AG4869">
        <v>-1.111946212358</v>
      </c>
      <c r="AH4869">
        <v>33.128065680571801</v>
      </c>
      <c r="AI4869">
        <v>91.9188831179533</v>
      </c>
      <c r="AJ4869">
        <v>93.475306920951795</v>
      </c>
      <c r="AK4869">
        <v>33.207721639722301</v>
      </c>
      <c r="AL4869">
        <v>79.4862722613437</v>
      </c>
      <c r="AM4869">
        <v>95.948810406846306</v>
      </c>
      <c r="AN4869">
        <v>0.999999986463734</v>
      </c>
    </row>
    <row r="4870" spans="1:40" x14ac:dyDescent="0.25">
      <c r="A4870" t="str">
        <f>"20190304154851853"</f>
        <v>20190304154851853</v>
      </c>
      <c r="B4870" t="str">
        <f>"1551685731841574"</f>
        <v>1551685731841574</v>
      </c>
      <c r="C4870" t="s">
        <v>40</v>
      </c>
      <c r="D4870">
        <v>4.8007140000000001</v>
      </c>
      <c r="E4870">
        <v>0.51286259999999995</v>
      </c>
      <c r="F4870" t="s">
        <v>79</v>
      </c>
      <c r="G4870">
        <v>-194.184</v>
      </c>
      <c r="H4870" s="1">
        <v>-8.2665570000000005E-6</v>
      </c>
      <c r="I4870">
        <v>138.3948</v>
      </c>
      <c r="J4870">
        <v>-192.6223</v>
      </c>
      <c r="K4870">
        <v>1.1119239999999999</v>
      </c>
      <c r="L4870">
        <v>171.25290000000001</v>
      </c>
      <c r="M4870">
        <v>-0.10833520000000001</v>
      </c>
      <c r="N4870">
        <v>-1.412223E-2</v>
      </c>
      <c r="O4870">
        <v>-0.99401410000000001</v>
      </c>
      <c r="P4870">
        <v>-5.7032159999999997E-3</v>
      </c>
      <c r="Q4870">
        <v>0.1689338</v>
      </c>
      <c r="R4870">
        <v>-0.98561080000000001</v>
      </c>
      <c r="S4870">
        <v>-0.14622499999999999</v>
      </c>
      <c r="T4870">
        <v>-0.1031224</v>
      </c>
      <c r="U4870">
        <v>-3.060562</v>
      </c>
      <c r="V4870">
        <v>-0.1015464</v>
      </c>
      <c r="W4870">
        <v>0.18252460000000001</v>
      </c>
      <c r="X4870">
        <v>0.97794329999999996</v>
      </c>
      <c r="Y4870">
        <v>-6.0769030000000002E-2</v>
      </c>
      <c r="Z4870">
        <v>1.9246679999999999E-2</v>
      </c>
      <c r="AA4870">
        <v>0.99796629999999997</v>
      </c>
      <c r="AB4870">
        <v>28</v>
      </c>
      <c r="AC4870">
        <v>-1.5617000000000301</v>
      </c>
      <c r="AD4870">
        <v>-1.1119322665569999</v>
      </c>
      <c r="AE4870">
        <v>-32.8581</v>
      </c>
      <c r="AF4870">
        <v>-2.0052460487616899</v>
      </c>
      <c r="AG4870">
        <v>-1.1119322665569999</v>
      </c>
      <c r="AH4870">
        <v>32.796403395670197</v>
      </c>
      <c r="AI4870">
        <v>91.938200843009199</v>
      </c>
      <c r="AJ4870">
        <v>93.4988374914075</v>
      </c>
      <c r="AK4870">
        <v>32.8764578501549</v>
      </c>
      <c r="AL4870">
        <v>79.483154718052603</v>
      </c>
      <c r="AM4870">
        <v>95.928159365980704</v>
      </c>
      <c r="AN4870">
        <v>0.99999999948650398</v>
      </c>
    </row>
    <row r="4871" spans="1:40" x14ac:dyDescent="0.25">
      <c r="A4871" t="str">
        <f>"20190304154851864"</f>
        <v>20190304154851864</v>
      </c>
      <c r="B4871" t="str">
        <f>"1551685731862071"</f>
        <v>1551685731862071</v>
      </c>
      <c r="C4871" t="s">
        <v>40</v>
      </c>
      <c r="D4871">
        <v>4.7941129999999896</v>
      </c>
      <c r="E4871">
        <v>0.51236190000000004</v>
      </c>
      <c r="F4871" t="s">
        <v>79</v>
      </c>
      <c r="G4871">
        <v>-194.15809999999999</v>
      </c>
      <c r="H4871" s="1">
        <v>-8.2503449999999994E-6</v>
      </c>
      <c r="I4871">
        <v>138.35579999999999</v>
      </c>
      <c r="J4871">
        <v>-192.63740000000001</v>
      </c>
      <c r="K4871">
        <v>1.111904</v>
      </c>
      <c r="L4871">
        <v>171.10769999999999</v>
      </c>
      <c r="M4871">
        <v>-0.1076792</v>
      </c>
      <c r="N4871">
        <v>-1.411977E-2</v>
      </c>
      <c r="O4871">
        <v>-0.99408540000000001</v>
      </c>
      <c r="P4871">
        <v>-5.3408219999999899E-3</v>
      </c>
      <c r="Q4871">
        <v>0.168770899999999</v>
      </c>
      <c r="R4871">
        <v>-0.98564070000000004</v>
      </c>
      <c r="S4871">
        <v>-0.14288329999999999</v>
      </c>
      <c r="T4871">
        <v>-0.1034524</v>
      </c>
      <c r="U4871">
        <v>-3.0606990000000001</v>
      </c>
      <c r="V4871">
        <v>-0.101258</v>
      </c>
      <c r="W4871">
        <v>0.18236330000000001</v>
      </c>
      <c r="X4871">
        <v>0.97800330000000002</v>
      </c>
      <c r="Y4871">
        <v>-6.119956E-2</v>
      </c>
      <c r="Z4871">
        <v>1.9357200000000001E-2</v>
      </c>
      <c r="AA4871">
        <v>0.99793790000000004</v>
      </c>
      <c r="AB4871">
        <v>28</v>
      </c>
      <c r="AC4871">
        <v>-1.52069999999997</v>
      </c>
      <c r="AD4871">
        <v>-1.1119122503450001</v>
      </c>
      <c r="AE4871">
        <v>-32.751899999999999</v>
      </c>
      <c r="AF4871">
        <v>-2.0128786583069598</v>
      </c>
      <c r="AG4871">
        <v>-1.1119122503450001</v>
      </c>
      <c r="AH4871">
        <v>32.687602590534397</v>
      </c>
      <c r="AI4871">
        <v>91.944560317696997</v>
      </c>
      <c r="AJ4871">
        <v>93.523782620030801</v>
      </c>
      <c r="AK4871">
        <v>32.768390141449501</v>
      </c>
      <c r="AL4871">
        <v>79.4925543488485</v>
      </c>
      <c r="AM4871">
        <v>95.911082212633502</v>
      </c>
      <c r="AN4871">
        <v>1.0000000052808899</v>
      </c>
    </row>
    <row r="4872" spans="1:40" x14ac:dyDescent="0.25">
      <c r="A4872" t="str">
        <f>"20190304154851877"</f>
        <v>20190304154851877</v>
      </c>
      <c r="B4872" t="str">
        <f>"1551685731871829"</f>
        <v>1551685731871829</v>
      </c>
      <c r="C4872" t="s">
        <v>40</v>
      </c>
      <c r="D4872">
        <v>4.7222860000000004</v>
      </c>
      <c r="E4872">
        <v>0.5121694</v>
      </c>
      <c r="F4872" t="s">
        <v>79</v>
      </c>
      <c r="G4872">
        <v>-194.10849999999999</v>
      </c>
      <c r="H4872" s="1">
        <v>-8.2819120000000006E-6</v>
      </c>
      <c r="I4872">
        <v>138.47669999999999</v>
      </c>
      <c r="J4872">
        <v>-192.65219999999999</v>
      </c>
      <c r="K4872">
        <v>1.1118920000000001</v>
      </c>
      <c r="L4872">
        <v>170.96459999999999</v>
      </c>
      <c r="M4872">
        <v>-0.10703509999999999</v>
      </c>
      <c r="N4872">
        <v>-1.4117370000000001E-2</v>
      </c>
      <c r="O4872">
        <v>-0.99415500000000001</v>
      </c>
      <c r="P4872">
        <v>-4.937042E-3</v>
      </c>
      <c r="Q4872">
        <v>0.16851479999999999</v>
      </c>
      <c r="R4872">
        <v>-0.98568710000000004</v>
      </c>
      <c r="S4872">
        <v>-0.1379852</v>
      </c>
      <c r="T4872">
        <v>-0.10429860000000001</v>
      </c>
      <c r="U4872">
        <v>-3.0608219999999999</v>
      </c>
      <c r="V4872">
        <v>-0.10102410000000001</v>
      </c>
      <c r="W4872">
        <v>0.18210870000000001</v>
      </c>
      <c r="X4872">
        <v>0.97807489999999997</v>
      </c>
      <c r="Y4872">
        <v>-6.2148109999999999E-2</v>
      </c>
      <c r="Z4872">
        <v>1.9633879999999999E-2</v>
      </c>
      <c r="AA4872">
        <v>0.99787380000000003</v>
      </c>
      <c r="AB4872">
        <v>28</v>
      </c>
      <c r="AC4872">
        <v>-1.4562999999999899</v>
      </c>
      <c r="AD4872">
        <v>-1.1119002819120001</v>
      </c>
      <c r="AE4872">
        <v>-32.487900000000003</v>
      </c>
      <c r="AF4872">
        <v>-2.0273899677562599</v>
      </c>
      <c r="AG4872">
        <v>-1.1119002819120001</v>
      </c>
      <c r="AH4872">
        <v>32.419220080065401</v>
      </c>
      <c r="AI4872">
        <v>91.960508811859796</v>
      </c>
      <c r="AJ4872">
        <v>93.578427055084603</v>
      </c>
      <c r="AK4872">
        <v>32.501576314357301</v>
      </c>
      <c r="AL4872">
        <v>79.507390002671201</v>
      </c>
      <c r="AM4872">
        <v>95.897095625018594</v>
      </c>
      <c r="AN4872">
        <v>0.99999997870325397</v>
      </c>
    </row>
    <row r="4873" spans="1:40" x14ac:dyDescent="0.25">
      <c r="A4873" t="str">
        <f>"20190304154851888"</f>
        <v>20190304154851888</v>
      </c>
      <c r="B4873" t="str">
        <f>"1551685731881590"</f>
        <v>1551685731881590</v>
      </c>
      <c r="C4873" t="s">
        <v>40</v>
      </c>
      <c r="D4873">
        <v>4.7747760000000001</v>
      </c>
      <c r="E4873">
        <v>0.51192529999999903</v>
      </c>
      <c r="F4873" t="s">
        <v>79</v>
      </c>
      <c r="G4873">
        <v>-194.0789</v>
      </c>
      <c r="H4873" s="1">
        <v>-8.3328099999999999E-6</v>
      </c>
      <c r="I4873">
        <v>138.6491</v>
      </c>
      <c r="J4873">
        <v>-192.6677</v>
      </c>
      <c r="K4873">
        <v>1.111883</v>
      </c>
      <c r="L4873">
        <v>170.8141</v>
      </c>
      <c r="M4873">
        <v>-0.10636130000000001</v>
      </c>
      <c r="N4873">
        <v>-1.411488E-2</v>
      </c>
      <c r="O4873">
        <v>-0.99422759999999999</v>
      </c>
      <c r="P4873">
        <v>-4.6089599999999996E-3</v>
      </c>
      <c r="Q4873">
        <v>0.16807629999999901</v>
      </c>
      <c r="R4873">
        <v>-0.98576359999999996</v>
      </c>
      <c r="S4873">
        <v>-0.1351318</v>
      </c>
      <c r="T4873">
        <v>-0.1053185</v>
      </c>
      <c r="U4873">
        <v>-3.0608979999999999</v>
      </c>
      <c r="V4873">
        <v>-0.1006895</v>
      </c>
      <c r="W4873">
        <v>0.18167220000000001</v>
      </c>
      <c r="X4873">
        <v>0.97819060000000002</v>
      </c>
      <c r="Y4873">
        <v>-6.2401199999999997E-2</v>
      </c>
      <c r="Z4873">
        <v>1.9968179999999999E-2</v>
      </c>
      <c r="AA4873">
        <v>0.99785140000000006</v>
      </c>
      <c r="AB4873">
        <v>28</v>
      </c>
      <c r="AC4873">
        <v>-1.4112</v>
      </c>
      <c r="AD4873">
        <v>-1.11189133281</v>
      </c>
      <c r="AE4873">
        <v>-32.1649999999999</v>
      </c>
      <c r="AF4873">
        <v>-2.0158535432820601</v>
      </c>
      <c r="AG4873">
        <v>-1.11189133281</v>
      </c>
      <c r="AH4873">
        <v>32.094343064778897</v>
      </c>
      <c r="AI4873">
        <v>91.980288743065401</v>
      </c>
      <c r="AJ4873">
        <v>93.594040581547404</v>
      </c>
      <c r="AK4873">
        <v>32.176805692978</v>
      </c>
      <c r="AL4873">
        <v>79.532824176121196</v>
      </c>
      <c r="AM4873">
        <v>95.877010588112995</v>
      </c>
      <c r="AN4873">
        <v>1.00000000679572</v>
      </c>
    </row>
    <row r="4874" spans="1:40" x14ac:dyDescent="0.25">
      <c r="A4874" t="str">
        <f>"20190304154851900"</f>
        <v>20190304154851900</v>
      </c>
      <c r="B4874" t="str">
        <f>"1551685731891350"</f>
        <v>1551685731891350</v>
      </c>
      <c r="C4874" t="s">
        <v>40</v>
      </c>
      <c r="D4874">
        <v>4.7551610000000002</v>
      </c>
      <c r="E4874">
        <v>0.51172819999999997</v>
      </c>
      <c r="F4874" t="s">
        <v>79</v>
      </c>
      <c r="G4874">
        <v>-194.04570000000001</v>
      </c>
      <c r="H4874" s="1">
        <v>-8.4204549999999902E-6</v>
      </c>
      <c r="I4874">
        <v>138.93799999999999</v>
      </c>
      <c r="J4874">
        <v>-192.68170000000001</v>
      </c>
      <c r="K4874">
        <v>1.1118779999999999</v>
      </c>
      <c r="L4874">
        <v>170.67699999999999</v>
      </c>
      <c r="M4874">
        <v>-0.1057492</v>
      </c>
      <c r="N4874">
        <v>-1.4112660000000001E-2</v>
      </c>
      <c r="O4874">
        <v>-0.99429270000000003</v>
      </c>
      <c r="P4874">
        <v>-4.2405790000000004E-3</v>
      </c>
      <c r="Q4874">
        <v>0.16769389999999901</v>
      </c>
      <c r="R4874">
        <v>-0.98583010000000004</v>
      </c>
      <c r="S4874">
        <v>-0.1323242</v>
      </c>
      <c r="T4874">
        <v>-0.1067688</v>
      </c>
      <c r="U4874">
        <v>-3.060883</v>
      </c>
      <c r="V4874">
        <v>-0.100456</v>
      </c>
      <c r="W4874">
        <v>0.1812909</v>
      </c>
      <c r="X4874">
        <v>0.97828530000000002</v>
      </c>
      <c r="Y4874">
        <v>-6.2700149999999996E-2</v>
      </c>
      <c r="Z4874">
        <v>2.0441890000000001E-2</v>
      </c>
      <c r="AA4874">
        <v>0.99782309999999996</v>
      </c>
      <c r="AB4874">
        <v>28</v>
      </c>
      <c r="AC4874">
        <v>-1.3640000000000001</v>
      </c>
      <c r="AD4874">
        <v>-1.1118864204549901</v>
      </c>
      <c r="AE4874">
        <v>-31.739000000000001</v>
      </c>
      <c r="AF4874">
        <v>-1.9979103720707601</v>
      </c>
      <c r="AG4874">
        <v>-1.1118864204549901</v>
      </c>
      <c r="AH4874">
        <v>31.666463715587302</v>
      </c>
      <c r="AI4874">
        <v>92.006980470521597</v>
      </c>
      <c r="AJ4874">
        <v>93.610137985829596</v>
      </c>
      <c r="AK4874">
        <v>31.748903312042501</v>
      </c>
      <c r="AL4874">
        <v>79.5550395048094</v>
      </c>
      <c r="AM4874">
        <v>95.862913162240901</v>
      </c>
      <c r="AN4874">
        <v>0.999999963277449</v>
      </c>
    </row>
    <row r="4875" spans="1:40" x14ac:dyDescent="0.25">
      <c r="A4875" t="str">
        <f>"20190304154851911"</f>
        <v>20190304154851911</v>
      </c>
      <c r="B4875" t="str">
        <f>"1551685731902086"</f>
        <v>1551685731902086</v>
      </c>
      <c r="C4875" t="s">
        <v>40</v>
      </c>
      <c r="D4875">
        <v>4.6392059999999997</v>
      </c>
      <c r="E4875">
        <v>0.51179180000000002</v>
      </c>
      <c r="F4875" t="s">
        <v>79</v>
      </c>
      <c r="G4875">
        <v>-194.012</v>
      </c>
      <c r="H4875" s="1">
        <v>-8.5017129999999907E-6</v>
      </c>
      <c r="I4875">
        <v>139.2072</v>
      </c>
      <c r="J4875">
        <v>-192.69649999999999</v>
      </c>
      <c r="K4875">
        <v>1.111874</v>
      </c>
      <c r="L4875">
        <v>170.5316</v>
      </c>
      <c r="M4875">
        <v>-0.10510070000000001</v>
      </c>
      <c r="N4875">
        <v>-1.4110340000000001E-2</v>
      </c>
      <c r="O4875">
        <v>-0.99436170000000002</v>
      </c>
      <c r="P4875">
        <v>-3.8693249999999998E-3</v>
      </c>
      <c r="Q4875">
        <v>0.1674003</v>
      </c>
      <c r="R4875">
        <v>-0.98588189999999998</v>
      </c>
      <c r="S4875">
        <v>-0.1293945</v>
      </c>
      <c r="T4875">
        <v>-0.1081493</v>
      </c>
      <c r="U4875">
        <v>-3.060959</v>
      </c>
      <c r="V4875">
        <v>-0.10018870000000001</v>
      </c>
      <c r="W4875">
        <v>0.1809973</v>
      </c>
      <c r="X4875">
        <v>0.97836710000000005</v>
      </c>
      <c r="Y4875">
        <v>-6.3003649999999994E-2</v>
      </c>
      <c r="Z4875">
        <v>2.0892350000000001E-2</v>
      </c>
      <c r="AA4875">
        <v>0.99779459999999998</v>
      </c>
      <c r="AB4875">
        <v>28</v>
      </c>
      <c r="AC4875">
        <v>-1.3155000000000101</v>
      </c>
      <c r="AD4875">
        <v>-1.1118825017129901</v>
      </c>
      <c r="AE4875">
        <v>-31.324400000000001</v>
      </c>
      <c r="AF4875">
        <v>-1.98183804186346</v>
      </c>
      <c r="AG4875">
        <v>-1.1118825017129901</v>
      </c>
      <c r="AH4875">
        <v>31.2498477613122</v>
      </c>
      <c r="AI4875">
        <v>92.033665761913099</v>
      </c>
      <c r="AJ4875">
        <v>93.628788505612107</v>
      </c>
      <c r="AK4875">
        <v>31.332362659508799</v>
      </c>
      <c r="AL4875">
        <v>79.572144806947094</v>
      </c>
      <c r="AM4875">
        <v>95.846935467505006</v>
      </c>
      <c r="AN4875">
        <v>0.99999999028869502</v>
      </c>
    </row>
    <row r="4876" spans="1:40" x14ac:dyDescent="0.25">
      <c r="A4876" t="str">
        <f>"20190304154851924"</f>
        <v>20190304154851924</v>
      </c>
      <c r="B4876" t="str">
        <f>"1551685731911846"</f>
        <v>1551685731911846</v>
      </c>
      <c r="C4876" t="s">
        <v>40</v>
      </c>
      <c r="D4876">
        <v>4.7591809999999999</v>
      </c>
      <c r="E4876">
        <v>0.51156709999999905</v>
      </c>
      <c r="F4876" t="s">
        <v>79</v>
      </c>
      <c r="G4876">
        <v>-194.00280000000001</v>
      </c>
      <c r="H4876" s="1">
        <v>-8.5847680000000003E-6</v>
      </c>
      <c r="I4876">
        <v>139.4709</v>
      </c>
      <c r="J4876">
        <v>-192.7124</v>
      </c>
      <c r="K4876">
        <v>1.111869</v>
      </c>
      <c r="L4876">
        <v>170.37360000000001</v>
      </c>
      <c r="M4876">
        <v>-0.1043959</v>
      </c>
      <c r="N4876">
        <v>-1.4108030000000001E-2</v>
      </c>
      <c r="O4876">
        <v>-0.99443579999999998</v>
      </c>
      <c r="P4876">
        <v>-3.4402679999999998E-3</v>
      </c>
      <c r="Q4876">
        <v>0.16716900000000001</v>
      </c>
      <c r="R4876">
        <v>-0.98592230000000003</v>
      </c>
      <c r="S4876">
        <v>-0.1287384</v>
      </c>
      <c r="T4876">
        <v>-0.1095773</v>
      </c>
      <c r="U4876">
        <v>-3.0610659999999998</v>
      </c>
      <c r="V4876">
        <v>-9.992239E-2</v>
      </c>
      <c r="W4876">
        <v>0.18076619999999999</v>
      </c>
      <c r="X4876">
        <v>0.97843709999999995</v>
      </c>
      <c r="Y4876">
        <v>-6.2511650000000002E-2</v>
      </c>
      <c r="Z4876">
        <v>2.1359030000000001E-2</v>
      </c>
      <c r="AA4876">
        <v>0.99781569999999997</v>
      </c>
      <c r="AB4876">
        <v>28</v>
      </c>
      <c r="AC4876">
        <v>-1.2904</v>
      </c>
      <c r="AD4876">
        <v>-1.111877584768</v>
      </c>
      <c r="AE4876">
        <v>-30.902699999999999</v>
      </c>
      <c r="AF4876">
        <v>-1.9405806879671199</v>
      </c>
      <c r="AG4876">
        <v>-1.111877584768</v>
      </c>
      <c r="AH4876">
        <v>30.828694217985898</v>
      </c>
      <c r="AI4876">
        <v>92.061476103097306</v>
      </c>
      <c r="AJ4876">
        <v>93.601857945543799</v>
      </c>
      <c r="AK4876">
        <v>30.909715501053999</v>
      </c>
      <c r="AL4876">
        <v>79.585608365467394</v>
      </c>
      <c r="AM4876">
        <v>95.831086743547402</v>
      </c>
      <c r="AN4876">
        <v>1.0000000308710799</v>
      </c>
    </row>
    <row r="4877" spans="1:40" x14ac:dyDescent="0.25">
      <c r="A4877" t="str">
        <f>"20190304154851942"</f>
        <v>20190304154851942</v>
      </c>
      <c r="B4877" t="str">
        <f>"1551685731931366"</f>
        <v>1551685731931366</v>
      </c>
      <c r="C4877" t="s">
        <v>40</v>
      </c>
      <c r="D4877">
        <v>4.5755429999999997</v>
      </c>
      <c r="E4877">
        <v>0.5114031</v>
      </c>
      <c r="F4877" t="s">
        <v>79</v>
      </c>
      <c r="G4877">
        <v>-193.9753</v>
      </c>
      <c r="H4877" s="1">
        <v>-8.6243529999999997E-6</v>
      </c>
      <c r="I4877">
        <v>139.607</v>
      </c>
      <c r="J4877">
        <v>-192.73349999999999</v>
      </c>
      <c r="K4877">
        <v>1.1118669999999999</v>
      </c>
      <c r="L4877">
        <v>170.16309999999999</v>
      </c>
      <c r="M4877">
        <v>-0.1034559</v>
      </c>
      <c r="N4877">
        <v>-1.4105100000000001E-2</v>
      </c>
      <c r="O4877">
        <v>-0.99453400000000003</v>
      </c>
      <c r="P4877">
        <v>-3.0614689999999998E-3</v>
      </c>
      <c r="Q4877">
        <v>0.166763299999999</v>
      </c>
      <c r="R4877">
        <v>-0.98599239999999999</v>
      </c>
      <c r="S4877">
        <v>-0.12565609999999999</v>
      </c>
      <c r="T4877">
        <v>-0.1106282</v>
      </c>
      <c r="U4877">
        <v>-3.061172</v>
      </c>
      <c r="V4877">
        <v>-9.9377480000000004E-2</v>
      </c>
      <c r="W4877">
        <v>0.18036140000000001</v>
      </c>
      <c r="X4877">
        <v>0.97856719999999997</v>
      </c>
      <c r="Y4877">
        <v>-6.2572929999999999E-2</v>
      </c>
      <c r="Z4877">
        <v>2.1705189999999999E-2</v>
      </c>
      <c r="AA4877">
        <v>0.99780429999999998</v>
      </c>
      <c r="AB4877">
        <v>28</v>
      </c>
      <c r="AC4877">
        <v>-1.24180000000001</v>
      </c>
      <c r="AD4877">
        <v>-1.1118756243529999</v>
      </c>
      <c r="AE4877">
        <v>-30.556099999999901</v>
      </c>
      <c r="AF4877">
        <v>-1.9238450513124601</v>
      </c>
      <c r="AG4877">
        <v>-1.1118756243529999</v>
      </c>
      <c r="AH4877">
        <v>30.4802968147233</v>
      </c>
      <c r="AI4877">
        <v>92.084992645821202</v>
      </c>
      <c r="AJ4877">
        <v>93.611584700009004</v>
      </c>
      <c r="AK4877">
        <v>30.5611835683621</v>
      </c>
      <c r="AL4877">
        <v>79.6091883509865</v>
      </c>
      <c r="AM4877">
        <v>95.798739444795402</v>
      </c>
      <c r="AN4877">
        <v>0.99999994152847305</v>
      </c>
    </row>
    <row r="4878" spans="1:40" x14ac:dyDescent="0.25">
      <c r="A4878" t="str">
        <f>"20190304154851955"</f>
        <v>20190304154851955</v>
      </c>
      <c r="B4878" t="str">
        <f>"1551685731951862"</f>
        <v>1551685731951862</v>
      </c>
      <c r="C4878" t="s">
        <v>40</v>
      </c>
      <c r="D4878">
        <v>4.7466019999999904</v>
      </c>
      <c r="E4878">
        <v>0.51106049999999903</v>
      </c>
      <c r="F4878" t="s">
        <v>79</v>
      </c>
      <c r="G4878">
        <v>-193.9365</v>
      </c>
      <c r="H4878" s="1">
        <v>-8.7924559999999904E-6</v>
      </c>
      <c r="I4878">
        <v>140.1901</v>
      </c>
      <c r="J4878">
        <v>-192.74979999999999</v>
      </c>
      <c r="K4878">
        <v>1.1118650000000001</v>
      </c>
      <c r="L4878">
        <v>169.9991</v>
      </c>
      <c r="M4878">
        <v>-0.1027223</v>
      </c>
      <c r="N4878">
        <v>-1.410291E-2</v>
      </c>
      <c r="O4878">
        <v>-0.99461029999999995</v>
      </c>
      <c r="P4878">
        <v>-2.6255100000000002E-3</v>
      </c>
      <c r="Q4878">
        <v>0.16623550000000001</v>
      </c>
      <c r="R4878">
        <v>-0.98608280000000004</v>
      </c>
      <c r="S4878">
        <v>-0.122879</v>
      </c>
      <c r="T4878">
        <v>-0.1135675</v>
      </c>
      <c r="U4878">
        <v>-3.0614469999999998</v>
      </c>
      <c r="V4878">
        <v>-9.9094639999999998E-2</v>
      </c>
      <c r="W4878">
        <v>0.17983379999999999</v>
      </c>
      <c r="X4878">
        <v>0.97869309999999998</v>
      </c>
      <c r="Y4878">
        <v>-6.2744359999999999E-2</v>
      </c>
      <c r="Z4878">
        <v>2.2657509999999999E-2</v>
      </c>
      <c r="AA4878">
        <v>0.9977724</v>
      </c>
      <c r="AB4878">
        <v>28</v>
      </c>
      <c r="AC4878">
        <v>-1.1867000000000001</v>
      </c>
      <c r="AD4878">
        <v>-1.1118737924559901</v>
      </c>
      <c r="AE4878">
        <v>-29.809000000000001</v>
      </c>
      <c r="AF4878">
        <v>-1.8793212354959099</v>
      </c>
      <c r="AG4878">
        <v>-1.1118737924559901</v>
      </c>
      <c r="AH4878">
        <v>29.731893737496499</v>
      </c>
      <c r="AI4878">
        <v>92.137411646646498</v>
      </c>
      <c r="AJ4878">
        <v>93.6167933174426</v>
      </c>
      <c r="AK4878">
        <v>29.811971032696299</v>
      </c>
      <c r="AL4878">
        <v>79.639921388375697</v>
      </c>
      <c r="AM4878">
        <v>95.781608734783902</v>
      </c>
      <c r="AN4878">
        <v>1.0000000636433799</v>
      </c>
    </row>
    <row r="4879" spans="1:40" x14ac:dyDescent="0.25">
      <c r="A4879" t="str">
        <f>"20190304154851968"</f>
        <v>20190304154851968</v>
      </c>
      <c r="B4879" t="str">
        <f>"1551685731961623"</f>
        <v>1551685731961623</v>
      </c>
      <c r="C4879" t="s">
        <v>40</v>
      </c>
      <c r="D4879">
        <v>4.8821729999999999</v>
      </c>
      <c r="E4879">
        <v>0.51108880000000001</v>
      </c>
      <c r="F4879" t="s">
        <v>79</v>
      </c>
      <c r="G4879">
        <v>-193.89410000000001</v>
      </c>
      <c r="H4879" s="1">
        <v>-8.8841699999999899E-6</v>
      </c>
      <c r="I4879">
        <v>140.5189</v>
      </c>
      <c r="J4879">
        <v>-192.7664</v>
      </c>
      <c r="K4879">
        <v>1.1118619999999999</v>
      </c>
      <c r="L4879">
        <v>169.8296</v>
      </c>
      <c r="M4879">
        <v>-0.1019627</v>
      </c>
      <c r="N4879">
        <v>-1.410075E-2</v>
      </c>
      <c r="O4879">
        <v>-0.99468860000000003</v>
      </c>
      <c r="P4879">
        <v>-2.2027359999999998E-3</v>
      </c>
      <c r="Q4879">
        <v>0.16619349999999999</v>
      </c>
      <c r="R4879">
        <v>-0.9860911</v>
      </c>
      <c r="S4879">
        <v>-0.11883539999999999</v>
      </c>
      <c r="T4879">
        <v>-0.1154674</v>
      </c>
      <c r="U4879">
        <v>-3.061493</v>
      </c>
      <c r="V4879">
        <v>-9.8765930000000002E-2</v>
      </c>
      <c r="W4879">
        <v>0.17979149999999999</v>
      </c>
      <c r="X4879">
        <v>0.97873399999999999</v>
      </c>
      <c r="Y4879">
        <v>-6.3298640000000003E-2</v>
      </c>
      <c r="Z4879">
        <v>2.327647E-2</v>
      </c>
      <c r="AA4879">
        <v>0.99772320000000003</v>
      </c>
      <c r="AB4879">
        <v>28</v>
      </c>
      <c r="AC4879">
        <v>-1.1276999999999999</v>
      </c>
      <c r="AD4879">
        <v>-1.11187088417</v>
      </c>
      <c r="AE4879">
        <v>-29.310700000000001</v>
      </c>
      <c r="AF4879">
        <v>-1.8643939398645599</v>
      </c>
      <c r="AG4879">
        <v>-1.11187088417</v>
      </c>
      <c r="AH4879">
        <v>29.230902861145399</v>
      </c>
      <c r="AI4879">
        <v>92.173925729369401</v>
      </c>
      <c r="AJ4879">
        <v>93.649473412759306</v>
      </c>
      <c r="AK4879">
        <v>29.311395458145402</v>
      </c>
      <c r="AL4879">
        <v>79.642384150977506</v>
      </c>
      <c r="AM4879">
        <v>95.762320469329893</v>
      </c>
      <c r="AN4879">
        <v>0.99999996757850695</v>
      </c>
    </row>
    <row r="4880" spans="1:40" x14ac:dyDescent="0.25">
      <c r="A4880" t="str">
        <f>"20190304154851981"</f>
        <v>20190304154851981</v>
      </c>
      <c r="B4880" t="str">
        <f>"1551685731971382"</f>
        <v>1551685731971382</v>
      </c>
      <c r="C4880" t="s">
        <v>40</v>
      </c>
      <c r="D4880">
        <v>4.7372670000000001</v>
      </c>
      <c r="E4880">
        <v>0.51096169999999996</v>
      </c>
      <c r="F4880" t="s">
        <v>79</v>
      </c>
      <c r="G4880">
        <v>-193.90209999999999</v>
      </c>
      <c r="H4880" s="1">
        <v>-8.7982589999999996E-6</v>
      </c>
      <c r="I4880">
        <v>140.22620000000001</v>
      </c>
      <c r="J4880">
        <v>-192.78139999999999</v>
      </c>
      <c r="K4880">
        <v>1.1118589999999999</v>
      </c>
      <c r="L4880">
        <v>169.67660000000001</v>
      </c>
      <c r="M4880">
        <v>-0.10127460000000001</v>
      </c>
      <c r="N4880">
        <v>-1.409879E-2</v>
      </c>
      <c r="O4880">
        <v>-0.99475880000000005</v>
      </c>
      <c r="P4880">
        <v>-1.928302E-3</v>
      </c>
      <c r="Q4880">
        <v>0.16639670000000001</v>
      </c>
      <c r="R4880">
        <v>-0.98605710000000002</v>
      </c>
      <c r="S4880">
        <v>-0.11744690000000001</v>
      </c>
      <c r="T4880">
        <v>-0.1149834</v>
      </c>
      <c r="U4880">
        <v>-3.0614170000000001</v>
      </c>
      <c r="V4880">
        <v>-9.8357589999999995E-2</v>
      </c>
      <c r="W4880">
        <v>0.17999419999999999</v>
      </c>
      <c r="X4880">
        <v>0.97873790000000005</v>
      </c>
      <c r="Y4880">
        <v>-6.3059199999999996E-2</v>
      </c>
      <c r="Z4880">
        <v>2.3127020000000002E-2</v>
      </c>
      <c r="AA4880">
        <v>0.99774180000000001</v>
      </c>
      <c r="AB4880">
        <v>28</v>
      </c>
      <c r="AC4880">
        <v>-1.12069999999999</v>
      </c>
      <c r="AD4880">
        <v>-1.111867798259</v>
      </c>
      <c r="AE4880">
        <v>-29.450399999999998</v>
      </c>
      <c r="AF4880">
        <v>-1.8652817378900699</v>
      </c>
      <c r="AG4880">
        <v>-1.111867798259</v>
      </c>
      <c r="AH4880">
        <v>29.370657489047499</v>
      </c>
      <c r="AI4880">
        <v>92.163622818597204</v>
      </c>
      <c r="AJ4880">
        <v>93.633879639447201</v>
      </c>
      <c r="AK4880">
        <v>29.450824221088499</v>
      </c>
      <c r="AL4880">
        <v>79.630578051105701</v>
      </c>
      <c r="AM4880">
        <v>95.738633229062899</v>
      </c>
      <c r="AN4880">
        <v>1.0000000022203199</v>
      </c>
    </row>
    <row r="4881" spans="1:40" x14ac:dyDescent="0.25">
      <c r="A4881" t="str">
        <f>"20190304154851995"</f>
        <v>20190304154851995</v>
      </c>
      <c r="B4881" t="str">
        <f>"1551685731991878"</f>
        <v>1551685731991878</v>
      </c>
      <c r="C4881" t="s">
        <v>40</v>
      </c>
      <c r="D4881">
        <v>5.085286</v>
      </c>
      <c r="E4881">
        <v>0.51246400000000003</v>
      </c>
      <c r="F4881" t="s">
        <v>79</v>
      </c>
      <c r="G4881">
        <v>-193.90469999999999</v>
      </c>
      <c r="H4881" s="1">
        <v>-8.6936609999999994E-6</v>
      </c>
      <c r="I4881">
        <v>139.8734</v>
      </c>
      <c r="J4881">
        <v>-192.7988</v>
      </c>
      <c r="K4881">
        <v>1.111861</v>
      </c>
      <c r="L4881">
        <v>169.4975</v>
      </c>
      <c r="M4881">
        <v>-0.1004683</v>
      </c>
      <c r="N4881">
        <v>-1.409649E-2</v>
      </c>
      <c r="O4881">
        <v>-0.99484039999999996</v>
      </c>
      <c r="P4881">
        <v>-2.8573019999999999E-3</v>
      </c>
      <c r="Q4881">
        <v>0.1669757</v>
      </c>
      <c r="R4881">
        <v>-0.98595679999999997</v>
      </c>
      <c r="S4881">
        <v>-0.115387</v>
      </c>
      <c r="T4881">
        <v>-0.1142141</v>
      </c>
      <c r="U4881">
        <v>-3.0614620000000001</v>
      </c>
      <c r="V4881">
        <v>-9.6628580000000006E-2</v>
      </c>
      <c r="W4881">
        <v>0.18057570000000001</v>
      </c>
      <c r="X4881">
        <v>0.97880299999999998</v>
      </c>
      <c r="Y4881">
        <v>-6.2921190000000002E-2</v>
      </c>
      <c r="Z4881">
        <v>2.2884640000000001E-2</v>
      </c>
      <c r="AA4881">
        <v>0.99775610000000003</v>
      </c>
      <c r="AB4881">
        <v>28</v>
      </c>
      <c r="AC4881">
        <v>-1.1058999999999899</v>
      </c>
      <c r="AD4881">
        <v>-1.111869693661</v>
      </c>
      <c r="AE4881">
        <v>-29.624099999999999</v>
      </c>
      <c r="AF4881">
        <v>-1.8736396675604701</v>
      </c>
      <c r="AG4881">
        <v>-1.111869693661</v>
      </c>
      <c r="AH4881">
        <v>29.5437385763314</v>
      </c>
      <c r="AI4881">
        <v>92.150975016167607</v>
      </c>
      <c r="AJ4881">
        <v>93.628791556690203</v>
      </c>
      <c r="AK4881">
        <v>29.623964435675301</v>
      </c>
      <c r="AL4881">
        <v>79.596705398870199</v>
      </c>
      <c r="AM4881">
        <v>95.6380380419277</v>
      </c>
      <c r="AN4881">
        <v>0.99999998935615297</v>
      </c>
    </row>
    <row r="4882" spans="1:40" x14ac:dyDescent="0.25">
      <c r="A4882" t="str">
        <f>"20190304154852007"</f>
        <v>20190304154852007</v>
      </c>
      <c r="B4882" t="str">
        <f>"1551685732001638"</f>
        <v>1551685732001638</v>
      </c>
      <c r="C4882" t="s">
        <v>40</v>
      </c>
      <c r="D4882">
        <v>4.9177339999999896</v>
      </c>
      <c r="E4882">
        <v>0.51246400000000003</v>
      </c>
      <c r="F4882" t="s">
        <v>79</v>
      </c>
      <c r="G4882">
        <v>-194.12360000000001</v>
      </c>
      <c r="H4882" s="1">
        <v>-8.1579909999999992E-6</v>
      </c>
      <c r="I4882">
        <v>138.08250000000001</v>
      </c>
      <c r="J4882">
        <v>-192.81290000000001</v>
      </c>
      <c r="K4882">
        <v>1.1118619999999999</v>
      </c>
      <c r="L4882">
        <v>169.3511</v>
      </c>
      <c r="M4882">
        <v>-9.9807900000000005E-2</v>
      </c>
      <c r="N4882">
        <v>-1.409464E-2</v>
      </c>
      <c r="O4882">
        <v>-0.99490699999999999</v>
      </c>
      <c r="P4882">
        <v>-3.3072349999999999E-3</v>
      </c>
      <c r="Q4882">
        <v>0.16745479999999999</v>
      </c>
      <c r="R4882">
        <v>-0.98587449999999999</v>
      </c>
      <c r="S4882">
        <v>-0.1290741</v>
      </c>
      <c r="T4882">
        <v>-0.1083268</v>
      </c>
      <c r="U4882">
        <v>-3.0606840000000002</v>
      </c>
      <c r="V4882">
        <v>-9.5521729999999999E-2</v>
      </c>
      <c r="W4882">
        <v>0.18105599999999999</v>
      </c>
      <c r="X4882">
        <v>0.97882290000000005</v>
      </c>
      <c r="Y4882">
        <v>-5.7794520000000002E-2</v>
      </c>
      <c r="Z4882">
        <v>2.100136E-2</v>
      </c>
      <c r="AA4882">
        <v>0.99810759999999998</v>
      </c>
      <c r="AB4882">
        <v>28</v>
      </c>
      <c r="AC4882">
        <v>-1.31069999999999</v>
      </c>
      <c r="AD4882">
        <v>-1.111870157991</v>
      </c>
      <c r="AE4882">
        <v>-31.2685999999999</v>
      </c>
      <c r="AF4882">
        <v>-1.81471845243462</v>
      </c>
      <c r="AG4882">
        <v>-1.111870157991</v>
      </c>
      <c r="AH4882">
        <v>31.203881813608199</v>
      </c>
      <c r="AI4882">
        <v>92.037285053866398</v>
      </c>
      <c r="AJ4882">
        <v>93.328391112127093</v>
      </c>
      <c r="AK4882">
        <v>31.2763760456269</v>
      </c>
      <c r="AL4882">
        <v>79.568724859526199</v>
      </c>
      <c r="AM4882">
        <v>95.573752507031202</v>
      </c>
      <c r="AN4882">
        <v>0.99999997280130104</v>
      </c>
    </row>
    <row r="4883" spans="1:40" x14ac:dyDescent="0.25">
      <c r="A4883" t="str">
        <f>"20190304154852019"</f>
        <v>20190304154852019</v>
      </c>
      <c r="B4883" t="str">
        <f>"1551685732011412"</f>
        <v>1551685732011412</v>
      </c>
      <c r="C4883" t="s">
        <v>40</v>
      </c>
      <c r="D4883">
        <v>4.1258559999999997</v>
      </c>
      <c r="E4883">
        <v>0.62713469999999905</v>
      </c>
      <c r="F4883" t="s">
        <v>79</v>
      </c>
      <c r="G4883">
        <v>-194.16550000000001</v>
      </c>
      <c r="H4883" s="1">
        <v>-7.9845680000000006E-6</v>
      </c>
      <c r="I4883">
        <v>137.52160000000001</v>
      </c>
      <c r="J4883">
        <v>-192.8263</v>
      </c>
      <c r="K4883">
        <v>1.1118619999999999</v>
      </c>
      <c r="L4883">
        <v>169.21029999999999</v>
      </c>
      <c r="M4883">
        <v>-9.9172090000000004E-2</v>
      </c>
      <c r="N4883">
        <v>-1.409293E-2</v>
      </c>
      <c r="O4883">
        <v>-0.99497040000000003</v>
      </c>
      <c r="P4883">
        <v>-3.7495010000000001E-3</v>
      </c>
      <c r="Q4883">
        <v>0.167984299999999</v>
      </c>
      <c r="R4883">
        <v>-0.98578259999999995</v>
      </c>
      <c r="S4883">
        <v>-0.13006589999999901</v>
      </c>
      <c r="T4883">
        <v>-0.1069181</v>
      </c>
      <c r="U4883">
        <v>-3.0607449999999998</v>
      </c>
      <c r="V4883">
        <v>-9.4446249999999995E-2</v>
      </c>
      <c r="W4883">
        <v>0.18158679999999999</v>
      </c>
      <c r="X4883">
        <v>0.97882899999999995</v>
      </c>
      <c r="Y4883">
        <v>-5.6834629999999997E-2</v>
      </c>
      <c r="Z4883">
        <v>2.05509E-2</v>
      </c>
      <c r="AA4883">
        <v>0.99817199999999995</v>
      </c>
      <c r="AB4883">
        <v>28</v>
      </c>
      <c r="AC4883">
        <v>-1.3391999999999999</v>
      </c>
      <c r="AD4883">
        <v>-1.111869984568</v>
      </c>
      <c r="AE4883">
        <v>-31.688699999999901</v>
      </c>
      <c r="AF4883">
        <v>-1.80812815827332</v>
      </c>
      <c r="AG4883">
        <v>-1.111869984568</v>
      </c>
      <c r="AH4883">
        <v>31.6264110751214</v>
      </c>
      <c r="AI4883">
        <v>92.010202808545898</v>
      </c>
      <c r="AJ4883">
        <v>93.272121522622399</v>
      </c>
      <c r="AK4883">
        <v>31.697562363561801</v>
      </c>
      <c r="AL4883">
        <v>79.537800303693004</v>
      </c>
      <c r="AM4883">
        <v>95.511352014398895</v>
      </c>
      <c r="AN4883">
        <v>1.0000000356571499</v>
      </c>
    </row>
    <row r="4884" spans="1:40" x14ac:dyDescent="0.25">
      <c r="A4884" t="str">
        <f>"20190304154852041"</f>
        <v>20190304154852041</v>
      </c>
      <c r="B4884" t="str">
        <f>"1551685732031893"</f>
        <v>1551685732031893</v>
      </c>
      <c r="C4884" t="s">
        <v>40</v>
      </c>
      <c r="D4884">
        <v>5.0043939999999996</v>
      </c>
      <c r="E4884">
        <v>0.64378089999999999</v>
      </c>
      <c r="F4884" t="s">
        <v>77</v>
      </c>
      <c r="G4884">
        <v>-211.43889999999999</v>
      </c>
      <c r="H4884">
        <v>4.4928220000000003</v>
      </c>
      <c r="I4884">
        <v>115.18729999999999</v>
      </c>
      <c r="J4884">
        <v>-192.85210000000001</v>
      </c>
      <c r="K4884">
        <v>1.111858</v>
      </c>
      <c r="L4884">
        <v>168.93809999999999</v>
      </c>
      <c r="M4884">
        <v>-9.7941500000000001E-2</v>
      </c>
      <c r="N4884">
        <v>-1.408971E-2</v>
      </c>
      <c r="O4884">
        <v>-0.99509270000000005</v>
      </c>
      <c r="P4884">
        <v>-4.6837379999999998E-3</v>
      </c>
      <c r="Q4884">
        <v>0.16839270000000001</v>
      </c>
      <c r="R4884">
        <v>-0.98570939999999996</v>
      </c>
      <c r="S4884">
        <v>-1.0361020000000001</v>
      </c>
      <c r="T4884">
        <v>0.18820819999999999</v>
      </c>
      <c r="U4884">
        <v>-3.0072779999999999</v>
      </c>
      <c r="V4884">
        <v>-9.2296059999999999E-2</v>
      </c>
      <c r="W4884">
        <v>0.18199899999999999</v>
      </c>
      <c r="X4884">
        <v>0.97895750000000004</v>
      </c>
      <c r="Y4884">
        <v>0.23075879999999999</v>
      </c>
      <c r="Z4884">
        <v>-7.3291819999999994E-2</v>
      </c>
      <c r="AA4884">
        <v>0.97024670000000002</v>
      </c>
      <c r="AB4884">
        <v>28</v>
      </c>
      <c r="AC4884">
        <v>-18.586799999999901</v>
      </c>
      <c r="AD4884">
        <v>3.3809640000000001</v>
      </c>
      <c r="AE4884">
        <v>-53.750799999999998</v>
      </c>
      <c r="AF4884">
        <v>13.185867018700501</v>
      </c>
      <c r="AG4884">
        <v>3.3809640000000001</v>
      </c>
      <c r="AH4884">
        <v>55.118139758466597</v>
      </c>
      <c r="AI4884">
        <v>86.585954168020507</v>
      </c>
      <c r="AJ4884">
        <v>76.546033762316796</v>
      </c>
      <c r="AK4884">
        <v>56.774178435605798</v>
      </c>
      <c r="AL4884">
        <v>79.513782321129298</v>
      </c>
      <c r="AM4884">
        <v>95.385922670152198</v>
      </c>
      <c r="AN4884">
        <v>0.999999992749386</v>
      </c>
    </row>
    <row r="4885" spans="1:40" x14ac:dyDescent="0.25">
      <c r="A4885" t="str">
        <f>"20190304154854489"</f>
        <v>20190304154854489</v>
      </c>
      <c r="B4885" t="str">
        <f>"1551685734482163"</f>
        <v>1551685734482163</v>
      </c>
      <c r="C4885" t="s">
        <v>40</v>
      </c>
      <c r="D4885">
        <v>4.2082930000000003</v>
      </c>
      <c r="E4885">
        <v>0.73138890000000001</v>
      </c>
      <c r="F4885" t="s">
        <v>56</v>
      </c>
      <c r="G4885">
        <v>-215.31450000000001</v>
      </c>
      <c r="H4885">
        <v>3.6349279999999999</v>
      </c>
      <c r="I4885">
        <v>111.2153</v>
      </c>
      <c r="J4885">
        <v>-203.26419999999999</v>
      </c>
      <c r="K4885">
        <v>1.102063</v>
      </c>
      <c r="L4885">
        <v>144.1386</v>
      </c>
      <c r="M4885">
        <v>-0.84960930000000001</v>
      </c>
      <c r="N4885">
        <v>-1.553451E-2</v>
      </c>
      <c r="O4885">
        <v>-0.52718379999999998</v>
      </c>
      <c r="P4885">
        <v>-0.90678550000000002</v>
      </c>
      <c r="Q4885">
        <v>0.1545706</v>
      </c>
      <c r="R4885">
        <v>-0.3922349</v>
      </c>
      <c r="S4885">
        <v>-1.1734309999999999</v>
      </c>
      <c r="T4885">
        <v>0.13180529999999999</v>
      </c>
      <c r="U4885">
        <v>-3.0154109999999998</v>
      </c>
      <c r="V4885">
        <v>0.1484471</v>
      </c>
      <c r="W4885">
        <v>0.16656589999999999</v>
      </c>
      <c r="X4885">
        <v>0.97479190000000004</v>
      </c>
      <c r="Y4885">
        <v>-0.60089209999999904</v>
      </c>
      <c r="Z4885">
        <v>-2.2502930000000001E-2</v>
      </c>
      <c r="AA4885">
        <v>0.79901339999999998</v>
      </c>
      <c r="AB4885">
        <v>23</v>
      </c>
      <c r="AC4885">
        <v>-12.0503</v>
      </c>
      <c r="AD4885">
        <v>2.5328650000000001</v>
      </c>
      <c r="AE4885">
        <v>-32.923299999999998</v>
      </c>
      <c r="AF4885">
        <v>-21.509561183679999</v>
      </c>
      <c r="AG4885">
        <v>2.5328650000000001</v>
      </c>
      <c r="AH4885">
        <v>27.454710688885498</v>
      </c>
      <c r="AI4885">
        <v>85.846342068526695</v>
      </c>
      <c r="AJ4885">
        <v>128.07714159108301</v>
      </c>
      <c r="AK4885">
        <v>34.969097306523402</v>
      </c>
      <c r="AL4885">
        <v>80.411787071092405</v>
      </c>
      <c r="AM4885">
        <v>81.341184959833399</v>
      </c>
      <c r="AN4885">
        <v>0.99999999442341503</v>
      </c>
    </row>
    <row r="4886" spans="1:40" x14ac:dyDescent="0.25">
      <c r="A4886" t="str">
        <f>"20190304154854502"</f>
        <v>20190304154854502</v>
      </c>
      <c r="B4886" t="str">
        <f>"1551685734491924"</f>
        <v>1551685734491924</v>
      </c>
      <c r="C4886" t="s">
        <v>40</v>
      </c>
      <c r="D4886">
        <v>4.2154319999999998</v>
      </c>
      <c r="E4886">
        <v>0.72875859999999903</v>
      </c>
      <c r="F4886" t="s">
        <v>81</v>
      </c>
      <c r="G4886">
        <v>-511.93259999999998</v>
      </c>
      <c r="H4886">
        <v>22.173079999999999</v>
      </c>
      <c r="I4886">
        <v>190.04150000000001</v>
      </c>
      <c r="J4886">
        <v>-203.3878</v>
      </c>
      <c r="K4886">
        <v>1.1020920000000001</v>
      </c>
      <c r="L4886">
        <v>144.07259999999999</v>
      </c>
      <c r="M4886">
        <v>-0.85391799999999995</v>
      </c>
      <c r="N4886">
        <v>-1.5525840000000001E-2</v>
      </c>
      <c r="O4886">
        <v>-0.52017599999999997</v>
      </c>
      <c r="P4886">
        <v>-0.90954389999999996</v>
      </c>
      <c r="Q4886">
        <v>0.15473609999999999</v>
      </c>
      <c r="R4886">
        <v>-0.38572849999999997</v>
      </c>
      <c r="S4886">
        <v>-3.4924010000000001</v>
      </c>
      <c r="T4886">
        <v>0.2384067</v>
      </c>
      <c r="U4886">
        <v>0.51936340000000003</v>
      </c>
      <c r="V4886">
        <v>0.14738319999999999</v>
      </c>
      <c r="W4886">
        <v>0.16675960000000001</v>
      </c>
      <c r="X4886">
        <v>0.97492020000000001</v>
      </c>
      <c r="Y4886">
        <v>0.63731839999999995</v>
      </c>
      <c r="Z4886">
        <v>-5.9120739999999998E-2</v>
      </c>
      <c r="AA4886">
        <v>0.76832939999999905</v>
      </c>
      <c r="AB4886">
        <v>23</v>
      </c>
      <c r="AC4886">
        <v>-308.54480000000001</v>
      </c>
      <c r="AD4886">
        <v>21.070988</v>
      </c>
      <c r="AE4886">
        <v>45.968899999999998</v>
      </c>
      <c r="AF4886">
        <v>198.86801646262899</v>
      </c>
      <c r="AG4886">
        <v>21.070988</v>
      </c>
      <c r="AH4886">
        <v>238.500760128633</v>
      </c>
      <c r="AI4886">
        <v>86.118194485300293</v>
      </c>
      <c r="AJ4886">
        <v>50.177790732414699</v>
      </c>
      <c r="AK4886">
        <v>311.24762985284298</v>
      </c>
      <c r="AL4886">
        <v>80.400531357015197</v>
      </c>
      <c r="AM4886">
        <v>81.403425405719901</v>
      </c>
      <c r="AN4886">
        <v>0.99999998410121904</v>
      </c>
    </row>
    <row r="4887" spans="1:40" x14ac:dyDescent="0.25">
      <c r="A4887" t="str">
        <f>"20190304154854516"</f>
        <v>20190304154854516</v>
      </c>
      <c r="B4887" t="str">
        <f>"1551685734512419"</f>
        <v>1551685734512419</v>
      </c>
      <c r="C4887" t="s">
        <v>40</v>
      </c>
      <c r="D4887">
        <v>4.595154</v>
      </c>
      <c r="E4887">
        <v>0.71508959999999999</v>
      </c>
      <c r="F4887" t="s">
        <v>81</v>
      </c>
      <c r="G4887">
        <v>-511.9323</v>
      </c>
      <c r="H4887">
        <v>21.589230000000001</v>
      </c>
      <c r="I4887">
        <v>190.58359999999999</v>
      </c>
      <c r="J4887">
        <v>-203.51949999999999</v>
      </c>
      <c r="K4887">
        <v>1.102128</v>
      </c>
      <c r="L4887">
        <v>144.0035</v>
      </c>
      <c r="M4887">
        <v>-0.85842289999999999</v>
      </c>
      <c r="N4887">
        <v>-1.5516210000000001E-2</v>
      </c>
      <c r="O4887">
        <v>-0.51270769999999999</v>
      </c>
      <c r="P4887">
        <v>-0.91240650000000001</v>
      </c>
      <c r="Q4887">
        <v>0.15461369999999999</v>
      </c>
      <c r="R4887">
        <v>-0.37895820000000002</v>
      </c>
      <c r="S4887">
        <v>-3.481598</v>
      </c>
      <c r="T4887">
        <v>0.2311761</v>
      </c>
      <c r="U4887">
        <v>0.52482600000000001</v>
      </c>
      <c r="V4887">
        <v>0.14611440000000001</v>
      </c>
      <c r="W4887">
        <v>0.16667119999999999</v>
      </c>
      <c r="X4887">
        <v>0.9751263</v>
      </c>
      <c r="Y4887">
        <v>0.63230649999999999</v>
      </c>
      <c r="Z4887">
        <v>-5.689847E-2</v>
      </c>
      <c r="AA4887">
        <v>0.77262600000000003</v>
      </c>
      <c r="AB4887">
        <v>23</v>
      </c>
      <c r="AC4887">
        <v>-308.4128</v>
      </c>
      <c r="AD4887">
        <v>20.487102</v>
      </c>
      <c r="AE4887">
        <v>46.580099999999902</v>
      </c>
      <c r="AF4887">
        <v>197.283789252242</v>
      </c>
      <c r="AG4887">
        <v>20.487102</v>
      </c>
      <c r="AH4887">
        <v>239.86084702677999</v>
      </c>
      <c r="AI4887">
        <v>86.225894722619003</v>
      </c>
      <c r="AJ4887">
        <v>50.562953660892802</v>
      </c>
      <c r="AK4887">
        <v>311.24562773874601</v>
      </c>
      <c r="AL4887">
        <v>80.405668385240503</v>
      </c>
      <c r="AM4887">
        <v>81.478115423356002</v>
      </c>
      <c r="AN4887">
        <v>1.00000000387424</v>
      </c>
    </row>
    <row r="4888" spans="1:40" x14ac:dyDescent="0.25">
      <c r="A4888" t="str">
        <f>"20190304154854534"</f>
        <v>20190304154854534</v>
      </c>
      <c r="B4888" t="str">
        <f>"1551685734532105"</f>
        <v>1551685734532105</v>
      </c>
      <c r="C4888" t="s">
        <v>40</v>
      </c>
      <c r="D4888">
        <v>4.1695120000000001</v>
      </c>
      <c r="E4888">
        <v>0.7096325</v>
      </c>
      <c r="F4888" t="s">
        <v>67</v>
      </c>
      <c r="G4888">
        <v>-459.875</v>
      </c>
      <c r="H4888">
        <v>15.957689999999999</v>
      </c>
      <c r="I4888">
        <v>177.50909999999999</v>
      </c>
      <c r="J4888">
        <v>-203.684</v>
      </c>
      <c r="K4888">
        <v>1.102182</v>
      </c>
      <c r="L4888">
        <v>143.91909999999999</v>
      </c>
      <c r="M4888">
        <v>-0.86391169999999995</v>
      </c>
      <c r="N4888">
        <v>-1.5503070000000001E-2</v>
      </c>
      <c r="O4888">
        <v>-0.50340450000000003</v>
      </c>
      <c r="P4888">
        <v>-0.91477699999999995</v>
      </c>
      <c r="Q4888">
        <v>0.15416279999999999</v>
      </c>
      <c r="R4888">
        <v>-0.3733861</v>
      </c>
      <c r="S4888">
        <v>-3.4409939999999999</v>
      </c>
      <c r="T4888">
        <v>0.1994023</v>
      </c>
      <c r="U4888">
        <v>0.44973750000000001</v>
      </c>
      <c r="V4888">
        <v>0.1415235</v>
      </c>
      <c r="W4888">
        <v>0.16633399999999901</v>
      </c>
      <c r="X4888">
        <v>0.97586070000000003</v>
      </c>
      <c r="Y4888">
        <v>0.60913890000000004</v>
      </c>
      <c r="Z4888">
        <v>-4.9005189999999997E-2</v>
      </c>
      <c r="AA4888">
        <v>0.79154799999999903</v>
      </c>
      <c r="AB4888">
        <v>23</v>
      </c>
      <c r="AC4888">
        <v>-256.19099999999997</v>
      </c>
      <c r="AD4888">
        <v>14.855507999999899</v>
      </c>
      <c r="AE4888">
        <v>33.590000000000003</v>
      </c>
      <c r="AF4888">
        <v>157.484920597588</v>
      </c>
      <c r="AG4888">
        <v>14.855507999999899</v>
      </c>
      <c r="AH4888">
        <v>203.76806176794699</v>
      </c>
      <c r="AI4888">
        <v>86.698606394619603</v>
      </c>
      <c r="AJ4888">
        <v>52.300868657913497</v>
      </c>
      <c r="AK4888">
        <v>257.96048017134802</v>
      </c>
      <c r="AL4888">
        <v>80.425262023039593</v>
      </c>
      <c r="AM4888">
        <v>81.7482500160814</v>
      </c>
      <c r="AN4888">
        <v>1.0000000032063701</v>
      </c>
    </row>
    <row r="4889" spans="1:40" x14ac:dyDescent="0.25">
      <c r="A4889" t="str">
        <f>"20190304154854556"</f>
        <v>20190304154854556</v>
      </c>
      <c r="B4889" t="str">
        <f>"1551685734551626"</f>
        <v>1551685734551626</v>
      </c>
      <c r="C4889" t="s">
        <v>40</v>
      </c>
      <c r="D4889">
        <v>4.5299339999999999</v>
      </c>
      <c r="E4889">
        <v>0.70665769999999895</v>
      </c>
      <c r="F4889" t="s">
        <v>67</v>
      </c>
      <c r="G4889">
        <v>-459.875</v>
      </c>
      <c r="H4889">
        <v>14.86716</v>
      </c>
      <c r="I4889">
        <v>176.12909999999999</v>
      </c>
      <c r="J4889">
        <v>-203.89240000000001</v>
      </c>
      <c r="K4889">
        <v>1.10225</v>
      </c>
      <c r="L4889">
        <v>143.81559999999999</v>
      </c>
      <c r="M4889">
        <v>-0.87064949999999997</v>
      </c>
      <c r="N4889">
        <v>-1.5484690000000001E-2</v>
      </c>
      <c r="O4889">
        <v>-0.49166009999999999</v>
      </c>
      <c r="P4889">
        <v>-0.91883590000000004</v>
      </c>
      <c r="Q4889">
        <v>0.15335219999999999</v>
      </c>
      <c r="R4889">
        <v>-0.3636259</v>
      </c>
      <c r="S4889">
        <v>-3.424194</v>
      </c>
      <c r="T4889">
        <v>0.1839797</v>
      </c>
      <c r="U4889">
        <v>0.43051149999999999</v>
      </c>
      <c r="V4889">
        <v>0.1387129</v>
      </c>
      <c r="W4889">
        <v>0.1655953</v>
      </c>
      <c r="X4889">
        <v>0.97638970000000003</v>
      </c>
      <c r="Y4889">
        <v>0.59475199999999995</v>
      </c>
      <c r="Z4889">
        <v>-4.4649889999999998E-2</v>
      </c>
      <c r="AA4889">
        <v>0.8026683</v>
      </c>
      <c r="AB4889">
        <v>23</v>
      </c>
      <c r="AC4889">
        <v>-255.98259999999999</v>
      </c>
      <c r="AD4889">
        <v>13.76491</v>
      </c>
      <c r="AE4889">
        <v>32.313499999999998</v>
      </c>
      <c r="AF4889">
        <v>153.57153974579799</v>
      </c>
      <c r="AG4889">
        <v>13.76491</v>
      </c>
      <c r="AH4889">
        <v>206.42117663830999</v>
      </c>
      <c r="AI4889">
        <v>86.937521149940594</v>
      </c>
      <c r="AJ4889">
        <v>53.351791621716799</v>
      </c>
      <c r="AK4889">
        <v>257.649748169774</v>
      </c>
      <c r="AL4889">
        <v>80.468181214309794</v>
      </c>
      <c r="AM4889">
        <v>81.914260648119793</v>
      </c>
      <c r="AN4889">
        <v>0.999999959137294</v>
      </c>
    </row>
    <row r="4890" spans="1:40" x14ac:dyDescent="0.25">
      <c r="A4890" t="str">
        <f>"20190304154854577"</f>
        <v>20190304154854577</v>
      </c>
      <c r="B4890" t="str">
        <f>"1551685734572122"</f>
        <v>1551685734572122</v>
      </c>
      <c r="C4890" t="s">
        <v>40</v>
      </c>
      <c r="D4890">
        <v>4.5707250000000004</v>
      </c>
      <c r="E4890">
        <v>0.6980343</v>
      </c>
      <c r="F4890" t="s">
        <v>67</v>
      </c>
      <c r="G4890">
        <v>-459.875</v>
      </c>
      <c r="H4890">
        <v>14.80707</v>
      </c>
      <c r="I4890">
        <v>177.2405</v>
      </c>
      <c r="J4890">
        <v>-204.10249999999999</v>
      </c>
      <c r="K4890">
        <v>1.1023270000000001</v>
      </c>
      <c r="L4890">
        <v>143.71469999999999</v>
      </c>
      <c r="M4890">
        <v>-0.87721530000000003</v>
      </c>
      <c r="N4890">
        <v>-1.546554E-2</v>
      </c>
      <c r="O4890">
        <v>-0.4798481</v>
      </c>
      <c r="P4890">
        <v>-0.92255100000000001</v>
      </c>
      <c r="Q4890">
        <v>0.1531718</v>
      </c>
      <c r="R4890">
        <v>-0.35417300000000002</v>
      </c>
      <c r="S4890">
        <v>-3.4107509999999999</v>
      </c>
      <c r="T4890">
        <v>0.18260499999999999</v>
      </c>
      <c r="U4890">
        <v>0.44535829999999998</v>
      </c>
      <c r="V4890">
        <v>0.13551529999999901</v>
      </c>
      <c r="W4890">
        <v>0.1654938</v>
      </c>
      <c r="X4890">
        <v>0.9768559</v>
      </c>
      <c r="Y4890">
        <v>0.58775599999999995</v>
      </c>
      <c r="Z4890">
        <v>-4.3587010000000002E-2</v>
      </c>
      <c r="AA4890">
        <v>0.8078632</v>
      </c>
      <c r="AB4890">
        <v>23</v>
      </c>
      <c r="AC4890">
        <v>-255.77250000000001</v>
      </c>
      <c r="AD4890">
        <v>13.704742999999899</v>
      </c>
      <c r="AE4890">
        <v>33.525799999999997</v>
      </c>
      <c r="AF4890">
        <v>151.73122279536599</v>
      </c>
      <c r="AG4890">
        <v>13.704742999999899</v>
      </c>
      <c r="AH4890">
        <v>207.71887612339401</v>
      </c>
      <c r="AI4890">
        <v>86.950320427009999</v>
      </c>
      <c r="AJ4890">
        <v>53.853205494730901</v>
      </c>
      <c r="AK4890">
        <v>257.59913712906501</v>
      </c>
      <c r="AL4890">
        <v>80.474078702696801</v>
      </c>
      <c r="AM4890">
        <v>82.101994387994196</v>
      </c>
      <c r="AN4890">
        <v>1.00000002186866</v>
      </c>
    </row>
    <row r="4891" spans="1:40" x14ac:dyDescent="0.25">
      <c r="A4891" t="str">
        <f>"20190304154854603"</f>
        <v>20190304154854603</v>
      </c>
      <c r="B4891" t="str">
        <f>"1551685734591642"</f>
        <v>1551685734591642</v>
      </c>
      <c r="C4891" t="s">
        <v>40</v>
      </c>
      <c r="D4891">
        <v>4.5371160000000001</v>
      </c>
      <c r="E4891">
        <v>0.69121540000000004</v>
      </c>
      <c r="F4891" t="s">
        <v>67</v>
      </c>
      <c r="G4891">
        <v>-459.875</v>
      </c>
      <c r="H4891">
        <v>13.39531</v>
      </c>
      <c r="I4891">
        <v>175.21449999999999</v>
      </c>
      <c r="J4891">
        <v>-204.33709999999999</v>
      </c>
      <c r="K4891">
        <v>1.1024149999999999</v>
      </c>
      <c r="L4891">
        <v>143.60599999999999</v>
      </c>
      <c r="M4891">
        <v>-0.88427</v>
      </c>
      <c r="N4891">
        <v>-1.544338E-2</v>
      </c>
      <c r="O4891">
        <v>-0.46672049999999998</v>
      </c>
      <c r="P4891">
        <v>-0.92667790000000005</v>
      </c>
      <c r="Q4891">
        <v>0.15327449999999901</v>
      </c>
      <c r="R4891">
        <v>-0.34318379999999998</v>
      </c>
      <c r="S4891">
        <v>-3.384903</v>
      </c>
      <c r="T4891">
        <v>0.16268589999999999</v>
      </c>
      <c r="U4891">
        <v>0.41687010000000002</v>
      </c>
      <c r="V4891">
        <v>0.13251859999999999</v>
      </c>
      <c r="W4891">
        <v>0.1656687</v>
      </c>
      <c r="X4891">
        <v>0.97723729999999998</v>
      </c>
      <c r="Y4891">
        <v>0.57001550000000001</v>
      </c>
      <c r="Z4891">
        <v>-3.837459E-2</v>
      </c>
      <c r="AA4891">
        <v>0.8207373</v>
      </c>
      <c r="AB4891">
        <v>23</v>
      </c>
      <c r="AC4891">
        <v>-255.53790000000001</v>
      </c>
      <c r="AD4891">
        <v>12.292895</v>
      </c>
      <c r="AE4891">
        <v>31.6084999999999</v>
      </c>
      <c r="AF4891">
        <v>146.89796053754699</v>
      </c>
      <c r="AG4891">
        <v>12.292895</v>
      </c>
      <c r="AH4891">
        <v>210.756979593625</v>
      </c>
      <c r="AI4891">
        <v>87.2604333499566</v>
      </c>
      <c r="AJ4891">
        <v>55.123439829587902</v>
      </c>
      <c r="AK4891">
        <v>257.19376066498899</v>
      </c>
      <c r="AL4891">
        <v>80.463917378544295</v>
      </c>
      <c r="AM4891">
        <v>82.277492120608997</v>
      </c>
      <c r="AN4891">
        <v>1.0000000190084699</v>
      </c>
    </row>
    <row r="4892" spans="1:40" x14ac:dyDescent="0.25">
      <c r="A4892" t="str">
        <f>"20190304154854624"</f>
        <v>20190304154854624</v>
      </c>
      <c r="B4892" t="str">
        <f>"1551685734621897"</f>
        <v>1551685734621897</v>
      </c>
      <c r="C4892" t="s">
        <v>40</v>
      </c>
      <c r="D4892">
        <v>4.5113260000000004</v>
      </c>
      <c r="E4892">
        <v>0.65260130000000005</v>
      </c>
      <c r="F4892" t="s">
        <v>82</v>
      </c>
      <c r="G4892">
        <v>-345.40600000000001</v>
      </c>
      <c r="H4892">
        <v>7.3516360000000001</v>
      </c>
      <c r="I4892">
        <v>160.6534</v>
      </c>
      <c r="J4892">
        <v>-204.54910000000001</v>
      </c>
      <c r="K4892">
        <v>1.102498</v>
      </c>
      <c r="L4892">
        <v>143.5112</v>
      </c>
      <c r="M4892">
        <v>-0.89040109999999995</v>
      </c>
      <c r="N4892">
        <v>-1.5421539999999999E-2</v>
      </c>
      <c r="O4892">
        <v>-0.45491540000000003</v>
      </c>
      <c r="P4892">
        <v>-0.93033940000000004</v>
      </c>
      <c r="Q4892">
        <v>0.15398210000000001</v>
      </c>
      <c r="R4892">
        <v>-0.33280340000000003</v>
      </c>
      <c r="S4892">
        <v>-3.363251</v>
      </c>
      <c r="T4892">
        <v>0.14899019999999999</v>
      </c>
      <c r="U4892">
        <v>0.40643309999999999</v>
      </c>
      <c r="V4892">
        <v>0.13036519999999999</v>
      </c>
      <c r="W4892">
        <v>0.16642760000000001</v>
      </c>
      <c r="X4892">
        <v>0.97739799999999999</v>
      </c>
      <c r="Y4892">
        <v>0.55737399999999904</v>
      </c>
      <c r="Z4892">
        <v>-3.4748340000000003E-2</v>
      </c>
      <c r="AA4892">
        <v>0.82953410000000005</v>
      </c>
      <c r="AB4892">
        <v>23</v>
      </c>
      <c r="AC4892">
        <v>-140.8569</v>
      </c>
      <c r="AD4892">
        <v>6.2491379999999896</v>
      </c>
      <c r="AE4892">
        <v>17.142199999999999</v>
      </c>
      <c r="AF4892">
        <v>79.197238222790901</v>
      </c>
      <c r="AG4892">
        <v>6.2491379999999896</v>
      </c>
      <c r="AH4892">
        <v>117.407163094476</v>
      </c>
      <c r="AI4892">
        <v>87.473426251174004</v>
      </c>
      <c r="AJ4892">
        <v>55.9982871685703</v>
      </c>
      <c r="AK4892">
        <v>141.7592896912</v>
      </c>
      <c r="AL4892">
        <v>80.419823695891097</v>
      </c>
      <c r="AM4892">
        <v>82.402737913665007</v>
      </c>
      <c r="AN4892">
        <v>1.00000004090839</v>
      </c>
    </row>
    <row r="4893" spans="1:40" x14ac:dyDescent="0.25">
      <c r="A4893" t="str">
        <f>"20190304154854645"</f>
        <v>20190304154854645</v>
      </c>
      <c r="B4893" t="str">
        <f>"1551685734642394"</f>
        <v>1551685734642394</v>
      </c>
      <c r="C4893" t="s">
        <v>40</v>
      </c>
      <c r="D4893">
        <v>4.4883850000000001</v>
      </c>
      <c r="E4893">
        <v>0.65267799999999998</v>
      </c>
      <c r="F4893" t="s">
        <v>81</v>
      </c>
      <c r="G4893">
        <v>-511.92809999999997</v>
      </c>
      <c r="H4893">
        <v>8.7623270000000009</v>
      </c>
      <c r="I4893">
        <v>157.93960000000001</v>
      </c>
      <c r="J4893">
        <v>-204.74860000000001</v>
      </c>
      <c r="K4893">
        <v>1.1025929999999999</v>
      </c>
      <c r="L4893">
        <v>143.42509999999999</v>
      </c>
      <c r="M4893">
        <v>-0.89595179999999996</v>
      </c>
      <c r="N4893">
        <v>-1.5398230000000001E-2</v>
      </c>
      <c r="O4893">
        <v>-0.44388450000000002</v>
      </c>
      <c r="P4893">
        <v>-0.93362500000000004</v>
      </c>
      <c r="Q4893">
        <v>0.15461069999999999</v>
      </c>
      <c r="R4893">
        <v>-0.32317240000000003</v>
      </c>
      <c r="S4893">
        <v>-3.2659910000000001</v>
      </c>
      <c r="T4893">
        <v>8.1388349999999998E-2</v>
      </c>
      <c r="U4893">
        <v>0.1533051</v>
      </c>
      <c r="V4893">
        <v>0.1283202</v>
      </c>
      <c r="W4893">
        <v>0.16710459999999999</v>
      </c>
      <c r="X4893">
        <v>0.97755309999999995</v>
      </c>
      <c r="Y4893">
        <v>0.48504799999999998</v>
      </c>
      <c r="Z4893">
        <v>-2.0081700000000001E-2</v>
      </c>
      <c r="AA4893">
        <v>0.87425699999999995</v>
      </c>
      <c r="AB4893">
        <v>23</v>
      </c>
      <c r="AC4893">
        <v>-307.17950000000002</v>
      </c>
      <c r="AD4893">
        <v>7.6597340000000003</v>
      </c>
      <c r="AE4893">
        <v>14.5145</v>
      </c>
      <c r="AF4893">
        <v>149.28159243901601</v>
      </c>
      <c r="AG4893">
        <v>7.6597340000000003</v>
      </c>
      <c r="AH4893">
        <v>268.64044399401303</v>
      </c>
      <c r="AI4893">
        <v>88.572292393007302</v>
      </c>
      <c r="AJ4893">
        <v>60.939382127011797</v>
      </c>
      <c r="AK4893">
        <v>307.42698891831202</v>
      </c>
      <c r="AL4893">
        <v>80.380483566171506</v>
      </c>
      <c r="AM4893">
        <v>82.521727303077</v>
      </c>
      <c r="AN4893">
        <v>1.0000000421944</v>
      </c>
    </row>
    <row r="4894" spans="1:40" x14ac:dyDescent="0.25">
      <c r="A4894" t="str">
        <f>"20190304154854668"</f>
        <v>20190304154854668</v>
      </c>
      <c r="B4894" t="str">
        <f>"1551685734661914"</f>
        <v>1551685734661914</v>
      </c>
      <c r="C4894" t="s">
        <v>40</v>
      </c>
      <c r="D4894">
        <v>4.3431230000000003</v>
      </c>
      <c r="E4894">
        <v>0.65011560000000002</v>
      </c>
      <c r="F4894" t="s">
        <v>81</v>
      </c>
      <c r="G4894">
        <v>-511.92829999999998</v>
      </c>
      <c r="H4894">
        <v>9.4283889999999992</v>
      </c>
      <c r="I4894">
        <v>161.03399999999999</v>
      </c>
      <c r="J4894">
        <v>-204.9718</v>
      </c>
      <c r="K4894">
        <v>1.1027100000000001</v>
      </c>
      <c r="L4894">
        <v>143.33189999999999</v>
      </c>
      <c r="M4894">
        <v>-0.90191140000000003</v>
      </c>
      <c r="N4894">
        <v>-1.536825E-2</v>
      </c>
      <c r="O4894">
        <v>-0.43164760000000002</v>
      </c>
      <c r="P4894">
        <v>-0.93692430000000004</v>
      </c>
      <c r="Q4894">
        <v>0.1551823</v>
      </c>
      <c r="R4894">
        <v>-0.31319550000000002</v>
      </c>
      <c r="S4894">
        <v>-3.2633969999999999</v>
      </c>
      <c r="T4894">
        <v>8.8451500000000002E-2</v>
      </c>
      <c r="U4894">
        <v>0.18707280000000001</v>
      </c>
      <c r="V4894">
        <v>0.125356</v>
      </c>
      <c r="W4894">
        <v>0.167745899999999</v>
      </c>
      <c r="X4894">
        <v>0.97782780000000002</v>
      </c>
      <c r="Y4894">
        <v>0.48215170000000002</v>
      </c>
      <c r="Z4894">
        <v>-2.1019139999999999E-2</v>
      </c>
      <c r="AA4894">
        <v>0.87583559999999905</v>
      </c>
      <c r="AB4894">
        <v>23</v>
      </c>
      <c r="AC4894">
        <v>-306.95650000000001</v>
      </c>
      <c r="AD4894">
        <v>8.3256789999999992</v>
      </c>
      <c r="AE4894">
        <v>17.702100000000002</v>
      </c>
      <c r="AF4894">
        <v>148.371505793648</v>
      </c>
      <c r="AG4894">
        <v>8.3256789999999992</v>
      </c>
      <c r="AH4894">
        <v>269.04102284150298</v>
      </c>
      <c r="AI4894">
        <v>88.447768380717804</v>
      </c>
      <c r="AJ4894">
        <v>61.124018586745201</v>
      </c>
      <c r="AK4894">
        <v>307.35401841181101</v>
      </c>
      <c r="AL4894">
        <v>80.343213398084998</v>
      </c>
      <c r="AM4894">
        <v>82.694617392533402</v>
      </c>
      <c r="AN4894">
        <v>1.0000000100778199</v>
      </c>
    </row>
    <row r="4895" spans="1:40" x14ac:dyDescent="0.25">
      <c r="A4895" t="str">
        <f>"20190304154854691"</f>
        <v>20190304154854691</v>
      </c>
      <c r="B4895" t="str">
        <f>"1551685734681433"</f>
        <v>1551685734681433</v>
      </c>
      <c r="C4895" t="s">
        <v>40</v>
      </c>
      <c r="D4895">
        <v>4.3416600000000001</v>
      </c>
      <c r="E4895">
        <v>0.59055389999999996</v>
      </c>
      <c r="F4895" t="s">
        <v>81</v>
      </c>
      <c r="G4895">
        <v>-511.92829999999998</v>
      </c>
      <c r="H4895">
        <v>9.288748</v>
      </c>
      <c r="I4895">
        <v>162.44069999999999</v>
      </c>
      <c r="J4895">
        <v>-205.19649999999999</v>
      </c>
      <c r="K4895">
        <v>1.1028519999999999</v>
      </c>
      <c r="L4895">
        <v>143.2414</v>
      </c>
      <c r="M4895">
        <v>-0.90764389999999995</v>
      </c>
      <c r="N4895">
        <v>-1.5333589999999999E-2</v>
      </c>
      <c r="O4895">
        <v>-0.41946109999999998</v>
      </c>
      <c r="P4895">
        <v>-0.93999560000000004</v>
      </c>
      <c r="Q4895">
        <v>0.15601039999999999</v>
      </c>
      <c r="R4895">
        <v>-0.3034287</v>
      </c>
      <c r="S4895">
        <v>-3.255325</v>
      </c>
      <c r="T4895">
        <v>8.6814760000000005E-2</v>
      </c>
      <c r="U4895">
        <v>0.202652</v>
      </c>
      <c r="V4895">
        <v>0.1222559</v>
      </c>
      <c r="W4895">
        <v>0.1686455</v>
      </c>
      <c r="X4895">
        <v>0.97806559999999998</v>
      </c>
      <c r="Y4895">
        <v>0.47466199999999997</v>
      </c>
      <c r="Z4895">
        <v>-2.0177710000000001E-2</v>
      </c>
      <c r="AA4895">
        <v>0.87993679999999996</v>
      </c>
      <c r="AB4895">
        <v>23</v>
      </c>
      <c r="AC4895">
        <v>-306.73180000000002</v>
      </c>
      <c r="AD4895">
        <v>8.1858959999999996</v>
      </c>
      <c r="AE4895">
        <v>19.199299999999901</v>
      </c>
      <c r="AF4895">
        <v>146.001769774335</v>
      </c>
      <c r="AG4895">
        <v>8.1858959999999996</v>
      </c>
      <c r="AH4895">
        <v>270.18996681917702</v>
      </c>
      <c r="AI4895">
        <v>88.473185997098696</v>
      </c>
      <c r="AJ4895">
        <v>61.6146713786788</v>
      </c>
      <c r="AK4895">
        <v>307.22328010798401</v>
      </c>
      <c r="AL4895">
        <v>80.290925722947904</v>
      </c>
      <c r="AM4895">
        <v>82.875116313918895</v>
      </c>
      <c r="AN4895">
        <v>1.0000000638291999</v>
      </c>
    </row>
    <row r="4896" spans="1:40" x14ac:dyDescent="0.25">
      <c r="A4896" t="str">
        <f>"20190304154854713"</f>
        <v>20190304154854713</v>
      </c>
      <c r="B4896" t="str">
        <f>"1551685734701930"</f>
        <v>1551685734701930</v>
      </c>
      <c r="C4896" t="s">
        <v>40</v>
      </c>
      <c r="D4896">
        <v>4.3696349999999997</v>
      </c>
      <c r="E4896">
        <v>0.5750982</v>
      </c>
      <c r="F4896" t="s">
        <v>42</v>
      </c>
      <c r="G4896">
        <v>0</v>
      </c>
      <c r="H4896">
        <v>0</v>
      </c>
      <c r="I4896">
        <v>0</v>
      </c>
      <c r="J4896">
        <v>-205.40870000000001</v>
      </c>
      <c r="K4896">
        <v>1.1030070000000001</v>
      </c>
      <c r="L4896">
        <v>143.1591</v>
      </c>
      <c r="M4896">
        <v>-0.91279730000000003</v>
      </c>
      <c r="N4896">
        <v>-1.5295980000000001E-2</v>
      </c>
      <c r="O4896">
        <v>-0.40812619999999999</v>
      </c>
      <c r="P4896">
        <v>-0.94283879999999998</v>
      </c>
      <c r="Q4896">
        <v>0.15693109999999999</v>
      </c>
      <c r="R4896">
        <v>-0.29398550000000001</v>
      </c>
      <c r="S4896">
        <v>-3.1210170000000002</v>
      </c>
      <c r="T4896">
        <v>6.4144129999999999E-3</v>
      </c>
      <c r="U4896">
        <v>-0.21504210000000001</v>
      </c>
      <c r="V4896">
        <v>0.11977210000000001</v>
      </c>
      <c r="W4896">
        <v>0.169624</v>
      </c>
      <c r="X4896">
        <v>0.97820370000000001</v>
      </c>
      <c r="Y4896">
        <v>0.34439940000000002</v>
      </c>
      <c r="Z4896">
        <v>-4.9317279999999998E-3</v>
      </c>
      <c r="AA4896">
        <v>0.93881029999999999</v>
      </c>
      <c r="AB4896">
        <v>23</v>
      </c>
      <c r="AC4896">
        <v>-3.1210170000000002</v>
      </c>
      <c r="AD4896">
        <v>6.4144129999999999E-3</v>
      </c>
      <c r="AE4896">
        <v>-0.21504210000000001</v>
      </c>
      <c r="AF4896">
        <v>1.0776005676446201</v>
      </c>
      <c r="AG4896">
        <v>6.4144129999999999E-3</v>
      </c>
      <c r="AH4896">
        <v>2.9369516418906199</v>
      </c>
      <c r="AI4896">
        <v>89.882522095420995</v>
      </c>
      <c r="AJ4896">
        <v>69.851345248143502</v>
      </c>
      <c r="AK4896">
        <v>3.12840999149507</v>
      </c>
      <c r="AL4896">
        <v>80.234042321671794</v>
      </c>
      <c r="AM4896">
        <v>83.019401071392295</v>
      </c>
      <c r="AN4896">
        <v>1.00000006800404</v>
      </c>
    </row>
    <row r="4897" spans="1:40" x14ac:dyDescent="0.25">
      <c r="A4897" t="str">
        <f>"20190304154854734"</f>
        <v>20190304154854734</v>
      </c>
      <c r="B4897" t="str">
        <f>"1551685734722428"</f>
        <v>1551685734722428</v>
      </c>
      <c r="C4897" t="s">
        <v>40</v>
      </c>
      <c r="D4897">
        <v>4.331391</v>
      </c>
      <c r="E4897">
        <v>0.56804840000000001</v>
      </c>
      <c r="F4897" t="s">
        <v>79</v>
      </c>
      <c r="G4897">
        <v>-429.97789999999998</v>
      </c>
      <c r="H4897">
        <v>7.0126629999999995E-2</v>
      </c>
      <c r="I4897">
        <v>121.2068</v>
      </c>
      <c r="J4897">
        <v>-205.62</v>
      </c>
      <c r="K4897">
        <v>1.1031740000000001</v>
      </c>
      <c r="L4897">
        <v>143.08000000000001</v>
      </c>
      <c r="M4897">
        <v>-0.91768559999999999</v>
      </c>
      <c r="N4897">
        <v>-1.525429E-2</v>
      </c>
      <c r="O4897">
        <v>-0.3970146</v>
      </c>
      <c r="P4897">
        <v>-0.94570620000000005</v>
      </c>
      <c r="Q4897">
        <v>0.15722520000000001</v>
      </c>
      <c r="R4897">
        <v>-0.28446440000000001</v>
      </c>
      <c r="S4897">
        <v>-3.0900569999999998</v>
      </c>
      <c r="T4897">
        <v>-1.421237E-2</v>
      </c>
      <c r="U4897">
        <v>-0.30206300000000003</v>
      </c>
      <c r="V4897">
        <v>0.117669</v>
      </c>
      <c r="W4897">
        <v>0.16996839999999999</v>
      </c>
      <c r="X4897">
        <v>0.97839909999999997</v>
      </c>
      <c r="Y4897">
        <v>0.30584869999999997</v>
      </c>
      <c r="Z4897">
        <v>-1.38726E-3</v>
      </c>
      <c r="AA4897">
        <v>0.95207909999999996</v>
      </c>
      <c r="AB4897">
        <v>23</v>
      </c>
      <c r="AC4897">
        <v>-224.3579</v>
      </c>
      <c r="AD4897">
        <v>-1.03304736999999</v>
      </c>
      <c r="AE4897">
        <v>-21.873200000000001</v>
      </c>
      <c r="AF4897">
        <v>69.007216351073296</v>
      </c>
      <c r="AG4897">
        <v>-1.03304736999999</v>
      </c>
      <c r="AH4897">
        <v>214.59444064472899</v>
      </c>
      <c r="AI4897">
        <v>90.262575011812004</v>
      </c>
      <c r="AJ4897">
        <v>72.173747070772706</v>
      </c>
      <c r="AK4897">
        <v>225.419247294939</v>
      </c>
      <c r="AL4897">
        <v>80.214018472608799</v>
      </c>
      <c r="AM4897">
        <v>83.142153444865798</v>
      </c>
      <c r="AN4897">
        <v>1.0000000247201799</v>
      </c>
    </row>
    <row r="4898" spans="1:40" x14ac:dyDescent="0.25">
      <c r="A4898" t="str">
        <f>"20190304154854757"</f>
        <v>20190304154854757</v>
      </c>
      <c r="B4898" t="str">
        <f>"1551685734751708"</f>
        <v>1551685734751708</v>
      </c>
      <c r="C4898" t="s">
        <v>40</v>
      </c>
      <c r="D4898">
        <v>4.3048780000000004</v>
      </c>
      <c r="E4898">
        <v>0.5624055</v>
      </c>
      <c r="F4898" t="s">
        <v>44</v>
      </c>
      <c r="G4898">
        <v>-331.60379999999998</v>
      </c>
      <c r="H4898" s="1">
        <v>-5.832183E-6</v>
      </c>
      <c r="I4898">
        <v>129.75550000000001</v>
      </c>
      <c r="J4898">
        <v>-205.84790000000001</v>
      </c>
      <c r="K4898">
        <v>1.1033539999999999</v>
      </c>
      <c r="L4898">
        <v>142.99770000000001</v>
      </c>
      <c r="M4898">
        <v>-0.92269950000000001</v>
      </c>
      <c r="N4898">
        <v>-1.5207200000000001E-2</v>
      </c>
      <c r="O4898">
        <v>-0.38522030000000002</v>
      </c>
      <c r="P4898">
        <v>-0.94871700000000003</v>
      </c>
      <c r="Q4898">
        <v>0.15635250000000001</v>
      </c>
      <c r="R4898">
        <v>-0.27475529999999998</v>
      </c>
      <c r="S4898">
        <v>-3.0787810000000002</v>
      </c>
      <c r="T4898">
        <v>-2.6959420000000001E-2</v>
      </c>
      <c r="U4898">
        <v>-0.32562259999999998</v>
      </c>
      <c r="V4898">
        <v>0.11511589999999999</v>
      </c>
      <c r="W4898">
        <v>0.16915359999999999</v>
      </c>
      <c r="X4898">
        <v>0.97884389999999999</v>
      </c>
      <c r="Y4898">
        <v>0.28603250000000002</v>
      </c>
      <c r="Z4898">
        <v>7.1968649999999896E-4</v>
      </c>
      <c r="AA4898">
        <v>0.95821959999999995</v>
      </c>
      <c r="AB4898">
        <v>23</v>
      </c>
      <c r="AC4898">
        <v>-125.755899999999</v>
      </c>
      <c r="AD4898">
        <v>-1.103359832183</v>
      </c>
      <c r="AE4898">
        <v>-13.242199999999899</v>
      </c>
      <c r="AF4898">
        <v>36.226579950452198</v>
      </c>
      <c r="AG4898">
        <v>-1.103359832183</v>
      </c>
      <c r="AH4898">
        <v>121.140837965321</v>
      </c>
      <c r="AI4898">
        <v>90.499964235367401</v>
      </c>
      <c r="AJ4898">
        <v>73.350960623387095</v>
      </c>
      <c r="AK4898">
        <v>126.44637250932099</v>
      </c>
      <c r="AL4898">
        <v>80.261388728545001</v>
      </c>
      <c r="AM4898">
        <v>83.292599962431495</v>
      </c>
      <c r="AN4898">
        <v>0.99999999569649001</v>
      </c>
    </row>
    <row r="4899" spans="1:40" x14ac:dyDescent="0.25">
      <c r="A4899" t="str">
        <f>"20190304154854780"</f>
        <v>20190304154854780</v>
      </c>
      <c r="B4899" t="str">
        <f>"1551685734772205"</f>
        <v>1551685734772205</v>
      </c>
      <c r="C4899" t="s">
        <v>40</v>
      </c>
      <c r="D4899">
        <v>4.3206110000000004</v>
      </c>
      <c r="E4899">
        <v>0.5597763</v>
      </c>
      <c r="F4899" t="s">
        <v>44</v>
      </c>
      <c r="G4899">
        <v>-279.55160000000001</v>
      </c>
      <c r="H4899" s="1">
        <v>-1.390974E-6</v>
      </c>
      <c r="I4899">
        <v>134.90950000000001</v>
      </c>
      <c r="J4899">
        <v>-206.0762</v>
      </c>
      <c r="K4899">
        <v>1.103526</v>
      </c>
      <c r="L4899">
        <v>142.91820000000001</v>
      </c>
      <c r="M4899">
        <v>-0.92746220000000001</v>
      </c>
      <c r="N4899">
        <v>-1.5159850000000001E-2</v>
      </c>
      <c r="O4899">
        <v>-0.37360979999999999</v>
      </c>
      <c r="P4899">
        <v>-0.95139870000000004</v>
      </c>
      <c r="Q4899">
        <v>0.15566060000000001</v>
      </c>
      <c r="R4899">
        <v>-0.26572600000000002</v>
      </c>
      <c r="S4899">
        <v>-3.072098</v>
      </c>
      <c r="T4899">
        <v>-4.5989750000000003E-2</v>
      </c>
      <c r="U4899">
        <v>-0.33712769999999997</v>
      </c>
      <c r="V4899">
        <v>0.11208220000000001</v>
      </c>
      <c r="W4899">
        <v>0.16852519999999999</v>
      </c>
      <c r="X4899">
        <v>0.97930430000000002</v>
      </c>
      <c r="Y4899">
        <v>0.27018189999999997</v>
      </c>
      <c r="Z4899">
        <v>3.7309729999999998E-3</v>
      </c>
      <c r="AA4899">
        <v>0.96280209999999999</v>
      </c>
      <c r="AB4899">
        <v>23</v>
      </c>
      <c r="AC4899">
        <v>-73.475399999999993</v>
      </c>
      <c r="AD4899">
        <v>-1.103527390974</v>
      </c>
      <c r="AE4899">
        <v>-8.0086999999999993</v>
      </c>
      <c r="AF4899">
        <v>20.0211987380337</v>
      </c>
      <c r="AG4899">
        <v>-1.103527390974</v>
      </c>
      <c r="AH4899">
        <v>71.130095955931694</v>
      </c>
      <c r="AI4899">
        <v>90.855585993156396</v>
      </c>
      <c r="AJ4899">
        <v>74.279524552726798</v>
      </c>
      <c r="AK4899">
        <v>73.902345851201005</v>
      </c>
      <c r="AL4899">
        <v>80.297918231934403</v>
      </c>
      <c r="AM4899">
        <v>83.470859380605106</v>
      </c>
      <c r="AN4899">
        <v>1.0000000372951801</v>
      </c>
    </row>
    <row r="4900" spans="1:40" x14ac:dyDescent="0.25">
      <c r="A4900" t="str">
        <f>"20190304154854804"</f>
        <v>20190304154854804</v>
      </c>
      <c r="B4900" t="str">
        <f>"1551685734791724"</f>
        <v>1551685734791724</v>
      </c>
      <c r="C4900" t="s">
        <v>40</v>
      </c>
      <c r="D4900">
        <v>4.2753040000000002</v>
      </c>
      <c r="E4900">
        <v>0.55771139999999997</v>
      </c>
      <c r="F4900" t="s">
        <v>44</v>
      </c>
      <c r="G4900">
        <v>-266.76870000000002</v>
      </c>
      <c r="H4900" s="1">
        <v>-1.9320229999999999E-6</v>
      </c>
      <c r="I4900">
        <v>136.4393</v>
      </c>
      <c r="J4900">
        <v>-206.30439999999999</v>
      </c>
      <c r="K4900">
        <v>1.103707</v>
      </c>
      <c r="L4900">
        <v>142.8415</v>
      </c>
      <c r="M4900">
        <v>-0.93196449999999997</v>
      </c>
      <c r="N4900">
        <v>-1.5110709999999999E-2</v>
      </c>
      <c r="O4900">
        <v>-0.36223470000000002</v>
      </c>
      <c r="P4900">
        <v>-0.95413720000000002</v>
      </c>
      <c r="Q4900">
        <v>0.15556889999999901</v>
      </c>
      <c r="R4900">
        <v>-0.25577490000000003</v>
      </c>
      <c r="S4900">
        <v>-3.0708310000000001</v>
      </c>
      <c r="T4900">
        <v>-5.583465E-2</v>
      </c>
      <c r="U4900">
        <v>-0.3278046</v>
      </c>
      <c r="V4900">
        <v>0.1102524</v>
      </c>
      <c r="W4900">
        <v>0.16846929999999999</v>
      </c>
      <c r="X4900">
        <v>0.97952159999999999</v>
      </c>
      <c r="Y4900">
        <v>0.2612179</v>
      </c>
      <c r="Z4900">
        <v>5.1867320000000003E-3</v>
      </c>
      <c r="AA4900">
        <v>0.96526590000000001</v>
      </c>
      <c r="AB4900">
        <v>23</v>
      </c>
      <c r="AC4900">
        <v>-60.464300000000001</v>
      </c>
      <c r="AD4900">
        <v>-1.103708932023</v>
      </c>
      <c r="AE4900">
        <v>-6.4021999999999899</v>
      </c>
      <c r="AF4900">
        <v>15.9322131311408</v>
      </c>
      <c r="AG4900">
        <v>-1.103708932023</v>
      </c>
      <c r="AH4900">
        <v>58.657047154916697</v>
      </c>
      <c r="AI4900">
        <v>91.040285471903402</v>
      </c>
      <c r="AJ4900">
        <v>74.804142477111299</v>
      </c>
      <c r="AK4900">
        <v>60.792292024539201</v>
      </c>
      <c r="AL4900">
        <v>80.301167460328699</v>
      </c>
      <c r="AM4900">
        <v>83.577965878338404</v>
      </c>
      <c r="AN4900">
        <v>1.0000000308074</v>
      </c>
    </row>
    <row r="4901" spans="1:40" x14ac:dyDescent="0.25">
      <c r="A4901" t="str">
        <f>"20190304154854826"</f>
        <v>20190304154854826</v>
      </c>
      <c r="B4901" t="str">
        <f>"1551685734821982"</f>
        <v>1551685734821982</v>
      </c>
      <c r="C4901" t="s">
        <v>40</v>
      </c>
      <c r="D4901">
        <v>4.2921969999999998</v>
      </c>
      <c r="E4901">
        <v>0.55481049999999998</v>
      </c>
      <c r="F4901" t="s">
        <v>44</v>
      </c>
      <c r="G4901">
        <v>-258.34859999999998</v>
      </c>
      <c r="H4901" s="1">
        <v>-1.095587E-6</v>
      </c>
      <c r="I4901">
        <v>137.5583</v>
      </c>
      <c r="J4901">
        <v>-206.529</v>
      </c>
      <c r="K4901">
        <v>1.1039019999999999</v>
      </c>
      <c r="L4901">
        <v>142.7688</v>
      </c>
      <c r="M4901">
        <v>-0.93613860000000004</v>
      </c>
      <c r="N4901">
        <v>-1.505796E-2</v>
      </c>
      <c r="O4901">
        <v>-0.35130850000000002</v>
      </c>
      <c r="P4901">
        <v>-0.95665080000000002</v>
      </c>
      <c r="Q4901">
        <v>0.15640309999999999</v>
      </c>
      <c r="R4901">
        <v>-0.2456768</v>
      </c>
      <c r="S4901">
        <v>-3.0712280000000001</v>
      </c>
      <c r="T4901">
        <v>-6.5132019999999999E-2</v>
      </c>
      <c r="U4901">
        <v>-0.31176759999999998</v>
      </c>
      <c r="V4901">
        <v>0.1090289</v>
      </c>
      <c r="W4901">
        <v>0.16932369999999999</v>
      </c>
      <c r="X4901">
        <v>0.97951120000000003</v>
      </c>
      <c r="Y4901">
        <v>0.2548976</v>
      </c>
      <c r="Z4901">
        <v>6.5081940000000001E-3</v>
      </c>
      <c r="AA4901">
        <v>0.96694619999999998</v>
      </c>
      <c r="AB4901">
        <v>23</v>
      </c>
      <c r="AC4901">
        <v>-51.819599999999902</v>
      </c>
      <c r="AD4901">
        <v>-1.1039030955869999</v>
      </c>
      <c r="AE4901">
        <v>-5.2104999999999899</v>
      </c>
      <c r="AF4901">
        <v>13.3224423574467</v>
      </c>
      <c r="AG4901">
        <v>-1.1039030955869999</v>
      </c>
      <c r="AH4901">
        <v>50.323922953252399</v>
      </c>
      <c r="AI4901">
        <v>91.214800832608205</v>
      </c>
      <c r="AJ4901">
        <v>75.172026278276405</v>
      </c>
      <c r="AK4901">
        <v>52.0692163741382</v>
      </c>
      <c r="AL4901">
        <v>80.251500152042098</v>
      </c>
      <c r="AM4901">
        <v>83.648580383480706</v>
      </c>
      <c r="AN4901">
        <v>1.00000000367117</v>
      </c>
    </row>
    <row r="4902" spans="1:40" x14ac:dyDescent="0.25">
      <c r="A4902" t="str">
        <f>"20190304154854847"</f>
        <v>20190304154854847</v>
      </c>
      <c r="B4902" t="str">
        <f>"1551685734841501"</f>
        <v>1551685734841501</v>
      </c>
      <c r="C4902" t="s">
        <v>40</v>
      </c>
      <c r="D4902">
        <v>4.2685879999999896</v>
      </c>
      <c r="E4902">
        <v>0.55309739999999996</v>
      </c>
      <c r="F4902" t="s">
        <v>44</v>
      </c>
      <c r="G4902">
        <v>-253.99109999999999</v>
      </c>
      <c r="H4902" s="1">
        <v>-2.8311490000000002E-6</v>
      </c>
      <c r="I4902">
        <v>138.0883</v>
      </c>
      <c r="J4902">
        <v>-206.72880000000001</v>
      </c>
      <c r="K4902">
        <v>1.104101</v>
      </c>
      <c r="L4902">
        <v>142.7063</v>
      </c>
      <c r="M4902">
        <v>-0.93964150000000002</v>
      </c>
      <c r="N4902">
        <v>-1.500666E-2</v>
      </c>
      <c r="O4902">
        <v>-0.34183160000000001</v>
      </c>
      <c r="P4902">
        <v>-0.95863489999999996</v>
      </c>
      <c r="Q4902">
        <v>0.15673280000000001</v>
      </c>
      <c r="R4902">
        <v>-0.23760139999999999</v>
      </c>
      <c r="S4902">
        <v>-3.0698699999999999</v>
      </c>
      <c r="T4902">
        <v>-7.1401119999999998E-2</v>
      </c>
      <c r="U4902">
        <v>-0.30273440000000001</v>
      </c>
      <c r="V4902">
        <v>0.1072924</v>
      </c>
      <c r="W4902">
        <v>0.16968510000000001</v>
      </c>
      <c r="X4902">
        <v>0.97964039999999997</v>
      </c>
      <c r="Y4902">
        <v>0.2478776</v>
      </c>
      <c r="Z4902">
        <v>7.2956269999999998E-3</v>
      </c>
      <c r="AA4902">
        <v>0.96876390000000001</v>
      </c>
      <c r="AB4902">
        <v>23</v>
      </c>
      <c r="AC4902">
        <v>-47.262299999999897</v>
      </c>
      <c r="AD4902">
        <v>-1.1041038311489999</v>
      </c>
      <c r="AE4902">
        <v>-4.6179999999999897</v>
      </c>
      <c r="AF4902">
        <v>11.8114277387903</v>
      </c>
      <c r="AG4902">
        <v>-1.1041038311489999</v>
      </c>
      <c r="AH4902">
        <v>45.968521676119202</v>
      </c>
      <c r="AI4902">
        <v>91.332633596240996</v>
      </c>
      <c r="AJ4902">
        <v>75.589806950362004</v>
      </c>
      <c r="AK4902">
        <v>47.474560088393197</v>
      </c>
      <c r="AL4902">
        <v>80.230489411287195</v>
      </c>
      <c r="AM4902">
        <v>83.749749919264403</v>
      </c>
      <c r="AN4902">
        <v>1.0000000027859599</v>
      </c>
    </row>
    <row r="4903" spans="1:40" x14ac:dyDescent="0.25">
      <c r="A4903" t="str">
        <f>"20190304154854869"</f>
        <v>20190304154854869</v>
      </c>
      <c r="B4903" t="str">
        <f>"1551685734861997"</f>
        <v>1551685734861997</v>
      </c>
      <c r="C4903" t="s">
        <v>40</v>
      </c>
      <c r="D4903">
        <v>4.3156339999999904</v>
      </c>
      <c r="E4903">
        <v>0.55130900000000005</v>
      </c>
      <c r="F4903" t="s">
        <v>44</v>
      </c>
      <c r="G4903">
        <v>-251.69800000000001</v>
      </c>
      <c r="H4903" s="1">
        <v>-3.7509450000000001E-6</v>
      </c>
      <c r="I4903">
        <v>138.4486</v>
      </c>
      <c r="J4903">
        <v>-206.9468</v>
      </c>
      <c r="K4903">
        <v>1.1043369999999999</v>
      </c>
      <c r="L4903">
        <v>142.64019999999999</v>
      </c>
      <c r="M4903">
        <v>-0.94324430000000004</v>
      </c>
      <c r="N4903">
        <v>-1.494766E-2</v>
      </c>
      <c r="O4903">
        <v>-0.33176349999999999</v>
      </c>
      <c r="P4903">
        <v>-0.96080540000000003</v>
      </c>
      <c r="Q4903">
        <v>0.156421799999999</v>
      </c>
      <c r="R4903">
        <v>-0.22887840000000001</v>
      </c>
      <c r="S4903">
        <v>-3.0697329999999998</v>
      </c>
      <c r="T4903">
        <v>-7.5369599999999995E-2</v>
      </c>
      <c r="U4903">
        <v>-0.29063420000000001</v>
      </c>
      <c r="V4903">
        <v>0.1056295</v>
      </c>
      <c r="W4903">
        <v>0.1694059</v>
      </c>
      <c r="X4903">
        <v>0.9798694</v>
      </c>
      <c r="Y4903">
        <v>0.2412803</v>
      </c>
      <c r="Z4903">
        <v>7.6992939999999998E-3</v>
      </c>
      <c r="AA4903">
        <v>0.97042499999999998</v>
      </c>
      <c r="AB4903">
        <v>23</v>
      </c>
      <c r="AC4903">
        <v>-44.751199999999898</v>
      </c>
      <c r="AD4903">
        <v>-1.1043407509450001</v>
      </c>
      <c r="AE4903">
        <v>-4.1915999999999896</v>
      </c>
      <c r="AF4903">
        <v>10.8877549798851</v>
      </c>
      <c r="AG4903">
        <v>-1.1043407509450001</v>
      </c>
      <c r="AH4903">
        <v>43.5804918903291</v>
      </c>
      <c r="AI4903">
        <v>91.408312166252998</v>
      </c>
      <c r="AJ4903">
        <v>75.972873869450197</v>
      </c>
      <c r="AK4903">
        <v>44.9335292448663</v>
      </c>
      <c r="AL4903">
        <v>80.246721323355899</v>
      </c>
      <c r="AM4903">
        <v>83.847299189003294</v>
      </c>
      <c r="AN4903">
        <v>0.99999999564070896</v>
      </c>
    </row>
    <row r="4904" spans="1:40" x14ac:dyDescent="0.25">
      <c r="A4904" t="str">
        <f>"20190304154854893"</f>
        <v>20190304154854893</v>
      </c>
      <c r="B4904" t="str">
        <f>"1551685734881520"</f>
        <v>1551685734881520</v>
      </c>
      <c r="C4904" t="s">
        <v>40</v>
      </c>
      <c r="D4904">
        <v>4.2702689999999999</v>
      </c>
      <c r="E4904">
        <v>0.53169820000000001</v>
      </c>
      <c r="F4904" t="s">
        <v>44</v>
      </c>
      <c r="G4904">
        <v>-248.76669999999999</v>
      </c>
      <c r="H4904" s="1">
        <v>-6.4294390000000002E-7</v>
      </c>
      <c r="I4904">
        <v>138.87459999999999</v>
      </c>
      <c r="J4904">
        <v>-207.1781</v>
      </c>
      <c r="K4904">
        <v>1.1045959999999999</v>
      </c>
      <c r="L4904">
        <v>142.57239999999999</v>
      </c>
      <c r="M4904">
        <v>-0.94682569999999999</v>
      </c>
      <c r="N4904">
        <v>-1.48831E-2</v>
      </c>
      <c r="O4904">
        <v>-0.32140279999999999</v>
      </c>
      <c r="P4904">
        <v>-0.96290019999999998</v>
      </c>
      <c r="Q4904">
        <v>0.1563437</v>
      </c>
      <c r="R4904">
        <v>-0.21995490000000001</v>
      </c>
      <c r="S4904">
        <v>-3.0697169999999998</v>
      </c>
      <c r="T4904">
        <v>-8.1061960000000002E-2</v>
      </c>
      <c r="U4904">
        <v>-0.27639770000000002</v>
      </c>
      <c r="V4904">
        <v>0.10386579999999999</v>
      </c>
      <c r="W4904">
        <v>0.16936129999999999</v>
      </c>
      <c r="X4904">
        <v>0.98006559999999998</v>
      </c>
      <c r="Y4904">
        <v>0.2350814</v>
      </c>
      <c r="Z4904">
        <v>8.3172869999999996E-3</v>
      </c>
      <c r="AA4904">
        <v>0.97194009999999997</v>
      </c>
      <c r="AB4904">
        <v>23</v>
      </c>
      <c r="AC4904">
        <v>-41.5885999999999</v>
      </c>
      <c r="AD4904">
        <v>-1.10459664294389</v>
      </c>
      <c r="AE4904">
        <v>-3.6978</v>
      </c>
      <c r="AF4904">
        <v>9.8597115242042097</v>
      </c>
      <c r="AG4904">
        <v>-1.10459664294389</v>
      </c>
      <c r="AH4904">
        <v>40.541753236827503</v>
      </c>
      <c r="AI4904">
        <v>91.516507399990402</v>
      </c>
      <c r="AJ4904">
        <v>76.331089332923995</v>
      </c>
      <c r="AK4904">
        <v>41.738085732337296</v>
      </c>
      <c r="AL4904">
        <v>80.249313902624195</v>
      </c>
      <c r="AM4904">
        <v>83.950464898541597</v>
      </c>
      <c r="AN4904">
        <v>0.99999996732534402</v>
      </c>
    </row>
    <row r="4905" spans="1:40" x14ac:dyDescent="0.25">
      <c r="A4905" t="str">
        <f>"20190304154854913"</f>
        <v>20190304154854913</v>
      </c>
      <c r="B4905" t="str">
        <f>"1551685734902013"</f>
        <v>1551685734902013</v>
      </c>
      <c r="C4905" t="s">
        <v>40</v>
      </c>
      <c r="D4905">
        <v>4.3187030000000002</v>
      </c>
      <c r="E4905">
        <v>0.53033050000000004</v>
      </c>
      <c r="F4905" t="s">
        <v>44</v>
      </c>
      <c r="G4905">
        <v>-232.6876</v>
      </c>
      <c r="H4905" s="1">
        <v>-3.1883620000000001E-6</v>
      </c>
      <c r="I4905">
        <v>139.22710000000001</v>
      </c>
      <c r="J4905">
        <v>-207.39019999999999</v>
      </c>
      <c r="K4905">
        <v>1.10484</v>
      </c>
      <c r="L4905">
        <v>142.51230000000001</v>
      </c>
      <c r="M4905">
        <v>-0.94988980000000001</v>
      </c>
      <c r="N4905">
        <v>-1.482313E-2</v>
      </c>
      <c r="O4905">
        <v>-0.31223319999999999</v>
      </c>
      <c r="P4905">
        <v>-0.96456549999999996</v>
      </c>
      <c r="Q4905">
        <v>0.15622030000000001</v>
      </c>
      <c r="R4905">
        <v>-0.21262329999999999</v>
      </c>
      <c r="S4905">
        <v>-3.0457610000000002</v>
      </c>
      <c r="T4905">
        <v>-0.13188620000000001</v>
      </c>
      <c r="U4905">
        <v>-0.39941409999999999</v>
      </c>
      <c r="V4905">
        <v>0.1017419</v>
      </c>
      <c r="W4905">
        <v>0.16927490000000001</v>
      </c>
      <c r="X4905">
        <v>0.98030329999999999</v>
      </c>
      <c r="Y4905">
        <v>0.18575169999999999</v>
      </c>
      <c r="Z4905">
        <v>1.3911710000000001E-2</v>
      </c>
      <c r="AA4905">
        <v>0.98249819999999999</v>
      </c>
      <c r="AB4905">
        <v>23</v>
      </c>
      <c r="AC4905">
        <v>-25.2974</v>
      </c>
      <c r="AD4905">
        <v>-1.104843188362</v>
      </c>
      <c r="AE4905">
        <v>-3.2852000000000001</v>
      </c>
      <c r="AF4905">
        <v>4.7696883958411096</v>
      </c>
      <c r="AG4905">
        <v>-1.104843188362</v>
      </c>
      <c r="AH4905">
        <v>25.0113285046864</v>
      </c>
      <c r="AI4905">
        <v>92.484605238292801</v>
      </c>
      <c r="AJ4905">
        <v>79.203266255838599</v>
      </c>
      <c r="AK4905">
        <v>25.486018901225599</v>
      </c>
      <c r="AL4905">
        <v>80.254336935337093</v>
      </c>
      <c r="AM4905">
        <v>84.074706071062394</v>
      </c>
      <c r="AN4905">
        <v>0.99999998298825399</v>
      </c>
    </row>
    <row r="4906" spans="1:40" x14ac:dyDescent="0.25">
      <c r="A4906" t="str">
        <f>"20190304154854936"</f>
        <v>20190304154854936</v>
      </c>
      <c r="B4906" t="str">
        <f>"1551685734932269"</f>
        <v>1551685734932269</v>
      </c>
      <c r="C4906" t="s">
        <v>40</v>
      </c>
      <c r="D4906">
        <v>4.2922659999999997</v>
      </c>
      <c r="E4906">
        <v>0.52802340000000003</v>
      </c>
      <c r="F4906" t="s">
        <v>44</v>
      </c>
      <c r="G4906">
        <v>-232.60720000000001</v>
      </c>
      <c r="H4906" s="1">
        <v>-3.2087770000000001E-6</v>
      </c>
      <c r="I4906">
        <v>139.3064</v>
      </c>
      <c r="J4906">
        <v>-207.60929999999999</v>
      </c>
      <c r="K4906">
        <v>1.10507</v>
      </c>
      <c r="L4906">
        <v>142.45230000000001</v>
      </c>
      <c r="M4906">
        <v>-0.95286720000000003</v>
      </c>
      <c r="N4906">
        <v>-1.4763389999999999E-2</v>
      </c>
      <c r="O4906">
        <v>-0.30302829999999997</v>
      </c>
      <c r="P4906">
        <v>-0.9659721</v>
      </c>
      <c r="Q4906">
        <v>0.15668370000000001</v>
      </c>
      <c r="R4906">
        <v>-0.20578679999999999</v>
      </c>
      <c r="S4906">
        <v>-3.0464479999999998</v>
      </c>
      <c r="T4906">
        <v>-0.1334755</v>
      </c>
      <c r="U4906">
        <v>-0.38729859999999999</v>
      </c>
      <c r="V4906">
        <v>9.9083699999999997E-2</v>
      </c>
      <c r="W4906">
        <v>0.169774799999999</v>
      </c>
      <c r="X4906">
        <v>0.9804891</v>
      </c>
      <c r="Y4906">
        <v>0.1801142</v>
      </c>
      <c r="Z4906">
        <v>1.3729140000000001E-2</v>
      </c>
      <c r="AA4906">
        <v>0.98354989999999998</v>
      </c>
      <c r="AB4906">
        <v>23</v>
      </c>
      <c r="AC4906">
        <v>-24.997900000000001</v>
      </c>
      <c r="AD4906">
        <v>-1.1050732087770001</v>
      </c>
      <c r="AE4906">
        <v>-3.1459000000000099</v>
      </c>
      <c r="AF4906">
        <v>4.5691551641011996</v>
      </c>
      <c r="AG4906">
        <v>-1.1050732087770001</v>
      </c>
      <c r="AH4906">
        <v>24.728104830112802</v>
      </c>
      <c r="AI4906">
        <v>92.516247808959605</v>
      </c>
      <c r="AJ4906">
        <v>79.531203393970301</v>
      </c>
      <c r="AK4906">
        <v>25.17096609587</v>
      </c>
      <c r="AL4906">
        <v>80.225273976209493</v>
      </c>
      <c r="AM4906">
        <v>84.229542939273699</v>
      </c>
      <c r="AN4906">
        <v>0.99999996876976904</v>
      </c>
    </row>
    <row r="4907" spans="1:40" x14ac:dyDescent="0.25">
      <c r="A4907" t="str">
        <f>"20190304154854959"</f>
        <v>20190304154854959</v>
      </c>
      <c r="B4907" t="str">
        <f>"1551685734951789"</f>
        <v>1551685734951789</v>
      </c>
      <c r="C4907" t="s">
        <v>40</v>
      </c>
      <c r="D4907">
        <v>4.2806220000000001</v>
      </c>
      <c r="E4907">
        <v>0.52653309999999998</v>
      </c>
      <c r="F4907" t="s">
        <v>44</v>
      </c>
      <c r="G4907">
        <v>-231.61660000000001</v>
      </c>
      <c r="H4907" s="1">
        <v>-3.6132060000000001E-6</v>
      </c>
      <c r="I4907">
        <v>139.4221</v>
      </c>
      <c r="J4907">
        <v>-207.8458</v>
      </c>
      <c r="K4907">
        <v>1.1052770000000001</v>
      </c>
      <c r="L4907">
        <v>142.3896</v>
      </c>
      <c r="M4907">
        <v>-0.95587809999999995</v>
      </c>
      <c r="N4907">
        <v>-1.4702399999999999E-2</v>
      </c>
      <c r="O4907">
        <v>-0.29339549999999998</v>
      </c>
      <c r="P4907">
        <v>-0.9674779</v>
      </c>
      <c r="Q4907">
        <v>0.15678020000000001</v>
      </c>
      <c r="R4907">
        <v>-0.1985113</v>
      </c>
      <c r="S4907">
        <v>-3.0465390000000001</v>
      </c>
      <c r="T4907">
        <v>-0.1402342</v>
      </c>
      <c r="U4907">
        <v>-0.38452150000000002</v>
      </c>
      <c r="V4907">
        <v>9.6467620000000004E-2</v>
      </c>
      <c r="W4907">
        <v>0.16990130000000001</v>
      </c>
      <c r="X4907">
        <v>0.98072809999999999</v>
      </c>
      <c r="Y4907">
        <v>0.17104140000000001</v>
      </c>
      <c r="Z4907">
        <v>1.405057E-2</v>
      </c>
      <c r="AA4907">
        <v>0.98516360000000003</v>
      </c>
      <c r="AB4907">
        <v>23</v>
      </c>
      <c r="AC4907">
        <v>-23.770800000000001</v>
      </c>
      <c r="AD4907">
        <v>-1.105280613206</v>
      </c>
      <c r="AE4907">
        <v>-2.9674999999999998</v>
      </c>
      <c r="AF4907">
        <v>4.1293340586008904</v>
      </c>
      <c r="AG4907">
        <v>-1.105280613206</v>
      </c>
      <c r="AH4907">
        <v>23.5450648459692</v>
      </c>
      <c r="AI4907">
        <v>92.647327661118297</v>
      </c>
      <c r="AJ4907">
        <v>80.0526290441409</v>
      </c>
      <c r="AK4907">
        <v>23.9299628834301</v>
      </c>
      <c r="AL4907">
        <v>80.217919812489598</v>
      </c>
      <c r="AM4907">
        <v>84.382271226602398</v>
      </c>
      <c r="AN4907">
        <v>1.0000000297898799</v>
      </c>
    </row>
    <row r="4908" spans="1:40" x14ac:dyDescent="0.25">
      <c r="A4908" t="str">
        <f>"20190304154854981"</f>
        <v>20190304154854981</v>
      </c>
      <c r="B4908" t="str">
        <f>"1551685734972284"</f>
        <v>1551685734972284</v>
      </c>
      <c r="C4908" t="s">
        <v>40</v>
      </c>
      <c r="D4908">
        <v>4.3004850000000001</v>
      </c>
      <c r="E4908">
        <v>0.52531260000000002</v>
      </c>
      <c r="F4908" t="s">
        <v>44</v>
      </c>
      <c r="G4908">
        <v>-231.13740000000001</v>
      </c>
      <c r="H4908" s="1">
        <v>-3.798632E-6</v>
      </c>
      <c r="I4908">
        <v>139.53569999999999</v>
      </c>
      <c r="J4908">
        <v>-208.06039999999999</v>
      </c>
      <c r="K4908">
        <v>1.105459</v>
      </c>
      <c r="L4908">
        <v>142.33449999999999</v>
      </c>
      <c r="M4908">
        <v>-0.95843599999999995</v>
      </c>
      <c r="N4908">
        <v>-1.464885E-2</v>
      </c>
      <c r="O4908">
        <v>-0.2849315</v>
      </c>
      <c r="P4908">
        <v>-0.96872789999999998</v>
      </c>
      <c r="Q4908">
        <v>0.1559479</v>
      </c>
      <c r="R4908">
        <v>-0.1929941</v>
      </c>
      <c r="S4908">
        <v>-3.0476679999999998</v>
      </c>
      <c r="T4908">
        <v>-0.14462449999999999</v>
      </c>
      <c r="U4908">
        <v>-0.3734131</v>
      </c>
      <c r="V4908">
        <v>9.3329110000000007E-2</v>
      </c>
      <c r="W4908">
        <v>0.16910610000000001</v>
      </c>
      <c r="X4908">
        <v>0.98116910000000002</v>
      </c>
      <c r="Y4908">
        <v>0.1658935</v>
      </c>
      <c r="Z4908">
        <v>1.4183289999999999E-2</v>
      </c>
      <c r="AA4908">
        <v>0.98604170000000002</v>
      </c>
      <c r="AB4908">
        <v>23</v>
      </c>
      <c r="AC4908">
        <v>-23.077000000000002</v>
      </c>
      <c r="AD4908">
        <v>-1.105462798632</v>
      </c>
      <c r="AE4908">
        <v>-2.7988</v>
      </c>
      <c r="AF4908">
        <v>3.8845263953597602</v>
      </c>
      <c r="AG4908">
        <v>-1.105462798632</v>
      </c>
      <c r="AH4908">
        <v>22.866041087558301</v>
      </c>
      <c r="AI4908">
        <v>92.728783843854401</v>
      </c>
      <c r="AJ4908">
        <v>80.358531649003098</v>
      </c>
      <c r="AK4908">
        <v>23.219979076935299</v>
      </c>
      <c r="AL4908">
        <v>80.264150093967004</v>
      </c>
      <c r="AM4908">
        <v>84.566355918289304</v>
      </c>
      <c r="AN4908">
        <v>0.999999999312706</v>
      </c>
    </row>
    <row r="4909" spans="1:40" x14ac:dyDescent="0.25">
      <c r="A4909" t="str">
        <f>"20190304154855004"</f>
        <v>20190304154855004</v>
      </c>
      <c r="B4909" t="str">
        <f>"1551685734991804"</f>
        <v>1551685734991804</v>
      </c>
      <c r="C4909" t="s">
        <v>40</v>
      </c>
      <c r="D4909">
        <v>4.3285039999999997</v>
      </c>
      <c r="E4909">
        <v>0.51697680000000001</v>
      </c>
      <c r="F4909" t="s">
        <v>44</v>
      </c>
      <c r="G4909">
        <v>-230.46780000000001</v>
      </c>
      <c r="H4909" s="1">
        <v>-4.0812650000000003E-6</v>
      </c>
      <c r="I4909">
        <v>139.65270000000001</v>
      </c>
      <c r="J4909">
        <v>-208.29</v>
      </c>
      <c r="K4909">
        <v>1.105653</v>
      </c>
      <c r="L4909">
        <v>142.2775</v>
      </c>
      <c r="M4909">
        <v>-0.96099990000000002</v>
      </c>
      <c r="N4909">
        <v>-1.459148E-2</v>
      </c>
      <c r="O4909">
        <v>-0.2761633</v>
      </c>
      <c r="P4909">
        <v>-0.96999029999999997</v>
      </c>
      <c r="Q4909">
        <v>0.15551019999999999</v>
      </c>
      <c r="R4909">
        <v>-0.1869103</v>
      </c>
      <c r="S4909">
        <v>-3.0483699999999998</v>
      </c>
      <c r="T4909">
        <v>-0.15039050000000001</v>
      </c>
      <c r="U4909">
        <v>-0.36483759999999998</v>
      </c>
      <c r="V4909">
        <v>9.0449849999999998E-2</v>
      </c>
      <c r="W4909">
        <v>0.16869629999999999</v>
      </c>
      <c r="X4909">
        <v>0.98150919999999997</v>
      </c>
      <c r="Y4909">
        <v>0.1596216</v>
      </c>
      <c r="Z4909">
        <v>1.439821E-2</v>
      </c>
      <c r="AA4909">
        <v>0.98707319999999998</v>
      </c>
      <c r="AB4909">
        <v>23</v>
      </c>
      <c r="AC4909">
        <v>-22.177800000000001</v>
      </c>
      <c r="AD4909">
        <v>-1.105657081265</v>
      </c>
      <c r="AE4909">
        <v>-2.6247999999999898</v>
      </c>
      <c r="AF4909">
        <v>3.5938367517098402</v>
      </c>
      <c r="AG4909">
        <v>-1.105657081265</v>
      </c>
      <c r="AH4909">
        <v>21.986194079774901</v>
      </c>
      <c r="AI4909">
        <v>92.841260661187505</v>
      </c>
      <c r="AJ4909">
        <v>80.716600392355502</v>
      </c>
      <c r="AK4909">
        <v>22.3054000253934</v>
      </c>
      <c r="AL4909">
        <v>80.287971803762801</v>
      </c>
      <c r="AM4909">
        <v>84.734844301272801</v>
      </c>
      <c r="AN4909">
        <v>0.99999996334167496</v>
      </c>
    </row>
    <row r="4910" spans="1:40" x14ac:dyDescent="0.25">
      <c r="A4910" t="str">
        <f>"20190304154855027"</f>
        <v>20190304154855027</v>
      </c>
      <c r="B4910" t="str">
        <f>"1551685735021835"</f>
        <v>1551685735021835</v>
      </c>
      <c r="C4910" t="s">
        <v>40</v>
      </c>
      <c r="D4910">
        <v>4.2788620000000002</v>
      </c>
      <c r="E4910">
        <v>0.54710749999999997</v>
      </c>
      <c r="F4910" t="s">
        <v>44</v>
      </c>
      <c r="G4910">
        <v>-227.8022</v>
      </c>
      <c r="H4910" s="1">
        <v>-9.3243009999999998E-7</v>
      </c>
      <c r="I4910">
        <v>139.64359999999999</v>
      </c>
      <c r="J4910">
        <v>-208.5163</v>
      </c>
      <c r="K4910">
        <v>1.1058520000000001</v>
      </c>
      <c r="L4910">
        <v>142.22319999999999</v>
      </c>
      <c r="M4910">
        <v>-0.96336449999999996</v>
      </c>
      <c r="N4910">
        <v>-1.453513E-2</v>
      </c>
      <c r="O4910">
        <v>-0.26780159999999997</v>
      </c>
      <c r="P4910">
        <v>-0.97108850000000002</v>
      </c>
      <c r="Q4910">
        <v>0.155477</v>
      </c>
      <c r="R4910">
        <v>-0.18114759999999999</v>
      </c>
      <c r="S4910">
        <v>-3.0413359999999998</v>
      </c>
      <c r="T4910">
        <v>-0.17233709999999999</v>
      </c>
      <c r="U4910">
        <v>-0.41053770000000001</v>
      </c>
      <c r="V4910">
        <v>8.7659769999999998E-2</v>
      </c>
      <c r="W4910">
        <v>0.16868929999999999</v>
      </c>
      <c r="X4910">
        <v>0.98176350000000001</v>
      </c>
      <c r="Y4910">
        <v>0.13604759999999999</v>
      </c>
      <c r="Z4910">
        <v>1.5788460000000001E-2</v>
      </c>
      <c r="AA4910">
        <v>0.99057649999999997</v>
      </c>
      <c r="AB4910">
        <v>23</v>
      </c>
      <c r="AC4910">
        <v>-19.285900000000002</v>
      </c>
      <c r="AD4910">
        <v>-1.1058529324301001</v>
      </c>
      <c r="AE4910">
        <v>-2.5795999999999899</v>
      </c>
      <c r="AF4910">
        <v>2.67135406008155</v>
      </c>
      <c r="AG4910">
        <v>-1.1058529324301001</v>
      </c>
      <c r="AH4910">
        <v>19.210156702147302</v>
      </c>
      <c r="AI4910">
        <v>93.263323468231903</v>
      </c>
      <c r="AJ4910">
        <v>82.083249345322201</v>
      </c>
      <c r="AK4910">
        <v>19.4265067303294</v>
      </c>
      <c r="AL4910">
        <v>80.288378502012307</v>
      </c>
      <c r="AM4910">
        <v>84.8977007333214</v>
      </c>
      <c r="AN4910">
        <v>0.99999994257159397</v>
      </c>
    </row>
    <row r="4911" spans="1:40" x14ac:dyDescent="0.25">
      <c r="A4911" t="str">
        <f>"20190304154855052"</f>
        <v>20190304154855052</v>
      </c>
      <c r="B4911" t="str">
        <f>"1551685735042318"</f>
        <v>1551685735042318</v>
      </c>
      <c r="C4911" t="s">
        <v>40</v>
      </c>
      <c r="D4911">
        <v>4.283544</v>
      </c>
      <c r="E4911">
        <v>0.56203259999999999</v>
      </c>
      <c r="F4911" t="s">
        <v>44</v>
      </c>
      <c r="G4911">
        <v>-276.43740000000003</v>
      </c>
      <c r="H4911" s="1">
        <v>-1.6753470000000001E-6</v>
      </c>
      <c r="I4911">
        <v>138.68770000000001</v>
      </c>
      <c r="J4911">
        <v>-208.75909999999999</v>
      </c>
      <c r="K4911">
        <v>1.106077</v>
      </c>
      <c r="L4911">
        <v>142.16669999999999</v>
      </c>
      <c r="M4911">
        <v>-0.96573699999999996</v>
      </c>
      <c r="N4911">
        <v>-1.447668E-2</v>
      </c>
      <c r="O4911">
        <v>-0.25911859999999998</v>
      </c>
      <c r="P4911">
        <v>-0.97246429999999995</v>
      </c>
      <c r="Q4911">
        <v>0.1550464</v>
      </c>
      <c r="R4911">
        <v>-0.1739936</v>
      </c>
      <c r="S4911">
        <v>-3.0675349999999999</v>
      </c>
      <c r="T4911">
        <v>-4.9943920000000003E-2</v>
      </c>
      <c r="U4911">
        <v>-0.159668</v>
      </c>
      <c r="V4911">
        <v>8.5965810000000004E-2</v>
      </c>
      <c r="W4911">
        <v>0.168270899999999</v>
      </c>
      <c r="X4911">
        <v>0.9819852</v>
      </c>
      <c r="Y4911">
        <v>0.20853910000000001</v>
      </c>
      <c r="Z4911">
        <v>3.5914279999999998E-3</v>
      </c>
      <c r="AA4911">
        <v>0.97800739999999997</v>
      </c>
      <c r="AB4911">
        <v>22</v>
      </c>
      <c r="AC4911">
        <v>-67.678299999999993</v>
      </c>
      <c r="AD4911">
        <v>-1.106078675347</v>
      </c>
      <c r="AE4911">
        <v>-3.4789999999999801</v>
      </c>
      <c r="AF4911">
        <v>14.174617226665699</v>
      </c>
      <c r="AG4911">
        <v>-1.106078675347</v>
      </c>
      <c r="AH4911">
        <v>66.2502084199092</v>
      </c>
      <c r="AI4911">
        <v>90.935326545884806</v>
      </c>
      <c r="AJ4911">
        <v>77.923316234692194</v>
      </c>
      <c r="AK4911">
        <v>67.758640033872794</v>
      </c>
      <c r="AL4911">
        <v>80.312700005649205</v>
      </c>
      <c r="AM4911">
        <v>84.996917382006203</v>
      </c>
      <c r="AN4911">
        <v>1.0000000746474</v>
      </c>
    </row>
    <row r="4912" spans="1:40" x14ac:dyDescent="0.25">
      <c r="A4912" t="str">
        <f>"20190304154855071"</f>
        <v>20190304154855071</v>
      </c>
      <c r="B4912" t="str">
        <f>"1551685735061840"</f>
        <v>1551685735061840</v>
      </c>
      <c r="C4912" t="s">
        <v>40</v>
      </c>
      <c r="D4912">
        <v>4.2712209999999997</v>
      </c>
      <c r="E4912">
        <v>0.56749669999999997</v>
      </c>
      <c r="F4912" t="s">
        <v>42</v>
      </c>
      <c r="G4912">
        <v>0</v>
      </c>
      <c r="H4912">
        <v>0</v>
      </c>
      <c r="I4912">
        <v>0</v>
      </c>
      <c r="J4912">
        <v>-208.95660000000001</v>
      </c>
      <c r="K4912">
        <v>1.1062620000000001</v>
      </c>
      <c r="L4912">
        <v>142.12219999999999</v>
      </c>
      <c r="M4912">
        <v>-0.96754189999999995</v>
      </c>
      <c r="N4912">
        <v>-1.4431329999999999E-2</v>
      </c>
      <c r="O4912">
        <v>-0.252299</v>
      </c>
      <c r="P4912">
        <v>-0.97322030000000004</v>
      </c>
      <c r="Q4912">
        <v>0.15490279999999901</v>
      </c>
      <c r="R4912">
        <v>-0.16984659999999999</v>
      </c>
      <c r="S4912">
        <v>-3.0814360000000001</v>
      </c>
      <c r="T4912">
        <v>-2.3784639999999998E-3</v>
      </c>
      <c r="U4912">
        <v>-2.1743769999999999E-2</v>
      </c>
      <c r="V4912">
        <v>8.3146800000000007E-2</v>
      </c>
      <c r="W4912">
        <v>0.16815529999999901</v>
      </c>
      <c r="X4912">
        <v>0.98224769999999995</v>
      </c>
      <c r="Y4912">
        <v>0.24546609999999999</v>
      </c>
      <c r="Z4912">
        <v>-1.612764E-3</v>
      </c>
      <c r="AA4912">
        <v>0.96940380000000004</v>
      </c>
      <c r="AB4912">
        <v>22</v>
      </c>
      <c r="AC4912">
        <v>-3.0814360000000001</v>
      </c>
      <c r="AD4912">
        <v>-2.3784639999999998E-3</v>
      </c>
      <c r="AE4912">
        <v>-2.1743769999999999E-2</v>
      </c>
      <c r="AF4912">
        <v>0.75648339756636396</v>
      </c>
      <c r="AG4912">
        <v>-2.3784639999999998E-3</v>
      </c>
      <c r="AH4912">
        <v>2.98721311068768</v>
      </c>
      <c r="AI4912">
        <v>90.044223735432993</v>
      </c>
      <c r="AJ4912">
        <v>75.789143816587796</v>
      </c>
      <c r="AK4912">
        <v>3.0815117972431798</v>
      </c>
      <c r="AL4912">
        <v>80.319419092290801</v>
      </c>
      <c r="AM4912">
        <v>85.161474437200496</v>
      </c>
      <c r="AN4912">
        <v>1.0000000697118001</v>
      </c>
    </row>
    <row r="4913" spans="1:40" x14ac:dyDescent="0.25">
      <c r="A4913" t="str">
        <f>"20190304154855094"</f>
        <v>20190304154855094</v>
      </c>
      <c r="B4913" t="str">
        <f>"1551685735082332"</f>
        <v>1551685735082332</v>
      </c>
      <c r="C4913" t="s">
        <v>40</v>
      </c>
      <c r="D4913">
        <v>4.2732669999999997</v>
      </c>
      <c r="E4913">
        <v>0.57019849999999905</v>
      </c>
      <c r="F4913" t="s">
        <v>42</v>
      </c>
      <c r="G4913">
        <v>0</v>
      </c>
      <c r="H4913">
        <v>0</v>
      </c>
      <c r="I4913">
        <v>0</v>
      </c>
      <c r="J4913">
        <v>-209.17580000000001</v>
      </c>
      <c r="K4913">
        <v>1.1064309999999999</v>
      </c>
      <c r="L4913">
        <v>142.07429999999999</v>
      </c>
      <c r="M4913">
        <v>-0.96943179999999995</v>
      </c>
      <c r="N4913">
        <v>-1.438449E-2</v>
      </c>
      <c r="O4913">
        <v>-0.2449395</v>
      </c>
      <c r="P4913">
        <v>-0.97405169999999996</v>
      </c>
      <c r="Q4913">
        <v>0.15465999999999999</v>
      </c>
      <c r="R4913">
        <v>-0.16523950000000001</v>
      </c>
      <c r="S4913">
        <v>-3.0854949999999999</v>
      </c>
      <c r="T4913">
        <v>1.7972470000000001E-2</v>
      </c>
      <c r="U4913">
        <v>3.329468E-2</v>
      </c>
      <c r="V4913">
        <v>8.0260029999999996E-2</v>
      </c>
      <c r="W4913">
        <v>0.1679358</v>
      </c>
      <c r="X4913">
        <v>0.98252530000000005</v>
      </c>
      <c r="Y4913">
        <v>0.25536819999999999</v>
      </c>
      <c r="Z4913">
        <v>-3.8724200000000001E-3</v>
      </c>
      <c r="AA4913">
        <v>0.96683620000000003</v>
      </c>
      <c r="AB4913">
        <v>22</v>
      </c>
      <c r="AC4913">
        <v>-3.0854949999999999</v>
      </c>
      <c r="AD4913">
        <v>1.7972470000000001E-2</v>
      </c>
      <c r="AE4913">
        <v>3.329468E-2</v>
      </c>
      <c r="AF4913">
        <v>0.78809121563176798</v>
      </c>
      <c r="AG4913">
        <v>1.7972470000000001E-2</v>
      </c>
      <c r="AH4913">
        <v>2.9832288179256401</v>
      </c>
      <c r="AI4913">
        <v>89.666273962848507</v>
      </c>
      <c r="AJ4913">
        <v>75.202007801823996</v>
      </c>
      <c r="AK4913">
        <v>3.0856222960589101</v>
      </c>
      <c r="AL4913">
        <v>80.332176604960495</v>
      </c>
      <c r="AM4913">
        <v>85.330020262319593</v>
      </c>
      <c r="AN4913">
        <v>1.00000003523866</v>
      </c>
    </row>
    <row r="4914" spans="1:40" x14ac:dyDescent="0.25">
      <c r="A4914" t="str">
        <f>"20190304154855114"</f>
        <v>20190304154855114</v>
      </c>
      <c r="B4914" t="str">
        <f>"1551685735111613"</f>
        <v>1551685735111613</v>
      </c>
      <c r="C4914" t="s">
        <v>40</v>
      </c>
      <c r="D4914">
        <v>4.2234819999999997</v>
      </c>
      <c r="E4914">
        <v>0.57238710000000004</v>
      </c>
      <c r="F4914" t="s">
        <v>42</v>
      </c>
      <c r="G4914">
        <v>0</v>
      </c>
      <c r="H4914">
        <v>0</v>
      </c>
      <c r="I4914">
        <v>0</v>
      </c>
      <c r="J4914">
        <v>-209.38200000000001</v>
      </c>
      <c r="K4914">
        <v>1.1065719999999999</v>
      </c>
      <c r="L4914">
        <v>142.03059999999999</v>
      </c>
      <c r="M4914">
        <v>-0.97110700000000005</v>
      </c>
      <c r="N4914">
        <v>-1.4343399999999999E-2</v>
      </c>
      <c r="O4914">
        <v>-0.2382138</v>
      </c>
      <c r="P4914">
        <v>-0.97473730000000003</v>
      </c>
      <c r="Q4914">
        <v>0.1541624</v>
      </c>
      <c r="R4914">
        <v>-0.16162079999999901</v>
      </c>
      <c r="S4914">
        <v>-3.086411</v>
      </c>
      <c r="T4914">
        <v>3.244317E-2</v>
      </c>
      <c r="U4914">
        <v>6.8618769999999996E-2</v>
      </c>
      <c r="V4914">
        <v>7.7045260000000004E-2</v>
      </c>
      <c r="W4914">
        <v>0.16746429999999901</v>
      </c>
      <c r="X4914">
        <v>0.98286300000000004</v>
      </c>
      <c r="Y4914">
        <v>0.25969809999999999</v>
      </c>
      <c r="Z4914">
        <v>-5.4279599999999999E-3</v>
      </c>
      <c r="AA4914">
        <v>0.96567460000000005</v>
      </c>
      <c r="AB4914">
        <v>22</v>
      </c>
      <c r="AC4914">
        <v>-3.086411</v>
      </c>
      <c r="AD4914">
        <v>3.244317E-2</v>
      </c>
      <c r="AE4914">
        <v>6.8618769999999996E-2</v>
      </c>
      <c r="AF4914">
        <v>0.80185565990789998</v>
      </c>
      <c r="AG4914">
        <v>3.244317E-2</v>
      </c>
      <c r="AH4914">
        <v>2.9808663383843101</v>
      </c>
      <c r="AI4914">
        <v>89.397833182079793</v>
      </c>
      <c r="AJ4914">
        <v>74.943794156142403</v>
      </c>
      <c r="AK4914">
        <v>3.0870032695024201</v>
      </c>
      <c r="AL4914">
        <v>80.359579012468203</v>
      </c>
      <c r="AM4914">
        <v>85.5178293868493</v>
      </c>
      <c r="AN4914">
        <v>0.99999997031597798</v>
      </c>
    </row>
    <row r="4915" spans="1:40" x14ac:dyDescent="0.25">
      <c r="A4915" t="str">
        <f>"20190304154855127"</f>
        <v>20190304154855127</v>
      </c>
      <c r="B4915" t="str">
        <f>"1551685735122349"</f>
        <v>1551685735122349</v>
      </c>
      <c r="C4915" t="s">
        <v>40</v>
      </c>
      <c r="D4915">
        <v>4.2766359999999999</v>
      </c>
      <c r="E4915">
        <v>0.573345199999999</v>
      </c>
      <c r="F4915" t="s">
        <v>81</v>
      </c>
      <c r="G4915">
        <v>-511.06040000000002</v>
      </c>
      <c r="H4915">
        <v>5.155691</v>
      </c>
      <c r="I4915">
        <v>151.5299</v>
      </c>
      <c r="J4915">
        <v>-209.5154</v>
      </c>
      <c r="K4915">
        <v>1.106652</v>
      </c>
      <c r="L4915">
        <v>142.00299999999999</v>
      </c>
      <c r="M4915">
        <v>-0.97214089999999997</v>
      </c>
      <c r="N4915">
        <v>-1.4318300000000001E-2</v>
      </c>
      <c r="O4915">
        <v>-0.23396</v>
      </c>
      <c r="P4915">
        <v>-0.97527819999999998</v>
      </c>
      <c r="Q4915">
        <v>0.15394469999999999</v>
      </c>
      <c r="R4915">
        <v>-0.15853599999999901</v>
      </c>
      <c r="S4915">
        <v>-3.0873110000000001</v>
      </c>
      <c r="T4915">
        <v>4.1438219999999998E-2</v>
      </c>
      <c r="U4915">
        <v>9.7213750000000002E-2</v>
      </c>
      <c r="V4915">
        <v>7.5822719999999996E-2</v>
      </c>
      <c r="W4915">
        <v>0.16725090000000001</v>
      </c>
      <c r="X4915">
        <v>0.98299440000000005</v>
      </c>
      <c r="Y4915">
        <v>0.26437870000000002</v>
      </c>
      <c r="Z4915">
        <v>-6.3700040000000003E-3</v>
      </c>
      <c r="AA4915">
        <v>0.96439790000000003</v>
      </c>
      <c r="AB4915">
        <v>22</v>
      </c>
      <c r="AC4915">
        <v>-301.54500000000002</v>
      </c>
      <c r="AD4915">
        <v>4.0490389999999996</v>
      </c>
      <c r="AE4915">
        <v>9.5269000000000101</v>
      </c>
      <c r="AF4915">
        <v>79.804756216920893</v>
      </c>
      <c r="AG4915">
        <v>4.0490389999999996</v>
      </c>
      <c r="AH4915">
        <v>290.89271073220999</v>
      </c>
      <c r="AI4915">
        <v>89.230944012347194</v>
      </c>
      <c r="AJ4915">
        <v>74.658682218911594</v>
      </c>
      <c r="AK4915">
        <v>301.66829960869097</v>
      </c>
      <c r="AL4915">
        <v>80.371980835782097</v>
      </c>
      <c r="AM4915">
        <v>85.589256012800803</v>
      </c>
      <c r="AN4915">
        <v>0.99999996942518299</v>
      </c>
    </row>
    <row r="4916" spans="1:40" x14ac:dyDescent="0.25">
      <c r="A4916" t="str">
        <f>"20190304154855149"</f>
        <v>20190304154855149</v>
      </c>
      <c r="B4916" t="str">
        <f>"1551685735141869"</f>
        <v>1551685735141869</v>
      </c>
      <c r="C4916" t="s">
        <v>40</v>
      </c>
      <c r="D4916">
        <v>4.2725589999999896</v>
      </c>
      <c r="E4916">
        <v>0.57362789999999997</v>
      </c>
      <c r="F4916" t="s">
        <v>81</v>
      </c>
      <c r="G4916">
        <v>-511.06040000000002</v>
      </c>
      <c r="H4916">
        <v>5.3152239999999997</v>
      </c>
      <c r="I4916">
        <v>153.16839999999999</v>
      </c>
      <c r="J4916">
        <v>-209.72550000000001</v>
      </c>
      <c r="K4916">
        <v>1.1067579999999999</v>
      </c>
      <c r="L4916">
        <v>141.9605</v>
      </c>
      <c r="M4916">
        <v>-0.97370299999999999</v>
      </c>
      <c r="N4916">
        <v>-1.428104E-2</v>
      </c>
      <c r="O4916">
        <v>-0.2273724</v>
      </c>
      <c r="P4916">
        <v>-0.97601660000000001</v>
      </c>
      <c r="Q4916">
        <v>0.15320420000000001</v>
      </c>
      <c r="R4916">
        <v>-0.15466170000000001</v>
      </c>
      <c r="S4916">
        <v>-3.0878299999999999</v>
      </c>
      <c r="T4916">
        <v>4.3096299999999997E-2</v>
      </c>
      <c r="U4916">
        <v>0.11433409999999999</v>
      </c>
      <c r="V4916">
        <v>7.3040010000000002E-2</v>
      </c>
      <c r="W4916">
        <v>0.1665259</v>
      </c>
      <c r="X4916">
        <v>0.98332819999999999</v>
      </c>
      <c r="Y4916">
        <v>0.26318259999999899</v>
      </c>
      <c r="Z4916">
        <v>-6.3743119999999896E-3</v>
      </c>
      <c r="AA4916">
        <v>0.96472500000000005</v>
      </c>
      <c r="AB4916">
        <v>22</v>
      </c>
      <c r="AC4916">
        <v>-301.3349</v>
      </c>
      <c r="AD4916">
        <v>4.2084659999999996</v>
      </c>
      <c r="AE4916">
        <v>11.207899999999899</v>
      </c>
      <c r="AF4916">
        <v>79.421048741627501</v>
      </c>
      <c r="AG4916">
        <v>4.2084659999999996</v>
      </c>
      <c r="AH4916">
        <v>290.83538982011203</v>
      </c>
      <c r="AI4916">
        <v>89.200251922652299</v>
      </c>
      <c r="AJ4916">
        <v>74.7261235799687</v>
      </c>
      <c r="AK4916">
        <v>301.51391036088199</v>
      </c>
      <c r="AL4916">
        <v>80.414111743848807</v>
      </c>
      <c r="AM4916">
        <v>85.751964298286197</v>
      </c>
      <c r="AN4916">
        <v>1.0000000336734201</v>
      </c>
    </row>
    <row r="4917" spans="1:40" x14ac:dyDescent="0.25">
      <c r="A4917" t="str">
        <f>"20190304154855173"</f>
        <v>20190304154855173</v>
      </c>
      <c r="B4917" t="str">
        <f>"1551685735162365"</f>
        <v>1551685735162365</v>
      </c>
      <c r="C4917" t="s">
        <v>40</v>
      </c>
      <c r="D4917">
        <v>4.2917899999999998</v>
      </c>
      <c r="E4917">
        <v>0.57324889999999995</v>
      </c>
      <c r="F4917" t="s">
        <v>81</v>
      </c>
      <c r="G4917">
        <v>-511.92700000000002</v>
      </c>
      <c r="H4917">
        <v>5.3778920000000001</v>
      </c>
      <c r="I4917">
        <v>154.57859999999999</v>
      </c>
      <c r="J4917">
        <v>-209.9588</v>
      </c>
      <c r="K4917">
        <v>1.1068559999999901</v>
      </c>
      <c r="L4917">
        <v>141.91489999999999</v>
      </c>
      <c r="M4917">
        <v>-0.97534690000000002</v>
      </c>
      <c r="N4917">
        <v>-1.424284E-2</v>
      </c>
      <c r="O4917">
        <v>-0.2202172</v>
      </c>
      <c r="P4917">
        <v>-0.9768966</v>
      </c>
      <c r="Q4917">
        <v>0.152277</v>
      </c>
      <c r="R4917">
        <v>-0.14995020000000001</v>
      </c>
      <c r="S4917">
        <v>-3.0872959999999998</v>
      </c>
      <c r="T4917">
        <v>4.3634409999999998E-2</v>
      </c>
      <c r="U4917">
        <v>0.1289063</v>
      </c>
      <c r="V4917">
        <v>7.0541930000000003E-2</v>
      </c>
      <c r="W4917">
        <v>0.16560710000000001</v>
      </c>
      <c r="X4917">
        <v>0.98366560000000003</v>
      </c>
      <c r="Y4917">
        <v>0.26065270000000001</v>
      </c>
      <c r="Z4917">
        <v>-6.2300339999999997E-3</v>
      </c>
      <c r="AA4917">
        <v>0.96541259999999995</v>
      </c>
      <c r="AB4917">
        <v>22</v>
      </c>
      <c r="AC4917">
        <v>-301.96820000000002</v>
      </c>
      <c r="AD4917">
        <v>4.2710359999999996</v>
      </c>
      <c r="AE4917">
        <v>12.6637</v>
      </c>
      <c r="AF4917">
        <v>78.842344101041206</v>
      </c>
      <c r="AG4917">
        <v>4.2710359999999996</v>
      </c>
      <c r="AH4917">
        <v>291.70631689140703</v>
      </c>
      <c r="AI4917">
        <v>89.190212836096705</v>
      </c>
      <c r="AJ4917">
        <v>74.875480350156195</v>
      </c>
      <c r="AK4917">
        <v>302.203461737635</v>
      </c>
      <c r="AL4917">
        <v>80.467495513229395</v>
      </c>
      <c r="AM4917">
        <v>85.898151239328101</v>
      </c>
      <c r="AN4917">
        <v>0.99999994404094505</v>
      </c>
    </row>
    <row r="4918" spans="1:40" x14ac:dyDescent="0.25">
      <c r="A4918" t="str">
        <f>"20190304154855194"</f>
        <v>20190304154855194</v>
      </c>
      <c r="B4918" t="str">
        <f>"1551685735191645"</f>
        <v>1551685735191645</v>
      </c>
      <c r="C4918" t="s">
        <v>40</v>
      </c>
      <c r="D4918">
        <v>4.3381080000000001</v>
      </c>
      <c r="E4918">
        <v>0.57185739999999996</v>
      </c>
      <c r="F4918" t="s">
        <v>81</v>
      </c>
      <c r="G4918">
        <v>-511.92689999999999</v>
      </c>
      <c r="H4918">
        <v>5.1487720000000001</v>
      </c>
      <c r="I4918">
        <v>155.697</v>
      </c>
      <c r="J4918">
        <v>-210.1705</v>
      </c>
      <c r="K4918">
        <v>1.1069249999999999</v>
      </c>
      <c r="L4918">
        <v>141.875</v>
      </c>
      <c r="M4918">
        <v>-0.97676779999999996</v>
      </c>
      <c r="N4918">
        <v>-1.420431E-2</v>
      </c>
      <c r="O4918">
        <v>-0.2138292</v>
      </c>
      <c r="P4918">
        <v>-0.97770049999999997</v>
      </c>
      <c r="Q4918">
        <v>0.15120649999999999</v>
      </c>
      <c r="R4918">
        <v>-0.14573320000000001</v>
      </c>
      <c r="S4918">
        <v>-3.0861360000000002</v>
      </c>
      <c r="T4918">
        <v>4.1309119999999998E-2</v>
      </c>
      <c r="U4918">
        <v>0.1408539</v>
      </c>
      <c r="V4918">
        <v>6.8340090000000006E-2</v>
      </c>
      <c r="W4918">
        <v>0.16453719999999999</v>
      </c>
      <c r="X4918">
        <v>0.9840006</v>
      </c>
      <c r="Y4918">
        <v>0.25808730000000002</v>
      </c>
      <c r="Z4918">
        <v>-5.7892919999999997E-3</v>
      </c>
      <c r="AA4918">
        <v>0.96610430000000003</v>
      </c>
      <c r="AB4918">
        <v>22</v>
      </c>
      <c r="AC4918">
        <v>-301.75639999999999</v>
      </c>
      <c r="AD4918">
        <v>4.0418469999999997</v>
      </c>
      <c r="AE4918">
        <v>13.821999999999999</v>
      </c>
      <c r="AF4918">
        <v>78.019117552250506</v>
      </c>
      <c r="AG4918">
        <v>4.0418469999999997</v>
      </c>
      <c r="AH4918">
        <v>291.76758839749903</v>
      </c>
      <c r="AI4918">
        <v>89.233269549143898</v>
      </c>
      <c r="AJ4918">
        <v>75.029277474180603</v>
      </c>
      <c r="AK4918">
        <v>302.045766184689</v>
      </c>
      <c r="AL4918">
        <v>80.529649647147295</v>
      </c>
      <c r="AM4918">
        <v>86.027114939102802</v>
      </c>
      <c r="AN4918">
        <v>1.0000000194426999</v>
      </c>
    </row>
    <row r="4919" spans="1:40" x14ac:dyDescent="0.25">
      <c r="A4919" t="str">
        <f>"20190304154855217"</f>
        <v>20190304154855217</v>
      </c>
      <c r="B4919" t="str">
        <f>"1551685735212143"</f>
        <v>1551685735212143</v>
      </c>
      <c r="C4919" t="s">
        <v>40</v>
      </c>
      <c r="D4919">
        <v>4.3184149999999999</v>
      </c>
      <c r="E4919">
        <v>0.57086479999999995</v>
      </c>
      <c r="F4919" t="s">
        <v>81</v>
      </c>
      <c r="G4919">
        <v>-511.92669999999998</v>
      </c>
      <c r="H4919">
        <v>4.4285670000000001</v>
      </c>
      <c r="I4919">
        <v>155.93199999999999</v>
      </c>
      <c r="J4919">
        <v>-210.39859999999999</v>
      </c>
      <c r="K4919">
        <v>1.106973</v>
      </c>
      <c r="L4919">
        <v>141.83359999999999</v>
      </c>
      <c r="M4919">
        <v>-0.97823570000000004</v>
      </c>
      <c r="N4919">
        <v>-1.4155350000000001E-2</v>
      </c>
      <c r="O4919">
        <v>-0.20701339999999999</v>
      </c>
      <c r="P4919">
        <v>-0.978491</v>
      </c>
      <c r="Q4919">
        <v>0.150661299999999</v>
      </c>
      <c r="R4919">
        <v>-0.14091500000000001</v>
      </c>
      <c r="S4919">
        <v>-3.0845950000000002</v>
      </c>
      <c r="T4919">
        <v>3.3954739999999997E-2</v>
      </c>
      <c r="U4919">
        <v>0.14369199999999999</v>
      </c>
      <c r="V4919">
        <v>6.6313109999999995E-2</v>
      </c>
      <c r="W4919">
        <v>0.16397410000000001</v>
      </c>
      <c r="X4919">
        <v>0.98423329999999998</v>
      </c>
      <c r="Y4919">
        <v>0.2522739</v>
      </c>
      <c r="Z4919">
        <v>-4.8101130000000004E-3</v>
      </c>
      <c r="AA4919">
        <v>0.9676439</v>
      </c>
      <c r="AB4919">
        <v>22</v>
      </c>
      <c r="AC4919">
        <v>-301.52809999999999</v>
      </c>
      <c r="AD4919">
        <v>3.3215940000000002</v>
      </c>
      <c r="AE4919">
        <v>14.0984</v>
      </c>
      <c r="AF4919">
        <v>76.210323810446894</v>
      </c>
      <c r="AG4919">
        <v>3.3215940000000002</v>
      </c>
      <c r="AH4919">
        <v>292.04089533934098</v>
      </c>
      <c r="AI4919">
        <v>89.369475107260598</v>
      </c>
      <c r="AJ4919">
        <v>75.374397481189604</v>
      </c>
      <c r="AK4919">
        <v>301.83924693882699</v>
      </c>
      <c r="AL4919">
        <v>80.562357539915993</v>
      </c>
      <c r="AM4919">
        <v>86.1454994563057</v>
      </c>
      <c r="AN4919">
        <v>1.0000000614287801</v>
      </c>
    </row>
    <row r="4920" spans="1:40" x14ac:dyDescent="0.25">
      <c r="A4920" t="str">
        <f>"20190304154855239"</f>
        <v>20190304154855239</v>
      </c>
      <c r="B4920" t="str">
        <f>"1551685735232033"</f>
        <v>1551685735232033</v>
      </c>
      <c r="C4920" t="s">
        <v>40</v>
      </c>
      <c r="D4920">
        <v>4.3232150000000003</v>
      </c>
      <c r="E4920">
        <v>0.57026309999999902</v>
      </c>
      <c r="F4920" t="s">
        <v>81</v>
      </c>
      <c r="G4920">
        <v>-511.92660000000001</v>
      </c>
      <c r="H4920">
        <v>4.175853</v>
      </c>
      <c r="I4920">
        <v>156.62190000000001</v>
      </c>
      <c r="J4920">
        <v>-210.6163</v>
      </c>
      <c r="K4920">
        <v>1.106984</v>
      </c>
      <c r="L4920">
        <v>141.7954</v>
      </c>
      <c r="M4920">
        <v>-0.97958619999999996</v>
      </c>
      <c r="N4920">
        <v>-1.4083119999999999E-2</v>
      </c>
      <c r="O4920">
        <v>-0.2005313</v>
      </c>
      <c r="P4920">
        <v>-0.97910430000000004</v>
      </c>
      <c r="Q4920">
        <v>0.1507674</v>
      </c>
      <c r="R4920">
        <v>-0.13647100000000001</v>
      </c>
      <c r="S4920">
        <v>-3.0828859999999998</v>
      </c>
      <c r="T4920">
        <v>3.137732E-2</v>
      </c>
      <c r="U4920">
        <v>0.15119929999999901</v>
      </c>
      <c r="V4920">
        <v>6.4247699999999894E-2</v>
      </c>
      <c r="W4920">
        <v>0.16403429999999999</v>
      </c>
      <c r="X4920">
        <v>0.98436020000000002</v>
      </c>
      <c r="Y4920">
        <v>0.2482471</v>
      </c>
      <c r="Z4920">
        <v>-4.3785120000000002E-3</v>
      </c>
      <c r="AA4920">
        <v>0.96868679999999996</v>
      </c>
      <c r="AB4920">
        <v>22</v>
      </c>
      <c r="AC4920">
        <v>-301.31029999999998</v>
      </c>
      <c r="AD4920">
        <v>3.0688689999999998</v>
      </c>
      <c r="AE4920">
        <v>14.826499999999999</v>
      </c>
      <c r="AF4920">
        <v>74.945648733733194</v>
      </c>
      <c r="AG4920">
        <v>3.0688689999999998</v>
      </c>
      <c r="AH4920">
        <v>292.18493926586399</v>
      </c>
      <c r="AI4920">
        <v>89.417103002773501</v>
      </c>
      <c r="AJ4920">
        <v>75.613741820261495</v>
      </c>
      <c r="AK4920">
        <v>301.65925637191401</v>
      </c>
      <c r="AL4920">
        <v>80.558860508605903</v>
      </c>
      <c r="AM4920">
        <v>86.265687895062896</v>
      </c>
      <c r="AN4920">
        <v>1.0000000109379099</v>
      </c>
    </row>
    <row r="4921" spans="1:40" x14ac:dyDescent="0.25">
      <c r="A4921" t="str">
        <f>"20190304154855262"</f>
        <v>20190304154855262</v>
      </c>
      <c r="B4921" t="str">
        <f>"1551685735251554"</f>
        <v>1551685735251554</v>
      </c>
      <c r="C4921" t="s">
        <v>40</v>
      </c>
      <c r="D4921">
        <v>4.3604880000000001</v>
      </c>
      <c r="E4921">
        <v>0.56865489999999996</v>
      </c>
      <c r="F4921" t="s">
        <v>81</v>
      </c>
      <c r="G4921">
        <v>-511.92660000000001</v>
      </c>
      <c r="H4921">
        <v>4.2114229999999999</v>
      </c>
      <c r="I4921">
        <v>157.54159999999999</v>
      </c>
      <c r="J4921">
        <v>-210.84010000000001</v>
      </c>
      <c r="K4921">
        <v>1.1069639999999901</v>
      </c>
      <c r="L4921">
        <v>141.7576</v>
      </c>
      <c r="M4921">
        <v>-0.98092769999999996</v>
      </c>
      <c r="N4921">
        <v>-1.397281E-2</v>
      </c>
      <c r="O4921">
        <v>-0.19387019999999999</v>
      </c>
      <c r="P4921">
        <v>-0.97970380000000001</v>
      </c>
      <c r="Q4921">
        <v>0.15101970000000001</v>
      </c>
      <c r="R4921">
        <v>-0.13180810000000001</v>
      </c>
      <c r="S4921">
        <v>-3.0815890000000001</v>
      </c>
      <c r="T4921">
        <v>3.1750439999999998E-2</v>
      </c>
      <c r="U4921">
        <v>0.161041299999999</v>
      </c>
      <c r="V4921">
        <v>6.2234249999999998E-2</v>
      </c>
      <c r="W4921">
        <v>0.1641985</v>
      </c>
      <c r="X4921">
        <v>0.98446210000000001</v>
      </c>
      <c r="Y4921">
        <v>0.24477019999999999</v>
      </c>
      <c r="Z4921">
        <v>-4.2544039999999998E-3</v>
      </c>
      <c r="AA4921">
        <v>0.96957179999999998</v>
      </c>
      <c r="AB4921">
        <v>22</v>
      </c>
      <c r="AC4921">
        <v>-301.0865</v>
      </c>
      <c r="AD4921">
        <v>3.1044589999999999</v>
      </c>
      <c r="AE4921">
        <v>15.783999999999899</v>
      </c>
      <c r="AF4921">
        <v>73.854041619882395</v>
      </c>
      <c r="AG4921">
        <v>3.1044589999999999</v>
      </c>
      <c r="AH4921">
        <v>292.28158239663901</v>
      </c>
      <c r="AI4921">
        <v>89.4099999894501</v>
      </c>
      <c r="AJ4921">
        <v>75.819266673734404</v>
      </c>
      <c r="AK4921">
        <v>301.48396398076898</v>
      </c>
      <c r="AL4921">
        <v>80.549322528008005</v>
      </c>
      <c r="AM4921">
        <v>86.382774671051095</v>
      </c>
      <c r="AN4921">
        <v>0.99999993780585905</v>
      </c>
    </row>
    <row r="4922" spans="1:40" x14ac:dyDescent="0.25">
      <c r="A4922" t="str">
        <f>"20190304154855282"</f>
        <v>20190304154855282</v>
      </c>
      <c r="B4922" t="str">
        <f>"1551685735272050"</f>
        <v>1551685735272050</v>
      </c>
      <c r="C4922" t="s">
        <v>40</v>
      </c>
      <c r="D4922">
        <v>4.3662609999999997</v>
      </c>
      <c r="E4922">
        <v>0.56775520000000002</v>
      </c>
      <c r="F4922" t="s">
        <v>81</v>
      </c>
      <c r="G4922">
        <v>-511.92660000000001</v>
      </c>
      <c r="H4922">
        <v>4.1332190000000004</v>
      </c>
      <c r="I4922">
        <v>157.7466</v>
      </c>
      <c r="J4922">
        <v>-211.0498</v>
      </c>
      <c r="K4922">
        <v>1.1069230000000001</v>
      </c>
      <c r="L4922">
        <v>141.72370000000001</v>
      </c>
      <c r="M4922">
        <v>-0.98214319999999999</v>
      </c>
      <c r="N4922">
        <v>-1.384759E-2</v>
      </c>
      <c r="O4922">
        <v>-0.18762490000000001</v>
      </c>
      <c r="P4922">
        <v>-0.9802611</v>
      </c>
      <c r="Q4922">
        <v>0.15121979999999999</v>
      </c>
      <c r="R4922">
        <v>-0.12736220000000001</v>
      </c>
      <c r="S4922">
        <v>-3.0793759999999999</v>
      </c>
      <c r="T4922">
        <v>3.0951619999999999E-2</v>
      </c>
      <c r="U4922">
        <v>0.16352839999999999</v>
      </c>
      <c r="V4922">
        <v>6.0432710000000001E-2</v>
      </c>
      <c r="W4922">
        <v>0.1642921</v>
      </c>
      <c r="X4922">
        <v>0.98455879999999996</v>
      </c>
      <c r="Y4922">
        <v>0.23941779999999999</v>
      </c>
      <c r="Z4922">
        <v>-4.0265359999999998E-3</v>
      </c>
      <c r="AA4922">
        <v>0.97090829999999995</v>
      </c>
      <c r="AB4922">
        <v>22</v>
      </c>
      <c r="AC4922">
        <v>-300.8768</v>
      </c>
      <c r="AD4922">
        <v>3.0262959999999999</v>
      </c>
      <c r="AE4922">
        <v>16.0228999999999</v>
      </c>
      <c r="AF4922">
        <v>72.188397069397894</v>
      </c>
      <c r="AG4922">
        <v>3.0262959999999999</v>
      </c>
      <c r="AH4922">
        <v>292.49633034903798</v>
      </c>
      <c r="AI4922">
        <v>89.424481110229905</v>
      </c>
      <c r="AJ4922">
        <v>76.136391544691193</v>
      </c>
      <c r="AK4922">
        <v>301.287946002794</v>
      </c>
      <c r="AL4922">
        <v>80.543886580583106</v>
      </c>
      <c r="AM4922">
        <v>86.487563177432904</v>
      </c>
      <c r="AN4922">
        <v>1.00000001860889</v>
      </c>
    </row>
    <row r="4923" spans="1:40" x14ac:dyDescent="0.25">
      <c r="A4923" t="str">
        <f>"20190304154855305"</f>
        <v>20190304154855305</v>
      </c>
      <c r="B4923" t="str">
        <f>"1551685735302307"</f>
        <v>1551685735302307</v>
      </c>
      <c r="C4923" t="s">
        <v>40</v>
      </c>
      <c r="D4923">
        <v>4.3707219999999998</v>
      </c>
      <c r="E4923">
        <v>0.55167349999999904</v>
      </c>
      <c r="F4923" t="s">
        <v>81</v>
      </c>
      <c r="G4923">
        <v>-511.92649999999998</v>
      </c>
      <c r="H4923">
        <v>4.1141230000000002</v>
      </c>
      <c r="I4923">
        <v>158.41499999999999</v>
      </c>
      <c r="J4923">
        <v>-211.26730000000001</v>
      </c>
      <c r="K4923">
        <v>1.106876</v>
      </c>
      <c r="L4923">
        <v>141.68989999999999</v>
      </c>
      <c r="M4923">
        <v>-0.98336400000000002</v>
      </c>
      <c r="N4923">
        <v>-1.370622E-2</v>
      </c>
      <c r="O4923">
        <v>-0.18112790000000001</v>
      </c>
      <c r="P4923">
        <v>-0.98099360000000002</v>
      </c>
      <c r="Q4923">
        <v>0.1504868</v>
      </c>
      <c r="R4923">
        <v>-0.12249549999999999</v>
      </c>
      <c r="S4923">
        <v>-3.0778500000000002</v>
      </c>
      <c r="T4923">
        <v>3.0762910000000001E-2</v>
      </c>
      <c r="U4923">
        <v>0.170745799999999</v>
      </c>
      <c r="V4923">
        <v>5.8825389999999998E-2</v>
      </c>
      <c r="W4923">
        <v>0.16343550000000001</v>
      </c>
      <c r="X4923">
        <v>0.98479870000000003</v>
      </c>
      <c r="Y4923">
        <v>0.2352947</v>
      </c>
      <c r="Z4923">
        <v>-3.8526799999999998E-3</v>
      </c>
      <c r="AA4923">
        <v>0.97191640000000001</v>
      </c>
      <c r="AB4923">
        <v>22</v>
      </c>
      <c r="AC4923">
        <v>-300.65919999999898</v>
      </c>
      <c r="AD4923">
        <v>3.007247</v>
      </c>
      <c r="AE4923">
        <v>16.725099999999902</v>
      </c>
      <c r="AF4923">
        <v>70.904222517896102</v>
      </c>
      <c r="AG4923">
        <v>3.007247</v>
      </c>
      <c r="AH4923">
        <v>292.626366515825</v>
      </c>
      <c r="AI4923">
        <v>89.427763987797704</v>
      </c>
      <c r="AJ4923">
        <v>76.379570842174303</v>
      </c>
      <c r="AK4923">
        <v>301.109021262466</v>
      </c>
      <c r="AL4923">
        <v>80.593638795448797</v>
      </c>
      <c r="AM4923">
        <v>86.581589252731106</v>
      </c>
      <c r="AN4923">
        <v>1.0000000343452899</v>
      </c>
    </row>
    <row r="4924" spans="1:40" x14ac:dyDescent="0.25">
      <c r="A4924" t="str">
        <f>"20190304154855320"</f>
        <v>20190304154855320</v>
      </c>
      <c r="B4924" t="str">
        <f>"1551685735312066"</f>
        <v>1551685735312066</v>
      </c>
      <c r="C4924" t="s">
        <v>40</v>
      </c>
      <c r="D4924">
        <v>4.364401</v>
      </c>
      <c r="E4924">
        <v>0.55110459999999994</v>
      </c>
      <c r="F4924" t="s">
        <v>42</v>
      </c>
      <c r="G4924">
        <v>0</v>
      </c>
      <c r="H4924">
        <v>0</v>
      </c>
      <c r="I4924">
        <v>0</v>
      </c>
      <c r="J4924">
        <v>-211.4205</v>
      </c>
      <c r="K4924">
        <v>1.1068420000000001</v>
      </c>
      <c r="L4924">
        <v>141.667</v>
      </c>
      <c r="M4924">
        <v>-0.98420059999999998</v>
      </c>
      <c r="N4924">
        <v>-1.3600009999999999E-2</v>
      </c>
      <c r="O4924">
        <v>-0.17653440000000001</v>
      </c>
      <c r="P4924">
        <v>-0.98150400000000004</v>
      </c>
      <c r="Q4924">
        <v>0.14992649999999999</v>
      </c>
      <c r="R4924">
        <v>-0.1190465</v>
      </c>
      <c r="S4924">
        <v>-3.0641630000000002</v>
      </c>
      <c r="T4924">
        <v>9.1419220000000002E-3</v>
      </c>
      <c r="U4924">
        <v>5.960083E-2</v>
      </c>
      <c r="V4924">
        <v>5.7699779999999999E-2</v>
      </c>
      <c r="W4924">
        <v>0.16278210000000001</v>
      </c>
      <c r="X4924">
        <v>0.98497349999999995</v>
      </c>
      <c r="Y4924">
        <v>0.1956379</v>
      </c>
      <c r="Z4924">
        <v>-1.8952750000000001E-3</v>
      </c>
      <c r="AA4924">
        <v>0.98067439999999995</v>
      </c>
      <c r="AB4924">
        <v>22</v>
      </c>
      <c r="AC4924">
        <v>-3.0641630000000002</v>
      </c>
      <c r="AD4924">
        <v>9.1419220000000002E-3</v>
      </c>
      <c r="AE4924">
        <v>5.960083E-2</v>
      </c>
      <c r="AF4924">
        <v>0.59963941893887496</v>
      </c>
      <c r="AG4924">
        <v>9.1419220000000002E-3</v>
      </c>
      <c r="AH4924">
        <v>3.0054804224142702</v>
      </c>
      <c r="AI4924">
        <v>89.829089511192194</v>
      </c>
      <c r="AJ4924">
        <v>78.716771487066495</v>
      </c>
      <c r="AK4924">
        <v>3.0647289565308502</v>
      </c>
      <c r="AL4924">
        <v>80.631584033766003</v>
      </c>
      <c r="AM4924">
        <v>86.647442751260897</v>
      </c>
      <c r="AN4924">
        <v>1.00000003619735</v>
      </c>
    </row>
    <row r="4925" spans="1:40" x14ac:dyDescent="0.25">
      <c r="A4925" t="str">
        <f>"20190304154855339"</f>
        <v>20190304154855339</v>
      </c>
      <c r="B4925" t="str">
        <f>"1551685735331586"</f>
        <v>1551685735331586</v>
      </c>
      <c r="C4925" t="s">
        <v>40</v>
      </c>
      <c r="D4925">
        <v>4.3389759999999997</v>
      </c>
      <c r="E4925">
        <v>0.54997280000000004</v>
      </c>
      <c r="F4925" t="s">
        <v>42</v>
      </c>
      <c r="G4925">
        <v>0</v>
      </c>
      <c r="H4925">
        <v>0</v>
      </c>
      <c r="I4925">
        <v>0</v>
      </c>
      <c r="J4925">
        <v>-211.6105</v>
      </c>
      <c r="K4925">
        <v>1.106808</v>
      </c>
      <c r="L4925">
        <v>141.6396</v>
      </c>
      <c r="M4925">
        <v>-0.98521060000000005</v>
      </c>
      <c r="N4925">
        <v>-1.3461610000000001E-2</v>
      </c>
      <c r="O4925">
        <v>-0.17081779999999999</v>
      </c>
      <c r="P4925">
        <v>-0.98209100000000005</v>
      </c>
      <c r="Q4925">
        <v>0.1487039</v>
      </c>
      <c r="R4925">
        <v>-0.1156905</v>
      </c>
      <c r="S4925">
        <v>-3.063828</v>
      </c>
      <c r="T4925">
        <v>4.8109290000000002E-3</v>
      </c>
      <c r="U4925">
        <v>6.6162109999999996E-2</v>
      </c>
      <c r="V4925">
        <v>5.5367369999999999E-2</v>
      </c>
      <c r="W4925">
        <v>0.1614486</v>
      </c>
      <c r="X4925">
        <v>0.98532679999999995</v>
      </c>
      <c r="Y4925">
        <v>0.1920482</v>
      </c>
      <c r="Z4925">
        <v>-1.4320019999999999E-3</v>
      </c>
      <c r="AA4925">
        <v>0.98138449999999999</v>
      </c>
      <c r="AB4925">
        <v>22</v>
      </c>
      <c r="AC4925">
        <v>-3.063828</v>
      </c>
      <c r="AD4925">
        <v>4.8109290000000002E-3</v>
      </c>
      <c r="AE4925">
        <v>6.6162109999999996E-2</v>
      </c>
      <c r="AF4925">
        <v>0.58859189401176404</v>
      </c>
      <c r="AG4925">
        <v>4.8109290000000002E-3</v>
      </c>
      <c r="AH4925">
        <v>3.00747946473167</v>
      </c>
      <c r="AI4925">
        <v>89.910053001667293</v>
      </c>
      <c r="AJ4925">
        <v>78.926641500878802</v>
      </c>
      <c r="AK4925">
        <v>3.0645385123239901</v>
      </c>
      <c r="AL4925">
        <v>80.709012317496402</v>
      </c>
      <c r="AM4925">
        <v>86.7838243694043</v>
      </c>
      <c r="AN4925">
        <v>1.00000004945045</v>
      </c>
    </row>
    <row r="4926" spans="1:40" x14ac:dyDescent="0.25">
      <c r="A4926" t="str">
        <f>"20190304154855361"</f>
        <v>20190304154855361</v>
      </c>
      <c r="B4926" t="str">
        <f>"1551685735352082"</f>
        <v>1551685735352082</v>
      </c>
      <c r="C4926" t="s">
        <v>40</v>
      </c>
      <c r="D4926">
        <v>4.3610530000000001</v>
      </c>
      <c r="E4926">
        <v>0.54894509999999996</v>
      </c>
      <c r="F4926" t="s">
        <v>42</v>
      </c>
      <c r="G4926">
        <v>0</v>
      </c>
      <c r="H4926">
        <v>0</v>
      </c>
      <c r="I4926">
        <v>0</v>
      </c>
      <c r="J4926">
        <v>-211.83109999999999</v>
      </c>
      <c r="K4926">
        <v>1.1067709999999999</v>
      </c>
      <c r="L4926">
        <v>141.60919999999999</v>
      </c>
      <c r="M4926">
        <v>-0.98634480000000002</v>
      </c>
      <c r="N4926">
        <v>-1.329612E-2</v>
      </c>
      <c r="O4926">
        <v>-0.16415560000000001</v>
      </c>
      <c r="P4926">
        <v>-0.98258849999999998</v>
      </c>
      <c r="Q4926">
        <v>0.1485129</v>
      </c>
      <c r="R4926">
        <v>-0.1116408</v>
      </c>
      <c r="S4926">
        <v>-3.0634920000000001</v>
      </c>
      <c r="T4926">
        <v>-4.8334600000000004E-3</v>
      </c>
      <c r="U4926">
        <v>6.8267820000000007E-2</v>
      </c>
      <c r="V4926">
        <v>5.2771680000000001E-2</v>
      </c>
      <c r="W4926">
        <v>0.16112009999999999</v>
      </c>
      <c r="X4926">
        <v>0.98552289999999998</v>
      </c>
      <c r="Y4926">
        <v>0.18609249999999999</v>
      </c>
      <c r="Z4926">
        <v>-5.4656819999999995E-4</v>
      </c>
      <c r="AA4926">
        <v>0.98253210000000002</v>
      </c>
      <c r="AB4926">
        <v>22</v>
      </c>
      <c r="AC4926">
        <v>-3.0634920000000001</v>
      </c>
      <c r="AD4926">
        <v>-4.8334600000000004E-3</v>
      </c>
      <c r="AE4926">
        <v>6.8267820000000007E-2</v>
      </c>
      <c r="AF4926">
        <v>0.57027399354303498</v>
      </c>
      <c r="AG4926">
        <v>-4.8334600000000004E-3</v>
      </c>
      <c r="AH4926">
        <v>3.0107116396465501</v>
      </c>
      <c r="AI4926">
        <v>90.090376792614705</v>
      </c>
      <c r="AJ4926">
        <v>79.274385680469706</v>
      </c>
      <c r="AK4926">
        <v>3.0642487443336499</v>
      </c>
      <c r="AL4926">
        <v>80.728082841207296</v>
      </c>
      <c r="AM4926">
        <v>86.9349168001919</v>
      </c>
      <c r="AN4926">
        <v>0.99999996162922</v>
      </c>
    </row>
    <row r="4927" spans="1:40" x14ac:dyDescent="0.25">
      <c r="A4927" t="str">
        <f>"20190304154855383"</f>
        <v>20190304154855383</v>
      </c>
      <c r="B4927" t="str">
        <f>"1551685735371602"</f>
        <v>1551685735371602</v>
      </c>
      <c r="C4927" t="s">
        <v>40</v>
      </c>
      <c r="D4927">
        <v>4.3768750000000001</v>
      </c>
      <c r="E4927">
        <v>0.54773419999999995</v>
      </c>
      <c r="F4927" t="s">
        <v>42</v>
      </c>
      <c r="G4927">
        <v>0</v>
      </c>
      <c r="H4927">
        <v>0</v>
      </c>
      <c r="I4927">
        <v>0</v>
      </c>
      <c r="J4927">
        <v>-212.04839999999999</v>
      </c>
      <c r="K4927">
        <v>1.1067340000000001</v>
      </c>
      <c r="L4927">
        <v>141.58070000000001</v>
      </c>
      <c r="M4927">
        <v>-0.98741920000000005</v>
      </c>
      <c r="N4927">
        <v>-1.31337E-2</v>
      </c>
      <c r="O4927">
        <v>-0.15757850000000001</v>
      </c>
      <c r="P4927">
        <v>-0.98314550000000001</v>
      </c>
      <c r="Q4927">
        <v>0.14802129999999999</v>
      </c>
      <c r="R4927">
        <v>-0.107307399999999</v>
      </c>
      <c r="S4927">
        <v>-3.0629729999999999</v>
      </c>
      <c r="T4927">
        <v>-9.8378660000000007E-3</v>
      </c>
      <c r="U4927">
        <v>7.3272710000000005E-2</v>
      </c>
      <c r="V4927">
        <v>5.0554429999999997E-2</v>
      </c>
      <c r="W4927">
        <v>0.16049089999999999</v>
      </c>
      <c r="X4927">
        <v>0.9857418</v>
      </c>
      <c r="Y4927">
        <v>0.18115100000000001</v>
      </c>
      <c r="Z4927" s="1">
        <v>-8.953089E-5</v>
      </c>
      <c r="AA4927">
        <v>0.98345530000000003</v>
      </c>
      <c r="AB4927">
        <v>22</v>
      </c>
      <c r="AC4927">
        <v>-3.0629729999999999</v>
      </c>
      <c r="AD4927">
        <v>-9.8378660000000007E-3</v>
      </c>
      <c r="AE4927">
        <v>7.3272710000000005E-2</v>
      </c>
      <c r="AF4927">
        <v>0.55505168018211004</v>
      </c>
      <c r="AG4927">
        <v>-9.8378660000000007E-3</v>
      </c>
      <c r="AH4927">
        <v>3.0131207338680301</v>
      </c>
      <c r="AI4927">
        <v>90.183975131170001</v>
      </c>
      <c r="AJ4927">
        <v>79.562467195375007</v>
      </c>
      <c r="AK4927">
        <v>3.0638334987635698</v>
      </c>
      <c r="AL4927">
        <v>80.764608934976195</v>
      </c>
      <c r="AM4927">
        <v>87.064119682504597</v>
      </c>
      <c r="AN4927">
        <v>0.99999998782133703</v>
      </c>
    </row>
    <row r="4928" spans="1:40" x14ac:dyDescent="0.25">
      <c r="A4928" t="str">
        <f>"20190304154855397"</f>
        <v>20190304154855397</v>
      </c>
      <c r="B4928" t="str">
        <f>"1551685735392099"</f>
        <v>1551685735392099</v>
      </c>
      <c r="C4928" t="s">
        <v>40</v>
      </c>
      <c r="D4928">
        <v>4.3665609999999999</v>
      </c>
      <c r="E4928">
        <v>0.54694089999999995</v>
      </c>
      <c r="F4928" t="s">
        <v>68</v>
      </c>
      <c r="G4928">
        <v>-473.2978</v>
      </c>
      <c r="H4928" s="1">
        <v>-6.0032530000000004E-6</v>
      </c>
      <c r="I4928">
        <v>148.1465</v>
      </c>
      <c r="J4928">
        <v>-212.1902</v>
      </c>
      <c r="K4928">
        <v>1.1067119999999999</v>
      </c>
      <c r="L4928">
        <v>141.56290000000001</v>
      </c>
      <c r="M4928">
        <v>-0.98809619999999998</v>
      </c>
      <c r="N4928">
        <v>-1.3030430000000001E-2</v>
      </c>
      <c r="O4928">
        <v>-0.15328530000000001</v>
      </c>
      <c r="P4928">
        <v>-0.98353139999999994</v>
      </c>
      <c r="Q4928">
        <v>0.14764859999999999</v>
      </c>
      <c r="R4928">
        <v>-0.10424120000000001</v>
      </c>
      <c r="S4928">
        <v>-3.061798</v>
      </c>
      <c r="T4928">
        <v>-1.2970809999999999E-2</v>
      </c>
      <c r="U4928">
        <v>7.6950069999999995E-2</v>
      </c>
      <c r="V4928">
        <v>4.9348219999999998E-2</v>
      </c>
      <c r="W4928">
        <v>0.1600287</v>
      </c>
      <c r="X4928">
        <v>0.98587809999999998</v>
      </c>
      <c r="Y4928">
        <v>0.1780649</v>
      </c>
      <c r="Z4928">
        <v>1.8300409999999999E-4</v>
      </c>
      <c r="AA4928">
        <v>0.98401870000000002</v>
      </c>
      <c r="AB4928">
        <v>22</v>
      </c>
      <c r="AC4928">
        <v>-261.10759999999999</v>
      </c>
      <c r="AD4928">
        <v>-1.106718003253</v>
      </c>
      <c r="AE4928">
        <v>6.5835999999999899</v>
      </c>
      <c r="AF4928">
        <v>46.532295734634602</v>
      </c>
      <c r="AG4928">
        <v>-1.106718003253</v>
      </c>
      <c r="AH4928">
        <v>257.007428758152</v>
      </c>
      <c r="AI4928">
        <v>90.242776856790499</v>
      </c>
      <c r="AJ4928">
        <v>79.737526818035406</v>
      </c>
      <c r="AK4928">
        <v>261.188242093611</v>
      </c>
      <c r="AL4928">
        <v>80.791438202004102</v>
      </c>
      <c r="AM4928">
        <v>87.134446056940007</v>
      </c>
      <c r="AN4928">
        <v>1.0000000298502301</v>
      </c>
    </row>
    <row r="4929" spans="1:40" x14ac:dyDescent="0.25">
      <c r="A4929" t="str">
        <f>"20190304154855418"</f>
        <v>20190304154855418</v>
      </c>
      <c r="B4929" t="str">
        <f>"1551685735411618"</f>
        <v>1551685735411618</v>
      </c>
      <c r="C4929" t="s">
        <v>40</v>
      </c>
      <c r="D4929">
        <v>4.3526099999999897</v>
      </c>
      <c r="E4929">
        <v>0.54655679999999995</v>
      </c>
      <c r="F4929" t="s">
        <v>44</v>
      </c>
      <c r="G4929">
        <v>-450.76549999999997</v>
      </c>
      <c r="H4929" s="1">
        <v>-4.4523700000000004E-6</v>
      </c>
      <c r="I4929">
        <v>147.79140000000001</v>
      </c>
      <c r="J4929">
        <v>-212.39400000000001</v>
      </c>
      <c r="K4929">
        <v>1.106684</v>
      </c>
      <c r="L4929">
        <v>141.5385</v>
      </c>
      <c r="M4929">
        <v>-0.9890352</v>
      </c>
      <c r="N4929">
        <v>-1.288798E-2</v>
      </c>
      <c r="O4929">
        <v>-0.14711649999999901</v>
      </c>
      <c r="P4929">
        <v>-0.9839466</v>
      </c>
      <c r="Q4929">
        <v>0.1473303</v>
      </c>
      <c r="R4929">
        <v>-0.1007111</v>
      </c>
      <c r="S4929">
        <v>-3.0608369999999998</v>
      </c>
      <c r="T4929">
        <v>-1.4198779999999999E-2</v>
      </c>
      <c r="U4929">
        <v>7.991028E-2</v>
      </c>
      <c r="V4929">
        <v>4.6734169999999998E-2</v>
      </c>
      <c r="W4929">
        <v>0.1595975</v>
      </c>
      <c r="X4929">
        <v>0.98607529999999999</v>
      </c>
      <c r="Y4929">
        <v>0.17288110000000001</v>
      </c>
      <c r="Z4929">
        <v>2.9592650000000002E-4</v>
      </c>
      <c r="AA4929">
        <v>0.98494269999999995</v>
      </c>
      <c r="AB4929">
        <v>22</v>
      </c>
      <c r="AC4929">
        <v>-238.3715</v>
      </c>
      <c r="AD4929">
        <v>-1.10668845237</v>
      </c>
      <c r="AE4929">
        <v>6.2529000000000101</v>
      </c>
      <c r="AF4929">
        <v>41.255256990745799</v>
      </c>
      <c r="AG4929">
        <v>-1.10668845237</v>
      </c>
      <c r="AH4929">
        <v>234.85234744785399</v>
      </c>
      <c r="AI4929">
        <v>90.265919722598099</v>
      </c>
      <c r="AJ4929">
        <v>80.036808250696495</v>
      </c>
      <c r="AK4929">
        <v>238.45093015224401</v>
      </c>
      <c r="AL4929">
        <v>80.8164652687244</v>
      </c>
      <c r="AM4929">
        <v>87.2865474531486</v>
      </c>
      <c r="AN4929">
        <v>0.99999997096096405</v>
      </c>
    </row>
    <row r="4930" spans="1:40" x14ac:dyDescent="0.25">
      <c r="A4930" t="str">
        <f>"20190304154855441"</f>
        <v>20190304154855441</v>
      </c>
      <c r="B4930" t="str">
        <f>"1551685735432114"</f>
        <v>1551685735432114</v>
      </c>
      <c r="C4930" t="s">
        <v>40</v>
      </c>
      <c r="D4930">
        <v>4.4637820000000001</v>
      </c>
      <c r="E4930">
        <v>0.54586699999999999</v>
      </c>
      <c r="F4930" t="s">
        <v>79</v>
      </c>
      <c r="G4930">
        <v>-406.76159999999999</v>
      </c>
      <c r="H4930" s="1">
        <v>-1.171391E-5</v>
      </c>
      <c r="I4930">
        <v>147.11340000000001</v>
      </c>
      <c r="J4930">
        <v>-212.62530000000001</v>
      </c>
      <c r="K4930">
        <v>1.1066689999999999</v>
      </c>
      <c r="L4930">
        <v>141.51230000000001</v>
      </c>
      <c r="M4930">
        <v>-0.99005240000000005</v>
      </c>
      <c r="N4930">
        <v>-1.273441E-2</v>
      </c>
      <c r="O4930">
        <v>-0.1401222</v>
      </c>
      <c r="P4930">
        <v>-0.98440399999999995</v>
      </c>
      <c r="Q4930">
        <v>0.14731129999999901</v>
      </c>
      <c r="R4930">
        <v>-9.6167760000000005E-2</v>
      </c>
      <c r="S4930">
        <v>-3.0605319999999998</v>
      </c>
      <c r="T4930">
        <v>-1.7426130000000001E-2</v>
      </c>
      <c r="U4930">
        <v>8.7783810000000004E-2</v>
      </c>
      <c r="V4930">
        <v>4.4312560000000001E-2</v>
      </c>
      <c r="W4930">
        <v>0.1594516</v>
      </c>
      <c r="X4930">
        <v>0.9862107</v>
      </c>
      <c r="Y4930">
        <v>0.16845160000000001</v>
      </c>
      <c r="Z4930">
        <v>5.6078269999999895E-4</v>
      </c>
      <c r="AA4930">
        <v>0.98570979999999997</v>
      </c>
      <c r="AB4930">
        <v>22</v>
      </c>
      <c r="AC4930">
        <v>-194.13630000000001</v>
      </c>
      <c r="AD4930">
        <v>-1.1066807139099999</v>
      </c>
      <c r="AE4930">
        <v>5.6010999999999997</v>
      </c>
      <c r="AF4930">
        <v>32.749777758838498</v>
      </c>
      <c r="AG4930">
        <v>-1.1066807139099999</v>
      </c>
      <c r="AH4930">
        <v>191.42956404519899</v>
      </c>
      <c r="AI4930">
        <v>90.326487792439806</v>
      </c>
      <c r="AJ4930">
        <v>80.291821769721196</v>
      </c>
      <c r="AK4930">
        <v>194.21393018007399</v>
      </c>
      <c r="AL4930">
        <v>80.824933249409995</v>
      </c>
      <c r="AM4930">
        <v>87.427308255759698</v>
      </c>
      <c r="AN4930">
        <v>0.99999998025540104</v>
      </c>
    </row>
    <row r="4931" spans="1:40" x14ac:dyDescent="0.25">
      <c r="A4931" t="str">
        <f>"20190304154855463"</f>
        <v>20190304154855463</v>
      </c>
      <c r="B4931" t="str">
        <f>"1551685735451634"</f>
        <v>1551685735451634</v>
      </c>
      <c r="C4931" t="s">
        <v>40</v>
      </c>
      <c r="D4931">
        <v>4.4030769999999997</v>
      </c>
      <c r="E4931">
        <v>0.5373464</v>
      </c>
      <c r="F4931" t="s">
        <v>79</v>
      </c>
      <c r="G4931">
        <v>-411.14319999999998</v>
      </c>
      <c r="H4931" s="1">
        <v>-1.3499070000000001E-5</v>
      </c>
      <c r="I4931">
        <v>147.74979999999999</v>
      </c>
      <c r="J4931">
        <v>-212.8417</v>
      </c>
      <c r="K4931">
        <v>1.106649</v>
      </c>
      <c r="L4931">
        <v>141.48920000000001</v>
      </c>
      <c r="M4931">
        <v>-0.99095630000000001</v>
      </c>
      <c r="N4931">
        <v>-1.2601050000000001E-2</v>
      </c>
      <c r="O4931">
        <v>-0.1335925</v>
      </c>
      <c r="P4931">
        <v>-0.98483290000000001</v>
      </c>
      <c r="Q4931">
        <v>0.14731129999999901</v>
      </c>
      <c r="R4931">
        <v>-9.1673290000000004E-2</v>
      </c>
      <c r="S4931">
        <v>-3.0594790000000001</v>
      </c>
      <c r="T4931">
        <v>-1.7055750000000001E-2</v>
      </c>
      <c r="U4931">
        <v>9.6130370000000007E-2</v>
      </c>
      <c r="V4931">
        <v>4.230867E-2</v>
      </c>
      <c r="W4931">
        <v>0.1593405</v>
      </c>
      <c r="X4931">
        <v>0.98631670000000005</v>
      </c>
      <c r="Y4931">
        <v>0.16464909999999999</v>
      </c>
      <c r="Z4931">
        <v>5.5380519999999995E-4</v>
      </c>
      <c r="AA4931">
        <v>0.98635209999999995</v>
      </c>
      <c r="AB4931">
        <v>22</v>
      </c>
      <c r="AC4931">
        <v>-198.3015</v>
      </c>
      <c r="AD4931">
        <v>-1.10666249907</v>
      </c>
      <c r="AE4931">
        <v>6.2605999999999797</v>
      </c>
      <c r="AF4931">
        <v>32.697150809005599</v>
      </c>
      <c r="AG4931">
        <v>-1.10666249907</v>
      </c>
      <c r="AH4931">
        <v>195.68118727695301</v>
      </c>
      <c r="AI4931">
        <v>90.319598331804798</v>
      </c>
      <c r="AJ4931">
        <v>80.513857214737698</v>
      </c>
      <c r="AK4931">
        <v>198.397216278434</v>
      </c>
      <c r="AL4931">
        <v>80.831381669470701</v>
      </c>
      <c r="AM4931">
        <v>87.543767582107506</v>
      </c>
      <c r="AN4931">
        <v>1.00000002559815</v>
      </c>
    </row>
    <row r="4932" spans="1:40" x14ac:dyDescent="0.25">
      <c r="A4932" t="str">
        <f>"20190304154855483"</f>
        <v>20190304154855483</v>
      </c>
      <c r="B4932" t="str">
        <f>"1551685735472129"</f>
        <v>1551685735472129</v>
      </c>
      <c r="C4932" t="s">
        <v>40</v>
      </c>
      <c r="D4932">
        <v>4.3689450000000001</v>
      </c>
      <c r="E4932">
        <v>0.53684699999999996</v>
      </c>
      <c r="F4932" t="s">
        <v>79</v>
      </c>
      <c r="G4932">
        <v>-310.50439999999998</v>
      </c>
      <c r="H4932" s="1">
        <v>-1.0200829999999999E-5</v>
      </c>
      <c r="I4932">
        <v>142.83250000000001</v>
      </c>
      <c r="J4932">
        <v>-213.05189999999999</v>
      </c>
      <c r="K4932">
        <v>1.1066389999999999</v>
      </c>
      <c r="L4932">
        <v>141.4682</v>
      </c>
      <c r="M4932">
        <v>-0.99179030000000001</v>
      </c>
      <c r="N4932">
        <v>-1.248091E-2</v>
      </c>
      <c r="O4932">
        <v>-0.1272643</v>
      </c>
      <c r="P4932">
        <v>-0.98533329999999997</v>
      </c>
      <c r="Q4932">
        <v>0.14657690000000001</v>
      </c>
      <c r="R4932">
        <v>-8.7370149999999994E-2</v>
      </c>
      <c r="S4932">
        <v>-3.0552830000000002</v>
      </c>
      <c r="T4932">
        <v>-3.462076E-2</v>
      </c>
      <c r="U4932">
        <v>4.2022709999999998E-2</v>
      </c>
      <c r="V4932">
        <v>4.0322410000000003E-2</v>
      </c>
      <c r="W4932">
        <v>0.15850999999999901</v>
      </c>
      <c r="X4932">
        <v>0.98653360000000001</v>
      </c>
      <c r="Y4932">
        <v>0.14088419999999999</v>
      </c>
      <c r="Z4932">
        <v>1.5255479999999901E-3</v>
      </c>
      <c r="AA4932">
        <v>0.99002489999999999</v>
      </c>
      <c r="AB4932">
        <v>22</v>
      </c>
      <c r="AC4932">
        <v>-97.452500000000001</v>
      </c>
      <c r="AD4932">
        <v>-1.10664920083</v>
      </c>
      <c r="AE4932">
        <v>1.3643000000000101</v>
      </c>
      <c r="AF4932">
        <v>13.754621995989501</v>
      </c>
      <c r="AG4932">
        <v>-1.10664920083</v>
      </c>
      <c r="AH4932">
        <v>96.473895812204603</v>
      </c>
      <c r="AI4932">
        <v>90.650630456529299</v>
      </c>
      <c r="AJ4932">
        <v>81.885824197023894</v>
      </c>
      <c r="AK4932">
        <v>97.455768797390107</v>
      </c>
      <c r="AL4932">
        <v>80.879577489057297</v>
      </c>
      <c r="AM4932">
        <v>87.659462709352496</v>
      </c>
      <c r="AN4932">
        <v>0.99999993038858104</v>
      </c>
    </row>
    <row r="4933" spans="1:40" x14ac:dyDescent="0.25">
      <c r="A4933" t="str">
        <f>"20190304154855506"</f>
        <v>20190304154855506</v>
      </c>
      <c r="B4933" t="str">
        <f>"1551685735502386"</f>
        <v>1551685735502386</v>
      </c>
      <c r="C4933" t="s">
        <v>40</v>
      </c>
      <c r="D4933">
        <v>4.3657789999999999</v>
      </c>
      <c r="E4933">
        <v>0.53715469999999998</v>
      </c>
      <c r="F4933" t="s">
        <v>79</v>
      </c>
      <c r="G4933">
        <v>-300.77010000000001</v>
      </c>
      <c r="H4933" s="1">
        <v>-9.0700169999999994E-6</v>
      </c>
      <c r="I4933">
        <v>142.93639999999999</v>
      </c>
      <c r="J4933">
        <v>-213.2749</v>
      </c>
      <c r="K4933">
        <v>1.1066339999999999</v>
      </c>
      <c r="L4933">
        <v>141.44739999999999</v>
      </c>
      <c r="M4933">
        <v>-0.99262779999999995</v>
      </c>
      <c r="N4933">
        <v>-1.236144E-2</v>
      </c>
      <c r="O4933">
        <v>-0.1205717</v>
      </c>
      <c r="P4933">
        <v>-0.98578639999999995</v>
      </c>
      <c r="Q4933">
        <v>0.14610039999999999</v>
      </c>
      <c r="R4933">
        <v>-8.2947489999999999E-2</v>
      </c>
      <c r="S4933">
        <v>-3.0549469999999999</v>
      </c>
      <c r="T4933">
        <v>-3.8541079999999998E-2</v>
      </c>
      <c r="U4933">
        <v>5.1132200000000003E-2</v>
      </c>
      <c r="V4933">
        <v>3.80922E-2</v>
      </c>
      <c r="W4933">
        <v>0.15793989999999999</v>
      </c>
      <c r="X4933">
        <v>0.98671370000000003</v>
      </c>
      <c r="Y4933">
        <v>0.13715550000000001</v>
      </c>
      <c r="Z4933">
        <v>1.7387730000000001E-3</v>
      </c>
      <c r="AA4933">
        <v>0.99054799999999998</v>
      </c>
      <c r="AB4933">
        <v>22</v>
      </c>
      <c r="AC4933">
        <v>-87.495199999999997</v>
      </c>
      <c r="AD4933">
        <v>-1.106643070017</v>
      </c>
      <c r="AE4933">
        <v>1.4890000000000001</v>
      </c>
      <c r="AF4933">
        <v>12.0264617424661</v>
      </c>
      <c r="AG4933">
        <v>-1.106643070017</v>
      </c>
      <c r="AH4933">
        <v>86.663386915523802</v>
      </c>
      <c r="AI4933">
        <v>90.724651816369203</v>
      </c>
      <c r="AJ4933">
        <v>82.099401271198104</v>
      </c>
      <c r="AK4933">
        <v>87.500874696183502</v>
      </c>
      <c r="AL4933">
        <v>80.9126589594633</v>
      </c>
      <c r="AM4933">
        <v>87.789187465036605</v>
      </c>
      <c r="AN4933">
        <v>0.99999997674026897</v>
      </c>
    </row>
    <row r="4934" spans="1:40" x14ac:dyDescent="0.25">
      <c r="A4934" t="str">
        <f>"20190304154855528"</f>
        <v>20190304154855528</v>
      </c>
      <c r="B4934" t="str">
        <f>"1551685735521906"</f>
        <v>1551685735521906</v>
      </c>
      <c r="C4934" t="s">
        <v>40</v>
      </c>
      <c r="D4934">
        <v>4.3888740000000004</v>
      </c>
      <c r="E4934">
        <v>0.536861699999999</v>
      </c>
      <c r="F4934" t="s">
        <v>79</v>
      </c>
      <c r="G4934">
        <v>-298.33699999999999</v>
      </c>
      <c r="H4934" s="1">
        <v>-9.1696430000000004E-6</v>
      </c>
      <c r="I4934">
        <v>143.32069999999999</v>
      </c>
      <c r="J4934">
        <v>-213.5026</v>
      </c>
      <c r="K4934">
        <v>1.1066260000000001</v>
      </c>
      <c r="L4934">
        <v>141.42760000000001</v>
      </c>
      <c r="M4934">
        <v>-0.99343320000000002</v>
      </c>
      <c r="N4934">
        <v>-1.224973E-2</v>
      </c>
      <c r="O4934">
        <v>-0.11375589999999999</v>
      </c>
      <c r="P4934">
        <v>-0.98624029999999996</v>
      </c>
      <c r="Q4934">
        <v>0.14527660000000001</v>
      </c>
      <c r="R4934">
        <v>-7.8897449999999994E-2</v>
      </c>
      <c r="S4934">
        <v>-3.0548250000000001</v>
      </c>
      <c r="T4934">
        <v>-3.9742710000000001E-2</v>
      </c>
      <c r="U4934">
        <v>6.7276000000000002E-2</v>
      </c>
      <c r="V4934">
        <v>3.5370489999999997E-2</v>
      </c>
      <c r="W4934">
        <v>0.1570358</v>
      </c>
      <c r="X4934">
        <v>0.98695929999999998</v>
      </c>
      <c r="Y4934">
        <v>0.13558919999999999</v>
      </c>
      <c r="Z4934">
        <v>1.795081E-3</v>
      </c>
      <c r="AA4934">
        <v>0.99076350000000002</v>
      </c>
      <c r="AB4934">
        <v>22</v>
      </c>
      <c r="AC4934">
        <v>-84.834399999999903</v>
      </c>
      <c r="AD4934">
        <v>-1.1066351696429999</v>
      </c>
      <c r="AE4934">
        <v>1.89309999999997</v>
      </c>
      <c r="AF4934">
        <v>11.5299862598673</v>
      </c>
      <c r="AG4934">
        <v>-1.1066351696429999</v>
      </c>
      <c r="AH4934">
        <v>84.053970814785103</v>
      </c>
      <c r="AI4934">
        <v>90.747302150572096</v>
      </c>
      <c r="AJ4934">
        <v>82.189278301559099</v>
      </c>
      <c r="AK4934">
        <v>84.848307197516704</v>
      </c>
      <c r="AL4934">
        <v>80.965114768747199</v>
      </c>
      <c r="AM4934">
        <v>87.947521391052305</v>
      </c>
      <c r="AN4934">
        <v>0.99999998695048498</v>
      </c>
    </row>
    <row r="4935" spans="1:40" x14ac:dyDescent="0.25">
      <c r="A4935" t="str">
        <f>"20190304154855562"</f>
        <v>20190304154855562</v>
      </c>
      <c r="B4935" t="str">
        <f>"1551685735552162"</f>
        <v>1551685735552162</v>
      </c>
      <c r="C4935" t="s">
        <v>40</v>
      </c>
      <c r="D4935">
        <v>4.3387539999999998</v>
      </c>
      <c r="E4935">
        <v>0.53514729999999999</v>
      </c>
      <c r="F4935" t="s">
        <v>79</v>
      </c>
      <c r="G4935">
        <v>-294.40370000000001</v>
      </c>
      <c r="H4935" s="1">
        <v>-9.5569710000000008E-6</v>
      </c>
      <c r="I4935">
        <v>143.47919999999999</v>
      </c>
      <c r="J4935">
        <v>-213.84270000000001</v>
      </c>
      <c r="K4935">
        <v>1.106622</v>
      </c>
      <c r="L4935">
        <v>141.40110000000001</v>
      </c>
      <c r="M4935">
        <v>-0.9945446</v>
      </c>
      <c r="N4935">
        <v>-1.2108000000000001E-2</v>
      </c>
      <c r="O4935">
        <v>-0.1036065</v>
      </c>
      <c r="P4935">
        <v>-0.98679459999999997</v>
      </c>
      <c r="Q4935">
        <v>0.14513589999999901</v>
      </c>
      <c r="R4935">
        <v>-7.1915320000000005E-2</v>
      </c>
      <c r="S4935">
        <v>-3.0541990000000001</v>
      </c>
      <c r="T4935">
        <v>-4.1777969999999998E-2</v>
      </c>
      <c r="U4935">
        <v>7.7453610000000006E-2</v>
      </c>
      <c r="V4935">
        <v>3.2269819999999998E-2</v>
      </c>
      <c r="W4935">
        <v>0.15678810000000001</v>
      </c>
      <c r="X4935">
        <v>0.98710500000000001</v>
      </c>
      <c r="Y4935">
        <v>0.1287732</v>
      </c>
      <c r="Z4935">
        <v>1.8202610000000001E-3</v>
      </c>
      <c r="AA4935">
        <v>0.99167240000000001</v>
      </c>
      <c r="AB4935">
        <v>22</v>
      </c>
      <c r="AC4935">
        <v>-80.561000000000007</v>
      </c>
      <c r="AD4935">
        <v>-1.1066315569709999</v>
      </c>
      <c r="AE4935">
        <v>2.0780999999999699</v>
      </c>
      <c r="AF4935">
        <v>10.412207045700701</v>
      </c>
      <c r="AG4935">
        <v>-1.1066315569709999</v>
      </c>
      <c r="AH4935">
        <v>79.896999886396202</v>
      </c>
      <c r="AI4935">
        <v>90.786884467555794</v>
      </c>
      <c r="AJ4935">
        <v>82.575037497445507</v>
      </c>
      <c r="AK4935">
        <v>80.580204019425494</v>
      </c>
      <c r="AL4935">
        <v>80.979485655405298</v>
      </c>
      <c r="AM4935">
        <v>88.127589011185194</v>
      </c>
      <c r="AN4935">
        <v>1.0000000653047101</v>
      </c>
    </row>
    <row r="4936" spans="1:40" x14ac:dyDescent="0.25">
      <c r="A4936" t="str">
        <f>"20190304154855584"</f>
        <v>20190304154855584</v>
      </c>
      <c r="B4936" t="str">
        <f>"1551685735571685"</f>
        <v>1551685735571685</v>
      </c>
      <c r="C4936" t="s">
        <v>40</v>
      </c>
      <c r="D4936">
        <v>4.3629470000000001</v>
      </c>
      <c r="E4936">
        <v>0.53399989999999997</v>
      </c>
      <c r="F4936" t="s">
        <v>79</v>
      </c>
      <c r="G4936">
        <v>-293.15100000000001</v>
      </c>
      <c r="H4936" s="1">
        <v>-9.7132440000000008E-6</v>
      </c>
      <c r="I4936">
        <v>143.62350000000001</v>
      </c>
      <c r="J4936">
        <v>-214.0624</v>
      </c>
      <c r="K4936">
        <v>1.106617</v>
      </c>
      <c r="L4936">
        <v>141.38579999999999</v>
      </c>
      <c r="M4936">
        <v>-0.99520580000000003</v>
      </c>
      <c r="N4936">
        <v>-1.2029949999999999E-2</v>
      </c>
      <c r="O4936">
        <v>-9.7060729999999998E-2</v>
      </c>
      <c r="P4936">
        <v>-0.98708249999999997</v>
      </c>
      <c r="Q4936">
        <v>0.1453941</v>
      </c>
      <c r="R4936">
        <v>-6.7296190000000006E-2</v>
      </c>
      <c r="S4936">
        <v>-3.0526279999999999</v>
      </c>
      <c r="T4936">
        <v>-4.259491E-2</v>
      </c>
      <c r="U4936">
        <v>8.5540770000000002E-2</v>
      </c>
      <c r="V4936">
        <v>3.0389579999999999E-2</v>
      </c>
      <c r="W4936">
        <v>0.15698770000000001</v>
      </c>
      <c r="X4936">
        <v>0.98713289999999998</v>
      </c>
      <c r="Y4936">
        <v>0.1248857</v>
      </c>
      <c r="Z4936">
        <v>1.806951E-3</v>
      </c>
      <c r="AA4936">
        <v>0.99216950000000004</v>
      </c>
      <c r="AB4936">
        <v>22</v>
      </c>
      <c r="AC4936">
        <v>-79.0886</v>
      </c>
      <c r="AD4936">
        <v>-1.106626713244</v>
      </c>
      <c r="AE4936">
        <v>2.23770000000001</v>
      </c>
      <c r="AF4936">
        <v>9.9021483912864792</v>
      </c>
      <c r="AG4936">
        <v>-1.106626713244</v>
      </c>
      <c r="AH4936">
        <v>78.482564188738095</v>
      </c>
      <c r="AI4936">
        <v>90.801480119097306</v>
      </c>
      <c r="AJ4936">
        <v>82.808986097488699</v>
      </c>
      <c r="AK4936">
        <v>79.112515110347204</v>
      </c>
      <c r="AL4936">
        <v>80.967905548403095</v>
      </c>
      <c r="AM4936">
        <v>88.236666096488307</v>
      </c>
      <c r="AN4936">
        <v>1.0000000133931299</v>
      </c>
    </row>
    <row r="4937" spans="1:40" x14ac:dyDescent="0.25">
      <c r="A4937" t="str">
        <f>"20190304154855606"</f>
        <v>20190304154855606</v>
      </c>
      <c r="B4937" t="str">
        <f>"1551685735601938"</f>
        <v>1551685735601938</v>
      </c>
      <c r="C4937" t="s">
        <v>40</v>
      </c>
      <c r="D4937">
        <v>4.3652410000000001</v>
      </c>
      <c r="E4937">
        <v>0.52586840000000001</v>
      </c>
      <c r="F4937" t="s">
        <v>79</v>
      </c>
      <c r="G4937">
        <v>-286.51299999999998</v>
      </c>
      <c r="H4937" s="1">
        <v>-8.0526580000000001E-6</v>
      </c>
      <c r="I4937">
        <v>143.5361</v>
      </c>
      <c r="J4937">
        <v>-214.2885</v>
      </c>
      <c r="K4937">
        <v>1.106611</v>
      </c>
      <c r="L4937">
        <v>141.3715</v>
      </c>
      <c r="M4937">
        <v>-0.99584030000000001</v>
      </c>
      <c r="N4937">
        <v>-1.19592E-2</v>
      </c>
      <c r="O4937">
        <v>-9.0329569999999998E-2</v>
      </c>
      <c r="P4937">
        <v>-0.98743610000000004</v>
      </c>
      <c r="Q4937">
        <v>0.1450091</v>
      </c>
      <c r="R4937">
        <v>-6.2790199999999893E-2</v>
      </c>
      <c r="S4937">
        <v>-3.0523220000000002</v>
      </c>
      <c r="T4937">
        <v>-4.6621799999999998E-2</v>
      </c>
      <c r="U4937">
        <v>9.0591430000000001E-2</v>
      </c>
      <c r="V4937">
        <v>2.8218670000000001E-2</v>
      </c>
      <c r="W4937">
        <v>0.15655539999999901</v>
      </c>
      <c r="X4937">
        <v>0.98726599999999998</v>
      </c>
      <c r="Y4937">
        <v>0.11981600000000001</v>
      </c>
      <c r="Z4937">
        <v>1.9290799999999999E-3</v>
      </c>
      <c r="AA4937">
        <v>0.99279419999999996</v>
      </c>
      <c r="AB4937">
        <v>22</v>
      </c>
      <c r="AC4937">
        <v>-72.224499999999907</v>
      </c>
      <c r="AD4937">
        <v>-1.106619052658</v>
      </c>
      <c r="AE4937">
        <v>2.1646000000000001</v>
      </c>
      <c r="AF4937">
        <v>8.6781876713502992</v>
      </c>
      <c r="AG4937">
        <v>-1.106619052658</v>
      </c>
      <c r="AH4937">
        <v>71.716836252887504</v>
      </c>
      <c r="AI4937">
        <v>90.8776253447827</v>
      </c>
      <c r="AJ4937">
        <v>83.100396147784394</v>
      </c>
      <c r="AK4937">
        <v>72.248461223131599</v>
      </c>
      <c r="AL4937">
        <v>80.992984685349001</v>
      </c>
      <c r="AM4937">
        <v>88.362781037429897</v>
      </c>
      <c r="AN4937">
        <v>1.0000000206808599</v>
      </c>
    </row>
    <row r="4938" spans="1:40" x14ac:dyDescent="0.25">
      <c r="A4938" t="str">
        <f>"20190304154855631"</f>
        <v>20190304154855631</v>
      </c>
      <c r="B4938" t="str">
        <f>"1551685735622435"</f>
        <v>1551685735622435</v>
      </c>
      <c r="C4938" t="s">
        <v>40</v>
      </c>
      <c r="D4938">
        <v>4.3680570000000003</v>
      </c>
      <c r="E4938">
        <v>0.52498049999999996</v>
      </c>
      <c r="F4938" t="s">
        <v>44</v>
      </c>
      <c r="G4938">
        <v>-260.06470000000002</v>
      </c>
      <c r="H4938" s="1">
        <v>-4.674688E-6</v>
      </c>
      <c r="I4938">
        <v>141.98779999999999</v>
      </c>
      <c r="J4938">
        <v>-214.5299</v>
      </c>
      <c r="K4938">
        <v>1.1065990000000001</v>
      </c>
      <c r="L4938">
        <v>141.3578</v>
      </c>
      <c r="M4938">
        <v>-0.99646659999999998</v>
      </c>
      <c r="N4938">
        <v>-1.1893259999999999E-2</v>
      </c>
      <c r="O4938">
        <v>-8.3144720000000005E-2</v>
      </c>
      <c r="P4938">
        <v>-0.98771850000000005</v>
      </c>
      <c r="Q4938">
        <v>0.14495420000000001</v>
      </c>
      <c r="R4938">
        <v>-5.8314860000000003E-2</v>
      </c>
      <c r="S4938">
        <v>-3.0516200000000002</v>
      </c>
      <c r="T4938">
        <v>-7.3771359999999994E-2</v>
      </c>
      <c r="U4938">
        <v>4.1091919999999997E-2</v>
      </c>
      <c r="V4938">
        <v>2.5568759999999999E-2</v>
      </c>
      <c r="W4938">
        <v>0.15646260000000001</v>
      </c>
      <c r="X4938">
        <v>0.98735280000000003</v>
      </c>
      <c r="Y4938">
        <v>9.6512539999999994E-2</v>
      </c>
      <c r="Z4938">
        <v>2.7590800000000001E-3</v>
      </c>
      <c r="AA4938">
        <v>0.99532790000000004</v>
      </c>
      <c r="AB4938">
        <v>22</v>
      </c>
      <c r="AC4938">
        <v>-45.534799999999997</v>
      </c>
      <c r="AD4938">
        <v>-1.1066036746879999</v>
      </c>
      <c r="AE4938">
        <v>0.62999999999999501</v>
      </c>
      <c r="AF4938">
        <v>4.41145902155451</v>
      </c>
      <c r="AG4938">
        <v>-1.1066036746879999</v>
      </c>
      <c r="AH4938">
        <v>45.297979696109898</v>
      </c>
      <c r="AI4938">
        <v>91.392837831450706</v>
      </c>
      <c r="AJ4938">
        <v>84.437645532524698</v>
      </c>
      <c r="AK4938">
        <v>45.525734556851198</v>
      </c>
      <c r="AL4938">
        <v>80.998367245085603</v>
      </c>
      <c r="AM4938">
        <v>88.516584257996797</v>
      </c>
      <c r="AN4938">
        <v>0.99999992917726599</v>
      </c>
    </row>
    <row r="4939" spans="1:40" x14ac:dyDescent="0.25">
      <c r="A4939" t="str">
        <f>"20190304154855653"</f>
        <v>20190304154855653</v>
      </c>
      <c r="B4939" t="str">
        <f>"1551685735641954"</f>
        <v>1551685735641954</v>
      </c>
      <c r="C4939" t="s">
        <v>40</v>
      </c>
      <c r="D4939">
        <v>4.3732100000000003</v>
      </c>
      <c r="E4939">
        <v>0.52413599999999905</v>
      </c>
      <c r="F4939" t="s">
        <v>44</v>
      </c>
      <c r="G4939">
        <v>-258.04820000000001</v>
      </c>
      <c r="H4939" s="1">
        <v>-1.465975E-6</v>
      </c>
      <c r="I4939">
        <v>142.0454</v>
      </c>
      <c r="J4939">
        <v>-214.75700000000001</v>
      </c>
      <c r="K4939">
        <v>1.10659</v>
      </c>
      <c r="L4939">
        <v>141.3467</v>
      </c>
      <c r="M4939">
        <v>-0.99700809999999995</v>
      </c>
      <c r="N4939">
        <v>-1.1840059999999999E-2</v>
      </c>
      <c r="O4939">
        <v>-7.6384480000000005E-2</v>
      </c>
      <c r="P4939">
        <v>-0.98787400000000003</v>
      </c>
      <c r="Q4939">
        <v>0.14528849999999999</v>
      </c>
      <c r="R4939">
        <v>-5.4736750000000001E-2</v>
      </c>
      <c r="S4939">
        <v>-3.0515439999999998</v>
      </c>
      <c r="T4939">
        <v>-7.7595949999999997E-2</v>
      </c>
      <c r="U4939">
        <v>4.821777E-2</v>
      </c>
      <c r="V4939">
        <v>2.24444E-2</v>
      </c>
      <c r="W4939">
        <v>0.15677489999999999</v>
      </c>
      <c r="X4939">
        <v>0.98737929999999996</v>
      </c>
      <c r="Y4939">
        <v>9.2082639999999993E-2</v>
      </c>
      <c r="Z4939">
        <v>2.7517639999999999E-3</v>
      </c>
      <c r="AA4939">
        <v>0.99574759999999995</v>
      </c>
      <c r="AB4939">
        <v>22</v>
      </c>
      <c r="AC4939">
        <v>-43.291200000000003</v>
      </c>
      <c r="AD4939">
        <v>-1.106591465975</v>
      </c>
      <c r="AE4939">
        <v>0.69870000000000199</v>
      </c>
      <c r="AF4939">
        <v>4.0010525620986996</v>
      </c>
      <c r="AG4939">
        <v>-1.106591465975</v>
      </c>
      <c r="AH4939">
        <v>43.083187739517399</v>
      </c>
      <c r="AI4939">
        <v>91.465017144053306</v>
      </c>
      <c r="AJ4939">
        <v>84.694269578720494</v>
      </c>
      <c r="AK4939">
        <v>43.282722096417999</v>
      </c>
      <c r="AL4939">
        <v>80.9802508468387</v>
      </c>
      <c r="AM4939">
        <v>88.697817575570895</v>
      </c>
      <c r="AN4939">
        <v>1.0000000012149299</v>
      </c>
    </row>
    <row r="4940" spans="1:40" x14ac:dyDescent="0.25">
      <c r="A4940" t="str">
        <f>"20190304154855675"</f>
        <v>20190304154855675</v>
      </c>
      <c r="B4940" t="str">
        <f>"1551685735672212"</f>
        <v>1551685735672212</v>
      </c>
      <c r="C4940" t="s">
        <v>40</v>
      </c>
      <c r="D4940">
        <v>4.2866269999999904</v>
      </c>
      <c r="E4940">
        <v>0.52593210000000001</v>
      </c>
      <c r="F4940" t="s">
        <v>44</v>
      </c>
      <c r="G4940">
        <v>-257.053</v>
      </c>
      <c r="H4940" s="1">
        <v>-1.901532E-6</v>
      </c>
      <c r="I4940">
        <v>142.0778</v>
      </c>
      <c r="J4940">
        <v>-214.97720000000001</v>
      </c>
      <c r="K4940">
        <v>1.1065750000000001</v>
      </c>
      <c r="L4940">
        <v>141.3374</v>
      </c>
      <c r="M4940">
        <v>-0.99748950000000003</v>
      </c>
      <c r="N4940">
        <v>-1.1795689999999999E-2</v>
      </c>
      <c r="O4940">
        <v>-6.98268999999999E-2</v>
      </c>
      <c r="P4940">
        <v>-0.98810450000000005</v>
      </c>
      <c r="Q4940">
        <v>0.1450121</v>
      </c>
      <c r="R4940">
        <v>-5.119862E-2</v>
      </c>
      <c r="S4940">
        <v>-3.0514679999999998</v>
      </c>
      <c r="T4940">
        <v>-7.983577E-2</v>
      </c>
      <c r="U4940">
        <v>5.2749629999999999E-2</v>
      </c>
      <c r="V4940">
        <v>1.9484700000000001E-2</v>
      </c>
      <c r="W4940">
        <v>0.15648519999999999</v>
      </c>
      <c r="X4940">
        <v>0.98748809999999998</v>
      </c>
      <c r="Y4940">
        <v>8.7012829999999999E-2</v>
      </c>
      <c r="Z4940">
        <v>2.6530249999999998E-3</v>
      </c>
      <c r="AA4940">
        <v>0.99620370000000003</v>
      </c>
      <c r="AB4940">
        <v>22</v>
      </c>
      <c r="AC4940">
        <v>-42.075800000000001</v>
      </c>
      <c r="AD4940">
        <v>-1.1065769015319999</v>
      </c>
      <c r="AE4940">
        <v>0.74039999999999395</v>
      </c>
      <c r="AF4940">
        <v>3.67427867270901</v>
      </c>
      <c r="AG4940">
        <v>-1.1065769015319999</v>
      </c>
      <c r="AH4940">
        <v>41.892413715415898</v>
      </c>
      <c r="AI4940">
        <v>91.507317032699106</v>
      </c>
      <c r="AJ4940">
        <v>84.987557349371102</v>
      </c>
      <c r="AK4940">
        <v>42.067792467721603</v>
      </c>
      <c r="AL4940">
        <v>80.997056940310102</v>
      </c>
      <c r="AM4940">
        <v>88.869610453579199</v>
      </c>
      <c r="AN4940">
        <v>1.00000000949737</v>
      </c>
    </row>
    <row r="4941" spans="1:40" x14ac:dyDescent="0.25">
      <c r="A4941" t="str">
        <f>"20190304154855762"</f>
        <v>20190304154855762</v>
      </c>
      <c r="B4941" t="str">
        <f>"1551685735752243"</f>
        <v>1551685735752243</v>
      </c>
      <c r="C4941" t="s">
        <v>40</v>
      </c>
      <c r="D4941">
        <v>4.2177379999999998</v>
      </c>
      <c r="E4941">
        <v>0.55769150000000001</v>
      </c>
      <c r="F4941" t="s">
        <v>44</v>
      </c>
      <c r="G4941">
        <v>-259.42140000000001</v>
      </c>
      <c r="H4941" s="1">
        <v>-9.8853850000000005E-7</v>
      </c>
      <c r="I4941">
        <v>142.465</v>
      </c>
      <c r="J4941">
        <v>-215.87100000000001</v>
      </c>
      <c r="K4941">
        <v>1.1065640000000001</v>
      </c>
      <c r="L4941">
        <v>141.3143</v>
      </c>
      <c r="M4941">
        <v>-0.99899890000000002</v>
      </c>
      <c r="N4941">
        <v>-1.166819E-2</v>
      </c>
      <c r="O4941">
        <v>-4.3186910000000002E-2</v>
      </c>
      <c r="P4941">
        <v>-0.98857980000000001</v>
      </c>
      <c r="Q4941">
        <v>0.14542759999999999</v>
      </c>
      <c r="R4941">
        <v>-3.950588E-2</v>
      </c>
      <c r="S4941">
        <v>-3.051285</v>
      </c>
      <c r="T4941">
        <v>-7.5971250000000004E-2</v>
      </c>
      <c r="U4941">
        <v>7.7423099999999995E-2</v>
      </c>
      <c r="V4941">
        <v>4.7955380000000002E-3</v>
      </c>
      <c r="W4941">
        <v>0.156921799999999</v>
      </c>
      <c r="X4941">
        <v>0.98759940000000002</v>
      </c>
      <c r="Y4941">
        <v>6.8483139999999998E-2</v>
      </c>
      <c r="Z4941">
        <v>1.8229609999999999E-3</v>
      </c>
      <c r="AA4941">
        <v>0.99765060000000005</v>
      </c>
      <c r="AB4941">
        <v>22</v>
      </c>
      <c r="AC4941">
        <v>-43.550400000000003</v>
      </c>
      <c r="AD4941">
        <v>-1.1065649885384901</v>
      </c>
      <c r="AE4941">
        <v>1.1507000000000001</v>
      </c>
      <c r="AF4941">
        <v>3.0286075268818302</v>
      </c>
      <c r="AG4941">
        <v>-1.1065649885384901</v>
      </c>
      <c r="AH4941">
        <v>43.432043273099403</v>
      </c>
      <c r="AI4941">
        <v>91.455936626956401</v>
      </c>
      <c r="AJ4941">
        <v>86.011102113254395</v>
      </c>
      <c r="AK4941">
        <v>43.551570953320599</v>
      </c>
      <c r="AL4941">
        <v>80.971728709958398</v>
      </c>
      <c r="AM4941">
        <v>89.721788076792606</v>
      </c>
      <c r="AN4941">
        <v>1.00000001169015</v>
      </c>
    </row>
    <row r="4942" spans="1:40" x14ac:dyDescent="0.25">
      <c r="A4942" t="str">
        <f>"20190304154855784"</f>
        <v>20190304154855784</v>
      </c>
      <c r="B4942" t="str">
        <f>"1551685735781524"</f>
        <v>1551685735781524</v>
      </c>
      <c r="C4942" t="s">
        <v>40</v>
      </c>
      <c r="D4942">
        <v>4.3386050000000003</v>
      </c>
      <c r="E4942">
        <v>0.55588359999999903</v>
      </c>
      <c r="F4942" t="s">
        <v>44</v>
      </c>
      <c r="G4942">
        <v>-238.93469999999999</v>
      </c>
      <c r="H4942" s="1">
        <v>-1.6316489999999901E-6</v>
      </c>
      <c r="I4942">
        <v>144.09739999999999</v>
      </c>
      <c r="J4942">
        <v>-216.09110000000001</v>
      </c>
      <c r="K4942">
        <v>1.1065739999999999</v>
      </c>
      <c r="L4942">
        <v>141.31229999999999</v>
      </c>
      <c r="M4942">
        <v>-0.99926009999999998</v>
      </c>
      <c r="N4942">
        <v>-1.164573E-2</v>
      </c>
      <c r="O4942">
        <v>-3.6656309999999998E-2</v>
      </c>
      <c r="P4942">
        <v>-0.98825839999999998</v>
      </c>
      <c r="Q4942">
        <v>0.148044799999999</v>
      </c>
      <c r="R4942">
        <v>-3.7794899999999999E-2</v>
      </c>
      <c r="S4942">
        <v>-3.0711520000000001</v>
      </c>
      <c r="T4942">
        <v>-0.14735000000000001</v>
      </c>
      <c r="U4942">
        <v>0.37060549999999998</v>
      </c>
      <c r="V4942" s="1">
        <v>4.9924479999999998E-5</v>
      </c>
      <c r="W4942">
        <v>0.1595599</v>
      </c>
      <c r="X4942">
        <v>0.98718830000000002</v>
      </c>
      <c r="Y4942">
        <v>0.15587400000000001</v>
      </c>
      <c r="Z4942">
        <v>5.9622969999999897E-3</v>
      </c>
      <c r="AA4942">
        <v>0.9877589</v>
      </c>
      <c r="AB4942">
        <v>22</v>
      </c>
      <c r="AC4942">
        <v>-22.843599999999899</v>
      </c>
      <c r="AD4942">
        <v>-1.1065756316490001</v>
      </c>
      <c r="AE4942">
        <v>2.7850999999999999</v>
      </c>
      <c r="AF4942">
        <v>3.61229447694335</v>
      </c>
      <c r="AG4942">
        <v>-1.1065756316490001</v>
      </c>
      <c r="AH4942">
        <v>22.673720915193499</v>
      </c>
      <c r="AI4942">
        <v>92.759320961939494</v>
      </c>
      <c r="AJ4942">
        <v>80.9479196293657</v>
      </c>
      <c r="AK4942">
        <v>22.986317694593801</v>
      </c>
      <c r="AL4942">
        <v>80.818648305376996</v>
      </c>
      <c r="AM4942">
        <v>89.997102415014496</v>
      </c>
      <c r="AN4942">
        <v>1.00000005191867</v>
      </c>
    </row>
    <row r="4943" spans="1:40" x14ac:dyDescent="0.25">
      <c r="A4943" t="str">
        <f>"20190304154855808"</f>
        <v>20190304154855808</v>
      </c>
      <c r="B4943" t="str">
        <f>"1551685735802018"</f>
        <v>1551685735802018</v>
      </c>
      <c r="C4943" t="s">
        <v>40</v>
      </c>
      <c r="D4943">
        <v>4.2995710000000003</v>
      </c>
      <c r="E4943">
        <v>0.55492580000000002</v>
      </c>
      <c r="F4943" t="s">
        <v>44</v>
      </c>
      <c r="G4943">
        <v>-242.43270000000001</v>
      </c>
      <c r="H4943" s="1">
        <v>-4.2986860000000001E-6</v>
      </c>
      <c r="I4943">
        <v>144.411</v>
      </c>
      <c r="J4943">
        <v>-216.333</v>
      </c>
      <c r="K4943">
        <v>1.1066020000000001</v>
      </c>
      <c r="L4943">
        <v>141.3116</v>
      </c>
      <c r="M4943">
        <v>-0.99949650000000001</v>
      </c>
      <c r="N4943">
        <v>-1.1622739999999999E-2</v>
      </c>
      <c r="O4943">
        <v>-2.9527680000000001E-2</v>
      </c>
      <c r="P4943">
        <v>-0.98803200000000002</v>
      </c>
      <c r="Q4943">
        <v>0.1500996</v>
      </c>
      <c r="R4943">
        <v>-3.5538699999999902E-2</v>
      </c>
      <c r="S4943">
        <v>-3.0687869999999999</v>
      </c>
      <c r="T4943">
        <v>-0.12891630000000001</v>
      </c>
      <c r="U4943">
        <v>0.36100769999999999</v>
      </c>
      <c r="V4943">
        <v>-4.7459479999999998E-3</v>
      </c>
      <c r="W4943">
        <v>0.16163540000000001</v>
      </c>
      <c r="X4943">
        <v>0.98683909999999997</v>
      </c>
      <c r="Y4943">
        <v>0.14593339999999999</v>
      </c>
      <c r="Z4943">
        <v>4.7990890000000003E-3</v>
      </c>
      <c r="AA4943">
        <v>0.98928280000000002</v>
      </c>
      <c r="AB4943">
        <v>22</v>
      </c>
      <c r="AC4943">
        <v>-26.099699999999999</v>
      </c>
      <c r="AD4943">
        <v>-1.1066062986859999</v>
      </c>
      <c r="AE4943">
        <v>3.0994000000000002</v>
      </c>
      <c r="AF4943">
        <v>3.8619179310681799</v>
      </c>
      <c r="AG4943">
        <v>-1.1066062986859999</v>
      </c>
      <c r="AH4943">
        <v>25.950790978018102</v>
      </c>
      <c r="AI4943">
        <v>92.415189790165499</v>
      </c>
      <c r="AJ4943">
        <v>81.535537271047502</v>
      </c>
      <c r="AK4943">
        <v>26.259903655409399</v>
      </c>
      <c r="AL4943">
        <v>80.698166257452897</v>
      </c>
      <c r="AM4943">
        <v>90.275547142184493</v>
      </c>
      <c r="AN4943">
        <v>0.99999996792219303</v>
      </c>
    </row>
    <row r="4944" spans="1:40" x14ac:dyDescent="0.25">
      <c r="A4944" t="str">
        <f>"20190304154855831"</f>
        <v>20190304154855831</v>
      </c>
      <c r="B4944" t="str">
        <f>"1551685735821539"</f>
        <v>1551685735821539</v>
      </c>
      <c r="C4944" t="s">
        <v>40</v>
      </c>
      <c r="D4944">
        <v>4.4347919999999998</v>
      </c>
      <c r="E4944">
        <v>0.55305209999999905</v>
      </c>
      <c r="F4944" t="s">
        <v>44</v>
      </c>
      <c r="G4944">
        <v>-252.70910000000001</v>
      </c>
      <c r="H4944" s="1">
        <v>-4.4086079999999998E-6</v>
      </c>
      <c r="I4944">
        <v>145.56100000000001</v>
      </c>
      <c r="J4944">
        <v>-216.56809999999999</v>
      </c>
      <c r="K4944">
        <v>1.106643</v>
      </c>
      <c r="L4944">
        <v>141.3124</v>
      </c>
      <c r="M4944">
        <v>-0.9996756</v>
      </c>
      <c r="N4944">
        <v>-1.160104E-2</v>
      </c>
      <c r="O4944">
        <v>-2.2683289999999998E-2</v>
      </c>
      <c r="P4944">
        <v>-0.98800469999999896</v>
      </c>
      <c r="Q4944">
        <v>0.1505881</v>
      </c>
      <c r="R4944">
        <v>-3.4209870000000003E-2</v>
      </c>
      <c r="S4944">
        <v>-3.0633699999999999</v>
      </c>
      <c r="T4944">
        <v>-9.3191499999999997E-2</v>
      </c>
      <c r="U4944">
        <v>0.35786440000000003</v>
      </c>
      <c r="V4944">
        <v>-1.0202070000000001E-2</v>
      </c>
      <c r="W4944">
        <v>0.16215350000000001</v>
      </c>
      <c r="X4944">
        <v>0.98671279999999995</v>
      </c>
      <c r="Y4944">
        <v>0.1384416</v>
      </c>
      <c r="Z4944">
        <v>3.3297840000000001E-3</v>
      </c>
      <c r="AA4944">
        <v>0.99036500000000005</v>
      </c>
      <c r="AB4944">
        <v>22</v>
      </c>
      <c r="AC4944">
        <v>-36.140999999999998</v>
      </c>
      <c r="AD4944">
        <v>-1.106647408608</v>
      </c>
      <c r="AE4944">
        <v>4.2485999999999997</v>
      </c>
      <c r="AF4944">
        <v>5.06267640735188</v>
      </c>
      <c r="AG4944">
        <v>-1.106647408608</v>
      </c>
      <c r="AH4944">
        <v>36.002025598459902</v>
      </c>
      <c r="AI4944">
        <v>91.743487382342494</v>
      </c>
      <c r="AJ4944">
        <v>81.995440377866998</v>
      </c>
      <c r="AK4944">
        <v>36.3730835658004</v>
      </c>
      <c r="AL4944">
        <v>80.668084728785601</v>
      </c>
      <c r="AM4944">
        <v>90.592385874440595</v>
      </c>
      <c r="AN4944">
        <v>0.99999999473918699</v>
      </c>
    </row>
    <row r="4945" spans="1:40" x14ac:dyDescent="0.25">
      <c r="A4945" t="str">
        <f>"20190304154855854"</f>
        <v>20190304154855854</v>
      </c>
      <c r="B4945" t="str">
        <f>"1551685735851795"</f>
        <v>1551685735851795</v>
      </c>
      <c r="C4945" t="s">
        <v>40</v>
      </c>
      <c r="D4945">
        <v>4.4070919999999996</v>
      </c>
      <c r="E4945">
        <v>0.55137729999999996</v>
      </c>
      <c r="F4945" t="s">
        <v>44</v>
      </c>
      <c r="G4945">
        <v>-259.04820000000001</v>
      </c>
      <c r="H4945" s="1">
        <v>-2.1194800000000001E-6</v>
      </c>
      <c r="I4945">
        <v>146.11369999999999</v>
      </c>
      <c r="J4945">
        <v>-216.79839999999999</v>
      </c>
      <c r="K4945">
        <v>1.1067229999999999</v>
      </c>
      <c r="L4945">
        <v>141.31479999999999</v>
      </c>
      <c r="M4945">
        <v>-0.99980290000000005</v>
      </c>
      <c r="N4945">
        <v>-1.157921E-2</v>
      </c>
      <c r="O4945">
        <v>-1.6121389999999999E-2</v>
      </c>
      <c r="P4945">
        <v>-0.98815090000000005</v>
      </c>
      <c r="Q4945">
        <v>0.14973120000000001</v>
      </c>
      <c r="R4945">
        <v>-3.3739770000000002E-2</v>
      </c>
      <c r="S4945">
        <v>-3.0605319999999998</v>
      </c>
      <c r="T4945">
        <v>-7.9729800000000003E-2</v>
      </c>
      <c r="U4945">
        <v>0.34591670000000002</v>
      </c>
      <c r="V4945">
        <v>-1.6258470000000001E-2</v>
      </c>
      <c r="W4945">
        <v>0.16133140000000001</v>
      </c>
      <c r="X4945">
        <v>0.98676629999999999</v>
      </c>
      <c r="Y4945">
        <v>0.1282519</v>
      </c>
      <c r="Z4945">
        <v>2.6426739999999998E-3</v>
      </c>
      <c r="AA4945">
        <v>0.99173809999999996</v>
      </c>
      <c r="AB4945">
        <v>22</v>
      </c>
      <c r="AC4945">
        <v>-42.2498</v>
      </c>
      <c r="AD4945">
        <v>-1.1067251194800001</v>
      </c>
      <c r="AE4945">
        <v>4.7988999999999997</v>
      </c>
      <c r="AF4945">
        <v>5.4757380752129103</v>
      </c>
      <c r="AG4945">
        <v>-1.1067251194800001</v>
      </c>
      <c r="AH4945">
        <v>42.138392705209</v>
      </c>
      <c r="AI4945">
        <v>91.491935699137301</v>
      </c>
      <c r="AJ4945">
        <v>82.596100364472804</v>
      </c>
      <c r="AK4945">
        <v>42.507089852598</v>
      </c>
      <c r="AL4945">
        <v>80.715815599961999</v>
      </c>
      <c r="AM4945">
        <v>90.943949371936995</v>
      </c>
      <c r="AN4945">
        <v>0.99999994464419295</v>
      </c>
    </row>
    <row r="4946" spans="1:40" x14ac:dyDescent="0.25">
      <c r="A4946" t="str">
        <f>"20190304154855875"</f>
        <v>20190304154855875</v>
      </c>
      <c r="B4946" t="str">
        <f>"1551685735872291"</f>
        <v>1551685735872291</v>
      </c>
      <c r="C4946" t="s">
        <v>40</v>
      </c>
      <c r="D4946">
        <v>4.3677950000000001</v>
      </c>
      <c r="E4946">
        <v>0.55218540000000005</v>
      </c>
      <c r="F4946" t="s">
        <v>44</v>
      </c>
      <c r="G4946">
        <v>-261.74520000000001</v>
      </c>
      <c r="H4946" s="1">
        <v>-4.854076E-6</v>
      </c>
      <c r="I4946">
        <v>146.22309999999999</v>
      </c>
      <c r="J4946">
        <v>-217.01310000000001</v>
      </c>
      <c r="K4946">
        <v>1.106832</v>
      </c>
      <c r="L4946">
        <v>141.31819999999999</v>
      </c>
      <c r="M4946">
        <v>-0.99988169999999998</v>
      </c>
      <c r="N4946">
        <v>-1.1558010000000001E-2</v>
      </c>
      <c r="O4946">
        <v>-1.016193E-2</v>
      </c>
      <c r="P4946">
        <v>-0.98814429999999998</v>
      </c>
      <c r="Q4946">
        <v>0.1496642</v>
      </c>
      <c r="R4946">
        <v>-3.4230650000000001E-2</v>
      </c>
      <c r="S4946">
        <v>-3.058792</v>
      </c>
      <c r="T4946">
        <v>-7.5316910000000001E-2</v>
      </c>
      <c r="U4946">
        <v>0.3340302</v>
      </c>
      <c r="V4946">
        <v>-2.2683729999999999E-2</v>
      </c>
      <c r="W4946">
        <v>0.1612971</v>
      </c>
      <c r="X4946">
        <v>0.9866452</v>
      </c>
      <c r="Y4946">
        <v>0.1186016</v>
      </c>
      <c r="Z4946">
        <v>2.2756149999999999E-3</v>
      </c>
      <c r="AA4946">
        <v>0.99293929999999997</v>
      </c>
      <c r="AB4946">
        <v>22</v>
      </c>
      <c r="AC4946">
        <v>-44.732100000000003</v>
      </c>
      <c r="AD4946">
        <v>-1.1068368540760001</v>
      </c>
      <c r="AE4946">
        <v>4.9048999999999898</v>
      </c>
      <c r="AF4946">
        <v>5.3560012290968499</v>
      </c>
      <c r="AG4946">
        <v>-1.1068368540760001</v>
      </c>
      <c r="AH4946">
        <v>44.652929481333402</v>
      </c>
      <c r="AI4946">
        <v>91.409829872518401</v>
      </c>
      <c r="AJ4946">
        <v>83.160199560887094</v>
      </c>
      <c r="AK4946">
        <v>44.986619657989003</v>
      </c>
      <c r="AL4946">
        <v>80.7178077096343</v>
      </c>
      <c r="AM4946">
        <v>91.317041903121293</v>
      </c>
      <c r="AN4946">
        <v>1.00000002837908</v>
      </c>
    </row>
    <row r="4947" spans="1:40" x14ac:dyDescent="0.25">
      <c r="A4947" t="str">
        <f>"20190304154855897"</f>
        <v>20190304154855897</v>
      </c>
      <c r="B4947" t="str">
        <f>"1551685735891811"</f>
        <v>1551685735891811</v>
      </c>
      <c r="C4947" t="s">
        <v>40</v>
      </c>
      <c r="D4947">
        <v>4.4399089999999903</v>
      </c>
      <c r="E4947">
        <v>0.55003019999999903</v>
      </c>
      <c r="F4947" t="s">
        <v>44</v>
      </c>
      <c r="G4947">
        <v>-267.35449999999997</v>
      </c>
      <c r="H4947" s="1">
        <v>-3.0556469999999998E-6</v>
      </c>
      <c r="I4947">
        <v>146.90129999999999</v>
      </c>
      <c r="J4947">
        <v>-217.2372</v>
      </c>
      <c r="K4947">
        <v>1.106951</v>
      </c>
      <c r="L4947">
        <v>141.32299999999901</v>
      </c>
      <c r="M4947">
        <v>-0.99992499999999995</v>
      </c>
      <c r="N4947">
        <v>-1.153613E-2</v>
      </c>
      <c r="O4947">
        <v>-4.1001680000000004E-3</v>
      </c>
      <c r="P4947">
        <v>-0.98793240000000004</v>
      </c>
      <c r="Q4947">
        <v>0.1510802</v>
      </c>
      <c r="R4947">
        <v>-3.4118610000000001E-2</v>
      </c>
      <c r="S4947">
        <v>-3.057922</v>
      </c>
      <c r="T4947">
        <v>-6.7233319999999999E-2</v>
      </c>
      <c r="U4947">
        <v>0.33914179999999999</v>
      </c>
      <c r="V4947">
        <v>-2.8598709999999999E-2</v>
      </c>
      <c r="W4947">
        <v>0.16273360000000001</v>
      </c>
      <c r="X4947">
        <v>0.98625549999999995</v>
      </c>
      <c r="Y4947">
        <v>0.11426269999999999</v>
      </c>
      <c r="Z4947">
        <v>1.9560810000000001E-3</v>
      </c>
      <c r="AA4947">
        <v>0.99344869999999996</v>
      </c>
      <c r="AB4947">
        <v>23</v>
      </c>
      <c r="AC4947">
        <v>-50.117299999999901</v>
      </c>
      <c r="AD4947">
        <v>-1.1069540556469999</v>
      </c>
      <c r="AE4947">
        <v>5.5783000000000103</v>
      </c>
      <c r="AF4947">
        <v>5.7809704201557599</v>
      </c>
      <c r="AG4947">
        <v>-1.1069540556469999</v>
      </c>
      <c r="AH4947">
        <v>50.069877639980398</v>
      </c>
      <c r="AI4947">
        <v>91.258143899511396</v>
      </c>
      <c r="AJ4947">
        <v>83.4139031849041</v>
      </c>
      <c r="AK4947">
        <v>50.414656729592402</v>
      </c>
      <c r="AL4947">
        <v>80.634400194893303</v>
      </c>
      <c r="AM4947">
        <v>91.660955351512698</v>
      </c>
      <c r="AN4947">
        <v>1.00000001103143</v>
      </c>
    </row>
    <row r="4948" spans="1:40" x14ac:dyDescent="0.25">
      <c r="A4948" t="str">
        <f>"20190304154855920"</f>
        <v>20190304154855920</v>
      </c>
      <c r="B4948" t="str">
        <f>"1551685735912307"</f>
        <v>1551685735912307</v>
      </c>
      <c r="C4948" t="s">
        <v>40</v>
      </c>
      <c r="D4948">
        <v>4.2873869999999998</v>
      </c>
      <c r="E4948">
        <v>0.55045469999999996</v>
      </c>
      <c r="F4948" t="s">
        <v>44</v>
      </c>
      <c r="G4948">
        <v>-272.52980000000002</v>
      </c>
      <c r="H4948" s="1">
        <v>-4.7524429999999997E-6</v>
      </c>
      <c r="I4948">
        <v>147.15539999999999</v>
      </c>
      <c r="J4948">
        <v>-217.46979999999999</v>
      </c>
      <c r="K4948">
        <v>1.1070879999999901</v>
      </c>
      <c r="L4948">
        <v>141.32910000000001</v>
      </c>
      <c r="M4948">
        <v>-0.99993180000000004</v>
      </c>
      <c r="N4948">
        <v>-1.151399E-2</v>
      </c>
      <c r="O4948">
        <v>1.9793150000000002E-3</v>
      </c>
      <c r="P4948">
        <v>-0.98770000000000002</v>
      </c>
      <c r="Q4948">
        <v>0.15273800000000001</v>
      </c>
      <c r="R4948">
        <v>-3.3465969999999998E-2</v>
      </c>
      <c r="S4948">
        <v>-3.057159</v>
      </c>
      <c r="T4948">
        <v>-6.1204199999999903E-2</v>
      </c>
      <c r="U4948">
        <v>0.32247920000000002</v>
      </c>
      <c r="V4948">
        <v>-3.3991340000000002E-2</v>
      </c>
      <c r="W4948">
        <v>0.16440170000000001</v>
      </c>
      <c r="X4948">
        <v>0.98580760000000001</v>
      </c>
      <c r="Y4948">
        <v>0.1029004</v>
      </c>
      <c r="Z4948">
        <v>1.604444E-3</v>
      </c>
      <c r="AA4948">
        <v>0.99469039999999997</v>
      </c>
      <c r="AB4948">
        <v>23</v>
      </c>
      <c r="AC4948">
        <v>-55.06</v>
      </c>
      <c r="AD4948">
        <v>-1.1070927524430001</v>
      </c>
      <c r="AE4948">
        <v>5.8262999999999696</v>
      </c>
      <c r="AF4948">
        <v>5.7150153301684297</v>
      </c>
      <c r="AG4948">
        <v>-1.1070927524430001</v>
      </c>
      <c r="AH4948">
        <v>55.049415365330603</v>
      </c>
      <c r="AI4948">
        <v>91.145956599718801</v>
      </c>
      <c r="AJ4948">
        <v>84.073008334733203</v>
      </c>
      <c r="AK4948">
        <v>55.356347302285599</v>
      </c>
      <c r="AL4948">
        <v>80.537520004232604</v>
      </c>
      <c r="AM4948">
        <v>91.974816426307996</v>
      </c>
      <c r="AN4948">
        <v>0.99999997718782196</v>
      </c>
    </row>
    <row r="4949" spans="1:40" x14ac:dyDescent="0.25">
      <c r="A4949" t="str">
        <f>"20190304154855942"</f>
        <v>20190304154855942</v>
      </c>
      <c r="B4949" t="str">
        <f>"1551685735931830"</f>
        <v>1551685735931830</v>
      </c>
      <c r="C4949" t="s">
        <v>40</v>
      </c>
      <c r="D4949">
        <v>4.4414069999999999</v>
      </c>
      <c r="E4949">
        <v>0.5493441</v>
      </c>
      <c r="F4949" t="s">
        <v>79</v>
      </c>
      <c r="G4949">
        <v>-285.85320000000002</v>
      </c>
      <c r="H4949" s="1">
        <v>-9.2555229999999993E-6</v>
      </c>
      <c r="I4949">
        <v>148.64940000000001</v>
      </c>
      <c r="J4949">
        <v>-217.69759999999999</v>
      </c>
      <c r="K4949">
        <v>1.1072360000000001</v>
      </c>
      <c r="L4949">
        <v>141.33619999999999</v>
      </c>
      <c r="M4949">
        <v>-0.99990460000000003</v>
      </c>
      <c r="N4949">
        <v>-1.149175E-2</v>
      </c>
      <c r="O4949">
        <v>7.6782819999999998E-3</v>
      </c>
      <c r="P4949">
        <v>-0.98773310000000003</v>
      </c>
      <c r="Q4949">
        <v>0.15272289999999999</v>
      </c>
      <c r="R4949">
        <v>-3.2549160000000001E-2</v>
      </c>
      <c r="S4949">
        <v>-3.056076</v>
      </c>
      <c r="T4949">
        <v>-4.94765E-2</v>
      </c>
      <c r="U4949">
        <v>0.32714840000000001</v>
      </c>
      <c r="V4949">
        <v>-3.8763619999999999E-2</v>
      </c>
      <c r="W4949">
        <v>0.16438949999999999</v>
      </c>
      <c r="X4949">
        <v>0.9856336</v>
      </c>
      <c r="Y4949">
        <v>9.8780209999999993E-2</v>
      </c>
      <c r="Z4949">
        <v>1.330616E-3</v>
      </c>
      <c r="AA4949">
        <v>0.9951084</v>
      </c>
      <c r="AB4949">
        <v>23</v>
      </c>
      <c r="AC4949">
        <v>-68.155600000000007</v>
      </c>
      <c r="AD4949">
        <v>-1.1072452555229999</v>
      </c>
      <c r="AE4949">
        <v>7.3132000000000197</v>
      </c>
      <c r="AF4949">
        <v>6.7878608630371096</v>
      </c>
      <c r="AG4949">
        <v>-1.1072452555229999</v>
      </c>
      <c r="AH4949">
        <v>68.191954259488298</v>
      </c>
      <c r="AI4949">
        <v>90.925666534132105</v>
      </c>
      <c r="AJ4949">
        <v>84.315475089367595</v>
      </c>
      <c r="AK4949">
        <v>68.537899536533601</v>
      </c>
      <c r="AL4949">
        <v>80.538229442167093</v>
      </c>
      <c r="AM4949">
        <v>92.252203847681102</v>
      </c>
      <c r="AN4949">
        <v>1.00000005969735</v>
      </c>
    </row>
    <row r="4950" spans="1:40" x14ac:dyDescent="0.25">
      <c r="A4950" t="str">
        <f>"20190304154855964"</f>
        <v>20190304154855964</v>
      </c>
      <c r="B4950" t="str">
        <f>"1551685735952323"</f>
        <v>1551685735952323</v>
      </c>
      <c r="C4950" t="s">
        <v>40</v>
      </c>
      <c r="D4950">
        <v>4.4388269999999999</v>
      </c>
      <c r="E4950">
        <v>0.54860779999999998</v>
      </c>
      <c r="F4950" t="s">
        <v>79</v>
      </c>
      <c r="G4950">
        <v>-288.08580000000001</v>
      </c>
      <c r="H4950" s="1">
        <v>-1.044383E-5</v>
      </c>
      <c r="I4950">
        <v>148.72550000000001</v>
      </c>
      <c r="J4950">
        <v>-217.91540000000001</v>
      </c>
      <c r="K4950">
        <v>1.1074010000000001</v>
      </c>
      <c r="L4950">
        <v>141.34389999999999</v>
      </c>
      <c r="M4950">
        <v>-0.99985190000000002</v>
      </c>
      <c r="N4950">
        <v>-1.1468620000000001E-2</v>
      </c>
      <c r="O4950">
        <v>1.284077E-2</v>
      </c>
      <c r="P4950">
        <v>-0.98792749999999996</v>
      </c>
      <c r="Q4950">
        <v>0.15149170000000001</v>
      </c>
      <c r="R4950">
        <v>-3.2401729999999997E-2</v>
      </c>
      <c r="S4950">
        <v>-3.0552519999999999</v>
      </c>
      <c r="T4950">
        <v>-4.8060890000000002E-2</v>
      </c>
      <c r="U4950">
        <v>0.32073970000000002</v>
      </c>
      <c r="V4950">
        <v>-4.3794909999999999E-2</v>
      </c>
      <c r="W4950">
        <v>0.16315839999999901</v>
      </c>
      <c r="X4950">
        <v>0.98562740000000004</v>
      </c>
      <c r="Y4950">
        <v>9.1606670000000001E-2</v>
      </c>
      <c r="Z4950">
        <v>1.1908120000000001E-3</v>
      </c>
      <c r="AA4950">
        <v>0.99579450000000003</v>
      </c>
      <c r="AB4950">
        <v>23</v>
      </c>
      <c r="AC4950">
        <v>-70.170400000000001</v>
      </c>
      <c r="AD4950">
        <v>-1.10741144382999</v>
      </c>
      <c r="AE4950">
        <v>7.3816000000000104</v>
      </c>
      <c r="AF4950">
        <v>6.47829436589873</v>
      </c>
      <c r="AG4950">
        <v>-1.10741144382999</v>
      </c>
      <c r="AH4950">
        <v>70.242102350476898</v>
      </c>
      <c r="AI4950">
        <v>90.899413114782405</v>
      </c>
      <c r="AJ4950">
        <v>84.730626880498406</v>
      </c>
      <c r="AK4950">
        <v>70.548902192819696</v>
      </c>
      <c r="AL4950">
        <v>80.609731281176707</v>
      </c>
      <c r="AM4950">
        <v>92.544180571315394</v>
      </c>
      <c r="AN4950">
        <v>1.0000000146316099</v>
      </c>
    </row>
    <row r="4951" spans="1:40" x14ac:dyDescent="0.25">
      <c r="A4951" t="str">
        <f>"20190304154855985"</f>
        <v>20190304154855985</v>
      </c>
      <c r="B4951" t="str">
        <f>"1551685735981602"</f>
        <v>1551685735981602</v>
      </c>
      <c r="C4951" t="s">
        <v>40</v>
      </c>
      <c r="D4951">
        <v>4.472728</v>
      </c>
      <c r="E4951">
        <v>0.54781199999999997</v>
      </c>
      <c r="F4951" t="s">
        <v>79</v>
      </c>
      <c r="G4951">
        <v>-285.28620000000001</v>
      </c>
      <c r="H4951" s="1">
        <v>-8.8352699999999995E-6</v>
      </c>
      <c r="I4951">
        <v>148.31469999999999</v>
      </c>
      <c r="J4951">
        <v>-218.13990000000001</v>
      </c>
      <c r="K4951">
        <v>1.1076079999999999</v>
      </c>
      <c r="L4951">
        <v>141.3527</v>
      </c>
      <c r="M4951">
        <v>-0.99977559999999999</v>
      </c>
      <c r="N4951">
        <v>-1.144296E-2</v>
      </c>
      <c r="O4951">
        <v>1.7830809999999999E-2</v>
      </c>
      <c r="P4951">
        <v>-0.98807319999999998</v>
      </c>
      <c r="Q4951">
        <v>0.15061649999999999</v>
      </c>
      <c r="R4951">
        <v>-3.2033260000000001E-2</v>
      </c>
      <c r="S4951">
        <v>-3.0547330000000001</v>
      </c>
      <c r="T4951">
        <v>-5.0212260000000002E-2</v>
      </c>
      <c r="U4951">
        <v>0.31607059999999998</v>
      </c>
      <c r="V4951">
        <v>-4.8448819999999997E-2</v>
      </c>
      <c r="W4951">
        <v>0.162267299999999</v>
      </c>
      <c r="X4951">
        <v>0.98555669999999995</v>
      </c>
      <c r="Y4951">
        <v>8.5146849999999996E-2</v>
      </c>
      <c r="Z4951">
        <v>1.097762E-3</v>
      </c>
      <c r="AA4951">
        <v>0.99636780000000003</v>
      </c>
      <c r="AB4951">
        <v>23</v>
      </c>
      <c r="AC4951">
        <v>-67.146299999999997</v>
      </c>
      <c r="AD4951">
        <v>-1.10761683527</v>
      </c>
      <c r="AE4951">
        <v>6.9619999999999802</v>
      </c>
      <c r="AF4951">
        <v>5.7619906069809996</v>
      </c>
      <c r="AG4951">
        <v>-1.10761683527</v>
      </c>
      <c r="AH4951">
        <v>67.241667679231597</v>
      </c>
      <c r="AI4951">
        <v>90.940255861114196</v>
      </c>
      <c r="AJ4951">
        <v>85.102244796365</v>
      </c>
      <c r="AK4951">
        <v>67.497179371385101</v>
      </c>
      <c r="AL4951">
        <v>80.661476882767502</v>
      </c>
      <c r="AM4951">
        <v>92.814328250056306</v>
      </c>
      <c r="AN4951">
        <v>0.99999998686178604</v>
      </c>
    </row>
    <row r="4952" spans="1:40" x14ac:dyDescent="0.25">
      <c r="A4952" t="str">
        <f>"20190304154856008"</f>
        <v>20190304154856008</v>
      </c>
      <c r="B4952" t="str">
        <f>"1551685736002100"</f>
        <v>1551685736002100</v>
      </c>
      <c r="C4952" t="s">
        <v>40</v>
      </c>
      <c r="D4952">
        <v>4.5204370000000003</v>
      </c>
      <c r="E4952">
        <v>0.54702980000000001</v>
      </c>
      <c r="F4952" t="s">
        <v>79</v>
      </c>
      <c r="G4952">
        <v>-281.75510000000003</v>
      </c>
      <c r="H4952" s="1">
        <v>-7.057087E-6</v>
      </c>
      <c r="I4952">
        <v>147.84049999999999</v>
      </c>
      <c r="J4952">
        <v>-218.37260000000001</v>
      </c>
      <c r="K4952">
        <v>1.1078570000000001</v>
      </c>
      <c r="L4952">
        <v>141.36250000000001</v>
      </c>
      <c r="M4952">
        <v>-0.99967899999999998</v>
      </c>
      <c r="N4952">
        <v>-1.1415649999999999E-2</v>
      </c>
      <c r="O4952">
        <v>2.262546E-2</v>
      </c>
      <c r="P4952">
        <v>-0.98795440000000001</v>
      </c>
      <c r="Q4952">
        <v>0.15165209999999901</v>
      </c>
      <c r="R4952">
        <v>-3.0790519999999998E-2</v>
      </c>
      <c r="S4952">
        <v>-3.0544280000000001</v>
      </c>
      <c r="T4952">
        <v>-5.318117E-2</v>
      </c>
      <c r="U4952">
        <v>0.31150820000000001</v>
      </c>
      <c r="V4952">
        <v>-5.2033049999999997E-2</v>
      </c>
      <c r="W4952">
        <v>0.16326570000000001</v>
      </c>
      <c r="X4952">
        <v>0.985209</v>
      </c>
      <c r="Y4952">
        <v>7.8904080000000001E-2</v>
      </c>
      <c r="Z4952">
        <v>1.001645E-3</v>
      </c>
      <c r="AA4952">
        <v>0.99688169999999998</v>
      </c>
      <c r="AB4952">
        <v>23</v>
      </c>
      <c r="AC4952">
        <v>-63.3825</v>
      </c>
      <c r="AD4952">
        <v>-1.107864057087</v>
      </c>
      <c r="AE4952">
        <v>6.4779999999999802</v>
      </c>
      <c r="AF4952">
        <v>5.0406659753695804</v>
      </c>
      <c r="AG4952">
        <v>-1.107864057087</v>
      </c>
      <c r="AH4952">
        <v>63.493652155914297</v>
      </c>
      <c r="AI4952">
        <v>90.996484899412806</v>
      </c>
      <c r="AJ4952">
        <v>85.460893837006793</v>
      </c>
      <c r="AK4952">
        <v>63.703057543107597</v>
      </c>
      <c r="AL4952">
        <v>80.603499278280395</v>
      </c>
      <c r="AM4952">
        <v>93.023223355279896</v>
      </c>
      <c r="AN4952">
        <v>0.99999995038489498</v>
      </c>
    </row>
    <row r="4953" spans="1:40" x14ac:dyDescent="0.25">
      <c r="A4953" t="str">
        <f>"20190304154856033"</f>
        <v>20190304154856033</v>
      </c>
      <c r="B4953" t="str">
        <f>"1551685736021618"</f>
        <v>1551685736021618</v>
      </c>
      <c r="C4953" t="s">
        <v>40</v>
      </c>
      <c r="D4953">
        <v>4.5359850000000002</v>
      </c>
      <c r="E4953">
        <v>0.54626479999999999</v>
      </c>
      <c r="F4953" t="s">
        <v>79</v>
      </c>
      <c r="G4953">
        <v>-284.4563</v>
      </c>
      <c r="H4953" s="1">
        <v>-8.3187399999999999E-6</v>
      </c>
      <c r="I4953">
        <v>148.0376</v>
      </c>
      <c r="J4953">
        <v>-218.6181</v>
      </c>
      <c r="K4953">
        <v>1.1081540000000001</v>
      </c>
      <c r="L4953">
        <v>141.37360000000001</v>
      </c>
      <c r="M4953">
        <v>-0.99956440000000002</v>
      </c>
      <c r="N4953">
        <v>-1.138743E-2</v>
      </c>
      <c r="O4953">
        <v>2.722983E-2</v>
      </c>
      <c r="P4953">
        <v>-0.98794669999999896</v>
      </c>
      <c r="Q4953">
        <v>0.15205539999999901</v>
      </c>
      <c r="R4953">
        <v>-2.899666E-2</v>
      </c>
      <c r="S4953">
        <v>-3.0540310000000002</v>
      </c>
      <c r="T4953">
        <v>-5.1199559999999998E-2</v>
      </c>
      <c r="U4953">
        <v>0.30848690000000001</v>
      </c>
      <c r="V4953">
        <v>-5.490043E-2</v>
      </c>
      <c r="W4953">
        <v>0.1636176</v>
      </c>
      <c r="X4953">
        <v>0.98499510000000001</v>
      </c>
      <c r="Y4953">
        <v>7.3350559999999995E-2</v>
      </c>
      <c r="Z4953">
        <v>8.8632360000000005E-4</v>
      </c>
      <c r="AA4953">
        <v>0.99730580000000002</v>
      </c>
      <c r="AB4953">
        <v>23</v>
      </c>
      <c r="AC4953">
        <v>-65.838200000000001</v>
      </c>
      <c r="AD4953">
        <v>-1.10816231874</v>
      </c>
      <c r="AE4953">
        <v>6.6639999999999802</v>
      </c>
      <c r="AF4953">
        <v>4.8672846052895897</v>
      </c>
      <c r="AG4953">
        <v>-1.10816231874</v>
      </c>
      <c r="AH4953">
        <v>65.976753490141206</v>
      </c>
      <c r="AI4953">
        <v>90.959656599808696</v>
      </c>
      <c r="AJ4953">
        <v>85.780777637897202</v>
      </c>
      <c r="AK4953">
        <v>66.165326903540802</v>
      </c>
      <c r="AL4953">
        <v>80.583063130446803</v>
      </c>
      <c r="AM4953">
        <v>93.190180002039696</v>
      </c>
      <c r="AN4953">
        <v>1.0000000616339699</v>
      </c>
    </row>
    <row r="4954" spans="1:40" x14ac:dyDescent="0.25">
      <c r="A4954" t="str">
        <f>"20190304154856055"</f>
        <v>20190304154856055</v>
      </c>
      <c r="B4954" t="str">
        <f>"1551685736051874"</f>
        <v>1551685736051874</v>
      </c>
      <c r="C4954" t="s">
        <v>40</v>
      </c>
      <c r="D4954">
        <v>4.4071170000000004</v>
      </c>
      <c r="E4954">
        <v>0.54588549999999902</v>
      </c>
      <c r="F4954" t="s">
        <v>79</v>
      </c>
      <c r="G4954">
        <v>-283.43979999999999</v>
      </c>
      <c r="H4954" s="1">
        <v>-7.8189299999999994E-6</v>
      </c>
      <c r="I4954">
        <v>147.8861</v>
      </c>
      <c r="J4954">
        <v>-218.84960000000001</v>
      </c>
      <c r="K4954">
        <v>1.1084350000000001</v>
      </c>
      <c r="L4954">
        <v>141.38460000000001</v>
      </c>
      <c r="M4954">
        <v>-0.99945209999999995</v>
      </c>
      <c r="N4954">
        <v>-1.136149E-2</v>
      </c>
      <c r="O4954">
        <v>3.1088210000000002E-2</v>
      </c>
      <c r="P4954">
        <v>-0.98818609999999896</v>
      </c>
      <c r="Q4954">
        <v>0.1509307</v>
      </c>
      <c r="R4954">
        <v>-2.6612230000000001E-2</v>
      </c>
      <c r="S4954">
        <v>-3.0536349999999999</v>
      </c>
      <c r="T4954">
        <v>-5.220354E-2</v>
      </c>
      <c r="U4954">
        <v>0.30679319999999999</v>
      </c>
      <c r="V4954">
        <v>-5.6452540000000002E-2</v>
      </c>
      <c r="W4954">
        <v>0.1624381</v>
      </c>
      <c r="X4954">
        <v>0.98510249999999999</v>
      </c>
      <c r="Y4954">
        <v>6.8966020000000003E-2</v>
      </c>
      <c r="Z4954">
        <v>8.0348300000000002E-4</v>
      </c>
      <c r="AA4954">
        <v>0.99761869999999997</v>
      </c>
      <c r="AB4954">
        <v>23</v>
      </c>
      <c r="AC4954">
        <v>-64.590199999999896</v>
      </c>
      <c r="AD4954">
        <v>-1.10844281893</v>
      </c>
      <c r="AE4954">
        <v>6.5014999999999903</v>
      </c>
      <c r="AF4954">
        <v>4.4889250550487203</v>
      </c>
      <c r="AG4954">
        <v>-1.10844281893</v>
      </c>
      <c r="AH4954">
        <v>64.742233305602099</v>
      </c>
      <c r="AI4954">
        <v>90.978508526097201</v>
      </c>
      <c r="AJ4954">
        <v>86.033725067198205</v>
      </c>
      <c r="AK4954">
        <v>64.907132636018403</v>
      </c>
      <c r="AL4954">
        <v>80.651559123803494</v>
      </c>
      <c r="AM4954">
        <v>93.279819659551904</v>
      </c>
      <c r="AN4954">
        <v>0.99999998055515504</v>
      </c>
    </row>
    <row r="4955" spans="1:40" x14ac:dyDescent="0.25">
      <c r="A4955" t="str">
        <f>"20190304154856078"</f>
        <v>20190304154856078</v>
      </c>
      <c r="B4955" t="str">
        <f>"1551685736072371"</f>
        <v>1551685736072371</v>
      </c>
      <c r="C4955" t="s">
        <v>40</v>
      </c>
      <c r="D4955">
        <v>4.3603820000000004</v>
      </c>
      <c r="E4955">
        <v>0.54586369999999995</v>
      </c>
      <c r="F4955" t="s">
        <v>44</v>
      </c>
      <c r="G4955">
        <v>-277.96660000000003</v>
      </c>
      <c r="H4955" s="1">
        <v>-2.9291449999999998E-6</v>
      </c>
      <c r="I4955">
        <v>147.41290000000001</v>
      </c>
      <c r="J4955">
        <v>-219.07910000000001</v>
      </c>
      <c r="K4955">
        <v>1.1086780000000001</v>
      </c>
      <c r="L4955">
        <v>141.39590000000001</v>
      </c>
      <c r="M4955">
        <v>-0.99933870000000002</v>
      </c>
      <c r="N4955">
        <v>-1.133754E-2</v>
      </c>
      <c r="O4955">
        <v>3.4548290000000002E-2</v>
      </c>
      <c r="P4955">
        <v>-0.9883149</v>
      </c>
      <c r="Q4955">
        <v>0.1499192</v>
      </c>
      <c r="R4955">
        <v>-2.7536390000000001E-2</v>
      </c>
      <c r="S4955">
        <v>-3.052994</v>
      </c>
      <c r="T4955">
        <v>-5.7243349999999998E-2</v>
      </c>
      <c r="U4955">
        <v>0.31132510000000002</v>
      </c>
      <c r="V4955">
        <v>-6.089874E-2</v>
      </c>
      <c r="W4955">
        <v>0.16138930000000001</v>
      </c>
      <c r="X4955">
        <v>0.9850101</v>
      </c>
      <c r="Y4955">
        <v>6.6996970000000003E-2</v>
      </c>
      <c r="Z4955">
        <v>7.5249679999999904E-4</v>
      </c>
      <c r="AA4955">
        <v>0.99775290000000005</v>
      </c>
      <c r="AB4955">
        <v>23</v>
      </c>
      <c r="AC4955">
        <v>-58.887500000000003</v>
      </c>
      <c r="AD4955">
        <v>-1.1086809291449999</v>
      </c>
      <c r="AE4955">
        <v>6.0169999999999897</v>
      </c>
      <c r="AF4955">
        <v>3.9774190655178199</v>
      </c>
      <c r="AG4955">
        <v>-1.1086809291449999</v>
      </c>
      <c r="AH4955">
        <v>59.0395209075187</v>
      </c>
      <c r="AI4955">
        <v>91.073376962980504</v>
      </c>
      <c r="AJ4955">
        <v>86.1458782896446</v>
      </c>
      <c r="AK4955">
        <v>59.183731420169302</v>
      </c>
      <c r="AL4955">
        <v>80.712454922641797</v>
      </c>
      <c r="AM4955">
        <v>93.537837022204201</v>
      </c>
      <c r="AN4955">
        <v>1.00000002989504</v>
      </c>
    </row>
    <row r="4956" spans="1:40" x14ac:dyDescent="0.25">
      <c r="A4956" t="str">
        <f>"20190304154856097"</f>
        <v>20190304154856097</v>
      </c>
      <c r="B4956" t="str">
        <f>"1551685736091891"</f>
        <v>1551685736091891</v>
      </c>
      <c r="C4956" t="s">
        <v>40</v>
      </c>
      <c r="D4956">
        <v>4.5624589999999996</v>
      </c>
      <c r="E4956">
        <v>0.54539309999999996</v>
      </c>
      <c r="F4956" t="s">
        <v>44</v>
      </c>
      <c r="G4956">
        <v>-276.55250000000001</v>
      </c>
      <c r="H4956" s="1">
        <v>-3.3944349999999898E-6</v>
      </c>
      <c r="I4956">
        <v>147.21690000000001</v>
      </c>
      <c r="J4956">
        <v>-219.28309999999999</v>
      </c>
      <c r="K4956">
        <v>1.108873</v>
      </c>
      <c r="L4956">
        <v>141.40629999999999</v>
      </c>
      <c r="M4956">
        <v>-0.99923910000000005</v>
      </c>
      <c r="N4956">
        <v>-1.1317789999999999E-2</v>
      </c>
      <c r="O4956">
        <v>3.7325079999999997E-2</v>
      </c>
      <c r="P4956">
        <v>-0.98836930000000001</v>
      </c>
      <c r="Q4956">
        <v>0.14929249999999999</v>
      </c>
      <c r="R4956">
        <v>-2.894855E-2</v>
      </c>
      <c r="S4956">
        <v>-3.0530240000000002</v>
      </c>
      <c r="T4956">
        <v>-5.8893920000000002E-2</v>
      </c>
      <c r="U4956">
        <v>0.30921939999999998</v>
      </c>
      <c r="V4956">
        <v>-6.5131519999999998E-2</v>
      </c>
      <c r="W4956">
        <v>0.1607304</v>
      </c>
      <c r="X4956">
        <v>0.98484700000000003</v>
      </c>
      <c r="Y4956">
        <v>6.3542310000000005E-2</v>
      </c>
      <c r="Z4956">
        <v>6.7580089999999895E-4</v>
      </c>
      <c r="AA4956">
        <v>0.9979789</v>
      </c>
      <c r="AB4956">
        <v>23</v>
      </c>
      <c r="AC4956">
        <v>-57.269399999999997</v>
      </c>
      <c r="AD4956">
        <v>-1.108876394435</v>
      </c>
      <c r="AE4956">
        <v>5.8106000000000204</v>
      </c>
      <c r="AF4956">
        <v>3.66746775813042</v>
      </c>
      <c r="AG4956">
        <v>-1.108876394435</v>
      </c>
      <c r="AH4956">
        <v>57.425073647622703</v>
      </c>
      <c r="AI4956">
        <v>91.103993625763394</v>
      </c>
      <c r="AJ4956">
        <v>86.345752535573396</v>
      </c>
      <c r="AK4956">
        <v>57.552749804418198</v>
      </c>
      <c r="AL4956">
        <v>80.750706172858202</v>
      </c>
      <c r="AM4956">
        <v>93.783668893095196</v>
      </c>
      <c r="AN4956">
        <v>0.99999999489533498</v>
      </c>
    </row>
    <row r="4957" spans="1:40" x14ac:dyDescent="0.25">
      <c r="A4957" t="str">
        <f>"20190304154856121"</f>
        <v>20190304154856121</v>
      </c>
      <c r="B4957" t="str">
        <f>"1551685736112387"</f>
        <v>1551685736112387</v>
      </c>
      <c r="C4957" t="s">
        <v>40</v>
      </c>
      <c r="D4957">
        <v>4.558586</v>
      </c>
      <c r="E4957">
        <v>0.54481669999999904</v>
      </c>
      <c r="F4957" t="s">
        <v>44</v>
      </c>
      <c r="G4957">
        <v>-275.161</v>
      </c>
      <c r="H4957" s="1">
        <v>-3.8165260000000001E-6</v>
      </c>
      <c r="I4957">
        <v>146.92699999999999</v>
      </c>
      <c r="J4957">
        <v>-219.5232</v>
      </c>
      <c r="K4957">
        <v>1.1090899999999999</v>
      </c>
      <c r="L4957">
        <v>141.4188</v>
      </c>
      <c r="M4957">
        <v>-0.9991276</v>
      </c>
      <c r="N4957">
        <v>-1.129578E-2</v>
      </c>
      <c r="O4957">
        <v>4.0206789999999999E-2</v>
      </c>
      <c r="P4957">
        <v>-0.98825560000000001</v>
      </c>
      <c r="Q4957">
        <v>0.1497387</v>
      </c>
      <c r="R4957">
        <v>-3.0485620000000001E-2</v>
      </c>
      <c r="S4957">
        <v>-3.0532840000000001</v>
      </c>
      <c r="T4957">
        <v>-6.059134E-2</v>
      </c>
      <c r="U4957">
        <v>0.3016663</v>
      </c>
      <c r="V4957">
        <v>-6.9588440000000001E-2</v>
      </c>
      <c r="W4957">
        <v>0.16113420000000001</v>
      </c>
      <c r="X4957">
        <v>0.98447609999999997</v>
      </c>
      <c r="Y4957">
        <v>5.8211430000000002E-2</v>
      </c>
      <c r="Z4957">
        <v>5.6382260000000005E-4</v>
      </c>
      <c r="AA4957">
        <v>0.99830410000000003</v>
      </c>
      <c r="AB4957">
        <v>23</v>
      </c>
      <c r="AC4957">
        <v>-55.637799999999999</v>
      </c>
      <c r="AD4957">
        <v>-1.10909381652599</v>
      </c>
      <c r="AE4957">
        <v>5.5082000000000102</v>
      </c>
      <c r="AF4957">
        <v>3.2653005370367199</v>
      </c>
      <c r="AG4957">
        <v>-1.10909381652599</v>
      </c>
      <c r="AH4957">
        <v>55.792330491810297</v>
      </c>
      <c r="AI4957">
        <v>91.136885926348597</v>
      </c>
      <c r="AJ4957">
        <v>86.650529458658397</v>
      </c>
      <c r="AK4957">
        <v>55.898805160740402</v>
      </c>
      <c r="AL4957">
        <v>80.727264507028707</v>
      </c>
      <c r="AM4957">
        <v>94.043270555824094</v>
      </c>
      <c r="AN4957">
        <v>0.99999998643124099</v>
      </c>
    </row>
    <row r="4958" spans="1:40" x14ac:dyDescent="0.25">
      <c r="A4958" t="str">
        <f>"20190304154856143"</f>
        <v>20190304154856143</v>
      </c>
      <c r="B4958" t="str">
        <f>"1551685736131921"</f>
        <v>1551685736131921</v>
      </c>
      <c r="C4958" t="s">
        <v>40</v>
      </c>
      <c r="D4958">
        <v>4.529623</v>
      </c>
      <c r="E4958">
        <v>0.54468660000000002</v>
      </c>
      <c r="F4958" t="s">
        <v>44</v>
      </c>
      <c r="G4958">
        <v>-276.52769999999998</v>
      </c>
      <c r="H4958" s="1">
        <v>-3.341342E-6</v>
      </c>
      <c r="I4958">
        <v>146.87010000000001</v>
      </c>
      <c r="J4958">
        <v>-219.74299999999999</v>
      </c>
      <c r="K4958">
        <v>1.1092820000000001</v>
      </c>
      <c r="L4958">
        <v>141.4306</v>
      </c>
      <c r="M4958">
        <v>-0.99903299999999995</v>
      </c>
      <c r="N4958">
        <v>-1.127676E-2</v>
      </c>
      <c r="O4958">
        <v>4.2495610000000003E-2</v>
      </c>
      <c r="P4958">
        <v>-0.98815160000000002</v>
      </c>
      <c r="Q4958">
        <v>0.149924</v>
      </c>
      <c r="R4958">
        <v>-3.2855290000000002E-2</v>
      </c>
      <c r="S4958">
        <v>-3.0536650000000001</v>
      </c>
      <c r="T4958">
        <v>-5.9412840000000001E-2</v>
      </c>
      <c r="U4958">
        <v>0.29202270000000002</v>
      </c>
      <c r="V4958">
        <v>-7.4289140000000004E-2</v>
      </c>
      <c r="W4958">
        <v>0.161277799999999</v>
      </c>
      <c r="X4958">
        <v>0.98410900000000001</v>
      </c>
      <c r="Y4958">
        <v>5.2790339999999998E-2</v>
      </c>
      <c r="Z4958">
        <v>4.6494610000000002E-4</v>
      </c>
      <c r="AA4958">
        <v>0.99860550000000003</v>
      </c>
      <c r="AB4958">
        <v>23</v>
      </c>
      <c r="AC4958">
        <v>-56.784700000000001</v>
      </c>
      <c r="AD4958">
        <v>-1.1092853413420001</v>
      </c>
      <c r="AE4958">
        <v>5.4394999999999998</v>
      </c>
      <c r="AF4958">
        <v>3.0201896171950402</v>
      </c>
      <c r="AG4958">
        <v>-1.1092853413420001</v>
      </c>
      <c r="AH4958">
        <v>56.943034133326798</v>
      </c>
      <c r="AI4958">
        <v>91.114449838721299</v>
      </c>
      <c r="AJ4958">
        <v>86.963945983476904</v>
      </c>
      <c r="AK4958">
        <v>57.033860079794302</v>
      </c>
      <c r="AL4958">
        <v>80.718927589821305</v>
      </c>
      <c r="AM4958">
        <v>94.316997928423504</v>
      </c>
      <c r="AN4958">
        <v>0.99999996448788897</v>
      </c>
    </row>
    <row r="4959" spans="1:40" x14ac:dyDescent="0.25">
      <c r="A4959" t="str">
        <f>"20190304154856165"</f>
        <v>20190304154856165</v>
      </c>
      <c r="B4959" t="str">
        <f>"1551685736162166"</f>
        <v>1551685736162166</v>
      </c>
      <c r="C4959" t="s">
        <v>40</v>
      </c>
      <c r="D4959">
        <v>4.4934890000000003</v>
      </c>
      <c r="E4959">
        <v>0.54411449999999995</v>
      </c>
      <c r="F4959" t="s">
        <v>44</v>
      </c>
      <c r="G4959">
        <v>-278.45749999999998</v>
      </c>
      <c r="H4959" s="1">
        <v>-2.5798010000000001E-6</v>
      </c>
      <c r="I4959">
        <v>146.8913</v>
      </c>
      <c r="J4959">
        <v>-219.96809999999999</v>
      </c>
      <c r="K4959">
        <v>1.1095010000000001</v>
      </c>
      <c r="L4959">
        <v>141.44280000000001</v>
      </c>
      <c r="M4959">
        <v>-0.99894539999999998</v>
      </c>
      <c r="N4959">
        <v>-1.1258819999999999E-2</v>
      </c>
      <c r="O4959">
        <v>4.4513190000000001E-2</v>
      </c>
      <c r="P4959">
        <v>-0.98806269999999996</v>
      </c>
      <c r="Q4959">
        <v>0.14985570000000001</v>
      </c>
      <c r="R4959">
        <v>-3.5713839999999997E-2</v>
      </c>
      <c r="S4959">
        <v>-3.0541839999999998</v>
      </c>
      <c r="T4959">
        <v>-5.7702299999999998E-2</v>
      </c>
      <c r="U4959">
        <v>0.28405760000000002</v>
      </c>
      <c r="V4959">
        <v>-7.9216930000000005E-2</v>
      </c>
      <c r="W4959">
        <v>0.161162</v>
      </c>
      <c r="X4959">
        <v>0.98374360000000005</v>
      </c>
      <c r="Y4959">
        <v>4.8177520000000001E-2</v>
      </c>
      <c r="Z4959">
        <v>3.8794049999999998E-4</v>
      </c>
      <c r="AA4959">
        <v>0.99883869999999997</v>
      </c>
      <c r="AB4959">
        <v>23</v>
      </c>
      <c r="AC4959">
        <v>-58.489399999999897</v>
      </c>
      <c r="AD4959">
        <v>-1.109503579801</v>
      </c>
      <c r="AE4959">
        <v>5.4484999999999904</v>
      </c>
      <c r="AF4959">
        <v>2.83837150781895</v>
      </c>
      <c r="AG4959">
        <v>-1.109503579801</v>
      </c>
      <c r="AH4959">
        <v>58.653039411573502</v>
      </c>
      <c r="AI4959">
        <v>91.082433478370007</v>
      </c>
      <c r="AJ4959">
        <v>87.229471155155807</v>
      </c>
      <c r="AK4959">
        <v>58.7321579990518</v>
      </c>
      <c r="AL4959">
        <v>80.725650637243405</v>
      </c>
      <c r="AM4959">
        <v>94.603865518410004</v>
      </c>
      <c r="AN4959">
        <v>0.99999999139179196</v>
      </c>
    </row>
    <row r="4960" spans="1:40" x14ac:dyDescent="0.25">
      <c r="A4960" t="str">
        <f>"20190304154856188"</f>
        <v>20190304154856188</v>
      </c>
      <c r="B4960" t="str">
        <f>"1551685736181686"</f>
        <v>1551685736181686</v>
      </c>
      <c r="C4960" t="s">
        <v>40</v>
      </c>
      <c r="D4960">
        <v>4.4976599999999998</v>
      </c>
      <c r="E4960">
        <v>0.543825</v>
      </c>
      <c r="F4960" t="s">
        <v>44</v>
      </c>
      <c r="G4960">
        <v>-278.02190000000002</v>
      </c>
      <c r="H4960" s="1">
        <v>-2.6872639999999999E-6</v>
      </c>
      <c r="I4960">
        <v>146.59289999999999</v>
      </c>
      <c r="J4960">
        <v>-220.20169999999999</v>
      </c>
      <c r="K4960">
        <v>1.109731</v>
      </c>
      <c r="L4960">
        <v>141.4555</v>
      </c>
      <c r="M4960">
        <v>-0.99886569999999997</v>
      </c>
      <c r="N4960">
        <v>-1.1242449999999999E-2</v>
      </c>
      <c r="O4960">
        <v>4.6272010000000002E-2</v>
      </c>
      <c r="P4960">
        <v>-0.98803790000000002</v>
      </c>
      <c r="Q4960">
        <v>0.14934510000000001</v>
      </c>
      <c r="R4960">
        <v>-3.8436289999999998E-2</v>
      </c>
      <c r="S4960">
        <v>-3.0549010000000001</v>
      </c>
      <c r="T4960">
        <v>-5.83843E-2</v>
      </c>
      <c r="U4960">
        <v>0.27101140000000001</v>
      </c>
      <c r="V4960">
        <v>-8.3762760000000006E-2</v>
      </c>
      <c r="W4960">
        <v>0.16059679999999901</v>
      </c>
      <c r="X4960">
        <v>0.98345939999999998</v>
      </c>
      <c r="Y4960">
        <v>4.2167259999999998E-2</v>
      </c>
      <c r="Z4960">
        <v>2.774152E-4</v>
      </c>
      <c r="AA4960">
        <v>0.99911050000000001</v>
      </c>
      <c r="AB4960">
        <v>23</v>
      </c>
      <c r="AC4960">
        <v>-57.8202</v>
      </c>
      <c r="AD4960">
        <v>-1.109733687264</v>
      </c>
      <c r="AE4960">
        <v>5.13739999999998</v>
      </c>
      <c r="AF4960">
        <v>2.4553733987699502</v>
      </c>
      <c r="AG4960">
        <v>-1.109733687264</v>
      </c>
      <c r="AH4960">
        <v>57.974803839047901</v>
      </c>
      <c r="AI4960">
        <v>91.095620176131305</v>
      </c>
      <c r="AJ4960">
        <v>87.574834262571002</v>
      </c>
      <c r="AK4960">
        <v>58.037386636203003</v>
      </c>
      <c r="AL4960">
        <v>80.7584613299491</v>
      </c>
      <c r="AM4960">
        <v>94.868221278412605</v>
      </c>
      <c r="AN4960">
        <v>0.99999996179070705</v>
      </c>
    </row>
    <row r="4961" spans="1:40" x14ac:dyDescent="0.25">
      <c r="A4961" t="str">
        <f>"20190304154856211"</f>
        <v>20190304154856211</v>
      </c>
      <c r="B4961" t="str">
        <f>"1551685736202182"</f>
        <v>1551685736202182</v>
      </c>
      <c r="C4961" t="s">
        <v>40</v>
      </c>
      <c r="D4961">
        <v>4.4571699999999996</v>
      </c>
      <c r="E4961">
        <v>0.54352579999999995</v>
      </c>
      <c r="F4961" t="s">
        <v>44</v>
      </c>
      <c r="G4961">
        <v>-276.63619999999997</v>
      </c>
      <c r="H4961" s="1">
        <v>-3.1945399999999999E-6</v>
      </c>
      <c r="I4961">
        <v>146.2653</v>
      </c>
      <c r="J4961">
        <v>-220.4374</v>
      </c>
      <c r="K4961">
        <v>1.109958</v>
      </c>
      <c r="L4961">
        <v>141.4682</v>
      </c>
      <c r="M4961">
        <v>-0.99879879999999999</v>
      </c>
      <c r="N4961">
        <v>-1.122804E-2</v>
      </c>
      <c r="O4961">
        <v>4.7697829999999997E-2</v>
      </c>
      <c r="P4961">
        <v>-0.98791470000000003</v>
      </c>
      <c r="Q4961">
        <v>0.14948710000000001</v>
      </c>
      <c r="R4961">
        <v>-4.096702E-2</v>
      </c>
      <c r="S4961">
        <v>-3.0555270000000001</v>
      </c>
      <c r="T4961">
        <v>-6.0084220000000001E-2</v>
      </c>
      <c r="U4961">
        <v>0.26042179999999998</v>
      </c>
      <c r="V4961">
        <v>-8.7783050000000001E-2</v>
      </c>
      <c r="W4961">
        <v>0.16067919999999999</v>
      </c>
      <c r="X4961">
        <v>0.98309530000000001</v>
      </c>
      <c r="Y4961">
        <v>3.7287090000000002E-2</v>
      </c>
      <c r="Z4961">
        <v>1.7525400000000001E-4</v>
      </c>
      <c r="AA4961">
        <v>0.99930459999999999</v>
      </c>
      <c r="AB4961">
        <v>23</v>
      </c>
      <c r="AC4961">
        <v>-56.198799999999899</v>
      </c>
      <c r="AD4961">
        <v>-1.1099611945399901</v>
      </c>
      <c r="AE4961">
        <v>4.7971000000000004</v>
      </c>
      <c r="AF4961">
        <v>2.1100926078388098</v>
      </c>
      <c r="AG4961">
        <v>-1.1099611945399901</v>
      </c>
      <c r="AH4961">
        <v>56.341833498205901</v>
      </c>
      <c r="AI4961">
        <v>91.127817926572902</v>
      </c>
      <c r="AJ4961">
        <v>87.855182989481904</v>
      </c>
      <c r="AK4961">
        <v>56.392257505854403</v>
      </c>
      <c r="AL4961">
        <v>80.753678572701304</v>
      </c>
      <c r="AM4961">
        <v>95.102551717305602</v>
      </c>
      <c r="AN4961">
        <v>1.0000000190310101</v>
      </c>
    </row>
    <row r="4962" spans="1:40" x14ac:dyDescent="0.25">
      <c r="A4962" t="str">
        <f>"20190304154856233"</f>
        <v>20190304154856233</v>
      </c>
      <c r="B4962" t="str">
        <f>"1551685736221705"</f>
        <v>1551685736221705</v>
      </c>
      <c r="C4962" t="s">
        <v>40</v>
      </c>
      <c r="D4962">
        <v>4.4922060000000004</v>
      </c>
      <c r="E4962">
        <v>0.5431648</v>
      </c>
      <c r="F4962" t="s">
        <v>44</v>
      </c>
      <c r="G4962">
        <v>-276.80840000000001</v>
      </c>
      <c r="H4962" s="1">
        <v>-3.0698790000000001E-6</v>
      </c>
      <c r="I4962">
        <v>146.0744</v>
      </c>
      <c r="J4962">
        <v>-220.66149999999999</v>
      </c>
      <c r="K4962">
        <v>1.1101730000000001</v>
      </c>
      <c r="L4962">
        <v>141.4803</v>
      </c>
      <c r="M4962">
        <v>-0.99875139999999996</v>
      </c>
      <c r="N4962">
        <v>-1.1216169999999999E-2</v>
      </c>
      <c r="O4962">
        <v>4.8680630000000003E-2</v>
      </c>
      <c r="P4962">
        <v>-0.98786750000000001</v>
      </c>
      <c r="Q4962">
        <v>0.14903629999999901</v>
      </c>
      <c r="R4962">
        <v>-4.3662029999999998E-2</v>
      </c>
      <c r="S4962">
        <v>-3.056168</v>
      </c>
      <c r="T4962">
        <v>-6.0176849999999997E-2</v>
      </c>
      <c r="U4962">
        <v>0.24972530000000001</v>
      </c>
      <c r="V4962">
        <v>-9.1526670000000004E-2</v>
      </c>
      <c r="W4962">
        <v>0.16017129999999999</v>
      </c>
      <c r="X4962">
        <v>0.98283670000000001</v>
      </c>
      <c r="Y4962">
        <v>3.2813759999999997E-2</v>
      </c>
      <c r="Z4962" s="1">
        <v>9.6289129999999995E-5</v>
      </c>
      <c r="AA4962">
        <v>0.9994615</v>
      </c>
      <c r="AB4962">
        <v>23</v>
      </c>
      <c r="AC4962">
        <v>-56.146900000000002</v>
      </c>
      <c r="AD4962">
        <v>-1.11017606987899</v>
      </c>
      <c r="AE4962">
        <v>4.5940999999999903</v>
      </c>
      <c r="AF4962">
        <v>1.8544938625519301</v>
      </c>
      <c r="AG4962">
        <v>-1.11017606987899</v>
      </c>
      <c r="AH4962">
        <v>56.282123630225797</v>
      </c>
      <c r="AI4962">
        <v>91.129411315117906</v>
      </c>
      <c r="AJ4962">
        <v>88.112788998183504</v>
      </c>
      <c r="AK4962">
        <v>56.323610313263799</v>
      </c>
      <c r="AL4962">
        <v>80.783160571286302</v>
      </c>
      <c r="AM4962">
        <v>95.320325249893003</v>
      </c>
      <c r="AN4962">
        <v>0.99999997776593397</v>
      </c>
    </row>
    <row r="4963" spans="1:40" x14ac:dyDescent="0.25">
      <c r="A4963" t="str">
        <f>"20190304154856256"</f>
        <v>20190304154856256</v>
      </c>
      <c r="B4963" t="str">
        <f>"1551685736252223"</f>
        <v>1551685736252223</v>
      </c>
      <c r="C4963" t="s">
        <v>40</v>
      </c>
      <c r="D4963">
        <v>4.5125780000000004</v>
      </c>
      <c r="E4963">
        <v>0.54253850000000003</v>
      </c>
      <c r="F4963" t="s">
        <v>44</v>
      </c>
      <c r="G4963">
        <v>-275.44589999999999</v>
      </c>
      <c r="H4963" s="1">
        <v>-3.5101480000000001E-6</v>
      </c>
      <c r="I4963">
        <v>145.74619999999999</v>
      </c>
      <c r="J4963">
        <v>-220.88980000000001</v>
      </c>
      <c r="K4963">
        <v>1.1103799999999999</v>
      </c>
      <c r="L4963">
        <v>141.4924</v>
      </c>
      <c r="M4963">
        <v>-0.99871929999999998</v>
      </c>
      <c r="N4963">
        <v>-1.120583E-2</v>
      </c>
      <c r="O4963">
        <v>4.9339590000000003E-2</v>
      </c>
      <c r="P4963">
        <v>-0.98785000000000001</v>
      </c>
      <c r="Q4963">
        <v>0.1484925</v>
      </c>
      <c r="R4963">
        <v>-4.5856609999999999E-2</v>
      </c>
      <c r="S4963">
        <v>-3.0567169999999999</v>
      </c>
      <c r="T4963">
        <v>-6.1942820000000003E-2</v>
      </c>
      <c r="U4963">
        <v>0.23802190000000001</v>
      </c>
      <c r="V4963">
        <v>-9.4448710000000005E-2</v>
      </c>
      <c r="W4963">
        <v>0.15957070000000001</v>
      </c>
      <c r="X4963">
        <v>0.98265800000000003</v>
      </c>
      <c r="Y4963">
        <v>2.8338140000000001E-2</v>
      </c>
      <c r="Z4963" s="1">
        <v>7.4738640000000004E-7</v>
      </c>
      <c r="AA4963">
        <v>0.9995984</v>
      </c>
      <c r="AB4963">
        <v>23</v>
      </c>
      <c r="AC4963">
        <v>-54.556100000000001</v>
      </c>
      <c r="AD4963">
        <v>-1.110383510148</v>
      </c>
      <c r="AE4963">
        <v>4.2537999999999796</v>
      </c>
      <c r="AF4963">
        <v>1.55603344423102</v>
      </c>
      <c r="AG4963">
        <v>-1.110383510148</v>
      </c>
      <c r="AH4963">
        <v>54.677026625777899</v>
      </c>
      <c r="AI4963">
        <v>91.162934640862801</v>
      </c>
      <c r="AJ4963">
        <v>88.3698804075364</v>
      </c>
      <c r="AK4963">
        <v>54.710432572364098</v>
      </c>
      <c r="AL4963">
        <v>80.8180215178933</v>
      </c>
      <c r="AM4963">
        <v>95.490150203338501</v>
      </c>
      <c r="AN4963">
        <v>1.0000000560415701</v>
      </c>
    </row>
    <row r="4964" spans="1:40" x14ac:dyDescent="0.25">
      <c r="A4964" t="str">
        <f>"20190304154856278"</f>
        <v>20190304154856278</v>
      </c>
      <c r="B4964" t="str">
        <f>"1551685736272719"</f>
        <v>1551685736272719</v>
      </c>
      <c r="C4964" t="s">
        <v>40</v>
      </c>
      <c r="D4964">
        <v>4.4318489999999997</v>
      </c>
      <c r="E4964">
        <v>0.54208659999999997</v>
      </c>
      <c r="F4964" t="s">
        <v>44</v>
      </c>
      <c r="G4964">
        <v>-273.74130000000002</v>
      </c>
      <c r="H4964" s="1">
        <v>-4.029641E-6</v>
      </c>
      <c r="I4964">
        <v>145.40479999999999</v>
      </c>
      <c r="J4964">
        <v>-221.10929999999999</v>
      </c>
      <c r="K4964">
        <v>1.1105449999999999</v>
      </c>
      <c r="L4964">
        <v>141.50389999999999</v>
      </c>
      <c r="M4964">
        <v>-0.99870060000000005</v>
      </c>
      <c r="N4964">
        <v>-1.11973E-2</v>
      </c>
      <c r="O4964">
        <v>4.9718739999999997E-2</v>
      </c>
      <c r="P4964">
        <v>-0.98777440000000005</v>
      </c>
      <c r="Q4964">
        <v>0.1481962</v>
      </c>
      <c r="R4964">
        <v>-4.8372449999999997E-2</v>
      </c>
      <c r="S4964">
        <v>-3.0570529999999998</v>
      </c>
      <c r="T4964">
        <v>-6.4227220000000002E-2</v>
      </c>
      <c r="U4964">
        <v>0.22630310000000001</v>
      </c>
      <c r="V4964">
        <v>-9.7395919999999997E-2</v>
      </c>
      <c r="W4964">
        <v>0.15922559999999999</v>
      </c>
      <c r="X4964">
        <v>0.98242620000000003</v>
      </c>
      <c r="Y4964">
        <v>2.4141309999999999E-2</v>
      </c>
      <c r="Z4964" s="1">
        <v>-9.7256770000000005E-5</v>
      </c>
      <c r="AA4964">
        <v>0.9997085</v>
      </c>
      <c r="AB4964">
        <v>23</v>
      </c>
      <c r="AC4964">
        <v>-52.631999999999998</v>
      </c>
      <c r="AD4964">
        <v>-1.1105490296410001</v>
      </c>
      <c r="AE4964">
        <v>3.9009</v>
      </c>
      <c r="AF4964">
        <v>1.2785483685435699</v>
      </c>
      <c r="AG4964">
        <v>-1.1105490296410001</v>
      </c>
      <c r="AH4964">
        <v>52.737508074591503</v>
      </c>
      <c r="AI4964">
        <v>91.206004777635798</v>
      </c>
      <c r="AJ4964">
        <v>88.611214653225204</v>
      </c>
      <c r="AK4964">
        <v>52.764692389850502</v>
      </c>
      <c r="AL4964">
        <v>80.838049832468499</v>
      </c>
      <c r="AM4964">
        <v>95.661697756175002</v>
      </c>
      <c r="AN4964">
        <v>0.99999999768722303</v>
      </c>
    </row>
    <row r="4965" spans="1:40" x14ac:dyDescent="0.25">
      <c r="A4965" t="str">
        <f>"20190304154856300"</f>
        <v>20190304154856300</v>
      </c>
      <c r="B4965" t="str">
        <f>"1551685736292238"</f>
        <v>1551685736292238</v>
      </c>
      <c r="C4965" t="s">
        <v>40</v>
      </c>
      <c r="D4965">
        <v>4.5113469999999998</v>
      </c>
      <c r="E4965">
        <v>0.54150330000000002</v>
      </c>
      <c r="F4965" t="s">
        <v>44</v>
      </c>
      <c r="G4965">
        <v>-271.96100000000001</v>
      </c>
      <c r="H4965" s="1">
        <v>-4.5796259999999996E-6</v>
      </c>
      <c r="I4965">
        <v>145.08969999999999</v>
      </c>
      <c r="J4965">
        <v>-221.3389</v>
      </c>
      <c r="K4965">
        <v>1.11069</v>
      </c>
      <c r="L4965">
        <v>141.51570000000001</v>
      </c>
      <c r="M4965">
        <v>-0.99869300000000005</v>
      </c>
      <c r="N4965">
        <v>-1.1189609999999999E-2</v>
      </c>
      <c r="O4965">
        <v>4.9871550000000001E-2</v>
      </c>
      <c r="P4965">
        <v>-0.9876568</v>
      </c>
      <c r="Q4965">
        <v>0.14840149999999999</v>
      </c>
      <c r="R4965">
        <v>-5.011144E-2</v>
      </c>
      <c r="S4965">
        <v>-3.057693</v>
      </c>
      <c r="T4965">
        <v>-6.6776989999999994E-2</v>
      </c>
      <c r="U4965">
        <v>0.21562190000000001</v>
      </c>
      <c r="V4965">
        <v>-9.9331600000000006E-2</v>
      </c>
      <c r="W4965">
        <v>0.1593871</v>
      </c>
      <c r="X4965">
        <v>0.98220620000000003</v>
      </c>
      <c r="Y4965">
        <v>2.0499940000000001E-2</v>
      </c>
      <c r="Z4965">
        <v>-1.9068930000000001E-4</v>
      </c>
      <c r="AA4965">
        <v>0.99978979999999995</v>
      </c>
      <c r="AB4965">
        <v>23</v>
      </c>
      <c r="AC4965">
        <v>-50.622100000000003</v>
      </c>
      <c r="AD4965">
        <v>-1.1106945796259999</v>
      </c>
      <c r="AE4965">
        <v>3.5739999999999799</v>
      </c>
      <c r="AF4965">
        <v>1.04429132332242</v>
      </c>
      <c r="AG4965">
        <v>-1.1106945796259999</v>
      </c>
      <c r="AH4965">
        <v>50.713059726402697</v>
      </c>
      <c r="AI4965">
        <v>91.254399912884793</v>
      </c>
      <c r="AJ4965">
        <v>88.820322996102902</v>
      </c>
      <c r="AK4965">
        <v>50.735969623442301</v>
      </c>
      <c r="AL4965">
        <v>80.828677041076702</v>
      </c>
      <c r="AM4965">
        <v>95.774751904991504</v>
      </c>
      <c r="AN4965">
        <v>1.0000000168617</v>
      </c>
    </row>
    <row r="4966" spans="1:40" x14ac:dyDescent="0.25">
      <c r="A4966" t="str">
        <f>"20190304154856321"</f>
        <v>20190304154856321</v>
      </c>
      <c r="B4966" t="str">
        <f>"1551685736311762"</f>
        <v>1551685736311762</v>
      </c>
      <c r="C4966" t="s">
        <v>40</v>
      </c>
      <c r="D4966">
        <v>4.5092679999999996</v>
      </c>
      <c r="E4966">
        <v>0.5409853</v>
      </c>
      <c r="F4966" t="s">
        <v>44</v>
      </c>
      <c r="G4966">
        <v>-271.81319999999999</v>
      </c>
      <c r="H4966" s="1">
        <v>-4.5987459999999997E-6</v>
      </c>
      <c r="I4966">
        <v>144.91409999999999</v>
      </c>
      <c r="J4966">
        <v>-221.56200000000001</v>
      </c>
      <c r="K4966">
        <v>1.110803</v>
      </c>
      <c r="L4966">
        <v>141.52690000000001</v>
      </c>
      <c r="M4966">
        <v>-0.99869640000000004</v>
      </c>
      <c r="N4966">
        <v>-1.1183179999999999E-2</v>
      </c>
      <c r="O4966">
        <v>4.9804550000000003E-2</v>
      </c>
      <c r="P4966">
        <v>-0.98750550000000004</v>
      </c>
      <c r="Q4966">
        <v>0.1488565</v>
      </c>
      <c r="R4966">
        <v>-5.1718020000000003E-2</v>
      </c>
      <c r="S4966">
        <v>-3.0580440000000002</v>
      </c>
      <c r="T4966">
        <v>-6.7292690000000002E-2</v>
      </c>
      <c r="U4966">
        <v>0.2059021</v>
      </c>
      <c r="V4966">
        <v>-0.1009071</v>
      </c>
      <c r="W4966">
        <v>0.15980510000000001</v>
      </c>
      <c r="X4966">
        <v>0.98197760000000001</v>
      </c>
      <c r="Y4966">
        <v>1.739723E-2</v>
      </c>
      <c r="Z4966">
        <v>-2.4846919999999998E-4</v>
      </c>
      <c r="AA4966">
        <v>0.99984859999999998</v>
      </c>
      <c r="AB4966">
        <v>23</v>
      </c>
      <c r="AC4966">
        <v>-50.251199999999898</v>
      </c>
      <c r="AD4966">
        <v>-1.110807598746</v>
      </c>
      <c r="AE4966">
        <v>3.3871999999999698</v>
      </c>
      <c r="AF4966">
        <v>0.87967315922732003</v>
      </c>
      <c r="AG4966">
        <v>-1.110807598746</v>
      </c>
      <c r="AH4966">
        <v>50.333054872456202</v>
      </c>
      <c r="AI4966">
        <v>91.264070792543194</v>
      </c>
      <c r="AJ4966">
        <v>88.998740911485299</v>
      </c>
      <c r="AK4966">
        <v>50.352995255319101</v>
      </c>
      <c r="AL4966">
        <v>80.804415914022897</v>
      </c>
      <c r="AM4966">
        <v>95.867067605812693</v>
      </c>
      <c r="AN4966">
        <v>0.99999995985908896</v>
      </c>
    </row>
    <row r="4967" spans="1:40" x14ac:dyDescent="0.25">
      <c r="A4967" t="str">
        <f>"20190304154856343"</f>
        <v>20190304154856343</v>
      </c>
      <c r="B4967" t="str">
        <f>"1551685736331833"</f>
        <v>1551685736331833</v>
      </c>
      <c r="C4967" t="s">
        <v>40</v>
      </c>
      <c r="D4967">
        <v>4.45932</v>
      </c>
      <c r="E4967">
        <v>0.54053530000000005</v>
      </c>
      <c r="F4967" t="s">
        <v>44</v>
      </c>
      <c r="G4967">
        <v>-272.36540000000002</v>
      </c>
      <c r="H4967" s="1">
        <v>-4.3901729999999901E-6</v>
      </c>
      <c r="I4967">
        <v>144.79759999999999</v>
      </c>
      <c r="J4967">
        <v>-221.78530000000001</v>
      </c>
      <c r="K4967">
        <v>1.1109199999999999</v>
      </c>
      <c r="L4967">
        <v>141.53790000000001</v>
      </c>
      <c r="M4967">
        <v>-0.99871010000000005</v>
      </c>
      <c r="N4967">
        <v>-1.117517E-2</v>
      </c>
      <c r="O4967">
        <v>4.9532560000000003E-2</v>
      </c>
      <c r="P4967">
        <v>-0.98728389999999999</v>
      </c>
      <c r="Q4967">
        <v>0.15008640000000001</v>
      </c>
      <c r="R4967">
        <v>-5.2391750000000001E-2</v>
      </c>
      <c r="S4967">
        <v>-3.0583499999999999</v>
      </c>
      <c r="T4967">
        <v>-6.6870330000000006E-2</v>
      </c>
      <c r="U4967">
        <v>0.1968994</v>
      </c>
      <c r="V4967">
        <v>-0.1013442</v>
      </c>
      <c r="W4967">
        <v>0.1609978</v>
      </c>
      <c r="X4967">
        <v>0.98173779999999999</v>
      </c>
      <c r="Y4967">
        <v>1.473325E-2</v>
      </c>
      <c r="Z4967">
        <v>-2.8436169999999998E-4</v>
      </c>
      <c r="AA4967">
        <v>0.99989139999999999</v>
      </c>
      <c r="AB4967">
        <v>23</v>
      </c>
      <c r="AC4967">
        <v>-50.580100000000002</v>
      </c>
      <c r="AD4967">
        <v>-1.1109243901729999</v>
      </c>
      <c r="AE4967">
        <v>3.2596999999999801</v>
      </c>
      <c r="AF4967">
        <v>0.74982001671129495</v>
      </c>
      <c r="AG4967">
        <v>-1.1109243901729999</v>
      </c>
      <c r="AH4967">
        <v>50.655141906729398</v>
      </c>
      <c r="AI4967">
        <v>91.256222087045998</v>
      </c>
      <c r="AJ4967">
        <v>89.151944238108001</v>
      </c>
      <c r="AK4967">
        <v>50.672870302056502</v>
      </c>
      <c r="AL4967">
        <v>80.735183382473494</v>
      </c>
      <c r="AM4967">
        <v>95.893732722399307</v>
      </c>
      <c r="AN4967">
        <v>1.0000000232136499</v>
      </c>
    </row>
    <row r="4968" spans="1:40" x14ac:dyDescent="0.25">
      <c r="A4968" t="str">
        <f>"20190304154856365"</f>
        <v>20190304154856365</v>
      </c>
      <c r="B4968" t="str">
        <f>"1551685736362086"</f>
        <v>1551685736362086</v>
      </c>
      <c r="C4968" t="s">
        <v>40</v>
      </c>
      <c r="D4968">
        <v>4.43588</v>
      </c>
      <c r="E4968">
        <v>0.53989399999999999</v>
      </c>
      <c r="F4968" t="s">
        <v>44</v>
      </c>
      <c r="G4968">
        <v>-274.4314</v>
      </c>
      <c r="H4968" s="1">
        <v>-3.6909070000000001E-6</v>
      </c>
      <c r="I4968">
        <v>144.81909999999999</v>
      </c>
      <c r="J4968">
        <v>-222.0087</v>
      </c>
      <c r="K4968">
        <v>1.1110359999999999</v>
      </c>
      <c r="L4968">
        <v>141.5487</v>
      </c>
      <c r="M4968">
        <v>-0.99873290000000003</v>
      </c>
      <c r="N4968">
        <v>-1.1163309999999999E-2</v>
      </c>
      <c r="O4968">
        <v>4.9069840000000003E-2</v>
      </c>
      <c r="P4968">
        <v>-0.98713300000000004</v>
      </c>
      <c r="Q4968">
        <v>0.1509374</v>
      </c>
      <c r="R4968">
        <v>-5.2786069999999997E-2</v>
      </c>
      <c r="S4968">
        <v>-3.0585629999999999</v>
      </c>
      <c r="T4968">
        <v>-6.4540979999999998E-2</v>
      </c>
      <c r="U4968">
        <v>0.19062809999999999</v>
      </c>
      <c r="V4968">
        <v>-0.1013222</v>
      </c>
      <c r="W4968">
        <v>0.1618067</v>
      </c>
      <c r="X4968">
        <v>0.98160709999999995</v>
      </c>
      <c r="Y4968">
        <v>1.3150449999999999E-2</v>
      </c>
      <c r="Z4968">
        <v>-2.7393410000000002E-4</v>
      </c>
      <c r="AA4968">
        <v>0.99991350000000001</v>
      </c>
      <c r="AB4968">
        <v>23</v>
      </c>
      <c r="AC4968">
        <v>-52.422699999999899</v>
      </c>
      <c r="AD4968">
        <v>-1.1110396909069999</v>
      </c>
      <c r="AE4968">
        <v>3.2703999999999902</v>
      </c>
      <c r="AF4968">
        <v>0.69361550778888403</v>
      </c>
      <c r="AG4968">
        <v>-1.1110396909069999</v>
      </c>
      <c r="AH4968">
        <v>52.4965401390102</v>
      </c>
      <c r="AI4968">
        <v>91.212324275251603</v>
      </c>
      <c r="AJ4968">
        <v>89.243018134908397</v>
      </c>
      <c r="AK4968">
        <v>52.5128768801912</v>
      </c>
      <c r="AL4968">
        <v>80.688221318453799</v>
      </c>
      <c r="AM4968">
        <v>95.893241356369899</v>
      </c>
      <c r="AN4968">
        <v>1.00000004757406</v>
      </c>
    </row>
    <row r="4969" spans="1:40" x14ac:dyDescent="0.25">
      <c r="A4969" t="str">
        <f>"20190304154856388"</f>
        <v>20190304154856388</v>
      </c>
      <c r="B4969" t="str">
        <f>"1551685736381606"</f>
        <v>1551685736381606</v>
      </c>
      <c r="C4969" t="s">
        <v>40</v>
      </c>
      <c r="D4969">
        <v>4.4834310000000004</v>
      </c>
      <c r="E4969">
        <v>0.53950690000000001</v>
      </c>
      <c r="F4969" t="s">
        <v>44</v>
      </c>
      <c r="G4969">
        <v>-275.7158</v>
      </c>
      <c r="H4969" s="1">
        <v>-3.194121E-6</v>
      </c>
      <c r="I4969">
        <v>144.77959999999999</v>
      </c>
      <c r="J4969">
        <v>-222.24029999999999</v>
      </c>
      <c r="K4969">
        <v>1.111167</v>
      </c>
      <c r="L4969">
        <v>141.55950000000001</v>
      </c>
      <c r="M4969">
        <v>-0.99876560000000003</v>
      </c>
      <c r="N4969">
        <v>-1.1146049999999999E-2</v>
      </c>
      <c r="O4969">
        <v>4.8405379999999998E-2</v>
      </c>
      <c r="P4969">
        <v>-0.98696950000000006</v>
      </c>
      <c r="Q4969">
        <v>0.15166180000000001</v>
      </c>
      <c r="R4969">
        <v>-5.3760969999999998E-2</v>
      </c>
      <c r="S4969">
        <v>-3.0586090000000001</v>
      </c>
      <c r="T4969">
        <v>-6.3273549999999998E-2</v>
      </c>
      <c r="U4969">
        <v>0.18400569999999999</v>
      </c>
      <c r="V4969">
        <v>-0.1016871</v>
      </c>
      <c r="W4969">
        <v>0.16247909999999999</v>
      </c>
      <c r="X4969">
        <v>0.98145819999999995</v>
      </c>
      <c r="Y4969">
        <v>1.165831E-2</v>
      </c>
      <c r="Z4969">
        <v>-2.7479959999999998E-4</v>
      </c>
      <c r="AA4969">
        <v>0.99993200000000004</v>
      </c>
      <c r="AB4969">
        <v>23</v>
      </c>
      <c r="AC4969">
        <v>-53.475499999999997</v>
      </c>
      <c r="AD4969">
        <v>-1.1111701941209999</v>
      </c>
      <c r="AE4969">
        <v>3.2200999999999702</v>
      </c>
      <c r="AF4969">
        <v>0.62739227813073195</v>
      </c>
      <c r="AG4969">
        <v>-1.1111701941209999</v>
      </c>
      <c r="AH4969">
        <v>53.545650779605801</v>
      </c>
      <c r="AI4969">
        <v>91.188740020396096</v>
      </c>
      <c r="AJ4969">
        <v>89.328698330662107</v>
      </c>
      <c r="AK4969">
        <v>53.560853593669101</v>
      </c>
      <c r="AL4969">
        <v>80.649178187619896</v>
      </c>
      <c r="AM4969">
        <v>95.915205914222398</v>
      </c>
      <c r="AN4969">
        <v>0.99999996129522895</v>
      </c>
    </row>
    <row r="4970" spans="1:40" x14ac:dyDescent="0.25">
      <c r="A4970" t="str">
        <f>"20190304154856402"</f>
        <v>20190304154856402</v>
      </c>
      <c r="B4970" t="str">
        <f>"1551685736392343"</f>
        <v>1551685736392343</v>
      </c>
      <c r="C4970" t="s">
        <v>40</v>
      </c>
      <c r="D4970">
        <v>4.4665239999999997</v>
      </c>
      <c r="E4970">
        <v>0.53930719999999899</v>
      </c>
      <c r="F4970" t="s">
        <v>44</v>
      </c>
      <c r="G4970">
        <v>-277.58479999999997</v>
      </c>
      <c r="H4970" s="1">
        <v>-2.3937250000000001E-6</v>
      </c>
      <c r="I4970">
        <v>144.78489999999999</v>
      </c>
      <c r="J4970">
        <v>-222.38399999999999</v>
      </c>
      <c r="K4970">
        <v>1.1112519999999999</v>
      </c>
      <c r="L4970">
        <v>141.5659</v>
      </c>
      <c r="M4970">
        <v>-0.99879070000000003</v>
      </c>
      <c r="N4970">
        <v>-1.11334E-2</v>
      </c>
      <c r="O4970">
        <v>4.7886150000000002E-2</v>
      </c>
      <c r="P4970">
        <v>-0.98682590000000003</v>
      </c>
      <c r="Q4970">
        <v>0.152313</v>
      </c>
      <c r="R4970">
        <v>-5.45478E-2</v>
      </c>
      <c r="S4970">
        <v>-3.0587770000000001</v>
      </c>
      <c r="T4970">
        <v>-6.1412099999999997E-2</v>
      </c>
      <c r="U4970">
        <v>0.17826839999999999</v>
      </c>
      <c r="V4970">
        <v>-0.1019883</v>
      </c>
      <c r="W4970">
        <v>0.16309589999999999</v>
      </c>
      <c r="X4970">
        <v>0.98132470000000005</v>
      </c>
      <c r="Y4970">
        <v>1.030615E-2</v>
      </c>
      <c r="Z4970">
        <v>-2.660966E-4</v>
      </c>
      <c r="AA4970">
        <v>0.99994680000000002</v>
      </c>
      <c r="AB4970">
        <v>23</v>
      </c>
      <c r="AC4970">
        <v>-55.200799999999902</v>
      </c>
      <c r="AD4970">
        <v>-1.1112543937249999</v>
      </c>
      <c r="AE4970">
        <v>3.2189999999999901</v>
      </c>
      <c r="AF4970">
        <v>0.57155809593932305</v>
      </c>
      <c r="AG4970">
        <v>-1.1112543937249999</v>
      </c>
      <c r="AH4970">
        <v>55.269298220558397</v>
      </c>
      <c r="AI4970">
        <v>91.151782422133294</v>
      </c>
      <c r="AJ4970">
        <v>89.407506511088599</v>
      </c>
      <c r="AK4970">
        <v>55.283423291051903</v>
      </c>
      <c r="AL4970">
        <v>80.6133609969921</v>
      </c>
      <c r="AM4970">
        <v>95.933403454345495</v>
      </c>
      <c r="AN4970">
        <v>1.00000002638189</v>
      </c>
    </row>
    <row r="4971" spans="1:40" x14ac:dyDescent="0.25">
      <c r="A4971" t="str">
        <f>"20190304154856415"</f>
        <v>20190304154856415</v>
      </c>
      <c r="B4971" t="str">
        <f>"1551685736411862"</f>
        <v>1551685736411862</v>
      </c>
      <c r="C4971" t="s">
        <v>40</v>
      </c>
      <c r="D4971">
        <v>4.4379530000000003</v>
      </c>
      <c r="E4971">
        <v>0.538937</v>
      </c>
      <c r="F4971" t="s">
        <v>44</v>
      </c>
      <c r="G4971">
        <v>-279.52089999999998</v>
      </c>
      <c r="H4971" s="1">
        <v>-1.574118E-6</v>
      </c>
      <c r="I4971">
        <v>144.8262</v>
      </c>
      <c r="J4971">
        <v>-222.51689999999999</v>
      </c>
      <c r="K4971">
        <v>1.1113219999999999</v>
      </c>
      <c r="L4971">
        <v>141.5718</v>
      </c>
      <c r="M4971">
        <v>-0.99881640000000005</v>
      </c>
      <c r="N4971">
        <v>-1.1121539999999999E-2</v>
      </c>
      <c r="O4971">
        <v>4.7354210000000001E-2</v>
      </c>
      <c r="P4971">
        <v>-0.98672070000000001</v>
      </c>
      <c r="Q4971">
        <v>0.1527567</v>
      </c>
      <c r="R4971">
        <v>-5.5207899999999997E-2</v>
      </c>
      <c r="S4971">
        <v>-3.0588839999999999</v>
      </c>
      <c r="T4971">
        <v>-5.949223E-2</v>
      </c>
      <c r="U4971">
        <v>0.17454529999999999</v>
      </c>
      <c r="V4971">
        <v>-0.1021492</v>
      </c>
      <c r="W4971">
        <v>0.163508399999999</v>
      </c>
      <c r="X4971">
        <v>0.98123930000000004</v>
      </c>
      <c r="Y4971">
        <v>9.623731E-3</v>
      </c>
      <c r="Z4971">
        <v>-2.4597399999999999E-4</v>
      </c>
      <c r="AA4971">
        <v>0.99995369999999995</v>
      </c>
      <c r="AB4971">
        <v>23</v>
      </c>
      <c r="AC4971">
        <v>-57.003999999999898</v>
      </c>
      <c r="AD4971">
        <v>-1.1113235741180001</v>
      </c>
      <c r="AE4971">
        <v>3.2544</v>
      </c>
      <c r="AF4971">
        <v>0.55099397027852903</v>
      </c>
      <c r="AG4971">
        <v>-1.1113235741180001</v>
      </c>
      <c r="AH4971">
        <v>57.072540365532703</v>
      </c>
      <c r="AI4971">
        <v>91.115477569591704</v>
      </c>
      <c r="AJ4971">
        <v>89.446868002180196</v>
      </c>
      <c r="AK4971">
        <v>57.086018412716697</v>
      </c>
      <c r="AL4971">
        <v>80.589404747751104</v>
      </c>
      <c r="AM4971">
        <v>95.943210751679501</v>
      </c>
      <c r="AN4971">
        <v>1.0000000098978401</v>
      </c>
    </row>
    <row r="4972" spans="1:40" x14ac:dyDescent="0.25">
      <c r="A4972" t="str">
        <f>"20190304154856434"</f>
        <v>20190304154856434</v>
      </c>
      <c r="B4972" t="str">
        <f>"1551685736421622"</f>
        <v>1551685736421622</v>
      </c>
      <c r="C4972" t="s">
        <v>40</v>
      </c>
      <c r="D4972">
        <v>4.4337920000000004</v>
      </c>
      <c r="E4972">
        <v>0.538753699999999</v>
      </c>
      <c r="F4972" t="s">
        <v>79</v>
      </c>
      <c r="G4972">
        <v>-280.44979999999998</v>
      </c>
      <c r="H4972" s="1">
        <v>-5.490931E-6</v>
      </c>
      <c r="I4972">
        <v>144.7893</v>
      </c>
      <c r="J4972">
        <v>-222.70429999999999</v>
      </c>
      <c r="K4972">
        <v>1.111421</v>
      </c>
      <c r="L4972">
        <v>141.57980000000001</v>
      </c>
      <c r="M4972">
        <v>-0.99885710000000005</v>
      </c>
      <c r="N4972">
        <v>-1.1105200000000001E-2</v>
      </c>
      <c r="O4972">
        <v>4.6489280000000001E-2</v>
      </c>
      <c r="P4972">
        <v>-0.9865661</v>
      </c>
      <c r="Q4972">
        <v>0.15350749999999999</v>
      </c>
      <c r="R4972">
        <v>-5.588282E-2</v>
      </c>
      <c r="S4972">
        <v>-3.058945</v>
      </c>
      <c r="T4972">
        <v>-5.8679820000000001E-2</v>
      </c>
      <c r="U4972">
        <v>0.1698914</v>
      </c>
      <c r="V4972">
        <v>-0.1020046</v>
      </c>
      <c r="W4972">
        <v>0.16421830000000001</v>
      </c>
      <c r="X4972">
        <v>0.9811358</v>
      </c>
      <c r="Y4972">
        <v>8.9720849999999994E-3</v>
      </c>
      <c r="Z4972">
        <v>-2.3848390000000001E-4</v>
      </c>
      <c r="AA4972">
        <v>0.99995970000000001</v>
      </c>
      <c r="AB4972">
        <v>23</v>
      </c>
      <c r="AC4972">
        <v>-57.7454999999999</v>
      </c>
      <c r="AD4972">
        <v>-1.1114264909309901</v>
      </c>
      <c r="AE4972">
        <v>3.20949999999999</v>
      </c>
      <c r="AF4972">
        <v>0.52112481472165395</v>
      </c>
      <c r="AG4972">
        <v>-1.1114264909309901</v>
      </c>
      <c r="AH4972">
        <v>57.810923878094101</v>
      </c>
      <c r="AI4972">
        <v>91.101342323421306</v>
      </c>
      <c r="AJ4972">
        <v>89.483532838025596</v>
      </c>
      <c r="AK4972">
        <v>57.823954893763997</v>
      </c>
      <c r="AL4972">
        <v>80.548173275193406</v>
      </c>
      <c r="AM4972">
        <v>95.935479372527894</v>
      </c>
      <c r="AN4972">
        <v>1.00000002325884</v>
      </c>
    </row>
    <row r="4973" spans="1:40" x14ac:dyDescent="0.25">
      <c r="A4973" t="str">
        <f>"20190304154856456"</f>
        <v>20190304154856456</v>
      </c>
      <c r="B4973" t="str">
        <f>"1551685736451878"</f>
        <v>1551685736451878</v>
      </c>
      <c r="C4973" t="s">
        <v>40</v>
      </c>
      <c r="D4973">
        <v>4.4425660000000002</v>
      </c>
      <c r="E4973">
        <v>0.53822579999999998</v>
      </c>
      <c r="F4973" t="s">
        <v>79</v>
      </c>
      <c r="G4973">
        <v>-282.53629999999998</v>
      </c>
      <c r="H4973" s="1">
        <v>-6.4281569999999996E-6</v>
      </c>
      <c r="I4973">
        <v>144.8262</v>
      </c>
      <c r="J4973">
        <v>-222.93639999999999</v>
      </c>
      <c r="K4973">
        <v>1.1115159999999999</v>
      </c>
      <c r="L4973">
        <v>141.58920000000001</v>
      </c>
      <c r="M4973">
        <v>-0.99891450000000004</v>
      </c>
      <c r="N4973">
        <v>-1.10814E-2</v>
      </c>
      <c r="O4973">
        <v>4.5246109999999999E-2</v>
      </c>
      <c r="P4973">
        <v>-0.9864404</v>
      </c>
      <c r="Q4973">
        <v>0.15397629999999901</v>
      </c>
      <c r="R4973">
        <v>-5.6808900000000002E-2</v>
      </c>
      <c r="S4973">
        <v>-3.059113</v>
      </c>
      <c r="T4973">
        <v>-5.6825399999999998E-2</v>
      </c>
      <c r="U4973">
        <v>0.1659851</v>
      </c>
      <c r="V4973">
        <v>-0.101741</v>
      </c>
      <c r="W4973">
        <v>0.1646397</v>
      </c>
      <c r="X4973">
        <v>0.98109250000000003</v>
      </c>
      <c r="Y4973">
        <v>8.9404289999999997E-3</v>
      </c>
      <c r="Z4973">
        <v>-2.054665E-4</v>
      </c>
      <c r="AA4973">
        <v>0.99995999999999996</v>
      </c>
      <c r="AB4973">
        <v>23</v>
      </c>
      <c r="AC4973">
        <v>-59.599899999999899</v>
      </c>
      <c r="AD4973">
        <v>-1.111522428157</v>
      </c>
      <c r="AE4973">
        <v>3.2369999999999899</v>
      </c>
      <c r="AF4973">
        <v>0.53666940694916698</v>
      </c>
      <c r="AG4973">
        <v>-1.111522428157</v>
      </c>
      <c r="AH4973">
        <v>59.664634043161598</v>
      </c>
      <c r="AI4973">
        <v>91.067225229383396</v>
      </c>
      <c r="AJ4973">
        <v>89.484651782573494</v>
      </c>
      <c r="AK4973">
        <v>59.677399840015298</v>
      </c>
      <c r="AL4973">
        <v>80.523695231983396</v>
      </c>
      <c r="AM4973">
        <v>95.920509436721503</v>
      </c>
      <c r="AN4973">
        <v>0.99999997772666904</v>
      </c>
    </row>
    <row r="4974" spans="1:40" x14ac:dyDescent="0.25">
      <c r="A4974" t="str">
        <f>"20190304154856479"</f>
        <v>20190304154856479</v>
      </c>
      <c r="B4974" t="str">
        <f>"1551685736472374"</f>
        <v>1551685736472374</v>
      </c>
      <c r="C4974" t="s">
        <v>40</v>
      </c>
      <c r="D4974">
        <v>4.4314539999999996</v>
      </c>
      <c r="E4974">
        <v>0.53790939999999998</v>
      </c>
      <c r="F4974" t="s">
        <v>79</v>
      </c>
      <c r="G4974">
        <v>-282.90609999999998</v>
      </c>
      <c r="H4974" s="1">
        <v>-6.5510210000000004E-6</v>
      </c>
      <c r="I4974">
        <v>144.69909999999999</v>
      </c>
      <c r="J4974">
        <v>-223.1626</v>
      </c>
      <c r="K4974">
        <v>1.111588</v>
      </c>
      <c r="L4974">
        <v>141.59799999999899</v>
      </c>
      <c r="M4974">
        <v>-0.99897499999999995</v>
      </c>
      <c r="N4974">
        <v>-1.105563E-2</v>
      </c>
      <c r="O4974">
        <v>4.3896930000000001E-2</v>
      </c>
      <c r="P4974">
        <v>-0.98633150000000003</v>
      </c>
      <c r="Q4974">
        <v>0.1543264</v>
      </c>
      <c r="R4974">
        <v>-5.7740229999999997E-2</v>
      </c>
      <c r="S4974">
        <v>-3.05925</v>
      </c>
      <c r="T4974">
        <v>-5.6702379999999997E-2</v>
      </c>
      <c r="U4974">
        <v>0.1586456</v>
      </c>
      <c r="V4974">
        <v>-0.1013684</v>
      </c>
      <c r="W4974">
        <v>0.16494729999999999</v>
      </c>
      <c r="X4974">
        <v>0.98107940000000005</v>
      </c>
      <c r="Y4974">
        <v>7.896531E-3</v>
      </c>
      <c r="Z4974">
        <v>-2.1052730000000001E-4</v>
      </c>
      <c r="AA4974">
        <v>0.99996879999999999</v>
      </c>
      <c r="AB4974">
        <v>23</v>
      </c>
      <c r="AC4974">
        <v>-59.743499999999898</v>
      </c>
      <c r="AD4974">
        <v>-1.1115945510209999</v>
      </c>
      <c r="AE4974">
        <v>3.1011000000000002</v>
      </c>
      <c r="AF4974">
        <v>0.47523006041716398</v>
      </c>
      <c r="AG4974">
        <v>-1.1115945510209999</v>
      </c>
      <c r="AH4974">
        <v>59.801394333351098</v>
      </c>
      <c r="AI4974">
        <v>91.064863670239802</v>
      </c>
      <c r="AJ4974">
        <v>89.544691158030005</v>
      </c>
      <c r="AK4974">
        <v>59.8136125833337</v>
      </c>
      <c r="AL4974">
        <v>80.505826743669303</v>
      </c>
      <c r="AM4974">
        <v>95.899058495494401</v>
      </c>
      <c r="AN4974">
        <v>0.99999997670010399</v>
      </c>
    </row>
    <row r="4975" spans="1:40" x14ac:dyDescent="0.25">
      <c r="A4975" t="str">
        <f>"20190304154856500"</f>
        <v>20190304154856500</v>
      </c>
      <c r="B4975" t="str">
        <f>"1551685736491899"</f>
        <v>1551685736491899</v>
      </c>
      <c r="C4975" t="s">
        <v>40</v>
      </c>
      <c r="D4975">
        <v>4.4390309999999999</v>
      </c>
      <c r="E4975">
        <v>0.53760959999999902</v>
      </c>
      <c r="F4975" t="s">
        <v>79</v>
      </c>
      <c r="G4975">
        <v>-283.30200000000002</v>
      </c>
      <c r="H4975" s="1">
        <v>-6.696025E-6</v>
      </c>
      <c r="I4975">
        <v>144.60470000000001</v>
      </c>
      <c r="J4975">
        <v>-223.38910000000001</v>
      </c>
      <c r="K4975">
        <v>1.111634</v>
      </c>
      <c r="L4975">
        <v>141.6063</v>
      </c>
      <c r="M4975">
        <v>-0.99903850000000005</v>
      </c>
      <c r="N4975">
        <v>-1.103089E-2</v>
      </c>
      <c r="O4975">
        <v>4.2432980000000002E-2</v>
      </c>
      <c r="P4975">
        <v>-0.98618410000000001</v>
      </c>
      <c r="Q4975">
        <v>0.15487699999999999</v>
      </c>
      <c r="R4975">
        <v>-5.8774899999999998E-2</v>
      </c>
      <c r="S4975">
        <v>-3.0593569999999999</v>
      </c>
      <c r="T4975">
        <v>-5.6548000000000001E-2</v>
      </c>
      <c r="U4975">
        <v>0.15295410000000001</v>
      </c>
      <c r="V4975">
        <v>-0.10097739999999999</v>
      </c>
      <c r="W4975">
        <v>0.16546179999999999</v>
      </c>
      <c r="X4975">
        <v>0.98103309999999999</v>
      </c>
      <c r="Y4975">
        <v>7.5046749999999997E-3</v>
      </c>
      <c r="Z4975">
        <v>-2.046335E-4</v>
      </c>
      <c r="AA4975">
        <v>0.99997179999999997</v>
      </c>
      <c r="AB4975">
        <v>23</v>
      </c>
      <c r="AC4975">
        <v>-59.9129</v>
      </c>
      <c r="AD4975">
        <v>-1.111640696025</v>
      </c>
      <c r="AE4975">
        <v>2.9984000000000002</v>
      </c>
      <c r="AF4975">
        <v>0.45310609427992299</v>
      </c>
      <c r="AG4975">
        <v>-1.111640696025</v>
      </c>
      <c r="AH4975">
        <v>59.9655773444196</v>
      </c>
      <c r="AI4975">
        <v>91.061996080071296</v>
      </c>
      <c r="AJ4975">
        <v>89.567075412916097</v>
      </c>
      <c r="AK4975">
        <v>59.977591785760303</v>
      </c>
      <c r="AL4975">
        <v>80.475937519835298</v>
      </c>
      <c r="AM4975">
        <v>95.876739481376902</v>
      </c>
      <c r="AN4975">
        <v>0.99999999293280495</v>
      </c>
    </row>
    <row r="4976" spans="1:40" x14ac:dyDescent="0.25">
      <c r="A4976" t="str">
        <f>"20190304154856524"</f>
        <v>20190304154856524</v>
      </c>
      <c r="B4976" t="str">
        <f>"1551685736512394"</f>
        <v>1551685736512394</v>
      </c>
      <c r="C4976" t="s">
        <v>40</v>
      </c>
      <c r="D4976">
        <v>4.4551600000000002</v>
      </c>
      <c r="E4976">
        <v>0.53731300000000004</v>
      </c>
      <c r="F4976" t="s">
        <v>79</v>
      </c>
      <c r="G4976">
        <v>-284.31869999999998</v>
      </c>
      <c r="H4976" s="1">
        <v>-7.1261030000000001E-6</v>
      </c>
      <c r="I4976">
        <v>144.54050000000001</v>
      </c>
      <c r="J4976">
        <v>-223.62530000000001</v>
      </c>
      <c r="K4976">
        <v>1.1116729999999999</v>
      </c>
      <c r="L4976">
        <v>141.61449999999999</v>
      </c>
      <c r="M4976">
        <v>-0.9991063</v>
      </c>
      <c r="N4976">
        <v>-1.10052E-2</v>
      </c>
      <c r="O4976">
        <v>4.0810890000000002E-2</v>
      </c>
      <c r="P4976">
        <v>-0.98610900000000001</v>
      </c>
      <c r="Q4976">
        <v>0.154910299999999</v>
      </c>
      <c r="R4976">
        <v>-5.993532E-2</v>
      </c>
      <c r="S4976">
        <v>-3.0595699999999999</v>
      </c>
      <c r="T4976">
        <v>-5.5820939999999999E-2</v>
      </c>
      <c r="U4976">
        <v>0.14733889999999999</v>
      </c>
      <c r="V4976">
        <v>-0.10055360000000001</v>
      </c>
      <c r="W4976">
        <v>0.16546179999999999</v>
      </c>
      <c r="X4976">
        <v>0.98107670000000002</v>
      </c>
      <c r="Y4976">
        <v>7.2939040000000004E-3</v>
      </c>
      <c r="Z4976">
        <v>-1.880184E-4</v>
      </c>
      <c r="AA4976">
        <v>0.99997340000000001</v>
      </c>
      <c r="AB4976">
        <v>23</v>
      </c>
      <c r="AC4976">
        <v>-60.693399999999897</v>
      </c>
      <c r="AD4976">
        <v>-1.1116801261029901</v>
      </c>
      <c r="AE4976">
        <v>2.9260000000000099</v>
      </c>
      <c r="AF4976">
        <v>0.44631100583299999</v>
      </c>
      <c r="AG4976">
        <v>-1.1116801261029901</v>
      </c>
      <c r="AH4976">
        <v>60.741918483229099</v>
      </c>
      <c r="AI4976">
        <v>91.048464588205803</v>
      </c>
      <c r="AJ4976">
        <v>89.579017629868602</v>
      </c>
      <c r="AK4976">
        <v>60.753729821632703</v>
      </c>
      <c r="AL4976">
        <v>80.475938188640797</v>
      </c>
      <c r="AM4976">
        <v>95.8519882019406</v>
      </c>
      <c r="AN4976">
        <v>1.00000006250754</v>
      </c>
    </row>
    <row r="4977" spans="1:40" x14ac:dyDescent="0.25">
      <c r="A4977" t="str">
        <f>"20190304154856543"</f>
        <v>20190304154856543</v>
      </c>
      <c r="B4977" t="str">
        <f>"1551685736531909"</f>
        <v>1551685736531909</v>
      </c>
      <c r="C4977" t="s">
        <v>40</v>
      </c>
      <c r="D4977">
        <v>4.5386199999999999</v>
      </c>
      <c r="E4977">
        <v>0.53708509999999998</v>
      </c>
      <c r="F4977" t="s">
        <v>79</v>
      </c>
      <c r="G4977">
        <v>-283.5736</v>
      </c>
      <c r="H4977" s="1">
        <v>-6.7444329999999996E-6</v>
      </c>
      <c r="I4977">
        <v>144.38200000000001</v>
      </c>
      <c r="J4977">
        <v>-223.83150000000001</v>
      </c>
      <c r="K4977">
        <v>1.111696</v>
      </c>
      <c r="L4977">
        <v>141.62139999999999</v>
      </c>
      <c r="M4977">
        <v>-0.99916570000000005</v>
      </c>
      <c r="N4977">
        <v>-1.098007E-2</v>
      </c>
      <c r="O4977">
        <v>3.9337650000000002E-2</v>
      </c>
      <c r="P4977">
        <v>-0.98598739999999996</v>
      </c>
      <c r="Q4977">
        <v>0.15525549999999999</v>
      </c>
      <c r="R4977">
        <v>-6.1029189999999997E-2</v>
      </c>
      <c r="S4977">
        <v>-3.0597530000000002</v>
      </c>
      <c r="T4977">
        <v>-5.6739930000000001E-2</v>
      </c>
      <c r="U4977">
        <v>0.1412506</v>
      </c>
      <c r="V4977">
        <v>-0.1002044</v>
      </c>
      <c r="W4977">
        <v>0.16577639999999999</v>
      </c>
      <c r="X4977">
        <v>0.98105929999999997</v>
      </c>
      <c r="Y4977">
        <v>6.780342E-3</v>
      </c>
      <c r="Z4977">
        <v>-1.9675979999999999E-4</v>
      </c>
      <c r="AA4977">
        <v>0.999977</v>
      </c>
      <c r="AB4977">
        <v>23</v>
      </c>
      <c r="AC4977">
        <v>-59.742099999999901</v>
      </c>
      <c r="AD4977">
        <v>-1.1117027444329901</v>
      </c>
      <c r="AE4977">
        <v>2.7606000000000099</v>
      </c>
      <c r="AF4977">
        <v>0.40806659641334098</v>
      </c>
      <c r="AG4977">
        <v>-1.1117027444329901</v>
      </c>
      <c r="AH4977">
        <v>59.783797311358299</v>
      </c>
      <c r="AI4977">
        <v>91.065289505072201</v>
      </c>
      <c r="AJ4977">
        <v>89.608921953851905</v>
      </c>
      <c r="AK4977">
        <v>59.795525102675199</v>
      </c>
      <c r="AL4977">
        <v>80.457660334585299</v>
      </c>
      <c r="AM4977">
        <v>95.831908597704995</v>
      </c>
      <c r="AN4977">
        <v>1.0000000433464</v>
      </c>
    </row>
    <row r="4978" spans="1:40" x14ac:dyDescent="0.25">
      <c r="A4978" t="str">
        <f>"20190304154856578"</f>
        <v>20190304154856578</v>
      </c>
      <c r="B4978" t="str">
        <f>"1551685736571926"</f>
        <v>1551685736571926</v>
      </c>
      <c r="C4978" t="s">
        <v>40</v>
      </c>
      <c r="D4978">
        <v>4.6119960000000004</v>
      </c>
      <c r="E4978">
        <v>0.53650010000000004</v>
      </c>
      <c r="F4978" t="s">
        <v>79</v>
      </c>
      <c r="G4978">
        <v>-283.97289999999998</v>
      </c>
      <c r="H4978" s="1">
        <v>-6.8922449999999996E-6</v>
      </c>
      <c r="I4978">
        <v>144.29169999999999</v>
      </c>
      <c r="J4978">
        <v>-224.18299999999999</v>
      </c>
      <c r="K4978">
        <v>1.111718</v>
      </c>
      <c r="L4978">
        <v>141.63220000000001</v>
      </c>
      <c r="M4978">
        <v>-0.99926409999999999</v>
      </c>
      <c r="N4978">
        <v>-1.0936980000000001E-2</v>
      </c>
      <c r="O4978">
        <v>3.6765140000000002E-2</v>
      </c>
      <c r="P4978">
        <v>-0.98558069999999998</v>
      </c>
      <c r="Q4978">
        <v>0.1564605</v>
      </c>
      <c r="R4978">
        <v>-6.4425979999999994E-2</v>
      </c>
      <c r="S4978">
        <v>-3.059952</v>
      </c>
      <c r="T4978">
        <v>-5.6562660000000001E-2</v>
      </c>
      <c r="U4978">
        <v>0.13586429999999999</v>
      </c>
      <c r="V4978">
        <v>-0.10106809999999999</v>
      </c>
      <c r="W4978">
        <v>0.16692650000000001</v>
      </c>
      <c r="X4978">
        <v>0.98077559999999997</v>
      </c>
      <c r="Y4978">
        <v>7.5949210000000001E-3</v>
      </c>
      <c r="Z4978">
        <v>-1.6518650000000001E-4</v>
      </c>
      <c r="AA4978">
        <v>0.99997119999999995</v>
      </c>
      <c r="AB4978">
        <v>23</v>
      </c>
      <c r="AC4978">
        <v>-59.789899999999903</v>
      </c>
      <c r="AD4978">
        <v>-1.111724892245</v>
      </c>
      <c r="AE4978">
        <v>2.65949999999998</v>
      </c>
      <c r="AF4978">
        <v>0.45922784202577699</v>
      </c>
      <c r="AG4978">
        <v>-1.111724892245</v>
      </c>
      <c r="AH4978">
        <v>59.826612860496198</v>
      </c>
      <c r="AI4978">
        <v>91.0645419366586</v>
      </c>
      <c r="AJ4978">
        <v>89.560207419852802</v>
      </c>
      <c r="AK4978">
        <v>59.838703435206597</v>
      </c>
      <c r="AL4978">
        <v>80.390832879382302</v>
      </c>
      <c r="AM4978">
        <v>95.883514564397501</v>
      </c>
      <c r="AN4978">
        <v>0.99999999739760903</v>
      </c>
    </row>
    <row r="4979" spans="1:40" x14ac:dyDescent="0.25">
      <c r="A4979" t="str">
        <f>"20190304154856601"</f>
        <v>20190304154856601</v>
      </c>
      <c r="B4979" t="str">
        <f>"1551685736592422"</f>
        <v>1551685736592422</v>
      </c>
      <c r="C4979" t="s">
        <v>40</v>
      </c>
      <c r="D4979">
        <v>4.4167239999999897</v>
      </c>
      <c r="E4979">
        <v>0.53627769999999997</v>
      </c>
      <c r="F4979" t="s">
        <v>79</v>
      </c>
      <c r="G4979">
        <v>-286.65550000000002</v>
      </c>
      <c r="H4979" s="1">
        <v>-8.326791E-6</v>
      </c>
      <c r="I4979">
        <v>144.10900000000001</v>
      </c>
      <c r="J4979">
        <v>-224.42089999999999</v>
      </c>
      <c r="K4979">
        <v>1.1117239999999999</v>
      </c>
      <c r="L4979">
        <v>141.63890000000001</v>
      </c>
      <c r="M4979">
        <v>-0.99932750000000004</v>
      </c>
      <c r="N4979">
        <v>-1.091171E-2</v>
      </c>
      <c r="O4979">
        <v>3.5008520000000001E-2</v>
      </c>
      <c r="P4979">
        <v>-0.98521239999999999</v>
      </c>
      <c r="Q4979">
        <v>0.1576236</v>
      </c>
      <c r="R4979">
        <v>-6.7167969999999994E-2</v>
      </c>
      <c r="S4979">
        <v>-3.0604550000000001</v>
      </c>
      <c r="T4979">
        <v>-5.4462190000000001E-2</v>
      </c>
      <c r="U4979">
        <v>0.121337899999999</v>
      </c>
      <c r="V4979">
        <v>-0.10207189999999999</v>
      </c>
      <c r="W4979">
        <v>0.16805800000000001</v>
      </c>
      <c r="X4979">
        <v>0.98047830000000002</v>
      </c>
      <c r="Y4979">
        <v>4.6081259999999997E-3</v>
      </c>
      <c r="Z4979">
        <v>-1.743805E-4</v>
      </c>
      <c r="AA4979">
        <v>0.99998940000000003</v>
      </c>
      <c r="AB4979">
        <v>23</v>
      </c>
      <c r="AC4979">
        <v>-62.2346</v>
      </c>
      <c r="AD4979">
        <v>-1.111732326791</v>
      </c>
      <c r="AE4979">
        <v>2.4701</v>
      </c>
      <c r="AF4979">
        <v>0.28962257514547401</v>
      </c>
      <c r="AG4979">
        <v>-1.111732326791</v>
      </c>
      <c r="AH4979">
        <v>62.263088850771801</v>
      </c>
      <c r="AI4979">
        <v>91.022919270450402</v>
      </c>
      <c r="AJ4979">
        <v>89.733485250554395</v>
      </c>
      <c r="AK4979">
        <v>62.273686764487998</v>
      </c>
      <c r="AL4979">
        <v>80.325073093462507</v>
      </c>
      <c r="AM4979">
        <v>95.943321850884701</v>
      </c>
      <c r="AN4979">
        <v>0.999999930452247</v>
      </c>
    </row>
    <row r="4980" spans="1:40" x14ac:dyDescent="0.25">
      <c r="A4980" t="str">
        <f>"20190304154856623"</f>
        <v>20190304154856623</v>
      </c>
      <c r="B4980" t="str">
        <f>"1551685736611942"</f>
        <v>1551685736611942</v>
      </c>
      <c r="C4980" t="s">
        <v>40</v>
      </c>
      <c r="D4980">
        <v>4.4231829999999999</v>
      </c>
      <c r="E4980">
        <v>0.53606149999999997</v>
      </c>
      <c r="F4980" t="s">
        <v>79</v>
      </c>
      <c r="G4980">
        <v>-290.38369999999998</v>
      </c>
      <c r="H4980" s="1">
        <v>-1.00968E-5</v>
      </c>
      <c r="I4980">
        <v>144.03479999999999</v>
      </c>
      <c r="J4980">
        <v>-224.6489</v>
      </c>
      <c r="K4980">
        <v>1.1117170000000001</v>
      </c>
      <c r="L4980">
        <v>141.64500000000001</v>
      </c>
      <c r="M4980">
        <v>-0.99938519999999997</v>
      </c>
      <c r="N4980">
        <v>-1.089009E-2</v>
      </c>
      <c r="O4980">
        <v>3.3326559999999998E-2</v>
      </c>
      <c r="P4980">
        <v>-0.9848654</v>
      </c>
      <c r="Q4980">
        <v>0.15850149999999999</v>
      </c>
      <c r="R4980">
        <v>-7.0125859999999998E-2</v>
      </c>
      <c r="S4980">
        <v>-3.060867</v>
      </c>
      <c r="T4980">
        <v>-5.1587699999999903E-2</v>
      </c>
      <c r="U4980">
        <v>0.1111755</v>
      </c>
      <c r="V4980">
        <v>-0.1033628</v>
      </c>
      <c r="W4980">
        <v>0.16891020000000001</v>
      </c>
      <c r="X4980">
        <v>0.98019670000000003</v>
      </c>
      <c r="Y4980">
        <v>2.9708059999999999E-3</v>
      </c>
      <c r="Z4980">
        <v>-1.57171E-4</v>
      </c>
      <c r="AA4980">
        <v>0.99999559999999998</v>
      </c>
      <c r="AB4980">
        <v>23</v>
      </c>
      <c r="AC4980">
        <v>-65.734799999999893</v>
      </c>
      <c r="AD4980">
        <v>-1.1117270967999999</v>
      </c>
      <c r="AE4980">
        <v>2.3897999999999802</v>
      </c>
      <c r="AF4980">
        <v>0.19757127467580901</v>
      </c>
      <c r="AG4980">
        <v>-1.1117270967999999</v>
      </c>
      <c r="AH4980">
        <v>65.759145562603706</v>
      </c>
      <c r="AI4980">
        <v>90.968548407566004</v>
      </c>
      <c r="AJ4980">
        <v>89.827857159121507</v>
      </c>
      <c r="AK4980">
        <v>65.768839100823698</v>
      </c>
      <c r="AL4980">
        <v>80.275538630516394</v>
      </c>
      <c r="AM4980">
        <v>96.019654860173901</v>
      </c>
      <c r="AN4980">
        <v>1.00000004738938</v>
      </c>
    </row>
    <row r="4981" spans="1:40" x14ac:dyDescent="0.25">
      <c r="A4981" t="str">
        <f>"20190304154856646"</f>
        <v>20190304154856646</v>
      </c>
      <c r="B4981" t="str">
        <f>"1551685736642198"</f>
        <v>1551685736642198</v>
      </c>
      <c r="C4981" t="s">
        <v>40</v>
      </c>
      <c r="D4981">
        <v>4.5685799999999999</v>
      </c>
      <c r="E4981">
        <v>0.53584209999999999</v>
      </c>
      <c r="F4981" t="s">
        <v>79</v>
      </c>
      <c r="G4981">
        <v>-292.96899999999999</v>
      </c>
      <c r="H4981" s="1">
        <v>-9.8027770000000008E-6</v>
      </c>
      <c r="I4981">
        <v>143.8854</v>
      </c>
      <c r="J4981">
        <v>-224.875</v>
      </c>
      <c r="K4981">
        <v>1.111699</v>
      </c>
      <c r="L4981">
        <v>141.6506</v>
      </c>
      <c r="M4981">
        <v>-0.99943950000000004</v>
      </c>
      <c r="N4981">
        <v>-1.086723E-2</v>
      </c>
      <c r="O4981">
        <v>3.1665440000000003E-2</v>
      </c>
      <c r="P4981">
        <v>-0.98462830000000001</v>
      </c>
      <c r="Q4981">
        <v>0.15874099999999999</v>
      </c>
      <c r="R4981">
        <v>-7.2858430000000002E-2</v>
      </c>
      <c r="S4981">
        <v>-3.061264</v>
      </c>
      <c r="T4981">
        <v>-4.9813870000000003E-2</v>
      </c>
      <c r="U4981">
        <v>0.10038759999999999</v>
      </c>
      <c r="V4981">
        <v>-0.10444970000000001</v>
      </c>
      <c r="W4981">
        <v>0.16912579999999999</v>
      </c>
      <c r="X4981">
        <v>0.98004420000000003</v>
      </c>
      <c r="Y4981">
        <v>1.1087099999999999E-3</v>
      </c>
      <c r="Z4981">
        <v>-1.558082E-4</v>
      </c>
      <c r="AA4981">
        <v>0.99999930000000004</v>
      </c>
      <c r="AB4981">
        <v>23</v>
      </c>
      <c r="AC4981">
        <v>-68.093999999999994</v>
      </c>
      <c r="AD4981">
        <v>-1.1117088027769999</v>
      </c>
      <c r="AE4981">
        <v>2.2347999999999999</v>
      </c>
      <c r="AF4981">
        <v>7.7304902253433103E-2</v>
      </c>
      <c r="AG4981">
        <v>-1.1117088027769999</v>
      </c>
      <c r="AH4981">
        <v>68.112483326525194</v>
      </c>
      <c r="AI4981">
        <v>90.935078609297904</v>
      </c>
      <c r="AJ4981">
        <v>89.934971645186593</v>
      </c>
      <c r="AK4981">
        <v>68.121599052108706</v>
      </c>
      <c r="AL4981">
        <v>80.263004435882806</v>
      </c>
      <c r="AM4981">
        <v>96.083421171185194</v>
      </c>
      <c r="AN4981">
        <v>0.99999995500468397</v>
      </c>
    </row>
    <row r="4982" spans="1:40" x14ac:dyDescent="0.25">
      <c r="A4982" t="str">
        <f>"20190304154856669"</f>
        <v>20190304154856669</v>
      </c>
      <c r="B4982" t="str">
        <f>"1551685736661718"</f>
        <v>1551685736661718</v>
      </c>
      <c r="C4982" t="s">
        <v>40</v>
      </c>
      <c r="D4982">
        <v>4.3703110000000001</v>
      </c>
      <c r="E4982">
        <v>0.53568329999999997</v>
      </c>
      <c r="F4982" t="s">
        <v>79</v>
      </c>
      <c r="G4982">
        <v>-292.72750000000002</v>
      </c>
      <c r="H4982" s="1">
        <v>-9.7624910000000005E-6</v>
      </c>
      <c r="I4982">
        <v>143.65190000000001</v>
      </c>
      <c r="J4982">
        <v>-225.11689999999999</v>
      </c>
      <c r="K4982">
        <v>1.111677</v>
      </c>
      <c r="L4982">
        <v>141.65629999999999</v>
      </c>
      <c r="M4982">
        <v>-0.99949410000000005</v>
      </c>
      <c r="N4982">
        <v>-1.083925E-2</v>
      </c>
      <c r="O4982">
        <v>2.9900220000000002E-2</v>
      </c>
      <c r="P4982">
        <v>-0.98456200000000005</v>
      </c>
      <c r="Q4982">
        <v>0.1580231</v>
      </c>
      <c r="R4982">
        <v>-7.5274320000000006E-2</v>
      </c>
      <c r="S4982">
        <v>-3.0616150000000002</v>
      </c>
      <c r="T4982">
        <v>-5.0162079999999998E-2</v>
      </c>
      <c r="U4982">
        <v>9.0301510000000001E-2</v>
      </c>
      <c r="V4982">
        <v>-0.1051193</v>
      </c>
      <c r="W4982">
        <v>0.1683837</v>
      </c>
      <c r="X4982">
        <v>0.98010050000000004</v>
      </c>
      <c r="Y4982">
        <v>-4.1970309999999998E-4</v>
      </c>
      <c r="Z4982">
        <v>-1.7125589999999999E-4</v>
      </c>
      <c r="AA4982">
        <v>0.99999990000000005</v>
      </c>
      <c r="AB4982">
        <v>23</v>
      </c>
      <c r="AC4982">
        <v>-67.610600000000005</v>
      </c>
      <c r="AD4982">
        <v>-1.1116867624910001</v>
      </c>
      <c r="AE4982">
        <v>1.99560000000002</v>
      </c>
      <c r="AF4982">
        <v>-2.69756872717721E-2</v>
      </c>
      <c r="AG4982">
        <v>-1.1116867624910001</v>
      </c>
      <c r="AH4982">
        <v>67.621773344375498</v>
      </c>
      <c r="AI4982">
        <v>90.941844825216293</v>
      </c>
      <c r="AJ4982">
        <v>90.022856439157195</v>
      </c>
      <c r="AK4982">
        <v>67.630916047202106</v>
      </c>
      <c r="AL4982">
        <v>80.306143382924105</v>
      </c>
      <c r="AM4982">
        <v>96.121776174737207</v>
      </c>
      <c r="AN4982">
        <v>1.0000000638792099</v>
      </c>
    </row>
    <row r="4983" spans="1:40" x14ac:dyDescent="0.25">
      <c r="A4983" t="str">
        <f>"20190304154856692"</f>
        <v>20190304154856692</v>
      </c>
      <c r="B4983" t="str">
        <f>"1551685736682215"</f>
        <v>1551685736682215</v>
      </c>
      <c r="C4983" t="s">
        <v>40</v>
      </c>
      <c r="D4983">
        <v>4.5134780000000001</v>
      </c>
      <c r="E4983">
        <v>0.53562359999999998</v>
      </c>
      <c r="F4983" t="s">
        <v>79</v>
      </c>
      <c r="G4983">
        <v>-288.98719999999997</v>
      </c>
      <c r="H4983" s="1">
        <v>-9.4455570000000005E-6</v>
      </c>
      <c r="I4983">
        <v>143.35759999999999</v>
      </c>
      <c r="J4983">
        <v>-225.35429999999999</v>
      </c>
      <c r="K4983">
        <v>1.1116549999999901</v>
      </c>
      <c r="L4983">
        <v>141.66139999999999</v>
      </c>
      <c r="M4983">
        <v>-0.9995444</v>
      </c>
      <c r="N4983">
        <v>-1.081231E-2</v>
      </c>
      <c r="O4983">
        <v>2.8182349999999998E-2</v>
      </c>
      <c r="P4983">
        <v>-0.98430379999999995</v>
      </c>
      <c r="Q4983">
        <v>0.15825139999999999</v>
      </c>
      <c r="R4983">
        <v>-7.8119289999999994E-2</v>
      </c>
      <c r="S4983">
        <v>-3.0618439999999998</v>
      </c>
      <c r="T4983">
        <v>-5.3292510000000001E-2</v>
      </c>
      <c r="U4983">
        <v>8.1558229999999995E-2</v>
      </c>
      <c r="V4983">
        <v>-0.10626289999999999</v>
      </c>
      <c r="W4983">
        <v>0.16858489999999901</v>
      </c>
      <c r="X4983">
        <v>0.97994250000000005</v>
      </c>
      <c r="Y4983">
        <v>-1.556064E-3</v>
      </c>
      <c r="Z4983">
        <v>-2.0753739999999999E-4</v>
      </c>
      <c r="AA4983">
        <v>0.99999870000000002</v>
      </c>
      <c r="AB4983">
        <v>23</v>
      </c>
      <c r="AC4983">
        <v>-63.6328999999999</v>
      </c>
      <c r="AD4983">
        <v>-1.1116644455569999</v>
      </c>
      <c r="AE4983">
        <v>1.6961999999999999</v>
      </c>
      <c r="AF4983">
        <v>-9.78733134910348E-2</v>
      </c>
      <c r="AG4983">
        <v>-1.1116644455569999</v>
      </c>
      <c r="AH4983">
        <v>63.636019770390803</v>
      </c>
      <c r="AI4983">
        <v>91.000803129159905</v>
      </c>
      <c r="AJ4983">
        <v>90.088121843392202</v>
      </c>
      <c r="AK4983">
        <v>63.645804176257997</v>
      </c>
      <c r="AL4983">
        <v>80.294447538732896</v>
      </c>
      <c r="AM4983">
        <v>96.188851436049703</v>
      </c>
      <c r="AN4983">
        <v>0.99999998786533495</v>
      </c>
    </row>
    <row r="4984" spans="1:40" x14ac:dyDescent="0.25">
      <c r="A4984" t="str">
        <f>"20190304154856712"</f>
        <v>20190304154856712</v>
      </c>
      <c r="B4984" t="str">
        <f>"1551685736701738"</f>
        <v>1551685736701738</v>
      </c>
      <c r="C4984" t="s">
        <v>40</v>
      </c>
      <c r="D4984">
        <v>4.4028660000000004</v>
      </c>
      <c r="E4984">
        <v>0.53564750000000005</v>
      </c>
      <c r="F4984" t="s">
        <v>79</v>
      </c>
      <c r="G4984">
        <v>-289.83710000000002</v>
      </c>
      <c r="H4984" s="1">
        <v>-9.8437700000000001E-6</v>
      </c>
      <c r="I4984">
        <v>143.18870000000001</v>
      </c>
      <c r="J4984">
        <v>-225.57079999999999</v>
      </c>
      <c r="K4984">
        <v>1.1116429999999999</v>
      </c>
      <c r="L4984">
        <v>141.66569999999999</v>
      </c>
      <c r="M4984">
        <v>-0.99958720000000001</v>
      </c>
      <c r="N4984">
        <v>-1.079105E-2</v>
      </c>
      <c r="O4984">
        <v>2.6627669999999999E-2</v>
      </c>
      <c r="P4984">
        <v>-0.98416159999999997</v>
      </c>
      <c r="Q4984">
        <v>0.1578349</v>
      </c>
      <c r="R4984">
        <v>-8.0710920000000005E-2</v>
      </c>
      <c r="S4984">
        <v>-3.0620729999999998</v>
      </c>
      <c r="T4984">
        <v>-5.2789210000000003E-2</v>
      </c>
      <c r="U4984">
        <v>7.2525019999999996E-2</v>
      </c>
      <c r="V4984">
        <v>-0.1073172</v>
      </c>
      <c r="W4984">
        <v>0.16814680000000001</v>
      </c>
      <c r="X4984">
        <v>0.97990290000000002</v>
      </c>
      <c r="Y4984">
        <v>-2.9505820000000002E-3</v>
      </c>
      <c r="Z4984">
        <v>-2.128815E-4</v>
      </c>
      <c r="AA4984">
        <v>0.99999559999999998</v>
      </c>
      <c r="AB4984">
        <v>23</v>
      </c>
      <c r="AC4984">
        <v>-64.266300000000001</v>
      </c>
      <c r="AD4984">
        <v>-1.11165284377</v>
      </c>
      <c r="AE4984">
        <v>1.5230000000000199</v>
      </c>
      <c r="AF4984">
        <v>-0.188845044958484</v>
      </c>
      <c r="AG4984">
        <v>-1.11165284377</v>
      </c>
      <c r="AH4984">
        <v>64.264848450295005</v>
      </c>
      <c r="AI4984">
        <v>90.990998831294107</v>
      </c>
      <c r="AJ4984">
        <v>90.168365648957106</v>
      </c>
      <c r="AK4984">
        <v>64.2747398348329</v>
      </c>
      <c r="AL4984">
        <v>80.319912563280894</v>
      </c>
      <c r="AM4984">
        <v>96.2500218822112</v>
      </c>
      <c r="AN4984">
        <v>1.00000001059724</v>
      </c>
    </row>
    <row r="4985" spans="1:40" x14ac:dyDescent="0.25">
      <c r="A4985" t="str">
        <f>"20190304154856733"</f>
        <v>20190304154856733</v>
      </c>
      <c r="B4985" t="str">
        <f>"1551685736722230"</f>
        <v>1551685736722230</v>
      </c>
      <c r="C4985" t="s">
        <v>40</v>
      </c>
      <c r="D4985">
        <v>4.247217</v>
      </c>
      <c r="E4985">
        <v>0.53525149999999999</v>
      </c>
      <c r="F4985" t="s">
        <v>79</v>
      </c>
      <c r="G4985">
        <v>-289.392</v>
      </c>
      <c r="H4985" s="1">
        <v>-9.5639069999999992E-6</v>
      </c>
      <c r="I4985">
        <v>143.01669999999999</v>
      </c>
      <c r="J4985">
        <v>-225.78739999999999</v>
      </c>
      <c r="K4985">
        <v>1.1116379999999999</v>
      </c>
      <c r="L4985">
        <v>141.66970000000001</v>
      </c>
      <c r="M4985">
        <v>-0.99962740000000005</v>
      </c>
      <c r="N4985">
        <v>-1.077242E-2</v>
      </c>
      <c r="O4985">
        <v>2.5080729999999999E-2</v>
      </c>
      <c r="P4985">
        <v>-0.98392749999999995</v>
      </c>
      <c r="Q4985">
        <v>0.15821650000000001</v>
      </c>
      <c r="R4985">
        <v>-8.2790539999999996E-2</v>
      </c>
      <c r="S4985">
        <v>-3.0621339999999999</v>
      </c>
      <c r="T4985">
        <v>-5.3336979999999999E-2</v>
      </c>
      <c r="U4985">
        <v>6.4819340000000003E-2</v>
      </c>
      <c r="V4985">
        <v>-0.1078697</v>
      </c>
      <c r="W4985">
        <v>0.1685092</v>
      </c>
      <c r="X4985">
        <v>0.97977999999999998</v>
      </c>
      <c r="Y4985">
        <v>-3.9184290000000002E-3</v>
      </c>
      <c r="Z4985">
        <v>-2.2175849999999999E-4</v>
      </c>
      <c r="AA4985">
        <v>0.99999229999999995</v>
      </c>
      <c r="AB4985">
        <v>23</v>
      </c>
      <c r="AC4985">
        <v>-63.604599999999998</v>
      </c>
      <c r="AD4985">
        <v>-1.11164756390699</v>
      </c>
      <c r="AE4985">
        <v>1.34699999999998</v>
      </c>
      <c r="AF4985">
        <v>-0.24869019132137399</v>
      </c>
      <c r="AG4985">
        <v>-1.11164756390699</v>
      </c>
      <c r="AH4985">
        <v>63.598956864096401</v>
      </c>
      <c r="AI4985">
        <v>91.001364564354603</v>
      </c>
      <c r="AJ4985">
        <v>90.224041815286299</v>
      </c>
      <c r="AK4985">
        <v>63.609157527189403</v>
      </c>
      <c r="AL4985">
        <v>80.298848247765093</v>
      </c>
      <c r="AM4985">
        <v>96.282723888869896</v>
      </c>
      <c r="AN4985">
        <v>1.0000000355313601</v>
      </c>
    </row>
    <row r="4986" spans="1:40" x14ac:dyDescent="0.25">
      <c r="A4986" t="str">
        <f>"20190304154856757"</f>
        <v>20190304154856757</v>
      </c>
      <c r="B4986" t="str">
        <f>"1551685736752217"</f>
        <v>1551685736752217</v>
      </c>
      <c r="C4986" t="s">
        <v>40</v>
      </c>
      <c r="D4986">
        <v>4.2426159999999999</v>
      </c>
      <c r="E4986">
        <v>0.53473139999999997</v>
      </c>
      <c r="F4986" t="s">
        <v>79</v>
      </c>
      <c r="G4986">
        <v>-291.40120000000002</v>
      </c>
      <c r="H4986" s="1">
        <v>-9.6739030000000005E-6</v>
      </c>
      <c r="I4986">
        <v>142.85399999999899</v>
      </c>
      <c r="J4986">
        <v>-226.02090000000001</v>
      </c>
      <c r="K4986">
        <v>1.1116330000000001</v>
      </c>
      <c r="L4986">
        <v>141.67359999999999</v>
      </c>
      <c r="M4986">
        <v>-0.99966790000000005</v>
      </c>
      <c r="N4986">
        <v>-1.075417E-2</v>
      </c>
      <c r="O4986">
        <v>2.3417049999999998E-2</v>
      </c>
      <c r="P4986">
        <v>-0.98381209999999997</v>
      </c>
      <c r="Q4986">
        <v>0.15822220000000001</v>
      </c>
      <c r="R4986">
        <v>-8.4139160000000005E-2</v>
      </c>
      <c r="S4986">
        <v>-3.0619960000000002</v>
      </c>
      <c r="T4986">
        <v>-5.1877260000000001E-2</v>
      </c>
      <c r="U4986">
        <v>5.5267330000000003E-2</v>
      </c>
      <c r="V4986">
        <v>-0.1075798</v>
      </c>
      <c r="W4986">
        <v>0.16849890000000001</v>
      </c>
      <c r="X4986">
        <v>0.97981359999999995</v>
      </c>
      <c r="Y4986">
        <v>-5.3713320000000004E-3</v>
      </c>
      <c r="Z4986">
        <v>-2.1917130000000001E-4</v>
      </c>
      <c r="AA4986">
        <v>0.99998560000000003</v>
      </c>
      <c r="AB4986">
        <v>23</v>
      </c>
      <c r="AC4986">
        <v>-65.380300000000005</v>
      </c>
      <c r="AD4986">
        <v>-1.1116426739030001</v>
      </c>
      <c r="AE4986">
        <v>1.1803999999999899</v>
      </c>
      <c r="AF4986">
        <v>-0.35092466134838002</v>
      </c>
      <c r="AG4986">
        <v>-1.1116426739030001</v>
      </c>
      <c r="AH4986">
        <v>65.371120506217196</v>
      </c>
      <c r="AI4986">
        <v>90.974212730051306</v>
      </c>
      <c r="AJ4986">
        <v>90.307571733976999</v>
      </c>
      <c r="AK4986">
        <v>65.381513394772099</v>
      </c>
      <c r="AL4986">
        <v>80.299446525984806</v>
      </c>
      <c r="AM4986">
        <v>96.265760378284199</v>
      </c>
      <c r="AN4986">
        <v>0.99999999170710496</v>
      </c>
    </row>
    <row r="4987" spans="1:40" x14ac:dyDescent="0.25">
      <c r="A4987" t="str">
        <f>"20190304154856779"</f>
        <v>20190304154856779</v>
      </c>
      <c r="B4987" t="str">
        <f>"1551685736771738"</f>
        <v>1551685736771738</v>
      </c>
      <c r="C4987" t="s">
        <v>40</v>
      </c>
      <c r="D4987">
        <v>4.2279019999999896</v>
      </c>
      <c r="E4987">
        <v>0.53444399999999903</v>
      </c>
      <c r="F4987" t="s">
        <v>79</v>
      </c>
      <c r="G4987">
        <v>-290.97789999999998</v>
      </c>
      <c r="H4987" s="1">
        <v>-9.6642639999999998E-6</v>
      </c>
      <c r="I4987">
        <v>142.66739999999999</v>
      </c>
      <c r="J4987">
        <v>-226.26009999999999</v>
      </c>
      <c r="K4987">
        <v>1.1116239999999999</v>
      </c>
      <c r="L4987">
        <v>141.6773</v>
      </c>
      <c r="M4987">
        <v>-0.9997066</v>
      </c>
      <c r="N4987">
        <v>-1.073554E-2</v>
      </c>
      <c r="O4987">
        <v>2.171352E-2</v>
      </c>
      <c r="P4987">
        <v>-0.98377170000000003</v>
      </c>
      <c r="Q4987">
        <v>0.157909299999999</v>
      </c>
      <c r="R4987">
        <v>-8.5192580000000004E-2</v>
      </c>
      <c r="S4987">
        <v>-3.061798</v>
      </c>
      <c r="T4987">
        <v>-5.2398090000000001E-2</v>
      </c>
      <c r="U4987">
        <v>4.6844480000000001E-2</v>
      </c>
      <c r="V4987">
        <v>-0.1069575</v>
      </c>
      <c r="W4987">
        <v>0.1681713</v>
      </c>
      <c r="X4987">
        <v>0.97993799999999998</v>
      </c>
      <c r="Y4987">
        <v>-6.4159969999999997E-3</v>
      </c>
      <c r="Z4987">
        <v>-2.2773110000000001E-4</v>
      </c>
      <c r="AA4987">
        <v>0.99997939999999996</v>
      </c>
      <c r="AB4987">
        <v>23</v>
      </c>
      <c r="AC4987">
        <v>-64.717799999999897</v>
      </c>
      <c r="AD4987">
        <v>-1.1116336642639999</v>
      </c>
      <c r="AE4987">
        <v>0.99009999999998399</v>
      </c>
      <c r="AF4987">
        <v>-0.41534316642783498</v>
      </c>
      <c r="AG4987">
        <v>-1.1116336642639999</v>
      </c>
      <c r="AH4987">
        <v>64.704953899739394</v>
      </c>
      <c r="AI4987">
        <v>90.984226655659</v>
      </c>
      <c r="AJ4987">
        <v>90.367778388059705</v>
      </c>
      <c r="AK4987">
        <v>64.715834990493804</v>
      </c>
      <c r="AL4987">
        <v>80.318488321406505</v>
      </c>
      <c r="AM4987">
        <v>96.229016987979904</v>
      </c>
      <c r="AN4987">
        <v>0.99999998839696902</v>
      </c>
    </row>
    <row r="4988" spans="1:40" x14ac:dyDescent="0.25">
      <c r="A4988" t="str">
        <f>"20190304154856801"</f>
        <v>20190304154856801</v>
      </c>
      <c r="B4988" t="str">
        <f>"1551685736792234"</f>
        <v>1551685736792234</v>
      </c>
      <c r="C4988" t="s">
        <v>40</v>
      </c>
      <c r="D4988">
        <v>4.3143549999999999</v>
      </c>
      <c r="E4988">
        <v>0.5341669</v>
      </c>
      <c r="F4988" t="s">
        <v>79</v>
      </c>
      <c r="G4988">
        <v>-290.01420000000002</v>
      </c>
      <c r="H4988" s="1">
        <v>-9.7258930000000004E-6</v>
      </c>
      <c r="I4988">
        <v>142.5479</v>
      </c>
      <c r="J4988">
        <v>-226.4933</v>
      </c>
      <c r="K4988">
        <v>1.111618</v>
      </c>
      <c r="L4988">
        <v>141.68039999999999</v>
      </c>
      <c r="M4988">
        <v>-0.99974160000000001</v>
      </c>
      <c r="N4988">
        <v>-1.0713800000000001E-2</v>
      </c>
      <c r="O4988">
        <v>2.0052609999999998E-2</v>
      </c>
      <c r="P4988">
        <v>-0.98387809999999998</v>
      </c>
      <c r="Q4988">
        <v>0.1570086</v>
      </c>
      <c r="R4988">
        <v>-8.5631209999999999E-2</v>
      </c>
      <c r="S4988">
        <v>-3.0616759999999998</v>
      </c>
      <c r="T4988">
        <v>-5.3384300000000003E-2</v>
      </c>
      <c r="U4988">
        <v>4.1809079999999998E-2</v>
      </c>
      <c r="V4988">
        <v>-0.10576339999999999</v>
      </c>
      <c r="W4988">
        <v>0.1672556</v>
      </c>
      <c r="X4988">
        <v>0.98022430000000005</v>
      </c>
      <c r="Y4988">
        <v>-6.3982700000000002E-3</v>
      </c>
      <c r="Z4988">
        <v>-2.247792E-4</v>
      </c>
      <c r="AA4988">
        <v>0.99997950000000002</v>
      </c>
      <c r="AB4988">
        <v>23</v>
      </c>
      <c r="AC4988">
        <v>-63.520899999999997</v>
      </c>
      <c r="AD4988">
        <v>-1.1116277258930001</v>
      </c>
      <c r="AE4988">
        <v>0.86750000000000604</v>
      </c>
      <c r="AF4988">
        <v>-0.40638286115739097</v>
      </c>
      <c r="AG4988">
        <v>-1.1116277258930001</v>
      </c>
      <c r="AH4988">
        <v>63.506077254794697</v>
      </c>
      <c r="AI4988">
        <v>91.002798037657797</v>
      </c>
      <c r="AJ4988">
        <v>90.366637430749904</v>
      </c>
      <c r="AK4988">
        <v>63.5171056607807</v>
      </c>
      <c r="AL4988">
        <v>80.3717080479625</v>
      </c>
      <c r="AM4988">
        <v>96.158226968597802</v>
      </c>
      <c r="AN4988">
        <v>1.0000000054107001</v>
      </c>
    </row>
    <row r="4989" spans="1:40" x14ac:dyDescent="0.25">
      <c r="A4989" t="str">
        <f>"20190304154856824"</f>
        <v>20190304154856824</v>
      </c>
      <c r="B4989" t="str">
        <f>"1551685736822491"</f>
        <v>1551685736822491</v>
      </c>
      <c r="C4989" t="s">
        <v>40</v>
      </c>
      <c r="D4989">
        <v>4.2069039999999998</v>
      </c>
      <c r="E4989">
        <v>0.53384259999999994</v>
      </c>
      <c r="F4989" t="s">
        <v>79</v>
      </c>
      <c r="G4989">
        <v>-286.68509999999998</v>
      </c>
      <c r="H4989" s="1">
        <v>-7.8013749999999995E-6</v>
      </c>
      <c r="I4989">
        <v>142.42830000000001</v>
      </c>
      <c r="J4989">
        <v>-226.7259</v>
      </c>
      <c r="K4989">
        <v>1.1116079999999999</v>
      </c>
      <c r="L4989">
        <v>141.6832</v>
      </c>
      <c r="M4989">
        <v>-0.99977369999999999</v>
      </c>
      <c r="N4989">
        <v>-1.06911E-2</v>
      </c>
      <c r="O4989">
        <v>1.839294E-2</v>
      </c>
      <c r="P4989">
        <v>-0.98402690000000004</v>
      </c>
      <c r="Q4989">
        <v>0.156278</v>
      </c>
      <c r="R4989">
        <v>-8.5256319999999997E-2</v>
      </c>
      <c r="S4989">
        <v>-3.0615230000000002</v>
      </c>
      <c r="T4989">
        <v>-5.654037E-2</v>
      </c>
      <c r="U4989">
        <v>3.8040160000000003E-2</v>
      </c>
      <c r="V4989">
        <v>-0.10375910000000001</v>
      </c>
      <c r="W4989">
        <v>0.16651179999999999</v>
      </c>
      <c r="X4989">
        <v>0.98056509999999997</v>
      </c>
      <c r="Y4989">
        <v>-5.9682310000000001E-3</v>
      </c>
      <c r="Z4989">
        <v>-2.2998389999999999E-4</v>
      </c>
      <c r="AA4989">
        <v>0.99998220000000004</v>
      </c>
      <c r="AB4989">
        <v>23</v>
      </c>
      <c r="AC4989">
        <v>-59.959199999999903</v>
      </c>
      <c r="AD4989">
        <v>-1.1116158013749999</v>
      </c>
      <c r="AE4989">
        <v>0.74510000000000698</v>
      </c>
      <c r="AF4989">
        <v>-0.35779207108864097</v>
      </c>
      <c r="AG4989">
        <v>-1.1116158013749999</v>
      </c>
      <c r="AH4989">
        <v>59.942161434978402</v>
      </c>
      <c r="AI4989">
        <v>91.062398457930598</v>
      </c>
      <c r="AJ4989">
        <v>90.341991874674804</v>
      </c>
      <c r="AK4989">
        <v>59.953535528382403</v>
      </c>
      <c r="AL4989">
        <v>80.414930948614696</v>
      </c>
      <c r="AM4989">
        <v>96.040310778879601</v>
      </c>
      <c r="AN4989">
        <v>1.0000000228550201</v>
      </c>
    </row>
    <row r="4990" spans="1:40" x14ac:dyDescent="0.25">
      <c r="A4990" t="str">
        <f>"20190304154856845"</f>
        <v>20190304154856845</v>
      </c>
      <c r="B4990" t="str">
        <f>"1551685736841792"</f>
        <v>1551685736841792</v>
      </c>
      <c r="C4990" t="s">
        <v>40</v>
      </c>
      <c r="D4990">
        <v>4.2242360000000003</v>
      </c>
      <c r="E4990">
        <v>0.53364739999999999</v>
      </c>
      <c r="F4990" t="s">
        <v>79</v>
      </c>
      <c r="G4990">
        <v>-284.11950000000002</v>
      </c>
      <c r="H4990" s="1">
        <v>-6.3322429999999901E-6</v>
      </c>
      <c r="I4990">
        <v>142.36009999999999</v>
      </c>
      <c r="J4990">
        <v>-226.95060000000001</v>
      </c>
      <c r="K4990">
        <v>1.111605</v>
      </c>
      <c r="L4990">
        <v>141.68549999999999</v>
      </c>
      <c r="M4990">
        <v>-0.99980230000000003</v>
      </c>
      <c r="N4990">
        <v>-1.0671419999999999E-2</v>
      </c>
      <c r="O4990">
        <v>1.678748E-2</v>
      </c>
      <c r="P4990">
        <v>-0.98415140000000001</v>
      </c>
      <c r="Q4990">
        <v>0.15545519999999999</v>
      </c>
      <c r="R4990">
        <v>-8.5322960000000003E-2</v>
      </c>
      <c r="S4990">
        <v>-3.0612490000000001</v>
      </c>
      <c r="T4990">
        <v>-5.9291009999999998E-2</v>
      </c>
      <c r="U4990">
        <v>3.6102290000000002E-2</v>
      </c>
      <c r="V4990">
        <v>-0.1022488</v>
      </c>
      <c r="W4990">
        <v>0.1656762</v>
      </c>
      <c r="X4990">
        <v>0.98086519999999999</v>
      </c>
      <c r="Y4990">
        <v>-4.9943390000000004E-3</v>
      </c>
      <c r="Z4990">
        <v>-2.2094789999999999E-4</v>
      </c>
      <c r="AA4990">
        <v>0.99998750000000003</v>
      </c>
      <c r="AB4990">
        <v>23</v>
      </c>
      <c r="AC4990">
        <v>-57.168900000000001</v>
      </c>
      <c r="AD4990">
        <v>-1.1116113322429999</v>
      </c>
      <c r="AE4990">
        <v>0.67459999999999798</v>
      </c>
      <c r="AF4990">
        <v>-0.28516352905815601</v>
      </c>
      <c r="AG4990">
        <v>-1.1116113322429999</v>
      </c>
      <c r="AH4990">
        <v>57.150563735524599</v>
      </c>
      <c r="AI4990">
        <v>91.114281487375905</v>
      </c>
      <c r="AJ4990">
        <v>90.285885738050794</v>
      </c>
      <c r="AK4990">
        <v>57.1620847527496</v>
      </c>
      <c r="AL4990">
        <v>80.463481267588506</v>
      </c>
      <c r="AM4990">
        <v>95.951216749733504</v>
      </c>
      <c r="AN4990">
        <v>0.99999998045945904</v>
      </c>
    </row>
    <row r="4991" spans="1:40" x14ac:dyDescent="0.25">
      <c r="A4991" t="str">
        <f>"20190304154856870"</f>
        <v>20190304154856870</v>
      </c>
      <c r="B4991" t="str">
        <f>"1551685736862288"</f>
        <v>1551685736862288</v>
      </c>
      <c r="C4991" t="s">
        <v>40</v>
      </c>
      <c r="D4991">
        <v>4.2200839999999999</v>
      </c>
      <c r="E4991">
        <v>0.53347789999999995</v>
      </c>
      <c r="F4991" t="s">
        <v>79</v>
      </c>
      <c r="G4991">
        <v>-281.64839999999998</v>
      </c>
      <c r="H4991" s="1">
        <v>-5.2150640000000001E-6</v>
      </c>
      <c r="I4991">
        <v>142.29409999999999</v>
      </c>
      <c r="J4991">
        <v>-227.1995</v>
      </c>
      <c r="K4991">
        <v>1.111591</v>
      </c>
      <c r="L4991">
        <v>141.68770000000001</v>
      </c>
      <c r="M4991">
        <v>-0.99983069999999996</v>
      </c>
      <c r="N4991">
        <v>-1.065264E-2</v>
      </c>
      <c r="O4991">
        <v>1.500742E-2</v>
      </c>
      <c r="P4991">
        <v>-0.98431999999999997</v>
      </c>
      <c r="Q4991">
        <v>0.15428599999999901</v>
      </c>
      <c r="R4991">
        <v>-8.5498740000000004E-2</v>
      </c>
      <c r="S4991">
        <v>-3.061096</v>
      </c>
      <c r="T4991">
        <v>-6.2209840000000002E-2</v>
      </c>
      <c r="U4991">
        <v>3.4057619999999997E-2</v>
      </c>
      <c r="V4991">
        <v>-0.1006753</v>
      </c>
      <c r="W4991">
        <v>0.16449620000000001</v>
      </c>
      <c r="X4991">
        <v>0.9812265</v>
      </c>
      <c r="Y4991">
        <v>-3.881406E-3</v>
      </c>
      <c r="Z4991">
        <v>-2.0518089999999999E-4</v>
      </c>
      <c r="AA4991">
        <v>0.9999924</v>
      </c>
      <c r="AB4991">
        <v>23</v>
      </c>
      <c r="AC4991">
        <v>-54.448899999999902</v>
      </c>
      <c r="AD4991">
        <v>-1.111596215064</v>
      </c>
      <c r="AE4991">
        <v>0.60639999999997896</v>
      </c>
      <c r="AF4991">
        <v>-0.21076429132889299</v>
      </c>
      <c r="AG4991">
        <v>-1.111596215064</v>
      </c>
      <c r="AH4991">
        <v>54.429185757764003</v>
      </c>
      <c r="AI4991">
        <v>91.169968664424005</v>
      </c>
      <c r="AJ4991">
        <v>90.221863396272994</v>
      </c>
      <c r="AK4991">
        <v>54.440943507483702</v>
      </c>
      <c r="AL4991">
        <v>80.532030848549695</v>
      </c>
      <c r="AM4991">
        <v>95.858133366609806</v>
      </c>
      <c r="AN4991">
        <v>0.99999998007338897</v>
      </c>
    </row>
    <row r="4992" spans="1:40" x14ac:dyDescent="0.25">
      <c r="A4992" t="str">
        <f>"20190304154856893"</f>
        <v>20190304154856893</v>
      </c>
      <c r="B4992" t="str">
        <f>"1551685736881807"</f>
        <v>1551685736881807</v>
      </c>
      <c r="C4992" t="s">
        <v>40</v>
      </c>
      <c r="D4992">
        <v>4.234032</v>
      </c>
      <c r="E4992">
        <v>0.53331669999999998</v>
      </c>
      <c r="F4992" t="s">
        <v>44</v>
      </c>
      <c r="G4992">
        <v>-278.74680000000001</v>
      </c>
      <c r="H4992" s="1">
        <v>-1.2142050000000001E-6</v>
      </c>
      <c r="I4992">
        <v>142.22540000000001</v>
      </c>
      <c r="J4992">
        <v>-227.4391</v>
      </c>
      <c r="K4992">
        <v>1.111583</v>
      </c>
      <c r="L4992">
        <v>141.6893</v>
      </c>
      <c r="M4992">
        <v>-0.9998551</v>
      </c>
      <c r="N4992">
        <v>-1.063644E-2</v>
      </c>
      <c r="O4992">
        <v>1.3293660000000001E-2</v>
      </c>
      <c r="P4992">
        <v>-0.98445530000000003</v>
      </c>
      <c r="Q4992">
        <v>0.1533197</v>
      </c>
      <c r="R4992">
        <v>-8.5681099999999996E-2</v>
      </c>
      <c r="S4992">
        <v>-3.060883</v>
      </c>
      <c r="T4992">
        <v>-6.6006540000000002E-2</v>
      </c>
      <c r="U4992">
        <v>3.1936649999999997E-2</v>
      </c>
      <c r="V4992">
        <v>-9.9172759999999999E-2</v>
      </c>
      <c r="W4992">
        <v>0.1635202</v>
      </c>
      <c r="X4992">
        <v>0.98154260000000004</v>
      </c>
      <c r="Y4992">
        <v>-2.8595930000000001E-3</v>
      </c>
      <c r="Z4992">
        <v>-1.9126470000000001E-4</v>
      </c>
      <c r="AA4992">
        <v>0.99999590000000005</v>
      </c>
      <c r="AB4992">
        <v>23</v>
      </c>
      <c r="AC4992">
        <v>-51.307699999999997</v>
      </c>
      <c r="AD4992">
        <v>-1.1115842142049901</v>
      </c>
      <c r="AE4992">
        <v>0.53610000000000402</v>
      </c>
      <c r="AF4992">
        <v>-0.14598454254372201</v>
      </c>
      <c r="AG4992">
        <v>-1.1115842142049901</v>
      </c>
      <c r="AH4992">
        <v>51.286223010768502</v>
      </c>
      <c r="AI4992">
        <v>91.241636685195004</v>
      </c>
      <c r="AJ4992">
        <v>90.163090106480098</v>
      </c>
      <c r="AK4992">
        <v>51.298475627080897</v>
      </c>
      <c r="AL4992">
        <v>80.588719186755299</v>
      </c>
      <c r="AM4992">
        <v>95.769451526345506</v>
      </c>
      <c r="AN4992">
        <v>0.99999998387440803</v>
      </c>
    </row>
    <row r="4993" spans="1:40" x14ac:dyDescent="0.25">
      <c r="A4993" t="str">
        <f>"20190304154856914"</f>
        <v>20190304154856914</v>
      </c>
      <c r="B4993" t="str">
        <f>"1551685736902304"</f>
        <v>1551685736902304</v>
      </c>
      <c r="C4993" t="s">
        <v>40</v>
      </c>
      <c r="D4993">
        <v>4.4348720000000004</v>
      </c>
      <c r="E4993">
        <v>0.53309419999999996</v>
      </c>
      <c r="F4993" t="s">
        <v>44</v>
      </c>
      <c r="G4993">
        <v>-276.61090000000002</v>
      </c>
      <c r="H4993" s="1">
        <v>-2.114743E-6</v>
      </c>
      <c r="I4993">
        <v>142.16630000000001</v>
      </c>
      <c r="J4993">
        <v>-227.6576</v>
      </c>
      <c r="K4993">
        <v>1.1115790000000001</v>
      </c>
      <c r="L4993">
        <v>141.69049999999999</v>
      </c>
      <c r="M4993">
        <v>-0.99987479999999995</v>
      </c>
      <c r="N4993">
        <v>-1.062309E-2</v>
      </c>
      <c r="O4993">
        <v>1.173428E-2</v>
      </c>
      <c r="P4993">
        <v>-0.98463959999999995</v>
      </c>
      <c r="Q4993">
        <v>0.15209230000000001</v>
      </c>
      <c r="R4993">
        <v>-8.5748749999999999E-2</v>
      </c>
      <c r="S4993">
        <v>-3.0607449999999998</v>
      </c>
      <c r="T4993">
        <v>-6.919169E-2</v>
      </c>
      <c r="U4993">
        <v>2.9693600000000001E-2</v>
      </c>
      <c r="V4993">
        <v>-9.7706319999999999E-2</v>
      </c>
      <c r="W4993">
        <v>0.16228709999999999</v>
      </c>
      <c r="X4993">
        <v>0.9818943</v>
      </c>
      <c r="Y4993">
        <v>-2.0324800000000001E-3</v>
      </c>
      <c r="Z4993">
        <v>-1.7433619999999999E-4</v>
      </c>
      <c r="AA4993">
        <v>0.9999979</v>
      </c>
      <c r="AB4993">
        <v>23</v>
      </c>
      <c r="AC4993">
        <v>-48.953299999999999</v>
      </c>
      <c r="AD4993">
        <v>-1.1115811147429999</v>
      </c>
      <c r="AE4993">
        <v>0.47580000000001998</v>
      </c>
      <c r="AF4993">
        <v>-9.8646002849972603E-2</v>
      </c>
      <c r="AG4993">
        <v>-1.1115811147429999</v>
      </c>
      <c r="AH4993">
        <v>48.930286327825598</v>
      </c>
      <c r="AI4993">
        <v>91.301398966390806</v>
      </c>
      <c r="AJ4993">
        <v>90.115511115831893</v>
      </c>
      <c r="AK4993">
        <v>48.943010366461202</v>
      </c>
      <c r="AL4993">
        <v>80.660327519250401</v>
      </c>
      <c r="AM4993">
        <v>95.682680320420403</v>
      </c>
      <c r="AN4993">
        <v>1.00000002208342</v>
      </c>
    </row>
    <row r="4994" spans="1:40" x14ac:dyDescent="0.25">
      <c r="A4994" t="str">
        <f>"20190304154856935"</f>
        <v>20190304154856935</v>
      </c>
      <c r="B4994" t="str">
        <f>"1551685736932150"</f>
        <v>1551685736932150</v>
      </c>
      <c r="C4994" t="s">
        <v>40</v>
      </c>
      <c r="D4994">
        <v>4.3103590000000001</v>
      </c>
      <c r="E4994">
        <v>0.5328138</v>
      </c>
      <c r="F4994" t="s">
        <v>44</v>
      </c>
      <c r="G4994">
        <v>-274.09840000000003</v>
      </c>
      <c r="H4994" s="1">
        <v>-3.175888E-6</v>
      </c>
      <c r="I4994">
        <v>142.1035</v>
      </c>
      <c r="J4994">
        <v>-227.8784</v>
      </c>
      <c r="K4994">
        <v>1.1115790000000001</v>
      </c>
      <c r="L4994">
        <v>141.69130000000001</v>
      </c>
      <c r="M4994">
        <v>-0.99989209999999995</v>
      </c>
      <c r="N4994">
        <v>-1.0610380000000001E-2</v>
      </c>
      <c r="O4994">
        <v>1.0163780000000001E-2</v>
      </c>
      <c r="P4994">
        <v>-0.98475100000000004</v>
      </c>
      <c r="Q4994">
        <v>0.15100569999999999</v>
      </c>
      <c r="R4994">
        <v>-8.6388419999999994E-2</v>
      </c>
      <c r="S4994">
        <v>-3.060486</v>
      </c>
      <c r="T4994">
        <v>-7.3254230000000004E-2</v>
      </c>
      <c r="U4994">
        <v>2.7221680000000002E-2</v>
      </c>
      <c r="V4994">
        <v>-9.6798679999999998E-2</v>
      </c>
      <c r="W4994">
        <v>0.161193</v>
      </c>
      <c r="X4994">
        <v>0.98216440000000005</v>
      </c>
      <c r="Y4994">
        <v>-1.2687690000000001E-3</v>
      </c>
      <c r="Z4994">
        <v>-1.5730759999999999E-4</v>
      </c>
      <c r="AA4994">
        <v>0.99999919999999998</v>
      </c>
      <c r="AB4994">
        <v>23</v>
      </c>
      <c r="AC4994">
        <v>-46.22</v>
      </c>
      <c r="AD4994">
        <v>-1.111582175888</v>
      </c>
      <c r="AE4994">
        <v>0.41219999999998402</v>
      </c>
      <c r="AF4994">
        <v>-5.7584324917632698E-2</v>
      </c>
      <c r="AG4994">
        <v>-1.111582175888</v>
      </c>
      <c r="AH4994">
        <v>46.195085292807697</v>
      </c>
      <c r="AI4994">
        <v>91.378428664694198</v>
      </c>
      <c r="AJ4994">
        <v>90.071421820179694</v>
      </c>
      <c r="AK4994">
        <v>46.208493116504101</v>
      </c>
      <c r="AL4994">
        <v>80.723851375462303</v>
      </c>
      <c r="AM4994">
        <v>95.628693577600799</v>
      </c>
      <c r="AN4994">
        <v>1.0000000381630501</v>
      </c>
    </row>
    <row r="4995" spans="1:40" x14ac:dyDescent="0.25">
      <c r="A4995" t="str">
        <f>"20190304154856958"</f>
        <v>20190304154856958</v>
      </c>
      <c r="B4995" t="str">
        <f>"1551685736951652"</f>
        <v>1551685736951652</v>
      </c>
      <c r="C4995" t="s">
        <v>40</v>
      </c>
      <c r="D4995">
        <v>4.2311430000000003</v>
      </c>
      <c r="E4995">
        <v>0.53264080000000003</v>
      </c>
      <c r="F4995" t="s">
        <v>44</v>
      </c>
      <c r="G4995">
        <v>-272.0154</v>
      </c>
      <c r="H4995" s="1">
        <v>-4.0145110000000004E-6</v>
      </c>
      <c r="I4995">
        <v>142.00829999999999</v>
      </c>
      <c r="J4995">
        <v>-228.1216</v>
      </c>
      <c r="K4995">
        <v>1.1115699999999999</v>
      </c>
      <c r="L4995">
        <v>141.6918</v>
      </c>
      <c r="M4995">
        <v>-0.99990840000000003</v>
      </c>
      <c r="N4995">
        <v>-1.0590759999999999E-2</v>
      </c>
      <c r="O4995">
        <v>8.4503619999999995E-3</v>
      </c>
      <c r="P4995">
        <v>-0.98468719999999998</v>
      </c>
      <c r="Q4995">
        <v>0.15080669999999999</v>
      </c>
      <c r="R4995">
        <v>-8.7458220000000003E-2</v>
      </c>
      <c r="S4995">
        <v>-3.060181</v>
      </c>
      <c r="T4995">
        <v>-7.7070360000000004E-2</v>
      </c>
      <c r="U4995">
        <v>2.1987920000000001E-2</v>
      </c>
      <c r="V4995">
        <v>-9.6179210000000001E-2</v>
      </c>
      <c r="W4995">
        <v>0.1609785</v>
      </c>
      <c r="X4995">
        <v>0.98226040000000003</v>
      </c>
      <c r="Y4995">
        <v>-1.26442E-3</v>
      </c>
      <c r="Z4995">
        <v>-1.4590800000000001E-4</v>
      </c>
      <c r="AA4995">
        <v>0.99999919999999998</v>
      </c>
      <c r="AB4995">
        <v>23</v>
      </c>
      <c r="AC4995">
        <v>-43.893799999999999</v>
      </c>
      <c r="AD4995">
        <v>-1.111574014511</v>
      </c>
      <c r="AE4995">
        <v>0.31649999999999001</v>
      </c>
      <c r="AF4995">
        <v>-5.4415638690819099E-2</v>
      </c>
      <c r="AG4995">
        <v>-1.111574014511</v>
      </c>
      <c r="AH4995">
        <v>43.866776392951202</v>
      </c>
      <c r="AI4995">
        <v>91.451550116464603</v>
      </c>
      <c r="AJ4995">
        <v>90.071073944649399</v>
      </c>
      <c r="AK4995">
        <v>43.880891387489498</v>
      </c>
      <c r="AL4995">
        <v>80.7363036413023</v>
      </c>
      <c r="AM4995">
        <v>95.592358318338199</v>
      </c>
      <c r="AN4995">
        <v>1.00000000565331</v>
      </c>
    </row>
    <row r="4996" spans="1:40" x14ac:dyDescent="0.25">
      <c r="A4996" t="str">
        <f>"20190304154856980"</f>
        <v>20190304154856980</v>
      </c>
      <c r="B4996" t="str">
        <f>"1551685736972147"</f>
        <v>1551685736972147</v>
      </c>
      <c r="C4996" t="s">
        <v>40</v>
      </c>
      <c r="D4996">
        <v>4.4161409999999997</v>
      </c>
      <c r="E4996">
        <v>0.53244159999999996</v>
      </c>
      <c r="F4996" t="s">
        <v>44</v>
      </c>
      <c r="G4996">
        <v>-271.8698</v>
      </c>
      <c r="H4996" s="1">
        <v>-4.0511360000000002E-6</v>
      </c>
      <c r="I4996">
        <v>141.93559999999999</v>
      </c>
      <c r="J4996">
        <v>-228.36080000000001</v>
      </c>
      <c r="K4996">
        <v>1.1115569999999999</v>
      </c>
      <c r="L4996">
        <v>141.6919</v>
      </c>
      <c r="M4996">
        <v>-0.99992119999999995</v>
      </c>
      <c r="N4996">
        <v>-1.0561060000000001E-2</v>
      </c>
      <c r="O4996">
        <v>6.7944329999999999E-3</v>
      </c>
      <c r="P4996">
        <v>-0.98439940000000004</v>
      </c>
      <c r="Q4996">
        <v>0.15148439999999999</v>
      </c>
      <c r="R4996">
        <v>-8.9501659999999997E-2</v>
      </c>
      <c r="S4996">
        <v>-3.0600890000000001</v>
      </c>
      <c r="T4996">
        <v>-7.7752230000000006E-2</v>
      </c>
      <c r="U4996">
        <v>1.7059330000000001E-2</v>
      </c>
      <c r="V4996">
        <v>-9.6586599999999995E-2</v>
      </c>
      <c r="W4996">
        <v>0.16162839999999901</v>
      </c>
      <c r="X4996">
        <v>0.98211369999999998</v>
      </c>
      <c r="Y4996">
        <v>-1.2188349999999999E-3</v>
      </c>
      <c r="Z4996">
        <v>-1.227729E-4</v>
      </c>
      <c r="AA4996">
        <v>0.99999919999999998</v>
      </c>
      <c r="AB4996">
        <v>23</v>
      </c>
      <c r="AC4996">
        <v>-43.508999999999901</v>
      </c>
      <c r="AD4996">
        <v>-1.1115610511359999</v>
      </c>
      <c r="AE4996">
        <v>0.24369999999998901</v>
      </c>
      <c r="AF4996">
        <v>-5.1907204555433101E-2</v>
      </c>
      <c r="AG4996">
        <v>-1.1115610511359999</v>
      </c>
      <c r="AH4996">
        <v>43.481272492288298</v>
      </c>
      <c r="AI4996">
        <v>91.464396957406507</v>
      </c>
      <c r="AJ4996">
        <v>90.0683986959001</v>
      </c>
      <c r="AK4996">
        <v>43.495509192063899</v>
      </c>
      <c r="AL4996">
        <v>80.698573116944999</v>
      </c>
      <c r="AM4996">
        <v>95.616728472429401</v>
      </c>
      <c r="AN4996">
        <v>1.0000000153569</v>
      </c>
    </row>
    <row r="4997" spans="1:40" x14ac:dyDescent="0.25">
      <c r="A4997" t="str">
        <f>"20190304154857003"</f>
        <v>20190304154857003</v>
      </c>
      <c r="B4997" t="str">
        <f>"1551685736991670"</f>
        <v>1551685736991670</v>
      </c>
      <c r="C4997" t="s">
        <v>40</v>
      </c>
      <c r="D4997">
        <v>4.2698410000000004</v>
      </c>
      <c r="E4997">
        <v>0.53229479999999996</v>
      </c>
      <c r="F4997" t="s">
        <v>44</v>
      </c>
      <c r="G4997">
        <v>-273.47379999999998</v>
      </c>
      <c r="H4997" s="1">
        <v>-3.3697830000000001E-6</v>
      </c>
      <c r="I4997">
        <v>141.8252</v>
      </c>
      <c r="J4997">
        <v>-228.59479999999999</v>
      </c>
      <c r="K4997">
        <v>1.111518</v>
      </c>
      <c r="L4997">
        <v>141.6917</v>
      </c>
      <c r="M4997">
        <v>-0.99993100000000001</v>
      </c>
      <c r="N4997">
        <v>-1.052471E-2</v>
      </c>
      <c r="O4997">
        <v>5.2160139999999997E-3</v>
      </c>
      <c r="P4997">
        <v>-0.98414420000000002</v>
      </c>
      <c r="Q4997">
        <v>0.15192320000000001</v>
      </c>
      <c r="R4997">
        <v>-9.1542390000000001E-2</v>
      </c>
      <c r="S4997">
        <v>-3.059952</v>
      </c>
      <c r="T4997">
        <v>-7.5395580000000004E-2</v>
      </c>
      <c r="U4997">
        <v>9.0484620000000002E-3</v>
      </c>
      <c r="V4997">
        <v>-9.7063300000000005E-2</v>
      </c>
      <c r="W4997">
        <v>0.1620354</v>
      </c>
      <c r="X4997">
        <v>0.98199959999999997</v>
      </c>
      <c r="Y4997">
        <v>-2.257776E-3</v>
      </c>
      <c r="Z4997">
        <v>-1.133005E-4</v>
      </c>
      <c r="AA4997">
        <v>0.99999740000000004</v>
      </c>
      <c r="AB4997">
        <v>24</v>
      </c>
      <c r="AC4997">
        <v>-44.878999999999898</v>
      </c>
      <c r="AD4997">
        <v>-1.111521369783</v>
      </c>
      <c r="AE4997">
        <v>0.13349999999999701</v>
      </c>
      <c r="AF4997">
        <v>-0.10054260378445699</v>
      </c>
      <c r="AG4997">
        <v>-1.111521369783</v>
      </c>
      <c r="AH4997">
        <v>44.851573736095801</v>
      </c>
      <c r="AI4997">
        <v>91.419622217397901</v>
      </c>
      <c r="AJ4997">
        <v>90.128438240377406</v>
      </c>
      <c r="AK4997">
        <v>44.865457260292096</v>
      </c>
      <c r="AL4997">
        <v>80.674941952550597</v>
      </c>
      <c r="AM4997">
        <v>95.6449226698209</v>
      </c>
      <c r="AN4997">
        <v>0.99999998473010399</v>
      </c>
    </row>
    <row r="4998" spans="1:40" x14ac:dyDescent="0.25">
      <c r="A4998" t="str">
        <f>"20190304154857024"</f>
        <v>20190304154857024</v>
      </c>
      <c r="B4998" t="str">
        <f>"1551685737021923"</f>
        <v>1551685737021923</v>
      </c>
      <c r="C4998" t="s">
        <v>40</v>
      </c>
      <c r="D4998">
        <v>4.216774</v>
      </c>
      <c r="E4998">
        <v>0.53222689999999995</v>
      </c>
      <c r="F4998" t="s">
        <v>44</v>
      </c>
      <c r="G4998">
        <v>-274.62419999999997</v>
      </c>
      <c r="H4998" s="1">
        <v>-2.8456010000000002E-6</v>
      </c>
      <c r="I4998">
        <v>141.7099</v>
      </c>
      <c r="J4998">
        <v>-228.82570000000001</v>
      </c>
      <c r="K4998">
        <v>1.1114679999999999</v>
      </c>
      <c r="L4998">
        <v>141.69110000000001</v>
      </c>
      <c r="M4998">
        <v>-0.9999382</v>
      </c>
      <c r="N4998">
        <v>-1.0485589999999999E-2</v>
      </c>
      <c r="O4998">
        <v>3.713474E-3</v>
      </c>
      <c r="P4998">
        <v>-0.98406439999999995</v>
      </c>
      <c r="Q4998">
        <v>0.15141949999999901</v>
      </c>
      <c r="R4998">
        <v>-9.3220319999999995E-2</v>
      </c>
      <c r="S4998">
        <v>-3.0598450000000001</v>
      </c>
      <c r="T4998">
        <v>-7.3889259999999998E-2</v>
      </c>
      <c r="U4998">
        <v>1.2207030000000001E-3</v>
      </c>
      <c r="V4998">
        <v>-9.7247059999999996E-2</v>
      </c>
      <c r="W4998">
        <v>0.161501799999999</v>
      </c>
      <c r="X4998">
        <v>0.98206930000000003</v>
      </c>
      <c r="Y4998">
        <v>-3.3130059999999999E-3</v>
      </c>
      <c r="Z4998">
        <v>-1.08093E-4</v>
      </c>
      <c r="AA4998">
        <v>0.99999450000000001</v>
      </c>
      <c r="AB4998">
        <v>24</v>
      </c>
      <c r="AC4998">
        <v>-45.798499999999898</v>
      </c>
      <c r="AD4998">
        <v>-1.1114708456010001</v>
      </c>
      <c r="AE4998">
        <v>1.87999999999988E-2</v>
      </c>
      <c r="AF4998">
        <v>-0.151191959250879</v>
      </c>
      <c r="AG4998">
        <v>-1.1114708456010001</v>
      </c>
      <c r="AH4998">
        <v>45.771296058473297</v>
      </c>
      <c r="AI4998">
        <v>91.391040541541003</v>
      </c>
      <c r="AJ4998">
        <v>90.189258998564597</v>
      </c>
      <c r="AK4998">
        <v>45.785038706127303</v>
      </c>
      <c r="AL4998">
        <v>80.705922866798403</v>
      </c>
      <c r="AM4998">
        <v>95.6551416199692</v>
      </c>
      <c r="AN4998">
        <v>0.99999996604218599</v>
      </c>
    </row>
    <row r="4999" spans="1:40" x14ac:dyDescent="0.25">
      <c r="A4999" t="str">
        <f>"20190304154857047"</f>
        <v>20190304154857047</v>
      </c>
      <c r="B4999" t="str">
        <f>"1551685737042419"</f>
        <v>1551685737042419</v>
      </c>
      <c r="C4999" t="s">
        <v>40</v>
      </c>
      <c r="D4999">
        <v>4.1720550000000003</v>
      </c>
      <c r="E4999">
        <v>0.53235500000000002</v>
      </c>
      <c r="F4999" t="s">
        <v>44</v>
      </c>
      <c r="G4999">
        <v>-274.48349999999999</v>
      </c>
      <c r="H4999" s="1">
        <v>-2.8834580000000001E-6</v>
      </c>
      <c r="I4999">
        <v>141.62530000000001</v>
      </c>
      <c r="J4999">
        <v>-229.0575</v>
      </c>
      <c r="K4999">
        <v>1.11141</v>
      </c>
      <c r="L4999">
        <v>141.69030000000001</v>
      </c>
      <c r="M4999">
        <v>-0.99994300000000003</v>
      </c>
      <c r="N4999">
        <v>-1.044075E-2</v>
      </c>
      <c r="O4999">
        <v>2.2742859999999999E-3</v>
      </c>
      <c r="P4999">
        <v>-0.98406530000000003</v>
      </c>
      <c r="Q4999">
        <v>0.15029799999999999</v>
      </c>
      <c r="R4999">
        <v>-9.5006530000000006E-2</v>
      </c>
      <c r="S4999">
        <v>-3.0596160000000001</v>
      </c>
      <c r="T4999">
        <v>-7.448196E-2</v>
      </c>
      <c r="U4999">
        <v>-4.4097900000000002E-3</v>
      </c>
      <c r="V4999">
        <v>-9.7597199999999995E-2</v>
      </c>
      <c r="W4999">
        <v>0.16034779999999901</v>
      </c>
      <c r="X4999">
        <v>0.98222370000000003</v>
      </c>
      <c r="Y4999">
        <v>-3.7138990000000001E-3</v>
      </c>
      <c r="Z4999" s="1">
        <v>-9.6202749999999996E-5</v>
      </c>
      <c r="AA4999">
        <v>0.99999309999999997</v>
      </c>
      <c r="AB4999">
        <v>24</v>
      </c>
      <c r="AC4999">
        <v>-45.425999999999902</v>
      </c>
      <c r="AD4999">
        <v>-1.1114128834579999</v>
      </c>
      <c r="AE4999">
        <v>-6.4999999999997699E-2</v>
      </c>
      <c r="AF4999">
        <v>-0.16821647422160099</v>
      </c>
      <c r="AG4999">
        <v>-1.1114128834579999</v>
      </c>
      <c r="AH4999">
        <v>45.398558826429998</v>
      </c>
      <c r="AI4999">
        <v>91.402381820273902</v>
      </c>
      <c r="AJ4999">
        <v>90.212298587409407</v>
      </c>
      <c r="AK4999">
        <v>45.4124727238733</v>
      </c>
      <c r="AL4999">
        <v>80.772915780579297</v>
      </c>
      <c r="AM4999">
        <v>95.674484068523498</v>
      </c>
      <c r="AN4999">
        <v>1.0000000136271801</v>
      </c>
    </row>
    <row r="5000" spans="1:40" x14ac:dyDescent="0.25">
      <c r="A5000" t="str">
        <f>"20190304154857070"</f>
        <v>20190304154857070</v>
      </c>
      <c r="B5000" t="str">
        <f>"1551685737061940"</f>
        <v>1551685737061940</v>
      </c>
      <c r="C5000" t="s">
        <v>40</v>
      </c>
      <c r="D5000">
        <v>4.1799980000000003</v>
      </c>
      <c r="E5000">
        <v>0.53249429999999998</v>
      </c>
      <c r="F5000" t="s">
        <v>44</v>
      </c>
      <c r="G5000">
        <v>-273.44409999999999</v>
      </c>
      <c r="H5000" s="1">
        <v>-3.3134249999999898E-6</v>
      </c>
      <c r="I5000">
        <v>141.56540000000001</v>
      </c>
      <c r="J5000">
        <v>-229.3015</v>
      </c>
      <c r="K5000">
        <v>1.1113470000000001</v>
      </c>
      <c r="L5000">
        <v>141.6892</v>
      </c>
      <c r="M5000">
        <v>-0.99994570000000005</v>
      </c>
      <c r="N5000">
        <v>-1.038904E-2</v>
      </c>
      <c r="O5000">
        <v>8.427819E-4</v>
      </c>
      <c r="P5000">
        <v>-0.98394879999999996</v>
      </c>
      <c r="Q5000">
        <v>0.14988969999999999</v>
      </c>
      <c r="R5000">
        <v>-9.6841280000000002E-2</v>
      </c>
      <c r="S5000">
        <v>-3.0594480000000002</v>
      </c>
      <c r="T5000">
        <v>-7.6606869999999994E-2</v>
      </c>
      <c r="U5000">
        <v>-8.6059569999999991E-3</v>
      </c>
      <c r="V5000">
        <v>-9.8000149999999994E-2</v>
      </c>
      <c r="W5000">
        <v>0.1599016</v>
      </c>
      <c r="X5000">
        <v>0.98225629999999997</v>
      </c>
      <c r="Y5000">
        <v>-3.6540119999999999E-3</v>
      </c>
      <c r="Z5000" s="1">
        <v>-7.7069879999999997E-5</v>
      </c>
      <c r="AA5000">
        <v>0.99999329999999997</v>
      </c>
      <c r="AB5000">
        <v>24</v>
      </c>
      <c r="AC5000">
        <v>-44.142599999999902</v>
      </c>
      <c r="AD5000">
        <v>-1.11135031342499</v>
      </c>
      <c r="AE5000">
        <v>-0.123799999999988</v>
      </c>
      <c r="AF5000">
        <v>-0.16090256012273299</v>
      </c>
      <c r="AG5000">
        <v>-1.11135031342499</v>
      </c>
      <c r="AH5000">
        <v>44.114518235243501</v>
      </c>
      <c r="AI5000">
        <v>91.443103000599606</v>
      </c>
      <c r="AJ5000">
        <v>90.2089787465776</v>
      </c>
      <c r="AK5000">
        <v>44.128808144800701</v>
      </c>
      <c r="AL5000">
        <v>80.798815171680403</v>
      </c>
      <c r="AM5000">
        <v>95.697570638729303</v>
      </c>
      <c r="AN5000">
        <v>0.99999999498613601</v>
      </c>
    </row>
    <row r="5001" spans="1:40" x14ac:dyDescent="0.25">
      <c r="A5001" t="str">
        <f>"20190304154857095"</f>
        <v>20190304154857095</v>
      </c>
      <c r="B5001" t="str">
        <f>"1551685737092195"</f>
        <v>1551685737092195</v>
      </c>
      <c r="C5001" t="s">
        <v>40</v>
      </c>
      <c r="D5001">
        <v>4.1827319999999997</v>
      </c>
      <c r="E5001">
        <v>0.53272569999999997</v>
      </c>
      <c r="F5001" t="s">
        <v>44</v>
      </c>
      <c r="G5001">
        <v>-273.7176</v>
      </c>
      <c r="H5001" s="1">
        <v>-3.1785149999999999E-6</v>
      </c>
      <c r="I5001">
        <v>141.49930000000001</v>
      </c>
      <c r="J5001">
        <v>-229.55850000000001</v>
      </c>
      <c r="K5001">
        <v>1.111273</v>
      </c>
      <c r="L5001">
        <v>141.68780000000001</v>
      </c>
      <c r="M5001">
        <v>-0.99994660000000002</v>
      </c>
      <c r="N5001">
        <v>-1.033043E-2</v>
      </c>
      <c r="O5001">
        <v>-5.5432210000000003E-4</v>
      </c>
      <c r="P5001">
        <v>-0.98383810000000005</v>
      </c>
      <c r="Q5001">
        <v>0.14940049999999999</v>
      </c>
      <c r="R5001">
        <v>-9.8702090000000006E-2</v>
      </c>
      <c r="S5001">
        <v>-3.0593110000000001</v>
      </c>
      <c r="T5001">
        <v>-7.654822E-2</v>
      </c>
      <c r="U5001">
        <v>-1.307678E-2</v>
      </c>
      <c r="V5001">
        <v>-9.8460699999999998E-2</v>
      </c>
      <c r="W5001">
        <v>0.15936919999999999</v>
      </c>
      <c r="X5001">
        <v>0.98229679999999997</v>
      </c>
      <c r="Y5001">
        <v>-3.7184499999999999E-3</v>
      </c>
      <c r="Z5001" s="1">
        <v>-5.7582659999999997E-5</v>
      </c>
      <c r="AA5001">
        <v>0.99999309999999997</v>
      </c>
      <c r="AB5001">
        <v>24</v>
      </c>
      <c r="AC5001">
        <v>-44.159100000000002</v>
      </c>
      <c r="AD5001">
        <v>-1.111276178515</v>
      </c>
      <c r="AE5001">
        <v>-0.188500000000004</v>
      </c>
      <c r="AF5001">
        <v>-0.163916497522334</v>
      </c>
      <c r="AG5001">
        <v>-1.111276178515</v>
      </c>
      <c r="AH5001">
        <v>44.131250278576402</v>
      </c>
      <c r="AI5001">
        <v>91.442459546676602</v>
      </c>
      <c r="AJ5001">
        <v>90.212812468540804</v>
      </c>
      <c r="AK5001">
        <v>44.145543993855703</v>
      </c>
      <c r="AL5001">
        <v>80.829716011552094</v>
      </c>
      <c r="AM5001">
        <v>95.7239344325329</v>
      </c>
      <c r="AN5001">
        <v>1.00000002732168</v>
      </c>
    </row>
    <row r="5002" spans="1:40" x14ac:dyDescent="0.25">
      <c r="A5002" t="str">
        <f>"20190304154857114"</f>
        <v>20190304154857114</v>
      </c>
      <c r="B5002" t="str">
        <f>"1551685737101955"</f>
        <v>1551685737101955</v>
      </c>
      <c r="C5002" t="s">
        <v>40</v>
      </c>
      <c r="D5002">
        <v>4.3659800000000004</v>
      </c>
      <c r="E5002">
        <v>0.53259529999999999</v>
      </c>
      <c r="F5002" t="s">
        <v>44</v>
      </c>
      <c r="G5002">
        <v>-274.10919999999999</v>
      </c>
      <c r="H5002" s="1">
        <v>-2.994421E-6</v>
      </c>
      <c r="I5002">
        <v>141.43879999999999</v>
      </c>
      <c r="J5002">
        <v>-229.7679</v>
      </c>
      <c r="K5002">
        <v>1.1112089999999999</v>
      </c>
      <c r="L5002">
        <v>141.6865</v>
      </c>
      <c r="M5002">
        <v>-0.99994590000000005</v>
      </c>
      <c r="N5002">
        <v>-1.0277959999999999E-2</v>
      </c>
      <c r="O5002">
        <v>-1.6128659999999999E-3</v>
      </c>
      <c r="P5002">
        <v>-0.98378379999999999</v>
      </c>
      <c r="Q5002">
        <v>0.14872639999999901</v>
      </c>
      <c r="R5002">
        <v>-0.1002513</v>
      </c>
      <c r="S5002">
        <v>-3.0591279999999998</v>
      </c>
      <c r="T5002">
        <v>-7.6307180000000002E-2</v>
      </c>
      <c r="U5002">
        <v>-1.7089839999999999E-2</v>
      </c>
      <c r="V5002">
        <v>-9.8947170000000001E-2</v>
      </c>
      <c r="W5002">
        <v>0.15865499999999999</v>
      </c>
      <c r="X5002">
        <v>0.98236349999999995</v>
      </c>
      <c r="Y5002">
        <v>-3.9719179999999996E-3</v>
      </c>
      <c r="Z5002" s="1">
        <v>-4.6297590000000001E-5</v>
      </c>
      <c r="AA5002">
        <v>0.99999210000000005</v>
      </c>
      <c r="AB5002">
        <v>24</v>
      </c>
      <c r="AC5002">
        <v>-44.341299999999897</v>
      </c>
      <c r="AD5002">
        <v>-1.1112119944209999</v>
      </c>
      <c r="AE5002">
        <v>-0.247700000000008</v>
      </c>
      <c r="AF5002">
        <v>-0.176068754257034</v>
      </c>
      <c r="AG5002">
        <v>-1.1112119944209999</v>
      </c>
      <c r="AH5002">
        <v>44.313812530664997</v>
      </c>
      <c r="AI5002">
        <v>91.436435091931898</v>
      </c>
      <c r="AJ5002">
        <v>90.227647833997494</v>
      </c>
      <c r="AK5002">
        <v>44.328092371606601</v>
      </c>
      <c r="AL5002">
        <v>80.871163752657793</v>
      </c>
      <c r="AM5002">
        <v>95.751637875984997</v>
      </c>
      <c r="AN5002">
        <v>0.99999999880412904</v>
      </c>
    </row>
    <row r="5003" spans="1:40" x14ac:dyDescent="0.25">
      <c r="A5003" t="str">
        <f>"20190304154857128"</f>
        <v>20190304154857128</v>
      </c>
      <c r="B5003" t="str">
        <f>"1551685737122451"</f>
        <v>1551685737122451</v>
      </c>
      <c r="C5003" t="s">
        <v>40</v>
      </c>
      <c r="D5003">
        <v>4.3393790000000001</v>
      </c>
      <c r="E5003">
        <v>0.532335</v>
      </c>
      <c r="F5003" t="s">
        <v>44</v>
      </c>
      <c r="G5003">
        <v>-273.01830000000001</v>
      </c>
      <c r="H5003" s="1">
        <v>-3.4418810000000001E-6</v>
      </c>
      <c r="I5003">
        <v>141.36170000000001</v>
      </c>
      <c r="J5003">
        <v>-229.9237</v>
      </c>
      <c r="K5003">
        <v>1.111167</v>
      </c>
      <c r="L5003">
        <v>141.68539999999999</v>
      </c>
      <c r="M5003">
        <v>-0.99994490000000003</v>
      </c>
      <c r="N5003">
        <v>-1.023816E-2</v>
      </c>
      <c r="O5003">
        <v>-2.3595489999999998E-3</v>
      </c>
      <c r="P5003">
        <v>-0.98372479999999995</v>
      </c>
      <c r="Q5003">
        <v>0.1483035</v>
      </c>
      <c r="R5003">
        <v>-0.1014491</v>
      </c>
      <c r="S5003">
        <v>-3.0589900000000001</v>
      </c>
      <c r="T5003">
        <v>-7.8593369999999996E-2</v>
      </c>
      <c r="U5003">
        <v>-2.2964479999999999E-2</v>
      </c>
      <c r="V5003">
        <v>-9.9396230000000002E-2</v>
      </c>
      <c r="W5003">
        <v>0.1582007</v>
      </c>
      <c r="X5003">
        <v>0.98239140000000003</v>
      </c>
      <c r="Y5003">
        <v>-5.1452759999999998E-3</v>
      </c>
      <c r="Z5003" s="1">
        <v>-5.5975640000000003E-5</v>
      </c>
      <c r="AA5003">
        <v>0.99998679999999995</v>
      </c>
      <c r="AB5003">
        <v>24</v>
      </c>
      <c r="AC5003">
        <v>-43.0946</v>
      </c>
      <c r="AD5003">
        <v>-1.111170441881</v>
      </c>
      <c r="AE5003">
        <v>-0.32369999999997301</v>
      </c>
      <c r="AF5003">
        <v>-0.22186246427950601</v>
      </c>
      <c r="AG5003">
        <v>-1.111170441881</v>
      </c>
      <c r="AH5003">
        <v>43.066613155670296</v>
      </c>
      <c r="AI5003">
        <v>91.477952548203902</v>
      </c>
      <c r="AJ5003">
        <v>90.295162991766404</v>
      </c>
      <c r="AK5003">
        <v>43.081516818748703</v>
      </c>
      <c r="AL5003">
        <v>80.897525879974197</v>
      </c>
      <c r="AM5003">
        <v>95.777401835337301</v>
      </c>
      <c r="AN5003">
        <v>0.99999996740633001</v>
      </c>
    </row>
    <row r="5004" spans="1:40" x14ac:dyDescent="0.25">
      <c r="A5004" t="str">
        <f>"20190304154857147"</f>
        <v>20190304154857147</v>
      </c>
      <c r="B5004" t="str">
        <f>"1551685737141971"</f>
        <v>1551685737141971</v>
      </c>
      <c r="C5004" t="s">
        <v>40</v>
      </c>
      <c r="D5004">
        <v>4.3779149999999998</v>
      </c>
      <c r="E5004">
        <v>0.53204479999999998</v>
      </c>
      <c r="F5004" t="s">
        <v>44</v>
      </c>
      <c r="G5004">
        <v>-272.23570000000001</v>
      </c>
      <c r="H5004" s="1">
        <v>-3.7583550000000001E-6</v>
      </c>
      <c r="I5004">
        <v>141.2893</v>
      </c>
      <c r="J5004">
        <v>-230.1232</v>
      </c>
      <c r="K5004">
        <v>1.111119</v>
      </c>
      <c r="L5004">
        <v>141.68389999999999</v>
      </c>
      <c r="M5004">
        <v>-0.99994289999999997</v>
      </c>
      <c r="N5004">
        <v>-1.018613E-2</v>
      </c>
      <c r="O5004">
        <v>-3.2670199999999998E-3</v>
      </c>
      <c r="P5004">
        <v>-0.98370460000000004</v>
      </c>
      <c r="Q5004">
        <v>0.147282</v>
      </c>
      <c r="R5004">
        <v>-0.1031195</v>
      </c>
      <c r="S5004">
        <v>-3.058792</v>
      </c>
      <c r="T5004">
        <v>-8.0328109999999994E-2</v>
      </c>
      <c r="U5004">
        <v>-2.862549E-2</v>
      </c>
      <c r="V5004">
        <v>-0.1001573</v>
      </c>
      <c r="W5004">
        <v>0.157138</v>
      </c>
      <c r="X5004">
        <v>0.98248469999999999</v>
      </c>
      <c r="Y5004">
        <v>-6.0884320000000004E-3</v>
      </c>
      <c r="Z5004" s="1">
        <v>-5.8443190000000002E-5</v>
      </c>
      <c r="AA5004">
        <v>0.99998149999999997</v>
      </c>
      <c r="AB5004">
        <v>24</v>
      </c>
      <c r="AC5004">
        <v>-42.112499999999997</v>
      </c>
      <c r="AD5004">
        <v>-1.1111227583550001</v>
      </c>
      <c r="AE5004">
        <v>-0.39459999999999601</v>
      </c>
      <c r="AF5004">
        <v>-0.25682961619940498</v>
      </c>
      <c r="AG5004">
        <v>-1.1111227583550001</v>
      </c>
      <c r="AH5004">
        <v>42.084270127395101</v>
      </c>
      <c r="AI5004">
        <v>91.512362533533306</v>
      </c>
      <c r="AJ5004">
        <v>90.349657255292001</v>
      </c>
      <c r="AK5004">
        <v>42.099719089222603</v>
      </c>
      <c r="AL5004">
        <v>80.959185744254</v>
      </c>
      <c r="AM5004">
        <v>95.820787314404001</v>
      </c>
      <c r="AN5004">
        <v>1.0000000107606899</v>
      </c>
    </row>
    <row r="5005" spans="1:40" x14ac:dyDescent="0.25">
      <c r="A5005" t="str">
        <f>"20190304154857162"</f>
        <v>20190304154857162</v>
      </c>
      <c r="B5005" t="str">
        <f>"1551685737151731"</f>
        <v>1551685737151731</v>
      </c>
      <c r="C5005" t="s">
        <v>40</v>
      </c>
      <c r="D5005">
        <v>4.2429810000000003</v>
      </c>
      <c r="E5005">
        <v>0.53184299999999995</v>
      </c>
      <c r="F5005" t="s">
        <v>44</v>
      </c>
      <c r="G5005">
        <v>-270.61360000000002</v>
      </c>
      <c r="H5005" s="1">
        <v>-4.3488139999999997E-6</v>
      </c>
      <c r="I5005">
        <v>141.2038</v>
      </c>
      <c r="J5005">
        <v>-230.2807</v>
      </c>
      <c r="K5005">
        <v>1.1110789999999999</v>
      </c>
      <c r="L5005">
        <v>141.68260000000001</v>
      </c>
      <c r="M5005">
        <v>-0.99994079999999996</v>
      </c>
      <c r="N5005">
        <v>-1.01429E-2</v>
      </c>
      <c r="O5005">
        <v>-3.93984E-3</v>
      </c>
      <c r="P5005">
        <v>-0.98365840000000004</v>
      </c>
      <c r="Q5005">
        <v>0.1467629</v>
      </c>
      <c r="R5005">
        <v>-0.1042925</v>
      </c>
      <c r="S5005">
        <v>-3.0584410000000002</v>
      </c>
      <c r="T5005">
        <v>-8.3928589999999997E-2</v>
      </c>
      <c r="U5005">
        <v>-3.6254880000000003E-2</v>
      </c>
      <c r="V5005">
        <v>-0.10065540000000001</v>
      </c>
      <c r="W5005">
        <v>0.15658269999999999</v>
      </c>
      <c r="X5005">
        <v>0.98252240000000002</v>
      </c>
      <c r="Y5005">
        <v>-7.9098599999999995E-3</v>
      </c>
      <c r="Z5005" s="1">
        <v>-8.0498630000000004E-5</v>
      </c>
      <c r="AA5005">
        <v>0.99996870000000004</v>
      </c>
      <c r="AB5005">
        <v>24</v>
      </c>
      <c r="AC5005">
        <v>-40.332900000000002</v>
      </c>
      <c r="AD5005">
        <v>-1.1110833488139999</v>
      </c>
      <c r="AE5005">
        <v>-0.478800000000006</v>
      </c>
      <c r="AF5005">
        <v>-0.31964040133209498</v>
      </c>
      <c r="AG5005">
        <v>-1.1110833488139999</v>
      </c>
      <c r="AH5005">
        <v>40.303891831260003</v>
      </c>
      <c r="AI5005">
        <v>91.5790600822465</v>
      </c>
      <c r="AJ5005">
        <v>90.454389419356204</v>
      </c>
      <c r="AK5005">
        <v>40.3204708918446</v>
      </c>
      <c r="AL5005">
        <v>80.991400418444798</v>
      </c>
      <c r="AM5005">
        <v>95.849311986389694</v>
      </c>
      <c r="AN5005">
        <v>0.99999995899510397</v>
      </c>
    </row>
    <row r="5006" spans="1:40" x14ac:dyDescent="0.25">
      <c r="A5006" t="str">
        <f>"20190304154857182"</f>
        <v>20190304154857182</v>
      </c>
      <c r="B5006" t="str">
        <f>"1551685737172227"</f>
        <v>1551685737172227</v>
      </c>
      <c r="C5006" t="s">
        <v>40</v>
      </c>
      <c r="D5006">
        <v>4.2478949999999998</v>
      </c>
      <c r="E5006">
        <v>0.53137599999999996</v>
      </c>
      <c r="F5006" t="s">
        <v>44</v>
      </c>
      <c r="G5006">
        <v>-270.0401</v>
      </c>
      <c r="H5006" s="1">
        <v>-4.5333920000000003E-6</v>
      </c>
      <c r="I5006">
        <v>141.14410000000001</v>
      </c>
      <c r="J5006">
        <v>-230.5</v>
      </c>
      <c r="K5006">
        <v>1.1110249999999999</v>
      </c>
      <c r="L5006">
        <v>141.6807</v>
      </c>
      <c r="M5006">
        <v>-0.99993770000000004</v>
      </c>
      <c r="N5006">
        <v>-1.008126E-2</v>
      </c>
      <c r="O5006">
        <v>-4.8190809999999898E-3</v>
      </c>
      <c r="P5006">
        <v>-0.98362709999999998</v>
      </c>
      <c r="Q5006">
        <v>0.1460236</v>
      </c>
      <c r="R5006">
        <v>-0.1056187</v>
      </c>
      <c r="S5006">
        <v>-3.0581969999999998</v>
      </c>
      <c r="T5006">
        <v>-8.5461850000000006E-2</v>
      </c>
      <c r="U5006">
        <v>-4.1412350000000001E-2</v>
      </c>
      <c r="V5006">
        <v>-0.1010982</v>
      </c>
      <c r="W5006">
        <v>0.1557943</v>
      </c>
      <c r="X5006">
        <v>0.98260230000000004</v>
      </c>
      <c r="Y5006">
        <v>-8.7172840000000005E-3</v>
      </c>
      <c r="Z5006" s="1">
        <v>-7.9668809999999999E-5</v>
      </c>
      <c r="AA5006">
        <v>0.99996200000000002</v>
      </c>
      <c r="AB5006">
        <v>24</v>
      </c>
      <c r="AC5006">
        <v>-39.540100000000002</v>
      </c>
      <c r="AD5006">
        <v>-1.1110295333919999</v>
      </c>
      <c r="AE5006">
        <v>-0.53659999999999197</v>
      </c>
      <c r="AF5006">
        <v>-0.34576421957328601</v>
      </c>
      <c r="AG5006">
        <v>-1.1110295333919999</v>
      </c>
      <c r="AH5006">
        <v>39.511036959530401</v>
      </c>
      <c r="AI5006">
        <v>91.610641040310497</v>
      </c>
      <c r="AJ5006">
        <v>90.501387114138893</v>
      </c>
      <c r="AK5006">
        <v>39.528166933681398</v>
      </c>
      <c r="AL5006">
        <v>81.037134011431107</v>
      </c>
      <c r="AM5006">
        <v>95.874390130743706</v>
      </c>
      <c r="AN5006">
        <v>0.99999999496050995</v>
      </c>
    </row>
    <row r="5007" spans="1:40" x14ac:dyDescent="0.25">
      <c r="A5007" t="str">
        <f>"20190304154857204"</f>
        <v>20190304154857204</v>
      </c>
      <c r="B5007" t="str">
        <f>"1551685737202483"</f>
        <v>1551685737202483</v>
      </c>
      <c r="C5007" t="s">
        <v>40</v>
      </c>
      <c r="D5007">
        <v>4.2453409999999998</v>
      </c>
      <c r="E5007">
        <v>0.53056049999999999</v>
      </c>
      <c r="F5007" t="s">
        <v>44</v>
      </c>
      <c r="G5007">
        <v>-269.50310000000002</v>
      </c>
      <c r="H5007" s="1">
        <v>-5.7769160000000001E-7</v>
      </c>
      <c r="I5007">
        <v>141.05269999999999</v>
      </c>
      <c r="J5007">
        <v>-230.73249999999999</v>
      </c>
      <c r="K5007">
        <v>1.1109629999999999</v>
      </c>
      <c r="L5007">
        <v>141.67850000000001</v>
      </c>
      <c r="M5007">
        <v>-0.99993379999999998</v>
      </c>
      <c r="N5007">
        <v>-1.001518E-2</v>
      </c>
      <c r="O5007">
        <v>-5.6794259999999996E-3</v>
      </c>
      <c r="P5007">
        <v>-0.98356239999999995</v>
      </c>
      <c r="Q5007">
        <v>0.14556939999999999</v>
      </c>
      <c r="R5007">
        <v>-0.1068407</v>
      </c>
      <c r="S5007">
        <v>-3.0576020000000002</v>
      </c>
      <c r="T5007">
        <v>-8.7097530000000006E-2</v>
      </c>
      <c r="U5007">
        <v>-4.9224850000000001E-2</v>
      </c>
      <c r="V5007">
        <v>-0.101455</v>
      </c>
      <c r="W5007">
        <v>0.15528649999999999</v>
      </c>
      <c r="X5007">
        <v>0.98264589999999996</v>
      </c>
      <c r="Y5007">
        <v>-1.041311E-2</v>
      </c>
      <c r="Z5007" s="1">
        <v>-9.5571320000000006E-5</v>
      </c>
      <c r="AA5007">
        <v>0.9999458</v>
      </c>
      <c r="AB5007">
        <v>24</v>
      </c>
      <c r="AC5007">
        <v>-38.770600000000002</v>
      </c>
      <c r="AD5007">
        <v>-1.11096357769159</v>
      </c>
      <c r="AE5007">
        <v>-0.625800000000026</v>
      </c>
      <c r="AF5007">
        <v>-0.40525146222602199</v>
      </c>
      <c r="AG5007">
        <v>-1.11096357769159</v>
      </c>
      <c r="AH5007">
        <v>38.741726565662802</v>
      </c>
      <c r="AI5007">
        <v>91.642482440920503</v>
      </c>
      <c r="AJ5007">
        <v>90.599311225131004</v>
      </c>
      <c r="AK5007">
        <v>38.759770975938103</v>
      </c>
      <c r="AL5007">
        <v>81.066587219034901</v>
      </c>
      <c r="AM5007">
        <v>95.894716810073604</v>
      </c>
      <c r="AN5007">
        <v>0.99999998944702895</v>
      </c>
    </row>
    <row r="5008" spans="1:40" x14ac:dyDescent="0.25">
      <c r="A5008" t="str">
        <f>"20190304154857225"</f>
        <v>20190304154857225</v>
      </c>
      <c r="B5008" t="str">
        <f>"1551685737222004"</f>
        <v>1551685737222004</v>
      </c>
      <c r="C5008" t="s">
        <v>40</v>
      </c>
      <c r="D5008">
        <v>4.2348559999999997</v>
      </c>
      <c r="E5008">
        <v>0.53006609999999998</v>
      </c>
      <c r="F5008" t="s">
        <v>44</v>
      </c>
      <c r="G5008">
        <v>-269.39550000000003</v>
      </c>
      <c r="H5008" s="1">
        <v>-5.8951909999999997E-7</v>
      </c>
      <c r="I5008">
        <v>140.92359999999999</v>
      </c>
      <c r="J5008">
        <v>-230.95609999999999</v>
      </c>
      <c r="K5008">
        <v>1.1108960000000001</v>
      </c>
      <c r="L5008">
        <v>141.6763</v>
      </c>
      <c r="M5008">
        <v>-0.99992979999999998</v>
      </c>
      <c r="N5008">
        <v>-9.9492669999999995E-3</v>
      </c>
      <c r="O5008">
        <v>-6.4457789999999996E-3</v>
      </c>
      <c r="P5008">
        <v>-0.98341990000000001</v>
      </c>
      <c r="Q5008">
        <v>0.14576639999999999</v>
      </c>
      <c r="R5008">
        <v>-0.107878</v>
      </c>
      <c r="S5008">
        <v>-3.0566559999999998</v>
      </c>
      <c r="T5008">
        <v>-8.7831740000000005E-2</v>
      </c>
      <c r="U5008">
        <v>-5.967712E-2</v>
      </c>
      <c r="V5008">
        <v>-0.1017221</v>
      </c>
      <c r="W5008">
        <v>0.15542879999999901</v>
      </c>
      <c r="X5008">
        <v>0.98259580000000002</v>
      </c>
      <c r="Y5008">
        <v>-1.306854E-2</v>
      </c>
      <c r="Z5008">
        <v>-1.3170200000000001E-4</v>
      </c>
      <c r="AA5008">
        <v>0.99991459999999999</v>
      </c>
      <c r="AB5008">
        <v>24</v>
      </c>
      <c r="AC5008">
        <v>-38.439399999999999</v>
      </c>
      <c r="AD5008">
        <v>-1.1108965895191001</v>
      </c>
      <c r="AE5008">
        <v>-0.75270000000000403</v>
      </c>
      <c r="AF5008">
        <v>-0.50447905483731303</v>
      </c>
      <c r="AG5008">
        <v>-1.1108965895191001</v>
      </c>
      <c r="AH5008">
        <v>38.411384192841602</v>
      </c>
      <c r="AI5008">
        <v>91.656448108140097</v>
      </c>
      <c r="AJ5008">
        <v>90.752455542837595</v>
      </c>
      <c r="AK5008">
        <v>38.430756250163199</v>
      </c>
      <c r="AL5008">
        <v>81.058333930825896</v>
      </c>
      <c r="AM5008">
        <v>95.910425299764597</v>
      </c>
      <c r="AN5008">
        <v>1.00000000183774</v>
      </c>
    </row>
    <row r="5009" spans="1:40" x14ac:dyDescent="0.25">
      <c r="A5009" t="str">
        <f>"20190304154857247"</f>
        <v>20190304154857247</v>
      </c>
      <c r="B5009" t="str">
        <f>"1551685737242500"</f>
        <v>1551685737242500</v>
      </c>
      <c r="C5009" t="s">
        <v>40</v>
      </c>
      <c r="D5009">
        <v>4.2457419999999999</v>
      </c>
      <c r="E5009">
        <v>0.52959350000000005</v>
      </c>
      <c r="F5009" t="s">
        <v>44</v>
      </c>
      <c r="G5009">
        <v>-270.05040000000002</v>
      </c>
      <c r="H5009" s="1">
        <v>-4.472401E-6</v>
      </c>
      <c r="I5009">
        <v>140.82</v>
      </c>
      <c r="J5009">
        <v>-231.1927</v>
      </c>
      <c r="K5009">
        <v>1.110838</v>
      </c>
      <c r="L5009">
        <v>141.67400000000001</v>
      </c>
      <c r="M5009">
        <v>-0.99992539999999996</v>
      </c>
      <c r="N5009">
        <v>-9.8748450000000002E-3</v>
      </c>
      <c r="O5009">
        <v>-7.1962550000000004E-3</v>
      </c>
      <c r="P5009">
        <v>-0.98339339999999997</v>
      </c>
      <c r="Q5009">
        <v>0.14527570000000001</v>
      </c>
      <c r="R5009">
        <v>-0.10877820000000001</v>
      </c>
      <c r="S5009">
        <v>-3.0561069999999999</v>
      </c>
      <c r="T5009">
        <v>-8.6842299999999997E-2</v>
      </c>
      <c r="U5009">
        <v>-6.6940310000000003E-2</v>
      </c>
      <c r="V5009">
        <v>-0.1018669</v>
      </c>
      <c r="W5009">
        <v>0.15487619999999999</v>
      </c>
      <c r="X5009">
        <v>0.98266799999999999</v>
      </c>
      <c r="Y5009">
        <v>-1.4696330000000001E-2</v>
      </c>
      <c r="Z5009">
        <v>-1.4796049999999999E-4</v>
      </c>
      <c r="AA5009">
        <v>0.999892</v>
      </c>
      <c r="AB5009">
        <v>24</v>
      </c>
      <c r="AC5009">
        <v>-38.857700000000001</v>
      </c>
      <c r="AD5009">
        <v>-1.110842472401</v>
      </c>
      <c r="AE5009">
        <v>-0.85400000000001297</v>
      </c>
      <c r="AF5009">
        <v>-0.57386558610731897</v>
      </c>
      <c r="AG5009">
        <v>-1.110842472401</v>
      </c>
      <c r="AH5009">
        <v>38.831120537410101</v>
      </c>
      <c r="AI5009">
        <v>91.638435551956505</v>
      </c>
      <c r="AJ5009">
        <v>90.846683851441199</v>
      </c>
      <c r="AK5009">
        <v>38.851244702072101</v>
      </c>
      <c r="AL5009">
        <v>81.090383222734403</v>
      </c>
      <c r="AM5009">
        <v>95.918347236763793</v>
      </c>
      <c r="AN5009">
        <v>0.99999995043302303</v>
      </c>
    </row>
    <row r="5010" spans="1:40" x14ac:dyDescent="0.25">
      <c r="A5010" t="str">
        <f>"20190304154857272"</f>
        <v>20190304154857272</v>
      </c>
      <c r="B5010" t="str">
        <f>"1551685737262019"</f>
        <v>1551685737262019</v>
      </c>
      <c r="C5010" t="s">
        <v>40</v>
      </c>
      <c r="D5010">
        <v>4.2101660000000001</v>
      </c>
      <c r="E5010">
        <v>0.52915380000000001</v>
      </c>
      <c r="F5010" t="s">
        <v>44</v>
      </c>
      <c r="G5010">
        <v>-269.71109999999999</v>
      </c>
      <c r="H5010" s="1">
        <v>-4.0634550000000002E-7</v>
      </c>
      <c r="I5010">
        <v>140.744</v>
      </c>
      <c r="J5010">
        <v>-231.45760000000001</v>
      </c>
      <c r="K5010">
        <v>1.1107800000000001</v>
      </c>
      <c r="L5010">
        <v>141.6711</v>
      </c>
      <c r="M5010">
        <v>-0.99992040000000004</v>
      </c>
      <c r="N5010">
        <v>-9.7901629999999993E-3</v>
      </c>
      <c r="O5010">
        <v>-7.9679150000000008E-3</v>
      </c>
      <c r="P5010">
        <v>-0.98338219999999998</v>
      </c>
      <c r="Q5010">
        <v>0.1446827</v>
      </c>
      <c r="R5010">
        <v>-0.1096641</v>
      </c>
      <c r="S5010">
        <v>-3.0555270000000001</v>
      </c>
      <c r="T5010">
        <v>-8.8118790000000002E-2</v>
      </c>
      <c r="U5010">
        <v>-7.3760989999999999E-2</v>
      </c>
      <c r="V5010">
        <v>-0.1019765</v>
      </c>
      <c r="W5010">
        <v>0.1542115</v>
      </c>
      <c r="X5010">
        <v>0.9827612</v>
      </c>
      <c r="Y5010">
        <v>-1.6158869999999999E-2</v>
      </c>
      <c r="Z5010">
        <v>-1.603462E-4</v>
      </c>
      <c r="AA5010">
        <v>0.99986940000000002</v>
      </c>
      <c r="AB5010">
        <v>24</v>
      </c>
      <c r="AC5010">
        <v>-38.253499999999903</v>
      </c>
      <c r="AD5010">
        <v>-1.11078040634549</v>
      </c>
      <c r="AE5010">
        <v>-0.92709999999999504</v>
      </c>
      <c r="AF5010">
        <v>-0.62173142763009703</v>
      </c>
      <c r="AG5010">
        <v>-1.11078040634549</v>
      </c>
      <c r="AH5010">
        <v>38.227459713171001</v>
      </c>
      <c r="AI5010">
        <v>91.664162844668198</v>
      </c>
      <c r="AJ5010">
        <v>90.931776440925404</v>
      </c>
      <c r="AK5010">
        <v>38.248647808796299</v>
      </c>
      <c r="AL5010">
        <v>81.128931150818701</v>
      </c>
      <c r="AM5010">
        <v>95.924111729061494</v>
      </c>
      <c r="AN5010">
        <v>0.99999998475496898</v>
      </c>
    </row>
    <row r="5011" spans="1:40" x14ac:dyDescent="0.25">
      <c r="A5011" t="str">
        <f>"20190304154857294"</f>
        <v>20190304154857294</v>
      </c>
      <c r="B5011" t="str">
        <f>"1551685737292276"</f>
        <v>1551685737292276</v>
      </c>
      <c r="C5011" t="s">
        <v>40</v>
      </c>
      <c r="D5011">
        <v>4.1891129999999999</v>
      </c>
      <c r="E5011">
        <v>0.52851780000000004</v>
      </c>
      <c r="F5011" t="s">
        <v>44</v>
      </c>
      <c r="G5011">
        <v>-269.26330000000002</v>
      </c>
      <c r="H5011" s="1">
        <v>-5.8058369999999995E-7</v>
      </c>
      <c r="I5011">
        <v>140.67689999999999</v>
      </c>
      <c r="J5011">
        <v>-231.6952</v>
      </c>
      <c r="K5011">
        <v>1.110741</v>
      </c>
      <c r="L5011">
        <v>141.66849999999999</v>
      </c>
      <c r="M5011">
        <v>-0.99991580000000002</v>
      </c>
      <c r="N5011">
        <v>-9.715563E-3</v>
      </c>
      <c r="O5011">
        <v>-8.5956699999999997E-3</v>
      </c>
      <c r="P5011">
        <v>-0.98342229999999997</v>
      </c>
      <c r="Q5011">
        <v>0.14419960000000001</v>
      </c>
      <c r="R5011">
        <v>-0.1099434</v>
      </c>
      <c r="S5011">
        <v>-3.0549469999999999</v>
      </c>
      <c r="T5011">
        <v>-8.9758399999999905E-2</v>
      </c>
      <c r="U5011">
        <v>-8.0337519999999996E-2</v>
      </c>
      <c r="V5011">
        <v>-0.10162400000000001</v>
      </c>
      <c r="W5011">
        <v>0.15366450000000001</v>
      </c>
      <c r="X5011">
        <v>0.98288339999999996</v>
      </c>
      <c r="Y5011">
        <v>-1.7685860000000001E-2</v>
      </c>
      <c r="Z5011">
        <v>-1.7671749999999999E-4</v>
      </c>
      <c r="AA5011">
        <v>0.99984360000000005</v>
      </c>
      <c r="AB5011">
        <v>24</v>
      </c>
      <c r="AC5011">
        <v>-37.568100000000001</v>
      </c>
      <c r="AD5011">
        <v>-1.1107415805837</v>
      </c>
      <c r="AE5011">
        <v>-0.99160000000000503</v>
      </c>
      <c r="AF5011">
        <v>-0.66804154873878896</v>
      </c>
      <c r="AG5011">
        <v>-1.1107415805837</v>
      </c>
      <c r="AH5011">
        <v>37.542440842051299</v>
      </c>
      <c r="AI5011">
        <v>91.694407166864494</v>
      </c>
      <c r="AJ5011">
        <v>91.019430844841494</v>
      </c>
      <c r="AK5011">
        <v>37.564809206870699</v>
      </c>
      <c r="AL5011">
        <v>81.160650124660606</v>
      </c>
      <c r="AM5011">
        <v>95.903050042402995</v>
      </c>
      <c r="AN5011">
        <v>0.99999999696590403</v>
      </c>
    </row>
    <row r="5012" spans="1:40" x14ac:dyDescent="0.25">
      <c r="A5012" t="str">
        <f>"20190304154857315"</f>
        <v>20190304154857315</v>
      </c>
      <c r="B5012" t="str">
        <f>"1551685737311796"</f>
        <v>1551685737311796</v>
      </c>
      <c r="C5012" t="s">
        <v>40</v>
      </c>
      <c r="D5012">
        <v>4.1720670000000002</v>
      </c>
      <c r="E5012">
        <v>0.52806929999999996</v>
      </c>
      <c r="F5012" t="s">
        <v>44</v>
      </c>
      <c r="G5012">
        <v>-269.13580000000002</v>
      </c>
      <c r="H5012" s="1">
        <v>-6.1654920000000001E-7</v>
      </c>
      <c r="I5012">
        <v>140.60650000000001</v>
      </c>
      <c r="J5012">
        <v>-231.9212</v>
      </c>
      <c r="K5012">
        <v>1.1107049999999901</v>
      </c>
      <c r="L5012">
        <v>141.66589999999999</v>
      </c>
      <c r="M5012">
        <v>-0.99991149999999995</v>
      </c>
      <c r="N5012">
        <v>-9.6467749999999998E-3</v>
      </c>
      <c r="O5012">
        <v>-9.1557510000000002E-3</v>
      </c>
      <c r="P5012">
        <v>-0.98356379999999999</v>
      </c>
      <c r="Q5012">
        <v>0.14356830000000001</v>
      </c>
      <c r="R5012">
        <v>-0.1095015</v>
      </c>
      <c r="S5012">
        <v>-3.0541689999999999</v>
      </c>
      <c r="T5012">
        <v>-9.0607289999999993E-2</v>
      </c>
      <c r="U5012">
        <v>-8.6624149999999997E-2</v>
      </c>
      <c r="V5012">
        <v>-0.10062020000000001</v>
      </c>
      <c r="W5012">
        <v>0.1529742</v>
      </c>
      <c r="X5012">
        <v>0.98309429999999998</v>
      </c>
      <c r="Y5012">
        <v>-1.9188159999999999E-2</v>
      </c>
      <c r="Z5012">
        <v>-1.9390809999999999E-4</v>
      </c>
      <c r="AA5012">
        <v>0.99981589999999998</v>
      </c>
      <c r="AB5012">
        <v>24</v>
      </c>
      <c r="AC5012">
        <v>-37.214599999999997</v>
      </c>
      <c r="AD5012">
        <v>-1.11070561654919</v>
      </c>
      <c r="AE5012">
        <v>-1.0593999999999799</v>
      </c>
      <c r="AF5012">
        <v>-0.71797306793496996</v>
      </c>
      <c r="AG5012">
        <v>-1.11070561654919</v>
      </c>
      <c r="AH5012">
        <v>37.189639047312802</v>
      </c>
      <c r="AI5012">
        <v>91.710368501961398</v>
      </c>
      <c r="AJ5012">
        <v>91.105999360979595</v>
      </c>
      <c r="AK5012">
        <v>37.213148278025699</v>
      </c>
      <c r="AL5012">
        <v>81.2006743548895</v>
      </c>
      <c r="AM5012">
        <v>95.843902594277907</v>
      </c>
      <c r="AN5012">
        <v>0.99999996660308399</v>
      </c>
    </row>
    <row r="5013" spans="1:40" x14ac:dyDescent="0.25">
      <c r="A5013" t="str">
        <f>"20190304154857329"</f>
        <v>20190304154857329</v>
      </c>
      <c r="B5013" t="str">
        <f>"1551685737322532"</f>
        <v>1551685737322532</v>
      </c>
      <c r="C5013" t="s">
        <v>40</v>
      </c>
      <c r="D5013">
        <v>4.1537280000000001</v>
      </c>
      <c r="E5013">
        <v>0.52792059999999996</v>
      </c>
      <c r="F5013" t="s">
        <v>44</v>
      </c>
      <c r="G5013">
        <v>-268.7054</v>
      </c>
      <c r="H5013" s="1">
        <v>-7.9559590000000001E-7</v>
      </c>
      <c r="I5013">
        <v>140.58539999999999</v>
      </c>
      <c r="J5013">
        <v>-232.07679999999999</v>
      </c>
      <c r="K5013">
        <v>1.1106860000000001</v>
      </c>
      <c r="L5013">
        <v>141.66409999999999</v>
      </c>
      <c r="M5013">
        <v>-0.99990860000000004</v>
      </c>
      <c r="N5013">
        <v>-9.5995249999999994E-3</v>
      </c>
      <c r="O5013">
        <v>-9.5232100000000007E-3</v>
      </c>
      <c r="P5013">
        <v>-0.98365610000000003</v>
      </c>
      <c r="Q5013">
        <v>0.14323830000000001</v>
      </c>
      <c r="R5013">
        <v>-0.1091027</v>
      </c>
      <c r="S5013">
        <v>-3.0536189999999999</v>
      </c>
      <c r="T5013">
        <v>-9.2204809999999998E-2</v>
      </c>
      <c r="U5013">
        <v>-8.9691160000000006E-2</v>
      </c>
      <c r="V5013">
        <v>-9.9853839999999999E-2</v>
      </c>
      <c r="W5013">
        <v>0.15260279999999901</v>
      </c>
      <c r="X5013">
        <v>0.98323020000000005</v>
      </c>
      <c r="Y5013">
        <v>-1.9828660000000001E-2</v>
      </c>
      <c r="Z5013">
        <v>-1.98433E-4</v>
      </c>
      <c r="AA5013">
        <v>0.99980340000000001</v>
      </c>
      <c r="AB5013">
        <v>24</v>
      </c>
      <c r="AC5013">
        <v>-36.628599999999999</v>
      </c>
      <c r="AD5013">
        <v>-1.1106867955958999</v>
      </c>
      <c r="AE5013">
        <v>-1.07869999999999</v>
      </c>
      <c r="AF5013">
        <v>-0.72914331353471196</v>
      </c>
      <c r="AG5013">
        <v>-1.1106867955958999</v>
      </c>
      <c r="AH5013">
        <v>36.603584894614002</v>
      </c>
      <c r="AI5013">
        <v>91.737685938816995</v>
      </c>
      <c r="AJ5013">
        <v>91.1411808485677</v>
      </c>
      <c r="AK5013">
        <v>36.627690375818098</v>
      </c>
      <c r="AL5013">
        <v>81.222207251611195</v>
      </c>
      <c r="AM5013">
        <v>95.798901715370306</v>
      </c>
      <c r="AN5013">
        <v>1.00000001506131</v>
      </c>
    </row>
    <row r="5014" spans="1:40" x14ac:dyDescent="0.25">
      <c r="A5014" t="str">
        <f>"20190304154857342"</f>
        <v>20190304154857342</v>
      </c>
      <c r="B5014" t="str">
        <f>"1551685737332292"</f>
        <v>1551685737332292</v>
      </c>
      <c r="C5014" t="s">
        <v>40</v>
      </c>
      <c r="D5014">
        <v>2.4301309999999998</v>
      </c>
      <c r="E5014">
        <v>0.52792059999999996</v>
      </c>
      <c r="F5014" t="s">
        <v>44</v>
      </c>
      <c r="G5014">
        <v>-268.27069999999998</v>
      </c>
      <c r="H5014" s="1">
        <v>-9.8566110000000007E-7</v>
      </c>
      <c r="I5014">
        <v>140.59899999999999</v>
      </c>
      <c r="J5014">
        <v>-232.2141</v>
      </c>
      <c r="K5014">
        <v>1.1106689999999999</v>
      </c>
      <c r="L5014">
        <v>141.66249999999999</v>
      </c>
      <c r="M5014">
        <v>-0.99990610000000002</v>
      </c>
      <c r="N5014">
        <v>-9.5586590000000006E-3</v>
      </c>
      <c r="O5014">
        <v>-9.8330469999999993E-3</v>
      </c>
      <c r="P5014">
        <v>-0.9837593</v>
      </c>
      <c r="Q5014">
        <v>0.14299619999999999</v>
      </c>
      <c r="R5014">
        <v>-0.10848729999999999</v>
      </c>
      <c r="S5014">
        <v>-3.0535580000000002</v>
      </c>
      <c r="T5014">
        <v>-9.3704819999999994E-2</v>
      </c>
      <c r="U5014">
        <v>-8.9859010000000003E-2</v>
      </c>
      <c r="V5014">
        <v>-9.8928379999999996E-2</v>
      </c>
      <c r="W5014">
        <v>0.1523253</v>
      </c>
      <c r="X5014">
        <v>0.98336679999999999</v>
      </c>
      <c r="Y5014">
        <v>-1.9574359999999999E-2</v>
      </c>
      <c r="Z5014">
        <v>-1.8617309999999999E-4</v>
      </c>
      <c r="AA5014">
        <v>0.99980840000000004</v>
      </c>
      <c r="AB5014">
        <v>24</v>
      </c>
      <c r="AC5014">
        <v>-36.056599999999897</v>
      </c>
      <c r="AD5014">
        <v>-1.1106699856611</v>
      </c>
      <c r="AE5014">
        <v>-1.0634999999999999</v>
      </c>
      <c r="AF5014">
        <v>-0.70821477615987505</v>
      </c>
      <c r="AG5014">
        <v>-1.1106699856611</v>
      </c>
      <c r="AH5014">
        <v>36.031155907329598</v>
      </c>
      <c r="AI5014">
        <v>91.765257847043102</v>
      </c>
      <c r="AJ5014">
        <v>91.126039179333603</v>
      </c>
      <c r="AK5014">
        <v>36.055226417324199</v>
      </c>
      <c r="AL5014">
        <v>81.238295151900701</v>
      </c>
      <c r="AM5014">
        <v>95.7447251080645</v>
      </c>
      <c r="AN5014">
        <v>1.0000000423658699</v>
      </c>
    </row>
    <row r="5015" spans="1:40" x14ac:dyDescent="0.25">
      <c r="A5015" t="str">
        <f>"20190304154857403"</f>
        <v>20190304154857403</v>
      </c>
      <c r="B5015" t="str">
        <f>"1551685737391827"</f>
        <v>1551685737391827</v>
      </c>
      <c r="C5015" t="s">
        <v>40</v>
      </c>
      <c r="D5015">
        <v>2.972</v>
      </c>
      <c r="E5015">
        <v>0.51442310000000002</v>
      </c>
      <c r="F5015" t="s">
        <v>44</v>
      </c>
      <c r="G5015">
        <v>-268.04660000000001</v>
      </c>
      <c r="H5015" s="1">
        <v>-1.0885390000000001E-6</v>
      </c>
      <c r="I5015">
        <v>140.6242</v>
      </c>
      <c r="J5015">
        <v>-232.87979999999999</v>
      </c>
      <c r="K5015">
        <v>1.1106020000000001</v>
      </c>
      <c r="L5015">
        <v>141.6541</v>
      </c>
      <c r="M5015">
        <v>-0.99989360000000005</v>
      </c>
      <c r="N5015">
        <v>-9.3684500000000004E-3</v>
      </c>
      <c r="O5015">
        <v>-1.119212E-2</v>
      </c>
      <c r="P5015">
        <v>-0.98405450000000005</v>
      </c>
      <c r="Q5015">
        <v>0.1444387</v>
      </c>
      <c r="R5015">
        <v>-0.1038009</v>
      </c>
      <c r="S5015">
        <v>-3.053528</v>
      </c>
      <c r="T5015">
        <v>-9.4647880000000004E-2</v>
      </c>
      <c r="U5015">
        <v>-8.8470460000000001E-2</v>
      </c>
      <c r="V5015">
        <v>-9.2883060000000003E-2</v>
      </c>
      <c r="W5015">
        <v>0.1535995</v>
      </c>
      <c r="X5015">
        <v>0.98375809999999997</v>
      </c>
      <c r="Y5015">
        <v>-1.776283E-2</v>
      </c>
      <c r="Z5015">
        <v>-1.1650049999999999E-4</v>
      </c>
      <c r="AA5015">
        <v>0.99984220000000001</v>
      </c>
      <c r="AB5015">
        <v>24</v>
      </c>
      <c r="AC5015">
        <v>-35.166800000000002</v>
      </c>
      <c r="AD5015">
        <v>-1.1106030885389999</v>
      </c>
      <c r="AE5015">
        <v>-1.02989999999999</v>
      </c>
      <c r="AF5015">
        <v>-0.63559384376972905</v>
      </c>
      <c r="AG5015">
        <v>-1.1106030885389999</v>
      </c>
      <c r="AH5015">
        <v>35.141106140374902</v>
      </c>
      <c r="AI5015">
        <v>91.809883298452505</v>
      </c>
      <c r="AJ5015">
        <v>91.036190331567596</v>
      </c>
      <c r="AK5015">
        <v>35.1643961916539</v>
      </c>
      <c r="AL5015">
        <v>81.164419427343205</v>
      </c>
      <c r="AM5015">
        <v>95.393681277571204</v>
      </c>
      <c r="AN5015">
        <v>1.0000000342754101</v>
      </c>
    </row>
    <row r="5016" spans="1:40" x14ac:dyDescent="0.25">
      <c r="A5016" t="str">
        <f>"20190304154857417"</f>
        <v>20190304154857417</v>
      </c>
      <c r="B5016" t="str">
        <f>"1551685737412323"</f>
        <v>1551685737412323</v>
      </c>
      <c r="C5016" t="s">
        <v>40</v>
      </c>
      <c r="D5016">
        <v>3.9212889999999998</v>
      </c>
      <c r="E5016">
        <v>0.56014839999999999</v>
      </c>
      <c r="F5016" t="s">
        <v>41</v>
      </c>
      <c r="G5016">
        <v>-233.6507</v>
      </c>
      <c r="H5016">
        <v>0.93801780000000001</v>
      </c>
      <c r="I5016">
        <v>141.61259999999999</v>
      </c>
      <c r="J5016">
        <v>-233.02199999999999</v>
      </c>
      <c r="K5016">
        <v>1.110589</v>
      </c>
      <c r="L5016">
        <v>141.6523</v>
      </c>
      <c r="M5016">
        <v>-0.99989099999999997</v>
      </c>
      <c r="N5016">
        <v>-9.3314550000000007E-3</v>
      </c>
      <c r="O5016">
        <v>-1.145442E-2</v>
      </c>
      <c r="P5016">
        <v>-0.98407999999999995</v>
      </c>
      <c r="Q5016">
        <v>0.14456769999999999</v>
      </c>
      <c r="R5016">
        <v>-0.10337979999999999</v>
      </c>
      <c r="S5016">
        <v>-3.1336979999999999</v>
      </c>
      <c r="T5016">
        <v>-0.70159099999999996</v>
      </c>
      <c r="U5016">
        <v>-0.16961670000000001</v>
      </c>
      <c r="V5016">
        <v>-9.2199589999999998E-2</v>
      </c>
      <c r="W5016">
        <v>0.1536951</v>
      </c>
      <c r="X5016">
        <v>0.9838074</v>
      </c>
      <c r="Y5016">
        <v>-4.1789899999999998E-2</v>
      </c>
      <c r="Z5016">
        <v>-2.3897020000000001E-3</v>
      </c>
      <c r="AA5016">
        <v>0.9991236</v>
      </c>
      <c r="AB5016">
        <v>24</v>
      </c>
      <c r="AC5016">
        <v>-0.62869999999998005</v>
      </c>
      <c r="AD5016">
        <v>-0.17257120000000001</v>
      </c>
      <c r="AE5016">
        <v>-3.9700000000010498E-2</v>
      </c>
      <c r="AF5016">
        <v>-3.0227284093488599E-2</v>
      </c>
      <c r="AG5016">
        <v>-0.17257120000000001</v>
      </c>
      <c r="AH5016">
        <v>0.58519740489683503</v>
      </c>
      <c r="AI5016">
        <v>106.40977421635</v>
      </c>
      <c r="AJ5016">
        <v>92.956879151261106</v>
      </c>
      <c r="AK5016">
        <v>0.610860467268179</v>
      </c>
      <c r="AL5016">
        <v>81.158875593376607</v>
      </c>
      <c r="AM5016">
        <v>95.353957209463502</v>
      </c>
      <c r="AN5016">
        <v>0.999999974227468</v>
      </c>
    </row>
    <row r="5017" spans="1:40" x14ac:dyDescent="0.25">
      <c r="A5017" t="str">
        <f>"20190304154857429"</f>
        <v>20190304154857429</v>
      </c>
      <c r="B5017" t="str">
        <f>"1551685737422083"</f>
        <v>1551685737422083</v>
      </c>
      <c r="C5017" t="s">
        <v>40</v>
      </c>
      <c r="D5017">
        <v>3.7735660000000002</v>
      </c>
      <c r="E5017">
        <v>0.56014839999999999</v>
      </c>
      <c r="F5017" t="s">
        <v>41</v>
      </c>
      <c r="G5017">
        <v>-233.90379999999999</v>
      </c>
      <c r="H5017">
        <v>1.0132479999999999</v>
      </c>
      <c r="I5017">
        <v>141.7047</v>
      </c>
      <c r="J5017">
        <v>-233.17490000000001</v>
      </c>
      <c r="K5017">
        <v>1.110571</v>
      </c>
      <c r="L5017">
        <v>141.65020000000001</v>
      </c>
      <c r="M5017">
        <v>-0.999888</v>
      </c>
      <c r="N5017">
        <v>-9.2923060000000002E-3</v>
      </c>
      <c r="O5017">
        <v>-1.1726240000000001E-2</v>
      </c>
      <c r="P5017">
        <v>-0.98403620000000003</v>
      </c>
      <c r="Q5017">
        <v>0.14507729999999999</v>
      </c>
      <c r="R5017">
        <v>-0.1030795</v>
      </c>
      <c r="S5017">
        <v>-3.1186069999999999</v>
      </c>
      <c r="T5017">
        <v>-0.34427869999999999</v>
      </c>
      <c r="U5017">
        <v>0.18560789999999999</v>
      </c>
      <c r="V5017">
        <v>-9.1628370000000001E-2</v>
      </c>
      <c r="W5017">
        <v>0.15416949999999999</v>
      </c>
      <c r="X5017">
        <v>0.98378659999999996</v>
      </c>
      <c r="Y5017">
        <v>7.0589869999999999E-2</v>
      </c>
      <c r="Z5017">
        <v>5.3915229999999996E-3</v>
      </c>
      <c r="AA5017">
        <v>0.99749080000000001</v>
      </c>
      <c r="AB5017">
        <v>24</v>
      </c>
      <c r="AC5017">
        <v>-0.72889999999998101</v>
      </c>
      <c r="AD5017">
        <v>-9.7323000000000007E-2</v>
      </c>
      <c r="AE5017">
        <v>5.4499999999990202E-2</v>
      </c>
      <c r="AF5017">
        <v>6.194566992192E-2</v>
      </c>
      <c r="AG5017">
        <v>-9.7323000000000007E-2</v>
      </c>
      <c r="AH5017">
        <v>0.71552552332357899</v>
      </c>
      <c r="AI5017">
        <v>97.717100868168401</v>
      </c>
      <c r="AJ5017">
        <v>85.052031206298693</v>
      </c>
      <c r="AK5017">
        <v>0.724766035958196</v>
      </c>
      <c r="AL5017">
        <v>81.1313671369373</v>
      </c>
      <c r="AM5017">
        <v>95.321089749862495</v>
      </c>
      <c r="AN5017">
        <v>1.00000003362933</v>
      </c>
    </row>
    <row r="5018" spans="1:40" x14ac:dyDescent="0.25">
      <c r="A5018" t="str">
        <f>"20190304154857484"</f>
        <v>20190304154857484</v>
      </c>
      <c r="B5018" t="str">
        <f>"1551685737471859"</f>
        <v>1551685737471859</v>
      </c>
      <c r="C5018" t="s">
        <v>40</v>
      </c>
      <c r="D5018">
        <v>4.0244989999999996</v>
      </c>
      <c r="E5018">
        <v>0.59260400000000002</v>
      </c>
      <c r="F5018" t="s">
        <v>41</v>
      </c>
      <c r="G5018">
        <v>-233.9117</v>
      </c>
      <c r="H5018">
        <v>1.0295570000000001</v>
      </c>
      <c r="I5018">
        <v>141.69409999999999</v>
      </c>
      <c r="J5018">
        <v>-233.7636</v>
      </c>
      <c r="K5018">
        <v>1.1105149999999999</v>
      </c>
      <c r="L5018">
        <v>141.6421</v>
      </c>
      <c r="M5018">
        <v>-0.99987820000000005</v>
      </c>
      <c r="N5018">
        <v>-9.1524870000000008E-3</v>
      </c>
      <c r="O5018">
        <v>-1.265164E-2</v>
      </c>
      <c r="P5018">
        <v>-0.9840856</v>
      </c>
      <c r="Q5018">
        <v>0.1462</v>
      </c>
      <c r="R5018">
        <v>-0.1010025</v>
      </c>
      <c r="S5018">
        <v>-3.1187290000000001</v>
      </c>
      <c r="T5018">
        <v>-0.34291509999999997</v>
      </c>
      <c r="U5018">
        <v>0.18618770000000001</v>
      </c>
      <c r="V5018">
        <v>-8.8623399999999894E-2</v>
      </c>
      <c r="W5018">
        <v>0.15516640000000001</v>
      </c>
      <c r="X5018">
        <v>0.98390509999999998</v>
      </c>
      <c r="Y5018">
        <v>7.1688089999999996E-2</v>
      </c>
      <c r="Z5018">
        <v>5.5257240000000001E-3</v>
      </c>
      <c r="AA5018">
        <v>0.99741179999999996</v>
      </c>
      <c r="AB5018">
        <v>25</v>
      </c>
      <c r="AC5018">
        <v>-0.14809999999999901</v>
      </c>
      <c r="AD5018">
        <v>-8.0957999999999794E-2</v>
      </c>
      <c r="AE5018">
        <v>5.1999999999992497E-2</v>
      </c>
      <c r="AF5018">
        <v>4.2550236137808999E-2</v>
      </c>
      <c r="AG5018">
        <v>-8.0957999999999794E-2</v>
      </c>
      <c r="AH5018">
        <v>0.116451364773861</v>
      </c>
      <c r="AI5018">
        <v>123.143888639501</v>
      </c>
      <c r="AJ5018">
        <v>69.928170721107605</v>
      </c>
      <c r="AK5018">
        <v>0.14807309248164599</v>
      </c>
      <c r="AL5018">
        <v>81.073552808861393</v>
      </c>
      <c r="AM5018">
        <v>95.146920212454305</v>
      </c>
      <c r="AN5018">
        <v>0.99999998226126396</v>
      </c>
    </row>
    <row r="5019" spans="1:40" x14ac:dyDescent="0.25">
      <c r="A5019" t="str">
        <f>"20190304154857506"</f>
        <v>20190304154857506</v>
      </c>
      <c r="B5019" t="str">
        <f>"1551685737502115"</f>
        <v>1551685737502115</v>
      </c>
      <c r="C5019" t="s">
        <v>40</v>
      </c>
      <c r="D5019">
        <v>4.0428709999999999</v>
      </c>
      <c r="E5019">
        <v>0.58540109999999901</v>
      </c>
      <c r="F5019" t="s">
        <v>82</v>
      </c>
      <c r="G5019">
        <v>-361.82229999999998</v>
      </c>
      <c r="H5019">
        <v>6.0046869999999997</v>
      </c>
      <c r="I5019">
        <v>159.91050000000001</v>
      </c>
      <c r="J5019">
        <v>-234.001</v>
      </c>
      <c r="K5019">
        <v>1.1104889999999901</v>
      </c>
      <c r="L5019">
        <v>141.6387</v>
      </c>
      <c r="M5019">
        <v>-0.9998745</v>
      </c>
      <c r="N5019">
        <v>-9.0995380000000008E-3</v>
      </c>
      <c r="O5019">
        <v>-1.297064E-2</v>
      </c>
      <c r="P5019">
        <v>-0.98416009999999998</v>
      </c>
      <c r="Q5019">
        <v>0.14651420000000001</v>
      </c>
      <c r="R5019">
        <v>-9.9813830000000006E-2</v>
      </c>
      <c r="S5019">
        <v>-3.0760960000000002</v>
      </c>
      <c r="T5019">
        <v>0.1175641</v>
      </c>
      <c r="U5019">
        <v>0.43882749999999998</v>
      </c>
      <c r="V5019">
        <v>-8.7112170000000003E-2</v>
      </c>
      <c r="W5019">
        <v>0.15543390000000001</v>
      </c>
      <c r="X5019">
        <v>0.98399780000000003</v>
      </c>
      <c r="Y5019">
        <v>0.15395899999999901</v>
      </c>
      <c r="Z5019">
        <v>-2.8324750000000001E-3</v>
      </c>
      <c r="AA5019">
        <v>0.98807319999999998</v>
      </c>
      <c r="AB5019">
        <v>25</v>
      </c>
      <c r="AC5019">
        <v>-127.82129999999999</v>
      </c>
      <c r="AD5019">
        <v>4.8941980000000003</v>
      </c>
      <c r="AE5019">
        <v>18.271799999999999</v>
      </c>
      <c r="AF5019">
        <v>19.899665258083399</v>
      </c>
      <c r="AG5019">
        <v>4.8941980000000003</v>
      </c>
      <c r="AH5019">
        <v>127.39051545501501</v>
      </c>
      <c r="AI5019">
        <v>87.826180372035395</v>
      </c>
      <c r="AJ5019">
        <v>81.121581218991096</v>
      </c>
      <c r="AK5019">
        <v>129.028265427934</v>
      </c>
      <c r="AL5019">
        <v>81.058037650276205</v>
      </c>
      <c r="AM5019">
        <v>95.059138851119002</v>
      </c>
      <c r="AN5019">
        <v>0.99999994891807797</v>
      </c>
    </row>
    <row r="5020" spans="1:40" x14ac:dyDescent="0.25">
      <c r="A5020" t="str">
        <f>"20190304154857526"</f>
        <v>20190304154857526</v>
      </c>
      <c r="B5020" t="str">
        <f>"1551685737521636"</f>
        <v>1551685737521636</v>
      </c>
      <c r="C5020" t="s">
        <v>40</v>
      </c>
      <c r="D5020">
        <v>3.9974280000000002</v>
      </c>
      <c r="E5020">
        <v>0.58294760000000001</v>
      </c>
      <c r="F5020" t="s">
        <v>67</v>
      </c>
      <c r="G5020">
        <v>-459.875</v>
      </c>
      <c r="H5020">
        <v>10.213889999999999</v>
      </c>
      <c r="I5020">
        <v>169.95249999999999</v>
      </c>
      <c r="J5020">
        <v>-234.23580000000001</v>
      </c>
      <c r="K5020">
        <v>1.1104670000000001</v>
      </c>
      <c r="L5020">
        <v>141.6354</v>
      </c>
      <c r="M5020">
        <v>-0.99987130000000002</v>
      </c>
      <c r="N5020">
        <v>-9.0504520000000005E-3</v>
      </c>
      <c r="O5020">
        <v>-1.325557E-2</v>
      </c>
      <c r="P5020">
        <v>-0.9841704</v>
      </c>
      <c r="Q5020">
        <v>0.14693249999999999</v>
      </c>
      <c r="R5020">
        <v>-9.9094119999999994E-2</v>
      </c>
      <c r="S5020">
        <v>-3.0688780000000002</v>
      </c>
      <c r="T5020">
        <v>0.123685</v>
      </c>
      <c r="U5020">
        <v>0.38468930000000001</v>
      </c>
      <c r="V5020">
        <v>-8.610429E-2</v>
      </c>
      <c r="W5020">
        <v>0.15580840000000001</v>
      </c>
      <c r="X5020">
        <v>0.98402730000000005</v>
      </c>
      <c r="Y5020">
        <v>0.13741979999999901</v>
      </c>
      <c r="Z5020">
        <v>-2.7842969999999998E-3</v>
      </c>
      <c r="AA5020">
        <v>0.99050899999999997</v>
      </c>
      <c r="AB5020">
        <v>25</v>
      </c>
      <c r="AC5020">
        <v>-225.63919999999999</v>
      </c>
      <c r="AD5020">
        <v>9.1034229999999994</v>
      </c>
      <c r="AE5020">
        <v>28.3170999999999</v>
      </c>
      <c r="AF5020">
        <v>31.2556236094388</v>
      </c>
      <c r="AG5020">
        <v>9.1034229999999994</v>
      </c>
      <c r="AH5020">
        <v>224.88362691913801</v>
      </c>
      <c r="AI5020">
        <v>87.703944877534198</v>
      </c>
      <c r="AJ5020">
        <v>82.087391650418795</v>
      </c>
      <c r="AK5020">
        <v>227.227709520291</v>
      </c>
      <c r="AL5020">
        <v>81.036315898239593</v>
      </c>
      <c r="AM5020">
        <v>95.000754458226595</v>
      </c>
      <c r="AN5020">
        <v>0.99999996670612601</v>
      </c>
    </row>
    <row r="5021" spans="1:40" x14ac:dyDescent="0.25">
      <c r="A5021" t="str">
        <f>"20190304154857549"</f>
        <v>20190304154857549</v>
      </c>
      <c r="B5021" t="str">
        <f>"1551685737542131"</f>
        <v>1551685737542131</v>
      </c>
      <c r="C5021" t="s">
        <v>40</v>
      </c>
      <c r="D5021">
        <v>3.9732159999999999</v>
      </c>
      <c r="E5021">
        <v>0.58162499999999995</v>
      </c>
      <c r="F5021" t="s">
        <v>67</v>
      </c>
      <c r="G5021">
        <v>-459.875</v>
      </c>
      <c r="H5021">
        <v>10.247199999999999</v>
      </c>
      <c r="I5021">
        <v>168.67439999999999</v>
      </c>
      <c r="J5021">
        <v>-234.48769999999999</v>
      </c>
      <c r="K5021">
        <v>1.110439</v>
      </c>
      <c r="L5021">
        <v>141.6317</v>
      </c>
      <c r="M5021">
        <v>-0.99986799999999998</v>
      </c>
      <c r="N5021">
        <v>-9.0034030000000001E-3</v>
      </c>
      <c r="O5021">
        <v>-1.352749E-2</v>
      </c>
      <c r="P5021">
        <v>-0.98413340000000005</v>
      </c>
      <c r="Q5021">
        <v>0.14725050000000001</v>
      </c>
      <c r="R5021">
        <v>-9.8990510000000004E-2</v>
      </c>
      <c r="S5021">
        <v>-3.0667110000000002</v>
      </c>
      <c r="T5021">
        <v>0.124179399999999</v>
      </c>
      <c r="U5021">
        <v>0.36749270000000001</v>
      </c>
      <c r="V5021">
        <v>-8.5725579999999996E-2</v>
      </c>
      <c r="W5021">
        <v>0.1560849</v>
      </c>
      <c r="X5021">
        <v>0.98401660000000002</v>
      </c>
      <c r="Y5021">
        <v>0.13230339999999999</v>
      </c>
      <c r="Z5021">
        <v>-2.737087E-3</v>
      </c>
      <c r="AA5021">
        <v>0.99120549999999996</v>
      </c>
      <c r="AB5021">
        <v>25</v>
      </c>
      <c r="AC5021">
        <v>-225.38730000000001</v>
      </c>
      <c r="AD5021">
        <v>9.1367609999999999</v>
      </c>
      <c r="AE5021">
        <v>27.0427</v>
      </c>
      <c r="AF5021">
        <v>30.040607161589399</v>
      </c>
      <c r="AG5021">
        <v>9.1367609999999999</v>
      </c>
      <c r="AH5021">
        <v>224.63692614055199</v>
      </c>
      <c r="AI5021">
        <v>87.691395309286605</v>
      </c>
      <c r="AJ5021">
        <v>82.383049745103605</v>
      </c>
      <c r="AK5021">
        <v>226.820781821428</v>
      </c>
      <c r="AL5021">
        <v>81.020277874363401</v>
      </c>
      <c r="AM5021">
        <v>94.978924451482698</v>
      </c>
      <c r="AN5021">
        <v>1.0000000200749499</v>
      </c>
    </row>
    <row r="5022" spans="1:40" x14ac:dyDescent="0.25">
      <c r="A5022" t="str">
        <f>"20190304154857572"</f>
        <v>20190304154857572</v>
      </c>
      <c r="B5022" t="str">
        <f>"1551685737561655"</f>
        <v>1551685737561655</v>
      </c>
      <c r="C5022" t="s">
        <v>40</v>
      </c>
      <c r="D5022">
        <v>4.0452240000000002</v>
      </c>
      <c r="E5022">
        <v>0.58016429999999997</v>
      </c>
      <c r="F5022" t="s">
        <v>67</v>
      </c>
      <c r="G5022">
        <v>-459.875</v>
      </c>
      <c r="H5022">
        <v>10.22622</v>
      </c>
      <c r="I5022">
        <v>167.90629999999999</v>
      </c>
      <c r="J5022">
        <v>-234.74</v>
      </c>
      <c r="K5022">
        <v>1.110409</v>
      </c>
      <c r="L5022">
        <v>141.62799999999999</v>
      </c>
      <c r="M5022">
        <v>-0.99986540000000002</v>
      </c>
      <c r="N5022">
        <v>-8.9576689999999997E-3</v>
      </c>
      <c r="O5022">
        <v>-1.376103E-2</v>
      </c>
      <c r="P5022">
        <v>-0.98408680000000004</v>
      </c>
      <c r="Q5022">
        <v>0.147372799999999</v>
      </c>
      <c r="R5022">
        <v>-9.9270140000000007E-2</v>
      </c>
      <c r="S5022">
        <v>-3.0657649999999999</v>
      </c>
      <c r="T5022">
        <v>0.1239948</v>
      </c>
      <c r="U5022">
        <v>0.35739140000000003</v>
      </c>
      <c r="V5022">
        <v>-8.5766690000000007E-2</v>
      </c>
      <c r="W5022">
        <v>0.15616679999999999</v>
      </c>
      <c r="X5022">
        <v>0.98399999999999999</v>
      </c>
      <c r="Y5022">
        <v>0.1293512</v>
      </c>
      <c r="Z5022">
        <v>-2.7017629999999998E-3</v>
      </c>
      <c r="AA5022">
        <v>0.99159509999999995</v>
      </c>
      <c r="AB5022">
        <v>25</v>
      </c>
      <c r="AC5022">
        <v>-225.13499999999999</v>
      </c>
      <c r="AD5022">
        <v>9.1158110000000008</v>
      </c>
      <c r="AE5022">
        <v>26.278300000000002</v>
      </c>
      <c r="AF5022">
        <v>29.326590767258001</v>
      </c>
      <c r="AG5022">
        <v>9.1158110000000008</v>
      </c>
      <c r="AH5022">
        <v>224.38911444032999</v>
      </c>
      <c r="AI5022">
        <v>87.693233714571505</v>
      </c>
      <c r="AJ5022">
        <v>82.553918650907306</v>
      </c>
      <c r="AK5022">
        <v>226.48095199273001</v>
      </c>
      <c r="AL5022">
        <v>81.015526885480099</v>
      </c>
      <c r="AM5022">
        <v>94.981383712806206</v>
      </c>
      <c r="AN5022">
        <v>0.99999999726789801</v>
      </c>
    </row>
    <row r="5023" spans="1:40" x14ac:dyDescent="0.25">
      <c r="A5023" t="str">
        <f>"20190304154857593"</f>
        <v>20190304154857593</v>
      </c>
      <c r="B5023" t="str">
        <f>"1551685737582147"</f>
        <v>1551685737582147</v>
      </c>
      <c r="C5023" t="s">
        <v>40</v>
      </c>
      <c r="D5023">
        <v>4.2125890000000004</v>
      </c>
      <c r="E5023">
        <v>0.57883019999999996</v>
      </c>
      <c r="F5023" t="s">
        <v>67</v>
      </c>
      <c r="G5023">
        <v>-459.875</v>
      </c>
      <c r="H5023">
        <v>10.07878</v>
      </c>
      <c r="I5023">
        <v>166.97819999999999</v>
      </c>
      <c r="J5023">
        <v>-234.98060000000001</v>
      </c>
      <c r="K5023">
        <v>1.110382</v>
      </c>
      <c r="L5023">
        <v>141.62450000000001</v>
      </c>
      <c r="M5023">
        <v>-0.99986299999999995</v>
      </c>
      <c r="N5023">
        <v>-8.9142370000000002E-3</v>
      </c>
      <c r="O5023">
        <v>-1.3947019999999999E-2</v>
      </c>
      <c r="P5023">
        <v>-0.98400500000000002</v>
      </c>
      <c r="Q5023">
        <v>0.14759820000000001</v>
      </c>
      <c r="R5023">
        <v>-9.9744780000000005E-2</v>
      </c>
      <c r="S5023">
        <v>-3.065048</v>
      </c>
      <c r="T5023">
        <v>0.1220977</v>
      </c>
      <c r="U5023">
        <v>0.34512330000000002</v>
      </c>
      <c r="V5023">
        <v>-8.6050799999999997E-2</v>
      </c>
      <c r="W5023">
        <v>0.156353399999999</v>
      </c>
      <c r="X5023">
        <v>0.98394550000000003</v>
      </c>
      <c r="Y5023">
        <v>0.12564910000000001</v>
      </c>
      <c r="Z5023">
        <v>-2.6093790000000002E-3</v>
      </c>
      <c r="AA5023">
        <v>0.99207129999999999</v>
      </c>
      <c r="AB5023">
        <v>25</v>
      </c>
      <c r="AC5023">
        <v>-224.89439999999999</v>
      </c>
      <c r="AD5023">
        <v>8.9683979999999899</v>
      </c>
      <c r="AE5023">
        <v>25.3536999999999</v>
      </c>
      <c r="AF5023">
        <v>28.443300086652702</v>
      </c>
      <c r="AG5023">
        <v>8.9683979999999899</v>
      </c>
      <c r="AH5023">
        <v>224.16688812197</v>
      </c>
      <c r="AI5023">
        <v>87.727154049179006</v>
      </c>
      <c r="AJ5023">
        <v>82.768696528309704</v>
      </c>
      <c r="AK5023">
        <v>226.14209518087</v>
      </c>
      <c r="AL5023">
        <v>81.004701974034305</v>
      </c>
      <c r="AM5023">
        <v>94.998076985421903</v>
      </c>
      <c r="AN5023">
        <v>0.99999993642122298</v>
      </c>
    </row>
    <row r="5024" spans="1:40" x14ac:dyDescent="0.25">
      <c r="A5024" t="str">
        <f>"20190304154857616"</f>
        <v>20190304154857616</v>
      </c>
      <c r="B5024" t="str">
        <f>"1551685737612406"</f>
        <v>1551685737612406</v>
      </c>
      <c r="C5024" t="s">
        <v>40</v>
      </c>
      <c r="D5024">
        <v>4.0592519999999999</v>
      </c>
      <c r="E5024">
        <v>0.57705709999999999</v>
      </c>
      <c r="F5024" t="s">
        <v>48</v>
      </c>
      <c r="G5024">
        <v>-434.12860000000001</v>
      </c>
      <c r="H5024">
        <v>9.1891119999999997</v>
      </c>
      <c r="I5024">
        <v>163.2696</v>
      </c>
      <c r="J5024">
        <v>-235.22739999999999</v>
      </c>
      <c r="K5024">
        <v>1.110357</v>
      </c>
      <c r="L5024">
        <v>141.62090000000001</v>
      </c>
      <c r="M5024">
        <v>-0.99986120000000001</v>
      </c>
      <c r="N5024">
        <v>-8.8726940000000004E-3</v>
      </c>
      <c r="O5024">
        <v>-1.410933E-2</v>
      </c>
      <c r="P5024">
        <v>-0.98392599999999997</v>
      </c>
      <c r="Q5024">
        <v>0.14794389999999999</v>
      </c>
      <c r="R5024">
        <v>-0.10001309999999999</v>
      </c>
      <c r="S5024">
        <v>-3.0638730000000001</v>
      </c>
      <c r="T5024">
        <v>0.1242905</v>
      </c>
      <c r="U5024">
        <v>0.33300780000000002</v>
      </c>
      <c r="V5024">
        <v>-8.6152590000000001E-2</v>
      </c>
      <c r="W5024">
        <v>0.15666179999999999</v>
      </c>
      <c r="X5024">
        <v>0.98388759999999997</v>
      </c>
      <c r="Y5024">
        <v>0.12197429999999999</v>
      </c>
      <c r="Z5024">
        <v>-2.61816E-3</v>
      </c>
      <c r="AA5024">
        <v>0.99252980000000002</v>
      </c>
      <c r="AB5024">
        <v>25</v>
      </c>
      <c r="AC5024">
        <v>-198.90119999999999</v>
      </c>
      <c r="AD5024">
        <v>8.0787549999999992</v>
      </c>
      <c r="AE5024">
        <v>21.648699999999899</v>
      </c>
      <c r="AF5024">
        <v>24.4132139324681</v>
      </c>
      <c r="AG5024">
        <v>8.0787549999999992</v>
      </c>
      <c r="AH5024">
        <v>198.252703728527</v>
      </c>
      <c r="AI5024">
        <v>87.683975054596701</v>
      </c>
      <c r="AJ5024">
        <v>82.979831128435805</v>
      </c>
      <c r="AK5024">
        <v>199.91349587392401</v>
      </c>
      <c r="AL5024">
        <v>80.986812053238197</v>
      </c>
      <c r="AM5024">
        <v>95.004252218506295</v>
      </c>
      <c r="AN5024">
        <v>0.999999998888354</v>
      </c>
    </row>
    <row r="5025" spans="1:40" x14ac:dyDescent="0.25">
      <c r="A5025" t="str">
        <f>"20190304154857639"</f>
        <v>20190304154857639</v>
      </c>
      <c r="B5025" t="str">
        <f>"1551685737631923"</f>
        <v>1551685737631923</v>
      </c>
      <c r="C5025" t="s">
        <v>40</v>
      </c>
      <c r="D5025">
        <v>4.0572470000000003</v>
      </c>
      <c r="E5025">
        <v>0.57620380000000004</v>
      </c>
      <c r="F5025" t="s">
        <v>67</v>
      </c>
      <c r="G5025">
        <v>-459.875</v>
      </c>
      <c r="H5025">
        <v>9.7668920000000004</v>
      </c>
      <c r="I5025">
        <v>164.9667</v>
      </c>
      <c r="J5025">
        <v>-235.49160000000001</v>
      </c>
      <c r="K5025">
        <v>1.110341</v>
      </c>
      <c r="L5025">
        <v>141.61699999999999</v>
      </c>
      <c r="M5025">
        <v>-0.99985959999999996</v>
      </c>
      <c r="N5025">
        <v>-8.8264050000000007E-3</v>
      </c>
      <c r="O5025">
        <v>-1.4253399999999999E-2</v>
      </c>
      <c r="P5025">
        <v>-0.98379240000000001</v>
      </c>
      <c r="Q5025">
        <v>0.14838209999999999</v>
      </c>
      <c r="R5025">
        <v>-0.10067570000000001</v>
      </c>
      <c r="S5025">
        <v>-3.063599</v>
      </c>
      <c r="T5025">
        <v>0.1180522</v>
      </c>
      <c r="U5025">
        <v>0.31837459999999901</v>
      </c>
      <c r="V5025">
        <v>-8.666828E-2</v>
      </c>
      <c r="W5025">
        <v>0.15705740000000001</v>
      </c>
      <c r="X5025">
        <v>0.98377930000000002</v>
      </c>
      <c r="Y5025">
        <v>0.1174501</v>
      </c>
      <c r="Z5025">
        <v>-2.4091579999999998E-3</v>
      </c>
      <c r="AA5025">
        <v>0.99307579999999995</v>
      </c>
      <c r="AB5025">
        <v>25</v>
      </c>
      <c r="AC5025">
        <v>-224.38339999999999</v>
      </c>
      <c r="AD5025">
        <v>8.6565510000000003</v>
      </c>
      <c r="AE5025">
        <v>23.349699999999899</v>
      </c>
      <c r="AF5025">
        <v>26.506649493086101</v>
      </c>
      <c r="AG5025">
        <v>8.6565510000000003</v>
      </c>
      <c r="AH5025">
        <v>223.698401491174</v>
      </c>
      <c r="AI5025">
        <v>87.799287356954295</v>
      </c>
      <c r="AJ5025">
        <v>83.242372143037699</v>
      </c>
      <c r="AK5025">
        <v>225.42961911042599</v>
      </c>
      <c r="AL5025">
        <v>80.963862335465294</v>
      </c>
      <c r="AM5025">
        <v>95.034604410885393</v>
      </c>
      <c r="AN5025">
        <v>1.0000000643807001</v>
      </c>
    </row>
    <row r="5026" spans="1:40" x14ac:dyDescent="0.25">
      <c r="A5026" t="str">
        <f>"20190304154857662"</f>
        <v>20190304154857662</v>
      </c>
      <c r="B5026" t="str">
        <f>"1551685737652420"</f>
        <v>1551685737652420</v>
      </c>
      <c r="C5026" t="s">
        <v>40</v>
      </c>
      <c r="D5026">
        <v>4.1158729999999997</v>
      </c>
      <c r="E5026">
        <v>0.57564979999999999</v>
      </c>
      <c r="F5026" t="s">
        <v>67</v>
      </c>
      <c r="G5026">
        <v>-459.875</v>
      </c>
      <c r="H5026">
        <v>9.5437539999999998</v>
      </c>
      <c r="I5026">
        <v>164.2773</v>
      </c>
      <c r="J5026">
        <v>-235.74279999999999</v>
      </c>
      <c r="K5026">
        <v>1.1103179999999999</v>
      </c>
      <c r="L5026">
        <v>141.61320000000001</v>
      </c>
      <c r="M5026">
        <v>-0.99985840000000004</v>
      </c>
      <c r="N5026">
        <v>-8.7783900000000005E-3</v>
      </c>
      <c r="O5026">
        <v>-1.4363880000000001E-2</v>
      </c>
      <c r="P5026">
        <v>-0.98373960000000005</v>
      </c>
      <c r="Q5026">
        <v>0.14853649999999999</v>
      </c>
      <c r="R5026">
        <v>-0.1009647</v>
      </c>
      <c r="S5026">
        <v>-3.0637210000000001</v>
      </c>
      <c r="T5026">
        <v>0.1151495</v>
      </c>
      <c r="U5026">
        <v>0.30940250000000002</v>
      </c>
      <c r="V5026">
        <v>-8.6843589999999998E-2</v>
      </c>
      <c r="W5026">
        <v>0.1571671</v>
      </c>
      <c r="X5026">
        <v>0.98374620000000002</v>
      </c>
      <c r="Y5026">
        <v>0.1146828</v>
      </c>
      <c r="Z5026">
        <v>-2.3082530000000001E-3</v>
      </c>
      <c r="AA5026">
        <v>0.99339949999999999</v>
      </c>
      <c r="AB5026">
        <v>25</v>
      </c>
      <c r="AC5026">
        <v>-224.13220000000001</v>
      </c>
      <c r="AD5026">
        <v>8.4334360000000004</v>
      </c>
      <c r="AE5026">
        <v>22.664099999999902</v>
      </c>
      <c r="AF5026">
        <v>25.845072432004699</v>
      </c>
      <c r="AG5026">
        <v>8.4334360000000004</v>
      </c>
      <c r="AH5026">
        <v>223.47033253198501</v>
      </c>
      <c r="AI5026">
        <v>87.853065749278301</v>
      </c>
      <c r="AJ5026">
        <v>83.402865850263595</v>
      </c>
      <c r="AK5026">
        <v>225.117924949875</v>
      </c>
      <c r="AL5026">
        <v>80.957496870621398</v>
      </c>
      <c r="AM5026">
        <v>95.044904623441298</v>
      </c>
      <c r="AN5026">
        <v>0.99999994623046695</v>
      </c>
    </row>
    <row r="5027" spans="1:40" x14ac:dyDescent="0.25">
      <c r="A5027" t="str">
        <f>"20190304154857684"</f>
        <v>20190304154857684</v>
      </c>
      <c r="B5027" t="str">
        <f>"1551685737671940"</f>
        <v>1551685737671940</v>
      </c>
      <c r="C5027" t="s">
        <v>40</v>
      </c>
      <c r="D5027">
        <v>4.0663580000000001</v>
      </c>
      <c r="E5027">
        <v>0.57505209999999995</v>
      </c>
      <c r="F5027" t="s">
        <v>67</v>
      </c>
      <c r="G5027">
        <v>-459.875</v>
      </c>
      <c r="H5027">
        <v>9.4150019999999994</v>
      </c>
      <c r="I5027">
        <v>163.85570000000001</v>
      </c>
      <c r="J5027">
        <v>-235.99199999999999</v>
      </c>
      <c r="K5027">
        <v>1.1102959999999999</v>
      </c>
      <c r="L5027">
        <v>141.6095</v>
      </c>
      <c r="M5027">
        <v>-0.99985749999999995</v>
      </c>
      <c r="N5027">
        <v>-8.7290930000000003E-3</v>
      </c>
      <c r="O5027">
        <v>-1.4450660000000001E-2</v>
      </c>
      <c r="P5027">
        <v>-0.98365930000000001</v>
      </c>
      <c r="Q5027">
        <v>0.148725</v>
      </c>
      <c r="R5027">
        <v>-0.101464899999999</v>
      </c>
      <c r="S5027">
        <v>-3.06366</v>
      </c>
      <c r="T5027">
        <v>0.1135166</v>
      </c>
      <c r="U5027">
        <v>0.30403140000000001</v>
      </c>
      <c r="V5027">
        <v>-8.7254380000000006E-2</v>
      </c>
      <c r="W5027">
        <v>0.1573098</v>
      </c>
      <c r="X5027">
        <v>0.98368710000000004</v>
      </c>
      <c r="Y5027">
        <v>0.1130496</v>
      </c>
      <c r="Z5027">
        <v>-2.2535770000000001E-3</v>
      </c>
      <c r="AA5027">
        <v>0.99358679999999999</v>
      </c>
      <c r="AB5027">
        <v>25</v>
      </c>
      <c r="AC5027">
        <v>-223.88300000000001</v>
      </c>
      <c r="AD5027">
        <v>8.3047059999999995</v>
      </c>
      <c r="AE5027">
        <v>22.246200000000002</v>
      </c>
      <c r="AF5027">
        <v>25.444588796669802</v>
      </c>
      <c r="AG5027">
        <v>8.3047059999999995</v>
      </c>
      <c r="AH5027">
        <v>223.23397841448099</v>
      </c>
      <c r="AI5027">
        <v>87.883170104542899</v>
      </c>
      <c r="AJ5027">
        <v>83.497392884976804</v>
      </c>
      <c r="AK5027">
        <v>224.832836479761</v>
      </c>
      <c r="AL5027">
        <v>80.949218315633303</v>
      </c>
      <c r="AM5027">
        <v>95.068947092998997</v>
      </c>
      <c r="AN5027">
        <v>1.00000000535581</v>
      </c>
    </row>
    <row r="5028" spans="1:40" x14ac:dyDescent="0.25">
      <c r="A5028" t="str">
        <f>"20190304154857707"</f>
        <v>20190304154857707</v>
      </c>
      <c r="B5028" t="str">
        <f>"1551685737702195"</f>
        <v>1551685737702195</v>
      </c>
      <c r="C5028" t="s">
        <v>40</v>
      </c>
      <c r="D5028">
        <v>4.0927020000000001</v>
      </c>
      <c r="E5028">
        <v>0.57433149999999999</v>
      </c>
      <c r="F5028" t="s">
        <v>67</v>
      </c>
      <c r="G5028">
        <v>-459.875</v>
      </c>
      <c r="H5028">
        <v>9.3099679999999996</v>
      </c>
      <c r="I5028">
        <v>163.3937</v>
      </c>
      <c r="J5028">
        <v>-236.24430000000001</v>
      </c>
      <c r="K5028">
        <v>1.110271</v>
      </c>
      <c r="L5028">
        <v>141.60579999999999</v>
      </c>
      <c r="M5028">
        <v>-0.99985690000000005</v>
      </c>
      <c r="N5028">
        <v>-8.6757420000000002E-3</v>
      </c>
      <c r="O5028">
        <v>-1.4519560000000001E-2</v>
      </c>
      <c r="P5028">
        <v>-0.98354629999999998</v>
      </c>
      <c r="Q5028">
        <v>0.149086</v>
      </c>
      <c r="R5028">
        <v>-0.1020296</v>
      </c>
      <c r="S5028">
        <v>-3.0636290000000002</v>
      </c>
      <c r="T5028">
        <v>0.11220479999999999</v>
      </c>
      <c r="U5028">
        <v>0.29809570000000002</v>
      </c>
      <c r="V5028">
        <v>-8.7747649999999996E-2</v>
      </c>
      <c r="W5028">
        <v>0.1576197</v>
      </c>
      <c r="X5028">
        <v>0.98359359999999996</v>
      </c>
      <c r="Y5028">
        <v>0.1112147</v>
      </c>
      <c r="Z5028">
        <v>-2.2034609999999999E-3</v>
      </c>
      <c r="AA5028">
        <v>0.99379399999999996</v>
      </c>
      <c r="AB5028">
        <v>25</v>
      </c>
      <c r="AC5028">
        <v>-223.63069999999999</v>
      </c>
      <c r="AD5028">
        <v>8.1996970000000005</v>
      </c>
      <c r="AE5028">
        <v>21.7879</v>
      </c>
      <c r="AF5028">
        <v>24.9994512314695</v>
      </c>
      <c r="AG5028">
        <v>8.1996970000000005</v>
      </c>
      <c r="AH5028">
        <v>222.99378487790599</v>
      </c>
      <c r="AI5028">
        <v>87.907226027274405</v>
      </c>
      <c r="AJ5028">
        <v>83.603377235080799</v>
      </c>
      <c r="AK5028">
        <v>224.54049899058401</v>
      </c>
      <c r="AL5028">
        <v>80.931237947334395</v>
      </c>
      <c r="AM5028">
        <v>95.097934527168803</v>
      </c>
      <c r="AN5028">
        <v>0.99999999493478597</v>
      </c>
    </row>
    <row r="5029" spans="1:40" x14ac:dyDescent="0.25">
      <c r="A5029" t="str">
        <f>"20190304154857727"</f>
        <v>20190304154857727</v>
      </c>
      <c r="B5029" t="str">
        <f>"1551685737721715"</f>
        <v>1551685737721715</v>
      </c>
      <c r="C5029" t="s">
        <v>40</v>
      </c>
      <c r="D5029">
        <v>4.1148550000000004</v>
      </c>
      <c r="E5029">
        <v>0.57409600000000005</v>
      </c>
      <c r="F5029" t="s">
        <v>67</v>
      </c>
      <c r="G5029">
        <v>-459.875</v>
      </c>
      <c r="H5029">
        <v>9.1748910000000006</v>
      </c>
      <c r="I5029">
        <v>162.83320000000001</v>
      </c>
      <c r="J5029">
        <v>-236.48500000000001</v>
      </c>
      <c r="K5029">
        <v>1.1102529999999999</v>
      </c>
      <c r="L5029">
        <v>141.60220000000001</v>
      </c>
      <c r="M5029">
        <v>-0.99985670000000004</v>
      </c>
      <c r="N5029">
        <v>-8.6156029999999995E-3</v>
      </c>
      <c r="O5029">
        <v>-1.4572720000000001E-2</v>
      </c>
      <c r="P5029">
        <v>-0.98357000000000006</v>
      </c>
      <c r="Q5029">
        <v>0.14879479999999901</v>
      </c>
      <c r="R5029">
        <v>-0.1022277</v>
      </c>
      <c r="S5029">
        <v>-3.063599</v>
      </c>
      <c r="T5029">
        <v>0.1104802</v>
      </c>
      <c r="U5029">
        <v>0.290802</v>
      </c>
      <c r="V5029">
        <v>-8.7888590000000003E-2</v>
      </c>
      <c r="W5029">
        <v>0.1572722</v>
      </c>
      <c r="X5029">
        <v>0.98363670000000003</v>
      </c>
      <c r="Y5029">
        <v>0.1089272</v>
      </c>
      <c r="Z5029">
        <v>-2.1380890000000001E-3</v>
      </c>
      <c r="AA5029">
        <v>0.99404740000000003</v>
      </c>
      <c r="AB5029">
        <v>25</v>
      </c>
      <c r="AC5029">
        <v>-223.39</v>
      </c>
      <c r="AD5029">
        <v>8.0646380000000004</v>
      </c>
      <c r="AE5029">
        <v>21.230999999999899</v>
      </c>
      <c r="AF5029">
        <v>24.4526823455471</v>
      </c>
      <c r="AG5029">
        <v>8.0646380000000004</v>
      </c>
      <c r="AH5029">
        <v>222.76913744423001</v>
      </c>
      <c r="AI5029">
        <v>87.939064479577894</v>
      </c>
      <c r="AJ5029">
        <v>83.735896621752104</v>
      </c>
      <c r="AK5029">
        <v>224.25222553546601</v>
      </c>
      <c r="AL5029">
        <v>80.951400229362804</v>
      </c>
      <c r="AM5029">
        <v>95.105857012176799</v>
      </c>
      <c r="AN5029">
        <v>1.0000000533659501</v>
      </c>
    </row>
    <row r="5030" spans="1:40" x14ac:dyDescent="0.25">
      <c r="A5030" t="str">
        <f>"20190304154857750"</f>
        <v>20190304154857750</v>
      </c>
      <c r="B5030" t="str">
        <f>"1551685737742211"</f>
        <v>1551685737742211</v>
      </c>
      <c r="C5030" t="s">
        <v>40</v>
      </c>
      <c r="D5030">
        <v>4.0621769999999904</v>
      </c>
      <c r="E5030">
        <v>0.57378980000000002</v>
      </c>
      <c r="F5030" t="s">
        <v>67</v>
      </c>
      <c r="G5030">
        <v>-459.875</v>
      </c>
      <c r="H5030">
        <v>8.999072</v>
      </c>
      <c r="I5030">
        <v>162.6301</v>
      </c>
      <c r="J5030">
        <v>-236.75309999999999</v>
      </c>
      <c r="K5030">
        <v>1.110228</v>
      </c>
      <c r="L5030">
        <v>141.59829999999999</v>
      </c>
      <c r="M5030">
        <v>-0.99985679999999999</v>
      </c>
      <c r="N5030">
        <v>-8.5283240000000003E-3</v>
      </c>
      <c r="O5030">
        <v>-1.462318E-2</v>
      </c>
      <c r="P5030">
        <v>-0.98371989999999998</v>
      </c>
      <c r="Q5030">
        <v>0.14795739999999999</v>
      </c>
      <c r="R5030">
        <v>-0.1020001</v>
      </c>
      <c r="S5030">
        <v>-3.0637210000000001</v>
      </c>
      <c r="T5030">
        <v>0.1081926</v>
      </c>
      <c r="U5030">
        <v>0.28839110000000001</v>
      </c>
      <c r="V5030">
        <v>-8.7607470000000007E-2</v>
      </c>
      <c r="W5030">
        <v>0.1563515</v>
      </c>
      <c r="X5030">
        <v>0.98380849999999997</v>
      </c>
      <c r="Y5030">
        <v>0.10820150000000001</v>
      </c>
      <c r="Z5030">
        <v>-2.0827469999999998E-3</v>
      </c>
      <c r="AA5030">
        <v>0.99412679999999998</v>
      </c>
      <c r="AB5030">
        <v>25</v>
      </c>
      <c r="AC5030">
        <v>-223.12190000000001</v>
      </c>
      <c r="AD5030">
        <v>7.8888439999999997</v>
      </c>
      <c r="AE5030">
        <v>21.0318</v>
      </c>
      <c r="AF5030">
        <v>24.262357991966301</v>
      </c>
      <c r="AG5030">
        <v>7.8888439999999997</v>
      </c>
      <c r="AH5030">
        <v>222.514763765119</v>
      </c>
      <c r="AI5030">
        <v>87.981489606441102</v>
      </c>
      <c r="AJ5030">
        <v>83.777219396243893</v>
      </c>
      <c r="AK5030">
        <v>223.97257860825999</v>
      </c>
      <c r="AL5030">
        <v>81.004812881683193</v>
      </c>
      <c r="AM5030">
        <v>95.088727238975807</v>
      </c>
      <c r="AN5030">
        <v>1.00000001251215</v>
      </c>
    </row>
    <row r="5031" spans="1:40" x14ac:dyDescent="0.25">
      <c r="A5031" t="str">
        <f>"20190304154857772"</f>
        <v>20190304154857772</v>
      </c>
      <c r="B5031" t="str">
        <f>"1551685737761735"</f>
        <v>1551685737761735</v>
      </c>
      <c r="C5031" t="s">
        <v>40</v>
      </c>
      <c r="D5031">
        <v>4.072476</v>
      </c>
      <c r="E5031">
        <v>0.57360290000000003</v>
      </c>
      <c r="F5031" t="s">
        <v>67</v>
      </c>
      <c r="G5031">
        <v>-459.875</v>
      </c>
      <c r="H5031">
        <v>8.6663029999999992</v>
      </c>
      <c r="I5031">
        <v>162.46629999999999</v>
      </c>
      <c r="J5031">
        <v>-236.99379999999999</v>
      </c>
      <c r="K5031">
        <v>1.110204</v>
      </c>
      <c r="L5031">
        <v>141.59469999999999</v>
      </c>
      <c r="M5031">
        <v>-0.99985710000000005</v>
      </c>
      <c r="N5031">
        <v>-8.4236750000000003E-3</v>
      </c>
      <c r="O5031">
        <v>-1.466372E-2</v>
      </c>
      <c r="P5031">
        <v>-0.98380880000000004</v>
      </c>
      <c r="Q5031">
        <v>0.14744860000000001</v>
      </c>
      <c r="R5031">
        <v>-0.1018799</v>
      </c>
      <c r="S5031">
        <v>-3.0637509999999999</v>
      </c>
      <c r="T5031">
        <v>0.1037546</v>
      </c>
      <c r="U5031">
        <v>0.28654479999999999</v>
      </c>
      <c r="V5031">
        <v>-8.7445239999999994E-2</v>
      </c>
      <c r="W5031">
        <v>0.15574109999999999</v>
      </c>
      <c r="X5031">
        <v>0.98391969999999995</v>
      </c>
      <c r="Y5031">
        <v>0.1076527</v>
      </c>
      <c r="Z5031">
        <v>-1.9824809999999999E-3</v>
      </c>
      <c r="AA5031">
        <v>0.99418660000000003</v>
      </c>
      <c r="AB5031">
        <v>25</v>
      </c>
      <c r="AC5031">
        <v>-222.88120000000001</v>
      </c>
      <c r="AD5031">
        <v>7.5560989999999899</v>
      </c>
      <c r="AE5031">
        <v>20.871600000000001</v>
      </c>
      <c r="AF5031">
        <v>24.110268908612699</v>
      </c>
      <c r="AG5031">
        <v>7.5560989999999899</v>
      </c>
      <c r="AH5031">
        <v>222.29789365838201</v>
      </c>
      <c r="AI5031">
        <v>88.064557797660697</v>
      </c>
      <c r="AJ5031">
        <v>83.809937574239001</v>
      </c>
      <c r="AK5031">
        <v>223.72919618122401</v>
      </c>
      <c r="AL5031">
        <v>81.040219570789205</v>
      </c>
      <c r="AM5031">
        <v>95.078782308811697</v>
      </c>
      <c r="AN5031">
        <v>0.99999996813797798</v>
      </c>
    </row>
    <row r="5032" spans="1:40" x14ac:dyDescent="0.25">
      <c r="A5032" t="str">
        <f>"20190304154857794"</f>
        <v>20190304154857794</v>
      </c>
      <c r="B5032" t="str">
        <f>"1551685737791987"</f>
        <v>1551685737791987</v>
      </c>
      <c r="C5032" t="s">
        <v>40</v>
      </c>
      <c r="D5032">
        <v>4.0522859999999996</v>
      </c>
      <c r="E5032">
        <v>0.57336719999999997</v>
      </c>
      <c r="F5032" t="s">
        <v>67</v>
      </c>
      <c r="G5032">
        <v>-459.875</v>
      </c>
      <c r="H5032">
        <v>8.4867380000000008</v>
      </c>
      <c r="I5032">
        <v>162.37469999999999</v>
      </c>
      <c r="J5032">
        <v>-237.24770000000001</v>
      </c>
      <c r="K5032">
        <v>1.1101749999999999</v>
      </c>
      <c r="L5032">
        <v>141.5909</v>
      </c>
      <c r="M5032">
        <v>-0.99985769999999996</v>
      </c>
      <c r="N5032">
        <v>-8.2847159999999993E-3</v>
      </c>
      <c r="O5032">
        <v>-1.4704760000000001E-2</v>
      </c>
      <c r="P5032">
        <v>-0.98386839999999998</v>
      </c>
      <c r="Q5032">
        <v>0.14692239999999901</v>
      </c>
      <c r="R5032">
        <v>-0.1020665</v>
      </c>
      <c r="S5032">
        <v>-3.0637509999999999</v>
      </c>
      <c r="T5032">
        <v>0.10139869999999999</v>
      </c>
      <c r="U5032">
        <v>0.28564450000000002</v>
      </c>
      <c r="V5032">
        <v>-8.7590070000000006E-2</v>
      </c>
      <c r="W5032">
        <v>0.15507879999999999</v>
      </c>
      <c r="X5032">
        <v>0.98401150000000004</v>
      </c>
      <c r="Y5032">
        <v>0.1074066</v>
      </c>
      <c r="Z5032">
        <v>-1.934135E-3</v>
      </c>
      <c r="AA5032">
        <v>0.99421329999999997</v>
      </c>
      <c r="AB5032">
        <v>26</v>
      </c>
      <c r="AC5032">
        <v>-222.62729999999999</v>
      </c>
      <c r="AD5032">
        <v>7.376563</v>
      </c>
      <c r="AE5032">
        <v>20.7837999999999</v>
      </c>
      <c r="AF5032">
        <v>24.029192569856502</v>
      </c>
      <c r="AG5032">
        <v>7.376563</v>
      </c>
      <c r="AH5032">
        <v>222.055914130698</v>
      </c>
      <c r="AI5032">
        <v>88.108403452295093</v>
      </c>
      <c r="AJ5032">
        <v>83.823921279123795</v>
      </c>
      <c r="AK5032">
        <v>223.474036025826</v>
      </c>
      <c r="AL5032">
        <v>81.078633968333904</v>
      </c>
      <c r="AM5032">
        <v>95.086677773631294</v>
      </c>
      <c r="AN5032">
        <v>1.0000000433521401</v>
      </c>
    </row>
    <row r="5033" spans="1:40" x14ac:dyDescent="0.25">
      <c r="A5033" t="str">
        <f>"20190304154857818"</f>
        <v>20190304154857818</v>
      </c>
      <c r="B5033" t="str">
        <f>"1551685737812483"</f>
        <v>1551685737812483</v>
      </c>
      <c r="C5033" t="s">
        <v>40</v>
      </c>
      <c r="D5033">
        <v>4.1989769999999904</v>
      </c>
      <c r="E5033">
        <v>0.573125</v>
      </c>
      <c r="F5033" t="s">
        <v>67</v>
      </c>
      <c r="G5033">
        <v>-459.875</v>
      </c>
      <c r="H5033">
        <v>8.3615750000000002</v>
      </c>
      <c r="I5033">
        <v>162.19899999999899</v>
      </c>
      <c r="J5033">
        <v>-237.51310000000001</v>
      </c>
      <c r="K5033">
        <v>1.1101449999999999</v>
      </c>
      <c r="L5033">
        <v>141.58690000000001</v>
      </c>
      <c r="M5033">
        <v>-0.99985829999999998</v>
      </c>
      <c r="N5033">
        <v>-8.1282509999999995E-3</v>
      </c>
      <c r="O5033">
        <v>-1.474789E-2</v>
      </c>
      <c r="P5033">
        <v>-0.98388830000000005</v>
      </c>
      <c r="Q5033">
        <v>0.14699179999999901</v>
      </c>
      <c r="R5033">
        <v>-0.10177219999999999</v>
      </c>
      <c r="S5033">
        <v>-3.0637050000000001</v>
      </c>
      <c r="T5033">
        <v>9.9790809999999994E-2</v>
      </c>
      <c r="U5033">
        <v>0.28359990000000002</v>
      </c>
      <c r="V5033">
        <v>-8.7253419999999998E-2</v>
      </c>
      <c r="W5033">
        <v>0.15499350000000001</v>
      </c>
      <c r="X5033">
        <v>0.98405480000000001</v>
      </c>
      <c r="Y5033">
        <v>0.106794899999999</v>
      </c>
      <c r="Z5033">
        <v>-1.8988950000000001E-3</v>
      </c>
      <c r="AA5033">
        <v>0.99427929999999998</v>
      </c>
      <c r="AB5033">
        <v>26</v>
      </c>
      <c r="AC5033">
        <v>-222.36189999999999</v>
      </c>
      <c r="AD5033">
        <v>7.25143</v>
      </c>
      <c r="AE5033">
        <v>20.612099999999899</v>
      </c>
      <c r="AF5033">
        <v>23.864172334367399</v>
      </c>
      <c r="AG5033">
        <v>7.25143</v>
      </c>
      <c r="AH5033">
        <v>221.79985153861301</v>
      </c>
      <c r="AI5033">
        <v>88.138200880321705</v>
      </c>
      <c r="AJ5033">
        <v>83.858983524720301</v>
      </c>
      <c r="AK5033">
        <v>223.19779591384901</v>
      </c>
      <c r="AL5033">
        <v>81.083580697262406</v>
      </c>
      <c r="AM5033">
        <v>95.067007443007995</v>
      </c>
      <c r="AN5033">
        <v>0.99999999687349295</v>
      </c>
    </row>
    <row r="5034" spans="1:40" x14ac:dyDescent="0.25">
      <c r="A5034" t="str">
        <f>"20190304154857841"</f>
        <v>20190304154857841</v>
      </c>
      <c r="B5034" t="str">
        <f>"1551685737832004"</f>
        <v>1551685737832004</v>
      </c>
      <c r="C5034" t="s">
        <v>40</v>
      </c>
      <c r="D5034">
        <v>3.896954</v>
      </c>
      <c r="E5034">
        <v>0.62660400000000005</v>
      </c>
      <c r="F5034" t="s">
        <v>67</v>
      </c>
      <c r="G5034">
        <v>-459.875</v>
      </c>
      <c r="H5034">
        <v>7.9592589999999896</v>
      </c>
      <c r="I5034">
        <v>162.13210000000001</v>
      </c>
      <c r="J5034">
        <v>-237.77930000000001</v>
      </c>
      <c r="K5034">
        <v>1.110109</v>
      </c>
      <c r="L5034">
        <v>141.5829</v>
      </c>
      <c r="M5034">
        <v>-0.99985889999999999</v>
      </c>
      <c r="N5034">
        <v>-7.9638269999999997E-3</v>
      </c>
      <c r="O5034">
        <v>-1.4793519999999999E-2</v>
      </c>
      <c r="P5034">
        <v>-0.98387040000000003</v>
      </c>
      <c r="Q5034">
        <v>0.146928799999999</v>
      </c>
      <c r="R5034">
        <v>-0.10203379999999999</v>
      </c>
      <c r="S5034">
        <v>-3.0643009999999999</v>
      </c>
      <c r="T5034">
        <v>9.4385499999999997E-2</v>
      </c>
      <c r="U5034">
        <v>0.28312680000000001</v>
      </c>
      <c r="V5034">
        <v>-8.7471450000000006E-2</v>
      </c>
      <c r="W5034">
        <v>0.1547683</v>
      </c>
      <c r="X5034">
        <v>0.98407089999999997</v>
      </c>
      <c r="Y5034">
        <v>0.1066764</v>
      </c>
      <c r="Z5034">
        <v>-1.785434E-3</v>
      </c>
      <c r="AA5034">
        <v>0.99429219999999896</v>
      </c>
      <c r="AB5034">
        <v>26</v>
      </c>
      <c r="AC5034">
        <v>-222.09569999999999</v>
      </c>
      <c r="AD5034">
        <v>6.8491499999999998</v>
      </c>
      <c r="AE5034">
        <v>20.549199999999999</v>
      </c>
      <c r="AF5034">
        <v>23.810180451165099</v>
      </c>
      <c r="AG5034">
        <v>6.8491499999999998</v>
      </c>
      <c r="AH5034">
        <v>221.55847018881801</v>
      </c>
      <c r="AI5034">
        <v>88.239480835926798</v>
      </c>
      <c r="AJ5034">
        <v>83.866146989506206</v>
      </c>
      <c r="AK5034">
        <v>222.93943406506</v>
      </c>
      <c r="AL5034">
        <v>81.096641413812193</v>
      </c>
      <c r="AM5034">
        <v>95.079520118660895</v>
      </c>
      <c r="AN5034">
        <v>1.0000000087384</v>
      </c>
    </row>
    <row r="5035" spans="1:40" x14ac:dyDescent="0.25">
      <c r="A5035" t="str">
        <f>"20190304154857862"</f>
        <v>20190304154857862</v>
      </c>
      <c r="B5035" t="str">
        <f>"1551685737851754"</f>
        <v>1551685737851754</v>
      </c>
      <c r="C5035" t="s">
        <v>40</v>
      </c>
      <c r="D5035">
        <v>3.9485980000000001</v>
      </c>
      <c r="E5035">
        <v>0.64986709999999903</v>
      </c>
      <c r="F5035" t="s">
        <v>44</v>
      </c>
      <c r="G5035">
        <v>-254.2063</v>
      </c>
      <c r="H5035" s="1">
        <v>-3.8531249999999996E-6</v>
      </c>
      <c r="I5035">
        <v>145.30170000000001</v>
      </c>
      <c r="J5035">
        <v>-238.03139999999999</v>
      </c>
      <c r="K5035">
        <v>1.110082</v>
      </c>
      <c r="L5035">
        <v>141.57919999999999</v>
      </c>
      <c r="M5035">
        <v>-0.99985959999999996</v>
      </c>
      <c r="N5035">
        <v>-7.7952169999999897E-3</v>
      </c>
      <c r="O5035">
        <v>-1.483949E-2</v>
      </c>
      <c r="P5035">
        <v>-0.9839289</v>
      </c>
      <c r="Q5035">
        <v>0.14640610000000001</v>
      </c>
      <c r="R5035">
        <v>-0.1022208</v>
      </c>
      <c r="S5035">
        <v>-3.155106</v>
      </c>
      <c r="T5035">
        <v>-0.21321870000000001</v>
      </c>
      <c r="U5035">
        <v>0.714279199999999</v>
      </c>
      <c r="V5035">
        <v>-8.761331E-2</v>
      </c>
      <c r="W5035">
        <v>0.1540801</v>
      </c>
      <c r="X5035">
        <v>0.98416630000000005</v>
      </c>
      <c r="Y5035">
        <v>0.23465420000000001</v>
      </c>
      <c r="Z5035">
        <v>9.6238520000000004E-3</v>
      </c>
      <c r="AA5035">
        <v>0.97203119999999998</v>
      </c>
      <c r="AB5035">
        <v>26</v>
      </c>
      <c r="AC5035">
        <v>-16.174900000000001</v>
      </c>
      <c r="AD5035">
        <v>-1.110085853125</v>
      </c>
      <c r="AE5035">
        <v>3.7225000000000201</v>
      </c>
      <c r="AF5035">
        <v>3.94448026188121</v>
      </c>
      <c r="AG5035">
        <v>-1.110085853125</v>
      </c>
      <c r="AH5035">
        <v>16.046100124457901</v>
      </c>
      <c r="AI5035">
        <v>93.843412086275094</v>
      </c>
      <c r="AJ5035">
        <v>76.189291572855097</v>
      </c>
      <c r="AK5035">
        <v>16.561055049175099</v>
      </c>
      <c r="AL5035">
        <v>81.1365513594764</v>
      </c>
      <c r="AM5035">
        <v>95.087224225252498</v>
      </c>
      <c r="AN5035">
        <v>1.0000000376804199</v>
      </c>
    </row>
    <row r="5036" spans="1:40" x14ac:dyDescent="0.25">
      <c r="A5036" t="str">
        <f>"20190304154857885"</f>
        <v>20190304154857885</v>
      </c>
      <c r="B5036" t="str">
        <f>"1551685737882007"</f>
        <v>1551685737882007</v>
      </c>
      <c r="C5036" t="s">
        <v>40</v>
      </c>
      <c r="D5036">
        <v>3.9296250000000001</v>
      </c>
      <c r="E5036">
        <v>0.66100309999999995</v>
      </c>
      <c r="F5036" t="s">
        <v>44</v>
      </c>
      <c r="G5036">
        <v>-252.27549999999999</v>
      </c>
      <c r="H5036" s="1">
        <v>-4.5647450000000003E-6</v>
      </c>
      <c r="I5036">
        <v>145.60929999999999</v>
      </c>
      <c r="J5036">
        <v>-238.29859999999999</v>
      </c>
      <c r="K5036">
        <v>1.110053</v>
      </c>
      <c r="L5036">
        <v>141.57509999999999</v>
      </c>
      <c r="M5036">
        <v>-0.99986019999999998</v>
      </c>
      <c r="N5036">
        <v>-7.6068840000000004E-3</v>
      </c>
      <c r="O5036">
        <v>-1.489029E-2</v>
      </c>
      <c r="P5036">
        <v>-0.98386410000000002</v>
      </c>
      <c r="Q5036">
        <v>0.14652379999999901</v>
      </c>
      <c r="R5036">
        <v>-0.10267469999999999</v>
      </c>
      <c r="S5036">
        <v>-3.1793209999999998</v>
      </c>
      <c r="T5036">
        <v>-0.24777589999999999</v>
      </c>
      <c r="U5036">
        <v>0.89956669999999905</v>
      </c>
      <c r="V5036">
        <v>-8.8018799999999994E-2</v>
      </c>
      <c r="W5036">
        <v>0.1540108</v>
      </c>
      <c r="X5036">
        <v>0.98414089999999999</v>
      </c>
      <c r="Y5036">
        <v>0.28563270000000002</v>
      </c>
      <c r="Z5036">
        <v>1.303548E-2</v>
      </c>
      <c r="AA5036">
        <v>0.95825050000000001</v>
      </c>
      <c r="AB5036">
        <v>26</v>
      </c>
      <c r="AC5036">
        <v>-13.976900000000001</v>
      </c>
      <c r="AD5036">
        <v>-1.1100575647449999</v>
      </c>
      <c r="AE5036">
        <v>4.0341999999999896</v>
      </c>
      <c r="AF5036">
        <v>4.2173230531628798</v>
      </c>
      <c r="AG5036">
        <v>-1.1100575647449999</v>
      </c>
      <c r="AH5036">
        <v>13.834724150802399</v>
      </c>
      <c r="AI5036">
        <v>94.388861328538894</v>
      </c>
      <c r="AJ5036">
        <v>73.046887198382507</v>
      </c>
      <c r="AK5036">
        <v>14.5057793262059</v>
      </c>
      <c r="AL5036">
        <v>81.140569348961407</v>
      </c>
      <c r="AM5036">
        <v>95.1107756081839</v>
      </c>
      <c r="AN5036">
        <v>0.99999997336144397</v>
      </c>
    </row>
    <row r="5037" spans="1:40" x14ac:dyDescent="0.25">
      <c r="A5037" t="str">
        <f>"20190304154857908"</f>
        <v>20190304154857908</v>
      </c>
      <c r="B5037" t="str">
        <f>"1551685737902502"</f>
        <v>1551685737902502</v>
      </c>
      <c r="C5037" t="s">
        <v>40</v>
      </c>
      <c r="D5037">
        <v>3.913815</v>
      </c>
      <c r="E5037">
        <v>0.66220829999999997</v>
      </c>
      <c r="F5037" t="s">
        <v>44</v>
      </c>
      <c r="G5037">
        <v>-251.80019999999999</v>
      </c>
      <c r="H5037" s="1">
        <v>-4.7515649999999996E-6</v>
      </c>
      <c r="I5037">
        <v>145.75069999999999</v>
      </c>
      <c r="J5037">
        <v>-238.55330000000001</v>
      </c>
      <c r="K5037">
        <v>1.11002</v>
      </c>
      <c r="L5037">
        <v>141.57130000000001</v>
      </c>
      <c r="M5037">
        <v>-0.99986090000000005</v>
      </c>
      <c r="N5037">
        <v>-7.430674E-3</v>
      </c>
      <c r="O5037">
        <v>-1.494067E-2</v>
      </c>
      <c r="P5037">
        <v>-0.98389490000000002</v>
      </c>
      <c r="Q5037">
        <v>0.14588319999999999</v>
      </c>
      <c r="R5037">
        <v>-0.1032911</v>
      </c>
      <c r="S5037">
        <v>-3.1912690000000001</v>
      </c>
      <c r="T5037">
        <v>-0.26237519999999998</v>
      </c>
      <c r="U5037">
        <v>0.98696899999999999</v>
      </c>
      <c r="V5037">
        <v>-8.8585739999999996E-2</v>
      </c>
      <c r="W5037">
        <v>0.153197</v>
      </c>
      <c r="X5037">
        <v>0.98421700000000001</v>
      </c>
      <c r="Y5037">
        <v>0.30862270000000003</v>
      </c>
      <c r="Z5037">
        <v>1.4643359999999999E-2</v>
      </c>
      <c r="AA5037">
        <v>0.95107180000000002</v>
      </c>
      <c r="AB5037">
        <v>26</v>
      </c>
      <c r="AC5037">
        <v>-13.246899999999901</v>
      </c>
      <c r="AD5037">
        <v>-1.1100247515649999</v>
      </c>
      <c r="AE5037">
        <v>4.1793999999999798</v>
      </c>
      <c r="AF5037">
        <v>4.3490834418085598</v>
      </c>
      <c r="AG5037">
        <v>-1.1100247515649999</v>
      </c>
      <c r="AH5037">
        <v>13.099324919045801</v>
      </c>
      <c r="AI5037">
        <v>94.5979719374414</v>
      </c>
      <c r="AJ5037">
        <v>71.633409805167005</v>
      </c>
      <c r="AK5037">
        <v>13.8469850533477</v>
      </c>
      <c r="AL5037">
        <v>81.187756254773902</v>
      </c>
      <c r="AM5037">
        <v>95.143123165502104</v>
      </c>
      <c r="AN5037">
        <v>0.99999992861467102</v>
      </c>
    </row>
    <row r="5038" spans="1:40" x14ac:dyDescent="0.25">
      <c r="A5038" t="str">
        <f>"20190304154857929"</f>
        <v>20190304154857929</v>
      </c>
      <c r="B5038" t="str">
        <f>"1551685737922022"</f>
        <v>1551685737922022</v>
      </c>
      <c r="C5038" t="s">
        <v>40</v>
      </c>
      <c r="D5038">
        <v>3.8486940000000001</v>
      </c>
      <c r="E5038">
        <v>0.66119890000000003</v>
      </c>
      <c r="F5038" t="s">
        <v>44</v>
      </c>
      <c r="G5038">
        <v>-251.7816</v>
      </c>
      <c r="H5038" s="1">
        <v>-4.747536E-6</v>
      </c>
      <c r="I5038">
        <v>145.69239999999999</v>
      </c>
      <c r="J5038">
        <v>-238.81209999999999</v>
      </c>
      <c r="K5038">
        <v>1.1100000000000001</v>
      </c>
      <c r="L5038">
        <v>141.56739999999999</v>
      </c>
      <c r="M5038">
        <v>-0.99986129999999995</v>
      </c>
      <c r="N5038">
        <v>-7.2649609999999899E-3</v>
      </c>
      <c r="O5038">
        <v>-1.499264E-2</v>
      </c>
      <c r="P5038">
        <v>-0.98392880000000005</v>
      </c>
      <c r="Q5038">
        <v>0.14569470000000001</v>
      </c>
      <c r="R5038">
        <v>-0.1032346</v>
      </c>
      <c r="S5038">
        <v>-3.1932680000000002</v>
      </c>
      <c r="T5038">
        <v>-0.267957</v>
      </c>
      <c r="U5038">
        <v>0.99484249999999996</v>
      </c>
      <c r="V5038">
        <v>-8.8477970000000003E-2</v>
      </c>
      <c r="W5038">
        <v>0.1528455</v>
      </c>
      <c r="X5038">
        <v>0.98428139999999997</v>
      </c>
      <c r="Y5038">
        <v>0.31059490000000001</v>
      </c>
      <c r="Z5038">
        <v>1.498669E-2</v>
      </c>
      <c r="AA5038">
        <v>0.9504243</v>
      </c>
      <c r="AB5038">
        <v>26</v>
      </c>
      <c r="AC5038">
        <v>-12.9695</v>
      </c>
      <c r="AD5038">
        <v>-1.110004747536</v>
      </c>
      <c r="AE5038">
        <v>4.125</v>
      </c>
      <c r="AF5038">
        <v>4.29044835873077</v>
      </c>
      <c r="AG5038">
        <v>-1.110004747536</v>
      </c>
      <c r="AH5038">
        <v>12.8209109987295</v>
      </c>
      <c r="AI5038">
        <v>94.693596331227198</v>
      </c>
      <c r="AJ5038">
        <v>71.497461857400097</v>
      </c>
      <c r="AK5038">
        <v>13.5652429574937</v>
      </c>
      <c r="AL5038">
        <v>81.208136244488898</v>
      </c>
      <c r="AM5038">
        <v>95.136565434387904</v>
      </c>
      <c r="AN5038">
        <v>0.99999998621576502</v>
      </c>
    </row>
    <row r="5039" spans="1:40" x14ac:dyDescent="0.25">
      <c r="A5039" t="str">
        <f>"20190304154857952"</f>
        <v>20190304154857952</v>
      </c>
      <c r="B5039" t="str">
        <f>"1551685737941753"</f>
        <v>1551685737941753</v>
      </c>
      <c r="C5039" t="s">
        <v>40</v>
      </c>
      <c r="D5039">
        <v>3.9376350000000002</v>
      </c>
      <c r="E5039">
        <v>0.6613888</v>
      </c>
      <c r="F5039" t="s">
        <v>44</v>
      </c>
      <c r="G5039">
        <v>-252.42150000000001</v>
      </c>
      <c r="H5039" s="1">
        <v>-4.544683E-6</v>
      </c>
      <c r="I5039">
        <v>145.7764</v>
      </c>
      <c r="J5039">
        <v>-239.07820000000001</v>
      </c>
      <c r="K5039">
        <v>1.1099829999999999</v>
      </c>
      <c r="L5039">
        <v>141.5633</v>
      </c>
      <c r="M5039">
        <v>-0.99986160000000002</v>
      </c>
      <c r="N5039">
        <v>-7.1111450000000001E-3</v>
      </c>
      <c r="O5039">
        <v>-1.50467E-2</v>
      </c>
      <c r="P5039">
        <v>-0.98384450000000001</v>
      </c>
      <c r="Q5039">
        <v>0.1458942</v>
      </c>
      <c r="R5039">
        <v>-0.10375520000000001</v>
      </c>
      <c r="S5039">
        <v>-3.191071</v>
      </c>
      <c r="T5039">
        <v>-0.26026919999999998</v>
      </c>
      <c r="U5039">
        <v>0.9869232</v>
      </c>
      <c r="V5039">
        <v>-8.8947120000000005E-2</v>
      </c>
      <c r="W5039">
        <v>0.1528931</v>
      </c>
      <c r="X5039">
        <v>0.98423170000000004</v>
      </c>
      <c r="Y5039">
        <v>0.3087472</v>
      </c>
      <c r="Z5039">
        <v>1.450276E-2</v>
      </c>
      <c r="AA5039">
        <v>0.95103360000000003</v>
      </c>
      <c r="AB5039">
        <v>26</v>
      </c>
      <c r="AC5039">
        <v>-13.343299999999999</v>
      </c>
      <c r="AD5039">
        <v>-1.1099875446830001</v>
      </c>
      <c r="AE5039">
        <v>4.2130999999999901</v>
      </c>
      <c r="AF5039">
        <v>4.3858021651973402</v>
      </c>
      <c r="AG5039">
        <v>-1.1099875446830001</v>
      </c>
      <c r="AH5039">
        <v>13.1953600455663</v>
      </c>
      <c r="AI5039">
        <v>94.563999559827806</v>
      </c>
      <c r="AJ5039">
        <v>71.614505000230594</v>
      </c>
      <c r="AK5039">
        <v>13.949367717345799</v>
      </c>
      <c r="AL5039">
        <v>81.205376338374407</v>
      </c>
      <c r="AM5039">
        <v>95.163914296881899</v>
      </c>
      <c r="AN5039">
        <v>0.99999996473439601</v>
      </c>
    </row>
    <row r="5040" spans="1:40" x14ac:dyDescent="0.25">
      <c r="A5040" t="str">
        <f>"20190304154857973"</f>
        <v>20190304154857973</v>
      </c>
      <c r="B5040" t="str">
        <f>"1551685737962246"</f>
        <v>1551685737962246</v>
      </c>
      <c r="C5040" t="s">
        <v>40</v>
      </c>
      <c r="D5040">
        <v>3.8642720000000002</v>
      </c>
      <c r="E5040">
        <v>0.66153209999999996</v>
      </c>
      <c r="F5040" t="s">
        <v>44</v>
      </c>
      <c r="G5040">
        <v>-252.91079999999999</v>
      </c>
      <c r="H5040" s="1">
        <v>-4.3894809999999998E-6</v>
      </c>
      <c r="I5040">
        <v>145.84010000000001</v>
      </c>
      <c r="J5040">
        <v>-239.3331</v>
      </c>
      <c r="K5040">
        <v>1.1099680000000001</v>
      </c>
      <c r="L5040">
        <v>141.55940000000001</v>
      </c>
      <c r="M5040">
        <v>-0.99986169999999996</v>
      </c>
      <c r="N5040">
        <v>-6.9803269999999997E-3</v>
      </c>
      <c r="O5040">
        <v>-1.509835E-2</v>
      </c>
      <c r="P5040">
        <v>-0.98385699999999998</v>
      </c>
      <c r="Q5040">
        <v>0.14622489999999999</v>
      </c>
      <c r="R5040">
        <v>-0.1031688</v>
      </c>
      <c r="S5040">
        <v>-3.191284</v>
      </c>
      <c r="T5040">
        <v>-0.25608370000000003</v>
      </c>
      <c r="U5040">
        <v>0.98670959999999996</v>
      </c>
      <c r="V5040">
        <v>-8.8309319999999997E-2</v>
      </c>
      <c r="W5040">
        <v>0.153094799999999</v>
      </c>
      <c r="X5040">
        <v>0.98425779999999996</v>
      </c>
      <c r="Y5040">
        <v>0.30875419999999998</v>
      </c>
      <c r="Z5040">
        <v>1.4271030000000001E-2</v>
      </c>
      <c r="AA5040">
        <v>0.95103479999999996</v>
      </c>
      <c r="AB5040">
        <v>26</v>
      </c>
      <c r="AC5040">
        <v>-13.577699999999901</v>
      </c>
      <c r="AD5040">
        <v>-1.1099723894810001</v>
      </c>
      <c r="AE5040">
        <v>4.2806999999999897</v>
      </c>
      <c r="AF5040">
        <v>4.4581179284197798</v>
      </c>
      <c r="AG5040">
        <v>-1.1099723894810001</v>
      </c>
      <c r="AH5040">
        <v>13.429881759861299</v>
      </c>
      <c r="AI5040">
        <v>94.485127390228399</v>
      </c>
      <c r="AJ5040">
        <v>71.636150081883201</v>
      </c>
      <c r="AK5040">
        <v>14.193962739593299</v>
      </c>
      <c r="AL5040">
        <v>81.193682287212098</v>
      </c>
      <c r="AM5040">
        <v>95.126949003454399</v>
      </c>
      <c r="AN5040">
        <v>0.99999998532337098</v>
      </c>
    </row>
    <row r="5041" spans="1:40" x14ac:dyDescent="0.25">
      <c r="A5041" t="str">
        <f>"20190304154857995"</f>
        <v>20190304154857995</v>
      </c>
      <c r="B5041" t="str">
        <f>"1551685737992502"</f>
        <v>1551685737992502</v>
      </c>
      <c r="C5041" t="s">
        <v>40</v>
      </c>
      <c r="D5041">
        <v>3.8607360000000002</v>
      </c>
      <c r="E5041">
        <v>0.66207890000000003</v>
      </c>
      <c r="F5041" t="s">
        <v>44</v>
      </c>
      <c r="G5041">
        <v>-253.43729999999999</v>
      </c>
      <c r="H5041" s="1">
        <v>-4.2271840000000004E-6</v>
      </c>
      <c r="I5041">
        <v>145.93510000000001</v>
      </c>
      <c r="J5041">
        <v>-239.58879999999999</v>
      </c>
      <c r="K5041">
        <v>1.109953</v>
      </c>
      <c r="L5041">
        <v>141.55549999999999</v>
      </c>
      <c r="M5041">
        <v>-0.99986169999999996</v>
      </c>
      <c r="N5041">
        <v>-6.8631639999999997E-3</v>
      </c>
      <c r="O5041">
        <v>-1.514981E-2</v>
      </c>
      <c r="P5041">
        <v>-0.98394369999999998</v>
      </c>
      <c r="Q5041">
        <v>0.14588960000000001</v>
      </c>
      <c r="R5041">
        <v>-0.1028155</v>
      </c>
      <c r="S5041">
        <v>-3.1903380000000001</v>
      </c>
      <c r="T5041">
        <v>-0.25107479999999999</v>
      </c>
      <c r="U5041">
        <v>0.98979189999999995</v>
      </c>
      <c r="V5041">
        <v>-8.7904830000000003E-2</v>
      </c>
      <c r="W5041">
        <v>0.1526448</v>
      </c>
      <c r="X5041">
        <v>0.98436389999999996</v>
      </c>
      <c r="Y5041">
        <v>0.30975710000000001</v>
      </c>
      <c r="Z5041">
        <v>1.404304E-2</v>
      </c>
      <c r="AA5041">
        <v>0.950712</v>
      </c>
      <c r="AB5041">
        <v>26</v>
      </c>
      <c r="AC5041">
        <v>-13.8485</v>
      </c>
      <c r="AD5041">
        <v>-1.1099572271839999</v>
      </c>
      <c r="AE5041">
        <v>4.3796000000000097</v>
      </c>
      <c r="AF5041">
        <v>4.5622610907275796</v>
      </c>
      <c r="AG5041">
        <v>-1.1099572271839999</v>
      </c>
      <c r="AH5041">
        <v>13.7005485190131</v>
      </c>
      <c r="AI5041">
        <v>94.3954430040733</v>
      </c>
      <c r="AJ5041">
        <v>71.582322816351606</v>
      </c>
      <c r="AK5041">
        <v>14.4827918934153</v>
      </c>
      <c r="AL5041">
        <v>81.219772087775198</v>
      </c>
      <c r="AM5041">
        <v>95.103042756640804</v>
      </c>
      <c r="AN5041">
        <v>0.99999999086378899</v>
      </c>
    </row>
    <row r="5042" spans="1:40" x14ac:dyDescent="0.25">
      <c r="A5042" t="str">
        <f>"20190304154858019"</f>
        <v>20190304154858019</v>
      </c>
      <c r="B5042" t="str">
        <f>"1551685738012022"</f>
        <v>1551685738012022</v>
      </c>
      <c r="C5042" t="s">
        <v>40</v>
      </c>
      <c r="D5042">
        <v>3.9646089999999998</v>
      </c>
      <c r="E5042">
        <v>0.66127349999999996</v>
      </c>
      <c r="F5042" t="s">
        <v>44</v>
      </c>
      <c r="G5042">
        <v>-253.8092</v>
      </c>
      <c r="H5042" s="1">
        <v>-4.1107719999999997E-6</v>
      </c>
      <c r="I5042">
        <v>145.9923</v>
      </c>
      <c r="J5042">
        <v>-239.8784</v>
      </c>
      <c r="K5042">
        <v>1.109942</v>
      </c>
      <c r="L5042">
        <v>141.55109999999999</v>
      </c>
      <c r="M5042">
        <v>-0.99986169999999996</v>
      </c>
      <c r="N5042">
        <v>-6.7473979999999999E-3</v>
      </c>
      <c r="O5042">
        <v>-1.520795E-2</v>
      </c>
      <c r="P5042">
        <v>-0.98400149999999997</v>
      </c>
      <c r="Q5042">
        <v>0.14576320000000001</v>
      </c>
      <c r="R5042">
        <v>-0.1024417</v>
      </c>
      <c r="S5042">
        <v>-3.1898960000000001</v>
      </c>
      <c r="T5042">
        <v>-0.24898580000000001</v>
      </c>
      <c r="U5042">
        <v>0.99528499999999998</v>
      </c>
      <c r="V5042">
        <v>-8.7473469999999998E-2</v>
      </c>
      <c r="W5042">
        <v>0.1524044</v>
      </c>
      <c r="X5042">
        <v>0.98443959999999997</v>
      </c>
      <c r="Y5042">
        <v>0.31135429999999997</v>
      </c>
      <c r="Z5042">
        <v>1.398718E-2</v>
      </c>
      <c r="AA5042">
        <v>0.95019100000000001</v>
      </c>
      <c r="AB5042">
        <v>27</v>
      </c>
      <c r="AC5042">
        <v>-13.9308</v>
      </c>
      <c r="AD5042">
        <v>-1.1099461107719999</v>
      </c>
      <c r="AE5042">
        <v>4.4412000000000003</v>
      </c>
      <c r="AF5042">
        <v>4.6258932067835898</v>
      </c>
      <c r="AG5042">
        <v>-1.1099461107719999</v>
      </c>
      <c r="AH5042">
        <v>13.782225251982499</v>
      </c>
      <c r="AI5042">
        <v>94.365993520233701</v>
      </c>
      <c r="AJ5042">
        <v>71.446086222376195</v>
      </c>
      <c r="AK5042">
        <v>14.580144074245901</v>
      </c>
      <c r="AL5042">
        <v>81.233709296418297</v>
      </c>
      <c r="AM5042">
        <v>95.077744290030495</v>
      </c>
      <c r="AN5042">
        <v>1.00000001757068</v>
      </c>
    </row>
    <row r="5043" spans="1:40" x14ac:dyDescent="0.25">
      <c r="A5043" t="str">
        <f>"20190304154858041"</f>
        <v>20190304154858041</v>
      </c>
      <c r="B5043" t="str">
        <f>"1551685738031545"</f>
        <v>1551685738031545</v>
      </c>
      <c r="C5043" t="s">
        <v>40</v>
      </c>
      <c r="D5043">
        <v>3.9105569999999998</v>
      </c>
      <c r="E5043">
        <v>0.65999399999999997</v>
      </c>
      <c r="F5043" t="s">
        <v>44</v>
      </c>
      <c r="G5043">
        <v>-253.99959999999999</v>
      </c>
      <c r="H5043" s="1">
        <v>-4.0361890000000003E-6</v>
      </c>
      <c r="I5043">
        <v>145.93719999999999</v>
      </c>
      <c r="J5043">
        <v>-240.1379</v>
      </c>
      <c r="K5043">
        <v>1.109939</v>
      </c>
      <c r="L5043">
        <v>141.5471</v>
      </c>
      <c r="M5043">
        <v>-0.99986149999999996</v>
      </c>
      <c r="N5043">
        <v>-6.6573880000000002E-3</v>
      </c>
      <c r="O5043">
        <v>-1.525987E-2</v>
      </c>
      <c r="P5043">
        <v>-0.98402480000000003</v>
      </c>
      <c r="Q5043">
        <v>0.14603659999999999</v>
      </c>
      <c r="R5043">
        <v>-0.1018279</v>
      </c>
      <c r="S5043">
        <v>-3.1890559999999999</v>
      </c>
      <c r="T5043">
        <v>-0.250666</v>
      </c>
      <c r="U5043">
        <v>0.99055479999999996</v>
      </c>
      <c r="V5043">
        <v>-8.6808120000000003E-2</v>
      </c>
      <c r="W5043">
        <v>0.15258920000000001</v>
      </c>
      <c r="X5043">
        <v>0.98446979999999995</v>
      </c>
      <c r="Y5043">
        <v>0.31018030000000002</v>
      </c>
      <c r="Z5043">
        <v>1.402222E-2</v>
      </c>
      <c r="AA5043">
        <v>0.95057429999999998</v>
      </c>
      <c r="AB5043">
        <v>27</v>
      </c>
      <c r="AC5043">
        <v>-13.8616999999999</v>
      </c>
      <c r="AD5043">
        <v>-1.1099430361889999</v>
      </c>
      <c r="AE5043">
        <v>4.3900999999999897</v>
      </c>
      <c r="AF5043">
        <v>4.5744651291191101</v>
      </c>
      <c r="AG5043">
        <v>-1.1099430361889999</v>
      </c>
      <c r="AH5043">
        <v>13.7131833337844</v>
      </c>
      <c r="AI5043">
        <v>94.390588053055296</v>
      </c>
      <c r="AJ5043">
        <v>71.552251873440298</v>
      </c>
      <c r="AK5043">
        <v>14.4985896523453</v>
      </c>
      <c r="AL5043">
        <v>81.222995135926595</v>
      </c>
      <c r="AM5043">
        <v>95.039167250517593</v>
      </c>
      <c r="AN5043">
        <v>0.99999995038330503</v>
      </c>
    </row>
    <row r="5044" spans="1:40" x14ac:dyDescent="0.25">
      <c r="A5044" t="str">
        <f>"20190304154858054"</f>
        <v>20190304154858054</v>
      </c>
      <c r="B5044" t="str">
        <f>"1551685738052038"</f>
        <v>1551685738052038</v>
      </c>
      <c r="C5044" t="s">
        <v>40</v>
      </c>
      <c r="D5044">
        <v>3.9551370000000001</v>
      </c>
      <c r="E5044">
        <v>0.65918959999999904</v>
      </c>
      <c r="F5044" t="s">
        <v>44</v>
      </c>
      <c r="G5044">
        <v>-253.99860000000001</v>
      </c>
      <c r="H5044" s="1">
        <v>-4.0154749999999999E-6</v>
      </c>
      <c r="I5044">
        <v>145.8185</v>
      </c>
      <c r="J5044">
        <v>-240.29859999999999</v>
      </c>
      <c r="K5044">
        <v>1.109936</v>
      </c>
      <c r="L5044">
        <v>141.5446</v>
      </c>
      <c r="M5044">
        <v>-0.99986140000000001</v>
      </c>
      <c r="N5044">
        <v>-6.6070919999999898E-3</v>
      </c>
      <c r="O5044">
        <v>-1.529166E-2</v>
      </c>
      <c r="P5044">
        <v>-0.98411950000000004</v>
      </c>
      <c r="Q5044">
        <v>0.14565239999999999</v>
      </c>
      <c r="R5044">
        <v>-0.1014634</v>
      </c>
      <c r="S5044">
        <v>-3.1882779999999999</v>
      </c>
      <c r="T5044">
        <v>-0.2553127</v>
      </c>
      <c r="U5044">
        <v>0.98254390000000003</v>
      </c>
      <c r="V5044">
        <v>-8.6411189999999999E-2</v>
      </c>
      <c r="W5044">
        <v>0.15215609999999999</v>
      </c>
      <c r="X5044">
        <v>0.9845718</v>
      </c>
      <c r="Y5044">
        <v>0.30806609999999901</v>
      </c>
      <c r="Z5044">
        <v>1.417652E-2</v>
      </c>
      <c r="AA5044">
        <v>0.95125930000000003</v>
      </c>
      <c r="AB5044">
        <v>27</v>
      </c>
      <c r="AC5044">
        <v>-13.7</v>
      </c>
      <c r="AD5044">
        <v>-1.1099400154750001</v>
      </c>
      <c r="AE5044">
        <v>4.2738999999999896</v>
      </c>
      <c r="AF5044">
        <v>4.4562446518617698</v>
      </c>
      <c r="AG5044">
        <v>-1.1099400154750001</v>
      </c>
      <c r="AH5044">
        <v>13.5519778580435</v>
      </c>
      <c r="AI5044">
        <v>94.448880311797694</v>
      </c>
      <c r="AJ5044">
        <v>71.797783111167504</v>
      </c>
      <c r="AK5044">
        <v>14.308954787128901</v>
      </c>
      <c r="AL5044">
        <v>81.248103568571693</v>
      </c>
      <c r="AM5044">
        <v>95.015726472189897</v>
      </c>
      <c r="AN5044">
        <v>1.00000000093983</v>
      </c>
    </row>
    <row r="5045" spans="1:40" x14ac:dyDescent="0.25">
      <c r="A5045" t="str">
        <f>"20190304154858067"</f>
        <v>20190304154858067</v>
      </c>
      <c r="B5045" t="str">
        <f>"1551685738061797"</f>
        <v>1551685738061797</v>
      </c>
      <c r="C5045" t="s">
        <v>40</v>
      </c>
      <c r="D5045">
        <v>4.2547189999999997</v>
      </c>
      <c r="E5045">
        <v>0.65918959999999904</v>
      </c>
      <c r="F5045" t="s">
        <v>44</v>
      </c>
      <c r="G5045">
        <v>-253.79640000000001</v>
      </c>
      <c r="H5045" s="1">
        <v>-4.0597219999999996E-6</v>
      </c>
      <c r="I5045">
        <v>145.68</v>
      </c>
      <c r="J5045">
        <v>-240.46080000000001</v>
      </c>
      <c r="K5045">
        <v>1.109926</v>
      </c>
      <c r="L5045">
        <v>141.5421</v>
      </c>
      <c r="M5045">
        <v>-0.99986109999999995</v>
      </c>
      <c r="N5045">
        <v>-6.5615090000000001E-3</v>
      </c>
      <c r="O5045">
        <v>-1.5323939999999999E-2</v>
      </c>
      <c r="P5045">
        <v>-0.9842381</v>
      </c>
      <c r="Q5045">
        <v>0.14509169999999999</v>
      </c>
      <c r="R5045">
        <v>-0.1011127</v>
      </c>
      <c r="S5045">
        <v>-3.187897</v>
      </c>
      <c r="T5045">
        <v>-0.26214500000000002</v>
      </c>
      <c r="U5045">
        <v>0.97671509999999995</v>
      </c>
      <c r="V5045">
        <v>-8.6026770000000002E-2</v>
      </c>
      <c r="W5045">
        <v>0.1515514</v>
      </c>
      <c r="X5045">
        <v>0.98469870000000004</v>
      </c>
      <c r="Y5045">
        <v>0.30649080000000001</v>
      </c>
      <c r="Z5045">
        <v>1.446181E-2</v>
      </c>
      <c r="AA5045">
        <v>0.95176369999999999</v>
      </c>
      <c r="AB5045">
        <v>27</v>
      </c>
      <c r="AC5045">
        <v>-13.335599999999999</v>
      </c>
      <c r="AD5045">
        <v>-1.1099300597220001</v>
      </c>
      <c r="AE5045">
        <v>4.1379000000000001</v>
      </c>
      <c r="AF5045">
        <v>4.3145092808948098</v>
      </c>
      <c r="AG5045">
        <v>-1.1099300597220001</v>
      </c>
      <c r="AH5045">
        <v>13.1872939802616</v>
      </c>
      <c r="AI5045">
        <v>94.573585932006495</v>
      </c>
      <c r="AJ5045">
        <v>71.8833687684794</v>
      </c>
      <c r="AK5045">
        <v>13.919470449490801</v>
      </c>
      <c r="AL5045">
        <v>81.2831566645729</v>
      </c>
      <c r="AM5045">
        <v>94.992885660926902</v>
      </c>
      <c r="AN5045">
        <v>0.99999998089014097</v>
      </c>
    </row>
    <row r="5046" spans="1:40" x14ac:dyDescent="0.25">
      <c r="A5046" t="str">
        <f>"20190304154858086"</f>
        <v>20190304154858086</v>
      </c>
      <c r="B5046" t="str">
        <f>"1551685738082294"</f>
        <v>1551685738082294</v>
      </c>
      <c r="C5046" t="s">
        <v>40</v>
      </c>
      <c r="D5046">
        <v>3.8544360000000002</v>
      </c>
      <c r="E5046">
        <v>0.66077069999999904</v>
      </c>
      <c r="F5046" t="s">
        <v>44</v>
      </c>
      <c r="G5046">
        <v>-253.83340000000001</v>
      </c>
      <c r="H5046" s="1">
        <v>-4.0406529999999999E-6</v>
      </c>
      <c r="I5046">
        <v>145.64359999999999</v>
      </c>
      <c r="J5046">
        <v>-240.67500000000001</v>
      </c>
      <c r="K5046">
        <v>1.1099159999999999</v>
      </c>
      <c r="L5046">
        <v>141.53880000000001</v>
      </c>
      <c r="M5046">
        <v>-0.99986070000000005</v>
      </c>
      <c r="N5046">
        <v>-6.5076519999999896E-3</v>
      </c>
      <c r="O5046">
        <v>-1.53662E-2</v>
      </c>
      <c r="P5046">
        <v>-0.98447799999999996</v>
      </c>
      <c r="Q5046">
        <v>0.144029399999999</v>
      </c>
      <c r="R5046">
        <v>-0.1002922</v>
      </c>
      <c r="S5046">
        <v>-3.1874850000000001</v>
      </c>
      <c r="T5046">
        <v>-0.26456259999999998</v>
      </c>
      <c r="U5046">
        <v>0.97764589999999996</v>
      </c>
      <c r="V5046">
        <v>-8.5161479999999998E-2</v>
      </c>
      <c r="W5046">
        <v>0.1504375</v>
      </c>
      <c r="X5046">
        <v>0.98494470000000001</v>
      </c>
      <c r="Y5046">
        <v>0.30679970000000001</v>
      </c>
      <c r="Z5046">
        <v>1.459644E-2</v>
      </c>
      <c r="AA5046">
        <v>0.95166220000000001</v>
      </c>
      <c r="AB5046">
        <v>27</v>
      </c>
      <c r="AC5046">
        <v>-13.1584</v>
      </c>
      <c r="AD5046">
        <v>-1.1099200406530001</v>
      </c>
      <c r="AE5046">
        <v>4.1047999999999796</v>
      </c>
      <c r="AF5046">
        <v>4.2787704928686603</v>
      </c>
      <c r="AG5046">
        <v>-1.1099200406530001</v>
      </c>
      <c r="AH5046">
        <v>13.0094161934288</v>
      </c>
      <c r="AI5046">
        <v>94.633448994428306</v>
      </c>
      <c r="AJ5046">
        <v>71.794069866527096</v>
      </c>
      <c r="AK5046">
        <v>13.739894800220799</v>
      </c>
      <c r="AL5046">
        <v>81.347718751133996</v>
      </c>
      <c r="AM5046">
        <v>94.941686947925106</v>
      </c>
      <c r="AN5046">
        <v>0.99999999057006494</v>
      </c>
    </row>
    <row r="5047" spans="1:40" x14ac:dyDescent="0.25">
      <c r="A5047" t="str">
        <f>"20190304154858109"</f>
        <v>20190304154858109</v>
      </c>
      <c r="B5047" t="str">
        <f>"1551685738101814"</f>
        <v>1551685738101814</v>
      </c>
      <c r="C5047" t="s">
        <v>40</v>
      </c>
      <c r="D5047">
        <v>4.01037</v>
      </c>
      <c r="E5047">
        <v>0.66411299999999995</v>
      </c>
      <c r="F5047" t="s">
        <v>44</v>
      </c>
      <c r="G5047">
        <v>-253.61779999999999</v>
      </c>
      <c r="H5047" s="1">
        <v>-4.1009769999999998E-6</v>
      </c>
      <c r="I5047">
        <v>145.56989999999999</v>
      </c>
      <c r="J5047">
        <v>-240.9641</v>
      </c>
      <c r="K5047">
        <v>1.1099159999999999</v>
      </c>
      <c r="L5047">
        <v>141.5343</v>
      </c>
      <c r="M5047">
        <v>-0.99986039999999998</v>
      </c>
      <c r="N5047">
        <v>-6.4444309999999996E-3</v>
      </c>
      <c r="O5047">
        <v>-1.542346E-2</v>
      </c>
      <c r="P5047">
        <v>-0.98461220000000005</v>
      </c>
      <c r="Q5047">
        <v>0.14343069999999999</v>
      </c>
      <c r="R5047">
        <v>-9.9834270000000003E-2</v>
      </c>
      <c r="S5047">
        <v>-3.1884769999999998</v>
      </c>
      <c r="T5047">
        <v>-0.27343210000000001</v>
      </c>
      <c r="U5047">
        <v>0.99310299999999996</v>
      </c>
      <c r="V5047">
        <v>-8.464497E-2</v>
      </c>
      <c r="W5047">
        <v>0.14977699999999999</v>
      </c>
      <c r="X5047">
        <v>0.98508989999999996</v>
      </c>
      <c r="Y5047">
        <v>0.31089630000000001</v>
      </c>
      <c r="Z5047">
        <v>1.5220350000000001E-2</v>
      </c>
      <c r="AA5047">
        <v>0.950322</v>
      </c>
      <c r="AB5047">
        <v>27</v>
      </c>
      <c r="AC5047">
        <v>-12.653699999999899</v>
      </c>
      <c r="AD5047">
        <v>-1.1099201009769999</v>
      </c>
      <c r="AE5047">
        <v>4.0355999999999801</v>
      </c>
      <c r="AF5047">
        <v>4.2009500551830197</v>
      </c>
      <c r="AG5047">
        <v>-1.1099201009769999</v>
      </c>
      <c r="AH5047">
        <v>12.5026371596985</v>
      </c>
      <c r="AI5047">
        <v>94.810195661661297</v>
      </c>
      <c r="AJ5047">
        <v>71.427388075580296</v>
      </c>
      <c r="AK5047">
        <v>13.236156539712301</v>
      </c>
      <c r="AL5047">
        <v>81.385996529780499</v>
      </c>
      <c r="AM5047">
        <v>94.911141909920204</v>
      </c>
      <c r="AN5047">
        <v>1.00000001587865</v>
      </c>
    </row>
    <row r="5048" spans="1:40" x14ac:dyDescent="0.25">
      <c r="A5048" t="str">
        <f>"20190304154858132"</f>
        <v>20190304154858132</v>
      </c>
      <c r="B5048" t="str">
        <f>"1551685738122310"</f>
        <v>1551685738122310</v>
      </c>
      <c r="C5048" t="s">
        <v>40</v>
      </c>
      <c r="D5048">
        <v>3.9723090000000001</v>
      </c>
      <c r="E5048">
        <v>0.66556199999999999</v>
      </c>
      <c r="F5048" t="s">
        <v>44</v>
      </c>
      <c r="G5048">
        <v>-253.87520000000001</v>
      </c>
      <c r="H5048" s="1">
        <v>-4.0304770000000002E-6</v>
      </c>
      <c r="I5048">
        <v>145.66650000000001</v>
      </c>
      <c r="J5048">
        <v>-241.23419999999999</v>
      </c>
      <c r="K5048">
        <v>1.109904</v>
      </c>
      <c r="L5048">
        <v>141.53</v>
      </c>
      <c r="M5048">
        <v>-0.99985979999999997</v>
      </c>
      <c r="N5048">
        <v>-6.3947700000000001E-3</v>
      </c>
      <c r="O5048">
        <v>-1.547695E-2</v>
      </c>
      <c r="P5048">
        <v>-0.9848903</v>
      </c>
      <c r="Q5048">
        <v>0.14209160000000001</v>
      </c>
      <c r="R5048">
        <v>-9.9000539999999998E-2</v>
      </c>
      <c r="S5048">
        <v>-3.190369</v>
      </c>
      <c r="T5048">
        <v>-0.27426349999999999</v>
      </c>
      <c r="U5048">
        <v>1.021088</v>
      </c>
      <c r="V5048">
        <v>-8.3754179999999998E-2</v>
      </c>
      <c r="W5048">
        <v>0.14839079999999999</v>
      </c>
      <c r="X5048">
        <v>0.98537580000000002</v>
      </c>
      <c r="Y5048">
        <v>0.31832919999999998</v>
      </c>
      <c r="Z5048">
        <v>1.5571110000000001E-2</v>
      </c>
      <c r="AA5048">
        <v>0.94785229999999998</v>
      </c>
      <c r="AB5048">
        <v>27</v>
      </c>
      <c r="AC5048">
        <v>-12.641</v>
      </c>
      <c r="AD5048">
        <v>-1.1099080304769999</v>
      </c>
      <c r="AE5048">
        <v>4.1365000000000096</v>
      </c>
      <c r="AF5048">
        <v>4.3016974326841</v>
      </c>
      <c r="AG5048">
        <v>-1.1099080304769999</v>
      </c>
      <c r="AH5048">
        <v>12.4884994739541</v>
      </c>
      <c r="AI5048">
        <v>94.803232947472907</v>
      </c>
      <c r="AJ5048">
        <v>70.993592676512904</v>
      </c>
      <c r="AK5048">
        <v>13.255154308774699</v>
      </c>
      <c r="AL5048">
        <v>81.466317687653799</v>
      </c>
      <c r="AM5048">
        <v>94.858303413692795</v>
      </c>
      <c r="AN5048">
        <v>1.00000002970887</v>
      </c>
    </row>
    <row r="5049" spans="1:40" x14ac:dyDescent="0.25">
      <c r="A5049" t="str">
        <f>"20190304154858154"</f>
        <v>20190304154858154</v>
      </c>
      <c r="B5049" t="str">
        <f>"1551685738141829"</f>
        <v>1551685738141829</v>
      </c>
      <c r="C5049" t="s">
        <v>40</v>
      </c>
      <c r="D5049">
        <v>4.9251800000000001</v>
      </c>
      <c r="E5049">
        <v>0.66472390000000003</v>
      </c>
      <c r="F5049" t="s">
        <v>44</v>
      </c>
      <c r="G5049">
        <v>-254.18889999999999</v>
      </c>
      <c r="H5049" s="1">
        <v>-3.935911E-6</v>
      </c>
      <c r="I5049">
        <v>145.73519999999999</v>
      </c>
      <c r="J5049">
        <v>-241.50280000000001</v>
      </c>
      <c r="K5049">
        <v>1.109891</v>
      </c>
      <c r="L5049">
        <v>141.5258</v>
      </c>
      <c r="M5049">
        <v>-0.99985939999999995</v>
      </c>
      <c r="N5049">
        <v>-6.3538739999999998E-3</v>
      </c>
      <c r="O5049">
        <v>-1.55301E-2</v>
      </c>
      <c r="P5049">
        <v>-0.98510920000000002</v>
      </c>
      <c r="Q5049">
        <v>0.1411616</v>
      </c>
      <c r="R5049">
        <v>-9.8152080000000003E-2</v>
      </c>
      <c r="S5049">
        <v>-3.1894990000000001</v>
      </c>
      <c r="T5049">
        <v>-0.2732636</v>
      </c>
      <c r="U5049">
        <v>1.035339</v>
      </c>
      <c r="V5049">
        <v>-8.285004E-2</v>
      </c>
      <c r="W5049">
        <v>0.1474222</v>
      </c>
      <c r="X5049">
        <v>0.98559759999999996</v>
      </c>
      <c r="Y5049">
        <v>0.32228430000000002</v>
      </c>
      <c r="Z5049">
        <v>1.568864E-2</v>
      </c>
      <c r="AA5049">
        <v>0.94651289999999999</v>
      </c>
      <c r="AB5049">
        <v>27</v>
      </c>
      <c r="AC5049">
        <v>-12.6860999999999</v>
      </c>
      <c r="AD5049">
        <v>-1.109894935911</v>
      </c>
      <c r="AE5049">
        <v>4.20939999999998</v>
      </c>
      <c r="AF5049">
        <v>4.3757411421343102</v>
      </c>
      <c r="AG5049">
        <v>-1.109894935911</v>
      </c>
      <c r="AH5049">
        <v>12.532780499841101</v>
      </c>
      <c r="AI5049">
        <v>94.779371626925496</v>
      </c>
      <c r="AJ5049">
        <v>70.753674442903403</v>
      </c>
      <c r="AK5049">
        <v>13.3210196444914</v>
      </c>
      <c r="AL5049">
        <v>81.522431573875096</v>
      </c>
      <c r="AM5049">
        <v>94.805027731942999</v>
      </c>
      <c r="AN5049">
        <v>1.0000000316533</v>
      </c>
    </row>
    <row r="5050" spans="1:40" x14ac:dyDescent="0.25">
      <c r="A5050" t="str">
        <f>"20190304154858175"</f>
        <v>20190304154858175</v>
      </c>
      <c r="B5050" t="str">
        <f>"1551685738172086"</f>
        <v>1551685738172086</v>
      </c>
      <c r="C5050" t="s">
        <v>40</v>
      </c>
      <c r="D5050">
        <v>3.9861430000000002</v>
      </c>
      <c r="E5050">
        <v>0.66725069999999997</v>
      </c>
      <c r="F5050" t="s">
        <v>44</v>
      </c>
      <c r="G5050">
        <v>-254.0805</v>
      </c>
      <c r="H5050" s="1">
        <v>-3.9478900000000001E-6</v>
      </c>
      <c r="I5050">
        <v>145.59460000000001</v>
      </c>
      <c r="J5050">
        <v>-241.7714</v>
      </c>
      <c r="K5050">
        <v>1.109888</v>
      </c>
      <c r="L5050">
        <v>141.52160000000001</v>
      </c>
      <c r="M5050">
        <v>-0.99985869999999999</v>
      </c>
      <c r="N5050">
        <v>-6.3195450000000002E-3</v>
      </c>
      <c r="O5050">
        <v>-1.558328E-2</v>
      </c>
      <c r="P5050">
        <v>-0.9852476</v>
      </c>
      <c r="Q5050">
        <v>0.14061360000000001</v>
      </c>
      <c r="R5050">
        <v>-9.7546229999999998E-2</v>
      </c>
      <c r="S5050">
        <v>-3.188431</v>
      </c>
      <c r="T5050">
        <v>-0.28135909999999997</v>
      </c>
      <c r="U5050">
        <v>1.0314479999999999</v>
      </c>
      <c r="V5050">
        <v>-8.2189369999999998E-2</v>
      </c>
      <c r="W5050">
        <v>0.1468411</v>
      </c>
      <c r="X5050">
        <v>0.98573960000000005</v>
      </c>
      <c r="Y5050">
        <v>0.32131530000000003</v>
      </c>
      <c r="Z5050">
        <v>1.608542E-2</v>
      </c>
      <c r="AA5050">
        <v>0.9468356</v>
      </c>
      <c r="AB5050">
        <v>27</v>
      </c>
      <c r="AC5050">
        <v>-12.309100000000001</v>
      </c>
      <c r="AD5050">
        <v>-1.10989194788999</v>
      </c>
      <c r="AE5050">
        <v>4.0730000000000004</v>
      </c>
      <c r="AF5050">
        <v>4.2333037392714301</v>
      </c>
      <c r="AG5050">
        <v>-1.10989194788999</v>
      </c>
      <c r="AH5050">
        <v>12.1550610853929</v>
      </c>
      <c r="AI5050">
        <v>94.928481904067993</v>
      </c>
      <c r="AJ5050">
        <v>70.798050962280001</v>
      </c>
      <c r="AK5050">
        <v>12.918909809831201</v>
      </c>
      <c r="AL5050">
        <v>81.556092046743103</v>
      </c>
      <c r="AM5050">
        <v>94.766204810332795</v>
      </c>
      <c r="AN5050">
        <v>0.99999998009918301</v>
      </c>
    </row>
    <row r="5051" spans="1:40" x14ac:dyDescent="0.25">
      <c r="A5051" t="str">
        <f>"20190304154858191"</f>
        <v>20190304154858191</v>
      </c>
      <c r="B5051" t="str">
        <f>"1551685738181846"</f>
        <v>1551685738181846</v>
      </c>
      <c r="C5051" t="s">
        <v>40</v>
      </c>
      <c r="D5051">
        <v>3.957935</v>
      </c>
      <c r="E5051">
        <v>0.66786060000000003</v>
      </c>
      <c r="F5051" t="s">
        <v>44</v>
      </c>
      <c r="G5051">
        <v>-254.2535</v>
      </c>
      <c r="H5051" s="1">
        <v>-3.8977680000000002E-6</v>
      </c>
      <c r="I5051">
        <v>145.64400000000001</v>
      </c>
      <c r="J5051">
        <v>-241.97139999999999</v>
      </c>
      <c r="K5051">
        <v>1.1098840000000001</v>
      </c>
      <c r="L5051">
        <v>141.51849999999999</v>
      </c>
      <c r="M5051">
        <v>-0.99985809999999997</v>
      </c>
      <c r="N5051">
        <v>-6.2975729999999999E-3</v>
      </c>
      <c r="O5051">
        <v>-1.5622560000000001E-2</v>
      </c>
      <c r="P5051">
        <v>-0.98537209999999997</v>
      </c>
      <c r="Q5051">
        <v>0.1403094</v>
      </c>
      <c r="R5051">
        <v>-9.6724000000000004E-2</v>
      </c>
      <c r="S5051">
        <v>-3.1896969999999998</v>
      </c>
      <c r="T5051">
        <v>-0.28362389999999998</v>
      </c>
      <c r="U5051">
        <v>1.0534669999999999</v>
      </c>
      <c r="V5051">
        <v>-8.1326560000000006E-2</v>
      </c>
      <c r="W5051">
        <v>0.14651610000000001</v>
      </c>
      <c r="X5051">
        <v>0.9858595</v>
      </c>
      <c r="Y5051">
        <v>0.327103599999999</v>
      </c>
      <c r="Z5051">
        <v>1.6455230000000001E-2</v>
      </c>
      <c r="AA5051">
        <v>0.94484520000000005</v>
      </c>
      <c r="AB5051">
        <v>27</v>
      </c>
      <c r="AC5051">
        <v>-12.2821</v>
      </c>
      <c r="AD5051">
        <v>-1.109887897768</v>
      </c>
      <c r="AE5051">
        <v>4.1255000000000104</v>
      </c>
      <c r="AF5051">
        <v>4.2854310780433202</v>
      </c>
      <c r="AG5051">
        <v>-1.109887897768</v>
      </c>
      <c r="AH5051">
        <v>12.1271581338467</v>
      </c>
      <c r="AI5051">
        <v>94.931923576639406</v>
      </c>
      <c r="AJ5051">
        <v>70.537879628990694</v>
      </c>
      <c r="AK5051">
        <v>12.9098696768633</v>
      </c>
      <c r="AL5051">
        <v>81.5749166547063</v>
      </c>
      <c r="AM5051">
        <v>94.7158258920566</v>
      </c>
      <c r="AN5051">
        <v>0.99999996533044599</v>
      </c>
    </row>
    <row r="5052" spans="1:40" x14ac:dyDescent="0.25">
      <c r="A5052" t="str">
        <f>"20190304154858209"</f>
        <v>20190304154858209</v>
      </c>
      <c r="B5052" t="str">
        <f>"1551685738202343"</f>
        <v>1551685738202343</v>
      </c>
      <c r="C5052" t="s">
        <v>40</v>
      </c>
      <c r="D5052">
        <v>3.9174660000000001</v>
      </c>
      <c r="E5052">
        <v>0.66841839999999997</v>
      </c>
      <c r="F5052" t="s">
        <v>44</v>
      </c>
      <c r="G5052">
        <v>-254.3835</v>
      </c>
      <c r="H5052" s="1">
        <v>-3.8541750000000002E-6</v>
      </c>
      <c r="I5052">
        <v>145.64750000000001</v>
      </c>
      <c r="J5052">
        <v>-242.18770000000001</v>
      </c>
      <c r="K5052">
        <v>1.1098749999999999</v>
      </c>
      <c r="L5052">
        <v>141.51499999999999</v>
      </c>
      <c r="M5052">
        <v>-0.99985749999999995</v>
      </c>
      <c r="N5052">
        <v>-6.2812989999999997E-3</v>
      </c>
      <c r="O5052">
        <v>-1.5665660000000001E-2</v>
      </c>
      <c r="P5052">
        <v>-0.98552079999999997</v>
      </c>
      <c r="Q5052">
        <v>0.139755399999999</v>
      </c>
      <c r="R5052">
        <v>-9.6007449999999994E-2</v>
      </c>
      <c r="S5052">
        <v>-3.18927</v>
      </c>
      <c r="T5052">
        <v>-0.28518589999999999</v>
      </c>
      <c r="U5052">
        <v>1.060989</v>
      </c>
      <c r="V5052">
        <v>-8.0565739999999997E-2</v>
      </c>
      <c r="W5052">
        <v>0.1459463</v>
      </c>
      <c r="X5052">
        <v>0.98600650000000001</v>
      </c>
      <c r="Y5052">
        <v>0.32916810000000002</v>
      </c>
      <c r="Z5052">
        <v>1.663442E-2</v>
      </c>
      <c r="AA5052">
        <v>0.94412479999999999</v>
      </c>
      <c r="AB5052">
        <v>28</v>
      </c>
      <c r="AC5052">
        <v>-12.195799999999901</v>
      </c>
      <c r="AD5052">
        <v>-1.109878854175</v>
      </c>
      <c r="AE5052">
        <v>4.1325000000000198</v>
      </c>
      <c r="AF5052">
        <v>4.2911730158164598</v>
      </c>
      <c r="AG5052">
        <v>-1.109878854175</v>
      </c>
      <c r="AH5052">
        <v>12.040118358092901</v>
      </c>
      <c r="AI5052">
        <v>94.962638779230801</v>
      </c>
      <c r="AJ5052">
        <v>70.383616653511694</v>
      </c>
      <c r="AK5052">
        <v>12.8300602882255</v>
      </c>
      <c r="AL5052">
        <v>81.607918751526796</v>
      </c>
      <c r="AM5052">
        <v>94.671211531045202</v>
      </c>
      <c r="AN5052">
        <v>0.99999998949384294</v>
      </c>
    </row>
    <row r="5053" spans="1:40" x14ac:dyDescent="0.25">
      <c r="A5053" t="str">
        <f>"20190304154858231"</f>
        <v>20190304154858231</v>
      </c>
      <c r="B5053" t="str">
        <f>"1551685738221862"</f>
        <v>1551685738221862</v>
      </c>
      <c r="C5053" t="s">
        <v>40</v>
      </c>
      <c r="D5053">
        <v>3.9030499999999999</v>
      </c>
      <c r="E5053">
        <v>0.6683673</v>
      </c>
      <c r="F5053" t="s">
        <v>44</v>
      </c>
      <c r="G5053">
        <v>-254.53700000000001</v>
      </c>
      <c r="H5053" s="1">
        <v>-3.8023450000000002E-6</v>
      </c>
      <c r="I5053">
        <v>145.6499</v>
      </c>
      <c r="J5053">
        <v>-242.46260000000001</v>
      </c>
      <c r="K5053">
        <v>1.109872</v>
      </c>
      <c r="L5053">
        <v>141.51070000000001</v>
      </c>
      <c r="M5053">
        <v>-0.99985690000000005</v>
      </c>
      <c r="N5053">
        <v>-6.2679669999999897E-3</v>
      </c>
      <c r="O5053">
        <v>-1.571962E-2</v>
      </c>
      <c r="P5053">
        <v>-0.98566520000000002</v>
      </c>
      <c r="Q5053">
        <v>0.1392659</v>
      </c>
      <c r="R5053">
        <v>-9.5234470000000002E-2</v>
      </c>
      <c r="S5053">
        <v>-3.1887210000000001</v>
      </c>
      <c r="T5053">
        <v>-0.28658460000000002</v>
      </c>
      <c r="U5053">
        <v>1.067688</v>
      </c>
      <c r="V5053">
        <v>-7.9737130000000003E-2</v>
      </c>
      <c r="W5053">
        <v>0.14544480000000001</v>
      </c>
      <c r="X5053">
        <v>0.98614789999999997</v>
      </c>
      <c r="Y5053">
        <v>0.3310323</v>
      </c>
      <c r="Z5053">
        <v>1.67986E-2</v>
      </c>
      <c r="AA5053">
        <v>0.94346989999999997</v>
      </c>
      <c r="AB5053">
        <v>28</v>
      </c>
      <c r="AC5053">
        <v>-12.074399999999899</v>
      </c>
      <c r="AD5053">
        <v>-1.1098758023449999</v>
      </c>
      <c r="AE5053">
        <v>4.1391999999999802</v>
      </c>
      <c r="AF5053">
        <v>4.2960162304586902</v>
      </c>
      <c r="AG5053">
        <v>-1.1098758023449999</v>
      </c>
      <c r="AH5053">
        <v>11.9177333993284</v>
      </c>
      <c r="AI5053">
        <v>95.006890598234506</v>
      </c>
      <c r="AJ5053">
        <v>70.177156437924793</v>
      </c>
      <c r="AK5053">
        <v>12.716915865352901</v>
      </c>
      <c r="AL5053">
        <v>81.636962082551605</v>
      </c>
      <c r="AM5053">
        <v>94.622717919785302</v>
      </c>
      <c r="AN5053">
        <v>0.99999994021104099</v>
      </c>
    </row>
    <row r="5054" spans="1:40" x14ac:dyDescent="0.25">
      <c r="A5054" t="str">
        <f>"20190304154858246"</f>
        <v>20190304154858246</v>
      </c>
      <c r="B5054" t="str">
        <f>"1551685738242358"</f>
        <v>1551685738242358</v>
      </c>
      <c r="C5054" t="s">
        <v>40</v>
      </c>
      <c r="D5054">
        <v>3.8571610000000001</v>
      </c>
      <c r="E5054">
        <v>0.66838399999999998</v>
      </c>
      <c r="F5054" t="s">
        <v>44</v>
      </c>
      <c r="G5054">
        <v>-254.72479999999999</v>
      </c>
      <c r="H5054" s="1">
        <v>-3.7341E-6</v>
      </c>
      <c r="I5054">
        <v>145.62549999999999</v>
      </c>
      <c r="J5054">
        <v>-242.6403</v>
      </c>
      <c r="K5054">
        <v>1.1098709999999901</v>
      </c>
      <c r="L5054">
        <v>141.50790000000001</v>
      </c>
      <c r="M5054">
        <v>-0.99985619999999997</v>
      </c>
      <c r="N5054">
        <v>-6.2630740000000004E-3</v>
      </c>
      <c r="O5054">
        <v>-1.5754540000000001E-2</v>
      </c>
      <c r="P5054">
        <v>-0.98569879999999999</v>
      </c>
      <c r="Q5054">
        <v>0.1392996</v>
      </c>
      <c r="R5054">
        <v>-9.4835829999999996E-2</v>
      </c>
      <c r="S5054">
        <v>-3.1877749999999998</v>
      </c>
      <c r="T5054">
        <v>-0.28853250000000003</v>
      </c>
      <c r="U5054">
        <v>1.069733</v>
      </c>
      <c r="V5054">
        <v>-7.9303209999999999E-2</v>
      </c>
      <c r="W5054">
        <v>0.1454741</v>
      </c>
      <c r="X5054">
        <v>0.98617860000000002</v>
      </c>
      <c r="Y5054">
        <v>0.33167279999999999</v>
      </c>
      <c r="Z5054">
        <v>1.6941149999999999E-2</v>
      </c>
      <c r="AA5054">
        <v>0.94324240000000004</v>
      </c>
      <c r="AB5054">
        <v>28</v>
      </c>
      <c r="AC5054">
        <v>-12.084499999999901</v>
      </c>
      <c r="AD5054">
        <v>-1.1098747340999999</v>
      </c>
      <c r="AE5054">
        <v>4.1175999999999799</v>
      </c>
      <c r="AF5054">
        <v>4.2751681448643097</v>
      </c>
      <c r="AG5054">
        <v>-1.1098747340999999</v>
      </c>
      <c r="AH5054">
        <v>11.927980289128399</v>
      </c>
      <c r="AI5054">
        <v>95.005867225319193</v>
      </c>
      <c r="AJ5054">
        <v>70.281554247788407</v>
      </c>
      <c r="AK5054">
        <v>12.719496781323199</v>
      </c>
      <c r="AL5054">
        <v>81.635265536914304</v>
      </c>
      <c r="AM5054">
        <v>94.597527268834398</v>
      </c>
      <c r="AN5054">
        <v>0.99999997199253599</v>
      </c>
    </row>
    <row r="5055" spans="1:40" x14ac:dyDescent="0.25">
      <c r="A5055" t="str">
        <f>"20190304154858260"</f>
        <v>20190304154858260</v>
      </c>
      <c r="B5055" t="str">
        <f>"1551685738252118"</f>
        <v>1551685738252118</v>
      </c>
      <c r="C5055" t="s">
        <v>40</v>
      </c>
      <c r="D5055">
        <v>3.8999969999999999</v>
      </c>
      <c r="E5055">
        <v>0.66827829999999999</v>
      </c>
      <c r="F5055" t="s">
        <v>44</v>
      </c>
      <c r="G5055">
        <v>-254.8066</v>
      </c>
      <c r="H5055" s="1">
        <v>-3.700946E-6</v>
      </c>
      <c r="I5055">
        <v>145.59559999999999</v>
      </c>
      <c r="J5055">
        <v>-242.82919999999999</v>
      </c>
      <c r="K5055">
        <v>1.1098699999999999</v>
      </c>
      <c r="L5055">
        <v>141.50479999999999</v>
      </c>
      <c r="M5055">
        <v>-0.99985590000000002</v>
      </c>
      <c r="N5055">
        <v>-6.2591599999999997E-3</v>
      </c>
      <c r="O5055">
        <v>-1.5791840000000001E-2</v>
      </c>
      <c r="P5055">
        <v>-0.98570659999999999</v>
      </c>
      <c r="Q5055">
        <v>0.1394724</v>
      </c>
      <c r="R5055">
        <v>-9.4500680000000004E-2</v>
      </c>
      <c r="S5055">
        <v>-3.1876829999999998</v>
      </c>
      <c r="T5055">
        <v>-0.29079690000000002</v>
      </c>
      <c r="U5055">
        <v>1.0710299999999999</v>
      </c>
      <c r="V5055">
        <v>-7.8931609999999999E-2</v>
      </c>
      <c r="W5055">
        <v>0.14564289999999999</v>
      </c>
      <c r="X5055">
        <v>0.98618349999999999</v>
      </c>
      <c r="Y5055">
        <v>0.33203880000000002</v>
      </c>
      <c r="Z5055">
        <v>1.7085400000000001E-2</v>
      </c>
      <c r="AA5055">
        <v>0.94311100000000003</v>
      </c>
      <c r="AB5055">
        <v>28</v>
      </c>
      <c r="AC5055">
        <v>-11.977399999999999</v>
      </c>
      <c r="AD5055">
        <v>-1.109873700946</v>
      </c>
      <c r="AE5055">
        <v>4.0907999999999998</v>
      </c>
      <c r="AF5055">
        <v>4.2467826184149704</v>
      </c>
      <c r="AG5055">
        <v>-1.109873700946</v>
      </c>
      <c r="AH5055">
        <v>11.8204095354505</v>
      </c>
      <c r="AI5055">
        <v>95.049809248782907</v>
      </c>
      <c r="AJ5055">
        <v>70.237884332411795</v>
      </c>
      <c r="AK5055">
        <v>12.6090865579507</v>
      </c>
      <c r="AL5055">
        <v>81.625489916361303</v>
      </c>
      <c r="AM5055">
        <v>94.576053186690601</v>
      </c>
      <c r="AN5055">
        <v>0.99999997452492495</v>
      </c>
    </row>
    <row r="5056" spans="1:40" x14ac:dyDescent="0.25">
      <c r="A5056" t="str">
        <f>"20190304154858276"</f>
        <v>20190304154858276</v>
      </c>
      <c r="B5056" t="str">
        <f>"1551685738272614"</f>
        <v>1551685738272614</v>
      </c>
      <c r="C5056" t="s">
        <v>40</v>
      </c>
      <c r="D5056">
        <v>3.9645649999999999</v>
      </c>
      <c r="E5056">
        <v>0.66835679999999997</v>
      </c>
      <c r="F5056" t="s">
        <v>44</v>
      </c>
      <c r="G5056">
        <v>-254.97710000000001</v>
      </c>
      <c r="H5056" s="1">
        <v>-3.6415619999999998E-6</v>
      </c>
      <c r="I5056">
        <v>145.58789999999999</v>
      </c>
      <c r="J5056">
        <v>-243.0196</v>
      </c>
      <c r="K5056">
        <v>1.109874</v>
      </c>
      <c r="L5056">
        <v>141.5018</v>
      </c>
      <c r="M5056">
        <v>-0.99985520000000006</v>
      </c>
      <c r="N5056">
        <v>-6.2565190000000003E-3</v>
      </c>
      <c r="O5056">
        <v>-1.5829260000000001E-2</v>
      </c>
      <c r="P5056">
        <v>-0.98558219999999996</v>
      </c>
      <c r="Q5056">
        <v>0.1407196</v>
      </c>
      <c r="R5056">
        <v>-9.3945970000000004E-2</v>
      </c>
      <c r="S5056">
        <v>-3.187408</v>
      </c>
      <c r="T5056">
        <v>-0.29121320000000001</v>
      </c>
      <c r="U5056">
        <v>1.07135</v>
      </c>
      <c r="V5056">
        <v>-7.8342389999999998E-2</v>
      </c>
      <c r="W5056">
        <v>0.14688679999999901</v>
      </c>
      <c r="X5056">
        <v>0.98604599999999998</v>
      </c>
      <c r="Y5056">
        <v>0.33217920000000001</v>
      </c>
      <c r="Z5056">
        <v>1.711884E-2</v>
      </c>
      <c r="AA5056">
        <v>0.94306089999999998</v>
      </c>
      <c r="AB5056">
        <v>28</v>
      </c>
      <c r="AC5056">
        <v>-11.9575</v>
      </c>
      <c r="AD5056">
        <v>-1.109877641562</v>
      </c>
      <c r="AE5056">
        <v>4.0860999999999796</v>
      </c>
      <c r="AF5056">
        <v>4.2421442814909804</v>
      </c>
      <c r="AG5056">
        <v>-1.109877641562</v>
      </c>
      <c r="AH5056">
        <v>11.800287827086899</v>
      </c>
      <c r="AI5056">
        <v>95.058041709808094</v>
      </c>
      <c r="AJ5056">
        <v>70.226743290898199</v>
      </c>
      <c r="AK5056">
        <v>12.5886619339118</v>
      </c>
      <c r="AL5056">
        <v>81.553444994124106</v>
      </c>
      <c r="AM5056">
        <v>94.542667394245498</v>
      </c>
      <c r="AN5056">
        <v>0.999999988100576</v>
      </c>
    </row>
    <row r="5057" spans="1:40" x14ac:dyDescent="0.25">
      <c r="A5057" t="str">
        <f>"20190304154858298"</f>
        <v>20190304154858298</v>
      </c>
      <c r="B5057" t="str">
        <f>"1551685738292134"</f>
        <v>1551685738292134</v>
      </c>
      <c r="C5057" t="s">
        <v>40</v>
      </c>
      <c r="D5057">
        <v>3.839607</v>
      </c>
      <c r="E5057">
        <v>0.66819269999999997</v>
      </c>
      <c r="F5057" t="s">
        <v>44</v>
      </c>
      <c r="G5057">
        <v>-255.26300000000001</v>
      </c>
      <c r="H5057" s="1">
        <v>-3.5509830000000001E-6</v>
      </c>
      <c r="I5057">
        <v>145.62569999999999</v>
      </c>
      <c r="J5057">
        <v>-243.30459999999999</v>
      </c>
      <c r="K5057">
        <v>1.109874</v>
      </c>
      <c r="L5057">
        <v>141.49719999999999</v>
      </c>
      <c r="M5057">
        <v>-0.99985429999999997</v>
      </c>
      <c r="N5057">
        <v>-6.2551179999999996E-3</v>
      </c>
      <c r="O5057">
        <v>-1.588529E-2</v>
      </c>
      <c r="P5057">
        <v>-0.98552580000000001</v>
      </c>
      <c r="Q5057">
        <v>0.14150009999999999</v>
      </c>
      <c r="R5057">
        <v>-9.3364119999999995E-2</v>
      </c>
      <c r="S5057">
        <v>-3.1875</v>
      </c>
      <c r="T5057">
        <v>-0.2889506</v>
      </c>
      <c r="U5057">
        <v>1.073669</v>
      </c>
      <c r="V5057">
        <v>-7.7706029999999995E-2</v>
      </c>
      <c r="W5057">
        <v>0.14766550000000001</v>
      </c>
      <c r="X5057">
        <v>0.98597999999999997</v>
      </c>
      <c r="Y5057">
        <v>0.3328585</v>
      </c>
      <c r="Z5057">
        <v>1.70282E-2</v>
      </c>
      <c r="AA5057">
        <v>0.94282299999999997</v>
      </c>
      <c r="AB5057">
        <v>28</v>
      </c>
      <c r="AC5057">
        <v>-11.958399999999999</v>
      </c>
      <c r="AD5057">
        <v>-1.1098775509829999</v>
      </c>
      <c r="AE5057">
        <v>4.1284999999999998</v>
      </c>
      <c r="AF5057">
        <v>4.2849656363834798</v>
      </c>
      <c r="AG5057">
        <v>-1.1098775509829999</v>
      </c>
      <c r="AH5057">
        <v>11.8004834479061</v>
      </c>
      <c r="AI5057">
        <v>95.052135464038997</v>
      </c>
      <c r="AJ5057">
        <v>70.043139192841195</v>
      </c>
      <c r="AK5057">
        <v>12.6033395688392</v>
      </c>
      <c r="AL5057">
        <v>81.508336503652203</v>
      </c>
      <c r="AM5057">
        <v>94.506221139049302</v>
      </c>
      <c r="AN5057">
        <v>0.99999994369430301</v>
      </c>
    </row>
    <row r="5058" spans="1:40" x14ac:dyDescent="0.25">
      <c r="A5058" t="str">
        <f>"20190304154858321"</f>
        <v>20190304154858321</v>
      </c>
      <c r="B5058" t="str">
        <f>"1551685738312630"</f>
        <v>1551685738312630</v>
      </c>
      <c r="C5058" t="s">
        <v>40</v>
      </c>
      <c r="D5058">
        <v>4.4911260000000004</v>
      </c>
      <c r="E5058">
        <v>0.66867880000000002</v>
      </c>
      <c r="F5058" t="s">
        <v>44</v>
      </c>
      <c r="G5058">
        <v>-255.56280000000001</v>
      </c>
      <c r="H5058" s="1">
        <v>-3.4492630000000002E-6</v>
      </c>
      <c r="I5058">
        <v>145.62739999999999</v>
      </c>
      <c r="J5058">
        <v>-243.58109999999999</v>
      </c>
      <c r="K5058">
        <v>1.1098699999999999</v>
      </c>
      <c r="L5058">
        <v>141.49279999999999</v>
      </c>
      <c r="M5058">
        <v>-0.99985349999999995</v>
      </c>
      <c r="N5058">
        <v>-6.2560619999999997E-3</v>
      </c>
      <c r="O5058">
        <v>-1.5940010000000001E-2</v>
      </c>
      <c r="P5058">
        <v>-0.98553740000000001</v>
      </c>
      <c r="Q5058">
        <v>0.14185719999999999</v>
      </c>
      <c r="R5058">
        <v>-9.269956E-2</v>
      </c>
      <c r="S5058">
        <v>-3.1872560000000001</v>
      </c>
      <c r="T5058">
        <v>-0.28858070000000002</v>
      </c>
      <c r="U5058">
        <v>1.073914</v>
      </c>
      <c r="V5058">
        <v>-7.6987710000000001E-2</v>
      </c>
      <c r="W5058">
        <v>0.1480235</v>
      </c>
      <c r="X5058">
        <v>0.98598269999999999</v>
      </c>
      <c r="Y5058">
        <v>0.3329993</v>
      </c>
      <c r="Z5058">
        <v>1.7019980000000001E-2</v>
      </c>
      <c r="AA5058">
        <v>0.94277350000000004</v>
      </c>
      <c r="AB5058">
        <v>28</v>
      </c>
      <c r="AC5058">
        <v>-11.9817</v>
      </c>
      <c r="AD5058">
        <v>-1.109873449263</v>
      </c>
      <c r="AE5058">
        <v>4.1345999999999998</v>
      </c>
      <c r="AF5058">
        <v>4.2921569962556001</v>
      </c>
      <c r="AG5058">
        <v>-1.109873449263</v>
      </c>
      <c r="AH5058">
        <v>11.823614082088101</v>
      </c>
      <c r="AI5058">
        <v>95.042448768836394</v>
      </c>
      <c r="AJ5058">
        <v>70.048310325878603</v>
      </c>
      <c r="AK5058">
        <v>12.6274415744456</v>
      </c>
      <c r="AL5058">
        <v>81.487596958700195</v>
      </c>
      <c r="AM5058">
        <v>94.464722341799799</v>
      </c>
      <c r="AN5058">
        <v>0.99999997437129096</v>
      </c>
    </row>
    <row r="5059" spans="1:40" x14ac:dyDescent="0.25">
      <c r="A5059" t="str">
        <f>"20190304154858342"</f>
        <v>20190304154858342</v>
      </c>
      <c r="B5059" t="str">
        <f>"1551685738332150"</f>
        <v>1551685738332150</v>
      </c>
      <c r="C5059" t="s">
        <v>40</v>
      </c>
      <c r="D5059">
        <v>4.022945</v>
      </c>
      <c r="E5059">
        <v>0.55703480000000005</v>
      </c>
      <c r="F5059" t="s">
        <v>44</v>
      </c>
      <c r="G5059">
        <v>-255.76390000000001</v>
      </c>
      <c r="H5059" s="1">
        <v>-3.379546E-6</v>
      </c>
      <c r="I5059">
        <v>145.62010000000001</v>
      </c>
      <c r="J5059">
        <v>-243.86009999999999</v>
      </c>
      <c r="K5059">
        <v>1.109872</v>
      </c>
      <c r="L5059">
        <v>141.48830000000001</v>
      </c>
      <c r="M5059">
        <v>-0.99985250000000003</v>
      </c>
      <c r="N5059">
        <v>-6.2611589999999996E-3</v>
      </c>
      <c r="O5059">
        <v>-1.5994629999999999E-2</v>
      </c>
      <c r="P5059">
        <v>-0.98550269999999995</v>
      </c>
      <c r="Q5059">
        <v>0.14240510000000001</v>
      </c>
      <c r="R5059">
        <v>-9.2224600000000004E-2</v>
      </c>
      <c r="S5059">
        <v>-3.1873930000000001</v>
      </c>
      <c r="T5059">
        <v>-0.29038019999999998</v>
      </c>
      <c r="U5059">
        <v>1.0798490000000001</v>
      </c>
      <c r="V5059">
        <v>-7.6459860000000004E-2</v>
      </c>
      <c r="W5059">
        <v>0.1485766</v>
      </c>
      <c r="X5059">
        <v>0.98594059999999994</v>
      </c>
      <c r="Y5059">
        <v>0.33459159999999999</v>
      </c>
      <c r="Z5059">
        <v>1.719555E-2</v>
      </c>
      <c r="AA5059">
        <v>0.94220630000000005</v>
      </c>
      <c r="AB5059">
        <v>28</v>
      </c>
      <c r="AC5059">
        <v>-11.9038</v>
      </c>
      <c r="AD5059">
        <v>-1.1098753795459999</v>
      </c>
      <c r="AE5059">
        <v>4.1317999999999904</v>
      </c>
      <c r="AF5059">
        <v>4.2884007722661197</v>
      </c>
      <c r="AG5059">
        <v>-1.1098753795459999</v>
      </c>
      <c r="AH5059">
        <v>11.7450659891618</v>
      </c>
      <c r="AI5059">
        <v>95.072584102771202</v>
      </c>
      <c r="AJ5059">
        <v>69.941668911975896</v>
      </c>
      <c r="AK5059">
        <v>12.5526403450214</v>
      </c>
      <c r="AL5059">
        <v>81.455552472837596</v>
      </c>
      <c r="AM5059">
        <v>94.434422006739396</v>
      </c>
      <c r="AN5059">
        <v>0.999999991493569</v>
      </c>
    </row>
    <row r="5060" spans="1:40" x14ac:dyDescent="0.25">
      <c r="A5060" t="str">
        <f>"20190304154858364"</f>
        <v>20190304154858364</v>
      </c>
      <c r="B5060" t="str">
        <f>"1551685738352432"</f>
        <v>1551685738352432</v>
      </c>
      <c r="C5060" t="s">
        <v>40</v>
      </c>
      <c r="D5060">
        <v>4.1185150000000004</v>
      </c>
      <c r="E5060">
        <v>0.54719689999999999</v>
      </c>
      <c r="F5060" t="s">
        <v>41</v>
      </c>
      <c r="G5060">
        <v>-244.7071</v>
      </c>
      <c r="H5060">
        <v>1.053731</v>
      </c>
      <c r="I5060">
        <v>141.5411</v>
      </c>
      <c r="J5060">
        <v>-244.1275</v>
      </c>
      <c r="K5060">
        <v>1.109869</v>
      </c>
      <c r="L5060">
        <v>141.48390000000001</v>
      </c>
      <c r="M5060">
        <v>-0.99985159999999995</v>
      </c>
      <c r="N5060">
        <v>-6.2716289999999999E-3</v>
      </c>
      <c r="O5060">
        <v>-1.604628E-2</v>
      </c>
      <c r="P5060">
        <v>-0.9854714</v>
      </c>
      <c r="Q5060">
        <v>0.1425874</v>
      </c>
      <c r="R5060">
        <v>-9.2277680000000001E-2</v>
      </c>
      <c r="S5060">
        <v>-3.091736</v>
      </c>
      <c r="T5060">
        <v>-0.2049464</v>
      </c>
      <c r="U5060">
        <v>0.19241330000000001</v>
      </c>
      <c r="V5060">
        <v>-7.6462340000000004E-2</v>
      </c>
      <c r="W5060">
        <v>0.1487685</v>
      </c>
      <c r="X5060">
        <v>0.98591150000000005</v>
      </c>
      <c r="Y5060">
        <v>7.790685E-2</v>
      </c>
      <c r="Z5060">
        <v>3.78284E-3</v>
      </c>
      <c r="AA5060">
        <v>0.99695350000000005</v>
      </c>
      <c r="AB5060">
        <v>28</v>
      </c>
      <c r="AC5060">
        <v>-0.579599999999999</v>
      </c>
      <c r="AD5060">
        <v>-5.6138E-2</v>
      </c>
      <c r="AE5060">
        <v>5.7199999999994498E-2</v>
      </c>
      <c r="AF5060">
        <v>6.5881160660346605E-2</v>
      </c>
      <c r="AG5060">
        <v>-5.6138E-2</v>
      </c>
      <c r="AH5060">
        <v>0.57328133152370397</v>
      </c>
      <c r="AI5060">
        <v>95.5564614484163</v>
      </c>
      <c r="AJ5060">
        <v>83.444360022519504</v>
      </c>
      <c r="AK5060">
        <v>0.57977865383915705</v>
      </c>
      <c r="AL5060">
        <v>81.444434099308694</v>
      </c>
      <c r="AM5060">
        <v>94.434695632694599</v>
      </c>
      <c r="AN5060">
        <v>1.00000002093138</v>
      </c>
    </row>
    <row r="5061" spans="1:40" x14ac:dyDescent="0.25">
      <c r="A5061" t="str">
        <f>"20190304154858377"</f>
        <v>20190304154858377</v>
      </c>
      <c r="B5061" t="str">
        <f>"1551685738371952"</f>
        <v>1551685738371952</v>
      </c>
      <c r="C5061" t="s">
        <v>40</v>
      </c>
      <c r="D5061">
        <v>4.1321729999999999</v>
      </c>
      <c r="E5061">
        <v>0.54183649999999905</v>
      </c>
      <c r="F5061" t="s">
        <v>44</v>
      </c>
      <c r="G5061">
        <v>-276.13819999999998</v>
      </c>
      <c r="H5061" s="1">
        <v>-2.4463420000000001E-6</v>
      </c>
      <c r="I5061">
        <v>142.65039999999999</v>
      </c>
      <c r="J5061">
        <v>-244.30080000000001</v>
      </c>
      <c r="K5061">
        <v>1.1098650000000001</v>
      </c>
      <c r="L5061">
        <v>141.4811</v>
      </c>
      <c r="M5061">
        <v>-0.99985100000000005</v>
      </c>
      <c r="N5061">
        <v>-6.2802159999999999E-3</v>
      </c>
      <c r="O5061">
        <v>-1.607836E-2</v>
      </c>
      <c r="P5061">
        <v>-0.98554319999999895</v>
      </c>
      <c r="Q5061">
        <v>0.14208959999999901</v>
      </c>
      <c r="R5061">
        <v>-9.2277239999999996E-2</v>
      </c>
      <c r="S5061">
        <v>-3.0700989999999999</v>
      </c>
      <c r="T5061">
        <v>-0.1064461</v>
      </c>
      <c r="U5061">
        <v>0.1118774</v>
      </c>
      <c r="V5061">
        <v>-7.6428510000000005E-2</v>
      </c>
      <c r="W5061">
        <v>0.14828</v>
      </c>
      <c r="X5061">
        <v>0.98598770000000002</v>
      </c>
      <c r="Y5061">
        <v>5.2436480000000001E-2</v>
      </c>
      <c r="Z5061">
        <v>1.529456E-3</v>
      </c>
      <c r="AA5061">
        <v>0.99862309999999999</v>
      </c>
      <c r="AB5061">
        <v>28</v>
      </c>
      <c r="AC5061">
        <v>-31.837399999999899</v>
      </c>
      <c r="AD5061">
        <v>-1.109867446342</v>
      </c>
      <c r="AE5061">
        <v>1.16929999999999</v>
      </c>
      <c r="AF5061">
        <v>1.67901444361371</v>
      </c>
      <c r="AG5061">
        <v>-1.109867446342</v>
      </c>
      <c r="AH5061">
        <v>31.775919779385301</v>
      </c>
      <c r="AI5061">
        <v>91.997625926219399</v>
      </c>
      <c r="AJ5061">
        <v>86.975349203286001</v>
      </c>
      <c r="AK5061">
        <v>31.839597564608798</v>
      </c>
      <c r="AL5061">
        <v>81.472736907906594</v>
      </c>
      <c r="AM5061">
        <v>94.432400157577803</v>
      </c>
      <c r="AN5061">
        <v>1.00000001004605</v>
      </c>
    </row>
    <row r="5062" spans="1:40" x14ac:dyDescent="0.25">
      <c r="A5062" t="str">
        <f>"20190304154858392"</f>
        <v>20190304154858392</v>
      </c>
      <c r="B5062" t="str">
        <f>"1551685738382688"</f>
        <v>1551685738382688</v>
      </c>
      <c r="C5062" t="s">
        <v>40</v>
      </c>
      <c r="D5062">
        <v>4.1467330000000002</v>
      </c>
      <c r="E5062">
        <v>0.54008429999999996</v>
      </c>
      <c r="F5062" t="s">
        <v>79</v>
      </c>
      <c r="G5062">
        <v>-286.07130000000001</v>
      </c>
      <c r="H5062" s="1">
        <v>-7.4165979999999998E-6</v>
      </c>
      <c r="I5062">
        <v>142.42009999999999</v>
      </c>
      <c r="J5062">
        <v>-244.4854</v>
      </c>
      <c r="K5062">
        <v>1.1098619999999999</v>
      </c>
      <c r="L5062">
        <v>141.47810000000001</v>
      </c>
      <c r="M5062">
        <v>-0.99985040000000003</v>
      </c>
      <c r="N5062">
        <v>-6.2901919999999896E-3</v>
      </c>
      <c r="O5062">
        <v>-1.6111049999999998E-2</v>
      </c>
      <c r="P5062">
        <v>-0.98560939999999997</v>
      </c>
      <c r="Q5062">
        <v>0.1416915</v>
      </c>
      <c r="R5062">
        <v>-9.2184420000000003E-2</v>
      </c>
      <c r="S5062">
        <v>-3.0621640000000001</v>
      </c>
      <c r="T5062">
        <v>-8.1363920000000006E-2</v>
      </c>
      <c r="U5062">
        <v>6.8832400000000002E-2</v>
      </c>
      <c r="V5062">
        <v>-7.6301809999999998E-2</v>
      </c>
      <c r="W5062">
        <v>0.14789229999999901</v>
      </c>
      <c r="X5062">
        <v>0.98605569999999998</v>
      </c>
      <c r="Y5062">
        <v>3.8556920000000001E-2</v>
      </c>
      <c r="Z5062">
        <v>9.6003899999999999E-4</v>
      </c>
      <c r="AA5062">
        <v>0.99925600000000003</v>
      </c>
      <c r="AB5062">
        <v>28</v>
      </c>
      <c r="AC5062">
        <v>-41.585900000000002</v>
      </c>
      <c r="AD5062">
        <v>-1.1098694165979901</v>
      </c>
      <c r="AE5062">
        <v>0.94199999999997797</v>
      </c>
      <c r="AF5062">
        <v>1.6107368066625201</v>
      </c>
      <c r="AG5062">
        <v>-1.1098694165979901</v>
      </c>
      <c r="AH5062">
        <v>41.535755414425402</v>
      </c>
      <c r="AI5062">
        <v>91.529476878302205</v>
      </c>
      <c r="AJ5062">
        <v>87.779209767236097</v>
      </c>
      <c r="AK5062">
        <v>41.5817900171362</v>
      </c>
      <c r="AL5062">
        <v>81.495197794460495</v>
      </c>
      <c r="AM5062">
        <v>94.424777568656907</v>
      </c>
      <c r="AN5062">
        <v>0.99999997105552696</v>
      </c>
    </row>
    <row r="5063" spans="1:40" x14ac:dyDescent="0.25">
      <c r="A5063" t="str">
        <f>"20190304154858410"</f>
        <v>20190304154858410</v>
      </c>
      <c r="B5063" t="str">
        <f>"1551685738402208"</f>
        <v>1551685738402208</v>
      </c>
      <c r="C5063" t="s">
        <v>40</v>
      </c>
      <c r="D5063">
        <v>4.1573469999999997</v>
      </c>
      <c r="E5063">
        <v>0.53833769999999903</v>
      </c>
      <c r="F5063" t="s">
        <v>79</v>
      </c>
      <c r="G5063">
        <v>-287.48099999999999</v>
      </c>
      <c r="H5063" s="1">
        <v>-8.2407590000000003E-6</v>
      </c>
      <c r="I5063">
        <v>142.255</v>
      </c>
      <c r="J5063">
        <v>-244.71170000000001</v>
      </c>
      <c r="K5063">
        <v>1.1098600000000001</v>
      </c>
      <c r="L5063">
        <v>141.47450000000001</v>
      </c>
      <c r="M5063">
        <v>-0.99984980000000001</v>
      </c>
      <c r="N5063">
        <v>-6.306224E-3</v>
      </c>
      <c r="O5063">
        <v>-1.614612E-2</v>
      </c>
      <c r="P5063">
        <v>-0.98554330000000001</v>
      </c>
      <c r="Q5063">
        <v>0.1419472</v>
      </c>
      <c r="R5063">
        <v>-9.2497510000000005E-2</v>
      </c>
      <c r="S5063">
        <v>-3.060333</v>
      </c>
      <c r="T5063">
        <v>-7.8998090000000007E-2</v>
      </c>
      <c r="U5063">
        <v>5.5297850000000003E-2</v>
      </c>
      <c r="V5063">
        <v>-7.6580309999999999E-2</v>
      </c>
      <c r="W5063">
        <v>0.14816399999999999</v>
      </c>
      <c r="X5063">
        <v>0.98599329999999996</v>
      </c>
      <c r="Y5063">
        <v>3.4190489999999997E-2</v>
      </c>
      <c r="Z5063">
        <v>8.6390479999999895E-4</v>
      </c>
      <c r="AA5063">
        <v>0.99941500000000005</v>
      </c>
      <c r="AB5063">
        <v>28</v>
      </c>
      <c r="AC5063">
        <v>-42.769299999999902</v>
      </c>
      <c r="AD5063">
        <v>-1.1098682407589999</v>
      </c>
      <c r="AE5063">
        <v>0.78049999999998898</v>
      </c>
      <c r="AF5063">
        <v>1.46998063570583</v>
      </c>
      <c r="AG5063">
        <v>-1.1098682407589999</v>
      </c>
      <c r="AH5063">
        <v>42.722362178562001</v>
      </c>
      <c r="AI5063">
        <v>91.487251157904595</v>
      </c>
      <c r="AJ5063">
        <v>88.029358200460607</v>
      </c>
      <c r="AK5063">
        <v>42.762049538082501</v>
      </c>
      <c r="AL5063">
        <v>81.479456947598806</v>
      </c>
      <c r="AM5063">
        <v>94.441143348585996</v>
      </c>
      <c r="AN5063">
        <v>0.99999995121029195</v>
      </c>
    </row>
    <row r="5064" spans="1:40" x14ac:dyDescent="0.25">
      <c r="A5064" t="str">
        <f>"20190304154858422"</f>
        <v>20190304154858422</v>
      </c>
      <c r="B5064" t="str">
        <f>"1551685738411967"</f>
        <v>1551685738411967</v>
      </c>
      <c r="C5064" t="s">
        <v>40</v>
      </c>
      <c r="D5064">
        <v>4.3393030000000001</v>
      </c>
      <c r="E5064">
        <v>0.53837330000000005</v>
      </c>
      <c r="F5064" t="s">
        <v>79</v>
      </c>
      <c r="G5064">
        <v>-290.7869</v>
      </c>
      <c r="H5064" s="1">
        <v>-9.5217530000000007E-6</v>
      </c>
      <c r="I5064">
        <v>142.07859999999999</v>
      </c>
      <c r="J5064">
        <v>-244.8734</v>
      </c>
      <c r="K5064">
        <v>1.109856</v>
      </c>
      <c r="L5064">
        <v>141.4718</v>
      </c>
      <c r="M5064">
        <v>-0.99984930000000005</v>
      </c>
      <c r="N5064">
        <v>-6.3196420000000003E-3</v>
      </c>
      <c r="O5064">
        <v>-1.616652E-2</v>
      </c>
      <c r="P5064">
        <v>-0.98543919999999996</v>
      </c>
      <c r="Q5064">
        <v>0.1424581</v>
      </c>
      <c r="R5064">
        <v>-9.281884E-2</v>
      </c>
      <c r="S5064">
        <v>-3.0583800000000001</v>
      </c>
      <c r="T5064">
        <v>-7.3670979999999997E-2</v>
      </c>
      <c r="U5064">
        <v>4.01001E-2</v>
      </c>
      <c r="V5064">
        <v>-7.6881679999999994E-2</v>
      </c>
      <c r="W5064">
        <v>0.14868789999999901</v>
      </c>
      <c r="X5064">
        <v>0.98589099999999996</v>
      </c>
      <c r="Y5064">
        <v>2.9260899999999999E-2</v>
      </c>
      <c r="Z5064">
        <v>7.3203099999999996E-4</v>
      </c>
      <c r="AA5064">
        <v>0.9995716</v>
      </c>
      <c r="AB5064">
        <v>28</v>
      </c>
      <c r="AC5064">
        <v>-45.913499999999999</v>
      </c>
      <c r="AD5064">
        <v>-1.109865521753</v>
      </c>
      <c r="AE5064">
        <v>0.60679999999999201</v>
      </c>
      <c r="AF5064">
        <v>1.3482094008138601</v>
      </c>
      <c r="AG5064">
        <v>-1.109865521753</v>
      </c>
      <c r="AH5064">
        <v>45.870890270796501</v>
      </c>
      <c r="AI5064">
        <v>91.385427064958606</v>
      </c>
      <c r="AJ5064">
        <v>88.316481839812695</v>
      </c>
      <c r="AK5064">
        <v>45.904117944910702</v>
      </c>
      <c r="AL5064">
        <v>81.449103674595193</v>
      </c>
      <c r="AM5064">
        <v>94.459011222240093</v>
      </c>
      <c r="AN5064">
        <v>0.99999997410351504</v>
      </c>
    </row>
    <row r="5065" spans="1:40" x14ac:dyDescent="0.25">
      <c r="A5065" t="str">
        <f>"20190304154858437"</f>
        <v>20190304154858437</v>
      </c>
      <c r="B5065" t="str">
        <f>"1551685738432463"</f>
        <v>1551685738432463</v>
      </c>
      <c r="C5065" t="s">
        <v>40</v>
      </c>
      <c r="D5065">
        <v>4.1682459999999999</v>
      </c>
      <c r="E5065">
        <v>0.53702780000000006</v>
      </c>
      <c r="F5065" t="s">
        <v>79</v>
      </c>
      <c r="G5065">
        <v>-296.17230000000001</v>
      </c>
      <c r="H5065" s="1">
        <v>-9.0460650000000006E-6</v>
      </c>
      <c r="I5065">
        <v>142.131</v>
      </c>
      <c r="J5065">
        <v>-245.05690000000001</v>
      </c>
      <c r="K5065">
        <v>1.1098539999999999</v>
      </c>
      <c r="L5065">
        <v>141.46879999999999</v>
      </c>
      <c r="M5065">
        <v>-0.99984890000000004</v>
      </c>
      <c r="N5065">
        <v>-6.3365740000000002E-3</v>
      </c>
      <c r="O5065">
        <v>-1.6186559999999999E-2</v>
      </c>
      <c r="P5065">
        <v>-0.98535669999999997</v>
      </c>
      <c r="Q5065">
        <v>0.1428497</v>
      </c>
      <c r="R5065">
        <v>-9.309386E-2</v>
      </c>
      <c r="S5065">
        <v>-3.0576020000000002</v>
      </c>
      <c r="T5065">
        <v>-6.6151979999999999E-2</v>
      </c>
      <c r="U5065">
        <v>3.9291380000000001E-2</v>
      </c>
      <c r="V5065">
        <v>-7.7136380000000004E-2</v>
      </c>
      <c r="W5065">
        <v>0.1490967</v>
      </c>
      <c r="X5065">
        <v>0.98580939999999995</v>
      </c>
      <c r="Y5065">
        <v>2.902252E-2</v>
      </c>
      <c r="Z5065">
        <v>6.5346160000000003E-4</v>
      </c>
      <c r="AA5065">
        <v>0.99957850000000004</v>
      </c>
      <c r="AB5065">
        <v>29</v>
      </c>
      <c r="AC5065">
        <v>-51.115400000000001</v>
      </c>
      <c r="AD5065">
        <v>-1.1098630460650001</v>
      </c>
      <c r="AE5065">
        <v>0.662200000000012</v>
      </c>
      <c r="AF5065">
        <v>1.48881056824099</v>
      </c>
      <c r="AG5065">
        <v>-1.1098630460650001</v>
      </c>
      <c r="AH5065">
        <v>51.073909366059702</v>
      </c>
      <c r="AI5065">
        <v>91.244343249253703</v>
      </c>
      <c r="AJ5065">
        <v>88.330293998305606</v>
      </c>
      <c r="AK5065">
        <v>51.107656675116701</v>
      </c>
      <c r="AL5065">
        <v>81.425417446161006</v>
      </c>
      <c r="AM5065">
        <v>94.4740923421476</v>
      </c>
      <c r="AN5065">
        <v>1.00000001009937</v>
      </c>
    </row>
    <row r="5066" spans="1:40" x14ac:dyDescent="0.25">
      <c r="A5066" t="str">
        <f>"20190304154858453"</f>
        <v>20190304154858453</v>
      </c>
      <c r="B5066" t="str">
        <f>"1551685738441981"</f>
        <v>1551685738441981</v>
      </c>
      <c r="C5066" t="s">
        <v>40</v>
      </c>
      <c r="D5066">
        <v>4.1574960000000001</v>
      </c>
      <c r="E5066">
        <v>0.53655209999999998</v>
      </c>
      <c r="F5066" t="s">
        <v>79</v>
      </c>
      <c r="G5066">
        <v>-298.87049999999999</v>
      </c>
      <c r="H5066" s="1">
        <v>-8.7627970000000003E-6</v>
      </c>
      <c r="I5066">
        <v>141.95570000000001</v>
      </c>
      <c r="J5066">
        <v>-245.27610000000001</v>
      </c>
      <c r="K5066">
        <v>1.1098479999999999</v>
      </c>
      <c r="L5066">
        <v>141.46530000000001</v>
      </c>
      <c r="M5066">
        <v>-0.99984850000000003</v>
      </c>
      <c r="N5066">
        <v>-6.3604179999999996E-3</v>
      </c>
      <c r="O5066">
        <v>-1.6205299999999999E-2</v>
      </c>
      <c r="P5066">
        <v>-0.98534940000000004</v>
      </c>
      <c r="Q5066">
        <v>0.1424281</v>
      </c>
      <c r="R5066">
        <v>-9.381457E-2</v>
      </c>
      <c r="S5066">
        <v>-3.0563199999999999</v>
      </c>
      <c r="T5066">
        <v>-6.3034060000000003E-2</v>
      </c>
      <c r="U5066">
        <v>2.7648929999999999E-2</v>
      </c>
      <c r="V5066">
        <v>-7.7836279999999994E-2</v>
      </c>
      <c r="W5066">
        <v>0.1487001</v>
      </c>
      <c r="X5066">
        <v>0.98581430000000003</v>
      </c>
      <c r="Y5066">
        <v>2.524121E-2</v>
      </c>
      <c r="Z5066">
        <v>5.7165069999999996E-4</v>
      </c>
      <c r="AA5066">
        <v>0.99968120000000005</v>
      </c>
      <c r="AB5066">
        <v>29</v>
      </c>
      <c r="AC5066">
        <v>-53.594399999999901</v>
      </c>
      <c r="AD5066">
        <v>-1.109856762797</v>
      </c>
      <c r="AE5066">
        <v>0.49039999999999401</v>
      </c>
      <c r="AF5066">
        <v>1.35828402310081</v>
      </c>
      <c r="AG5066">
        <v>-1.109856762797</v>
      </c>
      <c r="AH5066">
        <v>53.556449542869203</v>
      </c>
      <c r="AI5066">
        <v>91.1867959114456</v>
      </c>
      <c r="AJ5066">
        <v>88.5471915501127</v>
      </c>
      <c r="AK5066">
        <v>53.585165905866397</v>
      </c>
      <c r="AL5066">
        <v>81.448397204771098</v>
      </c>
      <c r="AM5066">
        <v>94.514498784690403</v>
      </c>
      <c r="AN5066">
        <v>1.00000002015436</v>
      </c>
    </row>
    <row r="5067" spans="1:40" x14ac:dyDescent="0.25">
      <c r="A5067" t="str">
        <f>"20190304154858467"</f>
        <v>20190304154858467</v>
      </c>
      <c r="B5067" t="str">
        <f>"1551685738462459"</f>
        <v>1551685738462459</v>
      </c>
      <c r="C5067" t="s">
        <v>40</v>
      </c>
      <c r="D5067">
        <v>4.1702709999999996</v>
      </c>
      <c r="E5067">
        <v>0.53575139999999999</v>
      </c>
      <c r="F5067" t="s">
        <v>79</v>
      </c>
      <c r="G5067">
        <v>-298.43529999999998</v>
      </c>
      <c r="H5067" s="1">
        <v>-8.7709650000000005E-6</v>
      </c>
      <c r="I5067">
        <v>141.8416</v>
      </c>
      <c r="J5067">
        <v>-245.44739999999999</v>
      </c>
      <c r="K5067">
        <v>1.109842</v>
      </c>
      <c r="L5067">
        <v>141.4624</v>
      </c>
      <c r="M5067">
        <v>-0.99984819999999996</v>
      </c>
      <c r="N5067">
        <v>-6.3832079999999996E-3</v>
      </c>
      <c r="O5067">
        <v>-1.6215230000000001E-2</v>
      </c>
      <c r="P5067">
        <v>-0.98538409999999999</v>
      </c>
      <c r="Q5067">
        <v>0.14196800000000001</v>
      </c>
      <c r="R5067">
        <v>-9.4144930000000002E-2</v>
      </c>
      <c r="S5067">
        <v>-3.0558619999999999</v>
      </c>
      <c r="T5067">
        <v>-6.3800220000000005E-2</v>
      </c>
      <c r="U5067">
        <v>2.163696E-2</v>
      </c>
      <c r="V5067">
        <v>-7.815453E-2</v>
      </c>
      <c r="W5067">
        <v>0.14826349999999999</v>
      </c>
      <c r="X5067">
        <v>0.98585489999999998</v>
      </c>
      <c r="Y5067">
        <v>2.3286189999999998E-2</v>
      </c>
      <c r="Z5067">
        <v>5.5238189999999999E-4</v>
      </c>
      <c r="AA5067">
        <v>0.99972870000000003</v>
      </c>
      <c r="AB5067">
        <v>29</v>
      </c>
      <c r="AC5067">
        <v>-52.987900000000003</v>
      </c>
      <c r="AD5067">
        <v>-1.1098507709649901</v>
      </c>
      <c r="AE5067">
        <v>0.37919999999999698</v>
      </c>
      <c r="AF5067">
        <v>1.2378355684778</v>
      </c>
      <c r="AG5067">
        <v>-1.1098507709649901</v>
      </c>
      <c r="AH5067">
        <v>52.951555074598602</v>
      </c>
      <c r="AI5067">
        <v>91.200400918340506</v>
      </c>
      <c r="AJ5067">
        <v>88.660854457949</v>
      </c>
      <c r="AK5067">
        <v>52.977648026754203</v>
      </c>
      <c r="AL5067">
        <v>81.473693111303703</v>
      </c>
      <c r="AM5067">
        <v>94.532694595964202</v>
      </c>
      <c r="AN5067">
        <v>1.0000000399228799</v>
      </c>
    </row>
    <row r="5068" spans="1:40" x14ac:dyDescent="0.25">
      <c r="A5068" t="str">
        <f>"20190304154858488"</f>
        <v>20190304154858488</v>
      </c>
      <c r="B5068" t="str">
        <f>"1551685738481979"</f>
        <v>1551685738481979</v>
      </c>
      <c r="C5068" t="s">
        <v>40</v>
      </c>
      <c r="D5068">
        <v>4.1618579999999996</v>
      </c>
      <c r="E5068">
        <v>0.53528580000000003</v>
      </c>
      <c r="F5068" t="s">
        <v>79</v>
      </c>
      <c r="G5068">
        <v>-298.52510000000001</v>
      </c>
      <c r="H5068" s="1">
        <v>-8.7304659999999992E-6</v>
      </c>
      <c r="I5068">
        <v>141.71799999999999</v>
      </c>
      <c r="J5068">
        <v>-245.727</v>
      </c>
      <c r="K5068">
        <v>1.1098399999999999</v>
      </c>
      <c r="L5068">
        <v>141.4579</v>
      </c>
      <c r="M5068">
        <v>-0.99984779999999995</v>
      </c>
      <c r="N5068">
        <v>-6.4235209999999997E-3</v>
      </c>
      <c r="O5068">
        <v>-1.6226499999999901E-2</v>
      </c>
      <c r="P5068">
        <v>-0.98523970000000005</v>
      </c>
      <c r="Q5068">
        <v>0.1424047</v>
      </c>
      <c r="R5068">
        <v>-9.4993599999999997E-2</v>
      </c>
      <c r="S5068">
        <v>-3.0551300000000001</v>
      </c>
      <c r="T5068">
        <v>-6.3882590000000003E-2</v>
      </c>
      <c r="U5068">
        <v>1.4709470000000001E-2</v>
      </c>
      <c r="V5068">
        <v>-7.8992140000000002E-2</v>
      </c>
      <c r="W5068">
        <v>0.1487407</v>
      </c>
      <c r="X5068">
        <v>0.98571620000000004</v>
      </c>
      <c r="Y5068">
        <v>2.1032929999999998E-2</v>
      </c>
      <c r="Z5068">
        <v>5.2245890000000004E-4</v>
      </c>
      <c r="AA5068">
        <v>0.99977859999999996</v>
      </c>
      <c r="AB5068">
        <v>29</v>
      </c>
      <c r="AC5068">
        <v>-52.798099999999998</v>
      </c>
      <c r="AD5068">
        <v>-1.1098487304660001</v>
      </c>
      <c r="AE5068">
        <v>0.260099999999994</v>
      </c>
      <c r="AF5068">
        <v>1.11631846893426</v>
      </c>
      <c r="AG5068">
        <v>-1.1098487304660001</v>
      </c>
      <c r="AH5068">
        <v>52.763613903063302</v>
      </c>
      <c r="AI5068">
        <v>91.204732708654504</v>
      </c>
      <c r="AJ5068">
        <v>88.787975435407105</v>
      </c>
      <c r="AK5068">
        <v>52.787090119082499</v>
      </c>
      <c r="AL5068">
        <v>81.446044580419397</v>
      </c>
      <c r="AM5068">
        <v>94.581709279070097</v>
      </c>
      <c r="AN5068">
        <v>0.99999999048035404</v>
      </c>
    </row>
    <row r="5069" spans="1:40" x14ac:dyDescent="0.25">
      <c r="A5069" t="str">
        <f>"20190304154858511"</f>
        <v>20190304154858511</v>
      </c>
      <c r="B5069" t="str">
        <f>"1551685738502475"</f>
        <v>1551685738502475</v>
      </c>
      <c r="C5069" t="s">
        <v>40</v>
      </c>
      <c r="D5069">
        <v>4.3217780000000001</v>
      </c>
      <c r="E5069">
        <v>0.53516919999999901</v>
      </c>
      <c r="F5069" t="s">
        <v>79</v>
      </c>
      <c r="G5069">
        <v>-300.22089999999997</v>
      </c>
      <c r="H5069" s="1">
        <v>-8.6227669999999996E-6</v>
      </c>
      <c r="I5069">
        <v>141.60980000000001</v>
      </c>
      <c r="J5069">
        <v>-246.0204</v>
      </c>
      <c r="K5069">
        <v>1.1098429999999999</v>
      </c>
      <c r="L5069">
        <v>141.45310000000001</v>
      </c>
      <c r="M5069">
        <v>-0.99984740000000005</v>
      </c>
      <c r="N5069">
        <v>-6.4749209999999998E-3</v>
      </c>
      <c r="O5069">
        <v>-1.6231039999999999E-2</v>
      </c>
      <c r="P5069">
        <v>-0.98509619999999998</v>
      </c>
      <c r="Q5069">
        <v>0.14311360000000001</v>
      </c>
      <c r="R5069">
        <v>-9.5416349999999997E-2</v>
      </c>
      <c r="S5069">
        <v>-3.0547330000000001</v>
      </c>
      <c r="T5069">
        <v>-6.2214140000000001E-2</v>
      </c>
      <c r="U5069">
        <v>8.5144039999999997E-3</v>
      </c>
      <c r="V5069">
        <v>-7.9410629999999996E-2</v>
      </c>
      <c r="W5069">
        <v>0.1495003</v>
      </c>
      <c r="X5069">
        <v>0.98556770000000005</v>
      </c>
      <c r="Y5069">
        <v>1.9011449999999999E-2</v>
      </c>
      <c r="Z5069">
        <v>4.8056969999999999E-4</v>
      </c>
      <c r="AA5069">
        <v>0.99981920000000002</v>
      </c>
      <c r="AB5069">
        <v>29</v>
      </c>
      <c r="AC5069">
        <v>-54.200499999999899</v>
      </c>
      <c r="AD5069">
        <v>-1.1098516227669999</v>
      </c>
      <c r="AE5069">
        <v>0.15670000000000001</v>
      </c>
      <c r="AF5069">
        <v>1.0359938094601799</v>
      </c>
      <c r="AG5069">
        <v>-1.1098516227669999</v>
      </c>
      <c r="AH5069">
        <v>54.168103892211803</v>
      </c>
      <c r="AI5069">
        <v>91.173555859301999</v>
      </c>
      <c r="AJ5069">
        <v>88.904321311678004</v>
      </c>
      <c r="AK5069">
        <v>54.1893765702767</v>
      </c>
      <c r="AL5069">
        <v>81.402031010902107</v>
      </c>
      <c r="AM5069">
        <v>94.606569412218704</v>
      </c>
      <c r="AN5069">
        <v>1.00000003957018</v>
      </c>
    </row>
    <row r="5070" spans="1:40" x14ac:dyDescent="0.25">
      <c r="A5070" t="str">
        <f>"20190304154858532"</f>
        <v>20190304154858532</v>
      </c>
      <c r="B5070" t="str">
        <f>"1551685738521995"</f>
        <v>1551685738521995</v>
      </c>
      <c r="C5070" t="s">
        <v>40</v>
      </c>
      <c r="D5070">
        <v>4.1896409999999999</v>
      </c>
      <c r="E5070">
        <v>0.53455790000000003</v>
      </c>
      <c r="F5070" t="s">
        <v>79</v>
      </c>
      <c r="G5070">
        <v>-304.80840000000001</v>
      </c>
      <c r="H5070" s="1">
        <v>-9.3300110000000005E-6</v>
      </c>
      <c r="I5070">
        <v>141.5762</v>
      </c>
      <c r="J5070">
        <v>-246.29249999999999</v>
      </c>
      <c r="K5070">
        <v>1.1098479999999999</v>
      </c>
      <c r="L5070">
        <v>141.4487</v>
      </c>
      <c r="M5070">
        <v>-0.99984709999999999</v>
      </c>
      <c r="N5070">
        <v>-6.5336439999999999E-3</v>
      </c>
      <c r="O5070">
        <v>-1.6223789999999998E-2</v>
      </c>
      <c r="P5070">
        <v>-0.98484970000000005</v>
      </c>
      <c r="Q5070">
        <v>0.14459060000000001</v>
      </c>
      <c r="R5070">
        <v>-9.5732860000000003E-2</v>
      </c>
      <c r="S5070">
        <v>-3.0543819999999999</v>
      </c>
      <c r="T5070">
        <v>-5.7663319999999997E-2</v>
      </c>
      <c r="U5070">
        <v>6.3934329999999996E-3</v>
      </c>
      <c r="V5070">
        <v>-7.9736310000000005E-2</v>
      </c>
      <c r="W5070">
        <v>0.1510348</v>
      </c>
      <c r="X5070">
        <v>0.98530740000000006</v>
      </c>
      <c r="Y5070">
        <v>1.831139E-2</v>
      </c>
      <c r="Z5070">
        <v>4.3291389999999998E-4</v>
      </c>
      <c r="AA5070">
        <v>0.99983219999999995</v>
      </c>
      <c r="AB5070">
        <v>29</v>
      </c>
      <c r="AC5070">
        <v>-58.515900000000002</v>
      </c>
      <c r="AD5070">
        <v>-1.109857330011</v>
      </c>
      <c r="AE5070">
        <v>0.127499999999997</v>
      </c>
      <c r="AF5070">
        <v>1.07646585299409</v>
      </c>
      <c r="AG5070">
        <v>-1.109857330011</v>
      </c>
      <c r="AH5070">
        <v>58.485090343233303</v>
      </c>
      <c r="AI5070">
        <v>91.086973519402207</v>
      </c>
      <c r="AJ5070">
        <v>88.945543447584797</v>
      </c>
      <c r="AK5070">
        <v>58.505524136459201</v>
      </c>
      <c r="AL5070">
        <v>81.313100789132605</v>
      </c>
      <c r="AM5070">
        <v>94.626596766798301</v>
      </c>
      <c r="AN5070">
        <v>1.0000000312191</v>
      </c>
    </row>
    <row r="5071" spans="1:40" x14ac:dyDescent="0.25">
      <c r="A5071" t="str">
        <f>"20190304154858555"</f>
        <v>20190304154858555</v>
      </c>
      <c r="B5071" t="str">
        <f>"1551685738542429"</f>
        <v>1551685738542429</v>
      </c>
      <c r="C5071" t="s">
        <v>40</v>
      </c>
      <c r="D5071">
        <v>4.1751440000000004</v>
      </c>
      <c r="E5071">
        <v>0.53427029999999998</v>
      </c>
      <c r="F5071" t="s">
        <v>79</v>
      </c>
      <c r="G5071">
        <v>-309.95420000000001</v>
      </c>
      <c r="H5071" s="1">
        <v>-1.003484E-5</v>
      </c>
      <c r="I5071">
        <v>141.4615</v>
      </c>
      <c r="J5071">
        <v>-246.58330000000001</v>
      </c>
      <c r="K5071">
        <v>1.109853</v>
      </c>
      <c r="L5071">
        <v>141.44399999999999</v>
      </c>
      <c r="M5071">
        <v>-0.99984709999999999</v>
      </c>
      <c r="N5071">
        <v>-6.6050830000000003E-3</v>
      </c>
      <c r="O5071">
        <v>-1.6200699999999998E-2</v>
      </c>
      <c r="P5071">
        <v>-0.98469119999999999</v>
      </c>
      <c r="Q5071">
        <v>0.14566689999999999</v>
      </c>
      <c r="R5071">
        <v>-9.573276E-2</v>
      </c>
      <c r="S5071">
        <v>-3.0540310000000002</v>
      </c>
      <c r="T5071">
        <v>-5.3243039999999998E-2</v>
      </c>
      <c r="U5071">
        <v>6.1035159999999996E-4</v>
      </c>
      <c r="V5071">
        <v>-7.9757800000000004E-2</v>
      </c>
      <c r="W5071">
        <v>0.15218199999999901</v>
      </c>
      <c r="X5071">
        <v>0.98512909999999998</v>
      </c>
      <c r="Y5071">
        <v>1.639649E-2</v>
      </c>
      <c r="Z5071">
        <v>3.7247199999999999E-4</v>
      </c>
      <c r="AA5071">
        <v>0.99986549999999996</v>
      </c>
      <c r="AB5071">
        <v>29</v>
      </c>
      <c r="AC5071">
        <v>-63.370899999999999</v>
      </c>
      <c r="AD5071">
        <v>-1.10986303484</v>
      </c>
      <c r="AE5071">
        <v>1.7500000000012499E-2</v>
      </c>
      <c r="AF5071">
        <v>1.04385269479187</v>
      </c>
      <c r="AG5071">
        <v>-1.10986303484</v>
      </c>
      <c r="AH5071">
        <v>63.342870046512999</v>
      </c>
      <c r="AI5071">
        <v>91.003669886444001</v>
      </c>
      <c r="AJ5071">
        <v>89.0558852067023</v>
      </c>
      <c r="AK5071">
        <v>63.361191672300201</v>
      </c>
      <c r="AL5071">
        <v>81.246602164990904</v>
      </c>
      <c r="AM5071">
        <v>94.628672241125798</v>
      </c>
      <c r="AN5071">
        <v>1.00000000572582</v>
      </c>
    </row>
    <row r="5072" spans="1:40" x14ac:dyDescent="0.25">
      <c r="A5072" t="str">
        <f>"20190304154858577"</f>
        <v>20190304154858577</v>
      </c>
      <c r="B5072" t="str">
        <f>"1551685738572667"</f>
        <v>1551685738572667</v>
      </c>
      <c r="C5072" t="s">
        <v>40</v>
      </c>
      <c r="D5072">
        <v>4.1574970000000002</v>
      </c>
      <c r="E5072">
        <v>0.53382569999999996</v>
      </c>
      <c r="F5072" t="s">
        <v>79</v>
      </c>
      <c r="G5072">
        <v>-312.83330000000001</v>
      </c>
      <c r="H5072" s="1">
        <v>-8.8739770000000005E-6</v>
      </c>
      <c r="I5072">
        <v>141.39670000000001</v>
      </c>
      <c r="J5072">
        <v>-246.87389999999999</v>
      </c>
      <c r="K5072">
        <v>1.109853</v>
      </c>
      <c r="L5072">
        <v>141.4393</v>
      </c>
      <c r="M5072">
        <v>-0.99984709999999999</v>
      </c>
      <c r="N5072">
        <v>-6.6787030000000002E-3</v>
      </c>
      <c r="O5072">
        <v>-1.6165209999999999E-2</v>
      </c>
      <c r="P5072">
        <v>-0.98468549999999999</v>
      </c>
      <c r="Q5072">
        <v>0.14592469999999999</v>
      </c>
      <c r="R5072">
        <v>-9.539541E-2</v>
      </c>
      <c r="S5072">
        <v>-3.054001</v>
      </c>
      <c r="T5072">
        <v>-5.1162600000000003E-2</v>
      </c>
      <c r="U5072">
        <v>-2.1820070000000001E-3</v>
      </c>
      <c r="V5072">
        <v>-7.9451629999999995E-2</v>
      </c>
      <c r="W5072">
        <v>0.1525147</v>
      </c>
      <c r="X5072">
        <v>0.98510240000000004</v>
      </c>
      <c r="Y5072">
        <v>1.544733E-2</v>
      </c>
      <c r="Z5072">
        <v>3.437914E-4</v>
      </c>
      <c r="AA5072">
        <v>0.99988060000000001</v>
      </c>
      <c r="AB5072">
        <v>29</v>
      </c>
      <c r="AC5072">
        <v>-65.959400000000002</v>
      </c>
      <c r="AD5072">
        <v>-1.1098618739770001</v>
      </c>
      <c r="AE5072">
        <v>-4.2599999999992998E-2</v>
      </c>
      <c r="AF5072">
        <v>1.02338707342095</v>
      </c>
      <c r="AG5072">
        <v>-1.1098618739770001</v>
      </c>
      <c r="AH5072">
        <v>65.932802163518204</v>
      </c>
      <c r="AI5072">
        <v>90.964265695778295</v>
      </c>
      <c r="AJ5072">
        <v>89.110745334843301</v>
      </c>
      <c r="AK5072">
        <v>65.950083514844707</v>
      </c>
      <c r="AL5072">
        <v>81.227314812437399</v>
      </c>
      <c r="AM5072">
        <v>94.611105141497703</v>
      </c>
      <c r="AN5072">
        <v>1.0000000168557499</v>
      </c>
    </row>
    <row r="5073" spans="1:40" x14ac:dyDescent="0.25">
      <c r="A5073" t="str">
        <f>"20190304154858599"</f>
        <v>20190304154858599</v>
      </c>
      <c r="B5073" t="str">
        <f>"1551685738592186"</f>
        <v>1551685738592186</v>
      </c>
      <c r="C5073" t="s">
        <v>40</v>
      </c>
      <c r="D5073">
        <v>4.1781160000000002</v>
      </c>
      <c r="E5073">
        <v>0.5335143</v>
      </c>
      <c r="F5073" t="s">
        <v>79</v>
      </c>
      <c r="G5073">
        <v>-311.56650000000002</v>
      </c>
      <c r="H5073" s="1">
        <v>-9.3342809999999994E-6</v>
      </c>
      <c r="I5073">
        <v>141.334</v>
      </c>
      <c r="J5073">
        <v>-247.17189999999999</v>
      </c>
      <c r="K5073">
        <v>1.1098440000000001</v>
      </c>
      <c r="L5073">
        <v>141.43459999999999</v>
      </c>
      <c r="M5073">
        <v>-0.99984729999999999</v>
      </c>
      <c r="N5073">
        <v>-6.755881E-3</v>
      </c>
      <c r="O5073">
        <v>-1.611506E-2</v>
      </c>
      <c r="P5073">
        <v>-0.98463230000000002</v>
      </c>
      <c r="Q5073">
        <v>0.14621689999999901</v>
      </c>
      <c r="R5073">
        <v>-9.5497559999999995E-2</v>
      </c>
      <c r="S5073">
        <v>-3.0539399999999999</v>
      </c>
      <c r="T5073">
        <v>-5.2393200000000001E-2</v>
      </c>
      <c r="U5073">
        <v>-4.9743649999999997E-3</v>
      </c>
      <c r="V5073">
        <v>-7.9599230000000007E-2</v>
      </c>
      <c r="W5073">
        <v>0.15288460000000001</v>
      </c>
      <c r="X5073">
        <v>0.98503309999999999</v>
      </c>
      <c r="Y5073">
        <v>1.448294E-2</v>
      </c>
      <c r="Z5073">
        <v>3.4072010000000001E-4</v>
      </c>
      <c r="AA5073">
        <v>0.99989499999999998</v>
      </c>
      <c r="AB5073">
        <v>29</v>
      </c>
      <c r="AC5073">
        <v>-64.394599999999997</v>
      </c>
      <c r="AD5073">
        <v>-1.109853334281</v>
      </c>
      <c r="AE5073">
        <v>-0.10059999999998499</v>
      </c>
      <c r="AF5073">
        <v>0.93688130831987904</v>
      </c>
      <c r="AG5073">
        <v>-1.109853334281</v>
      </c>
      <c r="AH5073">
        <v>64.368737997200697</v>
      </c>
      <c r="AI5073">
        <v>90.987698080275905</v>
      </c>
      <c r="AJ5073">
        <v>89.166123859996404</v>
      </c>
      <c r="AK5073">
        <v>64.385122135177795</v>
      </c>
      <c r="AL5073">
        <v>81.205869221435606</v>
      </c>
      <c r="AM5073">
        <v>94.619957904050295</v>
      </c>
      <c r="AN5073">
        <v>0.99999997321468104</v>
      </c>
    </row>
    <row r="5074" spans="1:40" x14ac:dyDescent="0.25">
      <c r="A5074" t="str">
        <f>"20190304154858621"</f>
        <v>20190304154858621</v>
      </c>
      <c r="B5074" t="str">
        <f>"1551685738611710"</f>
        <v>1551685738611710</v>
      </c>
      <c r="C5074" t="s">
        <v>40</v>
      </c>
      <c r="D5074">
        <v>4.3437000000000001</v>
      </c>
      <c r="E5074">
        <v>0.53306290000000001</v>
      </c>
      <c r="F5074" t="s">
        <v>79</v>
      </c>
      <c r="G5074">
        <v>-311.84679999999997</v>
      </c>
      <c r="H5074" s="1">
        <v>-9.2120769999999999E-6</v>
      </c>
      <c r="I5074">
        <v>141.27070000000001</v>
      </c>
      <c r="J5074">
        <v>-247.4605</v>
      </c>
      <c r="K5074">
        <v>1.1098399999999999</v>
      </c>
      <c r="L5074">
        <v>141.43</v>
      </c>
      <c r="M5074">
        <v>-0.99984779999999995</v>
      </c>
      <c r="N5074">
        <v>-6.8332319999999998E-3</v>
      </c>
      <c r="O5074">
        <v>-1.6053830000000002E-2</v>
      </c>
      <c r="P5074">
        <v>-0.98454580000000003</v>
      </c>
      <c r="Q5074">
        <v>0.14679200000000001</v>
      </c>
      <c r="R5074">
        <v>-9.5509230000000001E-2</v>
      </c>
      <c r="S5074">
        <v>-3.0538639999999999</v>
      </c>
      <c r="T5074">
        <v>-5.240583E-2</v>
      </c>
      <c r="U5074">
        <v>-7.7362059999999998E-3</v>
      </c>
      <c r="V5074">
        <v>-7.9668569999999994E-2</v>
      </c>
      <c r="W5074">
        <v>0.15353729999999999</v>
      </c>
      <c r="X5074">
        <v>0.98492599999999997</v>
      </c>
      <c r="Y5074">
        <v>1.3517589999999999E-2</v>
      </c>
      <c r="Z5074">
        <v>3.2792630000000003E-4</v>
      </c>
      <c r="AA5074">
        <v>0.99990860000000004</v>
      </c>
      <c r="AB5074">
        <v>29</v>
      </c>
      <c r="AC5074">
        <v>-64.386299999999906</v>
      </c>
      <c r="AD5074">
        <v>-1.109849212077</v>
      </c>
      <c r="AE5074">
        <v>-0.159300000000001</v>
      </c>
      <c r="AF5074">
        <v>0.874131630146046</v>
      </c>
      <c r="AG5074">
        <v>-1.109849212077</v>
      </c>
      <c r="AH5074">
        <v>64.361436163699196</v>
      </c>
      <c r="AI5074">
        <v>90.987819965171198</v>
      </c>
      <c r="AJ5074">
        <v>89.221879172209796</v>
      </c>
      <c r="AK5074">
        <v>64.376939477069698</v>
      </c>
      <c r="AL5074">
        <v>81.168025740846801</v>
      </c>
      <c r="AM5074">
        <v>94.624465594843798</v>
      </c>
      <c r="AN5074">
        <v>1.00000000450656</v>
      </c>
    </row>
    <row r="5075" spans="1:40" x14ac:dyDescent="0.25">
      <c r="A5075" t="str">
        <f>"20190304154858642"</f>
        <v>20190304154858642</v>
      </c>
      <c r="B5075" t="str">
        <f>"1551685738632202"</f>
        <v>1551685738632202</v>
      </c>
      <c r="C5075" t="s">
        <v>40</v>
      </c>
      <c r="D5075">
        <v>4.165368</v>
      </c>
      <c r="E5075">
        <v>0.53295879999999995</v>
      </c>
      <c r="F5075" t="s">
        <v>79</v>
      </c>
      <c r="G5075">
        <v>-313.27370000000002</v>
      </c>
      <c r="H5075" s="1">
        <v>-8.6523860000000004E-6</v>
      </c>
      <c r="I5075">
        <v>141.18530000000001</v>
      </c>
      <c r="J5075">
        <v>-247.74539999999999</v>
      </c>
      <c r="K5075">
        <v>1.1098440000000001</v>
      </c>
      <c r="L5075">
        <v>141.4255</v>
      </c>
      <c r="M5075">
        <v>-0.99984830000000002</v>
      </c>
      <c r="N5075">
        <v>-6.919428E-3</v>
      </c>
      <c r="O5075">
        <v>-1.598335E-2</v>
      </c>
      <c r="P5075">
        <v>-0.98453219999999997</v>
      </c>
      <c r="Q5075">
        <v>0.1471161</v>
      </c>
      <c r="R5075">
        <v>-9.5149109999999995E-2</v>
      </c>
      <c r="S5075">
        <v>-3.0536500000000002</v>
      </c>
      <c r="T5075">
        <v>-5.1495550000000001E-2</v>
      </c>
      <c r="U5075">
        <v>-1.135254E-2</v>
      </c>
      <c r="V5075">
        <v>-7.9374600000000003E-2</v>
      </c>
      <c r="W5075">
        <v>0.15394759999999999</v>
      </c>
      <c r="X5075">
        <v>0.98488569999999998</v>
      </c>
      <c r="Y5075">
        <v>1.226318E-2</v>
      </c>
      <c r="Z5075">
        <v>3.0473499999999999E-4</v>
      </c>
      <c r="AA5075">
        <v>0.99992479999999995</v>
      </c>
      <c r="AB5075">
        <v>29</v>
      </c>
      <c r="AC5075">
        <v>-65.528300000000002</v>
      </c>
      <c r="AD5075">
        <v>-1.1098526523859999</v>
      </c>
      <c r="AE5075">
        <v>-0.24019999999998701</v>
      </c>
      <c r="AF5075">
        <v>0.80698603864986196</v>
      </c>
      <c r="AG5075">
        <v>-1.1098526523859999</v>
      </c>
      <c r="AH5075">
        <v>65.504977553388699</v>
      </c>
      <c r="AI5075">
        <v>90.970597470535395</v>
      </c>
      <c r="AJ5075">
        <v>89.294182564906805</v>
      </c>
      <c r="AK5075">
        <v>65.519348925691801</v>
      </c>
      <c r="AL5075">
        <v>81.144234532312296</v>
      </c>
      <c r="AM5075">
        <v>94.607663047781699</v>
      </c>
      <c r="AN5075">
        <v>1.0000000163677001</v>
      </c>
    </row>
    <row r="5076" spans="1:40" x14ac:dyDescent="0.25">
      <c r="A5076" t="str">
        <f>"20190304154858665"</f>
        <v>20190304154858665</v>
      </c>
      <c r="B5076" t="str">
        <f>"1551685738662459"</f>
        <v>1551685738662459</v>
      </c>
      <c r="C5076" t="s">
        <v>40</v>
      </c>
      <c r="D5076">
        <v>4.1642169999999998</v>
      </c>
      <c r="E5076">
        <v>0.53271109999999999</v>
      </c>
      <c r="F5076" t="s">
        <v>79</v>
      </c>
      <c r="G5076">
        <v>-315.06240000000003</v>
      </c>
      <c r="H5076" s="1">
        <v>-7.9710549999999992E-6</v>
      </c>
      <c r="I5076">
        <v>141.1816</v>
      </c>
      <c r="J5076">
        <v>-248.03829999999999</v>
      </c>
      <c r="K5076">
        <v>1.109855</v>
      </c>
      <c r="L5076">
        <v>141.42089999999999</v>
      </c>
      <c r="M5076">
        <v>-0.99984879999999998</v>
      </c>
      <c r="N5076">
        <v>-7.0255150000000004E-3</v>
      </c>
      <c r="O5076">
        <v>-1.5903420000000001E-2</v>
      </c>
      <c r="P5076">
        <v>-0.9844697</v>
      </c>
      <c r="Q5076">
        <v>0.1476864</v>
      </c>
      <c r="R5076">
        <v>-9.491223E-2</v>
      </c>
      <c r="S5076">
        <v>-3.0535890000000001</v>
      </c>
      <c r="T5076">
        <v>-5.0344350000000003E-2</v>
      </c>
      <c r="U5076">
        <v>-1.106262E-2</v>
      </c>
      <c r="V5076">
        <v>-7.9215380000000002E-2</v>
      </c>
      <c r="W5076">
        <v>0.1546237</v>
      </c>
      <c r="X5076">
        <v>0.98479260000000002</v>
      </c>
      <c r="Y5076">
        <v>1.2278280000000001E-2</v>
      </c>
      <c r="Z5076">
        <v>2.9478319999999997E-4</v>
      </c>
      <c r="AA5076">
        <v>0.99992460000000005</v>
      </c>
      <c r="AB5076">
        <v>29</v>
      </c>
      <c r="AC5076">
        <v>-67.024100000000004</v>
      </c>
      <c r="AD5076">
        <v>-1.1098629710549901</v>
      </c>
      <c r="AE5076">
        <v>-0.239299999999985</v>
      </c>
      <c r="AF5076">
        <v>0.82644242521410405</v>
      </c>
      <c r="AG5076">
        <v>-1.1098629710549901</v>
      </c>
      <c r="AH5076">
        <v>67.001057152125895</v>
      </c>
      <c r="AI5076">
        <v>90.948937461496897</v>
      </c>
      <c r="AJ5076">
        <v>89.293305751517593</v>
      </c>
      <c r="AK5076">
        <v>67.015344977095694</v>
      </c>
      <c r="AL5076">
        <v>81.105027388505107</v>
      </c>
      <c r="AM5076">
        <v>94.5988929337841</v>
      </c>
      <c r="AN5076">
        <v>1.0000000150224899</v>
      </c>
    </row>
    <row r="5077" spans="1:40" x14ac:dyDescent="0.25">
      <c r="A5077" t="str">
        <f>"20190304154858688"</f>
        <v>20190304154858688</v>
      </c>
      <c r="B5077" t="str">
        <f>"1551685738681978"</f>
        <v>1551685738681978</v>
      </c>
      <c r="C5077" t="s">
        <v>40</v>
      </c>
      <c r="D5077">
        <v>4.1784619999999997</v>
      </c>
      <c r="E5077">
        <v>0.53259299999999998</v>
      </c>
      <c r="F5077" t="s">
        <v>79</v>
      </c>
      <c r="G5077">
        <v>-317.43740000000003</v>
      </c>
      <c r="H5077" s="1">
        <v>-6.9045489999999996E-6</v>
      </c>
      <c r="I5077">
        <v>141.13130000000001</v>
      </c>
      <c r="J5077">
        <v>-248.35319999999999</v>
      </c>
      <c r="K5077">
        <v>1.1098760000000001</v>
      </c>
      <c r="L5077">
        <v>141.416</v>
      </c>
      <c r="M5077">
        <v>-0.9998494</v>
      </c>
      <c r="N5077">
        <v>-7.1645839999999999E-3</v>
      </c>
      <c r="O5077">
        <v>-1.581231E-2</v>
      </c>
      <c r="P5077">
        <v>-0.98443449999999999</v>
      </c>
      <c r="Q5077">
        <v>0.14810090000000001</v>
      </c>
      <c r="R5077">
        <v>-9.4631370000000006E-2</v>
      </c>
      <c r="S5077">
        <v>-3.0534210000000002</v>
      </c>
      <c r="T5077">
        <v>-4.8831699999999902E-2</v>
      </c>
      <c r="U5077">
        <v>-1.274109E-2</v>
      </c>
      <c r="V5077">
        <v>-7.9022969999999998E-2</v>
      </c>
      <c r="W5077">
        <v>0.1551749</v>
      </c>
      <c r="X5077">
        <v>0.98472139999999997</v>
      </c>
      <c r="Y5077">
        <v>1.1637639999999999E-2</v>
      </c>
      <c r="Z5077">
        <v>2.7430519999999998E-4</v>
      </c>
      <c r="AA5077">
        <v>0.99993220000000005</v>
      </c>
      <c r="AB5077">
        <v>30</v>
      </c>
      <c r="AC5077">
        <v>-69.084199999999996</v>
      </c>
      <c r="AD5077">
        <v>-1.109882904549</v>
      </c>
      <c r="AE5077">
        <v>-0.28469999999998602</v>
      </c>
      <c r="AF5077">
        <v>0.80753589418514604</v>
      </c>
      <c r="AG5077">
        <v>-1.109882904549</v>
      </c>
      <c r="AH5077">
        <v>69.062239341588494</v>
      </c>
      <c r="AI5077">
        <v>90.920644731360497</v>
      </c>
      <c r="AJ5077">
        <v>89.330078339466198</v>
      </c>
      <c r="AK5077">
        <v>69.075877534469697</v>
      </c>
      <c r="AL5077">
        <v>81.073060500650698</v>
      </c>
      <c r="AM5077">
        <v>94.588100508062595</v>
      </c>
      <c r="AN5077">
        <v>1.0000000574977901</v>
      </c>
    </row>
    <row r="5078" spans="1:40" x14ac:dyDescent="0.25">
      <c r="A5078" t="str">
        <f>"20190304154858712"</f>
        <v>20190304154858712</v>
      </c>
      <c r="B5078" t="str">
        <f>"1551685738702475"</f>
        <v>1551685738702475</v>
      </c>
      <c r="C5078" t="s">
        <v>40</v>
      </c>
      <c r="D5078">
        <v>3.9584519999999999</v>
      </c>
      <c r="E5078">
        <v>0.53209329999999999</v>
      </c>
      <c r="F5078" t="s">
        <v>44</v>
      </c>
      <c r="G5078">
        <v>-320.2921</v>
      </c>
      <c r="H5078" s="1">
        <v>-4.4434609999999999E-6</v>
      </c>
      <c r="I5078">
        <v>141.1207</v>
      </c>
      <c r="J5078">
        <v>-248.6584</v>
      </c>
      <c r="K5078">
        <v>1.1099110000000001</v>
      </c>
      <c r="L5078">
        <v>141.41120000000001</v>
      </c>
      <c r="M5078">
        <v>-0.99984969999999995</v>
      </c>
      <c r="N5078">
        <v>-7.3214930000000001E-3</v>
      </c>
      <c r="O5078">
        <v>-1.5721280000000001E-2</v>
      </c>
      <c r="P5078">
        <v>-0.98428260000000001</v>
      </c>
      <c r="Q5078">
        <v>0.14915439999999999</v>
      </c>
      <c r="R5078">
        <v>-9.4554860000000004E-2</v>
      </c>
      <c r="S5078">
        <v>-3.0533450000000002</v>
      </c>
      <c r="T5078">
        <v>-4.7107339999999998E-2</v>
      </c>
      <c r="U5078">
        <v>-1.2527470000000001E-2</v>
      </c>
      <c r="V5078">
        <v>-7.9037780000000002E-2</v>
      </c>
      <c r="W5078">
        <v>0.15638260000000001</v>
      </c>
      <c r="X5078">
        <v>0.98452910000000005</v>
      </c>
      <c r="Y5078">
        <v>1.1616680000000001E-2</v>
      </c>
      <c r="Z5078">
        <v>2.5955580000000002E-4</v>
      </c>
      <c r="AA5078">
        <v>0.9999325</v>
      </c>
      <c r="AB5078">
        <v>30</v>
      </c>
      <c r="AC5078">
        <v>-71.633700000000005</v>
      </c>
      <c r="AD5078">
        <v>-1.1099154434609999</v>
      </c>
      <c r="AE5078">
        <v>-0.29050000000000797</v>
      </c>
      <c r="AF5078">
        <v>0.83553885186271204</v>
      </c>
      <c r="AG5078">
        <v>-1.1099154434609999</v>
      </c>
      <c r="AH5078">
        <v>71.612221744164302</v>
      </c>
      <c r="AI5078">
        <v>90.8878938616065</v>
      </c>
      <c r="AJ5078">
        <v>89.331529220763002</v>
      </c>
      <c r="AK5078">
        <v>71.625696091556193</v>
      </c>
      <c r="AL5078">
        <v>81.003008845176197</v>
      </c>
      <c r="AM5078">
        <v>94.589849203430504</v>
      </c>
      <c r="AN5078">
        <v>1.0000000184984399</v>
      </c>
    </row>
    <row r="5079" spans="1:40" x14ac:dyDescent="0.25">
      <c r="A5079" t="str">
        <f>"20190304154858733"</f>
        <v>20190304154858733</v>
      </c>
      <c r="B5079" t="str">
        <f>"1551685738721994"</f>
        <v>1551685738721994</v>
      </c>
      <c r="C5079" t="s">
        <v>40</v>
      </c>
      <c r="D5079">
        <v>3.9774720000000001</v>
      </c>
      <c r="E5079">
        <v>0.53132019999999902</v>
      </c>
      <c r="F5079" t="s">
        <v>44</v>
      </c>
      <c r="G5079">
        <v>-332.78530000000001</v>
      </c>
      <c r="H5079" s="1">
        <v>-3.7488929999999998E-6</v>
      </c>
      <c r="I5079">
        <v>140.96170000000001</v>
      </c>
      <c r="J5079">
        <v>-248.95060000000001</v>
      </c>
      <c r="K5079">
        <v>1.109947</v>
      </c>
      <c r="L5079">
        <v>141.4067</v>
      </c>
      <c r="M5079">
        <v>-0.99984980000000001</v>
      </c>
      <c r="N5079">
        <v>-7.4910200000000001E-3</v>
      </c>
      <c r="O5079">
        <v>-1.563401E-2</v>
      </c>
      <c r="P5079">
        <v>-0.9841529</v>
      </c>
      <c r="Q5079">
        <v>0.15048</v>
      </c>
      <c r="R5079">
        <v>-9.3804159999999998E-2</v>
      </c>
      <c r="S5079">
        <v>-3.0524290000000001</v>
      </c>
      <c r="T5079">
        <v>-4.0271759999999997E-2</v>
      </c>
      <c r="U5079">
        <v>-1.631165E-2</v>
      </c>
      <c r="V5079">
        <v>-7.8373890000000002E-2</v>
      </c>
      <c r="W5079">
        <v>0.1578744</v>
      </c>
      <c r="X5079">
        <v>0.98434410000000006</v>
      </c>
      <c r="Y5079">
        <v>1.028947E-2</v>
      </c>
      <c r="Z5079">
        <v>1.9554349999999999E-4</v>
      </c>
      <c r="AA5079">
        <v>0.99994709999999998</v>
      </c>
      <c r="AB5079">
        <v>30</v>
      </c>
      <c r="AC5079">
        <v>-83.834699999999998</v>
      </c>
      <c r="AD5079">
        <v>-1.109950748893</v>
      </c>
      <c r="AE5079">
        <v>-0.44499999999999301</v>
      </c>
      <c r="AF5079">
        <v>0.86561186970673898</v>
      </c>
      <c r="AG5079">
        <v>-1.109950748893</v>
      </c>
      <c r="AH5079">
        <v>83.816718687576497</v>
      </c>
      <c r="AI5079">
        <v>90.758659927407805</v>
      </c>
      <c r="AJ5079">
        <v>89.408302490396593</v>
      </c>
      <c r="AK5079">
        <v>83.828536943729802</v>
      </c>
      <c r="AL5079">
        <v>80.9164601861698</v>
      </c>
      <c r="AM5079">
        <v>94.552310542498802</v>
      </c>
      <c r="AN5079">
        <v>1.0000000500069399</v>
      </c>
    </row>
    <row r="5080" spans="1:40" x14ac:dyDescent="0.25">
      <c r="A5080" t="str">
        <f>"20190304154858755"</f>
        <v>20190304154858755</v>
      </c>
      <c r="B5080" t="str">
        <f>"1551685738752251"</f>
        <v>1551685738752251</v>
      </c>
      <c r="C5080" t="s">
        <v>40</v>
      </c>
      <c r="D5080">
        <v>3.958774</v>
      </c>
      <c r="E5080">
        <v>0.53104649999999998</v>
      </c>
      <c r="F5080" t="s">
        <v>44</v>
      </c>
      <c r="G5080">
        <v>-352.32850000000002</v>
      </c>
      <c r="H5080" s="1">
        <v>-3.559231E-6</v>
      </c>
      <c r="I5080">
        <v>140.69069999999999</v>
      </c>
      <c r="J5080">
        <v>-249.23419999999999</v>
      </c>
      <c r="K5080">
        <v>1.1099779999999999</v>
      </c>
      <c r="L5080">
        <v>141.4024</v>
      </c>
      <c r="M5080">
        <v>-0.99984969999999995</v>
      </c>
      <c r="N5080">
        <v>-7.661251E-3</v>
      </c>
      <c r="O5080">
        <v>-1.554998E-2</v>
      </c>
      <c r="P5080">
        <v>-0.98409389999999997</v>
      </c>
      <c r="Q5080">
        <v>0.15138289999999999</v>
      </c>
      <c r="R5080">
        <v>-9.2964249999999998E-2</v>
      </c>
      <c r="S5080">
        <v>-3.0513150000000002</v>
      </c>
      <c r="T5080">
        <v>-3.2761449999999998E-2</v>
      </c>
      <c r="U5080">
        <v>-2.113342E-2</v>
      </c>
      <c r="V5080">
        <v>-7.761738E-2</v>
      </c>
      <c r="W5080">
        <v>0.1589441</v>
      </c>
      <c r="X5080">
        <v>0.98423179999999999</v>
      </c>
      <c r="Y5080">
        <v>8.6241349999999998E-3</v>
      </c>
      <c r="Z5080">
        <v>1.2714089999999999E-4</v>
      </c>
      <c r="AA5080">
        <v>0.99996280000000004</v>
      </c>
      <c r="AB5080">
        <v>30</v>
      </c>
      <c r="AC5080">
        <v>-103.0943</v>
      </c>
      <c r="AD5080">
        <v>-1.1099815592309901</v>
      </c>
      <c r="AE5080">
        <v>-0.71170000000000699</v>
      </c>
      <c r="AF5080">
        <v>0.89144414040192599</v>
      </c>
      <c r="AG5080">
        <v>-1.1099815592309901</v>
      </c>
      <c r="AH5080">
        <v>103.08095288160099</v>
      </c>
      <c r="AI5080">
        <v>90.616917299212105</v>
      </c>
      <c r="AJ5080">
        <v>89.504518417251504</v>
      </c>
      <c r="AK5080">
        <v>103.090783189847</v>
      </c>
      <c r="AL5080">
        <v>80.854386300968699</v>
      </c>
      <c r="AM5080">
        <v>94.509063357658107</v>
      </c>
      <c r="AN5080">
        <v>0.99999996036705596</v>
      </c>
    </row>
    <row r="5081" spans="1:40" x14ac:dyDescent="0.25">
      <c r="A5081" t="str">
        <f>"20190304154858777"</f>
        <v>20190304154858777</v>
      </c>
      <c r="B5081" t="str">
        <f>"1551685738771771"</f>
        <v>1551685738771771</v>
      </c>
      <c r="C5081" t="s">
        <v>40</v>
      </c>
      <c r="D5081">
        <v>3.954202</v>
      </c>
      <c r="E5081">
        <v>0.53056309999999995</v>
      </c>
      <c r="F5081" t="s">
        <v>44</v>
      </c>
      <c r="G5081">
        <v>-387.44600000000003</v>
      </c>
      <c r="H5081" s="1">
        <v>-1.2949319999999999E-6</v>
      </c>
      <c r="I5081">
        <v>140.4316</v>
      </c>
      <c r="J5081">
        <v>-249.5325</v>
      </c>
      <c r="K5081">
        <v>1.1100080000000001</v>
      </c>
      <c r="L5081">
        <v>141.39779999999999</v>
      </c>
      <c r="M5081">
        <v>-0.99984969999999995</v>
      </c>
      <c r="N5081">
        <v>-7.8577760000000003E-3</v>
      </c>
      <c r="O5081">
        <v>-1.54632E-2</v>
      </c>
      <c r="P5081">
        <v>-0.98392820000000003</v>
      </c>
      <c r="Q5081">
        <v>0.15267</v>
      </c>
      <c r="R5081">
        <v>-9.2616959999999998E-2</v>
      </c>
      <c r="S5081">
        <v>-3.0502470000000002</v>
      </c>
      <c r="T5081">
        <v>-2.4496560000000001E-2</v>
      </c>
      <c r="U5081">
        <v>-2.1423339999999999E-2</v>
      </c>
      <c r="V5081">
        <v>-7.7356919999999996E-2</v>
      </c>
      <c r="W5081">
        <v>0.16042310000000001</v>
      </c>
      <c r="X5081">
        <v>0.98401240000000001</v>
      </c>
      <c r="Y5081">
        <v>8.4402890000000001E-3</v>
      </c>
      <c r="Z5081" s="1">
        <v>6.9718119999999994E-5</v>
      </c>
      <c r="AA5081">
        <v>0.99996439999999998</v>
      </c>
      <c r="AB5081">
        <v>30</v>
      </c>
      <c r="AC5081">
        <v>-137.913499999999</v>
      </c>
      <c r="AD5081">
        <v>-1.110009294932</v>
      </c>
      <c r="AE5081">
        <v>-0.96619999999998596</v>
      </c>
      <c r="AF5081">
        <v>1.16648954489296</v>
      </c>
      <c r="AG5081">
        <v>-1.110009294932</v>
      </c>
      <c r="AH5081">
        <v>137.903017824046</v>
      </c>
      <c r="AI5081">
        <v>90.461158866266103</v>
      </c>
      <c r="AJ5081">
        <v>89.515359889421802</v>
      </c>
      <c r="AK5081">
        <v>137.912418380189</v>
      </c>
      <c r="AL5081">
        <v>80.768545011153805</v>
      </c>
      <c r="AM5081">
        <v>94.494992312368296</v>
      </c>
      <c r="AN5081">
        <v>1.00000003371962</v>
      </c>
    </row>
    <row r="5082" spans="1:40" x14ac:dyDescent="0.25">
      <c r="A5082" t="str">
        <f>"20190304154858800"</f>
        <v>20190304154858800</v>
      </c>
      <c r="B5082" t="str">
        <f>"1551685738792270"</f>
        <v>1551685738792270</v>
      </c>
      <c r="C5082" t="s">
        <v>40</v>
      </c>
      <c r="D5082">
        <v>3.9972560000000001</v>
      </c>
      <c r="E5082">
        <v>0.52980229999999995</v>
      </c>
      <c r="F5082" t="s">
        <v>44</v>
      </c>
      <c r="G5082">
        <v>-444.64859999999999</v>
      </c>
      <c r="H5082" s="1">
        <v>-1.320504E-6</v>
      </c>
      <c r="I5082">
        <v>139.82579999999999</v>
      </c>
      <c r="J5082">
        <v>-249.839</v>
      </c>
      <c r="K5082">
        <v>1.1100460000000001</v>
      </c>
      <c r="L5082">
        <v>141.39320000000001</v>
      </c>
      <c r="M5082">
        <v>-0.99984910000000005</v>
      </c>
      <c r="N5082">
        <v>-8.0850699999999998E-3</v>
      </c>
      <c r="O5082">
        <v>-1.537297E-2</v>
      </c>
      <c r="P5082">
        <v>-0.98382939999999997</v>
      </c>
      <c r="Q5082">
        <v>0.15327389999999999</v>
      </c>
      <c r="R5082">
        <v>-9.2665109999999995E-2</v>
      </c>
      <c r="S5082">
        <v>-3.0493769999999998</v>
      </c>
      <c r="T5082">
        <v>-1.7347810000000002E-2</v>
      </c>
      <c r="U5082">
        <v>-2.4566649999999999E-2</v>
      </c>
      <c r="V5082">
        <v>-7.7494610000000005E-2</v>
      </c>
      <c r="W5082">
        <v>0.16125049999999999</v>
      </c>
      <c r="X5082">
        <v>0.98386629999999997</v>
      </c>
      <c r="Y5082">
        <v>7.3175769999999996E-3</v>
      </c>
      <c r="Z5082" s="1">
        <v>1.355001E-5</v>
      </c>
      <c r="AA5082">
        <v>0.99997320000000001</v>
      </c>
      <c r="AB5082">
        <v>30</v>
      </c>
      <c r="AC5082">
        <v>-194.80959999999999</v>
      </c>
      <c r="AD5082">
        <v>-1.11004732050399</v>
      </c>
      <c r="AE5082">
        <v>-1.5674000000000201</v>
      </c>
      <c r="AF5082">
        <v>1.42763902793997</v>
      </c>
      <c r="AG5082">
        <v>-1.11004732050399</v>
      </c>
      <c r="AH5082">
        <v>194.80434941660999</v>
      </c>
      <c r="AI5082">
        <v>90.326474385855306</v>
      </c>
      <c r="AJ5082">
        <v>89.580110881186002</v>
      </c>
      <c r="AK5082">
        <v>194.81274319170399</v>
      </c>
      <c r="AL5082">
        <v>80.720513003648904</v>
      </c>
      <c r="AM5082">
        <v>94.503626134219701</v>
      </c>
      <c r="AN5082">
        <v>1.0000000173024901</v>
      </c>
    </row>
    <row r="5083" spans="1:40" x14ac:dyDescent="0.25">
      <c r="A5083" t="str">
        <f>"20190304154858822"</f>
        <v>20190304154858822</v>
      </c>
      <c r="B5083" t="str">
        <f>"1551685738811787"</f>
        <v>1551685738811787</v>
      </c>
      <c r="C5083" t="s">
        <v>40</v>
      </c>
      <c r="D5083">
        <v>3.9818760000000002</v>
      </c>
      <c r="E5083">
        <v>0.52895409999999998</v>
      </c>
      <c r="F5083" t="s">
        <v>44</v>
      </c>
      <c r="G5083">
        <v>-468.9889</v>
      </c>
      <c r="H5083" s="1">
        <v>3.1945509999999999E-7</v>
      </c>
      <c r="I5083">
        <v>139.1294</v>
      </c>
      <c r="J5083">
        <v>-250.13749999999999</v>
      </c>
      <c r="K5083">
        <v>1.1100810000000001</v>
      </c>
      <c r="L5083">
        <v>141.3887</v>
      </c>
      <c r="M5083">
        <v>-0.99984870000000003</v>
      </c>
      <c r="N5083">
        <v>-8.3205169999999995E-3</v>
      </c>
      <c r="O5083">
        <v>-1.528292E-2</v>
      </c>
      <c r="P5083">
        <v>-0.98370089999999999</v>
      </c>
      <c r="Q5083">
        <v>0.154087</v>
      </c>
      <c r="R5083">
        <v>-9.268179E-2</v>
      </c>
      <c r="S5083">
        <v>-3.0487669999999998</v>
      </c>
      <c r="T5083">
        <v>-1.544273E-2</v>
      </c>
      <c r="U5083">
        <v>-3.1494139999999997E-2</v>
      </c>
      <c r="V5083">
        <v>-7.7601249999999997E-2</v>
      </c>
      <c r="W5083">
        <v>0.1622941</v>
      </c>
      <c r="X5083">
        <v>0.98368630000000001</v>
      </c>
      <c r="Y5083">
        <v>4.9540160000000003E-3</v>
      </c>
      <c r="Z5083" s="1">
        <v>-1.66046E-5</v>
      </c>
      <c r="AA5083">
        <v>0.99998770000000003</v>
      </c>
      <c r="AB5083">
        <v>30</v>
      </c>
      <c r="AC5083">
        <v>-218.85140000000001</v>
      </c>
      <c r="AD5083">
        <v>-1.1100806805448999</v>
      </c>
      <c r="AE5083">
        <v>-2.2592999999999899</v>
      </c>
      <c r="AF5083">
        <v>1.0857398037292201</v>
      </c>
      <c r="AG5083">
        <v>-1.1100806805448999</v>
      </c>
      <c r="AH5083">
        <v>218.85473818127301</v>
      </c>
      <c r="AI5083">
        <v>90.290611070856698</v>
      </c>
      <c r="AJ5083">
        <v>89.715757590723598</v>
      </c>
      <c r="AK5083">
        <v>218.860246583139</v>
      </c>
      <c r="AL5083">
        <v>80.659921161860595</v>
      </c>
      <c r="AM5083">
        <v>94.510619827998497</v>
      </c>
      <c r="AN5083">
        <v>1.00000003285203</v>
      </c>
    </row>
    <row r="5084" spans="1:40" x14ac:dyDescent="0.25">
      <c r="A5084" t="str">
        <f>"20190304154858843"</f>
        <v>20190304154858843</v>
      </c>
      <c r="B5084" t="str">
        <f>"1551685738832283"</f>
        <v>1551685738832283</v>
      </c>
      <c r="C5084" t="s">
        <v>40</v>
      </c>
      <c r="D5084">
        <v>3.9588239999999999</v>
      </c>
      <c r="E5084">
        <v>0.52817579999999997</v>
      </c>
      <c r="F5084" t="s">
        <v>68</v>
      </c>
      <c r="G5084">
        <v>-482.31709999999998</v>
      </c>
      <c r="H5084" s="1">
        <v>-1.078371E-5</v>
      </c>
      <c r="I5084">
        <v>138.446</v>
      </c>
      <c r="J5084">
        <v>-250.4239</v>
      </c>
      <c r="K5084">
        <v>1.110101</v>
      </c>
      <c r="L5084">
        <v>141.3844</v>
      </c>
      <c r="M5084">
        <v>-0.99984819999999996</v>
      </c>
      <c r="N5084">
        <v>-8.5491609999999996E-3</v>
      </c>
      <c r="O5084">
        <v>-1.5190459999999999E-2</v>
      </c>
      <c r="P5084">
        <v>-0.98353210000000002</v>
      </c>
      <c r="Q5084">
        <v>0.15471170000000001</v>
      </c>
      <c r="R5084">
        <v>-9.3430700000000005E-2</v>
      </c>
      <c r="S5084">
        <v>-3.04834</v>
      </c>
      <c r="T5084">
        <v>-1.457465E-2</v>
      </c>
      <c r="U5084">
        <v>-3.8635250000000003E-2</v>
      </c>
      <c r="V5084">
        <v>-7.8441419999999998E-2</v>
      </c>
      <c r="W5084">
        <v>0.16314339999999999</v>
      </c>
      <c r="X5084">
        <v>0.98347910000000005</v>
      </c>
      <c r="Y5084">
        <v>2.5178919999999999E-3</v>
      </c>
      <c r="Z5084" s="1">
        <v>-4.0466529999999998E-5</v>
      </c>
      <c r="AA5084">
        <v>0.99999680000000002</v>
      </c>
      <c r="AB5084">
        <v>30</v>
      </c>
      <c r="AC5084">
        <v>-231.89320000000001</v>
      </c>
      <c r="AD5084">
        <v>-1.1101117837100001</v>
      </c>
      <c r="AE5084">
        <v>-2.9384000000000001</v>
      </c>
      <c r="AF5084">
        <v>0.584618321296132</v>
      </c>
      <c r="AG5084">
        <v>-1.1101117837100001</v>
      </c>
      <c r="AH5084">
        <v>231.90576536727701</v>
      </c>
      <c r="AI5084">
        <v>90.274266713359097</v>
      </c>
      <c r="AJ5084">
        <v>89.855561626825093</v>
      </c>
      <c r="AK5084">
        <v>231.909159235543</v>
      </c>
      <c r="AL5084">
        <v>80.610602087538695</v>
      </c>
      <c r="AM5084">
        <v>94.560206920174593</v>
      </c>
      <c r="AN5084">
        <v>0.999999982735993</v>
      </c>
    </row>
    <row r="5085" spans="1:40" x14ac:dyDescent="0.25">
      <c r="A5085" t="str">
        <f>"20190304154858867"</f>
        <v>20190304154858867</v>
      </c>
      <c r="B5085" t="str">
        <f>"1551685738862539"</f>
        <v>1551685738862539</v>
      </c>
      <c r="C5085" t="s">
        <v>40</v>
      </c>
      <c r="D5085">
        <v>3.9542739999999998</v>
      </c>
      <c r="E5085">
        <v>0.52700179999999996</v>
      </c>
      <c r="F5085" t="s">
        <v>68</v>
      </c>
      <c r="G5085">
        <v>-488.46170000000001</v>
      </c>
      <c r="H5085" s="1">
        <v>-1.2835570000000001E-5</v>
      </c>
      <c r="I5085">
        <v>137.70939999999999</v>
      </c>
      <c r="J5085">
        <v>-250.72989999999999</v>
      </c>
      <c r="K5085">
        <v>1.1101270000000001</v>
      </c>
      <c r="L5085">
        <v>141.37989999999999</v>
      </c>
      <c r="M5085">
        <v>-0.99984770000000001</v>
      </c>
      <c r="N5085">
        <v>-8.7889519999999992E-3</v>
      </c>
      <c r="O5085">
        <v>-1.5080029999999999E-2</v>
      </c>
      <c r="P5085">
        <v>-0.9833925</v>
      </c>
      <c r="Q5085">
        <v>0.15537889999999999</v>
      </c>
      <c r="R5085">
        <v>-9.3790499999999999E-2</v>
      </c>
      <c r="S5085">
        <v>-3.048019</v>
      </c>
      <c r="T5085">
        <v>-1.421475E-2</v>
      </c>
      <c r="U5085">
        <v>-4.705811E-2</v>
      </c>
      <c r="V5085">
        <v>-7.8908699999999998E-2</v>
      </c>
      <c r="W5085">
        <v>0.16404749999999901</v>
      </c>
      <c r="X5085">
        <v>0.98329129999999998</v>
      </c>
      <c r="Y5085">
        <v>-3.566172E-4</v>
      </c>
      <c r="Z5085" s="1">
        <v>-6.4620719999999997E-5</v>
      </c>
      <c r="AA5085">
        <v>0.99999990000000005</v>
      </c>
      <c r="AB5085">
        <v>30</v>
      </c>
      <c r="AC5085">
        <v>-237.73179999999999</v>
      </c>
      <c r="AD5085">
        <v>-1.1101398355700001</v>
      </c>
      <c r="AE5085">
        <v>-3.6705000000000001</v>
      </c>
      <c r="AF5085">
        <v>-8.4939732634145601E-2</v>
      </c>
      <c r="AG5085">
        <v>-1.1101398355700001</v>
      </c>
      <c r="AH5085">
        <v>237.75493548278601</v>
      </c>
      <c r="AI5085">
        <v>90.267526984527194</v>
      </c>
      <c r="AJ5085">
        <v>90.020469345782303</v>
      </c>
      <c r="AK5085">
        <v>237.75754240746301</v>
      </c>
      <c r="AL5085">
        <v>80.558093456174802</v>
      </c>
      <c r="AM5085">
        <v>94.588129119689199</v>
      </c>
      <c r="AN5085">
        <v>0.99999997292381404</v>
      </c>
    </row>
    <row r="5086" spans="1:40" x14ac:dyDescent="0.25">
      <c r="A5086" t="str">
        <f>"20190304154858889"</f>
        <v>20190304154858889</v>
      </c>
      <c r="B5086" t="str">
        <f>"1551685738882058"</f>
        <v>1551685738882058</v>
      </c>
      <c r="C5086" t="s">
        <v>40</v>
      </c>
      <c r="D5086">
        <v>3.9445350000000001</v>
      </c>
      <c r="E5086">
        <v>0.52629550000000003</v>
      </c>
      <c r="F5086" t="s">
        <v>68</v>
      </c>
      <c r="G5086">
        <v>-486.649</v>
      </c>
      <c r="H5086" s="1">
        <v>-1.2450359999999999E-5</v>
      </c>
      <c r="I5086">
        <v>136.93129999999999</v>
      </c>
      <c r="J5086">
        <v>-251.0377</v>
      </c>
      <c r="K5086">
        <v>1.1101479999999999</v>
      </c>
      <c r="L5086">
        <v>141.37540000000001</v>
      </c>
      <c r="M5086">
        <v>-0.9998475</v>
      </c>
      <c r="N5086">
        <v>-9.0224989999999998E-3</v>
      </c>
      <c r="O5086">
        <v>-1.495108E-2</v>
      </c>
      <c r="P5086">
        <v>-0.98325039999999997</v>
      </c>
      <c r="Q5086">
        <v>0.1562461</v>
      </c>
      <c r="R5086">
        <v>-9.3840519999999997E-2</v>
      </c>
      <c r="S5086">
        <v>-3.0474700000000001</v>
      </c>
      <c r="T5086">
        <v>-1.4340159999999999E-2</v>
      </c>
      <c r="U5086">
        <v>-5.7464599999999998E-2</v>
      </c>
      <c r="V5086">
        <v>-7.90825E-2</v>
      </c>
      <c r="W5086">
        <v>0.16514479999999901</v>
      </c>
      <c r="X5086">
        <v>0.98309369999999996</v>
      </c>
      <c r="Y5086">
        <v>-3.9020169999999998E-3</v>
      </c>
      <c r="Z5086" s="1">
        <v>-9.1338369999999997E-5</v>
      </c>
      <c r="AA5086">
        <v>0.9999924</v>
      </c>
      <c r="AB5086">
        <v>30</v>
      </c>
      <c r="AC5086">
        <v>-235.6113</v>
      </c>
      <c r="AD5086">
        <v>-1.11016045036</v>
      </c>
      <c r="AE5086">
        <v>-4.4441000000000104</v>
      </c>
      <c r="AF5086">
        <v>-0.92079594121319996</v>
      </c>
      <c r="AG5086">
        <v>-1.11016045036</v>
      </c>
      <c r="AH5086">
        <v>235.64617972065301</v>
      </c>
      <c r="AI5086">
        <v>90.269923969465097</v>
      </c>
      <c r="AJ5086">
        <v>90.223884184216004</v>
      </c>
      <c r="AK5086">
        <v>235.65059375764201</v>
      </c>
      <c r="AL5086">
        <v>80.494354039149698</v>
      </c>
      <c r="AM5086">
        <v>94.5991116584255</v>
      </c>
      <c r="AN5086">
        <v>1.0000000348764799</v>
      </c>
    </row>
    <row r="5087" spans="1:40" x14ac:dyDescent="0.25">
      <c r="A5087" t="str">
        <f>"20190304154858913"</f>
        <v>20190304154858913</v>
      </c>
      <c r="B5087" t="str">
        <f>"1551685738902554"</f>
        <v>1551685738902554</v>
      </c>
      <c r="C5087" t="s">
        <v>40</v>
      </c>
      <c r="D5087">
        <v>3.805574</v>
      </c>
      <c r="E5087">
        <v>0.5263563</v>
      </c>
      <c r="F5087" t="s">
        <v>68</v>
      </c>
      <c r="G5087">
        <v>-499.97500000000002</v>
      </c>
      <c r="H5087">
        <v>6.7270789999999997E-2</v>
      </c>
      <c r="I5087">
        <v>136.22450000000001</v>
      </c>
      <c r="J5087">
        <v>-251.34270000000001</v>
      </c>
      <c r="K5087">
        <v>1.1101589999999999</v>
      </c>
      <c r="L5087">
        <v>141.37100000000001</v>
      </c>
      <c r="M5087">
        <v>-0.99984779999999995</v>
      </c>
      <c r="N5087">
        <v>-9.2401080000000003E-3</v>
      </c>
      <c r="O5087">
        <v>-1.4799380000000001E-2</v>
      </c>
      <c r="P5087">
        <v>-0.98309049999999998</v>
      </c>
      <c r="Q5087">
        <v>0.1570994</v>
      </c>
      <c r="R5087">
        <v>-9.4090019999999996E-2</v>
      </c>
      <c r="S5087">
        <v>-3.0471339999999998</v>
      </c>
      <c r="T5087">
        <v>-1.276541E-2</v>
      </c>
      <c r="U5087">
        <v>-6.3049320000000006E-2</v>
      </c>
      <c r="V5087">
        <v>-7.9477259999999994E-2</v>
      </c>
      <c r="W5087">
        <v>0.16621369999999999</v>
      </c>
      <c r="X5087">
        <v>0.98288169999999997</v>
      </c>
      <c r="Y5087">
        <v>-5.8878300000000001E-3</v>
      </c>
      <c r="Z5087">
        <v>-1.142952E-4</v>
      </c>
      <c r="AA5087">
        <v>0.9999827</v>
      </c>
      <c r="AB5087">
        <v>30</v>
      </c>
      <c r="AC5087">
        <v>-248.63229999999999</v>
      </c>
      <c r="AD5087">
        <v>-1.0428882100000001</v>
      </c>
      <c r="AE5087">
        <v>-5.1464999999999996</v>
      </c>
      <c r="AF5087">
        <v>-1.46614960475717</v>
      </c>
      <c r="AG5087">
        <v>-1.0428882100000001</v>
      </c>
      <c r="AH5087">
        <v>248.67686321131501</v>
      </c>
      <c r="AI5087">
        <v>90.240278501940693</v>
      </c>
      <c r="AJ5087">
        <v>90.337800670640704</v>
      </c>
      <c r="AK5087">
        <v>248.683371995599</v>
      </c>
      <c r="AL5087">
        <v>80.432252292074594</v>
      </c>
      <c r="AM5087">
        <v>94.622962650878506</v>
      </c>
      <c r="AN5087">
        <v>1.0000000325598399</v>
      </c>
    </row>
    <row r="5088" spans="1:40" x14ac:dyDescent="0.25">
      <c r="A5088" t="str">
        <f>"20190304154858934"</f>
        <v>20190304154858934</v>
      </c>
      <c r="B5088" t="str">
        <f>"1551685738922074"</f>
        <v>1551685738922074</v>
      </c>
      <c r="C5088" t="s">
        <v>40</v>
      </c>
      <c r="D5088">
        <v>3.9129649999999998</v>
      </c>
      <c r="E5088">
        <v>0.52638809999999903</v>
      </c>
      <c r="F5088" t="s">
        <v>42</v>
      </c>
      <c r="G5088">
        <v>0</v>
      </c>
      <c r="H5088">
        <v>0</v>
      </c>
      <c r="I5088">
        <v>0</v>
      </c>
      <c r="J5088">
        <v>-251.636</v>
      </c>
      <c r="K5088">
        <v>1.1101620000000001</v>
      </c>
      <c r="L5088">
        <v>141.36680000000001</v>
      </c>
      <c r="M5088">
        <v>-0.99984850000000003</v>
      </c>
      <c r="N5088">
        <v>-9.4355099999999994E-3</v>
      </c>
      <c r="O5088">
        <v>-1.46248E-2</v>
      </c>
      <c r="P5088">
        <v>-0.98288830000000005</v>
      </c>
      <c r="Q5088">
        <v>0.1585734</v>
      </c>
      <c r="R5088">
        <v>-9.372846E-2</v>
      </c>
      <c r="S5088">
        <v>-3.0468600000000001</v>
      </c>
      <c r="T5088">
        <v>-8.3832739999999996E-3</v>
      </c>
      <c r="U5088">
        <v>-6.3308719999999999E-2</v>
      </c>
      <c r="V5088">
        <v>-7.9281110000000002E-2</v>
      </c>
      <c r="W5088">
        <v>0.16788169999999999</v>
      </c>
      <c r="X5088">
        <v>0.98261399999999999</v>
      </c>
      <c r="Y5088">
        <v>-6.1495780000000002E-3</v>
      </c>
      <c r="Z5088">
        <v>-1.352332E-4</v>
      </c>
      <c r="AA5088">
        <v>0.99998109999999996</v>
      </c>
      <c r="AB5088">
        <v>30</v>
      </c>
      <c r="AC5088">
        <v>-3.0468600000000001</v>
      </c>
      <c r="AD5088">
        <v>-8.3832739999999996E-3</v>
      </c>
      <c r="AE5088">
        <v>-6.3308719999999999E-2</v>
      </c>
      <c r="AF5088">
        <v>-1.8740103615044999E-2</v>
      </c>
      <c r="AG5088">
        <v>-8.3832739999999996E-3</v>
      </c>
      <c r="AH5088">
        <v>3.0474369731257802</v>
      </c>
      <c r="AI5088">
        <v>90.1576130793338</v>
      </c>
      <c r="AJ5088">
        <v>90.3523338857798</v>
      </c>
      <c r="AK5088">
        <v>3.0475061240201802</v>
      </c>
      <c r="AL5088">
        <v>80.335320763378704</v>
      </c>
      <c r="AM5088">
        <v>94.612853392290205</v>
      </c>
      <c r="AN5088">
        <v>1.0000000162968601</v>
      </c>
    </row>
    <row r="5089" spans="1:40" x14ac:dyDescent="0.25">
      <c r="A5089" t="str">
        <f>"20190304154858956"</f>
        <v>20190304154858956</v>
      </c>
      <c r="B5089" t="str">
        <f>"1551685738952331"</f>
        <v>1551685738952331</v>
      </c>
      <c r="C5089" t="s">
        <v>40</v>
      </c>
      <c r="D5089">
        <v>3.8247070000000001</v>
      </c>
      <c r="E5089">
        <v>0.52650969999999997</v>
      </c>
      <c r="F5089" t="s">
        <v>42</v>
      </c>
      <c r="G5089">
        <v>0</v>
      </c>
      <c r="H5089">
        <v>0</v>
      </c>
      <c r="I5089">
        <v>0</v>
      </c>
      <c r="J5089">
        <v>-251.93020000000001</v>
      </c>
      <c r="K5089">
        <v>1.1101620000000001</v>
      </c>
      <c r="L5089">
        <v>141.36269999999999</v>
      </c>
      <c r="M5089">
        <v>-0.99984989999999996</v>
      </c>
      <c r="N5089">
        <v>-9.6163140000000008E-3</v>
      </c>
      <c r="O5089">
        <v>-1.442559E-2</v>
      </c>
      <c r="P5089">
        <v>-0.98268659999999997</v>
      </c>
      <c r="Q5089">
        <v>0.1598368</v>
      </c>
      <c r="R5089">
        <v>-9.3698489999999995E-2</v>
      </c>
      <c r="S5089">
        <v>-3.0467070000000001</v>
      </c>
      <c r="T5089">
        <v>-2.469897E-3</v>
      </c>
      <c r="U5089">
        <v>-6.2179570000000003E-2</v>
      </c>
      <c r="V5089">
        <v>-7.9441609999999996E-2</v>
      </c>
      <c r="W5089">
        <v>0.16932420000000001</v>
      </c>
      <c r="X5089">
        <v>0.98235340000000004</v>
      </c>
      <c r="Y5089">
        <v>-5.9796839999999999E-3</v>
      </c>
      <c r="Z5089">
        <v>-1.582047E-4</v>
      </c>
      <c r="AA5089">
        <v>0.99998209999999998</v>
      </c>
      <c r="AB5089">
        <v>30</v>
      </c>
      <c r="AC5089">
        <v>-3.0467070000000001</v>
      </c>
      <c r="AD5089">
        <v>-2.469897E-3</v>
      </c>
      <c r="AE5089">
        <v>-6.2179570000000003E-2</v>
      </c>
      <c r="AF5089">
        <v>-1.8220517735796801E-2</v>
      </c>
      <c r="AG5089">
        <v>-2.469897E-3</v>
      </c>
      <c r="AH5089">
        <v>3.0472849644786102</v>
      </c>
      <c r="AI5089">
        <v>90.0464387528488</v>
      </c>
      <c r="AJ5089">
        <v>90.342582442462799</v>
      </c>
      <c r="AK5089">
        <v>3.0473404375611199</v>
      </c>
      <c r="AL5089">
        <v>80.251470342480999</v>
      </c>
      <c r="AM5089">
        <v>94.623372278521103</v>
      </c>
      <c r="AN5089">
        <v>0.99999992829829298</v>
      </c>
    </row>
    <row r="5090" spans="1:40" x14ac:dyDescent="0.25">
      <c r="A5090" t="str">
        <f>"20190304154858978"</f>
        <v>20190304154858978</v>
      </c>
      <c r="B5090" t="str">
        <f>"1551685738971854"</f>
        <v>1551685738971854</v>
      </c>
      <c r="C5090" t="s">
        <v>40</v>
      </c>
      <c r="D5090">
        <v>3.9682909999999998</v>
      </c>
      <c r="E5090">
        <v>0.4967664</v>
      </c>
      <c r="F5090" t="s">
        <v>42</v>
      </c>
      <c r="G5090">
        <v>0</v>
      </c>
      <c r="H5090">
        <v>0</v>
      </c>
      <c r="I5090">
        <v>0</v>
      </c>
      <c r="J5090">
        <v>-252.23070000000001</v>
      </c>
      <c r="K5090">
        <v>1.110161</v>
      </c>
      <c r="L5090">
        <v>141.3586</v>
      </c>
      <c r="M5090">
        <v>-0.9998515</v>
      </c>
      <c r="N5090">
        <v>-9.7829079999999999E-3</v>
      </c>
      <c r="O5090">
        <v>-1.419342E-2</v>
      </c>
      <c r="P5090">
        <v>-0.98250680000000001</v>
      </c>
      <c r="Q5090">
        <v>0.1610897</v>
      </c>
      <c r="R5090">
        <v>-9.3439179999999997E-2</v>
      </c>
      <c r="S5090">
        <v>-3.0465089999999999</v>
      </c>
      <c r="T5090">
        <v>3.1362769999999998E-3</v>
      </c>
      <c r="U5090">
        <v>-6.1218259999999997E-2</v>
      </c>
      <c r="V5090">
        <v>-7.9403619999999994E-2</v>
      </c>
      <c r="W5090">
        <v>0.17074329999999999</v>
      </c>
      <c r="X5090">
        <v>0.98211090000000001</v>
      </c>
      <c r="Y5090">
        <v>-5.8981009999999898E-3</v>
      </c>
      <c r="Z5090">
        <v>-1.7927780000000001E-4</v>
      </c>
      <c r="AA5090">
        <v>0.99998260000000005</v>
      </c>
      <c r="AB5090">
        <v>30</v>
      </c>
      <c r="AC5090">
        <v>-3.0465089999999999</v>
      </c>
      <c r="AD5090">
        <v>3.1362769999999998E-3</v>
      </c>
      <c r="AE5090">
        <v>-6.1218259999999997E-2</v>
      </c>
      <c r="AF5090">
        <v>-1.79696265747749E-2</v>
      </c>
      <c r="AG5090">
        <v>3.1362769999999998E-3</v>
      </c>
      <c r="AH5090">
        <v>3.0470678007756198</v>
      </c>
      <c r="AI5090">
        <v>89.941027814584402</v>
      </c>
      <c r="AJ5090">
        <v>90.3378893722915</v>
      </c>
      <c r="AK5090">
        <v>3.0471224009278401</v>
      </c>
      <c r="AL5090">
        <v>80.168961255240305</v>
      </c>
      <c r="AM5090">
        <v>94.622307003032702</v>
      </c>
      <c r="AN5090">
        <v>1.0000000146314001</v>
      </c>
    </row>
    <row r="5091" spans="1:40" x14ac:dyDescent="0.25">
      <c r="A5091" t="str">
        <f>"20190304154859001"</f>
        <v>20190304154859001</v>
      </c>
      <c r="B5091" t="str">
        <f>"1551685738992350"</f>
        <v>1551685738992350</v>
      </c>
      <c r="C5091" t="s">
        <v>40</v>
      </c>
      <c r="D5091">
        <v>3.8935170000000001</v>
      </c>
      <c r="E5091">
        <v>0.48054449999999999</v>
      </c>
      <c r="F5091" t="s">
        <v>83</v>
      </c>
      <c r="G5091">
        <v>-471.96420000000001</v>
      </c>
      <c r="H5091">
        <v>0.1869151</v>
      </c>
      <c r="I5091">
        <v>119.8177</v>
      </c>
      <c r="J5091">
        <v>-252.5376</v>
      </c>
      <c r="K5091">
        <v>1.1101540000000001</v>
      </c>
      <c r="L5091">
        <v>141.3545</v>
      </c>
      <c r="M5091">
        <v>-0.99985380000000001</v>
      </c>
      <c r="N5091">
        <v>-9.9345719999999992E-3</v>
      </c>
      <c r="O5091">
        <v>-1.3923380000000001E-2</v>
      </c>
      <c r="P5091">
        <v>-0.9823461</v>
      </c>
      <c r="Q5091">
        <v>0.16200309999999901</v>
      </c>
      <c r="R5091">
        <v>-9.354925E-2</v>
      </c>
      <c r="S5091">
        <v>-3.0272670000000002</v>
      </c>
      <c r="T5091">
        <v>-1.271915E-2</v>
      </c>
      <c r="U5091">
        <v>-0.29676819999999998</v>
      </c>
      <c r="V5091">
        <v>-7.9771690000000006E-2</v>
      </c>
      <c r="W5091">
        <v>0.1718083</v>
      </c>
      <c r="X5091">
        <v>0.98189530000000003</v>
      </c>
      <c r="Y5091">
        <v>-8.3694669999999999E-2</v>
      </c>
      <c r="Z5091">
        <v>-6.718227E-4</v>
      </c>
      <c r="AA5091">
        <v>0.99649120000000002</v>
      </c>
      <c r="AB5091">
        <v>30</v>
      </c>
      <c r="AC5091">
        <v>-219.42660000000001</v>
      </c>
      <c r="AD5091">
        <v>-0.92323889999999997</v>
      </c>
      <c r="AE5091">
        <v>-21.536799999999999</v>
      </c>
      <c r="AF5091">
        <v>-18.479077670465799</v>
      </c>
      <c r="AG5091">
        <v>-0.92323889999999997</v>
      </c>
      <c r="AH5091">
        <v>219.70135533253199</v>
      </c>
      <c r="AI5091">
        <v>90.239922321683395</v>
      </c>
      <c r="AJ5091">
        <v>94.807830807632399</v>
      </c>
      <c r="AK5091">
        <v>220.479056185773</v>
      </c>
      <c r="AL5091">
        <v>80.107025865603305</v>
      </c>
      <c r="AM5091">
        <v>94.644655066843697</v>
      </c>
      <c r="AN5091">
        <v>0.99999999731821798</v>
      </c>
    </row>
    <row r="5092" spans="1:40" x14ac:dyDescent="0.25">
      <c r="A5092" t="str">
        <f>"20190304154859013"</f>
        <v>20190304154859013</v>
      </c>
      <c r="B5092" t="str">
        <f>"1551685739002106"</f>
        <v>1551685739002106</v>
      </c>
      <c r="C5092" t="s">
        <v>40</v>
      </c>
      <c r="D5092">
        <v>3.870692</v>
      </c>
      <c r="E5092">
        <v>0.47659980000000002</v>
      </c>
      <c r="F5092" t="s">
        <v>48</v>
      </c>
      <c r="G5092">
        <v>-408.16460000000001</v>
      </c>
      <c r="H5092">
        <v>0.3640256</v>
      </c>
      <c r="I5092">
        <v>119.36920000000001</v>
      </c>
      <c r="J5092">
        <v>-252.7089</v>
      </c>
      <c r="K5092">
        <v>1.110147</v>
      </c>
      <c r="L5092">
        <v>141.35230000000001</v>
      </c>
      <c r="M5092">
        <v>-0.99985539999999995</v>
      </c>
      <c r="N5092">
        <v>-1.00126E-2</v>
      </c>
      <c r="O5092">
        <v>-1.3758960000000001E-2</v>
      </c>
      <c r="P5092">
        <v>-0.98221590000000003</v>
      </c>
      <c r="Q5092">
        <v>0.16276589999999999</v>
      </c>
      <c r="R5092">
        <v>-9.3593140000000005E-2</v>
      </c>
      <c r="S5092">
        <v>-3.015701</v>
      </c>
      <c r="T5092">
        <v>-1.44583E-2</v>
      </c>
      <c r="U5092">
        <v>-0.4260254</v>
      </c>
      <c r="V5092">
        <v>-7.9972790000000002E-2</v>
      </c>
      <c r="W5092">
        <v>0.1726491</v>
      </c>
      <c r="X5092">
        <v>0.98173149999999998</v>
      </c>
      <c r="Y5092">
        <v>-0.1262383</v>
      </c>
      <c r="Z5092">
        <v>-1.0077560000000001E-3</v>
      </c>
      <c r="AA5092">
        <v>0.99199939999999998</v>
      </c>
      <c r="AB5092">
        <v>30</v>
      </c>
      <c r="AC5092">
        <v>-155.45570000000001</v>
      </c>
      <c r="AD5092">
        <v>-0.74612140000000005</v>
      </c>
      <c r="AE5092">
        <v>-21.9831</v>
      </c>
      <c r="AF5092">
        <v>-19.841555214130899</v>
      </c>
      <c r="AG5092">
        <v>-0.74612140000000005</v>
      </c>
      <c r="AH5092">
        <v>155.73994567295199</v>
      </c>
      <c r="AI5092">
        <v>90.272290551957497</v>
      </c>
      <c r="AJ5092">
        <v>97.260474036036499</v>
      </c>
      <c r="AK5092">
        <v>157.00055633236801</v>
      </c>
      <c r="AL5092">
        <v>80.058121297188094</v>
      </c>
      <c r="AM5092">
        <v>94.657086042122003</v>
      </c>
      <c r="AN5092">
        <v>1.00000004848172</v>
      </c>
    </row>
    <row r="5093" spans="1:40" x14ac:dyDescent="0.25">
      <c r="A5093" t="str">
        <f>"20190304154859028"</f>
        <v>20190304154859028</v>
      </c>
      <c r="B5093" t="str">
        <f>"1551685739022603"</f>
        <v>1551685739022603</v>
      </c>
      <c r="C5093" t="s">
        <v>40</v>
      </c>
      <c r="D5093">
        <v>3.949897</v>
      </c>
      <c r="E5093">
        <v>0.47305639999999999</v>
      </c>
      <c r="F5093" t="s">
        <v>84</v>
      </c>
      <c r="G5093">
        <v>-395.8331</v>
      </c>
      <c r="H5093">
        <v>0.66048909999999905</v>
      </c>
      <c r="I5093">
        <v>119.6198</v>
      </c>
      <c r="J5093">
        <v>-252.90799999999999</v>
      </c>
      <c r="K5093">
        <v>1.110136</v>
      </c>
      <c r="L5093">
        <v>141.34970000000001</v>
      </c>
      <c r="M5093">
        <v>-0.99985729999999995</v>
      </c>
      <c r="N5093">
        <v>-1.009555E-2</v>
      </c>
      <c r="O5093">
        <v>-1.3551250000000001E-2</v>
      </c>
      <c r="P5093">
        <v>-0.98216590000000004</v>
      </c>
      <c r="Q5093">
        <v>0.16312090000000001</v>
      </c>
      <c r="R5093">
        <v>-9.3499139999999994E-2</v>
      </c>
      <c r="S5093">
        <v>-3.0122990000000001</v>
      </c>
      <c r="T5093">
        <v>-9.4637869999999995E-3</v>
      </c>
      <c r="U5093">
        <v>-0.45739750000000001</v>
      </c>
      <c r="V5093">
        <v>-8.0076049999999996E-2</v>
      </c>
      <c r="W5093">
        <v>0.17308870000000001</v>
      </c>
      <c r="X5093">
        <v>0.98164560000000001</v>
      </c>
      <c r="Y5093">
        <v>-0.13670789999999999</v>
      </c>
      <c r="Z5093">
        <v>-1.001303E-3</v>
      </c>
      <c r="AA5093">
        <v>0.99061089999999996</v>
      </c>
      <c r="AB5093">
        <v>30</v>
      </c>
      <c r="AC5093">
        <v>-142.92509999999999</v>
      </c>
      <c r="AD5093">
        <v>-0.44964690000000002</v>
      </c>
      <c r="AE5093">
        <v>-21.729900000000001</v>
      </c>
      <c r="AF5093">
        <v>-19.790800753290299</v>
      </c>
      <c r="AG5093">
        <v>-0.44964690000000002</v>
      </c>
      <c r="AH5093">
        <v>143.20507187513201</v>
      </c>
      <c r="AI5093">
        <v>90.178207613683099</v>
      </c>
      <c r="AJ5093">
        <v>97.868380593479898</v>
      </c>
      <c r="AK5093">
        <v>144.56683778637699</v>
      </c>
      <c r="AL5093">
        <v>80.032548369343502</v>
      </c>
      <c r="AM5093">
        <v>94.663478968105593</v>
      </c>
      <c r="AN5093">
        <v>0.99999997792532602</v>
      </c>
    </row>
    <row r="5094" spans="1:40" x14ac:dyDescent="0.25">
      <c r="A5094" t="str">
        <f>"20190304154859046"</f>
        <v>20190304154859046</v>
      </c>
      <c r="B5094" t="str">
        <f>"1551685739042123"</f>
        <v>1551685739042123</v>
      </c>
      <c r="C5094" t="s">
        <v>40</v>
      </c>
      <c r="D5094">
        <v>3.9339209999999998</v>
      </c>
      <c r="E5094">
        <v>0.47135709999999997</v>
      </c>
      <c r="F5094" t="s">
        <v>84</v>
      </c>
      <c r="G5094">
        <v>-387.72930000000002</v>
      </c>
      <c r="H5094">
        <v>0.56829739999999995</v>
      </c>
      <c r="I5094">
        <v>119.6199</v>
      </c>
      <c r="J5094">
        <v>-253.13239999999999</v>
      </c>
      <c r="K5094">
        <v>1.1101219999999901</v>
      </c>
      <c r="L5094">
        <v>141.34700000000001</v>
      </c>
      <c r="M5094">
        <v>-0.99985979999999997</v>
      </c>
      <c r="N5094">
        <v>-1.018059E-2</v>
      </c>
      <c r="O5094">
        <v>-1.3297379999999999E-2</v>
      </c>
      <c r="P5094">
        <v>-0.98212710000000003</v>
      </c>
      <c r="Q5094">
        <v>0.163323</v>
      </c>
      <c r="R5094">
        <v>-9.3554239999999997E-2</v>
      </c>
      <c r="S5094">
        <v>-3.010284</v>
      </c>
      <c r="T5094">
        <v>-1.2098070000000001E-2</v>
      </c>
      <c r="U5094">
        <v>-0.4851837</v>
      </c>
      <c r="V5094">
        <v>-8.0371949999999998E-2</v>
      </c>
      <c r="W5094">
        <v>0.17337749999999999</v>
      </c>
      <c r="X5094">
        <v>0.98157050000000001</v>
      </c>
      <c r="Y5094">
        <v>-0.1459752</v>
      </c>
      <c r="Z5094">
        <v>-1.1207680000000001E-3</v>
      </c>
      <c r="AA5094">
        <v>0.98928760000000004</v>
      </c>
      <c r="AB5094">
        <v>30</v>
      </c>
      <c r="AC5094">
        <v>-134.59690000000001</v>
      </c>
      <c r="AD5094">
        <v>-0.54182459999999899</v>
      </c>
      <c r="AE5094">
        <v>-21.7271</v>
      </c>
      <c r="AF5094">
        <v>-19.934985170134301</v>
      </c>
      <c r="AG5094">
        <v>-0.54182459999999899</v>
      </c>
      <c r="AH5094">
        <v>134.87179689023699</v>
      </c>
      <c r="AI5094">
        <v>90.227701037006696</v>
      </c>
      <c r="AJ5094">
        <v>98.407837143986498</v>
      </c>
      <c r="AK5094">
        <v>136.33817808681499</v>
      </c>
      <c r="AL5094">
        <v>80.015747827012802</v>
      </c>
      <c r="AM5094">
        <v>94.680991725611804</v>
      </c>
      <c r="AN5094">
        <v>1.00000002716165</v>
      </c>
    </row>
    <row r="5095" spans="1:40" x14ac:dyDescent="0.25">
      <c r="A5095" t="str">
        <f>"20190304154859059"</f>
        <v>20190304154859059</v>
      </c>
      <c r="B5095" t="str">
        <f>"1551685739051884"</f>
        <v>1551685739051884</v>
      </c>
      <c r="C5095" t="s">
        <v>40</v>
      </c>
      <c r="D5095">
        <v>3.8998889999999999</v>
      </c>
      <c r="E5095">
        <v>0.47124080000000002</v>
      </c>
      <c r="F5095" t="s">
        <v>84</v>
      </c>
      <c r="G5095">
        <v>-384.21319999999997</v>
      </c>
      <c r="H5095">
        <v>0.46955590000000003</v>
      </c>
      <c r="I5095">
        <v>119.6199</v>
      </c>
      <c r="J5095">
        <v>-253.3194</v>
      </c>
      <c r="K5095">
        <v>1.1101049999999999</v>
      </c>
      <c r="L5095">
        <v>141.34469999999999</v>
      </c>
      <c r="M5095">
        <v>-0.99986229999999998</v>
      </c>
      <c r="N5095">
        <v>-1.0245809999999999E-2</v>
      </c>
      <c r="O5095">
        <v>-1.30711E-2</v>
      </c>
      <c r="P5095">
        <v>-0.98212619999999895</v>
      </c>
      <c r="Q5095">
        <v>0.16346669999999999</v>
      </c>
      <c r="R5095">
        <v>-9.331267E-2</v>
      </c>
      <c r="S5095">
        <v>-3.0095369999999999</v>
      </c>
      <c r="T5095">
        <v>-1.470697E-2</v>
      </c>
      <c r="U5095">
        <v>-0.49884030000000001</v>
      </c>
      <c r="V5095">
        <v>-8.0345529999999998E-2</v>
      </c>
      <c r="W5095">
        <v>0.173588299999999</v>
      </c>
      <c r="X5095">
        <v>0.98153539999999995</v>
      </c>
      <c r="Y5095">
        <v>-0.15060689999999999</v>
      </c>
      <c r="Z5095">
        <v>-1.2119399999999999E-3</v>
      </c>
      <c r="AA5095">
        <v>0.98859300000000006</v>
      </c>
      <c r="AB5095">
        <v>30</v>
      </c>
      <c r="AC5095">
        <v>-130.893799999999</v>
      </c>
      <c r="AD5095">
        <v>-0.64054909999999898</v>
      </c>
      <c r="AE5095">
        <v>-21.724799999999899</v>
      </c>
      <c r="AF5095">
        <v>-20.011462086234001</v>
      </c>
      <c r="AG5095">
        <v>-0.64054909999999898</v>
      </c>
      <c r="AH5095">
        <v>131.16354150844899</v>
      </c>
      <c r="AI5095">
        <v>90.276606189136501</v>
      </c>
      <c r="AJ5095">
        <v>98.674652899122805</v>
      </c>
      <c r="AK5095">
        <v>132.68286829510799</v>
      </c>
      <c r="AL5095">
        <v>80.003483863452701</v>
      </c>
      <c r="AM5095">
        <v>94.679626412583701</v>
      </c>
      <c r="AN5095">
        <v>1.0000000217705101</v>
      </c>
    </row>
    <row r="5096" spans="1:40" x14ac:dyDescent="0.25">
      <c r="A5096" t="str">
        <f>"20190304154859073"</f>
        <v>20190304154859073</v>
      </c>
      <c r="B5096" t="str">
        <f>"1551685739062619"</f>
        <v>1551685739062619</v>
      </c>
      <c r="C5096" t="s">
        <v>40</v>
      </c>
      <c r="D5096">
        <v>3.8605999999999998</v>
      </c>
      <c r="E5096">
        <v>0.47108440000000001</v>
      </c>
      <c r="F5096" t="s">
        <v>84</v>
      </c>
      <c r="G5096">
        <v>-384.33629999999999</v>
      </c>
      <c r="H5096">
        <v>0.48441030000000002</v>
      </c>
      <c r="I5096">
        <v>119.6199</v>
      </c>
      <c r="J5096">
        <v>-253.50470000000001</v>
      </c>
      <c r="K5096">
        <v>1.110087</v>
      </c>
      <c r="L5096">
        <v>141.3425</v>
      </c>
      <c r="M5096">
        <v>-0.99986459999999999</v>
      </c>
      <c r="N5096">
        <v>-1.030638E-2</v>
      </c>
      <c r="O5096">
        <v>-1.28355E-2</v>
      </c>
      <c r="P5096">
        <v>-0.98215739999999996</v>
      </c>
      <c r="Q5096">
        <v>0.16331309999999999</v>
      </c>
      <c r="R5096">
        <v>-9.3252870000000002E-2</v>
      </c>
      <c r="S5096">
        <v>-3.0095830000000001</v>
      </c>
      <c r="T5096">
        <v>-1.437271E-2</v>
      </c>
      <c r="U5096">
        <v>-0.4990387</v>
      </c>
      <c r="V5096">
        <v>-8.0509689999999995E-2</v>
      </c>
      <c r="W5096">
        <v>0.17349819999999999</v>
      </c>
      <c r="X5096">
        <v>0.98153789999999996</v>
      </c>
      <c r="Y5096">
        <v>-0.15090100000000001</v>
      </c>
      <c r="Z5096">
        <v>-1.211377E-3</v>
      </c>
      <c r="AA5096">
        <v>0.98854819999999999</v>
      </c>
      <c r="AB5096">
        <v>30</v>
      </c>
      <c r="AC5096">
        <v>-130.83159999999901</v>
      </c>
      <c r="AD5096">
        <v>-0.62567669999999997</v>
      </c>
      <c r="AE5096">
        <v>-21.7226</v>
      </c>
      <c r="AF5096">
        <v>-20.040986249142701</v>
      </c>
      <c r="AG5096">
        <v>-0.62567669999999997</v>
      </c>
      <c r="AH5096">
        <v>131.096738567188</v>
      </c>
      <c r="AI5096">
        <v>90.270309440480503</v>
      </c>
      <c r="AJ5096">
        <v>98.691615231279798</v>
      </c>
      <c r="AK5096">
        <v>132.62121800121199</v>
      </c>
      <c r="AL5096">
        <v>80.008725960032194</v>
      </c>
      <c r="AM5096">
        <v>94.689133225680806</v>
      </c>
      <c r="AN5096">
        <v>1.0000000423617701</v>
      </c>
    </row>
    <row r="5097" spans="1:40" x14ac:dyDescent="0.25">
      <c r="A5097" t="str">
        <f>"20190304154859085"</f>
        <v>20190304154859085</v>
      </c>
      <c r="B5097" t="str">
        <f>"1551685739082140"</f>
        <v>1551685739082140</v>
      </c>
      <c r="C5097" t="s">
        <v>40</v>
      </c>
      <c r="D5097">
        <v>3.8839199999999998</v>
      </c>
      <c r="E5097">
        <v>0.47082649999999998</v>
      </c>
      <c r="F5097" t="s">
        <v>84</v>
      </c>
      <c r="G5097">
        <v>-384.16149999999999</v>
      </c>
      <c r="H5097">
        <v>0.48672009999999999</v>
      </c>
      <c r="I5097">
        <v>119.6199</v>
      </c>
      <c r="J5097">
        <v>-253.6763</v>
      </c>
      <c r="K5097">
        <v>1.1100719999999999</v>
      </c>
      <c r="L5097">
        <v>141.34049999999999</v>
      </c>
      <c r="M5097">
        <v>-0.99986710000000001</v>
      </c>
      <c r="N5097">
        <v>-1.0356799999999999E-2</v>
      </c>
      <c r="O5097">
        <v>-1.260118E-2</v>
      </c>
      <c r="P5097">
        <v>-0.98220779999999996</v>
      </c>
      <c r="Q5097">
        <v>0.16326969999999999</v>
      </c>
      <c r="R5097">
        <v>-9.2797790000000005E-2</v>
      </c>
      <c r="S5097">
        <v>-3.0094150000000002</v>
      </c>
      <c r="T5097">
        <v>-1.435792E-2</v>
      </c>
      <c r="U5097">
        <v>-0.50033570000000005</v>
      </c>
      <c r="V5097">
        <v>-8.0276479999999997E-2</v>
      </c>
      <c r="W5097">
        <v>0.17350760000000001</v>
      </c>
      <c r="X5097">
        <v>0.98155530000000002</v>
      </c>
      <c r="Y5097">
        <v>-0.1515561</v>
      </c>
      <c r="Z5097">
        <v>-1.2192399999999999E-3</v>
      </c>
      <c r="AA5097">
        <v>0.98844790000000005</v>
      </c>
      <c r="AB5097">
        <v>30</v>
      </c>
      <c r="AC5097">
        <v>-130.48519999999999</v>
      </c>
      <c r="AD5097">
        <v>-0.62335189999999996</v>
      </c>
      <c r="AE5097">
        <v>-21.720599999999902</v>
      </c>
      <c r="AF5097">
        <v>-20.0740740124422</v>
      </c>
      <c r="AG5097">
        <v>-0.62335189999999996</v>
      </c>
      <c r="AH5097">
        <v>130.74565509662401</v>
      </c>
      <c r="AI5097">
        <v>90.270001396219001</v>
      </c>
      <c r="AJ5097">
        <v>98.728762914091504</v>
      </c>
      <c r="AK5097">
        <v>132.279187107019</v>
      </c>
      <c r="AL5097">
        <v>80.008178695500007</v>
      </c>
      <c r="AM5097">
        <v>94.675528146018195</v>
      </c>
      <c r="AN5097">
        <v>1.0000000037285199</v>
      </c>
    </row>
    <row r="5098" spans="1:40" x14ac:dyDescent="0.25">
      <c r="A5098" t="str">
        <f>"20190304154859103"</f>
        <v>20190304154859103</v>
      </c>
      <c r="B5098" t="str">
        <f>"1551685739091899"</f>
        <v>1551685739091899</v>
      </c>
      <c r="C5098" t="s">
        <v>40</v>
      </c>
      <c r="D5098">
        <v>3.8879039999999998</v>
      </c>
      <c r="E5098">
        <v>0.47066380000000002</v>
      </c>
      <c r="F5098" t="s">
        <v>84</v>
      </c>
      <c r="G5098">
        <v>-384.19439999999997</v>
      </c>
      <c r="H5098">
        <v>0.46162700000000001</v>
      </c>
      <c r="I5098">
        <v>119.6199</v>
      </c>
      <c r="J5098">
        <v>-253.91300000000001</v>
      </c>
      <c r="K5098">
        <v>1.1100570000000001</v>
      </c>
      <c r="L5098">
        <v>141.33789999999999</v>
      </c>
      <c r="M5098">
        <v>-0.9998705</v>
      </c>
      <c r="N5098">
        <v>-1.0421059999999999E-2</v>
      </c>
      <c r="O5098">
        <v>-1.2262800000000001E-2</v>
      </c>
      <c r="P5098">
        <v>-0.98222189999999998</v>
      </c>
      <c r="Q5098">
        <v>0.16327179999999999</v>
      </c>
      <c r="R5098">
        <v>-9.2642520000000006E-2</v>
      </c>
      <c r="S5098">
        <v>-3.0095209999999999</v>
      </c>
      <c r="T5098">
        <v>-1.495194E-2</v>
      </c>
      <c r="U5098">
        <v>-0.50083919999999904</v>
      </c>
      <c r="V5098">
        <v>-8.0444440000000006E-2</v>
      </c>
      <c r="W5098">
        <v>0.1735775</v>
      </c>
      <c r="X5098">
        <v>0.98152919999999999</v>
      </c>
      <c r="Y5098">
        <v>-0.1520455</v>
      </c>
      <c r="Z5098">
        <v>-1.2392670000000001E-3</v>
      </c>
      <c r="AA5098">
        <v>0.98837269999999999</v>
      </c>
      <c r="AB5098">
        <v>30</v>
      </c>
      <c r="AC5098">
        <v>-130.28139999999999</v>
      </c>
      <c r="AD5098">
        <v>-0.64842999999999995</v>
      </c>
      <c r="AE5098">
        <v>-21.7179999999999</v>
      </c>
      <c r="AF5098">
        <v>-20.118180417196001</v>
      </c>
      <c r="AG5098">
        <v>-0.64842999999999995</v>
      </c>
      <c r="AH5098">
        <v>130.534794725898</v>
      </c>
      <c r="AI5098">
        <v>90.281292585415898</v>
      </c>
      <c r="AJ5098">
        <v>98.761556759836495</v>
      </c>
      <c r="AK5098">
        <v>132.07760703047299</v>
      </c>
      <c r="AL5098">
        <v>80.004112112319504</v>
      </c>
      <c r="AM5098">
        <v>94.685391135176104</v>
      </c>
      <c r="AN5098">
        <v>1.0000000134428999</v>
      </c>
    </row>
    <row r="5099" spans="1:40" x14ac:dyDescent="0.25">
      <c r="A5099" t="str">
        <f>"20190304154859126"</f>
        <v>20190304154859126</v>
      </c>
      <c r="B5099" t="str">
        <f>"1551685739122154"</f>
        <v>1551685739122154</v>
      </c>
      <c r="C5099" t="s">
        <v>40</v>
      </c>
      <c r="D5099">
        <v>3.9114640000000001</v>
      </c>
      <c r="E5099">
        <v>0.47037489999999998</v>
      </c>
      <c r="F5099" t="s">
        <v>84</v>
      </c>
      <c r="G5099">
        <v>-384.21940000000001</v>
      </c>
      <c r="H5099">
        <v>0.4374132</v>
      </c>
      <c r="I5099">
        <v>119.6199</v>
      </c>
      <c r="J5099">
        <v>-254.21190000000001</v>
      </c>
      <c r="K5099">
        <v>1.110033</v>
      </c>
      <c r="L5099">
        <v>141.3347</v>
      </c>
      <c r="M5099">
        <v>-0.99987519999999996</v>
      </c>
      <c r="N5099">
        <v>-1.049336E-2</v>
      </c>
      <c r="O5099">
        <v>-1.1808549999999999E-2</v>
      </c>
      <c r="P5099">
        <v>-0.98226389999999997</v>
      </c>
      <c r="Q5099">
        <v>0.16320490000000001</v>
      </c>
      <c r="R5099">
        <v>-9.2312809999999995E-2</v>
      </c>
      <c r="S5099">
        <v>-3.0095830000000001</v>
      </c>
      <c r="T5099">
        <v>-1.5535469999999999E-2</v>
      </c>
      <c r="U5099">
        <v>-0.5016022</v>
      </c>
      <c r="V5099">
        <v>-8.0550540000000004E-2</v>
      </c>
      <c r="W5099">
        <v>0.1735865</v>
      </c>
      <c r="X5099">
        <v>0.98151889999999997</v>
      </c>
      <c r="Y5099">
        <v>-0.1527346</v>
      </c>
      <c r="Z5099">
        <v>-1.26096E-3</v>
      </c>
      <c r="AA5099">
        <v>0.98826639999999999</v>
      </c>
      <c r="AB5099">
        <v>30</v>
      </c>
      <c r="AC5099">
        <v>-130.00749999999999</v>
      </c>
      <c r="AD5099">
        <v>-0.67261979999999999</v>
      </c>
      <c r="AE5099">
        <v>-21.7148</v>
      </c>
      <c r="AF5099">
        <v>-20.1774757526088</v>
      </c>
      <c r="AG5099">
        <v>-0.67261979999999999</v>
      </c>
      <c r="AH5099">
        <v>130.251477028457</v>
      </c>
      <c r="AI5099">
        <v>90.292385867718593</v>
      </c>
      <c r="AJ5099">
        <v>98.805791547502096</v>
      </c>
      <c r="AK5099">
        <v>131.806791225783</v>
      </c>
      <c r="AL5099">
        <v>80.003588434174503</v>
      </c>
      <c r="AM5099">
        <v>94.691592249753995</v>
      </c>
      <c r="AN5099">
        <v>1.00000000676687</v>
      </c>
    </row>
    <row r="5100" spans="1:40" x14ac:dyDescent="0.25">
      <c r="A5100" t="str">
        <f>"20190304154859147"</f>
        <v>20190304154859147</v>
      </c>
      <c r="B5100" t="str">
        <f>"1551685739142651"</f>
        <v>1551685739142651</v>
      </c>
      <c r="C5100" t="s">
        <v>40</v>
      </c>
      <c r="D5100">
        <v>3.93499</v>
      </c>
      <c r="E5100">
        <v>0.47026010000000001</v>
      </c>
      <c r="F5100" t="s">
        <v>84</v>
      </c>
      <c r="G5100">
        <v>-384.18920000000003</v>
      </c>
      <c r="H5100">
        <v>0.36860179999999998</v>
      </c>
      <c r="I5100">
        <v>119.6199</v>
      </c>
      <c r="J5100">
        <v>-254.4999</v>
      </c>
      <c r="K5100">
        <v>1.1100159999999999</v>
      </c>
      <c r="L5100">
        <v>141.33170000000001</v>
      </c>
      <c r="M5100">
        <v>-0.99988010000000005</v>
      </c>
      <c r="N5100">
        <v>-1.0554300000000001E-2</v>
      </c>
      <c r="O5100">
        <v>-1.134403E-2</v>
      </c>
      <c r="P5100">
        <v>-0.98228910000000003</v>
      </c>
      <c r="Q5100">
        <v>0.16318260000000001</v>
      </c>
      <c r="R5100">
        <v>-9.2086860000000006E-2</v>
      </c>
      <c r="S5100">
        <v>-3.009735</v>
      </c>
      <c r="T5100">
        <v>-1.71684E-2</v>
      </c>
      <c r="U5100">
        <v>-0.50282289999999996</v>
      </c>
      <c r="V5100">
        <v>-8.0771789999999996E-2</v>
      </c>
      <c r="W5100">
        <v>0.17362830000000001</v>
      </c>
      <c r="X5100">
        <v>0.98149339999999996</v>
      </c>
      <c r="Y5100">
        <v>-0.15357460000000001</v>
      </c>
      <c r="Z5100">
        <v>-1.3057450000000001E-3</v>
      </c>
      <c r="AA5100">
        <v>0.98813620000000002</v>
      </c>
      <c r="AB5100">
        <v>30</v>
      </c>
      <c r="AC5100">
        <v>-129.6893</v>
      </c>
      <c r="AD5100">
        <v>-0.74141419999999902</v>
      </c>
      <c r="AE5100">
        <v>-21.7118</v>
      </c>
      <c r="AF5100">
        <v>-20.238478337350301</v>
      </c>
      <c r="AG5100">
        <v>-0.74141419999999902</v>
      </c>
      <c r="AH5100">
        <v>129.92313670286401</v>
      </c>
      <c r="AI5100">
        <v>90.323062267812105</v>
      </c>
      <c r="AJ5100">
        <v>98.853961912401999</v>
      </c>
      <c r="AK5100">
        <v>131.492080184087</v>
      </c>
      <c r="AL5100">
        <v>80.001157296425703</v>
      </c>
      <c r="AM5100">
        <v>94.704542668007207</v>
      </c>
      <c r="AN5100">
        <v>1.0000000814321199</v>
      </c>
    </row>
    <row r="5101" spans="1:40" x14ac:dyDescent="0.25">
      <c r="A5101" t="str">
        <f>"20190304154859169"</f>
        <v>20190304154859169</v>
      </c>
      <c r="B5101" t="str">
        <f>"1551685739162171"</f>
        <v>1551685739162171</v>
      </c>
      <c r="C5101" t="s">
        <v>40</v>
      </c>
      <c r="D5101">
        <v>3.9455520000000002</v>
      </c>
      <c r="E5101">
        <v>0.4701631</v>
      </c>
      <c r="F5101" t="s">
        <v>84</v>
      </c>
      <c r="G5101">
        <v>-384.3467</v>
      </c>
      <c r="H5101">
        <v>0.34200000000000003</v>
      </c>
      <c r="I5101">
        <v>119.6199</v>
      </c>
      <c r="J5101">
        <v>-254.8004</v>
      </c>
      <c r="K5101">
        <v>1.110001</v>
      </c>
      <c r="L5101">
        <v>141.3289</v>
      </c>
      <c r="M5101">
        <v>-0.99988500000000002</v>
      </c>
      <c r="N5101">
        <v>-1.060996E-2</v>
      </c>
      <c r="O5101">
        <v>-1.0835279999999999E-2</v>
      </c>
      <c r="P5101">
        <v>-0.9822786</v>
      </c>
      <c r="Q5101">
        <v>0.16339100000000001</v>
      </c>
      <c r="R5101">
        <v>-9.1826069999999996E-2</v>
      </c>
      <c r="S5101">
        <v>-3.0098569999999998</v>
      </c>
      <c r="T5101">
        <v>-1.7802599999999998E-2</v>
      </c>
      <c r="U5101">
        <v>-0.50328059999999997</v>
      </c>
      <c r="V5101">
        <v>-8.1001920000000005E-2</v>
      </c>
      <c r="W5101">
        <v>0.17389540000000001</v>
      </c>
      <c r="X5101">
        <v>0.9814271</v>
      </c>
      <c r="Y5101">
        <v>-0.15421660000000001</v>
      </c>
      <c r="Z5101">
        <v>-1.3272990000000001E-3</v>
      </c>
      <c r="AA5101">
        <v>0.98803620000000003</v>
      </c>
      <c r="AB5101">
        <v>30</v>
      </c>
      <c r="AC5101">
        <v>-129.5463</v>
      </c>
      <c r="AD5101">
        <v>-0.76800099999999905</v>
      </c>
      <c r="AE5101">
        <v>-21.709</v>
      </c>
      <c r="AF5101">
        <v>-20.303281925937</v>
      </c>
      <c r="AG5101">
        <v>-0.76800099999999905</v>
      </c>
      <c r="AH5101">
        <v>129.769494401196</v>
      </c>
      <c r="AI5101">
        <v>90.335008173045793</v>
      </c>
      <c r="AJ5101">
        <v>98.892208834087498</v>
      </c>
      <c r="AK5101">
        <v>131.35042732949901</v>
      </c>
      <c r="AL5101">
        <v>79.985616743735704</v>
      </c>
      <c r="AM5101">
        <v>94.718203416209604</v>
      </c>
      <c r="AN5101">
        <v>1.00000003689962</v>
      </c>
    </row>
    <row r="5102" spans="1:40" x14ac:dyDescent="0.25">
      <c r="A5102" t="str">
        <f>"20190304154859193"</f>
        <v>20190304154859193</v>
      </c>
      <c r="B5102" t="str">
        <f>"1551685739182667"</f>
        <v>1551685739182667</v>
      </c>
      <c r="C5102" t="s">
        <v>40</v>
      </c>
      <c r="D5102">
        <v>3.9184589999999999</v>
      </c>
      <c r="E5102">
        <v>0.47012320000000002</v>
      </c>
      <c r="F5102" t="s">
        <v>84</v>
      </c>
      <c r="G5102">
        <v>-384.56180000000001</v>
      </c>
      <c r="H5102">
        <v>0.36239529999999998</v>
      </c>
      <c r="I5102">
        <v>119.6199</v>
      </c>
      <c r="J5102">
        <v>-255.11799999999999</v>
      </c>
      <c r="K5102">
        <v>1.1099920000000001</v>
      </c>
      <c r="L5102">
        <v>141.32599999999999</v>
      </c>
      <c r="M5102">
        <v>-0.99989050000000002</v>
      </c>
      <c r="N5102">
        <v>-1.066105E-2</v>
      </c>
      <c r="O5102">
        <v>-1.027575E-2</v>
      </c>
      <c r="P5102">
        <v>-0.98229029999999995</v>
      </c>
      <c r="Q5102">
        <v>0.16350100000000001</v>
      </c>
      <c r="R5102">
        <v>-9.1506320000000002E-2</v>
      </c>
      <c r="S5102">
        <v>-3.0099179999999999</v>
      </c>
      <c r="T5102">
        <v>-1.7341260000000001E-2</v>
      </c>
      <c r="U5102">
        <v>-0.50355530000000004</v>
      </c>
      <c r="V5102">
        <v>-8.1224160000000004E-2</v>
      </c>
      <c r="W5102">
        <v>0.17405889999999999</v>
      </c>
      <c r="X5102">
        <v>0.98137969999999997</v>
      </c>
      <c r="Y5102">
        <v>-0.15485409999999999</v>
      </c>
      <c r="Z5102">
        <v>-1.32424E-3</v>
      </c>
      <c r="AA5102">
        <v>0.98793640000000005</v>
      </c>
      <c r="AB5102">
        <v>30</v>
      </c>
      <c r="AC5102">
        <v>-129.44380000000001</v>
      </c>
      <c r="AD5102">
        <v>-0.7475967</v>
      </c>
      <c r="AE5102">
        <v>-21.7060999999999</v>
      </c>
      <c r="AF5102">
        <v>-20.374085295866699</v>
      </c>
      <c r="AG5102">
        <v>-0.7475967</v>
      </c>
      <c r="AH5102">
        <v>129.65581759701601</v>
      </c>
      <c r="AI5102">
        <v>90.326359634427206</v>
      </c>
      <c r="AJ5102">
        <v>98.930417456593105</v>
      </c>
      <c r="AK5102">
        <v>131.24897443111701</v>
      </c>
      <c r="AL5102">
        <v>79.976103336020003</v>
      </c>
      <c r="AM5102">
        <v>94.731317250476494</v>
      </c>
      <c r="AN5102">
        <v>0.99999999020450203</v>
      </c>
    </row>
    <row r="5103" spans="1:40" x14ac:dyDescent="0.25">
      <c r="A5103" t="str">
        <f>"20190304154859214"</f>
        <v>20190304154859214</v>
      </c>
      <c r="B5103" t="str">
        <f>"1551685739202187"</f>
        <v>1551685739202187</v>
      </c>
      <c r="C5103" t="s">
        <v>40</v>
      </c>
      <c r="D5103">
        <v>3.9206490000000001</v>
      </c>
      <c r="E5103">
        <v>0.47005079999999999</v>
      </c>
      <c r="F5103" t="s">
        <v>84</v>
      </c>
      <c r="G5103">
        <v>-385.0711</v>
      </c>
      <c r="H5103">
        <v>0.36738300000000002</v>
      </c>
      <c r="I5103">
        <v>119.6199</v>
      </c>
      <c r="J5103">
        <v>-255.41399999999999</v>
      </c>
      <c r="K5103">
        <v>1.1099859999999999</v>
      </c>
      <c r="L5103">
        <v>141.3235</v>
      </c>
      <c r="M5103">
        <v>-0.99989530000000004</v>
      </c>
      <c r="N5103">
        <v>-1.0702110000000001E-2</v>
      </c>
      <c r="O5103">
        <v>-9.7380299999999999E-3</v>
      </c>
      <c r="P5103">
        <v>-0.98208790000000001</v>
      </c>
      <c r="Q5103">
        <v>0.1647247</v>
      </c>
      <c r="R5103">
        <v>-9.1483540000000002E-2</v>
      </c>
      <c r="S5103">
        <v>-3.0101010000000001</v>
      </c>
      <c r="T5103">
        <v>-1.720095E-2</v>
      </c>
      <c r="U5103">
        <v>-0.50277709999999998</v>
      </c>
      <c r="V5103">
        <v>-8.1724019999999994E-2</v>
      </c>
      <c r="W5103">
        <v>0.1753237</v>
      </c>
      <c r="X5103">
        <v>0.98111300000000001</v>
      </c>
      <c r="Y5103">
        <v>-0.15512719999999999</v>
      </c>
      <c r="Z5103">
        <v>-1.3243E-3</v>
      </c>
      <c r="AA5103">
        <v>0.98789360000000004</v>
      </c>
      <c r="AB5103">
        <v>30</v>
      </c>
      <c r="AC5103">
        <v>-129.65710000000001</v>
      </c>
      <c r="AD5103">
        <v>-0.74260300000000001</v>
      </c>
      <c r="AE5103">
        <v>-21.703599999999899</v>
      </c>
      <c r="AF5103">
        <v>-20.439241527564199</v>
      </c>
      <c r="AG5103">
        <v>-0.74260300000000001</v>
      </c>
      <c r="AH5103">
        <v>129.85817022238001</v>
      </c>
      <c r="AI5103">
        <v>90.323661800773607</v>
      </c>
      <c r="AJ5103">
        <v>98.944780621593495</v>
      </c>
      <c r="AK5103">
        <v>131.458960999022</v>
      </c>
      <c r="AL5103">
        <v>79.902503671314406</v>
      </c>
      <c r="AM5103">
        <v>94.761588819277407</v>
      </c>
      <c r="AN5103">
        <v>0.99999996699782401</v>
      </c>
    </row>
    <row r="5104" spans="1:40" x14ac:dyDescent="0.25">
      <c r="A5104" t="str">
        <f>"20190304154859235"</f>
        <v>20190304154859235</v>
      </c>
      <c r="B5104" t="str">
        <f>"1551685739232443"</f>
        <v>1551685739232443</v>
      </c>
      <c r="C5104" t="s">
        <v>40</v>
      </c>
      <c r="D5104">
        <v>3.948096</v>
      </c>
      <c r="E5104">
        <v>0.4698889</v>
      </c>
      <c r="F5104" t="s">
        <v>84</v>
      </c>
      <c r="G5104">
        <v>-385.20339999999999</v>
      </c>
      <c r="H5104">
        <v>0.47036080000000002</v>
      </c>
      <c r="I5104">
        <v>119.6199</v>
      </c>
      <c r="J5104">
        <v>-255.6962</v>
      </c>
      <c r="K5104">
        <v>1.109979</v>
      </c>
      <c r="L5104">
        <v>141.32130000000001</v>
      </c>
      <c r="M5104">
        <v>-0.99989989999999995</v>
      </c>
      <c r="N5104">
        <v>-1.073644E-2</v>
      </c>
      <c r="O5104">
        <v>-9.2165349999999997E-3</v>
      </c>
      <c r="P5104">
        <v>-0.98200319999999997</v>
      </c>
      <c r="Q5104">
        <v>0.165472799999999</v>
      </c>
      <c r="R5104">
        <v>-9.1041949999999996E-2</v>
      </c>
      <c r="S5104">
        <v>-3.0103</v>
      </c>
      <c r="T5104">
        <v>-1.483524E-2</v>
      </c>
      <c r="U5104">
        <v>-0.50338749999999999</v>
      </c>
      <c r="V5104">
        <v>-8.179053E-2</v>
      </c>
      <c r="W5104">
        <v>0.17610619999999999</v>
      </c>
      <c r="X5104">
        <v>0.98096729999999999</v>
      </c>
      <c r="Y5104">
        <v>-0.15582789999999999</v>
      </c>
      <c r="Z5104">
        <v>-1.2768460000000001E-3</v>
      </c>
      <c r="AA5104">
        <v>0.98778339999999998</v>
      </c>
      <c r="AB5104">
        <v>30</v>
      </c>
      <c r="AC5104">
        <v>-129.50719999999899</v>
      </c>
      <c r="AD5104">
        <v>-0.63961820000000003</v>
      </c>
      <c r="AE5104">
        <v>-21.7014</v>
      </c>
      <c r="AF5104">
        <v>-20.506315204513001</v>
      </c>
      <c r="AG5104">
        <v>-0.63961820000000003</v>
      </c>
      <c r="AH5104">
        <v>129.69864477614399</v>
      </c>
      <c r="AI5104">
        <v>90.279089227805699</v>
      </c>
      <c r="AJ5104">
        <v>98.984514410770203</v>
      </c>
      <c r="AK5104">
        <v>131.31129628283</v>
      </c>
      <c r="AL5104">
        <v>79.856961098642103</v>
      </c>
      <c r="AM5104">
        <v>94.766150671439405</v>
      </c>
      <c r="AN5104">
        <v>0.99999996407270397</v>
      </c>
    </row>
    <row r="5105" spans="1:40" x14ac:dyDescent="0.25">
      <c r="A5105" t="str">
        <f>"20190304154859248"</f>
        <v>20190304154859248</v>
      </c>
      <c r="B5105" t="str">
        <f>"1551685739242203"</f>
        <v>1551685739242203</v>
      </c>
      <c r="C5105" t="s">
        <v>40</v>
      </c>
      <c r="D5105">
        <v>3.9331740000000002</v>
      </c>
      <c r="E5105">
        <v>0.4697868</v>
      </c>
      <c r="F5105" t="s">
        <v>84</v>
      </c>
      <c r="G5105">
        <v>-385.45949999999999</v>
      </c>
      <c r="H5105">
        <v>0.50920770000000004</v>
      </c>
      <c r="I5105">
        <v>119.6199</v>
      </c>
      <c r="J5105">
        <v>-255.88</v>
      </c>
      <c r="K5105">
        <v>1.1099760000000001</v>
      </c>
      <c r="L5105">
        <v>141.31989999999999</v>
      </c>
      <c r="M5105">
        <v>-0.99990299999999999</v>
      </c>
      <c r="N5105">
        <v>-1.0756659999999999E-2</v>
      </c>
      <c r="O5105">
        <v>-8.873967E-3</v>
      </c>
      <c r="P5105">
        <v>-0.98196110000000003</v>
      </c>
      <c r="Q5105">
        <v>0.16576440000000001</v>
      </c>
      <c r="R5105">
        <v>-9.0969289999999994E-2</v>
      </c>
      <c r="S5105">
        <v>-3.0106350000000002</v>
      </c>
      <c r="T5105">
        <v>-1.393843E-2</v>
      </c>
      <c r="U5105">
        <v>-0.50349429999999995</v>
      </c>
      <c r="V5105">
        <v>-8.2051559999999996E-2</v>
      </c>
      <c r="W5105">
        <v>0.17641879999999999</v>
      </c>
      <c r="X5105">
        <v>0.98088940000000002</v>
      </c>
      <c r="Y5105">
        <v>-0.15618299999999999</v>
      </c>
      <c r="Z5105">
        <v>-1.258908E-3</v>
      </c>
      <c r="AA5105">
        <v>0.98772729999999997</v>
      </c>
      <c r="AB5105">
        <v>30</v>
      </c>
      <c r="AC5105">
        <v>-129.5795</v>
      </c>
      <c r="AD5105">
        <v>-0.60076830000000003</v>
      </c>
      <c r="AE5105">
        <v>-21.6999999999999</v>
      </c>
      <c r="AF5105">
        <v>-20.548765355330399</v>
      </c>
      <c r="AG5105">
        <v>-0.60076830000000003</v>
      </c>
      <c r="AH5105">
        <v>129.76426025743601</v>
      </c>
      <c r="AI5105">
        <v>90.261995269078596</v>
      </c>
      <c r="AJ5105">
        <v>98.998331172022901</v>
      </c>
      <c r="AK5105">
        <v>131.38255561655899</v>
      </c>
      <c r="AL5105">
        <v>79.838766263678096</v>
      </c>
      <c r="AM5105">
        <v>94.781669131752594</v>
      </c>
      <c r="AN5105">
        <v>1.00000003326211</v>
      </c>
    </row>
    <row r="5106" spans="1:40" x14ac:dyDescent="0.25">
      <c r="A5106" t="str">
        <f>"20190304154859260"</f>
        <v>20190304154859260</v>
      </c>
      <c r="B5106" t="str">
        <f>"1551685739251963"</f>
        <v>1551685739251963</v>
      </c>
      <c r="C5106" t="s">
        <v>40</v>
      </c>
      <c r="D5106">
        <v>3.9392260000000001</v>
      </c>
      <c r="E5106">
        <v>0.46968080000000001</v>
      </c>
      <c r="F5106" t="s">
        <v>84</v>
      </c>
      <c r="G5106">
        <v>-385.46170000000001</v>
      </c>
      <c r="H5106">
        <v>0.54492280000000004</v>
      </c>
      <c r="I5106">
        <v>119.6199</v>
      </c>
      <c r="J5106">
        <v>-256.04509999999999</v>
      </c>
      <c r="K5106">
        <v>1.109974</v>
      </c>
      <c r="L5106">
        <v>141.31880000000001</v>
      </c>
      <c r="M5106">
        <v>-0.9999055</v>
      </c>
      <c r="N5106">
        <v>-1.07732E-2</v>
      </c>
      <c r="O5106">
        <v>-8.5646579999999993E-3</v>
      </c>
      <c r="P5106">
        <v>-0.98197460000000003</v>
      </c>
      <c r="Q5106">
        <v>0.1658444</v>
      </c>
      <c r="R5106">
        <v>-9.0675679999999995E-2</v>
      </c>
      <c r="S5106">
        <v>-3.0106199999999999</v>
      </c>
      <c r="T5106">
        <v>-1.3128040000000001E-2</v>
      </c>
      <c r="U5106">
        <v>-0.50416559999999999</v>
      </c>
      <c r="V5106">
        <v>-8.206041E-2</v>
      </c>
      <c r="W5106">
        <v>0.17651510000000001</v>
      </c>
      <c r="X5106">
        <v>0.9808713</v>
      </c>
      <c r="Y5106">
        <v>-0.15670390000000001</v>
      </c>
      <c r="Z5106">
        <v>-1.243842E-3</v>
      </c>
      <c r="AA5106">
        <v>0.98764490000000005</v>
      </c>
      <c r="AB5106">
        <v>30</v>
      </c>
      <c r="AC5106">
        <v>-129.41659999999999</v>
      </c>
      <c r="AD5106">
        <v>-0.56505119999999998</v>
      </c>
      <c r="AE5106">
        <v>-21.698899999999998</v>
      </c>
      <c r="AF5106">
        <v>-20.589249274102301</v>
      </c>
      <c r="AG5106">
        <v>-0.56505119999999998</v>
      </c>
      <c r="AH5106">
        <v>129.59530424803799</v>
      </c>
      <c r="AI5106">
        <v>90.246720678851503</v>
      </c>
      <c r="AJ5106">
        <v>99.0273288241725</v>
      </c>
      <c r="AK5106">
        <v>131.22187070633899</v>
      </c>
      <c r="AL5106">
        <v>79.833160360854095</v>
      </c>
      <c r="AM5106">
        <v>94.782270322307895</v>
      </c>
      <c r="AN5106">
        <v>0.99999999929053396</v>
      </c>
    </row>
    <row r="5107" spans="1:40" x14ac:dyDescent="0.25">
      <c r="A5107" t="str">
        <f>"20190304154859274"</f>
        <v>20190304154859274</v>
      </c>
      <c r="B5107" t="str">
        <f>"1551685739261723"</f>
        <v>1551685739261723</v>
      </c>
      <c r="C5107" t="s">
        <v>40</v>
      </c>
      <c r="D5107">
        <v>3.9554369999999999</v>
      </c>
      <c r="E5107">
        <v>0.46962710000000002</v>
      </c>
      <c r="F5107" t="s">
        <v>84</v>
      </c>
      <c r="G5107">
        <v>-385.65649999999999</v>
      </c>
      <c r="H5107">
        <v>0.5549383</v>
      </c>
      <c r="I5107">
        <v>119.6199</v>
      </c>
      <c r="J5107">
        <v>-256.22430000000003</v>
      </c>
      <c r="K5107">
        <v>1.109974</v>
      </c>
      <c r="L5107">
        <v>141.3176</v>
      </c>
      <c r="M5107">
        <v>-0.99990789999999996</v>
      </c>
      <c r="N5107">
        <v>-1.079023E-2</v>
      </c>
      <c r="O5107">
        <v>-8.2280589999999994E-3</v>
      </c>
      <c r="P5107">
        <v>-0.98204239999999998</v>
      </c>
      <c r="Q5107">
        <v>0.16563800000000001</v>
      </c>
      <c r="R5107">
        <v>-9.0315999999999994E-2</v>
      </c>
      <c r="S5107">
        <v>-3.010742</v>
      </c>
      <c r="T5107">
        <v>-1.2892839999999999E-2</v>
      </c>
      <c r="U5107">
        <v>-0.50404359999999904</v>
      </c>
      <c r="V5107">
        <v>-8.2029550000000007E-2</v>
      </c>
      <c r="W5107">
        <v>0.17632690000000001</v>
      </c>
      <c r="X5107">
        <v>0.98090770000000005</v>
      </c>
      <c r="Y5107">
        <v>-0.15699099999999999</v>
      </c>
      <c r="Z5107">
        <v>-1.239895E-3</v>
      </c>
      <c r="AA5107">
        <v>0.98759929999999996</v>
      </c>
      <c r="AB5107">
        <v>30</v>
      </c>
      <c r="AC5107">
        <v>-129.432199999999</v>
      </c>
      <c r="AD5107">
        <v>-0.55503569999999902</v>
      </c>
      <c r="AE5107">
        <v>-21.697700000000001</v>
      </c>
      <c r="AF5107">
        <v>-20.6315585886524</v>
      </c>
      <c r="AG5107">
        <v>-0.55503569999999902</v>
      </c>
      <c r="AH5107">
        <v>129.60404029044099</v>
      </c>
      <c r="AI5107">
        <v>90.242319418700902</v>
      </c>
      <c r="AJ5107">
        <v>99.0449732421487</v>
      </c>
      <c r="AK5107">
        <v>131.237100448126</v>
      </c>
      <c r="AL5107">
        <v>79.844114948757905</v>
      </c>
      <c r="AM5107">
        <v>94.780303642746901</v>
      </c>
      <c r="AN5107">
        <v>0.99999996932805002</v>
      </c>
    </row>
    <row r="5108" spans="1:40" x14ac:dyDescent="0.25">
      <c r="A5108" t="str">
        <f>"20190304154859287"</f>
        <v>20190304154859287</v>
      </c>
      <c r="B5108" t="str">
        <f>"1551685739282219"</f>
        <v>1551685739282219</v>
      </c>
      <c r="C5108" t="s">
        <v>40</v>
      </c>
      <c r="D5108">
        <v>4.1009510000000002</v>
      </c>
      <c r="E5108">
        <v>0.46957460000000001</v>
      </c>
      <c r="F5108" t="s">
        <v>84</v>
      </c>
      <c r="G5108">
        <v>-386.00259999999997</v>
      </c>
      <c r="H5108">
        <v>0.51814939999999998</v>
      </c>
      <c r="I5108">
        <v>119.6199</v>
      </c>
      <c r="J5108">
        <v>-256.40300000000002</v>
      </c>
      <c r="K5108">
        <v>1.109972</v>
      </c>
      <c r="L5108">
        <v>141.31639999999999</v>
      </c>
      <c r="M5108">
        <v>-0.99991059999999998</v>
      </c>
      <c r="N5108">
        <v>-1.080558E-2</v>
      </c>
      <c r="O5108">
        <v>-7.8914650000000003E-3</v>
      </c>
      <c r="P5108">
        <v>-0.98205629999999999</v>
      </c>
      <c r="Q5108">
        <v>0.1657237</v>
      </c>
      <c r="R5108">
        <v>-9.0006219999999998E-2</v>
      </c>
      <c r="S5108">
        <v>-3.0108640000000002</v>
      </c>
      <c r="T5108">
        <v>-1.3730289999999999E-2</v>
      </c>
      <c r="U5108">
        <v>-0.50338749999999999</v>
      </c>
      <c r="V5108">
        <v>-8.2049540000000004E-2</v>
      </c>
      <c r="W5108">
        <v>0.17642820000000001</v>
      </c>
      <c r="X5108">
        <v>0.98088779999999998</v>
      </c>
      <c r="Y5108">
        <v>-0.1571071</v>
      </c>
      <c r="Z5108">
        <v>-1.2594289999999901E-3</v>
      </c>
      <c r="AA5108">
        <v>0.98758080000000004</v>
      </c>
      <c r="AB5108">
        <v>30</v>
      </c>
      <c r="AC5108">
        <v>-129.59959999999899</v>
      </c>
      <c r="AD5108">
        <v>-0.59182259999999898</v>
      </c>
      <c r="AE5108">
        <v>-21.696499999999901</v>
      </c>
      <c r="AF5108">
        <v>-20.6726146978556</v>
      </c>
      <c r="AG5108">
        <v>-0.59182259999999898</v>
      </c>
      <c r="AH5108">
        <v>129.764158947292</v>
      </c>
      <c r="AI5108">
        <v>90.258056136889905</v>
      </c>
      <c r="AJ5108">
        <v>99.051676640589804</v>
      </c>
      <c r="AK5108">
        <v>131.401842451824</v>
      </c>
      <c r="AL5108">
        <v>79.838218312228605</v>
      </c>
      <c r="AM5108">
        <v>94.781559722636104</v>
      </c>
      <c r="AN5108">
        <v>0.99999995647914397</v>
      </c>
    </row>
    <row r="5109" spans="1:40" x14ac:dyDescent="0.25">
      <c r="A5109" t="str">
        <f>"20190304154859302"</f>
        <v>20190304154859302</v>
      </c>
      <c r="B5109" t="str">
        <f>"1551685739291980"</f>
        <v>1551685739291980</v>
      </c>
      <c r="C5109" t="s">
        <v>40</v>
      </c>
      <c r="D5109">
        <v>4.3027470000000001</v>
      </c>
      <c r="E5109">
        <v>0.51587289999999997</v>
      </c>
      <c r="F5109" t="s">
        <v>84</v>
      </c>
      <c r="G5109">
        <v>-386.38069999999999</v>
      </c>
      <c r="H5109">
        <v>0.4897242</v>
      </c>
      <c r="I5109">
        <v>119.6199</v>
      </c>
      <c r="J5109">
        <v>-256.61130000000003</v>
      </c>
      <c r="K5109">
        <v>1.1099730000000001</v>
      </c>
      <c r="L5109">
        <v>141.3152</v>
      </c>
      <c r="M5109">
        <v>-0.99991350000000001</v>
      </c>
      <c r="N5109">
        <v>-1.082203E-2</v>
      </c>
      <c r="O5109">
        <v>-7.4989729999999999E-3</v>
      </c>
      <c r="P5109">
        <v>-0.9821453</v>
      </c>
      <c r="Q5109">
        <v>0.16542419999999999</v>
      </c>
      <c r="R5109">
        <v>-8.9586789999999999E-2</v>
      </c>
      <c r="S5109">
        <v>-3.0111690000000002</v>
      </c>
      <c r="T5109">
        <v>-1.4369130000000001E-2</v>
      </c>
      <c r="U5109">
        <v>-0.50263979999999997</v>
      </c>
      <c r="V5109">
        <v>-8.2014480000000001E-2</v>
      </c>
      <c r="W5109">
        <v>0.17614560000000001</v>
      </c>
      <c r="X5109">
        <v>0.98094150000000002</v>
      </c>
      <c r="Y5109">
        <v>-0.15723960000000001</v>
      </c>
      <c r="Z5109">
        <v>-1.2743819999999999E-3</v>
      </c>
      <c r="AA5109">
        <v>0.98755970000000004</v>
      </c>
      <c r="AB5109">
        <v>30</v>
      </c>
      <c r="AC5109">
        <v>-129.769399999999</v>
      </c>
      <c r="AD5109">
        <v>-0.62024879999999905</v>
      </c>
      <c r="AE5109">
        <v>-21.6953</v>
      </c>
      <c r="AF5109">
        <v>-20.721035367650099</v>
      </c>
      <c r="AG5109">
        <v>-0.62024879999999905</v>
      </c>
      <c r="AH5109">
        <v>129.92556530661199</v>
      </c>
      <c r="AI5109">
        <v>90.270107498213605</v>
      </c>
      <c r="AJ5109">
        <v>99.061442141544006</v>
      </c>
      <c r="AK5109">
        <v>131.568987742264</v>
      </c>
      <c r="AL5109">
        <v>79.854667516274901</v>
      </c>
      <c r="AM5109">
        <v>94.779265580842207</v>
      </c>
      <c r="AN5109">
        <v>0.99999993687563804</v>
      </c>
    </row>
    <row r="5110" spans="1:40" x14ac:dyDescent="0.25">
      <c r="A5110" t="str">
        <f>"20190304154859318"</f>
        <v>20190304154859318</v>
      </c>
      <c r="B5110" t="str">
        <f>"1551685739312477"</f>
        <v>1551685739312477</v>
      </c>
      <c r="C5110" t="s">
        <v>40</v>
      </c>
      <c r="D5110">
        <v>4.0814019999999998</v>
      </c>
      <c r="E5110">
        <v>0.53135909999999997</v>
      </c>
      <c r="F5110" t="s">
        <v>42</v>
      </c>
      <c r="G5110">
        <v>0</v>
      </c>
      <c r="H5110">
        <v>0</v>
      </c>
      <c r="I5110">
        <v>0</v>
      </c>
      <c r="J5110">
        <v>-256.8218</v>
      </c>
      <c r="K5110">
        <v>1.1099730000000001</v>
      </c>
      <c r="L5110">
        <v>141.31399999999999</v>
      </c>
      <c r="M5110">
        <v>-0.99991609999999997</v>
      </c>
      <c r="N5110">
        <v>-1.0837329999999999E-2</v>
      </c>
      <c r="O5110">
        <v>-7.1023090000000002E-3</v>
      </c>
      <c r="P5110">
        <v>-0.98218130000000003</v>
      </c>
      <c r="Q5110">
        <v>0.1654737</v>
      </c>
      <c r="R5110">
        <v>-8.9098800000000006E-2</v>
      </c>
      <c r="S5110">
        <v>-3.040375</v>
      </c>
      <c r="T5110">
        <v>1.1781689999999999E-2</v>
      </c>
      <c r="U5110">
        <v>-0.13389589999999901</v>
      </c>
      <c r="V5110">
        <v>-8.1915279999999993E-2</v>
      </c>
      <c r="W5110">
        <v>0.17621039999999999</v>
      </c>
      <c r="X5110">
        <v>0.98093819999999998</v>
      </c>
      <c r="Y5110">
        <v>-3.6900929999999998E-2</v>
      </c>
      <c r="Z5110">
        <v>-2.3303779999999999E-4</v>
      </c>
      <c r="AA5110">
        <v>0.99931890000000001</v>
      </c>
      <c r="AB5110">
        <v>30</v>
      </c>
      <c r="AC5110">
        <v>-3.040375</v>
      </c>
      <c r="AD5110">
        <v>1.1781689999999999E-2</v>
      </c>
      <c r="AE5110">
        <v>-0.13389589999999901</v>
      </c>
      <c r="AF5110">
        <v>-0.11229588967425</v>
      </c>
      <c r="AG5110">
        <v>1.1781689999999999E-2</v>
      </c>
      <c r="AH5110">
        <v>3.0412037543752999</v>
      </c>
      <c r="AI5110">
        <v>89.778187166250206</v>
      </c>
      <c r="AJ5110">
        <v>92.114675397943202</v>
      </c>
      <c r="AK5110">
        <v>3.0432991063455201</v>
      </c>
      <c r="AL5110">
        <v>79.850896248388594</v>
      </c>
      <c r="AM5110">
        <v>94.7735275692621</v>
      </c>
      <c r="AN5110">
        <v>0.99999998519243904</v>
      </c>
    </row>
    <row r="5111" spans="1:40" x14ac:dyDescent="0.25">
      <c r="A5111" t="str">
        <f>"20190304154859336"</f>
        <v>20190304154859336</v>
      </c>
      <c r="B5111" t="str">
        <f>"1551685739331995"</f>
        <v>1551685739331995</v>
      </c>
      <c r="C5111" t="s">
        <v>40</v>
      </c>
      <c r="D5111">
        <v>4.033855</v>
      </c>
      <c r="E5111">
        <v>0.53639369999999997</v>
      </c>
      <c r="F5111" t="s">
        <v>42</v>
      </c>
      <c r="G5111">
        <v>0</v>
      </c>
      <c r="H5111">
        <v>0</v>
      </c>
      <c r="I5111">
        <v>0</v>
      </c>
      <c r="J5111">
        <v>-257.07670000000002</v>
      </c>
      <c r="K5111">
        <v>1.1099749999999999</v>
      </c>
      <c r="L5111">
        <v>141.31270000000001</v>
      </c>
      <c r="M5111">
        <v>-0.99991920000000001</v>
      </c>
      <c r="N5111">
        <v>-1.0854030000000001E-2</v>
      </c>
      <c r="O5111">
        <v>-6.6228069999999997E-3</v>
      </c>
      <c r="P5111">
        <v>-0.98217449999999995</v>
      </c>
      <c r="Q5111">
        <v>0.165824</v>
      </c>
      <c r="R5111">
        <v>-8.85185E-2</v>
      </c>
      <c r="S5111">
        <v>-3.052368</v>
      </c>
      <c r="T5111">
        <v>7.3251719999999996E-3</v>
      </c>
      <c r="U5111">
        <v>-9.2163090000000007E-3</v>
      </c>
      <c r="V5111">
        <v>-8.1805509999999998E-2</v>
      </c>
      <c r="W5111">
        <v>0.1765765</v>
      </c>
      <c r="X5111">
        <v>0.98088149999999996</v>
      </c>
      <c r="Y5111">
        <v>3.603307E-3</v>
      </c>
      <c r="Z5111" s="1">
        <v>-7.2547490000000002E-5</v>
      </c>
      <c r="AA5111">
        <v>0.99999349999999998</v>
      </c>
      <c r="AB5111">
        <v>30</v>
      </c>
      <c r="AC5111">
        <v>-3.052368</v>
      </c>
      <c r="AD5111">
        <v>7.3251719999999996E-3</v>
      </c>
      <c r="AE5111">
        <v>-9.2163090000000007E-3</v>
      </c>
      <c r="AF5111">
        <v>1.10002640464188E-2</v>
      </c>
      <c r="AG5111">
        <v>7.3251719999999996E-3</v>
      </c>
      <c r="AH5111">
        <v>3.0523445130921698</v>
      </c>
      <c r="AI5111">
        <v>89.862499823724207</v>
      </c>
      <c r="AJ5111">
        <v>89.793514142298207</v>
      </c>
      <c r="AK5111">
        <v>3.0523731243997299</v>
      </c>
      <c r="AL5111">
        <v>79.829585849822905</v>
      </c>
      <c r="AM5111">
        <v>94.767434633674497</v>
      </c>
      <c r="AN5111">
        <v>0.99999995943042896</v>
      </c>
    </row>
    <row r="5112" spans="1:40" x14ac:dyDescent="0.25">
      <c r="A5112" t="str">
        <f>"20190304154859360"</f>
        <v>20190304154859360</v>
      </c>
      <c r="B5112" t="str">
        <f>"1551685739352491"</f>
        <v>1551685739352491</v>
      </c>
      <c r="C5112" t="s">
        <v>40</v>
      </c>
      <c r="D5112">
        <v>4.0332129999999999</v>
      </c>
      <c r="E5112">
        <v>0.5399292</v>
      </c>
      <c r="F5112" t="s">
        <v>42</v>
      </c>
      <c r="G5112">
        <v>0</v>
      </c>
      <c r="H5112">
        <v>0</v>
      </c>
      <c r="I5112">
        <v>0</v>
      </c>
      <c r="J5112">
        <v>-257.39780000000002</v>
      </c>
      <c r="K5112">
        <v>1.1099760000000001</v>
      </c>
      <c r="L5112">
        <v>141.31120000000001</v>
      </c>
      <c r="M5112">
        <v>-0.9999228</v>
      </c>
      <c r="N5112">
        <v>-1.0872430000000001E-2</v>
      </c>
      <c r="O5112">
        <v>-6.0196989999999999E-3</v>
      </c>
      <c r="P5112">
        <v>-0.98208229999999996</v>
      </c>
      <c r="Q5112">
        <v>0.16645409999999999</v>
      </c>
      <c r="R5112">
        <v>-8.8359499999999994E-2</v>
      </c>
      <c r="S5112">
        <v>-3.0550540000000002</v>
      </c>
      <c r="T5112">
        <v>1.379943E-2</v>
      </c>
      <c r="U5112">
        <v>3.259277E-2</v>
      </c>
      <c r="V5112">
        <v>-8.2238240000000004E-2</v>
      </c>
      <c r="W5112">
        <v>0.17722370000000001</v>
      </c>
      <c r="X5112">
        <v>0.98072859999999995</v>
      </c>
      <c r="Y5112">
        <v>1.6686920000000001E-2</v>
      </c>
      <c r="Z5112" s="1">
        <v>-3.960436E-5</v>
      </c>
      <c r="AA5112">
        <v>0.99986079999999999</v>
      </c>
      <c r="AB5112">
        <v>30</v>
      </c>
      <c r="AC5112">
        <v>-3.0550540000000002</v>
      </c>
      <c r="AD5112">
        <v>1.379943E-2</v>
      </c>
      <c r="AE5112">
        <v>3.259277E-2</v>
      </c>
      <c r="AF5112">
        <v>5.0982731427856497E-2</v>
      </c>
      <c r="AG5112">
        <v>1.379943E-2</v>
      </c>
      <c r="AH5112">
        <v>3.0547401126422402</v>
      </c>
      <c r="AI5112">
        <v>89.741210839417903</v>
      </c>
      <c r="AJ5112">
        <v>89.043838737105901</v>
      </c>
      <c r="AK5112">
        <v>3.0551966907153001</v>
      </c>
      <c r="AL5112">
        <v>79.791910008837803</v>
      </c>
      <c r="AM5112">
        <v>94.793279669798494</v>
      </c>
      <c r="AN5112">
        <v>0.99999997740897295</v>
      </c>
    </row>
    <row r="5113" spans="1:40" x14ac:dyDescent="0.25">
      <c r="A5113" t="str">
        <f>"20190304154859381"</f>
        <v>20190304154859381</v>
      </c>
      <c r="B5113" t="str">
        <f>"1551685739372011"</f>
        <v>1551685739372011</v>
      </c>
      <c r="C5113" t="s">
        <v>40</v>
      </c>
      <c r="D5113">
        <v>4.1023339999999999</v>
      </c>
      <c r="E5113">
        <v>0.54088150000000002</v>
      </c>
      <c r="F5113" t="s">
        <v>42</v>
      </c>
      <c r="G5113">
        <v>0</v>
      </c>
      <c r="H5113">
        <v>0</v>
      </c>
      <c r="I5113">
        <v>0</v>
      </c>
      <c r="J5113">
        <v>-257.6902</v>
      </c>
      <c r="K5113">
        <v>1.1099829999999999</v>
      </c>
      <c r="L5113">
        <v>141.31010000000001</v>
      </c>
      <c r="M5113">
        <v>-0.99992579999999998</v>
      </c>
      <c r="N5113">
        <v>-1.088948E-2</v>
      </c>
      <c r="O5113">
        <v>-5.4714239999999999E-3</v>
      </c>
      <c r="P5113">
        <v>-0.98203620000000003</v>
      </c>
      <c r="Q5113">
        <v>0.1668365</v>
      </c>
      <c r="R5113">
        <v>-8.8150779999999998E-2</v>
      </c>
      <c r="S5113">
        <v>-3.0564580000000001</v>
      </c>
      <c r="T5113">
        <v>2.247882E-2</v>
      </c>
      <c r="U5113">
        <v>6.1065670000000002E-2</v>
      </c>
      <c r="V5113">
        <v>-8.256753E-2</v>
      </c>
      <c r="W5113">
        <v>0.17762259999999999</v>
      </c>
      <c r="X5113">
        <v>0.98062879999999997</v>
      </c>
      <c r="Y5113">
        <v>2.5445019999999999E-2</v>
      </c>
      <c r="Z5113" s="1">
        <v>-5.4808800000000003E-5</v>
      </c>
      <c r="AA5113">
        <v>0.99967620000000001</v>
      </c>
      <c r="AB5113">
        <v>30</v>
      </c>
      <c r="AC5113">
        <v>-3.0564580000000001</v>
      </c>
      <c r="AD5113">
        <v>2.247882E-2</v>
      </c>
      <c r="AE5113">
        <v>6.1065670000000002E-2</v>
      </c>
      <c r="AF5113">
        <v>7.7784718450125301E-2</v>
      </c>
      <c r="AG5113">
        <v>2.247882E-2</v>
      </c>
      <c r="AH5113">
        <v>3.05591288269965</v>
      </c>
      <c r="AI5113">
        <v>89.578685213573095</v>
      </c>
      <c r="AJ5113">
        <v>88.541917221011701</v>
      </c>
      <c r="AK5113">
        <v>3.0569853297689602</v>
      </c>
      <c r="AL5113">
        <v>79.768686649752098</v>
      </c>
      <c r="AM5113">
        <v>94.812869935799498</v>
      </c>
      <c r="AN5113">
        <v>1.0000000142152501</v>
      </c>
    </row>
    <row r="5114" spans="1:40" x14ac:dyDescent="0.25">
      <c r="A5114" t="str">
        <f>"20190304154859394"</f>
        <v>20190304154859394</v>
      </c>
      <c r="B5114" t="str">
        <f>"1551685739381772"</f>
        <v>1551685739381772</v>
      </c>
      <c r="C5114" t="s">
        <v>40</v>
      </c>
      <c r="D5114">
        <v>4.1033089999999897</v>
      </c>
      <c r="E5114">
        <v>0.54100159999999997</v>
      </c>
      <c r="F5114" t="s">
        <v>42</v>
      </c>
      <c r="G5114">
        <v>0</v>
      </c>
      <c r="H5114">
        <v>0</v>
      </c>
      <c r="I5114">
        <v>0</v>
      </c>
      <c r="J5114">
        <v>-257.86410000000001</v>
      </c>
      <c r="K5114">
        <v>1.1099840000000001</v>
      </c>
      <c r="L5114">
        <v>141.30940000000001</v>
      </c>
      <c r="M5114">
        <v>-0.99992740000000002</v>
      </c>
      <c r="N5114">
        <v>-1.0901569999999999E-2</v>
      </c>
      <c r="O5114">
        <v>-5.1455670000000002E-3</v>
      </c>
      <c r="P5114">
        <v>-0.9820004</v>
      </c>
      <c r="Q5114">
        <v>0.16729269999999999</v>
      </c>
      <c r="R5114">
        <v>-8.7684029999999996E-2</v>
      </c>
      <c r="S5114">
        <v>-3.0573429999999999</v>
      </c>
      <c r="T5114">
        <v>2.1846290000000001E-2</v>
      </c>
      <c r="U5114">
        <v>6.9030759999999997E-2</v>
      </c>
      <c r="V5114">
        <v>-8.242062E-2</v>
      </c>
      <c r="W5114">
        <v>0.17809</v>
      </c>
      <c r="X5114">
        <v>0.98055639999999999</v>
      </c>
      <c r="Y5114">
        <v>2.771672E-2</v>
      </c>
      <c r="Z5114" s="1">
        <v>-4.0760470000000002E-5</v>
      </c>
      <c r="AA5114">
        <v>0.99961580000000005</v>
      </c>
      <c r="AB5114">
        <v>30</v>
      </c>
      <c r="AC5114">
        <v>-3.0573429999999999</v>
      </c>
      <c r="AD5114">
        <v>2.1846290000000001E-2</v>
      </c>
      <c r="AE5114">
        <v>6.9030759999999997E-2</v>
      </c>
      <c r="AF5114">
        <v>8.4758217766417301E-2</v>
      </c>
      <c r="AG5114">
        <v>2.1846290000000001E-2</v>
      </c>
      <c r="AH5114">
        <v>3.0567913017222601</v>
      </c>
      <c r="AI5114">
        <v>89.590682546241695</v>
      </c>
      <c r="AJ5114">
        <v>88.411718794860903</v>
      </c>
      <c r="AK5114">
        <v>3.0580441916608399</v>
      </c>
      <c r="AL5114">
        <v>79.741472881510504</v>
      </c>
      <c r="AM5114">
        <v>94.804699727060694</v>
      </c>
      <c r="AN5114">
        <v>1.0000000301410701</v>
      </c>
    </row>
    <row r="5115" spans="1:40" x14ac:dyDescent="0.25">
      <c r="A5115" t="str">
        <f>"20190304154859408"</f>
        <v>20190304154859408</v>
      </c>
      <c r="B5115" t="str">
        <f>"1551685739402267"</f>
        <v>1551685739402267</v>
      </c>
      <c r="C5115" t="s">
        <v>40</v>
      </c>
      <c r="D5115">
        <v>4.0477359999999996</v>
      </c>
      <c r="E5115">
        <v>0.54145980000000005</v>
      </c>
      <c r="F5115" t="s">
        <v>42</v>
      </c>
      <c r="G5115">
        <v>0</v>
      </c>
      <c r="H5115">
        <v>0</v>
      </c>
      <c r="I5115">
        <v>0</v>
      </c>
      <c r="J5115">
        <v>-258.05529999999999</v>
      </c>
      <c r="K5115">
        <v>1.1099870000000001</v>
      </c>
      <c r="L5115">
        <v>141.30879999999999</v>
      </c>
      <c r="M5115">
        <v>-0.99992899999999996</v>
      </c>
      <c r="N5115">
        <v>-1.0918519999999999E-2</v>
      </c>
      <c r="O5115">
        <v>-4.7875469999999996E-3</v>
      </c>
      <c r="P5115">
        <v>-0.98206769999999999</v>
      </c>
      <c r="Q5115">
        <v>0.16702</v>
      </c>
      <c r="R5115">
        <v>-8.7449460000000007E-2</v>
      </c>
      <c r="S5115">
        <v>-3.0578310000000002</v>
      </c>
      <c r="T5115">
        <v>2.042484E-2</v>
      </c>
      <c r="U5115">
        <v>7.1228029999999998E-2</v>
      </c>
      <c r="V5115">
        <v>-8.2537180000000002E-2</v>
      </c>
      <c r="W5115">
        <v>0.17783470000000001</v>
      </c>
      <c r="X5115">
        <v>0.98059289999999999</v>
      </c>
      <c r="Y5115">
        <v>2.8073250000000001E-2</v>
      </c>
      <c r="Z5115" s="1">
        <v>-2.470013E-5</v>
      </c>
      <c r="AA5115">
        <v>0.99960590000000005</v>
      </c>
      <c r="AB5115">
        <v>30</v>
      </c>
      <c r="AC5115">
        <v>-3.0578310000000002</v>
      </c>
      <c r="AD5115">
        <v>2.042484E-2</v>
      </c>
      <c r="AE5115">
        <v>7.1228029999999998E-2</v>
      </c>
      <c r="AF5115">
        <v>8.5863766088794605E-2</v>
      </c>
      <c r="AG5115">
        <v>2.042484E-2</v>
      </c>
      <c r="AH5115">
        <v>3.0573185928388198</v>
      </c>
      <c r="AI5115">
        <v>89.617384169001994</v>
      </c>
      <c r="AJ5115">
        <v>88.391290138071597</v>
      </c>
      <c r="AK5115">
        <v>3.05859228053265</v>
      </c>
      <c r="AL5115">
        <v>79.756337476504896</v>
      </c>
      <c r="AM5115">
        <v>94.811284447094195</v>
      </c>
      <c r="AN5115">
        <v>1.00000000106842</v>
      </c>
    </row>
    <row r="5116" spans="1:40" x14ac:dyDescent="0.25">
      <c r="A5116" t="str">
        <f>"20190304154859425"</f>
        <v>20190304154859425</v>
      </c>
      <c r="B5116" t="str">
        <f>"1551685739422508"</f>
        <v>1551685739422508</v>
      </c>
      <c r="C5116" t="s">
        <v>40</v>
      </c>
      <c r="D5116">
        <v>4.0419010000000002</v>
      </c>
      <c r="E5116">
        <v>0.54155739999999997</v>
      </c>
      <c r="F5116" t="s">
        <v>42</v>
      </c>
      <c r="G5116">
        <v>0</v>
      </c>
      <c r="H5116">
        <v>0</v>
      </c>
      <c r="I5116">
        <v>0</v>
      </c>
      <c r="J5116">
        <v>-258.28519999999997</v>
      </c>
      <c r="K5116">
        <v>1.1099920000000001</v>
      </c>
      <c r="L5116">
        <v>141.3081</v>
      </c>
      <c r="M5116">
        <v>-0.99993069999999895</v>
      </c>
      <c r="N5116">
        <v>-1.094386E-2</v>
      </c>
      <c r="O5116">
        <v>-4.3575640000000004E-3</v>
      </c>
      <c r="P5116">
        <v>-0.98215399999999997</v>
      </c>
      <c r="Q5116">
        <v>0.16669</v>
      </c>
      <c r="R5116">
        <v>-8.7109740000000005E-2</v>
      </c>
      <c r="S5116">
        <v>-3.0587460000000002</v>
      </c>
      <c r="T5116">
        <v>1.622152E-2</v>
      </c>
      <c r="U5116">
        <v>7.5424190000000002E-2</v>
      </c>
      <c r="V5116">
        <v>-8.2619419999999999E-2</v>
      </c>
      <c r="W5116">
        <v>0.1775302</v>
      </c>
      <c r="X5116">
        <v>0.98064110000000004</v>
      </c>
      <c r="Y5116">
        <v>2.9007169999999999E-2</v>
      </c>
      <c r="Z5116" s="1">
        <v>1.10605199999999E-5</v>
      </c>
      <c r="AA5116">
        <v>0.9995792</v>
      </c>
      <c r="AB5116">
        <v>30</v>
      </c>
      <c r="AC5116">
        <v>-3.0587460000000002</v>
      </c>
      <c r="AD5116">
        <v>1.622152E-2</v>
      </c>
      <c r="AE5116">
        <v>7.5424190000000002E-2</v>
      </c>
      <c r="AF5116">
        <v>8.8750457835650498E-2</v>
      </c>
      <c r="AG5116">
        <v>1.622152E-2</v>
      </c>
      <c r="AH5116">
        <v>3.05830230748253</v>
      </c>
      <c r="AI5116">
        <v>89.696228582798497</v>
      </c>
      <c r="AJ5116">
        <v>88.337770615318107</v>
      </c>
      <c r="AK5116">
        <v>3.05963278604314</v>
      </c>
      <c r="AL5116">
        <v>79.774065652986394</v>
      </c>
      <c r="AM5116">
        <v>94.8158202672454</v>
      </c>
      <c r="AN5116">
        <v>0.99999995374119199</v>
      </c>
    </row>
    <row r="5117" spans="1:40" x14ac:dyDescent="0.25">
      <c r="A5117" t="str">
        <f>"20190304154859439"</f>
        <v>20190304154859439</v>
      </c>
      <c r="B5117" t="str">
        <f>"1551685739432268"</f>
        <v>1551685739432268</v>
      </c>
      <c r="C5117" t="s">
        <v>40</v>
      </c>
      <c r="D5117">
        <v>4.0494949999999896</v>
      </c>
      <c r="E5117">
        <v>0.54151019999999905</v>
      </c>
      <c r="F5117" t="s">
        <v>42</v>
      </c>
      <c r="G5117">
        <v>0</v>
      </c>
      <c r="H5117">
        <v>0</v>
      </c>
      <c r="I5117">
        <v>0</v>
      </c>
      <c r="J5117">
        <v>-258.46660000000003</v>
      </c>
      <c r="K5117">
        <v>1.109996</v>
      </c>
      <c r="L5117">
        <v>141.30770000000001</v>
      </c>
      <c r="M5117">
        <v>-0.99993180000000004</v>
      </c>
      <c r="N5117">
        <v>-1.0967350000000001E-2</v>
      </c>
      <c r="O5117">
        <v>-4.0184089999999997E-3</v>
      </c>
      <c r="P5117">
        <v>-0.982213</v>
      </c>
      <c r="Q5117">
        <v>0.16646910000000001</v>
      </c>
      <c r="R5117">
        <v>-8.6866529999999997E-2</v>
      </c>
      <c r="S5117">
        <v>-3.059631</v>
      </c>
      <c r="T5117">
        <v>1.0281800000000001E-2</v>
      </c>
      <c r="U5117">
        <v>7.7346799999999993E-2</v>
      </c>
      <c r="V5117">
        <v>-8.2709389999999994E-2</v>
      </c>
      <c r="W5117">
        <v>0.17733309999999999</v>
      </c>
      <c r="X5117">
        <v>0.98066929999999997</v>
      </c>
      <c r="Y5117">
        <v>2.9288829999999998E-2</v>
      </c>
      <c r="Z5117" s="1">
        <v>5.3869529999999999E-5</v>
      </c>
      <c r="AA5117">
        <v>0.99957099999999999</v>
      </c>
      <c r="AB5117">
        <v>30</v>
      </c>
      <c r="AC5117">
        <v>-3.059631</v>
      </c>
      <c r="AD5117">
        <v>1.0281800000000001E-2</v>
      </c>
      <c r="AE5117">
        <v>7.7346799999999993E-2</v>
      </c>
      <c r="AF5117">
        <v>8.9640751821767894E-2</v>
      </c>
      <c r="AG5117">
        <v>1.0281800000000001E-2</v>
      </c>
      <c r="AH5117">
        <v>3.05926093885446</v>
      </c>
      <c r="AI5117">
        <v>89.8075192635104</v>
      </c>
      <c r="AJ5117">
        <v>88.321631360895793</v>
      </c>
      <c r="AK5117">
        <v>3.0605912291253601</v>
      </c>
      <c r="AL5117">
        <v>79.785541964256396</v>
      </c>
      <c r="AM5117">
        <v>94.820901862375393</v>
      </c>
      <c r="AN5117">
        <v>1.0000000737561301</v>
      </c>
    </row>
    <row r="5118" spans="1:40" x14ac:dyDescent="0.25">
      <c r="A5118" t="str">
        <f>"20190304154859451"</f>
        <v>20190304154859451</v>
      </c>
      <c r="B5118" t="str">
        <f>"1551685739442028"</f>
        <v>1551685739442028</v>
      </c>
      <c r="C5118" t="s">
        <v>40</v>
      </c>
      <c r="D5118">
        <v>4.0552219999999997</v>
      </c>
      <c r="E5118">
        <v>0.5414639</v>
      </c>
      <c r="F5118" t="s">
        <v>42</v>
      </c>
      <c r="G5118">
        <v>0</v>
      </c>
      <c r="H5118">
        <v>0</v>
      </c>
      <c r="I5118">
        <v>0</v>
      </c>
      <c r="J5118">
        <v>-258.64830000000001</v>
      </c>
      <c r="K5118">
        <v>1.110001</v>
      </c>
      <c r="L5118">
        <v>141.3073</v>
      </c>
      <c r="M5118">
        <v>-0.99993290000000001</v>
      </c>
      <c r="N5118">
        <v>-1.0993309999999999E-2</v>
      </c>
      <c r="O5118">
        <v>-3.6786689999999999E-3</v>
      </c>
      <c r="P5118">
        <v>-0.9822284</v>
      </c>
      <c r="Q5118">
        <v>0.16649239999999901</v>
      </c>
      <c r="R5118">
        <v>-8.6647230000000006E-2</v>
      </c>
      <c r="S5118">
        <v>-3.0599669999999999</v>
      </c>
      <c r="T5118">
        <v>7.5374839999999997E-3</v>
      </c>
      <c r="U5118">
        <v>7.7743530000000005E-2</v>
      </c>
      <c r="V5118">
        <v>-8.2823670000000002E-2</v>
      </c>
      <c r="W5118">
        <v>0.17738190000000001</v>
      </c>
      <c r="X5118">
        <v>0.98065080000000004</v>
      </c>
      <c r="Y5118">
        <v>2.907597E-2</v>
      </c>
      <c r="Z5118" s="1">
        <v>7.4550549999999994E-5</v>
      </c>
      <c r="AA5118">
        <v>0.99957720000000005</v>
      </c>
      <c r="AB5118">
        <v>30</v>
      </c>
      <c r="AC5118">
        <v>-3.0599669999999999</v>
      </c>
      <c r="AD5118">
        <v>7.5374839999999997E-3</v>
      </c>
      <c r="AE5118">
        <v>7.7743530000000005E-2</v>
      </c>
      <c r="AF5118">
        <v>8.8999749161684405E-2</v>
      </c>
      <c r="AG5118">
        <v>7.5374839999999997E-3</v>
      </c>
      <c r="AH5118">
        <v>3.0596417299903602</v>
      </c>
      <c r="AI5118">
        <v>89.858910749803101</v>
      </c>
      <c r="AJ5118">
        <v>88.333833513809907</v>
      </c>
      <c r="AK5118">
        <v>3.0609451620233701</v>
      </c>
      <c r="AL5118">
        <v>79.782700594012695</v>
      </c>
      <c r="AM5118">
        <v>94.827622110072497</v>
      </c>
      <c r="AN5118">
        <v>1.00000004515025</v>
      </c>
    </row>
    <row r="5119" spans="1:40" x14ac:dyDescent="0.25">
      <c r="A5119" t="str">
        <f>"20190304154859464"</f>
        <v>20190304154859464</v>
      </c>
      <c r="B5119" t="str">
        <f>"1551685739451788"</f>
        <v>1551685739451788</v>
      </c>
      <c r="C5119" t="s">
        <v>40</v>
      </c>
      <c r="D5119">
        <v>4.1127279999999997</v>
      </c>
      <c r="E5119">
        <v>0.54151079999999996</v>
      </c>
      <c r="F5119" t="s">
        <v>42</v>
      </c>
      <c r="G5119">
        <v>0</v>
      </c>
      <c r="H5119">
        <v>0</v>
      </c>
      <c r="I5119">
        <v>0</v>
      </c>
      <c r="J5119">
        <v>-258.82060000000001</v>
      </c>
      <c r="K5119">
        <v>1.1100049999999999</v>
      </c>
      <c r="L5119">
        <v>141.30699999999999</v>
      </c>
      <c r="M5119">
        <v>-0.99993379999999998</v>
      </c>
      <c r="N5119">
        <v>-1.101909E-2</v>
      </c>
      <c r="O5119">
        <v>-3.3569300000000002E-3</v>
      </c>
      <c r="P5119">
        <v>-0.9822727</v>
      </c>
      <c r="Q5119">
        <v>0.1664146</v>
      </c>
      <c r="R5119">
        <v>-8.6295529999999995E-2</v>
      </c>
      <c r="S5119">
        <v>-3.0601500000000001</v>
      </c>
      <c r="T5119">
        <v>6.0633419999999898E-3</v>
      </c>
      <c r="U5119">
        <v>7.830811E-2</v>
      </c>
      <c r="V5119">
        <v>-8.2787059999999996E-2</v>
      </c>
      <c r="W5119">
        <v>0.17732979999999901</v>
      </c>
      <c r="X5119">
        <v>0.98066330000000002</v>
      </c>
      <c r="Y5119">
        <v>2.893712E-2</v>
      </c>
      <c r="Z5119" s="1">
        <v>8.7162309999999998E-5</v>
      </c>
      <c r="AA5119">
        <v>0.99958119999999995</v>
      </c>
      <c r="AB5119">
        <v>30</v>
      </c>
      <c r="AC5119">
        <v>-3.0601500000000001</v>
      </c>
      <c r="AD5119">
        <v>6.0633419999999898E-3</v>
      </c>
      <c r="AE5119">
        <v>7.830811E-2</v>
      </c>
      <c r="AF5119">
        <v>8.8580652733697002E-2</v>
      </c>
      <c r="AG5119">
        <v>6.0633419999999898E-3</v>
      </c>
      <c r="AH5119">
        <v>3.0598578598937101</v>
      </c>
      <c r="AI5119">
        <v>89.886511731316403</v>
      </c>
      <c r="AJ5119">
        <v>88.341792105630901</v>
      </c>
      <c r="AK5119">
        <v>3.0611457689741401</v>
      </c>
      <c r="AL5119">
        <v>79.785733650187396</v>
      </c>
      <c r="AM5119">
        <v>94.825437049216305</v>
      </c>
      <c r="AN5119">
        <v>1.0000000316191799</v>
      </c>
    </row>
    <row r="5120" spans="1:40" x14ac:dyDescent="0.25">
      <c r="A5120" t="str">
        <f>"20190304154859482"</f>
        <v>20190304154859482</v>
      </c>
      <c r="B5120" t="str">
        <f>"1551685739472287"</f>
        <v>1551685739472287</v>
      </c>
      <c r="C5120" t="s">
        <v>40</v>
      </c>
      <c r="D5120">
        <v>4.0683939999999996</v>
      </c>
      <c r="E5120">
        <v>0.54147699999999999</v>
      </c>
      <c r="F5120" t="s">
        <v>42</v>
      </c>
      <c r="G5120">
        <v>0</v>
      </c>
      <c r="H5120">
        <v>0</v>
      </c>
      <c r="I5120">
        <v>0</v>
      </c>
      <c r="J5120">
        <v>-259.05889999999999</v>
      </c>
      <c r="K5120">
        <v>1.1100099999999999</v>
      </c>
      <c r="L5120">
        <v>141.30670000000001</v>
      </c>
      <c r="M5120">
        <v>-0.99993469999999995</v>
      </c>
      <c r="N5120">
        <v>-1.1056669999999999E-2</v>
      </c>
      <c r="O5120">
        <v>-2.9116290000000002E-3</v>
      </c>
      <c r="P5120">
        <v>-0.98231539999999995</v>
      </c>
      <c r="Q5120">
        <v>0.1663839</v>
      </c>
      <c r="R5120">
        <v>-8.5865150000000001E-2</v>
      </c>
      <c r="S5120">
        <v>-3.0605159999999998</v>
      </c>
      <c r="T5120">
        <v>3.63481E-3</v>
      </c>
      <c r="U5120">
        <v>7.9711909999999997E-2</v>
      </c>
      <c r="V5120">
        <v>-8.2793969999999995E-2</v>
      </c>
      <c r="W5120">
        <v>0.17733589999999999</v>
      </c>
      <c r="X5120">
        <v>0.98066160000000002</v>
      </c>
      <c r="Y5120">
        <v>2.894708E-2</v>
      </c>
      <c r="Z5120">
        <v>1.0722870000000001E-4</v>
      </c>
      <c r="AA5120">
        <v>0.99958089999999999</v>
      </c>
      <c r="AB5120">
        <v>30</v>
      </c>
      <c r="AC5120">
        <v>-3.0605159999999998</v>
      </c>
      <c r="AD5120">
        <v>3.63481E-3</v>
      </c>
      <c r="AE5120">
        <v>7.9711909999999997E-2</v>
      </c>
      <c r="AF5120">
        <v>8.8623078450575696E-2</v>
      </c>
      <c r="AG5120">
        <v>3.63481E-3</v>
      </c>
      <c r="AH5120">
        <v>3.0602666062266799</v>
      </c>
      <c r="AI5120">
        <v>89.931975893277695</v>
      </c>
      <c r="AJ5120">
        <v>88.341219812171303</v>
      </c>
      <c r="AK5120">
        <v>3.06155172470823</v>
      </c>
      <c r="AL5120">
        <v>79.785378379971107</v>
      </c>
      <c r="AM5120">
        <v>94.825846238819494</v>
      </c>
      <c r="AN5120">
        <v>1.0000000183058599</v>
      </c>
    </row>
    <row r="5121" spans="1:40" x14ac:dyDescent="0.25">
      <c r="A5121" t="str">
        <f>"20190304154859495"</f>
        <v>20190304154859495</v>
      </c>
      <c r="B5121" t="str">
        <f>"1551685739491804"</f>
        <v>1551685739491804</v>
      </c>
      <c r="C5121" t="s">
        <v>40</v>
      </c>
      <c r="D5121">
        <v>4.0372110000000001</v>
      </c>
      <c r="E5121">
        <v>0.54205300000000001</v>
      </c>
      <c r="F5121" t="s">
        <v>42</v>
      </c>
      <c r="G5121">
        <v>0</v>
      </c>
      <c r="H5121">
        <v>0</v>
      </c>
      <c r="I5121">
        <v>0</v>
      </c>
      <c r="J5121">
        <v>-259.2371</v>
      </c>
      <c r="K5121">
        <v>1.110015</v>
      </c>
      <c r="L5121">
        <v>141.3065</v>
      </c>
      <c r="M5121">
        <v>-0.99993529999999997</v>
      </c>
      <c r="N5121">
        <v>-1.108673E-2</v>
      </c>
      <c r="O5121">
        <v>-2.5785890000000001E-3</v>
      </c>
      <c r="P5121">
        <v>-0.98240609999999995</v>
      </c>
      <c r="Q5121">
        <v>0.16599</v>
      </c>
      <c r="R5121">
        <v>-8.5590620000000006E-2</v>
      </c>
      <c r="S5121">
        <v>-3.0608520000000001</v>
      </c>
      <c r="T5121">
        <v>1.255393E-3</v>
      </c>
      <c r="U5121">
        <v>8.0795290000000006E-2</v>
      </c>
      <c r="V5121">
        <v>-8.2846249999999996E-2</v>
      </c>
      <c r="W5121">
        <v>0.17697270000000001</v>
      </c>
      <c r="X5121">
        <v>0.98072280000000001</v>
      </c>
      <c r="Y5121">
        <v>2.8964810000000001E-2</v>
      </c>
      <c r="Z5121">
        <v>1.2501520000000001E-4</v>
      </c>
      <c r="AA5121">
        <v>0.99958040000000004</v>
      </c>
      <c r="AB5121">
        <v>31</v>
      </c>
      <c r="AC5121">
        <v>-3.0608520000000001</v>
      </c>
      <c r="AD5121">
        <v>1.255393E-3</v>
      </c>
      <c r="AE5121">
        <v>8.0795290000000006E-2</v>
      </c>
      <c r="AF5121">
        <v>8.86881701916689E-2</v>
      </c>
      <c r="AG5121">
        <v>1.255393E-3</v>
      </c>
      <c r="AH5121">
        <v>3.0606329576144602</v>
      </c>
      <c r="AI5121">
        <v>89.976508605151395</v>
      </c>
      <c r="AJ5121">
        <v>88.340200742422894</v>
      </c>
      <c r="AK5121">
        <v>3.0619179069301299</v>
      </c>
      <c r="AL5121">
        <v>79.806522703053801</v>
      </c>
      <c r="AM5121">
        <v>94.828579188176803</v>
      </c>
      <c r="AN5121">
        <v>1.0000000240620901</v>
      </c>
    </row>
    <row r="5122" spans="1:40" x14ac:dyDescent="0.25">
      <c r="A5122" t="str">
        <f>"20190304154859508"</f>
        <v>20190304154859508</v>
      </c>
      <c r="B5122" t="str">
        <f>"1551685739502540"</f>
        <v>1551685739502540</v>
      </c>
      <c r="C5122" t="s">
        <v>40</v>
      </c>
      <c r="D5122">
        <v>4.0481749999999996</v>
      </c>
      <c r="E5122">
        <v>0.54203310000000005</v>
      </c>
      <c r="F5122" t="s">
        <v>42</v>
      </c>
      <c r="G5122">
        <v>0</v>
      </c>
      <c r="H5122">
        <v>0</v>
      </c>
      <c r="I5122">
        <v>0</v>
      </c>
      <c r="J5122">
        <v>-259.42020000000002</v>
      </c>
      <c r="K5122">
        <v>1.11002</v>
      </c>
      <c r="L5122">
        <v>141.3064</v>
      </c>
      <c r="M5122">
        <v>-0.99993569999999998</v>
      </c>
      <c r="N5122">
        <v>-1.112049E-2</v>
      </c>
      <c r="O5122">
        <v>-2.2361519999999999E-3</v>
      </c>
      <c r="P5122">
        <v>-0.98243709999999995</v>
      </c>
      <c r="Q5122">
        <v>0.166019</v>
      </c>
      <c r="R5122">
        <v>-8.5178229999999994E-2</v>
      </c>
      <c r="S5122">
        <v>-3.0608219999999999</v>
      </c>
      <c r="T5122">
        <v>2.635002E-3</v>
      </c>
      <c r="U5122">
        <v>8.6166380000000001E-2</v>
      </c>
      <c r="V5122">
        <v>-8.2770010000000005E-2</v>
      </c>
      <c r="W5122">
        <v>0.17703459999999999</v>
      </c>
      <c r="X5122">
        <v>0.98071799999999998</v>
      </c>
      <c r="Y5122">
        <v>3.0375550000000001E-2</v>
      </c>
      <c r="Z5122">
        <v>1.2907420000000001E-4</v>
      </c>
      <c r="AA5122">
        <v>0.9995385</v>
      </c>
      <c r="AB5122">
        <v>31</v>
      </c>
      <c r="AC5122">
        <v>-3.0608219999999999</v>
      </c>
      <c r="AD5122">
        <v>2.635002E-3</v>
      </c>
      <c r="AE5122">
        <v>8.6166380000000001E-2</v>
      </c>
      <c r="AF5122">
        <v>9.3010981912238805E-2</v>
      </c>
      <c r="AG5122">
        <v>2.635002E-3</v>
      </c>
      <c r="AH5122">
        <v>3.06061938690755</v>
      </c>
      <c r="AI5122">
        <v>89.950694689215496</v>
      </c>
      <c r="AJ5122">
        <v>88.259340214436193</v>
      </c>
      <c r="AK5122">
        <v>3.0620334775286402</v>
      </c>
      <c r="AL5122">
        <v>79.802918533812402</v>
      </c>
      <c r="AM5122">
        <v>94.824180125552303</v>
      </c>
      <c r="AN5122">
        <v>0.99999995983827905</v>
      </c>
    </row>
    <row r="5123" spans="1:40" x14ac:dyDescent="0.25">
      <c r="A5123" t="str">
        <f>"20190304154859522"</f>
        <v>20190304154859522</v>
      </c>
      <c r="B5123" t="str">
        <f>"1551685739512300"</f>
        <v>1551685739512300</v>
      </c>
      <c r="C5123" t="s">
        <v>40</v>
      </c>
      <c r="D5123">
        <v>4.0602159999999996</v>
      </c>
      <c r="E5123">
        <v>0.54202410000000001</v>
      </c>
      <c r="F5123" t="s">
        <v>42</v>
      </c>
      <c r="G5123">
        <v>0</v>
      </c>
      <c r="H5123">
        <v>0</v>
      </c>
      <c r="I5123">
        <v>0</v>
      </c>
      <c r="J5123">
        <v>-259.60090000000002</v>
      </c>
      <c r="K5123">
        <v>1.110025</v>
      </c>
      <c r="L5123">
        <v>141.30629999999999</v>
      </c>
      <c r="M5123">
        <v>-0.99993600000000005</v>
      </c>
      <c r="N5123">
        <v>-1.1154570000000001E-2</v>
      </c>
      <c r="O5123">
        <v>-1.8975330000000001E-3</v>
      </c>
      <c r="P5123">
        <v>-0.98249299999999995</v>
      </c>
      <c r="Q5123">
        <v>0.16583680000000001</v>
      </c>
      <c r="R5123">
        <v>-8.4888229999999995E-2</v>
      </c>
      <c r="S5123">
        <v>-3.0608520000000001</v>
      </c>
      <c r="T5123">
        <v>2.0967719999999998E-3</v>
      </c>
      <c r="U5123">
        <v>8.7341310000000005E-2</v>
      </c>
      <c r="V5123">
        <v>-8.2812469999999999E-2</v>
      </c>
      <c r="W5123">
        <v>0.1768863</v>
      </c>
      <c r="X5123">
        <v>0.98074119999999998</v>
      </c>
      <c r="Y5123">
        <v>3.0420160000000002E-2</v>
      </c>
      <c r="Z5123">
        <v>1.3682209999999999E-4</v>
      </c>
      <c r="AA5123">
        <v>0.99953720000000001</v>
      </c>
      <c r="AB5123">
        <v>31</v>
      </c>
      <c r="AC5123">
        <v>-3.0608520000000001</v>
      </c>
      <c r="AD5123">
        <v>2.0967719999999998E-3</v>
      </c>
      <c r="AE5123">
        <v>8.7341310000000005E-2</v>
      </c>
      <c r="AF5123">
        <v>9.3149538022050102E-2</v>
      </c>
      <c r="AG5123">
        <v>2.0967719999999998E-3</v>
      </c>
      <c r="AH5123">
        <v>3.0606793103824699</v>
      </c>
      <c r="AI5123">
        <v>89.960766693886697</v>
      </c>
      <c r="AJ5123">
        <v>88.2567829054654</v>
      </c>
      <c r="AK5123">
        <v>3.0620971692436298</v>
      </c>
      <c r="AL5123">
        <v>79.811552005491805</v>
      </c>
      <c r="AM5123">
        <v>94.8265295446799</v>
      </c>
      <c r="AN5123">
        <v>0.99999998484631503</v>
      </c>
    </row>
    <row r="5124" spans="1:40" x14ac:dyDescent="0.25">
      <c r="A5124" t="str">
        <f>"20190304154859538"</f>
        <v>20190304154859538</v>
      </c>
      <c r="B5124" t="str">
        <f>"1551685739531820"</f>
        <v>1551685739531820</v>
      </c>
      <c r="C5124" t="s">
        <v>40</v>
      </c>
      <c r="D5124">
        <v>4.030259</v>
      </c>
      <c r="E5124">
        <v>0.54202050000000002</v>
      </c>
      <c r="F5124" t="s">
        <v>42</v>
      </c>
      <c r="G5124">
        <v>0</v>
      </c>
      <c r="H5124">
        <v>0</v>
      </c>
      <c r="I5124">
        <v>0</v>
      </c>
      <c r="J5124">
        <v>-259.82369999999997</v>
      </c>
      <c r="K5124">
        <v>1.1100369999999999</v>
      </c>
      <c r="L5124">
        <v>141.30629999999999</v>
      </c>
      <c r="M5124">
        <v>-0.99993620000000005</v>
      </c>
      <c r="N5124">
        <v>-1.119612E-2</v>
      </c>
      <c r="O5124">
        <v>-1.4803959999999999E-3</v>
      </c>
      <c r="P5124">
        <v>-0.98250990000000005</v>
      </c>
      <c r="Q5124">
        <v>0.1660799</v>
      </c>
      <c r="R5124">
        <v>-8.4214529999999996E-2</v>
      </c>
      <c r="S5124">
        <v>-3.0609130000000002</v>
      </c>
      <c r="T5124">
        <v>9.7024440000000002E-4</v>
      </c>
      <c r="U5124">
        <v>8.8211059999999994E-2</v>
      </c>
      <c r="V5124">
        <v>-8.2548640000000006E-2</v>
      </c>
      <c r="W5124">
        <v>0.17716970000000001</v>
      </c>
      <c r="X5124">
        <v>0.98071229999999998</v>
      </c>
      <c r="Y5124">
        <v>3.0286380000000002E-2</v>
      </c>
      <c r="Z5124">
        <v>1.4774539999999999E-4</v>
      </c>
      <c r="AA5124">
        <v>0.99954120000000002</v>
      </c>
      <c r="AB5124">
        <v>31</v>
      </c>
      <c r="AC5124">
        <v>-3.0609130000000002</v>
      </c>
      <c r="AD5124">
        <v>9.7024440000000002E-4</v>
      </c>
      <c r="AE5124">
        <v>8.8211059999999994E-2</v>
      </c>
      <c r="AF5124">
        <v>9.2742601531364197E-2</v>
      </c>
      <c r="AG5124">
        <v>9.7024440000000002E-4</v>
      </c>
      <c r="AH5124">
        <v>3.0607787427039499</v>
      </c>
      <c r="AI5124">
        <v>89.981845990741505</v>
      </c>
      <c r="AJ5124">
        <v>88.264450067952197</v>
      </c>
      <c r="AK5124">
        <v>3.0621836397089899</v>
      </c>
      <c r="AL5124">
        <v>79.795053940985895</v>
      </c>
      <c r="AM5124">
        <v>94.811366244616593</v>
      </c>
      <c r="AN5124">
        <v>0.99999999796761396</v>
      </c>
    </row>
    <row r="5125" spans="1:40" x14ac:dyDescent="0.25">
      <c r="A5125" t="str">
        <f>"20190304154859561"</f>
        <v>20190304154859561</v>
      </c>
      <c r="B5125" t="str">
        <f>"1551685739552316"</f>
        <v>1551685739552316</v>
      </c>
      <c r="C5125" t="s">
        <v>40</v>
      </c>
      <c r="D5125">
        <v>4.0090000000000003</v>
      </c>
      <c r="E5125">
        <v>0.54192200000000001</v>
      </c>
      <c r="F5125" t="s">
        <v>81</v>
      </c>
      <c r="G5125">
        <v>-550.16229999999996</v>
      </c>
      <c r="H5125">
        <v>1.1689879999999999</v>
      </c>
      <c r="I5125">
        <v>149.85980000000001</v>
      </c>
      <c r="J5125">
        <v>-260.13029999999998</v>
      </c>
      <c r="K5125">
        <v>1.110044</v>
      </c>
      <c r="L5125">
        <v>141.3065</v>
      </c>
      <c r="M5125">
        <v>-0.9999363</v>
      </c>
      <c r="N5125">
        <v>-1.125014E-2</v>
      </c>
      <c r="O5125">
        <v>-9.0656910000000001E-4</v>
      </c>
      <c r="P5125">
        <v>-0.98250780000000004</v>
      </c>
      <c r="Q5125">
        <v>0.16645860000000001</v>
      </c>
      <c r="R5125">
        <v>-8.34868E-2</v>
      </c>
      <c r="S5125">
        <v>-3.061035</v>
      </c>
      <c r="T5125">
        <v>6.2203409999999997E-4</v>
      </c>
      <c r="U5125">
        <v>9.017944E-2</v>
      </c>
      <c r="V5125">
        <v>-8.2384070000000004E-2</v>
      </c>
      <c r="W5125">
        <v>0.17760100000000001</v>
      </c>
      <c r="X5125">
        <v>0.98064810000000002</v>
      </c>
      <c r="Y5125">
        <v>3.035386E-2</v>
      </c>
      <c r="Z5125">
        <v>1.573201E-4</v>
      </c>
      <c r="AA5125">
        <v>0.99953919999999996</v>
      </c>
      <c r="AB5125">
        <v>31</v>
      </c>
      <c r="AC5125">
        <v>-290.03199999999998</v>
      </c>
      <c r="AD5125">
        <v>5.8943999999999802E-2</v>
      </c>
      <c r="AE5125">
        <v>8.5533000000000001</v>
      </c>
      <c r="AF5125">
        <v>8.8162468119967308</v>
      </c>
      <c r="AG5125">
        <v>5.8943999999999802E-2</v>
      </c>
      <c r="AH5125">
        <v>290.024114184062</v>
      </c>
      <c r="AI5125">
        <v>89.988360681361897</v>
      </c>
      <c r="AJ5125">
        <v>88.258840544569097</v>
      </c>
      <c r="AK5125">
        <v>290.15808879039599</v>
      </c>
      <c r="AL5125">
        <v>79.769943808346795</v>
      </c>
      <c r="AM5125">
        <v>94.802132030629096</v>
      </c>
      <c r="AN5125">
        <v>0.99999997311218702</v>
      </c>
    </row>
    <row r="5126" spans="1:40" x14ac:dyDescent="0.25">
      <c r="A5126" t="str">
        <f>"20190304154859582"</f>
        <v>20190304154859582</v>
      </c>
      <c r="B5126" t="str">
        <f>"1551685739571841"</f>
        <v>1551685739571841</v>
      </c>
      <c r="C5126" t="s">
        <v>40</v>
      </c>
      <c r="D5126">
        <v>4.0350699999999904</v>
      </c>
      <c r="E5126">
        <v>0.54192010000000002</v>
      </c>
      <c r="F5126" t="s">
        <v>81</v>
      </c>
      <c r="G5126">
        <v>-550.16219999999998</v>
      </c>
      <c r="H5126">
        <v>1.1064320000000001</v>
      </c>
      <c r="I5126">
        <v>150.01820000000001</v>
      </c>
      <c r="J5126">
        <v>-260.42649999999998</v>
      </c>
      <c r="K5126">
        <v>1.1100490000000001</v>
      </c>
      <c r="L5126">
        <v>141.30680000000001</v>
      </c>
      <c r="M5126">
        <v>-0.9999363</v>
      </c>
      <c r="N5126">
        <v>-1.129816E-2</v>
      </c>
      <c r="O5126">
        <v>-3.5238899999999999E-4</v>
      </c>
      <c r="P5126">
        <v>-0.98245939999999998</v>
      </c>
      <c r="Q5126">
        <v>0.16698660000000001</v>
      </c>
      <c r="R5126">
        <v>-8.3002019999999996E-2</v>
      </c>
      <c r="S5126">
        <v>-3.0612180000000002</v>
      </c>
      <c r="T5126" s="1">
        <v>-3.767014E-5</v>
      </c>
      <c r="U5126">
        <v>9.1949459999999997E-2</v>
      </c>
      <c r="V5126">
        <v>-8.244319E-2</v>
      </c>
      <c r="W5126">
        <v>0.1781749</v>
      </c>
      <c r="X5126">
        <v>0.98053900000000005</v>
      </c>
      <c r="Y5126">
        <v>3.0375570000000001E-2</v>
      </c>
      <c r="Z5126">
        <v>1.67848699999999E-4</v>
      </c>
      <c r="AA5126">
        <v>0.9995385</v>
      </c>
      <c r="AB5126">
        <v>31</v>
      </c>
      <c r="AC5126">
        <v>-289.73570000000001</v>
      </c>
      <c r="AD5126">
        <v>-3.6170000000001999E-3</v>
      </c>
      <c r="AE5126">
        <v>8.7113999999999905</v>
      </c>
      <c r="AF5126">
        <v>8.81350562908702</v>
      </c>
      <c r="AG5126">
        <v>-3.6170000000001999E-3</v>
      </c>
      <c r="AH5126">
        <v>289.73261196629301</v>
      </c>
      <c r="AI5126">
        <v>90.000714945466797</v>
      </c>
      <c r="AJ5126">
        <v>88.257631409085505</v>
      </c>
      <c r="AK5126">
        <v>289.86663197299401</v>
      </c>
      <c r="AL5126">
        <v>79.736528601567201</v>
      </c>
      <c r="AM5126">
        <v>94.806094165139001</v>
      </c>
      <c r="AN5126">
        <v>0.99999995254419105</v>
      </c>
    </row>
    <row r="5127" spans="1:40" x14ac:dyDescent="0.25">
      <c r="A5127" t="str">
        <f>"20190304154859596"</f>
        <v>20190304154859596</v>
      </c>
      <c r="B5127" t="str">
        <f>"1551685739592332"</f>
        <v>1551685739592332</v>
      </c>
      <c r="C5127" t="s">
        <v>40</v>
      </c>
      <c r="D5127">
        <v>4.0402120000000004</v>
      </c>
      <c r="E5127">
        <v>0.54194609999999999</v>
      </c>
      <c r="F5127" t="s">
        <v>81</v>
      </c>
      <c r="G5127">
        <v>-550.16229999999996</v>
      </c>
      <c r="H5127">
        <v>1.158677</v>
      </c>
      <c r="I5127">
        <v>150.13900000000001</v>
      </c>
      <c r="J5127">
        <v>-260.61279999999999</v>
      </c>
      <c r="K5127">
        <v>1.110052</v>
      </c>
      <c r="L5127">
        <v>141.30709999999999</v>
      </c>
      <c r="M5127">
        <v>-0.99993600000000005</v>
      </c>
      <c r="N5127">
        <v>-1.132641E-2</v>
      </c>
      <c r="O5127" s="1">
        <v>-3.3839189999999998E-6</v>
      </c>
      <c r="P5127">
        <v>-0.98252169999999905</v>
      </c>
      <c r="Q5127">
        <v>0.1668347</v>
      </c>
      <c r="R5127">
        <v>-8.2569450000000003E-2</v>
      </c>
      <c r="S5127">
        <v>-3.061401</v>
      </c>
      <c r="T5127">
        <v>5.142689E-4</v>
      </c>
      <c r="U5127">
        <v>9.3322749999999996E-2</v>
      </c>
      <c r="V5127">
        <v>-8.2353889999999999E-2</v>
      </c>
      <c r="W5127">
        <v>0.17805099999999999</v>
      </c>
      <c r="X5127">
        <v>0.98056909999999997</v>
      </c>
      <c r="Y5127">
        <v>3.047294E-2</v>
      </c>
      <c r="Z5127">
        <v>1.7002219999999999E-4</v>
      </c>
      <c r="AA5127">
        <v>0.99953559999999997</v>
      </c>
      <c r="AB5127">
        <v>31</v>
      </c>
      <c r="AC5127">
        <v>-289.54950000000002</v>
      </c>
      <c r="AD5127">
        <v>4.8624999999999897E-2</v>
      </c>
      <c r="AE5127">
        <v>8.8319000000000099</v>
      </c>
      <c r="AF5127">
        <v>8.8328796258462106</v>
      </c>
      <c r="AG5127">
        <v>4.8624999999999897E-2</v>
      </c>
      <c r="AH5127">
        <v>289.54946195182998</v>
      </c>
      <c r="AI5127">
        <v>89.990382603992501</v>
      </c>
      <c r="AJ5127">
        <v>88.252699828832306</v>
      </c>
      <c r="AK5127">
        <v>289.68416084326998</v>
      </c>
      <c r="AL5127">
        <v>79.743743820715494</v>
      </c>
      <c r="AM5127">
        <v>94.800766011109502</v>
      </c>
      <c r="AN5127">
        <v>1.00000004083697</v>
      </c>
    </row>
    <row r="5128" spans="1:40" x14ac:dyDescent="0.25">
      <c r="A5128" t="str">
        <f>"20190304154859608"</f>
        <v>20190304154859608</v>
      </c>
      <c r="B5128" t="str">
        <f>"1551685739602093"</f>
        <v>1551685739602093</v>
      </c>
      <c r="C5128" t="s">
        <v>40</v>
      </c>
      <c r="D5128">
        <v>4.047739</v>
      </c>
      <c r="E5128">
        <v>0.54192750000000001</v>
      </c>
      <c r="F5128" t="s">
        <v>81</v>
      </c>
      <c r="G5128">
        <v>-550.16219999999998</v>
      </c>
      <c r="H5128">
        <v>1.074211</v>
      </c>
      <c r="I5128">
        <v>150.298</v>
      </c>
      <c r="J5128">
        <v>-260.79300000000001</v>
      </c>
      <c r="K5128">
        <v>1.1100559999999999</v>
      </c>
      <c r="L5128">
        <v>141.3075</v>
      </c>
      <c r="M5128">
        <v>-0.99993540000000003</v>
      </c>
      <c r="N5128">
        <v>-1.1352080000000001E-2</v>
      </c>
      <c r="O5128">
        <v>3.346065E-4</v>
      </c>
      <c r="P5128">
        <v>-0.98240090000000002</v>
      </c>
      <c r="Q5128">
        <v>0.16753999999999999</v>
      </c>
      <c r="R5128">
        <v>-8.2575720000000005E-2</v>
      </c>
      <c r="S5128">
        <v>-3.0614620000000001</v>
      </c>
      <c r="T5128">
        <v>-3.7848949999999998E-4</v>
      </c>
      <c r="U5128">
        <v>9.5062259999999996E-2</v>
      </c>
      <c r="V5128">
        <v>-8.2691580000000001E-2</v>
      </c>
      <c r="W5128">
        <v>0.1787801</v>
      </c>
      <c r="X5128">
        <v>0.98040799999999995</v>
      </c>
      <c r="Y5128">
        <v>3.0701829999999999E-2</v>
      </c>
      <c r="Z5128">
        <v>1.7996630000000001E-4</v>
      </c>
      <c r="AA5128">
        <v>0.99952859999999999</v>
      </c>
      <c r="AB5128">
        <v>31</v>
      </c>
      <c r="AC5128">
        <v>-289.36919999999998</v>
      </c>
      <c r="AD5128">
        <v>-3.5844999999999898E-2</v>
      </c>
      <c r="AE5128">
        <v>8.9904999999999902</v>
      </c>
      <c r="AF5128">
        <v>8.8936682952172195</v>
      </c>
      <c r="AG5128">
        <v>-3.5844999999999898E-2</v>
      </c>
      <c r="AH5128">
        <v>289.37218783673097</v>
      </c>
      <c r="AI5128">
        <v>90.007093970962202</v>
      </c>
      <c r="AJ5128">
        <v>88.239605175043295</v>
      </c>
      <c r="AK5128">
        <v>289.50882838702103</v>
      </c>
      <c r="AL5128">
        <v>79.701288208055999</v>
      </c>
      <c r="AM5128">
        <v>94.821147203050202</v>
      </c>
      <c r="AN5128">
        <v>1.0000000340114501</v>
      </c>
    </row>
    <row r="5129" spans="1:40" x14ac:dyDescent="0.25">
      <c r="A5129" t="str">
        <f>"20190304154859626"</f>
        <v>20190304154859626</v>
      </c>
      <c r="B5129" t="str">
        <f>"1551685739622588"</f>
        <v>1551685739622588</v>
      </c>
      <c r="C5129" t="s">
        <v>40</v>
      </c>
      <c r="D5129">
        <v>4.0457660000000004</v>
      </c>
      <c r="E5129">
        <v>0.54182519999999901</v>
      </c>
      <c r="F5129" t="s">
        <v>81</v>
      </c>
      <c r="G5129">
        <v>-550.16229999999996</v>
      </c>
      <c r="H5129">
        <v>1.2391730000000001</v>
      </c>
      <c r="I5129">
        <v>150.27529999999999</v>
      </c>
      <c r="J5129">
        <v>-261.03070000000002</v>
      </c>
      <c r="K5129">
        <v>1.1100639999999999</v>
      </c>
      <c r="L5129">
        <v>141.30799999999999</v>
      </c>
      <c r="M5129">
        <v>-0.99993489999999996</v>
      </c>
      <c r="N5129">
        <v>-1.138349E-2</v>
      </c>
      <c r="O5129">
        <v>7.8020839999999895E-4</v>
      </c>
      <c r="P5129">
        <v>-0.98231740000000001</v>
      </c>
      <c r="Q5129">
        <v>0.16816239999999999</v>
      </c>
      <c r="R5129">
        <v>-8.230527E-2</v>
      </c>
      <c r="S5129">
        <v>-3.061493</v>
      </c>
      <c r="T5129">
        <v>1.366496E-3</v>
      </c>
      <c r="U5129">
        <v>9.4879149999999995E-2</v>
      </c>
      <c r="V5129">
        <v>-8.2858310000000004E-2</v>
      </c>
      <c r="W5129">
        <v>0.1794318</v>
      </c>
      <c r="X5129">
        <v>0.98027489999999995</v>
      </c>
      <c r="Y5129">
        <v>3.0196500000000001E-2</v>
      </c>
      <c r="Z5129">
        <v>1.7440770000000001E-4</v>
      </c>
      <c r="AA5129">
        <v>0.99954399999999999</v>
      </c>
      <c r="AB5129">
        <v>31</v>
      </c>
      <c r="AC5129">
        <v>-289.13159999999903</v>
      </c>
      <c r="AD5129">
        <v>0.129108999999999</v>
      </c>
      <c r="AE5129">
        <v>8.9672999999999892</v>
      </c>
      <c r="AF5129">
        <v>8.7416980081726798</v>
      </c>
      <c r="AG5129">
        <v>0.129108999999999</v>
      </c>
      <c r="AH5129">
        <v>289.13845120551798</v>
      </c>
      <c r="AI5129">
        <v>89.974427400725006</v>
      </c>
      <c r="AJ5129">
        <v>88.268269490688198</v>
      </c>
      <c r="AK5129">
        <v>289.27059636044203</v>
      </c>
      <c r="AL5129">
        <v>79.6633352632754</v>
      </c>
      <c r="AM5129">
        <v>94.831474880133598</v>
      </c>
      <c r="AN5129">
        <v>1.00000007497865</v>
      </c>
    </row>
    <row r="5130" spans="1:40" x14ac:dyDescent="0.25">
      <c r="A5130" t="str">
        <f>"20190304154859642"</f>
        <v>20190304154859642</v>
      </c>
      <c r="B5130" t="str">
        <f>"1551685739632348"</f>
        <v>1551685739632348</v>
      </c>
      <c r="C5130" t="s">
        <v>40</v>
      </c>
      <c r="D5130">
        <v>4.039777</v>
      </c>
      <c r="E5130">
        <v>0.54177759999999997</v>
      </c>
      <c r="F5130" t="s">
        <v>81</v>
      </c>
      <c r="G5130">
        <v>-550.16240000000005</v>
      </c>
      <c r="H5130">
        <v>1.3719539999999999</v>
      </c>
      <c r="I5130">
        <v>150.27269999999999</v>
      </c>
      <c r="J5130">
        <v>-261.24180000000001</v>
      </c>
      <c r="K5130">
        <v>1.110069</v>
      </c>
      <c r="L5130">
        <v>141.30860000000001</v>
      </c>
      <c r="M5130">
        <v>-0.99993430000000005</v>
      </c>
      <c r="N5130">
        <v>-1.14092E-2</v>
      </c>
      <c r="O5130">
        <v>1.1755369999999999E-3</v>
      </c>
      <c r="P5130">
        <v>-0.98228009999999999</v>
      </c>
      <c r="Q5130">
        <v>0.1684667</v>
      </c>
      <c r="R5130">
        <v>-8.2127569999999997E-2</v>
      </c>
      <c r="S5130">
        <v>-3.0615230000000002</v>
      </c>
      <c r="T5130">
        <v>2.773523E-3</v>
      </c>
      <c r="U5130">
        <v>9.4924930000000005E-2</v>
      </c>
      <c r="V5130">
        <v>-8.3068710000000004E-2</v>
      </c>
      <c r="W5130">
        <v>0.17976059999999999</v>
      </c>
      <c r="X5130">
        <v>0.98019679999999998</v>
      </c>
      <c r="Y5130">
        <v>2.981605E-2</v>
      </c>
      <c r="Z5130">
        <v>1.711061E-4</v>
      </c>
      <c r="AA5130">
        <v>0.99955539999999998</v>
      </c>
      <c r="AB5130">
        <v>31</v>
      </c>
      <c r="AC5130">
        <v>-288.92059999999998</v>
      </c>
      <c r="AD5130">
        <v>0.26188499999999998</v>
      </c>
      <c r="AE5130">
        <v>8.96409999999997</v>
      </c>
      <c r="AF5130">
        <v>8.6244277901735593</v>
      </c>
      <c r="AG5130">
        <v>0.26188499999999998</v>
      </c>
      <c r="AH5130">
        <v>288.930701503188</v>
      </c>
      <c r="AI5130">
        <v>89.948090594443897</v>
      </c>
      <c r="AJ5130">
        <v>88.290259117885</v>
      </c>
      <c r="AK5130">
        <v>289.05950876867098</v>
      </c>
      <c r="AL5130">
        <v>79.644184517605595</v>
      </c>
      <c r="AM5130">
        <v>94.844069123774005</v>
      </c>
      <c r="AN5130">
        <v>1.00000002531183</v>
      </c>
    </row>
    <row r="5131" spans="1:40" x14ac:dyDescent="0.25">
      <c r="A5131" t="str">
        <f>"20190304154859654"</f>
        <v>20190304154859654</v>
      </c>
      <c r="B5131" t="str">
        <f>"1551685739642109"</f>
        <v>1551685739642109</v>
      </c>
      <c r="C5131" t="s">
        <v>40</v>
      </c>
      <c r="D5131">
        <v>4.0370290000000004</v>
      </c>
      <c r="E5131">
        <v>0.54171999999999998</v>
      </c>
      <c r="F5131" t="s">
        <v>81</v>
      </c>
      <c r="G5131">
        <v>-550.16240000000005</v>
      </c>
      <c r="H5131">
        <v>1.433435</v>
      </c>
      <c r="I5131">
        <v>150.2799</v>
      </c>
      <c r="J5131">
        <v>-261.4135</v>
      </c>
      <c r="K5131">
        <v>1.1100749999999999</v>
      </c>
      <c r="L5131">
        <v>141.3091</v>
      </c>
      <c r="M5131">
        <v>-0.99993370000000004</v>
      </c>
      <c r="N5131">
        <v>-1.142891E-2</v>
      </c>
      <c r="O5131">
        <v>1.4970490000000001E-3</v>
      </c>
      <c r="P5131">
        <v>-0.98223419999999895</v>
      </c>
      <c r="Q5131">
        <v>0.16881270000000001</v>
      </c>
      <c r="R5131">
        <v>-8.1967789999999999E-2</v>
      </c>
      <c r="S5131">
        <v>-3.0614620000000001</v>
      </c>
      <c r="T5131">
        <v>3.4269090000000001E-3</v>
      </c>
      <c r="U5131">
        <v>9.5062259999999996E-2</v>
      </c>
      <c r="V5131">
        <v>-8.3224320000000004E-2</v>
      </c>
      <c r="W5131">
        <v>0.18012500000000001</v>
      </c>
      <c r="X5131">
        <v>0.98011669999999995</v>
      </c>
      <c r="Y5131">
        <v>2.9540130000000001E-2</v>
      </c>
      <c r="Z5131">
        <v>1.7110359999999999E-4</v>
      </c>
      <c r="AA5131">
        <v>0.9995636</v>
      </c>
      <c r="AB5131">
        <v>31</v>
      </c>
      <c r="AC5131">
        <v>-288.74889999999999</v>
      </c>
      <c r="AD5131">
        <v>0.32335999999999998</v>
      </c>
      <c r="AE5131">
        <v>8.9707999999999899</v>
      </c>
      <c r="AF5131">
        <v>8.5384798194370397</v>
      </c>
      <c r="AG5131">
        <v>0.32335999999999998</v>
      </c>
      <c r="AH5131">
        <v>288.76164520801001</v>
      </c>
      <c r="AI5131">
        <v>89.935867309279402</v>
      </c>
      <c r="AJ5131">
        <v>88.306297397177303</v>
      </c>
      <c r="AK5131">
        <v>288.88803703606902</v>
      </c>
      <c r="AL5131">
        <v>79.622959471120296</v>
      </c>
      <c r="AM5131">
        <v>94.853494791060299</v>
      </c>
      <c r="AN5131">
        <v>1.00000002434167</v>
      </c>
    </row>
    <row r="5132" spans="1:40" x14ac:dyDescent="0.25">
      <c r="A5132" t="str">
        <f>"20190304154859671"</f>
        <v>20190304154859671</v>
      </c>
      <c r="B5132" t="str">
        <f>"1551685739662624"</f>
        <v>1551685739662624</v>
      </c>
      <c r="C5132" t="s">
        <v>40</v>
      </c>
      <c r="D5132">
        <v>4.0420559999999996</v>
      </c>
      <c r="E5132">
        <v>0.54166059999999905</v>
      </c>
      <c r="F5132" t="s">
        <v>81</v>
      </c>
      <c r="G5132">
        <v>-550.16240000000005</v>
      </c>
      <c r="H5132">
        <v>1.5109300000000001</v>
      </c>
      <c r="I5132">
        <v>150.2679</v>
      </c>
      <c r="J5132">
        <v>-261.65159999999997</v>
      </c>
      <c r="K5132">
        <v>1.110082</v>
      </c>
      <c r="L5132">
        <v>141.3099</v>
      </c>
      <c r="M5132">
        <v>-0.9999325</v>
      </c>
      <c r="N5132">
        <v>-1.1453959999999999E-2</v>
      </c>
      <c r="O5132">
        <v>1.943104E-3</v>
      </c>
      <c r="P5132">
        <v>-0.98215730000000001</v>
      </c>
      <c r="Q5132">
        <v>0.16926749999999999</v>
      </c>
      <c r="R5132">
        <v>-8.1949999999999995E-2</v>
      </c>
      <c r="S5132">
        <v>-3.0614620000000001</v>
      </c>
      <c r="T5132">
        <v>4.2505260000000001E-3</v>
      </c>
      <c r="U5132">
        <v>9.4985959999999994E-2</v>
      </c>
      <c r="V5132">
        <v>-8.3643560000000006E-2</v>
      </c>
      <c r="W5132">
        <v>0.1806034</v>
      </c>
      <c r="X5132">
        <v>0.97999289999999994</v>
      </c>
      <c r="Y5132">
        <v>2.9069419999999999E-2</v>
      </c>
      <c r="Z5132">
        <v>1.712986E-4</v>
      </c>
      <c r="AA5132">
        <v>0.99957739999999995</v>
      </c>
      <c r="AB5132">
        <v>31</v>
      </c>
      <c r="AC5132">
        <v>-288.51080000000002</v>
      </c>
      <c r="AD5132">
        <v>0.40084799999999898</v>
      </c>
      <c r="AE5132">
        <v>8.9579999999999895</v>
      </c>
      <c r="AF5132">
        <v>8.3973236180045792</v>
      </c>
      <c r="AG5132">
        <v>0.40084799999999898</v>
      </c>
      <c r="AH5132">
        <v>288.52710631652201</v>
      </c>
      <c r="AI5132">
        <v>89.920433253941098</v>
      </c>
      <c r="AJ5132">
        <v>88.332928124428406</v>
      </c>
      <c r="AK5132">
        <v>288.64955707994801</v>
      </c>
      <c r="AL5132">
        <v>79.595091452241604</v>
      </c>
      <c r="AM5132">
        <v>94.878439682504904</v>
      </c>
      <c r="AN5132">
        <v>0.99999995863572</v>
      </c>
    </row>
    <row r="5133" spans="1:40" x14ac:dyDescent="0.25">
      <c r="A5133" t="str">
        <f>"20190304154859686"</f>
        <v>20190304154859686</v>
      </c>
      <c r="B5133" t="str">
        <f>"1551685739682125"</f>
        <v>1551685739682125</v>
      </c>
      <c r="C5133" t="s">
        <v>40</v>
      </c>
      <c r="D5133">
        <v>4.0184449999999998</v>
      </c>
      <c r="E5133">
        <v>0.54152489999999998</v>
      </c>
      <c r="F5133" t="s">
        <v>81</v>
      </c>
      <c r="G5133">
        <v>-550.16240000000005</v>
      </c>
      <c r="H5133">
        <v>1.64412</v>
      </c>
      <c r="I5133">
        <v>150.23410000000001</v>
      </c>
      <c r="J5133">
        <v>-261.8424</v>
      </c>
      <c r="K5133">
        <v>1.110085</v>
      </c>
      <c r="L5133">
        <v>141.31059999999999</v>
      </c>
      <c r="M5133">
        <v>-0.99993149999999997</v>
      </c>
      <c r="N5133">
        <v>-1.147521E-2</v>
      </c>
      <c r="O5133">
        <v>2.3004950000000001E-3</v>
      </c>
      <c r="P5133">
        <v>-0.98213890000000004</v>
      </c>
      <c r="Q5133">
        <v>0.16954939999999999</v>
      </c>
      <c r="R5133">
        <v>-8.1585210000000005E-2</v>
      </c>
      <c r="S5133">
        <v>-3.0614319999999999</v>
      </c>
      <c r="T5133">
        <v>5.6672099999999998E-3</v>
      </c>
      <c r="U5133">
        <v>9.4696039999999995E-2</v>
      </c>
      <c r="V5133">
        <v>-8.3629490000000001E-2</v>
      </c>
      <c r="W5133">
        <v>0.18090590000000001</v>
      </c>
      <c r="X5133">
        <v>0.97993830000000004</v>
      </c>
      <c r="Y5133">
        <v>2.8617989999999999E-2</v>
      </c>
      <c r="Z5133">
        <v>1.684116E-4</v>
      </c>
      <c r="AA5133">
        <v>0.99959039999999999</v>
      </c>
      <c r="AB5133">
        <v>31</v>
      </c>
      <c r="AC5133">
        <v>-288.32</v>
      </c>
      <c r="AD5133">
        <v>0.53403500000000004</v>
      </c>
      <c r="AE5133">
        <v>8.9235000000000095</v>
      </c>
      <c r="AF5133">
        <v>8.2601256720560698</v>
      </c>
      <c r="AG5133">
        <v>0.53403500000000004</v>
      </c>
      <c r="AH5133">
        <v>288.33877850941502</v>
      </c>
      <c r="AI5133">
        <v>89.893925578869499</v>
      </c>
      <c r="AJ5133">
        <v>88.359079761792202</v>
      </c>
      <c r="AK5133">
        <v>288.45756371050697</v>
      </c>
      <c r="AL5133">
        <v>79.577469159827999</v>
      </c>
      <c r="AM5133">
        <v>94.877893480222397</v>
      </c>
      <c r="AN5133">
        <v>0.99999995402967901</v>
      </c>
    </row>
    <row r="5134" spans="1:40" x14ac:dyDescent="0.25">
      <c r="A5134" t="str">
        <f>"20190304154859704"</f>
        <v>20190304154859704</v>
      </c>
      <c r="B5134" t="str">
        <f>"1551685739691885"</f>
        <v>1551685739691885</v>
      </c>
      <c r="C5134" t="s">
        <v>40</v>
      </c>
      <c r="D5134">
        <v>4.0317129999999999</v>
      </c>
      <c r="E5134">
        <v>0.54148629999999998</v>
      </c>
      <c r="F5134" t="s">
        <v>81</v>
      </c>
      <c r="G5134">
        <v>-550.16250000000002</v>
      </c>
      <c r="H5134">
        <v>1.6946950000000001</v>
      </c>
      <c r="I5134">
        <v>150.26499999999999</v>
      </c>
      <c r="J5134">
        <v>-262.10210000000001</v>
      </c>
      <c r="K5134">
        <v>1.1100890000000001</v>
      </c>
      <c r="L5134">
        <v>141.31180000000001</v>
      </c>
      <c r="M5134">
        <v>-0.99992990000000004</v>
      </c>
      <c r="N5134">
        <v>-1.150441E-2</v>
      </c>
      <c r="O5134">
        <v>2.7867690000000001E-3</v>
      </c>
      <c r="P5134">
        <v>-0.98207739999999999</v>
      </c>
      <c r="Q5134">
        <v>0.17003879999999999</v>
      </c>
      <c r="R5134">
        <v>-8.1308480000000002E-2</v>
      </c>
      <c r="S5134">
        <v>-3.0613709999999998</v>
      </c>
      <c r="T5134">
        <v>6.2078239999999998E-3</v>
      </c>
      <c r="U5134">
        <v>9.5077510000000004E-2</v>
      </c>
      <c r="V5134">
        <v>-8.3829290000000001E-2</v>
      </c>
      <c r="W5134">
        <v>0.18142320000000001</v>
      </c>
      <c r="X5134">
        <v>0.97982559999999996</v>
      </c>
      <c r="Y5134">
        <v>2.8257000000000001E-2</v>
      </c>
      <c r="Z5134">
        <v>1.7164430000000001E-4</v>
      </c>
      <c r="AA5134">
        <v>0.99960059999999995</v>
      </c>
      <c r="AB5134">
        <v>31</v>
      </c>
      <c r="AC5134">
        <v>-288.06040000000002</v>
      </c>
      <c r="AD5134">
        <v>0.58460599999999996</v>
      </c>
      <c r="AE5134">
        <v>8.9531999999999794</v>
      </c>
      <c r="AF5134">
        <v>8.1503207410806304</v>
      </c>
      <c r="AG5134">
        <v>0.58460599999999996</v>
      </c>
      <c r="AH5134">
        <v>288.08304807136</v>
      </c>
      <c r="AI5134">
        <v>89.883776523035195</v>
      </c>
      <c r="AJ5134">
        <v>88.379444916689707</v>
      </c>
      <c r="AK5134">
        <v>288.198910612867</v>
      </c>
      <c r="AL5134">
        <v>79.547331490866796</v>
      </c>
      <c r="AM5134">
        <v>94.890050535626798</v>
      </c>
      <c r="AN5134">
        <v>0.99999996688775095</v>
      </c>
    </row>
    <row r="5135" spans="1:40" x14ac:dyDescent="0.25">
      <c r="A5135" t="str">
        <f>"20190304154859717"</f>
        <v>20190304154859717</v>
      </c>
      <c r="B5135" t="str">
        <f>"1551685739712380"</f>
        <v>1551685739712380</v>
      </c>
      <c r="C5135" t="s">
        <v>40</v>
      </c>
      <c r="D5135">
        <v>4.0425779999999998</v>
      </c>
      <c r="E5135">
        <v>0.5413559</v>
      </c>
      <c r="F5135" t="s">
        <v>81</v>
      </c>
      <c r="G5135">
        <v>-550.16250000000002</v>
      </c>
      <c r="H5135">
        <v>1.822417</v>
      </c>
      <c r="I5135">
        <v>150.3313</v>
      </c>
      <c r="J5135">
        <v>-262.2688</v>
      </c>
      <c r="K5135">
        <v>1.1100890000000001</v>
      </c>
      <c r="L5135">
        <v>141.3125</v>
      </c>
      <c r="M5135">
        <v>-0.99992890000000001</v>
      </c>
      <c r="N5135">
        <v>-1.152274E-2</v>
      </c>
      <c r="O5135">
        <v>3.098759E-3</v>
      </c>
      <c r="P5135">
        <v>-0.98206300000000002</v>
      </c>
      <c r="Q5135">
        <v>0.17019579999999901</v>
      </c>
      <c r="R5135">
        <v>-8.1154459999999998E-2</v>
      </c>
      <c r="S5135">
        <v>-3.0613709999999998</v>
      </c>
      <c r="T5135">
        <v>7.5707439999999999E-3</v>
      </c>
      <c r="U5135">
        <v>9.5855709999999997E-2</v>
      </c>
      <c r="V5135">
        <v>-8.3981189999999997E-2</v>
      </c>
      <c r="W5135">
        <v>0.1815976</v>
      </c>
      <c r="X5135">
        <v>0.97978030000000005</v>
      </c>
      <c r="Y5135">
        <v>2.8199060000000001E-2</v>
      </c>
      <c r="Z5135">
        <v>1.7101009999999901E-4</v>
      </c>
      <c r="AA5135">
        <v>0.99960230000000005</v>
      </c>
      <c r="AB5135">
        <v>31</v>
      </c>
      <c r="AC5135">
        <v>-287.89370000000002</v>
      </c>
      <c r="AD5135">
        <v>0.71232799999999896</v>
      </c>
      <c r="AE5135">
        <v>9.0188000000000006</v>
      </c>
      <c r="AF5135">
        <v>8.1265346477461193</v>
      </c>
      <c r="AG5135">
        <v>0.71232799999999896</v>
      </c>
      <c r="AH5135">
        <v>287.91850561348002</v>
      </c>
      <c r="AI5135">
        <v>89.858303455238598</v>
      </c>
      <c r="AJ5135">
        <v>88.383248933801397</v>
      </c>
      <c r="AK5135">
        <v>288.03404981227499</v>
      </c>
      <c r="AL5135">
        <v>79.537170484090794</v>
      </c>
      <c r="AM5135">
        <v>94.899093697752505</v>
      </c>
      <c r="AN5135">
        <v>0.99999998243383204</v>
      </c>
    </row>
    <row r="5136" spans="1:40" x14ac:dyDescent="0.25">
      <c r="A5136" t="str">
        <f>"20190304154859731"</f>
        <v>20190304154859731</v>
      </c>
      <c r="B5136" t="str">
        <f>"1551685739722140"</f>
        <v>1551685739722140</v>
      </c>
      <c r="C5136" t="s">
        <v>40</v>
      </c>
      <c r="D5136">
        <v>4.0520709999999998</v>
      </c>
      <c r="E5136">
        <v>0.54131839999999998</v>
      </c>
      <c r="F5136" t="s">
        <v>81</v>
      </c>
      <c r="G5136">
        <v>-550.16250000000002</v>
      </c>
      <c r="H5136">
        <v>1.792503</v>
      </c>
      <c r="I5136">
        <v>150.27080000000001</v>
      </c>
      <c r="J5136">
        <v>-262.47329999999999</v>
      </c>
      <c r="K5136">
        <v>1.11009</v>
      </c>
      <c r="L5136">
        <v>141.31360000000001</v>
      </c>
      <c r="M5136">
        <v>-0.99992740000000002</v>
      </c>
      <c r="N5136">
        <v>-1.154435E-2</v>
      </c>
      <c r="O5136">
        <v>3.4815419999999998E-3</v>
      </c>
      <c r="P5136">
        <v>-0.98210459999999999</v>
      </c>
      <c r="Q5136">
        <v>0.17002390000000001</v>
      </c>
      <c r="R5136">
        <v>-8.1008579999999997E-2</v>
      </c>
      <c r="S5136">
        <v>-3.061401</v>
      </c>
      <c r="T5136">
        <v>7.2571040000000003E-3</v>
      </c>
      <c r="U5136">
        <v>9.5260620000000004E-2</v>
      </c>
      <c r="V5136">
        <v>-8.4211549999999996E-2</v>
      </c>
      <c r="W5136">
        <v>0.181448</v>
      </c>
      <c r="X5136">
        <v>0.9797882</v>
      </c>
      <c r="Y5136">
        <v>2.7621980000000001E-2</v>
      </c>
      <c r="Z5136">
        <v>1.7518570000000001E-4</v>
      </c>
      <c r="AA5136">
        <v>0.99961840000000002</v>
      </c>
      <c r="AB5136">
        <v>31</v>
      </c>
      <c r="AC5136">
        <v>-287.68920000000003</v>
      </c>
      <c r="AD5136">
        <v>0.68241299999999905</v>
      </c>
      <c r="AE5136">
        <v>8.9572000000000003</v>
      </c>
      <c r="AF5136">
        <v>7.9554323052744298</v>
      </c>
      <c r="AG5136">
        <v>0.68241299999999905</v>
      </c>
      <c r="AH5136">
        <v>287.717025839911</v>
      </c>
      <c r="AI5136">
        <v>89.864156896487401</v>
      </c>
      <c r="AJ5136">
        <v>88.416163986534499</v>
      </c>
      <c r="AK5136">
        <v>287.82779842960002</v>
      </c>
      <c r="AL5136">
        <v>79.545886282919696</v>
      </c>
      <c r="AM5136">
        <v>94.912426801736402</v>
      </c>
      <c r="AN5136">
        <v>0.99999993935831899</v>
      </c>
    </row>
    <row r="5137" spans="1:40" x14ac:dyDescent="0.25">
      <c r="A5137" t="str">
        <f>"20190304154859746"</f>
        <v>20190304154859746</v>
      </c>
      <c r="B5137" t="str">
        <f>"1551685739742636"</f>
        <v>1551685739742636</v>
      </c>
      <c r="C5137" t="s">
        <v>40</v>
      </c>
      <c r="D5137">
        <v>4.0594979999999996</v>
      </c>
      <c r="E5137">
        <v>0.54116969999999998</v>
      </c>
      <c r="F5137" t="s">
        <v>81</v>
      </c>
      <c r="G5137">
        <v>-550.16250000000002</v>
      </c>
      <c r="H5137">
        <v>1.72822599999999</v>
      </c>
      <c r="I5137">
        <v>150.2826</v>
      </c>
      <c r="J5137">
        <v>-262.6823</v>
      </c>
      <c r="K5137">
        <v>1.1100909999999999</v>
      </c>
      <c r="L5137">
        <v>141.31469999999999</v>
      </c>
      <c r="M5137">
        <v>-0.99992559999999997</v>
      </c>
      <c r="N5137">
        <v>-1.156423E-2</v>
      </c>
      <c r="O5137">
        <v>3.8726749999999999E-3</v>
      </c>
      <c r="P5137">
        <v>-0.98211230000000005</v>
      </c>
      <c r="Q5137">
        <v>0.17008499999999999</v>
      </c>
      <c r="R5137">
        <v>-8.0786919999999998E-2</v>
      </c>
      <c r="S5137">
        <v>-3.0614319999999999</v>
      </c>
      <c r="T5137">
        <v>6.5783259999999998E-3</v>
      </c>
      <c r="U5137">
        <v>9.5443730000000004E-2</v>
      </c>
      <c r="V5137">
        <v>-8.4373329999999996E-2</v>
      </c>
      <c r="W5137">
        <v>0.1815282</v>
      </c>
      <c r="X5137">
        <v>0.97975950000000001</v>
      </c>
      <c r="Y5137">
        <v>2.7290390000000001E-2</v>
      </c>
      <c r="Z5137">
        <v>1.8162049999999999E-4</v>
      </c>
      <c r="AA5137">
        <v>0.9996275</v>
      </c>
      <c r="AB5137">
        <v>31</v>
      </c>
      <c r="AC5137">
        <v>-287.48020000000002</v>
      </c>
      <c r="AD5137">
        <v>0.61813499999999899</v>
      </c>
      <c r="AE5137">
        <v>8.9679000000000109</v>
      </c>
      <c r="AF5137">
        <v>7.8544045941584599</v>
      </c>
      <c r="AG5137">
        <v>0.61813499999999899</v>
      </c>
      <c r="AH5137">
        <v>287.511448075479</v>
      </c>
      <c r="AI5137">
        <v>89.876863116132398</v>
      </c>
      <c r="AJ5137">
        <v>88.435149851614597</v>
      </c>
      <c r="AK5137">
        <v>287.61937788832302</v>
      </c>
      <c r="AL5137">
        <v>79.541214330458303</v>
      </c>
      <c r="AM5137">
        <v>94.921961286743894</v>
      </c>
      <c r="AN5137">
        <v>1.00000001202538</v>
      </c>
    </row>
    <row r="5138" spans="1:40" x14ac:dyDescent="0.25">
      <c r="A5138" t="str">
        <f>"20190304154859762"</f>
        <v>20190304154859762</v>
      </c>
      <c r="B5138" t="str">
        <f>"1551685739752396"</f>
        <v>1551685739752396</v>
      </c>
      <c r="C5138" t="s">
        <v>40</v>
      </c>
      <c r="D5138">
        <v>4.0313739999999996</v>
      </c>
      <c r="E5138">
        <v>0.54109419999999897</v>
      </c>
      <c r="F5138" t="s">
        <v>81</v>
      </c>
      <c r="G5138">
        <v>-550.16250000000002</v>
      </c>
      <c r="H5138">
        <v>1.6981360000000001</v>
      </c>
      <c r="I5138">
        <v>150.2201</v>
      </c>
      <c r="J5138">
        <v>-262.88679999999999</v>
      </c>
      <c r="K5138">
        <v>1.1100950000000001</v>
      </c>
      <c r="L5138">
        <v>141.3159</v>
      </c>
      <c r="M5138">
        <v>-0.99992389999999998</v>
      </c>
      <c r="N5138">
        <v>-1.1582510000000001E-2</v>
      </c>
      <c r="O5138">
        <v>4.2549930000000003E-3</v>
      </c>
      <c r="P5138">
        <v>-0.98211280000000001</v>
      </c>
      <c r="Q5138">
        <v>0.17012559999999999</v>
      </c>
      <c r="R5138">
        <v>-8.0696749999999998E-2</v>
      </c>
      <c r="S5138">
        <v>-3.0613709999999998</v>
      </c>
      <c r="T5138">
        <v>6.2625409999999999E-3</v>
      </c>
      <c r="U5138">
        <v>9.483337E-2</v>
      </c>
      <c r="V5138">
        <v>-8.4658300000000006E-2</v>
      </c>
      <c r="W5138">
        <v>0.18158679999999999</v>
      </c>
      <c r="X5138">
        <v>0.97972400000000004</v>
      </c>
      <c r="Y5138">
        <v>2.6709710000000001E-2</v>
      </c>
      <c r="Z5138">
        <v>1.8538730000000001E-4</v>
      </c>
      <c r="AA5138">
        <v>0.99964319999999895</v>
      </c>
      <c r="AB5138">
        <v>31</v>
      </c>
      <c r="AC5138">
        <v>-287.27569999999997</v>
      </c>
      <c r="AD5138">
        <v>0.58804100000000004</v>
      </c>
      <c r="AE5138">
        <v>8.9041999999999994</v>
      </c>
      <c r="AF5138">
        <v>7.6816491750236198</v>
      </c>
      <c r="AG5138">
        <v>0.58804100000000004</v>
      </c>
      <c r="AH5138">
        <v>287.30978624820398</v>
      </c>
      <c r="AI5138">
        <v>89.882773973320795</v>
      </c>
      <c r="AJ5138">
        <v>88.468478031775504</v>
      </c>
      <c r="AK5138">
        <v>287.41305955063098</v>
      </c>
      <c r="AL5138">
        <v>79.537799449643899</v>
      </c>
      <c r="AM5138">
        <v>94.938681141525095</v>
      </c>
      <c r="AN5138">
        <v>0.99999995493456395</v>
      </c>
    </row>
    <row r="5139" spans="1:40" x14ac:dyDescent="0.25">
      <c r="A5139" t="str">
        <f>"20190304154859782"</f>
        <v>20190304154859782</v>
      </c>
      <c r="B5139" t="str">
        <f>"1551685739771916"</f>
        <v>1551685739771916</v>
      </c>
      <c r="C5139" t="s">
        <v>40</v>
      </c>
      <c r="D5139">
        <v>4.0632640000000002</v>
      </c>
      <c r="E5139">
        <v>0.54084709999999903</v>
      </c>
      <c r="F5139" t="s">
        <v>81</v>
      </c>
      <c r="G5139">
        <v>-550.16250000000002</v>
      </c>
      <c r="H5139">
        <v>1.681719</v>
      </c>
      <c r="I5139">
        <v>150.19210000000001</v>
      </c>
      <c r="J5139">
        <v>-263.17399999999998</v>
      </c>
      <c r="K5139">
        <v>1.110101</v>
      </c>
      <c r="L5139">
        <v>141.3177</v>
      </c>
      <c r="M5139">
        <v>-0.99992110000000001</v>
      </c>
      <c r="N5139">
        <v>-1.160624E-2</v>
      </c>
      <c r="O5139">
        <v>4.7927819999999998E-3</v>
      </c>
      <c r="P5139">
        <v>-0.98211159999999997</v>
      </c>
      <c r="Q5139">
        <v>0.1703433</v>
      </c>
      <c r="R5139">
        <v>-8.0252299999999999E-2</v>
      </c>
      <c r="S5139">
        <v>-3.06134</v>
      </c>
      <c r="T5139">
        <v>6.0919520000000003E-3</v>
      </c>
      <c r="U5139">
        <v>9.4589229999999996E-2</v>
      </c>
      <c r="V5139">
        <v>-8.4741849999999994E-2</v>
      </c>
      <c r="W5139">
        <v>0.18182690000000001</v>
      </c>
      <c r="X5139">
        <v>0.97967230000000005</v>
      </c>
      <c r="Y5139">
        <v>2.6092770000000001E-2</v>
      </c>
      <c r="Z5139">
        <v>1.90655E-4</v>
      </c>
      <c r="AA5139">
        <v>0.99965950000000003</v>
      </c>
      <c r="AB5139">
        <v>31</v>
      </c>
      <c r="AC5139">
        <v>-286.98849999999999</v>
      </c>
      <c r="AD5139">
        <v>0.57161799999999996</v>
      </c>
      <c r="AE5139">
        <v>8.8743999999999996</v>
      </c>
      <c r="AF5139">
        <v>7.4987022903588301</v>
      </c>
      <c r="AG5139">
        <v>0.57161799999999996</v>
      </c>
      <c r="AH5139">
        <v>287.026601696044</v>
      </c>
      <c r="AI5139">
        <v>89.885933623806196</v>
      </c>
      <c r="AJ5139">
        <v>88.5034617668191</v>
      </c>
      <c r="AK5139">
        <v>287.12510751300903</v>
      </c>
      <c r="AL5139">
        <v>79.523810417050896</v>
      </c>
      <c r="AM5139">
        <v>94.943790617318399</v>
      </c>
      <c r="AN5139">
        <v>1.00000000904616</v>
      </c>
    </row>
    <row r="5140" spans="1:40" x14ac:dyDescent="0.25">
      <c r="A5140" t="str">
        <f>"20190304154859797"</f>
        <v>20190304154859797</v>
      </c>
      <c r="B5140" t="str">
        <f>"1551685739792412"</f>
        <v>1551685739792412</v>
      </c>
      <c r="C5140" t="s">
        <v>40</v>
      </c>
      <c r="D5140">
        <v>4.0919150000000002</v>
      </c>
      <c r="E5140">
        <v>0.54060699999999995</v>
      </c>
      <c r="F5140" t="s">
        <v>81</v>
      </c>
      <c r="G5140">
        <v>-550.16240000000005</v>
      </c>
      <c r="H5140">
        <v>1.6495</v>
      </c>
      <c r="I5140">
        <v>150.10220000000001</v>
      </c>
      <c r="J5140">
        <v>-263.363</v>
      </c>
      <c r="K5140">
        <v>1.110104</v>
      </c>
      <c r="L5140">
        <v>141.31899999999999</v>
      </c>
      <c r="M5140">
        <v>-0.99991929999999996</v>
      </c>
      <c r="N5140">
        <v>-1.162066E-2</v>
      </c>
      <c r="O5140">
        <v>5.1471599999999996E-3</v>
      </c>
      <c r="P5140">
        <v>-0.98211530000000002</v>
      </c>
      <c r="Q5140">
        <v>0.170435</v>
      </c>
      <c r="R5140">
        <v>-8.0011289999999999E-2</v>
      </c>
      <c r="S5140">
        <v>-3.0613100000000002</v>
      </c>
      <c r="T5140">
        <v>5.7542319999999997E-3</v>
      </c>
      <c r="U5140">
        <v>9.3704220000000005E-2</v>
      </c>
      <c r="V5140">
        <v>-8.4848519999999997E-2</v>
      </c>
      <c r="W5140">
        <v>0.18193280000000001</v>
      </c>
      <c r="X5140">
        <v>0.97964340000000005</v>
      </c>
      <c r="Y5140">
        <v>2.545006E-2</v>
      </c>
      <c r="Z5140">
        <v>1.934738E-4</v>
      </c>
      <c r="AA5140">
        <v>0.99967600000000001</v>
      </c>
      <c r="AB5140">
        <v>31</v>
      </c>
      <c r="AC5140">
        <v>-286.79939999999999</v>
      </c>
      <c r="AD5140">
        <v>0.53939599999999999</v>
      </c>
      <c r="AE5140">
        <v>8.7832000000000203</v>
      </c>
      <c r="AF5140">
        <v>7.3067558347457897</v>
      </c>
      <c r="AG5140">
        <v>0.53939599999999999</v>
      </c>
      <c r="AH5140">
        <v>286.839798265105</v>
      </c>
      <c r="AI5140">
        <v>89.892291599828695</v>
      </c>
      <c r="AJ5140">
        <v>88.540803063632794</v>
      </c>
      <c r="AK5140">
        <v>286.93335375595399</v>
      </c>
      <c r="AL5140">
        <v>79.517639811197895</v>
      </c>
      <c r="AM5140">
        <v>94.950128085278806</v>
      </c>
      <c r="AN5140">
        <v>1.00000000311279</v>
      </c>
    </row>
    <row r="5141" spans="1:40" x14ac:dyDescent="0.25">
      <c r="A5141" t="str">
        <f>"20190304154859817"</f>
        <v>20190304154859817</v>
      </c>
      <c r="B5141" t="str">
        <f>"1551685739811932"</f>
        <v>1551685739811932</v>
      </c>
      <c r="C5141" t="s">
        <v>40</v>
      </c>
      <c r="D5141">
        <v>4.109667</v>
      </c>
      <c r="E5141">
        <v>0.54051210000000005</v>
      </c>
      <c r="F5141" t="s">
        <v>81</v>
      </c>
      <c r="G5141">
        <v>-550.16240000000005</v>
      </c>
      <c r="H5141">
        <v>1.6011409999999999</v>
      </c>
      <c r="I5141">
        <v>149.9948</v>
      </c>
      <c r="J5141">
        <v>-263.64170000000001</v>
      </c>
      <c r="K5141">
        <v>1.1101080000000001</v>
      </c>
      <c r="L5141">
        <v>141.321</v>
      </c>
      <c r="M5141">
        <v>-0.99991629999999998</v>
      </c>
      <c r="N5141">
        <v>-1.1640019999999999E-2</v>
      </c>
      <c r="O5141">
        <v>5.6697709999999997E-3</v>
      </c>
      <c r="P5141">
        <v>-0.98206530000000003</v>
      </c>
      <c r="Q5141">
        <v>0.1711886</v>
      </c>
      <c r="R5141">
        <v>-7.9009560000000006E-2</v>
      </c>
      <c r="S5141">
        <v>-3.0612789999999999</v>
      </c>
      <c r="T5141">
        <v>5.2417519999999997E-3</v>
      </c>
      <c r="U5141">
        <v>9.2605590000000002E-2</v>
      </c>
      <c r="V5141">
        <v>-8.4358840000000004E-2</v>
      </c>
      <c r="W5141">
        <v>0.1827037</v>
      </c>
      <c r="X5141">
        <v>0.97954220000000003</v>
      </c>
      <c r="Y5141">
        <v>2.456945E-2</v>
      </c>
      <c r="Z5141">
        <v>1.976918E-4</v>
      </c>
      <c r="AA5141">
        <v>0.99969810000000003</v>
      </c>
      <c r="AB5141">
        <v>31</v>
      </c>
      <c r="AC5141">
        <v>-286.52069999999998</v>
      </c>
      <c r="AD5141">
        <v>0.491032999999999</v>
      </c>
      <c r="AE5141">
        <v>8.6738</v>
      </c>
      <c r="AF5141">
        <v>7.0490232589501503</v>
      </c>
      <c r="AG5141">
        <v>0.491032999999999</v>
      </c>
      <c r="AH5141">
        <v>286.56443495544403</v>
      </c>
      <c r="AI5141">
        <v>89.901852499070998</v>
      </c>
      <c r="AJ5141">
        <v>88.590900325097806</v>
      </c>
      <c r="AK5141">
        <v>286.65153971964901</v>
      </c>
      <c r="AL5141">
        <v>79.472717424666399</v>
      </c>
      <c r="AM5141">
        <v>94.922206486750397</v>
      </c>
      <c r="AN5141">
        <v>0.99999998873033702</v>
      </c>
    </row>
    <row r="5142" spans="1:40" x14ac:dyDescent="0.25">
      <c r="A5142" t="str">
        <f>"20190304154859840"</f>
        <v>20190304154859840</v>
      </c>
      <c r="B5142" t="str">
        <f>"1551685739832428"</f>
        <v>1551685739832428</v>
      </c>
      <c r="C5142" t="s">
        <v>40</v>
      </c>
      <c r="D5142">
        <v>3.934612</v>
      </c>
      <c r="E5142">
        <v>0.5192715</v>
      </c>
      <c r="F5142" t="s">
        <v>81</v>
      </c>
      <c r="G5142">
        <v>-550.16250000000002</v>
      </c>
      <c r="H5142">
        <v>1.7627930000000001</v>
      </c>
      <c r="I5142">
        <v>150.1858</v>
      </c>
      <c r="J5142">
        <v>-263.9554</v>
      </c>
      <c r="K5142">
        <v>1.1101129999999999</v>
      </c>
      <c r="L5142">
        <v>141.32339999999999</v>
      </c>
      <c r="M5142">
        <v>-0.99991249999999998</v>
      </c>
      <c r="N5142">
        <v>-1.1659330000000001E-2</v>
      </c>
      <c r="O5142">
        <v>6.2574099999999997E-3</v>
      </c>
      <c r="P5142">
        <v>-0.98200460000000001</v>
      </c>
      <c r="Q5142">
        <v>0.1719782</v>
      </c>
      <c r="R5142">
        <v>-7.8042619999999993E-2</v>
      </c>
      <c r="S5142">
        <v>-3.061188</v>
      </c>
      <c r="T5142">
        <v>6.9737430000000001E-3</v>
      </c>
      <c r="U5142">
        <v>9.4711299999999998E-2</v>
      </c>
      <c r="V5142">
        <v>-8.3967689999999998E-2</v>
      </c>
      <c r="W5142">
        <v>0.1835099</v>
      </c>
      <c r="X5142">
        <v>0.97942510000000005</v>
      </c>
      <c r="Y5142">
        <v>2.4670020000000001E-2</v>
      </c>
      <c r="Z5142">
        <v>2.029578E-4</v>
      </c>
      <c r="AA5142">
        <v>0.99969560000000002</v>
      </c>
      <c r="AB5142">
        <v>31</v>
      </c>
      <c r="AC5142">
        <v>-286.20710000000003</v>
      </c>
      <c r="AD5142">
        <v>0.65268000000000004</v>
      </c>
      <c r="AE5142">
        <v>8.8623999999999992</v>
      </c>
      <c r="AF5142">
        <v>7.0711529140164204</v>
      </c>
      <c r="AG5142">
        <v>0.65268000000000004</v>
      </c>
      <c r="AH5142">
        <v>286.25546814849002</v>
      </c>
      <c r="AI5142">
        <v>89.869402179071898</v>
      </c>
      <c r="AJ5142">
        <v>88.584953349639406</v>
      </c>
      <c r="AK5142">
        <v>286.34353535504698</v>
      </c>
      <c r="AL5142">
        <v>79.425731198855701</v>
      </c>
      <c r="AM5142">
        <v>94.900077780843404</v>
      </c>
      <c r="AN5142">
        <v>0.99999999143597795</v>
      </c>
    </row>
    <row r="5143" spans="1:40" x14ac:dyDescent="0.25">
      <c r="A5143" t="str">
        <f>"20190304154859853"</f>
        <v>20190304154859853</v>
      </c>
      <c r="B5143" t="str">
        <f>"1551685739842188"</f>
        <v>1551685739842188</v>
      </c>
      <c r="C5143" t="s">
        <v>40</v>
      </c>
      <c r="D5143">
        <v>3.9052669999999998</v>
      </c>
      <c r="E5143">
        <v>0.5219509</v>
      </c>
      <c r="F5143" t="s">
        <v>79</v>
      </c>
      <c r="G5143">
        <v>-413.47149999999999</v>
      </c>
      <c r="H5143" s="1">
        <v>-9.5980209999999994E-6</v>
      </c>
      <c r="I5143">
        <v>137.85339999999999</v>
      </c>
      <c r="J5143">
        <v>-264.13780000000003</v>
      </c>
      <c r="K5143">
        <v>1.110115</v>
      </c>
      <c r="L5143">
        <v>141.32490000000001</v>
      </c>
      <c r="M5143">
        <v>-0.99991019999999997</v>
      </c>
      <c r="N5143">
        <v>-1.166965E-2</v>
      </c>
      <c r="O5143">
        <v>6.5991160000000004E-3</v>
      </c>
      <c r="P5143">
        <v>-0.9820371</v>
      </c>
      <c r="Q5143">
        <v>0.17208099999999901</v>
      </c>
      <c r="R5143">
        <v>-7.7403230000000003E-2</v>
      </c>
      <c r="S5143">
        <v>-3.0533139999999999</v>
      </c>
      <c r="T5143">
        <v>-2.267015E-2</v>
      </c>
      <c r="U5143">
        <v>-7.0861820000000006E-2</v>
      </c>
      <c r="V5143">
        <v>-8.3664180000000005E-2</v>
      </c>
      <c r="W5143">
        <v>0.18362339999999999</v>
      </c>
      <c r="X5143">
        <v>0.97942980000000002</v>
      </c>
      <c r="Y5143">
        <v>-2.9797029999999999E-2</v>
      </c>
      <c r="Z5143">
        <v>-2.5648670000000002E-4</v>
      </c>
      <c r="AA5143">
        <v>0.99955590000000005</v>
      </c>
      <c r="AB5143">
        <v>31</v>
      </c>
      <c r="AC5143">
        <v>-149.333699999999</v>
      </c>
      <c r="AD5143">
        <v>-1.1101245980209999</v>
      </c>
      <c r="AE5143">
        <v>-3.4715000000000198</v>
      </c>
      <c r="AF5143">
        <v>-4.4567156945161397</v>
      </c>
      <c r="AG5143">
        <v>-1.1101245980209999</v>
      </c>
      <c r="AH5143">
        <v>149.29929137171999</v>
      </c>
      <c r="AI5143">
        <v>90.425828972960602</v>
      </c>
      <c r="AJ5143">
        <v>91.709821877352397</v>
      </c>
      <c r="AK5143">
        <v>149.369920316986</v>
      </c>
      <c r="AL5143">
        <v>79.419115703517207</v>
      </c>
      <c r="AM5143">
        <v>94.882428394398701</v>
      </c>
      <c r="AN5143">
        <v>0.99999999058533595</v>
      </c>
    </row>
    <row r="5144" spans="1:40" x14ac:dyDescent="0.25">
      <c r="A5144" t="str">
        <f>"20190304154859873"</f>
        <v>20190304154859873</v>
      </c>
      <c r="B5144" t="str">
        <f>"1551685739862684"</f>
        <v>1551685739862684</v>
      </c>
      <c r="C5144" t="s">
        <v>40</v>
      </c>
      <c r="D5144">
        <v>3.9715220000000002</v>
      </c>
      <c r="E5144">
        <v>0.52457849999999995</v>
      </c>
      <c r="F5144" t="s">
        <v>42</v>
      </c>
      <c r="G5144">
        <v>0</v>
      </c>
      <c r="H5144">
        <v>0</v>
      </c>
      <c r="I5144">
        <v>0</v>
      </c>
      <c r="J5144">
        <v>-264.41070000000002</v>
      </c>
      <c r="K5144">
        <v>1.110114</v>
      </c>
      <c r="L5144">
        <v>141.3272</v>
      </c>
      <c r="M5144">
        <v>-0.99990650000000003</v>
      </c>
      <c r="N5144">
        <v>-1.1683509999999999E-2</v>
      </c>
      <c r="O5144">
        <v>7.1089389999999999E-3</v>
      </c>
      <c r="P5144">
        <v>-0.98202060000000002</v>
      </c>
      <c r="Q5144">
        <v>0.1726512</v>
      </c>
      <c r="R5144">
        <v>-7.6335299999999995E-2</v>
      </c>
      <c r="S5144">
        <v>-3.0525820000000001</v>
      </c>
      <c r="T5144">
        <v>-8.4651710000000005E-3</v>
      </c>
      <c r="U5144">
        <v>-4.7775270000000002E-2</v>
      </c>
      <c r="V5144">
        <v>-8.3095450000000001E-2</v>
      </c>
      <c r="W5144">
        <v>0.18420549999999999</v>
      </c>
      <c r="X5144">
        <v>0.97936889999999999</v>
      </c>
      <c r="Y5144">
        <v>-2.275628E-2</v>
      </c>
      <c r="Z5144">
        <v>-1.011594E-4</v>
      </c>
      <c r="AA5144">
        <v>0.99974099999999999</v>
      </c>
      <c r="AB5144">
        <v>31</v>
      </c>
      <c r="AC5144">
        <v>-3.0525820000000001</v>
      </c>
      <c r="AD5144">
        <v>-8.4651710000000005E-3</v>
      </c>
      <c r="AE5144">
        <v>-4.7775270000000002E-2</v>
      </c>
      <c r="AF5144">
        <v>-6.9475628413484702E-2</v>
      </c>
      <c r="AG5144">
        <v>-8.4651710000000005E-3</v>
      </c>
      <c r="AH5144">
        <v>3.05214173386767</v>
      </c>
      <c r="AI5144">
        <v>90.158869332868306</v>
      </c>
      <c r="AJ5144">
        <v>91.303993497460297</v>
      </c>
      <c r="AK5144">
        <v>3.0529441013029199</v>
      </c>
      <c r="AL5144">
        <v>79.385184947753004</v>
      </c>
      <c r="AM5144">
        <v>94.849697686998496</v>
      </c>
      <c r="AN5144">
        <v>0.99999998116408095</v>
      </c>
    </row>
    <row r="5145" spans="1:40" x14ac:dyDescent="0.25">
      <c r="A5145" t="str">
        <f>"20190304154859886"</f>
        <v>20190304154859886</v>
      </c>
      <c r="B5145" t="str">
        <f>"1551685739882205"</f>
        <v>1551685739882205</v>
      </c>
      <c r="C5145" t="s">
        <v>40</v>
      </c>
      <c r="D5145">
        <v>3.9407700000000001</v>
      </c>
      <c r="E5145">
        <v>0.52610140000000005</v>
      </c>
      <c r="F5145" t="s">
        <v>42</v>
      </c>
      <c r="G5145">
        <v>0</v>
      </c>
      <c r="H5145">
        <v>0</v>
      </c>
      <c r="I5145">
        <v>0</v>
      </c>
      <c r="J5145">
        <v>-264.58839999999998</v>
      </c>
      <c r="K5145">
        <v>1.1101160000000001</v>
      </c>
      <c r="L5145">
        <v>141.3289</v>
      </c>
      <c r="M5145">
        <v>-0.99990409999999996</v>
      </c>
      <c r="N5145">
        <v>-1.169163E-2</v>
      </c>
      <c r="O5145">
        <v>7.4386030000000002E-3</v>
      </c>
      <c r="P5145">
        <v>-0.98206939999999998</v>
      </c>
      <c r="Q5145">
        <v>0.17252379999999901</v>
      </c>
      <c r="R5145">
        <v>-7.5997229999999999E-2</v>
      </c>
      <c r="S5145">
        <v>-3.0523380000000002</v>
      </c>
      <c r="T5145">
        <v>4.3095349999999998E-3</v>
      </c>
      <c r="U5145">
        <v>-2.3864750000000001E-2</v>
      </c>
      <c r="V5145">
        <v>-8.3082400000000001E-2</v>
      </c>
      <c r="W5145">
        <v>0.184086</v>
      </c>
      <c r="X5145">
        <v>0.9793925</v>
      </c>
      <c r="Y5145">
        <v>-1.525642E-2</v>
      </c>
      <c r="Z5145" s="1">
        <v>1.9052519999999999E-5</v>
      </c>
      <c r="AA5145">
        <v>0.99988359999999998</v>
      </c>
      <c r="AB5145">
        <v>31</v>
      </c>
      <c r="AC5145">
        <v>-3.0523380000000002</v>
      </c>
      <c r="AD5145">
        <v>4.3095349999999998E-3</v>
      </c>
      <c r="AE5145">
        <v>-2.3864750000000001E-2</v>
      </c>
      <c r="AF5145">
        <v>-4.6570676730912502E-2</v>
      </c>
      <c r="AG5145">
        <v>4.3095349999999998E-3</v>
      </c>
      <c r="AH5145">
        <v>3.0520699239258202</v>
      </c>
      <c r="AI5145">
        <v>89.919107599267903</v>
      </c>
      <c r="AJ5145">
        <v>90.874192346669105</v>
      </c>
      <c r="AK5145">
        <v>3.0524282498620101</v>
      </c>
      <c r="AL5145">
        <v>79.392151172832598</v>
      </c>
      <c r="AM5145">
        <v>94.848823396198497</v>
      </c>
      <c r="AN5145">
        <v>1.000000004821</v>
      </c>
    </row>
    <row r="5146" spans="1:40" x14ac:dyDescent="0.25">
      <c r="A5146" t="str">
        <f>"20190304154859905"</f>
        <v>20190304154859905</v>
      </c>
      <c r="B5146" t="str">
        <f>"1551685739902702"</f>
        <v>1551685739902702</v>
      </c>
      <c r="C5146" t="s">
        <v>40</v>
      </c>
      <c r="D5146">
        <v>3.9569559999999999</v>
      </c>
      <c r="E5146">
        <v>0.52642709999999904</v>
      </c>
      <c r="F5146" t="s">
        <v>42</v>
      </c>
      <c r="G5146">
        <v>0</v>
      </c>
      <c r="H5146">
        <v>0</v>
      </c>
      <c r="I5146">
        <v>0</v>
      </c>
      <c r="J5146">
        <v>-264.85599999999999</v>
      </c>
      <c r="K5146">
        <v>1.1101179999999999</v>
      </c>
      <c r="L5146">
        <v>141.3314</v>
      </c>
      <c r="M5146">
        <v>-0.99990009999999996</v>
      </c>
      <c r="N5146">
        <v>-1.1702840000000001E-2</v>
      </c>
      <c r="O5146">
        <v>7.9323759999999997E-3</v>
      </c>
      <c r="P5146">
        <v>-0.98207390000000006</v>
      </c>
      <c r="Q5146">
        <v>0.17278750000000001</v>
      </c>
      <c r="R5146">
        <v>-7.5337219999999996E-2</v>
      </c>
      <c r="S5146">
        <v>-3.0524290000000001</v>
      </c>
      <c r="T5146">
        <v>8.4424019999999999E-3</v>
      </c>
      <c r="U5146">
        <v>-1.069641E-2</v>
      </c>
      <c r="V5146">
        <v>-8.2908090000000004E-2</v>
      </c>
      <c r="W5146">
        <v>0.1843592</v>
      </c>
      <c r="X5146">
        <v>0.97935589999999995</v>
      </c>
      <c r="Y5146">
        <v>-1.143628E-2</v>
      </c>
      <c r="Z5146" s="1">
        <v>6.3667440000000002E-5</v>
      </c>
      <c r="AA5146">
        <v>0.99993460000000001</v>
      </c>
      <c r="AB5146">
        <v>31</v>
      </c>
      <c r="AC5146">
        <v>-3.0524290000000001</v>
      </c>
      <c r="AD5146">
        <v>8.4424019999999999E-3</v>
      </c>
      <c r="AE5146">
        <v>-1.069641E-2</v>
      </c>
      <c r="AF5146">
        <v>-3.4910478074437402E-2</v>
      </c>
      <c r="AG5146">
        <v>8.4424019999999999E-3</v>
      </c>
      <c r="AH5146">
        <v>3.0522247500931301</v>
      </c>
      <c r="AI5146">
        <v>89.841531612881099</v>
      </c>
      <c r="AJ5146">
        <v>90.655304245627605</v>
      </c>
      <c r="AK5146">
        <v>3.0524360666051602</v>
      </c>
      <c r="AL5146">
        <v>79.376225578231598</v>
      </c>
      <c r="AM5146">
        <v>94.8388787039666</v>
      </c>
      <c r="AN5146">
        <v>1.00000002243844</v>
      </c>
    </row>
    <row r="5147" spans="1:40" x14ac:dyDescent="0.25">
      <c r="A5147" t="str">
        <f>"20190304154859918"</f>
        <v>20190304154859918</v>
      </c>
      <c r="B5147" t="str">
        <f>"1551685739912460"</f>
        <v>1551685739912460</v>
      </c>
      <c r="C5147" t="s">
        <v>40</v>
      </c>
      <c r="D5147">
        <v>3.9874619999999998</v>
      </c>
      <c r="E5147">
        <v>0.52664899999999903</v>
      </c>
      <c r="F5147" t="s">
        <v>42</v>
      </c>
      <c r="G5147">
        <v>0</v>
      </c>
      <c r="H5147">
        <v>0</v>
      </c>
      <c r="I5147">
        <v>0</v>
      </c>
      <c r="J5147">
        <v>-265.02910000000003</v>
      </c>
      <c r="K5147">
        <v>1.1101219999999901</v>
      </c>
      <c r="L5147">
        <v>141.3331</v>
      </c>
      <c r="M5147">
        <v>-0.99989749999999999</v>
      </c>
      <c r="N5147">
        <v>-1.1710969999999999E-2</v>
      </c>
      <c r="O5147">
        <v>8.248488E-3</v>
      </c>
      <c r="P5147">
        <v>-0.98209820000000003</v>
      </c>
      <c r="Q5147">
        <v>0.17277699999999999</v>
      </c>
      <c r="R5147">
        <v>-7.5044810000000003E-2</v>
      </c>
      <c r="S5147">
        <v>-3.0534970000000001</v>
      </c>
      <c r="T5147">
        <v>4.5695299999999996E-3</v>
      </c>
      <c r="U5147">
        <v>-5.8441159999999999E-3</v>
      </c>
      <c r="V5147">
        <v>-8.2926819999999998E-2</v>
      </c>
      <c r="W5147">
        <v>0.1843564</v>
      </c>
      <c r="X5147">
        <v>0.97935479999999997</v>
      </c>
      <c r="Y5147">
        <v>-1.0162239999999999E-2</v>
      </c>
      <c r="Z5147" s="1">
        <v>5.7042020000000002E-5</v>
      </c>
      <c r="AA5147">
        <v>0.99994839999999996</v>
      </c>
      <c r="AB5147">
        <v>31</v>
      </c>
      <c r="AC5147">
        <v>-3.0534970000000001</v>
      </c>
      <c r="AD5147">
        <v>4.5695299999999996E-3</v>
      </c>
      <c r="AE5147">
        <v>-5.8441159999999999E-3</v>
      </c>
      <c r="AF5147">
        <v>-3.1032305889288299E-2</v>
      </c>
      <c r="AG5147">
        <v>4.5695299999999996E-3</v>
      </c>
      <c r="AH5147">
        <v>3.05333806147034</v>
      </c>
      <c r="AI5147">
        <v>89.914257425265703</v>
      </c>
      <c r="AJ5147">
        <v>90.582300061099303</v>
      </c>
      <c r="AK5147">
        <v>3.0534991734462098</v>
      </c>
      <c r="AL5147">
        <v>79.376388369529806</v>
      </c>
      <c r="AM5147">
        <v>94.839972086680504</v>
      </c>
      <c r="AN5147">
        <v>0.99999998198965601</v>
      </c>
    </row>
    <row r="5148" spans="1:40" x14ac:dyDescent="0.25">
      <c r="A5148" t="str">
        <f>"20190304154859931"</f>
        <v>20190304154859931</v>
      </c>
      <c r="B5148" t="str">
        <f>"1551685739922220"</f>
        <v>1551685739922220</v>
      </c>
      <c r="C5148" t="s">
        <v>40</v>
      </c>
      <c r="D5148">
        <v>3.9701149999999998</v>
      </c>
      <c r="E5148">
        <v>0.52686919999999904</v>
      </c>
      <c r="F5148" t="s">
        <v>42</v>
      </c>
      <c r="G5148">
        <v>0</v>
      </c>
      <c r="H5148">
        <v>0</v>
      </c>
      <c r="I5148">
        <v>0</v>
      </c>
      <c r="J5148">
        <v>-265.21030000000002</v>
      </c>
      <c r="K5148">
        <v>1.110125</v>
      </c>
      <c r="L5148">
        <v>141.3349</v>
      </c>
      <c r="M5148">
        <v>-0.99989459999999997</v>
      </c>
      <c r="N5148">
        <v>-1.172058E-2</v>
      </c>
      <c r="O5148">
        <v>8.5765619999999994E-3</v>
      </c>
      <c r="P5148">
        <v>-0.98210109999999995</v>
      </c>
      <c r="Q5148">
        <v>0.17278499999999999</v>
      </c>
      <c r="R5148">
        <v>-7.498647E-2</v>
      </c>
      <c r="S5148">
        <v>-3.053223</v>
      </c>
      <c r="T5148">
        <v>6.975055E-3</v>
      </c>
      <c r="U5148">
        <v>-3.0517579999999999E-3</v>
      </c>
      <c r="V5148">
        <v>-8.3192740000000001E-2</v>
      </c>
      <c r="W5148">
        <v>0.1843728</v>
      </c>
      <c r="X5148">
        <v>0.97932920000000001</v>
      </c>
      <c r="Y5148">
        <v>-9.5758909999999996E-3</v>
      </c>
      <c r="Z5148" s="1">
        <v>7.4937419999999898E-5</v>
      </c>
      <c r="AA5148">
        <v>0.99995420000000002</v>
      </c>
      <c r="AB5148">
        <v>31</v>
      </c>
      <c r="AC5148">
        <v>-3.053223</v>
      </c>
      <c r="AD5148">
        <v>6.975055E-3</v>
      </c>
      <c r="AE5148">
        <v>-3.0517579999999999E-3</v>
      </c>
      <c r="AF5148">
        <v>-2.92394464721949E-2</v>
      </c>
      <c r="AG5148">
        <v>6.975055E-3</v>
      </c>
      <c r="AH5148">
        <v>3.0530685799213599</v>
      </c>
      <c r="AI5148">
        <v>89.869108019889794</v>
      </c>
      <c r="AJ5148">
        <v>90.548708821167097</v>
      </c>
      <c r="AK5148">
        <v>3.0532165580458401</v>
      </c>
      <c r="AL5148">
        <v>79.375432756720201</v>
      </c>
      <c r="AM5148">
        <v>94.855544576728207</v>
      </c>
      <c r="AN5148">
        <v>1.00000002167059</v>
      </c>
    </row>
    <row r="5149" spans="1:40" x14ac:dyDescent="0.25">
      <c r="A5149" t="str">
        <f>"20190304154859952"</f>
        <v>20190304154859952</v>
      </c>
      <c r="B5149" t="str">
        <f>"1551685739941740"</f>
        <v>1551685739941740</v>
      </c>
      <c r="C5149" t="s">
        <v>40</v>
      </c>
      <c r="D5149">
        <v>3.9979209999999998</v>
      </c>
      <c r="E5149">
        <v>0.52715000000000001</v>
      </c>
      <c r="F5149" t="s">
        <v>42</v>
      </c>
      <c r="G5149">
        <v>0</v>
      </c>
      <c r="H5149">
        <v>0</v>
      </c>
      <c r="I5149">
        <v>0</v>
      </c>
      <c r="J5149">
        <v>-265.48829999999998</v>
      </c>
      <c r="K5149">
        <v>1.1101379999999901</v>
      </c>
      <c r="L5149">
        <v>141.33779999999999</v>
      </c>
      <c r="M5149">
        <v>-0.9998901</v>
      </c>
      <c r="N5149">
        <v>-1.1737589999999999E-2</v>
      </c>
      <c r="O5149">
        <v>9.0692819999999997E-3</v>
      </c>
      <c r="P5149">
        <v>-0.98209939999999996</v>
      </c>
      <c r="Q5149">
        <v>0.17294590000000001</v>
      </c>
      <c r="R5149">
        <v>-7.4638360000000001E-2</v>
      </c>
      <c r="S5149">
        <v>-3.0531619999999999</v>
      </c>
      <c r="T5149">
        <v>8.327961E-3</v>
      </c>
      <c r="U5149">
        <v>-1.235962E-3</v>
      </c>
      <c r="V5149">
        <v>-8.3330959999999996E-2</v>
      </c>
      <c r="W5149">
        <v>0.18454899999999999</v>
      </c>
      <c r="X5149">
        <v>0.97928419999999905</v>
      </c>
      <c r="Y5149">
        <v>-9.473871E-3</v>
      </c>
      <c r="Z5149" s="1">
        <v>8.8511629999999997E-5</v>
      </c>
      <c r="AA5149">
        <v>0.99995509999999999</v>
      </c>
      <c r="AB5149">
        <v>31</v>
      </c>
      <c r="AC5149">
        <v>-3.0531619999999999</v>
      </c>
      <c r="AD5149">
        <v>8.327961E-3</v>
      </c>
      <c r="AE5149">
        <v>-1.235962E-3</v>
      </c>
      <c r="AF5149">
        <v>-2.8927587490106401E-2</v>
      </c>
      <c r="AG5149">
        <v>8.327961E-3</v>
      </c>
      <c r="AH5149">
        <v>3.0530024913529301</v>
      </c>
      <c r="AI5149">
        <v>89.843716335767397</v>
      </c>
      <c r="AJ5149">
        <v>90.542868563590204</v>
      </c>
      <c r="AK5149">
        <v>3.0531508925141</v>
      </c>
      <c r="AL5149">
        <v>79.365160347661103</v>
      </c>
      <c r="AM5149">
        <v>94.863795541337296</v>
      </c>
      <c r="AN5149">
        <v>0.99999996333257901</v>
      </c>
    </row>
    <row r="5150" spans="1:40" x14ac:dyDescent="0.25">
      <c r="A5150" t="str">
        <f>"20190304154859983"</f>
        <v>20190304154859983</v>
      </c>
      <c r="B5150" t="str">
        <f>"1551685739971997"</f>
        <v>1551685739971997</v>
      </c>
      <c r="C5150" t="s">
        <v>40</v>
      </c>
      <c r="D5150">
        <v>4.0124680000000001</v>
      </c>
      <c r="E5150">
        <v>0.52734199999999998</v>
      </c>
      <c r="F5150" t="s">
        <v>42</v>
      </c>
      <c r="G5150">
        <v>0</v>
      </c>
      <c r="H5150">
        <v>0</v>
      </c>
      <c r="I5150">
        <v>0</v>
      </c>
      <c r="J5150">
        <v>-265.92110000000002</v>
      </c>
      <c r="K5150">
        <v>1.1101589999999999</v>
      </c>
      <c r="L5150">
        <v>141.3426</v>
      </c>
      <c r="M5150">
        <v>-0.99988279999999996</v>
      </c>
      <c r="N5150">
        <v>-1.1772019999999999E-2</v>
      </c>
      <c r="O5150">
        <v>9.8042489999999993E-3</v>
      </c>
      <c r="P5150">
        <v>-0.9819753</v>
      </c>
      <c r="Q5150">
        <v>0.17352300000000001</v>
      </c>
      <c r="R5150">
        <v>-7.4930090000000005E-2</v>
      </c>
      <c r="S5150">
        <v>-3.0532530000000002</v>
      </c>
      <c r="T5150">
        <v>9.0717079999999995E-3</v>
      </c>
      <c r="U5150">
        <v>2.1514889999999999E-3</v>
      </c>
      <c r="V5150">
        <v>-8.4350320000000006E-2</v>
      </c>
      <c r="W5150">
        <v>0.18515499999999999</v>
      </c>
      <c r="X5150">
        <v>0.97908260000000003</v>
      </c>
      <c r="Y5150">
        <v>-9.0993589999999996E-3</v>
      </c>
      <c r="Z5150">
        <v>1.045069E-4</v>
      </c>
      <c r="AA5150">
        <v>0.99995860000000003</v>
      </c>
      <c r="AB5150">
        <v>31</v>
      </c>
      <c r="AC5150">
        <v>-3.0532530000000002</v>
      </c>
      <c r="AD5150">
        <v>9.0717079999999995E-3</v>
      </c>
      <c r="AE5150">
        <v>2.1514889999999999E-3</v>
      </c>
      <c r="AF5150">
        <v>-2.7785291465360101E-2</v>
      </c>
      <c r="AG5150">
        <v>9.0717079999999995E-3</v>
      </c>
      <c r="AH5150">
        <v>3.0531003748484</v>
      </c>
      <c r="AI5150">
        <v>89.829764021765698</v>
      </c>
      <c r="AJ5150">
        <v>90.521416196557993</v>
      </c>
      <c r="AK5150">
        <v>3.0532402816036801</v>
      </c>
      <c r="AL5150">
        <v>79.329831108838704</v>
      </c>
      <c r="AM5150">
        <v>94.924010788950895</v>
      </c>
      <c r="AN5150">
        <v>1.00000004406593</v>
      </c>
    </row>
    <row r="5151" spans="1:40" x14ac:dyDescent="0.25">
      <c r="A5151" t="str">
        <f>"20190304154900007"</f>
        <v>20190304154900007</v>
      </c>
      <c r="B5151" t="str">
        <f>"1551685740002253"</f>
        <v>1551685740002253</v>
      </c>
      <c r="C5151" t="s">
        <v>40</v>
      </c>
      <c r="D5151">
        <v>3.9781</v>
      </c>
      <c r="E5151">
        <v>0.5274221</v>
      </c>
      <c r="F5151" t="s">
        <v>42</v>
      </c>
      <c r="G5151">
        <v>0</v>
      </c>
      <c r="H5151">
        <v>0</v>
      </c>
      <c r="I5151">
        <v>0</v>
      </c>
      <c r="J5151">
        <v>-266.24349999999998</v>
      </c>
      <c r="K5151">
        <v>1.1101780000000001</v>
      </c>
      <c r="L5151">
        <v>141.34639999999999</v>
      </c>
      <c r="M5151">
        <v>-0.99987720000000002</v>
      </c>
      <c r="N5151">
        <v>-1.1798629999999999E-2</v>
      </c>
      <c r="O5151">
        <v>1.032776E-2</v>
      </c>
      <c r="P5151">
        <v>-0.98188949999999997</v>
      </c>
      <c r="Q5151">
        <v>0.17403489999999999</v>
      </c>
      <c r="R5151">
        <v>-7.4869710000000006E-2</v>
      </c>
      <c r="S5151">
        <v>-3.053223</v>
      </c>
      <c r="T5151">
        <v>1.1802669999999999E-2</v>
      </c>
      <c r="U5151">
        <v>3.0517579999999999E-3</v>
      </c>
      <c r="V5151">
        <v>-8.4808469999999997E-2</v>
      </c>
      <c r="W5151">
        <v>0.18568860000000001</v>
      </c>
      <c r="X5151">
        <v>0.97894190000000003</v>
      </c>
      <c r="Y5151">
        <v>-9.3278839999999998E-3</v>
      </c>
      <c r="Z5151">
        <v>1.2477969999999999E-4</v>
      </c>
      <c r="AA5151">
        <v>0.99995650000000003</v>
      </c>
      <c r="AB5151">
        <v>31</v>
      </c>
      <c r="AC5151">
        <v>-3.053223</v>
      </c>
      <c r="AD5151">
        <v>1.1802669999999999E-2</v>
      </c>
      <c r="AE5151">
        <v>3.0517579999999999E-3</v>
      </c>
      <c r="AF5151">
        <v>-2.8483124066641202E-2</v>
      </c>
      <c r="AG5151">
        <v>1.1802669999999999E-2</v>
      </c>
      <c r="AH5151">
        <v>3.0530460384353502</v>
      </c>
      <c r="AI5151">
        <v>89.778512877414897</v>
      </c>
      <c r="AJ5151">
        <v>90.5345204201775</v>
      </c>
      <c r="AK5151">
        <v>3.0532017136411902</v>
      </c>
      <c r="AL5151">
        <v>79.298717954613906</v>
      </c>
      <c r="AM5151">
        <v>94.951331066084506</v>
      </c>
      <c r="AN5151">
        <v>0.99999998816465496</v>
      </c>
    </row>
    <row r="5152" spans="1:40" x14ac:dyDescent="0.25">
      <c r="A5152" t="str">
        <f>"20190304154900029"</f>
        <v>20190304154900029</v>
      </c>
      <c r="B5152" t="str">
        <f>"1551685740021773"</f>
        <v>1551685740021773</v>
      </c>
      <c r="C5152" t="s">
        <v>40</v>
      </c>
      <c r="D5152">
        <v>3.9814690000000001</v>
      </c>
      <c r="E5152">
        <v>0.52743469999999903</v>
      </c>
      <c r="F5152" t="s">
        <v>42</v>
      </c>
      <c r="G5152">
        <v>0</v>
      </c>
      <c r="H5152">
        <v>0</v>
      </c>
      <c r="I5152">
        <v>0</v>
      </c>
      <c r="J5152">
        <v>-266.55070000000001</v>
      </c>
      <c r="K5152">
        <v>1.1102110000000001</v>
      </c>
      <c r="L5152">
        <v>141.35</v>
      </c>
      <c r="M5152">
        <v>-0.99987199999999998</v>
      </c>
      <c r="N5152">
        <v>-1.182246E-2</v>
      </c>
      <c r="O5152">
        <v>1.0795010000000001E-2</v>
      </c>
      <c r="P5152">
        <v>-0.98192140000000006</v>
      </c>
      <c r="Q5152">
        <v>0.173892299999999</v>
      </c>
      <c r="R5152">
        <v>-7.4779429999999994E-2</v>
      </c>
      <c r="S5152">
        <v>-3.0534059999999998</v>
      </c>
      <c r="T5152">
        <v>1.263714E-2</v>
      </c>
      <c r="U5152">
        <v>3.646851E-3</v>
      </c>
      <c r="V5152">
        <v>-8.5186239999999996E-2</v>
      </c>
      <c r="W5152">
        <v>0.18556590000000001</v>
      </c>
      <c r="X5152">
        <v>0.97893240000000004</v>
      </c>
      <c r="Y5152">
        <v>-9.6002499999999994E-3</v>
      </c>
      <c r="Z5152">
        <v>1.35419699999999E-4</v>
      </c>
      <c r="AA5152">
        <v>0.99995389999999995</v>
      </c>
      <c r="AB5152">
        <v>31</v>
      </c>
      <c r="AC5152">
        <v>-3.0534059999999998</v>
      </c>
      <c r="AD5152">
        <v>1.263714E-2</v>
      </c>
      <c r="AE5152">
        <v>3.646851E-3</v>
      </c>
      <c r="AF5152">
        <v>-2.9316706173698599E-2</v>
      </c>
      <c r="AG5152">
        <v>1.263714E-2</v>
      </c>
      <c r="AH5152">
        <v>3.0532151323954699</v>
      </c>
      <c r="AI5152">
        <v>89.762867257528598</v>
      </c>
      <c r="AJ5152">
        <v>90.550132185687502</v>
      </c>
      <c r="AK5152">
        <v>3.0533820283837598</v>
      </c>
      <c r="AL5152">
        <v>79.305872848994994</v>
      </c>
      <c r="AM5152">
        <v>94.973323877254401</v>
      </c>
      <c r="AN5152">
        <v>1.0000000212489499</v>
      </c>
    </row>
    <row r="5153" spans="1:40" x14ac:dyDescent="0.25">
      <c r="A5153" t="str">
        <f>"20190304154900051"</f>
        <v>20190304154900051</v>
      </c>
      <c r="B5153" t="str">
        <f>"1551685740042377"</f>
        <v>1551685740042377</v>
      </c>
      <c r="C5153" t="s">
        <v>40</v>
      </c>
      <c r="D5153">
        <v>4.0157259999999999</v>
      </c>
      <c r="E5153">
        <v>0.52742800000000001</v>
      </c>
      <c r="F5153" t="s">
        <v>42</v>
      </c>
      <c r="G5153">
        <v>0</v>
      </c>
      <c r="H5153">
        <v>0</v>
      </c>
      <c r="I5153">
        <v>0</v>
      </c>
      <c r="J5153">
        <v>-266.85300000000001</v>
      </c>
      <c r="K5153">
        <v>1.110242</v>
      </c>
      <c r="L5153">
        <v>141.35380000000001</v>
      </c>
      <c r="M5153">
        <v>-0.99986710000000001</v>
      </c>
      <c r="N5153">
        <v>-1.184409E-2</v>
      </c>
      <c r="O5153">
        <v>1.120963E-2</v>
      </c>
      <c r="P5153">
        <v>-0.98204910000000001</v>
      </c>
      <c r="Q5153">
        <v>0.1733374</v>
      </c>
      <c r="R5153">
        <v>-7.4392799999999995E-2</v>
      </c>
      <c r="S5153">
        <v>-3.053436</v>
      </c>
      <c r="T5153">
        <v>1.1559959999999999E-2</v>
      </c>
      <c r="U5153">
        <v>3.4027100000000002E-3</v>
      </c>
      <c r="V5153">
        <v>-8.5221660000000005E-2</v>
      </c>
      <c r="W5153">
        <v>0.18502660000000001</v>
      </c>
      <c r="X5153">
        <v>0.9790314</v>
      </c>
      <c r="Y5153">
        <v>-1.0094870000000001E-2</v>
      </c>
      <c r="Z5153">
        <v>1.3453520000000001E-4</v>
      </c>
      <c r="AA5153">
        <v>0.99994899999999998</v>
      </c>
      <c r="AB5153">
        <v>31</v>
      </c>
      <c r="AC5153">
        <v>-3.053436</v>
      </c>
      <c r="AD5153">
        <v>1.1559959999999999E-2</v>
      </c>
      <c r="AE5153">
        <v>3.4027100000000002E-3</v>
      </c>
      <c r="AF5153">
        <v>-3.08273481344572E-2</v>
      </c>
      <c r="AG5153">
        <v>1.1559959999999999E-2</v>
      </c>
      <c r="AH5153">
        <v>3.0532385100960999</v>
      </c>
      <c r="AI5153">
        <v>89.783082783862099</v>
      </c>
      <c r="AJ5153">
        <v>90.578473290102394</v>
      </c>
      <c r="AK5153">
        <v>3.0534160144995002</v>
      </c>
      <c r="AL5153">
        <v>79.337317064136101</v>
      </c>
      <c r="AM5153">
        <v>94.974880794780205</v>
      </c>
      <c r="AN5153">
        <v>1.0000000281133301</v>
      </c>
    </row>
    <row r="5154" spans="1:40" x14ac:dyDescent="0.25">
      <c r="A5154" t="str">
        <f>"20190304154900073"</f>
        <v>20190304154900073</v>
      </c>
      <c r="B5154" t="str">
        <f>"1551685740062069"</f>
        <v>1551685740062069</v>
      </c>
      <c r="C5154" t="s">
        <v>40</v>
      </c>
      <c r="D5154">
        <v>4.0019689999999999</v>
      </c>
      <c r="E5154">
        <v>0.52743669999999998</v>
      </c>
      <c r="F5154" t="s">
        <v>42</v>
      </c>
      <c r="G5154">
        <v>0</v>
      </c>
      <c r="H5154">
        <v>0</v>
      </c>
      <c r="I5154">
        <v>0</v>
      </c>
      <c r="J5154">
        <v>-267.15559999999999</v>
      </c>
      <c r="K5154">
        <v>1.110279</v>
      </c>
      <c r="L5154">
        <v>141.35759999999999</v>
      </c>
      <c r="M5154">
        <v>-0.99986280000000005</v>
      </c>
      <c r="N5154">
        <v>-1.1863820000000001E-2</v>
      </c>
      <c r="O5154">
        <v>1.15671E-2</v>
      </c>
      <c r="P5154">
        <v>-0.98199000000000003</v>
      </c>
      <c r="Q5154">
        <v>0.1735276</v>
      </c>
      <c r="R5154">
        <v>-7.4726249999999994E-2</v>
      </c>
      <c r="S5154">
        <v>-3.053528</v>
      </c>
      <c r="T5154">
        <v>9.4038249999999993E-3</v>
      </c>
      <c r="U5154">
        <v>4.6081539999999997E-3</v>
      </c>
      <c r="V5154">
        <v>-8.5924669999999995E-2</v>
      </c>
      <c r="W5154">
        <v>0.18522710000000001</v>
      </c>
      <c r="X5154">
        <v>0.97893200000000002</v>
      </c>
      <c r="Y5154">
        <v>-1.0057730000000001E-2</v>
      </c>
      <c r="Z5154">
        <v>1.286817E-4</v>
      </c>
      <c r="AA5154">
        <v>0.99994939999999999</v>
      </c>
      <c r="AB5154">
        <v>31</v>
      </c>
      <c r="AC5154">
        <v>-3.053528</v>
      </c>
      <c r="AD5154">
        <v>9.4038249999999993E-3</v>
      </c>
      <c r="AE5154">
        <v>4.6081539999999997E-3</v>
      </c>
      <c r="AF5154">
        <v>-3.0714809751886701E-2</v>
      </c>
      <c r="AG5154">
        <v>9.4038249999999993E-3</v>
      </c>
      <c r="AH5154">
        <v>3.0533480346983102</v>
      </c>
      <c r="AI5154">
        <v>89.823547621983096</v>
      </c>
      <c r="AJ5154">
        <v>90.5763409841135</v>
      </c>
      <c r="AK5154">
        <v>3.0535169972441198</v>
      </c>
      <c r="AL5154">
        <v>79.325626829209099</v>
      </c>
      <c r="AM5154">
        <v>95.016217751454803</v>
      </c>
      <c r="AN5154">
        <v>0.99999999405650897</v>
      </c>
    </row>
    <row r="5155" spans="1:40" x14ac:dyDescent="0.25">
      <c r="A5155" t="str">
        <f>"20190304154900095"</f>
        <v>20190304154900095</v>
      </c>
      <c r="B5155" t="str">
        <f>"1551685740092326"</f>
        <v>1551685740092326</v>
      </c>
      <c r="C5155" t="s">
        <v>40</v>
      </c>
      <c r="D5155">
        <v>4.0052199999999996</v>
      </c>
      <c r="E5155">
        <v>0.52741979999999999</v>
      </c>
      <c r="F5155" t="s">
        <v>42</v>
      </c>
      <c r="G5155">
        <v>0</v>
      </c>
      <c r="H5155">
        <v>0</v>
      </c>
      <c r="I5155">
        <v>0</v>
      </c>
      <c r="J5155">
        <v>-267.4479</v>
      </c>
      <c r="K5155">
        <v>1.1103270000000001</v>
      </c>
      <c r="L5155">
        <v>141.3613</v>
      </c>
      <c r="M5155">
        <v>-0.99985930000000001</v>
      </c>
      <c r="N5155">
        <v>-1.188112E-2</v>
      </c>
      <c r="O5155">
        <v>1.18543E-2</v>
      </c>
      <c r="P5155">
        <v>-0.98206420000000005</v>
      </c>
      <c r="Q5155">
        <v>0.17311460000000001</v>
      </c>
      <c r="R5155">
        <v>-7.4710239999999997E-2</v>
      </c>
      <c r="S5155">
        <v>-3.0536189999999999</v>
      </c>
      <c r="T5155">
        <v>9.4240899999999996E-3</v>
      </c>
      <c r="U5155">
        <v>3.2348630000000001E-3</v>
      </c>
      <c r="V5155">
        <v>-8.6213300000000007E-2</v>
      </c>
      <c r="W5155">
        <v>0.18482180000000001</v>
      </c>
      <c r="X5155">
        <v>0.97898320000000005</v>
      </c>
      <c r="Y5155">
        <v>-1.0794659999999999E-2</v>
      </c>
      <c r="Z5155">
        <v>1.2996129999999999E-4</v>
      </c>
      <c r="AA5155">
        <v>0.99994170000000004</v>
      </c>
      <c r="AB5155">
        <v>31</v>
      </c>
      <c r="AC5155">
        <v>-3.0536189999999999</v>
      </c>
      <c r="AD5155">
        <v>9.4240899999999996E-3</v>
      </c>
      <c r="AE5155">
        <v>3.2348630000000001E-3</v>
      </c>
      <c r="AF5155">
        <v>-3.2966115704237603E-2</v>
      </c>
      <c r="AG5155">
        <v>9.4240899999999996E-3</v>
      </c>
      <c r="AH5155">
        <v>3.05341367526708</v>
      </c>
      <c r="AI5155">
        <v>89.823172534506995</v>
      </c>
      <c r="AJ5155">
        <v>90.618568629534195</v>
      </c>
      <c r="AK5155">
        <v>3.0536061714905198</v>
      </c>
      <c r="AL5155">
        <v>79.349256529291495</v>
      </c>
      <c r="AM5155">
        <v>95.032719483715994</v>
      </c>
      <c r="AN5155">
        <v>0.99999996836718397</v>
      </c>
    </row>
    <row r="5156" spans="1:40" x14ac:dyDescent="0.25">
      <c r="A5156" t="str">
        <f>"20190304154900117"</f>
        <v>20190304154900117</v>
      </c>
      <c r="B5156" t="str">
        <f>"1551685740111845"</f>
        <v>1551685740111845</v>
      </c>
      <c r="C5156" t="s">
        <v>40</v>
      </c>
      <c r="D5156">
        <v>4.0274390000000002</v>
      </c>
      <c r="E5156">
        <v>0.52733529999999995</v>
      </c>
      <c r="F5156" t="s">
        <v>42</v>
      </c>
      <c r="G5156">
        <v>0</v>
      </c>
      <c r="H5156">
        <v>0</v>
      </c>
      <c r="I5156">
        <v>0</v>
      </c>
      <c r="J5156">
        <v>-267.75869999999998</v>
      </c>
      <c r="K5156">
        <v>1.1103769999999999</v>
      </c>
      <c r="L5156">
        <v>141.36529999999999</v>
      </c>
      <c r="M5156">
        <v>-0.99985599999999997</v>
      </c>
      <c r="N5156">
        <v>-1.1897599999999999E-2</v>
      </c>
      <c r="O5156">
        <v>1.2105060000000001E-2</v>
      </c>
      <c r="P5156">
        <v>-0.98200779999999999</v>
      </c>
      <c r="Q5156">
        <v>0.17338029999999999</v>
      </c>
      <c r="R5156">
        <v>-7.483397E-2</v>
      </c>
      <c r="S5156">
        <v>-3.0535580000000002</v>
      </c>
      <c r="T5156">
        <v>8.0062150000000006E-3</v>
      </c>
      <c r="U5156">
        <v>2.8076170000000001E-3</v>
      </c>
      <c r="V5156">
        <v>-8.6604189999999998E-2</v>
      </c>
      <c r="W5156">
        <v>0.1850926</v>
      </c>
      <c r="X5156">
        <v>0.97889760000000003</v>
      </c>
      <c r="Y5156">
        <v>-1.118538E-2</v>
      </c>
      <c r="Z5156">
        <v>1.2388770000000001E-4</v>
      </c>
      <c r="AA5156">
        <v>0.99993739999999998</v>
      </c>
      <c r="AB5156">
        <v>31</v>
      </c>
      <c r="AC5156">
        <v>-3.0535580000000002</v>
      </c>
      <c r="AD5156">
        <v>8.0062150000000006E-3</v>
      </c>
      <c r="AE5156">
        <v>2.8076170000000001E-3</v>
      </c>
      <c r="AF5156">
        <v>-3.41584711825869E-2</v>
      </c>
      <c r="AG5156">
        <v>8.0062150000000006E-3</v>
      </c>
      <c r="AH5156">
        <v>3.0533472359507901</v>
      </c>
      <c r="AI5156">
        <v>89.849773857977596</v>
      </c>
      <c r="AJ5156">
        <v>90.640953825595702</v>
      </c>
      <c r="AK5156">
        <v>3.05354879507771</v>
      </c>
      <c r="AL5156">
        <v>79.333469138970898</v>
      </c>
      <c r="AM5156">
        <v>95.055859570231902</v>
      </c>
      <c r="AN5156">
        <v>1.0000000337930299</v>
      </c>
    </row>
    <row r="5157" spans="1:40" x14ac:dyDescent="0.25">
      <c r="A5157" t="str">
        <f>"20190304154900142"</f>
        <v>20190304154900142</v>
      </c>
      <c r="B5157" t="str">
        <f>"1551685740132341"</f>
        <v>1551685740132341</v>
      </c>
      <c r="C5157" t="s">
        <v>40</v>
      </c>
      <c r="D5157">
        <v>3.9958659999999999</v>
      </c>
      <c r="E5157">
        <v>0.52733390000000002</v>
      </c>
      <c r="F5157" t="s">
        <v>42</v>
      </c>
      <c r="G5157">
        <v>0</v>
      </c>
      <c r="H5157">
        <v>0</v>
      </c>
      <c r="I5157">
        <v>0</v>
      </c>
      <c r="J5157">
        <v>-268.08870000000002</v>
      </c>
      <c r="K5157">
        <v>1.1104320000000001</v>
      </c>
      <c r="L5157">
        <v>141.36959999999999</v>
      </c>
      <c r="M5157">
        <v>-0.99985329999999994</v>
      </c>
      <c r="N5157">
        <v>-1.191304E-2</v>
      </c>
      <c r="O5157">
        <v>1.230702E-2</v>
      </c>
      <c r="P5157">
        <v>-0.98203419999999997</v>
      </c>
      <c r="Q5157">
        <v>0.1732631</v>
      </c>
      <c r="R5157">
        <v>-7.4760119999999999E-2</v>
      </c>
      <c r="S5157">
        <v>-3.053528</v>
      </c>
      <c r="T5157">
        <v>8.6203809999999999E-3</v>
      </c>
      <c r="U5157">
        <v>1.037598E-3</v>
      </c>
      <c r="V5157">
        <v>-8.6750270000000004E-2</v>
      </c>
      <c r="W5157">
        <v>0.1849806</v>
      </c>
      <c r="X5157">
        <v>0.97890580000000005</v>
      </c>
      <c r="Y5157">
        <v>-1.1966930000000001E-2</v>
      </c>
      <c r="Z5157">
        <v>1.269721E-4</v>
      </c>
      <c r="AA5157">
        <v>0.99992840000000005</v>
      </c>
      <c r="AB5157">
        <v>31</v>
      </c>
      <c r="AC5157">
        <v>-3.053528</v>
      </c>
      <c r="AD5157">
        <v>8.6203809999999999E-3</v>
      </c>
      <c r="AE5157">
        <v>1.037598E-3</v>
      </c>
      <c r="AF5157">
        <v>-3.6544686372989202E-2</v>
      </c>
      <c r="AG5157">
        <v>8.6203809999999999E-3</v>
      </c>
      <c r="AH5157">
        <v>3.0532851470393401</v>
      </c>
      <c r="AI5157">
        <v>89.838248070816803</v>
      </c>
      <c r="AJ5157">
        <v>90.685738872894206</v>
      </c>
      <c r="AK5157">
        <v>3.0535160085058899</v>
      </c>
      <c r="AL5157">
        <v>79.3399986459182</v>
      </c>
      <c r="AM5157">
        <v>95.064301050446005</v>
      </c>
      <c r="AN5157">
        <v>0.99999999849753596</v>
      </c>
    </row>
    <row r="5158" spans="1:40" x14ac:dyDescent="0.25">
      <c r="A5158" t="str">
        <f>"20190304154900164"</f>
        <v>20190304154900164</v>
      </c>
      <c r="B5158" t="str">
        <f>"1551685740152422"</f>
        <v>1551685740152422</v>
      </c>
      <c r="C5158" t="s">
        <v>40</v>
      </c>
      <c r="D5158">
        <v>3.9985369999999998</v>
      </c>
      <c r="E5158">
        <v>0.52731709999999998</v>
      </c>
      <c r="F5158" t="s">
        <v>42</v>
      </c>
      <c r="G5158">
        <v>0</v>
      </c>
      <c r="H5158">
        <v>0</v>
      </c>
      <c r="I5158">
        <v>0</v>
      </c>
      <c r="J5158">
        <v>-268.39729999999997</v>
      </c>
      <c r="K5158">
        <v>1.1104769999999999</v>
      </c>
      <c r="L5158">
        <v>141.37360000000001</v>
      </c>
      <c r="M5158">
        <v>-0.99985159999999995</v>
      </c>
      <c r="N5158">
        <v>-1.1925750000000001E-2</v>
      </c>
      <c r="O5158">
        <v>1.243551E-2</v>
      </c>
      <c r="P5158">
        <v>-0.98199890000000001</v>
      </c>
      <c r="Q5158">
        <v>0.17335100000000001</v>
      </c>
      <c r="R5158">
        <v>-7.5018130000000002E-2</v>
      </c>
      <c r="S5158">
        <v>-3.0534669999999999</v>
      </c>
      <c r="T5158">
        <v>8.577108E-3</v>
      </c>
      <c r="U5158">
        <v>1.205444E-3</v>
      </c>
      <c r="V5158">
        <v>-8.715299E-2</v>
      </c>
      <c r="W5158">
        <v>0.1850715</v>
      </c>
      <c r="X5158">
        <v>0.97885279999999997</v>
      </c>
      <c r="Y5158">
        <v>-1.2040449999999999E-2</v>
      </c>
      <c r="Z5158">
        <v>1.2835259999999999E-4</v>
      </c>
      <c r="AA5158">
        <v>0.99992749999999997</v>
      </c>
      <c r="AB5158">
        <v>31</v>
      </c>
      <c r="AC5158">
        <v>-3.0534669999999999</v>
      </c>
      <c r="AD5158">
        <v>8.577108E-3</v>
      </c>
      <c r="AE5158">
        <v>1.205444E-3</v>
      </c>
      <c r="AF5158">
        <v>-3.6768477362485001E-2</v>
      </c>
      <c r="AG5158">
        <v>8.577108E-3</v>
      </c>
      <c r="AH5158">
        <v>3.05322176076923</v>
      </c>
      <c r="AI5158">
        <v>89.839056837506405</v>
      </c>
      <c r="AJ5158">
        <v>90.689952092412298</v>
      </c>
      <c r="AK5158">
        <v>3.0534551917694701</v>
      </c>
      <c r="AL5158">
        <v>79.334698472051002</v>
      </c>
      <c r="AM5158">
        <v>95.087961931962298</v>
      </c>
      <c r="AN5158">
        <v>0.999999953923014</v>
      </c>
    </row>
    <row r="5159" spans="1:40" x14ac:dyDescent="0.25">
      <c r="A5159" t="str">
        <f>"20190304154900185"</f>
        <v>20190304154900185</v>
      </c>
      <c r="B5159" t="str">
        <f>"1551685740182678"</f>
        <v>1551685740182678</v>
      </c>
      <c r="C5159" t="s">
        <v>40</v>
      </c>
      <c r="D5159">
        <v>3.9936889999999998</v>
      </c>
      <c r="E5159">
        <v>0.52734789999999998</v>
      </c>
      <c r="F5159" t="s">
        <v>42</v>
      </c>
      <c r="G5159">
        <v>0</v>
      </c>
      <c r="H5159">
        <v>0</v>
      </c>
      <c r="I5159">
        <v>0</v>
      </c>
      <c r="J5159">
        <v>-268.69220000000001</v>
      </c>
      <c r="K5159">
        <v>1.110522</v>
      </c>
      <c r="L5159">
        <v>141.37729999999999</v>
      </c>
      <c r="M5159">
        <v>-0.99985049999999998</v>
      </c>
      <c r="N5159">
        <v>-1.193642E-2</v>
      </c>
      <c r="O5159">
        <v>1.250945E-2</v>
      </c>
      <c r="P5159">
        <v>-0.98192650000000004</v>
      </c>
      <c r="Q5159">
        <v>0.17337859999999999</v>
      </c>
      <c r="R5159">
        <v>-7.5898859999999999E-2</v>
      </c>
      <c r="S5159">
        <v>-3.0534669999999999</v>
      </c>
      <c r="T5159">
        <v>8.92365E-3</v>
      </c>
      <c r="U5159">
        <v>4.2724609999999998E-4</v>
      </c>
      <c r="V5159">
        <v>-8.8123309999999996E-2</v>
      </c>
      <c r="W5159">
        <v>0.1851006</v>
      </c>
      <c r="X5159">
        <v>0.97876050000000003</v>
      </c>
      <c r="Y5159">
        <v>-1.236921E-2</v>
      </c>
      <c r="Z5159">
        <v>1.3013240000000001E-4</v>
      </c>
      <c r="AA5159">
        <v>0.99992349999999997</v>
      </c>
      <c r="AB5159">
        <v>31</v>
      </c>
      <c r="AC5159">
        <v>-3.0534669999999999</v>
      </c>
      <c r="AD5159">
        <v>8.92365E-3</v>
      </c>
      <c r="AE5159">
        <v>4.2724609999999998E-4</v>
      </c>
      <c r="AF5159">
        <v>-3.7772379166840703E-2</v>
      </c>
      <c r="AG5159">
        <v>8.92365E-3</v>
      </c>
      <c r="AH5159">
        <v>3.0532073118250498</v>
      </c>
      <c r="AI5159">
        <v>89.832554146149207</v>
      </c>
      <c r="AJ5159">
        <v>90.708791538432195</v>
      </c>
      <c r="AK5159">
        <v>3.0534539906701101</v>
      </c>
      <c r="AL5159">
        <v>79.333002705834204</v>
      </c>
      <c r="AM5159">
        <v>95.144789118908307</v>
      </c>
      <c r="AN5159">
        <v>1.0000000331229799</v>
      </c>
    </row>
    <row r="5160" spans="1:40" x14ac:dyDescent="0.25">
      <c r="A5160" t="str">
        <f>"20190304154900208"</f>
        <v>20190304154900208</v>
      </c>
      <c r="B5160" t="str">
        <f>"1551685740202197"</f>
        <v>1551685740202197</v>
      </c>
      <c r="C5160" t="s">
        <v>40</v>
      </c>
      <c r="D5160">
        <v>3.9895849999999999</v>
      </c>
      <c r="E5160">
        <v>0.52733589999999997</v>
      </c>
      <c r="F5160" t="s">
        <v>42</v>
      </c>
      <c r="G5160">
        <v>0</v>
      </c>
      <c r="H5160">
        <v>0</v>
      </c>
      <c r="I5160">
        <v>0</v>
      </c>
      <c r="J5160">
        <v>-268.99740000000003</v>
      </c>
      <c r="K5160">
        <v>1.1105579999999999</v>
      </c>
      <c r="L5160">
        <v>141.38130000000001</v>
      </c>
      <c r="M5160">
        <v>-0.99985000000000002</v>
      </c>
      <c r="N5160">
        <v>-1.194598E-2</v>
      </c>
      <c r="O5160">
        <v>1.254826E-2</v>
      </c>
      <c r="P5160">
        <v>-0.98177340000000002</v>
      </c>
      <c r="Q5160">
        <v>0.17383970000000001</v>
      </c>
      <c r="R5160">
        <v>-7.6819299999999993E-2</v>
      </c>
      <c r="S5160">
        <v>-3.0534970000000001</v>
      </c>
      <c r="T5160">
        <v>8.9685919999999992E-3</v>
      </c>
      <c r="U5160">
        <v>-1.9378659999999999E-3</v>
      </c>
      <c r="V5160">
        <v>-8.9096399999999895E-2</v>
      </c>
      <c r="W5160">
        <v>0.18556120000000001</v>
      </c>
      <c r="X5160">
        <v>0.97858509999999999</v>
      </c>
      <c r="Y5160">
        <v>-1.318252E-2</v>
      </c>
      <c r="Z5160">
        <v>1.2738119999999999E-4</v>
      </c>
      <c r="AA5160">
        <v>0.9999131</v>
      </c>
      <c r="AB5160">
        <v>31</v>
      </c>
      <c r="AC5160">
        <v>-3.0534970000000001</v>
      </c>
      <c r="AD5160">
        <v>8.9685919999999992E-3</v>
      </c>
      <c r="AE5160">
        <v>-1.9378659999999999E-3</v>
      </c>
      <c r="AF5160">
        <v>-4.0256171055439001E-2</v>
      </c>
      <c r="AG5160">
        <v>8.9685919999999992E-3</v>
      </c>
      <c r="AH5160">
        <v>3.0532058980393599</v>
      </c>
      <c r="AI5160">
        <v>89.831712517938897</v>
      </c>
      <c r="AJ5160">
        <v>90.755394538190103</v>
      </c>
      <c r="AK5160">
        <v>3.05348444416749</v>
      </c>
      <c r="AL5160">
        <v>79.306146265183699</v>
      </c>
      <c r="AM5160">
        <v>95.202217013864697</v>
      </c>
      <c r="AN5160">
        <v>0.99999996269020397</v>
      </c>
    </row>
    <row r="5161" spans="1:40" x14ac:dyDescent="0.25">
      <c r="A5161" t="str">
        <f>"20190304154900230"</f>
        <v>20190304154900230</v>
      </c>
      <c r="B5161" t="str">
        <f>"1551685740221717"</f>
        <v>1551685740221717</v>
      </c>
      <c r="C5161" t="s">
        <v>40</v>
      </c>
      <c r="D5161">
        <v>4.0240070000000001</v>
      </c>
      <c r="E5161">
        <v>0.5273523</v>
      </c>
      <c r="F5161" t="s">
        <v>42</v>
      </c>
      <c r="G5161">
        <v>0</v>
      </c>
      <c r="H5161">
        <v>0</v>
      </c>
      <c r="I5161">
        <v>0</v>
      </c>
      <c r="J5161">
        <v>-269.30270000000002</v>
      </c>
      <c r="K5161">
        <v>1.110595</v>
      </c>
      <c r="L5161">
        <v>141.38509999999999</v>
      </c>
      <c r="M5161">
        <v>-0.99984980000000001</v>
      </c>
      <c r="N5161">
        <v>-1.195443E-2</v>
      </c>
      <c r="O5161">
        <v>1.2561839999999999E-2</v>
      </c>
      <c r="P5161">
        <v>-0.98158350000000005</v>
      </c>
      <c r="Q5161">
        <v>0.17457899999999901</v>
      </c>
      <c r="R5161">
        <v>-7.7565930000000005E-2</v>
      </c>
      <c r="S5161">
        <v>-3.053436</v>
      </c>
      <c r="T5161">
        <v>1.0654449999999999E-2</v>
      </c>
      <c r="U5161">
        <v>-4.592896E-3</v>
      </c>
      <c r="V5161">
        <v>-8.9867530000000001E-2</v>
      </c>
      <c r="W5161">
        <v>0.18629960000000001</v>
      </c>
      <c r="X5161">
        <v>0.97837430000000003</v>
      </c>
      <c r="Y5161">
        <v>-1.406549E-2</v>
      </c>
      <c r="Z5161">
        <v>1.3447160000000001E-4</v>
      </c>
      <c r="AA5161">
        <v>0.99990109999999999</v>
      </c>
      <c r="AB5161">
        <v>31</v>
      </c>
      <c r="AC5161">
        <v>-3.053436</v>
      </c>
      <c r="AD5161">
        <v>1.0654449999999999E-2</v>
      </c>
      <c r="AE5161">
        <v>-4.592896E-3</v>
      </c>
      <c r="AF5161">
        <v>-4.2951519786151103E-2</v>
      </c>
      <c r="AG5161">
        <v>1.0654449999999999E-2</v>
      </c>
      <c r="AH5161">
        <v>3.0531001682346401</v>
      </c>
      <c r="AI5161">
        <v>89.800074642994602</v>
      </c>
      <c r="AJ5161">
        <v>90.805993364165204</v>
      </c>
      <c r="AK5161">
        <v>3.0534208664432598</v>
      </c>
      <c r="AL5161">
        <v>79.263088575554704</v>
      </c>
      <c r="AM5161">
        <v>95.248116200102601</v>
      </c>
      <c r="AN5161">
        <v>0.99999999240447501</v>
      </c>
    </row>
    <row r="5162" spans="1:40" x14ac:dyDescent="0.25">
      <c r="A5162" t="str">
        <f>"20190304154900252"</f>
        <v>20190304154900252</v>
      </c>
      <c r="B5162" t="str">
        <f>"1551685740242212"</f>
        <v>1551685740242212</v>
      </c>
      <c r="C5162" t="s">
        <v>40</v>
      </c>
      <c r="D5162">
        <v>3.9896630000000002</v>
      </c>
      <c r="E5162">
        <v>0.52736229999999995</v>
      </c>
      <c r="F5162" t="s">
        <v>42</v>
      </c>
      <c r="G5162">
        <v>0</v>
      </c>
      <c r="H5162">
        <v>0</v>
      </c>
      <c r="I5162">
        <v>0</v>
      </c>
      <c r="J5162">
        <v>-269.60140000000001</v>
      </c>
      <c r="K5162">
        <v>1.1106210000000001</v>
      </c>
      <c r="L5162">
        <v>141.38890000000001</v>
      </c>
      <c r="M5162">
        <v>-0.99984969999999995</v>
      </c>
      <c r="N5162">
        <v>-1.1961869999999999E-2</v>
      </c>
      <c r="O5162">
        <v>1.256002E-2</v>
      </c>
      <c r="P5162">
        <v>-0.9815239</v>
      </c>
      <c r="Q5162">
        <v>0.1746122</v>
      </c>
      <c r="R5162">
        <v>-7.8240920000000005E-2</v>
      </c>
      <c r="S5162">
        <v>-3.053436</v>
      </c>
      <c r="T5162">
        <v>1.3183E-2</v>
      </c>
      <c r="U5162">
        <v>-6.286621E-3</v>
      </c>
      <c r="V5162">
        <v>-9.0548950000000003E-2</v>
      </c>
      <c r="W5162">
        <v>0.18633520000000001</v>
      </c>
      <c r="X5162">
        <v>0.97830470000000003</v>
      </c>
      <c r="Y5162">
        <v>-1.461817E-2</v>
      </c>
      <c r="Z5162">
        <v>1.485956E-4</v>
      </c>
      <c r="AA5162">
        <v>0.99989309999999998</v>
      </c>
      <c r="AB5162">
        <v>31</v>
      </c>
      <c r="AC5162">
        <v>-3.053436</v>
      </c>
      <c r="AD5162">
        <v>1.3183E-2</v>
      </c>
      <c r="AE5162">
        <v>-6.286621E-3</v>
      </c>
      <c r="AF5162">
        <v>-4.4639249203876498E-2</v>
      </c>
      <c r="AG5162">
        <v>1.3183E-2</v>
      </c>
      <c r="AH5162">
        <v>3.0530592349101799</v>
      </c>
      <c r="AI5162">
        <v>89.752626861508602</v>
      </c>
      <c r="AJ5162">
        <v>90.837670726548694</v>
      </c>
      <c r="AK5162">
        <v>3.0534140148248499</v>
      </c>
      <c r="AL5162">
        <v>79.261012603264106</v>
      </c>
      <c r="AM5162">
        <v>95.288059337854605</v>
      </c>
      <c r="AN5162">
        <v>1.00000000257361</v>
      </c>
    </row>
    <row r="5163" spans="1:40" x14ac:dyDescent="0.25">
      <c r="A5163" t="str">
        <f>"20190304154900273"</f>
        <v>20190304154900273</v>
      </c>
      <c r="B5163" t="str">
        <f>"1551685740262514"</f>
        <v>1551685740262514</v>
      </c>
      <c r="C5163" t="s">
        <v>40</v>
      </c>
      <c r="D5163">
        <v>4.1167989999999897</v>
      </c>
      <c r="E5163">
        <v>0.50339699999999998</v>
      </c>
      <c r="F5163" t="s">
        <v>42</v>
      </c>
      <c r="G5163">
        <v>0</v>
      </c>
      <c r="H5163">
        <v>0</v>
      </c>
      <c r="I5163">
        <v>0</v>
      </c>
      <c r="J5163">
        <v>-269.90199999999999</v>
      </c>
      <c r="K5163">
        <v>1.1106279999999999</v>
      </c>
      <c r="L5163">
        <v>141.39269999999999</v>
      </c>
      <c r="M5163">
        <v>-0.99984969999999995</v>
      </c>
      <c r="N5163">
        <v>-1.1968390000000001E-2</v>
      </c>
      <c r="O5163">
        <v>1.2549569999999999E-2</v>
      </c>
      <c r="P5163">
        <v>-0.98140050000000001</v>
      </c>
      <c r="Q5163">
        <v>0.17500959999999999</v>
      </c>
      <c r="R5163">
        <v>-7.8896949999999993E-2</v>
      </c>
      <c r="S5163">
        <v>-3.053436</v>
      </c>
      <c r="T5163">
        <v>1.308644E-2</v>
      </c>
      <c r="U5163">
        <v>-8.3923339999999996E-3</v>
      </c>
      <c r="V5163">
        <v>-9.1197769999999997E-2</v>
      </c>
      <c r="W5163">
        <v>0.18673480000000001</v>
      </c>
      <c r="X5163">
        <v>0.97816820000000004</v>
      </c>
      <c r="Y5163">
        <v>-1.529728E-2</v>
      </c>
      <c r="Z5163">
        <v>1.4522259999999999E-4</v>
      </c>
      <c r="AA5163">
        <v>0.99988299999999997</v>
      </c>
      <c r="AB5163">
        <v>31</v>
      </c>
      <c r="AC5163">
        <v>-3.053436</v>
      </c>
      <c r="AD5163">
        <v>1.308644E-2</v>
      </c>
      <c r="AE5163">
        <v>-8.3923339999999996E-3</v>
      </c>
      <c r="AF5163">
        <v>-4.6712865584869201E-2</v>
      </c>
      <c r="AG5163">
        <v>1.308644E-2</v>
      </c>
      <c r="AH5163">
        <v>3.0530341048156702</v>
      </c>
      <c r="AI5163">
        <v>89.754439218604304</v>
      </c>
      <c r="AJ5163">
        <v>90.876584121932197</v>
      </c>
      <c r="AK5163">
        <v>3.05341949163404</v>
      </c>
      <c r="AL5163">
        <v>79.237707857168402</v>
      </c>
      <c r="AM5163">
        <v>95.326472236221093</v>
      </c>
      <c r="AN5163">
        <v>0.99999997313762601</v>
      </c>
    </row>
    <row r="5164" spans="1:40" x14ac:dyDescent="0.25">
      <c r="A5164" t="str">
        <f>"20190304154900295"</f>
        <v>20190304154900295</v>
      </c>
      <c r="B5164" t="str">
        <f>"1551685740291794"</f>
        <v>1551685740291794</v>
      </c>
      <c r="C5164" t="s">
        <v>40</v>
      </c>
      <c r="D5164">
        <v>4.0387890000000004</v>
      </c>
      <c r="E5164">
        <v>0.48195909999999897</v>
      </c>
      <c r="F5164" t="s">
        <v>45</v>
      </c>
      <c r="G5164">
        <v>-551.44529999999997</v>
      </c>
      <c r="H5164">
        <v>-0.05</v>
      </c>
      <c r="I5164">
        <v>122.8419</v>
      </c>
      <c r="J5164">
        <v>-270.20400000000001</v>
      </c>
      <c r="K5164">
        <v>1.110635</v>
      </c>
      <c r="L5164">
        <v>141.3965</v>
      </c>
      <c r="M5164">
        <v>-0.99984989999999996</v>
      </c>
      <c r="N5164">
        <v>-1.197428E-2</v>
      </c>
      <c r="O5164">
        <v>1.253659E-2</v>
      </c>
      <c r="P5164">
        <v>-0.98128550000000003</v>
      </c>
      <c r="Q5164">
        <v>0.17514689999999999</v>
      </c>
      <c r="R5164">
        <v>-8.0016519999999994E-2</v>
      </c>
      <c r="S5164">
        <v>-3.0429689999999998</v>
      </c>
      <c r="T5164">
        <v>-1.254427E-2</v>
      </c>
      <c r="U5164">
        <v>-0.2005005</v>
      </c>
      <c r="V5164">
        <v>-9.2305760000000001E-2</v>
      </c>
      <c r="W5164">
        <v>0.18687529999999999</v>
      </c>
      <c r="X5164">
        <v>0.9780375</v>
      </c>
      <c r="Y5164">
        <v>-7.824942E-2</v>
      </c>
      <c r="Z5164">
        <v>-5.3181430000000002E-4</v>
      </c>
      <c r="AA5164">
        <v>0.99693370000000003</v>
      </c>
      <c r="AB5164">
        <v>31</v>
      </c>
      <c r="AC5164">
        <v>-281.24130000000002</v>
      </c>
      <c r="AD5164">
        <v>-1.1606350000000001</v>
      </c>
      <c r="AE5164">
        <v>-18.554600000000001</v>
      </c>
      <c r="AF5164">
        <v>-22.078826279784</v>
      </c>
      <c r="AG5164">
        <v>-1.1606350000000001</v>
      </c>
      <c r="AH5164">
        <v>280.98180253937397</v>
      </c>
      <c r="AI5164">
        <v>90.235939694149394</v>
      </c>
      <c r="AJ5164">
        <v>94.492922894048405</v>
      </c>
      <c r="AK5164">
        <v>281.85030601681399</v>
      </c>
      <c r="AL5164">
        <v>79.229514297947105</v>
      </c>
      <c r="AM5164">
        <v>95.391522386521402</v>
      </c>
      <c r="AN5164">
        <v>1.0000000412427501</v>
      </c>
    </row>
    <row r="5165" spans="1:40" x14ac:dyDescent="0.25">
      <c r="A5165" t="str">
        <f>"20190304154900320"</f>
        <v>20190304154900320</v>
      </c>
      <c r="B5165" t="str">
        <f>"1551685740312290"</f>
        <v>1551685740312290</v>
      </c>
      <c r="C5165" t="s">
        <v>40</v>
      </c>
      <c r="D5165">
        <v>4.0294949999999998</v>
      </c>
      <c r="E5165">
        <v>0.47734510000000002</v>
      </c>
      <c r="F5165" t="s">
        <v>44</v>
      </c>
      <c r="G5165">
        <v>-347.64400000000001</v>
      </c>
      <c r="H5165" s="1">
        <v>-2.850335E-6</v>
      </c>
      <c r="I5165">
        <v>131.8646</v>
      </c>
      <c r="J5165">
        <v>-270.52789999999999</v>
      </c>
      <c r="K5165">
        <v>1.110636</v>
      </c>
      <c r="L5165">
        <v>141.40049999999999</v>
      </c>
      <c r="M5165">
        <v>-0.99984989999999996</v>
      </c>
      <c r="N5165">
        <v>-1.197965E-2</v>
      </c>
      <c r="O5165">
        <v>1.2524789999999999E-2</v>
      </c>
      <c r="P5165">
        <v>-0.98120549999999995</v>
      </c>
      <c r="Q5165">
        <v>0.17521819999999999</v>
      </c>
      <c r="R5165">
        <v>-8.0838599999999997E-2</v>
      </c>
      <c r="S5165">
        <v>-3.0344850000000001</v>
      </c>
      <c r="T5165">
        <v>-4.3520330000000003E-2</v>
      </c>
      <c r="U5165">
        <v>-0.37350460000000002</v>
      </c>
      <c r="V5165">
        <v>-9.311585E-2</v>
      </c>
      <c r="W5165">
        <v>0.1869508</v>
      </c>
      <c r="X5165">
        <v>0.97794619999999999</v>
      </c>
      <c r="Y5165">
        <v>-0.13456179999999901</v>
      </c>
      <c r="Z5165">
        <v>-1.7999159999999999E-3</v>
      </c>
      <c r="AA5165">
        <v>0.9909036</v>
      </c>
      <c r="AB5165">
        <v>31</v>
      </c>
      <c r="AC5165">
        <v>-77.116100000000003</v>
      </c>
      <c r="AD5165">
        <v>-1.110638850335</v>
      </c>
      <c r="AE5165">
        <v>-9.5358999999999892</v>
      </c>
      <c r="AF5165">
        <v>-10.498939169284</v>
      </c>
      <c r="AG5165">
        <v>-1.110638850335</v>
      </c>
      <c r="AH5165">
        <v>76.974880726376895</v>
      </c>
      <c r="AI5165">
        <v>90.8190573637184</v>
      </c>
      <c r="AJ5165">
        <v>97.766893900636106</v>
      </c>
      <c r="AK5165">
        <v>77.695517922053597</v>
      </c>
      <c r="AL5165">
        <v>79.225110048978706</v>
      </c>
      <c r="AM5165">
        <v>95.439061455027101</v>
      </c>
      <c r="AN5165">
        <v>0.99999996661815005</v>
      </c>
    </row>
    <row r="5166" spans="1:40" x14ac:dyDescent="0.25">
      <c r="A5166" t="str">
        <f>"20190304154900343"</f>
        <v>20190304154900343</v>
      </c>
      <c r="B5166" t="str">
        <f>"1551685740332785"</f>
        <v>1551685740332785</v>
      </c>
      <c r="C5166" t="s">
        <v>40</v>
      </c>
      <c r="D5166">
        <v>4.0485889999999998</v>
      </c>
      <c r="E5166">
        <v>0.47497119999999998</v>
      </c>
      <c r="F5166" t="s">
        <v>44</v>
      </c>
      <c r="G5166">
        <v>-336.72550000000001</v>
      </c>
      <c r="H5166" s="1">
        <v>-3.1655119999999999E-6</v>
      </c>
      <c r="I5166">
        <v>132.38589999999999</v>
      </c>
      <c r="J5166">
        <v>-270.85379999999998</v>
      </c>
      <c r="K5166">
        <v>1.1106279999999999</v>
      </c>
      <c r="L5166">
        <v>141.40459999999999</v>
      </c>
      <c r="M5166">
        <v>-0.99984989999999996</v>
      </c>
      <c r="N5166">
        <v>-1.198432E-2</v>
      </c>
      <c r="O5166">
        <v>1.2517540000000001E-2</v>
      </c>
      <c r="P5166">
        <v>-0.98121519999999995</v>
      </c>
      <c r="Q5166">
        <v>0.17485680000000001</v>
      </c>
      <c r="R5166">
        <v>-8.1497819999999999E-2</v>
      </c>
      <c r="S5166">
        <v>-3.0325319999999998</v>
      </c>
      <c r="T5166">
        <v>-5.0878760000000002E-2</v>
      </c>
      <c r="U5166">
        <v>-0.41296389999999999</v>
      </c>
      <c r="V5166">
        <v>-9.3768149999999995E-2</v>
      </c>
      <c r="W5166">
        <v>0.1865938</v>
      </c>
      <c r="X5166">
        <v>0.97795209999999999</v>
      </c>
      <c r="Y5166">
        <v>-0.1472907</v>
      </c>
      <c r="Z5166">
        <v>-2.176393E-3</v>
      </c>
      <c r="AA5166">
        <v>0.9890909</v>
      </c>
      <c r="AB5166">
        <v>31</v>
      </c>
      <c r="AC5166">
        <v>-65.871700000000004</v>
      </c>
      <c r="AD5166">
        <v>-1.110631165512</v>
      </c>
      <c r="AE5166">
        <v>-9.0186999999999902</v>
      </c>
      <c r="AF5166">
        <v>-9.8398583322875801</v>
      </c>
      <c r="AG5166">
        <v>-1.110631165512</v>
      </c>
      <c r="AH5166">
        <v>65.735295143760396</v>
      </c>
      <c r="AI5166">
        <v>90.957285732279402</v>
      </c>
      <c r="AJ5166">
        <v>98.513344529123202</v>
      </c>
      <c r="AK5166">
        <v>66.476953459244697</v>
      </c>
      <c r="AL5166">
        <v>79.245931508233696</v>
      </c>
      <c r="AM5166">
        <v>95.476899726065596</v>
      </c>
      <c r="AN5166">
        <v>1.00000001102363</v>
      </c>
    </row>
    <row r="5167" spans="1:40" x14ac:dyDescent="0.25">
      <c r="A5167" t="str">
        <f>"20190304154900363"</f>
        <v>20190304154900363</v>
      </c>
      <c r="B5167" t="str">
        <f>"1551685740351922"</f>
        <v>1551685740351922</v>
      </c>
      <c r="C5167" t="s">
        <v>40</v>
      </c>
      <c r="D5167">
        <v>4.0336790000000002</v>
      </c>
      <c r="E5167">
        <v>0.47331469999999998</v>
      </c>
      <c r="F5167" t="s">
        <v>44</v>
      </c>
      <c r="G5167">
        <v>-328.59480000000002</v>
      </c>
      <c r="H5167" s="1">
        <v>-2.187646E-6</v>
      </c>
      <c r="I5167">
        <v>133.13929999999999</v>
      </c>
      <c r="J5167">
        <v>-271.1379</v>
      </c>
      <c r="K5167">
        <v>1.110627</v>
      </c>
      <c r="L5167">
        <v>141.40819999999999</v>
      </c>
      <c r="M5167">
        <v>-0.99984989999999996</v>
      </c>
      <c r="N5167">
        <v>-1.1987859999999999E-2</v>
      </c>
      <c r="O5167">
        <v>1.2514829999999999E-2</v>
      </c>
      <c r="P5167">
        <v>-0.9811879</v>
      </c>
      <c r="Q5167">
        <v>0.17466419999999999</v>
      </c>
      <c r="R5167">
        <v>-8.2235719999999998E-2</v>
      </c>
      <c r="S5167">
        <v>-3.0317379999999998</v>
      </c>
      <c r="T5167">
        <v>-5.8314560000000001E-2</v>
      </c>
      <c r="U5167">
        <v>-0.43397520000000001</v>
      </c>
      <c r="V5167">
        <v>-9.4503279999999995E-2</v>
      </c>
      <c r="W5167">
        <v>0.1864036</v>
      </c>
      <c r="X5167">
        <v>0.97791760000000005</v>
      </c>
      <c r="Y5167">
        <v>-0.154032</v>
      </c>
      <c r="Z5167">
        <v>-2.4921330000000001E-3</v>
      </c>
      <c r="AA5167">
        <v>0.98806269999999996</v>
      </c>
      <c r="AB5167">
        <v>31</v>
      </c>
      <c r="AC5167">
        <v>-57.456899999999997</v>
      </c>
      <c r="AD5167">
        <v>-1.1106291876459999</v>
      </c>
      <c r="AE5167">
        <v>-8.2689000000000004</v>
      </c>
      <c r="AF5167">
        <v>-8.9840785940590795</v>
      </c>
      <c r="AG5167">
        <v>-1.1106291876459999</v>
      </c>
      <c r="AH5167">
        <v>57.327923006047598</v>
      </c>
      <c r="AI5167">
        <v>91.096488170315794</v>
      </c>
      <c r="AJ5167">
        <v>98.906599670346196</v>
      </c>
      <c r="AK5167">
        <v>58.038245334985803</v>
      </c>
      <c r="AL5167">
        <v>79.257023681097905</v>
      </c>
      <c r="AM5167">
        <v>95.519767283224098</v>
      </c>
      <c r="AN5167">
        <v>1.0000000022067299</v>
      </c>
    </row>
    <row r="5168" spans="1:40" x14ac:dyDescent="0.25">
      <c r="A5168" t="str">
        <f>"20190304154900386"</f>
        <v>20190304154900386</v>
      </c>
      <c r="B5168" t="str">
        <f>"1551685740382163"</f>
        <v>1551685740382163</v>
      </c>
      <c r="C5168" t="s">
        <v>40</v>
      </c>
      <c r="D5168">
        <v>4.0374860000000004</v>
      </c>
      <c r="E5168">
        <v>0.47200690000000001</v>
      </c>
      <c r="F5168" t="s">
        <v>44</v>
      </c>
      <c r="G5168">
        <v>-324.93439999999998</v>
      </c>
      <c r="H5168" s="1">
        <v>-3.3551580000000002E-6</v>
      </c>
      <c r="I5168">
        <v>133.43289999999999</v>
      </c>
      <c r="J5168">
        <v>-271.44260000000003</v>
      </c>
      <c r="K5168">
        <v>1.1106279999999999</v>
      </c>
      <c r="L5168">
        <v>141.41200000000001</v>
      </c>
      <c r="M5168">
        <v>-0.99984989999999996</v>
      </c>
      <c r="N5168">
        <v>-1.199107E-2</v>
      </c>
      <c r="O5168">
        <v>1.2514340000000001E-2</v>
      </c>
      <c r="P5168">
        <v>-0.98107580000000005</v>
      </c>
      <c r="Q5168">
        <v>0.17513529999999999</v>
      </c>
      <c r="R5168">
        <v>-8.2572580000000007E-2</v>
      </c>
      <c r="S5168">
        <v>-3.0310060000000001</v>
      </c>
      <c r="T5168">
        <v>-6.2575220000000001E-2</v>
      </c>
      <c r="U5168">
        <v>-0.44934079999999899</v>
      </c>
      <c r="V5168">
        <v>-9.4838249999999999E-2</v>
      </c>
      <c r="W5168">
        <v>0.18687670000000001</v>
      </c>
      <c r="X5168">
        <v>0.97779490000000002</v>
      </c>
      <c r="Y5168">
        <v>-0.15896060000000001</v>
      </c>
      <c r="Z5168">
        <v>-2.6979819999999998E-3</v>
      </c>
      <c r="AA5168">
        <v>0.98728130000000003</v>
      </c>
      <c r="AB5168">
        <v>31</v>
      </c>
      <c r="AC5168">
        <v>-53.491799999999898</v>
      </c>
      <c r="AD5168">
        <v>-1.110631355158</v>
      </c>
      <c r="AE5168">
        <v>-7.9791000000000096</v>
      </c>
      <c r="AF5168">
        <v>-8.6442923815869808</v>
      </c>
      <c r="AG5168">
        <v>-1.110631355158</v>
      </c>
      <c r="AH5168">
        <v>53.365245890004097</v>
      </c>
      <c r="AI5168">
        <v>91.176924953978599</v>
      </c>
      <c r="AJ5168">
        <v>99.201055177269197</v>
      </c>
      <c r="AK5168">
        <v>54.072236514555499</v>
      </c>
      <c r="AL5168">
        <v>79.229432529059494</v>
      </c>
      <c r="AM5168">
        <v>95.539901583316095</v>
      </c>
      <c r="AN5168">
        <v>1.00000003056598</v>
      </c>
    </row>
    <row r="5169" spans="1:40" x14ac:dyDescent="0.25">
      <c r="A5169" t="str">
        <f>"20190304154900408"</f>
        <v>20190304154900408</v>
      </c>
      <c r="B5169" t="str">
        <f>"1551685740402659"</f>
        <v>1551685740402659</v>
      </c>
      <c r="C5169" t="s">
        <v>40</v>
      </c>
      <c r="D5169">
        <v>4.0433760000000003</v>
      </c>
      <c r="E5169">
        <v>0.47129510000000002</v>
      </c>
      <c r="F5169" t="s">
        <v>44</v>
      </c>
      <c r="G5169">
        <v>-324.02699999999999</v>
      </c>
      <c r="H5169" s="1">
        <v>-3.6652250000000001E-6</v>
      </c>
      <c r="I5169">
        <v>133.4281</v>
      </c>
      <c r="J5169">
        <v>-271.74639999999999</v>
      </c>
      <c r="K5169">
        <v>1.110636</v>
      </c>
      <c r="L5169">
        <v>141.41579999999999</v>
      </c>
      <c r="M5169">
        <v>-0.99984989999999996</v>
      </c>
      <c r="N5169">
        <v>-1.199383E-2</v>
      </c>
      <c r="O5169">
        <v>1.2514620000000001E-2</v>
      </c>
      <c r="P5169">
        <v>-0.9810219</v>
      </c>
      <c r="Q5169">
        <v>0.1752602</v>
      </c>
      <c r="R5169">
        <v>-8.294754E-2</v>
      </c>
      <c r="S5169">
        <v>-3.0305789999999999</v>
      </c>
      <c r="T5169">
        <v>-6.4008709999999996E-2</v>
      </c>
      <c r="U5169">
        <v>-0.4601288</v>
      </c>
      <c r="V5169">
        <v>-9.5212160000000004E-2</v>
      </c>
      <c r="W5169">
        <v>0.18700369999999999</v>
      </c>
      <c r="X5169">
        <v>0.97773429999999995</v>
      </c>
      <c r="Y5169">
        <v>-0.1624139</v>
      </c>
      <c r="Z5169">
        <v>-2.7985779999999999E-3</v>
      </c>
      <c r="AA5169">
        <v>0.98671880000000001</v>
      </c>
      <c r="AB5169">
        <v>31</v>
      </c>
      <c r="AC5169">
        <v>-52.2805999999999</v>
      </c>
      <c r="AD5169">
        <v>-1.1106396652249999</v>
      </c>
      <c r="AE5169">
        <v>-7.9876999999999896</v>
      </c>
      <c r="AF5169">
        <v>-8.6375839767196894</v>
      </c>
      <c r="AG5169">
        <v>-1.1106396652249999</v>
      </c>
      <c r="AH5169">
        <v>52.153535074542603</v>
      </c>
      <c r="AI5169">
        <v>91.203572262070594</v>
      </c>
      <c r="AJ5169">
        <v>99.403873184301602</v>
      </c>
      <c r="AK5169">
        <v>52.875633312447398</v>
      </c>
      <c r="AL5169">
        <v>79.222025602322503</v>
      </c>
      <c r="AM5169">
        <v>95.561949114164506</v>
      </c>
      <c r="AN5169">
        <v>1.00000005031102</v>
      </c>
    </row>
    <row r="5170" spans="1:40" x14ac:dyDescent="0.25">
      <c r="A5170" t="str">
        <f>"20190304154900429"</f>
        <v>20190304154900429</v>
      </c>
      <c r="B5170" t="str">
        <f>"1551685740422178"</f>
        <v>1551685740422178</v>
      </c>
      <c r="C5170" t="s">
        <v>40</v>
      </c>
      <c r="D5170">
        <v>4.0216839999999996</v>
      </c>
      <c r="E5170">
        <v>0.47086889999999998</v>
      </c>
      <c r="F5170" t="s">
        <v>44</v>
      </c>
      <c r="G5170">
        <v>-323.7586</v>
      </c>
      <c r="H5170" s="1">
        <v>-3.763084E-6</v>
      </c>
      <c r="I5170">
        <v>133.40360000000001</v>
      </c>
      <c r="J5170">
        <v>-272.0514</v>
      </c>
      <c r="K5170">
        <v>1.1106339999999999</v>
      </c>
      <c r="L5170">
        <v>141.4196</v>
      </c>
      <c r="M5170">
        <v>-0.99984969999999995</v>
      </c>
      <c r="N5170">
        <v>-1.199632E-2</v>
      </c>
      <c r="O5170">
        <v>1.251533E-2</v>
      </c>
      <c r="P5170">
        <v>-0.98100390000000004</v>
      </c>
      <c r="Q5170">
        <v>0.1753121</v>
      </c>
      <c r="R5170">
        <v>-8.3048449999999996E-2</v>
      </c>
      <c r="S5170">
        <v>-3.0301209999999998</v>
      </c>
      <c r="T5170">
        <v>-6.4703579999999997E-2</v>
      </c>
      <c r="U5170">
        <v>-0.46676640000000003</v>
      </c>
      <c r="V5170">
        <v>-9.5313729999999999E-2</v>
      </c>
      <c r="W5170">
        <v>0.18705849999999999</v>
      </c>
      <c r="X5170">
        <v>0.97771390000000002</v>
      </c>
      <c r="Y5170">
        <v>-0.16454659999999999</v>
      </c>
      <c r="Z5170">
        <v>-2.8557819999999999E-3</v>
      </c>
      <c r="AA5170">
        <v>0.98636520000000005</v>
      </c>
      <c r="AB5170">
        <v>31</v>
      </c>
      <c r="AC5170">
        <v>-51.7072</v>
      </c>
      <c r="AD5170">
        <v>-1.1106377630840001</v>
      </c>
      <c r="AE5170">
        <v>-8.0159999999999894</v>
      </c>
      <c r="AF5170">
        <v>-8.65865032286675</v>
      </c>
      <c r="AG5170">
        <v>-1.1106377630840001</v>
      </c>
      <c r="AH5170">
        <v>51.579581194221802</v>
      </c>
      <c r="AI5170">
        <v>91.2165147003832</v>
      </c>
      <c r="AJ5170">
        <v>99.529376512597807</v>
      </c>
      <c r="AK5170">
        <v>52.313085722654399</v>
      </c>
      <c r="AL5170">
        <v>79.2188291707659</v>
      </c>
      <c r="AM5170">
        <v>95.567960644391306</v>
      </c>
      <c r="AN5170">
        <v>1.0000000299009799</v>
      </c>
    </row>
    <row r="5171" spans="1:40" x14ac:dyDescent="0.25">
      <c r="A5171" t="str">
        <f>"20190304154900452"</f>
        <v>20190304154900452</v>
      </c>
      <c r="B5171" t="str">
        <f>"1551685740442674"</f>
        <v>1551685740442674</v>
      </c>
      <c r="C5171" t="s">
        <v>40</v>
      </c>
      <c r="D5171">
        <v>4.0157259999999999</v>
      </c>
      <c r="E5171">
        <v>0.47045399999999998</v>
      </c>
      <c r="F5171" t="s">
        <v>44</v>
      </c>
      <c r="G5171">
        <v>-323.41849999999999</v>
      </c>
      <c r="H5171" s="1">
        <v>-3.900938E-6</v>
      </c>
      <c r="I5171">
        <v>133.44210000000001</v>
      </c>
      <c r="J5171">
        <v>-272.35019999999997</v>
      </c>
      <c r="K5171">
        <v>1.1106320000000001</v>
      </c>
      <c r="L5171">
        <v>141.42330000000001</v>
      </c>
      <c r="M5171">
        <v>-0.99984960000000001</v>
      </c>
      <c r="N5171">
        <v>-1.199832E-2</v>
      </c>
      <c r="O5171">
        <v>1.251563E-2</v>
      </c>
      <c r="P5171">
        <v>-0.98095900000000003</v>
      </c>
      <c r="Q5171">
        <v>0.17562920000000001</v>
      </c>
      <c r="R5171">
        <v>-8.2909140000000006E-2</v>
      </c>
      <c r="S5171">
        <v>-3.0299990000000001</v>
      </c>
      <c r="T5171">
        <v>-6.5513370000000001E-2</v>
      </c>
      <c r="U5171">
        <v>-0.47056579999999898</v>
      </c>
      <c r="V5171">
        <v>-9.5173569999999999E-2</v>
      </c>
      <c r="W5171">
        <v>0.1873765</v>
      </c>
      <c r="X5171">
        <v>0.97766660000000005</v>
      </c>
      <c r="Y5171">
        <v>-0.16575909999999999</v>
      </c>
      <c r="Z5171">
        <v>-2.901448E-3</v>
      </c>
      <c r="AA5171">
        <v>0.98616199999999998</v>
      </c>
      <c r="AB5171">
        <v>31</v>
      </c>
      <c r="AC5171">
        <v>-51.068300000000001</v>
      </c>
      <c r="AD5171">
        <v>-1.110635900938</v>
      </c>
      <c r="AE5171">
        <v>-7.9812000000000003</v>
      </c>
      <c r="AF5171">
        <v>-8.6157948909403093</v>
      </c>
      <c r="AG5171">
        <v>-1.110635900938</v>
      </c>
      <c r="AH5171">
        <v>50.940883188330403</v>
      </c>
      <c r="AI5171">
        <v>91.231505762050304</v>
      </c>
      <c r="AJ5171">
        <v>99.599769741337198</v>
      </c>
      <c r="AK5171">
        <v>51.676290634238903</v>
      </c>
      <c r="AL5171">
        <v>79.200280512263802</v>
      </c>
      <c r="AM5171">
        <v>95.560091531253605</v>
      </c>
      <c r="AN5171">
        <v>0.99999997096717697</v>
      </c>
    </row>
    <row r="5172" spans="1:40" x14ac:dyDescent="0.25">
      <c r="A5172" t="str">
        <f>"20190304154900474"</f>
        <v>20190304154900474</v>
      </c>
      <c r="B5172" t="str">
        <f>"1551685740462194"</f>
        <v>1551685740462194</v>
      </c>
      <c r="C5172" t="s">
        <v>40</v>
      </c>
      <c r="D5172">
        <v>4.010535</v>
      </c>
      <c r="E5172">
        <v>0.47007599999999999</v>
      </c>
      <c r="F5172" t="s">
        <v>44</v>
      </c>
      <c r="G5172">
        <v>-323.66149999999999</v>
      </c>
      <c r="H5172" s="1">
        <v>-3.8044310000000002E-6</v>
      </c>
      <c r="I5172">
        <v>133.39850000000001</v>
      </c>
      <c r="J5172">
        <v>-272.65260000000001</v>
      </c>
      <c r="K5172">
        <v>1.1106370000000001</v>
      </c>
      <c r="L5172">
        <v>141.4271</v>
      </c>
      <c r="M5172">
        <v>-0.99984980000000001</v>
      </c>
      <c r="N5172">
        <v>-1.2000169999999999E-2</v>
      </c>
      <c r="O5172">
        <v>1.2515439999999999E-2</v>
      </c>
      <c r="P5172">
        <v>-0.9810219</v>
      </c>
      <c r="Q5172">
        <v>0.17519029999999899</v>
      </c>
      <c r="R5172">
        <v>-8.3092239999999998E-2</v>
      </c>
      <c r="S5172">
        <v>-3.029938</v>
      </c>
      <c r="T5172">
        <v>-6.5583230000000006E-2</v>
      </c>
      <c r="U5172">
        <v>-0.4738617</v>
      </c>
      <c r="V5172">
        <v>-9.5357860000000003E-2</v>
      </c>
      <c r="W5172">
        <v>0.18694040000000001</v>
      </c>
      <c r="X5172">
        <v>0.97773209999999999</v>
      </c>
      <c r="Y5172">
        <v>-0.1668086</v>
      </c>
      <c r="Z5172">
        <v>-2.9213540000000001E-3</v>
      </c>
      <c r="AA5172">
        <v>0.985985</v>
      </c>
      <c r="AB5172">
        <v>31</v>
      </c>
      <c r="AC5172">
        <v>-51.008899999999898</v>
      </c>
      <c r="AD5172">
        <v>-1.1106408044310001</v>
      </c>
      <c r="AE5172">
        <v>-8.0285999999999795</v>
      </c>
      <c r="AF5172">
        <v>-8.6624083832206296</v>
      </c>
      <c r="AG5172">
        <v>-1.1106408044310001</v>
      </c>
      <c r="AH5172">
        <v>50.8808769882475</v>
      </c>
      <c r="AI5172">
        <v>91.232736343886103</v>
      </c>
      <c r="AJ5172">
        <v>99.661899678494706</v>
      </c>
      <c r="AK5172">
        <v>51.624940533499199</v>
      </c>
      <c r="AL5172">
        <v>79.225716404796202</v>
      </c>
      <c r="AM5172">
        <v>95.570419343834203</v>
      </c>
      <c r="AN5172">
        <v>0.99999994699317296</v>
      </c>
    </row>
    <row r="5173" spans="1:40" x14ac:dyDescent="0.25">
      <c r="A5173" t="str">
        <f>"20190304154900497"</f>
        <v>20190304154900497</v>
      </c>
      <c r="B5173" t="str">
        <f>"1551685740492451"</f>
        <v>1551685740492451</v>
      </c>
      <c r="C5173" t="s">
        <v>40</v>
      </c>
      <c r="D5173">
        <v>3.965265</v>
      </c>
      <c r="E5173">
        <v>0.46967629999999999</v>
      </c>
      <c r="F5173" t="s">
        <v>44</v>
      </c>
      <c r="G5173">
        <v>-323.39080000000001</v>
      </c>
      <c r="H5173" s="1">
        <v>-3.9148820000000003E-6</v>
      </c>
      <c r="I5173">
        <v>133.4306</v>
      </c>
      <c r="J5173">
        <v>-272.9708</v>
      </c>
      <c r="K5173">
        <v>1.110635</v>
      </c>
      <c r="L5173">
        <v>141.43109999999999</v>
      </c>
      <c r="M5173">
        <v>-0.99984980000000001</v>
      </c>
      <c r="N5173">
        <v>-1.2001909999999999E-2</v>
      </c>
      <c r="O5173">
        <v>1.2515429999999999E-2</v>
      </c>
      <c r="P5173">
        <v>-0.98094680000000001</v>
      </c>
      <c r="Q5173">
        <v>0.17511060000000001</v>
      </c>
      <c r="R5173">
        <v>-8.4143549999999998E-2</v>
      </c>
      <c r="S5173">
        <v>-3.0294490000000001</v>
      </c>
      <c r="T5173">
        <v>-6.6313620000000004E-2</v>
      </c>
      <c r="U5173">
        <v>-0.47744750000000002</v>
      </c>
      <c r="V5173">
        <v>-9.6407339999999994E-2</v>
      </c>
      <c r="W5173">
        <v>0.18686179999999999</v>
      </c>
      <c r="X5173">
        <v>0.97764430000000002</v>
      </c>
      <c r="Y5173">
        <v>-0.16797019999999999</v>
      </c>
      <c r="Z5173">
        <v>-2.9643550000000001E-3</v>
      </c>
      <c r="AA5173">
        <v>0.98578759999999999</v>
      </c>
      <c r="AB5173">
        <v>31</v>
      </c>
      <c r="AC5173">
        <v>-50.42</v>
      </c>
      <c r="AD5173">
        <v>-1.110638914882</v>
      </c>
      <c r="AE5173">
        <v>-8.0004999999999793</v>
      </c>
      <c r="AF5173">
        <v>-8.6268635068918709</v>
      </c>
      <c r="AG5173">
        <v>-1.110638914882</v>
      </c>
      <c r="AH5173">
        <v>50.292110107553398</v>
      </c>
      <c r="AI5173">
        <v>91.246895003184406</v>
      </c>
      <c r="AJ5173">
        <v>99.733509348978004</v>
      </c>
      <c r="AK5173">
        <v>51.038736581503201</v>
      </c>
      <c r="AL5173">
        <v>79.230301673146599</v>
      </c>
      <c r="AM5173">
        <v>95.631836266109502</v>
      </c>
      <c r="AN5173">
        <v>1.0000000424138</v>
      </c>
    </row>
    <row r="5174" spans="1:40" x14ac:dyDescent="0.25">
      <c r="A5174" t="str">
        <f>"20190304154900509"</f>
        <v>20190304154900509</v>
      </c>
      <c r="B5174" t="str">
        <f>"1551685740502211"</f>
        <v>1551685740502211</v>
      </c>
      <c r="C5174" t="s">
        <v>40</v>
      </c>
      <c r="D5174">
        <v>3.971765</v>
      </c>
      <c r="E5174">
        <v>0.469613</v>
      </c>
      <c r="F5174" t="s">
        <v>44</v>
      </c>
      <c r="G5174">
        <v>-324.08429999999998</v>
      </c>
      <c r="H5174" s="1">
        <v>-3.6891989999999999E-6</v>
      </c>
      <c r="I5174">
        <v>133.26480000000001</v>
      </c>
      <c r="J5174">
        <v>-273.13619999999997</v>
      </c>
      <c r="K5174">
        <v>1.1106339999999999</v>
      </c>
      <c r="L5174">
        <v>141.4332</v>
      </c>
      <c r="M5174">
        <v>-0.99984980000000001</v>
      </c>
      <c r="N5174">
        <v>-1.200273E-2</v>
      </c>
      <c r="O5174">
        <v>1.2515429999999999E-2</v>
      </c>
      <c r="P5174">
        <v>-0.98087670000000005</v>
      </c>
      <c r="Q5174">
        <v>0.17532039999999999</v>
      </c>
      <c r="R5174">
        <v>-8.4522180000000002E-2</v>
      </c>
      <c r="S5174">
        <v>-3.0285030000000002</v>
      </c>
      <c r="T5174">
        <v>-6.5806030000000001E-2</v>
      </c>
      <c r="U5174">
        <v>-0.48385620000000001</v>
      </c>
      <c r="V5174">
        <v>-9.6785220000000005E-2</v>
      </c>
      <c r="W5174">
        <v>0.18707070000000001</v>
      </c>
      <c r="X5174">
        <v>0.97756699999999996</v>
      </c>
      <c r="Y5174">
        <v>-0.17005200000000001</v>
      </c>
      <c r="Z5174">
        <v>-2.983889E-3</v>
      </c>
      <c r="AA5174">
        <v>0.98543060000000005</v>
      </c>
      <c r="AB5174">
        <v>31</v>
      </c>
      <c r="AC5174">
        <v>-50.948099999999997</v>
      </c>
      <c r="AD5174">
        <v>-1.110637689199</v>
      </c>
      <c r="AE5174">
        <v>-8.1683999999999894</v>
      </c>
      <c r="AF5174">
        <v>-8.8013656511563401</v>
      </c>
      <c r="AG5174">
        <v>-1.110637689199</v>
      </c>
      <c r="AH5174">
        <v>50.818326380477998</v>
      </c>
      <c r="AI5174">
        <v>91.233643999539396</v>
      </c>
      <c r="AJ5174">
        <v>99.825743842419897</v>
      </c>
      <c r="AK5174">
        <v>51.586818563609903</v>
      </c>
      <c r="AL5174">
        <v>79.218117630272303</v>
      </c>
      <c r="AM5174">
        <v>95.654212343993905</v>
      </c>
      <c r="AN5174">
        <v>1.00000003254896</v>
      </c>
    </row>
    <row r="5175" spans="1:40" x14ac:dyDescent="0.25">
      <c r="A5175" t="str">
        <f>"20190304154900521"</f>
        <v>20190304154900521</v>
      </c>
      <c r="B5175" t="str">
        <f>"1551685740511970"</f>
        <v>1551685740511970</v>
      </c>
      <c r="C5175" t="s">
        <v>40</v>
      </c>
      <c r="D5175">
        <v>3.959889</v>
      </c>
      <c r="E5175">
        <v>0.46956759999999997</v>
      </c>
      <c r="F5175" t="s">
        <v>44</v>
      </c>
      <c r="G5175">
        <v>-325.08870000000002</v>
      </c>
      <c r="H5175" s="1">
        <v>-3.3898830000000001E-6</v>
      </c>
      <c r="I5175">
        <v>133.10509999999999</v>
      </c>
      <c r="J5175">
        <v>-273.31009999999998</v>
      </c>
      <c r="K5175">
        <v>1.1106339999999999</v>
      </c>
      <c r="L5175">
        <v>141.43530000000001</v>
      </c>
      <c r="M5175">
        <v>-0.99984980000000001</v>
      </c>
      <c r="N5175">
        <v>-1.20035E-2</v>
      </c>
      <c r="O5175">
        <v>1.2515429999999999E-2</v>
      </c>
      <c r="P5175">
        <v>-0.98083359999999997</v>
      </c>
      <c r="Q5175">
        <v>0.17532239999999999</v>
      </c>
      <c r="R5175">
        <v>-8.5015590000000002E-2</v>
      </c>
      <c r="S5175">
        <v>-3.0282290000000001</v>
      </c>
      <c r="T5175">
        <v>-6.4737320000000001E-2</v>
      </c>
      <c r="U5175">
        <v>-0.48542790000000002</v>
      </c>
      <c r="V5175">
        <v>-9.7278329999999996E-2</v>
      </c>
      <c r="W5175">
        <v>0.1870735</v>
      </c>
      <c r="X5175">
        <v>0.97751750000000004</v>
      </c>
      <c r="Y5175">
        <v>-0.170566</v>
      </c>
      <c r="Z5175">
        <v>-2.9584619999999998E-3</v>
      </c>
      <c r="AA5175">
        <v>0.98534180000000005</v>
      </c>
      <c r="AB5175">
        <v>31</v>
      </c>
      <c r="AC5175">
        <v>-51.778599999999997</v>
      </c>
      <c r="AD5175">
        <v>-1.110637389883</v>
      </c>
      <c r="AE5175">
        <v>-8.3302000000000191</v>
      </c>
      <c r="AF5175">
        <v>-8.9736009894690003</v>
      </c>
      <c r="AG5175">
        <v>-1.110637389883</v>
      </c>
      <c r="AH5175">
        <v>51.647117664971503</v>
      </c>
      <c r="AI5175">
        <v>91.213739587278496</v>
      </c>
      <c r="AJ5175">
        <v>99.856646950050106</v>
      </c>
      <c r="AK5175">
        <v>52.432659604767402</v>
      </c>
      <c r="AL5175">
        <v>79.217954131347</v>
      </c>
      <c r="AM5175">
        <v>95.683117731993804</v>
      </c>
      <c r="AN5175">
        <v>1.00000001534804</v>
      </c>
    </row>
    <row r="5176" spans="1:40" x14ac:dyDescent="0.25">
      <c r="A5176" t="str">
        <f>"20190304154900535"</f>
        <v>20190304154900535</v>
      </c>
      <c r="B5176" t="str">
        <f>"1551685740532467"</f>
        <v>1551685740532467</v>
      </c>
      <c r="C5176" t="s">
        <v>40</v>
      </c>
      <c r="D5176">
        <v>4.0108680000000003</v>
      </c>
      <c r="E5176">
        <v>0.46930290000000002</v>
      </c>
      <c r="F5176" t="s">
        <v>44</v>
      </c>
      <c r="G5176">
        <v>-326.01960000000003</v>
      </c>
      <c r="H5176" s="1">
        <v>-3.1145870000000001E-6</v>
      </c>
      <c r="I5176">
        <v>132.94909999999999</v>
      </c>
      <c r="J5176">
        <v>-273.48750000000001</v>
      </c>
      <c r="K5176">
        <v>1.11063</v>
      </c>
      <c r="L5176">
        <v>141.4375</v>
      </c>
      <c r="M5176">
        <v>-0.99984980000000001</v>
      </c>
      <c r="N5176">
        <v>-1.2004229999999999E-2</v>
      </c>
      <c r="O5176">
        <v>1.2515419999999999E-2</v>
      </c>
      <c r="P5176">
        <v>-0.98081379999999996</v>
      </c>
      <c r="Q5176">
        <v>0.17514950000000001</v>
      </c>
      <c r="R5176">
        <v>-8.5600579999999996E-2</v>
      </c>
      <c r="S5176">
        <v>-3.0278019999999999</v>
      </c>
      <c r="T5176">
        <v>-6.3798549999999996E-2</v>
      </c>
      <c r="U5176">
        <v>-0.48747249999999998</v>
      </c>
      <c r="V5176">
        <v>-9.7862359999999995E-2</v>
      </c>
      <c r="W5176">
        <v>0.1869007</v>
      </c>
      <c r="X5176">
        <v>0.97749229999999998</v>
      </c>
      <c r="Y5176">
        <v>-0.17123749999999999</v>
      </c>
      <c r="Z5176">
        <v>-2.9397210000000002E-3</v>
      </c>
      <c r="AA5176">
        <v>0.98522540000000003</v>
      </c>
      <c r="AB5176">
        <v>31</v>
      </c>
      <c r="AC5176">
        <v>-52.5321</v>
      </c>
      <c r="AD5176">
        <v>-1.1106331145870001</v>
      </c>
      <c r="AE5176">
        <v>-8.4884000000000093</v>
      </c>
      <c r="AF5176">
        <v>-9.1412616117455894</v>
      </c>
      <c r="AG5176">
        <v>-1.1106331145870001</v>
      </c>
      <c r="AH5176">
        <v>52.3989160224926</v>
      </c>
      <c r="AI5176">
        <v>91.196183000588505</v>
      </c>
      <c r="AJ5176">
        <v>99.895953641568894</v>
      </c>
      <c r="AK5176">
        <v>53.201903820275298</v>
      </c>
      <c r="AL5176">
        <v>79.228033032985294</v>
      </c>
      <c r="AM5176">
        <v>95.717158530417194</v>
      </c>
      <c r="AN5176">
        <v>1.0000000548622701</v>
      </c>
    </row>
    <row r="5177" spans="1:40" x14ac:dyDescent="0.25">
      <c r="A5177" t="str">
        <f>"20190304154900551"</f>
        <v>20190304154900551</v>
      </c>
      <c r="B5177" t="str">
        <f>"1551685740542227"</f>
        <v>1551685740542227</v>
      </c>
      <c r="C5177" t="s">
        <v>40</v>
      </c>
      <c r="D5177">
        <v>3.9779469999999999</v>
      </c>
      <c r="E5177">
        <v>0.46930290000000002</v>
      </c>
      <c r="F5177" t="s">
        <v>44</v>
      </c>
      <c r="G5177">
        <v>-326.67880000000002</v>
      </c>
      <c r="H5177" s="1">
        <v>-2.9297780000000001E-6</v>
      </c>
      <c r="I5177">
        <v>132.8006</v>
      </c>
      <c r="J5177">
        <v>-273.7004</v>
      </c>
      <c r="K5177">
        <v>1.1106309999999999</v>
      </c>
      <c r="L5177">
        <v>141.4402</v>
      </c>
      <c r="M5177">
        <v>-0.99984969999999995</v>
      </c>
      <c r="N5177">
        <v>-1.200502E-2</v>
      </c>
      <c r="O5177">
        <v>1.2515419999999999E-2</v>
      </c>
      <c r="P5177">
        <v>-0.98075909999999999</v>
      </c>
      <c r="Q5177">
        <v>0.1752408</v>
      </c>
      <c r="R5177">
        <v>-8.6037379999999997E-2</v>
      </c>
      <c r="S5177">
        <v>-3.027069</v>
      </c>
      <c r="T5177">
        <v>-6.3205239999999996E-2</v>
      </c>
      <c r="U5177">
        <v>-0.49151610000000001</v>
      </c>
      <c r="V5177">
        <v>-9.8299220000000007E-2</v>
      </c>
      <c r="W5177">
        <v>0.18699250000000001</v>
      </c>
      <c r="X5177">
        <v>0.97743089999999999</v>
      </c>
      <c r="Y5177">
        <v>-0.17255780000000001</v>
      </c>
      <c r="Z5177">
        <v>-2.9427440000000002E-3</v>
      </c>
      <c r="AA5177">
        <v>0.98499499999999995</v>
      </c>
      <c r="AB5177">
        <v>31</v>
      </c>
      <c r="AC5177">
        <v>-52.978400000000001</v>
      </c>
      <c r="AD5177">
        <v>-1.1106339297779999</v>
      </c>
      <c r="AE5177">
        <v>-8.6395999999999997</v>
      </c>
      <c r="AF5177">
        <v>-9.2980374024652193</v>
      </c>
      <c r="AG5177">
        <v>-1.1106339297779999</v>
      </c>
      <c r="AH5177">
        <v>52.843491775439603</v>
      </c>
      <c r="AI5177">
        <v>91.185821062627994</v>
      </c>
      <c r="AJ5177">
        <v>99.979287205676997</v>
      </c>
      <c r="AK5177">
        <v>53.6667646712988</v>
      </c>
      <c r="AL5177">
        <v>79.222678812621893</v>
      </c>
      <c r="AM5177">
        <v>95.742868193675505</v>
      </c>
      <c r="AN5177">
        <v>1.0000000479918301</v>
      </c>
    </row>
    <row r="5178" spans="1:40" x14ac:dyDescent="0.25">
      <c r="A5178" t="str">
        <f>"20190304154900566"</f>
        <v>20190304154900566</v>
      </c>
      <c r="B5178" t="str">
        <f>"1551685740562723"</f>
        <v>1551685740562723</v>
      </c>
      <c r="C5178" t="s">
        <v>40</v>
      </c>
      <c r="D5178">
        <v>3.6734170000000002</v>
      </c>
      <c r="E5178">
        <v>0.4113134</v>
      </c>
      <c r="F5178" t="s">
        <v>44</v>
      </c>
      <c r="G5178">
        <v>-327.14870000000002</v>
      </c>
      <c r="H5178" s="1">
        <v>-2.7869529999999999E-6</v>
      </c>
      <c r="I5178">
        <v>132.7364</v>
      </c>
      <c r="J5178">
        <v>-273.91340000000002</v>
      </c>
      <c r="K5178">
        <v>1.110636</v>
      </c>
      <c r="L5178">
        <v>141.44290000000001</v>
      </c>
      <c r="M5178">
        <v>-0.99984969999999995</v>
      </c>
      <c r="N5178">
        <v>-1.200585E-2</v>
      </c>
      <c r="O5178">
        <v>1.251529E-2</v>
      </c>
      <c r="P5178">
        <v>-0.98059669999999999</v>
      </c>
      <c r="Q5178">
        <v>0.17525729999999901</v>
      </c>
      <c r="R5178">
        <v>-8.7837990000000005E-2</v>
      </c>
      <c r="S5178">
        <v>-3.0268549999999999</v>
      </c>
      <c r="T5178">
        <v>-6.2896969999999996E-2</v>
      </c>
      <c r="U5178">
        <v>-0.49290469999999997</v>
      </c>
      <c r="V5178">
        <v>-0.1000969</v>
      </c>
      <c r="W5178">
        <v>0.18700739999999999</v>
      </c>
      <c r="X5178">
        <v>0.97724549999999999</v>
      </c>
      <c r="Y5178">
        <v>-0.1730092</v>
      </c>
      <c r="Z5178">
        <v>-2.9403089999999999E-3</v>
      </c>
      <c r="AA5178">
        <v>0.98491589999999996</v>
      </c>
      <c r="AB5178">
        <v>31</v>
      </c>
      <c r="AC5178">
        <v>-53.235300000000002</v>
      </c>
      <c r="AD5178">
        <v>-1.1106387869529999</v>
      </c>
      <c r="AE5178">
        <v>-8.7065000000000001</v>
      </c>
      <c r="AF5178">
        <v>-9.36814985660153</v>
      </c>
      <c r="AG5178">
        <v>-1.1106387869529999</v>
      </c>
      <c r="AH5178">
        <v>53.0996479029969</v>
      </c>
      <c r="AI5178">
        <v>91.180012297108902</v>
      </c>
      <c r="AJ5178">
        <v>100.005493195794</v>
      </c>
      <c r="AK5178">
        <v>53.931144598210302</v>
      </c>
      <c r="AL5178">
        <v>79.221808839460806</v>
      </c>
      <c r="AM5178">
        <v>95.848273224959101</v>
      </c>
      <c r="AN5178">
        <v>0.99999996215730902</v>
      </c>
    </row>
    <row r="5179" spans="1:40" x14ac:dyDescent="0.25">
      <c r="A5179" t="str">
        <f>"20190304154900588"</f>
        <v>20190304154900588</v>
      </c>
      <c r="B5179" t="str">
        <f>"1551685740582243"</f>
        <v>1551685740582243</v>
      </c>
      <c r="C5179" t="s">
        <v>40</v>
      </c>
      <c r="D5179">
        <v>3.6957140000000002</v>
      </c>
      <c r="E5179">
        <v>0.40210960000000001</v>
      </c>
      <c r="F5179" t="s">
        <v>70</v>
      </c>
      <c r="G5179">
        <v>-343.29379999999998</v>
      </c>
      <c r="H5179">
        <v>1.4400790000000001</v>
      </c>
      <c r="I5179">
        <v>119.00020000000001</v>
      </c>
      <c r="J5179">
        <v>-274.21039999999999</v>
      </c>
      <c r="K5179">
        <v>1.1106339999999999</v>
      </c>
      <c r="L5179">
        <v>141.44659999999999</v>
      </c>
      <c r="M5179">
        <v>-0.99984960000000001</v>
      </c>
      <c r="N5179">
        <v>-1.20068E-2</v>
      </c>
      <c r="O5179">
        <v>1.251529E-2</v>
      </c>
      <c r="P5179">
        <v>-0.98051319999999997</v>
      </c>
      <c r="Q5179">
        <v>0.1748625</v>
      </c>
      <c r="R5179">
        <v>-8.9538439999999997E-2</v>
      </c>
      <c r="S5179">
        <v>-2.9707949999999999</v>
      </c>
      <c r="T5179">
        <v>1.4106870000000001E-2</v>
      </c>
      <c r="U5179">
        <v>-0.96096800000000004</v>
      </c>
      <c r="V5179">
        <v>-0.1017965</v>
      </c>
      <c r="W5179">
        <v>0.18661259999999999</v>
      </c>
      <c r="X5179">
        <v>0.97714540000000005</v>
      </c>
      <c r="Y5179">
        <v>-0.31965860000000001</v>
      </c>
      <c r="Z5179">
        <v>-1.0223179999999999E-3</v>
      </c>
      <c r="AA5179">
        <v>0.94753220000000005</v>
      </c>
      <c r="AB5179">
        <v>31</v>
      </c>
      <c r="AC5179">
        <v>-69.083399999999898</v>
      </c>
      <c r="AD5179">
        <v>0.32944499999999999</v>
      </c>
      <c r="AE5179">
        <v>-22.446399999999901</v>
      </c>
      <c r="AF5179">
        <v>-23.308823406089701</v>
      </c>
      <c r="AG5179">
        <v>0.32944499999999999</v>
      </c>
      <c r="AH5179">
        <v>68.795630083785596</v>
      </c>
      <c r="AI5179">
        <v>89.740137016032904</v>
      </c>
      <c r="AJ5179">
        <v>108.717025673668</v>
      </c>
      <c r="AK5179">
        <v>72.637789759940901</v>
      </c>
      <c r="AL5179">
        <v>79.244834548412001</v>
      </c>
      <c r="AM5179">
        <v>95.947473329684797</v>
      </c>
      <c r="AN5179">
        <v>0.99999996131608404</v>
      </c>
    </row>
    <row r="5180" spans="1:40" x14ac:dyDescent="0.25">
      <c r="A5180" t="str">
        <f>"20190304154900609"</f>
        <v>20190304154900609</v>
      </c>
      <c r="B5180" t="str">
        <f>"1551685740602738"</f>
        <v>1551685740602738</v>
      </c>
      <c r="C5180" t="s">
        <v>40</v>
      </c>
      <c r="D5180">
        <v>3.6777410000000001</v>
      </c>
      <c r="E5180">
        <v>0.39798309999999998</v>
      </c>
      <c r="F5180" t="s">
        <v>70</v>
      </c>
      <c r="G5180">
        <v>-338.12560000000002</v>
      </c>
      <c r="H5180">
        <v>1.6604639999999999</v>
      </c>
      <c r="I5180">
        <v>119.0003</v>
      </c>
      <c r="J5180">
        <v>-274.50810000000001</v>
      </c>
      <c r="K5180">
        <v>1.1106339999999999</v>
      </c>
      <c r="L5180">
        <v>141.4503</v>
      </c>
      <c r="M5180">
        <v>-0.99984969999999995</v>
      </c>
      <c r="N5180">
        <v>-1.200763E-2</v>
      </c>
      <c r="O5180">
        <v>1.2515099999999999E-2</v>
      </c>
      <c r="P5180">
        <v>-0.98037819999999998</v>
      </c>
      <c r="Q5180">
        <v>0.17449999999999999</v>
      </c>
      <c r="R5180">
        <v>-9.1700779999999996E-2</v>
      </c>
      <c r="S5180">
        <v>-2.9601440000000001</v>
      </c>
      <c r="T5180">
        <v>2.5465249999999998E-2</v>
      </c>
      <c r="U5180">
        <v>-1.039566</v>
      </c>
      <c r="V5180">
        <v>-0.1039567</v>
      </c>
      <c r="W5180">
        <v>0.186249</v>
      </c>
      <c r="X5180">
        <v>0.97698739999999995</v>
      </c>
      <c r="Y5180">
        <v>-0.3431343</v>
      </c>
      <c r="Z5180">
        <v>-4.3662449999999999E-4</v>
      </c>
      <c r="AA5180">
        <v>0.93928619999999996</v>
      </c>
      <c r="AB5180">
        <v>31</v>
      </c>
      <c r="AC5180">
        <v>-63.6175</v>
      </c>
      <c r="AD5180">
        <v>0.54982999999999904</v>
      </c>
      <c r="AE5180">
        <v>-22.45</v>
      </c>
      <c r="AF5180">
        <v>-23.242934303577801</v>
      </c>
      <c r="AG5180">
        <v>0.54982999999999904</v>
      </c>
      <c r="AH5180">
        <v>63.327326213806899</v>
      </c>
      <c r="AI5180">
        <v>89.533009690699899</v>
      </c>
      <c r="AJ5180">
        <v>110.154576496045</v>
      </c>
      <c r="AK5180">
        <v>67.460259067537294</v>
      </c>
      <c r="AL5180">
        <v>79.266039824554895</v>
      </c>
      <c r="AM5180">
        <v>96.073724637733093</v>
      </c>
      <c r="AN5180">
        <v>1.00000003261732</v>
      </c>
    </row>
    <row r="5181" spans="1:40" x14ac:dyDescent="0.25">
      <c r="A5181" t="str">
        <f>"20190304154900624"</f>
        <v>20190304154900624</v>
      </c>
      <c r="B5181" t="str">
        <f>"1551685740612499"</f>
        <v>1551685740612499</v>
      </c>
      <c r="C5181" t="s">
        <v>40</v>
      </c>
      <c r="D5181">
        <v>3.6401530000000002</v>
      </c>
      <c r="E5181">
        <v>0.3965746</v>
      </c>
      <c r="F5181" t="s">
        <v>70</v>
      </c>
      <c r="G5181">
        <v>-333.85039999999998</v>
      </c>
      <c r="H5181">
        <v>1.72951699999999</v>
      </c>
      <c r="I5181">
        <v>119.7694</v>
      </c>
      <c r="J5181">
        <v>-274.70909999999998</v>
      </c>
      <c r="K5181">
        <v>1.110635</v>
      </c>
      <c r="L5181">
        <v>141.4528</v>
      </c>
      <c r="M5181">
        <v>-0.99984969999999995</v>
      </c>
      <c r="N5181">
        <v>-1.2008110000000001E-2</v>
      </c>
      <c r="O5181">
        <v>1.2514920000000001E-2</v>
      </c>
      <c r="P5181">
        <v>-0.98026100000000005</v>
      </c>
      <c r="Q5181">
        <v>0.17461740000000001</v>
      </c>
      <c r="R5181">
        <v>-9.2723059999999996E-2</v>
      </c>
      <c r="S5181">
        <v>-2.9535830000000001</v>
      </c>
      <c r="T5181">
        <v>3.080368E-2</v>
      </c>
      <c r="U5181">
        <v>-1.079102</v>
      </c>
      <c r="V5181">
        <v>-0.1049773</v>
      </c>
      <c r="W5181">
        <v>0.18636520000000001</v>
      </c>
      <c r="X5181">
        <v>0.9768561</v>
      </c>
      <c r="Y5181">
        <v>-0.35489700000000002</v>
      </c>
      <c r="Z5181">
        <v>-1.3296099999999999E-4</v>
      </c>
      <c r="AA5181">
        <v>0.9349054</v>
      </c>
      <c r="AB5181">
        <v>31</v>
      </c>
      <c r="AC5181">
        <v>-59.141300000000001</v>
      </c>
      <c r="AD5181">
        <v>0.61888199999999904</v>
      </c>
      <c r="AE5181">
        <v>-21.683399999999899</v>
      </c>
      <c r="AF5181">
        <v>-22.419739383682899</v>
      </c>
      <c r="AG5181">
        <v>0.61888199999999904</v>
      </c>
      <c r="AH5181">
        <v>58.859600476558299</v>
      </c>
      <c r="AI5181">
        <v>89.437036701603404</v>
      </c>
      <c r="AJ5181">
        <v>110.851937076447</v>
      </c>
      <c r="AK5181">
        <v>62.987937712090996</v>
      </c>
      <c r="AL5181">
        <v>79.259263389885206</v>
      </c>
      <c r="AM5181">
        <v>96.133719533380003</v>
      </c>
      <c r="AN5181">
        <v>1.00000003069676</v>
      </c>
    </row>
    <row r="5182" spans="1:40" x14ac:dyDescent="0.25">
      <c r="A5182" t="str">
        <f>"20190304154900639"</f>
        <v>20190304154900639</v>
      </c>
      <c r="B5182" t="str">
        <f>"1551685740632019"</f>
        <v>1551685740632019</v>
      </c>
      <c r="C5182" t="s">
        <v>40</v>
      </c>
      <c r="D5182">
        <v>3.6661809999999999</v>
      </c>
      <c r="E5182">
        <v>0.39460040000000002</v>
      </c>
      <c r="F5182" t="s">
        <v>70</v>
      </c>
      <c r="G5182">
        <v>-333.21199999999999</v>
      </c>
      <c r="H5182">
        <v>1.7872599999999901</v>
      </c>
      <c r="I5182">
        <v>119.7694</v>
      </c>
      <c r="J5182">
        <v>-274.92759999999998</v>
      </c>
      <c r="K5182">
        <v>1.110633</v>
      </c>
      <c r="L5182">
        <v>141.4556</v>
      </c>
      <c r="M5182">
        <v>-0.99984960000000001</v>
      </c>
      <c r="N5182">
        <v>-1.200859E-2</v>
      </c>
      <c r="O5182">
        <v>1.251474E-2</v>
      </c>
      <c r="P5182">
        <v>-0.98020070000000004</v>
      </c>
      <c r="Q5182">
        <v>0.17454749999999999</v>
      </c>
      <c r="R5182">
        <v>-9.3488219999999997E-2</v>
      </c>
      <c r="S5182">
        <v>-2.9508670000000001</v>
      </c>
      <c r="T5182">
        <v>3.41295E-2</v>
      </c>
      <c r="U5182">
        <v>-1.093704</v>
      </c>
      <c r="V5182">
        <v>-0.10574119999999999</v>
      </c>
      <c r="W5182">
        <v>0.18629490000000001</v>
      </c>
      <c r="X5182">
        <v>0.97678710000000002</v>
      </c>
      <c r="Y5182">
        <v>-0.35924270000000003</v>
      </c>
      <c r="Z5182" s="1">
        <v>6.9657810000000003E-5</v>
      </c>
      <c r="AA5182">
        <v>0.93324419999999997</v>
      </c>
      <c r="AB5182">
        <v>31</v>
      </c>
      <c r="AC5182">
        <v>-58.284399999999998</v>
      </c>
      <c r="AD5182">
        <v>0.67662699999999898</v>
      </c>
      <c r="AE5182">
        <v>-21.686199999999999</v>
      </c>
      <c r="AF5182">
        <v>-22.4113150650278</v>
      </c>
      <c r="AG5182">
        <v>0.67662699999999898</v>
      </c>
      <c r="AH5182">
        <v>58.001551920873801</v>
      </c>
      <c r="AI5182">
        <v>89.376554088760599</v>
      </c>
      <c r="AJ5182">
        <v>111.126115473883</v>
      </c>
      <c r="AK5182">
        <v>62.184442526011999</v>
      </c>
      <c r="AL5182">
        <v>79.263362908844201</v>
      </c>
      <c r="AM5182">
        <v>96.178442565962996</v>
      </c>
      <c r="AN5182">
        <v>1.00000001493493</v>
      </c>
    </row>
    <row r="5183" spans="1:40" x14ac:dyDescent="0.25">
      <c r="A5183" t="str">
        <f>"20190304154900654"</f>
        <v>20190304154900654</v>
      </c>
      <c r="B5183" t="str">
        <f>"1551685740642755"</f>
        <v>1551685740642755</v>
      </c>
      <c r="C5183" t="s">
        <v>40</v>
      </c>
      <c r="D5183">
        <v>3.6201530000000002</v>
      </c>
      <c r="E5183">
        <v>0.39370339999999998</v>
      </c>
      <c r="F5183" t="s">
        <v>70</v>
      </c>
      <c r="G5183">
        <v>-333.05369999999999</v>
      </c>
      <c r="H5183">
        <v>1.859159</v>
      </c>
      <c r="I5183">
        <v>119.52549999999999</v>
      </c>
      <c r="J5183">
        <v>-275.11720000000003</v>
      </c>
      <c r="K5183">
        <v>1.1106309999999999</v>
      </c>
      <c r="L5183">
        <v>141.4579</v>
      </c>
      <c r="M5183">
        <v>-0.99984960000000001</v>
      </c>
      <c r="N5183">
        <v>-1.2008970000000001E-2</v>
      </c>
      <c r="O5183">
        <v>1.2514559999999999E-2</v>
      </c>
      <c r="P5183">
        <v>-0.98002750000000005</v>
      </c>
      <c r="Q5183">
        <v>0.17453529999999901</v>
      </c>
      <c r="R5183">
        <v>-9.5309169999999999E-2</v>
      </c>
      <c r="S5183">
        <v>-2.9477540000000002</v>
      </c>
      <c r="T5183">
        <v>3.7960769999999998E-2</v>
      </c>
      <c r="U5183">
        <v>-1.1121369999999999</v>
      </c>
      <c r="V5183">
        <v>-0.10756010000000001</v>
      </c>
      <c r="W5183">
        <v>0.1862808</v>
      </c>
      <c r="X5183">
        <v>0.97659119999999999</v>
      </c>
      <c r="Y5183">
        <v>-0.3646739</v>
      </c>
      <c r="Z5183">
        <v>3.0842800000000002E-4</v>
      </c>
      <c r="AA5183">
        <v>0.93113520000000005</v>
      </c>
      <c r="AB5183">
        <v>31</v>
      </c>
      <c r="AC5183">
        <v>-57.936499999999903</v>
      </c>
      <c r="AD5183">
        <v>0.74852799999999997</v>
      </c>
      <c r="AE5183">
        <v>-21.932400000000001</v>
      </c>
      <c r="AF5183">
        <v>-22.652477066326099</v>
      </c>
      <c r="AG5183">
        <v>0.74852799999999997</v>
      </c>
      <c r="AH5183">
        <v>57.649051525543001</v>
      </c>
      <c r="AI5183">
        <v>89.307628420623402</v>
      </c>
      <c r="AJ5183">
        <v>111.451727245673</v>
      </c>
      <c r="AK5183">
        <v>61.944395656119902</v>
      </c>
      <c r="AL5183">
        <v>79.264185464062194</v>
      </c>
      <c r="AM5183">
        <v>96.285127959145299</v>
      </c>
      <c r="AN5183">
        <v>1.00000004173904</v>
      </c>
    </row>
    <row r="5184" spans="1:40" x14ac:dyDescent="0.25">
      <c r="A5184" t="str">
        <f>"20190304154900676"</f>
        <v>20190304154900676</v>
      </c>
      <c r="B5184" t="str">
        <f>"1551685740672035"</f>
        <v>1551685740672035</v>
      </c>
      <c r="C5184" t="s">
        <v>40</v>
      </c>
      <c r="D5184">
        <v>3.6710240000000001</v>
      </c>
      <c r="E5184">
        <v>0.3920786</v>
      </c>
      <c r="F5184" t="s">
        <v>70</v>
      </c>
      <c r="G5184">
        <v>-333.05369999999999</v>
      </c>
      <c r="H5184">
        <v>1.889699</v>
      </c>
      <c r="I5184">
        <v>119.3365</v>
      </c>
      <c r="J5184">
        <v>-275.42270000000002</v>
      </c>
      <c r="K5184">
        <v>1.1106339999999999</v>
      </c>
      <c r="L5184">
        <v>141.46170000000001</v>
      </c>
      <c r="M5184">
        <v>-0.99984969999999995</v>
      </c>
      <c r="N5184">
        <v>-1.2009540000000001E-2</v>
      </c>
      <c r="O5184">
        <v>1.251408E-2</v>
      </c>
      <c r="P5184">
        <v>-0.97989079999999995</v>
      </c>
      <c r="Q5184">
        <v>0.17456540000000001</v>
      </c>
      <c r="R5184">
        <v>-9.6649540000000006E-2</v>
      </c>
      <c r="S5184">
        <v>-2.9447329999999998</v>
      </c>
      <c r="T5184">
        <v>3.9598229999999998E-2</v>
      </c>
      <c r="U5184">
        <v>-1.1243590000000001</v>
      </c>
      <c r="V5184">
        <v>-0.1088983</v>
      </c>
      <c r="W5184">
        <v>0.18630949999999999</v>
      </c>
      <c r="X5184">
        <v>0.97643740000000001</v>
      </c>
      <c r="Y5184">
        <v>-0.36836239999999998</v>
      </c>
      <c r="Z5184">
        <v>4.1286140000000002E-4</v>
      </c>
      <c r="AA5184">
        <v>0.92968220000000001</v>
      </c>
      <c r="AB5184">
        <v>31</v>
      </c>
      <c r="AC5184">
        <v>-57.630999999999901</v>
      </c>
      <c r="AD5184">
        <v>0.77906500000000001</v>
      </c>
      <c r="AE5184">
        <v>-22.1252</v>
      </c>
      <c r="AF5184">
        <v>-22.841080300913401</v>
      </c>
      <c r="AG5184">
        <v>0.77906500000000001</v>
      </c>
      <c r="AH5184">
        <v>57.340457725014197</v>
      </c>
      <c r="AI5184">
        <v>89.276845451958394</v>
      </c>
      <c r="AJ5184">
        <v>111.719441380891</v>
      </c>
      <c r="AK5184">
        <v>61.7272223877046</v>
      </c>
      <c r="AL5184">
        <v>79.262511678534395</v>
      </c>
      <c r="AM5184">
        <v>96.363680423317007</v>
      </c>
      <c r="AN5184">
        <v>1.00000003282594</v>
      </c>
    </row>
    <row r="5185" spans="1:40" x14ac:dyDescent="0.25">
      <c r="A5185" t="str">
        <f>"20190304154900689"</f>
        <v>20190304154900689</v>
      </c>
      <c r="B5185" t="str">
        <f>"1551685740682771"</f>
        <v>1551685740682771</v>
      </c>
      <c r="C5185" t="s">
        <v>40</v>
      </c>
      <c r="D5185">
        <v>3.6938979999999999</v>
      </c>
      <c r="E5185">
        <v>0.39185219999999998</v>
      </c>
      <c r="F5185" t="s">
        <v>70</v>
      </c>
      <c r="G5185">
        <v>-333.05369999999999</v>
      </c>
      <c r="H5185">
        <v>1.938091</v>
      </c>
      <c r="I5185">
        <v>119.10420000000001</v>
      </c>
      <c r="J5185">
        <v>-275.6114</v>
      </c>
      <c r="K5185">
        <v>1.1106339999999999</v>
      </c>
      <c r="L5185">
        <v>141.4641</v>
      </c>
      <c r="M5185">
        <v>-0.99984969999999995</v>
      </c>
      <c r="N5185">
        <v>-1.2009870000000001E-2</v>
      </c>
      <c r="O5185">
        <v>1.2513410000000001E-2</v>
      </c>
      <c r="P5185">
        <v>-0.97983739999999997</v>
      </c>
      <c r="Q5185">
        <v>0.1746404</v>
      </c>
      <c r="R5185">
        <v>-9.7056840000000005E-2</v>
      </c>
      <c r="S5185">
        <v>-2.9415279999999999</v>
      </c>
      <c r="T5185">
        <v>4.223466E-2</v>
      </c>
      <c r="U5185">
        <v>-1.1411439999999999</v>
      </c>
      <c r="V5185">
        <v>-0.109304</v>
      </c>
      <c r="W5185">
        <v>0.18638440000000001</v>
      </c>
      <c r="X5185">
        <v>0.97637770000000002</v>
      </c>
      <c r="Y5185">
        <v>-0.37331140000000002</v>
      </c>
      <c r="Z5185">
        <v>5.8405009999999995E-4</v>
      </c>
      <c r="AA5185">
        <v>0.92770589999999997</v>
      </c>
      <c r="AB5185">
        <v>31</v>
      </c>
      <c r="AC5185">
        <v>-57.442299999999904</v>
      </c>
      <c r="AD5185">
        <v>0.827456999999999</v>
      </c>
      <c r="AE5185">
        <v>-22.3599</v>
      </c>
      <c r="AF5185">
        <v>-23.0728421419401</v>
      </c>
      <c r="AG5185">
        <v>0.827456999999999</v>
      </c>
      <c r="AH5185">
        <v>57.147685103347598</v>
      </c>
      <c r="AI5185">
        <v>89.230777002223107</v>
      </c>
      <c r="AJ5185">
        <v>111.985931240377</v>
      </c>
      <c r="AK5185">
        <v>61.6352061914708</v>
      </c>
      <c r="AL5185">
        <v>79.258142935049506</v>
      </c>
      <c r="AM5185">
        <v>96.387580022672694</v>
      </c>
      <c r="AN5185">
        <v>0.999999961018324</v>
      </c>
    </row>
    <row r="5186" spans="1:40" x14ac:dyDescent="0.25">
      <c r="A5186" t="str">
        <f>"20190304154900702"</f>
        <v>20190304154900702</v>
      </c>
      <c r="B5186" t="str">
        <f>"1551685740692531"</f>
        <v>1551685740692531</v>
      </c>
      <c r="C5186" t="s">
        <v>40</v>
      </c>
      <c r="D5186">
        <v>3.677413</v>
      </c>
      <c r="E5186">
        <v>0.39172509999999999</v>
      </c>
      <c r="F5186" t="s">
        <v>70</v>
      </c>
      <c r="G5186">
        <v>-333.05369999999999</v>
      </c>
      <c r="H5186">
        <v>1.94085</v>
      </c>
      <c r="I5186">
        <v>119.1148</v>
      </c>
      <c r="J5186">
        <v>-275.78050000000002</v>
      </c>
      <c r="K5186">
        <v>1.110635</v>
      </c>
      <c r="L5186">
        <v>141.46619999999999</v>
      </c>
      <c r="M5186">
        <v>-0.99984969999999995</v>
      </c>
      <c r="N5186">
        <v>-1.2010150000000001E-2</v>
      </c>
      <c r="O5186">
        <v>1.251119E-2</v>
      </c>
      <c r="P5186">
        <v>-0.9797553</v>
      </c>
      <c r="Q5186">
        <v>0.1748604</v>
      </c>
      <c r="R5186">
        <v>-9.7487589999999999E-2</v>
      </c>
      <c r="S5186">
        <v>-2.9408259999999999</v>
      </c>
      <c r="T5186">
        <v>4.2504550000000002E-2</v>
      </c>
      <c r="U5186">
        <v>-1.144196</v>
      </c>
      <c r="V5186">
        <v>-0.10973189999999999</v>
      </c>
      <c r="W5186">
        <v>0.1866032</v>
      </c>
      <c r="X5186">
        <v>0.97628800000000004</v>
      </c>
      <c r="Y5186">
        <v>-0.37422</v>
      </c>
      <c r="Z5186">
        <v>6.0192079999999999E-4</v>
      </c>
      <c r="AA5186">
        <v>0.92733969999999999</v>
      </c>
      <c r="AB5186">
        <v>31</v>
      </c>
      <c r="AC5186">
        <v>-57.273199999999903</v>
      </c>
      <c r="AD5186">
        <v>0.83021499999999904</v>
      </c>
      <c r="AE5186">
        <v>-22.351399999999899</v>
      </c>
      <c r="AF5186">
        <v>-23.0620524265242</v>
      </c>
      <c r="AG5186">
        <v>0.83021499999999904</v>
      </c>
      <c r="AH5186">
        <v>56.978663736133697</v>
      </c>
      <c r="AI5186">
        <v>89.226195377294303</v>
      </c>
      <c r="AJ5186">
        <v>112.03558753511901</v>
      </c>
      <c r="AK5186">
        <v>61.474512118644498</v>
      </c>
      <c r="AL5186">
        <v>79.245383740196104</v>
      </c>
      <c r="AM5186">
        <v>96.412962297147402</v>
      </c>
      <c r="AN5186">
        <v>1.00000005153592</v>
      </c>
    </row>
    <row r="5187" spans="1:40" x14ac:dyDescent="0.25">
      <c r="A5187" t="str">
        <f>"20190304154900715"</f>
        <v>20190304154900715</v>
      </c>
      <c r="B5187" t="str">
        <f>"1551685740712050"</f>
        <v>1551685740712050</v>
      </c>
      <c r="C5187" t="s">
        <v>40</v>
      </c>
      <c r="D5187">
        <v>3.6711529999999999</v>
      </c>
      <c r="E5187">
        <v>0.39145279999999999</v>
      </c>
      <c r="F5187" t="s">
        <v>70</v>
      </c>
      <c r="G5187">
        <v>-333.05369999999999</v>
      </c>
      <c r="H5187">
        <v>1.943465</v>
      </c>
      <c r="I5187">
        <v>119.1319</v>
      </c>
      <c r="J5187">
        <v>-275.9631</v>
      </c>
      <c r="K5187">
        <v>1.110638</v>
      </c>
      <c r="L5187">
        <v>141.46850000000001</v>
      </c>
      <c r="M5187">
        <v>-0.99984969999999995</v>
      </c>
      <c r="N5187">
        <v>-1.2010420000000001E-2</v>
      </c>
      <c r="O5187">
        <v>1.2506990000000001E-2</v>
      </c>
      <c r="P5187">
        <v>-0.97977170000000002</v>
      </c>
      <c r="Q5187">
        <v>0.1747358</v>
      </c>
      <c r="R5187">
        <v>-9.7544370000000005E-2</v>
      </c>
      <c r="S5187">
        <v>-2.940277</v>
      </c>
      <c r="T5187">
        <v>4.275632E-2</v>
      </c>
      <c r="U5187">
        <v>-1.1465909999999999</v>
      </c>
      <c r="V5187">
        <v>-0.1097858</v>
      </c>
      <c r="W5187">
        <v>0.18647859999999999</v>
      </c>
      <c r="X5187">
        <v>0.97630570000000005</v>
      </c>
      <c r="Y5187">
        <v>-0.37493029999999999</v>
      </c>
      <c r="Z5187">
        <v>6.1854110000000005E-4</v>
      </c>
      <c r="AA5187">
        <v>0.92705280000000001</v>
      </c>
      <c r="AB5187">
        <v>31</v>
      </c>
      <c r="AC5187">
        <v>-57.090600000000002</v>
      </c>
      <c r="AD5187">
        <v>0.83282699999999998</v>
      </c>
      <c r="AE5187">
        <v>-22.336600000000001</v>
      </c>
      <c r="AF5187">
        <v>-23.044682733061801</v>
      </c>
      <c r="AG5187">
        <v>0.83282699999999998</v>
      </c>
      <c r="AH5187">
        <v>56.796268257289199</v>
      </c>
      <c r="AI5187">
        <v>89.221537997932401</v>
      </c>
      <c r="AJ5187">
        <v>112.084505245305</v>
      </c>
      <c r="AK5187">
        <v>61.298997471682704</v>
      </c>
      <c r="AL5187">
        <v>79.252649837076703</v>
      </c>
      <c r="AM5187">
        <v>96.415970713497501</v>
      </c>
      <c r="AN5187">
        <v>1.00000000499604</v>
      </c>
    </row>
    <row r="5188" spans="1:40" x14ac:dyDescent="0.25">
      <c r="A5188" t="str">
        <f>"20190304154900732"</f>
        <v>20190304154900732</v>
      </c>
      <c r="B5188" t="str">
        <f>"1551685740722787"</f>
        <v>1551685740722787</v>
      </c>
      <c r="C5188" t="s">
        <v>40</v>
      </c>
      <c r="D5188">
        <v>3.6473360000000001</v>
      </c>
      <c r="E5188">
        <v>0.39120129999999997</v>
      </c>
      <c r="F5188" t="s">
        <v>70</v>
      </c>
      <c r="G5188">
        <v>-333.05369999999999</v>
      </c>
      <c r="H5188">
        <v>1.9292199999999999</v>
      </c>
      <c r="I5188">
        <v>119.1579</v>
      </c>
      <c r="J5188">
        <v>-276.19529999999997</v>
      </c>
      <c r="K5188">
        <v>1.110643</v>
      </c>
      <c r="L5188">
        <v>141.47139999999999</v>
      </c>
      <c r="M5188">
        <v>-0.99984989999999996</v>
      </c>
      <c r="N5188">
        <v>-1.2010740000000001E-2</v>
      </c>
      <c r="O5188">
        <v>1.249536E-2</v>
      </c>
      <c r="P5188">
        <v>-0.97980080000000003</v>
      </c>
      <c r="Q5188">
        <v>0.17450079999999901</v>
      </c>
      <c r="R5188">
        <v>-9.767605E-2</v>
      </c>
      <c r="S5188">
        <v>-2.9400330000000001</v>
      </c>
      <c r="T5188">
        <v>4.2155739999999997E-2</v>
      </c>
      <c r="U5188">
        <v>-1.148941</v>
      </c>
      <c r="V5188">
        <v>-0.10990809999999999</v>
      </c>
      <c r="W5188">
        <v>0.18624289999999999</v>
      </c>
      <c r="X5188">
        <v>0.97633689999999995</v>
      </c>
      <c r="Y5188">
        <v>-0.37558910000000001</v>
      </c>
      <c r="Z5188">
        <v>5.7874010000000004E-4</v>
      </c>
      <c r="AA5188">
        <v>0.92678609999999995</v>
      </c>
      <c r="AB5188">
        <v>31</v>
      </c>
      <c r="AC5188">
        <v>-56.858400000000003</v>
      </c>
      <c r="AD5188">
        <v>0.818577</v>
      </c>
      <c r="AE5188">
        <v>-22.313499999999902</v>
      </c>
      <c r="AF5188">
        <v>-23.0181408903413</v>
      </c>
      <c r="AG5188">
        <v>0.818577</v>
      </c>
      <c r="AH5188">
        <v>56.564965721820798</v>
      </c>
      <c r="AI5188">
        <v>89.232046501542797</v>
      </c>
      <c r="AJ5188">
        <v>112.143020832839</v>
      </c>
      <c r="AK5188">
        <v>61.074546461380201</v>
      </c>
      <c r="AL5188">
        <v>79.2663949301174</v>
      </c>
      <c r="AM5188">
        <v>96.422854785001604</v>
      </c>
      <c r="AN5188">
        <v>0.99999997527381401</v>
      </c>
    </row>
    <row r="5189" spans="1:40" x14ac:dyDescent="0.25">
      <c r="A5189" t="str">
        <f>"20190304154900747"</f>
        <v>20190304154900747</v>
      </c>
      <c r="B5189" t="str">
        <f>"1551685740742307"</f>
        <v>1551685740742307</v>
      </c>
      <c r="C5189" t="s">
        <v>40</v>
      </c>
      <c r="D5189">
        <v>3.6413039999999999</v>
      </c>
      <c r="E5189">
        <v>0.3910071</v>
      </c>
      <c r="F5189" t="s">
        <v>70</v>
      </c>
      <c r="G5189">
        <v>-333.05369999999999</v>
      </c>
      <c r="H5189">
        <v>1.928596</v>
      </c>
      <c r="I5189">
        <v>119.1972</v>
      </c>
      <c r="J5189">
        <v>-276.39870000000002</v>
      </c>
      <c r="K5189">
        <v>1.110649</v>
      </c>
      <c r="L5189">
        <v>141.47389999999999</v>
      </c>
      <c r="M5189">
        <v>-0.99985000000000002</v>
      </c>
      <c r="N5189">
        <v>-1.2011000000000001E-2</v>
      </c>
      <c r="O5189">
        <v>1.247798E-2</v>
      </c>
      <c r="P5189">
        <v>-0.97985259999999996</v>
      </c>
      <c r="Q5189">
        <v>0.17419470000000001</v>
      </c>
      <c r="R5189">
        <v>-9.7700460000000003E-2</v>
      </c>
      <c r="S5189">
        <v>-2.939514</v>
      </c>
      <c r="T5189">
        <v>4.2287829999999998E-2</v>
      </c>
      <c r="U5189">
        <v>-1.1515500000000001</v>
      </c>
      <c r="V5189">
        <v>-0.1099197</v>
      </c>
      <c r="W5189">
        <v>0.18593599999999999</v>
      </c>
      <c r="X5189">
        <v>0.97639410000000004</v>
      </c>
      <c r="Y5189">
        <v>-0.3763416</v>
      </c>
      <c r="Z5189">
        <v>5.8709970000000002E-4</v>
      </c>
      <c r="AA5189">
        <v>0.92648079999999999</v>
      </c>
      <c r="AB5189">
        <v>31</v>
      </c>
      <c r="AC5189">
        <v>-56.654999999999902</v>
      </c>
      <c r="AD5189">
        <v>0.81794699999999998</v>
      </c>
      <c r="AE5189">
        <v>-22.276699999999899</v>
      </c>
      <c r="AF5189">
        <v>-22.9778083056461</v>
      </c>
      <c r="AG5189">
        <v>0.81794699999999998</v>
      </c>
      <c r="AH5189">
        <v>56.362425435908897</v>
      </c>
      <c r="AI5189">
        <v>89.230081109365699</v>
      </c>
      <c r="AJ5189">
        <v>112.17971757513401</v>
      </c>
      <c r="AK5189">
        <v>60.8717644958992</v>
      </c>
      <c r="AL5189">
        <v>79.2842917430265</v>
      </c>
      <c r="AM5189">
        <v>96.423153841070103</v>
      </c>
      <c r="AN5189">
        <v>0.99999998752944996</v>
      </c>
    </row>
    <row r="5190" spans="1:40" x14ac:dyDescent="0.25">
      <c r="A5190" t="str">
        <f>"20190304154900761"</f>
        <v>20190304154900761</v>
      </c>
      <c r="B5190" t="str">
        <f>"1551685740752067"</f>
        <v>1551685740752067</v>
      </c>
      <c r="C5190" t="s">
        <v>40</v>
      </c>
      <c r="D5190">
        <v>3.6783039999999998</v>
      </c>
      <c r="E5190">
        <v>0.39094269999999998</v>
      </c>
      <c r="F5190" t="s">
        <v>70</v>
      </c>
      <c r="G5190">
        <v>-333.05369999999999</v>
      </c>
      <c r="H5190">
        <v>1.898191</v>
      </c>
      <c r="I5190">
        <v>119.2486</v>
      </c>
      <c r="J5190">
        <v>-276.5976</v>
      </c>
      <c r="K5190">
        <v>1.1106549999999999</v>
      </c>
      <c r="L5190">
        <v>141.47640000000001</v>
      </c>
      <c r="M5190">
        <v>-0.99985029999999997</v>
      </c>
      <c r="N5190">
        <v>-1.2011229999999999E-2</v>
      </c>
      <c r="O5190">
        <v>1.2456119999999999E-2</v>
      </c>
      <c r="P5190">
        <v>-0.97987369999999996</v>
      </c>
      <c r="Q5190">
        <v>0.1742011</v>
      </c>
      <c r="R5190">
        <v>-9.7475240000000005E-2</v>
      </c>
      <c r="S5190">
        <v>-2.9394529999999999</v>
      </c>
      <c r="T5190">
        <v>4.0861010000000003E-2</v>
      </c>
      <c r="U5190">
        <v>-1.153122</v>
      </c>
      <c r="V5190">
        <v>-0.1096761</v>
      </c>
      <c r="W5190">
        <v>0.1859412</v>
      </c>
      <c r="X5190">
        <v>0.97642050000000002</v>
      </c>
      <c r="Y5190">
        <v>-0.3767585</v>
      </c>
      <c r="Z5190">
        <v>4.9238370000000001E-4</v>
      </c>
      <c r="AA5190">
        <v>0.92631140000000001</v>
      </c>
      <c r="AB5190">
        <v>31</v>
      </c>
      <c r="AC5190">
        <v>-56.4560999999999</v>
      </c>
      <c r="AD5190">
        <v>0.78753600000000001</v>
      </c>
      <c r="AE5190">
        <v>-22.227799999999998</v>
      </c>
      <c r="AF5190">
        <v>-22.9254876413654</v>
      </c>
      <c r="AG5190">
        <v>0.78753600000000001</v>
      </c>
      <c r="AH5190">
        <v>56.165364985470198</v>
      </c>
      <c r="AI5190">
        <v>89.256232330975607</v>
      </c>
      <c r="AJ5190">
        <v>112.20422082084499</v>
      </c>
      <c r="AK5190">
        <v>60.6691554292359</v>
      </c>
      <c r="AL5190">
        <v>79.283988487468605</v>
      </c>
      <c r="AM5190">
        <v>96.408865814378004</v>
      </c>
      <c r="AN5190">
        <v>0.99999998479444896</v>
      </c>
    </row>
    <row r="5191" spans="1:40" x14ac:dyDescent="0.25">
      <c r="A5191" t="str">
        <f>"20190304154900777"</f>
        <v>20190304154900777</v>
      </c>
      <c r="B5191" t="str">
        <f>"1551685740772564"</f>
        <v>1551685740772564</v>
      </c>
      <c r="C5191" t="s">
        <v>40</v>
      </c>
      <c r="D5191">
        <v>3.726394</v>
      </c>
      <c r="E5191">
        <v>0.39072639999999997</v>
      </c>
      <c r="F5191" t="s">
        <v>70</v>
      </c>
      <c r="G5191">
        <v>-333.05369999999999</v>
      </c>
      <c r="H5191">
        <v>1.8964160000000001</v>
      </c>
      <c r="I5191">
        <v>119.3321</v>
      </c>
      <c r="J5191">
        <v>-276.80959999999999</v>
      </c>
      <c r="K5191">
        <v>1.110665</v>
      </c>
      <c r="L5191">
        <v>141.47899999999899</v>
      </c>
      <c r="M5191">
        <v>-0.99985069999999998</v>
      </c>
      <c r="N5191">
        <v>-1.201146E-2</v>
      </c>
      <c r="O5191">
        <v>1.2427219999999999E-2</v>
      </c>
      <c r="P5191">
        <v>-0.97989280000000001</v>
      </c>
      <c r="Q5191">
        <v>0.17422839999999901</v>
      </c>
      <c r="R5191">
        <v>-9.7236509999999998E-2</v>
      </c>
      <c r="S5191">
        <v>-2.939575</v>
      </c>
      <c r="T5191">
        <v>4.0913940000000003E-2</v>
      </c>
      <c r="U5191">
        <v>-1.1530149999999999</v>
      </c>
      <c r="V5191">
        <v>-0.109413</v>
      </c>
      <c r="W5191">
        <v>0.18596699999999999</v>
      </c>
      <c r="X5191">
        <v>0.97644509999999995</v>
      </c>
      <c r="Y5191">
        <v>-0.37668950000000001</v>
      </c>
      <c r="Z5191">
        <v>4.9500629999999998E-4</v>
      </c>
      <c r="AA5191">
        <v>0.92633940000000004</v>
      </c>
      <c r="AB5191">
        <v>31</v>
      </c>
      <c r="AC5191">
        <v>-56.244100000000003</v>
      </c>
      <c r="AD5191">
        <v>0.78575099999999898</v>
      </c>
      <c r="AE5191">
        <v>-22.146899999999899</v>
      </c>
      <c r="AF5191">
        <v>-22.840338353633999</v>
      </c>
      <c r="AG5191">
        <v>0.78575099999999898</v>
      </c>
      <c r="AH5191">
        <v>55.955057072132298</v>
      </c>
      <c r="AI5191">
        <v>89.255132357164996</v>
      </c>
      <c r="AJ5191">
        <v>112.204829831464</v>
      </c>
      <c r="AK5191">
        <v>60.442260651700202</v>
      </c>
      <c r="AL5191">
        <v>79.282483980114904</v>
      </c>
      <c r="AM5191">
        <v>96.393459421325801</v>
      </c>
      <c r="AN5191">
        <v>0.999999981486004</v>
      </c>
    </row>
    <row r="5192" spans="1:40" x14ac:dyDescent="0.25">
      <c r="A5192" t="str">
        <f>"20190304154900798"</f>
        <v>20190304154900798</v>
      </c>
      <c r="B5192" t="str">
        <f>"1551685740792083"</f>
        <v>1551685740792083</v>
      </c>
      <c r="C5192" t="s">
        <v>40</v>
      </c>
      <c r="D5192">
        <v>3.6704639999999999</v>
      </c>
      <c r="E5192">
        <v>0.39058710000000002</v>
      </c>
      <c r="F5192" t="s">
        <v>70</v>
      </c>
      <c r="G5192">
        <v>-333.05369999999999</v>
      </c>
      <c r="H5192">
        <v>1.8873770000000001</v>
      </c>
      <c r="I5192">
        <v>119.4059</v>
      </c>
      <c r="J5192">
        <v>-277.11130000000003</v>
      </c>
      <c r="K5192">
        <v>1.1106780000000001</v>
      </c>
      <c r="L5192">
        <v>141.48269999999999</v>
      </c>
      <c r="M5192">
        <v>-0.9998513</v>
      </c>
      <c r="N5192">
        <v>-1.201176E-2</v>
      </c>
      <c r="O5192">
        <v>1.237479E-2</v>
      </c>
      <c r="P5192">
        <v>-0.97987480000000005</v>
      </c>
      <c r="Q5192">
        <v>0.17490329999999901</v>
      </c>
      <c r="R5192">
        <v>-9.6198909999999999E-2</v>
      </c>
      <c r="S5192">
        <v>-2.93988</v>
      </c>
      <c r="T5192">
        <v>4.0599469999999999E-2</v>
      </c>
      <c r="U5192">
        <v>-1.1537630000000001</v>
      </c>
      <c r="V5192">
        <v>-0.1083293</v>
      </c>
      <c r="W5192">
        <v>0.18663930000000001</v>
      </c>
      <c r="X5192">
        <v>0.97643769999999996</v>
      </c>
      <c r="Y5192">
        <v>-0.3768126</v>
      </c>
      <c r="Z5192">
        <v>4.7252649999999998E-4</v>
      </c>
      <c r="AA5192">
        <v>0.92628940000000004</v>
      </c>
      <c r="AB5192">
        <v>31</v>
      </c>
      <c r="AC5192">
        <v>-55.9423999999999</v>
      </c>
      <c r="AD5192">
        <v>0.77669900000000003</v>
      </c>
      <c r="AE5192">
        <v>-22.076799999999899</v>
      </c>
      <c r="AF5192">
        <v>-22.7636380073406</v>
      </c>
      <c r="AG5192">
        <v>0.77669900000000003</v>
      </c>
      <c r="AH5192">
        <v>55.655617683936399</v>
      </c>
      <c r="AI5192">
        <v>89.259963447997194</v>
      </c>
      <c r="AJ5192">
        <v>112.24499402167601</v>
      </c>
      <c r="AK5192">
        <v>60.1359647502752</v>
      </c>
      <c r="AL5192">
        <v>79.243278073169094</v>
      </c>
      <c r="AM5192">
        <v>96.330698554772496</v>
      </c>
      <c r="AN5192">
        <v>1.00000002376213</v>
      </c>
    </row>
    <row r="5193" spans="1:40" x14ac:dyDescent="0.25">
      <c r="A5193" t="str">
        <f>"20190304154900822"</f>
        <v>20190304154900822</v>
      </c>
      <c r="B5193" t="str">
        <f>"1551685740812579"</f>
        <v>1551685740812579</v>
      </c>
      <c r="C5193" t="s">
        <v>40</v>
      </c>
      <c r="D5193">
        <v>3.03091</v>
      </c>
      <c r="E5193">
        <v>0.39039629999999997</v>
      </c>
      <c r="F5193" t="s">
        <v>70</v>
      </c>
      <c r="G5193">
        <v>-333.05369999999999</v>
      </c>
      <c r="H5193">
        <v>1.9231780000000001</v>
      </c>
      <c r="I5193">
        <v>119.5735</v>
      </c>
      <c r="J5193">
        <v>-277.43279999999999</v>
      </c>
      <c r="K5193">
        <v>1.11069</v>
      </c>
      <c r="L5193">
        <v>141.48660000000001</v>
      </c>
      <c r="M5193">
        <v>-0.99985210000000002</v>
      </c>
      <c r="N5193">
        <v>-1.201207E-2</v>
      </c>
      <c r="O5193">
        <v>1.230712E-2</v>
      </c>
      <c r="P5193">
        <v>-0.97975389999999996</v>
      </c>
      <c r="Q5193">
        <v>0.1760871</v>
      </c>
      <c r="R5193">
        <v>-9.5266589999999998E-2</v>
      </c>
      <c r="S5193">
        <v>-2.940887</v>
      </c>
      <c r="T5193">
        <v>4.2713760000000003E-2</v>
      </c>
      <c r="U5193">
        <v>-1.151764</v>
      </c>
      <c r="V5193">
        <v>-0.107333</v>
      </c>
      <c r="W5193">
        <v>0.1878196</v>
      </c>
      <c r="X5193">
        <v>0.97632140000000001</v>
      </c>
      <c r="Y5193">
        <v>-0.37609429999999999</v>
      </c>
      <c r="Z5193">
        <v>6.0915760000000002E-4</v>
      </c>
      <c r="AA5193">
        <v>0.92658119999999999</v>
      </c>
      <c r="AB5193">
        <v>31</v>
      </c>
      <c r="AC5193">
        <v>-55.620899999999999</v>
      </c>
      <c r="AD5193">
        <v>0.81248799999999899</v>
      </c>
      <c r="AE5193">
        <v>-21.9131</v>
      </c>
      <c r="AF5193">
        <v>-22.591849663187698</v>
      </c>
      <c r="AG5193">
        <v>0.81248799999999899</v>
      </c>
      <c r="AH5193">
        <v>55.336758935009001</v>
      </c>
      <c r="AI5193">
        <v>89.221203896650195</v>
      </c>
      <c r="AJ5193">
        <v>112.20828656665699</v>
      </c>
      <c r="AK5193">
        <v>59.7763222136116</v>
      </c>
      <c r="AL5193">
        <v>79.174434465147698</v>
      </c>
      <c r="AM5193">
        <v>96.273682944928694</v>
      </c>
      <c r="AN5193">
        <v>1.0000000255655499</v>
      </c>
    </row>
    <row r="5194" spans="1:40" x14ac:dyDescent="0.25">
      <c r="A5194" t="str">
        <f>"20190304154900843"</f>
        <v>20190304154900843</v>
      </c>
      <c r="B5194" t="str">
        <f>"1551685740832099"</f>
        <v>1551685740832099</v>
      </c>
      <c r="C5194" t="s">
        <v>40</v>
      </c>
      <c r="D5194">
        <v>3.8977560000000002</v>
      </c>
      <c r="E5194">
        <v>0.439083</v>
      </c>
      <c r="F5194" t="s">
        <v>70</v>
      </c>
      <c r="G5194">
        <v>-333.05369999999999</v>
      </c>
      <c r="H5194">
        <v>1.9952369999999999</v>
      </c>
      <c r="I5194">
        <v>119.73220000000001</v>
      </c>
      <c r="J5194">
        <v>-277.7167</v>
      </c>
      <c r="K5194">
        <v>1.1106929999999999</v>
      </c>
      <c r="L5194">
        <v>141.49</v>
      </c>
      <c r="M5194">
        <v>-0.99985299999999999</v>
      </c>
      <c r="N5194">
        <v>-1.201235E-2</v>
      </c>
      <c r="O5194">
        <v>1.22407E-2</v>
      </c>
      <c r="P5194">
        <v>-0.97969039999999996</v>
      </c>
      <c r="Q5194">
        <v>0.17667959999999999</v>
      </c>
      <c r="R5194">
        <v>-9.4822820000000002E-2</v>
      </c>
      <c r="S5194">
        <v>-2.9417110000000002</v>
      </c>
      <c r="T5194">
        <v>4.6783089999999999E-2</v>
      </c>
      <c r="U5194">
        <v>-1.150558</v>
      </c>
      <c r="V5194">
        <v>-0.1068263</v>
      </c>
      <c r="W5194">
        <v>0.18841060000000001</v>
      </c>
      <c r="X5194">
        <v>0.97626299999999999</v>
      </c>
      <c r="Y5194">
        <v>-0.37561099999999997</v>
      </c>
      <c r="Z5194">
        <v>8.7354939999999997E-4</v>
      </c>
      <c r="AA5194">
        <v>0.92677699999999996</v>
      </c>
      <c r="AB5194">
        <v>31</v>
      </c>
      <c r="AC5194">
        <v>-55.336999999999897</v>
      </c>
      <c r="AD5194">
        <v>0.884544</v>
      </c>
      <c r="AE5194">
        <v>-21.7578</v>
      </c>
      <c r="AF5194">
        <v>-22.4286186977053</v>
      </c>
      <c r="AG5194">
        <v>0.884544</v>
      </c>
      <c r="AH5194">
        <v>55.054320232535602</v>
      </c>
      <c r="AI5194">
        <v>89.1475371607455</v>
      </c>
      <c r="AJ5194">
        <v>112.165525394075</v>
      </c>
      <c r="AK5194">
        <v>59.454213736635801</v>
      </c>
      <c r="AL5194">
        <v>79.139956072748006</v>
      </c>
      <c r="AM5194">
        <v>96.244671093190107</v>
      </c>
      <c r="AN5194">
        <v>0.999999928866522</v>
      </c>
    </row>
    <row r="5195" spans="1:40" x14ac:dyDescent="0.25">
      <c r="A5195" t="str">
        <f>"20190304154900858"</f>
        <v>20190304154900858</v>
      </c>
      <c r="B5195" t="str">
        <f>"1551685740852595"</f>
        <v>1551685740852595</v>
      </c>
      <c r="C5195" t="s">
        <v>40</v>
      </c>
      <c r="D5195">
        <v>4.0994659999999996</v>
      </c>
      <c r="E5195">
        <v>0.51640549999999996</v>
      </c>
      <c r="F5195" t="s">
        <v>70</v>
      </c>
      <c r="G5195">
        <v>-365.31740000000002</v>
      </c>
      <c r="H5195">
        <v>3.8382369999999999</v>
      </c>
      <c r="I5195">
        <v>119.001</v>
      </c>
      <c r="J5195">
        <v>-277.92410000000001</v>
      </c>
      <c r="K5195">
        <v>1.110698</v>
      </c>
      <c r="L5195">
        <v>141.49250000000001</v>
      </c>
      <c r="M5195">
        <v>-0.99985369999999996</v>
      </c>
      <c r="N5195">
        <v>-1.201256E-2</v>
      </c>
      <c r="O5195">
        <v>1.2189699999999999E-2</v>
      </c>
      <c r="P5195">
        <v>-0.97964019999999996</v>
      </c>
      <c r="Q5195">
        <v>0.17711099999999999</v>
      </c>
      <c r="R5195">
        <v>-9.4536389999999998E-2</v>
      </c>
      <c r="S5195">
        <v>-2.9716800000000001</v>
      </c>
      <c r="T5195">
        <v>9.2526789999999998E-2</v>
      </c>
      <c r="U5195">
        <v>-0.76289370000000001</v>
      </c>
      <c r="V5195">
        <v>-0.1064905</v>
      </c>
      <c r="W5195">
        <v>0.18884049999999999</v>
      </c>
      <c r="X5195">
        <v>0.97621670000000005</v>
      </c>
      <c r="Y5195">
        <v>-0.26036589999999998</v>
      </c>
      <c r="Z5195">
        <v>2.9162939999999998E-3</v>
      </c>
      <c r="AA5195">
        <v>0.96550559999999996</v>
      </c>
      <c r="AB5195">
        <v>31</v>
      </c>
      <c r="AC5195">
        <v>-87.393299999999996</v>
      </c>
      <c r="AD5195">
        <v>2.7275390000000002</v>
      </c>
      <c r="AE5195">
        <v>-22.491499999999998</v>
      </c>
      <c r="AF5195">
        <v>-23.533704261254801</v>
      </c>
      <c r="AG5195">
        <v>2.7275390000000002</v>
      </c>
      <c r="AH5195">
        <v>87.033112360203901</v>
      </c>
      <c r="AI5195">
        <v>88.267180437548902</v>
      </c>
      <c r="AJ5195">
        <v>105.130903802991</v>
      </c>
      <c r="AK5195">
        <v>90.199985323483304</v>
      </c>
      <c r="AL5195">
        <v>79.114875194591207</v>
      </c>
      <c r="AM5195">
        <v>96.225488754194302</v>
      </c>
      <c r="AN5195">
        <v>1.0000000031946901</v>
      </c>
    </row>
    <row r="5196" spans="1:40" x14ac:dyDescent="0.25">
      <c r="A5196" t="str">
        <f>"20190304154900876"</f>
        <v>20190304154900876</v>
      </c>
      <c r="B5196" t="str">
        <f>"1551685740872115"</f>
        <v>1551685740872115</v>
      </c>
      <c r="C5196" t="s">
        <v>40</v>
      </c>
      <c r="D5196">
        <v>4.0509149999999998</v>
      </c>
      <c r="E5196">
        <v>0.51929769999999997</v>
      </c>
      <c r="F5196" t="s">
        <v>42</v>
      </c>
      <c r="G5196">
        <v>0</v>
      </c>
      <c r="H5196">
        <v>0</v>
      </c>
      <c r="I5196">
        <v>0</v>
      </c>
      <c r="J5196">
        <v>-278.17989999999998</v>
      </c>
      <c r="K5196">
        <v>1.1107089999999999</v>
      </c>
      <c r="L5196">
        <v>141.4956</v>
      </c>
      <c r="M5196">
        <v>-0.99985429999999997</v>
      </c>
      <c r="N5196">
        <v>-1.2011569999999999E-2</v>
      </c>
      <c r="O5196">
        <v>1.21262E-2</v>
      </c>
      <c r="P5196">
        <v>-0.97953869999999998</v>
      </c>
      <c r="Q5196">
        <v>0.1777029</v>
      </c>
      <c r="R5196">
        <v>-9.4476099999999993E-2</v>
      </c>
      <c r="S5196">
        <v>-3.04718</v>
      </c>
      <c r="T5196">
        <v>5.5216550000000003E-3</v>
      </c>
      <c r="U5196">
        <v>-0.14686579999999999</v>
      </c>
      <c r="V5196">
        <v>-0.1063679</v>
      </c>
      <c r="W5196">
        <v>0.18942999999999999</v>
      </c>
      <c r="X5196">
        <v>0.97611579999999998</v>
      </c>
      <c r="Y5196">
        <v>-6.0250280000000003E-2</v>
      </c>
      <c r="Z5196">
        <v>-1.3998649999999999E-4</v>
      </c>
      <c r="AA5196">
        <v>0.9981833</v>
      </c>
      <c r="AB5196">
        <v>31</v>
      </c>
      <c r="AC5196">
        <v>-3.04718</v>
      </c>
      <c r="AD5196">
        <v>5.5216550000000003E-3</v>
      </c>
      <c r="AE5196">
        <v>-0.14686579999999999</v>
      </c>
      <c r="AF5196">
        <v>-0.183807779009761</v>
      </c>
      <c r="AG5196">
        <v>5.5216550000000003E-3</v>
      </c>
      <c r="AH5196">
        <v>3.0451648951964598</v>
      </c>
      <c r="AI5196">
        <v>89.896297101227205</v>
      </c>
      <c r="AJ5196">
        <v>93.454212892352203</v>
      </c>
      <c r="AK5196">
        <v>3.0507122163906799</v>
      </c>
      <c r="AL5196">
        <v>79.080477975512295</v>
      </c>
      <c r="AM5196">
        <v>96.219015427814597</v>
      </c>
      <c r="AN5196">
        <v>0.99999995503002304</v>
      </c>
    </row>
    <row r="5197" spans="1:40" x14ac:dyDescent="0.25">
      <c r="A5197" t="str">
        <f>"20190304154900889"</f>
        <v>20190304154900889</v>
      </c>
      <c r="B5197" t="str">
        <f>"1551685740881875"</f>
        <v>1551685740881875</v>
      </c>
      <c r="C5197" t="s">
        <v>40</v>
      </c>
      <c r="D5197">
        <v>4.0413249999999996</v>
      </c>
      <c r="E5197">
        <v>0.51942239999999995</v>
      </c>
      <c r="F5197" t="s">
        <v>42</v>
      </c>
      <c r="G5197">
        <v>0</v>
      </c>
      <c r="H5197">
        <v>0</v>
      </c>
      <c r="I5197">
        <v>0</v>
      </c>
      <c r="J5197">
        <v>-278.36610000000002</v>
      </c>
      <c r="K5197">
        <v>1.110711</v>
      </c>
      <c r="L5197">
        <v>141.49780000000001</v>
      </c>
      <c r="M5197">
        <v>-0.99985500000000005</v>
      </c>
      <c r="N5197">
        <v>-1.200852E-2</v>
      </c>
      <c r="O5197">
        <v>1.207977E-2</v>
      </c>
      <c r="P5197">
        <v>-0.97944929999999997</v>
      </c>
      <c r="Q5197">
        <v>0.17821789999999901</v>
      </c>
      <c r="R5197">
        <v>-9.4433459999999997E-2</v>
      </c>
      <c r="S5197">
        <v>-3.0527340000000001</v>
      </c>
      <c r="T5197">
        <v>-1.103413E-2</v>
      </c>
      <c r="U5197">
        <v>-0.12377929999999999</v>
      </c>
      <c r="V5197">
        <v>-0.1062795</v>
      </c>
      <c r="W5197">
        <v>0.18994040000000001</v>
      </c>
      <c r="X5197">
        <v>0.97602630000000001</v>
      </c>
      <c r="Y5197">
        <v>-5.25795999999999E-2</v>
      </c>
      <c r="Z5197">
        <v>-3.0947800000000002E-4</v>
      </c>
      <c r="AA5197">
        <v>0.99861670000000002</v>
      </c>
      <c r="AB5197">
        <v>31</v>
      </c>
      <c r="AC5197">
        <v>-3.0527340000000001</v>
      </c>
      <c r="AD5197">
        <v>-1.103413E-2</v>
      </c>
      <c r="AE5197">
        <v>-0.12377929999999999</v>
      </c>
      <c r="AF5197">
        <v>-0.160647153068465</v>
      </c>
      <c r="AG5197">
        <v>-1.103413E-2</v>
      </c>
      <c r="AH5197">
        <v>3.0509761032806799</v>
      </c>
      <c r="AI5197">
        <v>90.206927795516904</v>
      </c>
      <c r="AJ5197">
        <v>93.014088386809902</v>
      </c>
      <c r="AK5197">
        <v>3.05522248659629</v>
      </c>
      <c r="AL5197">
        <v>79.050694111376103</v>
      </c>
      <c r="AM5197">
        <v>96.214452736479998</v>
      </c>
      <c r="AN5197">
        <v>1.0000000129820401</v>
      </c>
    </row>
    <row r="5198" spans="1:40" x14ac:dyDescent="0.25">
      <c r="A5198" t="str">
        <f>"20190304154900902"</f>
        <v>20190304154900902</v>
      </c>
      <c r="B5198" t="str">
        <f>"1551685740892612"</f>
        <v>1551685740892612</v>
      </c>
      <c r="C5198" t="s">
        <v>40</v>
      </c>
      <c r="D5198">
        <v>4.0527009999999999</v>
      </c>
      <c r="E5198">
        <v>0.52002769999999998</v>
      </c>
      <c r="F5198" t="s">
        <v>44</v>
      </c>
      <c r="G5198">
        <v>-452.43990000000002</v>
      </c>
      <c r="H5198" s="1">
        <v>-3.117108E-6</v>
      </c>
      <c r="I5198">
        <v>134.5153</v>
      </c>
      <c r="J5198">
        <v>-278.52640000000002</v>
      </c>
      <c r="K5198">
        <v>1.110708</v>
      </c>
      <c r="L5198">
        <v>141.49969999999999</v>
      </c>
      <c r="M5198">
        <v>-0.99985559999999996</v>
      </c>
      <c r="N5198">
        <v>-1.200411E-2</v>
      </c>
      <c r="O5198">
        <v>1.204009E-2</v>
      </c>
      <c r="P5198">
        <v>-0.97936570000000001</v>
      </c>
      <c r="Q5198">
        <v>0.17852609999999999</v>
      </c>
      <c r="R5198">
        <v>-9.4718750000000004E-2</v>
      </c>
      <c r="S5198">
        <v>-3.0546880000000001</v>
      </c>
      <c r="T5198">
        <v>-1.9491080000000001E-2</v>
      </c>
      <c r="U5198">
        <v>-0.1225281</v>
      </c>
      <c r="V5198">
        <v>-0.10652540000000001</v>
      </c>
      <c r="W5198">
        <v>0.1902432</v>
      </c>
      <c r="X5198">
        <v>0.97594049999999999</v>
      </c>
      <c r="Y5198">
        <v>-5.2104400000000002E-2</v>
      </c>
      <c r="Z5198">
        <v>-4.1136569999999998E-4</v>
      </c>
      <c r="AA5198">
        <v>0.99864160000000002</v>
      </c>
      <c r="AB5198">
        <v>31</v>
      </c>
      <c r="AC5198">
        <v>-173.9135</v>
      </c>
      <c r="AD5198">
        <v>-1.110711117108</v>
      </c>
      <c r="AE5198">
        <v>-6.9843999999999902</v>
      </c>
      <c r="AF5198">
        <v>-9.0776087807362895</v>
      </c>
      <c r="AG5198">
        <v>-1.110711117108</v>
      </c>
      <c r="AH5198">
        <v>173.80971531180401</v>
      </c>
      <c r="AI5198">
        <v>90.365638824115393</v>
      </c>
      <c r="AJ5198">
        <v>92.989686419513305</v>
      </c>
      <c r="AK5198">
        <v>174.050147363143</v>
      </c>
      <c r="AL5198">
        <v>79.033022566339994</v>
      </c>
      <c r="AM5198">
        <v>96.229261586676202</v>
      </c>
      <c r="AN5198">
        <v>0.99999999776582504</v>
      </c>
    </row>
    <row r="5199" spans="1:40" x14ac:dyDescent="0.25">
      <c r="A5199" t="str">
        <f>"20190304154900921"</f>
        <v>20190304154900921</v>
      </c>
      <c r="B5199" t="str">
        <f>"1551685740912131"</f>
        <v>1551685740912131</v>
      </c>
      <c r="C5199" t="s">
        <v>40</v>
      </c>
      <c r="D5199">
        <v>4.0364610000000001</v>
      </c>
      <c r="E5199">
        <v>0.52069730000000003</v>
      </c>
      <c r="F5199" t="s">
        <v>79</v>
      </c>
      <c r="G5199">
        <v>-417.86329999999998</v>
      </c>
      <c r="H5199" s="1">
        <v>-8.4895389999999905E-6</v>
      </c>
      <c r="I5199">
        <v>136.10329999999999</v>
      </c>
      <c r="J5199">
        <v>-278.7998</v>
      </c>
      <c r="K5199">
        <v>1.1107039999999999</v>
      </c>
      <c r="L5199">
        <v>141.50290000000001</v>
      </c>
      <c r="M5199">
        <v>-0.99985650000000004</v>
      </c>
      <c r="N5199">
        <v>-1.19934E-2</v>
      </c>
      <c r="O5199">
        <v>1.19728E-2</v>
      </c>
      <c r="P5199">
        <v>-0.9791533</v>
      </c>
      <c r="Q5199">
        <v>0.17952760000000001</v>
      </c>
      <c r="R5199">
        <v>-9.5019370000000006E-2</v>
      </c>
      <c r="S5199">
        <v>-3.0561829999999999</v>
      </c>
      <c r="T5199">
        <v>-2.4362209999999999E-2</v>
      </c>
      <c r="U5199">
        <v>-0.11836240000000001</v>
      </c>
      <c r="V5199">
        <v>-0.10675809999999999</v>
      </c>
      <c r="W5199">
        <v>0.19123180000000001</v>
      </c>
      <c r="X5199">
        <v>0.97572179999999997</v>
      </c>
      <c r="Y5199">
        <v>-5.0657630000000002E-2</v>
      </c>
      <c r="Z5199">
        <v>-4.5760970000000001E-4</v>
      </c>
      <c r="AA5199">
        <v>0.99871600000000005</v>
      </c>
      <c r="AB5199">
        <v>31</v>
      </c>
      <c r="AC5199">
        <v>-139.06349999999901</v>
      </c>
      <c r="AD5199">
        <v>-1.1107124895389999</v>
      </c>
      <c r="AE5199">
        <v>-5.3996000000000199</v>
      </c>
      <c r="AF5199">
        <v>-7.0638620264575698</v>
      </c>
      <c r="AG5199">
        <v>-1.1107124895389999</v>
      </c>
      <c r="AH5199">
        <v>138.980025316373</v>
      </c>
      <c r="AI5199">
        <v>90.457301304133694</v>
      </c>
      <c r="AJ5199">
        <v>92.909637576015399</v>
      </c>
      <c r="AK5199">
        <v>139.16385761361701</v>
      </c>
      <c r="AL5199">
        <v>78.975320212312496</v>
      </c>
      <c r="AM5199">
        <v>96.244150019261099</v>
      </c>
      <c r="AN5199">
        <v>0.99999996212104403</v>
      </c>
    </row>
    <row r="5200" spans="1:40" x14ac:dyDescent="0.25">
      <c r="A5200" t="str">
        <f>"20190304154900937"</f>
        <v>20190304154900937</v>
      </c>
      <c r="B5200" t="str">
        <f>"1551685740932627"</f>
        <v>1551685740932627</v>
      </c>
      <c r="C5200" t="s">
        <v>40</v>
      </c>
      <c r="D5200">
        <v>4.0123139999999999</v>
      </c>
      <c r="E5200">
        <v>0.52106450000000004</v>
      </c>
      <c r="F5200" t="s">
        <v>44</v>
      </c>
      <c r="G5200">
        <v>-390.94839999999999</v>
      </c>
      <c r="H5200" s="1">
        <v>-4.273062E-6</v>
      </c>
      <c r="I5200">
        <v>137.31799999999899</v>
      </c>
      <c r="J5200">
        <v>-278.99650000000003</v>
      </c>
      <c r="K5200">
        <v>1.1107009999999999</v>
      </c>
      <c r="L5200">
        <v>141.5052</v>
      </c>
      <c r="M5200">
        <v>-0.99985710000000005</v>
      </c>
      <c r="N5200">
        <v>-1.198318E-2</v>
      </c>
      <c r="O5200">
        <v>1.1924880000000001E-2</v>
      </c>
      <c r="P5200">
        <v>-0.97906479999999996</v>
      </c>
      <c r="Q5200">
        <v>0.17972469999999999</v>
      </c>
      <c r="R5200">
        <v>-9.5557240000000002E-2</v>
      </c>
      <c r="S5200">
        <v>-3.058319</v>
      </c>
      <c r="T5200">
        <v>-3.028929E-2</v>
      </c>
      <c r="U5200">
        <v>-0.1141205</v>
      </c>
      <c r="V5200">
        <v>-0.1072478</v>
      </c>
      <c r="W5200">
        <v>0.19141759999999999</v>
      </c>
      <c r="X5200">
        <v>0.97563169999999999</v>
      </c>
      <c r="Y5200">
        <v>-4.9198260000000001E-2</v>
      </c>
      <c r="Z5200">
        <v>-5.1365619999999999E-4</v>
      </c>
      <c r="AA5200">
        <v>0.99878889999999998</v>
      </c>
      <c r="AB5200">
        <v>31</v>
      </c>
      <c r="AC5200">
        <v>-111.951899999999</v>
      </c>
      <c r="AD5200">
        <v>-1.110705273062</v>
      </c>
      <c r="AE5200">
        <v>-4.1872000000000096</v>
      </c>
      <c r="AF5200">
        <v>-5.5214683250307397</v>
      </c>
      <c r="AG5200">
        <v>-1.110705273062</v>
      </c>
      <c r="AH5200">
        <v>111.883005752961</v>
      </c>
      <c r="AI5200">
        <v>90.568087062377899</v>
      </c>
      <c r="AJ5200">
        <v>92.825276095303707</v>
      </c>
      <c r="AK5200">
        <v>112.024672527908</v>
      </c>
      <c r="AL5200">
        <v>78.964474733058793</v>
      </c>
      <c r="AM5200">
        <v>96.273138835877205</v>
      </c>
      <c r="AN5200">
        <v>1.0000000011197401</v>
      </c>
    </row>
    <row r="5201" spans="1:40" x14ac:dyDescent="0.25">
      <c r="A5201" t="str">
        <f>"20190304154900956"</f>
        <v>20190304154900956</v>
      </c>
      <c r="B5201" t="str">
        <f>"1551685740952148"</f>
        <v>1551685740952148</v>
      </c>
      <c r="C5201" t="s">
        <v>40</v>
      </c>
      <c r="D5201">
        <v>4.0196170000000002</v>
      </c>
      <c r="E5201">
        <v>0.52140359999999997</v>
      </c>
      <c r="F5201" t="s">
        <v>44</v>
      </c>
      <c r="G5201">
        <v>-377.24979999999999</v>
      </c>
      <c r="H5201" s="1">
        <v>-1.4704839999999999E-6</v>
      </c>
      <c r="I5201">
        <v>137.87790000000001</v>
      </c>
      <c r="J5201">
        <v>-279.2552</v>
      </c>
      <c r="K5201">
        <v>1.110698</v>
      </c>
      <c r="L5201">
        <v>141.50819999999999</v>
      </c>
      <c r="M5201">
        <v>-0.99985800000000002</v>
      </c>
      <c r="N5201">
        <v>-1.196799E-2</v>
      </c>
      <c r="O5201">
        <v>1.1862330000000001E-2</v>
      </c>
      <c r="P5201">
        <v>-0.9790508</v>
      </c>
      <c r="Q5201">
        <v>0.179641299999999</v>
      </c>
      <c r="R5201">
        <v>-9.5857029999999996E-2</v>
      </c>
      <c r="S5201">
        <v>-3.0594480000000002</v>
      </c>
      <c r="T5201">
        <v>-3.4585480000000002E-2</v>
      </c>
      <c r="U5201">
        <v>-0.11294559999999999</v>
      </c>
      <c r="V5201">
        <v>-0.1074862</v>
      </c>
      <c r="W5201">
        <v>0.1913194</v>
      </c>
      <c r="X5201">
        <v>0.97562470000000001</v>
      </c>
      <c r="Y5201">
        <v>-4.8737950000000002E-2</v>
      </c>
      <c r="Z5201">
        <v>-5.592851E-4</v>
      </c>
      <c r="AA5201">
        <v>0.99881140000000002</v>
      </c>
      <c r="AB5201">
        <v>31</v>
      </c>
      <c r="AC5201">
        <v>-97.994600000000005</v>
      </c>
      <c r="AD5201">
        <v>-1.1106994704840001</v>
      </c>
      <c r="AE5201">
        <v>-3.6302999999999699</v>
      </c>
      <c r="AF5201">
        <v>-4.7919573361479397</v>
      </c>
      <c r="AG5201">
        <v>-1.1106994704840001</v>
      </c>
      <c r="AH5201">
        <v>97.932073501108306</v>
      </c>
      <c r="AI5201">
        <v>90.649017460263295</v>
      </c>
      <c r="AJ5201">
        <v>92.801330669608404</v>
      </c>
      <c r="AK5201">
        <v>98.055532881381396</v>
      </c>
      <c r="AL5201">
        <v>78.970206838449499</v>
      </c>
      <c r="AM5201">
        <v>96.287016537716994</v>
      </c>
      <c r="AN5201">
        <v>0.999999975628444</v>
      </c>
    </row>
    <row r="5202" spans="1:40" x14ac:dyDescent="0.25">
      <c r="A5202" t="str">
        <f>"20190304154900979"</f>
        <v>20190304154900979</v>
      </c>
      <c r="B5202" t="str">
        <f>"1551685740972644"</f>
        <v>1551685740972644</v>
      </c>
      <c r="C5202" t="s">
        <v>40</v>
      </c>
      <c r="D5202">
        <v>3.9929199999999998</v>
      </c>
      <c r="E5202">
        <v>0.52150759999999996</v>
      </c>
      <c r="F5202" t="s">
        <v>44</v>
      </c>
      <c r="G5202">
        <v>-369.27109999999999</v>
      </c>
      <c r="H5202" s="1">
        <v>-6.0502159999999898E-7</v>
      </c>
      <c r="I5202">
        <v>138.22219999999999</v>
      </c>
      <c r="J5202">
        <v>-279.57830000000001</v>
      </c>
      <c r="K5202">
        <v>1.110698</v>
      </c>
      <c r="L5202">
        <v>141.512</v>
      </c>
      <c r="M5202">
        <v>-0.99985919999999895</v>
      </c>
      <c r="N5202">
        <v>-1.1949309999999999E-2</v>
      </c>
      <c r="O5202">
        <v>1.178352E-2</v>
      </c>
      <c r="P5202">
        <v>-0.97904519999999995</v>
      </c>
      <c r="Q5202">
        <v>0.179759</v>
      </c>
      <c r="R5202">
        <v>-9.569503E-2</v>
      </c>
      <c r="S5202">
        <v>-3.060181</v>
      </c>
      <c r="T5202">
        <v>-3.7759300000000003E-2</v>
      </c>
      <c r="U5202">
        <v>-0.11170960000000001</v>
      </c>
      <c r="V5202">
        <v>-0.1072473</v>
      </c>
      <c r="W5202">
        <v>0.19141859999999999</v>
      </c>
      <c r="X5202">
        <v>0.97563149999999998</v>
      </c>
      <c r="Y5202">
        <v>-4.8246699999999997E-2</v>
      </c>
      <c r="Z5202">
        <v>-5.9052010000000001E-4</v>
      </c>
      <c r="AA5202">
        <v>0.99883529999999998</v>
      </c>
      <c r="AB5202">
        <v>31</v>
      </c>
      <c r="AC5202">
        <v>-89.692799999999906</v>
      </c>
      <c r="AD5202">
        <v>-1.1106986050215999</v>
      </c>
      <c r="AE5202">
        <v>-3.2898000000000098</v>
      </c>
      <c r="AF5202">
        <v>-4.3458783633194997</v>
      </c>
      <c r="AG5202">
        <v>-1.1106986050215999</v>
      </c>
      <c r="AH5202">
        <v>89.634077007594996</v>
      </c>
      <c r="AI5202">
        <v>90.709110099046597</v>
      </c>
      <c r="AJ5202">
        <v>92.775793067044404</v>
      </c>
      <c r="AK5202">
        <v>89.746242657525499</v>
      </c>
      <c r="AL5202">
        <v>78.964415717205398</v>
      </c>
      <c r="AM5202">
        <v>96.273111098742206</v>
      </c>
      <c r="AN5202">
        <v>0.99999994378774804</v>
      </c>
    </row>
    <row r="5203" spans="1:40" x14ac:dyDescent="0.25">
      <c r="A5203" t="str">
        <f>"20190304154901000"</f>
        <v>20190304154901000</v>
      </c>
      <c r="B5203" t="str">
        <f>"1551685740992163"</f>
        <v>1551685740992163</v>
      </c>
      <c r="C5203" t="s">
        <v>40</v>
      </c>
      <c r="D5203">
        <v>4.0291309999999996</v>
      </c>
      <c r="E5203">
        <v>0.52134040000000004</v>
      </c>
      <c r="F5203" t="s">
        <v>44</v>
      </c>
      <c r="G5203">
        <v>-364.59460000000001</v>
      </c>
      <c r="H5203" s="1">
        <v>-2.5085589999999999E-6</v>
      </c>
      <c r="I5203">
        <v>138.44720000000001</v>
      </c>
      <c r="J5203">
        <v>-279.87729999999999</v>
      </c>
      <c r="K5203">
        <v>1.110697</v>
      </c>
      <c r="L5203">
        <v>141.5154</v>
      </c>
      <c r="M5203">
        <v>-0.99986030000000004</v>
      </c>
      <c r="N5203">
        <v>-1.1933050000000001E-2</v>
      </c>
      <c r="O5203">
        <v>1.170932E-2</v>
      </c>
      <c r="P5203">
        <v>-0.97909610000000002</v>
      </c>
      <c r="Q5203">
        <v>0.17942920000000001</v>
      </c>
      <c r="R5203">
        <v>-9.5792890000000006E-2</v>
      </c>
      <c r="S5203">
        <v>-3.060791</v>
      </c>
      <c r="T5203">
        <v>-3.9987920000000003E-2</v>
      </c>
      <c r="U5203">
        <v>-0.1103363</v>
      </c>
      <c r="V5203">
        <v>-0.1072742</v>
      </c>
      <c r="W5203">
        <v>0.1910731</v>
      </c>
      <c r="X5203">
        <v>0.97569629999999996</v>
      </c>
      <c r="Y5203">
        <v>-4.7717200000000001E-2</v>
      </c>
      <c r="Z5203">
        <v>-6.0966389999999996E-4</v>
      </c>
      <c r="AA5203">
        <v>0.99886070000000005</v>
      </c>
      <c r="AB5203">
        <v>31</v>
      </c>
      <c r="AC5203">
        <v>-84.717299999999994</v>
      </c>
      <c r="AD5203">
        <v>-1.1106995085589999</v>
      </c>
      <c r="AE5203">
        <v>-3.0681999999999898</v>
      </c>
      <c r="AF5203">
        <v>-4.0593453295884796</v>
      </c>
      <c r="AG5203">
        <v>-1.1106995085589999</v>
      </c>
      <c r="AH5203">
        <v>84.6610288999928</v>
      </c>
      <c r="AI5203">
        <v>90.750779069911204</v>
      </c>
      <c r="AJ5203">
        <v>92.745128007988896</v>
      </c>
      <c r="AK5203">
        <v>84.765569379958606</v>
      </c>
      <c r="AL5203">
        <v>78.984584033821307</v>
      </c>
      <c r="AM5203">
        <v>96.274258582227006</v>
      </c>
      <c r="AN5203">
        <v>0.999999976681469</v>
      </c>
    </row>
    <row r="5204" spans="1:40" x14ac:dyDescent="0.25">
      <c r="A5204" t="str">
        <f>"20190304154901022"</f>
        <v>20190304154901022</v>
      </c>
      <c r="B5204" t="str">
        <f>"1551685741012662"</f>
        <v>1551685741012662</v>
      </c>
      <c r="C5204" t="s">
        <v>40</v>
      </c>
      <c r="D5204">
        <v>3.9961609999999999</v>
      </c>
      <c r="E5204">
        <v>0.52146459999999994</v>
      </c>
      <c r="F5204" t="s">
        <v>44</v>
      </c>
      <c r="G5204">
        <v>-356.33449999999999</v>
      </c>
      <c r="H5204" s="1">
        <v>-1.713869E-6</v>
      </c>
      <c r="I5204">
        <v>138.71960000000001</v>
      </c>
      <c r="J5204">
        <v>-280.17880000000002</v>
      </c>
      <c r="K5204">
        <v>1.1106959999999999</v>
      </c>
      <c r="L5204">
        <v>141.5189</v>
      </c>
      <c r="M5204">
        <v>-0.99986149999999996</v>
      </c>
      <c r="N5204">
        <v>-1.19176E-2</v>
      </c>
      <c r="O5204">
        <v>1.163178E-2</v>
      </c>
      <c r="P5204">
        <v>-0.97909669999999904</v>
      </c>
      <c r="Q5204">
        <v>0.17953629999999901</v>
      </c>
      <c r="R5204">
        <v>-9.5585020000000007E-2</v>
      </c>
      <c r="S5204">
        <v>-3.0613100000000002</v>
      </c>
      <c r="T5204">
        <v>-4.4471860000000002E-2</v>
      </c>
      <c r="U5204">
        <v>-0.1119385</v>
      </c>
      <c r="V5204">
        <v>-0.1069917</v>
      </c>
      <c r="W5204">
        <v>0.19116440000000001</v>
      </c>
      <c r="X5204">
        <v>0.97570939999999995</v>
      </c>
      <c r="Y5204">
        <v>-4.8154219999999998E-2</v>
      </c>
      <c r="Z5204">
        <v>-6.6705080000000003E-4</v>
      </c>
      <c r="AA5204">
        <v>0.9988397</v>
      </c>
      <c r="AB5204">
        <v>31</v>
      </c>
      <c r="AC5204">
        <v>-76.155699999999896</v>
      </c>
      <c r="AD5204">
        <v>-1.110697713869</v>
      </c>
      <c r="AE5204">
        <v>-2.7992999999999801</v>
      </c>
      <c r="AF5204">
        <v>-3.68421709370257</v>
      </c>
      <c r="AG5204">
        <v>-1.110697713869</v>
      </c>
      <c r="AH5204">
        <v>76.101818339021193</v>
      </c>
      <c r="AI5204">
        <v>90.835188266894704</v>
      </c>
      <c r="AJ5204">
        <v>92.771621183434107</v>
      </c>
      <c r="AK5204">
        <v>76.199041066869796</v>
      </c>
      <c r="AL5204">
        <v>78.979254311138504</v>
      </c>
      <c r="AM5204">
        <v>96.2577836158911</v>
      </c>
      <c r="AN5204">
        <v>0.99999994247230295</v>
      </c>
    </row>
    <row r="5205" spans="1:40" x14ac:dyDescent="0.25">
      <c r="A5205" t="str">
        <f>"20190304154901044"</f>
        <v>20190304154901044</v>
      </c>
      <c r="B5205" t="str">
        <f>"1551685741032179"</f>
        <v>1551685741032179</v>
      </c>
      <c r="C5205" t="s">
        <v>40</v>
      </c>
      <c r="D5205">
        <v>3.992362</v>
      </c>
      <c r="E5205">
        <v>0.52158179999999998</v>
      </c>
      <c r="F5205" t="s">
        <v>44</v>
      </c>
      <c r="G5205">
        <v>-356.67910000000001</v>
      </c>
      <c r="H5205" s="1">
        <v>-1.5565090000000001E-6</v>
      </c>
      <c r="I5205">
        <v>138.7731</v>
      </c>
      <c r="J5205">
        <v>-280.47379999999998</v>
      </c>
      <c r="K5205">
        <v>1.1106959999999999</v>
      </c>
      <c r="L5205">
        <v>141.5222</v>
      </c>
      <c r="M5205">
        <v>-0.99986260000000005</v>
      </c>
      <c r="N5205">
        <v>-1.190366E-2</v>
      </c>
      <c r="O5205">
        <v>1.1552369999999999E-2</v>
      </c>
      <c r="P5205">
        <v>-0.97913819999999996</v>
      </c>
      <c r="Q5205">
        <v>0.17959749999999999</v>
      </c>
      <c r="R5205">
        <v>-9.5044550000000005E-2</v>
      </c>
      <c r="S5205">
        <v>-3.0614620000000001</v>
      </c>
      <c r="T5205">
        <v>-4.4448969999999997E-2</v>
      </c>
      <c r="U5205">
        <v>-0.1098785</v>
      </c>
      <c r="V5205">
        <v>-0.1063756</v>
      </c>
      <c r="W5205">
        <v>0.1912122</v>
      </c>
      <c r="X5205">
        <v>0.97576739999999995</v>
      </c>
      <c r="Y5205">
        <v>-4.7402020000000003E-2</v>
      </c>
      <c r="Z5205">
        <v>-6.5644009999999895E-4</v>
      </c>
      <c r="AA5205">
        <v>0.99887570000000003</v>
      </c>
      <c r="AB5205">
        <v>31</v>
      </c>
      <c r="AC5205">
        <v>-76.205299999999994</v>
      </c>
      <c r="AD5205">
        <v>-1.11069755650899</v>
      </c>
      <c r="AE5205">
        <v>-2.7490999999999901</v>
      </c>
      <c r="AF5205">
        <v>-3.6285607368533901</v>
      </c>
      <c r="AG5205">
        <v>-1.11069755650899</v>
      </c>
      <c r="AH5205">
        <v>76.152296962816905</v>
      </c>
      <c r="AI5205">
        <v>90.8346651212713</v>
      </c>
      <c r="AJ5205">
        <v>92.728008194319997</v>
      </c>
      <c r="AK5205">
        <v>76.246786389959595</v>
      </c>
      <c r="AL5205">
        <v>78.9764641455575</v>
      </c>
      <c r="AM5205">
        <v>96.221665356736395</v>
      </c>
      <c r="AN5205">
        <v>0.99999994630347799</v>
      </c>
    </row>
    <row r="5206" spans="1:40" x14ac:dyDescent="0.25">
      <c r="A5206" t="str">
        <f>"20190304154901066"</f>
        <v>20190304154901066</v>
      </c>
      <c r="B5206" t="str">
        <f>"1551685741062435"</f>
        <v>1551685741062435</v>
      </c>
      <c r="C5206" t="s">
        <v>40</v>
      </c>
      <c r="D5206">
        <v>3.9643950000000001</v>
      </c>
      <c r="E5206">
        <v>0.52158689999999996</v>
      </c>
      <c r="F5206" t="s">
        <v>44</v>
      </c>
      <c r="G5206">
        <v>-355.5772</v>
      </c>
      <c r="H5206" s="1">
        <v>-2.0079540000000001E-6</v>
      </c>
      <c r="I5206">
        <v>138.89320000000001</v>
      </c>
      <c r="J5206">
        <v>-280.7851</v>
      </c>
      <c r="K5206">
        <v>1.110706</v>
      </c>
      <c r="L5206">
        <v>141.5257</v>
      </c>
      <c r="M5206">
        <v>-0.99986370000000002</v>
      </c>
      <c r="N5206">
        <v>-1.1890339999999999E-2</v>
      </c>
      <c r="O5206">
        <v>1.146396E-2</v>
      </c>
      <c r="P5206">
        <v>-0.97911669999999995</v>
      </c>
      <c r="Q5206">
        <v>0.1799626</v>
      </c>
      <c r="R5206">
        <v>-9.4575790000000007E-2</v>
      </c>
      <c r="S5206">
        <v>-3.0618289999999999</v>
      </c>
      <c r="T5206">
        <v>-4.5281170000000003E-2</v>
      </c>
      <c r="U5206">
        <v>-0.1071777</v>
      </c>
      <c r="V5206">
        <v>-0.105821</v>
      </c>
      <c r="W5206">
        <v>0.1915637</v>
      </c>
      <c r="X5206">
        <v>0.97575889999999998</v>
      </c>
      <c r="Y5206">
        <v>-4.6429310000000001E-2</v>
      </c>
      <c r="Z5206">
        <v>-6.525646E-4</v>
      </c>
      <c r="AA5206">
        <v>0.99892139999999996</v>
      </c>
      <c r="AB5206">
        <v>31</v>
      </c>
      <c r="AC5206">
        <v>-74.792100000000005</v>
      </c>
      <c r="AD5206">
        <v>-1.1107080079539999</v>
      </c>
      <c r="AE5206">
        <v>-2.6324999999999901</v>
      </c>
      <c r="AF5206">
        <v>-3.48903262925726</v>
      </c>
      <c r="AG5206">
        <v>-1.1107080079539999</v>
      </c>
      <c r="AH5206">
        <v>74.740540541187599</v>
      </c>
      <c r="AI5206">
        <v>90.850475309690793</v>
      </c>
      <c r="AJ5206">
        <v>92.672737176732497</v>
      </c>
      <c r="AK5206">
        <v>74.830177210506804</v>
      </c>
      <c r="AL5206">
        <v>78.955946906868405</v>
      </c>
      <c r="AM5206">
        <v>96.189533992069698</v>
      </c>
      <c r="AN5206">
        <v>1.0000000830639399</v>
      </c>
    </row>
    <row r="5207" spans="1:40" x14ac:dyDescent="0.25">
      <c r="A5207" t="str">
        <f>"20190304154901089"</f>
        <v>20190304154901089</v>
      </c>
      <c r="B5207" t="str">
        <f>"1551685741081955"</f>
        <v>1551685741081955</v>
      </c>
      <c r="C5207" t="s">
        <v>40</v>
      </c>
      <c r="D5207">
        <v>3.9651890000000001</v>
      </c>
      <c r="E5207">
        <v>0.52179390000000003</v>
      </c>
      <c r="F5207" t="s">
        <v>44</v>
      </c>
      <c r="G5207">
        <v>-355.68369999999999</v>
      </c>
      <c r="H5207" s="1">
        <v>-1.954905E-6</v>
      </c>
      <c r="I5207">
        <v>138.93469999999999</v>
      </c>
      <c r="J5207">
        <v>-281.09989999999999</v>
      </c>
      <c r="K5207">
        <v>1.1107089999999999</v>
      </c>
      <c r="L5207">
        <v>141.5292</v>
      </c>
      <c r="M5207">
        <v>-0.99986489999999995</v>
      </c>
      <c r="N5207">
        <v>-1.1878369999999999E-2</v>
      </c>
      <c r="O5207">
        <v>1.136825E-2</v>
      </c>
      <c r="P5207">
        <v>-0.9790915</v>
      </c>
      <c r="Q5207">
        <v>0.1803187</v>
      </c>
      <c r="R5207">
        <v>-9.4156879999999998E-2</v>
      </c>
      <c r="S5207">
        <v>-3.062103</v>
      </c>
      <c r="T5207">
        <v>-4.5409440000000002E-2</v>
      </c>
      <c r="U5207">
        <v>-0.10592650000000001</v>
      </c>
      <c r="V5207">
        <v>-0.1053104</v>
      </c>
      <c r="W5207">
        <v>0.19190670000000001</v>
      </c>
      <c r="X5207">
        <v>0.97574669999999997</v>
      </c>
      <c r="Y5207">
        <v>-4.5922949999999997E-2</v>
      </c>
      <c r="Z5207">
        <v>-6.4678610000000003E-4</v>
      </c>
      <c r="AA5207">
        <v>0.99894479999999997</v>
      </c>
      <c r="AB5207">
        <v>31</v>
      </c>
      <c r="AC5207">
        <v>-74.583799999999997</v>
      </c>
      <c r="AD5207">
        <v>-1.110710954905</v>
      </c>
      <c r="AE5207">
        <v>-2.5945000000000098</v>
      </c>
      <c r="AF5207">
        <v>-3.4415170405022102</v>
      </c>
      <c r="AG5207">
        <v>-1.110710954905</v>
      </c>
      <c r="AH5207">
        <v>74.532973072751304</v>
      </c>
      <c r="AI5207">
        <v>90.852865767532407</v>
      </c>
      <c r="AJ5207">
        <v>92.643721764361601</v>
      </c>
      <c r="AK5207">
        <v>74.620652593158695</v>
      </c>
      <c r="AL5207">
        <v>78.935922487644604</v>
      </c>
      <c r="AM5207">
        <v>96.159975267914902</v>
      </c>
      <c r="AN5207">
        <v>1.0000000422069599</v>
      </c>
    </row>
    <row r="5208" spans="1:40" x14ac:dyDescent="0.25">
      <c r="A5208" t="str">
        <f>"20190304154901113"</f>
        <v>20190304154901113</v>
      </c>
      <c r="B5208" t="str">
        <f>"1551685741102451"</f>
        <v>1551685741102451</v>
      </c>
      <c r="C5208" t="s">
        <v>40</v>
      </c>
      <c r="D5208">
        <v>3.8519239999999999</v>
      </c>
      <c r="E5208">
        <v>0.52266409999999996</v>
      </c>
      <c r="F5208" t="s">
        <v>44</v>
      </c>
      <c r="G5208">
        <v>-358.38979999999998</v>
      </c>
      <c r="H5208" s="1">
        <v>-7.9317699999999998E-7</v>
      </c>
      <c r="I5208">
        <v>138.9393</v>
      </c>
      <c r="J5208">
        <v>-281.41489999999999</v>
      </c>
      <c r="K5208">
        <v>1.110714</v>
      </c>
      <c r="L5208">
        <v>141.53270000000001</v>
      </c>
      <c r="M5208">
        <v>-0.99986620000000004</v>
      </c>
      <c r="N5208">
        <v>-1.186765E-2</v>
      </c>
      <c r="O5208">
        <v>1.1266150000000001E-2</v>
      </c>
      <c r="P5208">
        <v>-0.97912969999999999</v>
      </c>
      <c r="Q5208">
        <v>0.18041860000000001</v>
      </c>
      <c r="R5208">
        <v>-9.3564309999999998E-2</v>
      </c>
      <c r="S5208">
        <v>-3.0623170000000002</v>
      </c>
      <c r="T5208">
        <v>-4.4007659999999997E-2</v>
      </c>
      <c r="U5208">
        <v>-0.1026154</v>
      </c>
      <c r="V5208">
        <v>-0.1046208</v>
      </c>
      <c r="W5208">
        <v>0.19199559999999999</v>
      </c>
      <c r="X5208">
        <v>0.97580339999999999</v>
      </c>
      <c r="Y5208">
        <v>-4.4740299999999997E-2</v>
      </c>
      <c r="Z5208">
        <v>-6.1514739999999897E-4</v>
      </c>
      <c r="AA5208">
        <v>0.99899850000000001</v>
      </c>
      <c r="AB5208">
        <v>31</v>
      </c>
      <c r="AC5208">
        <v>-76.974899999999906</v>
      </c>
      <c r="AD5208">
        <v>-1.1107147931770001</v>
      </c>
      <c r="AE5208">
        <v>-2.5933999999999999</v>
      </c>
      <c r="AF5208">
        <v>-3.4597875974301902</v>
      </c>
      <c r="AG5208">
        <v>-1.1107147931770001</v>
      </c>
      <c r="AH5208">
        <v>76.9247958604209</v>
      </c>
      <c r="AI5208">
        <v>90.826399229297294</v>
      </c>
      <c r="AJ5208">
        <v>92.575212873126901</v>
      </c>
      <c r="AK5208">
        <v>77.0105709350251</v>
      </c>
      <c r="AL5208">
        <v>78.930732454587798</v>
      </c>
      <c r="AM5208">
        <v>96.119592337236995</v>
      </c>
      <c r="AN5208">
        <v>1.00000004883177</v>
      </c>
    </row>
    <row r="5209" spans="1:40" x14ac:dyDescent="0.25">
      <c r="A5209" t="str">
        <f>"20190304154901179"</f>
        <v>20190304154901179</v>
      </c>
      <c r="B5209" t="str">
        <f>"1551685741172723"</f>
        <v>1551685741172723</v>
      </c>
      <c r="C5209" t="s">
        <v>40</v>
      </c>
      <c r="D5209">
        <v>3.8077529999999999</v>
      </c>
      <c r="E5209">
        <v>0.52438260000000003</v>
      </c>
      <c r="F5209" t="s">
        <v>44</v>
      </c>
      <c r="G5209">
        <v>-370.78550000000001</v>
      </c>
      <c r="H5209" s="1">
        <v>-4.0802619999999999E-6</v>
      </c>
      <c r="I5209">
        <v>138.79900000000001</v>
      </c>
      <c r="J5209">
        <v>-282.33519999999999</v>
      </c>
      <c r="K5209">
        <v>1.1107359999999999</v>
      </c>
      <c r="L5209">
        <v>141.54259999999999</v>
      </c>
      <c r="M5209">
        <v>-0.99987020000000004</v>
      </c>
      <c r="N5209">
        <v>-1.184377E-2</v>
      </c>
      <c r="O5209">
        <v>1.093065E-2</v>
      </c>
      <c r="P5209">
        <v>-0.97896810000000001</v>
      </c>
      <c r="Q5209">
        <v>0.181334</v>
      </c>
      <c r="R5209">
        <v>-9.3488920000000003E-2</v>
      </c>
      <c r="S5209">
        <v>-3.0620120000000002</v>
      </c>
      <c r="T5209">
        <v>-3.805542E-2</v>
      </c>
      <c r="U5209">
        <v>-9.3658450000000004E-2</v>
      </c>
      <c r="V5209">
        <v>-0.1042222</v>
      </c>
      <c r="W5209">
        <v>0.19288330000000001</v>
      </c>
      <c r="X5209">
        <v>0.97567090000000001</v>
      </c>
      <c r="Y5209">
        <v>-4.1491149999999997E-2</v>
      </c>
      <c r="Z5209">
        <v>-5.0993589999999997E-4</v>
      </c>
      <c r="AA5209">
        <v>0.99913870000000005</v>
      </c>
      <c r="AB5209">
        <v>31</v>
      </c>
      <c r="AC5209">
        <v>-88.450299999999999</v>
      </c>
      <c r="AD5209">
        <v>-1.110740080262</v>
      </c>
      <c r="AE5209">
        <v>-2.7435999999999798</v>
      </c>
      <c r="AF5209">
        <v>-3.70973862101541</v>
      </c>
      <c r="AG5209">
        <v>-1.110740080262</v>
      </c>
      <c r="AH5209">
        <v>88.401096409236899</v>
      </c>
      <c r="AI5209">
        <v>90.719237861353804</v>
      </c>
      <c r="AJ5209">
        <v>92.402998771567297</v>
      </c>
      <c r="AK5209">
        <v>88.4858731692091</v>
      </c>
      <c r="AL5209">
        <v>78.878901334441096</v>
      </c>
      <c r="AM5209">
        <v>96.097274596127406</v>
      </c>
      <c r="AN5209">
        <v>0.99999996974926897</v>
      </c>
    </row>
    <row r="5210" spans="1:40" x14ac:dyDescent="0.25">
      <c r="A5210" t="str">
        <f>"20190304154901202"</f>
        <v>20190304154901202</v>
      </c>
      <c r="B5210" t="str">
        <f>"1551685741192243"</f>
        <v>1551685741192243</v>
      </c>
      <c r="C5210" t="s">
        <v>40</v>
      </c>
      <c r="D5210">
        <v>3.8116590000000001</v>
      </c>
      <c r="E5210">
        <v>0.52576350000000005</v>
      </c>
      <c r="F5210" t="s">
        <v>44</v>
      </c>
      <c r="G5210">
        <v>-352.3861</v>
      </c>
      <c r="H5210" s="1">
        <v>-3.2853109999999998E-6</v>
      </c>
      <c r="I5210">
        <v>139.75399999999999</v>
      </c>
      <c r="J5210">
        <v>-282.65499999999997</v>
      </c>
      <c r="K5210">
        <v>1.110735</v>
      </c>
      <c r="L5210">
        <v>141.54589999999999</v>
      </c>
      <c r="M5210">
        <v>-0.99987170000000003</v>
      </c>
      <c r="N5210">
        <v>-1.1837540000000001E-2</v>
      </c>
      <c r="O5210">
        <v>1.080476E-2</v>
      </c>
      <c r="P5210">
        <v>-0.97881050000000003</v>
      </c>
      <c r="Q5210">
        <v>0.18205489999999999</v>
      </c>
      <c r="R5210">
        <v>-9.3735639999999995E-2</v>
      </c>
      <c r="S5210">
        <v>-3.065979</v>
      </c>
      <c r="T5210">
        <v>-4.8614739999999997E-2</v>
      </c>
      <c r="U5210">
        <v>-7.8277589999999994E-2</v>
      </c>
      <c r="V5210">
        <v>-0.1043454</v>
      </c>
      <c r="W5210">
        <v>0.19359489999999999</v>
      </c>
      <c r="X5210">
        <v>0.97551679999999996</v>
      </c>
      <c r="Y5210">
        <v>-3.6315159999999999E-2</v>
      </c>
      <c r="Z5210">
        <v>-5.4625840000000001E-4</v>
      </c>
      <c r="AA5210">
        <v>0.99934020000000001</v>
      </c>
      <c r="AB5210">
        <v>31</v>
      </c>
      <c r="AC5210">
        <v>-69.731099999999998</v>
      </c>
      <c r="AD5210">
        <v>-1.1107382853109999</v>
      </c>
      <c r="AE5210">
        <v>-1.7918999999999901</v>
      </c>
      <c r="AF5210">
        <v>-2.54463065104044</v>
      </c>
      <c r="AG5210">
        <v>-1.1107382853109999</v>
      </c>
      <c r="AH5210">
        <v>69.6899958872376</v>
      </c>
      <c r="AI5210">
        <v>90.912510555529096</v>
      </c>
      <c r="AJ5210">
        <v>92.091144541703102</v>
      </c>
      <c r="AK5210">
        <v>69.745282359826106</v>
      </c>
      <c r="AL5210">
        <v>78.8373466157786</v>
      </c>
      <c r="AM5210">
        <v>96.105384753591196</v>
      </c>
      <c r="AN5210">
        <v>0.99999998744470397</v>
      </c>
    </row>
    <row r="5211" spans="1:40" x14ac:dyDescent="0.25">
      <c r="A5211" t="str">
        <f>"20190304154901224"</f>
        <v>20190304154901224</v>
      </c>
      <c r="B5211" t="str">
        <f>"1551685741212739"</f>
        <v>1551685741212739</v>
      </c>
      <c r="C5211" t="s">
        <v>40</v>
      </c>
      <c r="D5211">
        <v>3.7535099999999999</v>
      </c>
      <c r="E5211">
        <v>0.52709010000000001</v>
      </c>
      <c r="F5211" t="s">
        <v>44</v>
      </c>
      <c r="G5211">
        <v>-370.7373</v>
      </c>
      <c r="H5211" s="1">
        <v>-3.9596899999999997E-6</v>
      </c>
      <c r="I5211">
        <v>139.59530000000001</v>
      </c>
      <c r="J5211">
        <v>-282.95089999999999</v>
      </c>
      <c r="K5211">
        <v>1.1107419999999999</v>
      </c>
      <c r="L5211">
        <v>141.54900000000001</v>
      </c>
      <c r="M5211">
        <v>-0.99987289999999995</v>
      </c>
      <c r="N5211">
        <v>-1.1832530000000001E-2</v>
      </c>
      <c r="O5211">
        <v>1.0685190000000001E-2</v>
      </c>
      <c r="P5211">
        <v>-0.97866200000000003</v>
      </c>
      <c r="Q5211">
        <v>0.1826642</v>
      </c>
      <c r="R5211">
        <v>-9.4099360000000007E-2</v>
      </c>
      <c r="S5211">
        <v>-3.0656430000000001</v>
      </c>
      <c r="T5211">
        <v>-3.8658499999999998E-2</v>
      </c>
      <c r="U5211">
        <v>-6.7886349999999998E-2</v>
      </c>
      <c r="V5211">
        <v>-0.1045918</v>
      </c>
      <c r="W5211">
        <v>0.19419739999999999</v>
      </c>
      <c r="X5211">
        <v>0.97537059999999998</v>
      </c>
      <c r="Y5211">
        <v>-3.2815810000000001E-2</v>
      </c>
      <c r="Z5211">
        <v>-4.0937020000000001E-4</v>
      </c>
      <c r="AA5211">
        <v>0.99946140000000006</v>
      </c>
      <c r="AB5211">
        <v>31</v>
      </c>
      <c r="AC5211">
        <v>-87.7864</v>
      </c>
      <c r="AD5211">
        <v>-1.11074595969</v>
      </c>
      <c r="AE5211">
        <v>-1.95369999999999</v>
      </c>
      <c r="AF5211">
        <v>-2.8912058517784902</v>
      </c>
      <c r="AG5211">
        <v>-1.11074595969</v>
      </c>
      <c r="AH5211">
        <v>87.746469879591402</v>
      </c>
      <c r="AI5211">
        <v>90.724851309795795</v>
      </c>
      <c r="AJ5211">
        <v>91.887186842373495</v>
      </c>
      <c r="AK5211">
        <v>87.801115050974005</v>
      </c>
      <c r="AL5211">
        <v>78.802157576057894</v>
      </c>
      <c r="AM5211">
        <v>96.120602995296593</v>
      </c>
      <c r="AN5211">
        <v>0.999999941069178</v>
      </c>
    </row>
    <row r="5212" spans="1:40" x14ac:dyDescent="0.25">
      <c r="A5212" t="str">
        <f>"20190304154901244"</f>
        <v>20190304154901244</v>
      </c>
      <c r="B5212" t="str">
        <f>"1551685741242019"</f>
        <v>1551685741242019</v>
      </c>
      <c r="C5212" t="s">
        <v>40</v>
      </c>
      <c r="D5212">
        <v>3.934682</v>
      </c>
      <c r="E5212">
        <v>0.52762719999999996</v>
      </c>
      <c r="F5212" t="s">
        <v>44</v>
      </c>
      <c r="G5212">
        <v>-399.0385</v>
      </c>
      <c r="H5212" s="1">
        <v>-4.4802470000000001E-7</v>
      </c>
      <c r="I5212">
        <v>139.316</v>
      </c>
      <c r="J5212">
        <v>-283.23899999999998</v>
      </c>
      <c r="K5212">
        <v>1.110744</v>
      </c>
      <c r="L5212">
        <v>141.55189999999999</v>
      </c>
      <c r="M5212">
        <v>-0.99987420000000005</v>
      </c>
      <c r="N5212">
        <v>-1.1828299999999899E-2</v>
      </c>
      <c r="O5212">
        <v>1.0567109999999999E-2</v>
      </c>
      <c r="P5212">
        <v>-0.97869200000000001</v>
      </c>
      <c r="Q5212">
        <v>0.18231130000000001</v>
      </c>
      <c r="R5212">
        <v>-9.4470899999999997E-2</v>
      </c>
      <c r="S5212">
        <v>-3.0652469999999998</v>
      </c>
      <c r="T5212">
        <v>-2.9328699999999999E-2</v>
      </c>
      <c r="U5212">
        <v>-5.8959959999999999E-2</v>
      </c>
      <c r="V5212">
        <v>-0.1048491</v>
      </c>
      <c r="W5212">
        <v>0.19384000000000001</v>
      </c>
      <c r="X5212">
        <v>0.97541420000000001</v>
      </c>
      <c r="Y5212">
        <v>-2.9793179999999999E-2</v>
      </c>
      <c r="Z5212">
        <v>-2.9486300000000003E-4</v>
      </c>
      <c r="AA5212">
        <v>0.99955609999999995</v>
      </c>
      <c r="AB5212">
        <v>31</v>
      </c>
      <c r="AC5212">
        <v>-115.799499999999</v>
      </c>
      <c r="AD5212">
        <v>-1.1107444480247</v>
      </c>
      <c r="AE5212">
        <v>-2.23589999999998</v>
      </c>
      <c r="AF5212">
        <v>-3.4592086673601101</v>
      </c>
      <c r="AG5212">
        <v>-1.1107444480247</v>
      </c>
      <c r="AH5212">
        <v>115.758758452077</v>
      </c>
      <c r="AI5212">
        <v>90.549510232339799</v>
      </c>
      <c r="AJ5212">
        <v>91.711655300623306</v>
      </c>
      <c r="AK5212">
        <v>115.81575901490901</v>
      </c>
      <c r="AL5212">
        <v>78.823033208393497</v>
      </c>
      <c r="AM5212">
        <v>96.135273056736494</v>
      </c>
      <c r="AN5212">
        <v>1.00000007046622</v>
      </c>
    </row>
    <row r="5213" spans="1:40" x14ac:dyDescent="0.25">
      <c r="A5213" t="str">
        <f>"20190304154901268"</f>
        <v>20190304154901268</v>
      </c>
      <c r="B5213" t="str">
        <f>"1551685741262515"</f>
        <v>1551685741262515</v>
      </c>
      <c r="C5213" t="s">
        <v>40</v>
      </c>
      <c r="D5213">
        <v>3.9086799999999999</v>
      </c>
      <c r="E5213">
        <v>0.52721280000000004</v>
      </c>
      <c r="F5213" t="s">
        <v>79</v>
      </c>
      <c r="G5213">
        <v>-420.98759999999999</v>
      </c>
      <c r="H5213" s="1">
        <v>-9.7243820000000004E-6</v>
      </c>
      <c r="I5213">
        <v>139.07040000000001</v>
      </c>
      <c r="J5213">
        <v>-283.55889999999999</v>
      </c>
      <c r="K5213">
        <v>1.110744</v>
      </c>
      <c r="L5213">
        <v>141.55520000000001</v>
      </c>
      <c r="M5213">
        <v>-0.99987579999999998</v>
      </c>
      <c r="N5213">
        <v>-1.182426E-2</v>
      </c>
      <c r="O5213">
        <v>1.0434489999999999E-2</v>
      </c>
      <c r="P5213">
        <v>-0.97879459999999996</v>
      </c>
      <c r="Q5213">
        <v>0.1812704</v>
      </c>
      <c r="R5213">
        <v>-9.5406069999999996E-2</v>
      </c>
      <c r="S5213">
        <v>-3.0645449999999999</v>
      </c>
      <c r="T5213">
        <v>-2.471137E-2</v>
      </c>
      <c r="U5213">
        <v>-5.52063E-2</v>
      </c>
      <c r="V5213">
        <v>-0.105656399999999</v>
      </c>
      <c r="W5213">
        <v>0.1927962</v>
      </c>
      <c r="X5213">
        <v>0.97553389999999995</v>
      </c>
      <c r="Y5213">
        <v>-2.84418E-2</v>
      </c>
      <c r="Z5213">
        <v>-2.4359720000000001E-4</v>
      </c>
      <c r="AA5213">
        <v>0.99959540000000002</v>
      </c>
      <c r="AB5213">
        <v>31</v>
      </c>
      <c r="AC5213">
        <v>-137.42869999999999</v>
      </c>
      <c r="AD5213">
        <v>-1.110753724382</v>
      </c>
      <c r="AE5213">
        <v>-2.4847999999999999</v>
      </c>
      <c r="AF5213">
        <v>-3.9185072451331</v>
      </c>
      <c r="AG5213">
        <v>-1.110753724382</v>
      </c>
      <c r="AH5213">
        <v>137.38631594782899</v>
      </c>
      <c r="AI5213">
        <v>90.463031888816303</v>
      </c>
      <c r="AJ5213">
        <v>91.633736773879306</v>
      </c>
      <c r="AK5213">
        <v>137.44667432347401</v>
      </c>
      <c r="AL5213">
        <v>78.883987822149606</v>
      </c>
      <c r="AM5213">
        <v>96.181395329732595</v>
      </c>
      <c r="AN5213">
        <v>1.0000000198223</v>
      </c>
    </row>
    <row r="5214" spans="1:40" x14ac:dyDescent="0.25">
      <c r="A5214" t="str">
        <f>"20190304154901290"</f>
        <v>20190304154901290</v>
      </c>
      <c r="B5214" t="str">
        <f>"1551685741282035"</f>
        <v>1551685741282035</v>
      </c>
      <c r="C5214" t="s">
        <v>40</v>
      </c>
      <c r="D5214">
        <v>3.8822760000000001</v>
      </c>
      <c r="E5214">
        <v>0.52744849999999999</v>
      </c>
      <c r="F5214" t="s">
        <v>79</v>
      </c>
      <c r="G5214">
        <v>-416.19619999999998</v>
      </c>
      <c r="H5214" s="1">
        <v>-9.8341960000000005E-6</v>
      </c>
      <c r="I5214">
        <v>138.94130000000001</v>
      </c>
      <c r="J5214">
        <v>-283.8784</v>
      </c>
      <c r="K5214">
        <v>1.1107400000000001</v>
      </c>
      <c r="L5214">
        <v>141.5583</v>
      </c>
      <c r="M5214">
        <v>-0.99987720000000002</v>
      </c>
      <c r="N5214">
        <v>-1.1820840000000001E-2</v>
      </c>
      <c r="O5214">
        <v>1.030062E-2</v>
      </c>
      <c r="P5214">
        <v>-0.97873520000000003</v>
      </c>
      <c r="Q5214">
        <v>0.18102489999999999</v>
      </c>
      <c r="R5214">
        <v>-9.6475560000000002E-2</v>
      </c>
      <c r="S5214">
        <v>-3.0638730000000001</v>
      </c>
      <c r="T5214">
        <v>-2.5658009999999998E-2</v>
      </c>
      <c r="U5214">
        <v>-6.037903E-2</v>
      </c>
      <c r="V5214">
        <v>-0.1065953</v>
      </c>
      <c r="W5214">
        <v>0.19254540000000001</v>
      </c>
      <c r="X5214">
        <v>0.9754813</v>
      </c>
      <c r="Y5214">
        <v>-2.999864E-2</v>
      </c>
      <c r="Z5214">
        <v>-2.6742950000000003E-4</v>
      </c>
      <c r="AA5214">
        <v>0.99954989999999999</v>
      </c>
      <c r="AB5214">
        <v>31</v>
      </c>
      <c r="AC5214">
        <v>-132.31779999999901</v>
      </c>
      <c r="AD5214">
        <v>-1.110749834196</v>
      </c>
      <c r="AE5214">
        <v>-2.6169999999999898</v>
      </c>
      <c r="AF5214">
        <v>-3.9796312528264299</v>
      </c>
      <c r="AG5214">
        <v>-1.110749834196</v>
      </c>
      <c r="AH5214">
        <v>132.27450302776401</v>
      </c>
      <c r="AI5214">
        <v>90.480901447998704</v>
      </c>
      <c r="AJ5214">
        <v>91.7232898906842</v>
      </c>
      <c r="AK5214">
        <v>132.339016851964</v>
      </c>
      <c r="AL5214">
        <v>78.898632074655495</v>
      </c>
      <c r="AM5214">
        <v>96.236228117051596</v>
      </c>
      <c r="AN5214">
        <v>1.00000002784646</v>
      </c>
    </row>
    <row r="5215" spans="1:40" x14ac:dyDescent="0.25">
      <c r="A5215" t="str">
        <f>"20190304154901312"</f>
        <v>20190304154901312</v>
      </c>
      <c r="B5215" t="str">
        <f>"1551685741302531"</f>
        <v>1551685741302531</v>
      </c>
      <c r="C5215" t="s">
        <v>40</v>
      </c>
      <c r="D5215">
        <v>3.83338</v>
      </c>
      <c r="E5215">
        <v>0.52804549999999995</v>
      </c>
      <c r="F5215" t="s">
        <v>79</v>
      </c>
      <c r="G5215">
        <v>-435.55180000000001</v>
      </c>
      <c r="H5215" s="1">
        <v>-8.6391940000000005E-6</v>
      </c>
      <c r="I5215">
        <v>138.51140000000001</v>
      </c>
      <c r="J5215">
        <v>-284.16539999999998</v>
      </c>
      <c r="K5215">
        <v>1.110735</v>
      </c>
      <c r="L5215">
        <v>141.56120000000001</v>
      </c>
      <c r="M5215">
        <v>-0.9998785</v>
      </c>
      <c r="N5215">
        <v>-1.1818250000000001E-2</v>
      </c>
      <c r="O5215">
        <v>1.0179570000000001E-2</v>
      </c>
      <c r="P5215">
        <v>-0.97869859999999997</v>
      </c>
      <c r="Q5215">
        <v>0.18078449999999999</v>
      </c>
      <c r="R5215">
        <v>-9.7295590000000001E-2</v>
      </c>
      <c r="S5215">
        <v>-3.0632630000000001</v>
      </c>
      <c r="T5215">
        <v>-2.2433160000000001E-2</v>
      </c>
      <c r="U5215">
        <v>-6.1538700000000002E-2</v>
      </c>
      <c r="V5215">
        <v>-0.1072968</v>
      </c>
      <c r="W5215">
        <v>0.1923021</v>
      </c>
      <c r="X5215">
        <v>0.9754524</v>
      </c>
      <c r="Y5215">
        <v>-3.0260169999999999E-2</v>
      </c>
      <c r="Z5215">
        <v>-2.4387510000000001E-4</v>
      </c>
      <c r="AA5215">
        <v>0.99954200000000004</v>
      </c>
      <c r="AB5215">
        <v>31</v>
      </c>
      <c r="AC5215">
        <v>-151.38640000000001</v>
      </c>
      <c r="AD5215">
        <v>-1.110743639194</v>
      </c>
      <c r="AE5215">
        <v>-3.0497999999999998</v>
      </c>
      <c r="AF5215">
        <v>-4.59055078082402</v>
      </c>
      <c r="AG5215">
        <v>-1.110743639194</v>
      </c>
      <c r="AH5215">
        <v>151.33936343470401</v>
      </c>
      <c r="AI5215">
        <v>90.420317113153402</v>
      </c>
      <c r="AJ5215">
        <v>91.737410265575306</v>
      </c>
      <c r="AK5215">
        <v>151.413043799815</v>
      </c>
      <c r="AL5215">
        <v>78.912837779548596</v>
      </c>
      <c r="AM5215">
        <v>96.277126472558095</v>
      </c>
      <c r="AN5215">
        <v>1.0000000428102001</v>
      </c>
    </row>
    <row r="5216" spans="1:40" x14ac:dyDescent="0.25">
      <c r="A5216" t="str">
        <f>"20190304154901333"</f>
        <v>20190304154901333</v>
      </c>
      <c r="B5216" t="str">
        <f>"1551685741322051"</f>
        <v>1551685741322051</v>
      </c>
      <c r="C5216" t="s">
        <v>40</v>
      </c>
      <c r="D5216">
        <v>3.9024899999999998</v>
      </c>
      <c r="E5216">
        <v>0.52772330000000001</v>
      </c>
      <c r="F5216" t="s">
        <v>44</v>
      </c>
      <c r="G5216">
        <v>-464.42360000000002</v>
      </c>
      <c r="H5216" s="1">
        <v>-2.0227070000000001E-6</v>
      </c>
      <c r="I5216">
        <v>138.09119999999999</v>
      </c>
      <c r="J5216">
        <v>-284.46850000000001</v>
      </c>
      <c r="K5216">
        <v>1.1107320000000001</v>
      </c>
      <c r="L5216">
        <v>141.5641</v>
      </c>
      <c r="M5216">
        <v>-0.99987979999999999</v>
      </c>
      <c r="N5216">
        <v>-1.18161E-2</v>
      </c>
      <c r="O5216">
        <v>1.005142E-2</v>
      </c>
      <c r="P5216">
        <v>-0.9787669</v>
      </c>
      <c r="Q5216">
        <v>0.1800281</v>
      </c>
      <c r="R5216">
        <v>-9.8007490000000003E-2</v>
      </c>
      <c r="S5216">
        <v>-3.062897</v>
      </c>
      <c r="T5216">
        <v>-1.8873330000000001E-2</v>
      </c>
      <c r="U5216">
        <v>-5.8959959999999999E-2</v>
      </c>
      <c r="V5216">
        <v>-0.1078847</v>
      </c>
      <c r="W5216">
        <v>0.19154399999999999</v>
      </c>
      <c r="X5216">
        <v>0.97553659999999998</v>
      </c>
      <c r="Y5216">
        <v>-2.9293670000000001E-2</v>
      </c>
      <c r="Z5216">
        <v>-2.0650789999999999E-4</v>
      </c>
      <c r="AA5216">
        <v>0.99957079999999998</v>
      </c>
      <c r="AB5216">
        <v>31</v>
      </c>
      <c r="AC5216">
        <v>-179.95509999999999</v>
      </c>
      <c r="AD5216">
        <v>-1.1107340227069999</v>
      </c>
      <c r="AE5216">
        <v>-3.4729000000000001</v>
      </c>
      <c r="AF5216">
        <v>-5.2814537395707397</v>
      </c>
      <c r="AG5216">
        <v>-1.1107340227069999</v>
      </c>
      <c r="AH5216">
        <v>179.90424669146401</v>
      </c>
      <c r="AI5216">
        <v>90.353588974304699</v>
      </c>
      <c r="AJ5216">
        <v>91.681550756005805</v>
      </c>
      <c r="AK5216">
        <v>179.98518122694301</v>
      </c>
      <c r="AL5216">
        <v>78.957095276087799</v>
      </c>
      <c r="AM5216">
        <v>96.310702941686898</v>
      </c>
      <c r="AN5216">
        <v>0.999999935184822</v>
      </c>
    </row>
    <row r="5217" spans="1:40" x14ac:dyDescent="0.25">
      <c r="A5217" t="str">
        <f>"20190304154901357"</f>
        <v>20190304154901357</v>
      </c>
      <c r="B5217" t="str">
        <f>"1551685741352307"</f>
        <v>1551685741352307</v>
      </c>
      <c r="C5217" t="s">
        <v>40</v>
      </c>
      <c r="D5217">
        <v>3.9194930000000001</v>
      </c>
      <c r="E5217">
        <v>0.52736740000000004</v>
      </c>
      <c r="F5217" t="s">
        <v>44</v>
      </c>
      <c r="G5217">
        <v>-452.93259999999998</v>
      </c>
      <c r="H5217" s="1">
        <v>-2.2724469999999999E-6</v>
      </c>
      <c r="I5217">
        <v>138.0856</v>
      </c>
      <c r="J5217">
        <v>-284.78190000000001</v>
      </c>
      <c r="K5217">
        <v>1.1107260000000001</v>
      </c>
      <c r="L5217">
        <v>141.56710000000001</v>
      </c>
      <c r="M5217">
        <v>-0.99988109999999997</v>
      </c>
      <c r="N5217">
        <v>-1.1814130000000001E-2</v>
      </c>
      <c r="O5217">
        <v>9.9185639999999995E-3</v>
      </c>
      <c r="P5217">
        <v>-0.97873279999999996</v>
      </c>
      <c r="Q5217">
        <v>0.17985860000000001</v>
      </c>
      <c r="R5217">
        <v>-9.8659179999999999E-2</v>
      </c>
      <c r="S5217">
        <v>-3.0624690000000001</v>
      </c>
      <c r="T5217">
        <v>-2.0191790000000001E-2</v>
      </c>
      <c r="U5217">
        <v>-6.3232419999999998E-2</v>
      </c>
      <c r="V5217">
        <v>-0.10840660000000001</v>
      </c>
      <c r="W5217">
        <v>0.19137219999999999</v>
      </c>
      <c r="X5217">
        <v>0.9755125</v>
      </c>
      <c r="Y5217">
        <v>-3.0557270000000001E-2</v>
      </c>
      <c r="Z5217">
        <v>-2.2947859999999999E-4</v>
      </c>
      <c r="AA5217">
        <v>0.999533</v>
      </c>
      <c r="AB5217">
        <v>31</v>
      </c>
      <c r="AC5217">
        <v>-168.15069999999901</v>
      </c>
      <c r="AD5217">
        <v>-1.110728272447</v>
      </c>
      <c r="AE5217">
        <v>-3.4815000000000098</v>
      </c>
      <c r="AF5217">
        <v>-5.1490338923497596</v>
      </c>
      <c r="AG5217">
        <v>-1.110728272447</v>
      </c>
      <c r="AH5217">
        <v>168.10056195486001</v>
      </c>
      <c r="AI5217">
        <v>90.378400184096506</v>
      </c>
      <c r="AJ5217">
        <v>91.754459910029695</v>
      </c>
      <c r="AK5217">
        <v>168.183070482316</v>
      </c>
      <c r="AL5217">
        <v>78.967124650128</v>
      </c>
      <c r="AM5217">
        <v>96.341138722948898</v>
      </c>
      <c r="AN5217">
        <v>0.99999997375632399</v>
      </c>
    </row>
    <row r="5218" spans="1:40" x14ac:dyDescent="0.25">
      <c r="A5218" t="str">
        <f>"20190304154901380"</f>
        <v>20190304154901380</v>
      </c>
      <c r="B5218" t="str">
        <f>"1551685741372803"</f>
        <v>1551685741372803</v>
      </c>
      <c r="C5218" t="s">
        <v>40</v>
      </c>
      <c r="D5218">
        <v>3.9000560000000002</v>
      </c>
      <c r="E5218">
        <v>0.527174699999999</v>
      </c>
      <c r="F5218" t="s">
        <v>44</v>
      </c>
      <c r="G5218">
        <v>-460.95650000000001</v>
      </c>
      <c r="H5218" s="1">
        <v>-3.7340740000000001E-6</v>
      </c>
      <c r="I5218">
        <v>137.68299999999999</v>
      </c>
      <c r="J5218">
        <v>-285.10570000000001</v>
      </c>
      <c r="K5218">
        <v>1.110727</v>
      </c>
      <c r="L5218">
        <v>141.5701</v>
      </c>
      <c r="M5218">
        <v>-0.99988239999999995</v>
      </c>
      <c r="N5218">
        <v>-1.181243E-2</v>
      </c>
      <c r="O5218">
        <v>9.7799889999999993E-3</v>
      </c>
      <c r="P5218">
        <v>-0.97866240000000004</v>
      </c>
      <c r="Q5218">
        <v>0.18012539999999999</v>
      </c>
      <c r="R5218">
        <v>-9.8869349999999995E-2</v>
      </c>
      <c r="S5218">
        <v>-3.0619200000000002</v>
      </c>
      <c r="T5218">
        <v>-1.930451E-2</v>
      </c>
      <c r="U5218">
        <v>-6.7504880000000003E-2</v>
      </c>
      <c r="V5218">
        <v>-0.10848090000000001</v>
      </c>
      <c r="W5218">
        <v>0.19163620000000001</v>
      </c>
      <c r="X5218">
        <v>0.9754524</v>
      </c>
      <c r="Y5218">
        <v>-3.1816509999999999E-2</v>
      </c>
      <c r="Z5218">
        <v>-2.343717E-4</v>
      </c>
      <c r="AA5218">
        <v>0.99949370000000004</v>
      </c>
      <c r="AB5218">
        <v>31</v>
      </c>
      <c r="AC5218">
        <v>-175.85079999999999</v>
      </c>
      <c r="AD5218">
        <v>-1.110730734074</v>
      </c>
      <c r="AE5218">
        <v>-3.8871000000000002</v>
      </c>
      <c r="AF5218">
        <v>-5.6066293922097801</v>
      </c>
      <c r="AG5218">
        <v>-1.110730734074</v>
      </c>
      <c r="AH5218">
        <v>175.79736009383799</v>
      </c>
      <c r="AI5218">
        <v>90.3618199783064</v>
      </c>
      <c r="AJ5218">
        <v>91.826690424060999</v>
      </c>
      <c r="AK5218">
        <v>175.890249393956</v>
      </c>
      <c r="AL5218">
        <v>78.951713193521101</v>
      </c>
      <c r="AM5218">
        <v>96.345837159982807</v>
      </c>
      <c r="AN5218">
        <v>0.99999996174050398</v>
      </c>
    </row>
    <row r="5219" spans="1:40" x14ac:dyDescent="0.25">
      <c r="A5219" t="str">
        <f>"20190304154901403"</f>
        <v>20190304154901403</v>
      </c>
      <c r="B5219" t="str">
        <f>"1551685741392323"</f>
        <v>1551685741392323</v>
      </c>
      <c r="C5219" t="s">
        <v>40</v>
      </c>
      <c r="D5219">
        <v>3.903346</v>
      </c>
      <c r="E5219">
        <v>0.52698699999999998</v>
      </c>
      <c r="F5219" t="s">
        <v>68</v>
      </c>
      <c r="G5219">
        <v>-477.13580000000002</v>
      </c>
      <c r="H5219" s="1">
        <v>-4.5286570000000002E-6</v>
      </c>
      <c r="I5219">
        <v>137.22710000000001</v>
      </c>
      <c r="J5219">
        <v>-285.41680000000002</v>
      </c>
      <c r="K5219">
        <v>1.1107359999999999</v>
      </c>
      <c r="L5219">
        <v>141.57299999999901</v>
      </c>
      <c r="M5219">
        <v>-0.99988379999999999</v>
      </c>
      <c r="N5219">
        <v>-1.18111E-2</v>
      </c>
      <c r="O5219">
        <v>9.6421019999999996E-3</v>
      </c>
      <c r="P5219">
        <v>-0.97858429999999996</v>
      </c>
      <c r="Q5219">
        <v>0.18072740000000001</v>
      </c>
      <c r="R5219">
        <v>-9.8541799999999999E-2</v>
      </c>
      <c r="S5219">
        <v>-3.0617070000000002</v>
      </c>
      <c r="T5219">
        <v>-1.7709369999999999E-2</v>
      </c>
      <c r="U5219">
        <v>-6.9244379999999994E-2</v>
      </c>
      <c r="V5219">
        <v>-0.10801910000000001</v>
      </c>
      <c r="W5219">
        <v>0.19223570000000001</v>
      </c>
      <c r="X5219">
        <v>0.97538570000000002</v>
      </c>
      <c r="Y5219">
        <v>-3.2247940000000003E-2</v>
      </c>
      <c r="Z5219">
        <v>-2.2562060000000001E-4</v>
      </c>
      <c r="AA5219">
        <v>0.99947989999999998</v>
      </c>
      <c r="AB5219">
        <v>31</v>
      </c>
      <c r="AC5219">
        <v>-191.71899999999999</v>
      </c>
      <c r="AD5219">
        <v>-1.110740528657</v>
      </c>
      <c r="AE5219">
        <v>-4.3458999999999701</v>
      </c>
      <c r="AF5219">
        <v>-6.19419316997097</v>
      </c>
      <c r="AG5219">
        <v>-1.110740528657</v>
      </c>
      <c r="AH5219">
        <v>191.66175000219499</v>
      </c>
      <c r="AI5219">
        <v>90.331870200859797</v>
      </c>
      <c r="AJ5219">
        <v>91.851061265808198</v>
      </c>
      <c r="AK5219">
        <v>191.76503379775099</v>
      </c>
      <c r="AL5219">
        <v>78.916713812695207</v>
      </c>
      <c r="AM5219">
        <v>96.319470723337105</v>
      </c>
      <c r="AN5219">
        <v>0.99999997704189403</v>
      </c>
    </row>
    <row r="5220" spans="1:40" x14ac:dyDescent="0.25">
      <c r="A5220" t="str">
        <f>"20190304154901423"</f>
        <v>20190304154901423</v>
      </c>
      <c r="B5220" t="str">
        <f>"1551685741412820"</f>
        <v>1551685741412820</v>
      </c>
      <c r="C5220" t="s">
        <v>40</v>
      </c>
      <c r="D5220">
        <v>3.9386770000000002</v>
      </c>
      <c r="E5220">
        <v>0.52698579999999995</v>
      </c>
      <c r="F5220" t="s">
        <v>68</v>
      </c>
      <c r="G5220">
        <v>-499.96339999999998</v>
      </c>
      <c r="H5220">
        <v>5.5678180000000001E-2</v>
      </c>
      <c r="I5220">
        <v>136.70859999999999</v>
      </c>
      <c r="J5220">
        <v>-285.70319999999998</v>
      </c>
      <c r="K5220">
        <v>1.110746</v>
      </c>
      <c r="L5220">
        <v>141.57560000000001</v>
      </c>
      <c r="M5220">
        <v>-0.99988500000000002</v>
      </c>
      <c r="N5220">
        <v>-1.181013E-2</v>
      </c>
      <c r="O5220">
        <v>9.5067889999999999E-3</v>
      </c>
      <c r="P5220">
        <v>-0.97856739999999998</v>
      </c>
      <c r="Q5220">
        <v>0.18092430000000001</v>
      </c>
      <c r="R5220">
        <v>-9.8348359999999996E-2</v>
      </c>
      <c r="S5220">
        <v>-3.0614319999999999</v>
      </c>
      <c r="T5220">
        <v>-1.5054939999999999E-2</v>
      </c>
      <c r="U5220">
        <v>-6.9412230000000005E-2</v>
      </c>
      <c r="V5220">
        <v>-0.1076954</v>
      </c>
      <c r="W5220">
        <v>0.1924303</v>
      </c>
      <c r="X5220">
        <v>0.97538320000000001</v>
      </c>
      <c r="Y5220">
        <v>-3.2169740000000002E-2</v>
      </c>
      <c r="Z5220">
        <v>-2.03568E-4</v>
      </c>
      <c r="AA5220">
        <v>0.99948239999999999</v>
      </c>
      <c r="AB5220">
        <v>31</v>
      </c>
      <c r="AC5220">
        <v>-214.2602</v>
      </c>
      <c r="AD5220">
        <v>-1.0550678200000001</v>
      </c>
      <c r="AE5220">
        <v>-4.8670000000000098</v>
      </c>
      <c r="AF5220">
        <v>-6.9036814248356597</v>
      </c>
      <c r="AG5220">
        <v>-1.0550678200000001</v>
      </c>
      <c r="AH5220">
        <v>214.199052100019</v>
      </c>
      <c r="AI5220">
        <v>90.282069743552</v>
      </c>
      <c r="AJ5220">
        <v>91.846016242904994</v>
      </c>
      <c r="AK5220">
        <v>214.31287386871401</v>
      </c>
      <c r="AL5220">
        <v>78.905352779625503</v>
      </c>
      <c r="AM5220">
        <v>96.300701763782399</v>
      </c>
      <c r="AN5220">
        <v>1.00000005319074</v>
      </c>
    </row>
    <row r="5221" spans="1:40" x14ac:dyDescent="0.25">
      <c r="A5221" t="str">
        <f>"20190304154901446"</f>
        <v>20190304154901446</v>
      </c>
      <c r="B5221" t="str">
        <f>"1551685741442101"</f>
        <v>1551685741442101</v>
      </c>
      <c r="C5221" t="s">
        <v>40</v>
      </c>
      <c r="D5221">
        <v>3.7782089999999999</v>
      </c>
      <c r="E5221">
        <v>0.52870919999999999</v>
      </c>
      <c r="F5221" t="s">
        <v>45</v>
      </c>
      <c r="G5221">
        <v>-542.93640000000005</v>
      </c>
      <c r="H5221">
        <v>-0.05</v>
      </c>
      <c r="I5221">
        <v>135.81379999999999</v>
      </c>
      <c r="J5221">
        <v>-286.02190000000002</v>
      </c>
      <c r="K5221">
        <v>1.1107590000000001</v>
      </c>
      <c r="L5221">
        <v>141.57849999999999</v>
      </c>
      <c r="M5221">
        <v>-0.99988670000000002</v>
      </c>
      <c r="N5221">
        <v>-1.1809299999999899E-2</v>
      </c>
      <c r="O5221">
        <v>9.3421949999999993E-3</v>
      </c>
      <c r="P5221">
        <v>-0.97851160000000004</v>
      </c>
      <c r="Q5221">
        <v>0.18117150000000001</v>
      </c>
      <c r="R5221">
        <v>-9.8447919999999994E-2</v>
      </c>
      <c r="S5221">
        <v>-3.0613709999999998</v>
      </c>
      <c r="T5221">
        <v>-1.381421E-2</v>
      </c>
      <c r="U5221">
        <v>-6.8572999999999995E-2</v>
      </c>
      <c r="V5221">
        <v>-0.1076386</v>
      </c>
      <c r="W5221">
        <v>0.1926737</v>
      </c>
      <c r="X5221">
        <v>0.97534140000000003</v>
      </c>
      <c r="Y5221">
        <v>-3.173194E-2</v>
      </c>
      <c r="Z5221">
        <v>-1.908212E-4</v>
      </c>
      <c r="AA5221">
        <v>0.99949639999999995</v>
      </c>
      <c r="AB5221">
        <v>31</v>
      </c>
      <c r="AC5221">
        <v>-256.91449999999998</v>
      </c>
      <c r="AD5221">
        <v>-1.1607590000000001</v>
      </c>
      <c r="AE5221">
        <v>-5.7647000000000004</v>
      </c>
      <c r="AF5221">
        <v>-8.16459437530267</v>
      </c>
      <c r="AG5221">
        <v>-1.1607590000000001</v>
      </c>
      <c r="AH5221">
        <v>256.84418785439101</v>
      </c>
      <c r="AI5221">
        <v>90.258805012076706</v>
      </c>
      <c r="AJ5221">
        <v>91.820712126448797</v>
      </c>
      <c r="AK5221">
        <v>256.97654522806403</v>
      </c>
      <c r="AL5221">
        <v>78.891140832264597</v>
      </c>
      <c r="AM5221">
        <v>96.297673112088404</v>
      </c>
      <c r="AN5221">
        <v>1.0000000347178</v>
      </c>
    </row>
    <row r="5222" spans="1:40" x14ac:dyDescent="0.25">
      <c r="A5222" t="str">
        <f>"20190304154901461"</f>
        <v>20190304154901461</v>
      </c>
      <c r="B5222" t="str">
        <f>"1551685741452836"</f>
        <v>1551685741452836</v>
      </c>
      <c r="C5222" t="s">
        <v>40</v>
      </c>
      <c r="D5222">
        <v>3.8413940000000002</v>
      </c>
      <c r="E5222">
        <v>0.52936649999999996</v>
      </c>
      <c r="F5222" t="s">
        <v>42</v>
      </c>
      <c r="G5222">
        <v>0</v>
      </c>
      <c r="H5222">
        <v>0</v>
      </c>
      <c r="I5222">
        <v>0</v>
      </c>
      <c r="J5222">
        <v>-286.21969999999999</v>
      </c>
      <c r="K5222">
        <v>1.110768</v>
      </c>
      <c r="L5222">
        <v>141.58019999999999</v>
      </c>
      <c r="M5222">
        <v>-0.99988770000000005</v>
      </c>
      <c r="N5222">
        <v>-1.1808880000000001E-2</v>
      </c>
      <c r="O5222">
        <v>9.2291790000000005E-3</v>
      </c>
      <c r="P5222">
        <v>-0.97846759999999999</v>
      </c>
      <c r="Q5222">
        <v>0.1814897</v>
      </c>
      <c r="R5222">
        <v>-9.8297830000000003E-2</v>
      </c>
      <c r="S5222">
        <v>-3.062103</v>
      </c>
      <c r="T5222">
        <v>-9.2200040000000004E-3</v>
      </c>
      <c r="U5222">
        <v>-5.4702760000000003E-2</v>
      </c>
      <c r="V5222">
        <v>-0.10738200000000001</v>
      </c>
      <c r="W5222">
        <v>0.19298899999999999</v>
      </c>
      <c r="X5222">
        <v>0.97530729999999999</v>
      </c>
      <c r="Y5222">
        <v>-2.708822E-2</v>
      </c>
      <c r="Z5222">
        <v>-1.1954499999999999E-4</v>
      </c>
      <c r="AA5222">
        <v>0.99963299999999999</v>
      </c>
      <c r="AB5222">
        <v>31</v>
      </c>
      <c r="AC5222">
        <v>-3.062103</v>
      </c>
      <c r="AD5222">
        <v>-9.2200040000000004E-3</v>
      </c>
      <c r="AE5222">
        <v>-5.4702760000000003E-2</v>
      </c>
      <c r="AF5222">
        <v>-8.2962344804298593E-2</v>
      </c>
      <c r="AG5222">
        <v>-9.2200040000000004E-3</v>
      </c>
      <c r="AH5222">
        <v>3.0614399241646</v>
      </c>
      <c r="AI5222">
        <v>90.172491334433104</v>
      </c>
      <c r="AJ5222">
        <v>91.552285615518201</v>
      </c>
      <c r="AK5222">
        <v>3.06257769997729</v>
      </c>
      <c r="AL5222">
        <v>78.872729418135194</v>
      </c>
      <c r="AM5222">
        <v>96.282998179116603</v>
      </c>
      <c r="AN5222">
        <v>0.99999998873914397</v>
      </c>
    </row>
    <row r="5223" spans="1:40" x14ac:dyDescent="0.25">
      <c r="A5223" t="str">
        <f>"20190304154901474"</f>
        <v>20190304154901474</v>
      </c>
      <c r="B5223" t="str">
        <f>"1551685741462596"</f>
        <v>1551685741462596</v>
      </c>
      <c r="C5223" t="s">
        <v>40</v>
      </c>
      <c r="D5223">
        <v>3.8533240000000002</v>
      </c>
      <c r="E5223">
        <v>0.52997209999999995</v>
      </c>
      <c r="F5223" t="s">
        <v>42</v>
      </c>
      <c r="G5223">
        <v>0</v>
      </c>
      <c r="H5223">
        <v>0</v>
      </c>
      <c r="I5223">
        <v>0</v>
      </c>
      <c r="J5223">
        <v>-286.39940000000001</v>
      </c>
      <c r="K5223">
        <v>1.110779</v>
      </c>
      <c r="L5223">
        <v>141.58179999999999</v>
      </c>
      <c r="M5223">
        <v>-0.99988869999999996</v>
      </c>
      <c r="N5223">
        <v>-1.1808539999999999E-2</v>
      </c>
      <c r="O5223">
        <v>9.1197919999999998E-3</v>
      </c>
      <c r="P5223">
        <v>-0.97852870000000003</v>
      </c>
      <c r="Q5223">
        <v>0.1811093</v>
      </c>
      <c r="R5223">
        <v>-9.8392140000000003E-2</v>
      </c>
      <c r="S5223">
        <v>-3.0623779999999998</v>
      </c>
      <c r="T5223">
        <v>-6.9879290000000004E-3</v>
      </c>
      <c r="U5223">
        <v>-4.8904419999999997E-2</v>
      </c>
      <c r="V5223">
        <v>-0.107374</v>
      </c>
      <c r="W5223">
        <v>0.19260630000000001</v>
      </c>
      <c r="X5223">
        <v>0.97538389999999997</v>
      </c>
      <c r="Y5223">
        <v>-2.508517E-2</v>
      </c>
      <c r="Z5223" s="1">
        <v>-8.9864900000000001E-5</v>
      </c>
      <c r="AA5223">
        <v>0.9996853</v>
      </c>
      <c r="AB5223">
        <v>31</v>
      </c>
      <c r="AC5223">
        <v>-3.0623779999999998</v>
      </c>
      <c r="AD5223">
        <v>-6.9879290000000004E-3</v>
      </c>
      <c r="AE5223">
        <v>-4.8904419999999997E-2</v>
      </c>
      <c r="AF5223">
        <v>-7.6832183438869994E-2</v>
      </c>
      <c r="AG5223">
        <v>-6.9879290000000004E-3</v>
      </c>
      <c r="AH5223">
        <v>3.0617886620775598</v>
      </c>
      <c r="AI5223">
        <v>90.130724941682402</v>
      </c>
      <c r="AJ5223">
        <v>91.437472228956693</v>
      </c>
      <c r="AK5223">
        <v>3.06276049125464</v>
      </c>
      <c r="AL5223">
        <v>78.895076537102099</v>
      </c>
      <c r="AM5223">
        <v>96.282044393888</v>
      </c>
      <c r="AN5223">
        <v>1.0000000575274399</v>
      </c>
    </row>
    <row r="5224" spans="1:40" x14ac:dyDescent="0.25">
      <c r="A5224" t="str">
        <f>"20190304154901486"</f>
        <v>20190304154901486</v>
      </c>
      <c r="B5224" t="str">
        <f>"1551685741482116"</f>
        <v>1551685741482116</v>
      </c>
      <c r="C5224" t="s">
        <v>40</v>
      </c>
      <c r="D5224">
        <v>3.8593820000000001</v>
      </c>
      <c r="E5224">
        <v>0.5311823</v>
      </c>
      <c r="F5224" t="s">
        <v>42</v>
      </c>
      <c r="G5224">
        <v>0</v>
      </c>
      <c r="H5224">
        <v>0</v>
      </c>
      <c r="I5224">
        <v>0</v>
      </c>
      <c r="J5224">
        <v>-286.57670000000002</v>
      </c>
      <c r="K5224">
        <v>1.1107880000000001</v>
      </c>
      <c r="L5224">
        <v>141.58330000000001</v>
      </c>
      <c r="M5224">
        <v>-0.99988980000000005</v>
      </c>
      <c r="N5224">
        <v>-1.1808280000000001E-2</v>
      </c>
      <c r="O5224">
        <v>9.0003010000000005E-3</v>
      </c>
      <c r="P5224">
        <v>-0.97850029999999999</v>
      </c>
      <c r="Q5224">
        <v>0.18130389999999999</v>
      </c>
      <c r="R5224">
        <v>-9.8317180000000004E-2</v>
      </c>
      <c r="S5224">
        <v>-3.0627140000000002</v>
      </c>
      <c r="T5224">
        <v>-7.2606800000000003E-3</v>
      </c>
      <c r="U5224">
        <v>-4.431152E-2</v>
      </c>
      <c r="V5224">
        <v>-0.1071875</v>
      </c>
      <c r="W5224">
        <v>0.19279760000000001</v>
      </c>
      <c r="X5224">
        <v>0.97536650000000003</v>
      </c>
      <c r="Y5224">
        <v>-2.3465150000000001E-2</v>
      </c>
      <c r="Z5224" s="1">
        <v>-8.1426889999999997E-5</v>
      </c>
      <c r="AA5224">
        <v>0.99972459999999996</v>
      </c>
      <c r="AB5224">
        <v>31</v>
      </c>
      <c r="AC5224">
        <v>-3.0627140000000002</v>
      </c>
      <c r="AD5224">
        <v>-7.2606800000000003E-3</v>
      </c>
      <c r="AE5224">
        <v>-4.431152E-2</v>
      </c>
      <c r="AF5224">
        <v>-7.1876590250392697E-2</v>
      </c>
      <c r="AG5224">
        <v>-7.2606800000000003E-3</v>
      </c>
      <c r="AH5224">
        <v>3.0621738811366002</v>
      </c>
      <c r="AI5224">
        <v>90.135815601846502</v>
      </c>
      <c r="AJ5224">
        <v>91.344622924596294</v>
      </c>
      <c r="AK5224">
        <v>3.0630259287206898</v>
      </c>
      <c r="AL5224">
        <v>78.883905198512807</v>
      </c>
      <c r="AM5224">
        <v>96.271330984121306</v>
      </c>
      <c r="AN5224">
        <v>0.99999994202212805</v>
      </c>
    </row>
    <row r="5225" spans="1:40" x14ac:dyDescent="0.25">
      <c r="A5225" t="str">
        <f>"20190304154901503"</f>
        <v>20190304154901503</v>
      </c>
      <c r="B5225" t="str">
        <f>"1551685741491875"</f>
        <v>1551685741491875</v>
      </c>
      <c r="C5225" t="s">
        <v>40</v>
      </c>
      <c r="D5225">
        <v>3.8715950000000001</v>
      </c>
      <c r="E5225">
        <v>0.53174919999999903</v>
      </c>
      <c r="F5225" t="s">
        <v>42</v>
      </c>
      <c r="G5225">
        <v>0</v>
      </c>
      <c r="H5225">
        <v>0</v>
      </c>
      <c r="I5225">
        <v>0</v>
      </c>
      <c r="J5225">
        <v>-286.79070000000002</v>
      </c>
      <c r="K5225">
        <v>1.1108020000000001</v>
      </c>
      <c r="L5225">
        <v>141.58500000000001</v>
      </c>
      <c r="M5225">
        <v>-0.99989130000000004</v>
      </c>
      <c r="N5225">
        <v>-1.1808030000000001E-2</v>
      </c>
      <c r="O5225">
        <v>8.8421260000000005E-3</v>
      </c>
      <c r="P5225">
        <v>-0.97843550000000001</v>
      </c>
      <c r="Q5225">
        <v>0.18169579999999999</v>
      </c>
      <c r="R5225">
        <v>-9.8239759999999995E-2</v>
      </c>
      <c r="S5225">
        <v>-3.0633539999999999</v>
      </c>
      <c r="T5225">
        <v>-4.4690370000000004E-3</v>
      </c>
      <c r="U5225">
        <v>-3.4133910000000003E-2</v>
      </c>
      <c r="V5225">
        <v>-0.106962</v>
      </c>
      <c r="W5225">
        <v>0.193185</v>
      </c>
      <c r="X5225">
        <v>0.97531469999999998</v>
      </c>
      <c r="Y5225">
        <v>-1.998306E-2</v>
      </c>
      <c r="Z5225" s="1">
        <v>-4.1055030000000001E-5</v>
      </c>
      <c r="AA5225">
        <v>0.99980029999999998</v>
      </c>
      <c r="AB5225">
        <v>31</v>
      </c>
      <c r="AC5225">
        <v>-3.0633539999999999</v>
      </c>
      <c r="AD5225">
        <v>-4.4690370000000004E-3</v>
      </c>
      <c r="AE5225">
        <v>-3.4133910000000003E-2</v>
      </c>
      <c r="AF5225">
        <v>-6.1220892698445301E-2</v>
      </c>
      <c r="AG5225">
        <v>-4.4690370000000004E-3</v>
      </c>
      <c r="AH5225">
        <v>3.0629258742204599</v>
      </c>
      <c r="AI5225">
        <v>90.083582056608805</v>
      </c>
      <c r="AJ5225">
        <v>91.145059301717893</v>
      </c>
      <c r="AK5225">
        <v>3.06354090571085</v>
      </c>
      <c r="AL5225">
        <v>78.8612846277111</v>
      </c>
      <c r="AM5225">
        <v>96.258571960741506</v>
      </c>
      <c r="AN5225">
        <v>1.0000000388525401</v>
      </c>
    </row>
    <row r="5226" spans="1:40" x14ac:dyDescent="0.25">
      <c r="A5226" t="str">
        <f>"20190304154901516"</f>
        <v>20190304154901516</v>
      </c>
      <c r="B5226" t="str">
        <f>"1551685741512372"</f>
        <v>1551685741512372</v>
      </c>
      <c r="C5226" t="s">
        <v>40</v>
      </c>
      <c r="D5226">
        <v>3.8978000000000002</v>
      </c>
      <c r="E5226">
        <v>0.53282649999999998</v>
      </c>
      <c r="F5226" t="s">
        <v>42</v>
      </c>
      <c r="G5226">
        <v>0</v>
      </c>
      <c r="H5226">
        <v>0</v>
      </c>
      <c r="I5226">
        <v>0</v>
      </c>
      <c r="J5226">
        <v>-286.98039999999997</v>
      </c>
      <c r="K5226">
        <v>1.110816</v>
      </c>
      <c r="L5226">
        <v>141.5865</v>
      </c>
      <c r="M5226">
        <v>-0.99989249999999996</v>
      </c>
      <c r="N5226">
        <v>-1.180786E-2</v>
      </c>
      <c r="O5226">
        <v>8.6900350000000005E-3</v>
      </c>
      <c r="P5226">
        <v>-0.97838749999999997</v>
      </c>
      <c r="Q5226">
        <v>0.18184249999999999</v>
      </c>
      <c r="R5226">
        <v>-9.8445050000000006E-2</v>
      </c>
      <c r="S5226">
        <v>-3.0635680000000001</v>
      </c>
      <c r="T5226">
        <v>-2.1116730000000001E-3</v>
      </c>
      <c r="U5226">
        <v>-2.9022220000000001E-2</v>
      </c>
      <c r="V5226">
        <v>-0.1070255</v>
      </c>
      <c r="W5226">
        <v>0.19332679999999999</v>
      </c>
      <c r="X5226">
        <v>0.97527960000000002</v>
      </c>
      <c r="Y5226">
        <v>-1.8162190000000002E-2</v>
      </c>
      <c r="Z5226" s="1">
        <v>-1.6871689999999999E-5</v>
      </c>
      <c r="AA5226">
        <v>0.99983509999999998</v>
      </c>
      <c r="AB5226">
        <v>31</v>
      </c>
      <c r="AC5226">
        <v>-3.0635680000000001</v>
      </c>
      <c r="AD5226">
        <v>-2.1116730000000001E-3</v>
      </c>
      <c r="AE5226">
        <v>-2.9022220000000001E-2</v>
      </c>
      <c r="AF5226">
        <v>-5.5645467442748502E-2</v>
      </c>
      <c r="AG5226">
        <v>-2.1116730000000001E-3</v>
      </c>
      <c r="AH5226">
        <v>3.0631986294576801</v>
      </c>
      <c r="AI5226">
        <v>90.039491390503997</v>
      </c>
      <c r="AJ5226">
        <v>91.0407094624845</v>
      </c>
      <c r="AK5226">
        <v>3.0637047378494602</v>
      </c>
      <c r="AL5226">
        <v>78.853003586259604</v>
      </c>
      <c r="AM5226">
        <v>96.262481554756704</v>
      </c>
      <c r="AN5226">
        <v>1.00000000371232</v>
      </c>
    </row>
    <row r="5227" spans="1:40" x14ac:dyDescent="0.25">
      <c r="A5227" t="str">
        <f>"20190304154901528"</f>
        <v>20190304154901528</v>
      </c>
      <c r="B5227" t="str">
        <f>"1551685741522132"</f>
        <v>1551685741522132</v>
      </c>
      <c r="C5227" t="s">
        <v>40</v>
      </c>
      <c r="D5227">
        <v>3.872798</v>
      </c>
      <c r="E5227">
        <v>0.53330840000000002</v>
      </c>
      <c r="F5227" t="s">
        <v>42</v>
      </c>
      <c r="G5227">
        <v>0</v>
      </c>
      <c r="H5227">
        <v>0</v>
      </c>
      <c r="I5227">
        <v>0</v>
      </c>
      <c r="J5227">
        <v>-287.16399999999999</v>
      </c>
      <c r="K5227">
        <v>1.1108309999999999</v>
      </c>
      <c r="L5227">
        <v>141.58799999999999</v>
      </c>
      <c r="M5227">
        <v>-0.9998939</v>
      </c>
      <c r="N5227">
        <v>-1.180776E-2</v>
      </c>
      <c r="O5227">
        <v>8.5288059999999999E-3</v>
      </c>
      <c r="P5227">
        <v>-0.97835930000000004</v>
      </c>
      <c r="Q5227">
        <v>0.1819596</v>
      </c>
      <c r="R5227">
        <v>-9.8507209999999998E-2</v>
      </c>
      <c r="S5227">
        <v>-3.064117</v>
      </c>
      <c r="T5227" s="1">
        <v>-3.3617020000000002E-5</v>
      </c>
      <c r="U5227">
        <v>-2.1011350000000002E-2</v>
      </c>
      <c r="V5227">
        <v>-0.10693800000000001</v>
      </c>
      <c r="W5227">
        <v>0.19343959999999999</v>
      </c>
      <c r="X5227">
        <v>0.97526679999999999</v>
      </c>
      <c r="Y5227">
        <v>-1.538542E-2</v>
      </c>
      <c r="Z5227" s="1">
        <v>9.6927249999999996E-6</v>
      </c>
      <c r="AA5227">
        <v>0.99988160000000004</v>
      </c>
      <c r="AB5227">
        <v>31</v>
      </c>
      <c r="AC5227">
        <v>-3.064117</v>
      </c>
      <c r="AD5227" s="1">
        <v>-3.3617020000000002E-5</v>
      </c>
      <c r="AE5227">
        <v>-2.1011350000000002E-2</v>
      </c>
      <c r="AF5227">
        <v>-4.7145667448490101E-2</v>
      </c>
      <c r="AG5227" s="1">
        <v>-3.3617020000000002E-5</v>
      </c>
      <c r="AH5227">
        <v>3.0638263250873798</v>
      </c>
      <c r="AI5227">
        <v>90.000628588295797</v>
      </c>
      <c r="AJ5227">
        <v>90.881588675496602</v>
      </c>
      <c r="AK5227">
        <v>3.0641890387813402</v>
      </c>
      <c r="AL5227">
        <v>78.846415928037899</v>
      </c>
      <c r="AM5227">
        <v>96.257483692314906</v>
      </c>
      <c r="AN5227">
        <v>0.999999972937199</v>
      </c>
    </row>
    <row r="5228" spans="1:40" x14ac:dyDescent="0.25">
      <c r="A5228" t="str">
        <f>"20190304154901546"</f>
        <v>20190304154901546</v>
      </c>
      <c r="B5228" t="str">
        <f>"1551685741542628"</f>
        <v>1551685741542628</v>
      </c>
      <c r="C5228" t="s">
        <v>40</v>
      </c>
      <c r="D5228">
        <v>3.8822179999999999</v>
      </c>
      <c r="E5228">
        <v>0.53422130000000001</v>
      </c>
      <c r="F5228" t="s">
        <v>42</v>
      </c>
      <c r="G5228">
        <v>0</v>
      </c>
      <c r="H5228">
        <v>0</v>
      </c>
      <c r="I5228">
        <v>0</v>
      </c>
      <c r="J5228">
        <v>-287.40050000000002</v>
      </c>
      <c r="K5228">
        <v>1.1108499999999999</v>
      </c>
      <c r="L5228">
        <v>141.5898</v>
      </c>
      <c r="M5228">
        <v>-0.99989600000000001</v>
      </c>
      <c r="N5228">
        <v>-1.1807720000000001E-2</v>
      </c>
      <c r="O5228">
        <v>8.297324E-3</v>
      </c>
      <c r="P5228">
        <v>-0.97834860000000001</v>
      </c>
      <c r="Q5228">
        <v>0.18211939999999999</v>
      </c>
      <c r="R5228">
        <v>-9.832072E-2</v>
      </c>
      <c r="S5228">
        <v>-3.0643919999999998</v>
      </c>
      <c r="T5228">
        <v>1.345396E-3</v>
      </c>
      <c r="U5228">
        <v>-1.715088E-2</v>
      </c>
      <c r="V5228">
        <v>-0.1065357</v>
      </c>
      <c r="W5228">
        <v>0.1935934</v>
      </c>
      <c r="X5228">
        <v>0.97528029999999999</v>
      </c>
      <c r="Y5228">
        <v>-1.389374E-2</v>
      </c>
      <c r="Z5228" s="1">
        <v>2.2637989999999998E-5</v>
      </c>
      <c r="AA5228">
        <v>0.99990349999999995</v>
      </c>
      <c r="AB5228">
        <v>31</v>
      </c>
      <c r="AC5228">
        <v>-3.0643919999999998</v>
      </c>
      <c r="AD5228">
        <v>1.345396E-3</v>
      </c>
      <c r="AE5228">
        <v>-1.715088E-2</v>
      </c>
      <c r="AF5228">
        <v>-4.2578303741272902E-2</v>
      </c>
      <c r="AG5228">
        <v>1.345396E-3</v>
      </c>
      <c r="AH5228">
        <v>3.0641435916450601</v>
      </c>
      <c r="AI5228">
        <v>89.974845151933906</v>
      </c>
      <c r="AJ5228">
        <v>90.796111549890497</v>
      </c>
      <c r="AK5228">
        <v>3.0644396995632599</v>
      </c>
      <c r="AL5228">
        <v>78.837433926014398</v>
      </c>
      <c r="AM5228">
        <v>96.234043169028695</v>
      </c>
      <c r="AN5228">
        <v>0.99999996173306904</v>
      </c>
    </row>
    <row r="5229" spans="1:40" x14ac:dyDescent="0.25">
      <c r="A5229" t="str">
        <f>"20190304154901563"</f>
        <v>20190304154901563</v>
      </c>
      <c r="B5229" t="str">
        <f>"1551685741552388"</f>
        <v>1551685741552388</v>
      </c>
      <c r="C5229" t="s">
        <v>40</v>
      </c>
      <c r="D5229">
        <v>3.923546</v>
      </c>
      <c r="E5229">
        <v>0.53466400000000003</v>
      </c>
      <c r="F5229" t="s">
        <v>42</v>
      </c>
      <c r="G5229">
        <v>0</v>
      </c>
      <c r="H5229">
        <v>0</v>
      </c>
      <c r="I5229">
        <v>0</v>
      </c>
      <c r="J5229">
        <v>-287.61779999999999</v>
      </c>
      <c r="K5229">
        <v>1.1108750000000001</v>
      </c>
      <c r="L5229">
        <v>141.59129999999999</v>
      </c>
      <c r="M5229">
        <v>-0.99989779999999995</v>
      </c>
      <c r="N5229">
        <v>-1.1807740000000001E-2</v>
      </c>
      <c r="O5229">
        <v>8.062629E-3</v>
      </c>
      <c r="P5229">
        <v>-0.97833749999999997</v>
      </c>
      <c r="Q5229">
        <v>0.1821837</v>
      </c>
      <c r="R5229">
        <v>-9.8310400000000006E-2</v>
      </c>
      <c r="S5229">
        <v>-3.06488</v>
      </c>
      <c r="T5229">
        <v>3.201246E-3</v>
      </c>
      <c r="U5229">
        <v>-9.2010500000000005E-3</v>
      </c>
      <c r="V5229">
        <v>-0.1063065</v>
      </c>
      <c r="W5229">
        <v>0.1936524</v>
      </c>
      <c r="X5229">
        <v>0.97529359999999998</v>
      </c>
      <c r="Y5229">
        <v>-1.106453E-2</v>
      </c>
      <c r="Z5229" s="1">
        <v>4.4078620000000003E-5</v>
      </c>
      <c r="AA5229">
        <v>0.99993880000000002</v>
      </c>
      <c r="AB5229">
        <v>31</v>
      </c>
      <c r="AC5229">
        <v>-3.06488</v>
      </c>
      <c r="AD5229">
        <v>3.201246E-3</v>
      </c>
      <c r="AE5229">
        <v>-9.2010500000000005E-3</v>
      </c>
      <c r="AF5229">
        <v>-3.3913426596310102E-2</v>
      </c>
      <c r="AG5229">
        <v>3.201246E-3</v>
      </c>
      <c r="AH5229">
        <v>3.0647028334406601</v>
      </c>
      <c r="AI5229">
        <v>89.940155180021094</v>
      </c>
      <c r="AJ5229">
        <v>90.633998469699094</v>
      </c>
      <c r="AK5229">
        <v>3.0648921393384598</v>
      </c>
      <c r="AL5229">
        <v>78.833988307281302</v>
      </c>
      <c r="AM5229">
        <v>96.220652397596197</v>
      </c>
      <c r="AN5229">
        <v>0.99999996508448397</v>
      </c>
    </row>
    <row r="5230" spans="1:40" x14ac:dyDescent="0.25">
      <c r="A5230" t="str">
        <f>"20190304154901581"</f>
        <v>20190304154901581</v>
      </c>
      <c r="B5230" t="str">
        <f>"1551685741571909"</f>
        <v>1551685741571909</v>
      </c>
      <c r="C5230" t="s">
        <v>40</v>
      </c>
      <c r="D5230">
        <v>3.9135040000000001</v>
      </c>
      <c r="E5230">
        <v>0.53554190000000002</v>
      </c>
      <c r="F5230" t="s">
        <v>42</v>
      </c>
      <c r="G5230">
        <v>0</v>
      </c>
      <c r="H5230">
        <v>0</v>
      </c>
      <c r="I5230">
        <v>0</v>
      </c>
      <c r="J5230">
        <v>-287.88459999999998</v>
      </c>
      <c r="K5230">
        <v>1.110903</v>
      </c>
      <c r="L5230">
        <v>141.5932</v>
      </c>
      <c r="M5230">
        <v>-0.99990040000000002</v>
      </c>
      <c r="N5230">
        <v>-1.180785E-2</v>
      </c>
      <c r="O5230">
        <v>7.7463590000000004E-3</v>
      </c>
      <c r="P5230">
        <v>-0.9783577</v>
      </c>
      <c r="Q5230">
        <v>0.1822511</v>
      </c>
      <c r="R5230">
        <v>-9.7985249999999996E-2</v>
      </c>
      <c r="S5230">
        <v>-3.0651250000000001</v>
      </c>
      <c r="T5230">
        <v>4.0436980000000001E-3</v>
      </c>
      <c r="U5230">
        <v>-5.7067869999999996E-3</v>
      </c>
      <c r="V5230">
        <v>-0.10568569999999999</v>
      </c>
      <c r="W5230">
        <v>0.19371369999999999</v>
      </c>
      <c r="X5230">
        <v>0.97534889999999996</v>
      </c>
      <c r="Y5230">
        <v>-9.6080709999999993E-3</v>
      </c>
      <c r="Z5230" s="1">
        <v>5.1301080000000001E-5</v>
      </c>
      <c r="AA5230">
        <v>0.99995389999999995</v>
      </c>
      <c r="AB5230">
        <v>31</v>
      </c>
      <c r="AC5230">
        <v>-3.0651250000000001</v>
      </c>
      <c r="AD5230">
        <v>4.0436980000000001E-3</v>
      </c>
      <c r="AE5230">
        <v>-5.7067869999999996E-3</v>
      </c>
      <c r="AF5230">
        <v>-2.9451775657676899E-2</v>
      </c>
      <c r="AG5230">
        <v>4.0436980000000001E-3</v>
      </c>
      <c r="AH5230">
        <v>3.0649834784304799</v>
      </c>
      <c r="AI5230">
        <v>89.924411990935695</v>
      </c>
      <c r="AJ5230">
        <v>90.550544732714201</v>
      </c>
      <c r="AK5230">
        <v>3.0651276452432898</v>
      </c>
      <c r="AL5230">
        <v>78.830408349125804</v>
      </c>
      <c r="AM5230">
        <v>96.184259937943295</v>
      </c>
      <c r="AN5230">
        <v>0.999999970741694</v>
      </c>
    </row>
    <row r="5231" spans="1:40" x14ac:dyDescent="0.25">
      <c r="A5231" t="str">
        <f>"20190304154901604"</f>
        <v>20190304154901604</v>
      </c>
      <c r="B5231" t="str">
        <f>"1551685741592403"</f>
        <v>1551685741592403</v>
      </c>
      <c r="C5231" t="s">
        <v>40</v>
      </c>
      <c r="D5231">
        <v>3.909268</v>
      </c>
      <c r="E5231">
        <v>0.53642639999999997</v>
      </c>
      <c r="F5231" t="s">
        <v>42</v>
      </c>
      <c r="G5231">
        <v>0</v>
      </c>
      <c r="H5231">
        <v>0</v>
      </c>
      <c r="I5231">
        <v>0</v>
      </c>
      <c r="J5231">
        <v>-288.18970000000002</v>
      </c>
      <c r="K5231">
        <v>1.1109359999999999</v>
      </c>
      <c r="L5231">
        <v>141.5951</v>
      </c>
      <c r="M5231">
        <v>-0.9999034</v>
      </c>
      <c r="N5231">
        <v>-1.180806E-2</v>
      </c>
      <c r="O5231">
        <v>7.3466349999999998E-3</v>
      </c>
      <c r="P5231">
        <v>-0.97840819999999995</v>
      </c>
      <c r="Q5231">
        <v>0.1819721</v>
      </c>
      <c r="R5231">
        <v>-9.7999859999999994E-2</v>
      </c>
      <c r="S5231">
        <v>-3.0656430000000001</v>
      </c>
      <c r="T5231">
        <v>5.6117769999999897E-3</v>
      </c>
      <c r="U5231">
        <v>2.6092530000000002E-3</v>
      </c>
      <c r="V5231">
        <v>-0.1053258</v>
      </c>
      <c r="W5231">
        <v>0.19342780000000001</v>
      </c>
      <c r="X5231">
        <v>0.97544459999999999</v>
      </c>
      <c r="Y5231">
        <v>-6.4954169999999999E-3</v>
      </c>
      <c r="Z5231" s="1">
        <v>6.7795549999999995E-5</v>
      </c>
      <c r="AA5231">
        <v>0.9999789</v>
      </c>
      <c r="AB5231">
        <v>31</v>
      </c>
      <c r="AC5231">
        <v>-3.0656430000000001</v>
      </c>
      <c r="AD5231">
        <v>5.6117769999999897E-3</v>
      </c>
      <c r="AE5231">
        <v>2.6092530000000002E-3</v>
      </c>
      <c r="AF5231">
        <v>-1.9914478760442202E-2</v>
      </c>
      <c r="AG5231">
        <v>5.6117769999999897E-3</v>
      </c>
      <c r="AH5231">
        <v>3.0655691545649799</v>
      </c>
      <c r="AI5231">
        <v>89.895117683475704</v>
      </c>
      <c r="AJ5231">
        <v>90.372198269440204</v>
      </c>
      <c r="AK5231">
        <v>3.0656389741660202</v>
      </c>
      <c r="AL5231">
        <v>78.847105370626807</v>
      </c>
      <c r="AM5231">
        <v>96.1627625123961</v>
      </c>
      <c r="AN5231">
        <v>1.0000000028138201</v>
      </c>
    </row>
    <row r="5232" spans="1:40" x14ac:dyDescent="0.25">
      <c r="A5232" t="str">
        <f>"20190304154901624"</f>
        <v>20190304154901624</v>
      </c>
      <c r="B5232" t="str">
        <f>"1551685741622660"</f>
        <v>1551685741622660</v>
      </c>
      <c r="C5232" t="s">
        <v>40</v>
      </c>
      <c r="D5232">
        <v>3.9016600000000001</v>
      </c>
      <c r="E5232">
        <v>0.53761639999999999</v>
      </c>
      <c r="F5232" t="s">
        <v>42</v>
      </c>
      <c r="G5232">
        <v>0</v>
      </c>
      <c r="H5232">
        <v>0</v>
      </c>
      <c r="I5232">
        <v>0</v>
      </c>
      <c r="J5232">
        <v>-288.47969999999998</v>
      </c>
      <c r="K5232">
        <v>1.1109639999999901</v>
      </c>
      <c r="L5232">
        <v>141.5968</v>
      </c>
      <c r="M5232">
        <v>-0.99990639999999997</v>
      </c>
      <c r="N5232">
        <v>-1.1808320000000001E-2</v>
      </c>
      <c r="O5232">
        <v>6.932115E-3</v>
      </c>
      <c r="P5232">
        <v>-0.97849229999999998</v>
      </c>
      <c r="Q5232">
        <v>0.18194869999999999</v>
      </c>
      <c r="R5232">
        <v>-9.7201689999999993E-2</v>
      </c>
      <c r="S5232">
        <v>-3.066071</v>
      </c>
      <c r="T5232">
        <v>6.1789749999999997E-3</v>
      </c>
      <c r="U5232">
        <v>9.7961430000000002E-3</v>
      </c>
      <c r="V5232">
        <v>-0.10413699999999999</v>
      </c>
      <c r="W5232">
        <v>0.1933993</v>
      </c>
      <c r="X5232">
        <v>0.9755779</v>
      </c>
      <c r="Y5232">
        <v>-3.7370150000000002E-3</v>
      </c>
      <c r="Z5232" s="1">
        <v>7.7530230000000001E-5</v>
      </c>
      <c r="AA5232">
        <v>0.99999300000000002</v>
      </c>
      <c r="AB5232">
        <v>31</v>
      </c>
      <c r="AC5232">
        <v>-3.066071</v>
      </c>
      <c r="AD5232">
        <v>6.1789749999999997E-3</v>
      </c>
      <c r="AE5232">
        <v>9.7961430000000002E-3</v>
      </c>
      <c r="AF5232">
        <v>-1.1459881425096E-2</v>
      </c>
      <c r="AG5232">
        <v>6.1789749999999997E-3</v>
      </c>
      <c r="AH5232">
        <v>3.0660527806248599</v>
      </c>
      <c r="AI5232">
        <v>89.884533547729902</v>
      </c>
      <c r="AJ5232">
        <v>90.214151493392507</v>
      </c>
      <c r="AK5232">
        <v>3.06608042330787</v>
      </c>
      <c r="AL5232">
        <v>78.848769938781302</v>
      </c>
      <c r="AM5232">
        <v>96.092904072996006</v>
      </c>
      <c r="AN5232">
        <v>1.00000002148894</v>
      </c>
    </row>
    <row r="5233" spans="1:40" x14ac:dyDescent="0.25">
      <c r="A5233" t="str">
        <f>"20190304154901640"</f>
        <v>20190304154901640</v>
      </c>
      <c r="B5233" t="str">
        <f>"1551685741632420"</f>
        <v>1551685741632420</v>
      </c>
      <c r="C5233" t="s">
        <v>40</v>
      </c>
      <c r="D5233">
        <v>3.9246490000000001</v>
      </c>
      <c r="E5233">
        <v>0.53796999999999995</v>
      </c>
      <c r="F5233" t="s">
        <v>42</v>
      </c>
      <c r="G5233">
        <v>0</v>
      </c>
      <c r="H5233">
        <v>0</v>
      </c>
      <c r="I5233">
        <v>0</v>
      </c>
      <c r="J5233">
        <v>-288.68770000000001</v>
      </c>
      <c r="K5233">
        <v>1.110984</v>
      </c>
      <c r="L5233">
        <v>141.59799999999899</v>
      </c>
      <c r="M5233">
        <v>-0.99990829999999997</v>
      </c>
      <c r="N5233">
        <v>-1.180847E-2</v>
      </c>
      <c r="O5233">
        <v>6.6147819999999996E-3</v>
      </c>
      <c r="P5233">
        <v>-0.97846449999999996</v>
      </c>
      <c r="Q5233">
        <v>0.18212349999999999</v>
      </c>
      <c r="R5233">
        <v>-9.7149159999999998E-2</v>
      </c>
      <c r="S5233">
        <v>-3.0666500000000001</v>
      </c>
      <c r="T5233">
        <v>7.8898670000000001E-3</v>
      </c>
      <c r="U5233">
        <v>2.2018429999999999E-2</v>
      </c>
      <c r="V5233">
        <v>-0.1037836</v>
      </c>
      <c r="W5233">
        <v>0.19356960000000001</v>
      </c>
      <c r="X5233">
        <v>0.97558180000000005</v>
      </c>
      <c r="Y5233">
        <v>5.6523700000000001E-4</v>
      </c>
      <c r="Z5233" s="1">
        <v>9.7740749999999994E-5</v>
      </c>
      <c r="AA5233">
        <v>0.99999979999999999</v>
      </c>
      <c r="AB5233">
        <v>31</v>
      </c>
      <c r="AC5233">
        <v>-3.0666500000000001</v>
      </c>
      <c r="AD5233">
        <v>7.8898670000000001E-3</v>
      </c>
      <c r="AE5233">
        <v>2.2018429999999999E-2</v>
      </c>
      <c r="AF5233">
        <v>1.73129911137923E-3</v>
      </c>
      <c r="AG5233">
        <v>7.8898670000000001E-3</v>
      </c>
      <c r="AH5233">
        <v>3.06670825765943</v>
      </c>
      <c r="AI5233">
        <v>89.852592756592998</v>
      </c>
      <c r="AJ5233">
        <v>89.967653877289806</v>
      </c>
      <c r="AK5233">
        <v>3.06671889565941</v>
      </c>
      <c r="AL5233">
        <v>78.838824709072497</v>
      </c>
      <c r="AM5233">
        <v>96.072357807278493</v>
      </c>
      <c r="AN5233">
        <v>1.00000003708217</v>
      </c>
    </row>
    <row r="5234" spans="1:40" x14ac:dyDescent="0.25">
      <c r="A5234" t="str">
        <f>"20190304154901659"</f>
        <v>20190304154901659</v>
      </c>
      <c r="B5234" t="str">
        <f>"1551685741651939"</f>
        <v>1551685741651939</v>
      </c>
      <c r="C5234" t="s">
        <v>40</v>
      </c>
      <c r="D5234">
        <v>3.9189150000000001</v>
      </c>
      <c r="E5234">
        <v>0.53867049999999905</v>
      </c>
      <c r="F5234" t="s">
        <v>42</v>
      </c>
      <c r="G5234">
        <v>0</v>
      </c>
      <c r="H5234">
        <v>0</v>
      </c>
      <c r="I5234">
        <v>0</v>
      </c>
      <c r="J5234">
        <v>-288.95409999999998</v>
      </c>
      <c r="K5234">
        <v>1.1110059999999999</v>
      </c>
      <c r="L5234">
        <v>141.5993</v>
      </c>
      <c r="M5234">
        <v>-0.9999112</v>
      </c>
      <c r="N5234">
        <v>-1.180867E-2</v>
      </c>
      <c r="O5234">
        <v>6.1867669999999897E-3</v>
      </c>
      <c r="P5234">
        <v>-0.97848710000000005</v>
      </c>
      <c r="Q5234">
        <v>0.1822338</v>
      </c>
      <c r="R5234">
        <v>-9.6715700000000002E-2</v>
      </c>
      <c r="S5234">
        <v>-3.0668950000000001</v>
      </c>
      <c r="T5234">
        <v>9.0212820000000003E-3</v>
      </c>
      <c r="U5234">
        <v>2.4948120000000001E-2</v>
      </c>
      <c r="V5234">
        <v>-0.1029426</v>
      </c>
      <c r="W5234">
        <v>0.19367529999999999</v>
      </c>
      <c r="X5234">
        <v>0.97564989999999996</v>
      </c>
      <c r="Y5234">
        <v>1.9479339999999999E-3</v>
      </c>
      <c r="Z5234" s="1">
        <v>9.9893610000000003E-5</v>
      </c>
      <c r="AA5234">
        <v>0.9999981</v>
      </c>
      <c r="AB5234">
        <v>31</v>
      </c>
      <c r="AC5234">
        <v>-3.0668950000000001</v>
      </c>
      <c r="AD5234">
        <v>9.0212820000000003E-3</v>
      </c>
      <c r="AE5234">
        <v>2.4948120000000001E-2</v>
      </c>
      <c r="AF5234">
        <v>5.97210418162038E-3</v>
      </c>
      <c r="AG5234">
        <v>9.0212820000000003E-3</v>
      </c>
      <c r="AH5234">
        <v>3.0669641208763201</v>
      </c>
      <c r="AI5234">
        <v>89.831468874948399</v>
      </c>
      <c r="AJ5234">
        <v>89.888431713429199</v>
      </c>
      <c r="AK5234">
        <v>3.06698320313299</v>
      </c>
      <c r="AL5234">
        <v>78.832651468102497</v>
      </c>
      <c r="AM5234">
        <v>96.023096942528497</v>
      </c>
      <c r="AN5234">
        <v>1.0000000140474199</v>
      </c>
    </row>
    <row r="5235" spans="1:40" x14ac:dyDescent="0.25">
      <c r="A5235" t="str">
        <f>"20190304154901673"</f>
        <v>20190304154901673</v>
      </c>
      <c r="B5235" t="str">
        <f>"1551685741662676"</f>
        <v>1551685741662676</v>
      </c>
      <c r="C5235" t="s">
        <v>40</v>
      </c>
      <c r="D5235">
        <v>3.9115980000000001</v>
      </c>
      <c r="E5235">
        <v>0.53900499999999996</v>
      </c>
      <c r="F5235" t="s">
        <v>42</v>
      </c>
      <c r="G5235">
        <v>0</v>
      </c>
      <c r="H5235">
        <v>0</v>
      </c>
      <c r="I5235">
        <v>0</v>
      </c>
      <c r="J5235">
        <v>-289.14640000000003</v>
      </c>
      <c r="K5235">
        <v>1.111022</v>
      </c>
      <c r="L5235">
        <v>141.6002</v>
      </c>
      <c r="M5235">
        <v>-0.99991319999999995</v>
      </c>
      <c r="N5235">
        <v>-1.1808880000000001E-2</v>
      </c>
      <c r="O5235">
        <v>5.8656749999999999E-3</v>
      </c>
      <c r="P5235">
        <v>-0.97849929999999996</v>
      </c>
      <c r="Q5235">
        <v>0.18220600000000001</v>
      </c>
      <c r="R5235">
        <v>-9.6645209999999995E-2</v>
      </c>
      <c r="S5235">
        <v>-3.0672000000000001</v>
      </c>
      <c r="T5235">
        <v>1.079512E-2</v>
      </c>
      <c r="U5235">
        <v>3.2196040000000002E-2</v>
      </c>
      <c r="V5235">
        <v>-0.1025659</v>
      </c>
      <c r="W5235">
        <v>0.19364490000000001</v>
      </c>
      <c r="X5235">
        <v>0.9756956</v>
      </c>
      <c r="Y5235">
        <v>4.6311240000000004E-3</v>
      </c>
      <c r="Z5235">
        <v>1.091073E-4</v>
      </c>
      <c r="AA5235">
        <v>0.99998929999999997</v>
      </c>
      <c r="AB5235">
        <v>31</v>
      </c>
      <c r="AC5235">
        <v>-3.0672000000000001</v>
      </c>
      <c r="AD5235">
        <v>1.079512E-2</v>
      </c>
      <c r="AE5235">
        <v>3.2196040000000002E-2</v>
      </c>
      <c r="AF5235">
        <v>1.42028595789539E-2</v>
      </c>
      <c r="AG5235">
        <v>1.079512E-2</v>
      </c>
      <c r="AH5235">
        <v>3.0672981007508602</v>
      </c>
      <c r="AI5235">
        <v>89.798354900367499</v>
      </c>
      <c r="AJ5235">
        <v>89.734698725608496</v>
      </c>
      <c r="AK5235">
        <v>3.0673499791686401</v>
      </c>
      <c r="AL5235">
        <v>78.834426796419194</v>
      </c>
      <c r="AM5235">
        <v>96.000938599992494</v>
      </c>
      <c r="AN5235">
        <v>1.00000000749908</v>
      </c>
    </row>
    <row r="5236" spans="1:40" x14ac:dyDescent="0.25">
      <c r="A5236" t="str">
        <f>"20190304154901685"</f>
        <v>20190304154901685</v>
      </c>
      <c r="B5236" t="str">
        <f>"1551685741682195"</f>
        <v>1551685741682195</v>
      </c>
      <c r="C5236" t="s">
        <v>40</v>
      </c>
      <c r="D5236">
        <v>3.9037570000000001</v>
      </c>
      <c r="E5236">
        <v>0.53966740000000002</v>
      </c>
      <c r="F5236" t="s">
        <v>42</v>
      </c>
      <c r="G5236">
        <v>0</v>
      </c>
      <c r="H5236">
        <v>0</v>
      </c>
      <c r="I5236">
        <v>0</v>
      </c>
      <c r="J5236">
        <v>-289.3168</v>
      </c>
      <c r="K5236">
        <v>1.111035</v>
      </c>
      <c r="L5236">
        <v>141.6009</v>
      </c>
      <c r="M5236">
        <v>-0.99991490000000005</v>
      </c>
      <c r="N5236">
        <v>-1.180907E-2</v>
      </c>
      <c r="O5236">
        <v>5.5693050000000001E-3</v>
      </c>
      <c r="P5236">
        <v>-0.97844980000000004</v>
      </c>
      <c r="Q5236">
        <v>0.182476</v>
      </c>
      <c r="R5236">
        <v>-9.6636180000000002E-2</v>
      </c>
      <c r="S5236">
        <v>-3.067291</v>
      </c>
      <c r="T5236">
        <v>1.139164E-2</v>
      </c>
      <c r="U5236">
        <v>3.5186769999999999E-2</v>
      </c>
      <c r="V5236">
        <v>-0.1022734</v>
      </c>
      <c r="W5236">
        <v>0.19391149999999999</v>
      </c>
      <c r="X5236">
        <v>0.97567329999999997</v>
      </c>
      <c r="Y5236">
        <v>5.9021100000000003E-3</v>
      </c>
      <c r="Z5236">
        <v>1.103429E-4</v>
      </c>
      <c r="AA5236">
        <v>0.99998260000000005</v>
      </c>
      <c r="AB5236">
        <v>31</v>
      </c>
      <c r="AC5236">
        <v>-3.067291</v>
      </c>
      <c r="AD5236">
        <v>1.139164E-2</v>
      </c>
      <c r="AE5236">
        <v>3.5186769999999999E-2</v>
      </c>
      <c r="AF5236">
        <v>1.8102106598404201E-2</v>
      </c>
      <c r="AG5236">
        <v>1.139164E-2</v>
      </c>
      <c r="AH5236">
        <v>3.0673970997648601</v>
      </c>
      <c r="AI5236">
        <v>89.787220726050293</v>
      </c>
      <c r="AJ5236">
        <v>89.661875448699107</v>
      </c>
      <c r="AK5236">
        <v>3.0674716662703001</v>
      </c>
      <c r="AL5236">
        <v>78.818856000247607</v>
      </c>
      <c r="AM5236">
        <v>95.984085100355202</v>
      </c>
      <c r="AN5236">
        <v>0.99999995325634805</v>
      </c>
    </row>
    <row r="5237" spans="1:40" x14ac:dyDescent="0.25">
      <c r="A5237" t="str">
        <f>"20190304154901703"</f>
        <v>20190304154901703</v>
      </c>
      <c r="B5237" t="str">
        <f>"1551685741691956"</f>
        <v>1551685741691956</v>
      </c>
      <c r="C5237" t="s">
        <v>40</v>
      </c>
      <c r="D5237">
        <v>3.9089700000000001</v>
      </c>
      <c r="E5237">
        <v>0.53997289999999998</v>
      </c>
      <c r="F5237" t="s">
        <v>42</v>
      </c>
      <c r="G5237">
        <v>0</v>
      </c>
      <c r="H5237">
        <v>0</v>
      </c>
      <c r="I5237">
        <v>0</v>
      </c>
      <c r="J5237">
        <v>-289.55939999999998</v>
      </c>
      <c r="K5237">
        <v>1.1110469999999999</v>
      </c>
      <c r="L5237">
        <v>141.6018</v>
      </c>
      <c r="M5237">
        <v>-0.9999171</v>
      </c>
      <c r="N5237">
        <v>-1.180936E-2</v>
      </c>
      <c r="O5237">
        <v>5.138414E-3</v>
      </c>
      <c r="P5237">
        <v>-0.97844640000000005</v>
      </c>
      <c r="Q5237">
        <v>0.18261620000000001</v>
      </c>
      <c r="R5237">
        <v>-9.6407880000000001E-2</v>
      </c>
      <c r="S5237">
        <v>-3.0676269999999999</v>
      </c>
      <c r="T5237">
        <v>1.329029E-2</v>
      </c>
      <c r="U5237">
        <v>4.0542599999999998E-2</v>
      </c>
      <c r="V5237">
        <v>-0.10163129999999999</v>
      </c>
      <c r="W5237">
        <v>0.1940491</v>
      </c>
      <c r="X5237">
        <v>0.9757131</v>
      </c>
      <c r="Y5237">
        <v>8.0774249999999992E-3</v>
      </c>
      <c r="Z5237">
        <v>1.131423E-4</v>
      </c>
      <c r="AA5237">
        <v>0.99996739999999995</v>
      </c>
      <c r="AB5237">
        <v>31</v>
      </c>
      <c r="AC5237">
        <v>-3.0676269999999999</v>
      </c>
      <c r="AD5237">
        <v>1.329029E-2</v>
      </c>
      <c r="AE5237">
        <v>4.0542599999999998E-2</v>
      </c>
      <c r="AF5237">
        <v>2.4777763474675401E-2</v>
      </c>
      <c r="AG5237">
        <v>1.329029E-2</v>
      </c>
      <c r="AH5237">
        <v>3.06773726422399</v>
      </c>
      <c r="AI5237">
        <v>89.751788416090704</v>
      </c>
      <c r="AJ5237">
        <v>89.537238596150601</v>
      </c>
      <c r="AK5237">
        <v>3.06786611371481</v>
      </c>
      <c r="AL5237">
        <v>78.810820137396604</v>
      </c>
      <c r="AM5237">
        <v>95.946544639100694</v>
      </c>
      <c r="AN5237">
        <v>1.0000000139310501</v>
      </c>
    </row>
    <row r="5238" spans="1:40" x14ac:dyDescent="0.25">
      <c r="A5238" t="str">
        <f>"20190304154901716"</f>
        <v>20190304154901716</v>
      </c>
      <c r="B5238" t="str">
        <f>"1551685741712451"</f>
        <v>1551685741712451</v>
      </c>
      <c r="C5238" t="s">
        <v>40</v>
      </c>
      <c r="D5238">
        <v>3.9078210000000002</v>
      </c>
      <c r="E5238">
        <v>0.54055920000000002</v>
      </c>
      <c r="F5238" t="s">
        <v>42</v>
      </c>
      <c r="G5238">
        <v>0</v>
      </c>
      <c r="H5238">
        <v>0</v>
      </c>
      <c r="I5238">
        <v>0</v>
      </c>
      <c r="J5238">
        <v>-289.74529999999999</v>
      </c>
      <c r="K5238">
        <v>1.1110610000000001</v>
      </c>
      <c r="L5238">
        <v>141.60239999999999</v>
      </c>
      <c r="M5238">
        <v>-0.9999188</v>
      </c>
      <c r="N5238">
        <v>-1.180958E-2</v>
      </c>
      <c r="O5238">
        <v>4.8017809999999998E-3</v>
      </c>
      <c r="P5238">
        <v>-0.97844679999999995</v>
      </c>
      <c r="Q5238">
        <v>0.18256349999999999</v>
      </c>
      <c r="R5238">
        <v>-9.6502039999999997E-2</v>
      </c>
      <c r="S5238">
        <v>-3.0677490000000001</v>
      </c>
      <c r="T5238">
        <v>1.417506E-2</v>
      </c>
      <c r="U5238">
        <v>4.3701169999999998E-2</v>
      </c>
      <c r="V5238">
        <v>-0.10140159999999999</v>
      </c>
      <c r="W5238">
        <v>0.1939948</v>
      </c>
      <c r="X5238">
        <v>0.97574780000000005</v>
      </c>
      <c r="Y5238">
        <v>9.4429219999999994E-3</v>
      </c>
      <c r="Z5238">
        <v>1.128393E-4</v>
      </c>
      <c r="AA5238">
        <v>0.99995540000000005</v>
      </c>
      <c r="AB5238">
        <v>31</v>
      </c>
      <c r="AC5238">
        <v>-3.0677490000000001</v>
      </c>
      <c r="AD5238">
        <v>1.417506E-2</v>
      </c>
      <c r="AE5238">
        <v>4.3701169999999998E-2</v>
      </c>
      <c r="AF5238">
        <v>2.89683625231732E-2</v>
      </c>
      <c r="AG5238">
        <v>1.417506E-2</v>
      </c>
      <c r="AH5238">
        <v>3.06785799890545</v>
      </c>
      <c r="AI5238">
        <v>89.735278122716394</v>
      </c>
      <c r="AJ5238">
        <v>89.458998563111905</v>
      </c>
      <c r="AK5238">
        <v>3.0680275096226599</v>
      </c>
      <c r="AL5238">
        <v>78.8139916109578</v>
      </c>
      <c r="AM5238">
        <v>95.932991161085397</v>
      </c>
      <c r="AN5238">
        <v>1.0000000180572199</v>
      </c>
    </row>
    <row r="5239" spans="1:40" x14ac:dyDescent="0.25">
      <c r="A5239" t="str">
        <f>"20190304154901730"</f>
        <v>20190304154901730</v>
      </c>
      <c r="B5239" t="str">
        <f>"1551685741722212"</f>
        <v>1551685741722212</v>
      </c>
      <c r="C5239" t="s">
        <v>40</v>
      </c>
      <c r="D5239">
        <v>3.938374</v>
      </c>
      <c r="E5239">
        <v>0.54078319999999902</v>
      </c>
      <c r="F5239" t="s">
        <v>42</v>
      </c>
      <c r="G5239">
        <v>0</v>
      </c>
      <c r="H5239">
        <v>0</v>
      </c>
      <c r="I5239">
        <v>0</v>
      </c>
      <c r="J5239">
        <v>-289.92559999999997</v>
      </c>
      <c r="K5239">
        <v>1.1110690000000001</v>
      </c>
      <c r="L5239">
        <v>141.60299999999901</v>
      </c>
      <c r="M5239">
        <v>-0.99992040000000004</v>
      </c>
      <c r="N5239">
        <v>-1.1809780000000001E-2</v>
      </c>
      <c r="O5239">
        <v>4.469944E-3</v>
      </c>
      <c r="P5239">
        <v>-0.97844229999999999</v>
      </c>
      <c r="Q5239">
        <v>0.18243529999999999</v>
      </c>
      <c r="R5239">
        <v>-9.6790600000000004E-2</v>
      </c>
      <c r="S5239">
        <v>-3.0680239999999999</v>
      </c>
      <c r="T5239">
        <v>1.4886740000000001E-2</v>
      </c>
      <c r="U5239">
        <v>4.8202509999999997E-2</v>
      </c>
      <c r="V5239">
        <v>-0.1013698</v>
      </c>
      <c r="W5239">
        <v>0.1938648</v>
      </c>
      <c r="X5239">
        <v>0.97577689999999995</v>
      </c>
      <c r="Y5239">
        <v>1.124027E-2</v>
      </c>
      <c r="Z5239">
        <v>1.135847E-4</v>
      </c>
      <c r="AA5239">
        <v>0.99993679999999996</v>
      </c>
      <c r="AB5239">
        <v>31</v>
      </c>
      <c r="AC5239">
        <v>-3.0680239999999999</v>
      </c>
      <c r="AD5239">
        <v>1.4886740000000001E-2</v>
      </c>
      <c r="AE5239">
        <v>4.8202509999999997E-2</v>
      </c>
      <c r="AF5239">
        <v>3.4486366480079501E-2</v>
      </c>
      <c r="AG5239">
        <v>1.4886740000000001E-2</v>
      </c>
      <c r="AH5239">
        <v>3.06813660430341</v>
      </c>
      <c r="AI5239">
        <v>89.722017982100496</v>
      </c>
      <c r="AJ5239">
        <v>89.356013014548907</v>
      </c>
      <c r="AK5239">
        <v>3.0683665275138301</v>
      </c>
      <c r="AL5239">
        <v>78.821583748659407</v>
      </c>
      <c r="AM5239">
        <v>95.930968194013602</v>
      </c>
      <c r="AN5239">
        <v>0.99999997780234395</v>
      </c>
    </row>
    <row r="5240" spans="1:40" x14ac:dyDescent="0.25">
      <c r="A5240" t="str">
        <f>"20190304154901741"</f>
        <v>20190304154901741</v>
      </c>
      <c r="B5240" t="str">
        <f>"1551685741731973"</f>
        <v>1551685741731973</v>
      </c>
      <c r="C5240" t="s">
        <v>40</v>
      </c>
      <c r="D5240">
        <v>3.982586</v>
      </c>
      <c r="E5240">
        <v>0.541091199999999</v>
      </c>
      <c r="F5240" t="s">
        <v>42</v>
      </c>
      <c r="G5240">
        <v>0</v>
      </c>
      <c r="H5240">
        <v>0</v>
      </c>
      <c r="I5240">
        <v>0</v>
      </c>
      <c r="J5240">
        <v>-290.09609999999998</v>
      </c>
      <c r="K5240">
        <v>1.111076</v>
      </c>
      <c r="L5240">
        <v>141.60339999999999</v>
      </c>
      <c r="M5240">
        <v>-0.99992170000000002</v>
      </c>
      <c r="N5240">
        <v>-1.1809979999999999E-2</v>
      </c>
      <c r="O5240">
        <v>4.1522709999999999E-3</v>
      </c>
      <c r="P5240">
        <v>-0.97844059999999999</v>
      </c>
      <c r="Q5240">
        <v>0.18249000000000001</v>
      </c>
      <c r="R5240">
        <v>-9.6704419999999999E-2</v>
      </c>
      <c r="S5240">
        <v>-3.0682070000000001</v>
      </c>
      <c r="T5240">
        <v>1.4809009999999999E-2</v>
      </c>
      <c r="U5240">
        <v>4.9163819999999997E-2</v>
      </c>
      <c r="V5240">
        <v>-0.1009765</v>
      </c>
      <c r="W5240">
        <v>0.19391900000000001</v>
      </c>
      <c r="X5240">
        <v>0.97580699999999998</v>
      </c>
      <c r="Y5240">
        <v>1.1870189999999999E-2</v>
      </c>
      <c r="Z5240">
        <v>1.105314E-4</v>
      </c>
      <c r="AA5240">
        <v>0.99992950000000003</v>
      </c>
      <c r="AB5240">
        <v>31</v>
      </c>
      <c r="AC5240">
        <v>-3.0682070000000001</v>
      </c>
      <c r="AD5240">
        <v>1.4809009999999999E-2</v>
      </c>
      <c r="AE5240">
        <v>4.9163819999999997E-2</v>
      </c>
      <c r="AF5240">
        <v>3.6421633132132203E-2</v>
      </c>
      <c r="AG5240">
        <v>1.4809009999999999E-2</v>
      </c>
      <c r="AH5240">
        <v>3.0683132406020999</v>
      </c>
      <c r="AI5240">
        <v>89.723487353771503</v>
      </c>
      <c r="AJ5240">
        <v>89.3199169400648</v>
      </c>
      <c r="AK5240">
        <v>3.0685651344873501</v>
      </c>
      <c r="AL5240">
        <v>78.818419251881593</v>
      </c>
      <c r="AM5240">
        <v>95.907939035671305</v>
      </c>
      <c r="AN5240">
        <v>1.00000006668112</v>
      </c>
    </row>
    <row r="5241" spans="1:40" x14ac:dyDescent="0.25">
      <c r="A5241" t="str">
        <f>"20190304154901759"</f>
        <v>20190304154901759</v>
      </c>
      <c r="B5241" t="str">
        <f>"1551685741752467"</f>
        <v>1551685741752467</v>
      </c>
      <c r="C5241" t="s">
        <v>40</v>
      </c>
      <c r="D5241">
        <v>3.918809</v>
      </c>
      <c r="E5241">
        <v>0.54163749999999999</v>
      </c>
      <c r="F5241" t="s">
        <v>42</v>
      </c>
      <c r="G5241">
        <v>0</v>
      </c>
      <c r="H5241">
        <v>0</v>
      </c>
      <c r="I5241">
        <v>0</v>
      </c>
      <c r="J5241">
        <v>-290.34589999999997</v>
      </c>
      <c r="K5241">
        <v>1.111086</v>
      </c>
      <c r="L5241">
        <v>141.60399999999899</v>
      </c>
      <c r="M5241">
        <v>-0.99992340000000002</v>
      </c>
      <c r="N5241">
        <v>-1.181026E-2</v>
      </c>
      <c r="O5241">
        <v>3.6837229999999999E-3</v>
      </c>
      <c r="P5241">
        <v>-0.9783269</v>
      </c>
      <c r="Q5241">
        <v>0.1828882</v>
      </c>
      <c r="R5241">
        <v>-9.7101279999999998E-2</v>
      </c>
      <c r="S5241">
        <v>-3.0683590000000001</v>
      </c>
      <c r="T5241">
        <v>1.5494819999999999E-2</v>
      </c>
      <c r="U5241">
        <v>5.1834110000000003E-2</v>
      </c>
      <c r="V5241">
        <v>-0.1009191</v>
      </c>
      <c r="W5241">
        <v>0.19431480000000001</v>
      </c>
      <c r="X5241">
        <v>0.97573410000000005</v>
      </c>
      <c r="Y5241">
        <v>1.320787E-2</v>
      </c>
      <c r="Z5241">
        <v>1.067598E-4</v>
      </c>
      <c r="AA5241">
        <v>0.99991269999999999</v>
      </c>
      <c r="AB5241">
        <v>31</v>
      </c>
      <c r="AC5241">
        <v>-3.0683590000000001</v>
      </c>
      <c r="AD5241">
        <v>1.5494819999999999E-2</v>
      </c>
      <c r="AE5241">
        <v>5.1834110000000003E-2</v>
      </c>
      <c r="AF5241">
        <v>4.0528951228802797E-2</v>
      </c>
      <c r="AG5241">
        <v>1.5494819999999999E-2</v>
      </c>
      <c r="AH5241">
        <v>3.0684509074483999</v>
      </c>
      <c r="AI5241">
        <v>89.710700010492502</v>
      </c>
      <c r="AJ5241">
        <v>89.243265446082503</v>
      </c>
      <c r="AK5241">
        <v>3.0687576731888502</v>
      </c>
      <c r="AL5241">
        <v>78.795300757471296</v>
      </c>
      <c r="AM5241">
        <v>95.905042440574803</v>
      </c>
      <c r="AN5241">
        <v>0.99999997007332897</v>
      </c>
    </row>
    <row r="5242" spans="1:40" x14ac:dyDescent="0.25">
      <c r="A5242" t="str">
        <f>"20190304154901782"</f>
        <v>20190304154901782</v>
      </c>
      <c r="B5242" t="str">
        <f>"1551685741772383"</f>
        <v>1551685741772383</v>
      </c>
      <c r="C5242" t="s">
        <v>40</v>
      </c>
      <c r="D5242">
        <v>3.9267439999999998</v>
      </c>
      <c r="E5242">
        <v>0.54210789999999998</v>
      </c>
      <c r="F5242" t="s">
        <v>42</v>
      </c>
      <c r="G5242">
        <v>0</v>
      </c>
      <c r="H5242">
        <v>0</v>
      </c>
      <c r="I5242">
        <v>0</v>
      </c>
      <c r="J5242">
        <v>-290.65019999999998</v>
      </c>
      <c r="K5242">
        <v>1.111092</v>
      </c>
      <c r="L5242">
        <v>141.6045</v>
      </c>
      <c r="M5242">
        <v>-0.99992539999999996</v>
      </c>
      <c r="N5242">
        <v>-1.1810620000000001E-2</v>
      </c>
      <c r="O5242">
        <v>3.108212E-3</v>
      </c>
      <c r="P5242">
        <v>-0.97820309999999999</v>
      </c>
      <c r="Q5242">
        <v>0.18343699999999999</v>
      </c>
      <c r="R5242">
        <v>-9.7313029999999995E-2</v>
      </c>
      <c r="S5242">
        <v>-3.0686339999999999</v>
      </c>
      <c r="T5242">
        <v>1.760507E-2</v>
      </c>
      <c r="U5242">
        <v>5.4916380000000001E-2</v>
      </c>
      <c r="V5242">
        <v>-0.1005712</v>
      </c>
      <c r="W5242">
        <v>0.19486149999999999</v>
      </c>
      <c r="X5242">
        <v>0.975661</v>
      </c>
      <c r="Y5242">
        <v>1.4785889999999999E-2</v>
      </c>
      <c r="Z5242" s="1">
        <v>9.9452229999999998E-5</v>
      </c>
      <c r="AA5242">
        <v>0.99989070000000002</v>
      </c>
      <c r="AB5242">
        <v>31</v>
      </c>
      <c r="AC5242">
        <v>-3.0686339999999999</v>
      </c>
      <c r="AD5242">
        <v>1.760507E-2</v>
      </c>
      <c r="AE5242">
        <v>5.4916380000000001E-2</v>
      </c>
      <c r="AF5242">
        <v>4.5375991121382603E-2</v>
      </c>
      <c r="AG5242">
        <v>1.760507E-2</v>
      </c>
      <c r="AH5242">
        <v>3.06868890697505</v>
      </c>
      <c r="AI5242">
        <v>89.671333615069102</v>
      </c>
      <c r="AJ5242">
        <v>89.152842337071505</v>
      </c>
      <c r="AK5242">
        <v>3.06907486497995</v>
      </c>
      <c r="AL5242">
        <v>78.763366833716304</v>
      </c>
      <c r="AM5242">
        <v>95.885266819660998</v>
      </c>
      <c r="AN5242">
        <v>0.99999997868634405</v>
      </c>
    </row>
    <row r="5243" spans="1:40" x14ac:dyDescent="0.25">
      <c r="A5243" t="str">
        <f>"20190304154901804"</f>
        <v>20190304154901804</v>
      </c>
      <c r="B5243" t="str">
        <f>"1551685741791904"</f>
        <v>1551685741791904</v>
      </c>
      <c r="C5243" t="s">
        <v>40</v>
      </c>
      <c r="D5243">
        <v>3.9702060000000001</v>
      </c>
      <c r="E5243">
        <v>0.54261759999999903</v>
      </c>
      <c r="F5243" t="s">
        <v>42</v>
      </c>
      <c r="G5243">
        <v>0</v>
      </c>
      <c r="H5243">
        <v>0</v>
      </c>
      <c r="I5243">
        <v>0</v>
      </c>
      <c r="J5243">
        <v>-290.96170000000001</v>
      </c>
      <c r="K5243">
        <v>1.111097</v>
      </c>
      <c r="L5243">
        <v>141.60480000000001</v>
      </c>
      <c r="M5243">
        <v>-0.99992700000000001</v>
      </c>
      <c r="N5243">
        <v>-1.181099E-2</v>
      </c>
      <c r="O5243">
        <v>2.5179600000000001E-3</v>
      </c>
      <c r="P5243">
        <v>-0.97816380000000003</v>
      </c>
      <c r="Q5243">
        <v>0.1833195</v>
      </c>
      <c r="R5243">
        <v>-9.7926970000000002E-2</v>
      </c>
      <c r="S5243">
        <v>-3.0688170000000001</v>
      </c>
      <c r="T5243">
        <v>2.011371E-2</v>
      </c>
      <c r="U5243">
        <v>5.8044430000000001E-2</v>
      </c>
      <c r="V5243">
        <v>-0.1006094</v>
      </c>
      <c r="W5243">
        <v>0.19474369999999999</v>
      </c>
      <c r="X5243">
        <v>0.97568060000000001</v>
      </c>
      <c r="Y5243">
        <v>1.6393850000000001E-2</v>
      </c>
      <c r="Z5243" s="1">
        <v>8.9344730000000001E-5</v>
      </c>
      <c r="AA5243">
        <v>0.99986560000000002</v>
      </c>
      <c r="AB5243">
        <v>31</v>
      </c>
      <c r="AC5243">
        <v>-3.0688170000000001</v>
      </c>
      <c r="AD5243">
        <v>2.011371E-2</v>
      </c>
      <c r="AE5243">
        <v>5.8044430000000001E-2</v>
      </c>
      <c r="AF5243">
        <v>5.0314387269169099E-2</v>
      </c>
      <c r="AG5243">
        <v>2.011371E-2</v>
      </c>
      <c r="AH5243">
        <v>3.0688216512584101</v>
      </c>
      <c r="AI5243">
        <v>89.624527108523907</v>
      </c>
      <c r="AJ5243">
        <v>89.060700131044698</v>
      </c>
      <c r="AK5243">
        <v>3.0692999895951298</v>
      </c>
      <c r="AL5243">
        <v>78.770248309074603</v>
      </c>
      <c r="AM5243">
        <v>95.887369083390496</v>
      </c>
      <c r="AN5243">
        <v>0.99999999663720496</v>
      </c>
    </row>
    <row r="5244" spans="1:40" x14ac:dyDescent="0.25">
      <c r="A5244" t="str">
        <f>"20190304154901827"</f>
        <v>20190304154901827</v>
      </c>
      <c r="B5244" t="str">
        <f>"1551685741822159"</f>
        <v>1551685741822159</v>
      </c>
      <c r="C5244" t="s">
        <v>40</v>
      </c>
      <c r="D5244">
        <v>3.951889</v>
      </c>
      <c r="E5244">
        <v>0.54330900000000004</v>
      </c>
      <c r="F5244" t="s">
        <v>42</v>
      </c>
      <c r="G5244">
        <v>0</v>
      </c>
      <c r="H5244">
        <v>0</v>
      </c>
      <c r="I5244">
        <v>0</v>
      </c>
      <c r="J5244">
        <v>-291.27030000000002</v>
      </c>
      <c r="K5244">
        <v>1.111097</v>
      </c>
      <c r="L5244">
        <v>141.60499999999999</v>
      </c>
      <c r="M5244">
        <v>-0.9999285</v>
      </c>
      <c r="N5244">
        <v>-1.181133E-2</v>
      </c>
      <c r="O5244">
        <v>1.9331000000000001E-3</v>
      </c>
      <c r="P5244">
        <v>-0.97802500000000003</v>
      </c>
      <c r="Q5244">
        <v>0.18381549999999999</v>
      </c>
      <c r="R5244">
        <v>-9.8384620000000006E-2</v>
      </c>
      <c r="S5244">
        <v>-3.069153</v>
      </c>
      <c r="T5244">
        <v>2.0718339999999998E-2</v>
      </c>
      <c r="U5244">
        <v>6.0409549999999999E-2</v>
      </c>
      <c r="V5244">
        <v>-0.1004965</v>
      </c>
      <c r="W5244">
        <v>0.19523799999999999</v>
      </c>
      <c r="X5244">
        <v>0.97559340000000005</v>
      </c>
      <c r="Y5244">
        <v>1.774674E-2</v>
      </c>
      <c r="Z5244" s="1">
        <v>8.0804359999999897E-5</v>
      </c>
      <c r="AA5244">
        <v>0.99984249999999997</v>
      </c>
      <c r="AB5244">
        <v>31</v>
      </c>
      <c r="AC5244">
        <v>-3.069153</v>
      </c>
      <c r="AD5244">
        <v>2.0718339999999998E-2</v>
      </c>
      <c r="AE5244">
        <v>6.0409549999999999E-2</v>
      </c>
      <c r="AF5244">
        <v>5.4473562934216402E-2</v>
      </c>
      <c r="AG5244">
        <v>2.0718339999999998E-2</v>
      </c>
      <c r="AH5244">
        <v>3.0691242466723798</v>
      </c>
      <c r="AI5244">
        <v>89.613287573685099</v>
      </c>
      <c r="AJ5244">
        <v>88.9831700113685</v>
      </c>
      <c r="AK5244">
        <v>3.0696775498712299</v>
      </c>
      <c r="AL5244">
        <v>78.741372238227001</v>
      </c>
      <c r="AM5244">
        <v>95.881330782963502</v>
      </c>
      <c r="AN5244">
        <v>0.99999995263990304</v>
      </c>
    </row>
    <row r="5245" spans="1:40" x14ac:dyDescent="0.25">
      <c r="A5245" t="str">
        <f>"20190304154901849"</f>
        <v>20190304154901849</v>
      </c>
      <c r="B5245" t="str">
        <f>"1551685741842655"</f>
        <v>1551685741842655</v>
      </c>
      <c r="C5245" t="s">
        <v>40</v>
      </c>
      <c r="D5245">
        <v>3.941659</v>
      </c>
      <c r="E5245">
        <v>0.54374750000000005</v>
      </c>
      <c r="F5245" t="s">
        <v>42</v>
      </c>
      <c r="G5245">
        <v>0</v>
      </c>
      <c r="H5245">
        <v>0</v>
      </c>
      <c r="I5245">
        <v>0</v>
      </c>
      <c r="J5245">
        <v>-291.58010000000002</v>
      </c>
      <c r="K5245">
        <v>1.1111</v>
      </c>
      <c r="L5245">
        <v>141.60499999999999</v>
      </c>
      <c r="M5245">
        <v>-0.99992939999999997</v>
      </c>
      <c r="N5245">
        <v>-1.1811739999999999E-2</v>
      </c>
      <c r="O5245">
        <v>1.3474190000000001E-3</v>
      </c>
      <c r="P5245">
        <v>-0.97813649999999996</v>
      </c>
      <c r="Q5245">
        <v>0.1832744</v>
      </c>
      <c r="R5245">
        <v>-9.8282690000000006E-2</v>
      </c>
      <c r="S5245">
        <v>-3.0695190000000001</v>
      </c>
      <c r="T5245">
        <v>2.3049710000000001E-2</v>
      </c>
      <c r="U5245">
        <v>6.3751219999999997E-2</v>
      </c>
      <c r="V5245">
        <v>-9.9822110000000006E-2</v>
      </c>
      <c r="W5245">
        <v>0.19470019999999999</v>
      </c>
      <c r="X5245">
        <v>0.97577020000000003</v>
      </c>
      <c r="Y5245">
        <v>1.941797E-2</v>
      </c>
      <c r="Z5245" s="1">
        <v>6.7827899999999995E-5</v>
      </c>
      <c r="AA5245">
        <v>0.99981149999999996</v>
      </c>
      <c r="AB5245">
        <v>31</v>
      </c>
      <c r="AC5245">
        <v>-3.0695190000000001</v>
      </c>
      <c r="AD5245">
        <v>2.3049710000000001E-2</v>
      </c>
      <c r="AE5245">
        <v>6.3751219999999997E-2</v>
      </c>
      <c r="AF5245">
        <v>5.9611585680646298E-2</v>
      </c>
      <c r="AG5245">
        <v>2.3049710000000001E-2</v>
      </c>
      <c r="AH5245">
        <v>3.0694291130164801</v>
      </c>
      <c r="AI5245">
        <v>89.5698296803955</v>
      </c>
      <c r="AJ5245">
        <v>88.887394748328902</v>
      </c>
      <c r="AK5245">
        <v>3.0700944464481199</v>
      </c>
      <c r="AL5245">
        <v>78.772789948004004</v>
      </c>
      <c r="AM5245">
        <v>95.841086309797006</v>
      </c>
      <c r="AN5245">
        <v>1.0000000523664601</v>
      </c>
    </row>
    <row r="5246" spans="1:40" x14ac:dyDescent="0.25">
      <c r="A5246" t="str">
        <f>"20190304154901863"</f>
        <v>20190304154901863</v>
      </c>
      <c r="B5246" t="str">
        <f>"1551685741852415"</f>
        <v>1551685741852415</v>
      </c>
      <c r="C5246" t="s">
        <v>40</v>
      </c>
      <c r="D5246">
        <v>3.940671</v>
      </c>
      <c r="E5246">
        <v>0.54398159999999995</v>
      </c>
      <c r="F5246" t="s">
        <v>42</v>
      </c>
      <c r="G5246">
        <v>0</v>
      </c>
      <c r="H5246">
        <v>0</v>
      </c>
      <c r="I5246">
        <v>0</v>
      </c>
      <c r="J5246">
        <v>-291.7722</v>
      </c>
      <c r="K5246">
        <v>1.111102</v>
      </c>
      <c r="L5246">
        <v>141.60489999999999</v>
      </c>
      <c r="M5246">
        <v>-0.99992990000000004</v>
      </c>
      <c r="N5246">
        <v>-1.1812019999999999E-2</v>
      </c>
      <c r="O5246">
        <v>9.8502240000000003E-4</v>
      </c>
      <c r="P5246">
        <v>-0.97815719999999995</v>
      </c>
      <c r="Q5246">
        <v>0.18323600000000001</v>
      </c>
      <c r="R5246">
        <v>-9.814987E-2</v>
      </c>
      <c r="S5246">
        <v>-3.069763</v>
      </c>
      <c r="T5246">
        <v>2.172112E-2</v>
      </c>
      <c r="U5246">
        <v>6.7428589999999997E-2</v>
      </c>
      <c r="V5246">
        <v>-9.9335220000000002E-2</v>
      </c>
      <c r="W5246">
        <v>0.19466320000000001</v>
      </c>
      <c r="X5246">
        <v>0.97582720000000001</v>
      </c>
      <c r="Y5246">
        <v>2.0975770000000001E-2</v>
      </c>
      <c r="Z5246" s="1">
        <v>6.8303369999999999E-5</v>
      </c>
      <c r="AA5246">
        <v>0.99978</v>
      </c>
      <c r="AB5246">
        <v>31</v>
      </c>
      <c r="AC5246">
        <v>-3.069763</v>
      </c>
      <c r="AD5246">
        <v>2.172112E-2</v>
      </c>
      <c r="AE5246">
        <v>6.7428589999999997E-2</v>
      </c>
      <c r="AF5246">
        <v>6.4401338600478197E-2</v>
      </c>
      <c r="AG5246">
        <v>2.172112E-2</v>
      </c>
      <c r="AH5246">
        <v>3.0696743174519701</v>
      </c>
      <c r="AI5246">
        <v>89.594669070848198</v>
      </c>
      <c r="AJ5246">
        <v>88.798118862418903</v>
      </c>
      <c r="AK5246">
        <v>3.0704266404999498</v>
      </c>
      <c r="AL5246">
        <v>78.774950488196893</v>
      </c>
      <c r="AM5246">
        <v>95.812454314932296</v>
      </c>
      <c r="AN5246">
        <v>0.99999998581326399</v>
      </c>
    </row>
    <row r="5247" spans="1:40" x14ac:dyDescent="0.25">
      <c r="A5247" t="str">
        <f>"20190304154901876"</f>
        <v>20190304154901876</v>
      </c>
      <c r="B5247" t="str">
        <f>"1551685741871936"</f>
        <v>1551685741871936</v>
      </c>
      <c r="C5247" t="s">
        <v>40</v>
      </c>
      <c r="D5247">
        <v>3.9551419999999999</v>
      </c>
      <c r="E5247">
        <v>0.54438940000000002</v>
      </c>
      <c r="F5247" t="s">
        <v>42</v>
      </c>
      <c r="G5247">
        <v>0</v>
      </c>
      <c r="H5247">
        <v>0</v>
      </c>
      <c r="I5247">
        <v>0</v>
      </c>
      <c r="J5247">
        <v>-291.95060000000001</v>
      </c>
      <c r="K5247">
        <v>1.111102</v>
      </c>
      <c r="L5247">
        <v>141.60470000000001</v>
      </c>
      <c r="M5247">
        <v>-0.99992999999999999</v>
      </c>
      <c r="N5247">
        <v>-1.181229E-2</v>
      </c>
      <c r="O5247">
        <v>6.491515E-4</v>
      </c>
      <c r="P5247">
        <v>-0.97809590000000002</v>
      </c>
      <c r="Q5247">
        <v>0.18344389999999999</v>
      </c>
      <c r="R5247">
        <v>-9.837042E-2</v>
      </c>
      <c r="S5247">
        <v>-3.069855</v>
      </c>
      <c r="T5247">
        <v>2.209318E-2</v>
      </c>
      <c r="U5247">
        <v>6.9747920000000005E-2</v>
      </c>
      <c r="V5247">
        <v>-9.9227739999999995E-2</v>
      </c>
      <c r="W5247">
        <v>0.19487090000000001</v>
      </c>
      <c r="X5247">
        <v>0.97579669999999996</v>
      </c>
      <c r="Y5247">
        <v>2.206586E-2</v>
      </c>
      <c r="Z5247" s="1">
        <v>6.3291899999999996E-5</v>
      </c>
      <c r="AA5247">
        <v>0.99975650000000005</v>
      </c>
      <c r="AB5247">
        <v>31</v>
      </c>
      <c r="AC5247">
        <v>-3.069855</v>
      </c>
      <c r="AD5247">
        <v>2.209318E-2</v>
      </c>
      <c r="AE5247">
        <v>6.9747920000000005E-2</v>
      </c>
      <c r="AF5247">
        <v>6.7751457919372995E-2</v>
      </c>
      <c r="AG5247">
        <v>2.209318E-2</v>
      </c>
      <c r="AH5247">
        <v>3.06974072063313</v>
      </c>
      <c r="AI5247">
        <v>89.587745008344001</v>
      </c>
      <c r="AJ5247">
        <v>88.735644856548802</v>
      </c>
      <c r="AK5247">
        <v>3.0705677749507401</v>
      </c>
      <c r="AL5247">
        <v>78.762818036599995</v>
      </c>
      <c r="AM5247">
        <v>95.806388513207693</v>
      </c>
      <c r="AN5247">
        <v>1.0000000058916001</v>
      </c>
    </row>
    <row r="5248" spans="1:40" x14ac:dyDescent="0.25">
      <c r="A5248" t="str">
        <f>"20190304154901893"</f>
        <v>20190304154901893</v>
      </c>
      <c r="B5248" t="str">
        <f>"1551685741882675"</f>
        <v>1551685741882675</v>
      </c>
      <c r="C5248" t="s">
        <v>40</v>
      </c>
      <c r="D5248">
        <v>3.9655800000000001</v>
      </c>
      <c r="E5248">
        <v>0.54457919999999904</v>
      </c>
      <c r="F5248" t="s">
        <v>42</v>
      </c>
      <c r="G5248">
        <v>0</v>
      </c>
      <c r="H5248">
        <v>0</v>
      </c>
      <c r="I5248">
        <v>0</v>
      </c>
      <c r="J5248">
        <v>-292.18630000000002</v>
      </c>
      <c r="K5248">
        <v>1.111102</v>
      </c>
      <c r="L5248">
        <v>141.6044</v>
      </c>
      <c r="M5248">
        <v>-0.99993030000000005</v>
      </c>
      <c r="N5248">
        <v>-1.1812670000000001E-2</v>
      </c>
      <c r="O5248">
        <v>2.056979E-4</v>
      </c>
      <c r="P5248">
        <v>-0.97817010000000004</v>
      </c>
      <c r="Q5248">
        <v>0.1836546</v>
      </c>
      <c r="R5248">
        <v>-9.7234589999999996E-2</v>
      </c>
      <c r="S5248">
        <v>-3.0700989999999999</v>
      </c>
      <c r="T5248">
        <v>2.3308039999999999E-2</v>
      </c>
      <c r="U5248">
        <v>7.2357179999999993E-2</v>
      </c>
      <c r="V5248">
        <v>-9.7658579999999995E-2</v>
      </c>
      <c r="W5248">
        <v>0.19508510000000001</v>
      </c>
      <c r="X5248">
        <v>0.97591220000000001</v>
      </c>
      <c r="Y5248">
        <v>2.335657E-2</v>
      </c>
      <c r="Z5248" s="1">
        <v>5.3318069999999998E-5</v>
      </c>
      <c r="AA5248">
        <v>0.99972720000000004</v>
      </c>
      <c r="AB5248">
        <v>31</v>
      </c>
      <c r="AC5248">
        <v>-3.0700989999999999</v>
      </c>
      <c r="AD5248">
        <v>2.3308039999999999E-2</v>
      </c>
      <c r="AE5248">
        <v>7.2357179999999993E-2</v>
      </c>
      <c r="AF5248">
        <v>7.1721489977974603E-2</v>
      </c>
      <c r="AG5248">
        <v>2.3308039999999999E-2</v>
      </c>
      <c r="AH5248">
        <v>3.0699369738798898</v>
      </c>
      <c r="AI5248">
        <v>89.565117332115406</v>
      </c>
      <c r="AJ5248">
        <v>88.6616691744657</v>
      </c>
      <c r="AK5248">
        <v>3.0708631132709501</v>
      </c>
      <c r="AL5248">
        <v>78.750305155570004</v>
      </c>
      <c r="AM5248">
        <v>95.714508659074497</v>
      </c>
      <c r="AN5248">
        <v>1.00000000829923</v>
      </c>
    </row>
    <row r="5249" spans="1:40" x14ac:dyDescent="0.25">
      <c r="A5249" t="str">
        <f>"20190304154901909"</f>
        <v>20190304154901909</v>
      </c>
      <c r="B5249" t="str">
        <f>"1551685741902191"</f>
        <v>1551685741902191</v>
      </c>
      <c r="C5249" t="s">
        <v>40</v>
      </c>
      <c r="D5249">
        <v>3.9582440000000001</v>
      </c>
      <c r="E5249">
        <v>0.54498859999999905</v>
      </c>
      <c r="F5249" t="s">
        <v>42</v>
      </c>
      <c r="G5249">
        <v>0</v>
      </c>
      <c r="H5249">
        <v>0</v>
      </c>
      <c r="I5249">
        <v>0</v>
      </c>
      <c r="J5249">
        <v>-292.40609999999998</v>
      </c>
      <c r="K5249">
        <v>1.111102</v>
      </c>
      <c r="L5249">
        <v>141.60399999999899</v>
      </c>
      <c r="M5249">
        <v>-0.99993010000000004</v>
      </c>
      <c r="N5249">
        <v>-1.1812980000000001E-2</v>
      </c>
      <c r="O5249">
        <v>-2.0753309999999999E-4</v>
      </c>
      <c r="P5249">
        <v>-0.97816029999999998</v>
      </c>
      <c r="Q5249">
        <v>0.18376000000000001</v>
      </c>
      <c r="R5249">
        <v>-9.7131930000000005E-2</v>
      </c>
      <c r="S5249">
        <v>-3.0700989999999999</v>
      </c>
      <c r="T5249">
        <v>2.405643E-2</v>
      </c>
      <c r="U5249">
        <v>7.7239989999999994E-2</v>
      </c>
      <c r="V5249">
        <v>-9.7152500000000003E-2</v>
      </c>
      <c r="W5249">
        <v>0.1951917</v>
      </c>
      <c r="X5249">
        <v>0.97594139999999996</v>
      </c>
      <c r="Y5249">
        <v>2.535867E-2</v>
      </c>
      <c r="Z5249" s="1">
        <v>4.6396980000000002E-5</v>
      </c>
      <c r="AA5249">
        <v>0.99967839999999997</v>
      </c>
      <c r="AB5249">
        <v>31</v>
      </c>
      <c r="AC5249">
        <v>-3.0700989999999999</v>
      </c>
      <c r="AD5249">
        <v>2.405643E-2</v>
      </c>
      <c r="AE5249">
        <v>7.7239989999999994E-2</v>
      </c>
      <c r="AF5249">
        <v>7.7872401802765501E-2</v>
      </c>
      <c r="AG5249">
        <v>2.405643E-2</v>
      </c>
      <c r="AH5249">
        <v>3.0698945352837299</v>
      </c>
      <c r="AI5249">
        <v>89.551170089667494</v>
      </c>
      <c r="AJ5249">
        <v>88.546919675326095</v>
      </c>
      <c r="AK5249">
        <v>3.0709762748272298</v>
      </c>
      <c r="AL5249">
        <v>78.744077750851105</v>
      </c>
      <c r="AM5249">
        <v>95.684920803862099</v>
      </c>
      <c r="AN5249">
        <v>1.00000001211954</v>
      </c>
    </row>
    <row r="5250" spans="1:40" x14ac:dyDescent="0.25">
      <c r="A5250" t="str">
        <f>"20190304154901927"</f>
        <v>20190304154901927</v>
      </c>
      <c r="B5250" t="str">
        <f>"1551685741922687"</f>
        <v>1551685741922687</v>
      </c>
      <c r="C5250" t="s">
        <v>40</v>
      </c>
      <c r="D5250">
        <v>3.9627680000000001</v>
      </c>
      <c r="E5250">
        <v>0.54537080000000004</v>
      </c>
      <c r="F5250" t="s">
        <v>42</v>
      </c>
      <c r="G5250">
        <v>0</v>
      </c>
      <c r="H5250">
        <v>0</v>
      </c>
      <c r="I5250">
        <v>0</v>
      </c>
      <c r="J5250">
        <v>-292.65730000000002</v>
      </c>
      <c r="K5250">
        <v>1.1111009999999999</v>
      </c>
      <c r="L5250">
        <v>141.6035</v>
      </c>
      <c r="M5250">
        <v>-0.99993010000000004</v>
      </c>
      <c r="N5250">
        <v>-1.181337E-2</v>
      </c>
      <c r="O5250">
        <v>-6.8006960000000004E-4</v>
      </c>
      <c r="P5250">
        <v>-0.97813240000000001</v>
      </c>
      <c r="Q5250">
        <v>0.18414510000000001</v>
      </c>
      <c r="R5250">
        <v>-9.6685869999999993E-2</v>
      </c>
      <c r="S5250">
        <v>-3.0703130000000001</v>
      </c>
      <c r="T5250">
        <v>2.5023940000000001E-2</v>
      </c>
      <c r="U5250">
        <v>8.0749509999999997E-2</v>
      </c>
      <c r="V5250">
        <v>-9.6243960000000003E-2</v>
      </c>
      <c r="W5250">
        <v>0.19557849999999999</v>
      </c>
      <c r="X5250">
        <v>0.97595399999999999</v>
      </c>
      <c r="Y5250">
        <v>2.6971149999999999E-2</v>
      </c>
      <c r="Z5250" s="1">
        <v>3.5877249999999999E-5</v>
      </c>
      <c r="AA5250">
        <v>0.99963619999999997</v>
      </c>
      <c r="AB5250">
        <v>31</v>
      </c>
      <c r="AC5250">
        <v>-3.0703130000000001</v>
      </c>
      <c r="AD5250">
        <v>2.5023940000000001E-2</v>
      </c>
      <c r="AE5250">
        <v>8.0749509999999997E-2</v>
      </c>
      <c r="AF5250">
        <v>8.2832164831232805E-2</v>
      </c>
      <c r="AG5250">
        <v>2.5023940000000001E-2</v>
      </c>
      <c r="AH5250">
        <v>3.0700535766252899</v>
      </c>
      <c r="AI5250">
        <v>89.533163568403594</v>
      </c>
      <c r="AJ5250">
        <v>88.454495263937403</v>
      </c>
      <c r="AK5250">
        <v>3.0712727538356899</v>
      </c>
      <c r="AL5250">
        <v>78.721480414144594</v>
      </c>
      <c r="AM5250">
        <v>95.632028347474204</v>
      </c>
      <c r="AN5250">
        <v>1.0000000298073599</v>
      </c>
    </row>
    <row r="5251" spans="1:40" x14ac:dyDescent="0.25">
      <c r="A5251" t="str">
        <f>"20190304154901950"</f>
        <v>20190304154901950</v>
      </c>
      <c r="B5251" t="str">
        <f>"1551685741942207"</f>
        <v>1551685741942207</v>
      </c>
      <c r="C5251" t="s">
        <v>40</v>
      </c>
      <c r="D5251">
        <v>3.98814</v>
      </c>
      <c r="E5251">
        <v>0.5457495</v>
      </c>
      <c r="F5251" t="s">
        <v>42</v>
      </c>
      <c r="G5251">
        <v>0</v>
      </c>
      <c r="H5251">
        <v>0</v>
      </c>
      <c r="I5251">
        <v>0</v>
      </c>
      <c r="J5251">
        <v>-292.9726</v>
      </c>
      <c r="K5251">
        <v>1.111103</v>
      </c>
      <c r="L5251">
        <v>141.6026</v>
      </c>
      <c r="M5251">
        <v>-0.99992950000000003</v>
      </c>
      <c r="N5251">
        <v>-1.1813840000000001E-2</v>
      </c>
      <c r="O5251">
        <v>-1.272408E-3</v>
      </c>
      <c r="P5251">
        <v>-0.97824069999999996</v>
      </c>
      <c r="Q5251">
        <v>0.18382689999999999</v>
      </c>
      <c r="R5251">
        <v>-9.6193979999999998E-2</v>
      </c>
      <c r="S5251">
        <v>-3.070465</v>
      </c>
      <c r="T5251">
        <v>2.6624439999999999E-2</v>
      </c>
      <c r="U5251">
        <v>8.4930420000000006E-2</v>
      </c>
      <c r="V5251">
        <v>-9.5172179999999995E-2</v>
      </c>
      <c r="W5251">
        <v>0.19526370000000001</v>
      </c>
      <c r="X5251">
        <v>0.97612209999999999</v>
      </c>
      <c r="Y5251">
        <v>2.892198E-2</v>
      </c>
      <c r="Z5251" s="1">
        <v>1.9450349999999999E-5</v>
      </c>
      <c r="AA5251">
        <v>0.99958170000000002</v>
      </c>
      <c r="AB5251">
        <v>31</v>
      </c>
      <c r="AC5251">
        <v>-3.070465</v>
      </c>
      <c r="AD5251">
        <v>2.6624439999999999E-2</v>
      </c>
      <c r="AE5251">
        <v>8.4930420000000006E-2</v>
      </c>
      <c r="AF5251">
        <v>8.8830833789451794E-2</v>
      </c>
      <c r="AG5251">
        <v>2.6624439999999999E-2</v>
      </c>
      <c r="AH5251">
        <v>3.07012377821819</v>
      </c>
      <c r="AI5251">
        <v>89.503345199680695</v>
      </c>
      <c r="AJ5251">
        <v>88.342668685394599</v>
      </c>
      <c r="AK5251">
        <v>3.0715240177178802</v>
      </c>
      <c r="AL5251">
        <v>78.739871439805199</v>
      </c>
      <c r="AM5251">
        <v>95.568753082280494</v>
      </c>
      <c r="AN5251">
        <v>1.0000000052460201</v>
      </c>
    </row>
    <row r="5252" spans="1:40" x14ac:dyDescent="0.25">
      <c r="A5252" t="str">
        <f>"20190304154901972"</f>
        <v>20190304154901972</v>
      </c>
      <c r="B5252" t="str">
        <f>"1551685741962703"</f>
        <v>1551685741962703</v>
      </c>
      <c r="C5252" t="s">
        <v>40</v>
      </c>
      <c r="D5252">
        <v>3.996591</v>
      </c>
      <c r="E5252">
        <v>0.54610559999999997</v>
      </c>
      <c r="F5252" t="s">
        <v>42</v>
      </c>
      <c r="G5252">
        <v>0</v>
      </c>
      <c r="H5252">
        <v>0</v>
      </c>
      <c r="I5252">
        <v>0</v>
      </c>
      <c r="J5252">
        <v>-293.27850000000001</v>
      </c>
      <c r="K5252">
        <v>1.1110990000000001</v>
      </c>
      <c r="L5252">
        <v>141.60159999999999</v>
      </c>
      <c r="M5252">
        <v>-0.9999287</v>
      </c>
      <c r="N5252">
        <v>-1.181433E-2</v>
      </c>
      <c r="O5252">
        <v>-1.8471029999999999E-3</v>
      </c>
      <c r="P5252">
        <v>-0.97828349999999997</v>
      </c>
      <c r="Q5252">
        <v>0.1838979</v>
      </c>
      <c r="R5252">
        <v>-9.5619449999999995E-2</v>
      </c>
      <c r="S5252">
        <v>-3.0706479999999998</v>
      </c>
      <c r="T5252">
        <v>2.6204229999999998E-2</v>
      </c>
      <c r="U5252">
        <v>8.9691160000000006E-2</v>
      </c>
      <c r="V5252">
        <v>-9.4035939999999998E-2</v>
      </c>
      <c r="W5252">
        <v>0.1953377</v>
      </c>
      <c r="X5252">
        <v>0.97621740000000001</v>
      </c>
      <c r="Y5252">
        <v>3.1043189999999998E-2</v>
      </c>
      <c r="Z5252" s="1">
        <v>1.341765E-5</v>
      </c>
      <c r="AA5252">
        <v>0.99951800000000002</v>
      </c>
      <c r="AB5252">
        <v>31</v>
      </c>
      <c r="AC5252">
        <v>-3.0706479999999998</v>
      </c>
      <c r="AD5252">
        <v>2.6204229999999998E-2</v>
      </c>
      <c r="AE5252">
        <v>8.9691160000000006E-2</v>
      </c>
      <c r="AF5252">
        <v>9.5356266422237407E-2</v>
      </c>
      <c r="AG5252">
        <v>2.6204229999999998E-2</v>
      </c>
      <c r="AH5252">
        <v>3.0702536789452899</v>
      </c>
      <c r="AI5252">
        <v>89.511235247167505</v>
      </c>
      <c r="AJ5252">
        <v>88.221073405895098</v>
      </c>
      <c r="AK5252">
        <v>3.0718458835516098</v>
      </c>
      <c r="AL5252">
        <v>78.735548169892695</v>
      </c>
      <c r="AM5252">
        <v>95.502145568916305</v>
      </c>
      <c r="AN5252">
        <v>0.99999999355786595</v>
      </c>
    </row>
    <row r="5253" spans="1:40" x14ac:dyDescent="0.25">
      <c r="A5253" t="str">
        <f>"20190304154901995"</f>
        <v>20190304154901995</v>
      </c>
      <c r="B5253" t="str">
        <f>"1551685741991984"</f>
        <v>1551685741991984</v>
      </c>
      <c r="C5253" t="s">
        <v>40</v>
      </c>
      <c r="D5253">
        <v>4.0344189999999998</v>
      </c>
      <c r="E5253">
        <v>0.54657900000000004</v>
      </c>
      <c r="F5253" t="s">
        <v>42</v>
      </c>
      <c r="G5253">
        <v>0</v>
      </c>
      <c r="H5253">
        <v>0</v>
      </c>
      <c r="I5253">
        <v>0</v>
      </c>
      <c r="J5253">
        <v>-293.5967</v>
      </c>
      <c r="K5253">
        <v>1.1111089999999999</v>
      </c>
      <c r="L5253">
        <v>141.60040000000001</v>
      </c>
      <c r="M5253">
        <v>-0.99992720000000002</v>
      </c>
      <c r="N5253">
        <v>-1.181481E-2</v>
      </c>
      <c r="O5253">
        <v>-2.444805E-3</v>
      </c>
      <c r="P5253">
        <v>-0.97827489999999995</v>
      </c>
      <c r="Q5253">
        <v>0.1841988</v>
      </c>
      <c r="R5253">
        <v>-9.512669E-2</v>
      </c>
      <c r="S5253">
        <v>-3.0708009999999999</v>
      </c>
      <c r="T5253">
        <v>2.674294E-2</v>
      </c>
      <c r="U5253">
        <v>9.4299320000000006E-2</v>
      </c>
      <c r="V5253">
        <v>-9.2958570000000004E-2</v>
      </c>
      <c r="W5253">
        <v>0.1956407</v>
      </c>
      <c r="X5253">
        <v>0.97625989999999996</v>
      </c>
      <c r="Y5253">
        <v>3.313758E-2</v>
      </c>
      <c r="Z5253" s="1">
        <v>1.3879329999999999E-6</v>
      </c>
      <c r="AA5253">
        <v>0.99945079999999997</v>
      </c>
      <c r="AB5253">
        <v>31</v>
      </c>
      <c r="AC5253">
        <v>-3.0708009999999999</v>
      </c>
      <c r="AD5253">
        <v>2.674294E-2</v>
      </c>
      <c r="AE5253">
        <v>9.4299320000000006E-2</v>
      </c>
      <c r="AF5253">
        <v>0.10179935844226499</v>
      </c>
      <c r="AG5253">
        <v>2.674294E-2</v>
      </c>
      <c r="AH5253">
        <v>3.0703286187067702</v>
      </c>
      <c r="AI5253">
        <v>89.501233391928594</v>
      </c>
      <c r="AJ5253">
        <v>88.1010053247645</v>
      </c>
      <c r="AK5253">
        <v>3.07213217831996</v>
      </c>
      <c r="AL5253">
        <v>78.717845911483494</v>
      </c>
      <c r="AM5253">
        <v>95.439252357355102</v>
      </c>
      <c r="AN5253">
        <v>0.999999985790472</v>
      </c>
    </row>
    <row r="5254" spans="1:40" x14ac:dyDescent="0.25">
      <c r="A5254" t="str">
        <f>"20190304154902017"</f>
        <v>20190304154902017</v>
      </c>
      <c r="B5254" t="str">
        <f>"1551685742012479"</f>
        <v>1551685742012479</v>
      </c>
      <c r="C5254" t="s">
        <v>40</v>
      </c>
      <c r="D5254">
        <v>4.1022179999999997</v>
      </c>
      <c r="E5254">
        <v>0.54687629999999998</v>
      </c>
      <c r="F5254" t="s">
        <v>81</v>
      </c>
      <c r="G5254">
        <v>-550.16300000000001</v>
      </c>
      <c r="H5254">
        <v>3.4554610000000001</v>
      </c>
      <c r="I5254">
        <v>149.8775</v>
      </c>
      <c r="J5254">
        <v>-293.90039999999999</v>
      </c>
      <c r="K5254">
        <v>1.1111150000000001</v>
      </c>
      <c r="L5254">
        <v>141.59899999999999</v>
      </c>
      <c r="M5254">
        <v>-0.99992570000000003</v>
      </c>
      <c r="N5254">
        <v>-1.1815300000000001E-2</v>
      </c>
      <c r="O5254">
        <v>-3.0154460000000002E-3</v>
      </c>
      <c r="P5254">
        <v>-0.97823040000000006</v>
      </c>
      <c r="Q5254">
        <v>0.18461</v>
      </c>
      <c r="R5254">
        <v>-9.4786869999999995E-2</v>
      </c>
      <c r="S5254">
        <v>-3.0710139999999999</v>
      </c>
      <c r="T5254">
        <v>2.8061630000000001E-2</v>
      </c>
      <c r="U5254">
        <v>9.9075319999999995E-2</v>
      </c>
      <c r="V5254">
        <v>-9.2060729999999993E-2</v>
      </c>
      <c r="W5254">
        <v>0.19605359999999999</v>
      </c>
      <c r="X5254">
        <v>0.97626219999999997</v>
      </c>
      <c r="Y5254">
        <v>3.5258369999999997E-2</v>
      </c>
      <c r="Z5254" s="1">
        <v>-1.5853149999999999E-5</v>
      </c>
      <c r="AA5254">
        <v>0.99937819999999999</v>
      </c>
      <c r="AB5254">
        <v>31</v>
      </c>
      <c r="AC5254">
        <v>-256.26260000000002</v>
      </c>
      <c r="AD5254">
        <v>2.3443459999999998</v>
      </c>
      <c r="AE5254">
        <v>8.2784999999999993</v>
      </c>
      <c r="AF5254">
        <v>9.0505056480887092</v>
      </c>
      <c r="AG5254">
        <v>2.3443459999999998</v>
      </c>
      <c r="AH5254">
        <v>256.21504938325597</v>
      </c>
      <c r="AI5254">
        <v>89.476089841023096</v>
      </c>
      <c r="AJ5254">
        <v>87.976932821502302</v>
      </c>
      <c r="AK5254">
        <v>256.385567341686</v>
      </c>
      <c r="AL5254">
        <v>78.693721890435299</v>
      </c>
      <c r="AM5254">
        <v>95.387015294847501</v>
      </c>
      <c r="AN5254">
        <v>1.00000003761496</v>
      </c>
    </row>
    <row r="5255" spans="1:40" x14ac:dyDescent="0.25">
      <c r="A5255" t="str">
        <f>"20190304154902039"</f>
        <v>20190304154902039</v>
      </c>
      <c r="B5255" t="str">
        <f>"1551685742031999"</f>
        <v>1551685742031999</v>
      </c>
      <c r="C5255" t="s">
        <v>40</v>
      </c>
      <c r="D5255">
        <v>4.0478769999999997</v>
      </c>
      <c r="E5255">
        <v>0.54711699999999996</v>
      </c>
      <c r="F5255" t="s">
        <v>81</v>
      </c>
      <c r="G5255">
        <v>-550.16309999999999</v>
      </c>
      <c r="H5255">
        <v>3.5768230000000001</v>
      </c>
      <c r="I5255">
        <v>150.11590000000001</v>
      </c>
      <c r="J5255">
        <v>-294.20569999999998</v>
      </c>
      <c r="K5255">
        <v>1.111116</v>
      </c>
      <c r="L5255">
        <v>141.5975</v>
      </c>
      <c r="M5255">
        <v>-0.99992380000000003</v>
      </c>
      <c r="N5255">
        <v>-1.1815819999999999E-2</v>
      </c>
      <c r="O5255">
        <v>-3.5884659999999998E-3</v>
      </c>
      <c r="P5255">
        <v>-0.97818609999999995</v>
      </c>
      <c r="Q5255">
        <v>0.1847627</v>
      </c>
      <c r="R5255">
        <v>-9.4946030000000001E-2</v>
      </c>
      <c r="S5255">
        <v>-3.0710449999999998</v>
      </c>
      <c r="T5255">
        <v>2.9549479999999999E-2</v>
      </c>
      <c r="U5255">
        <v>0.102066</v>
      </c>
      <c r="V5255">
        <v>-9.1659820000000003E-2</v>
      </c>
      <c r="W5255">
        <v>0.19620689999999999</v>
      </c>
      <c r="X5255">
        <v>0.9762691</v>
      </c>
      <c r="Y5255">
        <v>3.6802700000000001E-2</v>
      </c>
      <c r="Z5255" s="1">
        <v>-3.6416550000000003E-5</v>
      </c>
      <c r="AA5255">
        <v>0.9993225</v>
      </c>
      <c r="AB5255">
        <v>31</v>
      </c>
      <c r="AC5255">
        <v>-255.95740000000001</v>
      </c>
      <c r="AD5255">
        <v>2.4657070000000001</v>
      </c>
      <c r="AE5255">
        <v>8.5184000000000104</v>
      </c>
      <c r="AF5255">
        <v>9.4360289591368591</v>
      </c>
      <c r="AG5255">
        <v>2.4657070000000001</v>
      </c>
      <c r="AH5255">
        <v>255.90146029143901</v>
      </c>
      <c r="AI5255">
        <v>89.448325554217007</v>
      </c>
      <c r="AJ5255">
        <v>87.888250417420906</v>
      </c>
      <c r="AK5255">
        <v>256.087242424956</v>
      </c>
      <c r="AL5255">
        <v>78.684764192330704</v>
      </c>
      <c r="AM5255">
        <v>95.3636551192685</v>
      </c>
      <c r="AN5255">
        <v>1.00000001291242</v>
      </c>
    </row>
    <row r="5256" spans="1:40" x14ac:dyDescent="0.25">
      <c r="A5256" t="str">
        <f>"20190304154902062"</f>
        <v>20190304154902062</v>
      </c>
      <c r="B5256" t="str">
        <f>"1551685742052496"</f>
        <v>1551685742052496</v>
      </c>
      <c r="C5256" t="s">
        <v>40</v>
      </c>
      <c r="D5256">
        <v>4.0633319999999999</v>
      </c>
      <c r="E5256">
        <v>0.54735610000000001</v>
      </c>
      <c r="F5256" t="s">
        <v>81</v>
      </c>
      <c r="G5256">
        <v>-550.16309999999999</v>
      </c>
      <c r="H5256">
        <v>3.6764109999999999</v>
      </c>
      <c r="I5256">
        <v>150.2552</v>
      </c>
      <c r="J5256">
        <v>-294.52330000000001</v>
      </c>
      <c r="K5256">
        <v>1.1111180000000001</v>
      </c>
      <c r="L5256">
        <v>141.59569999999999</v>
      </c>
      <c r="M5256">
        <v>-0.99992139999999996</v>
      </c>
      <c r="N5256">
        <v>-1.181636E-2</v>
      </c>
      <c r="O5256">
        <v>-4.1790949999999999E-3</v>
      </c>
      <c r="P5256">
        <v>-0.97799349999999996</v>
      </c>
      <c r="Q5256">
        <v>0.18557119999999999</v>
      </c>
      <c r="R5256">
        <v>-9.5351850000000002E-2</v>
      </c>
      <c r="S5256">
        <v>-3.071167</v>
      </c>
      <c r="T5256">
        <v>3.0780789999999999E-2</v>
      </c>
      <c r="U5256">
        <v>0.1038818</v>
      </c>
      <c r="V5256">
        <v>-9.1488299999999995E-2</v>
      </c>
      <c r="W5256">
        <v>0.19701479999999999</v>
      </c>
      <c r="X5256">
        <v>0.97612239999999995</v>
      </c>
      <c r="Y5256">
        <v>3.7981580000000001E-2</v>
      </c>
      <c r="Z5256" s="1">
        <v>-5.7041559999999997E-5</v>
      </c>
      <c r="AA5256">
        <v>0.99927840000000001</v>
      </c>
      <c r="AB5256">
        <v>31</v>
      </c>
      <c r="AC5256">
        <v>-255.63980000000001</v>
      </c>
      <c r="AD5256">
        <v>2.565293</v>
      </c>
      <c r="AE5256">
        <v>8.6594999999999995</v>
      </c>
      <c r="AF5256">
        <v>9.72686368328913</v>
      </c>
      <c r="AG5256">
        <v>2.565293</v>
      </c>
      <c r="AH5256">
        <v>255.57566968759201</v>
      </c>
      <c r="AI5256">
        <v>89.425339645502604</v>
      </c>
      <c r="AJ5256">
        <v>87.8204521909568</v>
      </c>
      <c r="AK5256">
        <v>255.77356302313601</v>
      </c>
      <c r="AL5256">
        <v>78.637552615135306</v>
      </c>
      <c r="AM5256">
        <v>95.354476580926502</v>
      </c>
      <c r="AN5256">
        <v>0.99999994011884297</v>
      </c>
    </row>
    <row r="5257" spans="1:40" x14ac:dyDescent="0.25">
      <c r="A5257" t="str">
        <f>"20190304154902083"</f>
        <v>20190304154902083</v>
      </c>
      <c r="B5257" t="str">
        <f>"1551685742072015"</f>
        <v>1551685742072015</v>
      </c>
      <c r="C5257" t="s">
        <v>40</v>
      </c>
      <c r="D5257">
        <v>4.0399029999999998</v>
      </c>
      <c r="E5257">
        <v>0.5474755</v>
      </c>
      <c r="F5257" t="s">
        <v>81</v>
      </c>
      <c r="G5257">
        <v>-550.16319999999996</v>
      </c>
      <c r="H5257">
        <v>3.9145400000000001</v>
      </c>
      <c r="I5257">
        <v>150.30080000000001</v>
      </c>
      <c r="J5257">
        <v>-294.81790000000001</v>
      </c>
      <c r="K5257">
        <v>1.1111120000000001</v>
      </c>
      <c r="L5257">
        <v>141.59389999999999</v>
      </c>
      <c r="M5257">
        <v>-0.99991920000000001</v>
      </c>
      <c r="N5257">
        <v>-1.181683E-2</v>
      </c>
      <c r="O5257">
        <v>-4.7145720000000002E-3</v>
      </c>
      <c r="P5257">
        <v>-0.97798649999999998</v>
      </c>
      <c r="Q5257">
        <v>0.1856073</v>
      </c>
      <c r="R5257">
        <v>-9.5355850000000006E-2</v>
      </c>
      <c r="S5257">
        <v>-3.0712890000000002</v>
      </c>
      <c r="T5257">
        <v>3.368115E-2</v>
      </c>
      <c r="U5257">
        <v>0.1045837</v>
      </c>
      <c r="V5257">
        <v>-9.096485E-2</v>
      </c>
      <c r="W5257">
        <v>0.19705410000000001</v>
      </c>
      <c r="X5257">
        <v>0.97616340000000001</v>
      </c>
      <c r="Y5257">
        <v>3.8743100000000003E-2</v>
      </c>
      <c r="Z5257" s="1">
        <v>-9.0764460000000005E-5</v>
      </c>
      <c r="AA5257">
        <v>0.99924919999999995</v>
      </c>
      <c r="AB5257">
        <v>31</v>
      </c>
      <c r="AC5257">
        <v>-255.34529999999901</v>
      </c>
      <c r="AD5257">
        <v>2.8034279999999998</v>
      </c>
      <c r="AE5257">
        <v>8.7069000000000099</v>
      </c>
      <c r="AF5257">
        <v>9.9095378329468105</v>
      </c>
      <c r="AG5257">
        <v>2.8034279999999998</v>
      </c>
      <c r="AH5257">
        <v>255.27067559900499</v>
      </c>
      <c r="AI5257">
        <v>89.3712663705669</v>
      </c>
      <c r="AJ5257">
        <v>87.776909767155999</v>
      </c>
      <c r="AK5257">
        <v>255.478327788066</v>
      </c>
      <c r="AL5257">
        <v>78.635256013672901</v>
      </c>
      <c r="AM5257">
        <v>95.323795176142895</v>
      </c>
      <c r="AN5257">
        <v>0.99999995288094501</v>
      </c>
    </row>
    <row r="5258" spans="1:40" x14ac:dyDescent="0.25">
      <c r="A5258" t="str">
        <f>"20190304154902105"</f>
        <v>20190304154902105</v>
      </c>
      <c r="B5258" t="str">
        <f>"1551685742092512"</f>
        <v>1551685742092512</v>
      </c>
      <c r="C5258" t="s">
        <v>40</v>
      </c>
      <c r="D5258">
        <v>4.3040430000000001</v>
      </c>
      <c r="E5258">
        <v>0.5476415</v>
      </c>
      <c r="F5258" t="s">
        <v>81</v>
      </c>
      <c r="G5258">
        <v>-550.16319999999996</v>
      </c>
      <c r="H5258">
        <v>3.926234</v>
      </c>
      <c r="I5258">
        <v>150.34450000000001</v>
      </c>
      <c r="J5258">
        <v>-295.12169999999998</v>
      </c>
      <c r="K5258">
        <v>1.1110979999999999</v>
      </c>
      <c r="L5258">
        <v>141.59190000000001</v>
      </c>
      <c r="M5258">
        <v>-0.99991649999999999</v>
      </c>
      <c r="N5258">
        <v>-1.181724E-2</v>
      </c>
      <c r="O5258">
        <v>-5.2426490000000003E-3</v>
      </c>
      <c r="P5258">
        <v>-0.9778905</v>
      </c>
      <c r="Q5258">
        <v>0.18585080000000001</v>
      </c>
      <c r="R5258">
        <v>-9.5865350000000002E-2</v>
      </c>
      <c r="S5258">
        <v>-3.0713810000000001</v>
      </c>
      <c r="T5258">
        <v>3.3861759999999998E-2</v>
      </c>
      <c r="U5258">
        <v>0.1052551</v>
      </c>
      <c r="V5258">
        <v>-9.0950929999999999E-2</v>
      </c>
      <c r="W5258">
        <v>0.19730139999999999</v>
      </c>
      <c r="X5258">
        <v>0.97611479999999995</v>
      </c>
      <c r="Y5258">
        <v>3.948782E-2</v>
      </c>
      <c r="Z5258">
        <v>-1.039249E-4</v>
      </c>
      <c r="AA5258">
        <v>0.99922010000000006</v>
      </c>
      <c r="AB5258">
        <v>31</v>
      </c>
      <c r="AC5258">
        <v>-255.04150000000001</v>
      </c>
      <c r="AD5258">
        <v>2.8151359999999999</v>
      </c>
      <c r="AE5258">
        <v>8.7525999999999993</v>
      </c>
      <c r="AF5258">
        <v>10.088438347144301</v>
      </c>
      <c r="AG5258">
        <v>2.8151359999999999</v>
      </c>
      <c r="AH5258">
        <v>254.96107752382301</v>
      </c>
      <c r="AI5258">
        <v>89.367892720354604</v>
      </c>
      <c r="AJ5258">
        <v>87.734071559110802</v>
      </c>
      <c r="AK5258">
        <v>255.17612080892599</v>
      </c>
      <c r="AL5258">
        <v>78.620803662702002</v>
      </c>
      <c r="AM5258">
        <v>95.323248681136803</v>
      </c>
      <c r="AN5258">
        <v>1.00000000844443</v>
      </c>
    </row>
    <row r="5259" spans="1:40" x14ac:dyDescent="0.25">
      <c r="A5259" t="str">
        <f>"20190304154902128"</f>
        <v>20190304154902128</v>
      </c>
      <c r="B5259" t="str">
        <f>"1551685742122768"</f>
        <v>1551685742122768</v>
      </c>
      <c r="C5259" t="s">
        <v>40</v>
      </c>
      <c r="D5259">
        <v>4.1217499999999996</v>
      </c>
      <c r="E5259">
        <v>0.54768070000000002</v>
      </c>
      <c r="F5259" t="s">
        <v>81</v>
      </c>
      <c r="G5259">
        <v>-550.16319999999996</v>
      </c>
      <c r="H5259">
        <v>3.9427530000000002</v>
      </c>
      <c r="I5259">
        <v>150.3186</v>
      </c>
      <c r="J5259">
        <v>-295.44009999999997</v>
      </c>
      <c r="K5259">
        <v>1.111065</v>
      </c>
      <c r="L5259">
        <v>141.58959999999999</v>
      </c>
      <c r="M5259">
        <v>-0.99991370000000002</v>
      </c>
      <c r="N5259">
        <v>-1.1817609999999999E-2</v>
      </c>
      <c r="O5259">
        <v>-5.7603100000000003E-3</v>
      </c>
      <c r="P5259">
        <v>-0.97785999999999995</v>
      </c>
      <c r="Q5259">
        <v>0.18561520000000001</v>
      </c>
      <c r="R5259">
        <v>-9.6626950000000003E-2</v>
      </c>
      <c r="S5259">
        <v>-3.0716549999999998</v>
      </c>
      <c r="T5259">
        <v>3.4104229999999999E-2</v>
      </c>
      <c r="U5259">
        <v>0.1051025</v>
      </c>
      <c r="V5259">
        <v>-9.1193070000000001E-2</v>
      </c>
      <c r="W5259">
        <v>0.19707189999999999</v>
      </c>
      <c r="X5259">
        <v>0.97613859999999997</v>
      </c>
      <c r="Y5259">
        <v>3.995232E-2</v>
      </c>
      <c r="Z5259">
        <v>-1.175605E-4</v>
      </c>
      <c r="AA5259">
        <v>0.99920160000000002</v>
      </c>
      <c r="AB5259">
        <v>31</v>
      </c>
      <c r="AC5259">
        <v>-254.72309999999999</v>
      </c>
      <c r="AD5259">
        <v>2.8316880000000002</v>
      </c>
      <c r="AE5259">
        <v>8.7290000000000099</v>
      </c>
      <c r="AF5259">
        <v>10.194983032856401</v>
      </c>
      <c r="AG5259">
        <v>2.8316880000000002</v>
      </c>
      <c r="AH5259">
        <v>254.63715653953301</v>
      </c>
      <c r="AI5259">
        <v>89.363379559218799</v>
      </c>
      <c r="AJ5259">
        <v>87.707256510295295</v>
      </c>
      <c r="AK5259">
        <v>254.85689636835099</v>
      </c>
      <c r="AL5259">
        <v>78.634216731502207</v>
      </c>
      <c r="AM5259">
        <v>95.3372097241745</v>
      </c>
      <c r="AN5259">
        <v>1.00000003809779</v>
      </c>
    </row>
    <row r="5260" spans="1:40" x14ac:dyDescent="0.25">
      <c r="A5260" t="str">
        <f>"20190304154902151"</f>
        <v>20190304154902151</v>
      </c>
      <c r="B5260" t="str">
        <f>"1551685742142287"</f>
        <v>1551685742142287</v>
      </c>
      <c r="C5260" t="s">
        <v>40</v>
      </c>
      <c r="D5260">
        <v>4.1214089999999999</v>
      </c>
      <c r="E5260">
        <v>0.54767349999999904</v>
      </c>
      <c r="F5260" t="s">
        <v>81</v>
      </c>
      <c r="G5260">
        <v>-550.16319999999996</v>
      </c>
      <c r="H5260">
        <v>3.8859900000000001</v>
      </c>
      <c r="I5260">
        <v>150.13820000000001</v>
      </c>
      <c r="J5260">
        <v>-295.74990000000003</v>
      </c>
      <c r="K5260">
        <v>1.111029</v>
      </c>
      <c r="L5260">
        <v>141.5873</v>
      </c>
      <c r="M5260">
        <v>-0.99991099999999999</v>
      </c>
      <c r="N5260">
        <v>-1.1817940000000001E-2</v>
      </c>
      <c r="O5260">
        <v>-6.2188469999999996E-3</v>
      </c>
      <c r="P5260">
        <v>-0.9777555</v>
      </c>
      <c r="Q5260">
        <v>0.1858804</v>
      </c>
      <c r="R5260">
        <v>-9.7174380000000005E-2</v>
      </c>
      <c r="S5260">
        <v>-3.0717469999999998</v>
      </c>
      <c r="T5260">
        <v>3.3463840000000002E-2</v>
      </c>
      <c r="U5260">
        <v>0.1030884</v>
      </c>
      <c r="V5260">
        <v>-9.1276389999999999E-2</v>
      </c>
      <c r="W5260">
        <v>0.19734389999999999</v>
      </c>
      <c r="X5260">
        <v>0.97607580000000005</v>
      </c>
      <c r="Y5260">
        <v>3.9755029999999997E-2</v>
      </c>
      <c r="Z5260">
        <v>-1.2269350000000001E-4</v>
      </c>
      <c r="AA5260">
        <v>0.99920949999999997</v>
      </c>
      <c r="AB5260">
        <v>31</v>
      </c>
      <c r="AC5260">
        <v>-254.41329999999999</v>
      </c>
      <c r="AD5260">
        <v>2.7749609999999998</v>
      </c>
      <c r="AE5260">
        <v>8.5509000000000093</v>
      </c>
      <c r="AF5260">
        <v>10.131798226141401</v>
      </c>
      <c r="AG5260">
        <v>2.7749609999999998</v>
      </c>
      <c r="AH5260">
        <v>254.32497655577799</v>
      </c>
      <c r="AI5260">
        <v>89.375361220712605</v>
      </c>
      <c r="AJ5260">
        <v>87.718657148885796</v>
      </c>
      <c r="AK5260">
        <v>254.54183829764401</v>
      </c>
      <c r="AL5260">
        <v>78.618319436056495</v>
      </c>
      <c r="AM5260">
        <v>95.342399667447097</v>
      </c>
      <c r="AN5260">
        <v>0.99999998079214003</v>
      </c>
    </row>
    <row r="5261" spans="1:40" x14ac:dyDescent="0.25">
      <c r="A5261" t="str">
        <f>"20190304154902174"</f>
        <v>20190304154902174</v>
      </c>
      <c r="B5261" t="str">
        <f>"1551685742162461"</f>
        <v>1551685742162461</v>
      </c>
      <c r="C5261" t="s">
        <v>40</v>
      </c>
      <c r="D5261">
        <v>4.116085</v>
      </c>
      <c r="E5261">
        <v>0.54762949999999999</v>
      </c>
      <c r="F5261" t="s">
        <v>81</v>
      </c>
      <c r="G5261">
        <v>-550.16319999999996</v>
      </c>
      <c r="H5261">
        <v>3.9103919999999999</v>
      </c>
      <c r="I5261">
        <v>149.97970000000001</v>
      </c>
      <c r="J5261">
        <v>-296.06389999999999</v>
      </c>
      <c r="K5261">
        <v>1.1109929999999999</v>
      </c>
      <c r="L5261">
        <v>141.5849</v>
      </c>
      <c r="M5261">
        <v>-0.99990829999999997</v>
      </c>
      <c r="N5261">
        <v>-1.1818240000000001E-2</v>
      </c>
      <c r="O5261">
        <v>-6.6231349999999996E-3</v>
      </c>
      <c r="P5261">
        <v>-0.97779919999999998</v>
      </c>
      <c r="Q5261">
        <v>0.18538389999999999</v>
      </c>
      <c r="R5261">
        <v>-9.7681039999999997E-2</v>
      </c>
      <c r="S5261">
        <v>-3.0718990000000002</v>
      </c>
      <c r="T5261">
        <v>3.3801200000000003E-2</v>
      </c>
      <c r="U5261">
        <v>0.1013336</v>
      </c>
      <c r="V5261">
        <v>-9.1366950000000002E-2</v>
      </c>
      <c r="W5261">
        <v>0.1968578</v>
      </c>
      <c r="X5261">
        <v>0.97616550000000002</v>
      </c>
      <c r="Y5261">
        <v>3.9587089999999998E-2</v>
      </c>
      <c r="Z5261">
        <v>-1.3483850000000001E-4</v>
      </c>
      <c r="AA5261">
        <v>0.99921610000000005</v>
      </c>
      <c r="AB5261">
        <v>31</v>
      </c>
      <c r="AC5261">
        <v>-254.0993</v>
      </c>
      <c r="AD5261">
        <v>2.7993990000000002</v>
      </c>
      <c r="AE5261">
        <v>8.3948</v>
      </c>
      <c r="AF5261">
        <v>10.076445558689199</v>
      </c>
      <c r="AG5261">
        <v>2.7993990000000002</v>
      </c>
      <c r="AH5261">
        <v>254.00732617940301</v>
      </c>
      <c r="AI5261">
        <v>89.369068542058102</v>
      </c>
      <c r="AJ5261">
        <v>87.728273255140294</v>
      </c>
      <c r="AK5261">
        <v>254.22252681984801</v>
      </c>
      <c r="AL5261">
        <v>78.6467284040029</v>
      </c>
      <c r="AM5261">
        <v>95.347180873108798</v>
      </c>
      <c r="AN5261">
        <v>0.99999999818169605</v>
      </c>
    </row>
    <row r="5262" spans="1:40" x14ac:dyDescent="0.25">
      <c r="A5262" t="str">
        <f>"20190304154902195"</f>
        <v>20190304154902195</v>
      </c>
      <c r="B5262" t="str">
        <f>"1551685742181982"</f>
        <v>1551685742181982</v>
      </c>
      <c r="C5262" t="s">
        <v>40</v>
      </c>
      <c r="D5262">
        <v>4.0865580000000001</v>
      </c>
      <c r="E5262">
        <v>0.5476029</v>
      </c>
      <c r="F5262" t="s">
        <v>81</v>
      </c>
      <c r="G5262">
        <v>-551.57330000000002</v>
      </c>
      <c r="H5262">
        <v>3.7559900000000002</v>
      </c>
      <c r="I5262">
        <v>149.8432</v>
      </c>
      <c r="J5262">
        <v>-296.36660000000001</v>
      </c>
      <c r="K5262">
        <v>1.1109450000000001</v>
      </c>
      <c r="L5262">
        <v>141.58250000000001</v>
      </c>
      <c r="M5262">
        <v>-0.99990610000000002</v>
      </c>
      <c r="N5262">
        <v>-1.1818540000000001E-2</v>
      </c>
      <c r="O5262">
        <v>-6.9506119999999897E-3</v>
      </c>
      <c r="P5262">
        <v>-0.97781030000000002</v>
      </c>
      <c r="Q5262">
        <v>0.1852232</v>
      </c>
      <c r="R5262">
        <v>-9.7875799999999999E-2</v>
      </c>
      <c r="S5262">
        <v>-3.0719599999999998</v>
      </c>
      <c r="T5262">
        <v>3.1800990000000001E-2</v>
      </c>
      <c r="U5262">
        <v>9.9288940000000006E-2</v>
      </c>
      <c r="V5262">
        <v>-9.1219410000000001E-2</v>
      </c>
      <c r="W5262">
        <v>0.1967082</v>
      </c>
      <c r="X5262">
        <v>0.97620949999999995</v>
      </c>
      <c r="Y5262">
        <v>3.924946E-2</v>
      </c>
      <c r="Z5262">
        <v>-1.2514850000000001E-4</v>
      </c>
      <c r="AA5262">
        <v>0.99922940000000005</v>
      </c>
      <c r="AB5262">
        <v>31</v>
      </c>
      <c r="AC5262">
        <v>-255.20670000000001</v>
      </c>
      <c r="AD5262">
        <v>2.6450450000000001</v>
      </c>
      <c r="AE5262">
        <v>8.2606999999999804</v>
      </c>
      <c r="AF5262">
        <v>10.0333902498823</v>
      </c>
      <c r="AG5262">
        <v>2.6450450000000001</v>
      </c>
      <c r="AH5262">
        <v>255.115737843212</v>
      </c>
      <c r="AI5262">
        <v>89.406436350569905</v>
      </c>
      <c r="AJ5262">
        <v>87.747787726652902</v>
      </c>
      <c r="AK5262">
        <v>255.32666307740999</v>
      </c>
      <c r="AL5262">
        <v>78.655471299107006</v>
      </c>
      <c r="AM5262">
        <v>95.3383569043162</v>
      </c>
      <c r="AN5262">
        <v>1.00000004229911</v>
      </c>
    </row>
    <row r="5263" spans="1:40" x14ac:dyDescent="0.25">
      <c r="A5263" t="str">
        <f>"20190304154902218"</f>
        <v>20190304154902218</v>
      </c>
      <c r="B5263" t="str">
        <f>"1551685742212237"</f>
        <v>1551685742212237</v>
      </c>
      <c r="C5263" t="s">
        <v>40</v>
      </c>
      <c r="D5263">
        <v>4.0999919999999896</v>
      </c>
      <c r="E5263">
        <v>0.54759040000000003</v>
      </c>
      <c r="F5263" t="s">
        <v>42</v>
      </c>
      <c r="G5263">
        <v>0</v>
      </c>
      <c r="H5263">
        <v>0</v>
      </c>
      <c r="I5263">
        <v>0</v>
      </c>
      <c r="J5263">
        <v>-296.68889999999999</v>
      </c>
      <c r="K5263">
        <v>1.1109009999999999</v>
      </c>
      <c r="L5263">
        <v>141.58000000000001</v>
      </c>
      <c r="M5263">
        <v>-0.99990389999999996</v>
      </c>
      <c r="N5263">
        <v>-1.18189E-2</v>
      </c>
      <c r="O5263">
        <v>-7.2430469999999999E-3</v>
      </c>
      <c r="P5263">
        <v>-0.97785200000000005</v>
      </c>
      <c r="Q5263">
        <v>0.185118</v>
      </c>
      <c r="R5263">
        <v>-9.7657450000000007E-2</v>
      </c>
      <c r="S5263">
        <v>-3.0720830000000001</v>
      </c>
      <c r="T5263">
        <v>3.0873060000000001E-2</v>
      </c>
      <c r="U5263">
        <v>9.8419190000000004E-2</v>
      </c>
      <c r="V5263">
        <v>-9.0692789999999995E-2</v>
      </c>
      <c r="W5263">
        <v>0.1966146</v>
      </c>
      <c r="X5263">
        <v>0.97627739999999996</v>
      </c>
      <c r="Y5263">
        <v>3.9257840000000002E-2</v>
      </c>
      <c r="Z5263">
        <v>-1.234974E-4</v>
      </c>
      <c r="AA5263">
        <v>0.99922909999999998</v>
      </c>
      <c r="AB5263">
        <v>31</v>
      </c>
      <c r="AC5263">
        <v>-3.0720830000000001</v>
      </c>
      <c r="AD5263">
        <v>3.0873060000000001E-2</v>
      </c>
      <c r="AE5263">
        <v>9.8419190000000004E-2</v>
      </c>
      <c r="AF5263">
        <v>0.120657231173562</v>
      </c>
      <c r="AG5263">
        <v>3.0873060000000001E-2</v>
      </c>
      <c r="AH5263">
        <v>3.0709796686394699</v>
      </c>
      <c r="AI5263">
        <v>89.424459597006802</v>
      </c>
      <c r="AJ5263">
        <v>87.750035182093498</v>
      </c>
      <c r="AK5263">
        <v>3.07350409768154</v>
      </c>
      <c r="AL5263">
        <v>78.660940770673406</v>
      </c>
      <c r="AM5263">
        <v>95.307347443318307</v>
      </c>
      <c r="AN5263">
        <v>1.00000002242095</v>
      </c>
    </row>
    <row r="5264" spans="1:40" x14ac:dyDescent="0.25">
      <c r="A5264" t="str">
        <f>"20190304154902241"</f>
        <v>20190304154902241</v>
      </c>
      <c r="B5264" t="str">
        <f>"1551685742232733"</f>
        <v>1551685742232733</v>
      </c>
      <c r="C5264" t="s">
        <v>40</v>
      </c>
      <c r="D5264">
        <v>4.0739140000000003</v>
      </c>
      <c r="E5264">
        <v>0.54759290000000005</v>
      </c>
      <c r="F5264" t="s">
        <v>81</v>
      </c>
      <c r="G5264">
        <v>-553.43240000000003</v>
      </c>
      <c r="H5264">
        <v>3.602519</v>
      </c>
      <c r="I5264">
        <v>149.8432</v>
      </c>
      <c r="J5264">
        <v>-297.00740000000002</v>
      </c>
      <c r="K5264">
        <v>1.110851</v>
      </c>
      <c r="L5264">
        <v>141.57730000000001</v>
      </c>
      <c r="M5264">
        <v>-0.99990230000000002</v>
      </c>
      <c r="N5264">
        <v>-1.181922E-2</v>
      </c>
      <c r="O5264">
        <v>-7.4747329999999999E-3</v>
      </c>
      <c r="P5264">
        <v>-0.97781890000000005</v>
      </c>
      <c r="Q5264">
        <v>0.1853147</v>
      </c>
      <c r="R5264">
        <v>-9.7616400000000006E-2</v>
      </c>
      <c r="S5264">
        <v>-3.0721440000000002</v>
      </c>
      <c r="T5264">
        <v>2.9814719999999999E-2</v>
      </c>
      <c r="U5264">
        <v>9.8876950000000005E-2</v>
      </c>
      <c r="V5264">
        <v>-9.0404540000000005E-2</v>
      </c>
      <c r="W5264">
        <v>0.1968213</v>
      </c>
      <c r="X5264">
        <v>0.97626250000000003</v>
      </c>
      <c r="Y5264">
        <v>3.9637520000000002E-2</v>
      </c>
      <c r="Z5264">
        <v>-1.188155E-4</v>
      </c>
      <c r="AA5264">
        <v>0.99921409999999999</v>
      </c>
      <c r="AB5264">
        <v>31</v>
      </c>
      <c r="AC5264">
        <v>-256.42500000000001</v>
      </c>
      <c r="AD5264">
        <v>2.4916680000000002</v>
      </c>
      <c r="AE5264">
        <v>8.2658999999999807</v>
      </c>
      <c r="AF5264">
        <v>10.181550847393799</v>
      </c>
      <c r="AG5264">
        <v>2.4916680000000002</v>
      </c>
      <c r="AH5264">
        <v>256.33186826424298</v>
      </c>
      <c r="AI5264">
        <v>89.4435140216588</v>
      </c>
      <c r="AJ5264">
        <v>87.725396382578296</v>
      </c>
      <c r="AK5264">
        <v>256.54609541935599</v>
      </c>
      <c r="AL5264">
        <v>78.648861876979893</v>
      </c>
      <c r="AM5264">
        <v>95.290655195524295</v>
      </c>
      <c r="AN5264">
        <v>1.00000003694627</v>
      </c>
    </row>
    <row r="5265" spans="1:40" x14ac:dyDescent="0.25">
      <c r="A5265" t="str">
        <f>"20190304154902261"</f>
        <v>20190304154902261</v>
      </c>
      <c r="B5265" t="str">
        <f>"1551685742252253"</f>
        <v>1551685742252253</v>
      </c>
      <c r="C5265" t="s">
        <v>40</v>
      </c>
      <c r="D5265">
        <v>4.1249459999999996</v>
      </c>
      <c r="E5265">
        <v>0.54759409999999997</v>
      </c>
      <c r="F5265" t="s">
        <v>81</v>
      </c>
      <c r="G5265">
        <v>-553.40689999999995</v>
      </c>
      <c r="H5265">
        <v>3.616552</v>
      </c>
      <c r="I5265">
        <v>149.8432</v>
      </c>
      <c r="J5265">
        <v>-297.2953</v>
      </c>
      <c r="K5265">
        <v>1.110819</v>
      </c>
      <c r="L5265">
        <v>141.57499999999999</v>
      </c>
      <c r="M5265">
        <v>-0.99990109999999999</v>
      </c>
      <c r="N5265">
        <v>-1.181958E-2</v>
      </c>
      <c r="O5265">
        <v>-7.6307719999999897E-3</v>
      </c>
      <c r="P5265">
        <v>-0.97775219999999896</v>
      </c>
      <c r="Q5265">
        <v>0.18590680000000001</v>
      </c>
      <c r="R5265">
        <v>-9.7157419999999994E-2</v>
      </c>
      <c r="S5265">
        <v>-3.0722659999999999</v>
      </c>
      <c r="T5265">
        <v>3.002465E-2</v>
      </c>
      <c r="U5265">
        <v>9.9044800000000002E-2</v>
      </c>
      <c r="V5265">
        <v>-8.9774779999999998E-2</v>
      </c>
      <c r="W5265">
        <v>0.19742199999999999</v>
      </c>
      <c r="X5265">
        <v>0.97619929999999999</v>
      </c>
      <c r="Y5265">
        <v>3.9846659999999999E-2</v>
      </c>
      <c r="Z5265">
        <v>-1.2381809999999999E-4</v>
      </c>
      <c r="AA5265">
        <v>0.99920580000000003</v>
      </c>
      <c r="AB5265">
        <v>31</v>
      </c>
      <c r="AC5265">
        <v>-256.11159999999899</v>
      </c>
      <c r="AD5265">
        <v>2.5057330000000002</v>
      </c>
      <c r="AE5265">
        <v>8.2682000000000002</v>
      </c>
      <c r="AF5265">
        <v>10.2214474575352</v>
      </c>
      <c r="AG5265">
        <v>2.5057330000000002</v>
      </c>
      <c r="AH5265">
        <v>256.01656431343798</v>
      </c>
      <c r="AI5265">
        <v>89.439688343247198</v>
      </c>
      <c r="AJ5265">
        <v>87.713683388882103</v>
      </c>
      <c r="AK5265">
        <v>256.23278066799202</v>
      </c>
      <c r="AL5265">
        <v>78.6137552314636</v>
      </c>
      <c r="AM5265">
        <v>95.254345595046004</v>
      </c>
      <c r="AN5265">
        <v>1.0000000152642601</v>
      </c>
    </row>
    <row r="5266" spans="1:40" x14ac:dyDescent="0.25">
      <c r="A5266" t="str">
        <f>"20190304154902283"</f>
        <v>20190304154902283</v>
      </c>
      <c r="B5266" t="str">
        <f>"1551685742272373"</f>
        <v>1551685742272373</v>
      </c>
      <c r="C5266" t="s">
        <v>40</v>
      </c>
      <c r="D5266">
        <v>4.1491210000000001</v>
      </c>
      <c r="E5266">
        <v>0.54760249999999999</v>
      </c>
      <c r="F5266" t="s">
        <v>81</v>
      </c>
      <c r="G5266">
        <v>-550.16309999999999</v>
      </c>
      <c r="H5266">
        <v>3.7072889999999998</v>
      </c>
      <c r="I5266">
        <v>149.84389999999999</v>
      </c>
      <c r="J5266">
        <v>-297.59480000000002</v>
      </c>
      <c r="K5266">
        <v>1.1107720000000001</v>
      </c>
      <c r="L5266">
        <v>141.57259999999999</v>
      </c>
      <c r="M5266">
        <v>-0.99990029999999996</v>
      </c>
      <c r="N5266">
        <v>-1.1819970000000001E-2</v>
      </c>
      <c r="O5266">
        <v>-7.740144E-3</v>
      </c>
      <c r="P5266">
        <v>-0.97767550000000003</v>
      </c>
      <c r="Q5266">
        <v>0.18648010000000001</v>
      </c>
      <c r="R5266">
        <v>-9.6831020000000004E-2</v>
      </c>
      <c r="S5266">
        <v>-3.072235</v>
      </c>
      <c r="T5266">
        <v>3.154647E-2</v>
      </c>
      <c r="U5266">
        <v>0.10046389999999999</v>
      </c>
      <c r="V5266">
        <v>-8.9320449999999996E-2</v>
      </c>
      <c r="W5266">
        <v>0.1980044</v>
      </c>
      <c r="X5266">
        <v>0.97612299999999996</v>
      </c>
      <c r="Y5266">
        <v>4.0417120000000001E-2</v>
      </c>
      <c r="Z5266">
        <v>-1.3942579999999999E-4</v>
      </c>
      <c r="AA5266">
        <v>0.99918289999999998</v>
      </c>
      <c r="AB5266">
        <v>31</v>
      </c>
      <c r="AC5266">
        <v>-252.56829999999999</v>
      </c>
      <c r="AD5266">
        <v>2.596517</v>
      </c>
      <c r="AE5266">
        <v>8.2712999999999894</v>
      </c>
      <c r="AF5266">
        <v>10.2250240556814</v>
      </c>
      <c r="AG5266">
        <v>2.596517</v>
      </c>
      <c r="AH5266">
        <v>252.470053245125</v>
      </c>
      <c r="AI5266">
        <v>89.411247502978895</v>
      </c>
      <c r="AJ5266">
        <v>87.680791372726503</v>
      </c>
      <c r="AK5266">
        <v>252.69036547337299</v>
      </c>
      <c r="AL5266">
        <v>78.579713998478695</v>
      </c>
      <c r="AM5266">
        <v>95.228308628463097</v>
      </c>
      <c r="AN5266">
        <v>0.999999998168281</v>
      </c>
    </row>
    <row r="5267" spans="1:40" x14ac:dyDescent="0.25">
      <c r="A5267" t="str">
        <f>"20190304154902306"</f>
        <v>20190304154902306</v>
      </c>
      <c r="B5267" t="str">
        <f>"1551685742302629"</f>
        <v>1551685742302629</v>
      </c>
      <c r="C5267" t="s">
        <v>40</v>
      </c>
      <c r="D5267">
        <v>4.1269629999999999</v>
      </c>
      <c r="E5267">
        <v>0.54760369999999903</v>
      </c>
      <c r="F5267" t="s">
        <v>81</v>
      </c>
      <c r="G5267">
        <v>-550.16309999999999</v>
      </c>
      <c r="H5267">
        <v>3.8174039999999998</v>
      </c>
      <c r="I5267">
        <v>149.88919999999999</v>
      </c>
      <c r="J5267">
        <v>-297.91059999999999</v>
      </c>
      <c r="K5267">
        <v>1.1107290000000001</v>
      </c>
      <c r="L5267">
        <v>141.57</v>
      </c>
      <c r="M5267">
        <v>-0.9998996</v>
      </c>
      <c r="N5267">
        <v>-1.182037E-2</v>
      </c>
      <c r="O5267">
        <v>-7.8064650000000003E-3</v>
      </c>
      <c r="P5267">
        <v>-0.97770319999999999</v>
      </c>
      <c r="Q5267">
        <v>0.18648519999999999</v>
      </c>
      <c r="R5267">
        <v>-9.6538830000000006E-2</v>
      </c>
      <c r="S5267">
        <v>-3.0722960000000001</v>
      </c>
      <c r="T5267">
        <v>3.292453E-2</v>
      </c>
      <c r="U5267">
        <v>0.1011658</v>
      </c>
      <c r="V5267">
        <v>-8.8941279999999998E-2</v>
      </c>
      <c r="W5267">
        <v>0.1980208</v>
      </c>
      <c r="X5267">
        <v>0.97615430000000003</v>
      </c>
      <c r="Y5267">
        <v>4.07106E-2</v>
      </c>
      <c r="Z5267">
        <v>-1.5327529999999999E-4</v>
      </c>
      <c r="AA5267">
        <v>0.99917100000000003</v>
      </c>
      <c r="AB5267">
        <v>31</v>
      </c>
      <c r="AC5267">
        <v>-252.2525</v>
      </c>
      <c r="AD5267">
        <v>2.7066750000000002</v>
      </c>
      <c r="AE5267">
        <v>8.3191999999999897</v>
      </c>
      <c r="AF5267">
        <v>10.2871013911864</v>
      </c>
      <c r="AG5267">
        <v>2.7066750000000002</v>
      </c>
      <c r="AH5267">
        <v>252.150865035283</v>
      </c>
      <c r="AI5267">
        <v>89.385501957307099</v>
      </c>
      <c r="AJ5267">
        <v>87.663776365066198</v>
      </c>
      <c r="AK5267">
        <v>252.37513602300399</v>
      </c>
      <c r="AL5267">
        <v>78.578755421788699</v>
      </c>
      <c r="AM5267">
        <v>95.206070388808698</v>
      </c>
      <c r="AN5267">
        <v>1.0000000029645799</v>
      </c>
    </row>
    <row r="5268" spans="1:40" x14ac:dyDescent="0.25">
      <c r="A5268" t="str">
        <f>"20190304154902328"</f>
        <v>20190304154902328</v>
      </c>
      <c r="B5268" t="str">
        <f>"1551685742322149"</f>
        <v>1551685742322149</v>
      </c>
      <c r="C5268" t="s">
        <v>40</v>
      </c>
      <c r="D5268">
        <v>4.1224829999999999</v>
      </c>
      <c r="E5268">
        <v>0.54760730000000002</v>
      </c>
      <c r="F5268" t="s">
        <v>81</v>
      </c>
      <c r="G5268">
        <v>-550.16309999999999</v>
      </c>
      <c r="H5268">
        <v>3.76233</v>
      </c>
      <c r="I5268">
        <v>149.94390000000001</v>
      </c>
      <c r="J5268">
        <v>-298.23140000000001</v>
      </c>
      <c r="K5268">
        <v>1.1106879999999999</v>
      </c>
      <c r="L5268">
        <v>141.56739999999999</v>
      </c>
      <c r="M5268">
        <v>-0.99989950000000005</v>
      </c>
      <c r="N5268">
        <v>-1.1820789999999999E-2</v>
      </c>
      <c r="O5268">
        <v>-7.8383269999999904E-3</v>
      </c>
      <c r="P5268">
        <v>-0.97769859999999997</v>
      </c>
      <c r="Q5268">
        <v>0.1867056</v>
      </c>
      <c r="R5268">
        <v>-9.6159289999999994E-2</v>
      </c>
      <c r="S5268">
        <v>-3.0722960000000001</v>
      </c>
      <c r="T5268">
        <v>3.229547E-2</v>
      </c>
      <c r="U5268">
        <v>0.1019897</v>
      </c>
      <c r="V5268">
        <v>-8.851212E-2</v>
      </c>
      <c r="W5268">
        <v>0.1982498</v>
      </c>
      <c r="X5268">
        <v>0.97614679999999998</v>
      </c>
      <c r="Y5268">
        <v>4.101018E-2</v>
      </c>
      <c r="Z5268">
        <v>-1.480175E-4</v>
      </c>
      <c r="AA5268">
        <v>0.99915869999999996</v>
      </c>
      <c r="AB5268">
        <v>31</v>
      </c>
      <c r="AC5268">
        <v>-251.93170000000001</v>
      </c>
      <c r="AD5268">
        <v>2.6516419999999998</v>
      </c>
      <c r="AE5268">
        <v>8.3765000000000196</v>
      </c>
      <c r="AF5268">
        <v>10.3499581746291</v>
      </c>
      <c r="AG5268">
        <v>2.6516419999999998</v>
      </c>
      <c r="AH5268">
        <v>251.83043006390599</v>
      </c>
      <c r="AI5268">
        <v>89.397236683475299</v>
      </c>
      <c r="AJ5268">
        <v>87.6465299629604</v>
      </c>
      <c r="AK5268">
        <v>252.05697440397199</v>
      </c>
      <c r="AL5268">
        <v>78.5653690017961</v>
      </c>
      <c r="AM5268">
        <v>95.181126662678196</v>
      </c>
      <c r="AN5268">
        <v>0.99999997686858699</v>
      </c>
    </row>
    <row r="5269" spans="1:40" x14ac:dyDescent="0.25">
      <c r="A5269" t="str">
        <f>"20190304154902351"</f>
        <v>20190304154902351</v>
      </c>
      <c r="B5269" t="str">
        <f>"1551685742342645"</f>
        <v>1551685742342645</v>
      </c>
      <c r="C5269" t="s">
        <v>40</v>
      </c>
      <c r="D5269">
        <v>4.1499220000000001</v>
      </c>
      <c r="E5269">
        <v>0.54760699999999995</v>
      </c>
      <c r="F5269" t="s">
        <v>81</v>
      </c>
      <c r="G5269">
        <v>-550.16309999999999</v>
      </c>
      <c r="H5269">
        <v>3.7797770000000002</v>
      </c>
      <c r="I5269">
        <v>150.0256</v>
      </c>
      <c r="J5269">
        <v>-298.53359999999998</v>
      </c>
      <c r="K5269">
        <v>1.1106640000000001</v>
      </c>
      <c r="L5269">
        <v>141.565</v>
      </c>
      <c r="M5269">
        <v>-0.99989939999999999</v>
      </c>
      <c r="N5269">
        <v>-1.1821180000000001E-2</v>
      </c>
      <c r="O5269">
        <v>-7.8449990000000001E-3</v>
      </c>
      <c r="P5269">
        <v>-0.97781960000000001</v>
      </c>
      <c r="Q5269">
        <v>0.18627060000000001</v>
      </c>
      <c r="R5269">
        <v>-9.5773499999999998E-2</v>
      </c>
      <c r="S5269">
        <v>-3.0723569999999998</v>
      </c>
      <c r="T5269">
        <v>3.2550570000000001E-2</v>
      </c>
      <c r="U5269">
        <v>0.1031494</v>
      </c>
      <c r="V5269">
        <v>-8.8106089999999998E-2</v>
      </c>
      <c r="W5269">
        <v>0.19782159999999999</v>
      </c>
      <c r="X5269">
        <v>0.97627039999999998</v>
      </c>
      <c r="Y5269">
        <v>4.1392869999999998E-2</v>
      </c>
      <c r="Z5269">
        <v>-1.502687E-4</v>
      </c>
      <c r="AA5269">
        <v>0.99914289999999994</v>
      </c>
      <c r="AB5269">
        <v>31</v>
      </c>
      <c r="AC5269">
        <v>-251.62950000000001</v>
      </c>
      <c r="AD5269">
        <v>2.6691129999999998</v>
      </c>
      <c r="AE5269">
        <v>8.4605999999999995</v>
      </c>
      <c r="AF5269">
        <v>10.4333380506603</v>
      </c>
      <c r="AG5269">
        <v>2.6691129999999998</v>
      </c>
      <c r="AH5269">
        <v>251.527108982252</v>
      </c>
      <c r="AI5269">
        <v>89.392543447329004</v>
      </c>
      <c r="AJ5269">
        <v>87.624734190831802</v>
      </c>
      <c r="AK5269">
        <v>251.75755253826199</v>
      </c>
      <c r="AL5269">
        <v>78.590398825157806</v>
      </c>
      <c r="AM5269">
        <v>95.156838409065102</v>
      </c>
      <c r="AN5269">
        <v>0.99999998121890299</v>
      </c>
    </row>
    <row r="5270" spans="1:40" x14ac:dyDescent="0.25">
      <c r="A5270" t="str">
        <f>"20190304154902373"</f>
        <v>20190304154902373</v>
      </c>
      <c r="B5270" t="str">
        <f>"1551685742362432"</f>
        <v>1551685742362432</v>
      </c>
      <c r="C5270" t="s">
        <v>40</v>
      </c>
      <c r="D5270">
        <v>4.1566000000000001</v>
      </c>
      <c r="E5270">
        <v>0.54760120000000001</v>
      </c>
      <c r="F5270" t="s">
        <v>81</v>
      </c>
      <c r="G5270">
        <v>-550.16309999999999</v>
      </c>
      <c r="H5270">
        <v>3.627872</v>
      </c>
      <c r="I5270">
        <v>150.10290000000001</v>
      </c>
      <c r="J5270">
        <v>-298.84019999999998</v>
      </c>
      <c r="K5270">
        <v>1.110641</v>
      </c>
      <c r="L5270">
        <v>141.5626</v>
      </c>
      <c r="M5270">
        <v>-0.99989950000000005</v>
      </c>
      <c r="N5270">
        <v>-1.18216E-2</v>
      </c>
      <c r="O5270">
        <v>-7.8373980000000006E-3</v>
      </c>
      <c r="P5270">
        <v>-0.97791189999999995</v>
      </c>
      <c r="Q5270">
        <v>0.1862637</v>
      </c>
      <c r="R5270">
        <v>-9.4839300000000001E-2</v>
      </c>
      <c r="S5270">
        <v>-3.0724179999999999</v>
      </c>
      <c r="T5270">
        <v>3.0735849999999999E-2</v>
      </c>
      <c r="U5270">
        <v>0.10424799999999999</v>
      </c>
      <c r="V5270">
        <v>-8.7172230000000003E-2</v>
      </c>
      <c r="W5270">
        <v>0.19781979999999999</v>
      </c>
      <c r="X5270">
        <v>0.97635459999999996</v>
      </c>
      <c r="Y5270">
        <v>4.1741689999999998E-2</v>
      </c>
      <c r="Z5270">
        <v>-1.329182E-4</v>
      </c>
      <c r="AA5270">
        <v>0.99912840000000003</v>
      </c>
      <c r="AB5270">
        <v>31</v>
      </c>
      <c r="AC5270">
        <v>-251.3229</v>
      </c>
      <c r="AD5270">
        <v>2.5172310000000002</v>
      </c>
      <c r="AE5270">
        <v>8.5403000000000002</v>
      </c>
      <c r="AF5270">
        <v>10.508839708849701</v>
      </c>
      <c r="AG5270">
        <v>2.5172310000000002</v>
      </c>
      <c r="AH5270">
        <v>251.22306836196199</v>
      </c>
      <c r="AI5270">
        <v>89.426422580079304</v>
      </c>
      <c r="AJ5270">
        <v>87.604673243476498</v>
      </c>
      <c r="AK5270">
        <v>251.45536828855501</v>
      </c>
      <c r="AL5270">
        <v>78.590504114539698</v>
      </c>
      <c r="AM5270">
        <v>95.102032055001303</v>
      </c>
      <c r="AN5270">
        <v>0.99999998794818601</v>
      </c>
    </row>
    <row r="5271" spans="1:40" x14ac:dyDescent="0.25">
      <c r="A5271" t="str">
        <f>"20190304154902395"</f>
        <v>20190304154902395</v>
      </c>
      <c r="B5271" t="str">
        <f>"1551685742392669"</f>
        <v>1551685742392669</v>
      </c>
      <c r="C5271" t="s">
        <v>40</v>
      </c>
      <c r="D5271">
        <v>4.1179949999999996</v>
      </c>
      <c r="E5271">
        <v>0.54762419999999901</v>
      </c>
      <c r="F5271" t="s">
        <v>81</v>
      </c>
      <c r="G5271">
        <v>-550.16309999999999</v>
      </c>
      <c r="H5271">
        <v>3.589035</v>
      </c>
      <c r="I5271">
        <v>150.3186</v>
      </c>
      <c r="J5271">
        <v>-299.15129999999999</v>
      </c>
      <c r="K5271">
        <v>1.110636</v>
      </c>
      <c r="L5271">
        <v>141.56020000000001</v>
      </c>
      <c r="M5271">
        <v>-0.99989969999999995</v>
      </c>
      <c r="N5271">
        <v>-1.1822040000000001E-2</v>
      </c>
      <c r="O5271">
        <v>-7.8235849999999992E-3</v>
      </c>
      <c r="P5271">
        <v>-0.97799190000000003</v>
      </c>
      <c r="Q5271">
        <v>0.18612919999999999</v>
      </c>
      <c r="R5271">
        <v>-9.4277620000000006E-2</v>
      </c>
      <c r="S5271">
        <v>-3.0723569999999998</v>
      </c>
      <c r="T5271">
        <v>3.0298229999999999E-2</v>
      </c>
      <c r="U5271">
        <v>0.10704039999999999</v>
      </c>
      <c r="V5271">
        <v>-8.6619619999999994E-2</v>
      </c>
      <c r="W5271">
        <v>0.197688</v>
      </c>
      <c r="X5271">
        <v>0.97643049999999998</v>
      </c>
      <c r="Y5271">
        <v>4.2635609999999997E-2</v>
      </c>
      <c r="Z5271">
        <v>-1.276421E-4</v>
      </c>
      <c r="AA5271">
        <v>0.9990907</v>
      </c>
      <c r="AB5271">
        <v>31</v>
      </c>
      <c r="AC5271">
        <v>-251.01179999999999</v>
      </c>
      <c r="AD5271">
        <v>2.478399</v>
      </c>
      <c r="AE5271">
        <v>8.7583999999999893</v>
      </c>
      <c r="AF5271">
        <v>10.7210370326834</v>
      </c>
      <c r="AG5271">
        <v>2.478399</v>
      </c>
      <c r="AH5271">
        <v>250.911158670915</v>
      </c>
      <c r="AI5271">
        <v>89.434589726161093</v>
      </c>
      <c r="AJ5271">
        <v>87.5533301977935</v>
      </c>
      <c r="AK5271">
        <v>251.152329557662</v>
      </c>
      <c r="AL5271">
        <v>78.598208118834094</v>
      </c>
      <c r="AM5271">
        <v>95.069465854598604</v>
      </c>
      <c r="AN5271">
        <v>1.00000001262159</v>
      </c>
    </row>
    <row r="5272" spans="1:40" x14ac:dyDescent="0.25">
      <c r="A5272" t="str">
        <f>"20190304154902419"</f>
        <v>20190304154902419</v>
      </c>
      <c r="B5272" t="str">
        <f>"1551685742412188"</f>
        <v>1551685742412188</v>
      </c>
      <c r="C5272" t="s">
        <v>40</v>
      </c>
      <c r="D5272">
        <v>4.134061</v>
      </c>
      <c r="E5272">
        <v>0.54763289999999998</v>
      </c>
      <c r="F5272" t="s">
        <v>81</v>
      </c>
      <c r="G5272">
        <v>-550.16300000000001</v>
      </c>
      <c r="H5272">
        <v>3.499959</v>
      </c>
      <c r="I5272">
        <v>150.4374</v>
      </c>
      <c r="J5272">
        <v>-299.47750000000002</v>
      </c>
      <c r="K5272">
        <v>1.110633</v>
      </c>
      <c r="L5272">
        <v>141.55760000000001</v>
      </c>
      <c r="M5272">
        <v>-0.9998996</v>
      </c>
      <c r="N5272">
        <v>-1.18225E-2</v>
      </c>
      <c r="O5272">
        <v>-7.8098219999999897E-3</v>
      </c>
      <c r="P5272">
        <v>-0.97796859999999997</v>
      </c>
      <c r="Q5272">
        <v>0.18646570000000001</v>
      </c>
      <c r="R5272">
        <v>-9.3850840000000005E-2</v>
      </c>
      <c r="S5272">
        <v>-3.0723880000000001</v>
      </c>
      <c r="T5272">
        <v>2.924585E-2</v>
      </c>
      <c r="U5272">
        <v>0.1086578</v>
      </c>
      <c r="V5272">
        <v>-8.6204820000000001E-2</v>
      </c>
      <c r="W5272">
        <v>0.19802539999999999</v>
      </c>
      <c r="X5272">
        <v>0.97639880000000001</v>
      </c>
      <c r="Y5272">
        <v>4.3146950000000003E-2</v>
      </c>
      <c r="Z5272">
        <v>-1.167651E-4</v>
      </c>
      <c r="AA5272">
        <v>0.99906870000000003</v>
      </c>
      <c r="AB5272">
        <v>31</v>
      </c>
      <c r="AC5272">
        <v>-250.68549999999999</v>
      </c>
      <c r="AD5272">
        <v>2.3893260000000001</v>
      </c>
      <c r="AE5272">
        <v>8.8797999999999799</v>
      </c>
      <c r="AF5272">
        <v>10.836491960729299</v>
      </c>
      <c r="AG5272">
        <v>2.3893260000000001</v>
      </c>
      <c r="AH5272">
        <v>250.585763754661</v>
      </c>
      <c r="AI5272">
        <v>89.454213482418695</v>
      </c>
      <c r="AJ5272">
        <v>87.523807260708494</v>
      </c>
      <c r="AK5272">
        <v>250.831344598828</v>
      </c>
      <c r="AL5272">
        <v>78.578486193640302</v>
      </c>
      <c r="AM5272">
        <v>95.045477988665894</v>
      </c>
      <c r="AN5272">
        <v>0.99999997333891499</v>
      </c>
    </row>
    <row r="5273" spans="1:40" x14ac:dyDescent="0.25">
      <c r="A5273" t="str">
        <f>"20190304154902441"</f>
        <v>20190304154902441</v>
      </c>
      <c r="B5273" t="str">
        <f>"1551685742432684"</f>
        <v>1551685742432684</v>
      </c>
      <c r="C5273" t="s">
        <v>40</v>
      </c>
      <c r="D5273">
        <v>4.1451710000000004</v>
      </c>
      <c r="E5273">
        <v>0.54763079999999997</v>
      </c>
      <c r="F5273" t="s">
        <v>81</v>
      </c>
      <c r="G5273">
        <v>-550.16309999999999</v>
      </c>
      <c r="H5273">
        <v>3.5706709999999999</v>
      </c>
      <c r="I5273">
        <v>150.55019999999999</v>
      </c>
      <c r="J5273">
        <v>-299.78789999999998</v>
      </c>
      <c r="K5273">
        <v>1.110635</v>
      </c>
      <c r="L5273">
        <v>141.55520000000001</v>
      </c>
      <c r="M5273">
        <v>-0.99989969999999995</v>
      </c>
      <c r="N5273">
        <v>-1.182295E-2</v>
      </c>
      <c r="O5273">
        <v>-7.8007349999999996E-3</v>
      </c>
      <c r="P5273">
        <v>-0.97783900000000001</v>
      </c>
      <c r="Q5273">
        <v>0.18723090000000001</v>
      </c>
      <c r="R5273">
        <v>-9.3677560000000007E-2</v>
      </c>
      <c r="S5273">
        <v>-3.0724179999999999</v>
      </c>
      <c r="T5273">
        <v>3.015089E-2</v>
      </c>
      <c r="U5273">
        <v>0.1102142</v>
      </c>
      <c r="V5273">
        <v>-8.6040389999999994E-2</v>
      </c>
      <c r="W5273">
        <v>0.19878960000000001</v>
      </c>
      <c r="X5273">
        <v>0.97625799999999996</v>
      </c>
      <c r="Y5273">
        <v>4.364287E-2</v>
      </c>
      <c r="Z5273">
        <v>-1.2470560000000001E-4</v>
      </c>
      <c r="AA5273">
        <v>0.99904720000000002</v>
      </c>
      <c r="AB5273">
        <v>31</v>
      </c>
      <c r="AC5273">
        <v>-250.37520000000001</v>
      </c>
      <c r="AD5273">
        <v>2.4600360000000001</v>
      </c>
      <c r="AE5273">
        <v>8.9949999999999708</v>
      </c>
      <c r="AF5273">
        <v>10.9469179043202</v>
      </c>
      <c r="AG5273">
        <v>2.4600360000000001</v>
      </c>
      <c r="AH5273">
        <v>250.2732786064</v>
      </c>
      <c r="AI5273">
        <v>89.437372949493806</v>
      </c>
      <c r="AJ5273">
        <v>87.495487062559704</v>
      </c>
      <c r="AK5273">
        <v>250.524651028839</v>
      </c>
      <c r="AL5273">
        <v>78.5338125688546</v>
      </c>
      <c r="AM5273">
        <v>95.036626170936898</v>
      </c>
      <c r="AN5273">
        <v>0.99999996817175496</v>
      </c>
    </row>
    <row r="5274" spans="1:40" x14ac:dyDescent="0.25">
      <c r="A5274" t="str">
        <f>"20190304154902456"</f>
        <v>20190304154902456</v>
      </c>
      <c r="B5274" t="str">
        <f>"1551685742452205"</f>
        <v>1551685742452205</v>
      </c>
      <c r="C5274" t="s">
        <v>40</v>
      </c>
      <c r="D5274">
        <v>4.1290360000000002</v>
      </c>
      <c r="E5274">
        <v>0.54763509999999904</v>
      </c>
      <c r="F5274" t="s">
        <v>81</v>
      </c>
      <c r="G5274">
        <v>-550.16309999999999</v>
      </c>
      <c r="H5274">
        <v>3.7552409999999998</v>
      </c>
      <c r="I5274">
        <v>150.59649999999999</v>
      </c>
      <c r="J5274">
        <v>-299.99059999999997</v>
      </c>
      <c r="K5274">
        <v>1.110635</v>
      </c>
      <c r="L5274">
        <v>141.55359999999999</v>
      </c>
      <c r="M5274">
        <v>-0.99989969999999995</v>
      </c>
      <c r="N5274">
        <v>-1.182326E-2</v>
      </c>
      <c r="O5274">
        <v>-7.7972650000000003E-3</v>
      </c>
      <c r="P5274">
        <v>-0.97786360000000005</v>
      </c>
      <c r="Q5274">
        <v>0.18722440000000001</v>
      </c>
      <c r="R5274">
        <v>-9.3433859999999994E-2</v>
      </c>
      <c r="S5274">
        <v>-3.0723880000000001</v>
      </c>
      <c r="T5274">
        <v>3.245282E-2</v>
      </c>
      <c r="U5274">
        <v>0.110946699999999</v>
      </c>
      <c r="V5274">
        <v>-8.5799340000000002E-2</v>
      </c>
      <c r="W5274">
        <v>0.19878390000000001</v>
      </c>
      <c r="X5274">
        <v>0.97628040000000005</v>
      </c>
      <c r="Y5274">
        <v>4.3877340000000001E-2</v>
      </c>
      <c r="Z5274">
        <v>-1.4665899999999999E-4</v>
      </c>
      <c r="AA5274">
        <v>0.99903690000000001</v>
      </c>
      <c r="AB5274">
        <v>31</v>
      </c>
      <c r="AC5274">
        <v>-250.17250000000001</v>
      </c>
      <c r="AD5274">
        <v>2.644606</v>
      </c>
      <c r="AE5274">
        <v>9.0428999999999995</v>
      </c>
      <c r="AF5274">
        <v>10.992195940053</v>
      </c>
      <c r="AG5274">
        <v>2.644606</v>
      </c>
      <c r="AH5274">
        <v>250.06647093237001</v>
      </c>
      <c r="AI5274">
        <v>89.394669140831894</v>
      </c>
      <c r="AJ5274">
        <v>87.483064165411704</v>
      </c>
      <c r="AK5274">
        <v>250.32191713281901</v>
      </c>
      <c r="AL5274">
        <v>78.534146088407596</v>
      </c>
      <c r="AM5274">
        <v>95.022473230398901</v>
      </c>
      <c r="AN5274">
        <v>0.99999999253390204</v>
      </c>
    </row>
    <row r="5275" spans="1:40" x14ac:dyDescent="0.25">
      <c r="A5275" t="str">
        <f>"20190304154902473"</f>
        <v>20190304154902473</v>
      </c>
      <c r="B5275" t="str">
        <f>"1551685742462941"</f>
        <v>1551685742462941</v>
      </c>
      <c r="C5275" t="s">
        <v>40</v>
      </c>
      <c r="D5275">
        <v>4.1610809999999896</v>
      </c>
      <c r="E5275">
        <v>0.54762549999999999</v>
      </c>
      <c r="F5275" t="s">
        <v>81</v>
      </c>
      <c r="G5275">
        <v>-550.16309999999999</v>
      </c>
      <c r="H5275">
        <v>3.7233529999999999</v>
      </c>
      <c r="I5275">
        <v>150.64830000000001</v>
      </c>
      <c r="J5275">
        <v>-300.2328</v>
      </c>
      <c r="K5275">
        <v>1.1106389999999999</v>
      </c>
      <c r="L5275">
        <v>141.55170000000001</v>
      </c>
      <c r="M5275">
        <v>-0.99989989999999995</v>
      </c>
      <c r="N5275">
        <v>-1.182364E-2</v>
      </c>
      <c r="O5275">
        <v>-7.7957030000000002E-3</v>
      </c>
      <c r="P5275">
        <v>-0.97778589999999999</v>
      </c>
      <c r="Q5275">
        <v>0.1879864</v>
      </c>
      <c r="R5275">
        <v>-9.2716199999999999E-2</v>
      </c>
      <c r="S5275">
        <v>-3.0724179999999999</v>
      </c>
      <c r="T5275">
        <v>3.20878E-2</v>
      </c>
      <c r="U5275">
        <v>0.1116943</v>
      </c>
      <c r="V5275">
        <v>-8.5083420000000007E-2</v>
      </c>
      <c r="W5275">
        <v>0.19954559999999999</v>
      </c>
      <c r="X5275">
        <v>0.97618760000000004</v>
      </c>
      <c r="Y5275">
        <v>4.4118270000000001E-2</v>
      </c>
      <c r="Z5275">
        <v>-1.4291449999999999E-4</v>
      </c>
      <c r="AA5275">
        <v>0.99902630000000003</v>
      </c>
      <c r="AB5275">
        <v>31</v>
      </c>
      <c r="AC5275">
        <v>-249.93029999999999</v>
      </c>
      <c r="AD5275">
        <v>2.612714</v>
      </c>
      <c r="AE5275">
        <v>9.0965999999999898</v>
      </c>
      <c r="AF5275">
        <v>11.043636499476699</v>
      </c>
      <c r="AG5275">
        <v>2.612714</v>
      </c>
      <c r="AH5275">
        <v>249.82451995008901</v>
      </c>
      <c r="AI5275">
        <v>89.401395853437705</v>
      </c>
      <c r="AJ5275">
        <v>87.468855006846496</v>
      </c>
      <c r="AK5275">
        <v>250.082144404335</v>
      </c>
      <c r="AL5275">
        <v>78.489610991275896</v>
      </c>
      <c r="AM5275">
        <v>94.981247912999606</v>
      </c>
      <c r="AN5275">
        <v>0.99999993261600595</v>
      </c>
    </row>
    <row r="5276" spans="1:40" x14ac:dyDescent="0.25">
      <c r="A5276" t="str">
        <f>"20190304154902487"</f>
        <v>20190304154902487</v>
      </c>
      <c r="B5276" t="str">
        <f>"1551685742482461"</f>
        <v>1551685742482461</v>
      </c>
      <c r="C5276" t="s">
        <v>40</v>
      </c>
      <c r="D5276">
        <v>4.1565240000000001</v>
      </c>
      <c r="E5276">
        <v>0.5476297</v>
      </c>
      <c r="F5276" t="s">
        <v>81</v>
      </c>
      <c r="G5276">
        <v>-548.31989999999996</v>
      </c>
      <c r="H5276">
        <v>3.8472240000000002</v>
      </c>
      <c r="I5276">
        <v>150.69999999999999</v>
      </c>
      <c r="J5276">
        <v>-300.43900000000002</v>
      </c>
      <c r="K5276">
        <v>1.110643</v>
      </c>
      <c r="L5276">
        <v>141.55009999999999</v>
      </c>
      <c r="M5276">
        <v>-0.99989969999999995</v>
      </c>
      <c r="N5276">
        <v>-1.182396E-2</v>
      </c>
      <c r="O5276">
        <v>-7.7954599999999997E-3</v>
      </c>
      <c r="P5276">
        <v>-0.97784950000000004</v>
      </c>
      <c r="Q5276">
        <v>0.18781900000000001</v>
      </c>
      <c r="R5276">
        <v>-9.2383069999999998E-2</v>
      </c>
      <c r="S5276">
        <v>-3.0724179999999999</v>
      </c>
      <c r="T5276">
        <v>3.3891560000000001E-2</v>
      </c>
      <c r="U5276">
        <v>0.11329649999999999</v>
      </c>
      <c r="V5276">
        <v>-8.4749329999999998E-2</v>
      </c>
      <c r="W5276">
        <v>0.19937930000000001</v>
      </c>
      <c r="X5276">
        <v>0.97625070000000003</v>
      </c>
      <c r="Y5276">
        <v>4.463806E-2</v>
      </c>
      <c r="Z5276">
        <v>-1.602087E-4</v>
      </c>
      <c r="AA5276">
        <v>0.99900319999999998</v>
      </c>
      <c r="AB5276">
        <v>31</v>
      </c>
      <c r="AC5276">
        <v>-247.8809</v>
      </c>
      <c r="AD5276">
        <v>2.7365810000000002</v>
      </c>
      <c r="AE5276">
        <v>9.1499000000000006</v>
      </c>
      <c r="AF5276">
        <v>11.080754008156999</v>
      </c>
      <c r="AG5276">
        <v>2.7365810000000002</v>
      </c>
      <c r="AH5276">
        <v>247.771877194209</v>
      </c>
      <c r="AI5276">
        <v>89.367839377515494</v>
      </c>
      <c r="AJ5276">
        <v>87.439347456428195</v>
      </c>
      <c r="AK5276">
        <v>248.034624827464</v>
      </c>
      <c r="AL5276">
        <v>78.499335361995904</v>
      </c>
      <c r="AM5276">
        <v>94.961467190839798</v>
      </c>
      <c r="AN5276">
        <v>0.99999999172721399</v>
      </c>
    </row>
    <row r="5277" spans="1:40" x14ac:dyDescent="0.25">
      <c r="A5277" t="str">
        <f>"20190304154902501"</f>
        <v>20190304154902501</v>
      </c>
      <c r="B5277" t="str">
        <f>"1551685742492220"</f>
        <v>1551685742492220</v>
      </c>
      <c r="C5277" t="s">
        <v>40</v>
      </c>
      <c r="D5277">
        <v>4.1362189999999996</v>
      </c>
      <c r="E5277">
        <v>0.54763640000000002</v>
      </c>
      <c r="F5277" t="s">
        <v>81</v>
      </c>
      <c r="G5277">
        <v>-547.0086</v>
      </c>
      <c r="H5277">
        <v>3.752777</v>
      </c>
      <c r="I5277">
        <v>150.69999999999999</v>
      </c>
      <c r="J5277">
        <v>-300.61610000000002</v>
      </c>
      <c r="K5277">
        <v>1.110643</v>
      </c>
      <c r="L5277">
        <v>141.5488</v>
      </c>
      <c r="M5277">
        <v>-0.99989989999999995</v>
      </c>
      <c r="N5277">
        <v>-1.182423E-2</v>
      </c>
      <c r="O5277">
        <v>-7.79569599999999E-3</v>
      </c>
      <c r="P5277">
        <v>-0.97790860000000002</v>
      </c>
      <c r="Q5277">
        <v>0.1876854</v>
      </c>
      <c r="R5277">
        <v>-9.2030059999999997E-2</v>
      </c>
      <c r="S5277">
        <v>-3.0724179999999999</v>
      </c>
      <c r="T5277">
        <v>3.2923220000000003E-2</v>
      </c>
      <c r="U5277">
        <v>0.1140137</v>
      </c>
      <c r="V5277">
        <v>-8.4395510000000007E-2</v>
      </c>
      <c r="W5277">
        <v>0.19924700000000001</v>
      </c>
      <c r="X5277">
        <v>0.97630830000000002</v>
      </c>
      <c r="Y5277">
        <v>4.4871290000000001E-2</v>
      </c>
      <c r="Z5277">
        <v>-1.5059009999999999E-4</v>
      </c>
      <c r="AA5277">
        <v>0.99899269999999996</v>
      </c>
      <c r="AB5277">
        <v>31</v>
      </c>
      <c r="AC5277">
        <v>-246.39250000000001</v>
      </c>
      <c r="AD5277">
        <v>2.6421339999999902</v>
      </c>
      <c r="AE5277">
        <v>9.1511999999999798</v>
      </c>
      <c r="AF5277">
        <v>11.070585584240099</v>
      </c>
      <c r="AG5277">
        <v>2.6421339999999902</v>
      </c>
      <c r="AH5277">
        <v>246.285385910005</v>
      </c>
      <c r="AI5277">
        <v>89.385978052246401</v>
      </c>
      <c r="AJ5277">
        <v>87.426273828718294</v>
      </c>
      <c r="AK5277">
        <v>246.548230677269</v>
      </c>
      <c r="AL5277">
        <v>78.507070113155294</v>
      </c>
      <c r="AM5277">
        <v>94.940566253242096</v>
      </c>
      <c r="AN5277">
        <v>0.99999993288302202</v>
      </c>
    </row>
    <row r="5278" spans="1:40" x14ac:dyDescent="0.25">
      <c r="A5278" t="str">
        <f>"20190304154902518"</f>
        <v>20190304154902518</v>
      </c>
      <c r="B5278" t="str">
        <f>"1551685742512720"</f>
        <v>1551685742512720</v>
      </c>
      <c r="C5278" t="s">
        <v>40</v>
      </c>
      <c r="D5278">
        <v>4.138369</v>
      </c>
      <c r="E5278">
        <v>0.54759029999999997</v>
      </c>
      <c r="F5278" t="s">
        <v>81</v>
      </c>
      <c r="G5278">
        <v>-544.21839999999997</v>
      </c>
      <c r="H5278">
        <v>3.6911070000000001</v>
      </c>
      <c r="I5278">
        <v>150.69999999999999</v>
      </c>
      <c r="J5278">
        <v>-300.86540000000002</v>
      </c>
      <c r="K5278">
        <v>1.1106400000000001</v>
      </c>
      <c r="L5278">
        <v>141.54679999999999</v>
      </c>
      <c r="M5278">
        <v>-0.99989969999999995</v>
      </c>
      <c r="N5278">
        <v>-1.182296E-2</v>
      </c>
      <c r="O5278">
        <v>-7.7960449999999997E-3</v>
      </c>
      <c r="P5278">
        <v>-0.97790189999999999</v>
      </c>
      <c r="Q5278">
        <v>0.18777369999999999</v>
      </c>
      <c r="R5278">
        <v>-9.1918600000000003E-2</v>
      </c>
      <c r="S5278">
        <v>-3.0723569999999998</v>
      </c>
      <c r="T5278">
        <v>3.25458E-2</v>
      </c>
      <c r="U5278">
        <v>0.11541750000000001</v>
      </c>
      <c r="V5278">
        <v>-8.4284129999999999E-2</v>
      </c>
      <c r="W5278">
        <v>0.1993335</v>
      </c>
      <c r="X5278">
        <v>0.97630039999999996</v>
      </c>
      <c r="Y5278">
        <v>4.5328239999999999E-2</v>
      </c>
      <c r="Z5278">
        <v>-1.4662249999999999E-4</v>
      </c>
      <c r="AA5278">
        <v>0.99897210000000003</v>
      </c>
      <c r="AB5278">
        <v>31</v>
      </c>
      <c r="AC5278">
        <v>-243.35299999999901</v>
      </c>
      <c r="AD5278">
        <v>2.5804669999999899</v>
      </c>
      <c r="AE5278">
        <v>9.1531999999999893</v>
      </c>
      <c r="AF5278">
        <v>11.049004774520199</v>
      </c>
      <c r="AG5278">
        <v>2.5804669999999899</v>
      </c>
      <c r="AH5278">
        <v>243.246927617821</v>
      </c>
      <c r="AI5278">
        <v>89.392830770673399</v>
      </c>
      <c r="AJ5278">
        <v>87.399241593258196</v>
      </c>
      <c r="AK5278">
        <v>243.511410640148</v>
      </c>
      <c r="AL5278">
        <v>78.502014115078097</v>
      </c>
      <c r="AM5278">
        <v>94.934117935548201</v>
      </c>
      <c r="AN5278">
        <v>1.00000006491613</v>
      </c>
    </row>
    <row r="5279" spans="1:40" x14ac:dyDescent="0.25">
      <c r="A5279" t="str">
        <f>"20190304154902534"</f>
        <v>20190304154902534</v>
      </c>
      <c r="B5279" t="str">
        <f>"1551685742522477"</f>
        <v>1551685742522477</v>
      </c>
      <c r="C5279" t="s">
        <v>40</v>
      </c>
      <c r="D5279">
        <v>4.2025489999999897</v>
      </c>
      <c r="E5279">
        <v>0.51831720000000003</v>
      </c>
      <c r="F5279" t="s">
        <v>81</v>
      </c>
      <c r="G5279">
        <v>-544.35360000000003</v>
      </c>
      <c r="H5279">
        <v>3.722861</v>
      </c>
      <c r="I5279">
        <v>150.69999999999999</v>
      </c>
      <c r="J5279">
        <v>-301.08260000000001</v>
      </c>
      <c r="K5279">
        <v>1.110641</v>
      </c>
      <c r="L5279">
        <v>141.54509999999999</v>
      </c>
      <c r="M5279">
        <v>-0.99989969999999995</v>
      </c>
      <c r="N5279">
        <v>-1.181919E-2</v>
      </c>
      <c r="O5279">
        <v>-7.7965019999999899E-3</v>
      </c>
      <c r="P5279">
        <v>-0.97798149999999995</v>
      </c>
      <c r="Q5279">
        <v>0.1874586</v>
      </c>
      <c r="R5279">
        <v>-9.1713349999999999E-2</v>
      </c>
      <c r="S5279">
        <v>-3.0722960000000001</v>
      </c>
      <c r="T5279">
        <v>3.2961129999999998E-2</v>
      </c>
      <c r="U5279">
        <v>0.11549379999999999</v>
      </c>
      <c r="V5279">
        <v>-8.4077399999999899E-2</v>
      </c>
      <c r="W5279">
        <v>0.19901569999999999</v>
      </c>
      <c r="X5279">
        <v>0.976383</v>
      </c>
      <c r="Y5279">
        <v>4.5354159999999998E-2</v>
      </c>
      <c r="Z5279">
        <v>-1.5079629999999999E-4</v>
      </c>
      <c r="AA5279">
        <v>0.99897100000000005</v>
      </c>
      <c r="AB5279">
        <v>31</v>
      </c>
      <c r="AC5279">
        <v>-243.27099999999999</v>
      </c>
      <c r="AD5279">
        <v>2.6122200000000002</v>
      </c>
      <c r="AE5279">
        <v>9.1548999999999907</v>
      </c>
      <c r="AF5279">
        <v>11.0501448397226</v>
      </c>
      <c r="AG5279">
        <v>2.6122200000000002</v>
      </c>
      <c r="AH5279">
        <v>243.164226201227</v>
      </c>
      <c r="AI5279">
        <v>89.385151574929594</v>
      </c>
      <c r="AJ5279">
        <v>87.398090201629898</v>
      </c>
      <c r="AK5279">
        <v>243.429189495321</v>
      </c>
      <c r="AL5279">
        <v>78.520594364147499</v>
      </c>
      <c r="AM5279">
        <v>94.921660829951804</v>
      </c>
      <c r="AN5279">
        <v>1.0000000103631199</v>
      </c>
    </row>
    <row r="5280" spans="1:40" x14ac:dyDescent="0.25">
      <c r="A5280" t="str">
        <f>"20190304154902547"</f>
        <v>20190304154902547</v>
      </c>
      <c r="B5280" t="str">
        <f>"1551685742542973"</f>
        <v>1551685742542973</v>
      </c>
      <c r="C5280" t="s">
        <v>40</v>
      </c>
      <c r="D5280">
        <v>4.0977600000000001</v>
      </c>
      <c r="E5280">
        <v>0.51871029999999996</v>
      </c>
      <c r="F5280" t="s">
        <v>42</v>
      </c>
      <c r="G5280">
        <v>0</v>
      </c>
      <c r="H5280">
        <v>0</v>
      </c>
      <c r="I5280">
        <v>0</v>
      </c>
      <c r="J5280">
        <v>-301.28359999999998</v>
      </c>
      <c r="K5280">
        <v>1.110638</v>
      </c>
      <c r="L5280">
        <v>141.54349999999999</v>
      </c>
      <c r="M5280">
        <v>-0.99989989999999995</v>
      </c>
      <c r="N5280">
        <v>-1.181374E-2</v>
      </c>
      <c r="O5280">
        <v>-7.7969500000000004E-3</v>
      </c>
      <c r="P5280">
        <v>-0.97799480000000005</v>
      </c>
      <c r="Q5280">
        <v>0.18748809999999999</v>
      </c>
      <c r="R5280">
        <v>-9.1513280000000002E-2</v>
      </c>
      <c r="S5280">
        <v>-3.0585939999999998</v>
      </c>
      <c r="T5280">
        <v>-9.8758939999999996E-3</v>
      </c>
      <c r="U5280">
        <v>-0.115448</v>
      </c>
      <c r="V5280">
        <v>-8.3876770000000003E-2</v>
      </c>
      <c r="W5280">
        <v>0.19903999999999999</v>
      </c>
      <c r="X5280">
        <v>0.97639529999999997</v>
      </c>
      <c r="Y5280">
        <v>-2.9925070000000002E-2</v>
      </c>
      <c r="Z5280">
        <v>-2.9205060000000001E-4</v>
      </c>
      <c r="AA5280">
        <v>0.99955210000000005</v>
      </c>
      <c r="AB5280">
        <v>31</v>
      </c>
      <c r="AC5280">
        <v>-3.0585939999999998</v>
      </c>
      <c r="AD5280">
        <v>-9.8758939999999996E-3</v>
      </c>
      <c r="AE5280">
        <v>-0.115448</v>
      </c>
      <c r="AF5280">
        <v>-9.1594169873891698E-2</v>
      </c>
      <c r="AG5280">
        <v>-9.8758939999999996E-3</v>
      </c>
      <c r="AH5280">
        <v>3.0593693699954998</v>
      </c>
      <c r="AI5280">
        <v>90.184871974949999</v>
      </c>
      <c r="AJ5280">
        <v>91.714860674905196</v>
      </c>
      <c r="AK5280">
        <v>3.06075611039231</v>
      </c>
      <c r="AL5280">
        <v>78.5191736262978</v>
      </c>
      <c r="AM5280">
        <v>94.9099124300527</v>
      </c>
      <c r="AN5280">
        <v>1.00000000800386</v>
      </c>
    </row>
    <row r="5281" spans="1:40" x14ac:dyDescent="0.25">
      <c r="A5281" t="str">
        <f>"20190304154902563"</f>
        <v>20190304154902563</v>
      </c>
      <c r="B5281" t="str">
        <f>"1551685742552734"</f>
        <v>1551685742552734</v>
      </c>
      <c r="C5281" t="s">
        <v>40</v>
      </c>
      <c r="D5281">
        <v>4.119904</v>
      </c>
      <c r="E5281">
        <v>0.51924559999999997</v>
      </c>
      <c r="F5281" t="s">
        <v>42</v>
      </c>
      <c r="G5281">
        <v>0</v>
      </c>
      <c r="H5281">
        <v>0</v>
      </c>
      <c r="I5281">
        <v>0</v>
      </c>
      <c r="J5281">
        <v>-301.4837</v>
      </c>
      <c r="K5281">
        <v>1.1106309999999999</v>
      </c>
      <c r="L5281">
        <v>141.542</v>
      </c>
      <c r="M5281">
        <v>-0.99989980000000001</v>
      </c>
      <c r="N5281">
        <v>-1.1807969999999999E-2</v>
      </c>
      <c r="O5281">
        <v>-7.7969179999999999E-3</v>
      </c>
      <c r="P5281">
        <v>-0.97804530000000001</v>
      </c>
      <c r="Q5281">
        <v>0.18734339999999999</v>
      </c>
      <c r="R5281">
        <v>-9.1266799999999995E-2</v>
      </c>
      <c r="S5281">
        <v>-3.0595089999999998</v>
      </c>
      <c r="T5281">
        <v>-1.2742399999999999E-2</v>
      </c>
      <c r="U5281">
        <v>-0.11161799999999999</v>
      </c>
      <c r="V5281">
        <v>-8.3630289999999996E-2</v>
      </c>
      <c r="W5281">
        <v>0.1988905</v>
      </c>
      <c r="X5281">
        <v>0.97644690000000001</v>
      </c>
      <c r="Y5281">
        <v>-2.866397E-2</v>
      </c>
      <c r="Z5281">
        <v>-2.8854949999999999E-4</v>
      </c>
      <c r="AA5281">
        <v>0.99958910000000001</v>
      </c>
      <c r="AB5281">
        <v>31</v>
      </c>
      <c r="AC5281">
        <v>-3.0595089999999998</v>
      </c>
      <c r="AD5281">
        <v>-1.2742399999999999E-2</v>
      </c>
      <c r="AE5281">
        <v>-0.11161799999999999</v>
      </c>
      <c r="AF5281">
        <v>-8.7756680530037101E-2</v>
      </c>
      <c r="AG5281">
        <v>-1.2742399999999999E-2</v>
      </c>
      <c r="AH5281">
        <v>3.0602333138095399</v>
      </c>
      <c r="AI5281">
        <v>90.238472510970595</v>
      </c>
      <c r="AJ5281">
        <v>91.642590390079107</v>
      </c>
      <c r="AK5281">
        <v>3.06151784882681</v>
      </c>
      <c r="AL5281">
        <v>78.527914032995099</v>
      </c>
      <c r="AM5281">
        <v>94.895296954189504</v>
      </c>
      <c r="AN5281">
        <v>1.0000000024576701</v>
      </c>
    </row>
    <row r="5282" spans="1:40" x14ac:dyDescent="0.25">
      <c r="A5282" t="str">
        <f>"20190304154902577"</f>
        <v>20190304154902577</v>
      </c>
      <c r="B5282" t="str">
        <f>"1551685742572761"</f>
        <v>1551685742572761</v>
      </c>
      <c r="C5282" t="s">
        <v>40</v>
      </c>
      <c r="D5282">
        <v>4.0882420000000002</v>
      </c>
      <c r="E5282">
        <v>0.51982240000000002</v>
      </c>
      <c r="F5282" t="s">
        <v>68</v>
      </c>
      <c r="G5282">
        <v>-500.67169999999999</v>
      </c>
      <c r="H5282">
        <v>7.9987699999999995E-2</v>
      </c>
      <c r="I5282">
        <v>134.58410000000001</v>
      </c>
      <c r="J5282">
        <v>-301.68509999999998</v>
      </c>
      <c r="K5282">
        <v>1.1106279999999999</v>
      </c>
      <c r="L5282">
        <v>141.54050000000001</v>
      </c>
      <c r="M5282">
        <v>-0.99990000000000001</v>
      </c>
      <c r="N5282">
        <v>-1.180078E-2</v>
      </c>
      <c r="O5282">
        <v>-7.7960360000000001E-3</v>
      </c>
      <c r="P5282">
        <v>-0.97807560000000004</v>
      </c>
      <c r="Q5282">
        <v>0.1872451</v>
      </c>
      <c r="R5282">
        <v>-9.1145279999999995E-2</v>
      </c>
      <c r="S5282">
        <v>-3.0603940000000001</v>
      </c>
      <c r="T5282">
        <v>-1.5835169999999999E-2</v>
      </c>
      <c r="U5282">
        <v>-0.1069031</v>
      </c>
      <c r="V5282">
        <v>-8.3508700000000005E-2</v>
      </c>
      <c r="W5282">
        <v>0.1987853</v>
      </c>
      <c r="X5282">
        <v>0.97647870000000003</v>
      </c>
      <c r="Y5282">
        <v>-2.711595E-2</v>
      </c>
      <c r="Z5282">
        <v>-2.8183739999999998E-4</v>
      </c>
      <c r="AA5282">
        <v>0.99963219999999997</v>
      </c>
      <c r="AB5282">
        <v>31</v>
      </c>
      <c r="AC5282">
        <v>-198.98660000000001</v>
      </c>
      <c r="AD5282">
        <v>-1.0306403</v>
      </c>
      <c r="AE5282">
        <v>-6.9564000000000004</v>
      </c>
      <c r="AF5282">
        <v>-5.40462906903032</v>
      </c>
      <c r="AG5282">
        <v>-1.0306403</v>
      </c>
      <c r="AH5282">
        <v>199.02945538706101</v>
      </c>
      <c r="AI5282">
        <v>90.296584503779201</v>
      </c>
      <c r="AJ5282">
        <v>91.555480090018094</v>
      </c>
      <c r="AK5282">
        <v>199.10549049805701</v>
      </c>
      <c r="AL5282">
        <v>78.534064037279705</v>
      </c>
      <c r="AM5282">
        <v>94.888055779380196</v>
      </c>
      <c r="AN5282">
        <v>0.99999997501273397</v>
      </c>
    </row>
    <row r="5283" spans="1:40" x14ac:dyDescent="0.25">
      <c r="A5283" t="str">
        <f>"20190304154902597"</f>
        <v>20190304154902597</v>
      </c>
      <c r="B5283" t="str">
        <f>"1551685742592280"</f>
        <v>1551685742592280</v>
      </c>
      <c r="C5283" t="s">
        <v>40</v>
      </c>
      <c r="D5283">
        <v>4.0670859999999998</v>
      </c>
      <c r="E5283">
        <v>0.52006759999999996</v>
      </c>
      <c r="F5283" t="s">
        <v>68</v>
      </c>
      <c r="G5283">
        <v>-479.46890000000002</v>
      </c>
      <c r="H5283" s="1">
        <v>-2.9361140000000001E-6</v>
      </c>
      <c r="I5283">
        <v>135.6266</v>
      </c>
      <c r="J5283">
        <v>-301.95350000000002</v>
      </c>
      <c r="K5283">
        <v>1.1106279999999999</v>
      </c>
      <c r="L5283">
        <v>141.53829999999999</v>
      </c>
      <c r="M5283">
        <v>-0.99990020000000002</v>
      </c>
      <c r="N5283">
        <v>-1.178798E-2</v>
      </c>
      <c r="O5283">
        <v>-7.7920019999999897E-3</v>
      </c>
      <c r="P5283">
        <v>-0.97821309999999995</v>
      </c>
      <c r="Q5283">
        <v>0.18648819999999999</v>
      </c>
      <c r="R5283">
        <v>-9.1220949999999995E-2</v>
      </c>
      <c r="S5283">
        <v>-3.0614620000000001</v>
      </c>
      <c r="T5283">
        <v>-1.9125219999999998E-2</v>
      </c>
      <c r="U5283">
        <v>-0.1018372</v>
      </c>
      <c r="V5283">
        <v>-8.3587120000000001E-2</v>
      </c>
      <c r="W5283">
        <v>0.1980179</v>
      </c>
      <c r="X5283">
        <v>0.97662789999999999</v>
      </c>
      <c r="Y5283">
        <v>-2.545528E-2</v>
      </c>
      <c r="Z5283">
        <v>-2.727448E-4</v>
      </c>
      <c r="AA5283">
        <v>0.99967589999999995</v>
      </c>
      <c r="AB5283">
        <v>31</v>
      </c>
      <c r="AC5283">
        <v>-177.5154</v>
      </c>
      <c r="AD5283">
        <v>-1.1106309361139901</v>
      </c>
      <c r="AE5283">
        <v>-5.91169999999999</v>
      </c>
      <c r="AF5283">
        <v>-4.5280470489723301</v>
      </c>
      <c r="AG5283">
        <v>-1.1106309361139901</v>
      </c>
      <c r="AH5283">
        <v>177.54913507675801</v>
      </c>
      <c r="AI5283">
        <v>90.358283649235304</v>
      </c>
      <c r="AJ5283">
        <v>91.460901290621905</v>
      </c>
      <c r="AK5283">
        <v>177.61033775560099</v>
      </c>
      <c r="AL5283">
        <v>78.578924614936597</v>
      </c>
      <c r="AM5283">
        <v>94.891879883123195</v>
      </c>
      <c r="AN5283">
        <v>0.99999997520435602</v>
      </c>
    </row>
    <row r="5284" spans="1:40" x14ac:dyDescent="0.25">
      <c r="A5284" t="str">
        <f>"20190304154902610"</f>
        <v>20190304154902610</v>
      </c>
      <c r="B5284" t="str">
        <f>"1551685742602040"</f>
        <v>1551685742602040</v>
      </c>
      <c r="C5284" t="s">
        <v>40</v>
      </c>
      <c r="D5284">
        <v>4.0795789999999998</v>
      </c>
      <c r="E5284">
        <v>0.52011509999999905</v>
      </c>
      <c r="F5284" t="s">
        <v>44</v>
      </c>
      <c r="G5284">
        <v>-448.45269999999999</v>
      </c>
      <c r="H5284" s="1">
        <v>-2.6363739999999999E-7</v>
      </c>
      <c r="I5284">
        <v>136.7439</v>
      </c>
      <c r="J5284">
        <v>-302.15629999999999</v>
      </c>
      <c r="K5284">
        <v>1.1106210000000001</v>
      </c>
      <c r="L5284">
        <v>141.5368</v>
      </c>
      <c r="M5284">
        <v>-0.99990040000000002</v>
      </c>
      <c r="N5284">
        <v>-1.1776770000000001E-2</v>
      </c>
      <c r="O5284">
        <v>-7.7868980000000004E-3</v>
      </c>
      <c r="P5284">
        <v>-0.97820980000000002</v>
      </c>
      <c r="Q5284">
        <v>0.18660399999999999</v>
      </c>
      <c r="R5284">
        <v>-9.1020260000000006E-2</v>
      </c>
      <c r="S5284">
        <v>-3.06189</v>
      </c>
      <c r="T5284">
        <v>-2.3212549999999998E-2</v>
      </c>
      <c r="U5284">
        <v>-0.1002045</v>
      </c>
      <c r="V5284">
        <v>-8.3390199999999998E-2</v>
      </c>
      <c r="W5284">
        <v>0.19812360000000001</v>
      </c>
      <c r="X5284">
        <v>0.97662340000000003</v>
      </c>
      <c r="Y5284">
        <v>-2.4922819999999998E-2</v>
      </c>
      <c r="Z5284">
        <v>-2.7392269999999998E-4</v>
      </c>
      <c r="AA5284">
        <v>0.9996893</v>
      </c>
      <c r="AB5284">
        <v>31</v>
      </c>
      <c r="AC5284">
        <v>-146.29640000000001</v>
      </c>
      <c r="AD5284">
        <v>-1.11062126363739</v>
      </c>
      <c r="AE5284">
        <v>-4.7929000000000004</v>
      </c>
      <c r="AF5284">
        <v>-3.6532702740668701</v>
      </c>
      <c r="AG5284">
        <v>-1.11062126363739</v>
      </c>
      <c r="AH5284">
        <v>146.32086458708201</v>
      </c>
      <c r="AI5284">
        <v>90.434749108810095</v>
      </c>
      <c r="AJ5284">
        <v>91.430236832480205</v>
      </c>
      <c r="AK5284">
        <v>146.37067765368101</v>
      </c>
      <c r="AL5284">
        <v>78.572747205197302</v>
      </c>
      <c r="AM5284">
        <v>94.880433380652903</v>
      </c>
      <c r="AN5284">
        <v>1.0000000758802701</v>
      </c>
    </row>
    <row r="5285" spans="1:40" x14ac:dyDescent="0.25">
      <c r="A5285" t="str">
        <f>"20190304154902625"</f>
        <v>20190304154902625</v>
      </c>
      <c r="B5285" t="str">
        <f>"1551685742612776"</f>
        <v>1551685742612776</v>
      </c>
      <c r="C5285" t="s">
        <v>40</v>
      </c>
      <c r="D5285">
        <v>4.0819400000000003</v>
      </c>
      <c r="E5285">
        <v>0.52030240000000005</v>
      </c>
      <c r="F5285" t="s">
        <v>44</v>
      </c>
      <c r="G5285">
        <v>-456.18819999999999</v>
      </c>
      <c r="H5285" s="1">
        <v>-1.1493909999999999E-6</v>
      </c>
      <c r="I5285">
        <v>136.54320000000001</v>
      </c>
      <c r="J5285">
        <v>-302.34710000000001</v>
      </c>
      <c r="K5285">
        <v>1.110616</v>
      </c>
      <c r="L5285">
        <v>141.53530000000001</v>
      </c>
      <c r="M5285">
        <v>-0.99990060000000003</v>
      </c>
      <c r="N5285">
        <v>-1.176605E-2</v>
      </c>
      <c r="O5285">
        <v>-7.7788049999999997E-3</v>
      </c>
      <c r="P5285">
        <v>-0.97819780000000001</v>
      </c>
      <c r="Q5285">
        <v>0.18657360000000001</v>
      </c>
      <c r="R5285">
        <v>-9.1212760000000004E-2</v>
      </c>
      <c r="S5285">
        <v>-3.061798</v>
      </c>
      <c r="T5285">
        <v>-2.207661E-2</v>
      </c>
      <c r="U5285">
        <v>-9.925842E-2</v>
      </c>
      <c r="V5285">
        <v>-8.3589259999999999E-2</v>
      </c>
      <c r="W5285">
        <v>0.19808290000000001</v>
      </c>
      <c r="X5285">
        <v>0.97661450000000005</v>
      </c>
      <c r="Y5285">
        <v>-2.4623490000000001E-2</v>
      </c>
      <c r="Z5285">
        <v>-2.6909500000000001E-4</v>
      </c>
      <c r="AA5285">
        <v>0.99969669999999999</v>
      </c>
      <c r="AB5285">
        <v>31</v>
      </c>
      <c r="AC5285">
        <v>-153.84109999999899</v>
      </c>
      <c r="AD5285">
        <v>-1.110617149391</v>
      </c>
      <c r="AE5285">
        <v>-4.99209999999999</v>
      </c>
      <c r="AF5285">
        <v>-3.79496869840666</v>
      </c>
      <c r="AG5285">
        <v>-1.110617149391</v>
      </c>
      <c r="AH5285">
        <v>153.8672693458</v>
      </c>
      <c r="AI5285">
        <v>90.413429223111805</v>
      </c>
      <c r="AJ5285">
        <v>91.412851592702197</v>
      </c>
      <c r="AK5285">
        <v>153.91806857483499</v>
      </c>
      <c r="AL5285">
        <v>78.575124728054902</v>
      </c>
      <c r="AM5285">
        <v>94.892071314205694</v>
      </c>
      <c r="AN5285">
        <v>0.99999994063500197</v>
      </c>
    </row>
    <row r="5286" spans="1:40" x14ac:dyDescent="0.25">
      <c r="A5286" t="str">
        <f>"20190304154902643"</f>
        <v>20190304154902643</v>
      </c>
      <c r="B5286" t="str">
        <f>"1551685742632296"</f>
        <v>1551685742632296</v>
      </c>
      <c r="C5286" t="s">
        <v>40</v>
      </c>
      <c r="D5286">
        <v>4.4212749999999996</v>
      </c>
      <c r="E5286">
        <v>0.5203276</v>
      </c>
      <c r="F5286" t="s">
        <v>44</v>
      </c>
      <c r="G5286">
        <v>-457.20830000000001</v>
      </c>
      <c r="H5286" s="1">
        <v>-7.3673399999999996E-7</v>
      </c>
      <c r="I5286">
        <v>136.5574</v>
      </c>
      <c r="J5286">
        <v>-302.59179999999998</v>
      </c>
      <c r="K5286">
        <v>1.1106020000000001</v>
      </c>
      <c r="L5286">
        <v>141.5334</v>
      </c>
      <c r="M5286">
        <v>-0.99990089999999998</v>
      </c>
      <c r="N5286">
        <v>-1.1752769999999999E-2</v>
      </c>
      <c r="O5286">
        <v>-7.7629149999999996E-3</v>
      </c>
      <c r="P5286">
        <v>-0.97807230000000001</v>
      </c>
      <c r="Q5286">
        <v>0.1872624</v>
      </c>
      <c r="R5286">
        <v>-9.1147629999999993E-2</v>
      </c>
      <c r="S5286">
        <v>-3.06189</v>
      </c>
      <c r="T5286">
        <v>-2.1958950000000001E-2</v>
      </c>
      <c r="U5286">
        <v>-9.8419190000000004E-2</v>
      </c>
      <c r="V5286">
        <v>-8.3538059999999997E-2</v>
      </c>
      <c r="W5286">
        <v>0.1987582</v>
      </c>
      <c r="X5286">
        <v>0.97648170000000001</v>
      </c>
      <c r="Y5286">
        <v>-2.4364710000000001E-2</v>
      </c>
      <c r="Z5286">
        <v>-2.6613130000000001E-4</v>
      </c>
      <c r="AA5286">
        <v>0.99970309999999996</v>
      </c>
      <c r="AB5286">
        <v>31</v>
      </c>
      <c r="AC5286">
        <v>-154.6165</v>
      </c>
      <c r="AD5286">
        <v>-1.1106027367339999</v>
      </c>
      <c r="AE5286">
        <v>-4.9759999999999902</v>
      </c>
      <c r="AF5286">
        <v>-3.77529792793676</v>
      </c>
      <c r="AG5286">
        <v>-1.1106027367339999</v>
      </c>
      <c r="AH5286">
        <v>154.642500909788</v>
      </c>
      <c r="AI5286">
        <v>90.411353942872296</v>
      </c>
      <c r="AJ5286">
        <v>91.398487987447496</v>
      </c>
      <c r="AK5286">
        <v>154.69256414099999</v>
      </c>
      <c r="AL5286">
        <v>78.535648308541496</v>
      </c>
      <c r="AM5286">
        <v>94.889751042026106</v>
      </c>
      <c r="AN5286">
        <v>0.99999996998534602</v>
      </c>
    </row>
    <row r="5287" spans="1:40" x14ac:dyDescent="0.25">
      <c r="A5287" t="str">
        <f>"20190304154902664"</f>
        <v>20190304154902664</v>
      </c>
      <c r="B5287" t="str">
        <f>"1551685742652793"</f>
        <v>1551685742652793</v>
      </c>
      <c r="C5287" t="s">
        <v>40</v>
      </c>
      <c r="D5287">
        <v>4.0448019999999998</v>
      </c>
      <c r="E5287">
        <v>0.5201848</v>
      </c>
      <c r="F5287" t="s">
        <v>68</v>
      </c>
      <c r="G5287">
        <v>-499.95780000000002</v>
      </c>
      <c r="H5287">
        <v>2.455951E-2</v>
      </c>
      <c r="I5287">
        <v>135.21190000000001</v>
      </c>
      <c r="J5287">
        <v>-302.88389999999998</v>
      </c>
      <c r="K5287">
        <v>1.110598</v>
      </c>
      <c r="L5287">
        <v>141.53120000000001</v>
      </c>
      <c r="M5287">
        <v>-0.99990120000000005</v>
      </c>
      <c r="N5287">
        <v>-1.173504E-2</v>
      </c>
      <c r="O5287">
        <v>-7.7331250000000004E-3</v>
      </c>
      <c r="P5287">
        <v>-0.97809020000000002</v>
      </c>
      <c r="Q5287">
        <v>0.1872858</v>
      </c>
      <c r="R5287">
        <v>-9.0905189999999997E-2</v>
      </c>
      <c r="S5287">
        <v>-3.06134</v>
      </c>
      <c r="T5287">
        <v>-1.6845579999999999E-2</v>
      </c>
      <c r="U5287">
        <v>-9.8052979999999998E-2</v>
      </c>
      <c r="V5287">
        <v>-8.3320459999999999E-2</v>
      </c>
      <c r="W5287">
        <v>0.1987662</v>
      </c>
      <c r="X5287">
        <v>0.97649870000000005</v>
      </c>
      <c r="Y5287">
        <v>-2.4281359999999998E-2</v>
      </c>
      <c r="Z5287">
        <v>-2.5749749999999999E-4</v>
      </c>
      <c r="AA5287">
        <v>0.99970510000000001</v>
      </c>
      <c r="AB5287">
        <v>31</v>
      </c>
      <c r="AC5287">
        <v>-197.07390000000001</v>
      </c>
      <c r="AD5287">
        <v>-1.08603849</v>
      </c>
      <c r="AE5287">
        <v>-6.3192999999999904</v>
      </c>
      <c r="AF5287">
        <v>-4.7948634451676497</v>
      </c>
      <c r="AG5287">
        <v>-1.08603849</v>
      </c>
      <c r="AH5287">
        <v>197.110897837697</v>
      </c>
      <c r="AI5287">
        <v>90.315590822035205</v>
      </c>
      <c r="AJ5287">
        <v>91.393485962883005</v>
      </c>
      <c r="AK5287">
        <v>197.172199463927</v>
      </c>
      <c r="AL5287">
        <v>78.535181031600104</v>
      </c>
      <c r="AM5287">
        <v>94.876991233154499</v>
      </c>
      <c r="AN5287">
        <v>1.0000000062093699</v>
      </c>
    </row>
    <row r="5288" spans="1:40" x14ac:dyDescent="0.25">
      <c r="A5288" t="str">
        <f>"20190304154902686"</f>
        <v>20190304154902686</v>
      </c>
      <c r="B5288" t="str">
        <f>"1551685742682579"</f>
        <v>1551685742682579</v>
      </c>
      <c r="C5288" t="s">
        <v>40</v>
      </c>
      <c r="D5288">
        <v>4.0883419999999999</v>
      </c>
      <c r="E5288">
        <v>0.52031240000000001</v>
      </c>
      <c r="F5288" t="s">
        <v>45</v>
      </c>
      <c r="G5288">
        <v>-533.81380000000001</v>
      </c>
      <c r="H5288">
        <v>-0.05</v>
      </c>
      <c r="I5288">
        <v>134.09460000000001</v>
      </c>
      <c r="J5288">
        <v>-303.1891</v>
      </c>
      <c r="K5288">
        <v>1.110584</v>
      </c>
      <c r="L5288">
        <v>141.52889999999999</v>
      </c>
      <c r="M5288">
        <v>-0.99990199999999996</v>
      </c>
      <c r="N5288">
        <v>-1.171324E-2</v>
      </c>
      <c r="O5288">
        <v>-7.6873039999999998E-3</v>
      </c>
      <c r="P5288">
        <v>-0.97805609999999998</v>
      </c>
      <c r="Q5288">
        <v>0.18752440000000001</v>
      </c>
      <c r="R5288">
        <v>-9.0780089999999994E-2</v>
      </c>
      <c r="S5288">
        <v>-3.0609739999999999</v>
      </c>
      <c r="T5288">
        <v>-1.538372E-2</v>
      </c>
      <c r="U5288">
        <v>-9.8571779999999998E-2</v>
      </c>
      <c r="V5288">
        <v>-8.3234740000000002E-2</v>
      </c>
      <c r="W5288">
        <v>0.19898540000000001</v>
      </c>
      <c r="X5288">
        <v>0.97646140000000003</v>
      </c>
      <c r="Y5288">
        <v>-2.450041E-2</v>
      </c>
      <c r="Z5288">
        <v>-2.5648940000000002E-4</v>
      </c>
      <c r="AA5288">
        <v>0.99969980000000003</v>
      </c>
      <c r="AB5288">
        <v>31</v>
      </c>
      <c r="AC5288">
        <v>-230.62469999999999</v>
      </c>
      <c r="AD5288">
        <v>-1.1605840000000001</v>
      </c>
      <c r="AE5288">
        <v>-7.4342999999999702</v>
      </c>
      <c r="AF5288">
        <v>-5.6609335500288296</v>
      </c>
      <c r="AG5288">
        <v>-1.1605840000000001</v>
      </c>
      <c r="AH5288">
        <v>230.66920273348799</v>
      </c>
      <c r="AI5288">
        <v>90.288187534008401</v>
      </c>
      <c r="AJ5288">
        <v>91.405833567756403</v>
      </c>
      <c r="AK5288">
        <v>230.74157452349601</v>
      </c>
      <c r="AL5288">
        <v>78.522366184813606</v>
      </c>
      <c r="AM5288">
        <v>94.872183163323101</v>
      </c>
      <c r="AN5288">
        <v>1.0000000385229899</v>
      </c>
    </row>
    <row r="5289" spans="1:40" x14ac:dyDescent="0.25">
      <c r="A5289" t="str">
        <f>"20190304154902702"</f>
        <v>20190304154902702</v>
      </c>
      <c r="B5289" t="str">
        <f>"1551685742692340"</f>
        <v>1551685742692340</v>
      </c>
      <c r="C5289" t="s">
        <v>40</v>
      </c>
      <c r="D5289">
        <v>4.0813759999999997</v>
      </c>
      <c r="E5289">
        <v>0.52037849999999997</v>
      </c>
      <c r="F5289" t="s">
        <v>68</v>
      </c>
      <c r="G5289">
        <v>-501.97109999999998</v>
      </c>
      <c r="H5289">
        <v>7.9987649999999993E-2</v>
      </c>
      <c r="I5289">
        <v>135.23150000000001</v>
      </c>
      <c r="J5289">
        <v>-303.41419999999999</v>
      </c>
      <c r="K5289">
        <v>1.110574</v>
      </c>
      <c r="L5289">
        <v>141.52719999999999</v>
      </c>
      <c r="M5289">
        <v>-0.99990250000000003</v>
      </c>
      <c r="N5289">
        <v>-1.1696669999999999E-2</v>
      </c>
      <c r="O5289">
        <v>-7.642373E-3</v>
      </c>
      <c r="P5289">
        <v>-0.97794369999999997</v>
      </c>
      <c r="Q5289">
        <v>0.18805749999999999</v>
      </c>
      <c r="R5289">
        <v>-9.0890269999999995E-2</v>
      </c>
      <c r="S5289">
        <v>-3.061401</v>
      </c>
      <c r="T5289">
        <v>-1.5872000000000001E-2</v>
      </c>
      <c r="U5289">
        <v>-9.6984860000000006E-2</v>
      </c>
      <c r="V5289">
        <v>-8.3385009999999996E-2</v>
      </c>
      <c r="W5289">
        <v>0.1995026</v>
      </c>
      <c r="X5289">
        <v>0.97634299999999996</v>
      </c>
      <c r="Y5289">
        <v>-2.402313E-2</v>
      </c>
      <c r="Z5289">
        <v>-2.5256140000000002E-4</v>
      </c>
      <c r="AA5289">
        <v>0.99971140000000003</v>
      </c>
      <c r="AB5289">
        <v>31</v>
      </c>
      <c r="AC5289">
        <v>-198.55690000000001</v>
      </c>
      <c r="AD5289">
        <v>-1.0305863500000001</v>
      </c>
      <c r="AE5289">
        <v>-6.2956999999999796</v>
      </c>
      <c r="AF5289">
        <v>-4.7778380012238699</v>
      </c>
      <c r="AG5289">
        <v>-1.0305863500000001</v>
      </c>
      <c r="AH5289">
        <v>198.593873292795</v>
      </c>
      <c r="AI5289">
        <v>90.297242993750999</v>
      </c>
      <c r="AJ5289">
        <v>91.378175220884202</v>
      </c>
      <c r="AK5289">
        <v>198.65401167261999</v>
      </c>
      <c r="AL5289">
        <v>78.492126056242796</v>
      </c>
      <c r="AM5289">
        <v>94.881525875049405</v>
      </c>
      <c r="AN5289">
        <v>1.00000000047423</v>
      </c>
    </row>
    <row r="5290" spans="1:40" x14ac:dyDescent="0.25">
      <c r="A5290" t="str">
        <f>"20190304154902714"</f>
        <v>20190304154902714</v>
      </c>
      <c r="B5290" t="str">
        <f>"1551685742702098"</f>
        <v>1551685742702098</v>
      </c>
      <c r="C5290" t="s">
        <v>40</v>
      </c>
      <c r="D5290">
        <v>4.0755869999999996</v>
      </c>
      <c r="E5290">
        <v>0.52040390000000003</v>
      </c>
      <c r="F5290" t="s">
        <v>45</v>
      </c>
      <c r="G5290">
        <v>-538.64610000000005</v>
      </c>
      <c r="H5290">
        <v>-0.05</v>
      </c>
      <c r="I5290">
        <v>134.08359999999999</v>
      </c>
      <c r="J5290">
        <v>-303.59840000000003</v>
      </c>
      <c r="K5290">
        <v>1.110565</v>
      </c>
      <c r="L5290">
        <v>141.5258</v>
      </c>
      <c r="M5290">
        <v>-0.99990299999999999</v>
      </c>
      <c r="N5290">
        <v>-1.1682659999999999E-2</v>
      </c>
      <c r="O5290">
        <v>-7.5989029999999997E-3</v>
      </c>
      <c r="P5290">
        <v>-0.9778734</v>
      </c>
      <c r="Q5290">
        <v>0.18840799999999999</v>
      </c>
      <c r="R5290">
        <v>-9.0918369999999998E-2</v>
      </c>
      <c r="S5290">
        <v>-3.0615230000000002</v>
      </c>
      <c r="T5290">
        <v>-1.510477E-2</v>
      </c>
      <c r="U5290">
        <v>-9.6878049999999993E-2</v>
      </c>
      <c r="V5290">
        <v>-8.3452239999999997E-2</v>
      </c>
      <c r="W5290">
        <v>0.1998404</v>
      </c>
      <c r="X5290">
        <v>0.97626820000000003</v>
      </c>
      <c r="Y5290">
        <v>-2.4030570000000001E-2</v>
      </c>
      <c r="Z5290">
        <v>-2.5095850000000003E-4</v>
      </c>
      <c r="AA5290">
        <v>0.99971120000000002</v>
      </c>
      <c r="AB5290">
        <v>31</v>
      </c>
      <c r="AC5290">
        <v>-235.04769999999999</v>
      </c>
      <c r="AD5290">
        <v>-1.1605650000000001</v>
      </c>
      <c r="AE5290">
        <v>-7.4422000000000104</v>
      </c>
      <c r="AF5290">
        <v>-5.65562099408025</v>
      </c>
      <c r="AG5290">
        <v>-1.1605650000000001</v>
      </c>
      <c r="AH5290">
        <v>235.09174346087201</v>
      </c>
      <c r="AI5290">
        <v>90.282764941554603</v>
      </c>
      <c r="AJ5290">
        <v>91.3781033643359</v>
      </c>
      <c r="AK5290">
        <v>235.16262628959601</v>
      </c>
      <c r="AL5290">
        <v>78.472374134313597</v>
      </c>
      <c r="AM5290">
        <v>94.8858151152901</v>
      </c>
      <c r="AN5290">
        <v>1.0000000300822001</v>
      </c>
    </row>
    <row r="5291" spans="1:40" x14ac:dyDescent="0.25">
      <c r="A5291" t="str">
        <f>"20190304154902730"</f>
        <v>20190304154902730</v>
      </c>
      <c r="B5291" t="str">
        <f>"1551685742722598"</f>
        <v>1551685742722598</v>
      </c>
      <c r="C5291" t="s">
        <v>40</v>
      </c>
      <c r="D5291">
        <v>4.0612649999999997</v>
      </c>
      <c r="E5291">
        <v>0.52039539999999995</v>
      </c>
      <c r="F5291" t="s">
        <v>45</v>
      </c>
      <c r="G5291">
        <v>-544.57709999999997</v>
      </c>
      <c r="H5291">
        <v>-0.05</v>
      </c>
      <c r="I5291">
        <v>133.8913</v>
      </c>
      <c r="J5291">
        <v>-303.82089999999999</v>
      </c>
      <c r="K5291">
        <v>1.110549</v>
      </c>
      <c r="L5291">
        <v>141.52420000000001</v>
      </c>
      <c r="M5291">
        <v>-0.99990369999999995</v>
      </c>
      <c r="N5291">
        <v>-1.166385E-2</v>
      </c>
      <c r="O5291">
        <v>-7.5361789999999996E-3</v>
      </c>
      <c r="P5291">
        <v>-0.97775140000000005</v>
      </c>
      <c r="Q5291">
        <v>0.18916289999999999</v>
      </c>
      <c r="R5291">
        <v>-9.0664330000000001E-2</v>
      </c>
      <c r="S5291">
        <v>-3.0617369999999999</v>
      </c>
      <c r="T5291">
        <v>-1.474547E-2</v>
      </c>
      <c r="U5291">
        <v>-9.7000119999999995E-2</v>
      </c>
      <c r="V5291">
        <v>-8.3255099999999999E-2</v>
      </c>
      <c r="W5291">
        <v>0.2005777</v>
      </c>
      <c r="X5291">
        <v>0.97613380000000005</v>
      </c>
      <c r="Y5291">
        <v>-2.413092E-2</v>
      </c>
      <c r="Z5291">
        <v>-2.5046740000000001E-4</v>
      </c>
      <c r="AA5291">
        <v>0.99970879999999995</v>
      </c>
      <c r="AB5291">
        <v>31</v>
      </c>
      <c r="AC5291">
        <v>-240.75620000000001</v>
      </c>
      <c r="AD5291">
        <v>-1.1605490000000001</v>
      </c>
      <c r="AE5291">
        <v>-7.6329000000000002</v>
      </c>
      <c r="AF5291">
        <v>-5.8180431357640199</v>
      </c>
      <c r="AG5291">
        <v>-1.1605490000000001</v>
      </c>
      <c r="AH5291">
        <v>240.80129925054499</v>
      </c>
      <c r="AI5291">
        <v>90.276056007244506</v>
      </c>
      <c r="AJ5291">
        <v>91.384064267249997</v>
      </c>
      <c r="AK5291">
        <v>240.874370202937</v>
      </c>
      <c r="AL5291">
        <v>78.429256741582904</v>
      </c>
      <c r="AM5291">
        <v>94.874996875349296</v>
      </c>
      <c r="AN5291">
        <v>1.0000000104578699</v>
      </c>
    </row>
    <row r="5292" spans="1:40" x14ac:dyDescent="0.25">
      <c r="A5292" t="str">
        <f>"20190304154902746"</f>
        <v>20190304154902746</v>
      </c>
      <c r="B5292" t="str">
        <f>"1551685742742115"</f>
        <v>1551685742742115</v>
      </c>
      <c r="C5292" t="s">
        <v>40</v>
      </c>
      <c r="D5292">
        <v>4.0822989999999999</v>
      </c>
      <c r="E5292">
        <v>0.52032529999999999</v>
      </c>
      <c r="F5292" t="s">
        <v>42</v>
      </c>
      <c r="G5292">
        <v>0</v>
      </c>
      <c r="H5292">
        <v>0</v>
      </c>
      <c r="I5292">
        <v>0</v>
      </c>
      <c r="J5292">
        <v>-304.0326</v>
      </c>
      <c r="K5292">
        <v>1.1105339999999999</v>
      </c>
      <c r="L5292">
        <v>141.52260000000001</v>
      </c>
      <c r="M5292">
        <v>-0.99990449999999997</v>
      </c>
      <c r="N5292">
        <v>-1.1644740000000001E-2</v>
      </c>
      <c r="O5292">
        <v>-7.4641539999999998E-3</v>
      </c>
      <c r="P5292">
        <v>-0.97770679999999999</v>
      </c>
      <c r="Q5292">
        <v>0.1895432</v>
      </c>
      <c r="R5292">
        <v>-9.034992E-2</v>
      </c>
      <c r="S5292">
        <v>-3.0619510000000001</v>
      </c>
      <c r="T5292">
        <v>-1.3559699999999999E-2</v>
      </c>
      <c r="U5292">
        <v>-9.6740720000000002E-2</v>
      </c>
      <c r="V5292">
        <v>-8.3006280000000002E-2</v>
      </c>
      <c r="W5292">
        <v>0.20094110000000001</v>
      </c>
      <c r="X5292">
        <v>0.97608019999999995</v>
      </c>
      <c r="Y5292">
        <v>-2.4116229999999999E-2</v>
      </c>
      <c r="Z5292">
        <v>-2.4769940000000002E-4</v>
      </c>
      <c r="AA5292">
        <v>0.99970910000000002</v>
      </c>
      <c r="AB5292">
        <v>31</v>
      </c>
      <c r="AC5292">
        <v>-3.0619510000000001</v>
      </c>
      <c r="AD5292">
        <v>-1.3559699999999999E-2</v>
      </c>
      <c r="AE5292">
        <v>-9.6740720000000002E-2</v>
      </c>
      <c r="AF5292">
        <v>-7.3880157445151404E-2</v>
      </c>
      <c r="AG5292">
        <v>-1.3559699999999999E-2</v>
      </c>
      <c r="AH5292">
        <v>3.06252782771376</v>
      </c>
      <c r="AI5292">
        <v>90.253608320932102</v>
      </c>
      <c r="AJ5292">
        <v>91.3819304123423</v>
      </c>
      <c r="AK5292">
        <v>3.0634488470756902</v>
      </c>
      <c r="AL5292">
        <v>78.408002172630603</v>
      </c>
      <c r="AM5292">
        <v>94.860762767639002</v>
      </c>
      <c r="AN5292">
        <v>0.99999996251034295</v>
      </c>
    </row>
    <row r="5293" spans="1:40" x14ac:dyDescent="0.25">
      <c r="A5293" t="str">
        <f>"20190304154902759"</f>
        <v>20190304154902759</v>
      </c>
      <c r="B5293" t="str">
        <f>"1551685742752852"</f>
        <v>1551685742752852</v>
      </c>
      <c r="C5293" t="s">
        <v>40</v>
      </c>
      <c r="D5293">
        <v>4.1002510000000001</v>
      </c>
      <c r="E5293">
        <v>0.52032299999999998</v>
      </c>
      <c r="F5293" t="s">
        <v>42</v>
      </c>
      <c r="G5293">
        <v>0</v>
      </c>
      <c r="H5293">
        <v>0</v>
      </c>
      <c r="I5293">
        <v>0</v>
      </c>
      <c r="J5293">
        <v>-304.22190000000001</v>
      </c>
      <c r="K5293">
        <v>1.1105210000000001</v>
      </c>
      <c r="L5293">
        <v>141.5213</v>
      </c>
      <c r="M5293">
        <v>-0.99990500000000004</v>
      </c>
      <c r="N5293">
        <v>-1.162794E-2</v>
      </c>
      <c r="O5293">
        <v>-7.3916759999999998E-3</v>
      </c>
      <c r="P5293">
        <v>-0.97769329999999999</v>
      </c>
      <c r="Q5293">
        <v>0.18951480000000001</v>
      </c>
      <c r="R5293">
        <v>-9.0552030000000006E-2</v>
      </c>
      <c r="S5293">
        <v>-3.0621640000000001</v>
      </c>
      <c r="T5293">
        <v>-1.3510110000000001E-2</v>
      </c>
      <c r="U5293">
        <v>-9.6237180000000005E-2</v>
      </c>
      <c r="V5293">
        <v>-8.3274169999999995E-2</v>
      </c>
      <c r="W5293">
        <v>0.2008981</v>
      </c>
      <c r="X5293">
        <v>0.97606630000000005</v>
      </c>
      <c r="Y5293">
        <v>-2.402228E-2</v>
      </c>
      <c r="Z5293">
        <v>-2.4601879999999998E-4</v>
      </c>
      <c r="AA5293">
        <v>0.99971140000000003</v>
      </c>
      <c r="AB5293">
        <v>31</v>
      </c>
      <c r="AC5293">
        <v>-3.0621640000000001</v>
      </c>
      <c r="AD5293">
        <v>-1.3510110000000001E-2</v>
      </c>
      <c r="AE5293">
        <v>-9.6237180000000005E-2</v>
      </c>
      <c r="AF5293">
        <v>-7.3597063244022903E-2</v>
      </c>
      <c r="AG5293">
        <v>-1.3510110000000001E-2</v>
      </c>
      <c r="AH5293">
        <v>3.06273217805533</v>
      </c>
      <c r="AI5293">
        <v>90.252664559334605</v>
      </c>
      <c r="AJ5293">
        <v>91.376545352941903</v>
      </c>
      <c r="AK5293">
        <v>3.0636461031401598</v>
      </c>
      <c r="AL5293">
        <v>78.410517947230005</v>
      </c>
      <c r="AM5293">
        <v>94.8764437165933</v>
      </c>
      <c r="AN5293">
        <v>1.00000002798424</v>
      </c>
    </row>
    <row r="5294" spans="1:40" x14ac:dyDescent="0.25">
      <c r="A5294" t="str">
        <f>"20190304154902775"</f>
        <v>20190304154902775</v>
      </c>
      <c r="B5294" t="str">
        <f>"1551685742762611"</f>
        <v>1551685742762611</v>
      </c>
      <c r="C5294" t="s">
        <v>40</v>
      </c>
      <c r="D5294">
        <v>4.0799370000000001</v>
      </c>
      <c r="E5294">
        <v>0.52033509999999905</v>
      </c>
      <c r="F5294" t="s">
        <v>45</v>
      </c>
      <c r="G5294">
        <v>-550.30380000000002</v>
      </c>
      <c r="H5294">
        <v>-0.05</v>
      </c>
      <c r="I5294">
        <v>133.73750000000001</v>
      </c>
      <c r="J5294">
        <v>-304.43700000000001</v>
      </c>
      <c r="K5294">
        <v>1.1105080000000001</v>
      </c>
      <c r="L5294">
        <v>141.5198</v>
      </c>
      <c r="M5294">
        <v>-0.99990610000000002</v>
      </c>
      <c r="N5294">
        <v>-1.160943E-2</v>
      </c>
      <c r="O5294">
        <v>-7.3008079999999998E-3</v>
      </c>
      <c r="P5294">
        <v>-0.97765709999999995</v>
      </c>
      <c r="Q5294">
        <v>0.18976779999999999</v>
      </c>
      <c r="R5294">
        <v>-9.0416540000000004E-2</v>
      </c>
      <c r="S5294">
        <v>-3.0622859999999998</v>
      </c>
      <c r="T5294">
        <v>-1.444173E-2</v>
      </c>
      <c r="U5294">
        <v>-9.6862790000000004E-2</v>
      </c>
      <c r="V5294">
        <v>-8.3221649999999994E-2</v>
      </c>
      <c r="W5294">
        <v>0.20113490000000001</v>
      </c>
      <c r="X5294">
        <v>0.9760219</v>
      </c>
      <c r="Y5294">
        <v>-2.431581E-2</v>
      </c>
      <c r="Z5294">
        <v>-2.488341E-4</v>
      </c>
      <c r="AA5294">
        <v>0.99970429999999999</v>
      </c>
      <c r="AB5294">
        <v>31</v>
      </c>
      <c r="AC5294">
        <v>-245.86680000000001</v>
      </c>
      <c r="AD5294">
        <v>-1.1605080000000001</v>
      </c>
      <c r="AE5294">
        <v>-7.7822999999999896</v>
      </c>
      <c r="AF5294">
        <v>-5.9868122985645797</v>
      </c>
      <c r="AG5294">
        <v>-1.1605080000000001</v>
      </c>
      <c r="AH5294">
        <v>245.91159416814301</v>
      </c>
      <c r="AI5294">
        <v>90.270308609930197</v>
      </c>
      <c r="AJ5294">
        <v>91.394612294783499</v>
      </c>
      <c r="AK5294">
        <v>245.98719650956201</v>
      </c>
      <c r="AL5294">
        <v>78.396666322948207</v>
      </c>
      <c r="AM5294">
        <v>94.873603646086707</v>
      </c>
      <c r="AN5294">
        <v>0.99999992015316796</v>
      </c>
    </row>
    <row r="5295" spans="1:40" x14ac:dyDescent="0.25">
      <c r="A5295" t="str">
        <f>"20190304154902790"</f>
        <v>20190304154902790</v>
      </c>
      <c r="B5295" t="str">
        <f>"1551685742782131"</f>
        <v>1551685742782131</v>
      </c>
      <c r="C5295" t="s">
        <v>40</v>
      </c>
      <c r="D5295">
        <v>4.0786319999999998</v>
      </c>
      <c r="E5295">
        <v>0.52029720000000002</v>
      </c>
      <c r="F5295" t="s">
        <v>45</v>
      </c>
      <c r="G5295">
        <v>-560.32640000000004</v>
      </c>
      <c r="H5295">
        <v>-0.05</v>
      </c>
      <c r="I5295">
        <v>133.50380000000001</v>
      </c>
      <c r="J5295">
        <v>-304.66570000000002</v>
      </c>
      <c r="K5295">
        <v>1.110492</v>
      </c>
      <c r="L5295">
        <v>141.51820000000001</v>
      </c>
      <c r="M5295">
        <v>-0.99990710000000005</v>
      </c>
      <c r="N5295">
        <v>-1.1590899999999999E-2</v>
      </c>
      <c r="O5295">
        <v>-7.192759E-3</v>
      </c>
      <c r="P5295">
        <v>-0.97759759999999996</v>
      </c>
      <c r="Q5295">
        <v>0.19017539999999999</v>
      </c>
      <c r="R5295">
        <v>-9.0203720000000001E-2</v>
      </c>
      <c r="S5295">
        <v>-3.0623779999999998</v>
      </c>
      <c r="T5295">
        <v>-1.388848E-2</v>
      </c>
      <c r="U5295">
        <v>-9.5932009999999998E-2</v>
      </c>
      <c r="V5295">
        <v>-8.3108249999999995E-2</v>
      </c>
      <c r="W5295">
        <v>0.20152629999999999</v>
      </c>
      <c r="X5295">
        <v>0.97595089999999995</v>
      </c>
      <c r="Y5295">
        <v>-2.4119399999999999E-2</v>
      </c>
      <c r="Z5295">
        <v>-2.452488E-4</v>
      </c>
      <c r="AA5295">
        <v>0.99970910000000002</v>
      </c>
      <c r="AB5295">
        <v>31</v>
      </c>
      <c r="AC5295">
        <v>-255.66069999999999</v>
      </c>
      <c r="AD5295">
        <v>-1.1604920000000001</v>
      </c>
      <c r="AE5295">
        <v>-8.0143999999999895</v>
      </c>
      <c r="AF5295">
        <v>-6.1750364758768299</v>
      </c>
      <c r="AG5295">
        <v>-1.1604920000000001</v>
      </c>
      <c r="AH5295">
        <v>255.706471674396</v>
      </c>
      <c r="AI5295">
        <v>90.259952193686999</v>
      </c>
      <c r="AJ5295">
        <v>91.383362627500006</v>
      </c>
      <c r="AK5295">
        <v>255.78365364762701</v>
      </c>
      <c r="AL5295">
        <v>78.373772835214893</v>
      </c>
      <c r="AM5295">
        <v>94.867347038075295</v>
      </c>
      <c r="AN5295">
        <v>0.99999999501028103</v>
      </c>
    </row>
    <row r="5296" spans="1:40" x14ac:dyDescent="0.25">
      <c r="A5296" t="str">
        <f>"20190304154902810"</f>
        <v>20190304154902810</v>
      </c>
      <c r="B5296" t="str">
        <f>"1551685742802627"</f>
        <v>1551685742802627</v>
      </c>
      <c r="C5296" t="s">
        <v>40</v>
      </c>
      <c r="D5296">
        <v>4.1040190000000001</v>
      </c>
      <c r="E5296">
        <v>0.52030480000000001</v>
      </c>
      <c r="F5296" t="s">
        <v>42</v>
      </c>
      <c r="G5296">
        <v>0</v>
      </c>
      <c r="H5296">
        <v>0</v>
      </c>
      <c r="I5296">
        <v>0</v>
      </c>
      <c r="J5296">
        <v>-304.92380000000003</v>
      </c>
      <c r="K5296">
        <v>1.1104769999999999</v>
      </c>
      <c r="L5296">
        <v>141.51650000000001</v>
      </c>
      <c r="M5296">
        <v>-0.99990829999999997</v>
      </c>
      <c r="N5296">
        <v>-1.157182E-2</v>
      </c>
      <c r="O5296">
        <v>-7.0576440000000001E-3</v>
      </c>
      <c r="P5296">
        <v>-0.97762380000000004</v>
      </c>
      <c r="Q5296">
        <v>0.19016620000000001</v>
      </c>
      <c r="R5296">
        <v>-8.9940400000000004E-2</v>
      </c>
      <c r="S5296">
        <v>-3.0625309999999999</v>
      </c>
      <c r="T5296">
        <v>-1.3385650000000001E-2</v>
      </c>
      <c r="U5296">
        <v>-9.5321660000000002E-2</v>
      </c>
      <c r="V5296">
        <v>-8.2970470000000004E-2</v>
      </c>
      <c r="W5296">
        <v>0.20150109999999999</v>
      </c>
      <c r="X5296">
        <v>0.97596780000000005</v>
      </c>
      <c r="Y5296">
        <v>-2.4053930000000001E-2</v>
      </c>
      <c r="Z5296">
        <v>-2.4258630000000001E-4</v>
      </c>
      <c r="AA5296">
        <v>0.9997106</v>
      </c>
      <c r="AB5296">
        <v>31</v>
      </c>
      <c r="AC5296">
        <v>-3.0625309999999999</v>
      </c>
      <c r="AD5296">
        <v>-1.3385650000000001E-2</v>
      </c>
      <c r="AE5296">
        <v>-9.5321660000000002E-2</v>
      </c>
      <c r="AF5296">
        <v>-7.3702181716892995E-2</v>
      </c>
      <c r="AG5296">
        <v>-1.3385650000000001E-2</v>
      </c>
      <c r="AH5296">
        <v>3.0630690479065299</v>
      </c>
      <c r="AI5296">
        <v>90.250309230444003</v>
      </c>
      <c r="AJ5296">
        <v>91.378359163381504</v>
      </c>
      <c r="AK5296">
        <v>3.0639848530073999</v>
      </c>
      <c r="AL5296">
        <v>78.375246627182094</v>
      </c>
      <c r="AM5296">
        <v>94.859232694966394</v>
      </c>
      <c r="AN5296">
        <v>0.99999996941503499</v>
      </c>
    </row>
    <row r="5297" spans="1:40" x14ac:dyDescent="0.25">
      <c r="A5297" t="str">
        <f>"20190304154902832"</f>
        <v>20190304154902832</v>
      </c>
      <c r="B5297" t="str">
        <f>"1551685742822146"</f>
        <v>1551685742822146</v>
      </c>
      <c r="C5297" t="s">
        <v>40</v>
      </c>
      <c r="D5297">
        <v>4.0904949999999998</v>
      </c>
      <c r="E5297">
        <v>0.52017780000000002</v>
      </c>
      <c r="F5297" t="s">
        <v>45</v>
      </c>
      <c r="G5297">
        <v>-537.69640000000004</v>
      </c>
      <c r="H5297">
        <v>-0.05</v>
      </c>
      <c r="I5297">
        <v>134.3339</v>
      </c>
      <c r="J5297">
        <v>-305.24079999999998</v>
      </c>
      <c r="K5297">
        <v>1.1104609999999999</v>
      </c>
      <c r="L5297">
        <v>141.51439999999999</v>
      </c>
      <c r="M5297">
        <v>-0.99990990000000002</v>
      </c>
      <c r="N5297">
        <v>-1.154516E-2</v>
      </c>
      <c r="O5297">
        <v>-6.8764580000000002E-3</v>
      </c>
      <c r="P5297">
        <v>-0.97757119999999997</v>
      </c>
      <c r="Q5297">
        <v>0.19049150000000001</v>
      </c>
      <c r="R5297">
        <v>-8.9820090000000005E-2</v>
      </c>
      <c r="S5297">
        <v>-3.0629580000000001</v>
      </c>
      <c r="T5297">
        <v>-1.5270229999999999E-2</v>
      </c>
      <c r="U5297">
        <v>-9.4512940000000004E-2</v>
      </c>
      <c r="V5297">
        <v>-8.3020120000000003E-2</v>
      </c>
      <c r="W5297">
        <v>0.2018028</v>
      </c>
      <c r="X5297">
        <v>0.97590120000000002</v>
      </c>
      <c r="Y5297">
        <v>-2.3966870000000001E-2</v>
      </c>
      <c r="Z5297">
        <v>-2.4322330000000001E-4</v>
      </c>
      <c r="AA5297">
        <v>0.99971270000000001</v>
      </c>
      <c r="AB5297">
        <v>31</v>
      </c>
      <c r="AC5297">
        <v>-232.4556</v>
      </c>
      <c r="AD5297">
        <v>-1.160461</v>
      </c>
      <c r="AE5297">
        <v>-7.1804999999999897</v>
      </c>
      <c r="AF5297">
        <v>-5.5816138320147797</v>
      </c>
      <c r="AG5297">
        <v>-1.160461</v>
      </c>
      <c r="AH5297">
        <v>232.49369432257799</v>
      </c>
      <c r="AI5297">
        <v>90.285899423128896</v>
      </c>
      <c r="AJ5297">
        <v>91.375269538392999</v>
      </c>
      <c r="AK5297">
        <v>232.563580516087</v>
      </c>
      <c r="AL5297">
        <v>78.357597487011901</v>
      </c>
      <c r="AM5297">
        <v>94.862456774898902</v>
      </c>
      <c r="AN5297">
        <v>0.99999993128704501</v>
      </c>
    </row>
    <row r="5298" spans="1:40" x14ac:dyDescent="0.25">
      <c r="A5298" t="str">
        <f>"20190304154902855"</f>
        <v>20190304154902855</v>
      </c>
      <c r="B5298" t="str">
        <f>"1551685742842643"</f>
        <v>1551685742842643</v>
      </c>
      <c r="C5298" t="s">
        <v>40</v>
      </c>
      <c r="D5298">
        <v>4.1443940000000001</v>
      </c>
      <c r="E5298">
        <v>0.52012040000000004</v>
      </c>
      <c r="F5298" t="s">
        <v>45</v>
      </c>
      <c r="G5298">
        <v>-539.80989999999997</v>
      </c>
      <c r="H5298">
        <v>-0.05</v>
      </c>
      <c r="I5298">
        <v>134.2123</v>
      </c>
      <c r="J5298">
        <v>-305.54820000000001</v>
      </c>
      <c r="K5298">
        <v>1.110447</v>
      </c>
      <c r="L5298">
        <v>141.51249999999999</v>
      </c>
      <c r="M5298">
        <v>-0.99991140000000001</v>
      </c>
      <c r="N5298">
        <v>-1.1517690000000001E-2</v>
      </c>
      <c r="O5298">
        <v>-6.6866069999999998E-3</v>
      </c>
      <c r="P5298">
        <v>-0.97761690000000001</v>
      </c>
      <c r="Q5298">
        <v>0.19029840000000001</v>
      </c>
      <c r="R5298">
        <v>-8.9732190000000003E-2</v>
      </c>
      <c r="S5298">
        <v>-3.0630489999999999</v>
      </c>
      <c r="T5298">
        <v>-1.515353E-2</v>
      </c>
      <c r="U5298">
        <v>-9.535217E-2</v>
      </c>
      <c r="V5298">
        <v>-8.3112309999999995E-2</v>
      </c>
      <c r="W5298">
        <v>0.2015856</v>
      </c>
      <c r="X5298">
        <v>0.97593830000000004</v>
      </c>
      <c r="Y5298">
        <v>-2.4429389999999999E-2</v>
      </c>
      <c r="Z5298">
        <v>-2.4507080000000001E-4</v>
      </c>
      <c r="AA5298">
        <v>0.99970150000000002</v>
      </c>
      <c r="AB5298">
        <v>31</v>
      </c>
      <c r="AC5298">
        <v>-234.26169999999999</v>
      </c>
      <c r="AD5298">
        <v>-1.160447</v>
      </c>
      <c r="AE5298">
        <v>-7.3001999999999896</v>
      </c>
      <c r="AF5298">
        <v>-5.7333765321205501</v>
      </c>
      <c r="AG5298">
        <v>-1.160447</v>
      </c>
      <c r="AH5298">
        <v>234.29953526420999</v>
      </c>
      <c r="AI5298">
        <v>90.283689314984002</v>
      </c>
      <c r="AJ5298">
        <v>91.401764340383195</v>
      </c>
      <c r="AK5298">
        <v>234.372546320434</v>
      </c>
      <c r="AL5298">
        <v>78.370303919693697</v>
      </c>
      <c r="AM5298">
        <v>94.867646216772897</v>
      </c>
      <c r="AN5298">
        <v>0.99999998780389199</v>
      </c>
    </row>
    <row r="5299" spans="1:40" x14ac:dyDescent="0.25">
      <c r="A5299" t="str">
        <f>"20190304154902875"</f>
        <v>20190304154902875</v>
      </c>
      <c r="B5299" t="str">
        <f>"1551685742872899"</f>
        <v>1551685742872899</v>
      </c>
      <c r="C5299" t="s">
        <v>40</v>
      </c>
      <c r="D5299">
        <v>4.149508</v>
      </c>
      <c r="E5299">
        <v>0.52001679999999995</v>
      </c>
      <c r="F5299" t="s">
        <v>68</v>
      </c>
      <c r="G5299">
        <v>-499.95780000000002</v>
      </c>
      <c r="H5299">
        <v>4.7694840000000002E-2</v>
      </c>
      <c r="I5299">
        <v>135.42400000000001</v>
      </c>
      <c r="J5299">
        <v>-305.84539999999998</v>
      </c>
      <c r="K5299">
        <v>1.1104419999999999</v>
      </c>
      <c r="L5299">
        <v>141.51070000000001</v>
      </c>
      <c r="M5299">
        <v>-0.99991289999999999</v>
      </c>
      <c r="N5299">
        <v>-1.14926E-2</v>
      </c>
      <c r="O5299">
        <v>-6.4941869999999898E-3</v>
      </c>
      <c r="P5299">
        <v>-0.97764989999999996</v>
      </c>
      <c r="Q5299">
        <v>0.1901967</v>
      </c>
      <c r="R5299">
        <v>-8.9587169999999994E-2</v>
      </c>
      <c r="S5299">
        <v>-3.0631409999999999</v>
      </c>
      <c r="T5299">
        <v>-1.6744849999999999E-2</v>
      </c>
      <c r="U5299">
        <v>-9.5932009999999998E-2</v>
      </c>
      <c r="V5299">
        <v>-8.3150790000000002E-2</v>
      </c>
      <c r="W5299">
        <v>0.20146140000000001</v>
      </c>
      <c r="X5299">
        <v>0.97596070000000001</v>
      </c>
      <c r="Y5299">
        <v>-2.4809709999999999E-2</v>
      </c>
      <c r="Z5299">
        <v>-2.4953319999999998E-4</v>
      </c>
      <c r="AA5299">
        <v>0.99969209999999997</v>
      </c>
      <c r="AB5299">
        <v>31</v>
      </c>
      <c r="AC5299">
        <v>-194.11240000000001</v>
      </c>
      <c r="AD5299">
        <v>-1.06274716</v>
      </c>
      <c r="AE5299">
        <v>-6.0867000000000004</v>
      </c>
      <c r="AF5299">
        <v>-4.8257416785478098</v>
      </c>
      <c r="AG5299">
        <v>-1.06274716</v>
      </c>
      <c r="AH5299">
        <v>194.14202328787201</v>
      </c>
      <c r="AI5299">
        <v>90.313541169584298</v>
      </c>
      <c r="AJ5299">
        <v>91.423894233542299</v>
      </c>
      <c r="AK5299">
        <v>194.20489803448001</v>
      </c>
      <c r="AL5299">
        <v>78.377569475343805</v>
      </c>
      <c r="AM5299">
        <v>94.869777807652596</v>
      </c>
      <c r="AN5299">
        <v>1.0000000187560301</v>
      </c>
    </row>
    <row r="5300" spans="1:40" x14ac:dyDescent="0.25">
      <c r="A5300" t="str">
        <f>"20190304154902890"</f>
        <v>20190304154902890</v>
      </c>
      <c r="B5300" t="str">
        <f>"1551685742882659"</f>
        <v>1551685742882659</v>
      </c>
      <c r="C5300" t="s">
        <v>40</v>
      </c>
      <c r="D5300">
        <v>4.1312290000000003</v>
      </c>
      <c r="E5300">
        <v>0.51997689999999996</v>
      </c>
      <c r="F5300" t="s">
        <v>68</v>
      </c>
      <c r="G5300">
        <v>-493.31740000000002</v>
      </c>
      <c r="H5300" s="1">
        <v>-9.6123620000000007E-6</v>
      </c>
      <c r="I5300">
        <v>135.60980000000001</v>
      </c>
      <c r="J5300">
        <v>-306.05509999999998</v>
      </c>
      <c r="K5300">
        <v>1.1104350000000001</v>
      </c>
      <c r="L5300">
        <v>141.5095</v>
      </c>
      <c r="M5300">
        <v>-0.99991410000000003</v>
      </c>
      <c r="N5300">
        <v>-1.1476170000000001E-2</v>
      </c>
      <c r="O5300">
        <v>-6.3546729999999999E-3</v>
      </c>
      <c r="P5300">
        <v>-0.97767269999999995</v>
      </c>
      <c r="Q5300">
        <v>0.19016350000000001</v>
      </c>
      <c r="R5300">
        <v>-8.9411069999999995E-2</v>
      </c>
      <c r="S5300">
        <v>-3.0632630000000001</v>
      </c>
      <c r="T5300">
        <v>-1.8144609999999999E-2</v>
      </c>
      <c r="U5300">
        <v>-9.6420290000000006E-2</v>
      </c>
      <c r="V5300">
        <v>-8.3107890000000004E-2</v>
      </c>
      <c r="W5300">
        <v>0.2014138</v>
      </c>
      <c r="X5300">
        <v>0.97597409999999996</v>
      </c>
      <c r="Y5300">
        <v>-2.5106989999999999E-2</v>
      </c>
      <c r="Z5300">
        <v>-2.5373369999999999E-4</v>
      </c>
      <c r="AA5300">
        <v>0.99968480000000004</v>
      </c>
      <c r="AB5300">
        <v>31</v>
      </c>
      <c r="AC5300">
        <v>-187.26230000000001</v>
      </c>
      <c r="AD5300">
        <v>-1.110444612362</v>
      </c>
      <c r="AE5300">
        <v>-5.8996999999999904</v>
      </c>
      <c r="AF5300">
        <v>-4.7093465511795296</v>
      </c>
      <c r="AG5300">
        <v>-1.110444612362</v>
      </c>
      <c r="AH5300">
        <v>187.28943235514001</v>
      </c>
      <c r="AI5300">
        <v>90.339597062424602</v>
      </c>
      <c r="AJ5300">
        <v>91.440384720486193</v>
      </c>
      <c r="AK5300">
        <v>187.35192153828299</v>
      </c>
      <c r="AL5300">
        <v>78.380352926077606</v>
      </c>
      <c r="AM5300">
        <v>94.867210909504905</v>
      </c>
      <c r="AN5300">
        <v>0.99999994204074905</v>
      </c>
    </row>
    <row r="5301" spans="1:40" x14ac:dyDescent="0.25">
      <c r="A5301" t="str">
        <f>"20190304154902903"</f>
        <v>20190304154902903</v>
      </c>
      <c r="B5301" t="str">
        <f>"1551685742892419"</f>
        <v>1551685742892419</v>
      </c>
      <c r="C5301" t="s">
        <v>40</v>
      </c>
      <c r="D5301">
        <v>4.2318689999999997</v>
      </c>
      <c r="E5301">
        <v>0.51983990000000002</v>
      </c>
      <c r="F5301" t="s">
        <v>68</v>
      </c>
      <c r="G5301">
        <v>-488.20940000000002</v>
      </c>
      <c r="H5301" s="1">
        <v>-1.3185060000000001E-5</v>
      </c>
      <c r="I5301">
        <v>135.77789999999999</v>
      </c>
      <c r="J5301">
        <v>-306.2328</v>
      </c>
      <c r="K5301">
        <v>1.110428</v>
      </c>
      <c r="L5301">
        <v>141.5085</v>
      </c>
      <c r="M5301">
        <v>-0.999915</v>
      </c>
      <c r="N5301">
        <v>-1.14634E-2</v>
      </c>
      <c r="O5301">
        <v>-6.2339169999999899E-3</v>
      </c>
      <c r="P5301">
        <v>-0.97767440000000005</v>
      </c>
      <c r="Q5301">
        <v>0.19011069999999999</v>
      </c>
      <c r="R5301">
        <v>-8.9504739999999999E-2</v>
      </c>
      <c r="S5301">
        <v>-3.0633240000000002</v>
      </c>
      <c r="T5301">
        <v>-1.8674610000000001E-2</v>
      </c>
      <c r="U5301">
        <v>-9.638977E-2</v>
      </c>
      <c r="V5301">
        <v>-8.3317989999999995E-2</v>
      </c>
      <c r="W5301">
        <v>0.2013489</v>
      </c>
      <c r="X5301">
        <v>0.97596970000000005</v>
      </c>
      <c r="Y5301">
        <v>-2.5217070000000001E-2</v>
      </c>
      <c r="Z5301">
        <v>-2.548823E-4</v>
      </c>
      <c r="AA5301">
        <v>0.99968190000000001</v>
      </c>
      <c r="AB5301">
        <v>31</v>
      </c>
      <c r="AC5301">
        <v>-181.97659999999999</v>
      </c>
      <c r="AD5301">
        <v>-1.11044118506</v>
      </c>
      <c r="AE5301">
        <v>-5.7306000000000097</v>
      </c>
      <c r="AF5301">
        <v>-4.5958162677619203</v>
      </c>
      <c r="AG5301">
        <v>-1.11044118506</v>
      </c>
      <c r="AH5301">
        <v>182.002019700613</v>
      </c>
      <c r="AI5301">
        <v>90.349460572214198</v>
      </c>
      <c r="AJ5301">
        <v>91.446494548594501</v>
      </c>
      <c r="AK5301">
        <v>182.063422416187</v>
      </c>
      <c r="AL5301">
        <v>78.3841505997826</v>
      </c>
      <c r="AM5301">
        <v>94.879477968241801</v>
      </c>
      <c r="AN5301">
        <v>1.0000000611534601</v>
      </c>
    </row>
    <row r="5302" spans="1:40" x14ac:dyDescent="0.25">
      <c r="A5302" t="str">
        <f>"20190304154902915"</f>
        <v>20190304154902915</v>
      </c>
      <c r="B5302" t="str">
        <f>"1551685742912915"</f>
        <v>1551685742912915</v>
      </c>
      <c r="C5302" t="s">
        <v>40</v>
      </c>
      <c r="D5302">
        <v>4.1193780000000002</v>
      </c>
      <c r="E5302">
        <v>0.51978389999999997</v>
      </c>
      <c r="F5302" t="s">
        <v>68</v>
      </c>
      <c r="G5302">
        <v>-484.60199999999998</v>
      </c>
      <c r="H5302" s="1">
        <v>-1.206843E-5</v>
      </c>
      <c r="I5302">
        <v>135.81229999999999</v>
      </c>
      <c r="J5302">
        <v>-306.41090000000003</v>
      </c>
      <c r="K5302">
        <v>1.110422</v>
      </c>
      <c r="L5302">
        <v>141.50749999999999</v>
      </c>
      <c r="M5302">
        <v>-0.99991569999999996</v>
      </c>
      <c r="N5302">
        <v>-1.1451100000000001E-2</v>
      </c>
      <c r="O5302">
        <v>-6.1118569999999896E-3</v>
      </c>
      <c r="P5302">
        <v>-0.97770840000000003</v>
      </c>
      <c r="Q5302">
        <v>0.19011130000000001</v>
      </c>
      <c r="R5302">
        <v>-8.9128520000000003E-2</v>
      </c>
      <c r="S5302">
        <v>-3.0632630000000001</v>
      </c>
      <c r="T5302">
        <v>-1.907039E-2</v>
      </c>
      <c r="U5302">
        <v>-9.7824099999999997E-2</v>
      </c>
      <c r="V5302">
        <v>-8.3059399999999894E-2</v>
      </c>
      <c r="W5302">
        <v>0.20133860000000001</v>
      </c>
      <c r="X5302">
        <v>0.97599380000000002</v>
      </c>
      <c r="Y5302">
        <v>-2.5807259999999999E-2</v>
      </c>
      <c r="Z5302">
        <v>-2.6005409999999999E-4</v>
      </c>
      <c r="AA5302">
        <v>0.99966690000000002</v>
      </c>
      <c r="AB5302">
        <v>31</v>
      </c>
      <c r="AC5302">
        <v>-178.19109999999901</v>
      </c>
      <c r="AD5302">
        <v>-1.11043406843</v>
      </c>
      <c r="AE5302">
        <v>-5.6951999999999998</v>
      </c>
      <c r="AF5302">
        <v>-4.6057649419893396</v>
      </c>
      <c r="AG5302">
        <v>-1.11043406843</v>
      </c>
      <c r="AH5302">
        <v>178.21566813108501</v>
      </c>
      <c r="AI5302">
        <v>90.356877301309297</v>
      </c>
      <c r="AJ5302">
        <v>91.480409483358201</v>
      </c>
      <c r="AK5302">
        <v>178.27863164701</v>
      </c>
      <c r="AL5302">
        <v>78.384752325806602</v>
      </c>
      <c r="AM5302">
        <v>94.864287010303997</v>
      </c>
      <c r="AN5302">
        <v>0.99999999670838002</v>
      </c>
    </row>
    <row r="5303" spans="1:40" x14ac:dyDescent="0.25">
      <c r="A5303" t="str">
        <f>"20190304154902932"</f>
        <v>20190304154902932</v>
      </c>
      <c r="B5303" t="str">
        <f>"1551685742922676"</f>
        <v>1551685742922676</v>
      </c>
      <c r="C5303" t="s">
        <v>40</v>
      </c>
      <c r="D5303">
        <v>4.1523469999999998</v>
      </c>
      <c r="E5303">
        <v>0.5197425</v>
      </c>
      <c r="F5303" t="s">
        <v>68</v>
      </c>
      <c r="G5303">
        <v>-478.46719999999999</v>
      </c>
      <c r="H5303" s="1">
        <v>-3.6226459999999998E-6</v>
      </c>
      <c r="I5303">
        <v>136.04740000000001</v>
      </c>
      <c r="J5303">
        <v>-306.63959999999997</v>
      </c>
      <c r="K5303">
        <v>1.11042</v>
      </c>
      <c r="L5303">
        <v>141.50630000000001</v>
      </c>
      <c r="M5303">
        <v>-0.9999169</v>
      </c>
      <c r="N5303">
        <v>-1.143633E-2</v>
      </c>
      <c r="O5303">
        <v>-5.9531799999999998E-3</v>
      </c>
      <c r="P5303">
        <v>-0.97765469999999999</v>
      </c>
      <c r="Q5303">
        <v>0.19038469999999999</v>
      </c>
      <c r="R5303">
        <v>-8.9136709999999994E-2</v>
      </c>
      <c r="S5303">
        <v>-3.0633849999999998</v>
      </c>
      <c r="T5303">
        <v>-1.9770619999999999E-2</v>
      </c>
      <c r="U5303">
        <v>-9.7213750000000002E-2</v>
      </c>
      <c r="V5303">
        <v>-8.3221489999999995E-2</v>
      </c>
      <c r="W5303">
        <v>0.20159779999999999</v>
      </c>
      <c r="X5303">
        <v>0.97592650000000003</v>
      </c>
      <c r="Y5303">
        <v>-2.576558E-2</v>
      </c>
      <c r="Z5303">
        <v>-2.6016E-4</v>
      </c>
      <c r="AA5303">
        <v>0.999668</v>
      </c>
      <c r="AB5303">
        <v>31</v>
      </c>
      <c r="AC5303">
        <v>-171.82759999999999</v>
      </c>
      <c r="AD5303">
        <v>-1.110423622646</v>
      </c>
      <c r="AE5303">
        <v>-5.4588999999999999</v>
      </c>
      <c r="AF5303">
        <v>-4.4356306822601903</v>
      </c>
      <c r="AG5303">
        <v>-1.110423622646</v>
      </c>
      <c r="AH5303">
        <v>171.849884970863</v>
      </c>
      <c r="AI5303">
        <v>90.3700934686875</v>
      </c>
      <c r="AJ5303">
        <v>91.4785375183761</v>
      </c>
      <c r="AK5303">
        <v>171.91070596292201</v>
      </c>
      <c r="AL5303">
        <v>78.369590537535501</v>
      </c>
      <c r="AM5303">
        <v>94.874068436115095</v>
      </c>
      <c r="AN5303">
        <v>1.0000000113824501</v>
      </c>
    </row>
    <row r="5304" spans="1:40" x14ac:dyDescent="0.25">
      <c r="A5304" t="str">
        <f>"20190304154902954"</f>
        <v>20190304154902954</v>
      </c>
      <c r="B5304" t="str">
        <f>"1551685742942194"</f>
        <v>1551685742942194</v>
      </c>
      <c r="C5304" t="s">
        <v>40</v>
      </c>
      <c r="D5304">
        <v>4.2900080000000003</v>
      </c>
      <c r="E5304">
        <v>0.51970070000000002</v>
      </c>
      <c r="F5304" t="s">
        <v>68</v>
      </c>
      <c r="G5304">
        <v>-484.65640000000002</v>
      </c>
      <c r="H5304" s="1">
        <v>-1.2081329999999999E-5</v>
      </c>
      <c r="I5304">
        <v>135.8296</v>
      </c>
      <c r="J5304">
        <v>-306.9468</v>
      </c>
      <c r="K5304">
        <v>1.1104160000000001</v>
      </c>
      <c r="L5304">
        <v>141.50460000000001</v>
      </c>
      <c r="M5304">
        <v>-0.99991850000000004</v>
      </c>
      <c r="N5304">
        <v>-1.1418080000000001E-2</v>
      </c>
      <c r="O5304">
        <v>-5.7362969999999996E-3</v>
      </c>
      <c r="P5304">
        <v>-0.97761620000000005</v>
      </c>
      <c r="Q5304">
        <v>0.19068740000000001</v>
      </c>
      <c r="R5304">
        <v>-8.8912260000000007E-2</v>
      </c>
      <c r="S5304">
        <v>-3.0633849999999998</v>
      </c>
      <c r="T5304">
        <v>-1.9108770000000001E-2</v>
      </c>
      <c r="U5304">
        <v>-9.7686770000000006E-2</v>
      </c>
      <c r="V5304">
        <v>-8.3206269999999999E-2</v>
      </c>
      <c r="W5304">
        <v>0.2018827</v>
      </c>
      <c r="X5304">
        <v>0.97586890000000004</v>
      </c>
      <c r="Y5304">
        <v>-2.6136659999999999E-2</v>
      </c>
      <c r="Z5304">
        <v>-2.6047210000000002E-4</v>
      </c>
      <c r="AA5304">
        <v>0.9996583</v>
      </c>
      <c r="AB5304">
        <v>31</v>
      </c>
      <c r="AC5304">
        <v>-177.70959999999999</v>
      </c>
      <c r="AD5304">
        <v>-1.11042808132999</v>
      </c>
      <c r="AE5304">
        <v>-5.6750000000000096</v>
      </c>
      <c r="AF5304">
        <v>-4.6552636844217004</v>
      </c>
      <c r="AG5304">
        <v>-1.11042808132999</v>
      </c>
      <c r="AH5304">
        <v>177.73229903542401</v>
      </c>
      <c r="AI5304">
        <v>90.357842681910597</v>
      </c>
      <c r="AJ5304">
        <v>91.500380021853204</v>
      </c>
      <c r="AK5304">
        <v>177.79672283513199</v>
      </c>
      <c r="AL5304">
        <v>78.352924267846504</v>
      </c>
      <c r="AM5304">
        <v>94.873467583918796</v>
      </c>
      <c r="AN5304">
        <v>1.0000000089569001</v>
      </c>
    </row>
    <row r="5305" spans="1:40" x14ac:dyDescent="0.25">
      <c r="A5305" t="str">
        <f>"20190304154902969"</f>
        <v>20190304154902969</v>
      </c>
      <c r="B5305" t="str">
        <f>"1551685742962691"</f>
        <v>1551685742962691</v>
      </c>
      <c r="C5305" t="s">
        <v>40</v>
      </c>
      <c r="D5305">
        <v>4.1106280000000002</v>
      </c>
      <c r="E5305">
        <v>0.51962609999999998</v>
      </c>
      <c r="F5305" t="s">
        <v>68</v>
      </c>
      <c r="G5305">
        <v>-491.84289999999999</v>
      </c>
      <c r="H5305" s="1">
        <v>-1.014861E-5</v>
      </c>
      <c r="I5305">
        <v>135.6113</v>
      </c>
      <c r="J5305">
        <v>-307.15820000000002</v>
      </c>
      <c r="K5305">
        <v>1.110406</v>
      </c>
      <c r="L5305">
        <v>141.50360000000001</v>
      </c>
      <c r="M5305">
        <v>-0.99991940000000001</v>
      </c>
      <c r="N5305">
        <v>-1.1403709999999999E-2</v>
      </c>
      <c r="O5305">
        <v>-5.5843050000000003E-3</v>
      </c>
      <c r="P5305">
        <v>-0.97763299999999997</v>
      </c>
      <c r="Q5305">
        <v>0.19069710000000001</v>
      </c>
      <c r="R5305">
        <v>-8.8703160000000003E-2</v>
      </c>
      <c r="S5305">
        <v>-3.0633849999999998</v>
      </c>
      <c r="T5305">
        <v>-1.8397690000000001E-2</v>
      </c>
      <c r="U5305">
        <v>-9.7640989999999997E-2</v>
      </c>
      <c r="V5305">
        <v>-8.3143969999999998E-2</v>
      </c>
      <c r="W5305">
        <v>0.201879</v>
      </c>
      <c r="X5305">
        <v>0.97587500000000005</v>
      </c>
      <c r="Y5305">
        <v>-2.627376E-2</v>
      </c>
      <c r="Z5305">
        <v>-2.5887319999999997E-4</v>
      </c>
      <c r="AA5305">
        <v>0.99965479999999995</v>
      </c>
      <c r="AB5305">
        <v>31</v>
      </c>
      <c r="AC5305">
        <v>-184.68469999999999</v>
      </c>
      <c r="AD5305">
        <v>-1.1104161486099999</v>
      </c>
      <c r="AE5305">
        <v>-5.8922999999999996</v>
      </c>
      <c r="AF5305">
        <v>-4.8606298379220396</v>
      </c>
      <c r="AG5305">
        <v>-1.1104161486099999</v>
      </c>
      <c r="AH5305">
        <v>184.70805606819599</v>
      </c>
      <c r="AI5305">
        <v>90.344323778362096</v>
      </c>
      <c r="AJ5305">
        <v>91.507402132057805</v>
      </c>
      <c r="AK5305">
        <v>184.77533580793801</v>
      </c>
      <c r="AL5305">
        <v>78.353141002964705</v>
      </c>
      <c r="AM5305">
        <v>94.869805876579306</v>
      </c>
      <c r="AN5305">
        <v>1.0000000330066801</v>
      </c>
    </row>
    <row r="5306" spans="1:40" x14ac:dyDescent="0.25">
      <c r="A5306" t="str">
        <f>"20190304154902983"</f>
        <v>20190304154902983</v>
      </c>
      <c r="B5306" t="str">
        <f>"1551685742972451"</f>
        <v>1551685742972451</v>
      </c>
      <c r="C5306" t="s">
        <v>40</v>
      </c>
      <c r="D5306">
        <v>4.0925250000000002</v>
      </c>
      <c r="E5306">
        <v>0.51960779999999995</v>
      </c>
      <c r="F5306" t="s">
        <v>68</v>
      </c>
      <c r="G5306">
        <v>-487.61020000000002</v>
      </c>
      <c r="H5306" s="1">
        <v>-1.300836E-5</v>
      </c>
      <c r="I5306">
        <v>135.744</v>
      </c>
      <c r="J5306">
        <v>-307.34989999999999</v>
      </c>
      <c r="K5306">
        <v>1.1104050000000001</v>
      </c>
      <c r="L5306">
        <v>141.5027</v>
      </c>
      <c r="M5306">
        <v>-0.99992040000000004</v>
      </c>
      <c r="N5306">
        <v>-1.138979E-2</v>
      </c>
      <c r="O5306">
        <v>-5.4441200000000002E-3</v>
      </c>
      <c r="P5306">
        <v>-0.97769870000000003</v>
      </c>
      <c r="Q5306">
        <v>0.19035579999999999</v>
      </c>
      <c r="R5306">
        <v>-8.8716450000000002E-2</v>
      </c>
      <c r="S5306">
        <v>-3.0634459999999999</v>
      </c>
      <c r="T5306">
        <v>-1.8851039999999999E-2</v>
      </c>
      <c r="U5306">
        <v>-9.7778320000000002E-2</v>
      </c>
      <c r="V5306">
        <v>-8.3292539999999998E-2</v>
      </c>
      <c r="W5306">
        <v>0.20152590000000001</v>
      </c>
      <c r="X5306">
        <v>0.97593529999999995</v>
      </c>
      <c r="Y5306">
        <v>-2.6457990000000001E-2</v>
      </c>
      <c r="Z5306">
        <v>-2.6061109999999998E-4</v>
      </c>
      <c r="AA5306">
        <v>0.99964989999999998</v>
      </c>
      <c r="AB5306">
        <v>31</v>
      </c>
      <c r="AC5306">
        <v>-180.2603</v>
      </c>
      <c r="AD5306">
        <v>-1.1104180083599999</v>
      </c>
      <c r="AE5306">
        <v>-5.7587000000000002</v>
      </c>
      <c r="AF5306">
        <v>-4.7770112816755397</v>
      </c>
      <c r="AG5306">
        <v>-1.1104180083599999</v>
      </c>
      <c r="AH5306">
        <v>180.28214728282299</v>
      </c>
      <c r="AI5306">
        <v>90.352775576417699</v>
      </c>
      <c r="AJ5306">
        <v>91.517835013042898</v>
      </c>
      <c r="AK5306">
        <v>180.34884389383799</v>
      </c>
      <c r="AL5306">
        <v>78.373796559868396</v>
      </c>
      <c r="AM5306">
        <v>94.878165805181993</v>
      </c>
      <c r="AN5306">
        <v>1.0000000226882699</v>
      </c>
    </row>
    <row r="5307" spans="1:40" x14ac:dyDescent="0.25">
      <c r="A5307" t="str">
        <f>"20190304154902999"</f>
        <v>20190304154902999</v>
      </c>
      <c r="B5307" t="str">
        <f>"1551685742992947"</f>
        <v>1551685742992947</v>
      </c>
      <c r="C5307" t="s">
        <v>40</v>
      </c>
      <c r="D5307">
        <v>4.0790749999999996</v>
      </c>
      <c r="E5307">
        <v>0.5196016</v>
      </c>
      <c r="F5307" t="s">
        <v>68</v>
      </c>
      <c r="G5307">
        <v>-476.00889999999998</v>
      </c>
      <c r="H5307" s="1">
        <v>-4.8973730000000002E-6</v>
      </c>
      <c r="I5307">
        <v>136.11279999999999</v>
      </c>
      <c r="J5307">
        <v>-307.5806</v>
      </c>
      <c r="K5307">
        <v>1.1103959999999999</v>
      </c>
      <c r="L5307">
        <v>141.5016</v>
      </c>
      <c r="M5307">
        <v>-0.99992159999999997</v>
      </c>
      <c r="N5307">
        <v>-1.137318E-2</v>
      </c>
      <c r="O5307">
        <v>-5.2702799999999996E-3</v>
      </c>
      <c r="P5307">
        <v>-0.97760020000000003</v>
      </c>
      <c r="Q5307">
        <v>0.1908185</v>
      </c>
      <c r="R5307">
        <v>-8.8805289999999995E-2</v>
      </c>
      <c r="S5307">
        <v>-3.063507</v>
      </c>
      <c r="T5307">
        <v>-2.0169380000000001E-2</v>
      </c>
      <c r="U5307">
        <v>-9.7900390000000004E-2</v>
      </c>
      <c r="V5307">
        <v>-8.3549490000000004E-2</v>
      </c>
      <c r="W5307">
        <v>0.20197190000000001</v>
      </c>
      <c r="X5307">
        <v>0.9758211</v>
      </c>
      <c r="Y5307">
        <v>-2.667077E-2</v>
      </c>
      <c r="Z5307">
        <v>-2.6472760000000002E-4</v>
      </c>
      <c r="AA5307">
        <v>0.99964419999999998</v>
      </c>
      <c r="AB5307">
        <v>31</v>
      </c>
      <c r="AC5307">
        <v>-168.42829999999901</v>
      </c>
      <c r="AD5307">
        <v>-1.110400897373</v>
      </c>
      <c r="AE5307">
        <v>-5.3887999999999998</v>
      </c>
      <c r="AF5307">
        <v>-4.5008081587833804</v>
      </c>
      <c r="AG5307">
        <v>-1.110400897373</v>
      </c>
      <c r="AH5307">
        <v>168.44704898733099</v>
      </c>
      <c r="AI5307">
        <v>90.377552865996606</v>
      </c>
      <c r="AJ5307">
        <v>91.530546074514902</v>
      </c>
      <c r="AK5307">
        <v>168.51082628951499</v>
      </c>
      <c r="AL5307">
        <v>78.347705795332701</v>
      </c>
      <c r="AM5307">
        <v>94.893711417421898</v>
      </c>
      <c r="AN5307">
        <v>0.99999999243703996</v>
      </c>
    </row>
    <row r="5308" spans="1:40" x14ac:dyDescent="0.25">
      <c r="A5308" t="str">
        <f>"20190304154903015"</f>
        <v>20190304154903015</v>
      </c>
      <c r="B5308" t="str">
        <f>"1551685743012467"</f>
        <v>1551685743012467</v>
      </c>
      <c r="C5308" t="s">
        <v>40</v>
      </c>
      <c r="D5308">
        <v>4.1829729999999996</v>
      </c>
      <c r="E5308">
        <v>0.51954330000000004</v>
      </c>
      <c r="F5308" t="s">
        <v>68</v>
      </c>
      <c r="G5308">
        <v>-483.935</v>
      </c>
      <c r="H5308" s="1">
        <v>-1.185872E-5</v>
      </c>
      <c r="I5308">
        <v>135.83340000000001</v>
      </c>
      <c r="J5308">
        <v>-307.7998</v>
      </c>
      <c r="K5308">
        <v>1.11039</v>
      </c>
      <c r="L5308">
        <v>141.50059999999999</v>
      </c>
      <c r="M5308">
        <v>-0.99992250000000005</v>
      </c>
      <c r="N5308">
        <v>-1.135807E-2</v>
      </c>
      <c r="O5308">
        <v>-5.098577E-3</v>
      </c>
      <c r="P5308">
        <v>-0.97761679999999995</v>
      </c>
      <c r="Q5308">
        <v>0.19068089999999999</v>
      </c>
      <c r="R5308">
        <v>-8.8917350000000006E-2</v>
      </c>
      <c r="S5308">
        <v>-3.0635680000000001</v>
      </c>
      <c r="T5308">
        <v>-1.9289609999999999E-2</v>
      </c>
      <c r="U5308">
        <v>-9.8464969999999999E-2</v>
      </c>
      <c r="V5308">
        <v>-8.3826699999999907E-2</v>
      </c>
      <c r="W5308">
        <v>0.2018211</v>
      </c>
      <c r="X5308">
        <v>0.97582849999999999</v>
      </c>
      <c r="Y5308">
        <v>-2.702591E-2</v>
      </c>
      <c r="Z5308">
        <v>-2.6439589999999999E-4</v>
      </c>
      <c r="AA5308">
        <v>0.99963469999999999</v>
      </c>
      <c r="AB5308">
        <v>31</v>
      </c>
      <c r="AC5308">
        <v>-176.1352</v>
      </c>
      <c r="AD5308">
        <v>-1.11040185872</v>
      </c>
      <c r="AE5308">
        <v>-5.6671999999999798</v>
      </c>
      <c r="AF5308">
        <v>-4.7688401859168703</v>
      </c>
      <c r="AG5308">
        <v>-1.11040185872</v>
      </c>
      <c r="AH5308">
        <v>176.15481304930699</v>
      </c>
      <c r="AI5308">
        <v>90.361030144220507</v>
      </c>
      <c r="AJ5308">
        <v>91.550725129378506</v>
      </c>
      <c r="AK5308">
        <v>176.22285036124899</v>
      </c>
      <c r="AL5308">
        <v>78.356527365448599</v>
      </c>
      <c r="AM5308">
        <v>94.909832036654393</v>
      </c>
      <c r="AN5308">
        <v>0.99999996672517399</v>
      </c>
    </row>
    <row r="5309" spans="1:40" x14ac:dyDescent="0.25">
      <c r="A5309" t="str">
        <f>"20190304154903043"</f>
        <v>20190304154903043</v>
      </c>
      <c r="B5309" t="str">
        <f>"1551685743032964"</f>
        <v>1551685743032964</v>
      </c>
      <c r="C5309" t="s">
        <v>40</v>
      </c>
      <c r="D5309">
        <v>4.2122419999999998</v>
      </c>
      <c r="E5309">
        <v>0.53310690000000005</v>
      </c>
      <c r="F5309" t="s">
        <v>68</v>
      </c>
      <c r="G5309">
        <v>-474.20049999999998</v>
      </c>
      <c r="H5309" s="1">
        <v>-5.77774E-6</v>
      </c>
      <c r="I5309">
        <v>136.1052</v>
      </c>
      <c r="J5309">
        <v>-308.20100000000002</v>
      </c>
      <c r="K5309">
        <v>1.1103620000000001</v>
      </c>
      <c r="L5309">
        <v>141.49889999999999</v>
      </c>
      <c r="M5309">
        <v>-0.99992460000000005</v>
      </c>
      <c r="N5309">
        <v>-1.133348E-2</v>
      </c>
      <c r="O5309">
        <v>-4.7612310000000003E-3</v>
      </c>
      <c r="P5309">
        <v>-0.97761980000000004</v>
      </c>
      <c r="Q5309">
        <v>0.1906099</v>
      </c>
      <c r="R5309">
        <v>-8.903991E-2</v>
      </c>
      <c r="S5309">
        <v>-3.0636290000000002</v>
      </c>
      <c r="T5309">
        <v>-2.0443679999999999E-2</v>
      </c>
      <c r="U5309">
        <v>-9.9334720000000001E-2</v>
      </c>
      <c r="V5309">
        <v>-8.4270349999999994E-2</v>
      </c>
      <c r="W5309">
        <v>0.20172950000000001</v>
      </c>
      <c r="X5309">
        <v>0.97580929999999999</v>
      </c>
      <c r="Y5309">
        <v>-2.764583E-2</v>
      </c>
      <c r="Z5309">
        <v>-2.7111600000000001E-4</v>
      </c>
      <c r="AA5309">
        <v>0.9996178</v>
      </c>
      <c r="AB5309">
        <v>31</v>
      </c>
      <c r="AC5309">
        <v>-165.99950000000001</v>
      </c>
      <c r="AD5309">
        <v>-1.1103677777399901</v>
      </c>
      <c r="AE5309">
        <v>-5.3936999999999902</v>
      </c>
      <c r="AF5309">
        <v>-4.60302051985758</v>
      </c>
      <c r="AG5309">
        <v>-1.1103677777399901</v>
      </c>
      <c r="AH5309">
        <v>166.01588036732099</v>
      </c>
      <c r="AI5309">
        <v>90.383059741118998</v>
      </c>
      <c r="AJ5309">
        <v>91.588198053114496</v>
      </c>
      <c r="AK5309">
        <v>166.08339245284199</v>
      </c>
      <c r="AL5309">
        <v>78.361886697249105</v>
      </c>
      <c r="AM5309">
        <v>94.9357857653103</v>
      </c>
      <c r="AN5309">
        <v>1.00000003651293</v>
      </c>
    </row>
    <row r="5310" spans="1:40" x14ac:dyDescent="0.25">
      <c r="A5310" t="str">
        <f>"20190304154903066"</f>
        <v>20190304154903066</v>
      </c>
      <c r="B5310" t="str">
        <f>"1551685743062243"</f>
        <v>1551685743062243</v>
      </c>
      <c r="C5310" t="s">
        <v>40</v>
      </c>
      <c r="D5310">
        <v>4.1581149999999996</v>
      </c>
      <c r="E5310">
        <v>0.53437670000000004</v>
      </c>
      <c r="F5310" t="s">
        <v>44</v>
      </c>
      <c r="G5310">
        <v>-454.4579</v>
      </c>
      <c r="H5310" s="1">
        <v>-1.9523529999999999E-6</v>
      </c>
      <c r="I5310">
        <v>141.893</v>
      </c>
      <c r="J5310">
        <v>-308.51990000000001</v>
      </c>
      <c r="K5310">
        <v>1.1103369999999999</v>
      </c>
      <c r="L5310">
        <v>141.49770000000001</v>
      </c>
      <c r="M5310">
        <v>-0.99992610000000004</v>
      </c>
      <c r="N5310">
        <v>-1.1316130000000001E-2</v>
      </c>
      <c r="O5310">
        <v>-4.4726899999999997E-3</v>
      </c>
      <c r="P5310">
        <v>-0.97773350000000003</v>
      </c>
      <c r="Q5310">
        <v>0.19025900000000001</v>
      </c>
      <c r="R5310">
        <v>-8.8537969999999994E-2</v>
      </c>
      <c r="S5310">
        <v>-3.0739749999999999</v>
      </c>
      <c r="T5310">
        <v>-2.3337239999999999E-2</v>
      </c>
      <c r="U5310">
        <v>8.285522E-3</v>
      </c>
      <c r="V5310">
        <v>-8.404317E-2</v>
      </c>
      <c r="W5310">
        <v>0.20136609999999999</v>
      </c>
      <c r="X5310">
        <v>0.97590390000000005</v>
      </c>
      <c r="Y5310">
        <v>7.167756E-3</v>
      </c>
      <c r="Z5310" s="1">
        <v>5.1106449999999999E-5</v>
      </c>
      <c r="AA5310">
        <v>0.99997429999999998</v>
      </c>
      <c r="AB5310">
        <v>31</v>
      </c>
      <c r="AC5310">
        <v>-145.93799999999999</v>
      </c>
      <c r="AD5310">
        <v>-1.1103389523530001</v>
      </c>
      <c r="AE5310">
        <v>0.39529999999999099</v>
      </c>
      <c r="AF5310">
        <v>1.0480125241834499</v>
      </c>
      <c r="AG5310">
        <v>-1.1103389523530001</v>
      </c>
      <c r="AH5310">
        <v>145.92632485174801</v>
      </c>
      <c r="AI5310">
        <v>90.435938256501402</v>
      </c>
      <c r="AJ5310">
        <v>89.588520698784393</v>
      </c>
      <c r="AK5310">
        <v>145.934312166734</v>
      </c>
      <c r="AL5310">
        <v>78.383143683166395</v>
      </c>
      <c r="AM5310">
        <v>94.922070282833701</v>
      </c>
      <c r="AN5310">
        <v>0.99999999134403394</v>
      </c>
    </row>
    <row r="5311" spans="1:40" x14ac:dyDescent="0.25">
      <c r="A5311" t="str">
        <f>"20190304154903088"</f>
        <v>20190304154903088</v>
      </c>
      <c r="B5311" t="str">
        <f>"1551685743082739"</f>
        <v>1551685743082739</v>
      </c>
      <c r="C5311" t="s">
        <v>40</v>
      </c>
      <c r="D5311">
        <v>4.1615279999999997</v>
      </c>
      <c r="E5311">
        <v>0.53553869999999903</v>
      </c>
      <c r="F5311" t="s">
        <v>68</v>
      </c>
      <c r="G5311">
        <v>-470.4479</v>
      </c>
      <c r="H5311" s="1">
        <v>-6.3282550000000003E-6</v>
      </c>
      <c r="I5311">
        <v>142.55449999999999</v>
      </c>
      <c r="J5311">
        <v>-308.83440000000002</v>
      </c>
      <c r="K5311">
        <v>1.110317</v>
      </c>
      <c r="L5311">
        <v>141.4966</v>
      </c>
      <c r="M5311">
        <v>-0.99992760000000003</v>
      </c>
      <c r="N5311">
        <v>-1.130072E-2</v>
      </c>
      <c r="O5311">
        <v>-4.1667400000000004E-3</v>
      </c>
      <c r="P5311">
        <v>-0.97782420000000003</v>
      </c>
      <c r="Q5311">
        <v>0.18988269999999999</v>
      </c>
      <c r="R5311">
        <v>-8.8343900000000003E-2</v>
      </c>
      <c r="S5311">
        <v>-3.0742799999999999</v>
      </c>
      <c r="T5311">
        <v>-2.1080370000000001E-2</v>
      </c>
      <c r="U5311">
        <v>2.0065309999999999E-2</v>
      </c>
      <c r="V5311">
        <v>-8.4139829999999999E-2</v>
      </c>
      <c r="W5311">
        <v>0.20097889999999999</v>
      </c>
      <c r="X5311">
        <v>0.97597540000000005</v>
      </c>
      <c r="Y5311">
        <v>1.069285E-2</v>
      </c>
      <c r="Z5311" s="1">
        <v>7.8564869999999995E-5</v>
      </c>
      <c r="AA5311">
        <v>0.99994280000000002</v>
      </c>
      <c r="AB5311">
        <v>31</v>
      </c>
      <c r="AC5311">
        <v>-161.61349999999999</v>
      </c>
      <c r="AD5311">
        <v>-1.110323328255</v>
      </c>
      <c r="AE5311">
        <v>1.0578999999999801</v>
      </c>
      <c r="AF5311">
        <v>1.73125344921886</v>
      </c>
      <c r="AG5311">
        <v>-1.110323328255</v>
      </c>
      <c r="AH5311">
        <v>161.6000613704</v>
      </c>
      <c r="AI5311">
        <v>90.393639635830993</v>
      </c>
      <c r="AJ5311">
        <v>89.386202452967694</v>
      </c>
      <c r="AK5311">
        <v>161.61314888125801</v>
      </c>
      <c r="AL5311">
        <v>78.405791792078404</v>
      </c>
      <c r="AM5311">
        <v>94.9273441853652</v>
      </c>
      <c r="AN5311">
        <v>1.00000000532139</v>
      </c>
    </row>
    <row r="5312" spans="1:40" x14ac:dyDescent="0.25">
      <c r="A5312" t="str">
        <f>"20190304154903111"</f>
        <v>20190304154903111</v>
      </c>
      <c r="B5312" t="str">
        <f>"1551685743102259"</f>
        <v>1551685743102259</v>
      </c>
      <c r="C5312" t="s">
        <v>40</v>
      </c>
      <c r="D5312">
        <v>4.1121400000000001</v>
      </c>
      <c r="E5312">
        <v>0.53616239999999904</v>
      </c>
      <c r="F5312" t="s">
        <v>68</v>
      </c>
      <c r="G5312">
        <v>-480.98020000000002</v>
      </c>
      <c r="H5312" s="1">
        <v>-9.7811569999999995E-6</v>
      </c>
      <c r="I5312">
        <v>143.16849999999999</v>
      </c>
      <c r="J5312">
        <v>-309.14429999999999</v>
      </c>
      <c r="K5312">
        <v>1.110304</v>
      </c>
      <c r="L5312">
        <v>141.4956</v>
      </c>
      <c r="M5312">
        <v>-0.99992910000000002</v>
      </c>
      <c r="N5312">
        <v>-1.1287439999999999E-2</v>
      </c>
      <c r="O5312">
        <v>-3.841602E-3</v>
      </c>
      <c r="P5312">
        <v>-0.97787299999999999</v>
      </c>
      <c r="Q5312">
        <v>0.18996830000000001</v>
      </c>
      <c r="R5312">
        <v>-8.7616760000000002E-2</v>
      </c>
      <c r="S5312">
        <v>-3.0745849999999999</v>
      </c>
      <c r="T5312">
        <v>-1.9830819999999999E-2</v>
      </c>
      <c r="U5312">
        <v>2.9861450000000001E-2</v>
      </c>
      <c r="V5312">
        <v>-8.3721489999999996E-2</v>
      </c>
      <c r="W5312">
        <v>0.20105509999999999</v>
      </c>
      <c r="X5312">
        <v>0.97599570000000002</v>
      </c>
      <c r="Y5312">
        <v>1.3552669999999999E-2</v>
      </c>
      <c r="Z5312">
        <v>1.0161400000000001E-4</v>
      </c>
      <c r="AA5312">
        <v>0.99990809999999997</v>
      </c>
      <c r="AB5312">
        <v>31</v>
      </c>
      <c r="AC5312">
        <v>-171.83590000000001</v>
      </c>
      <c r="AD5312">
        <v>-1.1103137811570001</v>
      </c>
      <c r="AE5312">
        <v>1.6728999999999901</v>
      </c>
      <c r="AF5312">
        <v>2.3329573320762198</v>
      </c>
      <c r="AG5312">
        <v>-1.1103137811570001</v>
      </c>
      <c r="AH5312">
        <v>171.82103187418099</v>
      </c>
      <c r="AI5312">
        <v>90.3702081428128</v>
      </c>
      <c r="AJ5312">
        <v>89.222095257548602</v>
      </c>
      <c r="AK5312">
        <v>171.84045647318999</v>
      </c>
      <c r="AL5312">
        <v>78.401335095037098</v>
      </c>
      <c r="AM5312">
        <v>94.902863856900495</v>
      </c>
      <c r="AN5312">
        <v>1.0000000237711499</v>
      </c>
    </row>
    <row r="5313" spans="1:40" x14ac:dyDescent="0.25">
      <c r="A5313" t="str">
        <f>"20190304154903132"</f>
        <v>20190304154903132</v>
      </c>
      <c r="B5313" t="str">
        <f>"1551685743122760"</f>
        <v>1551685743122760</v>
      </c>
      <c r="C5313" t="s">
        <v>40</v>
      </c>
      <c r="D5313">
        <v>4.0803379999999896</v>
      </c>
      <c r="E5313">
        <v>0.53658260000000002</v>
      </c>
      <c r="F5313" t="s">
        <v>68</v>
      </c>
      <c r="G5313">
        <v>-497.03809999999999</v>
      </c>
      <c r="H5313" s="1">
        <v>-8.6171200000000006E-6</v>
      </c>
      <c r="I5313">
        <v>143.73910000000001</v>
      </c>
      <c r="J5313">
        <v>-309.45190000000002</v>
      </c>
      <c r="K5313">
        <v>1.1102879999999999</v>
      </c>
      <c r="L5313">
        <v>141.4948</v>
      </c>
      <c r="M5313">
        <v>-0.9999304</v>
      </c>
      <c r="N5313">
        <v>-1.127587E-2</v>
      </c>
      <c r="O5313">
        <v>-3.4970539999999999E-3</v>
      </c>
      <c r="P5313">
        <v>-0.97776960000000002</v>
      </c>
      <c r="Q5313">
        <v>0.19062499999999999</v>
      </c>
      <c r="R5313">
        <v>-8.7346370000000007E-2</v>
      </c>
      <c r="S5313">
        <v>-3.074738</v>
      </c>
      <c r="T5313">
        <v>-1.8169399999999999E-2</v>
      </c>
      <c r="U5313">
        <v>3.6712649999999999E-2</v>
      </c>
      <c r="V5313">
        <v>-8.3779450000000005E-2</v>
      </c>
      <c r="W5313">
        <v>0.2017024</v>
      </c>
      <c r="X5313">
        <v>0.97585710000000003</v>
      </c>
      <c r="Y5313">
        <v>1.543536E-2</v>
      </c>
      <c r="Z5313">
        <v>1.1386710000000001E-4</v>
      </c>
      <c r="AA5313">
        <v>0.99988089999999996</v>
      </c>
      <c r="AB5313">
        <v>31</v>
      </c>
      <c r="AC5313">
        <v>-187.58619999999999</v>
      </c>
      <c r="AD5313">
        <v>-1.1102966171199999</v>
      </c>
      <c r="AE5313">
        <v>2.2443</v>
      </c>
      <c r="AF5313">
        <v>2.9002254059378001</v>
      </c>
      <c r="AG5313">
        <v>-1.1102966171199999</v>
      </c>
      <c r="AH5313">
        <v>187.570633676771</v>
      </c>
      <c r="AI5313">
        <v>90.339109396594495</v>
      </c>
      <c r="AJ5313">
        <v>89.114160721048506</v>
      </c>
      <c r="AK5313">
        <v>187.59633974011501</v>
      </c>
      <c r="AL5313">
        <v>78.363471180170606</v>
      </c>
      <c r="AM5313">
        <v>94.906934951183501</v>
      </c>
      <c r="AN5313">
        <v>0.99999996701423499</v>
      </c>
    </row>
    <row r="5314" spans="1:40" x14ac:dyDescent="0.25">
      <c r="A5314" t="str">
        <f>"20190304154903154"</f>
        <v>20190304154903154</v>
      </c>
      <c r="B5314" t="str">
        <f>"1551685743142275"</f>
        <v>1551685743142275</v>
      </c>
      <c r="C5314" t="s">
        <v>40</v>
      </c>
      <c r="D5314">
        <v>4.1327410000000002</v>
      </c>
      <c r="E5314">
        <v>0.53704410000000002</v>
      </c>
      <c r="F5314" t="s">
        <v>45</v>
      </c>
      <c r="G5314">
        <v>-544.53049999999996</v>
      </c>
      <c r="H5314">
        <v>-0.05</v>
      </c>
      <c r="I5314">
        <v>144.60839999999999</v>
      </c>
      <c r="J5314">
        <v>-309.7638</v>
      </c>
      <c r="K5314">
        <v>1.1102730000000001</v>
      </c>
      <c r="L5314">
        <v>141.4941</v>
      </c>
      <c r="M5314">
        <v>-0.99993169999999998</v>
      </c>
      <c r="N5314">
        <v>-1.1265910000000001E-2</v>
      </c>
      <c r="O5314">
        <v>-3.1309720000000001E-3</v>
      </c>
      <c r="P5314">
        <v>-0.97774680000000003</v>
      </c>
      <c r="Q5314">
        <v>0.19083140000000001</v>
      </c>
      <c r="R5314">
        <v>-8.7148000000000003E-2</v>
      </c>
      <c r="S5314">
        <v>-3.0747990000000001</v>
      </c>
      <c r="T5314">
        <v>-1.5176419999999999E-2</v>
      </c>
      <c r="U5314">
        <v>4.0725709999999998E-2</v>
      </c>
      <c r="V5314">
        <v>-8.3932279999999998E-2</v>
      </c>
      <c r="W5314">
        <v>0.20190179999999999</v>
      </c>
      <c r="X5314">
        <v>0.97580279999999997</v>
      </c>
      <c r="Y5314">
        <v>1.637396E-2</v>
      </c>
      <c r="Z5314">
        <v>1.128294E-4</v>
      </c>
      <c r="AA5314">
        <v>0.99986589999999997</v>
      </c>
      <c r="AB5314">
        <v>31</v>
      </c>
      <c r="AC5314">
        <v>-234.76669999999999</v>
      </c>
      <c r="AD5314">
        <v>-1.1602729999999899</v>
      </c>
      <c r="AE5314">
        <v>3.1142999999999801</v>
      </c>
      <c r="AF5314">
        <v>3.84928529617709</v>
      </c>
      <c r="AG5314">
        <v>-1.1602729999999899</v>
      </c>
      <c r="AH5314">
        <v>234.75006480903701</v>
      </c>
      <c r="AI5314">
        <v>90.283149099542996</v>
      </c>
      <c r="AJ5314">
        <v>89.060583695858298</v>
      </c>
      <c r="AK5314">
        <v>234.784488752074</v>
      </c>
      <c r="AL5314">
        <v>78.351807210979501</v>
      </c>
      <c r="AM5314">
        <v>94.9161145393429</v>
      </c>
      <c r="AN5314">
        <v>1.00000003447853</v>
      </c>
    </row>
    <row r="5315" spans="1:40" x14ac:dyDescent="0.25">
      <c r="A5315" t="str">
        <f>"20190304154903179"</f>
        <v>20190304154903179</v>
      </c>
      <c r="B5315" t="str">
        <f>"1551685743172532"</f>
        <v>1551685743172532</v>
      </c>
      <c r="C5315" t="s">
        <v>40</v>
      </c>
      <c r="D5315">
        <v>4.0983510000000001</v>
      </c>
      <c r="E5315">
        <v>0.53736700000000004</v>
      </c>
      <c r="F5315" t="s">
        <v>42</v>
      </c>
      <c r="G5315">
        <v>0</v>
      </c>
      <c r="H5315">
        <v>0</v>
      </c>
      <c r="I5315">
        <v>0</v>
      </c>
      <c r="J5315">
        <v>-310.10320000000002</v>
      </c>
      <c r="K5315">
        <v>1.1102669999999999</v>
      </c>
      <c r="L5315">
        <v>141.49350000000001</v>
      </c>
      <c r="M5315">
        <v>-0.99993299999999996</v>
      </c>
      <c r="N5315">
        <v>-1.125666E-2</v>
      </c>
      <c r="O5315">
        <v>-2.7210649999999999E-3</v>
      </c>
      <c r="P5315">
        <v>-0.97764680000000004</v>
      </c>
      <c r="Q5315">
        <v>0.19115299999999999</v>
      </c>
      <c r="R5315">
        <v>-8.7564749999999997E-2</v>
      </c>
      <c r="S5315">
        <v>-3.0747680000000002</v>
      </c>
      <c r="T5315">
        <v>-1.276505E-2</v>
      </c>
      <c r="U5315">
        <v>4.4876100000000002E-2</v>
      </c>
      <c r="V5315">
        <v>-8.4744169999999994E-2</v>
      </c>
      <c r="W5315">
        <v>0.2022156</v>
      </c>
      <c r="X5315">
        <v>0.97566759999999997</v>
      </c>
      <c r="Y5315">
        <v>1.731367E-2</v>
      </c>
      <c r="Z5315">
        <v>1.140606E-4</v>
      </c>
      <c r="AA5315">
        <v>0.99985009999999996</v>
      </c>
      <c r="AB5315">
        <v>32</v>
      </c>
      <c r="AC5315">
        <v>-3.0747680000000002</v>
      </c>
      <c r="AD5315">
        <v>-1.276505E-2</v>
      </c>
      <c r="AE5315">
        <v>4.4876100000000002E-2</v>
      </c>
      <c r="AF5315">
        <v>5.3242189600558001E-2</v>
      </c>
      <c r="AG5315">
        <v>-1.276505E-2</v>
      </c>
      <c r="AH5315">
        <v>3.0745815167014299</v>
      </c>
      <c r="AI5315">
        <v>90.237843637842303</v>
      </c>
      <c r="AJ5315">
        <v>89.007914453856202</v>
      </c>
      <c r="AK5315">
        <v>3.0750689715999902</v>
      </c>
      <c r="AL5315">
        <v>78.3334486579719</v>
      </c>
      <c r="AM5315">
        <v>94.964116808062698</v>
      </c>
      <c r="AN5315">
        <v>0.99999999446105403</v>
      </c>
    </row>
    <row r="5316" spans="1:40" x14ac:dyDescent="0.25">
      <c r="A5316" t="str">
        <f>"20190304154903200"</f>
        <v>20190304154903200</v>
      </c>
      <c r="B5316" t="str">
        <f>"1551685743192052"</f>
        <v>1551685743192052</v>
      </c>
      <c r="C5316" t="s">
        <v>40</v>
      </c>
      <c r="D5316">
        <v>4.2211109999999996</v>
      </c>
      <c r="E5316">
        <v>0.53748490000000004</v>
      </c>
      <c r="F5316" t="s">
        <v>42</v>
      </c>
      <c r="G5316">
        <v>0</v>
      </c>
      <c r="H5316">
        <v>0</v>
      </c>
      <c r="I5316">
        <v>0</v>
      </c>
      <c r="J5316">
        <v>-310.41359999999997</v>
      </c>
      <c r="K5316">
        <v>1.1102540000000001</v>
      </c>
      <c r="L5316">
        <v>141.49299999999999</v>
      </c>
      <c r="M5316">
        <v>-0.99993399999999999</v>
      </c>
      <c r="N5316">
        <v>-1.1249459999999999E-2</v>
      </c>
      <c r="O5316">
        <v>-2.3393620000000002E-3</v>
      </c>
      <c r="P5316">
        <v>-0.97765170000000001</v>
      </c>
      <c r="Q5316">
        <v>0.19114439999999999</v>
      </c>
      <c r="R5316">
        <v>-8.7528699999999904E-2</v>
      </c>
      <c r="S5316">
        <v>-3.0750120000000001</v>
      </c>
      <c r="T5316">
        <v>-1.185811E-2</v>
      </c>
      <c r="U5316">
        <v>4.5928959999999998E-2</v>
      </c>
      <c r="V5316">
        <v>-8.5077529999999998E-2</v>
      </c>
      <c r="W5316">
        <v>0.2022012</v>
      </c>
      <c r="X5316">
        <v>0.9756416</v>
      </c>
      <c r="Y5316">
        <v>1.7273159999999999E-2</v>
      </c>
      <c r="Z5316">
        <v>1.131746E-4</v>
      </c>
      <c r="AA5316">
        <v>0.99985080000000004</v>
      </c>
      <c r="AB5316">
        <v>32</v>
      </c>
      <c r="AC5316">
        <v>-3.0750120000000001</v>
      </c>
      <c r="AD5316">
        <v>-1.185811E-2</v>
      </c>
      <c r="AE5316">
        <v>4.5928959999999998E-2</v>
      </c>
      <c r="AF5316">
        <v>5.3122065852750297E-2</v>
      </c>
      <c r="AG5316">
        <v>-1.185811E-2</v>
      </c>
      <c r="AH5316">
        <v>3.0748504178831801</v>
      </c>
      <c r="AI5316">
        <v>90.220926167524496</v>
      </c>
      <c r="AJ5316">
        <v>89.010238874292298</v>
      </c>
      <c r="AK5316">
        <v>3.0753321220657699</v>
      </c>
      <c r="AL5316">
        <v>78.334291440469599</v>
      </c>
      <c r="AM5316">
        <v>94.983678252948906</v>
      </c>
      <c r="AN5316">
        <v>1.00000002152145</v>
      </c>
    </row>
    <row r="5317" spans="1:40" x14ac:dyDescent="0.25">
      <c r="A5317" t="str">
        <f>"20190304154903222"</f>
        <v>20190304154903222</v>
      </c>
      <c r="B5317" t="str">
        <f>"1551685743212547"</f>
        <v>1551685743212547</v>
      </c>
      <c r="C5317" t="s">
        <v>40</v>
      </c>
      <c r="D5317">
        <v>4.1079749999999997</v>
      </c>
      <c r="E5317">
        <v>0.5469754</v>
      </c>
      <c r="F5317" t="s">
        <v>42</v>
      </c>
      <c r="G5317">
        <v>0</v>
      </c>
      <c r="H5317">
        <v>0</v>
      </c>
      <c r="I5317">
        <v>0</v>
      </c>
      <c r="J5317">
        <v>-310.71690000000001</v>
      </c>
      <c r="K5317">
        <v>1.110244</v>
      </c>
      <c r="L5317">
        <v>141.49270000000001</v>
      </c>
      <c r="M5317">
        <v>-0.99993500000000002</v>
      </c>
      <c r="N5317">
        <v>-1.124351E-2</v>
      </c>
      <c r="O5317">
        <v>-1.9637809999999999E-3</v>
      </c>
      <c r="P5317">
        <v>-0.97772400000000004</v>
      </c>
      <c r="Q5317">
        <v>0.19069710000000001</v>
      </c>
      <c r="R5317">
        <v>-8.769594E-2</v>
      </c>
      <c r="S5317">
        <v>-3.0751040000000001</v>
      </c>
      <c r="T5317">
        <v>-1.205993E-2</v>
      </c>
      <c r="U5317">
        <v>4.6630860000000003E-2</v>
      </c>
      <c r="V5317">
        <v>-8.5610430000000001E-2</v>
      </c>
      <c r="W5317">
        <v>0.20175009999999999</v>
      </c>
      <c r="X5317">
        <v>0.97568829999999995</v>
      </c>
      <c r="Y5317">
        <v>1.7125339999999999E-2</v>
      </c>
      <c r="Z5317">
        <v>1.154852E-4</v>
      </c>
      <c r="AA5317">
        <v>0.9998534</v>
      </c>
      <c r="AB5317">
        <v>32</v>
      </c>
      <c r="AC5317">
        <v>-3.0751040000000001</v>
      </c>
      <c r="AD5317">
        <v>-1.205993E-2</v>
      </c>
      <c r="AE5317">
        <v>4.6630860000000003E-2</v>
      </c>
      <c r="AF5317">
        <v>5.2669171894393498E-2</v>
      </c>
      <c r="AG5317">
        <v>-1.205993E-2</v>
      </c>
      <c r="AH5317">
        <v>3.0749592077193899</v>
      </c>
      <c r="AI5317">
        <v>90.224678821203995</v>
      </c>
      <c r="AJ5317">
        <v>89.018710170597998</v>
      </c>
      <c r="AK5317">
        <v>3.0754338901556499</v>
      </c>
      <c r="AL5317">
        <v>78.360680649198699</v>
      </c>
      <c r="AM5317">
        <v>95.0144970277249</v>
      </c>
      <c r="AN5317">
        <v>0.99999995366584105</v>
      </c>
    </row>
    <row r="5318" spans="1:40" x14ac:dyDescent="0.25">
      <c r="A5318" t="str">
        <f>"20190304154903244"</f>
        <v>20190304154903244</v>
      </c>
      <c r="B5318" t="str">
        <f>"1551685743232067"</f>
        <v>1551685743232067</v>
      </c>
      <c r="C5318" t="s">
        <v>40</v>
      </c>
      <c r="D5318">
        <v>4.1367349999999998</v>
      </c>
      <c r="E5318">
        <v>0.54326059999999998</v>
      </c>
      <c r="F5318" t="s">
        <v>81</v>
      </c>
      <c r="G5318">
        <v>-543.82709999999997</v>
      </c>
      <c r="H5318">
        <v>4.3573550000000001</v>
      </c>
      <c r="I5318">
        <v>150.69999999999999</v>
      </c>
      <c r="J5318">
        <v>-311.0283</v>
      </c>
      <c r="K5318">
        <v>1.110242</v>
      </c>
      <c r="L5318">
        <v>141.49250000000001</v>
      </c>
      <c r="M5318">
        <v>-0.99993560000000004</v>
      </c>
      <c r="N5318">
        <v>-1.1238389999999999E-2</v>
      </c>
      <c r="O5318">
        <v>-1.577256E-3</v>
      </c>
      <c r="P5318">
        <v>-0.97778699999999996</v>
      </c>
      <c r="Q5318">
        <v>0.1903792</v>
      </c>
      <c r="R5318">
        <v>-8.7682899999999994E-2</v>
      </c>
      <c r="S5318">
        <v>-3.070862</v>
      </c>
      <c r="T5318">
        <v>4.2776109999999999E-2</v>
      </c>
      <c r="U5318">
        <v>0.1212921</v>
      </c>
      <c r="V5318">
        <v>-8.5974469999999997E-2</v>
      </c>
      <c r="W5318">
        <v>0.20142869999999999</v>
      </c>
      <c r="X5318">
        <v>0.97572270000000005</v>
      </c>
      <c r="Y5318">
        <v>4.1041790000000002E-2</v>
      </c>
      <c r="Z5318" s="1">
        <v>-9.4682090000000005E-5</v>
      </c>
      <c r="AA5318">
        <v>0.99915739999999997</v>
      </c>
      <c r="AB5318">
        <v>32</v>
      </c>
      <c r="AC5318">
        <v>-232.7988</v>
      </c>
      <c r="AD5318">
        <v>3.2471130000000001</v>
      </c>
      <c r="AE5318">
        <v>9.20749999999998</v>
      </c>
      <c r="AF5318">
        <v>9.5728355457167797</v>
      </c>
      <c r="AG5318">
        <v>3.2471130000000001</v>
      </c>
      <c r="AH5318">
        <v>232.738778063127</v>
      </c>
      <c r="AI5318">
        <v>89.201350725510594</v>
      </c>
      <c r="AJ5318">
        <v>87.644680921704605</v>
      </c>
      <c r="AK5318">
        <v>232.95819740360699</v>
      </c>
      <c r="AL5318">
        <v>78.379481555478094</v>
      </c>
      <c r="AM5318">
        <v>95.035534067043699</v>
      </c>
      <c r="AN5318">
        <v>0.99999995898537897</v>
      </c>
    </row>
    <row r="5319" spans="1:40" x14ac:dyDescent="0.25">
      <c r="A5319" t="str">
        <f>"20190304154903267"</f>
        <v>20190304154903267</v>
      </c>
      <c r="B5319" t="str">
        <f>"1551685743262323"</f>
        <v>1551685743262323</v>
      </c>
      <c r="C5319" t="s">
        <v>40</v>
      </c>
      <c r="D5319">
        <v>4.0689129999999896</v>
      </c>
      <c r="E5319">
        <v>0.54714929999999995</v>
      </c>
      <c r="F5319" t="s">
        <v>42</v>
      </c>
      <c r="G5319">
        <v>0</v>
      </c>
      <c r="H5319">
        <v>0</v>
      </c>
      <c r="I5319">
        <v>0</v>
      </c>
      <c r="J5319">
        <v>-311.35230000000001</v>
      </c>
      <c r="K5319">
        <v>1.1102320000000001</v>
      </c>
      <c r="L5319">
        <v>141.4924</v>
      </c>
      <c r="M5319">
        <v>-0.9999363</v>
      </c>
      <c r="N5319">
        <v>-1.1233989999999999E-2</v>
      </c>
      <c r="O5319">
        <v>-1.1765580000000001E-3</v>
      </c>
      <c r="P5319">
        <v>-0.97778569999999998</v>
      </c>
      <c r="Q5319">
        <v>0.1905154</v>
      </c>
      <c r="R5319">
        <v>-8.7402629999999995E-2</v>
      </c>
      <c r="S5319">
        <v>-3.0722960000000001</v>
      </c>
      <c r="T5319">
        <v>2.1533489999999999E-2</v>
      </c>
      <c r="U5319">
        <v>9.2529299999999995E-2</v>
      </c>
      <c r="V5319">
        <v>-8.6084659999999993E-2</v>
      </c>
      <c r="W5319">
        <v>0.20156089999999999</v>
      </c>
      <c r="X5319">
        <v>0.97568569999999999</v>
      </c>
      <c r="Y5319">
        <v>3.1280009999999997E-2</v>
      </c>
      <c r="Z5319" s="1">
        <v>4.4691519999999999E-5</v>
      </c>
      <c r="AA5319">
        <v>0.99951060000000003</v>
      </c>
      <c r="AB5319">
        <v>32</v>
      </c>
      <c r="AC5319">
        <v>-3.0722960000000001</v>
      </c>
      <c r="AD5319">
        <v>2.1533489999999999E-2</v>
      </c>
      <c r="AE5319">
        <v>9.2529299999999995E-2</v>
      </c>
      <c r="AF5319">
        <v>9.6139479582491597E-2</v>
      </c>
      <c r="AG5319">
        <v>2.1533489999999999E-2</v>
      </c>
      <c r="AH5319">
        <v>3.0720342233326501</v>
      </c>
      <c r="AI5319">
        <v>89.598587091302804</v>
      </c>
      <c r="AJ5319">
        <v>88.207510459962705</v>
      </c>
      <c r="AK5319">
        <v>3.07361363220119</v>
      </c>
      <c r="AL5319">
        <v>78.371748634235402</v>
      </c>
      <c r="AM5319">
        <v>95.042144877608607</v>
      </c>
      <c r="AN5319">
        <v>0.99999997514030703</v>
      </c>
    </row>
    <row r="5320" spans="1:40" x14ac:dyDescent="0.25">
      <c r="A5320" t="str">
        <f>"20190304154903289"</f>
        <v>20190304154903289</v>
      </c>
      <c r="B5320" t="str">
        <f>"1551685743282819"</f>
        <v>1551685743282819</v>
      </c>
      <c r="C5320" t="s">
        <v>40</v>
      </c>
      <c r="D5320">
        <v>4.0913250000000003</v>
      </c>
      <c r="E5320">
        <v>0.54873369999999999</v>
      </c>
      <c r="F5320" t="s">
        <v>81</v>
      </c>
      <c r="G5320">
        <v>-539.04099999999903</v>
      </c>
      <c r="H5320">
        <v>2.3789690000000001</v>
      </c>
      <c r="I5320">
        <v>150.69999999999999</v>
      </c>
      <c r="J5320">
        <v>-311.66669999999999</v>
      </c>
      <c r="K5320">
        <v>1.1102289999999999</v>
      </c>
      <c r="L5320">
        <v>141.4924</v>
      </c>
      <c r="M5320">
        <v>-0.99993670000000001</v>
      </c>
      <c r="N5320">
        <v>-1.1230530000000001E-2</v>
      </c>
      <c r="O5320">
        <v>-7.8910039999999996E-4</v>
      </c>
      <c r="P5320">
        <v>-0.97789029999999999</v>
      </c>
      <c r="Q5320">
        <v>0.19021650000000001</v>
      </c>
      <c r="R5320">
        <v>-8.6880650000000004E-2</v>
      </c>
      <c r="S5320">
        <v>-3.0759280000000002</v>
      </c>
      <c r="T5320">
        <v>1.7140389999999998E-2</v>
      </c>
      <c r="U5320">
        <v>0.1243896</v>
      </c>
      <c r="V5320">
        <v>-8.5941219999999999E-2</v>
      </c>
      <c r="W5320">
        <v>0.20125970000000001</v>
      </c>
      <c r="X5320">
        <v>0.97576059999999998</v>
      </c>
      <c r="Y5320">
        <v>4.1195719999999998E-2</v>
      </c>
      <c r="Z5320">
        <v>1.034387E-4</v>
      </c>
      <c r="AA5320">
        <v>0.99915109999999996</v>
      </c>
      <c r="AB5320">
        <v>32</v>
      </c>
      <c r="AC5320">
        <v>-227.37429999999901</v>
      </c>
      <c r="AD5320">
        <v>1.26873999999999</v>
      </c>
      <c r="AE5320">
        <v>9.2075999999999798</v>
      </c>
      <c r="AF5320">
        <v>9.3867377994625496</v>
      </c>
      <c r="AG5320">
        <v>1.26873999999999</v>
      </c>
      <c r="AH5320">
        <v>227.35989553891201</v>
      </c>
      <c r="AI5320">
        <v>89.680546914636807</v>
      </c>
      <c r="AJ5320">
        <v>87.635839886189004</v>
      </c>
      <c r="AK5320">
        <v>227.557119526436</v>
      </c>
      <c r="AL5320">
        <v>78.389368113264695</v>
      </c>
      <c r="AM5320">
        <v>95.033402109821395</v>
      </c>
      <c r="AN5320">
        <v>1.0000000543257599</v>
      </c>
    </row>
    <row r="5321" spans="1:40" x14ac:dyDescent="0.25">
      <c r="A5321" t="str">
        <f>"20190304154903311"</f>
        <v>20190304154903311</v>
      </c>
      <c r="B5321" t="str">
        <f>"1551685743302339"</f>
        <v>1551685743302339</v>
      </c>
      <c r="C5321" t="s">
        <v>40</v>
      </c>
      <c r="D5321">
        <v>4.0668490000000004</v>
      </c>
      <c r="E5321">
        <v>0.54961689999999996</v>
      </c>
      <c r="F5321" t="s">
        <v>81</v>
      </c>
      <c r="G5321">
        <v>-511.05939999999998</v>
      </c>
      <c r="H5321">
        <v>2.4187430000000001</v>
      </c>
      <c r="I5321">
        <v>150.47290000000001</v>
      </c>
      <c r="J5321">
        <v>-311.97710000000001</v>
      </c>
      <c r="K5321">
        <v>1.110231</v>
      </c>
      <c r="L5321">
        <v>141.49250000000001</v>
      </c>
      <c r="M5321">
        <v>-0.99993690000000002</v>
      </c>
      <c r="N5321">
        <v>-1.12278E-2</v>
      </c>
      <c r="O5321">
        <v>-4.076126E-4</v>
      </c>
      <c r="P5321">
        <v>-0.97801470000000001</v>
      </c>
      <c r="Q5321">
        <v>0.1896525</v>
      </c>
      <c r="R5321">
        <v>-8.6714570000000005E-2</v>
      </c>
      <c r="S5321">
        <v>-3.0762019999999999</v>
      </c>
      <c r="T5321">
        <v>2.0188210000000002E-2</v>
      </c>
      <c r="U5321">
        <v>0.138549799999999</v>
      </c>
      <c r="V5321">
        <v>-8.6147769999999999E-2</v>
      </c>
      <c r="W5321">
        <v>0.20069400000000001</v>
      </c>
      <c r="X5321">
        <v>0.97585889999999997</v>
      </c>
      <c r="Y5321">
        <v>4.5401480000000001E-2</v>
      </c>
      <c r="Z5321" s="1">
        <v>9.8865480000000003E-5</v>
      </c>
      <c r="AA5321">
        <v>0.99896879999999999</v>
      </c>
      <c r="AB5321">
        <v>32</v>
      </c>
      <c r="AC5321">
        <v>-199.0823</v>
      </c>
      <c r="AD5321">
        <v>1.3085119999999999</v>
      </c>
      <c r="AE5321">
        <v>8.9803999999999995</v>
      </c>
      <c r="AF5321">
        <v>9.0611621687911494</v>
      </c>
      <c r="AG5321">
        <v>1.3085119999999999</v>
      </c>
      <c r="AH5321">
        <v>199.07004021633699</v>
      </c>
      <c r="AI5321">
        <v>89.623782695363005</v>
      </c>
      <c r="AJ5321">
        <v>87.393840624064893</v>
      </c>
      <c r="AK5321">
        <v>199.28045005779501</v>
      </c>
      <c r="AL5321">
        <v>78.422455471991697</v>
      </c>
      <c r="AM5321">
        <v>95.044931342306796</v>
      </c>
      <c r="AN5321">
        <v>1.00000005631058</v>
      </c>
    </row>
    <row r="5322" spans="1:40" x14ac:dyDescent="0.25">
      <c r="A5322" t="str">
        <f>"20190304154903334"</f>
        <v>20190304154903334</v>
      </c>
      <c r="B5322" t="str">
        <f>"1551685743322835"</f>
        <v>1551685743322835</v>
      </c>
      <c r="C5322" t="s">
        <v>40</v>
      </c>
      <c r="D5322">
        <v>4.1772349999999996</v>
      </c>
      <c r="E5322">
        <v>0.55064250000000003</v>
      </c>
      <c r="F5322" t="s">
        <v>81</v>
      </c>
      <c r="G5322">
        <v>-511.05939999999998</v>
      </c>
      <c r="H5322">
        <v>2.4388109999999998</v>
      </c>
      <c r="I5322">
        <v>150.9442</v>
      </c>
      <c r="J5322">
        <v>-312.2903</v>
      </c>
      <c r="K5322">
        <v>1.110231</v>
      </c>
      <c r="L5322">
        <v>141.49279999999999</v>
      </c>
      <c r="M5322">
        <v>-0.99993710000000002</v>
      </c>
      <c r="N5322">
        <v>-1.122569E-2</v>
      </c>
      <c r="O5322" s="1">
        <v>-2.3925420000000001E-5</v>
      </c>
      <c r="P5322">
        <v>-0.97802920000000004</v>
      </c>
      <c r="Q5322">
        <v>0.1898881</v>
      </c>
      <c r="R5322">
        <v>-8.6033390000000001E-2</v>
      </c>
      <c r="S5322">
        <v>-3.076416</v>
      </c>
      <c r="T5322">
        <v>2.053118E-2</v>
      </c>
      <c r="U5322">
        <v>0.1460571</v>
      </c>
      <c r="V5322">
        <v>-8.5841589999999995E-2</v>
      </c>
      <c r="W5322">
        <v>0.2009271</v>
      </c>
      <c r="X5322">
        <v>0.97583790000000004</v>
      </c>
      <c r="Y5322">
        <v>4.7447589999999998E-2</v>
      </c>
      <c r="Z5322">
        <v>1.07809E-4</v>
      </c>
      <c r="AA5322">
        <v>0.99887369999999998</v>
      </c>
      <c r="AB5322">
        <v>32</v>
      </c>
      <c r="AC5322">
        <v>-198.76910000000001</v>
      </c>
      <c r="AD5322">
        <v>1.3285800000000001</v>
      </c>
      <c r="AE5322">
        <v>9.4513999999999996</v>
      </c>
      <c r="AF5322">
        <v>9.4557344359332394</v>
      </c>
      <c r="AG5322">
        <v>1.3285800000000001</v>
      </c>
      <c r="AH5322">
        <v>198.760013960164</v>
      </c>
      <c r="AI5322">
        <v>89.617453733576596</v>
      </c>
      <c r="AJ5322">
        <v>87.276285628785402</v>
      </c>
      <c r="AK5322">
        <v>198.989243900226</v>
      </c>
      <c r="AL5322">
        <v>78.4088219550422</v>
      </c>
      <c r="AM5322">
        <v>95.027200692473698</v>
      </c>
      <c r="AN5322">
        <v>1.0000000425822699</v>
      </c>
    </row>
    <row r="5323" spans="1:40" x14ac:dyDescent="0.25">
      <c r="A5323" t="str">
        <f>"20190304154903356"</f>
        <v>20190304154903356</v>
      </c>
      <c r="B5323" t="str">
        <f>"1551685743352115"</f>
        <v>1551685743352115</v>
      </c>
      <c r="C5323" t="s">
        <v>40</v>
      </c>
      <c r="D5323">
        <v>4.0975149999999996</v>
      </c>
      <c r="E5323">
        <v>0.5513924</v>
      </c>
      <c r="F5323" t="s">
        <v>81</v>
      </c>
      <c r="G5323">
        <v>-511.05959999999999</v>
      </c>
      <c r="H5323">
        <v>2.719163</v>
      </c>
      <c r="I5323">
        <v>151.58860000000001</v>
      </c>
      <c r="J5323">
        <v>-312.60719999999998</v>
      </c>
      <c r="K5323">
        <v>1.110233</v>
      </c>
      <c r="L5323">
        <v>141.4932</v>
      </c>
      <c r="M5323">
        <v>-0.99993710000000002</v>
      </c>
      <c r="N5323">
        <v>-1.1224080000000001E-2</v>
      </c>
      <c r="O5323">
        <v>3.645206E-4</v>
      </c>
      <c r="P5323">
        <v>-0.97805620000000004</v>
      </c>
      <c r="Q5323">
        <v>0.19004009999999999</v>
      </c>
      <c r="R5323">
        <v>-8.5388149999999996E-2</v>
      </c>
      <c r="S5323">
        <v>-3.0762939999999999</v>
      </c>
      <c r="T5323">
        <v>2.4901630000000001E-2</v>
      </c>
      <c r="U5323">
        <v>0.15625</v>
      </c>
      <c r="V5323">
        <v>-8.5575979999999996E-2</v>
      </c>
      <c r="W5323">
        <v>0.20107749999999999</v>
      </c>
      <c r="X5323">
        <v>0.97583019999999998</v>
      </c>
      <c r="Y5323">
        <v>5.0362879999999999E-2</v>
      </c>
      <c r="Z5323" s="1">
        <v>8.6163989999999996E-5</v>
      </c>
      <c r="AA5323">
        <v>0.99873100000000004</v>
      </c>
      <c r="AB5323">
        <v>32</v>
      </c>
      <c r="AC5323">
        <v>-198.45240000000001</v>
      </c>
      <c r="AD5323">
        <v>1.60893</v>
      </c>
      <c r="AE5323">
        <v>10.0954</v>
      </c>
      <c r="AF5323">
        <v>10.022397726891899</v>
      </c>
      <c r="AG5323">
        <v>1.60893</v>
      </c>
      <c r="AH5323">
        <v>198.443057092776</v>
      </c>
      <c r="AI5323">
        <v>89.536060667068398</v>
      </c>
      <c r="AJ5323">
        <v>87.108724325408403</v>
      </c>
      <c r="AK5323">
        <v>198.70250129343501</v>
      </c>
      <c r="AL5323">
        <v>78.4000245659185</v>
      </c>
      <c r="AM5323">
        <v>95.011764278163298</v>
      </c>
      <c r="AN5323">
        <v>0.99999999429562503</v>
      </c>
    </row>
    <row r="5324" spans="1:40" x14ac:dyDescent="0.25">
      <c r="A5324" t="str">
        <f>"20190304154903378"</f>
        <v>20190304154903378</v>
      </c>
      <c r="B5324" t="str">
        <f>"1551685743372615"</f>
        <v>1551685743372615</v>
      </c>
      <c r="C5324" t="s">
        <v>40</v>
      </c>
      <c r="D5324">
        <v>4.148034</v>
      </c>
      <c r="E5324">
        <v>0.55171759999999903</v>
      </c>
      <c r="F5324" t="s">
        <v>81</v>
      </c>
      <c r="G5324">
        <v>-511.05959999999999</v>
      </c>
      <c r="H5324">
        <v>2.8189169999999999</v>
      </c>
      <c r="I5324">
        <v>152.07929999999999</v>
      </c>
      <c r="J5324">
        <v>-312.93</v>
      </c>
      <c r="K5324">
        <v>1.1102339999999999</v>
      </c>
      <c r="L5324">
        <v>141.49379999999999</v>
      </c>
      <c r="M5324">
        <v>-0.99993679999999996</v>
      </c>
      <c r="N5324">
        <v>-1.12213E-2</v>
      </c>
      <c r="O5324">
        <v>7.597077E-4</v>
      </c>
      <c r="P5324">
        <v>-0.97810490000000005</v>
      </c>
      <c r="Q5324">
        <v>0.19000649999999999</v>
      </c>
      <c r="R5324">
        <v>-8.4902729999999996E-2</v>
      </c>
      <c r="S5324">
        <v>-3.0764770000000001</v>
      </c>
      <c r="T5324">
        <v>2.6489260000000001E-2</v>
      </c>
      <c r="U5324">
        <v>0.16410829999999901</v>
      </c>
      <c r="V5324">
        <v>-8.5476590000000005E-2</v>
      </c>
      <c r="W5324">
        <v>0.20104150000000001</v>
      </c>
      <c r="X5324">
        <v>0.9758464</v>
      </c>
      <c r="Y5324">
        <v>5.2509239999999999E-2</v>
      </c>
      <c r="Z5324" s="1">
        <v>8.3988880000000003E-5</v>
      </c>
      <c r="AA5324">
        <v>0.99862050000000002</v>
      </c>
      <c r="AB5324">
        <v>32</v>
      </c>
      <c r="AC5324">
        <v>-198.12960000000001</v>
      </c>
      <c r="AD5324">
        <v>1.708683</v>
      </c>
      <c r="AE5324">
        <v>10.5854999999999</v>
      </c>
      <c r="AF5324">
        <v>10.4341930626926</v>
      </c>
      <c r="AG5324">
        <v>1.708683</v>
      </c>
      <c r="AH5324">
        <v>198.12289185216301</v>
      </c>
      <c r="AI5324">
        <v>89.506556669973193</v>
      </c>
      <c r="AJ5324">
        <v>86.985288206171901</v>
      </c>
      <c r="AK5324">
        <v>198.40481914088701</v>
      </c>
      <c r="AL5324">
        <v>78.402131036255398</v>
      </c>
      <c r="AM5324">
        <v>95.005890407294899</v>
      </c>
      <c r="AN5324">
        <v>1.00000006427661</v>
      </c>
    </row>
    <row r="5325" spans="1:40" x14ac:dyDescent="0.25">
      <c r="A5325" t="str">
        <f>"20190304154903400"</f>
        <v>20190304154903400</v>
      </c>
      <c r="B5325" t="str">
        <f>"1551685743392131"</f>
        <v>1551685743392131</v>
      </c>
      <c r="C5325" t="s">
        <v>40</v>
      </c>
      <c r="D5325">
        <v>4.0869749999999998</v>
      </c>
      <c r="E5325">
        <v>0.55207510000000004</v>
      </c>
      <c r="F5325" t="s">
        <v>81</v>
      </c>
      <c r="G5325">
        <v>-511.05959999999999</v>
      </c>
      <c r="H5325">
        <v>2.7747959999999998</v>
      </c>
      <c r="I5325">
        <v>152.31030000000001</v>
      </c>
      <c r="J5325">
        <v>-313.24349999999998</v>
      </c>
      <c r="K5325">
        <v>1.110231</v>
      </c>
      <c r="L5325">
        <v>141.49440000000001</v>
      </c>
      <c r="M5325">
        <v>-0.99993639999999995</v>
      </c>
      <c r="N5325">
        <v>-1.121399E-2</v>
      </c>
      <c r="O5325">
        <v>1.143949E-3</v>
      </c>
      <c r="P5325">
        <v>-0.97811499999999996</v>
      </c>
      <c r="Q5325">
        <v>0.19023670000000001</v>
      </c>
      <c r="R5325">
        <v>-8.4267770000000006E-2</v>
      </c>
      <c r="S5325">
        <v>-3.076721</v>
      </c>
      <c r="T5325">
        <v>2.5849339999999998E-2</v>
      </c>
      <c r="U5325">
        <v>0.167968799999999</v>
      </c>
      <c r="V5325">
        <v>-8.5217130000000002E-2</v>
      </c>
      <c r="W5325">
        <v>0.20126430000000001</v>
      </c>
      <c r="X5325">
        <v>0.97582310000000005</v>
      </c>
      <c r="Y5325">
        <v>5.337074E-2</v>
      </c>
      <c r="Z5325" s="1">
        <v>9.7873269999999995E-5</v>
      </c>
      <c r="AA5325">
        <v>0.99857470000000004</v>
      </c>
      <c r="AB5325">
        <v>32</v>
      </c>
      <c r="AC5325">
        <v>-197.81610000000001</v>
      </c>
      <c r="AD5325">
        <v>1.6645650000000001</v>
      </c>
      <c r="AE5325">
        <v>10.815899999999999</v>
      </c>
      <c r="AF5325">
        <v>10.5888396146734</v>
      </c>
      <c r="AG5325">
        <v>1.6645650000000001</v>
      </c>
      <c r="AH5325">
        <v>197.81437920717599</v>
      </c>
      <c r="AI5325">
        <v>89.518569063080704</v>
      </c>
      <c r="AJ5325">
        <v>86.935928789711994</v>
      </c>
      <c r="AK5325">
        <v>198.10457572238201</v>
      </c>
      <c r="AL5325">
        <v>78.389098408498299</v>
      </c>
      <c r="AM5325">
        <v>94.990890696357994</v>
      </c>
      <c r="AN5325">
        <v>1.0000000000967599</v>
      </c>
    </row>
    <row r="5326" spans="1:40" x14ac:dyDescent="0.25">
      <c r="A5326" t="str">
        <f>"20190304154903422"</f>
        <v>20190304154903422</v>
      </c>
      <c r="B5326" t="str">
        <f>"1551685743412628"</f>
        <v>1551685743412628</v>
      </c>
      <c r="C5326" t="s">
        <v>40</v>
      </c>
      <c r="D5326">
        <v>4.0888530000000003</v>
      </c>
      <c r="E5326">
        <v>0.55212689999999998</v>
      </c>
      <c r="F5326" t="s">
        <v>81</v>
      </c>
      <c r="G5326">
        <v>-511.05959999999999</v>
      </c>
      <c r="H5326">
        <v>2.807836</v>
      </c>
      <c r="I5326">
        <v>152.62690000000001</v>
      </c>
      <c r="J5326">
        <v>-313.54509999999999</v>
      </c>
      <c r="K5326">
        <v>1.1102299999999901</v>
      </c>
      <c r="L5326">
        <v>141.49510000000001</v>
      </c>
      <c r="M5326">
        <v>-0.99993600000000005</v>
      </c>
      <c r="N5326">
        <v>-1.1204850000000001E-2</v>
      </c>
      <c r="O5326">
        <v>1.513417E-3</v>
      </c>
      <c r="P5326">
        <v>-0.97802730000000004</v>
      </c>
      <c r="Q5326">
        <v>0.1908967</v>
      </c>
      <c r="R5326">
        <v>-8.3792459999999999E-2</v>
      </c>
      <c r="S5326">
        <v>-3.0768740000000001</v>
      </c>
      <c r="T5326">
        <v>2.640557E-2</v>
      </c>
      <c r="U5326">
        <v>0.1731567</v>
      </c>
      <c r="V5326">
        <v>-8.5102209999999998E-2</v>
      </c>
      <c r="W5326">
        <v>0.20191400000000001</v>
      </c>
      <c r="X5326">
        <v>0.97569890000000004</v>
      </c>
      <c r="Y5326">
        <v>5.4677669999999998E-2</v>
      </c>
      <c r="Z5326">
        <v>1.0206849999999999E-4</v>
      </c>
      <c r="AA5326">
        <v>0.99850399999999995</v>
      </c>
      <c r="AB5326">
        <v>32</v>
      </c>
      <c r="AC5326">
        <v>-197.5145</v>
      </c>
      <c r="AD5326">
        <v>1.6976059999999999</v>
      </c>
      <c r="AE5326">
        <v>11.131799999999901</v>
      </c>
      <c r="AF5326">
        <v>10.8320490141165</v>
      </c>
      <c r="AG5326">
        <v>1.6976059999999999</v>
      </c>
      <c r="AH5326">
        <v>197.51657727887101</v>
      </c>
      <c r="AI5326">
        <v>89.508307913725403</v>
      </c>
      <c r="AJ5326">
        <v>86.8609742713424</v>
      </c>
      <c r="AK5326">
        <v>197.820659820797</v>
      </c>
      <c r="AL5326">
        <v>78.351093054755495</v>
      </c>
      <c r="AM5326">
        <v>94.984825389381498</v>
      </c>
      <c r="AN5326">
        <v>0.99999999650204696</v>
      </c>
    </row>
    <row r="5327" spans="1:40" x14ac:dyDescent="0.25">
      <c r="A5327" t="str">
        <f>"20190304154903445"</f>
        <v>20190304154903445</v>
      </c>
      <c r="B5327" t="str">
        <f>"1551685743442883"</f>
        <v>1551685743442883</v>
      </c>
      <c r="C5327" t="s">
        <v>40</v>
      </c>
      <c r="D5327">
        <v>4.0841269999999996</v>
      </c>
      <c r="E5327">
        <v>0.55227090000000001</v>
      </c>
      <c r="F5327" t="s">
        <v>81</v>
      </c>
      <c r="G5327">
        <v>-511.05959999999999</v>
      </c>
      <c r="H5327">
        <v>2.8899119999999998</v>
      </c>
      <c r="I5327">
        <v>152.7062</v>
      </c>
      <c r="J5327">
        <v>-313.88159999999999</v>
      </c>
      <c r="K5327">
        <v>1.1102160000000001</v>
      </c>
      <c r="L5327">
        <v>141.49610000000001</v>
      </c>
      <c r="M5327">
        <v>-0.99993549999999998</v>
      </c>
      <c r="N5327">
        <v>-1.119479E-2</v>
      </c>
      <c r="O5327">
        <v>1.925686E-3</v>
      </c>
      <c r="P5327">
        <v>-0.97805509999999996</v>
      </c>
      <c r="Q5327">
        <v>0.19089790000000001</v>
      </c>
      <c r="R5327">
        <v>-8.3465709999999999E-2</v>
      </c>
      <c r="S5327">
        <v>-3.0769959999999998</v>
      </c>
      <c r="T5327">
        <v>2.772558E-2</v>
      </c>
      <c r="U5327">
        <v>0.1746521</v>
      </c>
      <c r="V5327">
        <v>-8.5178199999999996E-2</v>
      </c>
      <c r="W5327">
        <v>0.20190559999999999</v>
      </c>
      <c r="X5327">
        <v>0.97569399999999995</v>
      </c>
      <c r="Y5327">
        <v>5.4747490000000003E-2</v>
      </c>
      <c r="Z5327" s="1">
        <v>9.9124559999999993E-5</v>
      </c>
      <c r="AA5327">
        <v>0.99850019999999995</v>
      </c>
      <c r="AB5327">
        <v>32</v>
      </c>
      <c r="AC5327">
        <v>-197.178</v>
      </c>
      <c r="AD5327">
        <v>1.77969599999999</v>
      </c>
      <c r="AE5327">
        <v>11.210099999999899</v>
      </c>
      <c r="AF5327">
        <v>10.829473121880399</v>
      </c>
      <c r="AG5327">
        <v>1.77969599999999</v>
      </c>
      <c r="AH5327">
        <v>197.183210932658</v>
      </c>
      <c r="AI5327">
        <v>89.483663567581104</v>
      </c>
      <c r="AJ5327">
        <v>86.856424169394003</v>
      </c>
      <c r="AK5327">
        <v>197.488388214758</v>
      </c>
      <c r="AL5327">
        <v>78.351584375770997</v>
      </c>
      <c r="AM5327">
        <v>94.989278943997306</v>
      </c>
      <c r="AN5327">
        <v>0.99999998935129897</v>
      </c>
    </row>
    <row r="5328" spans="1:40" x14ac:dyDescent="0.25">
      <c r="A5328" t="str">
        <f>"20190304154903469"</f>
        <v>20190304154903469</v>
      </c>
      <c r="B5328" t="str">
        <f>"1551685743462403"</f>
        <v>1551685743462403</v>
      </c>
      <c r="C5328" t="s">
        <v>40</v>
      </c>
      <c r="D5328">
        <v>4.0652030000000003</v>
      </c>
      <c r="E5328">
        <v>0.55231649999999999</v>
      </c>
      <c r="F5328" t="s">
        <v>81</v>
      </c>
      <c r="G5328">
        <v>-511.05959999999999</v>
      </c>
      <c r="H5328">
        <v>2.7903660000000001</v>
      </c>
      <c r="I5328">
        <v>152.8074</v>
      </c>
      <c r="J5328">
        <v>-314.2056</v>
      </c>
      <c r="K5328">
        <v>1.1102099999999999</v>
      </c>
      <c r="L5328">
        <v>141.49709999999999</v>
      </c>
      <c r="M5328">
        <v>-0.99993480000000001</v>
      </c>
      <c r="N5328">
        <v>-1.1185820000000001E-2</v>
      </c>
      <c r="O5328">
        <v>2.3226309999999999E-3</v>
      </c>
      <c r="P5328">
        <v>-0.97808479999999998</v>
      </c>
      <c r="Q5328">
        <v>0.19093879999999999</v>
      </c>
      <c r="R5328">
        <v>-8.302271E-2</v>
      </c>
      <c r="S5328">
        <v>-3.0772400000000002</v>
      </c>
      <c r="T5328">
        <v>2.6221749999999999E-2</v>
      </c>
      <c r="U5328">
        <v>0.17652889999999999</v>
      </c>
      <c r="V5328">
        <v>-8.5123679999999993E-2</v>
      </c>
      <c r="W5328">
        <v>0.20193729999999999</v>
      </c>
      <c r="X5328">
        <v>0.97569220000000001</v>
      </c>
      <c r="Y5328">
        <v>5.4953790000000002E-2</v>
      </c>
      <c r="Z5328">
        <v>1.194064E-4</v>
      </c>
      <c r="AA5328">
        <v>0.99848890000000001</v>
      </c>
      <c r="AB5328">
        <v>32</v>
      </c>
      <c r="AC5328">
        <v>-196.85400000000001</v>
      </c>
      <c r="AD5328">
        <v>1.680156</v>
      </c>
      <c r="AE5328">
        <v>11.3103</v>
      </c>
      <c r="AF5328">
        <v>10.8522337569313</v>
      </c>
      <c r="AG5328">
        <v>1.680156</v>
      </c>
      <c r="AH5328">
        <v>196.86544641211199</v>
      </c>
      <c r="AI5328">
        <v>89.511759986117397</v>
      </c>
      <c r="AJ5328">
        <v>86.844756025673206</v>
      </c>
      <c r="AK5328">
        <v>197.17149361086501</v>
      </c>
      <c r="AL5328">
        <v>78.349729926920304</v>
      </c>
      <c r="AM5328">
        <v>94.986110712943599</v>
      </c>
      <c r="AN5328">
        <v>0.99999999158443598</v>
      </c>
    </row>
    <row r="5329" spans="1:40" x14ac:dyDescent="0.25">
      <c r="A5329" t="str">
        <f>"20190304154903490"</f>
        <v>20190304154903490</v>
      </c>
      <c r="B5329" t="str">
        <f>"1551685743482899"</f>
        <v>1551685743482899</v>
      </c>
      <c r="C5329" t="s">
        <v>40</v>
      </c>
      <c r="D5329">
        <v>4.074821</v>
      </c>
      <c r="E5329">
        <v>0.55230990000000002</v>
      </c>
      <c r="F5329" t="s">
        <v>81</v>
      </c>
      <c r="G5329">
        <v>-511.05959999999999</v>
      </c>
      <c r="H5329">
        <v>2.7573120000000002</v>
      </c>
      <c r="I5329">
        <v>152.90270000000001</v>
      </c>
      <c r="J5329">
        <v>-314.52420000000001</v>
      </c>
      <c r="K5329">
        <v>1.110215</v>
      </c>
      <c r="L5329">
        <v>141.4983</v>
      </c>
      <c r="M5329">
        <v>-0.99993379999999998</v>
      </c>
      <c r="N5329">
        <v>-1.1177670000000001E-2</v>
      </c>
      <c r="O5329">
        <v>2.7126030000000001E-3</v>
      </c>
      <c r="P5329">
        <v>-0.97819940000000005</v>
      </c>
      <c r="Q5329">
        <v>0.19061710000000001</v>
      </c>
      <c r="R5329">
        <v>-8.2408780000000001E-2</v>
      </c>
      <c r="S5329">
        <v>-3.0773320000000002</v>
      </c>
      <c r="T5329">
        <v>2.5749089999999999E-2</v>
      </c>
      <c r="U5329">
        <v>0.17829900000000001</v>
      </c>
      <c r="V5329">
        <v>-8.4891339999999996E-2</v>
      </c>
      <c r="W5329">
        <v>0.2016086</v>
      </c>
      <c r="X5329">
        <v>0.97578039999999999</v>
      </c>
      <c r="Y5329">
        <v>5.5135190000000001E-2</v>
      </c>
      <c r="Z5329">
        <v>1.309103E-4</v>
      </c>
      <c r="AA5329">
        <v>0.99847889999999995</v>
      </c>
      <c r="AB5329">
        <v>32</v>
      </c>
      <c r="AC5329">
        <v>-196.53540000000001</v>
      </c>
      <c r="AD5329">
        <v>1.64709699999999</v>
      </c>
      <c r="AE5329">
        <v>11.404400000000001</v>
      </c>
      <c r="AF5329">
        <v>10.8704412588765</v>
      </c>
      <c r="AG5329">
        <v>1.64709699999999</v>
      </c>
      <c r="AH5329">
        <v>196.55185578356301</v>
      </c>
      <c r="AI5329">
        <v>89.520607377891395</v>
      </c>
      <c r="AJ5329">
        <v>86.834440742265201</v>
      </c>
      <c r="AK5329">
        <v>196.85911569864601</v>
      </c>
      <c r="AL5329">
        <v>78.368958378874595</v>
      </c>
      <c r="AM5329">
        <v>94.972122535797794</v>
      </c>
      <c r="AN5329">
        <v>0.99999997811255703</v>
      </c>
    </row>
    <row r="5330" spans="1:40" x14ac:dyDescent="0.25">
      <c r="A5330" t="str">
        <f>"20190304154903512"</f>
        <v>20190304154903512</v>
      </c>
      <c r="B5330" t="str">
        <f>"1551685743502419"</f>
        <v>1551685743502419</v>
      </c>
      <c r="C5330" t="s">
        <v>40</v>
      </c>
      <c r="D5330">
        <v>4.1000110000000003</v>
      </c>
      <c r="E5330">
        <v>0.55236660000000004</v>
      </c>
      <c r="F5330" t="s">
        <v>81</v>
      </c>
      <c r="G5330">
        <v>-511.05959999999999</v>
      </c>
      <c r="H5330">
        <v>2.706407</v>
      </c>
      <c r="I5330">
        <v>153.01660000000001</v>
      </c>
      <c r="J5330">
        <v>-314.82420000000002</v>
      </c>
      <c r="K5330">
        <v>1.1102110000000001</v>
      </c>
      <c r="L5330">
        <v>141.49950000000001</v>
      </c>
      <c r="M5330">
        <v>-0.99993299999999996</v>
      </c>
      <c r="N5330">
        <v>-1.117075E-2</v>
      </c>
      <c r="O5330">
        <v>3.079137E-3</v>
      </c>
      <c r="P5330">
        <v>-0.97830859999999997</v>
      </c>
      <c r="Q5330">
        <v>0.19022069999999999</v>
      </c>
      <c r="R5330">
        <v>-8.2029859999999996E-2</v>
      </c>
      <c r="S5330">
        <v>-3.0771790000000001</v>
      </c>
      <c r="T5330">
        <v>2.4992469999999999E-2</v>
      </c>
      <c r="U5330">
        <v>0.18034359999999999</v>
      </c>
      <c r="V5330">
        <v>-8.487198E-2</v>
      </c>
      <c r="W5330">
        <v>0.20120640000000001</v>
      </c>
      <c r="X5330">
        <v>0.97586510000000004</v>
      </c>
      <c r="Y5330">
        <v>5.5433339999999998E-2</v>
      </c>
      <c r="Z5330">
        <v>1.443278E-4</v>
      </c>
      <c r="AA5330">
        <v>0.99846239999999997</v>
      </c>
      <c r="AB5330">
        <v>32</v>
      </c>
      <c r="AC5330">
        <v>-196.2354</v>
      </c>
      <c r="AD5330">
        <v>1.5961959999999999</v>
      </c>
      <c r="AE5330">
        <v>11.517099999999999</v>
      </c>
      <c r="AF5330">
        <v>10.912052593373099</v>
      </c>
      <c r="AG5330">
        <v>1.5961959999999999</v>
      </c>
      <c r="AH5330">
        <v>196.25699410306299</v>
      </c>
      <c r="AI5330">
        <v>89.534731236468303</v>
      </c>
      <c r="AJ5330">
        <v>86.817583592715096</v>
      </c>
      <c r="AK5330">
        <v>196.56660059084399</v>
      </c>
      <c r="AL5330">
        <v>78.392484890285004</v>
      </c>
      <c r="AM5330">
        <v>94.970564999815096</v>
      </c>
      <c r="AN5330">
        <v>0.99999998089404496</v>
      </c>
    </row>
    <row r="5331" spans="1:40" x14ac:dyDescent="0.25">
      <c r="A5331" t="str">
        <f>"20190304154903534"</f>
        <v>20190304154903534</v>
      </c>
      <c r="B5331" t="str">
        <f>"1551685743522915"</f>
        <v>1551685743522915</v>
      </c>
      <c r="C5331" t="s">
        <v>40</v>
      </c>
      <c r="D5331">
        <v>4.1290930000000001</v>
      </c>
      <c r="E5331">
        <v>0.55240829999999996</v>
      </c>
      <c r="F5331" t="s">
        <v>81</v>
      </c>
      <c r="G5331">
        <v>-511.05950000000001</v>
      </c>
      <c r="H5331">
        <v>2.6519159999999999</v>
      </c>
      <c r="I5331">
        <v>153.1018</v>
      </c>
      <c r="J5331">
        <v>-315.14060000000001</v>
      </c>
      <c r="K5331">
        <v>1.110215</v>
      </c>
      <c r="L5331">
        <v>141.5008</v>
      </c>
      <c r="M5331">
        <v>-0.99993180000000004</v>
      </c>
      <c r="N5331">
        <v>-1.116436E-2</v>
      </c>
      <c r="O5331">
        <v>3.46336E-3</v>
      </c>
      <c r="P5331">
        <v>-0.97837790000000002</v>
      </c>
      <c r="Q5331">
        <v>0.19000040000000001</v>
      </c>
      <c r="R5331">
        <v>-8.1712919999999994E-2</v>
      </c>
      <c r="S5331">
        <v>-3.0770569999999999</v>
      </c>
      <c r="T5331">
        <v>2.4175289999999999E-2</v>
      </c>
      <c r="U5331">
        <v>0.18193049999999999</v>
      </c>
      <c r="V5331">
        <v>-8.4931389999999995E-2</v>
      </c>
      <c r="W5331">
        <v>0.20097989999999999</v>
      </c>
      <c r="X5331">
        <v>0.97590659999999896</v>
      </c>
      <c r="Y5331">
        <v>5.5565249999999997E-2</v>
      </c>
      <c r="Z5331">
        <v>1.5818819999999901E-4</v>
      </c>
      <c r="AA5331">
        <v>0.99845499999999998</v>
      </c>
      <c r="AB5331">
        <v>32</v>
      </c>
      <c r="AC5331">
        <v>-195.91890000000001</v>
      </c>
      <c r="AD5331">
        <v>1.541701</v>
      </c>
      <c r="AE5331">
        <v>11.601000000000001</v>
      </c>
      <c r="AF5331">
        <v>10.921676591028101</v>
      </c>
      <c r="AG5331">
        <v>1.541701</v>
      </c>
      <c r="AH5331">
        <v>195.945814741383</v>
      </c>
      <c r="AI5331">
        <v>89.549904900856902</v>
      </c>
      <c r="AJ5331">
        <v>86.809734636692397</v>
      </c>
      <c r="AK5331">
        <v>196.256011821795</v>
      </c>
      <c r="AL5331">
        <v>78.405732964846607</v>
      </c>
      <c r="AM5331">
        <v>94.973816466275693</v>
      </c>
      <c r="AN5331">
        <v>0.99999997656744999</v>
      </c>
    </row>
    <row r="5332" spans="1:40" x14ac:dyDescent="0.25">
      <c r="A5332" t="str">
        <f>"20190304154903557"</f>
        <v>20190304154903557</v>
      </c>
      <c r="B5332" t="str">
        <f>"1551685743552195"</f>
        <v>1551685743552195</v>
      </c>
      <c r="C5332" t="s">
        <v>40</v>
      </c>
      <c r="D5332">
        <v>4.1621189999999997</v>
      </c>
      <c r="E5332">
        <v>0.55260180000000003</v>
      </c>
      <c r="F5332" t="s">
        <v>81</v>
      </c>
      <c r="G5332">
        <v>-511.05950000000001</v>
      </c>
      <c r="H5332">
        <v>2.6278160000000002</v>
      </c>
      <c r="I5332">
        <v>153.1626</v>
      </c>
      <c r="J5332">
        <v>-315.45699999999999</v>
      </c>
      <c r="K5332">
        <v>1.110212</v>
      </c>
      <c r="L5332">
        <v>141.50229999999999</v>
      </c>
      <c r="M5332">
        <v>-0.9999304</v>
      </c>
      <c r="N5332">
        <v>-1.115882E-2</v>
      </c>
      <c r="O5332">
        <v>3.8453649999999999E-3</v>
      </c>
      <c r="P5332">
        <v>-0.97834209999999999</v>
      </c>
      <c r="Q5332">
        <v>0.19027479999999999</v>
      </c>
      <c r="R5332">
        <v>-8.1501690000000002E-2</v>
      </c>
      <c r="S5332">
        <v>-3.076965</v>
      </c>
      <c r="T5332">
        <v>2.3835060000000002E-2</v>
      </c>
      <c r="U5332">
        <v>0.18315119999999999</v>
      </c>
      <c r="V5332">
        <v>-8.5094130000000004E-2</v>
      </c>
      <c r="W5332">
        <v>0.20124800000000001</v>
      </c>
      <c r="X5332">
        <v>0.97583719999999996</v>
      </c>
      <c r="Y5332">
        <v>5.5580350000000001E-2</v>
      </c>
      <c r="Z5332">
        <v>1.6794259999999999E-4</v>
      </c>
      <c r="AA5332">
        <v>0.99845419999999996</v>
      </c>
      <c r="AB5332">
        <v>32</v>
      </c>
      <c r="AC5332">
        <v>-195.60249999999999</v>
      </c>
      <c r="AD5332">
        <v>1.517604</v>
      </c>
      <c r="AE5332">
        <v>11.660299999999999</v>
      </c>
      <c r="AF5332">
        <v>10.907349725464901</v>
      </c>
      <c r="AG5332">
        <v>1.517604</v>
      </c>
      <c r="AH5332">
        <v>195.63415983645399</v>
      </c>
      <c r="AI5332">
        <v>89.556234261766804</v>
      </c>
      <c r="AJ5332">
        <v>86.808845827952396</v>
      </c>
      <c r="AK5332">
        <v>195.943864141875</v>
      </c>
      <c r="AL5332">
        <v>78.390051892165005</v>
      </c>
      <c r="AM5332">
        <v>94.983651644063002</v>
      </c>
      <c r="AN5332">
        <v>1.00000000468414</v>
      </c>
    </row>
    <row r="5333" spans="1:40" x14ac:dyDescent="0.25">
      <c r="A5333" t="str">
        <f>"20190304154903579"</f>
        <v>20190304154903579</v>
      </c>
      <c r="B5333" t="str">
        <f>"1551685743572691"</f>
        <v>1551685743572691</v>
      </c>
      <c r="C5333" t="s">
        <v>40</v>
      </c>
      <c r="D5333">
        <v>4.1823350000000001</v>
      </c>
      <c r="E5333">
        <v>0.56680609999999998</v>
      </c>
      <c r="F5333" t="s">
        <v>81</v>
      </c>
      <c r="G5333">
        <v>-511.05959999999999</v>
      </c>
      <c r="H5333">
        <v>2.745768</v>
      </c>
      <c r="I5333">
        <v>153.29689999999999</v>
      </c>
      <c r="J5333">
        <v>-315.78339999999997</v>
      </c>
      <c r="K5333">
        <v>1.1102129999999999</v>
      </c>
      <c r="L5333">
        <v>141.50399999999999</v>
      </c>
      <c r="M5333">
        <v>-0.99992890000000001</v>
      </c>
      <c r="N5333">
        <v>-1.1153939999999999E-2</v>
      </c>
      <c r="O5333">
        <v>4.2365390000000001E-3</v>
      </c>
      <c r="P5333">
        <v>-0.97843190000000002</v>
      </c>
      <c r="Q5333">
        <v>0.18996669999999999</v>
      </c>
      <c r="R5333">
        <v>-8.1139810000000007E-2</v>
      </c>
      <c r="S5333">
        <v>-3.0768740000000001</v>
      </c>
      <c r="T5333">
        <v>2.5728339999999999E-2</v>
      </c>
      <c r="U5333">
        <v>0.18553159999999999</v>
      </c>
      <c r="V5333">
        <v>-8.5116449999999996E-2</v>
      </c>
      <c r="W5333">
        <v>0.20093549999999999</v>
      </c>
      <c r="X5333">
        <v>0.97589959999999998</v>
      </c>
      <c r="Y5333">
        <v>5.5961230000000001E-2</v>
      </c>
      <c r="Z5333">
        <v>1.6123569999999999E-4</v>
      </c>
      <c r="AA5333">
        <v>0.99843289999999996</v>
      </c>
      <c r="AB5333">
        <v>32</v>
      </c>
      <c r="AC5333">
        <v>-195.27619999999999</v>
      </c>
      <c r="AD5333">
        <v>1.6355549999999901</v>
      </c>
      <c r="AE5333">
        <v>11.792899999999999</v>
      </c>
      <c r="AF5333">
        <v>10.964681134716701</v>
      </c>
      <c r="AG5333">
        <v>1.6355549999999901</v>
      </c>
      <c r="AH5333">
        <v>195.31076013629499</v>
      </c>
      <c r="AI5333">
        <v>89.520963950593398</v>
      </c>
      <c r="AJ5333">
        <v>86.786806789457003</v>
      </c>
      <c r="AK5333">
        <v>195.62513207039899</v>
      </c>
      <c r="AL5333">
        <v>78.408329647667003</v>
      </c>
      <c r="AM5333">
        <v>94.984635121945502</v>
      </c>
      <c r="AN5333">
        <v>0.99999995725050494</v>
      </c>
    </row>
    <row r="5334" spans="1:40" x14ac:dyDescent="0.25">
      <c r="A5334" t="str">
        <f>"20190304154903594"</f>
        <v>20190304154903594</v>
      </c>
      <c r="B5334" t="str">
        <f>"1551685743582452"</f>
        <v>1551685743582452</v>
      </c>
      <c r="C5334" t="s">
        <v>40</v>
      </c>
      <c r="D5334">
        <v>4.1717040000000001</v>
      </c>
      <c r="E5334">
        <v>0.56745449999999997</v>
      </c>
      <c r="F5334" t="s">
        <v>81</v>
      </c>
      <c r="G5334">
        <v>-511.92649999999998</v>
      </c>
      <c r="H5334">
        <v>4.0057229999999997</v>
      </c>
      <c r="I5334">
        <v>160.56</v>
      </c>
      <c r="J5334">
        <v>-315.99450000000002</v>
      </c>
      <c r="K5334">
        <v>1.110214</v>
      </c>
      <c r="L5334">
        <v>141.5052</v>
      </c>
      <c r="M5334">
        <v>-0.99992780000000003</v>
      </c>
      <c r="N5334">
        <v>-1.115117E-2</v>
      </c>
      <c r="O5334">
        <v>4.4875210000000004E-3</v>
      </c>
      <c r="P5334">
        <v>-0.97848599999999997</v>
      </c>
      <c r="Q5334">
        <v>0.18980730000000001</v>
      </c>
      <c r="R5334">
        <v>-8.0859780000000006E-2</v>
      </c>
      <c r="S5334">
        <v>-3.0821230000000002</v>
      </c>
      <c r="T5334">
        <v>4.5499680000000001E-2</v>
      </c>
      <c r="U5334">
        <v>0.2994385</v>
      </c>
      <c r="V5334">
        <v>-8.5082580000000005E-2</v>
      </c>
      <c r="W5334">
        <v>0.20077339999999999</v>
      </c>
      <c r="X5334">
        <v>0.97593589999999997</v>
      </c>
      <c r="Y5334">
        <v>9.2229400000000003E-2</v>
      </c>
      <c r="Z5334" s="1">
        <v>-4.7660200000000002E-5</v>
      </c>
      <c r="AA5334">
        <v>0.99573780000000001</v>
      </c>
      <c r="AB5334">
        <v>32</v>
      </c>
      <c r="AC5334">
        <v>-195.93199999999999</v>
      </c>
      <c r="AD5334">
        <v>2.8955090000000001</v>
      </c>
      <c r="AE5334">
        <v>19.0548</v>
      </c>
      <c r="AF5334">
        <v>18.171373195977701</v>
      </c>
      <c r="AG5334">
        <v>2.8955090000000001</v>
      </c>
      <c r="AH5334">
        <v>195.97314284984699</v>
      </c>
      <c r="AI5334">
        <v>89.157129843822105</v>
      </c>
      <c r="AJ5334">
        <v>84.702465536328901</v>
      </c>
      <c r="AK5334">
        <v>196.835097212471</v>
      </c>
      <c r="AL5334">
        <v>78.417810327122993</v>
      </c>
      <c r="AM5334">
        <v>94.982477198727096</v>
      </c>
      <c r="AN5334">
        <v>0.999999942237911</v>
      </c>
    </row>
    <row r="5335" spans="1:40" x14ac:dyDescent="0.25">
      <c r="A5335" t="str">
        <f>"20190304154903607"</f>
        <v>20190304154903607</v>
      </c>
      <c r="B5335" t="str">
        <f>"1551685743602948"</f>
        <v>1551685743602948</v>
      </c>
      <c r="C5335" t="s">
        <v>40</v>
      </c>
      <c r="D5335">
        <v>4.2216620000000002</v>
      </c>
      <c r="E5335">
        <v>0.56803729999999997</v>
      </c>
      <c r="F5335" t="s">
        <v>81</v>
      </c>
      <c r="G5335">
        <v>-511.92649999999998</v>
      </c>
      <c r="H5335">
        <v>3.9551850000000002</v>
      </c>
      <c r="I5335">
        <v>160.90790000000001</v>
      </c>
      <c r="J5335">
        <v>-316.19439999999997</v>
      </c>
      <c r="K5335">
        <v>1.110217</v>
      </c>
      <c r="L5335">
        <v>141.50630000000001</v>
      </c>
      <c r="M5335">
        <v>-0.9999268</v>
      </c>
      <c r="N5335">
        <v>-1.114887E-2</v>
      </c>
      <c r="O5335">
        <v>4.7219230000000003E-3</v>
      </c>
      <c r="P5335">
        <v>-0.97847729999999999</v>
      </c>
      <c r="Q5335">
        <v>0.19001660000000001</v>
      </c>
      <c r="R5335">
        <v>-8.0474740000000003E-2</v>
      </c>
      <c r="S5335">
        <v>-3.0824889999999998</v>
      </c>
      <c r="T5335">
        <v>4.475904E-2</v>
      </c>
      <c r="U5335">
        <v>0.30525210000000003</v>
      </c>
      <c r="V5335">
        <v>-8.4928139999999999E-2</v>
      </c>
      <c r="W5335">
        <v>0.2009794</v>
      </c>
      <c r="X5335">
        <v>0.97590699999999997</v>
      </c>
      <c r="Y5335">
        <v>9.3844759999999999E-2</v>
      </c>
      <c r="Z5335" s="1">
        <v>-3.4299560000000003E-5</v>
      </c>
      <c r="AA5335">
        <v>0.99558690000000005</v>
      </c>
      <c r="AB5335">
        <v>32</v>
      </c>
      <c r="AC5335">
        <v>-195.7321</v>
      </c>
      <c r="AD5335">
        <v>2.8449680000000002</v>
      </c>
      <c r="AE5335">
        <v>19.401599999999998</v>
      </c>
      <c r="AF5335">
        <v>18.4732296181542</v>
      </c>
      <c r="AG5335">
        <v>2.8449680000000002</v>
      </c>
      <c r="AH5335">
        <v>195.78057675149299</v>
      </c>
      <c r="AI5335">
        <v>89.171151096623106</v>
      </c>
      <c r="AJ5335">
        <v>84.609712474192307</v>
      </c>
      <c r="AK5335">
        <v>196.67076114306701</v>
      </c>
      <c r="AL5335">
        <v>78.405762372283405</v>
      </c>
      <c r="AM5335">
        <v>94.973625063674007</v>
      </c>
      <c r="AN5335">
        <v>0.99999999041860899</v>
      </c>
    </row>
    <row r="5336" spans="1:40" x14ac:dyDescent="0.25">
      <c r="A5336" t="str">
        <f>"20190304154903623"</f>
        <v>20190304154903623</v>
      </c>
      <c r="B5336" t="str">
        <f>"1551685743612707"</f>
        <v>1551685743612707</v>
      </c>
      <c r="C5336" t="s">
        <v>40</v>
      </c>
      <c r="D5336">
        <v>4.2373900000000004</v>
      </c>
      <c r="E5336">
        <v>0.56807280000000004</v>
      </c>
      <c r="F5336" t="s">
        <v>81</v>
      </c>
      <c r="G5336">
        <v>-511.92649999999998</v>
      </c>
      <c r="H5336">
        <v>4.0926109999999998</v>
      </c>
      <c r="I5336">
        <v>161.27019999999999</v>
      </c>
      <c r="J5336">
        <v>-316.41149999999999</v>
      </c>
      <c r="K5336">
        <v>1.110223</v>
      </c>
      <c r="L5336">
        <v>141.5076</v>
      </c>
      <c r="M5336">
        <v>-0.99992559999999997</v>
      </c>
      <c r="N5336">
        <v>-1.1146710000000001E-2</v>
      </c>
      <c r="O5336">
        <v>4.9726409999999999E-3</v>
      </c>
      <c r="P5336">
        <v>-0.97850389999999998</v>
      </c>
      <c r="Q5336">
        <v>0.19019829999999999</v>
      </c>
      <c r="R5336">
        <v>-7.9719689999999996E-2</v>
      </c>
      <c r="S5336">
        <v>-3.0824579999999999</v>
      </c>
      <c r="T5336">
        <v>4.6968459999999997E-2</v>
      </c>
      <c r="U5336">
        <v>0.31124879999999999</v>
      </c>
      <c r="V5336">
        <v>-8.4420049999999996E-2</v>
      </c>
      <c r="W5336">
        <v>0.20115830000000001</v>
      </c>
      <c r="X5336">
        <v>0.97591419999999995</v>
      </c>
      <c r="Y5336">
        <v>9.5513120000000007E-2</v>
      </c>
      <c r="Z5336" s="1">
        <v>-6.1236209999999996E-5</v>
      </c>
      <c r="AA5336">
        <v>0.99542810000000004</v>
      </c>
      <c r="AB5336">
        <v>32</v>
      </c>
      <c r="AC5336">
        <v>-195.51499999999999</v>
      </c>
      <c r="AD5336">
        <v>2.9823879999999998</v>
      </c>
      <c r="AE5336">
        <v>19.7625999999999</v>
      </c>
      <c r="AF5336">
        <v>18.7857424613414</v>
      </c>
      <c r="AG5336">
        <v>2.9823879999999998</v>
      </c>
      <c r="AH5336">
        <v>195.56581585704299</v>
      </c>
      <c r="AI5336">
        <v>89.130306952874193</v>
      </c>
      <c r="AJ5336">
        <v>84.513093157658005</v>
      </c>
      <c r="AK5336">
        <v>196.48864366633799</v>
      </c>
      <c r="AL5336">
        <v>78.395298168004402</v>
      </c>
      <c r="AM5336">
        <v>94.943981545766505</v>
      </c>
      <c r="AN5336">
        <v>0.99999996613126496</v>
      </c>
    </row>
    <row r="5337" spans="1:40" x14ac:dyDescent="0.25">
      <c r="A5337" t="str">
        <f>"20190304154903640"</f>
        <v>20190304154903640</v>
      </c>
      <c r="B5337" t="str">
        <f>"1551685743632227"</f>
        <v>1551685743632227</v>
      </c>
      <c r="C5337" t="s">
        <v>40</v>
      </c>
      <c r="D5337">
        <v>4.2474270000000001</v>
      </c>
      <c r="E5337">
        <v>0.56790580000000002</v>
      </c>
      <c r="F5337" t="s">
        <v>81</v>
      </c>
      <c r="G5337">
        <v>-511.92649999999998</v>
      </c>
      <c r="H5337">
        <v>4.0737220000000001</v>
      </c>
      <c r="I5337">
        <v>161.38059999999999</v>
      </c>
      <c r="J5337">
        <v>-316.64120000000003</v>
      </c>
      <c r="K5337">
        <v>1.1102259999999999</v>
      </c>
      <c r="L5337">
        <v>141.50899999999999</v>
      </c>
      <c r="M5337">
        <v>-0.99992420000000004</v>
      </c>
      <c r="N5337">
        <v>-1.114471E-2</v>
      </c>
      <c r="O5337">
        <v>5.2322200000000001E-3</v>
      </c>
      <c r="P5337">
        <v>-0.97845280000000001</v>
      </c>
      <c r="Q5337">
        <v>0.1906168</v>
      </c>
      <c r="R5337">
        <v>-7.9345079999999998E-2</v>
      </c>
      <c r="S5337">
        <v>-3.0823969999999998</v>
      </c>
      <c r="T5337">
        <v>4.6721819999999997E-2</v>
      </c>
      <c r="U5337">
        <v>0.3133087</v>
      </c>
      <c r="V5337">
        <v>-8.4301490000000007E-2</v>
      </c>
      <c r="W5337">
        <v>0.201573</v>
      </c>
      <c r="X5337">
        <v>0.97583889999999995</v>
      </c>
      <c r="Y5337">
        <v>9.5915299999999995E-2</v>
      </c>
      <c r="Z5337" s="1">
        <v>-5.1886889999999999E-5</v>
      </c>
      <c r="AA5337">
        <v>0.99538950000000004</v>
      </c>
      <c r="AB5337">
        <v>32</v>
      </c>
      <c r="AC5337">
        <v>-195.28529999999901</v>
      </c>
      <c r="AD5337">
        <v>2.9634960000000001</v>
      </c>
      <c r="AE5337">
        <v>19.871600000000001</v>
      </c>
      <c r="AF5337">
        <v>18.845193511845999</v>
      </c>
      <c r="AG5337">
        <v>2.9634960000000001</v>
      </c>
      <c r="AH5337">
        <v>195.34208187284901</v>
      </c>
      <c r="AI5337">
        <v>89.134859752937601</v>
      </c>
      <c r="AJ5337">
        <v>84.489569883500494</v>
      </c>
      <c r="AK5337">
        <v>196.27137482949399</v>
      </c>
      <c r="AL5337">
        <v>78.371040968965502</v>
      </c>
      <c r="AM5337">
        <v>94.937451615138798</v>
      </c>
      <c r="AN5337">
        <v>0.99999998714921501</v>
      </c>
    </row>
    <row r="5338" spans="1:40" x14ac:dyDescent="0.25">
      <c r="A5338" t="str">
        <f>"20190304154903654"</f>
        <v>20190304154903654</v>
      </c>
      <c r="B5338" t="str">
        <f>"1551685743642965"</f>
        <v>1551685743642965</v>
      </c>
      <c r="C5338" t="s">
        <v>40</v>
      </c>
      <c r="D5338">
        <v>4.277717</v>
      </c>
      <c r="E5338">
        <v>0.56790580000000002</v>
      </c>
      <c r="F5338" t="s">
        <v>81</v>
      </c>
      <c r="G5338">
        <v>-511.92660000000001</v>
      </c>
      <c r="H5338">
        <v>4.1431310000000003</v>
      </c>
      <c r="I5338">
        <v>161.345</v>
      </c>
      <c r="J5338">
        <v>-316.85449999999997</v>
      </c>
      <c r="K5338">
        <v>1.1102339999999999</v>
      </c>
      <c r="L5338">
        <v>141.5103</v>
      </c>
      <c r="M5338">
        <v>-0.99992309999999995</v>
      </c>
      <c r="N5338">
        <v>-1.114308E-2</v>
      </c>
      <c r="O5338">
        <v>5.4670459999999997E-3</v>
      </c>
      <c r="P5338">
        <v>-0.97853840000000003</v>
      </c>
      <c r="Q5338">
        <v>0.19036020000000001</v>
      </c>
      <c r="R5338">
        <v>-7.8904719999999998E-2</v>
      </c>
      <c r="S5338">
        <v>-3.0821230000000002</v>
      </c>
      <c r="T5338">
        <v>4.7868010000000003E-2</v>
      </c>
      <c r="U5338">
        <v>0.31306460000000003</v>
      </c>
      <c r="V5338">
        <v>-8.4093879999999996E-2</v>
      </c>
      <c r="W5338">
        <v>0.20131379999999999</v>
      </c>
      <c r="X5338">
        <v>0.97591030000000001</v>
      </c>
      <c r="Y5338">
        <v>9.5612230000000006E-2</v>
      </c>
      <c r="Z5338" s="1">
        <v>-6.0978350000000002E-5</v>
      </c>
      <c r="AA5338">
        <v>0.99541869999999999</v>
      </c>
      <c r="AB5338">
        <v>32</v>
      </c>
      <c r="AC5338">
        <v>-195.07210000000001</v>
      </c>
      <c r="AD5338">
        <v>3.0328970000000002</v>
      </c>
      <c r="AE5338">
        <v>19.834700000000002</v>
      </c>
      <c r="AF5338">
        <v>18.7633801226768</v>
      </c>
      <c r="AG5338">
        <v>3.0328970000000002</v>
      </c>
      <c r="AH5338">
        <v>195.13094260170999</v>
      </c>
      <c r="AI5338">
        <v>89.113618034165398</v>
      </c>
      <c r="AJ5338">
        <v>84.507445751358404</v>
      </c>
      <c r="AK5338">
        <v>196.05445074894999</v>
      </c>
      <c r="AL5338">
        <v>78.386202651719202</v>
      </c>
      <c r="AM5338">
        <v>94.924993420932196</v>
      </c>
      <c r="AN5338">
        <v>0.99999997018499098</v>
      </c>
    </row>
    <row r="5339" spans="1:40" x14ac:dyDescent="0.25">
      <c r="A5339" t="str">
        <f>"20190304154903669"</f>
        <v>20190304154903669</v>
      </c>
      <c r="B5339" t="str">
        <f>"1551685743662485"</f>
        <v>1551685743662485</v>
      </c>
      <c r="C5339" t="s">
        <v>40</v>
      </c>
      <c r="D5339">
        <v>4.2587489999999999</v>
      </c>
      <c r="E5339">
        <v>0.56731830000000005</v>
      </c>
      <c r="F5339" t="s">
        <v>81</v>
      </c>
      <c r="G5339">
        <v>-511.92649999999998</v>
      </c>
      <c r="H5339">
        <v>4.0892589999999904</v>
      </c>
      <c r="I5339">
        <v>161.417</v>
      </c>
      <c r="J5339">
        <v>-317.06659999999999</v>
      </c>
      <c r="K5339">
        <v>1.110242</v>
      </c>
      <c r="L5339">
        <v>141.51169999999999</v>
      </c>
      <c r="M5339">
        <v>-0.99992179999999997</v>
      </c>
      <c r="N5339">
        <v>-1.1141720000000001E-2</v>
      </c>
      <c r="O5339">
        <v>5.6933890000000001E-3</v>
      </c>
      <c r="P5339">
        <v>-0.97858429999999996</v>
      </c>
      <c r="Q5339">
        <v>0.19042249999999999</v>
      </c>
      <c r="R5339">
        <v>-7.8181619999999993E-2</v>
      </c>
      <c r="S5339">
        <v>-3.0820310000000002</v>
      </c>
      <c r="T5339">
        <v>4.7067640000000001E-2</v>
      </c>
      <c r="U5339">
        <v>0.31451420000000002</v>
      </c>
      <c r="V5339">
        <v>-8.3596309999999993E-2</v>
      </c>
      <c r="W5339">
        <v>0.20137360000000001</v>
      </c>
      <c r="X5339">
        <v>0.97594080000000005</v>
      </c>
      <c r="Y5339">
        <v>9.5853510000000003E-2</v>
      </c>
      <c r="Z5339" s="1">
        <v>-4.460698E-5</v>
      </c>
      <c r="AA5339">
        <v>0.99539540000000004</v>
      </c>
      <c r="AB5339">
        <v>32</v>
      </c>
      <c r="AC5339">
        <v>-194.85990000000001</v>
      </c>
      <c r="AD5339">
        <v>2.9790169999999998</v>
      </c>
      <c r="AE5339">
        <v>19.9053</v>
      </c>
      <c r="AF5339">
        <v>18.791148792919302</v>
      </c>
      <c r="AG5339">
        <v>2.9790169999999998</v>
      </c>
      <c r="AH5339">
        <v>194.92498914956201</v>
      </c>
      <c r="AI5339">
        <v>89.128462868316802</v>
      </c>
      <c r="AJ5339">
        <v>84.4935907744172</v>
      </c>
      <c r="AK5339">
        <v>195.85130382563401</v>
      </c>
      <c r="AL5339">
        <v>78.382705756897906</v>
      </c>
      <c r="AM5339">
        <v>94.895842824380793</v>
      </c>
      <c r="AN5339">
        <v>1.0000000574636001</v>
      </c>
    </row>
    <row r="5340" spans="1:40" x14ac:dyDescent="0.25">
      <c r="A5340" t="str">
        <f>"20190304154903692"</f>
        <v>20190304154903692</v>
      </c>
      <c r="B5340" t="str">
        <f>"1551685743682979"</f>
        <v>1551685743682979</v>
      </c>
      <c r="C5340" t="s">
        <v>40</v>
      </c>
      <c r="D5340">
        <v>4.2380839999999997</v>
      </c>
      <c r="E5340">
        <v>0.56687710000000002</v>
      </c>
      <c r="F5340" t="s">
        <v>81</v>
      </c>
      <c r="G5340">
        <v>-511.92649999999998</v>
      </c>
      <c r="H5340">
        <v>3.9830719999999999</v>
      </c>
      <c r="I5340">
        <v>161.22989999999999</v>
      </c>
      <c r="J5340">
        <v>-317.39</v>
      </c>
      <c r="K5340">
        <v>1.110255</v>
      </c>
      <c r="L5340">
        <v>141.51390000000001</v>
      </c>
      <c r="M5340">
        <v>-0.99991980000000003</v>
      </c>
      <c r="N5340">
        <v>-1.11401E-2</v>
      </c>
      <c r="O5340">
        <v>6.0236680000000003E-3</v>
      </c>
      <c r="P5340">
        <v>-0.97859450000000003</v>
      </c>
      <c r="Q5340">
        <v>0.19058240000000001</v>
      </c>
      <c r="R5340">
        <v>-7.7661880000000003E-2</v>
      </c>
      <c r="S5340">
        <v>-3.0817260000000002</v>
      </c>
      <c r="T5340">
        <v>4.5434710000000003E-2</v>
      </c>
      <c r="U5340">
        <v>0.31184390000000001</v>
      </c>
      <c r="V5340">
        <v>-8.3406049999999995E-2</v>
      </c>
      <c r="W5340">
        <v>0.20152870000000001</v>
      </c>
      <c r="X5340">
        <v>0.97592500000000004</v>
      </c>
      <c r="Y5340">
        <v>9.468145E-2</v>
      </c>
      <c r="Z5340" s="1">
        <v>-1.18902E-5</v>
      </c>
      <c r="AA5340">
        <v>0.99550760000000005</v>
      </c>
      <c r="AB5340">
        <v>32</v>
      </c>
      <c r="AC5340">
        <v>-194.53649999999999</v>
      </c>
      <c r="AD5340">
        <v>2.872817</v>
      </c>
      <c r="AE5340">
        <v>19.715999999999902</v>
      </c>
      <c r="AF5340">
        <v>18.5397442245796</v>
      </c>
      <c r="AG5340">
        <v>2.872817</v>
      </c>
      <c r="AH5340">
        <v>194.60973141222499</v>
      </c>
      <c r="AI5340">
        <v>89.158075950156601</v>
      </c>
      <c r="AJ5340">
        <v>84.558067894942695</v>
      </c>
      <c r="AK5340">
        <v>195.511950411648</v>
      </c>
      <c r="AL5340">
        <v>78.373632454984104</v>
      </c>
      <c r="AM5340">
        <v>94.884832866619107</v>
      </c>
      <c r="AN5340">
        <v>0.99999999586264599</v>
      </c>
    </row>
    <row r="5341" spans="1:40" x14ac:dyDescent="0.25">
      <c r="A5341" t="str">
        <f>"20190304154903707"</f>
        <v>20190304154903707</v>
      </c>
      <c r="B5341" t="str">
        <f>"1551685743702499"</f>
        <v>1551685743702499</v>
      </c>
      <c r="C5341" t="s">
        <v>40</v>
      </c>
      <c r="D5341">
        <v>4.2447239999999997</v>
      </c>
      <c r="E5341">
        <v>0.56636219999999904</v>
      </c>
      <c r="F5341" t="s">
        <v>81</v>
      </c>
      <c r="G5341">
        <v>-511.92649999999998</v>
      </c>
      <c r="H5341">
        <v>3.9496060000000002</v>
      </c>
      <c r="I5341">
        <v>161.07579999999999</v>
      </c>
      <c r="J5341">
        <v>-317.60410000000002</v>
      </c>
      <c r="K5341">
        <v>1.110266</v>
      </c>
      <c r="L5341">
        <v>141.5154</v>
      </c>
      <c r="M5341">
        <v>-0.99991859999999999</v>
      </c>
      <c r="N5341">
        <v>-1.113944E-2</v>
      </c>
      <c r="O5341">
        <v>6.2283929999999996E-3</v>
      </c>
      <c r="P5341">
        <v>-0.97866810000000004</v>
      </c>
      <c r="Q5341">
        <v>0.19040399999999999</v>
      </c>
      <c r="R5341">
        <v>-7.7169660000000001E-2</v>
      </c>
      <c r="S5341">
        <v>-3.0814509999999999</v>
      </c>
      <c r="T5341">
        <v>4.4975880000000003E-2</v>
      </c>
      <c r="U5341">
        <v>0.30986019999999997</v>
      </c>
      <c r="V5341">
        <v>-8.3120200000000005E-2</v>
      </c>
      <c r="W5341">
        <v>0.20134840000000001</v>
      </c>
      <c r="X5341">
        <v>0.97598660000000004</v>
      </c>
      <c r="Y5341">
        <v>9.38523E-2</v>
      </c>
      <c r="Z5341" s="1">
        <v>7.8254379999999999E-7</v>
      </c>
      <c r="AA5341">
        <v>0.99558619999999998</v>
      </c>
      <c r="AB5341">
        <v>32</v>
      </c>
      <c r="AC5341">
        <v>-194.32239999999999</v>
      </c>
      <c r="AD5341">
        <v>2.83934</v>
      </c>
      <c r="AE5341">
        <v>19.560399999999898</v>
      </c>
      <c r="AF5341">
        <v>18.345751773450299</v>
      </c>
      <c r="AG5341">
        <v>2.83934</v>
      </c>
      <c r="AH5341">
        <v>194.39938062862501</v>
      </c>
      <c r="AI5341">
        <v>89.1669152140595</v>
      </c>
      <c r="AJ5341">
        <v>84.608880658042395</v>
      </c>
      <c r="AK5341">
        <v>195.283761866064</v>
      </c>
      <c r="AL5341">
        <v>78.384179062875404</v>
      </c>
      <c r="AM5341">
        <v>94.8678663335115</v>
      </c>
      <c r="AN5341">
        <v>0.99999999460508004</v>
      </c>
    </row>
    <row r="5342" spans="1:40" x14ac:dyDescent="0.25">
      <c r="A5342" t="str">
        <f>"20190304154903724"</f>
        <v>20190304154903724</v>
      </c>
      <c r="B5342" t="str">
        <f>"1551685743712260"</f>
        <v>1551685743712260</v>
      </c>
      <c r="C5342" t="s">
        <v>40</v>
      </c>
      <c r="D5342">
        <v>4.300027</v>
      </c>
      <c r="E5342">
        <v>0.56620939999999997</v>
      </c>
      <c r="F5342" t="s">
        <v>81</v>
      </c>
      <c r="G5342">
        <v>-511.92649999999998</v>
      </c>
      <c r="H5342">
        <v>3.8265820000000001</v>
      </c>
      <c r="I5342">
        <v>160.88319999999999</v>
      </c>
      <c r="J5342">
        <v>-317.85379999999998</v>
      </c>
      <c r="K5342">
        <v>1.1102780000000001</v>
      </c>
      <c r="L5342">
        <v>141.5172</v>
      </c>
      <c r="M5342">
        <v>-0.99991719999999895</v>
      </c>
      <c r="N5342">
        <v>-1.1138790000000001E-2</v>
      </c>
      <c r="O5342">
        <v>6.4572939999999997E-3</v>
      </c>
      <c r="P5342">
        <v>-0.97868750000000004</v>
      </c>
      <c r="Q5342">
        <v>0.19033520000000001</v>
      </c>
      <c r="R5342">
        <v>-7.7095670000000005E-2</v>
      </c>
      <c r="S5342">
        <v>-3.081207</v>
      </c>
      <c r="T5342">
        <v>4.3071030000000003E-2</v>
      </c>
      <c r="U5342">
        <v>0.30709839999999999</v>
      </c>
      <c r="V5342">
        <v>-8.3275950000000001E-2</v>
      </c>
      <c r="W5342">
        <v>0.2012765</v>
      </c>
      <c r="X5342">
        <v>0.97598810000000003</v>
      </c>
      <c r="Y5342">
        <v>9.2749129999999999E-2</v>
      </c>
      <c r="Z5342" s="1">
        <v>3.3014449999999997E-5</v>
      </c>
      <c r="AA5342">
        <v>0.99568950000000001</v>
      </c>
      <c r="AB5342">
        <v>32</v>
      </c>
      <c r="AC5342">
        <v>-194.0727</v>
      </c>
      <c r="AD5342">
        <v>2.7163040000000001</v>
      </c>
      <c r="AE5342">
        <v>19.3659999999999</v>
      </c>
      <c r="AF5342">
        <v>18.1088215873691</v>
      </c>
      <c r="AG5342">
        <v>2.7163040000000001</v>
      </c>
      <c r="AH5342">
        <v>194.15605347109201</v>
      </c>
      <c r="AI5342">
        <v>89.201929703123398</v>
      </c>
      <c r="AJ5342">
        <v>84.671471745806201</v>
      </c>
      <c r="AK5342">
        <v>195.017642345951</v>
      </c>
      <c r="AL5342">
        <v>78.388384116224401</v>
      </c>
      <c r="AM5342">
        <v>94.876936292462105</v>
      </c>
      <c r="AN5342">
        <v>0.99999994232112899</v>
      </c>
    </row>
    <row r="5343" spans="1:40" x14ac:dyDescent="0.25">
      <c r="A5343" t="str">
        <f>"20190304154903740"</f>
        <v>20190304154903740</v>
      </c>
      <c r="B5343" t="str">
        <f>"1551685743732756"</f>
        <v>1551685743732756</v>
      </c>
      <c r="C5343" t="s">
        <v>40</v>
      </c>
      <c r="D5343">
        <v>4.2777479999999999</v>
      </c>
      <c r="E5343">
        <v>0.56606469999999998</v>
      </c>
      <c r="F5343" t="s">
        <v>81</v>
      </c>
      <c r="G5343">
        <v>-511.92649999999998</v>
      </c>
      <c r="H5343">
        <v>3.7717679999999998</v>
      </c>
      <c r="I5343">
        <v>160.80779999999999</v>
      </c>
      <c r="J5343">
        <v>-318.07389999999998</v>
      </c>
      <c r="K5343">
        <v>1.11029</v>
      </c>
      <c r="L5343">
        <v>141.5188</v>
      </c>
      <c r="M5343">
        <v>-0.99991589999999997</v>
      </c>
      <c r="N5343">
        <v>-1.113836E-2</v>
      </c>
      <c r="O5343">
        <v>6.6490799999999999E-3</v>
      </c>
      <c r="P5343">
        <v>-0.9787148</v>
      </c>
      <c r="Q5343">
        <v>0.190215</v>
      </c>
      <c r="R5343">
        <v>-7.7044399999999999E-2</v>
      </c>
      <c r="S5343">
        <v>-3.0812680000000001</v>
      </c>
      <c r="T5343">
        <v>4.2256830000000002E-2</v>
      </c>
      <c r="U5343">
        <v>0.3062744</v>
      </c>
      <c r="V5343">
        <v>-8.3417740000000004E-2</v>
      </c>
      <c r="W5343">
        <v>0.20115359999999999</v>
      </c>
      <c r="X5343">
        <v>0.97600140000000002</v>
      </c>
      <c r="Y5343">
        <v>9.2292769999999996E-2</v>
      </c>
      <c r="Z5343" s="1">
        <v>4.8837739999999998E-5</v>
      </c>
      <c r="AA5343">
        <v>0.9957319</v>
      </c>
      <c r="AB5343">
        <v>32</v>
      </c>
      <c r="AC5343">
        <v>-193.8526</v>
      </c>
      <c r="AD5343">
        <v>2.6614779999999998</v>
      </c>
      <c r="AE5343">
        <v>19.288999999999898</v>
      </c>
      <c r="AF5343">
        <v>17.996193243817402</v>
      </c>
      <c r="AG5343">
        <v>2.6614779999999998</v>
      </c>
      <c r="AH5343">
        <v>193.94037772357399</v>
      </c>
      <c r="AI5343">
        <v>89.217132037738807</v>
      </c>
      <c r="AJ5343">
        <v>84.698568156291003</v>
      </c>
      <c r="AK5343">
        <v>194.791726076792</v>
      </c>
      <c r="AL5343">
        <v>78.395573610994006</v>
      </c>
      <c r="AM5343">
        <v>94.885133619720605</v>
      </c>
      <c r="AN5343">
        <v>1.0000000114708101</v>
      </c>
    </row>
    <row r="5344" spans="1:40" x14ac:dyDescent="0.25">
      <c r="A5344" t="str">
        <f>"20190304154903753"</f>
        <v>20190304154903753</v>
      </c>
      <c r="B5344" t="str">
        <f>"1551685743742516"</f>
        <v>1551685743742516</v>
      </c>
      <c r="C5344" t="s">
        <v>40</v>
      </c>
      <c r="D5344">
        <v>4.2203140000000001</v>
      </c>
      <c r="E5344">
        <v>0.56613400000000003</v>
      </c>
      <c r="F5344" t="s">
        <v>81</v>
      </c>
      <c r="G5344">
        <v>-511.9264</v>
      </c>
      <c r="H5344">
        <v>3.7077339999999999</v>
      </c>
      <c r="I5344">
        <v>160.70689999999999</v>
      </c>
      <c r="J5344">
        <v>-318.25779999999997</v>
      </c>
      <c r="K5344">
        <v>1.1103019999999999</v>
      </c>
      <c r="L5344">
        <v>141.52019999999999</v>
      </c>
      <c r="M5344">
        <v>-0.99991490000000005</v>
      </c>
      <c r="N5344">
        <v>-1.11381E-2</v>
      </c>
      <c r="O5344">
        <v>6.8031589999999996E-3</v>
      </c>
      <c r="P5344">
        <v>-0.97870199999999996</v>
      </c>
      <c r="Q5344">
        <v>0.19030169999999999</v>
      </c>
      <c r="R5344">
        <v>-7.6994199999999999E-2</v>
      </c>
      <c r="S5344">
        <v>-3.0812680000000001</v>
      </c>
      <c r="T5344">
        <v>4.1286829999999997E-2</v>
      </c>
      <c r="U5344">
        <v>0.30499270000000001</v>
      </c>
      <c r="V5344">
        <v>-8.3522349999999995E-2</v>
      </c>
      <c r="W5344">
        <v>0.20123820000000001</v>
      </c>
      <c r="X5344">
        <v>0.97597500000000004</v>
      </c>
      <c r="Y5344">
        <v>9.1729400000000003E-2</v>
      </c>
      <c r="Z5344" s="1">
        <v>6.559677E-5</v>
      </c>
      <c r="AA5344">
        <v>0.995784</v>
      </c>
      <c r="AB5344">
        <v>32</v>
      </c>
      <c r="AC5344">
        <v>-193.6686</v>
      </c>
      <c r="AD5344">
        <v>2.5974319999999902</v>
      </c>
      <c r="AE5344">
        <v>19.186699999999998</v>
      </c>
      <c r="AF5344">
        <v>17.865433710416301</v>
      </c>
      <c r="AG5344">
        <v>2.5974319999999902</v>
      </c>
      <c r="AH5344">
        <v>193.76014208193999</v>
      </c>
      <c r="AI5344">
        <v>89.235216876727904</v>
      </c>
      <c r="AJ5344">
        <v>84.732002784795199</v>
      </c>
      <c r="AK5344">
        <v>194.59936545186699</v>
      </c>
      <c r="AL5344">
        <v>78.390625043767798</v>
      </c>
      <c r="AM5344">
        <v>94.891361783651703</v>
      </c>
      <c r="AN5344">
        <v>0.99999999835688103</v>
      </c>
    </row>
    <row r="5345" spans="1:40" x14ac:dyDescent="0.25">
      <c r="A5345" t="str">
        <f>"20190304154903764"</f>
        <v>20190304154903764</v>
      </c>
      <c r="B5345" t="str">
        <f>"1551685743752275"</f>
        <v>1551685743752275</v>
      </c>
      <c r="C5345" t="s">
        <v>40</v>
      </c>
      <c r="D5345">
        <v>4.2594010000000004</v>
      </c>
      <c r="E5345">
        <v>0.56617289999999998</v>
      </c>
      <c r="F5345" t="s">
        <v>81</v>
      </c>
      <c r="G5345">
        <v>-511.9264</v>
      </c>
      <c r="H5345">
        <v>3.750073</v>
      </c>
      <c r="I5345">
        <v>160.75030000000001</v>
      </c>
      <c r="J5345">
        <v>-318.43360000000001</v>
      </c>
      <c r="K5345">
        <v>1.110303</v>
      </c>
      <c r="L5345">
        <v>141.52160000000001</v>
      </c>
      <c r="M5345">
        <v>-0.99991399999999997</v>
      </c>
      <c r="N5345">
        <v>-1.113799E-2</v>
      </c>
      <c r="O5345">
        <v>6.9419900000000003E-3</v>
      </c>
      <c r="P5345">
        <v>-0.97866920000000002</v>
      </c>
      <c r="Q5345">
        <v>0.19049949999999999</v>
      </c>
      <c r="R5345">
        <v>-7.692003E-2</v>
      </c>
      <c r="S5345">
        <v>-3.0811459999999999</v>
      </c>
      <c r="T5345">
        <v>4.199779E-2</v>
      </c>
      <c r="U5345">
        <v>0.30593870000000001</v>
      </c>
      <c r="V5345">
        <v>-8.3588259999999998E-2</v>
      </c>
      <c r="W5345">
        <v>0.20143340000000001</v>
      </c>
      <c r="X5345">
        <v>0.97592909999999999</v>
      </c>
      <c r="Y5345">
        <v>9.1897679999999995E-2</v>
      </c>
      <c r="Z5345" s="1">
        <v>5.9820359999999998E-5</v>
      </c>
      <c r="AA5345">
        <v>0.9957684</v>
      </c>
      <c r="AB5345">
        <v>32</v>
      </c>
      <c r="AC5345">
        <v>-193.49279999999999</v>
      </c>
      <c r="AD5345">
        <v>2.6397699999999999</v>
      </c>
      <c r="AE5345">
        <v>19.2287</v>
      </c>
      <c r="AF5345">
        <v>17.881632717467401</v>
      </c>
      <c r="AG5345">
        <v>2.6397699999999999</v>
      </c>
      <c r="AH5345">
        <v>193.58595209244299</v>
      </c>
      <c r="AI5345">
        <v>89.222065045272103</v>
      </c>
      <c r="AJ5345">
        <v>84.722535402254906</v>
      </c>
      <c r="AK5345">
        <v>194.42798672473299</v>
      </c>
      <c r="AL5345">
        <v>78.379207231593995</v>
      </c>
      <c r="AM5345">
        <v>94.895432068254095</v>
      </c>
      <c r="AN5345">
        <v>1.00000001003609</v>
      </c>
    </row>
    <row r="5346" spans="1:40" x14ac:dyDescent="0.25">
      <c r="A5346" t="str">
        <f>"20190304154903781"</f>
        <v>20190304154903781</v>
      </c>
      <c r="B5346" t="str">
        <f>"1551685743772771"</f>
        <v>1551685743772771</v>
      </c>
      <c r="C5346" t="s">
        <v>40</v>
      </c>
      <c r="D5346">
        <v>4.236002</v>
      </c>
      <c r="E5346">
        <v>0.56632890000000002</v>
      </c>
      <c r="F5346" t="s">
        <v>81</v>
      </c>
      <c r="G5346">
        <v>-511.92649999999998</v>
      </c>
      <c r="H5346">
        <v>3.8125119999999999</v>
      </c>
      <c r="I5346">
        <v>160.77369999999999</v>
      </c>
      <c r="J5346">
        <v>-318.65949999999998</v>
      </c>
      <c r="K5346">
        <v>1.1103160000000001</v>
      </c>
      <c r="L5346">
        <v>141.52330000000001</v>
      </c>
      <c r="M5346">
        <v>-0.99991280000000005</v>
      </c>
      <c r="N5346">
        <v>-1.1137950000000001E-2</v>
      </c>
      <c r="O5346">
        <v>7.1150730000000004E-3</v>
      </c>
      <c r="P5346">
        <v>-0.97859280000000004</v>
      </c>
      <c r="Q5346">
        <v>0.1908011</v>
      </c>
      <c r="R5346">
        <v>-7.7144240000000003E-2</v>
      </c>
      <c r="S5346">
        <v>-3.0811160000000002</v>
      </c>
      <c r="T5346">
        <v>4.3029789999999998E-2</v>
      </c>
      <c r="U5346">
        <v>0.30656430000000001</v>
      </c>
      <c r="V5346">
        <v>-8.3985509999999999E-2</v>
      </c>
      <c r="W5346">
        <v>0.2017323</v>
      </c>
      <c r="X5346">
        <v>0.97583319999999996</v>
      </c>
      <c r="Y5346">
        <v>9.1926369999999993E-2</v>
      </c>
      <c r="Z5346" s="1">
        <v>5.1086189999999998E-5</v>
      </c>
      <c r="AA5346">
        <v>0.99576580000000003</v>
      </c>
      <c r="AB5346">
        <v>32</v>
      </c>
      <c r="AC5346">
        <v>-193.267</v>
      </c>
      <c r="AD5346">
        <v>2.7021959999999998</v>
      </c>
      <c r="AE5346">
        <v>19.2503999999999</v>
      </c>
      <c r="AF5346">
        <v>17.871259464230899</v>
      </c>
      <c r="AG5346">
        <v>2.7021959999999998</v>
      </c>
      <c r="AH5346">
        <v>193.361655420554</v>
      </c>
      <c r="AI5346">
        <v>89.202750865270005</v>
      </c>
      <c r="AJ5346">
        <v>84.719495939098294</v>
      </c>
      <c r="AK5346">
        <v>194.20456628266399</v>
      </c>
      <c r="AL5346">
        <v>78.361722004419903</v>
      </c>
      <c r="AM5346">
        <v>94.919064557854497</v>
      </c>
      <c r="AN5346">
        <v>0.99999996048774398</v>
      </c>
    </row>
    <row r="5347" spans="1:40" x14ac:dyDescent="0.25">
      <c r="A5347" t="str">
        <f>"20190304154903803"</f>
        <v>20190304154903803</v>
      </c>
      <c r="B5347" t="str">
        <f>"1551685743792640"</f>
        <v>1551685743792640</v>
      </c>
      <c r="C5347" t="s">
        <v>40</v>
      </c>
      <c r="D5347">
        <v>4.237088</v>
      </c>
      <c r="E5347">
        <v>0.56635789999999997</v>
      </c>
      <c r="F5347" t="s">
        <v>81</v>
      </c>
      <c r="G5347">
        <v>-511.92649999999998</v>
      </c>
      <c r="H5347">
        <v>3.928283</v>
      </c>
      <c r="I5347">
        <v>160.7878</v>
      </c>
      <c r="J5347">
        <v>-318.97640000000001</v>
      </c>
      <c r="K5347">
        <v>1.1103320000000001</v>
      </c>
      <c r="L5347">
        <v>141.5258</v>
      </c>
      <c r="M5347">
        <v>-0.99991110000000005</v>
      </c>
      <c r="N5347">
        <v>-1.1138159999999999E-2</v>
      </c>
      <c r="O5347">
        <v>7.3472559999999999E-3</v>
      </c>
      <c r="P5347">
        <v>-0.9785625</v>
      </c>
      <c r="Q5347">
        <v>0.1910115</v>
      </c>
      <c r="R5347">
        <v>-7.7007770000000003E-2</v>
      </c>
      <c r="S5347">
        <v>-3.0810550000000001</v>
      </c>
      <c r="T5347">
        <v>4.4924619999999998E-2</v>
      </c>
      <c r="U5347">
        <v>0.30711359999999999</v>
      </c>
      <c r="V5347">
        <v>-8.4081409999999995E-2</v>
      </c>
      <c r="W5347">
        <v>0.20194010000000001</v>
      </c>
      <c r="X5347">
        <v>0.97578200000000004</v>
      </c>
      <c r="Y5347">
        <v>9.1872570000000001E-2</v>
      </c>
      <c r="Z5347" s="1">
        <v>3.3314340000000003E-5</v>
      </c>
      <c r="AA5347">
        <v>0.99577079999999996</v>
      </c>
      <c r="AB5347">
        <v>32</v>
      </c>
      <c r="AC5347">
        <v>-192.95009999999999</v>
      </c>
      <c r="AD5347">
        <v>2.8179509999999999</v>
      </c>
      <c r="AE5347">
        <v>19.262</v>
      </c>
      <c r="AF5347">
        <v>17.8399708824474</v>
      </c>
      <c r="AG5347">
        <v>2.8179509999999999</v>
      </c>
      <c r="AH5347">
        <v>193.045653944544</v>
      </c>
      <c r="AI5347">
        <v>89.167241929316305</v>
      </c>
      <c r="AJ5347">
        <v>84.720108776539206</v>
      </c>
      <c r="AK5347">
        <v>193.888704972212</v>
      </c>
      <c r="AL5347">
        <v>78.349566217725098</v>
      </c>
      <c r="AM5347">
        <v>94.924910980839101</v>
      </c>
      <c r="AN5347">
        <v>0.99999999950979901</v>
      </c>
    </row>
    <row r="5348" spans="1:40" x14ac:dyDescent="0.25">
      <c r="A5348" t="str">
        <f>"20190304154903818"</f>
        <v>20190304154903818</v>
      </c>
      <c r="B5348" t="str">
        <f>"1551685743812161"</f>
        <v>1551685743812161</v>
      </c>
      <c r="C5348" t="s">
        <v>40</v>
      </c>
      <c r="D5348">
        <v>4.2708170000000001</v>
      </c>
      <c r="E5348">
        <v>0.56631549999999997</v>
      </c>
      <c r="F5348" t="s">
        <v>81</v>
      </c>
      <c r="G5348">
        <v>-511.92649999999998</v>
      </c>
      <c r="H5348">
        <v>3.972321</v>
      </c>
      <c r="I5348">
        <v>160.77529999999999</v>
      </c>
      <c r="J5348">
        <v>-319.19839999999999</v>
      </c>
      <c r="K5348">
        <v>1.1103379999999901</v>
      </c>
      <c r="L5348">
        <v>141.52760000000001</v>
      </c>
      <c r="M5348">
        <v>-0.99990990000000002</v>
      </c>
      <c r="N5348">
        <v>-1.1138449999999999E-2</v>
      </c>
      <c r="O5348">
        <v>7.5048819999999896E-3</v>
      </c>
      <c r="P5348">
        <v>-0.97858259999999997</v>
      </c>
      <c r="Q5348">
        <v>0.19103129999999999</v>
      </c>
      <c r="R5348">
        <v>-7.6703060000000003E-2</v>
      </c>
      <c r="S5348">
        <v>-3.080994</v>
      </c>
      <c r="T5348">
        <v>4.570043E-2</v>
      </c>
      <c r="U5348">
        <v>0.30737300000000001</v>
      </c>
      <c r="V5348">
        <v>-8.3933590000000002E-2</v>
      </c>
      <c r="W5348">
        <v>0.20195930000000001</v>
      </c>
      <c r="X5348">
        <v>0.97579070000000001</v>
      </c>
      <c r="Y5348">
        <v>9.1800439999999997E-2</v>
      </c>
      <c r="Z5348" s="1">
        <v>2.78459599999999E-5</v>
      </c>
      <c r="AA5348">
        <v>0.99577740000000003</v>
      </c>
      <c r="AB5348">
        <v>32</v>
      </c>
      <c r="AC5348">
        <v>-192.72810000000001</v>
      </c>
      <c r="AD5348">
        <v>2.8619829999999999</v>
      </c>
      <c r="AE5348">
        <v>19.247699999999899</v>
      </c>
      <c r="AF5348">
        <v>17.796780885921301</v>
      </c>
      <c r="AG5348">
        <v>2.8619829999999999</v>
      </c>
      <c r="AH5348">
        <v>192.825030909612</v>
      </c>
      <c r="AI5348">
        <v>89.1532547894261</v>
      </c>
      <c r="AJ5348">
        <v>84.7268266889795</v>
      </c>
      <c r="AK5348">
        <v>193.66571431693001</v>
      </c>
      <c r="AL5348">
        <v>78.3484423906974</v>
      </c>
      <c r="AM5348">
        <v>94.916251556105706</v>
      </c>
      <c r="AN5348">
        <v>0.99999994829663197</v>
      </c>
    </row>
    <row r="5349" spans="1:40" x14ac:dyDescent="0.25">
      <c r="A5349" t="str">
        <f>"20190304154903836"</f>
        <v>20190304154903836</v>
      </c>
      <c r="B5349" t="str">
        <f>"1551685743832657"</f>
        <v>1551685743832657</v>
      </c>
      <c r="C5349" t="s">
        <v>40</v>
      </c>
      <c r="D5349">
        <v>4.205044</v>
      </c>
      <c r="E5349">
        <v>0.5711775</v>
      </c>
      <c r="F5349" t="s">
        <v>81</v>
      </c>
      <c r="G5349">
        <v>-511.92649999999998</v>
      </c>
      <c r="H5349">
        <v>3.9847600000000001</v>
      </c>
      <c r="I5349">
        <v>160.7876</v>
      </c>
      <c r="J5349">
        <v>-319.44909999999999</v>
      </c>
      <c r="K5349">
        <v>1.110344</v>
      </c>
      <c r="L5349">
        <v>141.52969999999999</v>
      </c>
      <c r="M5349">
        <v>-0.99990840000000003</v>
      </c>
      <c r="N5349">
        <v>-1.1138840000000001E-2</v>
      </c>
      <c r="O5349">
        <v>7.6792669999999896E-3</v>
      </c>
      <c r="P5349">
        <v>-0.97859830000000003</v>
      </c>
      <c r="Q5349">
        <v>0.19106020000000001</v>
      </c>
      <c r="R5349">
        <v>-7.6429949999999997E-2</v>
      </c>
      <c r="S5349">
        <v>-3.0808110000000002</v>
      </c>
      <c r="T5349">
        <v>4.59491E-2</v>
      </c>
      <c r="U5349">
        <v>0.307876599999999</v>
      </c>
      <c r="V5349">
        <v>-8.3833989999999997E-2</v>
      </c>
      <c r="W5349">
        <v>0.20198730000000001</v>
      </c>
      <c r="X5349">
        <v>0.97579349999999998</v>
      </c>
      <c r="Y5349">
        <v>9.179379E-2</v>
      </c>
      <c r="Z5349" s="1">
        <v>2.9294050000000001E-5</v>
      </c>
      <c r="AA5349">
        <v>0.99577800000000005</v>
      </c>
      <c r="AB5349">
        <v>32</v>
      </c>
      <c r="AC5349">
        <v>-192.47739999999999</v>
      </c>
      <c r="AD5349">
        <v>2.8744160000000001</v>
      </c>
      <c r="AE5349">
        <v>19.257899999999999</v>
      </c>
      <c r="AF5349">
        <v>17.7752300277659</v>
      </c>
      <c r="AG5349">
        <v>2.8744160000000001</v>
      </c>
      <c r="AH5349">
        <v>192.57709717785499</v>
      </c>
      <c r="AI5349">
        <v>89.148482727165899</v>
      </c>
      <c r="AJ5349">
        <v>84.726433685484196</v>
      </c>
      <c r="AK5349">
        <v>193.41706084864899</v>
      </c>
      <c r="AL5349">
        <v>78.346804736209407</v>
      </c>
      <c r="AM5349">
        <v>94.910432194502704</v>
      </c>
      <c r="AN5349">
        <v>0.99999998094142895</v>
      </c>
    </row>
    <row r="5350" spans="1:40" x14ac:dyDescent="0.25">
      <c r="A5350" t="str">
        <f>"20190304154903854"</f>
        <v>20190304154903854</v>
      </c>
      <c r="B5350" t="str">
        <f>"1551685743842418"</f>
        <v>1551685743842418</v>
      </c>
      <c r="C5350" t="s">
        <v>40</v>
      </c>
      <c r="D5350">
        <v>4.269393</v>
      </c>
      <c r="E5350">
        <v>0.5711775</v>
      </c>
      <c r="F5350" t="s">
        <v>81</v>
      </c>
      <c r="G5350">
        <v>-511.92529999999999</v>
      </c>
      <c r="H5350">
        <v>0.37149799999999999</v>
      </c>
      <c r="I5350">
        <v>163.19110000000001</v>
      </c>
      <c r="J5350">
        <v>-319.69760000000002</v>
      </c>
      <c r="K5350">
        <v>1.1103459999999901</v>
      </c>
      <c r="L5350">
        <v>141.5318</v>
      </c>
      <c r="M5350">
        <v>-0.9999072</v>
      </c>
      <c r="N5350">
        <v>-1.1139299999999901E-2</v>
      </c>
      <c r="O5350">
        <v>7.8495000000000006E-3</v>
      </c>
      <c r="P5350">
        <v>-0.97861889999999996</v>
      </c>
      <c r="Q5350">
        <v>0.1911137</v>
      </c>
      <c r="R5350">
        <v>-7.6030849999999997E-2</v>
      </c>
      <c r="S5350">
        <v>-3.0951230000000001</v>
      </c>
      <c r="T5350">
        <v>-1.188028E-2</v>
      </c>
      <c r="U5350">
        <v>0.34832760000000001</v>
      </c>
      <c r="V5350">
        <v>-8.3603659999999996E-2</v>
      </c>
      <c r="W5350">
        <v>0.20204</v>
      </c>
      <c r="X5350">
        <v>0.97580239999999996</v>
      </c>
      <c r="Y5350">
        <v>0.1040278</v>
      </c>
      <c r="Z5350">
        <v>8.3741419999999896E-4</v>
      </c>
      <c r="AA5350">
        <v>0.99457399999999996</v>
      </c>
      <c r="AB5350">
        <v>32</v>
      </c>
      <c r="AC5350">
        <v>-192.2277</v>
      </c>
      <c r="AD5350">
        <v>-0.73884799999999895</v>
      </c>
      <c r="AE5350">
        <v>21.659300000000002</v>
      </c>
      <c r="AF5350">
        <v>20.149353827155199</v>
      </c>
      <c r="AG5350">
        <v>-0.73884799999999895</v>
      </c>
      <c r="AH5350">
        <v>192.38899577492501</v>
      </c>
      <c r="AI5350">
        <v>90.218839898125495</v>
      </c>
      <c r="AJ5350">
        <v>84.021074816677</v>
      </c>
      <c r="AK5350">
        <v>193.44267381139801</v>
      </c>
      <c r="AL5350">
        <v>78.343722248945795</v>
      </c>
      <c r="AM5350">
        <v>94.896962258018206</v>
      </c>
      <c r="AN5350">
        <v>1.0000000287055699</v>
      </c>
    </row>
    <row r="5351" spans="1:40" x14ac:dyDescent="0.25">
      <c r="A5351" t="str">
        <f>"20190304154903870"</f>
        <v>20190304154903870</v>
      </c>
      <c r="B5351" t="str">
        <f>"1551685743862912"</f>
        <v>1551685743862912</v>
      </c>
      <c r="C5351" t="s">
        <v>40</v>
      </c>
      <c r="D5351">
        <v>4.2763309999999999</v>
      </c>
      <c r="E5351">
        <v>0.56563830000000004</v>
      </c>
      <c r="F5351" t="s">
        <v>81</v>
      </c>
      <c r="G5351">
        <v>-511.92529999999999</v>
      </c>
      <c r="H5351">
        <v>0.37799270000000001</v>
      </c>
      <c r="I5351">
        <v>163.24279999999999</v>
      </c>
      <c r="J5351">
        <v>-319.9513</v>
      </c>
      <c r="K5351">
        <v>1.1103479999999999</v>
      </c>
      <c r="L5351">
        <v>141.53389999999999</v>
      </c>
      <c r="M5351">
        <v>-0.99990590000000001</v>
      </c>
      <c r="N5351">
        <v>-1.113986E-2</v>
      </c>
      <c r="O5351">
        <v>8.0224279999999999E-3</v>
      </c>
      <c r="P5351">
        <v>-0.97861779999999998</v>
      </c>
      <c r="Q5351">
        <v>0.1914971</v>
      </c>
      <c r="R5351">
        <v>-7.5074550000000004E-2</v>
      </c>
      <c r="S5351">
        <v>-3.0950009999999999</v>
      </c>
      <c r="T5351">
        <v>-1.179063E-2</v>
      </c>
      <c r="U5351">
        <v>0.34956359999999997</v>
      </c>
      <c r="V5351">
        <v>-8.2817580000000002E-2</v>
      </c>
      <c r="W5351">
        <v>0.20242299999999999</v>
      </c>
      <c r="X5351">
        <v>0.97579000000000005</v>
      </c>
      <c r="Y5351">
        <v>0.1042524</v>
      </c>
      <c r="Z5351">
        <v>8.3913179999999996E-4</v>
      </c>
      <c r="AA5351">
        <v>0.9945505</v>
      </c>
      <c r="AB5351">
        <v>32</v>
      </c>
      <c r="AC5351">
        <v>-191.97399999999999</v>
      </c>
      <c r="AD5351">
        <v>-0.73235529999999904</v>
      </c>
      <c r="AE5351">
        <v>21.7089</v>
      </c>
      <c r="AF5351">
        <v>20.167718559413601</v>
      </c>
      <c r="AG5351">
        <v>-0.73235529999999904</v>
      </c>
      <c r="AH5351">
        <v>192.13922940895699</v>
      </c>
      <c r="AI5351">
        <v>90.217193592422802</v>
      </c>
      <c r="AJ5351">
        <v>84.007942351996604</v>
      </c>
      <c r="AK5351">
        <v>193.19616117833399</v>
      </c>
      <c r="AL5351">
        <v>78.321314324970999</v>
      </c>
      <c r="AM5351">
        <v>94.851200891126993</v>
      </c>
      <c r="AN5351">
        <v>0.99999997329302703</v>
      </c>
    </row>
    <row r="5352" spans="1:40" x14ac:dyDescent="0.25">
      <c r="A5352" t="str">
        <f>"20190304154903893"</f>
        <v>20190304154903893</v>
      </c>
      <c r="B5352" t="str">
        <f>"1551685743882433"</f>
        <v>1551685743882433</v>
      </c>
      <c r="C5352" t="s">
        <v>40</v>
      </c>
      <c r="D5352">
        <v>4.3091059999999999</v>
      </c>
      <c r="E5352">
        <v>0.56512419999999997</v>
      </c>
      <c r="F5352" t="s">
        <v>81</v>
      </c>
      <c r="G5352">
        <v>-511.92649999999998</v>
      </c>
      <c r="H5352">
        <v>3.7972939999999999</v>
      </c>
      <c r="I5352">
        <v>160.66030000000001</v>
      </c>
      <c r="J5352">
        <v>-320.26429999999999</v>
      </c>
      <c r="K5352">
        <v>1.1103499999999999</v>
      </c>
      <c r="L5352">
        <v>141.5367</v>
      </c>
      <c r="M5352">
        <v>-0.99990420000000002</v>
      </c>
      <c r="N5352">
        <v>-1.11407E-2</v>
      </c>
      <c r="O5352">
        <v>8.2351200000000003E-3</v>
      </c>
      <c r="P5352">
        <v>-0.97863049999999996</v>
      </c>
      <c r="Q5352">
        <v>0.19193260000000001</v>
      </c>
      <c r="R5352">
        <v>-7.3786350000000001E-2</v>
      </c>
      <c r="S5352">
        <v>-3.0807190000000002</v>
      </c>
      <c r="T5352">
        <v>4.311943E-2</v>
      </c>
      <c r="U5352">
        <v>0.30693049999999999</v>
      </c>
      <c r="V5352">
        <v>-8.1738430000000001E-2</v>
      </c>
      <c r="W5352">
        <v>0.2028587</v>
      </c>
      <c r="X5352">
        <v>0.97579059999999995</v>
      </c>
      <c r="Y5352">
        <v>9.0941099999999997E-2</v>
      </c>
      <c r="Z5352" s="1">
        <v>7.9500719999999896E-5</v>
      </c>
      <c r="AA5352">
        <v>0.99585630000000003</v>
      </c>
      <c r="AB5352">
        <v>32</v>
      </c>
      <c r="AC5352">
        <v>-191.66220000000001</v>
      </c>
      <c r="AD5352">
        <v>2.686944</v>
      </c>
      <c r="AE5352">
        <v>19.1236</v>
      </c>
      <c r="AF5352">
        <v>17.541079061356601</v>
      </c>
      <c r="AG5352">
        <v>2.686944</v>
      </c>
      <c r="AH5352">
        <v>191.77587546087699</v>
      </c>
      <c r="AI5352">
        <v>89.200626091672603</v>
      </c>
      <c r="AJ5352">
        <v>84.773894035335701</v>
      </c>
      <c r="AK5352">
        <v>192.59515967822699</v>
      </c>
      <c r="AL5352">
        <v>78.2958226780394</v>
      </c>
      <c r="AM5352">
        <v>94.788280492406003</v>
      </c>
      <c r="AN5352">
        <v>1.00000005907645</v>
      </c>
    </row>
    <row r="5353" spans="1:40" x14ac:dyDescent="0.25">
      <c r="A5353" t="str">
        <f>"20190304154903907"</f>
        <v>20190304154903907</v>
      </c>
      <c r="B5353" t="str">
        <f>"1551685743902930"</f>
        <v>1551685743902930</v>
      </c>
      <c r="C5353" t="s">
        <v>40</v>
      </c>
      <c r="D5353">
        <v>4.2509639999999997</v>
      </c>
      <c r="E5353">
        <v>0.56493249999999995</v>
      </c>
      <c r="F5353" t="s">
        <v>81</v>
      </c>
      <c r="G5353">
        <v>-511.92649999999998</v>
      </c>
      <c r="H5353">
        <v>3.7757740000000002</v>
      </c>
      <c r="I5353">
        <v>160.6301</v>
      </c>
      <c r="J5353">
        <v>-320.48200000000003</v>
      </c>
      <c r="K5353">
        <v>1.110352</v>
      </c>
      <c r="L5353">
        <v>141.5386</v>
      </c>
      <c r="M5353">
        <v>-0.99990279999999998</v>
      </c>
      <c r="N5353">
        <v>-1.1141359999999999E-2</v>
      </c>
      <c r="O5353">
        <v>8.3835139999999999E-3</v>
      </c>
      <c r="P5353">
        <v>-0.97866140000000001</v>
      </c>
      <c r="Q5353">
        <v>0.19192770000000001</v>
      </c>
      <c r="R5353">
        <v>-7.3390999999999998E-2</v>
      </c>
      <c r="S5353">
        <v>-3.0802309999999999</v>
      </c>
      <c r="T5353">
        <v>4.2837140000000003E-2</v>
      </c>
      <c r="U5353">
        <v>0.30685420000000002</v>
      </c>
      <c r="V5353">
        <v>-8.1489110000000003E-2</v>
      </c>
      <c r="W5353">
        <v>0.20285449999999999</v>
      </c>
      <c r="X5353">
        <v>0.97581229999999997</v>
      </c>
      <c r="Y5353">
        <v>9.0784530000000002E-2</v>
      </c>
      <c r="Z5353" s="1">
        <v>8.6776450000000002E-5</v>
      </c>
      <c r="AA5353">
        <v>0.99587049999999999</v>
      </c>
      <c r="AB5353">
        <v>32</v>
      </c>
      <c r="AC5353">
        <v>-191.44449999999901</v>
      </c>
      <c r="AD5353">
        <v>2.6654219999999902</v>
      </c>
      <c r="AE5353">
        <v>19.0915</v>
      </c>
      <c r="AF5353">
        <v>17.482396307893399</v>
      </c>
      <c r="AG5353">
        <v>2.6654219999999902</v>
      </c>
      <c r="AH5353">
        <v>191.56106836372001</v>
      </c>
      <c r="AI5353">
        <v>89.206124388973095</v>
      </c>
      <c r="AJ5353">
        <v>84.785472749005095</v>
      </c>
      <c r="AK5353">
        <v>192.37562623095999</v>
      </c>
      <c r="AL5353">
        <v>78.296068132511294</v>
      </c>
      <c r="AM5353">
        <v>94.773637127683003</v>
      </c>
      <c r="AN5353">
        <v>1.0000000340250601</v>
      </c>
    </row>
    <row r="5354" spans="1:40" x14ac:dyDescent="0.25">
      <c r="A5354" t="str">
        <f>"20190304154903921"</f>
        <v>20190304154903921</v>
      </c>
      <c r="B5354" t="str">
        <f>"1551685743912689"</f>
        <v>1551685743912689</v>
      </c>
      <c r="C5354" t="s">
        <v>40</v>
      </c>
      <c r="D5354">
        <v>4.2646569999999997</v>
      </c>
      <c r="E5354">
        <v>0.55893899999999996</v>
      </c>
      <c r="F5354" t="s">
        <v>81</v>
      </c>
      <c r="G5354">
        <v>-511.9264</v>
      </c>
      <c r="H5354">
        <v>3.5500150000000001</v>
      </c>
      <c r="I5354">
        <v>160.60470000000001</v>
      </c>
      <c r="J5354">
        <v>-320.67989999999998</v>
      </c>
      <c r="K5354">
        <v>1.1103529999999999</v>
      </c>
      <c r="L5354">
        <v>141.54040000000001</v>
      </c>
      <c r="M5354">
        <v>-0.99990179999999995</v>
      </c>
      <c r="N5354">
        <v>-1.1142000000000001E-2</v>
      </c>
      <c r="O5354">
        <v>8.5186210000000005E-3</v>
      </c>
      <c r="P5354">
        <v>-0.97870360000000001</v>
      </c>
      <c r="Q5354">
        <v>0.19181200000000001</v>
      </c>
      <c r="R5354">
        <v>-7.3130009999999995E-2</v>
      </c>
      <c r="S5354">
        <v>-3.0806879999999999</v>
      </c>
      <c r="T5354">
        <v>3.9259309999999999E-2</v>
      </c>
      <c r="U5354">
        <v>0.30680849999999998</v>
      </c>
      <c r="V5354">
        <v>-8.1360799999999997E-2</v>
      </c>
      <c r="W5354">
        <v>0.20273910000000001</v>
      </c>
      <c r="X5354">
        <v>0.97584689999999996</v>
      </c>
      <c r="Y5354">
        <v>9.0621350000000003E-2</v>
      </c>
      <c r="Z5354">
        <v>1.3309899999999999E-4</v>
      </c>
      <c r="AA5354">
        <v>0.99588540000000003</v>
      </c>
      <c r="AB5354">
        <v>32</v>
      </c>
      <c r="AC5354">
        <v>-191.2465</v>
      </c>
      <c r="AD5354">
        <v>2.43966199999999</v>
      </c>
      <c r="AE5354">
        <v>19.064299999999999</v>
      </c>
      <c r="AF5354">
        <v>17.431542103811999</v>
      </c>
      <c r="AG5354">
        <v>2.43966199999999</v>
      </c>
      <c r="AH5354">
        <v>191.371135785365</v>
      </c>
      <c r="AI5354">
        <v>89.272625117765202</v>
      </c>
      <c r="AJ5354">
        <v>84.795425896158505</v>
      </c>
      <c r="AK5354">
        <v>192.178880792276</v>
      </c>
      <c r="AL5354">
        <v>78.302819342800007</v>
      </c>
      <c r="AM5354">
        <v>94.765987161395898</v>
      </c>
      <c r="AN5354">
        <v>0.99999994734252795</v>
      </c>
    </row>
    <row r="5355" spans="1:40" x14ac:dyDescent="0.25">
      <c r="A5355" t="str">
        <f>"20190304154903937"</f>
        <v>20190304154903937</v>
      </c>
      <c r="B5355" t="str">
        <f>"1551685743932209"</f>
        <v>1551685743932209</v>
      </c>
      <c r="C5355" t="s">
        <v>40</v>
      </c>
      <c r="D5355">
        <v>4.141356</v>
      </c>
      <c r="E5355">
        <v>0.55220119999999995</v>
      </c>
      <c r="F5355" t="s">
        <v>81</v>
      </c>
      <c r="G5355">
        <v>-511.92630000000003</v>
      </c>
      <c r="H5355">
        <v>3.322219</v>
      </c>
      <c r="I5355">
        <v>157.71680000000001</v>
      </c>
      <c r="J5355">
        <v>-320.89839999999998</v>
      </c>
      <c r="K5355">
        <v>1.1103529999999999</v>
      </c>
      <c r="L5355">
        <v>141.54239999999999</v>
      </c>
      <c r="M5355">
        <v>-0.99990040000000002</v>
      </c>
      <c r="N5355">
        <v>-1.114273E-2</v>
      </c>
      <c r="O5355">
        <v>8.6683300000000001E-3</v>
      </c>
      <c r="P5355">
        <v>-0.97870250000000003</v>
      </c>
      <c r="Q5355">
        <v>0.19191159999999999</v>
      </c>
      <c r="R5355">
        <v>-7.2879289999999999E-2</v>
      </c>
      <c r="S5355">
        <v>-3.0777589999999999</v>
      </c>
      <c r="T5355">
        <v>3.5596610000000001E-2</v>
      </c>
      <c r="U5355">
        <v>0.26033020000000001</v>
      </c>
      <c r="V5355">
        <v>-8.1256709999999996E-2</v>
      </c>
      <c r="W5355">
        <v>0.20283909999999999</v>
      </c>
      <c r="X5355">
        <v>0.9758348</v>
      </c>
      <c r="Y5355">
        <v>7.5644240000000001E-2</v>
      </c>
      <c r="Z5355">
        <v>1.8204629999999999E-4</v>
      </c>
      <c r="AA5355">
        <v>0.99713490000000005</v>
      </c>
      <c r="AB5355">
        <v>32</v>
      </c>
      <c r="AC5355">
        <v>-191.02789999999999</v>
      </c>
      <c r="AD5355">
        <v>2.2118660000000001</v>
      </c>
      <c r="AE5355">
        <v>16.174399999999999</v>
      </c>
      <c r="AF5355">
        <v>14.515864393126201</v>
      </c>
      <c r="AG5355">
        <v>2.2118660000000001</v>
      </c>
      <c r="AH5355">
        <v>191.13549310803501</v>
      </c>
      <c r="AI5355">
        <v>89.338892648763206</v>
      </c>
      <c r="AJ5355">
        <v>85.656985173454004</v>
      </c>
      <c r="AK5355">
        <v>191.698668216378</v>
      </c>
      <c r="AL5355">
        <v>78.296968284536206</v>
      </c>
      <c r="AM5355">
        <v>94.759976517702796</v>
      </c>
      <c r="AN5355">
        <v>0.999999955149936</v>
      </c>
    </row>
    <row r="5356" spans="1:40" x14ac:dyDescent="0.25">
      <c r="A5356" t="str">
        <f>"20190304154903960"</f>
        <v>20190304154903960</v>
      </c>
      <c r="B5356" t="str">
        <f>"1551685743952705"</f>
        <v>1551685743952705</v>
      </c>
      <c r="C5356" t="s">
        <v>40</v>
      </c>
      <c r="D5356">
        <v>4.1419350000000001</v>
      </c>
      <c r="E5356">
        <v>0.54779080000000002</v>
      </c>
      <c r="F5356" t="s">
        <v>81</v>
      </c>
      <c r="G5356">
        <v>-511.92610000000002</v>
      </c>
      <c r="H5356">
        <v>2.7059839999999999</v>
      </c>
      <c r="I5356">
        <v>154.4539</v>
      </c>
      <c r="J5356">
        <v>-321.23450000000003</v>
      </c>
      <c r="K5356">
        <v>1.110358</v>
      </c>
      <c r="L5356">
        <v>141.54560000000001</v>
      </c>
      <c r="M5356">
        <v>-0.99989839999999997</v>
      </c>
      <c r="N5356">
        <v>-1.1143989999999999E-2</v>
      </c>
      <c r="O5356">
        <v>8.8995700000000007E-3</v>
      </c>
      <c r="P5356">
        <v>-0.97871629999999998</v>
      </c>
      <c r="Q5356">
        <v>0.1917529</v>
      </c>
      <c r="R5356">
        <v>-7.3112650000000001E-2</v>
      </c>
      <c r="S5356">
        <v>-3.0757140000000001</v>
      </c>
      <c r="T5356">
        <v>2.5691749999999999E-2</v>
      </c>
      <c r="U5356">
        <v>0.20788570000000001</v>
      </c>
      <c r="V5356">
        <v>-8.1717300000000007E-2</v>
      </c>
      <c r="W5356">
        <v>0.20268169999999999</v>
      </c>
      <c r="X5356">
        <v>0.9758291</v>
      </c>
      <c r="Y5356">
        <v>5.8555400000000001E-2</v>
      </c>
      <c r="Z5356">
        <v>2.5569159999999999E-4</v>
      </c>
      <c r="AA5356">
        <v>0.99828410000000001</v>
      </c>
      <c r="AB5356">
        <v>32</v>
      </c>
      <c r="AC5356">
        <v>-190.69159999999999</v>
      </c>
      <c r="AD5356">
        <v>1.595626</v>
      </c>
      <c r="AE5356">
        <v>12.908299999999899</v>
      </c>
      <c r="AF5356">
        <v>11.209828991897799</v>
      </c>
      <c r="AG5356">
        <v>1.595626</v>
      </c>
      <c r="AH5356">
        <v>190.78563557317099</v>
      </c>
      <c r="AI5356">
        <v>89.521645779912404</v>
      </c>
      <c r="AJ5356">
        <v>86.637386724015599</v>
      </c>
      <c r="AK5356">
        <v>191.12133588225601</v>
      </c>
      <c r="AL5356">
        <v>78.306178596766998</v>
      </c>
      <c r="AM5356">
        <v>94.786860450128501</v>
      </c>
      <c r="AN5356">
        <v>1.00000001052049</v>
      </c>
    </row>
    <row r="5357" spans="1:40" x14ac:dyDescent="0.25">
      <c r="A5357" t="str">
        <f>"20190304154903994"</f>
        <v>20190304154903994</v>
      </c>
      <c r="B5357" t="str">
        <f>"1551685743981985"</f>
        <v>1551685743981985</v>
      </c>
      <c r="C5357" t="s">
        <v>40</v>
      </c>
      <c r="D5357">
        <v>4.1352379999999904</v>
      </c>
      <c r="E5357">
        <v>0.54313299999999998</v>
      </c>
      <c r="F5357" t="s">
        <v>81</v>
      </c>
      <c r="G5357">
        <v>-511.05939999999998</v>
      </c>
      <c r="H5357">
        <v>2.2008580000000002</v>
      </c>
      <c r="I5357">
        <v>152.1722</v>
      </c>
      <c r="J5357">
        <v>-321.72370000000001</v>
      </c>
      <c r="K5357">
        <v>1.1103529999999999</v>
      </c>
      <c r="L5357">
        <v>141.55029999999999</v>
      </c>
      <c r="M5357">
        <v>-0.99989530000000004</v>
      </c>
      <c r="N5357">
        <v>-1.1146049999999999E-2</v>
      </c>
      <c r="O5357">
        <v>9.2365409999999992E-3</v>
      </c>
      <c r="P5357">
        <v>-0.97873560000000004</v>
      </c>
      <c r="Q5357">
        <v>0.19134190000000001</v>
      </c>
      <c r="R5357">
        <v>-7.3927560000000003E-2</v>
      </c>
      <c r="S5357">
        <v>-3.0745849999999999</v>
      </c>
      <c r="T5357">
        <v>1.7663479999999999E-2</v>
      </c>
      <c r="U5357">
        <v>0.1721191</v>
      </c>
      <c r="V5357">
        <v>-8.2862060000000001E-2</v>
      </c>
      <c r="W5357">
        <v>0.20227310000000001</v>
      </c>
      <c r="X5357">
        <v>0.9758173</v>
      </c>
      <c r="Y5357">
        <v>4.6670730000000001E-2</v>
      </c>
      <c r="Z5357">
        <v>2.8224780000000001E-4</v>
      </c>
      <c r="AA5357">
        <v>0.99891030000000003</v>
      </c>
      <c r="AB5357">
        <v>32</v>
      </c>
      <c r="AC5357">
        <v>-189.3357</v>
      </c>
      <c r="AD5357">
        <v>1.0905049999999901</v>
      </c>
      <c r="AE5357">
        <v>10.6219</v>
      </c>
      <c r="AF5357">
        <v>8.8722379804445008</v>
      </c>
      <c r="AG5357">
        <v>1.0905049999999901</v>
      </c>
      <c r="AH5357">
        <v>189.41947408590599</v>
      </c>
      <c r="AI5357">
        <v>89.670507903432593</v>
      </c>
      <c r="AJ5357">
        <v>87.3182771647067</v>
      </c>
      <c r="AK5357">
        <v>189.63027967842601</v>
      </c>
      <c r="AL5357">
        <v>78.330084290353</v>
      </c>
      <c r="AM5357">
        <v>94.853658805463994</v>
      </c>
      <c r="AN5357">
        <v>0.999999965475171</v>
      </c>
    </row>
    <row r="5358" spans="1:40" x14ac:dyDescent="0.25">
      <c r="A5358" t="str">
        <f>"20190304154904016"</f>
        <v>20190304154904016</v>
      </c>
      <c r="B5358" t="str">
        <f>"1551685744012241"</f>
        <v>1551685744012241</v>
      </c>
      <c r="C5358" t="s">
        <v>40</v>
      </c>
      <c r="D5358">
        <v>4.1519849999999998</v>
      </c>
      <c r="E5358">
        <v>0.54013840000000002</v>
      </c>
      <c r="F5358" t="s">
        <v>81</v>
      </c>
      <c r="G5358">
        <v>-513.74720000000002</v>
      </c>
      <c r="H5358">
        <v>1.636476</v>
      </c>
      <c r="I5358">
        <v>149.8432</v>
      </c>
      <c r="J5358">
        <v>-322.03030000000001</v>
      </c>
      <c r="K5358">
        <v>1.1103510000000001</v>
      </c>
      <c r="L5358">
        <v>141.55330000000001</v>
      </c>
      <c r="M5358">
        <v>-0.99989340000000004</v>
      </c>
      <c r="N5358">
        <v>-1.114742E-2</v>
      </c>
      <c r="O5358">
        <v>9.4442280000000007E-3</v>
      </c>
      <c r="P5358">
        <v>-0.97888609999999998</v>
      </c>
      <c r="Q5358">
        <v>0.19035750000000001</v>
      </c>
      <c r="R5358">
        <v>-7.4473800000000007E-2</v>
      </c>
      <c r="S5358">
        <v>-3.0735169999999998</v>
      </c>
      <c r="T5358">
        <v>8.4217790000000008E-3</v>
      </c>
      <c r="U5358">
        <v>0.1327362</v>
      </c>
      <c r="V5358">
        <v>-8.3614499999999994E-2</v>
      </c>
      <c r="W5358">
        <v>0.20129140000000001</v>
      </c>
      <c r="X5358">
        <v>0.97595609999999999</v>
      </c>
      <c r="Y5358">
        <v>3.3710219999999999E-2</v>
      </c>
      <c r="Z5358">
        <v>2.7292290000000002E-4</v>
      </c>
      <c r="AA5358">
        <v>0.99943159999999998</v>
      </c>
      <c r="AB5358">
        <v>32</v>
      </c>
      <c r="AC5358">
        <v>-191.71690000000001</v>
      </c>
      <c r="AD5358">
        <v>0.52612499999999995</v>
      </c>
      <c r="AE5358">
        <v>8.2898999999999798</v>
      </c>
      <c r="AF5358">
        <v>6.4787511631657901</v>
      </c>
      <c r="AG5358">
        <v>0.52612499999999995</v>
      </c>
      <c r="AH5358">
        <v>191.78520371028799</v>
      </c>
      <c r="AI5358">
        <v>89.842910295418406</v>
      </c>
      <c r="AJ5358">
        <v>88.0652105365062</v>
      </c>
      <c r="AK5358">
        <v>191.89532403460601</v>
      </c>
      <c r="AL5358">
        <v>78.387512787785994</v>
      </c>
      <c r="AM5358">
        <v>94.896826552393094</v>
      </c>
      <c r="AN5358">
        <v>0.99999996072570896</v>
      </c>
    </row>
    <row r="5359" spans="1:40" x14ac:dyDescent="0.25">
      <c r="A5359" t="str">
        <f>"20190304154904037"</f>
        <v>20190304154904037</v>
      </c>
      <c r="B5359" t="str">
        <f>"1551685744032737"</f>
        <v>1551685744032737</v>
      </c>
      <c r="C5359" t="s">
        <v>40</v>
      </c>
      <c r="D5359">
        <v>4.1466580000000004</v>
      </c>
      <c r="E5359">
        <v>0.53873059999999995</v>
      </c>
      <c r="F5359" t="s">
        <v>42</v>
      </c>
      <c r="G5359">
        <v>0</v>
      </c>
      <c r="H5359">
        <v>0</v>
      </c>
      <c r="I5359">
        <v>0</v>
      </c>
      <c r="J5359">
        <v>-322.34730000000002</v>
      </c>
      <c r="K5359">
        <v>1.1103540000000001</v>
      </c>
      <c r="L5359">
        <v>141.5565</v>
      </c>
      <c r="M5359">
        <v>-0.99989130000000004</v>
      </c>
      <c r="N5359">
        <v>-1.1148760000000001E-2</v>
      </c>
      <c r="O5359">
        <v>9.6540389999999997E-3</v>
      </c>
      <c r="P5359">
        <v>-0.9790124</v>
      </c>
      <c r="Q5359">
        <v>0.18956790000000001</v>
      </c>
      <c r="R5359">
        <v>-7.4826149999999994E-2</v>
      </c>
      <c r="S5359">
        <v>-3.0729060000000001</v>
      </c>
      <c r="T5359" s="1">
        <v>-8.3446499999999998E-6</v>
      </c>
      <c r="U5359">
        <v>0.1071472</v>
      </c>
      <c r="V5359">
        <v>-8.4175620000000007E-2</v>
      </c>
      <c r="W5359">
        <v>0.2005043</v>
      </c>
      <c r="X5359">
        <v>0.97606990000000005</v>
      </c>
      <c r="Y5359">
        <v>2.519739E-2</v>
      </c>
      <c r="Z5359">
        <v>2.4812180000000002E-4</v>
      </c>
      <c r="AA5359">
        <v>0.99968250000000003</v>
      </c>
      <c r="AB5359">
        <v>32</v>
      </c>
      <c r="AC5359">
        <v>-3.0729060000000001</v>
      </c>
      <c r="AD5359" s="1">
        <v>-8.3446499999999998E-6</v>
      </c>
      <c r="AE5359">
        <v>0.1071472</v>
      </c>
      <c r="AF5359">
        <v>7.7474409565780597E-2</v>
      </c>
      <c r="AG5359" s="1">
        <v>-8.3446499999999998E-6</v>
      </c>
      <c r="AH5359">
        <v>3.0737972481975699</v>
      </c>
      <c r="AI5359">
        <v>90.000155495431798</v>
      </c>
      <c r="AJ5359">
        <v>88.556177687504302</v>
      </c>
      <c r="AK5359">
        <v>3.07477345624587</v>
      </c>
      <c r="AL5359">
        <v>78.433549093957495</v>
      </c>
      <c r="AM5359">
        <v>94.928954871326695</v>
      </c>
      <c r="AN5359">
        <v>0.99999997950344199</v>
      </c>
    </row>
    <row r="5360" spans="1:40" x14ac:dyDescent="0.25">
      <c r="A5360" t="str">
        <f>"20190304154904061"</f>
        <v>20190304154904061</v>
      </c>
      <c r="B5360" t="str">
        <f>"1551685744052257"</f>
        <v>1551685744052257</v>
      </c>
      <c r="C5360" t="s">
        <v>40</v>
      </c>
      <c r="D5360">
        <v>4.1456080000000002</v>
      </c>
      <c r="E5360">
        <v>0.53740849999999996</v>
      </c>
      <c r="F5360" t="s">
        <v>42</v>
      </c>
      <c r="G5360">
        <v>0</v>
      </c>
      <c r="H5360">
        <v>0</v>
      </c>
      <c r="I5360">
        <v>0</v>
      </c>
      <c r="J5360">
        <v>-322.68239999999997</v>
      </c>
      <c r="K5360">
        <v>1.1103540000000001</v>
      </c>
      <c r="L5360">
        <v>141.56</v>
      </c>
      <c r="M5360">
        <v>-0.99988909999999998</v>
      </c>
      <c r="N5360">
        <v>-1.115035E-2</v>
      </c>
      <c r="O5360">
        <v>9.8611020000000001E-3</v>
      </c>
      <c r="P5360">
        <v>-0.97925309999999999</v>
      </c>
      <c r="Q5360">
        <v>0.18830189999999999</v>
      </c>
      <c r="R5360">
        <v>-7.4870989999999998E-2</v>
      </c>
      <c r="S5360">
        <v>-3.0726619999999998</v>
      </c>
      <c r="T5360">
        <v>-5.5850739999999998E-3</v>
      </c>
      <c r="U5360">
        <v>9.5138550000000002E-2</v>
      </c>
      <c r="V5360">
        <v>-8.4429619999999997E-2</v>
      </c>
      <c r="W5360">
        <v>0.19924049999999999</v>
      </c>
      <c r="X5360">
        <v>0.97630669999999997</v>
      </c>
      <c r="Y5360">
        <v>2.1089759999999999E-2</v>
      </c>
      <c r="Z5360">
        <v>2.28793E-4</v>
      </c>
      <c r="AA5360">
        <v>0.99977760000000004</v>
      </c>
      <c r="AB5360">
        <v>32</v>
      </c>
      <c r="AC5360">
        <v>-3.0726619999999998</v>
      </c>
      <c r="AD5360">
        <v>-5.5850739999999998E-3</v>
      </c>
      <c r="AE5360">
        <v>9.5138550000000002E-2</v>
      </c>
      <c r="AF5360">
        <v>6.4831989180792998E-2</v>
      </c>
      <c r="AG5360">
        <v>-5.5850739999999998E-3</v>
      </c>
      <c r="AH5360">
        <v>3.0734406676109201</v>
      </c>
      <c r="AI5360">
        <v>90.104094947530896</v>
      </c>
      <c r="AJ5360">
        <v>88.791566538410606</v>
      </c>
      <c r="AK5360">
        <v>3.0741294568051898</v>
      </c>
      <c r="AL5360">
        <v>78.507450413483099</v>
      </c>
      <c r="AM5360">
        <v>94.942561244535597</v>
      </c>
      <c r="AN5360">
        <v>0.99999995501924099</v>
      </c>
    </row>
    <row r="5361" spans="1:40" x14ac:dyDescent="0.25">
      <c r="A5361" t="str">
        <f>"20190304154904083"</f>
        <v>20190304154904083</v>
      </c>
      <c r="B5361" t="str">
        <f>"1551685744072752"</f>
        <v>1551685744072752</v>
      </c>
      <c r="C5361" t="s">
        <v>40</v>
      </c>
      <c r="D5361">
        <v>4.171856</v>
      </c>
      <c r="E5361">
        <v>0.53626409999999902</v>
      </c>
      <c r="F5361" t="s">
        <v>42</v>
      </c>
      <c r="G5361">
        <v>0</v>
      </c>
      <c r="H5361">
        <v>0</v>
      </c>
      <c r="I5361">
        <v>0</v>
      </c>
      <c r="J5361">
        <v>-323.00409999999999</v>
      </c>
      <c r="K5361">
        <v>1.1103620000000001</v>
      </c>
      <c r="L5361">
        <v>141.5634</v>
      </c>
      <c r="M5361">
        <v>-0.99988759999999999</v>
      </c>
      <c r="N5361">
        <v>-1.1151919999999999E-2</v>
      </c>
      <c r="O5361">
        <v>1.003775E-2</v>
      </c>
      <c r="P5361">
        <v>-0.97962249999999995</v>
      </c>
      <c r="Q5361">
        <v>0.18634690000000001</v>
      </c>
      <c r="R5361">
        <v>-7.4932170000000006E-2</v>
      </c>
      <c r="S5361">
        <v>-3.0722659999999999</v>
      </c>
      <c r="T5361">
        <v>-1.1802790000000001E-2</v>
      </c>
      <c r="U5361">
        <v>8.4030149999999998E-2</v>
      </c>
      <c r="V5361">
        <v>-8.4675550000000002E-2</v>
      </c>
      <c r="W5361">
        <v>0.1972882</v>
      </c>
      <c r="X5361">
        <v>0.97668180000000004</v>
      </c>
      <c r="Y5361">
        <v>1.7304750000000001E-2</v>
      </c>
      <c r="Z5361">
        <v>2.031224E-4</v>
      </c>
      <c r="AA5361">
        <v>0.99985020000000002</v>
      </c>
      <c r="AB5361">
        <v>32</v>
      </c>
      <c r="AC5361">
        <v>-3.0722659999999999</v>
      </c>
      <c r="AD5361">
        <v>-1.1802790000000001E-2</v>
      </c>
      <c r="AE5361">
        <v>8.4030149999999998E-2</v>
      </c>
      <c r="AF5361">
        <v>5.3184581032319697E-2</v>
      </c>
      <c r="AG5361">
        <v>-1.1802790000000001E-2</v>
      </c>
      <c r="AH5361">
        <v>3.0729094089584001</v>
      </c>
      <c r="AI5361">
        <v>90.220034298544505</v>
      </c>
      <c r="AJ5361">
        <v>89.008448539307196</v>
      </c>
      <c r="AK5361">
        <v>3.0733922855985099</v>
      </c>
      <c r="AL5361">
        <v>78.621574578435698</v>
      </c>
      <c r="AM5361">
        <v>94.954992269666505</v>
      </c>
      <c r="AN5361">
        <v>0.99999996053913998</v>
      </c>
    </row>
    <row r="5362" spans="1:40" x14ac:dyDescent="0.25">
      <c r="A5362" t="str">
        <f>"20190304154904105"</f>
        <v>20190304154904105</v>
      </c>
      <c r="B5362" t="str">
        <f>"1551685744093250"</f>
        <v>1551685744093250</v>
      </c>
      <c r="C5362" t="s">
        <v>40</v>
      </c>
      <c r="D5362">
        <v>4.1399710000000001</v>
      </c>
      <c r="E5362">
        <v>0.53527860000000005</v>
      </c>
      <c r="F5362" t="s">
        <v>68</v>
      </c>
      <c r="G5362">
        <v>-497.74869999999999</v>
      </c>
      <c r="H5362" s="1">
        <v>-7.7703060000000005E-6</v>
      </c>
      <c r="I5362">
        <v>145.8192</v>
      </c>
      <c r="J5362">
        <v>-323.32130000000001</v>
      </c>
      <c r="K5362">
        <v>1.1103730000000001</v>
      </c>
      <c r="L5362">
        <v>141.5667</v>
      </c>
      <c r="M5362">
        <v>-0.99988600000000005</v>
      </c>
      <c r="N5362">
        <v>-1.115353E-2</v>
      </c>
      <c r="O5362">
        <v>1.0183009999999999E-2</v>
      </c>
      <c r="P5362">
        <v>-0.97989959999999998</v>
      </c>
      <c r="Q5362">
        <v>0.18497140000000001</v>
      </c>
      <c r="R5362">
        <v>-7.4714260000000005E-2</v>
      </c>
      <c r="S5362">
        <v>-3.0718380000000001</v>
      </c>
      <c r="T5362">
        <v>-1.9519209999999999E-2</v>
      </c>
      <c r="U5362">
        <v>7.4813840000000006E-2</v>
      </c>
      <c r="V5362">
        <v>-8.4613640000000004E-2</v>
      </c>
      <c r="W5362">
        <v>0.19591330000000001</v>
      </c>
      <c r="X5362">
        <v>0.9769639</v>
      </c>
      <c r="Y5362">
        <v>1.4164970000000001E-2</v>
      </c>
      <c r="Z5362">
        <v>1.7288459999999901E-4</v>
      </c>
      <c r="AA5362">
        <v>0.99989969999999995</v>
      </c>
      <c r="AB5362">
        <v>32</v>
      </c>
      <c r="AC5362">
        <v>-174.42739999999901</v>
      </c>
      <c r="AD5362">
        <v>-1.110380770306</v>
      </c>
      <c r="AE5362">
        <v>4.2524999999999897</v>
      </c>
      <c r="AF5362">
        <v>2.4758728615903101</v>
      </c>
      <c r="AG5362">
        <v>-1.110380770306</v>
      </c>
      <c r="AH5362">
        <v>174.454595638717</v>
      </c>
      <c r="AI5362">
        <v>90.364638527658798</v>
      </c>
      <c r="AJ5362">
        <v>89.186908535348294</v>
      </c>
      <c r="AK5362">
        <v>174.47569696479201</v>
      </c>
      <c r="AL5362">
        <v>78.701918751348302</v>
      </c>
      <c r="AM5362">
        <v>94.9499648574281</v>
      </c>
      <c r="AN5362">
        <v>0.99999997554707398</v>
      </c>
    </row>
    <row r="5363" spans="1:40" x14ac:dyDescent="0.25">
      <c r="A5363" t="str">
        <f>"20190304154904128"</f>
        <v>20190304154904128</v>
      </c>
      <c r="B5363" t="str">
        <f>"1551685744122531"</f>
        <v>1551685744122531</v>
      </c>
      <c r="C5363" t="s">
        <v>40</v>
      </c>
      <c r="D5363">
        <v>4.0659549999999998</v>
      </c>
      <c r="E5363">
        <v>0.53430100000000003</v>
      </c>
      <c r="F5363" t="s">
        <v>44</v>
      </c>
      <c r="G5363">
        <v>-461.31020000000001</v>
      </c>
      <c r="H5363" s="1">
        <v>-4.229426E-6</v>
      </c>
      <c r="I5363">
        <v>144.60849999999999</v>
      </c>
      <c r="J5363">
        <v>-323.64490000000001</v>
      </c>
      <c r="K5363">
        <v>1.110395</v>
      </c>
      <c r="L5363">
        <v>141.5702</v>
      </c>
      <c r="M5363">
        <v>-0.99988489999999997</v>
      </c>
      <c r="N5363">
        <v>-1.115523E-2</v>
      </c>
      <c r="O5363">
        <v>1.029366E-2</v>
      </c>
      <c r="P5363">
        <v>-0.98014659999999998</v>
      </c>
      <c r="Q5363">
        <v>0.18372849999999999</v>
      </c>
      <c r="R5363">
        <v>-7.4542780000000003E-2</v>
      </c>
      <c r="S5363">
        <v>-3.0713499999999998</v>
      </c>
      <c r="T5363">
        <v>-2.4714710000000001E-2</v>
      </c>
      <c r="U5363">
        <v>6.7703250000000006E-2</v>
      </c>
      <c r="V5363">
        <v>-8.4566989999999995E-2</v>
      </c>
      <c r="W5363">
        <v>0.19466890000000001</v>
      </c>
      <c r="X5363">
        <v>0.97721670000000005</v>
      </c>
      <c r="Y5363">
        <v>1.1744299999999999E-2</v>
      </c>
      <c r="Z5363">
        <v>1.4477000000000001E-4</v>
      </c>
      <c r="AA5363">
        <v>0.99993100000000001</v>
      </c>
      <c r="AB5363">
        <v>32</v>
      </c>
      <c r="AC5363">
        <v>-137.6653</v>
      </c>
      <c r="AD5363">
        <v>-1.1103992294259999</v>
      </c>
      <c r="AE5363">
        <v>3.0382999999999898</v>
      </c>
      <c r="AF5363">
        <v>1.6208657862086899</v>
      </c>
      <c r="AG5363">
        <v>-1.1103992294259999</v>
      </c>
      <c r="AH5363">
        <v>137.680329577973</v>
      </c>
      <c r="AI5363">
        <v>90.462051494079205</v>
      </c>
      <c r="AJ5363">
        <v>89.325506563364698</v>
      </c>
      <c r="AK5363">
        <v>137.69434754210101</v>
      </c>
      <c r="AL5363">
        <v>78.774617894031707</v>
      </c>
      <c r="AM5363">
        <v>94.94597586962</v>
      </c>
      <c r="AN5363">
        <v>1.00000001759188</v>
      </c>
    </row>
    <row r="5364" spans="1:40" x14ac:dyDescent="0.25">
      <c r="A5364" t="str">
        <f>"20190304154904150"</f>
        <v>20190304154904150</v>
      </c>
      <c r="B5364" t="str">
        <f>"1551685744142049"</f>
        <v>1551685744142049</v>
      </c>
      <c r="C5364" t="s">
        <v>40</v>
      </c>
      <c r="D5364">
        <v>4.1641700000000004</v>
      </c>
      <c r="E5364">
        <v>0.53357809999999894</v>
      </c>
      <c r="F5364" t="s">
        <v>79</v>
      </c>
      <c r="G5364">
        <v>-435.76150000000001</v>
      </c>
      <c r="H5364" s="1">
        <v>-1.045279E-5</v>
      </c>
      <c r="I5364">
        <v>143.7611</v>
      </c>
      <c r="J5364">
        <v>-323.97359999999998</v>
      </c>
      <c r="K5364">
        <v>1.1104149999999999</v>
      </c>
      <c r="L5364">
        <v>141.5736</v>
      </c>
      <c r="M5364">
        <v>-0.9998842</v>
      </c>
      <c r="N5364">
        <v>-1.1152820000000001E-2</v>
      </c>
      <c r="O5364">
        <v>1.0367400000000001E-2</v>
      </c>
      <c r="P5364">
        <v>-0.98061350000000003</v>
      </c>
      <c r="Q5364">
        <v>0.1810389</v>
      </c>
      <c r="R5364">
        <v>-7.4983179999999997E-2</v>
      </c>
      <c r="S5364">
        <v>-3.0710139999999999</v>
      </c>
      <c r="T5364">
        <v>-3.0415419999999999E-2</v>
      </c>
      <c r="U5364">
        <v>6.0012820000000001E-2</v>
      </c>
      <c r="V5364">
        <v>-8.5099939999999999E-2</v>
      </c>
      <c r="W5364">
        <v>0.19197549999999999</v>
      </c>
      <c r="X5364">
        <v>0.97770319999999999</v>
      </c>
      <c r="Y5364">
        <v>9.1699009999999994E-3</v>
      </c>
      <c r="Z5364">
        <v>1.095087E-4</v>
      </c>
      <c r="AA5364">
        <v>0.99995800000000001</v>
      </c>
      <c r="AB5364">
        <v>32</v>
      </c>
      <c r="AC5364">
        <v>-111.78789999999999</v>
      </c>
      <c r="AD5364">
        <v>-1.1104254527899999</v>
      </c>
      <c r="AE5364">
        <v>2.1875</v>
      </c>
      <c r="AF5364">
        <v>1.0282592061956599</v>
      </c>
      <c r="AG5364">
        <v>-1.1104254527899999</v>
      </c>
      <c r="AH5364">
        <v>111.79354498852599</v>
      </c>
      <c r="AI5364">
        <v>90.569066030316193</v>
      </c>
      <c r="AJ5364">
        <v>89.4730174139751</v>
      </c>
      <c r="AK5364">
        <v>111.80378823091399</v>
      </c>
      <c r="AL5364">
        <v>78.931906164406897</v>
      </c>
      <c r="AM5364">
        <v>94.974525758456096</v>
      </c>
      <c r="AN5364">
        <v>1.0000000698392399</v>
      </c>
    </row>
    <row r="5365" spans="1:40" x14ac:dyDescent="0.25">
      <c r="A5365" t="str">
        <f>"20190304154904172"</f>
        <v>20190304154904172</v>
      </c>
      <c r="B5365" t="str">
        <f>"1551685744162545"</f>
        <v>1551685744162545</v>
      </c>
      <c r="C5365" t="s">
        <v>40</v>
      </c>
      <c r="D5365">
        <v>4.1659309999999996</v>
      </c>
      <c r="E5365">
        <v>0.53298369999999995</v>
      </c>
      <c r="F5365" t="s">
        <v>79</v>
      </c>
      <c r="G5365">
        <v>-410.66930000000002</v>
      </c>
      <c r="H5365" s="1">
        <v>-1.185099E-5</v>
      </c>
      <c r="I5365">
        <v>143.05869999999999</v>
      </c>
      <c r="J5365">
        <v>-324.29169999999999</v>
      </c>
      <c r="K5365">
        <v>1.110428</v>
      </c>
      <c r="L5365">
        <v>141.577</v>
      </c>
      <c r="M5365">
        <v>-0.99988379999999999</v>
      </c>
      <c r="N5365">
        <v>-1.114624E-2</v>
      </c>
      <c r="O5365">
        <v>1.0407609999999999E-2</v>
      </c>
      <c r="P5365">
        <v>-0.98121199999999997</v>
      </c>
      <c r="Q5365">
        <v>0.177440299999999</v>
      </c>
      <c r="R5365">
        <v>-7.5754150000000006E-2</v>
      </c>
      <c r="S5365">
        <v>-3.0705870000000002</v>
      </c>
      <c r="T5365">
        <v>-3.9329049999999997E-2</v>
      </c>
      <c r="U5365">
        <v>5.2597049999999999E-2</v>
      </c>
      <c r="V5365">
        <v>-8.5929779999999997E-2</v>
      </c>
      <c r="W5365">
        <v>0.18837180000000001</v>
      </c>
      <c r="X5365">
        <v>0.97833130000000001</v>
      </c>
      <c r="Y5365">
        <v>6.7181300000000001E-3</v>
      </c>
      <c r="Z5365" s="1">
        <v>6.3187219999999897E-5</v>
      </c>
      <c r="AA5365">
        <v>0.99997740000000002</v>
      </c>
      <c r="AB5365">
        <v>32</v>
      </c>
      <c r="AC5365">
        <v>-86.377600000000001</v>
      </c>
      <c r="AD5365">
        <v>-1.11043985099</v>
      </c>
      <c r="AE5365">
        <v>1.48169999999998</v>
      </c>
      <c r="AF5365">
        <v>0.58248335650290795</v>
      </c>
      <c r="AG5365">
        <v>-1.11043985099</v>
      </c>
      <c r="AH5365">
        <v>86.374072426351404</v>
      </c>
      <c r="AI5365">
        <v>90.736547018411699</v>
      </c>
      <c r="AJ5365">
        <v>89.613618634426999</v>
      </c>
      <c r="AK5365">
        <v>86.383174004176695</v>
      </c>
      <c r="AL5365">
        <v>79.142220433710193</v>
      </c>
      <c r="AM5365">
        <v>95.019578979055296</v>
      </c>
      <c r="AN5365">
        <v>0.99999999734288902</v>
      </c>
    </row>
    <row r="5366" spans="1:40" x14ac:dyDescent="0.25">
      <c r="A5366" t="str">
        <f>"20190304154904195"</f>
        <v>20190304154904195</v>
      </c>
      <c r="B5366" t="str">
        <f>"1551685744192482"</f>
        <v>1551685744192482</v>
      </c>
      <c r="C5366" t="s">
        <v>40</v>
      </c>
      <c r="D5366">
        <v>4.1786750000000001</v>
      </c>
      <c r="E5366">
        <v>0.53252270000000002</v>
      </c>
      <c r="F5366" t="s">
        <v>44</v>
      </c>
      <c r="G5366">
        <v>-392.9504</v>
      </c>
      <c r="H5366" s="1">
        <v>-3.8000480000000001E-6</v>
      </c>
      <c r="I5366">
        <v>142.59829999999999</v>
      </c>
      <c r="J5366">
        <v>-324.61590000000001</v>
      </c>
      <c r="K5366">
        <v>1.1104430000000001</v>
      </c>
      <c r="L5366">
        <v>141.5804</v>
      </c>
      <c r="M5366">
        <v>-0.99988370000000004</v>
      </c>
      <c r="N5366">
        <v>-1.113856E-2</v>
      </c>
      <c r="O5366">
        <v>1.0424849999999999E-2</v>
      </c>
      <c r="P5366">
        <v>-0.98174640000000002</v>
      </c>
      <c r="Q5366">
        <v>0.17406830000000001</v>
      </c>
      <c r="R5366">
        <v>-7.6644580000000004E-2</v>
      </c>
      <c r="S5366">
        <v>-3.0699459999999998</v>
      </c>
      <c r="T5366">
        <v>-4.9650909999999999E-2</v>
      </c>
      <c r="U5366">
        <v>4.5669559999999998E-2</v>
      </c>
      <c r="V5366">
        <v>-8.6852289999999999E-2</v>
      </c>
      <c r="W5366">
        <v>0.1849942</v>
      </c>
      <c r="X5366">
        <v>0.97889420000000005</v>
      </c>
      <c r="Y5366">
        <v>4.4486880000000001E-3</v>
      </c>
      <c r="Z5366" s="1">
        <v>8.2902790000000001E-6</v>
      </c>
      <c r="AA5366">
        <v>0.99999009999999999</v>
      </c>
      <c r="AB5366">
        <v>32</v>
      </c>
      <c r="AC5366">
        <v>-68.334499999999906</v>
      </c>
      <c r="AD5366">
        <v>-1.1104468000479999</v>
      </c>
      <c r="AE5366">
        <v>1.01789999999999</v>
      </c>
      <c r="AF5366">
        <v>0.30534301547996401</v>
      </c>
      <c r="AG5366">
        <v>-1.1104468000479999</v>
      </c>
      <c r="AH5366">
        <v>68.323360341912604</v>
      </c>
      <c r="AI5366">
        <v>90.931126312030699</v>
      </c>
      <c r="AJ5366">
        <v>89.743941903161598</v>
      </c>
      <c r="AK5366">
        <v>68.333065896853199</v>
      </c>
      <c r="AL5366">
        <v>79.339205911604594</v>
      </c>
      <c r="AM5366">
        <v>95.070285510728993</v>
      </c>
      <c r="AN5366">
        <v>1.0000000145527601</v>
      </c>
    </row>
    <row r="5367" spans="1:40" x14ac:dyDescent="0.25">
      <c r="A5367" t="str">
        <f>"20190304154904217"</f>
        <v>20190304154904217</v>
      </c>
      <c r="B5367" t="str">
        <f>"1551685744212978"</f>
        <v>1551685744212978</v>
      </c>
      <c r="C5367" t="s">
        <v>40</v>
      </c>
      <c r="D5367">
        <v>4.2181230000000003</v>
      </c>
      <c r="E5367">
        <v>0.5320722</v>
      </c>
      <c r="F5367" t="s">
        <v>44</v>
      </c>
      <c r="G5367">
        <v>-385.29270000000002</v>
      </c>
      <c r="H5367" s="1">
        <v>-2.7288629999999999E-6</v>
      </c>
      <c r="I5367">
        <v>142.34899999999999</v>
      </c>
      <c r="J5367">
        <v>-324.94170000000003</v>
      </c>
      <c r="K5367">
        <v>1.1104459999999901</v>
      </c>
      <c r="L5367">
        <v>141.5838</v>
      </c>
      <c r="M5367">
        <v>-0.99988379999999999</v>
      </c>
      <c r="N5367">
        <v>-1.1131230000000001E-2</v>
      </c>
      <c r="O5367">
        <v>1.0426400000000001E-2</v>
      </c>
      <c r="P5367">
        <v>-0.98220569999999896</v>
      </c>
      <c r="Q5367">
        <v>0.17100989999999999</v>
      </c>
      <c r="R5367">
        <v>-7.7638760000000001E-2</v>
      </c>
      <c r="S5367">
        <v>-3.0687869999999999</v>
      </c>
      <c r="T5367">
        <v>-5.6161879999999997E-2</v>
      </c>
      <c r="U5367">
        <v>3.887939E-2</v>
      </c>
      <c r="V5367">
        <v>-8.7858350000000002E-2</v>
      </c>
      <c r="W5367">
        <v>0.1819315</v>
      </c>
      <c r="X5367">
        <v>0.97937830000000003</v>
      </c>
      <c r="Y5367">
        <v>2.24106E-3</v>
      </c>
      <c r="Z5367" s="1">
        <v>-4.174722E-5</v>
      </c>
      <c r="AA5367">
        <v>0.99999749999999998</v>
      </c>
      <c r="AB5367">
        <v>32</v>
      </c>
      <c r="AC5367">
        <v>-60.350999999999999</v>
      </c>
      <c r="AD5367">
        <v>-1.1104487288629901</v>
      </c>
      <c r="AE5367">
        <v>0.765199999999992</v>
      </c>
      <c r="AF5367">
        <v>0.135829841596359</v>
      </c>
      <c r="AG5367">
        <v>-1.1104487288629901</v>
      </c>
      <c r="AH5367">
        <v>60.335274435263401</v>
      </c>
      <c r="AI5367">
        <v>91.054386221175804</v>
      </c>
      <c r="AJ5367">
        <v>89.871013042026405</v>
      </c>
      <c r="AK5367">
        <v>60.345645139511497</v>
      </c>
      <c r="AL5367">
        <v>79.517715605681701</v>
      </c>
      <c r="AM5367">
        <v>95.126184519983497</v>
      </c>
      <c r="AN5367">
        <v>1.0000000074339299</v>
      </c>
    </row>
    <row r="5368" spans="1:40" x14ac:dyDescent="0.25">
      <c r="A5368" t="str">
        <f>"20190304154904240"</f>
        <v>20190304154904240</v>
      </c>
      <c r="B5368" t="str">
        <f>"1551685744232499"</f>
        <v>1551685744232499</v>
      </c>
      <c r="C5368" t="s">
        <v>40</v>
      </c>
      <c r="D5368">
        <v>4.2268949999999998</v>
      </c>
      <c r="E5368">
        <v>0.48884670000000002</v>
      </c>
      <c r="F5368" t="s">
        <v>44</v>
      </c>
      <c r="G5368">
        <v>-377.30419999999998</v>
      </c>
      <c r="H5368" s="1">
        <v>-1.8077869999999999E-6</v>
      </c>
      <c r="I5368">
        <v>142.13050000000001</v>
      </c>
      <c r="J5368">
        <v>-325.26600000000002</v>
      </c>
      <c r="K5368">
        <v>1.110452</v>
      </c>
      <c r="L5368">
        <v>141.5872</v>
      </c>
      <c r="M5368">
        <v>-0.99988379999999999</v>
      </c>
      <c r="N5368">
        <v>-1.1124510000000001E-2</v>
      </c>
      <c r="O5368">
        <v>1.0418459999999999E-2</v>
      </c>
      <c r="P5368">
        <v>-0.98243389999999997</v>
      </c>
      <c r="Q5368">
        <v>0.16923339999999901</v>
      </c>
      <c r="R5368">
        <v>-7.8635789999999997E-2</v>
      </c>
      <c r="S5368">
        <v>-3.0682369999999999</v>
      </c>
      <c r="T5368">
        <v>-6.5067890000000003E-2</v>
      </c>
      <c r="U5368">
        <v>3.2043460000000003E-2</v>
      </c>
      <c r="V5368">
        <v>-8.8853689999999999E-2</v>
      </c>
      <c r="W5368">
        <v>0.18014939999999999</v>
      </c>
      <c r="X5368">
        <v>0.97961790000000004</v>
      </c>
      <c r="Y5368" s="1">
        <v>2.4453399999999999E-5</v>
      </c>
      <c r="Z5368">
        <v>-1.046137E-4</v>
      </c>
      <c r="AA5368">
        <v>1</v>
      </c>
      <c r="AB5368">
        <v>32</v>
      </c>
      <c r="AC5368">
        <v>-52.038200000000003</v>
      </c>
      <c r="AD5368">
        <v>-1.1104538077869901</v>
      </c>
      <c r="AE5368">
        <v>0.54330000000001599</v>
      </c>
      <c r="AF5368">
        <v>1.0785391129797201E-3</v>
      </c>
      <c r="AG5368">
        <v>-1.1104538077869901</v>
      </c>
      <c r="AH5368">
        <v>52.0173519219558</v>
      </c>
      <c r="AI5368">
        <v>91.222950644493395</v>
      </c>
      <c r="AJ5368">
        <v>89.998812016818903</v>
      </c>
      <c r="AK5368">
        <v>52.029203432255997</v>
      </c>
      <c r="AL5368">
        <v>79.621538025231899</v>
      </c>
      <c r="AM5368">
        <v>95.182682974460405</v>
      </c>
      <c r="AN5368">
        <v>1.0000000072736901</v>
      </c>
    </row>
    <row r="5369" spans="1:40" x14ac:dyDescent="0.25">
      <c r="A5369" t="str">
        <f>"20190304154904262"</f>
        <v>20190304154904262</v>
      </c>
      <c r="B5369" t="str">
        <f>"1551685744252019"</f>
        <v>1551685744252019</v>
      </c>
      <c r="C5369" t="s">
        <v>40</v>
      </c>
      <c r="D5369">
        <v>4.136965</v>
      </c>
      <c r="E5369">
        <v>0.48889779999999999</v>
      </c>
      <c r="F5369" t="s">
        <v>44</v>
      </c>
      <c r="G5369">
        <v>-359.73770000000002</v>
      </c>
      <c r="H5369" s="1">
        <v>-4.9795999999999999E-7</v>
      </c>
      <c r="I5369">
        <v>138.02780000000001</v>
      </c>
      <c r="J5369">
        <v>-325.58920000000001</v>
      </c>
      <c r="K5369">
        <v>1.1104540000000001</v>
      </c>
      <c r="L5369">
        <v>141.59049999999999</v>
      </c>
      <c r="M5369">
        <v>-0.99988410000000005</v>
      </c>
      <c r="N5369">
        <v>-1.1118370000000001E-2</v>
      </c>
      <c r="O5369">
        <v>1.0404999999999999E-2</v>
      </c>
      <c r="P5369">
        <v>-0.98244229999999999</v>
      </c>
      <c r="Q5369">
        <v>0.16881119999999999</v>
      </c>
      <c r="R5369">
        <v>-7.9437140000000003E-2</v>
      </c>
      <c r="S5369">
        <v>-3.0453489999999999</v>
      </c>
      <c r="T5369">
        <v>-9.8101140000000003E-2</v>
      </c>
      <c r="U5369">
        <v>-0.31443789999999999</v>
      </c>
      <c r="V5369">
        <v>-8.9644650000000006E-2</v>
      </c>
      <c r="W5369">
        <v>0.17971980000000001</v>
      </c>
      <c r="X5369">
        <v>0.97962470000000001</v>
      </c>
      <c r="Y5369">
        <v>-0.1129704</v>
      </c>
      <c r="Z5369">
        <v>-2.6631129999999999E-3</v>
      </c>
      <c r="AA5369">
        <v>0.9935948</v>
      </c>
      <c r="AB5369">
        <v>32</v>
      </c>
      <c r="AC5369">
        <v>-34.148499999999999</v>
      </c>
      <c r="AD5369">
        <v>-1.11045449796</v>
      </c>
      <c r="AE5369">
        <v>-3.5626999999999698</v>
      </c>
      <c r="AF5369">
        <v>-3.9137501859400099</v>
      </c>
      <c r="AG5369">
        <v>-1.11045449796</v>
      </c>
      <c r="AH5369">
        <v>34.073935624857498</v>
      </c>
      <c r="AI5369">
        <v>91.854399677210296</v>
      </c>
      <c r="AJ5369">
        <v>96.552309337856499</v>
      </c>
      <c r="AK5369">
        <v>34.315938551596098</v>
      </c>
      <c r="AL5369">
        <v>79.6465602167562</v>
      </c>
      <c r="AM5369">
        <v>95.228527632338</v>
      </c>
      <c r="AN5369">
        <v>0.99999996131787505</v>
      </c>
    </row>
    <row r="5370" spans="1:40" x14ac:dyDescent="0.25">
      <c r="A5370" t="str">
        <f>"20190304154904284"</f>
        <v>20190304154904284</v>
      </c>
      <c r="B5370" t="str">
        <f>"1551685744272752"</f>
        <v>1551685744272752</v>
      </c>
      <c r="C5370" t="s">
        <v>40</v>
      </c>
      <c r="D5370">
        <v>4.2327490000000001</v>
      </c>
      <c r="E5370">
        <v>0.4887319</v>
      </c>
      <c r="F5370" t="s">
        <v>44</v>
      </c>
      <c r="G5370">
        <v>-361.0077</v>
      </c>
      <c r="H5370" s="1">
        <v>-4.1427150000000004E-6</v>
      </c>
      <c r="I5370">
        <v>137.90969999999999</v>
      </c>
      <c r="J5370">
        <v>-325.90730000000002</v>
      </c>
      <c r="K5370">
        <v>1.1104529999999999</v>
      </c>
      <c r="L5370">
        <v>141.59389999999999</v>
      </c>
      <c r="M5370">
        <v>-0.9998842</v>
      </c>
      <c r="N5370">
        <v>-1.1113E-2</v>
      </c>
      <c r="O5370">
        <v>1.0391009999999999E-2</v>
      </c>
      <c r="P5370">
        <v>-0.98259629999999998</v>
      </c>
      <c r="Q5370">
        <v>0.16789970000000001</v>
      </c>
      <c r="R5370">
        <v>-7.9462500000000005E-2</v>
      </c>
      <c r="S5370">
        <v>-3.0444640000000001</v>
      </c>
      <c r="T5370">
        <v>-9.5451709999999995E-2</v>
      </c>
      <c r="U5370">
        <v>-0.31639099999999998</v>
      </c>
      <c r="V5370">
        <v>-8.9660320000000002E-2</v>
      </c>
      <c r="W5370">
        <v>0.17880360000000001</v>
      </c>
      <c r="X5370">
        <v>0.97979090000000002</v>
      </c>
      <c r="Y5370">
        <v>-0.11362</v>
      </c>
      <c r="Z5370">
        <v>-2.6189080000000001E-3</v>
      </c>
      <c r="AA5370">
        <v>0.99352090000000004</v>
      </c>
      <c r="AB5370">
        <v>32</v>
      </c>
      <c r="AC5370">
        <v>-35.100399999999901</v>
      </c>
      <c r="AD5370">
        <v>-1.1104571427150001</v>
      </c>
      <c r="AE5370">
        <v>-3.6842000000000001</v>
      </c>
      <c r="AF5370">
        <v>-4.0447480550574104</v>
      </c>
      <c r="AG5370">
        <v>-1.1104571427150001</v>
      </c>
      <c r="AH5370">
        <v>35.025545680884697</v>
      </c>
      <c r="AI5370">
        <v>91.803928564950795</v>
      </c>
      <c r="AJ5370">
        <v>96.587334763465407</v>
      </c>
      <c r="AK5370">
        <v>35.275798391226203</v>
      </c>
      <c r="AL5370">
        <v>79.699918873800897</v>
      </c>
      <c r="AM5370">
        <v>95.228554376756904</v>
      </c>
      <c r="AN5370">
        <v>0.999999954039135</v>
      </c>
    </row>
    <row r="5371" spans="1:40" x14ac:dyDescent="0.25">
      <c r="A5371" t="str">
        <f>"20190304154904306"</f>
        <v>20190304154904306</v>
      </c>
      <c r="B5371" t="str">
        <f>"1551685744302008"</f>
        <v>1551685744302008</v>
      </c>
      <c r="C5371" t="s">
        <v>40</v>
      </c>
      <c r="D5371">
        <v>4.2231449999999997</v>
      </c>
      <c r="E5371">
        <v>0.48848459999999999</v>
      </c>
      <c r="F5371" t="s">
        <v>44</v>
      </c>
      <c r="G5371">
        <v>-360.81380000000001</v>
      </c>
      <c r="H5371" s="1">
        <v>-4.2202349999999998E-6</v>
      </c>
      <c r="I5371">
        <v>137.94139999999999</v>
      </c>
      <c r="J5371">
        <v>-326.24200000000002</v>
      </c>
      <c r="K5371">
        <v>1.1104529999999999</v>
      </c>
      <c r="L5371">
        <v>141.59739999999999</v>
      </c>
      <c r="M5371">
        <v>-0.99988440000000001</v>
      </c>
      <c r="N5371">
        <v>-1.1108150000000001E-2</v>
      </c>
      <c r="O5371">
        <v>1.037773E-2</v>
      </c>
      <c r="P5371">
        <v>-0.98287480000000005</v>
      </c>
      <c r="Q5371">
        <v>0.16637879999999899</v>
      </c>
      <c r="R5371">
        <v>-7.9216519999999999E-2</v>
      </c>
      <c r="S5371">
        <v>-3.0439150000000001</v>
      </c>
      <c r="T5371">
        <v>-9.683406E-2</v>
      </c>
      <c r="U5371">
        <v>-0.31849670000000002</v>
      </c>
      <c r="V5371">
        <v>-8.9406459999999993E-2</v>
      </c>
      <c r="W5371">
        <v>0.1772801</v>
      </c>
      <c r="X5371">
        <v>0.98009100000000005</v>
      </c>
      <c r="Y5371">
        <v>-0.1143026</v>
      </c>
      <c r="Z5371">
        <v>-2.663786E-3</v>
      </c>
      <c r="AA5371">
        <v>0.99344239999999995</v>
      </c>
      <c r="AB5371">
        <v>32</v>
      </c>
      <c r="AC5371">
        <v>-34.571800000000003</v>
      </c>
      <c r="AD5371">
        <v>-1.110457220235</v>
      </c>
      <c r="AE5371">
        <v>-3.6560000000000001</v>
      </c>
      <c r="AF5371">
        <v>-4.0105101187868097</v>
      </c>
      <c r="AG5371">
        <v>-1.110457220235</v>
      </c>
      <c r="AH5371">
        <v>34.496797513422202</v>
      </c>
      <c r="AI5371">
        <v>91.831396938039802</v>
      </c>
      <c r="AJ5371">
        <v>96.631293082274695</v>
      </c>
      <c r="AK5371">
        <v>34.746889721713401</v>
      </c>
      <c r="AL5371">
        <v>79.788627372780894</v>
      </c>
      <c r="AM5371">
        <v>95.212244538562999</v>
      </c>
      <c r="AN5371">
        <v>1.0000000586133599</v>
      </c>
    </row>
    <row r="5372" spans="1:40" x14ac:dyDescent="0.25">
      <c r="A5372" t="str">
        <f>"20190304154904328"</f>
        <v>20190304154904328</v>
      </c>
      <c r="B5372" t="str">
        <f>"1551685744322504"</f>
        <v>1551685744322504</v>
      </c>
      <c r="C5372" t="s">
        <v>40</v>
      </c>
      <c r="D5372">
        <v>4.2448119999999996</v>
      </c>
      <c r="E5372">
        <v>0.48838540000000003</v>
      </c>
      <c r="F5372" t="s">
        <v>44</v>
      </c>
      <c r="G5372">
        <v>-359.89749999999998</v>
      </c>
      <c r="H5372" s="1">
        <v>-4.349001E-7</v>
      </c>
      <c r="I5372">
        <v>138.06049999999999</v>
      </c>
      <c r="J5372">
        <v>-326.56040000000002</v>
      </c>
      <c r="K5372">
        <v>1.1104620000000001</v>
      </c>
      <c r="L5372">
        <v>141.60069999999999</v>
      </c>
      <c r="M5372">
        <v>-0.99988469999999996</v>
      </c>
      <c r="N5372">
        <v>-1.110422E-2</v>
      </c>
      <c r="O5372">
        <v>1.036596E-2</v>
      </c>
      <c r="P5372">
        <v>-0.98290129999999998</v>
      </c>
      <c r="Q5372">
        <v>0.16672690000000001</v>
      </c>
      <c r="R5372">
        <v>-7.8149940000000001E-2</v>
      </c>
      <c r="S5372">
        <v>-3.0435490000000001</v>
      </c>
      <c r="T5372">
        <v>-0.1004212</v>
      </c>
      <c r="U5372">
        <v>-0.3198395</v>
      </c>
      <c r="V5372">
        <v>-8.8330149999999996E-2</v>
      </c>
      <c r="W5372">
        <v>0.177624</v>
      </c>
      <c r="X5372">
        <v>0.98012630000000001</v>
      </c>
      <c r="Y5372">
        <v>-0.11473120000000001</v>
      </c>
      <c r="Z5372">
        <v>-2.7523320000000001E-3</v>
      </c>
      <c r="AA5372">
        <v>0.99339279999999996</v>
      </c>
      <c r="AB5372">
        <v>32</v>
      </c>
      <c r="AC5372">
        <v>-33.3370999999999</v>
      </c>
      <c r="AD5372">
        <v>-1.1104624349001</v>
      </c>
      <c r="AE5372">
        <v>-3.5401999999999898</v>
      </c>
      <c r="AF5372">
        <v>-3.881343519524</v>
      </c>
      <c r="AG5372">
        <v>-1.1104624349001</v>
      </c>
      <c r="AH5372">
        <v>33.262113947987501</v>
      </c>
      <c r="AI5372">
        <v>91.899243814597597</v>
      </c>
      <c r="AJ5372">
        <v>96.655722651971701</v>
      </c>
      <c r="AK5372">
        <v>33.506211045488001</v>
      </c>
      <c r="AL5372">
        <v>79.768605327211105</v>
      </c>
      <c r="AM5372">
        <v>95.149652453604901</v>
      </c>
      <c r="AN5372">
        <v>1.00000003236335</v>
      </c>
    </row>
    <row r="5373" spans="1:40" x14ac:dyDescent="0.25">
      <c r="A5373" t="str">
        <f>"20190304154904351"</f>
        <v>20190304154904351</v>
      </c>
      <c r="B5373" t="str">
        <f>"1551685744342024"</f>
        <v>1551685744342024</v>
      </c>
      <c r="C5373" t="s">
        <v>40</v>
      </c>
      <c r="D5373">
        <v>4.2145400000000004</v>
      </c>
      <c r="E5373">
        <v>0.4883381</v>
      </c>
      <c r="F5373" t="s">
        <v>44</v>
      </c>
      <c r="G5373">
        <v>-361.04759999999999</v>
      </c>
      <c r="H5373" s="1">
        <v>-4.1102869999999997E-6</v>
      </c>
      <c r="I5373">
        <v>137.99590000000001</v>
      </c>
      <c r="J5373">
        <v>-326.88979999999998</v>
      </c>
      <c r="K5373">
        <v>1.1104670000000001</v>
      </c>
      <c r="L5373">
        <v>141.60409999999999</v>
      </c>
      <c r="M5373">
        <v>-0.99988480000000002</v>
      </c>
      <c r="N5373">
        <v>-1.1100820000000001E-2</v>
      </c>
      <c r="O5373">
        <v>1.035438E-2</v>
      </c>
      <c r="P5373">
        <v>-0.98293129999999995</v>
      </c>
      <c r="Q5373">
        <v>0.1669476</v>
      </c>
      <c r="R5373">
        <v>-7.729548E-2</v>
      </c>
      <c r="S5373">
        <v>-3.043488</v>
      </c>
      <c r="T5373">
        <v>-9.7998619999999995E-2</v>
      </c>
      <c r="U5373">
        <v>-0.31811519999999999</v>
      </c>
      <c r="V5373">
        <v>-8.746574E-2</v>
      </c>
      <c r="W5373">
        <v>0.17784079999999999</v>
      </c>
      <c r="X5373">
        <v>0.98016449999999999</v>
      </c>
      <c r="Y5373">
        <v>-0.1141691</v>
      </c>
      <c r="Z5373">
        <v>-2.6861260000000001E-3</v>
      </c>
      <c r="AA5373">
        <v>0.9934577</v>
      </c>
      <c r="AB5373">
        <v>32</v>
      </c>
      <c r="AC5373">
        <v>-34.157800000000002</v>
      </c>
      <c r="AD5373">
        <v>-1.110471110287</v>
      </c>
      <c r="AE5373">
        <v>-3.6081999999999801</v>
      </c>
      <c r="AF5373">
        <v>-3.95757456221751</v>
      </c>
      <c r="AG5373">
        <v>-1.110471110287</v>
      </c>
      <c r="AH5373">
        <v>34.082980810159597</v>
      </c>
      <c r="AI5373">
        <v>91.8536705674384</v>
      </c>
      <c r="AJ5373">
        <v>96.623287851875304</v>
      </c>
      <c r="AK5373">
        <v>34.329944995703102</v>
      </c>
      <c r="AL5373">
        <v>79.755982573551805</v>
      </c>
      <c r="AM5373">
        <v>95.099326629749996</v>
      </c>
      <c r="AN5373">
        <v>1.0000000264393101</v>
      </c>
    </row>
    <row r="5374" spans="1:40" x14ac:dyDescent="0.25">
      <c r="A5374" t="str">
        <f>"20190304154904373"</f>
        <v>20190304154904373</v>
      </c>
      <c r="B5374" t="str">
        <f>"1551685744362520"</f>
        <v>1551685744362520</v>
      </c>
      <c r="C5374" t="s">
        <v>40</v>
      </c>
      <c r="D5374">
        <v>4.270886</v>
      </c>
      <c r="E5374">
        <v>0.48837269999999999</v>
      </c>
      <c r="F5374" t="s">
        <v>44</v>
      </c>
      <c r="G5374">
        <v>-361.96510000000001</v>
      </c>
      <c r="H5374" s="1">
        <v>-3.723707E-6</v>
      </c>
      <c r="I5374">
        <v>137.9564</v>
      </c>
      <c r="J5374">
        <v>-327.20260000000002</v>
      </c>
      <c r="K5374">
        <v>1.1104609999999999</v>
      </c>
      <c r="L5374">
        <v>141.60730000000001</v>
      </c>
      <c r="M5374">
        <v>-0.99988489999999997</v>
      </c>
      <c r="N5374">
        <v>-1.10982999999999E-2</v>
      </c>
      <c r="O5374">
        <v>1.034246E-2</v>
      </c>
      <c r="P5374">
        <v>-0.98307650000000002</v>
      </c>
      <c r="Q5374">
        <v>0.16610039999999901</v>
      </c>
      <c r="R5374">
        <v>-7.7275759999999999E-2</v>
      </c>
      <c r="S5374">
        <v>-3.0435789999999998</v>
      </c>
      <c r="T5374">
        <v>-9.6358899999999997E-2</v>
      </c>
      <c r="U5374">
        <v>-0.31651309999999999</v>
      </c>
      <c r="V5374">
        <v>-8.7436330000000007E-2</v>
      </c>
      <c r="W5374">
        <v>0.17699279999999901</v>
      </c>
      <c r="X5374">
        <v>0.98032059999999999</v>
      </c>
      <c r="Y5374">
        <v>-0.11363959999999999</v>
      </c>
      <c r="Z5374">
        <v>-2.638217E-3</v>
      </c>
      <c r="AA5374">
        <v>0.99351849999999997</v>
      </c>
      <c r="AB5374">
        <v>32</v>
      </c>
      <c r="AC5374">
        <v>-34.762499999999903</v>
      </c>
      <c r="AD5374">
        <v>-1.110464723707</v>
      </c>
      <c r="AE5374">
        <v>-3.6509</v>
      </c>
      <c r="AF5374">
        <v>-4.0062131266357497</v>
      </c>
      <c r="AG5374">
        <v>-1.110464723707</v>
      </c>
      <c r="AH5374">
        <v>34.687868173870697</v>
      </c>
      <c r="AI5374">
        <v>91.821487250044001</v>
      </c>
      <c r="AJ5374">
        <v>96.588084652869398</v>
      </c>
      <c r="AK5374">
        <v>34.936099867707803</v>
      </c>
      <c r="AL5374">
        <v>79.8053525540236</v>
      </c>
      <c r="AM5374">
        <v>95.096813600462298</v>
      </c>
      <c r="AN5374">
        <v>1.0000000209200299</v>
      </c>
    </row>
    <row r="5375" spans="1:40" x14ac:dyDescent="0.25">
      <c r="A5375" t="str">
        <f>"20190304154904394"</f>
        <v>20190304154904394</v>
      </c>
      <c r="B5375" t="str">
        <f>"1551685744382042"</f>
        <v>1551685744382042</v>
      </c>
      <c r="C5375" t="s">
        <v>40</v>
      </c>
      <c r="D5375">
        <v>4.2630489999999996</v>
      </c>
      <c r="E5375">
        <v>0.48832150000000002</v>
      </c>
      <c r="F5375" t="s">
        <v>44</v>
      </c>
      <c r="G5375">
        <v>-361.56619999999998</v>
      </c>
      <c r="H5375" s="1">
        <v>-3.881263E-6</v>
      </c>
      <c r="I5375">
        <v>138.03290000000001</v>
      </c>
      <c r="J5375">
        <v>-327.51600000000002</v>
      </c>
      <c r="K5375">
        <v>1.110452</v>
      </c>
      <c r="L5375">
        <v>141.6105</v>
      </c>
      <c r="M5375">
        <v>-0.99988520000000003</v>
      </c>
      <c r="N5375">
        <v>-1.109628E-2</v>
      </c>
      <c r="O5375">
        <v>1.033007E-2</v>
      </c>
      <c r="P5375">
        <v>-0.98335740000000005</v>
      </c>
      <c r="Q5375">
        <v>0.16456029999999999</v>
      </c>
      <c r="R5375">
        <v>-7.6997999999999997E-2</v>
      </c>
      <c r="S5375">
        <v>-3.043396</v>
      </c>
      <c r="T5375">
        <v>-9.8348019999999994E-2</v>
      </c>
      <c r="U5375">
        <v>-0.31655879999999997</v>
      </c>
      <c r="V5375">
        <v>-8.7149399999999905E-2</v>
      </c>
      <c r="W5375">
        <v>0.17545369999999999</v>
      </c>
      <c r="X5375">
        <v>0.98062280000000002</v>
      </c>
      <c r="Y5375">
        <v>-0.1136453</v>
      </c>
      <c r="Z5375">
        <v>-2.6818639999999999E-3</v>
      </c>
      <c r="AA5375">
        <v>0.99351780000000001</v>
      </c>
      <c r="AB5375">
        <v>33</v>
      </c>
      <c r="AC5375">
        <v>-34.050199999999997</v>
      </c>
      <c r="AD5375">
        <v>-1.1104558812630001</v>
      </c>
      <c r="AE5375">
        <v>-3.5775999999999799</v>
      </c>
      <c r="AF5375">
        <v>-3.9250427000391599</v>
      </c>
      <c r="AG5375">
        <v>-1.1104558812630001</v>
      </c>
      <c r="AH5375">
        <v>33.975683115159399</v>
      </c>
      <c r="AI5375">
        <v>91.859620479194604</v>
      </c>
      <c r="AJ5375">
        <v>96.589885469394702</v>
      </c>
      <c r="AK5375">
        <v>34.219674393586601</v>
      </c>
      <c r="AL5375">
        <v>79.894938765612196</v>
      </c>
      <c r="AM5375">
        <v>95.078618247623695</v>
      </c>
      <c r="AN5375">
        <v>1.0000000473219399</v>
      </c>
    </row>
    <row r="5376" spans="1:40" x14ac:dyDescent="0.25">
      <c r="A5376" t="str">
        <f>"20190304154904417"</f>
        <v>20190304154904417</v>
      </c>
      <c r="B5376" t="str">
        <f>"1551685744412297"</f>
        <v>1551685744412297</v>
      </c>
      <c r="C5376" t="s">
        <v>40</v>
      </c>
      <c r="D5376">
        <v>4.2541060000000002</v>
      </c>
      <c r="E5376">
        <v>0.48807840000000002</v>
      </c>
      <c r="F5376" t="s">
        <v>44</v>
      </c>
      <c r="G5376">
        <v>-360.70209999999997</v>
      </c>
      <c r="H5376" s="1">
        <v>-4.2288559999999999E-6</v>
      </c>
      <c r="I5376">
        <v>138.16290000000001</v>
      </c>
      <c r="J5376">
        <v>-327.8485</v>
      </c>
      <c r="K5376">
        <v>1.1104449999999999</v>
      </c>
      <c r="L5376">
        <v>141.614</v>
      </c>
      <c r="M5376">
        <v>-0.99988540000000004</v>
      </c>
      <c r="N5376">
        <v>-1.1094659999999999E-2</v>
      </c>
      <c r="O5376">
        <v>1.0317140000000001E-2</v>
      </c>
      <c r="P5376">
        <v>-0.9834098</v>
      </c>
      <c r="Q5376">
        <v>0.1641272</v>
      </c>
      <c r="R5376">
        <v>-7.7253219999999997E-2</v>
      </c>
      <c r="S5376">
        <v>-3.0430600000000001</v>
      </c>
      <c r="T5376">
        <v>-0.1018252</v>
      </c>
      <c r="U5376">
        <v>-0.31613160000000001</v>
      </c>
      <c r="V5376">
        <v>-8.7392869999999997E-2</v>
      </c>
      <c r="W5376">
        <v>0.17502000000000001</v>
      </c>
      <c r="X5376">
        <v>0.98067859999999996</v>
      </c>
      <c r="Y5376">
        <v>-0.11350059999999999</v>
      </c>
      <c r="Z5376">
        <v>-2.7550119999999998E-3</v>
      </c>
      <c r="AA5376">
        <v>0.99353409999999998</v>
      </c>
      <c r="AB5376">
        <v>33</v>
      </c>
      <c r="AC5376">
        <v>-32.853599999999901</v>
      </c>
      <c r="AD5376">
        <v>-1.1104492288559999</v>
      </c>
      <c r="AE5376">
        <v>-3.4510999999999901</v>
      </c>
      <c r="AF5376">
        <v>-3.7856146765353098</v>
      </c>
      <c r="AG5376">
        <v>-1.1104492288559999</v>
      </c>
      <c r="AH5376">
        <v>32.779204146813903</v>
      </c>
      <c r="AI5376">
        <v>91.927445015340098</v>
      </c>
      <c r="AJ5376">
        <v>96.587807421032494</v>
      </c>
      <c r="AK5376">
        <v>33.015756851351597</v>
      </c>
      <c r="AL5376">
        <v>79.920178170048999</v>
      </c>
      <c r="AM5376">
        <v>95.092443667499296</v>
      </c>
      <c r="AN5376">
        <v>1.00000001531239</v>
      </c>
    </row>
    <row r="5377" spans="1:40" x14ac:dyDescent="0.25">
      <c r="A5377" t="str">
        <f>"20190304154904440"</f>
        <v>20190304154904440</v>
      </c>
      <c r="B5377" t="str">
        <f>"1551685744432793"</f>
        <v>1551685744432793</v>
      </c>
      <c r="C5377" t="s">
        <v>40</v>
      </c>
      <c r="D5377">
        <v>4.2490819999999996</v>
      </c>
      <c r="E5377">
        <v>0.4879346</v>
      </c>
      <c r="F5377" t="s">
        <v>44</v>
      </c>
      <c r="G5377">
        <v>-360.76479999999998</v>
      </c>
      <c r="H5377" s="1">
        <v>-4.202132E-6</v>
      </c>
      <c r="I5377">
        <v>138.16210000000001</v>
      </c>
      <c r="J5377">
        <v>-328.1841</v>
      </c>
      <c r="K5377">
        <v>1.110441</v>
      </c>
      <c r="L5377">
        <v>141.6174</v>
      </c>
      <c r="M5377">
        <v>-0.99988529999999998</v>
      </c>
      <c r="N5377">
        <v>-1.1093489999999999E-2</v>
      </c>
      <c r="O5377">
        <v>1.030475E-2</v>
      </c>
      <c r="P5377">
        <v>-0.98349620000000004</v>
      </c>
      <c r="Q5377">
        <v>0.16363559999999999</v>
      </c>
      <c r="R5377">
        <v>-7.7193230000000002E-2</v>
      </c>
      <c r="S5377">
        <v>-3.042694</v>
      </c>
      <c r="T5377">
        <v>-0.10264710000000001</v>
      </c>
      <c r="U5377">
        <v>-0.31907649999999999</v>
      </c>
      <c r="V5377">
        <v>-8.7321570000000001E-2</v>
      </c>
      <c r="W5377">
        <v>0.17452790000000001</v>
      </c>
      <c r="X5377">
        <v>0.98077259999999999</v>
      </c>
      <c r="Y5377">
        <v>-0.1144498</v>
      </c>
      <c r="Z5377">
        <v>-2.7941699999999999E-3</v>
      </c>
      <c r="AA5377">
        <v>0.99342509999999995</v>
      </c>
      <c r="AB5377">
        <v>33</v>
      </c>
      <c r="AC5377">
        <v>-32.580699999999901</v>
      </c>
      <c r="AD5377">
        <v>-1.1104452021319999</v>
      </c>
      <c r="AE5377">
        <v>-3.45529999999999</v>
      </c>
      <c r="AF5377">
        <v>-3.7865234945711799</v>
      </c>
      <c r="AG5377">
        <v>-1.1104452021319999</v>
      </c>
      <c r="AH5377">
        <v>32.506021230697201</v>
      </c>
      <c r="AI5377">
        <v>91.943402051809699</v>
      </c>
      <c r="AJ5377">
        <v>96.644259535922103</v>
      </c>
      <c r="AK5377">
        <v>32.744652463759799</v>
      </c>
      <c r="AL5377">
        <v>79.948813698100693</v>
      </c>
      <c r="AM5377">
        <v>95.087825667695697</v>
      </c>
      <c r="AN5377">
        <v>0.99999996868821694</v>
      </c>
    </row>
    <row r="5378" spans="1:40" x14ac:dyDescent="0.25">
      <c r="A5378" t="str">
        <f>"20190304154904464"</f>
        <v>20190304154904464</v>
      </c>
      <c r="B5378" t="str">
        <f>"1551685744452313"</f>
        <v>1551685744452313</v>
      </c>
      <c r="C5378" t="s">
        <v>40</v>
      </c>
      <c r="D5378">
        <v>4.3180680000000002</v>
      </c>
      <c r="E5378">
        <v>0.48790990000000001</v>
      </c>
      <c r="F5378" t="s">
        <v>44</v>
      </c>
      <c r="G5378">
        <v>-360.71</v>
      </c>
      <c r="H5378" s="1">
        <v>-4.2196939999999999E-6</v>
      </c>
      <c r="I5378">
        <v>138.19550000000001</v>
      </c>
      <c r="J5378">
        <v>-328.51369999999997</v>
      </c>
      <c r="K5378">
        <v>1.1104350000000001</v>
      </c>
      <c r="L5378">
        <v>141.6208</v>
      </c>
      <c r="M5378">
        <v>-0.99988560000000004</v>
      </c>
      <c r="N5378">
        <v>-1.109279E-2</v>
      </c>
      <c r="O5378">
        <v>1.0292819999999999E-2</v>
      </c>
      <c r="P5378">
        <v>-0.98357340000000004</v>
      </c>
      <c r="Q5378">
        <v>0.16347879999999901</v>
      </c>
      <c r="R5378">
        <v>-7.6537939999999999E-2</v>
      </c>
      <c r="S5378">
        <v>-3.0425420000000001</v>
      </c>
      <c r="T5378">
        <v>-0.10387349999999999</v>
      </c>
      <c r="U5378">
        <v>-0.32008360000000002</v>
      </c>
      <c r="V5378">
        <v>-8.6656150000000001E-2</v>
      </c>
      <c r="W5378">
        <v>0.17437159999999999</v>
      </c>
      <c r="X5378">
        <v>0.9808595</v>
      </c>
      <c r="Y5378">
        <v>-0.1147662</v>
      </c>
      <c r="Z5378">
        <v>-2.8282239999999998E-3</v>
      </c>
      <c r="AA5378">
        <v>0.99338850000000001</v>
      </c>
      <c r="AB5378">
        <v>33</v>
      </c>
      <c r="AC5378">
        <v>-32.196300000000001</v>
      </c>
      <c r="AD5378">
        <v>-1.1104392196940001</v>
      </c>
      <c r="AE5378">
        <v>-3.4252999999999898</v>
      </c>
      <c r="AF5378">
        <v>-3.75211628211221</v>
      </c>
      <c r="AG5378">
        <v>-1.1104392196940001</v>
      </c>
      <c r="AH5378">
        <v>32.121553993628702</v>
      </c>
      <c r="AI5378">
        <v>91.966561085217506</v>
      </c>
      <c r="AJ5378">
        <v>96.662522735067199</v>
      </c>
      <c r="AK5378">
        <v>32.359012389452403</v>
      </c>
      <c r="AL5378">
        <v>79.957909322478599</v>
      </c>
      <c r="AM5378">
        <v>95.048810866147605</v>
      </c>
      <c r="AN5378">
        <v>1.0000000509798099</v>
      </c>
    </row>
    <row r="5379" spans="1:40" x14ac:dyDescent="0.25">
      <c r="A5379" t="str">
        <f>"20190304154904485"</f>
        <v>20190304154904485</v>
      </c>
      <c r="B5379" t="str">
        <f>"1551685744472808"</f>
        <v>1551685744472808</v>
      </c>
      <c r="C5379" t="s">
        <v>40</v>
      </c>
      <c r="D5379">
        <v>4.33019</v>
      </c>
      <c r="E5379">
        <v>0.52094759999999996</v>
      </c>
      <c r="F5379" t="s">
        <v>44</v>
      </c>
      <c r="G5379">
        <v>-361.03109999999998</v>
      </c>
      <c r="H5379" s="1">
        <v>-4.0788809999999997E-6</v>
      </c>
      <c r="I5379">
        <v>138.21279999999999</v>
      </c>
      <c r="J5379">
        <v>-328.8304</v>
      </c>
      <c r="K5379">
        <v>1.1104339999999999</v>
      </c>
      <c r="L5379">
        <v>141.6241</v>
      </c>
      <c r="M5379">
        <v>-0.99988569999999999</v>
      </c>
      <c r="N5379">
        <v>-1.1092319999999999E-2</v>
      </c>
      <c r="O5379">
        <v>1.0281800000000001E-2</v>
      </c>
      <c r="P5379">
        <v>-0.98365210000000003</v>
      </c>
      <c r="Q5379">
        <v>0.16326740000000001</v>
      </c>
      <c r="R5379">
        <v>-7.597785E-2</v>
      </c>
      <c r="S5379">
        <v>-3.0425719999999998</v>
      </c>
      <c r="T5379">
        <v>-0.10390099999999999</v>
      </c>
      <c r="U5379">
        <v>-0.3188782</v>
      </c>
      <c r="V5379">
        <v>-8.6085529999999993E-2</v>
      </c>
      <c r="W5379">
        <v>0.17416029999999999</v>
      </c>
      <c r="X5379">
        <v>0.98094729999999997</v>
      </c>
      <c r="Y5379">
        <v>-0.1143652</v>
      </c>
      <c r="Z5379">
        <v>-2.8195099999999999E-3</v>
      </c>
      <c r="AA5379">
        <v>0.99343479999999995</v>
      </c>
      <c r="AB5379">
        <v>33</v>
      </c>
      <c r="AC5379">
        <v>-32.200699999999898</v>
      </c>
      <c r="AD5379">
        <v>-1.110438078881</v>
      </c>
      <c r="AE5379">
        <v>-3.41130000000001</v>
      </c>
      <c r="AF5379">
        <v>-3.7378254377322899</v>
      </c>
      <c r="AG5379">
        <v>-1.110438078881</v>
      </c>
      <c r="AH5379">
        <v>32.126140559212999</v>
      </c>
      <c r="AI5379">
        <v>91.966382819732999</v>
      </c>
      <c r="AJ5379">
        <v>96.636434599346501</v>
      </c>
      <c r="AK5379">
        <v>32.3619115467597</v>
      </c>
      <c r="AL5379">
        <v>79.9702042083604</v>
      </c>
      <c r="AM5379">
        <v>95.015288576400295</v>
      </c>
      <c r="AN5379">
        <v>1.00000006697437</v>
      </c>
    </row>
    <row r="5380" spans="1:40" x14ac:dyDescent="0.25">
      <c r="A5380" t="str">
        <f>"20190304154904506"</f>
        <v>20190304154904506</v>
      </c>
      <c r="B5380" t="str">
        <f>"1551685744502090"</f>
        <v>1551685744502090</v>
      </c>
      <c r="C5380" t="s">
        <v>40</v>
      </c>
      <c r="D5380">
        <v>4.2911950000000001</v>
      </c>
      <c r="E5380">
        <v>0.53449460000000004</v>
      </c>
      <c r="F5380" t="s">
        <v>44</v>
      </c>
      <c r="G5380">
        <v>-381.02300000000002</v>
      </c>
      <c r="H5380" s="1">
        <v>-4.1165829999999999E-6</v>
      </c>
      <c r="I5380">
        <v>140.68049999999999</v>
      </c>
      <c r="J5380">
        <v>-329.15019999999998</v>
      </c>
      <c r="K5380">
        <v>1.1104400000000001</v>
      </c>
      <c r="L5380">
        <v>141.62739999999999</v>
      </c>
      <c r="M5380">
        <v>-0.99988580000000005</v>
      </c>
      <c r="N5380">
        <v>-1.109216E-2</v>
      </c>
      <c r="O5380">
        <v>1.027053E-2</v>
      </c>
      <c r="P5380">
        <v>-0.98367780000000005</v>
      </c>
      <c r="Q5380">
        <v>0.16351389999999999</v>
      </c>
      <c r="R5380">
        <v>-7.5108880000000003E-2</v>
      </c>
      <c r="S5380">
        <v>-3.0563959999999999</v>
      </c>
      <c r="T5380">
        <v>-6.502724E-2</v>
      </c>
      <c r="U5380">
        <v>-5.5252080000000002E-2</v>
      </c>
      <c r="V5380">
        <v>-8.5206080000000003E-2</v>
      </c>
      <c r="W5380">
        <v>0.17440729999999999</v>
      </c>
      <c r="X5380">
        <v>0.98098019999999997</v>
      </c>
      <c r="Y5380">
        <v>-2.833281E-2</v>
      </c>
      <c r="Z5380">
        <v>-5.6308750000000005E-4</v>
      </c>
      <c r="AA5380">
        <v>0.9995984</v>
      </c>
      <c r="AB5380">
        <v>33</v>
      </c>
      <c r="AC5380">
        <v>-51.872799999999998</v>
      </c>
      <c r="AD5380">
        <v>-1.1104441165829999</v>
      </c>
      <c r="AE5380">
        <v>-0.94689999999999896</v>
      </c>
      <c r="AF5380">
        <v>-1.4789664132320901</v>
      </c>
      <c r="AG5380">
        <v>-1.1104441165829999</v>
      </c>
      <c r="AH5380">
        <v>51.836591122077898</v>
      </c>
      <c r="AI5380">
        <v>91.226704184020406</v>
      </c>
      <c r="AJ5380">
        <v>91.634280910390203</v>
      </c>
      <c r="AK5380">
        <v>51.869573036077803</v>
      </c>
      <c r="AL5380">
        <v>79.955832200876898</v>
      </c>
      <c r="AM5380">
        <v>94.964144064328494</v>
      </c>
      <c r="AN5380">
        <v>1.0000000675771401</v>
      </c>
    </row>
    <row r="5381" spans="1:40" x14ac:dyDescent="0.25">
      <c r="A5381" t="str">
        <f>"20190304154904529"</f>
        <v>20190304154904529</v>
      </c>
      <c r="B5381" t="str">
        <f>"1551685744522585"</f>
        <v>1551685744522585</v>
      </c>
      <c r="C5381" t="s">
        <v>40</v>
      </c>
      <c r="D5381">
        <v>4.2820239999999998</v>
      </c>
      <c r="E5381">
        <v>0.53826269999999998</v>
      </c>
      <c r="F5381" t="s">
        <v>44</v>
      </c>
      <c r="G5381">
        <v>-394.79680000000002</v>
      </c>
      <c r="H5381" s="1">
        <v>-3.0620940000000001E-6</v>
      </c>
      <c r="I5381">
        <v>142.80179999999999</v>
      </c>
      <c r="J5381">
        <v>-329.4778</v>
      </c>
      <c r="K5381">
        <v>1.110452</v>
      </c>
      <c r="L5381">
        <v>141.63069999999999</v>
      </c>
      <c r="M5381">
        <v>-0.99988600000000005</v>
      </c>
      <c r="N5381">
        <v>-1.109253E-2</v>
      </c>
      <c r="O5381">
        <v>1.0258959999999999E-2</v>
      </c>
      <c r="P5381">
        <v>-0.98343610000000004</v>
      </c>
      <c r="Q5381">
        <v>0.16507049999999901</v>
      </c>
      <c r="R5381">
        <v>-7.4870740000000005E-2</v>
      </c>
      <c r="S5381">
        <v>-3.0625309999999999</v>
      </c>
      <c r="T5381">
        <v>-5.1804179999999998E-2</v>
      </c>
      <c r="U5381">
        <v>5.4794309999999999E-2</v>
      </c>
      <c r="V5381">
        <v>-8.4954409999999994E-2</v>
      </c>
      <c r="W5381">
        <v>0.17596120000000001</v>
      </c>
      <c r="X5381">
        <v>0.9807245</v>
      </c>
      <c r="Y5381">
        <v>7.6284539999999998E-3</v>
      </c>
      <c r="Z5381" s="1">
        <v>4.7119619999999997E-5</v>
      </c>
      <c r="AA5381">
        <v>0.9999709</v>
      </c>
      <c r="AB5381">
        <v>33</v>
      </c>
      <c r="AC5381">
        <v>-65.319000000000003</v>
      </c>
      <c r="AD5381">
        <v>-1.1104550620939999</v>
      </c>
      <c r="AE5381">
        <v>1.17109999999999</v>
      </c>
      <c r="AF5381">
        <v>0.50074754935290799</v>
      </c>
      <c r="AG5381">
        <v>-1.1104550620939999</v>
      </c>
      <c r="AH5381">
        <v>65.308707961689805</v>
      </c>
      <c r="AI5381">
        <v>90.974087383272106</v>
      </c>
      <c r="AJ5381">
        <v>89.560699333021006</v>
      </c>
      <c r="AK5381">
        <v>65.320067316088995</v>
      </c>
      <c r="AL5381">
        <v>79.8654018677219</v>
      </c>
      <c r="AM5381">
        <v>94.950838665099099</v>
      </c>
      <c r="AN5381">
        <v>1.00000007029206</v>
      </c>
    </row>
    <row r="5382" spans="1:40" x14ac:dyDescent="0.25">
      <c r="A5382" t="str">
        <f>"20190304154904552"</f>
        <v>20190304154904552</v>
      </c>
      <c r="B5382" t="str">
        <f>"1551685744542105"</f>
        <v>1551685744542105</v>
      </c>
      <c r="C5382" t="s">
        <v>40</v>
      </c>
      <c r="D5382">
        <v>4.3025099999999998</v>
      </c>
      <c r="E5382">
        <v>0.54024799999999995</v>
      </c>
      <c r="F5382" t="s">
        <v>79</v>
      </c>
      <c r="G5382">
        <v>-410.45920000000001</v>
      </c>
      <c r="H5382" s="1">
        <v>-1.217237E-5</v>
      </c>
      <c r="I5382">
        <v>143.89150000000001</v>
      </c>
      <c r="J5382">
        <v>-329.81029999999998</v>
      </c>
      <c r="K5382">
        <v>1.1104560000000001</v>
      </c>
      <c r="L5382">
        <v>141.63409999999999</v>
      </c>
      <c r="M5382">
        <v>-0.99988600000000005</v>
      </c>
      <c r="N5382">
        <v>-1.1093230000000001E-2</v>
      </c>
      <c r="O5382">
        <v>1.0247040000000001E-2</v>
      </c>
      <c r="P5382">
        <v>-0.98318570000000005</v>
      </c>
      <c r="Q5382">
        <v>0.16685510000000001</v>
      </c>
      <c r="R5382">
        <v>-7.4199379999999995E-2</v>
      </c>
      <c r="S5382">
        <v>-3.064117</v>
      </c>
      <c r="T5382">
        <v>-4.2016980000000002E-2</v>
      </c>
      <c r="U5382">
        <v>8.5540770000000002E-2</v>
      </c>
      <c r="V5382">
        <v>-8.4268979999999993E-2</v>
      </c>
      <c r="W5382">
        <v>0.17774409999999999</v>
      </c>
      <c r="X5382">
        <v>0.98046199999999994</v>
      </c>
      <c r="Y5382">
        <v>1.765796E-2</v>
      </c>
      <c r="Z5382">
        <v>1.9219730000000001E-4</v>
      </c>
      <c r="AA5382">
        <v>0.99984410000000001</v>
      </c>
      <c r="AB5382">
        <v>33</v>
      </c>
      <c r="AC5382">
        <v>-80.648899999999998</v>
      </c>
      <c r="AD5382">
        <v>-1.1104681723699901</v>
      </c>
      <c r="AE5382">
        <v>2.2574000000000098</v>
      </c>
      <c r="AF5382">
        <v>1.43054713450865</v>
      </c>
      <c r="AG5382">
        <v>-1.1104681723699901</v>
      </c>
      <c r="AH5382">
        <v>80.652519380294905</v>
      </c>
      <c r="AI5382">
        <v>90.788705867708202</v>
      </c>
      <c r="AJ5382">
        <v>88.983841795191196</v>
      </c>
      <c r="AK5382">
        <v>80.672848512090695</v>
      </c>
      <c r="AL5382">
        <v>79.761612292536597</v>
      </c>
      <c r="AM5382">
        <v>94.912398826700993</v>
      </c>
      <c r="AN5382">
        <v>0.99999997975952504</v>
      </c>
    </row>
    <row r="5383" spans="1:40" x14ac:dyDescent="0.25">
      <c r="A5383" t="str">
        <f>"20190304154904569"</f>
        <v>20190304154904569</v>
      </c>
      <c r="B5383" t="str">
        <f>"1551685744562601"</f>
        <v>1551685744562601</v>
      </c>
      <c r="C5383" t="s">
        <v>40</v>
      </c>
      <c r="D5383">
        <v>4.2931269999999904</v>
      </c>
      <c r="E5383">
        <v>0.54173760000000004</v>
      </c>
      <c r="F5383" t="s">
        <v>79</v>
      </c>
      <c r="G5383">
        <v>-429.12130000000002</v>
      </c>
      <c r="H5383" s="1">
        <v>-1.317756E-5</v>
      </c>
      <c r="I5383">
        <v>144.97540000000001</v>
      </c>
      <c r="J5383">
        <v>-330.06580000000002</v>
      </c>
      <c r="K5383">
        <v>1.1104579999999999</v>
      </c>
      <c r="L5383">
        <v>141.63669999999999</v>
      </c>
      <c r="M5383">
        <v>-0.9998861</v>
      </c>
      <c r="N5383">
        <v>-1.109395E-2</v>
      </c>
      <c r="O5383">
        <v>1.0237680000000001E-2</v>
      </c>
      <c r="P5383">
        <v>-0.98316239999999999</v>
      </c>
      <c r="Q5383">
        <v>0.16722429999999999</v>
      </c>
      <c r="R5383">
        <v>-7.3674260000000005E-2</v>
      </c>
      <c r="S5383">
        <v>-3.0649410000000001</v>
      </c>
      <c r="T5383">
        <v>-3.4271360000000001E-2</v>
      </c>
      <c r="U5383">
        <v>0.1031189</v>
      </c>
      <c r="V5383">
        <v>-8.3734039999999996E-2</v>
      </c>
      <c r="W5383">
        <v>0.17811340000000001</v>
      </c>
      <c r="X5383">
        <v>0.98044089999999995</v>
      </c>
      <c r="Y5383">
        <v>2.338844E-2</v>
      </c>
      <c r="Z5383">
        <v>2.5962579999999998E-4</v>
      </c>
      <c r="AA5383">
        <v>0.99972640000000002</v>
      </c>
      <c r="AB5383">
        <v>33</v>
      </c>
      <c r="AC5383">
        <v>-99.055499999999995</v>
      </c>
      <c r="AD5383">
        <v>-1.11047117756</v>
      </c>
      <c r="AE5383">
        <v>3.33870000000001</v>
      </c>
      <c r="AF5383">
        <v>2.3240723847453002</v>
      </c>
      <c r="AG5383">
        <v>-1.11047117756</v>
      </c>
      <c r="AH5383">
        <v>99.072053866611697</v>
      </c>
      <c r="AI5383">
        <v>90.642009002028004</v>
      </c>
      <c r="AJ5383">
        <v>88.656178851255106</v>
      </c>
      <c r="AK5383">
        <v>99.105531208074098</v>
      </c>
      <c r="AL5383">
        <v>79.7401107439632</v>
      </c>
      <c r="AM5383">
        <v>94.881470587330398</v>
      </c>
      <c r="AN5383">
        <v>1.0000000655535399</v>
      </c>
    </row>
    <row r="5384" spans="1:40" x14ac:dyDescent="0.25">
      <c r="A5384" t="str">
        <f>"20190304154904584"</f>
        <v>20190304154904584</v>
      </c>
      <c r="B5384" t="str">
        <f>"1551685744572361"</f>
        <v>1551685744572361</v>
      </c>
      <c r="C5384" t="s">
        <v>40</v>
      </c>
      <c r="D5384">
        <v>4.3053910000000002</v>
      </c>
      <c r="E5384">
        <v>0.54222340000000002</v>
      </c>
      <c r="F5384" t="s">
        <v>79</v>
      </c>
      <c r="G5384">
        <v>-439.84379999999999</v>
      </c>
      <c r="H5384" s="1">
        <v>-9.3643230000000007E-6</v>
      </c>
      <c r="I5384">
        <v>145.81540000000001</v>
      </c>
      <c r="J5384">
        <v>-330.28179999999998</v>
      </c>
      <c r="K5384">
        <v>1.1104639999999999</v>
      </c>
      <c r="L5384">
        <v>141.63890000000001</v>
      </c>
      <c r="M5384">
        <v>-0.99988619999999995</v>
      </c>
      <c r="N5384">
        <v>-1.1094639999999999E-2</v>
      </c>
      <c r="O5384">
        <v>1.0229749999999999E-2</v>
      </c>
      <c r="P5384">
        <v>-0.9829736</v>
      </c>
      <c r="Q5384">
        <v>0.16876150000000001</v>
      </c>
      <c r="R5384">
        <v>-7.2680190000000006E-2</v>
      </c>
      <c r="S5384">
        <v>-3.0653990000000002</v>
      </c>
      <c r="T5384">
        <v>-3.1008239999999999E-2</v>
      </c>
      <c r="U5384">
        <v>0.116684</v>
      </c>
      <c r="V5384">
        <v>-8.2730159999999997E-2</v>
      </c>
      <c r="W5384">
        <v>0.17964939999999999</v>
      </c>
      <c r="X5384">
        <v>0.98024579999999994</v>
      </c>
      <c r="Y5384">
        <v>2.780937E-2</v>
      </c>
      <c r="Z5384">
        <v>3.049673E-4</v>
      </c>
      <c r="AA5384">
        <v>0.99961319999999998</v>
      </c>
      <c r="AB5384">
        <v>33</v>
      </c>
      <c r="AC5384">
        <v>-109.562</v>
      </c>
      <c r="AD5384">
        <v>-1.11047336432299</v>
      </c>
      <c r="AE5384">
        <v>4.1764999999999999</v>
      </c>
      <c r="AF5384">
        <v>3.0551072710417002</v>
      </c>
      <c r="AG5384">
        <v>-1.11047336432299</v>
      </c>
      <c r="AH5384">
        <v>109.587752021233</v>
      </c>
      <c r="AI5384">
        <v>90.5803436113586</v>
      </c>
      <c r="AJ5384">
        <v>88.403111455028693</v>
      </c>
      <c r="AK5384">
        <v>109.635953156789</v>
      </c>
      <c r="AL5384">
        <v>79.650661057840097</v>
      </c>
      <c r="AM5384">
        <v>94.824180266776196</v>
      </c>
      <c r="AN5384">
        <v>1.00000000735581</v>
      </c>
    </row>
    <row r="5385" spans="1:40" x14ac:dyDescent="0.25">
      <c r="A5385" t="str">
        <f>"20190304154904607"</f>
        <v>20190304154904607</v>
      </c>
      <c r="B5385" t="str">
        <f>"1551685744602617"</f>
        <v>1551685744602617</v>
      </c>
      <c r="C5385" t="s">
        <v>40</v>
      </c>
      <c r="D5385">
        <v>4.3523139999999998</v>
      </c>
      <c r="E5385">
        <v>0.54376599999999997</v>
      </c>
      <c r="F5385" t="s">
        <v>44</v>
      </c>
      <c r="G5385">
        <v>-461.21719999999999</v>
      </c>
      <c r="H5385" s="1">
        <v>-4.6744529999999996E-6</v>
      </c>
      <c r="I5385">
        <v>146.916</v>
      </c>
      <c r="J5385">
        <v>-330.6198</v>
      </c>
      <c r="K5385">
        <v>1.1104750000000001</v>
      </c>
      <c r="L5385">
        <v>141.64240000000001</v>
      </c>
      <c r="M5385">
        <v>-0.99988630000000001</v>
      </c>
      <c r="N5385">
        <v>-1.1095819999999999E-2</v>
      </c>
      <c r="O5385">
        <v>1.0217159999999999E-2</v>
      </c>
      <c r="P5385">
        <v>-0.98272720000000002</v>
      </c>
      <c r="Q5385">
        <v>0.17072899999999999</v>
      </c>
      <c r="R5385">
        <v>-7.1407419999999999E-2</v>
      </c>
      <c r="S5385">
        <v>-3.0655519999999998</v>
      </c>
      <c r="T5385">
        <v>-2.5999069999999999E-2</v>
      </c>
      <c r="U5385">
        <v>0.1235504</v>
      </c>
      <c r="V5385">
        <v>-8.1442840000000002E-2</v>
      </c>
      <c r="W5385">
        <v>0.181615</v>
      </c>
      <c r="X5385">
        <v>0.97999139999999996</v>
      </c>
      <c r="Y5385">
        <v>3.0056079999999999E-2</v>
      </c>
      <c r="Z5385">
        <v>3.209509E-4</v>
      </c>
      <c r="AA5385">
        <v>0.99954810000000005</v>
      </c>
      <c r="AB5385">
        <v>33</v>
      </c>
      <c r="AC5385">
        <v>-130.59739999999999</v>
      </c>
      <c r="AD5385">
        <v>-1.1104796744529899</v>
      </c>
      <c r="AE5385">
        <v>5.2735999999999796</v>
      </c>
      <c r="AF5385">
        <v>3.9386237961176298</v>
      </c>
      <c r="AG5385">
        <v>-1.1104796744529899</v>
      </c>
      <c r="AH5385">
        <v>130.63503711913799</v>
      </c>
      <c r="AI5385">
        <v>90.486817097316404</v>
      </c>
      <c r="AJ5385">
        <v>88.273065289469699</v>
      </c>
      <c r="AK5385">
        <v>130.699115703334</v>
      </c>
      <c r="AL5385">
        <v>79.536157333323004</v>
      </c>
      <c r="AM5385">
        <v>94.750687148549702</v>
      </c>
      <c r="AN5385">
        <v>1.0000000442431101</v>
      </c>
    </row>
    <row r="5386" spans="1:40" x14ac:dyDescent="0.25">
      <c r="A5386" t="str">
        <f>"20190304154904630"</f>
        <v>20190304154904630</v>
      </c>
      <c r="B5386" t="str">
        <f>"1551685744622137"</f>
        <v>1551685744622137</v>
      </c>
      <c r="C5386" t="s">
        <v>40</v>
      </c>
      <c r="D5386">
        <v>4.2973730000000003</v>
      </c>
      <c r="E5386">
        <v>0.54462219999999995</v>
      </c>
      <c r="F5386" t="s">
        <v>68</v>
      </c>
      <c r="G5386">
        <v>-478.70760000000001</v>
      </c>
      <c r="H5386" s="1">
        <v>-3.5046989999999998E-6</v>
      </c>
      <c r="I5386">
        <v>148.37379999999999</v>
      </c>
      <c r="J5386">
        <v>-330.9597</v>
      </c>
      <c r="K5386">
        <v>1.1104719999999999</v>
      </c>
      <c r="L5386">
        <v>141.64590000000001</v>
      </c>
      <c r="M5386">
        <v>-0.99988630000000001</v>
      </c>
      <c r="N5386">
        <v>-1.109715E-2</v>
      </c>
      <c r="O5386">
        <v>1.0204400000000001E-2</v>
      </c>
      <c r="P5386">
        <v>-0.98283180000000003</v>
      </c>
      <c r="Q5386">
        <v>0.1703585</v>
      </c>
      <c r="R5386">
        <v>-7.0847649999999998E-2</v>
      </c>
      <c r="S5386">
        <v>-3.0668639999999998</v>
      </c>
      <c r="T5386">
        <v>-2.2997739999999999E-2</v>
      </c>
      <c r="U5386">
        <v>0.13940429999999901</v>
      </c>
      <c r="V5386">
        <v>-8.0871289999999998E-2</v>
      </c>
      <c r="W5386">
        <v>0.1812473</v>
      </c>
      <c r="X5386">
        <v>0.98010679999999994</v>
      </c>
      <c r="Y5386">
        <v>3.520885E-2</v>
      </c>
      <c r="Z5386">
        <v>3.6413340000000002E-4</v>
      </c>
      <c r="AA5386">
        <v>0.99937989999999999</v>
      </c>
      <c r="AB5386">
        <v>33</v>
      </c>
      <c r="AC5386">
        <v>-147.74789999999999</v>
      </c>
      <c r="AD5386">
        <v>-1.11047550469899</v>
      </c>
      <c r="AE5386">
        <v>6.7278999999999698</v>
      </c>
      <c r="AF5386">
        <v>5.2194838237139001</v>
      </c>
      <c r="AG5386">
        <v>-1.11047550469899</v>
      </c>
      <c r="AH5386">
        <v>147.80053274016799</v>
      </c>
      <c r="AI5386">
        <v>90.430206351272503</v>
      </c>
      <c r="AJ5386">
        <v>87.977475694462697</v>
      </c>
      <c r="AK5386">
        <v>147.89683446750999</v>
      </c>
      <c r="AL5386">
        <v>79.557580538809702</v>
      </c>
      <c r="AM5386">
        <v>94.716945808192506</v>
      </c>
      <c r="AN5386">
        <v>1.00000004435489</v>
      </c>
    </row>
    <row r="5387" spans="1:40" x14ac:dyDescent="0.25">
      <c r="A5387" t="str">
        <f>"20190304154904653"</f>
        <v>20190304154904653</v>
      </c>
      <c r="B5387" t="str">
        <f>"1551685744642633"</f>
        <v>1551685744642633</v>
      </c>
      <c r="C5387" t="s">
        <v>40</v>
      </c>
      <c r="D5387">
        <v>4.2815059999999896</v>
      </c>
      <c r="E5387">
        <v>0.54512899999999997</v>
      </c>
      <c r="F5387" t="s">
        <v>44</v>
      </c>
      <c r="G5387">
        <v>-452.94110000000001</v>
      </c>
      <c r="H5387" s="1">
        <v>-3.6617809999999999E-6</v>
      </c>
      <c r="I5387">
        <v>147.50829999999999</v>
      </c>
      <c r="J5387">
        <v>-331.27749999999997</v>
      </c>
      <c r="K5387">
        <v>1.1104670000000001</v>
      </c>
      <c r="L5387">
        <v>141.6491</v>
      </c>
      <c r="M5387">
        <v>-0.99988650000000001</v>
      </c>
      <c r="N5387">
        <v>-1.1098530000000001E-2</v>
      </c>
      <c r="O5387">
        <v>1.0192649999999999E-2</v>
      </c>
      <c r="P5387">
        <v>-0.98319789999999996</v>
      </c>
      <c r="Q5387">
        <v>0.16811799999999999</v>
      </c>
      <c r="R5387">
        <v>-7.1123060000000002E-2</v>
      </c>
      <c r="S5387">
        <v>-3.0678709999999998</v>
      </c>
      <c r="T5387">
        <v>-2.7928830000000002E-2</v>
      </c>
      <c r="U5387">
        <v>0.14744570000000001</v>
      </c>
      <c r="V5387">
        <v>-8.1139180000000005E-2</v>
      </c>
      <c r="W5387">
        <v>0.17901230000000001</v>
      </c>
      <c r="X5387">
        <v>0.98049529999999996</v>
      </c>
      <c r="Y5387">
        <v>3.7818360000000002E-2</v>
      </c>
      <c r="Z5387">
        <v>4.0238360000000001E-4</v>
      </c>
      <c r="AA5387">
        <v>0.99928459999999997</v>
      </c>
      <c r="AB5387">
        <v>33</v>
      </c>
      <c r="AC5387">
        <v>-121.6636</v>
      </c>
      <c r="AD5387">
        <v>-1.1104706617810001</v>
      </c>
      <c r="AE5387">
        <v>5.85919999999998</v>
      </c>
      <c r="AF5387">
        <v>4.6183609122631903</v>
      </c>
      <c r="AG5387">
        <v>-1.1104706617810001</v>
      </c>
      <c r="AH5387">
        <v>121.706887846795</v>
      </c>
      <c r="AI5387">
        <v>90.522384251389198</v>
      </c>
      <c r="AJ5387">
        <v>87.826863427466904</v>
      </c>
      <c r="AK5387">
        <v>121.79954413690901</v>
      </c>
      <c r="AL5387">
        <v>79.687765650566803</v>
      </c>
      <c r="AM5387">
        <v>94.730633423578396</v>
      </c>
      <c r="AN5387">
        <v>1.0000000017022199</v>
      </c>
    </row>
    <row r="5388" spans="1:40" x14ac:dyDescent="0.25">
      <c r="A5388" t="str">
        <f>"20190304154904674"</f>
        <v>20190304154904674</v>
      </c>
      <c r="B5388" t="str">
        <f>"1551685744663129"</f>
        <v>1551685744663129</v>
      </c>
      <c r="C5388" t="s">
        <v>40</v>
      </c>
      <c r="D5388">
        <v>4.2439150000000003</v>
      </c>
      <c r="E5388">
        <v>0.54528120000000002</v>
      </c>
      <c r="F5388" t="s">
        <v>79</v>
      </c>
      <c r="G5388">
        <v>-424.46190000000001</v>
      </c>
      <c r="H5388" s="1">
        <v>-1.292162E-5</v>
      </c>
      <c r="I5388">
        <v>146.23429999999999</v>
      </c>
      <c r="J5388">
        <v>-331.60359999999997</v>
      </c>
      <c r="K5388">
        <v>1.1104590000000001</v>
      </c>
      <c r="L5388">
        <v>141.6524</v>
      </c>
      <c r="M5388">
        <v>-0.99988670000000002</v>
      </c>
      <c r="N5388">
        <v>-1.109984E-2</v>
      </c>
      <c r="O5388">
        <v>1.01809E-2</v>
      </c>
      <c r="P5388">
        <v>-0.98352879999999998</v>
      </c>
      <c r="Q5388">
        <v>0.1658876</v>
      </c>
      <c r="R5388">
        <v>-7.1783139999999995E-2</v>
      </c>
      <c r="S5388">
        <v>-3.0684809999999998</v>
      </c>
      <c r="T5388">
        <v>-3.6567089999999997E-2</v>
      </c>
      <c r="U5388">
        <v>0.1509857</v>
      </c>
      <c r="V5388">
        <v>-8.1790689999999999E-2</v>
      </c>
      <c r="W5388">
        <v>0.17678679999999999</v>
      </c>
      <c r="X5388">
        <v>0.98084490000000002</v>
      </c>
      <c r="Y5388">
        <v>3.8968790000000003E-2</v>
      </c>
      <c r="Z5388">
        <v>4.4018349999999998E-4</v>
      </c>
      <c r="AA5388">
        <v>0.99924029999999997</v>
      </c>
      <c r="AB5388">
        <v>33</v>
      </c>
      <c r="AC5388">
        <v>-92.8583</v>
      </c>
      <c r="AD5388">
        <v>-1.1104719216200001</v>
      </c>
      <c r="AE5388">
        <v>4.5818999999999903</v>
      </c>
      <c r="AF5388">
        <v>3.6357046353046401</v>
      </c>
      <c r="AG5388">
        <v>-1.1104719216200001</v>
      </c>
      <c r="AH5388">
        <v>92.886885889281302</v>
      </c>
      <c r="AI5388">
        <v>90.684420062139694</v>
      </c>
      <c r="AJ5388">
        <v>87.758518360852094</v>
      </c>
      <c r="AK5388">
        <v>92.964644173428894</v>
      </c>
      <c r="AL5388">
        <v>79.817344414038899</v>
      </c>
      <c r="AM5388">
        <v>94.766751982482305</v>
      </c>
      <c r="AN5388">
        <v>1.0000000037404599</v>
      </c>
    </row>
    <row r="5389" spans="1:40" x14ac:dyDescent="0.25">
      <c r="A5389" t="str">
        <f>"20190304154904698"</f>
        <v>20190304154904698</v>
      </c>
      <c r="B5389" t="str">
        <f>"1551685744692409"</f>
        <v>1551685744692409</v>
      </c>
      <c r="C5389" t="s">
        <v>40</v>
      </c>
      <c r="D5389">
        <v>4.3224049999999998</v>
      </c>
      <c r="E5389">
        <v>0.54611309999999902</v>
      </c>
      <c r="F5389" t="s">
        <v>79</v>
      </c>
      <c r="G5389">
        <v>-402.4067</v>
      </c>
      <c r="H5389" s="1">
        <v>-8.6948729999999999E-6</v>
      </c>
      <c r="I5389">
        <v>145.11879999999999</v>
      </c>
      <c r="J5389">
        <v>-331.95060000000001</v>
      </c>
      <c r="K5389">
        <v>1.1104540000000001</v>
      </c>
      <c r="L5389">
        <v>141.6559</v>
      </c>
      <c r="M5389">
        <v>-0.99988679999999996</v>
      </c>
      <c r="N5389">
        <v>-1.1099980000000001E-2</v>
      </c>
      <c r="O5389">
        <v>1.0168679999999999E-2</v>
      </c>
      <c r="P5389">
        <v>-0.9836608</v>
      </c>
      <c r="Q5389">
        <v>0.16464619999999999</v>
      </c>
      <c r="R5389">
        <v>-7.2823929999999995E-2</v>
      </c>
      <c r="S5389">
        <v>-3.0693359999999998</v>
      </c>
      <c r="T5389">
        <v>-4.8139099999999997E-2</v>
      </c>
      <c r="U5389">
        <v>0.1502686</v>
      </c>
      <c r="V5389">
        <v>-8.2821430000000001E-2</v>
      </c>
      <c r="W5389">
        <v>0.1755467</v>
      </c>
      <c r="X5389">
        <v>0.98098110000000005</v>
      </c>
      <c r="Y5389">
        <v>3.8731750000000002E-2</v>
      </c>
      <c r="Z5389">
        <v>4.7209770000000001E-4</v>
      </c>
      <c r="AA5389">
        <v>0.99924950000000001</v>
      </c>
      <c r="AB5389">
        <v>33</v>
      </c>
      <c r="AC5389">
        <v>-70.456099999999907</v>
      </c>
      <c r="AD5389">
        <v>-1.1104626948729901</v>
      </c>
      <c r="AE5389">
        <v>3.4628999999999901</v>
      </c>
      <c r="AF5389">
        <v>2.7455509614331501</v>
      </c>
      <c r="AG5389">
        <v>-1.1104626948729901</v>
      </c>
      <c r="AH5389">
        <v>70.470208706902596</v>
      </c>
      <c r="AI5389">
        <v>90.902102316646705</v>
      </c>
      <c r="AJ5389">
        <v>87.768859151872405</v>
      </c>
      <c r="AK5389">
        <v>70.532414482087205</v>
      </c>
      <c r="AL5389">
        <v>79.889525522722494</v>
      </c>
      <c r="AM5389">
        <v>94.825874405354</v>
      </c>
      <c r="AN5389">
        <v>0.99999997585267197</v>
      </c>
    </row>
    <row r="5390" spans="1:40" x14ac:dyDescent="0.25">
      <c r="A5390" t="str">
        <f>"20190304154904719"</f>
        <v>20190304154904719</v>
      </c>
      <c r="B5390" t="str">
        <f>"1551685744712904"</f>
        <v>1551685744712904</v>
      </c>
      <c r="C5390" t="s">
        <v>40</v>
      </c>
      <c r="D5390">
        <v>4.2603619999999998</v>
      </c>
      <c r="E5390">
        <v>0.54642060000000003</v>
      </c>
      <c r="F5390" t="s">
        <v>44</v>
      </c>
      <c r="G5390">
        <v>-397.74599999999998</v>
      </c>
      <c r="H5390" s="1">
        <v>-2.3684189999999999E-6</v>
      </c>
      <c r="I5390">
        <v>144.94980000000001</v>
      </c>
      <c r="J5390">
        <v>-332.2602</v>
      </c>
      <c r="K5390">
        <v>1.1104430000000001</v>
      </c>
      <c r="L5390">
        <v>141.6591</v>
      </c>
      <c r="M5390">
        <v>-0.99988690000000002</v>
      </c>
      <c r="N5390">
        <v>-1.109563E-2</v>
      </c>
      <c r="O5390">
        <v>1.0157609999999999E-2</v>
      </c>
      <c r="P5390">
        <v>-0.98368880000000003</v>
      </c>
      <c r="Q5390">
        <v>0.1639051</v>
      </c>
      <c r="R5390">
        <v>-7.4106899999999906E-2</v>
      </c>
      <c r="S5390">
        <v>-3.069855</v>
      </c>
      <c r="T5390">
        <v>-5.1811219999999998E-2</v>
      </c>
      <c r="U5390">
        <v>0.1536865</v>
      </c>
      <c r="V5390">
        <v>-8.4093310000000004E-2</v>
      </c>
      <c r="W5390">
        <v>0.17480209999999999</v>
      </c>
      <c r="X5390">
        <v>0.98100589999999999</v>
      </c>
      <c r="Y5390">
        <v>3.9843179999999999E-2</v>
      </c>
      <c r="Z5390">
        <v>4.9854659999999998E-4</v>
      </c>
      <c r="AA5390">
        <v>0.99920580000000003</v>
      </c>
      <c r="AB5390">
        <v>33</v>
      </c>
      <c r="AC5390">
        <v>-65.485799999999898</v>
      </c>
      <c r="AD5390">
        <v>-1.1104453684190001</v>
      </c>
      <c r="AE5390">
        <v>3.29070000000001</v>
      </c>
      <c r="AF5390">
        <v>2.6245573121782</v>
      </c>
      <c r="AG5390">
        <v>-1.1104453684190001</v>
      </c>
      <c r="AH5390">
        <v>65.497063215227399</v>
      </c>
      <c r="AI5390">
        <v>90.9705279911948</v>
      </c>
      <c r="AJ5390">
        <v>87.705307076010399</v>
      </c>
      <c r="AK5390">
        <v>65.559032023212794</v>
      </c>
      <c r="AL5390">
        <v>79.932858416719498</v>
      </c>
      <c r="AM5390">
        <v>94.899503525801194</v>
      </c>
      <c r="AN5390">
        <v>1.0000000173929799</v>
      </c>
    </row>
    <row r="5391" spans="1:40" x14ac:dyDescent="0.25">
      <c r="A5391" t="str">
        <f>"20190304154904742"</f>
        <v>20190304154904742</v>
      </c>
      <c r="B5391" t="str">
        <f>"1551685744732424"</f>
        <v>1551685744732424</v>
      </c>
      <c r="C5391" t="s">
        <v>40</v>
      </c>
      <c r="D5391">
        <v>4.2324289999999998</v>
      </c>
      <c r="E5391">
        <v>0.54666380000000003</v>
      </c>
      <c r="F5391" t="s">
        <v>44</v>
      </c>
      <c r="G5391">
        <v>-395.32440000000003</v>
      </c>
      <c r="H5391" s="1">
        <v>-3.361058E-6</v>
      </c>
      <c r="I5391">
        <v>144.77600000000001</v>
      </c>
      <c r="J5391">
        <v>-332.5915</v>
      </c>
      <c r="K5391">
        <v>1.1104270000000001</v>
      </c>
      <c r="L5391">
        <v>141.66239999999999</v>
      </c>
      <c r="M5391">
        <v>-0.99988710000000003</v>
      </c>
      <c r="N5391">
        <v>-1.1088239999999999E-2</v>
      </c>
      <c r="O5391">
        <v>1.014579E-2</v>
      </c>
      <c r="P5391">
        <v>-0.98405529999999997</v>
      </c>
      <c r="Q5391">
        <v>0.16080259999999999</v>
      </c>
      <c r="R5391">
        <v>-7.6011510000000004E-2</v>
      </c>
      <c r="S5391">
        <v>-3.07016</v>
      </c>
      <c r="T5391">
        <v>-5.4059980000000001E-2</v>
      </c>
      <c r="U5391">
        <v>0.15174869999999999</v>
      </c>
      <c r="V5391">
        <v>-8.5989979999999994E-2</v>
      </c>
      <c r="W5391">
        <v>0.17169599999999999</v>
      </c>
      <c r="X5391">
        <v>0.98138990000000004</v>
      </c>
      <c r="Y5391">
        <v>3.9220430000000001E-2</v>
      </c>
      <c r="Z5391">
        <v>4.9659879999999995E-4</v>
      </c>
      <c r="AA5391">
        <v>0.99923039999999996</v>
      </c>
      <c r="AB5391">
        <v>33</v>
      </c>
      <c r="AC5391">
        <v>-62.732900000000001</v>
      </c>
      <c r="AD5391">
        <v>-1.110430361058</v>
      </c>
      <c r="AE5391">
        <v>3.1136000000000101</v>
      </c>
      <c r="AF5391">
        <v>2.4761518669434901</v>
      </c>
      <c r="AG5391">
        <v>-1.110430361058</v>
      </c>
      <c r="AH5391">
        <v>62.741652543040502</v>
      </c>
      <c r="AI5391">
        <v>91.013152412329703</v>
      </c>
      <c r="AJ5391">
        <v>87.739946970039199</v>
      </c>
      <c r="AK5391">
        <v>62.800313275385399</v>
      </c>
      <c r="AL5391">
        <v>80.113556908357793</v>
      </c>
      <c r="AM5391">
        <v>95.007502365908806</v>
      </c>
      <c r="AN5391">
        <v>0.99999996444920403</v>
      </c>
    </row>
    <row r="5392" spans="1:40" x14ac:dyDescent="0.25">
      <c r="A5392" t="str">
        <f>"20190304154904764"</f>
        <v>20190304154904764</v>
      </c>
      <c r="B5392" t="str">
        <f>"1551685744752921"</f>
        <v>1551685744752921</v>
      </c>
      <c r="C5392" t="s">
        <v>40</v>
      </c>
      <c r="D5392">
        <v>4.1962539999999997</v>
      </c>
      <c r="E5392">
        <v>0.54693979999999998</v>
      </c>
      <c r="F5392" t="s">
        <v>44</v>
      </c>
      <c r="G5392">
        <v>-386.60500000000002</v>
      </c>
      <c r="H5392" s="1">
        <v>-2.675581E-6</v>
      </c>
      <c r="I5392">
        <v>144.2645</v>
      </c>
      <c r="J5392">
        <v>-332.92419999999998</v>
      </c>
      <c r="K5392">
        <v>1.1104149999999999</v>
      </c>
      <c r="L5392">
        <v>141.66579999999999</v>
      </c>
      <c r="M5392">
        <v>-0.99988730000000003</v>
      </c>
      <c r="N5392">
        <v>-1.108052E-2</v>
      </c>
      <c r="O5392">
        <v>1.013374E-2</v>
      </c>
      <c r="P5392">
        <v>-0.98407350000000005</v>
      </c>
      <c r="Q5392">
        <v>0.15992149999999999</v>
      </c>
      <c r="R5392">
        <v>-7.7619779999999999E-2</v>
      </c>
      <c r="S5392">
        <v>-3.0703429999999998</v>
      </c>
      <c r="T5392">
        <v>-6.3121319999999995E-2</v>
      </c>
      <c r="U5392">
        <v>0.14791869999999999</v>
      </c>
      <c r="V5392">
        <v>-8.7586720000000007E-2</v>
      </c>
      <c r="W5392">
        <v>0.1708076</v>
      </c>
      <c r="X5392">
        <v>0.98140380000000005</v>
      </c>
      <c r="Y5392">
        <v>3.7983830000000003E-2</v>
      </c>
      <c r="Z5392">
        <v>5.0483150000000003E-4</v>
      </c>
      <c r="AA5392">
        <v>0.99927820000000001</v>
      </c>
      <c r="AB5392">
        <v>33</v>
      </c>
      <c r="AC5392">
        <v>-53.680799999999998</v>
      </c>
      <c r="AD5392">
        <v>-1.110417675581</v>
      </c>
      <c r="AE5392">
        <v>2.5987</v>
      </c>
      <c r="AF5392">
        <v>2.05366920576909</v>
      </c>
      <c r="AG5392">
        <v>-1.110417675581</v>
      </c>
      <c r="AH5392">
        <v>53.681463248552099</v>
      </c>
      <c r="AI5392">
        <v>91.184145955810095</v>
      </c>
      <c r="AJ5392">
        <v>87.809127825868003</v>
      </c>
      <c r="AK5392">
        <v>53.732207111997702</v>
      </c>
      <c r="AL5392">
        <v>80.165222503655897</v>
      </c>
      <c r="AM5392">
        <v>95.099928426338707</v>
      </c>
      <c r="AN5392">
        <v>1.00000004419627</v>
      </c>
    </row>
    <row r="5393" spans="1:40" x14ac:dyDescent="0.25">
      <c r="A5393" t="str">
        <f>"20190304154904786"</f>
        <v>20190304154904786</v>
      </c>
      <c r="B5393" t="str">
        <f>"1551685744782201"</f>
        <v>1551685744782201</v>
      </c>
      <c r="C5393" t="s">
        <v>40</v>
      </c>
      <c r="D5393">
        <v>4.2664410000000004</v>
      </c>
      <c r="E5393">
        <v>0.50731999999999999</v>
      </c>
      <c r="F5393" t="s">
        <v>44</v>
      </c>
      <c r="G5393">
        <v>-385.47500000000002</v>
      </c>
      <c r="H5393" s="1">
        <v>-3.1324970000000002E-6</v>
      </c>
      <c r="I5393">
        <v>144.15989999999999</v>
      </c>
      <c r="J5393">
        <v>-333.23849999999999</v>
      </c>
      <c r="K5393">
        <v>1.110414</v>
      </c>
      <c r="L5393">
        <v>141.66899999999899</v>
      </c>
      <c r="M5393">
        <v>-0.99988759999999999</v>
      </c>
      <c r="N5393">
        <v>-1.1073639999999999E-2</v>
      </c>
      <c r="O5393">
        <v>1.012221E-2</v>
      </c>
      <c r="P5393">
        <v>-0.98376140000000001</v>
      </c>
      <c r="Q5393">
        <v>0.16135389999999999</v>
      </c>
      <c r="R5393">
        <v>-7.8605040000000001E-2</v>
      </c>
      <c r="S5393">
        <v>-3.0705870000000002</v>
      </c>
      <c r="T5393">
        <v>-6.4882759999999998E-2</v>
      </c>
      <c r="U5393">
        <v>0.1457367</v>
      </c>
      <c r="V5393">
        <v>-8.8557449999999996E-2</v>
      </c>
      <c r="W5393">
        <v>0.17222960000000001</v>
      </c>
      <c r="X5393">
        <v>0.9810681</v>
      </c>
      <c r="Y5393">
        <v>3.7282759999999998E-2</v>
      </c>
      <c r="Z5393">
        <v>4.9852559999999998E-4</v>
      </c>
      <c r="AA5393">
        <v>0.99930469999999905</v>
      </c>
      <c r="AB5393">
        <v>33</v>
      </c>
      <c r="AC5393">
        <v>-52.236499999999999</v>
      </c>
      <c r="AD5393">
        <v>-1.110417132497</v>
      </c>
      <c r="AE5393">
        <v>2.4909000000000101</v>
      </c>
      <c r="AF5393">
        <v>1.96110703061758</v>
      </c>
      <c r="AG5393">
        <v>-1.110417132497</v>
      </c>
      <c r="AH5393">
        <v>52.235487827794103</v>
      </c>
      <c r="AI5393">
        <v>91.216947826112204</v>
      </c>
      <c r="AJ5393">
        <v>87.849921335272697</v>
      </c>
      <c r="AK5393">
        <v>52.284081282942203</v>
      </c>
      <c r="AL5393">
        <v>80.082522285377905</v>
      </c>
      <c r="AM5393">
        <v>95.157903092454902</v>
      </c>
      <c r="AN5393">
        <v>1.00000003695213</v>
      </c>
    </row>
    <row r="5394" spans="1:40" x14ac:dyDescent="0.25">
      <c r="A5394" t="str">
        <f>"20190304154904808"</f>
        <v>20190304154904808</v>
      </c>
      <c r="B5394" t="str">
        <f>"1551685744802697"</f>
        <v>1551685744802697</v>
      </c>
      <c r="C5394" t="s">
        <v>40</v>
      </c>
      <c r="D5394">
        <v>4.2467050000000004</v>
      </c>
      <c r="E5394">
        <v>0.49786049999999998</v>
      </c>
      <c r="F5394" t="s">
        <v>42</v>
      </c>
      <c r="G5394">
        <v>0</v>
      </c>
      <c r="H5394">
        <v>0</v>
      </c>
      <c r="I5394">
        <v>0</v>
      </c>
      <c r="J5394">
        <v>-333.57159999999999</v>
      </c>
      <c r="K5394">
        <v>1.1104160000000001</v>
      </c>
      <c r="L5394">
        <v>141.67230000000001</v>
      </c>
      <c r="M5394">
        <v>-0.99988759999999999</v>
      </c>
      <c r="N5394">
        <v>-1.106686E-2</v>
      </c>
      <c r="O5394">
        <v>1.010986E-2</v>
      </c>
      <c r="P5394">
        <v>-0.9835796</v>
      </c>
      <c r="Q5394">
        <v>0.16248409999999999</v>
      </c>
      <c r="R5394">
        <v>-7.8549999999999995E-2</v>
      </c>
      <c r="S5394">
        <v>-3.0287480000000002</v>
      </c>
      <c r="T5394">
        <v>4.2105320000000002E-2</v>
      </c>
      <c r="U5394">
        <v>-0.17352290000000001</v>
      </c>
      <c r="V5394">
        <v>-8.8488319999999995E-2</v>
      </c>
      <c r="W5394">
        <v>0.17335120000000001</v>
      </c>
      <c r="X5394">
        <v>0.98087670000000005</v>
      </c>
      <c r="Y5394">
        <v>-6.7284730000000001E-2</v>
      </c>
      <c r="Z5394">
        <v>3.4686379999999999E-4</v>
      </c>
      <c r="AA5394">
        <v>0.9977338</v>
      </c>
      <c r="AB5394">
        <v>33</v>
      </c>
      <c r="AC5394">
        <v>-3.0287480000000002</v>
      </c>
      <c r="AD5394">
        <v>4.2105320000000002E-2</v>
      </c>
      <c r="AE5394">
        <v>-0.17352290000000001</v>
      </c>
      <c r="AF5394">
        <v>-0.20409681075438799</v>
      </c>
      <c r="AG5394">
        <v>4.2105320000000002E-2</v>
      </c>
      <c r="AH5394">
        <v>3.02625584583968</v>
      </c>
      <c r="AI5394">
        <v>89.204682332653903</v>
      </c>
      <c r="AJ5394">
        <v>93.858300520231595</v>
      </c>
      <c r="AK5394">
        <v>3.0334226231455501</v>
      </c>
      <c r="AL5394">
        <v>80.017277206681101</v>
      </c>
      <c r="AM5394">
        <v>95.154898676858195</v>
      </c>
      <c r="AN5394">
        <v>0.99999996096037502</v>
      </c>
    </row>
    <row r="5395" spans="1:40" x14ac:dyDescent="0.25">
      <c r="A5395" t="str">
        <f>"20190304154904831"</f>
        <v>20190304154904831</v>
      </c>
      <c r="B5395" t="str">
        <f>"1551685744822216"</f>
        <v>1551685744822216</v>
      </c>
      <c r="C5395" t="s">
        <v>40</v>
      </c>
      <c r="D5395">
        <v>4.2105169999999896</v>
      </c>
      <c r="E5395">
        <v>0.49559690000000001</v>
      </c>
      <c r="F5395" t="s">
        <v>42</v>
      </c>
      <c r="G5395">
        <v>0</v>
      </c>
      <c r="H5395">
        <v>0</v>
      </c>
      <c r="I5395">
        <v>0</v>
      </c>
      <c r="J5395">
        <v>-333.90260000000001</v>
      </c>
      <c r="K5395">
        <v>1.110425</v>
      </c>
      <c r="L5395">
        <v>141.67570000000001</v>
      </c>
      <c r="M5395">
        <v>-0.99988790000000005</v>
      </c>
      <c r="N5395">
        <v>-1.1060759999999999E-2</v>
      </c>
      <c r="O5395">
        <v>1.0097429999999999E-2</v>
      </c>
      <c r="P5395">
        <v>-0.98334960000000005</v>
      </c>
      <c r="Q5395">
        <v>0.16393629999999901</v>
      </c>
      <c r="R5395">
        <v>-7.8412860000000001E-2</v>
      </c>
      <c r="S5395">
        <v>-3.031158</v>
      </c>
      <c r="T5395">
        <v>-5.4707530000000001E-3</v>
      </c>
      <c r="U5395">
        <v>-0.24867249999999999</v>
      </c>
      <c r="V5395">
        <v>-8.8336799999999993E-2</v>
      </c>
      <c r="W5395">
        <v>0.17479459999999999</v>
      </c>
      <c r="X5395">
        <v>0.98063420000000001</v>
      </c>
      <c r="Y5395">
        <v>-9.1822650000000006E-2</v>
      </c>
      <c r="Z5395">
        <v>-4.9811120000000004E-4</v>
      </c>
      <c r="AA5395">
        <v>0.99577519999999997</v>
      </c>
      <c r="AB5395">
        <v>33</v>
      </c>
      <c r="AC5395">
        <v>-3.031158</v>
      </c>
      <c r="AD5395">
        <v>-5.4707530000000001E-3</v>
      </c>
      <c r="AE5395">
        <v>-0.24867249999999999</v>
      </c>
      <c r="AF5395">
        <v>-0.27926769384914302</v>
      </c>
      <c r="AG5395">
        <v>-5.4707530000000001E-3</v>
      </c>
      <c r="AH5395">
        <v>3.0284825458315199</v>
      </c>
      <c r="AI5395">
        <v>90.103063649906204</v>
      </c>
      <c r="AJ5395">
        <v>95.268558166495097</v>
      </c>
      <c r="AK5395">
        <v>3.0413363681730998</v>
      </c>
      <c r="AL5395">
        <v>79.933294558587093</v>
      </c>
      <c r="AM5395">
        <v>95.147385037032905</v>
      </c>
      <c r="AN5395">
        <v>0.99999998831651904</v>
      </c>
    </row>
    <row r="5396" spans="1:40" x14ac:dyDescent="0.25">
      <c r="A5396" t="str">
        <f>"20190304154904853"</f>
        <v>20190304154904853</v>
      </c>
      <c r="B5396" t="str">
        <f>"1551685744842714"</f>
        <v>1551685744842714</v>
      </c>
      <c r="C5396" t="s">
        <v>40</v>
      </c>
      <c r="D5396">
        <v>4.2104920000000003</v>
      </c>
      <c r="E5396">
        <v>0.49471179999999898</v>
      </c>
      <c r="F5396" t="s">
        <v>68</v>
      </c>
      <c r="G5396">
        <v>-495.10809999999998</v>
      </c>
      <c r="H5396">
        <v>7.9986509999999997E-2</v>
      </c>
      <c r="I5396">
        <v>127.5177</v>
      </c>
      <c r="J5396">
        <v>-334.22930000000002</v>
      </c>
      <c r="K5396">
        <v>1.11043799999999</v>
      </c>
      <c r="L5396">
        <v>141.6789</v>
      </c>
      <c r="M5396">
        <v>-0.99988809999999995</v>
      </c>
      <c r="N5396">
        <v>-1.1055479999999999E-2</v>
      </c>
      <c r="O5396">
        <v>1.008554E-2</v>
      </c>
      <c r="P5396">
        <v>-0.98293540000000001</v>
      </c>
      <c r="Q5396">
        <v>0.16644919999999999</v>
      </c>
      <c r="R5396">
        <v>-7.8312969999999996E-2</v>
      </c>
      <c r="S5396">
        <v>-3.0328059999999999</v>
      </c>
      <c r="T5396">
        <v>-1.9385929999999999E-2</v>
      </c>
      <c r="U5396">
        <v>-0.26635740000000002</v>
      </c>
      <c r="V5396">
        <v>-8.822091E-2</v>
      </c>
      <c r="W5396">
        <v>0.17729790000000001</v>
      </c>
      <c r="X5396">
        <v>0.98019520000000004</v>
      </c>
      <c r="Y5396">
        <v>-9.7526119999999994E-2</v>
      </c>
      <c r="Z5396">
        <v>-8.0433149999999999E-4</v>
      </c>
      <c r="AA5396">
        <v>0.99523260000000002</v>
      </c>
      <c r="AB5396">
        <v>33</v>
      </c>
      <c r="AC5396">
        <v>-160.87879999999899</v>
      </c>
      <c r="AD5396">
        <v>-1.0304514899999999</v>
      </c>
      <c r="AE5396">
        <v>-14.1611999999999</v>
      </c>
      <c r="AF5396">
        <v>-15.782485770478299</v>
      </c>
      <c r="AG5396">
        <v>-1.0304514899999999</v>
      </c>
      <c r="AH5396">
        <v>160.72124155479099</v>
      </c>
      <c r="AI5396">
        <v>90.365583957638506</v>
      </c>
      <c r="AJ5396">
        <v>95.608343651595803</v>
      </c>
      <c r="AK5396">
        <v>161.497573276759</v>
      </c>
      <c r="AL5396">
        <v>79.7875910259188</v>
      </c>
      <c r="AM5396">
        <v>95.142958339583302</v>
      </c>
      <c r="AN5396">
        <v>1.00000005220433</v>
      </c>
    </row>
    <row r="5397" spans="1:40" x14ac:dyDescent="0.25">
      <c r="A5397" t="str">
        <f>"20190304154904875"</f>
        <v>20190304154904875</v>
      </c>
      <c r="B5397" t="str">
        <f>"1551685744872969"</f>
        <v>1551685744872969</v>
      </c>
      <c r="C5397" t="s">
        <v>40</v>
      </c>
      <c r="D5397">
        <v>4.2092580000000002</v>
      </c>
      <c r="E5397">
        <v>0.49354609999999899</v>
      </c>
      <c r="F5397" t="s">
        <v>68</v>
      </c>
      <c r="G5397">
        <v>-481.39690000000002</v>
      </c>
      <c r="H5397">
        <v>7.9986559999999998E-2</v>
      </c>
      <c r="I5397">
        <v>128.42230000000001</v>
      </c>
      <c r="J5397">
        <v>-334.56130000000002</v>
      </c>
      <c r="K5397">
        <v>1.110449</v>
      </c>
      <c r="L5397">
        <v>141.6823</v>
      </c>
      <c r="M5397">
        <v>-0.99988840000000001</v>
      </c>
      <c r="N5397">
        <v>-1.1050900000000001E-2</v>
      </c>
      <c r="O5397">
        <v>1.00737E-2</v>
      </c>
      <c r="P5397">
        <v>-0.98264399999999996</v>
      </c>
      <c r="Q5397">
        <v>0.16806699999999999</v>
      </c>
      <c r="R5397">
        <v>-7.8515349999999998E-2</v>
      </c>
      <c r="S5397">
        <v>-3.0338750000000001</v>
      </c>
      <c r="T5397">
        <v>-2.1242859999999999E-2</v>
      </c>
      <c r="U5397">
        <v>-0.2732849</v>
      </c>
      <c r="V5397">
        <v>-8.8408810000000004E-2</v>
      </c>
      <c r="W5397">
        <v>0.17890729999999999</v>
      </c>
      <c r="X5397">
        <v>0.97988580000000003</v>
      </c>
      <c r="Y5397">
        <v>-9.9737389999999995E-2</v>
      </c>
      <c r="Z5397">
        <v>-8.6001419999999897E-4</v>
      </c>
      <c r="AA5397">
        <v>0.99501340000000005</v>
      </c>
      <c r="AB5397">
        <v>33</v>
      </c>
      <c r="AC5397">
        <v>-146.8356</v>
      </c>
      <c r="AD5397">
        <v>-1.03046244</v>
      </c>
      <c r="AE5397">
        <v>-13.2599999999999</v>
      </c>
      <c r="AF5397">
        <v>-14.737874936984401</v>
      </c>
      <c r="AG5397">
        <v>-1.03046244</v>
      </c>
      <c r="AH5397">
        <v>146.68739727607499</v>
      </c>
      <c r="AI5397">
        <v>90.400473629571096</v>
      </c>
      <c r="AJ5397">
        <v>95.737328583977799</v>
      </c>
      <c r="AK5397">
        <v>147.42950630768399</v>
      </c>
      <c r="AL5397">
        <v>79.693881033053401</v>
      </c>
      <c r="AM5397">
        <v>95.155471863305493</v>
      </c>
      <c r="AN5397">
        <v>1.0000000603602699</v>
      </c>
    </row>
    <row r="5398" spans="1:40" x14ac:dyDescent="0.25">
      <c r="A5398" t="str">
        <f>"20190304154904898"</f>
        <v>20190304154904898</v>
      </c>
      <c r="B5398" t="str">
        <f>"1551685744892489"</f>
        <v>1551685744892489</v>
      </c>
      <c r="C5398" t="s">
        <v>40</v>
      </c>
      <c r="D5398">
        <v>4.1973159999999998</v>
      </c>
      <c r="E5398">
        <v>0.49296000000000001</v>
      </c>
      <c r="F5398" t="s">
        <v>44</v>
      </c>
      <c r="G5398">
        <v>-463.58870000000002</v>
      </c>
      <c r="H5398">
        <v>4.078851E-2</v>
      </c>
      <c r="I5398">
        <v>129.6163</v>
      </c>
      <c r="J5398">
        <v>-334.88830000000002</v>
      </c>
      <c r="K5398">
        <v>1.110452</v>
      </c>
      <c r="L5398">
        <v>141.68559999999999</v>
      </c>
      <c r="M5398">
        <v>-0.99988840000000001</v>
      </c>
      <c r="N5398">
        <v>-1.10472E-2</v>
      </c>
      <c r="O5398">
        <v>1.0062160000000001E-2</v>
      </c>
      <c r="P5398">
        <v>-0.98251580000000005</v>
      </c>
      <c r="Q5398">
        <v>0.16852159999999999</v>
      </c>
      <c r="R5398">
        <v>-7.9143459999999999E-2</v>
      </c>
      <c r="S5398">
        <v>-3.034637</v>
      </c>
      <c r="T5398">
        <v>-2.515769E-2</v>
      </c>
      <c r="U5398">
        <v>-0.28378300000000001</v>
      </c>
      <c r="V5398">
        <v>-8.9023740000000004E-2</v>
      </c>
      <c r="W5398">
        <v>0.17935719999999999</v>
      </c>
      <c r="X5398">
        <v>0.97974779999999995</v>
      </c>
      <c r="Y5398">
        <v>-0.1031145</v>
      </c>
      <c r="Z5398">
        <v>-9.6965790000000005E-4</v>
      </c>
      <c r="AA5398">
        <v>0.99466900000000003</v>
      </c>
      <c r="AB5398">
        <v>33</v>
      </c>
      <c r="AC5398">
        <v>-128.7004</v>
      </c>
      <c r="AD5398">
        <v>-1.0696634899999999</v>
      </c>
      <c r="AE5398">
        <v>-12.069299999999901</v>
      </c>
      <c r="AF5398">
        <v>-13.3628568788763</v>
      </c>
      <c r="AG5398">
        <v>-1.0696634899999999</v>
      </c>
      <c r="AH5398">
        <v>128.56362974707301</v>
      </c>
      <c r="AI5398">
        <v>90.474141979450195</v>
      </c>
      <c r="AJ5398">
        <v>95.933994483822104</v>
      </c>
      <c r="AK5398">
        <v>129.260655335217</v>
      </c>
      <c r="AL5398">
        <v>79.667679140429499</v>
      </c>
      <c r="AM5398">
        <v>95.191862837082994</v>
      </c>
      <c r="AN5398">
        <v>0.99999999154013297</v>
      </c>
    </row>
    <row r="5399" spans="1:40" x14ac:dyDescent="0.25">
      <c r="A5399" t="str">
        <f>"20190304154904920"</f>
        <v>20190304154904920</v>
      </c>
      <c r="B5399" t="str">
        <f>"1551685744912985"</f>
        <v>1551685744912985</v>
      </c>
      <c r="C5399" t="s">
        <v>40</v>
      </c>
      <c r="D5399">
        <v>4.2444660000000001</v>
      </c>
      <c r="E5399">
        <v>0.49274459999999998</v>
      </c>
      <c r="F5399" t="s">
        <v>44</v>
      </c>
      <c r="G5399">
        <v>-455.21440000000001</v>
      </c>
      <c r="H5399" s="1">
        <v>-3.113624E-6</v>
      </c>
      <c r="I5399">
        <v>130.17429999999999</v>
      </c>
      <c r="J5399">
        <v>-335.2251</v>
      </c>
      <c r="K5399">
        <v>1.1104499999999999</v>
      </c>
      <c r="L5399">
        <v>141.68889999999999</v>
      </c>
      <c r="M5399">
        <v>-0.99988849999999996</v>
      </c>
      <c r="N5399">
        <v>-1.1043910000000001E-2</v>
      </c>
      <c r="O5399">
        <v>1.0050079999999999E-2</v>
      </c>
      <c r="P5399">
        <v>-0.98249850000000005</v>
      </c>
      <c r="Q5399">
        <v>0.16825870000000001</v>
      </c>
      <c r="R5399">
        <v>-7.9912280000000002E-2</v>
      </c>
      <c r="S5399">
        <v>-3.034821</v>
      </c>
      <c r="T5399">
        <v>-2.8007509999999999E-2</v>
      </c>
      <c r="U5399">
        <v>-0.290329</v>
      </c>
      <c r="V5399">
        <v>-8.9780760000000001E-2</v>
      </c>
      <c r="W5399">
        <v>0.17909069999999999</v>
      </c>
      <c r="X5399">
        <v>0.97972749999999997</v>
      </c>
      <c r="Y5399">
        <v>-0.1052215</v>
      </c>
      <c r="Z5399">
        <v>-1.048626E-3</v>
      </c>
      <c r="AA5399">
        <v>0.9944482</v>
      </c>
      <c r="AB5399">
        <v>33</v>
      </c>
      <c r="AC5399">
        <v>-119.9893</v>
      </c>
      <c r="AD5399">
        <v>-1.1104531136239999</v>
      </c>
      <c r="AE5399">
        <v>-11.5146</v>
      </c>
      <c r="AF5399">
        <v>-12.7189146195361</v>
      </c>
      <c r="AG5399">
        <v>-1.1104531136239999</v>
      </c>
      <c r="AH5399">
        <v>119.857337865593</v>
      </c>
      <c r="AI5399">
        <v>90.527854646182803</v>
      </c>
      <c r="AJ5399">
        <v>96.057393447969702</v>
      </c>
      <c r="AK5399">
        <v>120.53541112653799</v>
      </c>
      <c r="AL5399">
        <v>79.683200057349296</v>
      </c>
      <c r="AM5399">
        <v>95.235875765742804</v>
      </c>
      <c r="AN5399">
        <v>1.00000001897445</v>
      </c>
    </row>
    <row r="5400" spans="1:40" x14ac:dyDescent="0.25">
      <c r="A5400" t="str">
        <f>"20190304154904944"</f>
        <v>20190304154904944</v>
      </c>
      <c r="B5400" t="str">
        <f>"1551685744932505"</f>
        <v>1551685744932505</v>
      </c>
      <c r="C5400" t="s">
        <v>40</v>
      </c>
      <c r="D5400">
        <v>4.2039309999999999</v>
      </c>
      <c r="E5400">
        <v>0.49239440000000001</v>
      </c>
      <c r="F5400" t="s">
        <v>79</v>
      </c>
      <c r="G5400">
        <v>-436.35520000000002</v>
      </c>
      <c r="H5400" s="1">
        <v>-5.5521020000000002E-6</v>
      </c>
      <c r="I5400">
        <v>131.88800000000001</v>
      </c>
      <c r="J5400">
        <v>-335.56470000000002</v>
      </c>
      <c r="K5400">
        <v>1.1104369999999999</v>
      </c>
      <c r="L5400">
        <v>141.69239999999999</v>
      </c>
      <c r="M5400">
        <v>-0.99988880000000002</v>
      </c>
      <c r="N5400">
        <v>-1.104133E-2</v>
      </c>
      <c r="O5400">
        <v>1.0037819999999999E-2</v>
      </c>
      <c r="P5400">
        <v>-0.98278920000000003</v>
      </c>
      <c r="Q5400">
        <v>0.16640669999999999</v>
      </c>
      <c r="R5400">
        <v>-8.0215179999999997E-2</v>
      </c>
      <c r="S5400">
        <v>-3.0352480000000002</v>
      </c>
      <c r="T5400">
        <v>-3.3328410000000003E-2</v>
      </c>
      <c r="U5400">
        <v>-0.2941589</v>
      </c>
      <c r="V5400">
        <v>-9.0074929999999997E-2</v>
      </c>
      <c r="W5400">
        <v>0.1772397</v>
      </c>
      <c r="X5400">
        <v>0.98003700000000005</v>
      </c>
      <c r="Y5400">
        <v>-0.1064363</v>
      </c>
      <c r="Z5400">
        <v>-1.1714099999999999E-3</v>
      </c>
      <c r="AA5400">
        <v>0.99431879999999995</v>
      </c>
      <c r="AB5400">
        <v>33</v>
      </c>
      <c r="AC5400">
        <v>-100.79049999999999</v>
      </c>
      <c r="AD5400">
        <v>-1.110442552102</v>
      </c>
      <c r="AE5400">
        <v>-9.8043999999999798</v>
      </c>
      <c r="AF5400">
        <v>-10.814384059175</v>
      </c>
      <c r="AG5400">
        <v>-1.110442552102</v>
      </c>
      <c r="AH5400">
        <v>100.67489521448699</v>
      </c>
      <c r="AI5400">
        <v>90.628331532718605</v>
      </c>
      <c r="AJ5400">
        <v>96.131138323566603</v>
      </c>
      <c r="AK5400">
        <v>101.260152635125</v>
      </c>
      <c r="AL5400">
        <v>79.790978379712797</v>
      </c>
      <c r="AM5400">
        <v>95.251285867043407</v>
      </c>
      <c r="AN5400">
        <v>0.99999996281979597</v>
      </c>
    </row>
    <row r="5401" spans="1:40" x14ac:dyDescent="0.25">
      <c r="A5401" t="str">
        <f>"20190304154904964"</f>
        <v>20190304154904964</v>
      </c>
      <c r="B5401" t="str">
        <f>"1551685744953002"</f>
        <v>1551685744953002</v>
      </c>
      <c r="C5401" t="s">
        <v>40</v>
      </c>
      <c r="D5401">
        <v>4.2807519999999997</v>
      </c>
      <c r="E5401">
        <v>0.49228739999999999</v>
      </c>
      <c r="F5401" t="s">
        <v>79</v>
      </c>
      <c r="G5401">
        <v>-413.7518</v>
      </c>
      <c r="H5401" s="1">
        <v>-7.8969760000000001E-6</v>
      </c>
      <c r="I5401">
        <v>134.0181</v>
      </c>
      <c r="J5401">
        <v>-335.8777</v>
      </c>
      <c r="K5401">
        <v>1.11043799999999</v>
      </c>
      <c r="L5401">
        <v>141.69550000000001</v>
      </c>
      <c r="M5401">
        <v>-0.99988869999999996</v>
      </c>
      <c r="N5401">
        <v>-1.1039510000000001E-2</v>
      </c>
      <c r="O5401">
        <v>1.002662E-2</v>
      </c>
      <c r="P5401">
        <v>-0.98294230000000005</v>
      </c>
      <c r="Q5401">
        <v>0.165301</v>
      </c>
      <c r="R5401">
        <v>-8.0622230000000003E-2</v>
      </c>
      <c r="S5401">
        <v>-3.0355219999999998</v>
      </c>
      <c r="T5401">
        <v>-4.3111679999999999E-2</v>
      </c>
      <c r="U5401">
        <v>-0.29794310000000002</v>
      </c>
      <c r="V5401">
        <v>-9.0472179999999999E-2</v>
      </c>
      <c r="W5401">
        <v>0.17613389999999901</v>
      </c>
      <c r="X5401">
        <v>0.98019979999999995</v>
      </c>
      <c r="Y5401">
        <v>-0.10763789999999999</v>
      </c>
      <c r="Z5401">
        <v>-1.3897740000000001E-3</v>
      </c>
      <c r="AA5401">
        <v>0.9941892</v>
      </c>
      <c r="AB5401">
        <v>33</v>
      </c>
      <c r="AC5401">
        <v>-77.874099999999999</v>
      </c>
      <c r="AD5401">
        <v>-1.1104458969759901</v>
      </c>
      <c r="AE5401">
        <v>-7.6773999999999996</v>
      </c>
      <c r="AF5401">
        <v>-8.4561728191922203</v>
      </c>
      <c r="AG5401">
        <v>-1.1104458969759901</v>
      </c>
      <c r="AH5401">
        <v>77.777539350293793</v>
      </c>
      <c r="AI5401">
        <v>90.813176684995696</v>
      </c>
      <c r="AJ5401">
        <v>96.204971331002298</v>
      </c>
      <c r="AK5401">
        <v>78.243757426549095</v>
      </c>
      <c r="AL5401">
        <v>79.855349243316596</v>
      </c>
      <c r="AM5401">
        <v>95.273443785241</v>
      </c>
      <c r="AN5401">
        <v>1.0000000070016</v>
      </c>
    </row>
    <row r="5402" spans="1:40" x14ac:dyDescent="0.25">
      <c r="A5402" t="str">
        <f>"20190304154904987"</f>
        <v>20190304154904987</v>
      </c>
      <c r="B5402" t="str">
        <f>"1551685744982281"</f>
        <v>1551685744982281</v>
      </c>
      <c r="C5402" t="s">
        <v>40</v>
      </c>
      <c r="D5402">
        <v>4.2004169999999998</v>
      </c>
      <c r="E5402">
        <v>0.49199999999999999</v>
      </c>
      <c r="F5402" t="s">
        <v>79</v>
      </c>
      <c r="G5402">
        <v>-400.48050000000001</v>
      </c>
      <c r="H5402" s="1">
        <v>-3.3612519999999998E-6</v>
      </c>
      <c r="I5402">
        <v>135.30860000000001</v>
      </c>
      <c r="J5402">
        <v>-336.2004</v>
      </c>
      <c r="K5402">
        <v>1.1104369999999999</v>
      </c>
      <c r="L5402">
        <v>141.6987</v>
      </c>
      <c r="M5402">
        <v>-0.99988900000000003</v>
      </c>
      <c r="N5402">
        <v>-1.103815E-2</v>
      </c>
      <c r="O5402">
        <v>1.001489E-2</v>
      </c>
      <c r="P5402">
        <v>-0.98290319999999998</v>
      </c>
      <c r="Q5402">
        <v>0.165272</v>
      </c>
      <c r="R5402">
        <v>-8.1158069999999999E-2</v>
      </c>
      <c r="S5402">
        <v>-3.0362239999999998</v>
      </c>
      <c r="T5402">
        <v>-5.2188869999999998E-2</v>
      </c>
      <c r="U5402">
        <v>-0.30017090000000002</v>
      </c>
      <c r="V5402">
        <v>-9.0996140000000003E-2</v>
      </c>
      <c r="W5402">
        <v>0.17610290000000001</v>
      </c>
      <c r="X5402">
        <v>0.98015680000000005</v>
      </c>
      <c r="Y5402">
        <v>-0.10831929999999999</v>
      </c>
      <c r="Z5402">
        <v>-1.5894360000000001E-3</v>
      </c>
      <c r="AA5402">
        <v>0.99411490000000002</v>
      </c>
      <c r="AB5402">
        <v>33</v>
      </c>
      <c r="AC5402">
        <v>-64.280100000000004</v>
      </c>
      <c r="AD5402">
        <v>-1.110440361252</v>
      </c>
      <c r="AE5402">
        <v>-6.3900999999999897</v>
      </c>
      <c r="AF5402">
        <v>-7.0314989478914196</v>
      </c>
      <c r="AG5402">
        <v>-1.110440361252</v>
      </c>
      <c r="AH5402">
        <v>64.193906203703094</v>
      </c>
      <c r="AI5402">
        <v>90.985125238674001</v>
      </c>
      <c r="AJ5402">
        <v>96.250990282280497</v>
      </c>
      <c r="AK5402">
        <v>64.587403175386498</v>
      </c>
      <c r="AL5402">
        <v>79.857152937401096</v>
      </c>
      <c r="AM5402">
        <v>95.304042054741799</v>
      </c>
      <c r="AN5402">
        <v>0.99999994073477305</v>
      </c>
    </row>
    <row r="5403" spans="1:40" x14ac:dyDescent="0.25">
      <c r="A5403" t="str">
        <f>"20190304154905009"</f>
        <v>20190304154905009</v>
      </c>
      <c r="B5403" t="str">
        <f>"1551685745002777"</f>
        <v>1551685745002777</v>
      </c>
      <c r="C5403" t="s">
        <v>40</v>
      </c>
      <c r="D5403">
        <v>4.2481059999999999</v>
      </c>
      <c r="E5403">
        <v>0.49183339999999998</v>
      </c>
      <c r="F5403" t="s">
        <v>44</v>
      </c>
      <c r="G5403">
        <v>-396.79640000000001</v>
      </c>
      <c r="H5403" s="1">
        <v>-2.1369939999999999E-6</v>
      </c>
      <c r="I5403">
        <v>135.62950000000001</v>
      </c>
      <c r="J5403">
        <v>-336.5403</v>
      </c>
      <c r="K5403">
        <v>1.110433</v>
      </c>
      <c r="L5403">
        <v>141.7021</v>
      </c>
      <c r="M5403">
        <v>-0.99988909999999998</v>
      </c>
      <c r="N5403">
        <v>-1.1037180000000001E-2</v>
      </c>
      <c r="O5403">
        <v>1.000232E-2</v>
      </c>
      <c r="P5403">
        <v>-0.98299409999999998</v>
      </c>
      <c r="Q5403">
        <v>0.16452310000000001</v>
      </c>
      <c r="R5403">
        <v>-8.1576060000000006E-2</v>
      </c>
      <c r="S5403">
        <v>-3.0364689999999999</v>
      </c>
      <c r="T5403">
        <v>-5.5644150000000003E-2</v>
      </c>
      <c r="U5403">
        <v>-0.30412289999999997</v>
      </c>
      <c r="V5403">
        <v>-9.1403010000000007E-2</v>
      </c>
      <c r="W5403">
        <v>0.17535419999999999</v>
      </c>
      <c r="X5403">
        <v>0.98025320000000005</v>
      </c>
      <c r="Y5403">
        <v>-0.1095768</v>
      </c>
      <c r="Z5403">
        <v>-1.680476E-3</v>
      </c>
      <c r="AA5403">
        <v>0.99397690000000005</v>
      </c>
      <c r="AB5403">
        <v>33</v>
      </c>
      <c r="AC5403">
        <v>-60.256100000000004</v>
      </c>
      <c r="AD5403">
        <v>-1.110435136994</v>
      </c>
      <c r="AE5403">
        <v>-6.0725999999999898</v>
      </c>
      <c r="AF5403">
        <v>-6.6727902873060296</v>
      </c>
      <c r="AG5403">
        <v>-1.110435136994</v>
      </c>
      <c r="AH5403">
        <v>60.172111800003499</v>
      </c>
      <c r="AI5403">
        <v>91.050794401930105</v>
      </c>
      <c r="AJ5403">
        <v>96.327963919281999</v>
      </c>
      <c r="AK5403">
        <v>60.551153869137401</v>
      </c>
      <c r="AL5403">
        <v>79.900728691447696</v>
      </c>
      <c r="AM5403">
        <v>95.327100879669402</v>
      </c>
      <c r="AN5403">
        <v>0.99999997090246895</v>
      </c>
    </row>
    <row r="5404" spans="1:40" x14ac:dyDescent="0.25">
      <c r="A5404" t="str">
        <f>"20190304154905032"</f>
        <v>20190304154905032</v>
      </c>
      <c r="B5404" t="str">
        <f>"1551685745022298"</f>
        <v>1551685745022298</v>
      </c>
      <c r="C5404" t="s">
        <v>40</v>
      </c>
      <c r="D5404">
        <v>4.2724929999999999</v>
      </c>
      <c r="E5404">
        <v>0.49178630000000001</v>
      </c>
      <c r="F5404" t="s">
        <v>44</v>
      </c>
      <c r="G5404">
        <v>-393.1567</v>
      </c>
      <c r="H5404" s="1">
        <v>-3.5623199999999999E-6</v>
      </c>
      <c r="I5404">
        <v>135.98419999999999</v>
      </c>
      <c r="J5404">
        <v>-336.87040000000002</v>
      </c>
      <c r="K5404">
        <v>1.1104270000000001</v>
      </c>
      <c r="L5404">
        <v>141.7054</v>
      </c>
      <c r="M5404">
        <v>-0.99988920000000003</v>
      </c>
      <c r="N5404">
        <v>-1.103665E-2</v>
      </c>
      <c r="O5404">
        <v>9.9900449999999995E-3</v>
      </c>
      <c r="P5404">
        <v>-0.98294099999999995</v>
      </c>
      <c r="Q5404">
        <v>0.16453519999999999</v>
      </c>
      <c r="R5404">
        <v>-8.2189139999999994E-2</v>
      </c>
      <c r="S5404">
        <v>-3.036438</v>
      </c>
      <c r="T5404">
        <v>-5.9554700000000002E-2</v>
      </c>
      <c r="U5404">
        <v>-0.30665589999999998</v>
      </c>
      <c r="V5404">
        <v>-9.2002970000000003E-2</v>
      </c>
      <c r="W5404">
        <v>0.17536550000000001</v>
      </c>
      <c r="X5404">
        <v>0.98019509999999999</v>
      </c>
      <c r="Y5404">
        <v>-0.1103826</v>
      </c>
      <c r="Z5404">
        <v>-1.7759E-3</v>
      </c>
      <c r="AA5404">
        <v>0.99388759999999998</v>
      </c>
      <c r="AB5404">
        <v>33</v>
      </c>
      <c r="AC5404">
        <v>-56.286299999999898</v>
      </c>
      <c r="AD5404">
        <v>-1.1104305623199999</v>
      </c>
      <c r="AE5404">
        <v>-5.7211999999999996</v>
      </c>
      <c r="AF5404">
        <v>-6.2808318530120797</v>
      </c>
      <c r="AG5404">
        <v>-1.1104305623199999</v>
      </c>
      <c r="AH5404">
        <v>56.204680948955499</v>
      </c>
      <c r="AI5404">
        <v>91.124840204767594</v>
      </c>
      <c r="AJ5404">
        <v>96.376306907319801</v>
      </c>
      <c r="AK5404">
        <v>56.565431717378601</v>
      </c>
      <c r="AL5404">
        <v>79.900071555418705</v>
      </c>
      <c r="AM5404">
        <v>95.362180257005704</v>
      </c>
      <c r="AN5404">
        <v>1.0000000195715399</v>
      </c>
    </row>
    <row r="5405" spans="1:40" x14ac:dyDescent="0.25">
      <c r="A5405" t="str">
        <f>"20190304154905065"</f>
        <v>20190304154905065</v>
      </c>
      <c r="B5405" t="str">
        <f>"1551685745052553"</f>
        <v>1551685745052553</v>
      </c>
      <c r="C5405" t="s">
        <v>40</v>
      </c>
      <c r="D5405">
        <v>4.2443650000000002</v>
      </c>
      <c r="E5405">
        <v>0.49175219999999997</v>
      </c>
      <c r="F5405" t="s">
        <v>44</v>
      </c>
      <c r="G5405">
        <v>-391.9622</v>
      </c>
      <c r="H5405" s="1">
        <v>-4.0546059999999999E-6</v>
      </c>
      <c r="I5405">
        <v>136.0977</v>
      </c>
      <c r="J5405">
        <v>-337.35759999999999</v>
      </c>
      <c r="K5405">
        <v>1.110422</v>
      </c>
      <c r="L5405">
        <v>141.71019999999999</v>
      </c>
      <c r="M5405">
        <v>-0.99988940000000004</v>
      </c>
      <c r="N5405">
        <v>-1.1036600000000001E-2</v>
      </c>
      <c r="O5405">
        <v>9.9721040000000007E-3</v>
      </c>
      <c r="P5405">
        <v>-0.98287670000000005</v>
      </c>
      <c r="Q5405">
        <v>0.16479779999999999</v>
      </c>
      <c r="R5405">
        <v>-8.2432340000000007E-2</v>
      </c>
      <c r="S5405">
        <v>-3.036438</v>
      </c>
      <c r="T5405">
        <v>-6.1202529999999998E-2</v>
      </c>
      <c r="U5405">
        <v>-0.30906679999999997</v>
      </c>
      <c r="V5405">
        <v>-9.2228569999999996E-2</v>
      </c>
      <c r="W5405">
        <v>0.17562700000000001</v>
      </c>
      <c r="X5405">
        <v>0.98012710000000003</v>
      </c>
      <c r="Y5405">
        <v>-0.1111441</v>
      </c>
      <c r="Z5405">
        <v>-1.8228560000000001E-3</v>
      </c>
      <c r="AA5405">
        <v>0.99380259999999998</v>
      </c>
      <c r="AB5405">
        <v>33</v>
      </c>
      <c r="AC5405">
        <v>-54.604599999999998</v>
      </c>
      <c r="AD5405">
        <v>-1.1104260546060001</v>
      </c>
      <c r="AE5405">
        <v>-5.6124999999999803</v>
      </c>
      <c r="AF5405">
        <v>-6.1542583521829499</v>
      </c>
      <c r="AG5405">
        <v>-1.1104260546060001</v>
      </c>
      <c r="AH5405">
        <v>54.523600600422803</v>
      </c>
      <c r="AI5405">
        <v>91.159362919501206</v>
      </c>
      <c r="AJ5405">
        <v>96.439906663111302</v>
      </c>
      <c r="AK5405">
        <v>54.881061982459798</v>
      </c>
      <c r="AL5405">
        <v>79.884852742616403</v>
      </c>
      <c r="AM5405">
        <v>95.375622653124495</v>
      </c>
      <c r="AN5405">
        <v>1.00000004220382</v>
      </c>
    </row>
    <row r="5406" spans="1:40" x14ac:dyDescent="0.25">
      <c r="A5406" t="str">
        <f>"20190304154905086"</f>
        <v>20190304154905086</v>
      </c>
      <c r="B5406" t="str">
        <f>"1551685745082812"</f>
        <v>1551685745082812</v>
      </c>
      <c r="C5406" t="s">
        <v>40</v>
      </c>
      <c r="D5406">
        <v>4.2500640000000001</v>
      </c>
      <c r="E5406">
        <v>0.49176730000000002</v>
      </c>
      <c r="F5406" t="s">
        <v>44</v>
      </c>
      <c r="G5406">
        <v>-391.55090000000001</v>
      </c>
      <c r="H5406" s="1">
        <v>-4.2183419999999998E-6</v>
      </c>
      <c r="I5406">
        <v>136.1694</v>
      </c>
      <c r="J5406">
        <v>-337.68389999999999</v>
      </c>
      <c r="K5406">
        <v>1.110422</v>
      </c>
      <c r="L5406">
        <v>141.71350000000001</v>
      </c>
      <c r="M5406">
        <v>-0.99988960000000005</v>
      </c>
      <c r="N5406">
        <v>-1.1036900000000001E-2</v>
      </c>
      <c r="O5406">
        <v>9.9603599999999997E-3</v>
      </c>
      <c r="P5406">
        <v>-0.9829618</v>
      </c>
      <c r="Q5406">
        <v>0.16414279999999901</v>
      </c>
      <c r="R5406">
        <v>-8.2724899999999907E-2</v>
      </c>
      <c r="S5406">
        <v>-3.0366819999999999</v>
      </c>
      <c r="T5406">
        <v>-6.2222E-2</v>
      </c>
      <c r="U5406">
        <v>-0.31047059999999999</v>
      </c>
      <c r="V5406">
        <v>-9.2510090000000003E-2</v>
      </c>
      <c r="W5406">
        <v>0.17497299999999999</v>
      </c>
      <c r="X5406">
        <v>0.98021749999999996</v>
      </c>
      <c r="Y5406">
        <v>-0.11157789999999999</v>
      </c>
      <c r="Z5406">
        <v>-1.8514169999999999E-3</v>
      </c>
      <c r="AA5406">
        <v>0.99375400000000003</v>
      </c>
      <c r="AB5406">
        <v>33</v>
      </c>
      <c r="AC5406">
        <v>-53.866999999999997</v>
      </c>
      <c r="AD5406">
        <v>-1.1104262183419999</v>
      </c>
      <c r="AE5406">
        <v>-5.54410000000001</v>
      </c>
      <c r="AF5406">
        <v>-6.0778365981275098</v>
      </c>
      <c r="AG5406">
        <v>-1.1104262183419999</v>
      </c>
      <c r="AH5406">
        <v>53.7864862015537</v>
      </c>
      <c r="AI5406">
        <v>91.175230589395099</v>
      </c>
      <c r="AJ5406">
        <v>96.447036777281198</v>
      </c>
      <c r="AK5406">
        <v>54.1401813998609</v>
      </c>
      <c r="AL5406">
        <v>79.922913196294104</v>
      </c>
      <c r="AM5406">
        <v>95.391440393288804</v>
      </c>
      <c r="AN5406">
        <v>1.00000000739352</v>
      </c>
    </row>
    <row r="5407" spans="1:40" x14ac:dyDescent="0.25">
      <c r="A5407" t="str">
        <f>"20190304154905111"</f>
        <v>20190304154905111</v>
      </c>
      <c r="B5407" t="str">
        <f>"1551685745102332"</f>
        <v>1551685745102332</v>
      </c>
      <c r="C5407" t="s">
        <v>40</v>
      </c>
      <c r="D5407">
        <v>4.2306509999999999</v>
      </c>
      <c r="E5407">
        <v>0.49179919999999999</v>
      </c>
      <c r="F5407" t="s">
        <v>44</v>
      </c>
      <c r="G5407">
        <v>-389.1936</v>
      </c>
      <c r="H5407" s="1">
        <v>-1.1084499999999999E-6</v>
      </c>
      <c r="I5407">
        <v>136.42920000000001</v>
      </c>
      <c r="J5407">
        <v>-338.03969999999998</v>
      </c>
      <c r="K5407">
        <v>1.1104229999999999</v>
      </c>
      <c r="L5407">
        <v>141.71700000000001</v>
      </c>
      <c r="M5407">
        <v>-0.99988969999999999</v>
      </c>
      <c r="N5407">
        <v>-1.1037480000000001E-2</v>
      </c>
      <c r="O5407">
        <v>9.9477779999999991E-3</v>
      </c>
      <c r="P5407">
        <v>-0.98284850000000001</v>
      </c>
      <c r="Q5407">
        <v>0.1645683</v>
      </c>
      <c r="R5407">
        <v>-8.3226960000000003E-2</v>
      </c>
      <c r="S5407">
        <v>-3.0367130000000002</v>
      </c>
      <c r="T5407">
        <v>-6.5464259999999996E-2</v>
      </c>
      <c r="U5407">
        <v>-0.31152340000000001</v>
      </c>
      <c r="V5407">
        <v>-9.2998399999999995E-2</v>
      </c>
      <c r="W5407">
        <v>0.1753979</v>
      </c>
      <c r="X5407">
        <v>0.9800953</v>
      </c>
      <c r="Y5407">
        <v>-0.111902</v>
      </c>
      <c r="Z5407">
        <v>-1.9265689999999999E-3</v>
      </c>
      <c r="AA5407">
        <v>0.99371739999999997</v>
      </c>
      <c r="AB5407">
        <v>33</v>
      </c>
      <c r="AC5407">
        <v>-51.1539</v>
      </c>
      <c r="AD5407">
        <v>-1.1104241084499999</v>
      </c>
      <c r="AE5407">
        <v>-5.2877999999999998</v>
      </c>
      <c r="AF5407">
        <v>-5.7937356779088702</v>
      </c>
      <c r="AG5407">
        <v>-1.1104241084499999</v>
      </c>
      <c r="AH5407">
        <v>51.074950622892501</v>
      </c>
      <c r="AI5407">
        <v>91.237541157292696</v>
      </c>
      <c r="AJ5407">
        <v>96.471737120015405</v>
      </c>
      <c r="AK5407">
        <v>51.414501805784397</v>
      </c>
      <c r="AL5407">
        <v>79.898185352466498</v>
      </c>
      <c r="AM5407">
        <v>95.420401551829301</v>
      </c>
      <c r="AN5407">
        <v>0.99999996140452896</v>
      </c>
    </row>
    <row r="5408" spans="1:40" x14ac:dyDescent="0.25">
      <c r="A5408" t="str">
        <f>"20190304154905133"</f>
        <v>20190304154905133</v>
      </c>
      <c r="B5408" t="str">
        <f>"1551685745122828"</f>
        <v>1551685745122828</v>
      </c>
      <c r="C5408" t="s">
        <v>40</v>
      </c>
      <c r="D5408">
        <v>4.2142929999999996</v>
      </c>
      <c r="E5408">
        <v>0.4918477</v>
      </c>
      <c r="F5408" t="s">
        <v>44</v>
      </c>
      <c r="G5408">
        <v>-389.94510000000002</v>
      </c>
      <c r="H5408" s="1">
        <v>-8.7057159999999997E-7</v>
      </c>
      <c r="I5408">
        <v>136.3621</v>
      </c>
      <c r="J5408">
        <v>-338.36149999999998</v>
      </c>
      <c r="K5408">
        <v>1.1104290000000001</v>
      </c>
      <c r="L5408">
        <v>141.72020000000001</v>
      </c>
      <c r="M5408">
        <v>-0.99988980000000005</v>
      </c>
      <c r="N5408">
        <v>-1.1038259999999999E-2</v>
      </c>
      <c r="O5408">
        <v>9.9362099999999991E-3</v>
      </c>
      <c r="P5408">
        <v>-0.98277809999999999</v>
      </c>
      <c r="Q5408">
        <v>0.16474320000000001</v>
      </c>
      <c r="R5408">
        <v>-8.3708309999999994E-2</v>
      </c>
      <c r="S5408">
        <v>-3.0366819999999999</v>
      </c>
      <c r="T5408">
        <v>-6.4964530000000006E-2</v>
      </c>
      <c r="U5408">
        <v>-0.31327820000000001</v>
      </c>
      <c r="V5408">
        <v>-9.3467900000000007E-2</v>
      </c>
      <c r="W5408">
        <v>0.17557300000000001</v>
      </c>
      <c r="X5408">
        <v>0.98001930000000004</v>
      </c>
      <c r="Y5408">
        <v>-0.11246</v>
      </c>
      <c r="Z5408">
        <v>-1.9247069999999999E-3</v>
      </c>
      <c r="AA5408">
        <v>0.99365440000000005</v>
      </c>
      <c r="AB5408">
        <v>33</v>
      </c>
      <c r="AC5408">
        <v>-51.583599999999997</v>
      </c>
      <c r="AD5408">
        <v>-1.1104298705716</v>
      </c>
      <c r="AE5408">
        <v>-5.3581000000000003</v>
      </c>
      <c r="AF5408">
        <v>-5.8677220301152202</v>
      </c>
      <c r="AG5408">
        <v>-1.1104298705716</v>
      </c>
      <c r="AH5408">
        <v>51.504198359186702</v>
      </c>
      <c r="AI5408">
        <v>91.227169120807005</v>
      </c>
      <c r="AJ5408">
        <v>96.4995166409593</v>
      </c>
      <c r="AK5408">
        <v>51.849259058761902</v>
      </c>
      <c r="AL5408">
        <v>79.887994887756307</v>
      </c>
      <c r="AM5408">
        <v>95.448022015221994</v>
      </c>
      <c r="AN5408">
        <v>0.99999997751594905</v>
      </c>
    </row>
    <row r="5409" spans="1:40" x14ac:dyDescent="0.25">
      <c r="A5409" t="str">
        <f>"20190304154905154"</f>
        <v>20190304154905154</v>
      </c>
      <c r="B5409" t="str">
        <f>"1551685745142348"</f>
        <v>1551685745142348</v>
      </c>
      <c r="C5409" t="s">
        <v>40</v>
      </c>
      <c r="D5409">
        <v>4.2384440000000003</v>
      </c>
      <c r="E5409">
        <v>0.49188680000000001</v>
      </c>
      <c r="F5409" t="s">
        <v>44</v>
      </c>
      <c r="G5409">
        <v>-390.01299999999998</v>
      </c>
      <c r="H5409" s="1">
        <v>-4.8409760000000001E-6</v>
      </c>
      <c r="I5409">
        <v>136.37870000000001</v>
      </c>
      <c r="J5409">
        <v>-338.67630000000003</v>
      </c>
      <c r="K5409">
        <v>1.1104259999999999</v>
      </c>
      <c r="L5409">
        <v>141.72329999999999</v>
      </c>
      <c r="M5409">
        <v>-0.9998899</v>
      </c>
      <c r="N5409">
        <v>-1.1039190000000001E-2</v>
      </c>
      <c r="O5409">
        <v>9.9249390000000007E-3</v>
      </c>
      <c r="P5409">
        <v>-0.98271419999999998</v>
      </c>
      <c r="Q5409">
        <v>0.16492899999999999</v>
      </c>
      <c r="R5409">
        <v>-8.4093680000000004E-2</v>
      </c>
      <c r="S5409">
        <v>-3.0368040000000001</v>
      </c>
      <c r="T5409">
        <v>-6.5286990000000003E-2</v>
      </c>
      <c r="U5409">
        <v>-0.31404110000000002</v>
      </c>
      <c r="V5409">
        <v>-9.3841850000000004E-2</v>
      </c>
      <c r="W5409">
        <v>0.17575839999999901</v>
      </c>
      <c r="X5409">
        <v>0.9799504</v>
      </c>
      <c r="Y5409">
        <v>-0.11269129999999999</v>
      </c>
      <c r="Z5409">
        <v>-1.935333E-3</v>
      </c>
      <c r="AA5409">
        <v>0.99362810000000001</v>
      </c>
      <c r="AB5409">
        <v>33</v>
      </c>
      <c r="AC5409">
        <v>-51.3367</v>
      </c>
      <c r="AD5409">
        <v>-1.110430840976</v>
      </c>
      <c r="AE5409">
        <v>-5.3445999999999803</v>
      </c>
      <c r="AF5409">
        <v>-5.8511730997523497</v>
      </c>
      <c r="AG5409">
        <v>-1.110430840976</v>
      </c>
      <c r="AH5409">
        <v>51.257398365759499</v>
      </c>
      <c r="AI5409">
        <v>91.233045773610101</v>
      </c>
      <c r="AJ5409">
        <v>96.512281698543106</v>
      </c>
      <c r="AK5409">
        <v>51.602230286316299</v>
      </c>
      <c r="AL5409">
        <v>79.877205170506201</v>
      </c>
      <c r="AM5409">
        <v>95.470068986935004</v>
      </c>
      <c r="AN5409">
        <v>1.0000000472210699</v>
      </c>
    </row>
    <row r="5410" spans="1:40" x14ac:dyDescent="0.25">
      <c r="A5410" t="str">
        <f>"20190304154905177"</f>
        <v>20190304154905177</v>
      </c>
      <c r="B5410" t="str">
        <f>"1551685745172605"</f>
        <v>1551685745172605</v>
      </c>
      <c r="C5410" t="s">
        <v>40</v>
      </c>
      <c r="D5410">
        <v>4.2348509999999999</v>
      </c>
      <c r="E5410">
        <v>0.49189759999999999</v>
      </c>
      <c r="F5410" t="s">
        <v>44</v>
      </c>
      <c r="G5410">
        <v>-390.05220000000003</v>
      </c>
      <c r="H5410" s="1">
        <v>-4.819977E-6</v>
      </c>
      <c r="I5410">
        <v>136.40219999999999</v>
      </c>
      <c r="J5410">
        <v>-339.02010000000001</v>
      </c>
      <c r="K5410">
        <v>1.1104240000000001</v>
      </c>
      <c r="L5410">
        <v>141.72669999999999</v>
      </c>
      <c r="M5410">
        <v>-0.9998901</v>
      </c>
      <c r="N5410">
        <v>-1.10402E-2</v>
      </c>
      <c r="O5410">
        <v>9.9125359999999996E-3</v>
      </c>
      <c r="P5410">
        <v>-0.98297409999999996</v>
      </c>
      <c r="Q5410">
        <v>0.1632585</v>
      </c>
      <c r="R5410">
        <v>-8.4315119999999993E-2</v>
      </c>
      <c r="S5410">
        <v>-3.0368650000000001</v>
      </c>
      <c r="T5410">
        <v>-6.5638299999999997E-2</v>
      </c>
      <c r="U5410">
        <v>-0.31452940000000001</v>
      </c>
      <c r="V5410">
        <v>-9.4053300000000006E-2</v>
      </c>
      <c r="W5410">
        <v>0.1740922</v>
      </c>
      <c r="X5410">
        <v>0.98022750000000003</v>
      </c>
      <c r="Y5410">
        <v>-0.11283459999999999</v>
      </c>
      <c r="Z5410">
        <v>-1.9451959999999999E-3</v>
      </c>
      <c r="AA5410">
        <v>0.99361189999999999</v>
      </c>
      <c r="AB5410">
        <v>33</v>
      </c>
      <c r="AC5410">
        <v>-51.0321</v>
      </c>
      <c r="AD5410">
        <v>-1.110428819977</v>
      </c>
      <c r="AE5410">
        <v>-5.3244999999999996</v>
      </c>
      <c r="AF5410">
        <v>-5.8273972442278401</v>
      </c>
      <c r="AG5410">
        <v>-1.110428819977</v>
      </c>
      <c r="AH5410">
        <v>50.952944951152602</v>
      </c>
      <c r="AI5410">
        <v>91.240378767930906</v>
      </c>
      <c r="AJ5410">
        <v>96.524467575398404</v>
      </c>
      <c r="AK5410">
        <v>51.297116975532397</v>
      </c>
      <c r="AL5410">
        <v>79.974166254083599</v>
      </c>
      <c r="AM5410">
        <v>95.480779104021394</v>
      </c>
      <c r="AN5410">
        <v>1.0000000345489799</v>
      </c>
    </row>
    <row r="5411" spans="1:40" x14ac:dyDescent="0.25">
      <c r="A5411" t="str">
        <f>"20190304154905200"</f>
        <v>20190304154905200</v>
      </c>
      <c r="B5411" t="str">
        <f>"1551685745192590"</f>
        <v>1551685745192590</v>
      </c>
      <c r="C5411" t="s">
        <v>40</v>
      </c>
      <c r="D5411">
        <v>4.2320080000000004</v>
      </c>
      <c r="E5411">
        <v>0.49191669999999998</v>
      </c>
      <c r="F5411" t="s">
        <v>44</v>
      </c>
      <c r="G5411">
        <v>-386.18880000000001</v>
      </c>
      <c r="H5411" s="1">
        <v>-2.1099899999999999E-6</v>
      </c>
      <c r="I5411">
        <v>136.83879999999999</v>
      </c>
      <c r="J5411">
        <v>-339.3648</v>
      </c>
      <c r="K5411">
        <v>1.1104149999999999</v>
      </c>
      <c r="L5411">
        <v>141.73009999999999</v>
      </c>
      <c r="M5411">
        <v>-0.99988999999999995</v>
      </c>
      <c r="N5411">
        <v>-1.104158E-2</v>
      </c>
      <c r="O5411">
        <v>9.8997749999999995E-3</v>
      </c>
      <c r="P5411">
        <v>-0.98313600000000001</v>
      </c>
      <c r="Q5411">
        <v>0.1622865</v>
      </c>
      <c r="R5411">
        <v>-8.4300639999999996E-2</v>
      </c>
      <c r="S5411">
        <v>-3.036896</v>
      </c>
      <c r="T5411">
        <v>-7.1493509999999996E-2</v>
      </c>
      <c r="U5411">
        <v>-0.31469730000000001</v>
      </c>
      <c r="V5411">
        <v>-9.4028009999999995E-2</v>
      </c>
      <c r="W5411">
        <v>0.1731239</v>
      </c>
      <c r="X5411">
        <v>0.98040139999999998</v>
      </c>
      <c r="Y5411">
        <v>-0.112869</v>
      </c>
      <c r="Z5411">
        <v>-2.0731949999999999E-3</v>
      </c>
      <c r="AA5411">
        <v>0.99360769999999998</v>
      </c>
      <c r="AB5411">
        <v>33</v>
      </c>
      <c r="AC5411">
        <v>-46.823999999999998</v>
      </c>
      <c r="AD5411">
        <v>-1.11041710999</v>
      </c>
      <c r="AE5411">
        <v>-4.8913000000000002</v>
      </c>
      <c r="AF5411">
        <v>-5.3516584019257998</v>
      </c>
      <c r="AG5411">
        <v>-1.11041710999</v>
      </c>
      <c r="AH5411">
        <v>46.747273161707703</v>
      </c>
      <c r="AI5411">
        <v>91.351899738901196</v>
      </c>
      <c r="AJ5411">
        <v>96.530826726243802</v>
      </c>
      <c r="AK5411">
        <v>47.065707493507098</v>
      </c>
      <c r="AL5411">
        <v>80.030501150671896</v>
      </c>
      <c r="AM5411">
        <v>95.478348359560698</v>
      </c>
      <c r="AN5411">
        <v>1.0000000282688599</v>
      </c>
    </row>
    <row r="5412" spans="1:40" x14ac:dyDescent="0.25">
      <c r="A5412" t="str">
        <f>"20190304154905222"</f>
        <v>20190304154905222</v>
      </c>
      <c r="B5412" t="str">
        <f>"1551685745212110"</f>
        <v>1551685745212110</v>
      </c>
      <c r="C5412" t="s">
        <v>40</v>
      </c>
      <c r="D5412">
        <v>4.2237010000000001</v>
      </c>
      <c r="E5412">
        <v>0.49191760000000001</v>
      </c>
      <c r="F5412" t="s">
        <v>44</v>
      </c>
      <c r="G5412">
        <v>-384.53109999999998</v>
      </c>
      <c r="H5412" s="1">
        <v>-2.7827500000000002E-6</v>
      </c>
      <c r="I5412">
        <v>137.05500000000001</v>
      </c>
      <c r="J5412">
        <v>-339.6936</v>
      </c>
      <c r="K5412">
        <v>1.110401</v>
      </c>
      <c r="L5412">
        <v>141.73330000000001</v>
      </c>
      <c r="M5412">
        <v>-0.9998901</v>
      </c>
      <c r="N5412">
        <v>-1.104318E-2</v>
      </c>
      <c r="O5412">
        <v>9.8877280000000001E-3</v>
      </c>
      <c r="P5412">
        <v>-0.98365809999999998</v>
      </c>
      <c r="Q5412">
        <v>0.15942729999999999</v>
      </c>
      <c r="R5412">
        <v>-8.3664569999999994E-2</v>
      </c>
      <c r="S5412">
        <v>-3.036835</v>
      </c>
      <c r="T5412">
        <v>-7.4661019999999995E-2</v>
      </c>
      <c r="U5412">
        <v>-0.31433109999999997</v>
      </c>
      <c r="V5412">
        <v>-9.3385090000000004E-2</v>
      </c>
      <c r="W5412">
        <v>0.17027200000000001</v>
      </c>
      <c r="X5412">
        <v>0.98096209999999995</v>
      </c>
      <c r="Y5412">
        <v>-0.112737</v>
      </c>
      <c r="Z5412">
        <v>-2.13978E-3</v>
      </c>
      <c r="AA5412">
        <v>0.99362249999999996</v>
      </c>
      <c r="AB5412">
        <v>33</v>
      </c>
      <c r="AC5412">
        <v>-44.837499999999899</v>
      </c>
      <c r="AD5412">
        <v>-1.11040378275</v>
      </c>
      <c r="AE5412">
        <v>-4.6783000000000001</v>
      </c>
      <c r="AF5412">
        <v>-5.1183340173932699</v>
      </c>
      <c r="AG5412">
        <v>-1.11040378275</v>
      </c>
      <c r="AH5412">
        <v>44.761890077179899</v>
      </c>
      <c r="AI5412">
        <v>91.4118431301372</v>
      </c>
      <c r="AJ5412">
        <v>96.523199858092198</v>
      </c>
      <c r="AK5412">
        <v>45.0672513357082</v>
      </c>
      <c r="AL5412">
        <v>80.196365772212005</v>
      </c>
      <c r="AM5412">
        <v>95.438024127581301</v>
      </c>
      <c r="AN5412">
        <v>0.99999998532735801</v>
      </c>
    </row>
    <row r="5413" spans="1:40" x14ac:dyDescent="0.25">
      <c r="A5413" t="str">
        <f>"20190304154905244"</f>
        <v>20190304154905244</v>
      </c>
      <c r="B5413" t="str">
        <f>"1551685745232608"</f>
        <v>1551685745232608</v>
      </c>
      <c r="C5413" t="s">
        <v>40</v>
      </c>
      <c r="D5413">
        <v>4.256494</v>
      </c>
      <c r="E5413">
        <v>0.49187829999999999</v>
      </c>
      <c r="F5413" t="s">
        <v>44</v>
      </c>
      <c r="G5413">
        <v>-380.01429999999999</v>
      </c>
      <c r="H5413" s="1">
        <v>-4.6249950000000003E-6</v>
      </c>
      <c r="I5413">
        <v>137.5933</v>
      </c>
      <c r="J5413">
        <v>-340.01350000000002</v>
      </c>
      <c r="K5413">
        <v>1.1103879999999999</v>
      </c>
      <c r="L5413">
        <v>141.73650000000001</v>
      </c>
      <c r="M5413">
        <v>-0.99989030000000001</v>
      </c>
      <c r="N5413">
        <v>-1.104485E-2</v>
      </c>
      <c r="O5413">
        <v>9.8756199999999999E-3</v>
      </c>
      <c r="P5413">
        <v>-0.98400690000000002</v>
      </c>
      <c r="Q5413">
        <v>0.15724879999999999</v>
      </c>
      <c r="R5413">
        <v>-8.3686440000000001E-2</v>
      </c>
      <c r="S5413">
        <v>-3.0368650000000001</v>
      </c>
      <c r="T5413">
        <v>-8.3633540000000006E-2</v>
      </c>
      <c r="U5413">
        <v>-0.31181340000000002</v>
      </c>
      <c r="V5413">
        <v>-9.3398910000000002E-2</v>
      </c>
      <c r="W5413">
        <v>0.1680989</v>
      </c>
      <c r="X5413">
        <v>0.98133550000000003</v>
      </c>
      <c r="Y5413">
        <v>-0.1118984</v>
      </c>
      <c r="Z5413">
        <v>-2.3187009999999998E-3</v>
      </c>
      <c r="AA5413">
        <v>0.99371699999999996</v>
      </c>
      <c r="AB5413">
        <v>33</v>
      </c>
      <c r="AC5413">
        <v>-40.000799999999899</v>
      </c>
      <c r="AD5413">
        <v>-1.110392624995</v>
      </c>
      <c r="AE5413">
        <v>-4.1432000000000002</v>
      </c>
      <c r="AF5413">
        <v>-4.5345975390889102</v>
      </c>
      <c r="AG5413">
        <v>-1.110392624995</v>
      </c>
      <c r="AH5413">
        <v>39.927489348244102</v>
      </c>
      <c r="AI5413">
        <v>91.582828169745696</v>
      </c>
      <c r="AJ5413">
        <v>96.479365931437897</v>
      </c>
      <c r="AK5413">
        <v>40.199501890910298</v>
      </c>
      <c r="AL5413">
        <v>80.3226963614688</v>
      </c>
      <c r="AM5413">
        <v>95.436766991590801</v>
      </c>
      <c r="AN5413">
        <v>0.99999998006532298</v>
      </c>
    </row>
    <row r="5414" spans="1:40" x14ac:dyDescent="0.25">
      <c r="A5414" t="str">
        <f>"20190304154905265"</f>
        <v>20190304154905265</v>
      </c>
      <c r="B5414" t="str">
        <f>"1551685745262862"</f>
        <v>1551685745262862</v>
      </c>
      <c r="C5414" t="s">
        <v>40</v>
      </c>
      <c r="D5414">
        <v>4.2458359999999997</v>
      </c>
      <c r="E5414">
        <v>0.49191400000000002</v>
      </c>
      <c r="F5414" t="s">
        <v>44</v>
      </c>
      <c r="G5414">
        <v>-377.33359999999999</v>
      </c>
      <c r="H5414" s="1">
        <v>-1.430656E-6</v>
      </c>
      <c r="I5414">
        <v>137.8999</v>
      </c>
      <c r="J5414">
        <v>-340.33420000000001</v>
      </c>
      <c r="K5414">
        <v>1.110368</v>
      </c>
      <c r="L5414">
        <v>141.7396</v>
      </c>
      <c r="M5414">
        <v>-0.99989039999999996</v>
      </c>
      <c r="N5414">
        <v>-1.104661E-2</v>
      </c>
      <c r="O5414">
        <v>9.8638660000000006E-3</v>
      </c>
      <c r="P5414">
        <v>-0.98432839999999999</v>
      </c>
      <c r="Q5414">
        <v>0.15497130000000001</v>
      </c>
      <c r="R5414">
        <v>-8.4154259999999995E-2</v>
      </c>
      <c r="S5414">
        <v>-3.0366209999999998</v>
      </c>
      <c r="T5414">
        <v>-9.0349079999999998E-2</v>
      </c>
      <c r="U5414">
        <v>-0.31216430000000001</v>
      </c>
      <c r="V5414">
        <v>-9.3858059999999993E-2</v>
      </c>
      <c r="W5414">
        <v>0.16582669999999999</v>
      </c>
      <c r="X5414">
        <v>0.98167819999999995</v>
      </c>
      <c r="Y5414">
        <v>-0.1119996</v>
      </c>
      <c r="Z5414">
        <v>-2.4658940000000002E-3</v>
      </c>
      <c r="AA5414">
        <v>0.99370519999999996</v>
      </c>
      <c r="AB5414">
        <v>33</v>
      </c>
      <c r="AC5414">
        <v>-36.999399999999902</v>
      </c>
      <c r="AD5414">
        <v>-1.1103694306559999</v>
      </c>
      <c r="AE5414">
        <v>-3.8396999999999899</v>
      </c>
      <c r="AF5414">
        <v>-4.2007495445464604</v>
      </c>
      <c r="AG5414">
        <v>-1.1103694306559999</v>
      </c>
      <c r="AH5414">
        <v>36.9268202120466</v>
      </c>
      <c r="AI5414">
        <v>91.711303189804894</v>
      </c>
      <c r="AJ5414">
        <v>96.489997397749207</v>
      </c>
      <c r="AK5414">
        <v>37.181571617958198</v>
      </c>
      <c r="AL5414">
        <v>80.454737096498604</v>
      </c>
      <c r="AM5414">
        <v>95.461437179147794</v>
      </c>
      <c r="AN5414">
        <v>0.99999995910754502</v>
      </c>
    </row>
    <row r="5415" spans="1:40" x14ac:dyDescent="0.25">
      <c r="A5415" t="str">
        <f>"20190304154905288"</f>
        <v>20190304154905288</v>
      </c>
      <c r="B5415" t="str">
        <f>"1551685745282382"</f>
        <v>1551685745282382</v>
      </c>
      <c r="C5415" t="s">
        <v>40</v>
      </c>
      <c r="D5415">
        <v>4.2643060000000004</v>
      </c>
      <c r="E5415">
        <v>0.49195240000000001</v>
      </c>
      <c r="F5415" t="s">
        <v>44</v>
      </c>
      <c r="G5415">
        <v>-374.99020000000002</v>
      </c>
      <c r="H5415" s="1">
        <v>-2.3871730000000001E-6</v>
      </c>
      <c r="I5415">
        <v>138.1748</v>
      </c>
      <c r="J5415">
        <v>-340.67700000000002</v>
      </c>
      <c r="K5415">
        <v>1.1103459999999901</v>
      </c>
      <c r="L5415">
        <v>141.74299999999999</v>
      </c>
      <c r="M5415">
        <v>-0.99989039999999996</v>
      </c>
      <c r="N5415">
        <v>-1.104843E-2</v>
      </c>
      <c r="O5415">
        <v>9.8516360000000004E-3</v>
      </c>
      <c r="P5415">
        <v>-0.98484919999999998</v>
      </c>
      <c r="Q5415">
        <v>0.15104779999999901</v>
      </c>
      <c r="R5415">
        <v>-8.5186220000000007E-2</v>
      </c>
      <c r="S5415">
        <v>-3.036346</v>
      </c>
      <c r="T5415">
        <v>-9.7283839999999996E-2</v>
      </c>
      <c r="U5415">
        <v>-0.31231690000000001</v>
      </c>
      <c r="V5415">
        <v>-9.4882980000000006E-2</v>
      </c>
      <c r="W5415">
        <v>0.16191120000000001</v>
      </c>
      <c r="X5415">
        <v>0.98223320000000003</v>
      </c>
      <c r="Y5415">
        <v>-0.11203630000000001</v>
      </c>
      <c r="Z5415">
        <v>-2.6166399999999999E-3</v>
      </c>
      <c r="AA5415">
        <v>0.99370069999999999</v>
      </c>
      <c r="AB5415">
        <v>33</v>
      </c>
      <c r="AC5415">
        <v>-34.313200000000002</v>
      </c>
      <c r="AD5415">
        <v>-1.11034838717299</v>
      </c>
      <c r="AE5415">
        <v>-3.5681999999999898</v>
      </c>
      <c r="AF5415">
        <v>-3.9020464244683599</v>
      </c>
      <c r="AG5415">
        <v>-1.11034838717299</v>
      </c>
      <c r="AH5415">
        <v>34.240909133347301</v>
      </c>
      <c r="AI5415">
        <v>91.8453746949898</v>
      </c>
      <c r="AJ5415">
        <v>96.501301031967401</v>
      </c>
      <c r="AK5415">
        <v>34.480410353094001</v>
      </c>
      <c r="AL5415">
        <v>80.682153813149498</v>
      </c>
      <c r="AM5415">
        <v>95.517608856357498</v>
      </c>
      <c r="AN5415">
        <v>1.0000000378806699</v>
      </c>
    </row>
    <row r="5416" spans="1:40" x14ac:dyDescent="0.25">
      <c r="A5416" t="str">
        <f>"20190304154905311"</f>
        <v>20190304154905311</v>
      </c>
      <c r="B5416" t="str">
        <f>"1551685745302879"</f>
        <v>1551685745302879</v>
      </c>
      <c r="C5416" t="s">
        <v>40</v>
      </c>
      <c r="D5416">
        <v>4.2463240000000004</v>
      </c>
      <c r="E5416">
        <v>0.49194399999999999</v>
      </c>
      <c r="F5416" t="s">
        <v>44</v>
      </c>
      <c r="G5416">
        <v>-371.52229999999997</v>
      </c>
      <c r="H5416" s="1">
        <v>-3.8089410000000001E-6</v>
      </c>
      <c r="I5416">
        <v>138.54650000000001</v>
      </c>
      <c r="J5416">
        <v>-341.02659999999997</v>
      </c>
      <c r="K5416">
        <v>1.1103190000000001</v>
      </c>
      <c r="L5416">
        <v>141.74639999999999</v>
      </c>
      <c r="M5416">
        <v>-0.99989059999999996</v>
      </c>
      <c r="N5416">
        <v>-1.105045E-2</v>
      </c>
      <c r="O5416">
        <v>9.8390479999999995E-3</v>
      </c>
      <c r="P5416">
        <v>-0.98566880000000001</v>
      </c>
      <c r="Q5416">
        <v>0.14497079999999901</v>
      </c>
      <c r="R5416">
        <v>-8.6259520000000006E-2</v>
      </c>
      <c r="S5416">
        <v>-3.0357059999999998</v>
      </c>
      <c r="T5416">
        <v>-0.1092775</v>
      </c>
      <c r="U5416">
        <v>-0.3145752</v>
      </c>
      <c r="V5416">
        <v>-9.5952419999999997E-2</v>
      </c>
      <c r="W5416">
        <v>0.15584519999999999</v>
      </c>
      <c r="X5416">
        <v>0.98311009999999999</v>
      </c>
      <c r="Y5416">
        <v>-0.1127577</v>
      </c>
      <c r="Z5416">
        <v>-2.893138E-3</v>
      </c>
      <c r="AA5416">
        <v>0.99361829999999995</v>
      </c>
      <c r="AB5416">
        <v>33</v>
      </c>
      <c r="AC5416">
        <v>-30.495699999999999</v>
      </c>
      <c r="AD5416">
        <v>-1.110322808941</v>
      </c>
      <c r="AE5416">
        <v>-3.19989999999998</v>
      </c>
      <c r="AF5416">
        <v>-3.4952291381513398</v>
      </c>
      <c r="AG5416">
        <v>-1.110322808941</v>
      </c>
      <c r="AH5416">
        <v>30.422847651068899</v>
      </c>
      <c r="AI5416">
        <v>92.076511699049703</v>
      </c>
      <c r="AJ5416">
        <v>96.553879712595801</v>
      </c>
      <c r="AK5416">
        <v>30.643092250430399</v>
      </c>
      <c r="AL5416">
        <v>81.034181919689303</v>
      </c>
      <c r="AM5416">
        <v>95.574463117239105</v>
      </c>
      <c r="AN5416">
        <v>1.0000000309944499</v>
      </c>
    </row>
    <row r="5417" spans="1:40" x14ac:dyDescent="0.25">
      <c r="A5417" t="str">
        <f>"20190304154905334"</f>
        <v>20190304154905334</v>
      </c>
      <c r="B5417" t="str">
        <f>"1551685745322398"</f>
        <v>1551685745322398</v>
      </c>
      <c r="C5417" t="s">
        <v>40</v>
      </c>
      <c r="D5417">
        <v>4.2631709999999998</v>
      </c>
      <c r="E5417">
        <v>0.49191000000000001</v>
      </c>
      <c r="F5417" t="s">
        <v>44</v>
      </c>
      <c r="G5417">
        <v>-367.3623</v>
      </c>
      <c r="H5417" s="1">
        <v>-1.224949E-6</v>
      </c>
      <c r="I5417">
        <v>138.99</v>
      </c>
      <c r="J5417">
        <v>-341.35129999999998</v>
      </c>
      <c r="K5417">
        <v>1.1103069999999999</v>
      </c>
      <c r="L5417">
        <v>141.74959999999999</v>
      </c>
      <c r="M5417">
        <v>-0.99989070000000002</v>
      </c>
      <c r="N5417">
        <v>-1.105241E-2</v>
      </c>
      <c r="O5417">
        <v>9.8275910000000001E-3</v>
      </c>
      <c r="P5417">
        <v>-0.98619829999999997</v>
      </c>
      <c r="Q5417">
        <v>0.14041819999999999</v>
      </c>
      <c r="R5417">
        <v>-8.7726559999999995E-2</v>
      </c>
      <c r="S5417">
        <v>-3.034637</v>
      </c>
      <c r="T5417">
        <v>-0.1279411</v>
      </c>
      <c r="U5417">
        <v>-0.3176117</v>
      </c>
      <c r="V5417">
        <v>-9.7412810000000002E-2</v>
      </c>
      <c r="W5417">
        <v>0.15130060000000001</v>
      </c>
      <c r="X5417">
        <v>0.9836762</v>
      </c>
      <c r="Y5417">
        <v>-0.11373220000000001</v>
      </c>
      <c r="Z5417">
        <v>-3.3252889999999999E-3</v>
      </c>
      <c r="AA5417">
        <v>0.99350590000000005</v>
      </c>
      <c r="AB5417">
        <v>33</v>
      </c>
      <c r="AC5417">
        <v>-26.010999999999999</v>
      </c>
      <c r="AD5417">
        <v>-1.1103082249489999</v>
      </c>
      <c r="AE5417">
        <v>-2.7595999999999701</v>
      </c>
      <c r="AF5417">
        <v>-3.00968486475562</v>
      </c>
      <c r="AG5417">
        <v>-1.1103082249489999</v>
      </c>
      <c r="AH5417">
        <v>25.935889984113199</v>
      </c>
      <c r="AI5417">
        <v>92.434999399588705</v>
      </c>
      <c r="AJ5417">
        <v>96.6191828070762</v>
      </c>
      <c r="AK5417">
        <v>26.133529738777199</v>
      </c>
      <c r="AL5417">
        <v>81.297694222582393</v>
      </c>
      <c r="AM5417">
        <v>95.655524077977802</v>
      </c>
      <c r="AN5417">
        <v>0.99999999677944795</v>
      </c>
    </row>
    <row r="5418" spans="1:40" x14ac:dyDescent="0.25">
      <c r="A5418" t="str">
        <f>"20190304154905354"</f>
        <v>20190304154905354</v>
      </c>
      <c r="B5418" t="str">
        <f>"1551685745342896"</f>
        <v>1551685745342896</v>
      </c>
      <c r="C5418" t="s">
        <v>40</v>
      </c>
      <c r="D5418">
        <v>4.2687439999999999</v>
      </c>
      <c r="E5418">
        <v>0.4919057</v>
      </c>
      <c r="F5418" t="s">
        <v>44</v>
      </c>
      <c r="G5418">
        <v>-365.13459999999998</v>
      </c>
      <c r="H5418" s="1">
        <v>-2.1380460000000001E-6</v>
      </c>
      <c r="I5418">
        <v>139.22999999999999</v>
      </c>
      <c r="J5418">
        <v>-341.66860000000003</v>
      </c>
      <c r="K5418">
        <v>1.110322</v>
      </c>
      <c r="L5418">
        <v>141.7527</v>
      </c>
      <c r="M5418">
        <v>-0.99989070000000002</v>
      </c>
      <c r="N5418">
        <v>-1.105417E-2</v>
      </c>
      <c r="O5418">
        <v>9.8160190000000005E-3</v>
      </c>
      <c r="P5418">
        <v>-0.98543860000000005</v>
      </c>
      <c r="Q5418">
        <v>0.14514540000000001</v>
      </c>
      <c r="R5418">
        <v>-8.8565660000000004E-2</v>
      </c>
      <c r="S5418">
        <v>-3.033569</v>
      </c>
      <c r="T5418">
        <v>-0.14162040000000001</v>
      </c>
      <c r="U5418">
        <v>-0.32136540000000002</v>
      </c>
      <c r="V5418">
        <v>-9.8232840000000002E-2</v>
      </c>
      <c r="W5418">
        <v>0.15602079999999999</v>
      </c>
      <c r="X5418">
        <v>0.98285699999999998</v>
      </c>
      <c r="Y5418">
        <v>-0.1149442</v>
      </c>
      <c r="Z5418">
        <v>-3.660277E-3</v>
      </c>
      <c r="AA5418">
        <v>0.99336519999999995</v>
      </c>
      <c r="AB5418">
        <v>33</v>
      </c>
      <c r="AC5418">
        <v>-23.465999999999902</v>
      </c>
      <c r="AD5418">
        <v>-1.1103241380460001</v>
      </c>
      <c r="AE5418">
        <v>-2.5227000000000102</v>
      </c>
      <c r="AF5418">
        <v>-2.7468557412300099</v>
      </c>
      <c r="AG5418">
        <v>-1.1103241380460001</v>
      </c>
      <c r="AH5418">
        <v>23.3883406204619</v>
      </c>
      <c r="AI5418">
        <v>92.699459100706704</v>
      </c>
      <c r="AJ5418">
        <v>96.698446655085405</v>
      </c>
      <c r="AK5418">
        <v>23.575252132976299</v>
      </c>
      <c r="AL5418">
        <v>81.023996191583393</v>
      </c>
      <c r="AM5418">
        <v>95.707542150237103</v>
      </c>
      <c r="AN5418">
        <v>1.00000003166805</v>
      </c>
    </row>
    <row r="5419" spans="1:40" x14ac:dyDescent="0.25">
      <c r="A5419" t="str">
        <f>"20190304154905377"</f>
        <v>20190304154905377</v>
      </c>
      <c r="B5419" t="str">
        <f>"1551685745372174"</f>
        <v>1551685745372174</v>
      </c>
      <c r="C5419" t="s">
        <v>40</v>
      </c>
      <c r="D5419">
        <v>4.2841500000000003</v>
      </c>
      <c r="E5419">
        <v>0.49184230000000001</v>
      </c>
      <c r="F5419" t="s">
        <v>44</v>
      </c>
      <c r="G5419">
        <v>-368.39699999999999</v>
      </c>
      <c r="H5419" s="1">
        <v>-7.9796729999999999E-7</v>
      </c>
      <c r="I5419">
        <v>138.8948</v>
      </c>
      <c r="J5419">
        <v>-342.00479999999999</v>
      </c>
      <c r="K5419">
        <v>1.1103369999999999</v>
      </c>
      <c r="L5419">
        <v>141.756</v>
      </c>
      <c r="M5419">
        <v>-0.99989079999999997</v>
      </c>
      <c r="N5419">
        <v>-1.1056150000000001E-2</v>
      </c>
      <c r="O5419">
        <v>9.8037290000000006E-3</v>
      </c>
      <c r="P5419">
        <v>-0.98472519999999997</v>
      </c>
      <c r="Q5419">
        <v>0.14958750000000001</v>
      </c>
      <c r="R5419">
        <v>-8.9105680000000007E-2</v>
      </c>
      <c r="S5419">
        <v>-3.033722</v>
      </c>
      <c r="T5419">
        <v>-0.1260241</v>
      </c>
      <c r="U5419">
        <v>-0.32437129999999997</v>
      </c>
      <c r="V5419">
        <v>-9.8754560000000005E-2</v>
      </c>
      <c r="W5419">
        <v>0.1604565</v>
      </c>
      <c r="X5419">
        <v>0.98209020000000002</v>
      </c>
      <c r="Y5419">
        <v>-0.11592959999999999</v>
      </c>
      <c r="Z5419">
        <v>-3.3410419999999998E-3</v>
      </c>
      <c r="AA5419">
        <v>0.99325180000000002</v>
      </c>
      <c r="AB5419">
        <v>33</v>
      </c>
      <c r="AC5419">
        <v>-26.392199999999999</v>
      </c>
      <c r="AD5419">
        <v>-1.1103377979672999</v>
      </c>
      <c r="AE5419">
        <v>-2.86119999999999</v>
      </c>
      <c r="AF5419">
        <v>-3.1143720515267401</v>
      </c>
      <c r="AG5419">
        <v>-1.1103377979672999</v>
      </c>
      <c r="AH5419">
        <v>26.316841149173101</v>
      </c>
      <c r="AI5419">
        <v>92.3992200014427</v>
      </c>
      <c r="AJ5419">
        <v>96.749073835058496</v>
      </c>
      <c r="AK5419">
        <v>26.523730721219</v>
      </c>
      <c r="AL5419">
        <v>80.766605494511495</v>
      </c>
      <c r="AM5419">
        <v>95.742103438501701</v>
      </c>
      <c r="AN5419">
        <v>0.99999995622453997</v>
      </c>
    </row>
    <row r="5420" spans="1:40" x14ac:dyDescent="0.25">
      <c r="A5420" t="str">
        <f>"20190304154905400"</f>
        <v>20190304154905400</v>
      </c>
      <c r="B5420" t="str">
        <f>"1551685745392671"</f>
        <v>1551685745392671</v>
      </c>
      <c r="C5420" t="s">
        <v>40</v>
      </c>
      <c r="D5420">
        <v>4.2749119999999996</v>
      </c>
      <c r="E5420">
        <v>0.49178359999999899</v>
      </c>
      <c r="F5420" t="s">
        <v>44</v>
      </c>
      <c r="G5420">
        <v>-372.43079999999998</v>
      </c>
      <c r="H5420" s="1">
        <v>-3.4326610000000002E-6</v>
      </c>
      <c r="I5420">
        <v>138.47069999999999</v>
      </c>
      <c r="J5420">
        <v>-342.34879999999998</v>
      </c>
      <c r="K5420">
        <v>1.110347</v>
      </c>
      <c r="L5420">
        <v>141.7594</v>
      </c>
      <c r="M5420">
        <v>-0.99989099999999997</v>
      </c>
      <c r="N5420">
        <v>-1.105824E-2</v>
      </c>
      <c r="O5420">
        <v>9.7911430000000004E-3</v>
      </c>
      <c r="P5420">
        <v>-0.98458990000000002</v>
      </c>
      <c r="Q5420">
        <v>0.15013000000000001</v>
      </c>
      <c r="R5420">
        <v>-8.968814E-2</v>
      </c>
      <c r="S5420">
        <v>-3.0336910000000001</v>
      </c>
      <c r="T5420">
        <v>-0.110709</v>
      </c>
      <c r="U5420">
        <v>-0.32756039999999997</v>
      </c>
      <c r="V5420">
        <v>-9.9322579999999994E-2</v>
      </c>
      <c r="W5420">
        <v>0.16099959999999999</v>
      </c>
      <c r="X5420">
        <v>0.98194409999999999</v>
      </c>
      <c r="Y5420">
        <v>-0.1169766</v>
      </c>
      <c r="Z5420">
        <v>-3.02476E-3</v>
      </c>
      <c r="AA5420">
        <v>0.99313010000000002</v>
      </c>
      <c r="AB5420">
        <v>33</v>
      </c>
      <c r="AC5420">
        <v>-30.081999999999901</v>
      </c>
      <c r="AD5420">
        <v>-1.1103504326610001</v>
      </c>
      <c r="AE5420">
        <v>-3.2887</v>
      </c>
      <c r="AF5420">
        <v>-3.5782799948830601</v>
      </c>
      <c r="AG5420">
        <v>-1.1103504326610001</v>
      </c>
      <c r="AH5420">
        <v>30.007955585258099</v>
      </c>
      <c r="AI5420">
        <v>92.104190529363905</v>
      </c>
      <c r="AJ5420">
        <v>96.800090229182402</v>
      </c>
      <c r="AK5420">
        <v>30.240938547140299</v>
      </c>
      <c r="AL5420">
        <v>80.735078957900598</v>
      </c>
      <c r="AM5420">
        <v>95.7757618968689</v>
      </c>
      <c r="AN5420">
        <v>1.0000000308114101</v>
      </c>
    </row>
    <row r="5421" spans="1:40" x14ac:dyDescent="0.25">
      <c r="A5421" t="str">
        <f>"20190304154905421"</f>
        <v>20190304154905421</v>
      </c>
      <c r="B5421" t="str">
        <f>"1551685745412191"</f>
        <v>1551685745412191</v>
      </c>
      <c r="C5421" t="s">
        <v>40</v>
      </c>
      <c r="D5421">
        <v>4.3067529999999996</v>
      </c>
      <c r="E5421">
        <v>0.49174220000000002</v>
      </c>
      <c r="F5421" t="s">
        <v>44</v>
      </c>
      <c r="G5421">
        <v>-373.52179999999998</v>
      </c>
      <c r="H5421" s="1">
        <v>-2.9818450000000002E-6</v>
      </c>
      <c r="I5421">
        <v>138.37360000000001</v>
      </c>
      <c r="J5421">
        <v>-342.6823</v>
      </c>
      <c r="K5421">
        <v>1.1103510000000001</v>
      </c>
      <c r="L5421">
        <v>141.76259999999999</v>
      </c>
      <c r="M5421">
        <v>-0.99989110000000003</v>
      </c>
      <c r="N5421">
        <v>-1.106029E-2</v>
      </c>
      <c r="O5421">
        <v>9.7785579999999997E-3</v>
      </c>
      <c r="P5421">
        <v>-0.98448970000000002</v>
      </c>
      <c r="Q5421">
        <v>0.1502039</v>
      </c>
      <c r="R5421">
        <v>-9.0661080000000005E-2</v>
      </c>
      <c r="S5421">
        <v>-3.033417</v>
      </c>
      <c r="T5421">
        <v>-0.10804709999999999</v>
      </c>
      <c r="U5421">
        <v>-0.32945249999999998</v>
      </c>
      <c r="V5421">
        <v>-0.1002821</v>
      </c>
      <c r="W5421">
        <v>0.16107449999999901</v>
      </c>
      <c r="X5421">
        <v>0.98183419999999999</v>
      </c>
      <c r="Y5421">
        <v>-0.117589899999999</v>
      </c>
      <c r="Z5421">
        <v>-2.9793129999999999E-3</v>
      </c>
      <c r="AA5421">
        <v>0.99305779999999999</v>
      </c>
      <c r="AB5421">
        <v>33</v>
      </c>
      <c r="AC5421">
        <v>-30.839499999999902</v>
      </c>
      <c r="AD5421">
        <v>-1.1103539818449999</v>
      </c>
      <c r="AE5421">
        <v>-3.3889999999999798</v>
      </c>
      <c r="AF5421">
        <v>-3.6857014141195901</v>
      </c>
      <c r="AG5421">
        <v>-1.1103539818449999</v>
      </c>
      <c r="AH5421">
        <v>30.765478116216102</v>
      </c>
      <c r="AI5421">
        <v>92.052297313945104</v>
      </c>
      <c r="AJ5421">
        <v>96.831471400359206</v>
      </c>
      <c r="AK5421">
        <v>31.0053531603563</v>
      </c>
      <c r="AL5421">
        <v>80.7307299524944</v>
      </c>
      <c r="AM5421">
        <v>95.831824999791493</v>
      </c>
      <c r="AN5421">
        <v>0.99999994521014801</v>
      </c>
    </row>
    <row r="5422" spans="1:40" x14ac:dyDescent="0.25">
      <c r="A5422" t="str">
        <f>"20190304154905445"</f>
        <v>20190304154905445</v>
      </c>
      <c r="B5422" t="str">
        <f>"1551685745432689"</f>
        <v>1551685745432689</v>
      </c>
      <c r="C5422" t="s">
        <v>40</v>
      </c>
      <c r="D5422">
        <v>4.3047469999999999</v>
      </c>
      <c r="E5422">
        <v>0.49174069999999998</v>
      </c>
      <c r="F5422" t="s">
        <v>44</v>
      </c>
      <c r="G5422">
        <v>-374.17059999999998</v>
      </c>
      <c r="H5422" s="1">
        <v>-2.7143509999999999E-6</v>
      </c>
      <c r="I5422">
        <v>138.3125</v>
      </c>
      <c r="J5422">
        <v>-343.01929999999999</v>
      </c>
      <c r="K5422">
        <v>1.110366</v>
      </c>
      <c r="L5422">
        <v>141.76589999999999</v>
      </c>
      <c r="M5422">
        <v>-0.99989110000000003</v>
      </c>
      <c r="N5422">
        <v>-1.106239E-2</v>
      </c>
      <c r="O5422">
        <v>9.7665059999999995E-3</v>
      </c>
      <c r="P5422">
        <v>-0.98407069999999996</v>
      </c>
      <c r="Q5422">
        <v>0.15294449999999901</v>
      </c>
      <c r="R5422">
        <v>-9.0623570000000001E-2</v>
      </c>
      <c r="S5422">
        <v>-3.0329899999999999</v>
      </c>
      <c r="T5422">
        <v>-0.1069508</v>
      </c>
      <c r="U5422">
        <v>-0.33230589999999999</v>
      </c>
      <c r="V5422">
        <v>-0.10022880000000001</v>
      </c>
      <c r="W5422">
        <v>0.16381229999999999</v>
      </c>
      <c r="X5422">
        <v>0.9813866</v>
      </c>
      <c r="Y5422">
        <v>-0.1185172</v>
      </c>
      <c r="Z5422">
        <v>-2.9761269999999999E-3</v>
      </c>
      <c r="AA5422">
        <v>0.99294749999999998</v>
      </c>
      <c r="AB5422">
        <v>33</v>
      </c>
      <c r="AC5422">
        <v>-31.1512999999999</v>
      </c>
      <c r="AD5422">
        <v>-1.1103687143509999</v>
      </c>
      <c r="AE5422">
        <v>-3.4533999999999798</v>
      </c>
      <c r="AF5422">
        <v>-3.7527831487367198</v>
      </c>
      <c r="AG5422">
        <v>-1.1103687143509999</v>
      </c>
      <c r="AH5422">
        <v>31.077079641847099</v>
      </c>
      <c r="AI5422">
        <v>92.031533334417205</v>
      </c>
      <c r="AJ5422">
        <v>96.885541755378298</v>
      </c>
      <c r="AK5422">
        <v>31.322534685254301</v>
      </c>
      <c r="AL5422">
        <v>80.571754202191798</v>
      </c>
      <c r="AM5422">
        <v>95.831386841393098</v>
      </c>
      <c r="AN5422">
        <v>0.99999997032014398</v>
      </c>
    </row>
    <row r="5423" spans="1:40" x14ac:dyDescent="0.25">
      <c r="A5423" t="str">
        <f>"20190304154905468"</f>
        <v>20190304154905468</v>
      </c>
      <c r="B5423" t="str">
        <f>"1551685745462943"</f>
        <v>1551685745462943</v>
      </c>
      <c r="C5423" t="s">
        <v>40</v>
      </c>
      <c r="D5423">
        <v>4.2969239999999997</v>
      </c>
      <c r="E5423">
        <v>0.49175210000000003</v>
      </c>
      <c r="F5423" t="s">
        <v>44</v>
      </c>
      <c r="G5423">
        <v>-377.46359999999999</v>
      </c>
      <c r="H5423" s="1">
        <v>-1.3587020000000001E-6</v>
      </c>
      <c r="I5423">
        <v>137.99100000000001</v>
      </c>
      <c r="J5423">
        <v>-343.3734</v>
      </c>
      <c r="K5423">
        <v>1.1103730000000001</v>
      </c>
      <c r="L5423">
        <v>141.76929999999999</v>
      </c>
      <c r="M5423">
        <v>-0.99989130000000004</v>
      </c>
      <c r="N5423">
        <v>-1.1064579999999999E-2</v>
      </c>
      <c r="O5423">
        <v>9.7535580000000007E-3</v>
      </c>
      <c r="P5423">
        <v>-0.98385009999999995</v>
      </c>
      <c r="Q5423">
        <v>0.1545579</v>
      </c>
      <c r="R5423">
        <v>-9.0285500000000005E-2</v>
      </c>
      <c r="S5423">
        <v>-3.033112</v>
      </c>
      <c r="T5423">
        <v>-9.7777249999999996E-2</v>
      </c>
      <c r="U5423">
        <v>-0.33239750000000001</v>
      </c>
      <c r="V5423">
        <v>-9.9875850000000002E-2</v>
      </c>
      <c r="W5423">
        <v>0.16542560000000001</v>
      </c>
      <c r="X5423">
        <v>0.98115200000000002</v>
      </c>
      <c r="Y5423">
        <v>-0.1185442</v>
      </c>
      <c r="Z5423">
        <v>-2.7684350000000001E-3</v>
      </c>
      <c r="AA5423">
        <v>0.99294490000000002</v>
      </c>
      <c r="AB5423">
        <v>33</v>
      </c>
      <c r="AC5423">
        <v>-34.090199999999903</v>
      </c>
      <c r="AD5423">
        <v>-1.1103743587019901</v>
      </c>
      <c r="AE5423">
        <v>-3.77829999999997</v>
      </c>
      <c r="AF5423">
        <v>-4.10633772313333</v>
      </c>
      <c r="AG5423">
        <v>-1.1103743587019901</v>
      </c>
      <c r="AH5423">
        <v>34.016073936756001</v>
      </c>
      <c r="AI5423">
        <v>91.856155296175899</v>
      </c>
      <c r="AJ5423">
        <v>96.883299959461098</v>
      </c>
      <c r="AK5423">
        <v>34.281018461879803</v>
      </c>
      <c r="AL5423">
        <v>80.478040973426204</v>
      </c>
      <c r="AM5423">
        <v>95.812372654348593</v>
      </c>
      <c r="AN5423">
        <v>1.00000003082629</v>
      </c>
    </row>
    <row r="5424" spans="1:40" x14ac:dyDescent="0.25">
      <c r="A5424" t="str">
        <f>"20190304154905490"</f>
        <v>20190304154905490</v>
      </c>
      <c r="B5424" t="str">
        <f>"1551685745482462"</f>
        <v>1551685745482462</v>
      </c>
      <c r="C5424" t="s">
        <v>40</v>
      </c>
      <c r="D5424">
        <v>4.3742260000000002</v>
      </c>
      <c r="E5424">
        <v>0.49168770000000001</v>
      </c>
      <c r="F5424" t="s">
        <v>44</v>
      </c>
      <c r="G5424">
        <v>-380.12909999999999</v>
      </c>
      <c r="H5424" s="1">
        <v>-4.5481970000000001E-6</v>
      </c>
      <c r="I5424">
        <v>137.74850000000001</v>
      </c>
      <c r="J5424">
        <v>-343.69009999999997</v>
      </c>
      <c r="K5424">
        <v>1.110384</v>
      </c>
      <c r="L5424">
        <v>141.7724</v>
      </c>
      <c r="M5424">
        <v>-0.99989119999999998</v>
      </c>
      <c r="N5424">
        <v>-1.106655E-2</v>
      </c>
      <c r="O5424">
        <v>9.7422800000000007E-3</v>
      </c>
      <c r="P5424">
        <v>-0.9833691</v>
      </c>
      <c r="Q5424">
        <v>0.15713650000000001</v>
      </c>
      <c r="R5424">
        <v>-9.1068070000000001E-2</v>
      </c>
      <c r="S5424">
        <v>-3.0331419999999998</v>
      </c>
      <c r="T5424">
        <v>-9.1630459999999997E-2</v>
      </c>
      <c r="U5424">
        <v>-0.3318024</v>
      </c>
      <c r="V5424">
        <v>-0.1006426</v>
      </c>
      <c r="W5424">
        <v>0.16800019999999999</v>
      </c>
      <c r="X5424">
        <v>0.98063599999999995</v>
      </c>
      <c r="Y5424">
        <v>-0.1183486</v>
      </c>
      <c r="Z5424">
        <v>-2.6248859999999999E-3</v>
      </c>
      <c r="AA5424">
        <v>0.99296859999999998</v>
      </c>
      <c r="AB5424">
        <v>33</v>
      </c>
      <c r="AC5424">
        <v>-36.439</v>
      </c>
      <c r="AD5424">
        <v>-1.1103885481969999</v>
      </c>
      <c r="AE5424">
        <v>-4.0238999999999896</v>
      </c>
      <c r="AF5424">
        <v>-4.37471641886171</v>
      </c>
      <c r="AG5424">
        <v>-1.1103885481969999</v>
      </c>
      <c r="AH5424">
        <v>36.3647055835564</v>
      </c>
      <c r="AI5424">
        <v>91.736458557223003</v>
      </c>
      <c r="AJ5424">
        <v>96.859783294846295</v>
      </c>
      <c r="AK5424">
        <v>36.643729595282203</v>
      </c>
      <c r="AL5424">
        <v>80.328433060869997</v>
      </c>
      <c r="AM5424">
        <v>95.859745699120495</v>
      </c>
      <c r="AN5424">
        <v>0.99999998231539899</v>
      </c>
    </row>
    <row r="5425" spans="1:40" x14ac:dyDescent="0.25">
      <c r="A5425" t="str">
        <f>"20190304154905512"</f>
        <v>20190304154905512</v>
      </c>
      <c r="B5425" t="str">
        <f>"1551685745502958"</f>
        <v>1551685745502958</v>
      </c>
      <c r="C5425" t="s">
        <v>40</v>
      </c>
      <c r="D5425">
        <v>4.3292260000000002</v>
      </c>
      <c r="E5425">
        <v>0.46907199999999999</v>
      </c>
      <c r="F5425" t="s">
        <v>44</v>
      </c>
      <c r="G5425">
        <v>-384.03320000000002</v>
      </c>
      <c r="H5425" s="1">
        <v>-2.9499439999999999E-6</v>
      </c>
      <c r="I5425">
        <v>137.31659999999999</v>
      </c>
      <c r="J5425">
        <v>-344.02940000000001</v>
      </c>
      <c r="K5425">
        <v>1.110395</v>
      </c>
      <c r="L5425">
        <v>141.7757</v>
      </c>
      <c r="M5425">
        <v>-0.99989150000000004</v>
      </c>
      <c r="N5425">
        <v>-1.1068649999999999E-2</v>
      </c>
      <c r="O5425">
        <v>9.7298699999999998E-3</v>
      </c>
      <c r="P5425">
        <v>-0.98283960000000004</v>
      </c>
      <c r="Q5425">
        <v>0.16018060000000001</v>
      </c>
      <c r="R5425">
        <v>-9.1480530000000004E-2</v>
      </c>
      <c r="S5425">
        <v>-3.0330810000000001</v>
      </c>
      <c r="T5425">
        <v>-8.3481429999999995E-2</v>
      </c>
      <c r="U5425">
        <v>-0.3349915</v>
      </c>
      <c r="V5425">
        <v>-0.1010374</v>
      </c>
      <c r="W5425">
        <v>0.1710402</v>
      </c>
      <c r="X5425">
        <v>0.98006979999999999</v>
      </c>
      <c r="Y5425">
        <v>-0.11938070000000001</v>
      </c>
      <c r="Z5425">
        <v>-2.4601219999999999E-3</v>
      </c>
      <c r="AA5425">
        <v>0.99284550000000005</v>
      </c>
      <c r="AB5425">
        <v>34</v>
      </c>
      <c r="AC5425">
        <v>-40.003799999999998</v>
      </c>
      <c r="AD5425">
        <v>-1.110397949944</v>
      </c>
      <c r="AE5425">
        <v>-4.4591000000000003</v>
      </c>
      <c r="AF5425">
        <v>-4.8444577828208804</v>
      </c>
      <c r="AG5425">
        <v>-1.110397949944</v>
      </c>
      <c r="AH5425">
        <v>39.928131197460303</v>
      </c>
      <c r="AI5425">
        <v>91.581388995046098</v>
      </c>
      <c r="AJ5425">
        <v>96.917851545214901</v>
      </c>
      <c r="AK5425">
        <v>40.2362699033891</v>
      </c>
      <c r="AL5425">
        <v>80.151696612458196</v>
      </c>
      <c r="AM5425">
        <v>95.885945969130802</v>
      </c>
      <c r="AN5425">
        <v>1.00000005954341</v>
      </c>
    </row>
    <row r="5426" spans="1:40" x14ac:dyDescent="0.25">
      <c r="A5426" t="str">
        <f>"20190304154905534"</f>
        <v>20190304154905534</v>
      </c>
      <c r="B5426" t="str">
        <f>"1551685745522478"</f>
        <v>1551685745522478</v>
      </c>
      <c r="C5426" t="s">
        <v>40</v>
      </c>
      <c r="D5426">
        <v>4.3255949999999999</v>
      </c>
      <c r="E5426">
        <v>0.46703650000000002</v>
      </c>
      <c r="F5426" t="s">
        <v>44</v>
      </c>
      <c r="G5426">
        <v>-388.64400000000001</v>
      </c>
      <c r="H5426" s="1">
        <v>-1.9033460000000001E-6</v>
      </c>
      <c r="I5426">
        <v>134.1446</v>
      </c>
      <c r="J5426">
        <v>-344.36</v>
      </c>
      <c r="K5426">
        <v>1.1103959999999999</v>
      </c>
      <c r="L5426">
        <v>141.77889999999999</v>
      </c>
      <c r="M5426">
        <v>-0.99989150000000004</v>
      </c>
      <c r="N5426">
        <v>-1.1070679999999999E-2</v>
      </c>
      <c r="O5426">
        <v>9.7181160000000006E-3</v>
      </c>
      <c r="P5426">
        <v>-0.98286119999999999</v>
      </c>
      <c r="Q5426">
        <v>0.16014210000000001</v>
      </c>
      <c r="R5426">
        <v>-9.1314989999999999E-2</v>
      </c>
      <c r="S5426">
        <v>-3.016632</v>
      </c>
      <c r="T5426">
        <v>-7.5079919999999994E-2</v>
      </c>
      <c r="U5426">
        <v>-0.51597599999999999</v>
      </c>
      <c r="V5426">
        <v>-0.1008609</v>
      </c>
      <c r="W5426">
        <v>0.17100399999999999</v>
      </c>
      <c r="X5426">
        <v>0.98009429999999997</v>
      </c>
      <c r="Y5426">
        <v>-0.178088</v>
      </c>
      <c r="Z5426">
        <v>-3.32636E-3</v>
      </c>
      <c r="AA5426">
        <v>0.98400900000000002</v>
      </c>
      <c r="AB5426">
        <v>34</v>
      </c>
      <c r="AC5426">
        <v>-44.283999999999899</v>
      </c>
      <c r="AD5426">
        <v>-1.1103979033460001</v>
      </c>
      <c r="AE5426">
        <v>-7.6342999999999899</v>
      </c>
      <c r="AF5426">
        <v>-8.0594019375733001</v>
      </c>
      <c r="AG5426">
        <v>-1.1103979033460001</v>
      </c>
      <c r="AH5426">
        <v>44.180737007991702</v>
      </c>
      <c r="AI5426">
        <v>91.416353056549397</v>
      </c>
      <c r="AJ5426">
        <v>100.33816078037199</v>
      </c>
      <c r="AK5426">
        <v>44.923540217400898</v>
      </c>
      <c r="AL5426">
        <v>80.153801768555795</v>
      </c>
      <c r="AM5426">
        <v>95.875590087988797</v>
      </c>
      <c r="AN5426">
        <v>1.0000000630286401</v>
      </c>
    </row>
    <row r="5427" spans="1:40" x14ac:dyDescent="0.25">
      <c r="A5427" t="str">
        <f>"20190304154905556"</f>
        <v>20190304154905556</v>
      </c>
      <c r="B5427" t="str">
        <f>"1551685745552734"</f>
        <v>1551685745552734</v>
      </c>
      <c r="C5427" t="s">
        <v>40</v>
      </c>
      <c r="D5427">
        <v>4.2505160000000002</v>
      </c>
      <c r="E5427">
        <v>0.4655067</v>
      </c>
      <c r="F5427" t="s">
        <v>44</v>
      </c>
      <c r="G5427">
        <v>-381.89920000000001</v>
      </c>
      <c r="H5427" s="1">
        <v>-4.24764E-6</v>
      </c>
      <c r="I5427">
        <v>135.1619</v>
      </c>
      <c r="J5427">
        <v>-344.69639999999998</v>
      </c>
      <c r="K5427">
        <v>1.110384</v>
      </c>
      <c r="L5427">
        <v>141.78219999999999</v>
      </c>
      <c r="M5427">
        <v>-0.99989159999999999</v>
      </c>
      <c r="N5427">
        <v>-1.1072790000000001E-2</v>
      </c>
      <c r="O5427">
        <v>9.7060050000000002E-3</v>
      </c>
      <c r="P5427">
        <v>-0.98323769999999999</v>
      </c>
      <c r="Q5427">
        <v>0.1580512</v>
      </c>
      <c r="R5427">
        <v>-9.090442E-2</v>
      </c>
      <c r="S5427">
        <v>-3.0174259999999999</v>
      </c>
      <c r="T5427">
        <v>-8.9254739999999999E-2</v>
      </c>
      <c r="U5427">
        <v>-0.531875599999999</v>
      </c>
      <c r="V5427">
        <v>-0.1004424</v>
      </c>
      <c r="W5427">
        <v>0.1689196</v>
      </c>
      <c r="X5427">
        <v>0.9804986</v>
      </c>
      <c r="Y5427">
        <v>-0.1830338</v>
      </c>
      <c r="Z5427">
        <v>-3.8854800000000002E-3</v>
      </c>
      <c r="AA5427">
        <v>0.9830989</v>
      </c>
      <c r="AB5427">
        <v>34</v>
      </c>
      <c r="AC5427">
        <v>-37.202800000000003</v>
      </c>
      <c r="AD5427">
        <v>-1.11038824764</v>
      </c>
      <c r="AE5427">
        <v>-6.6202999999999799</v>
      </c>
      <c r="AF5427">
        <v>-6.9750778795779702</v>
      </c>
      <c r="AG5427">
        <v>-1.11038824764</v>
      </c>
      <c r="AH5427">
        <v>37.104747063862199</v>
      </c>
      <c r="AI5427">
        <v>91.684619453934005</v>
      </c>
      <c r="AJ5427">
        <v>100.646411109987</v>
      </c>
      <c r="AK5427">
        <v>37.770979973517498</v>
      </c>
      <c r="AL5427">
        <v>80.274991789868395</v>
      </c>
      <c r="AM5427">
        <v>95.848984100715398</v>
      </c>
      <c r="AN5427">
        <v>1.00000000579194</v>
      </c>
    </row>
    <row r="5428" spans="1:40" x14ac:dyDescent="0.25">
      <c r="A5428" t="str">
        <f>"20190304154905579"</f>
        <v>20190304154905579</v>
      </c>
      <c r="B5428" t="str">
        <f>"1551685745572255"</f>
        <v>1551685745572255</v>
      </c>
      <c r="C5428" t="s">
        <v>40</v>
      </c>
      <c r="D5428">
        <v>4.2926380000000002</v>
      </c>
      <c r="E5428">
        <v>0.46474320000000002</v>
      </c>
      <c r="F5428" t="s">
        <v>44</v>
      </c>
      <c r="G5428">
        <v>-376.60559999999998</v>
      </c>
      <c r="H5428" s="1">
        <v>-2.0927509999999998E-6</v>
      </c>
      <c r="I5428">
        <v>136.03989999999999</v>
      </c>
      <c r="J5428">
        <v>-345.03379999999999</v>
      </c>
      <c r="K5428">
        <v>1.110368</v>
      </c>
      <c r="L5428">
        <v>141.78550000000001</v>
      </c>
      <c r="M5428">
        <v>-0.9998918</v>
      </c>
      <c r="N5428">
        <v>-1.107492E-2</v>
      </c>
      <c r="O5428">
        <v>9.693419E-3</v>
      </c>
      <c r="P5428">
        <v>-0.9836319</v>
      </c>
      <c r="Q5428">
        <v>0.15565379999999901</v>
      </c>
      <c r="R5428">
        <v>-9.0777040000000003E-2</v>
      </c>
      <c r="S5428">
        <v>-3.0178219999999998</v>
      </c>
      <c r="T5428">
        <v>-0.1050152</v>
      </c>
      <c r="U5428">
        <v>-0.54307559999999999</v>
      </c>
      <c r="V5428">
        <v>-0.10030650000000001</v>
      </c>
      <c r="W5428">
        <v>0.1665287</v>
      </c>
      <c r="X5428">
        <v>0.98092140000000005</v>
      </c>
      <c r="Y5428">
        <v>-0.18649579999999999</v>
      </c>
      <c r="Z5428">
        <v>-4.487581E-3</v>
      </c>
      <c r="AA5428">
        <v>0.98244549999999997</v>
      </c>
      <c r="AB5428">
        <v>34</v>
      </c>
      <c r="AC5428">
        <v>-31.5718</v>
      </c>
      <c r="AD5428">
        <v>-1.1103700927509901</v>
      </c>
      <c r="AE5428">
        <v>-5.74560000000002</v>
      </c>
      <c r="AF5428">
        <v>-6.0441510569728303</v>
      </c>
      <c r="AG5428">
        <v>-1.1103700927509901</v>
      </c>
      <c r="AH5428">
        <v>31.4769326717377</v>
      </c>
      <c r="AI5428">
        <v>91.984092693556605</v>
      </c>
      <c r="AJ5428">
        <v>100.869543516416</v>
      </c>
      <c r="AK5428">
        <v>32.071201632671801</v>
      </c>
      <c r="AL5428">
        <v>80.413948693078893</v>
      </c>
      <c r="AM5428">
        <v>95.838624833028206</v>
      </c>
      <c r="AN5428">
        <v>0.99999999742195</v>
      </c>
    </row>
    <row r="5429" spans="1:40" x14ac:dyDescent="0.25">
      <c r="A5429" t="str">
        <f>"20190304154905601"</f>
        <v>20190304154905601</v>
      </c>
      <c r="B5429" t="str">
        <f>"1551685745592553"</f>
        <v>1551685745592553</v>
      </c>
      <c r="C5429" t="s">
        <v>40</v>
      </c>
      <c r="D5429">
        <v>4.3019629999999998</v>
      </c>
      <c r="E5429">
        <v>0.46433419999999997</v>
      </c>
      <c r="F5429" t="s">
        <v>44</v>
      </c>
      <c r="G5429">
        <v>-373.99059999999997</v>
      </c>
      <c r="H5429" s="1">
        <v>-3.110204E-6</v>
      </c>
      <c r="I5429">
        <v>136.5163</v>
      </c>
      <c r="J5429">
        <v>-345.36770000000001</v>
      </c>
      <c r="K5429">
        <v>1.1103430000000001</v>
      </c>
      <c r="L5429">
        <v>141.78870000000001</v>
      </c>
      <c r="M5429">
        <v>-0.9998918</v>
      </c>
      <c r="N5429">
        <v>-1.107705E-2</v>
      </c>
      <c r="O5429">
        <v>9.6810109999999998E-3</v>
      </c>
      <c r="P5429">
        <v>-0.98406199999999999</v>
      </c>
      <c r="Q5429">
        <v>0.15323779999999901</v>
      </c>
      <c r="R5429">
        <v>-9.0222440000000001E-2</v>
      </c>
      <c r="S5429">
        <v>-3.0175480000000001</v>
      </c>
      <c r="T5429">
        <v>-0.11571049999999999</v>
      </c>
      <c r="U5429">
        <v>-0.54908749999999995</v>
      </c>
      <c r="V5429">
        <v>-9.9743960000000007E-2</v>
      </c>
      <c r="W5429">
        <v>0.16411990000000001</v>
      </c>
      <c r="X5429">
        <v>0.98138460000000005</v>
      </c>
      <c r="Y5429">
        <v>-0.18836459999999999</v>
      </c>
      <c r="Z5429">
        <v>-4.8949090000000002E-3</v>
      </c>
      <c r="AA5429">
        <v>0.98208700000000004</v>
      </c>
      <c r="AB5429">
        <v>34</v>
      </c>
      <c r="AC5429">
        <v>-28.622899999999898</v>
      </c>
      <c r="AD5429">
        <v>-1.110346110204</v>
      </c>
      <c r="AE5429">
        <v>-5.2724000000000002</v>
      </c>
      <c r="AF5429">
        <v>-5.5412035397538899</v>
      </c>
      <c r="AG5429">
        <v>-1.110346110204</v>
      </c>
      <c r="AH5429">
        <v>28.528990610441902</v>
      </c>
      <c r="AI5429">
        <v>92.187974074641403</v>
      </c>
      <c r="AJ5429">
        <v>100.991735479051</v>
      </c>
      <c r="AK5429">
        <v>29.083347647822599</v>
      </c>
      <c r="AL5429">
        <v>80.553888181156097</v>
      </c>
      <c r="AM5429">
        <v>95.803383230652898</v>
      </c>
      <c r="AN5429">
        <v>0.999999966124825</v>
      </c>
    </row>
    <row r="5430" spans="1:40" x14ac:dyDescent="0.25">
      <c r="A5430" t="str">
        <f>"20190304154905623"</f>
        <v>20190304154905623</v>
      </c>
      <c r="B5430" t="str">
        <f>"1551685745613050"</f>
        <v>1551685745613050</v>
      </c>
      <c r="C5430" t="s">
        <v>40</v>
      </c>
      <c r="D5430">
        <v>4.2734069999999997</v>
      </c>
      <c r="E5430">
        <v>0.46406740000000002</v>
      </c>
      <c r="F5430" t="s">
        <v>44</v>
      </c>
      <c r="G5430">
        <v>-372.21420000000001</v>
      </c>
      <c r="H5430" s="1">
        <v>-3.806357E-6</v>
      </c>
      <c r="I5430">
        <v>136.8878</v>
      </c>
      <c r="J5430">
        <v>-345.7011</v>
      </c>
      <c r="K5430">
        <v>1.1103400000000001</v>
      </c>
      <c r="L5430">
        <v>141.7919</v>
      </c>
      <c r="M5430">
        <v>-0.99989209999999995</v>
      </c>
      <c r="N5430">
        <v>-1.1079169999999999E-2</v>
      </c>
      <c r="O5430">
        <v>9.6686020000000001E-3</v>
      </c>
      <c r="P5430">
        <v>-0.98435430000000002</v>
      </c>
      <c r="Q5430">
        <v>0.15192510000000001</v>
      </c>
      <c r="R5430">
        <v>-8.9251910000000004E-2</v>
      </c>
      <c r="S5430">
        <v>-3.0175169999999998</v>
      </c>
      <c r="T5430">
        <v>-0.12480189999999999</v>
      </c>
      <c r="U5430">
        <v>-0.55084230000000001</v>
      </c>
      <c r="V5430">
        <v>-9.8764160000000004E-2</v>
      </c>
      <c r="W5430">
        <v>0.1628127</v>
      </c>
      <c r="X5430">
        <v>0.98170139999999995</v>
      </c>
      <c r="Y5430">
        <v>-0.18888050000000001</v>
      </c>
      <c r="Z5430">
        <v>-5.2181550000000004E-3</v>
      </c>
      <c r="AA5430">
        <v>0.98198620000000003</v>
      </c>
      <c r="AB5430">
        <v>34</v>
      </c>
      <c r="AC5430">
        <v>-26.513100000000001</v>
      </c>
      <c r="AD5430">
        <v>-1.1103438063569999</v>
      </c>
      <c r="AE5430">
        <v>-4.9040999999999997</v>
      </c>
      <c r="AF5430">
        <v>-5.1514949458096204</v>
      </c>
      <c r="AG5430">
        <v>-1.1103438063569999</v>
      </c>
      <c r="AH5430">
        <v>26.419638520519399</v>
      </c>
      <c r="AI5430">
        <v>92.362132270492694</v>
      </c>
      <c r="AJ5430">
        <v>101.03351001418</v>
      </c>
      <c r="AK5430">
        <v>26.940082833947098</v>
      </c>
      <c r="AL5430">
        <v>80.6298066092819</v>
      </c>
      <c r="AM5430">
        <v>95.744917054720901</v>
      </c>
      <c r="AN5430">
        <v>0.99999998667187695</v>
      </c>
    </row>
    <row r="5431" spans="1:40" x14ac:dyDescent="0.25">
      <c r="A5431" t="str">
        <f>"20190304154905641"</f>
        <v>20190304154905641</v>
      </c>
      <c r="B5431" t="str">
        <f>"1551685745632569"</f>
        <v>1551685745632569</v>
      </c>
      <c r="C5431" t="s">
        <v>40</v>
      </c>
      <c r="D5431">
        <v>4.2837610000000002</v>
      </c>
      <c r="E5431">
        <v>0.46375499999999997</v>
      </c>
      <c r="F5431" t="s">
        <v>44</v>
      </c>
      <c r="G5431">
        <v>-371.35559999999998</v>
      </c>
      <c r="H5431" s="1">
        <v>-4.1349260000000003E-6</v>
      </c>
      <c r="I5431">
        <v>137.11199999999999</v>
      </c>
      <c r="J5431">
        <v>-345.96899999999999</v>
      </c>
      <c r="K5431">
        <v>1.1103430000000001</v>
      </c>
      <c r="L5431">
        <v>141.7945</v>
      </c>
      <c r="M5431">
        <v>-0.99989220000000001</v>
      </c>
      <c r="N5431">
        <v>-1.1080889999999999E-2</v>
      </c>
      <c r="O5431">
        <v>9.6588760000000003E-3</v>
      </c>
      <c r="P5431">
        <v>-0.98432019999999998</v>
      </c>
      <c r="Q5431">
        <v>0.15248529999999999</v>
      </c>
      <c r="R5431">
        <v>-8.8671319999999998E-2</v>
      </c>
      <c r="S5431">
        <v>-3.0178829999999999</v>
      </c>
      <c r="T5431">
        <v>-0.13061589999999901</v>
      </c>
      <c r="U5431">
        <v>-0.55052190000000001</v>
      </c>
      <c r="V5431">
        <v>-9.817352E-2</v>
      </c>
      <c r="W5431">
        <v>0.1633744</v>
      </c>
      <c r="X5431">
        <v>0.98166730000000002</v>
      </c>
      <c r="Y5431">
        <v>-0.18873180000000001</v>
      </c>
      <c r="Z5431">
        <v>-5.4122110000000001E-3</v>
      </c>
      <c r="AA5431">
        <v>0.98201380000000005</v>
      </c>
      <c r="AB5431">
        <v>34</v>
      </c>
      <c r="AC5431">
        <v>-25.386599999999898</v>
      </c>
      <c r="AD5431">
        <v>-1.1103471349259999</v>
      </c>
      <c r="AE5431">
        <v>-4.6825000000000001</v>
      </c>
      <c r="AF5431">
        <v>-4.9184033590495</v>
      </c>
      <c r="AG5431">
        <v>-1.1103471349259999</v>
      </c>
      <c r="AH5431">
        <v>25.2933915953822</v>
      </c>
      <c r="AI5431">
        <v>92.467438401486902</v>
      </c>
      <c r="AJ5431">
        <v>101.004073177588</v>
      </c>
      <c r="AK5431">
        <v>25.7910686238415</v>
      </c>
      <c r="AL5431">
        <v>80.597186568535406</v>
      </c>
      <c r="AM5431">
        <v>95.710985517091302</v>
      </c>
      <c r="AN5431">
        <v>0.99999996124691903</v>
      </c>
    </row>
    <row r="5432" spans="1:40" x14ac:dyDescent="0.25">
      <c r="A5432" t="str">
        <f>"20190304154905656"</f>
        <v>20190304154905656</v>
      </c>
      <c r="B5432" t="str">
        <f>"1551685745653065"</f>
        <v>1551685745653065</v>
      </c>
      <c r="C5432" t="s">
        <v>40</v>
      </c>
      <c r="D5432">
        <v>4.3028069999999996</v>
      </c>
      <c r="E5432">
        <v>0.46361249999999998</v>
      </c>
      <c r="F5432" t="s">
        <v>44</v>
      </c>
      <c r="G5432">
        <v>-371.98430000000002</v>
      </c>
      <c r="H5432" s="1">
        <v>-3.8778030000000003E-6</v>
      </c>
      <c r="I5432">
        <v>137.0411</v>
      </c>
      <c r="J5432">
        <v>-346.20499999999998</v>
      </c>
      <c r="K5432">
        <v>1.110355</v>
      </c>
      <c r="L5432">
        <v>141.79679999999999</v>
      </c>
      <c r="M5432">
        <v>-0.99989209999999995</v>
      </c>
      <c r="N5432">
        <v>-1.1082409999999999E-2</v>
      </c>
      <c r="O5432">
        <v>9.6506409999999997E-3</v>
      </c>
      <c r="P5432">
        <v>-0.98388900000000001</v>
      </c>
      <c r="Q5432">
        <v>0.15557399999999999</v>
      </c>
      <c r="R5432">
        <v>-8.8085700000000003E-2</v>
      </c>
      <c r="S5432">
        <v>-3.0180660000000001</v>
      </c>
      <c r="T5432">
        <v>-0.12881280000000001</v>
      </c>
      <c r="U5432">
        <v>-0.55143739999999997</v>
      </c>
      <c r="V5432">
        <v>-9.7575709999999996E-2</v>
      </c>
      <c r="W5432">
        <v>0.16645960000000001</v>
      </c>
      <c r="X5432">
        <v>0.98120859999999999</v>
      </c>
      <c r="Y5432">
        <v>-0.1890066</v>
      </c>
      <c r="Z5432">
        <v>-5.3575029999999996E-3</v>
      </c>
      <c r="AA5432">
        <v>0.98196119999999998</v>
      </c>
      <c r="AB5432">
        <v>34</v>
      </c>
      <c r="AC5432">
        <v>-25.779299999999999</v>
      </c>
      <c r="AD5432">
        <v>-1.110358877803</v>
      </c>
      <c r="AE5432">
        <v>-4.7556999999999903</v>
      </c>
      <c r="AF5432">
        <v>-4.9953183540179902</v>
      </c>
      <c r="AG5432">
        <v>-1.110358877803</v>
      </c>
      <c r="AH5432">
        <v>25.686117104160999</v>
      </c>
      <c r="AI5432">
        <v>92.429774260394197</v>
      </c>
      <c r="AJ5432">
        <v>101.00525082880399</v>
      </c>
      <c r="AK5432">
        <v>26.190889908213901</v>
      </c>
      <c r="AL5432">
        <v>80.417964548140105</v>
      </c>
      <c r="AM5432">
        <v>95.679073604376498</v>
      </c>
      <c r="AN5432">
        <v>1.0000000671640501</v>
      </c>
    </row>
    <row r="5433" spans="1:40" x14ac:dyDescent="0.25">
      <c r="A5433" t="str">
        <f>"20190304154905679"</f>
        <v>20190304154905679</v>
      </c>
      <c r="B5433" t="str">
        <f>"1551685745672585"</f>
        <v>1551685745672585</v>
      </c>
      <c r="C5433" t="s">
        <v>40</v>
      </c>
      <c r="D5433">
        <v>4.3006129999999896</v>
      </c>
      <c r="E5433">
        <v>0.46351579999999898</v>
      </c>
      <c r="F5433" t="s">
        <v>44</v>
      </c>
      <c r="G5433">
        <v>-374.40839999999997</v>
      </c>
      <c r="H5433" s="1">
        <v>-2.9084899999999999E-6</v>
      </c>
      <c r="I5433">
        <v>136.6431</v>
      </c>
      <c r="J5433">
        <v>-346.54250000000002</v>
      </c>
      <c r="K5433">
        <v>1.110368</v>
      </c>
      <c r="L5433">
        <v>141.80000000000001</v>
      </c>
      <c r="M5433">
        <v>-0.99989220000000001</v>
      </c>
      <c r="N5433">
        <v>-1.108456E-2</v>
      </c>
      <c r="O5433">
        <v>9.6385269999999992E-3</v>
      </c>
      <c r="P5433">
        <v>-0.98355990000000004</v>
      </c>
      <c r="Q5433">
        <v>0.15793409999999999</v>
      </c>
      <c r="R5433">
        <v>-8.7560139999999995E-2</v>
      </c>
      <c r="S5433">
        <v>-3.0185849999999999</v>
      </c>
      <c r="T5433">
        <v>-0.11884110000000001</v>
      </c>
      <c r="U5433">
        <v>-0.55158999999999903</v>
      </c>
      <c r="V5433">
        <v>-9.7035129999999997E-2</v>
      </c>
      <c r="W5433">
        <v>0.16881760000000001</v>
      </c>
      <c r="X5433">
        <v>0.98085919999999904</v>
      </c>
      <c r="Y5433">
        <v>-0.18904209999999999</v>
      </c>
      <c r="Z5433">
        <v>-5.0165629999999999E-3</v>
      </c>
      <c r="AA5433">
        <v>0.98195619999999995</v>
      </c>
      <c r="AB5433">
        <v>34</v>
      </c>
      <c r="AC5433">
        <v>-27.8658999999999</v>
      </c>
      <c r="AD5433">
        <v>-1.11037090849</v>
      </c>
      <c r="AE5433">
        <v>-5.1569000000000003</v>
      </c>
      <c r="AF5433">
        <v>-5.41694702475671</v>
      </c>
      <c r="AG5433">
        <v>-1.11037090849</v>
      </c>
      <c r="AH5433">
        <v>27.772261431150401</v>
      </c>
      <c r="AI5433">
        <v>92.247236573145997</v>
      </c>
      <c r="AJ5433">
        <v>101.03690409721</v>
      </c>
      <c r="AK5433">
        <v>28.317392952452501</v>
      </c>
      <c r="AL5433">
        <v>80.280920902708402</v>
      </c>
      <c r="AM5433">
        <v>95.649813735265695</v>
      </c>
      <c r="AN5433">
        <v>0.99999998437425797</v>
      </c>
    </row>
    <row r="5434" spans="1:40" x14ac:dyDescent="0.25">
      <c r="A5434" t="str">
        <f>"20190304154905702"</f>
        <v>20190304154905702</v>
      </c>
      <c r="B5434" t="str">
        <f>"1551685745693022"</f>
        <v>1551685745693022</v>
      </c>
      <c r="C5434" t="s">
        <v>40</v>
      </c>
      <c r="D5434">
        <v>4.2891440000000003</v>
      </c>
      <c r="E5434">
        <v>0.46329330000000002</v>
      </c>
      <c r="F5434" t="s">
        <v>44</v>
      </c>
      <c r="G5434">
        <v>-376.62759999999997</v>
      </c>
      <c r="H5434" s="1">
        <v>-2.0158880000000001E-6</v>
      </c>
      <c r="I5434">
        <v>136.30799999999999</v>
      </c>
      <c r="J5434">
        <v>-346.88119999999998</v>
      </c>
      <c r="K5434">
        <v>1.110374</v>
      </c>
      <c r="L5434">
        <v>141.80330000000001</v>
      </c>
      <c r="M5434">
        <v>-0.99989220000000001</v>
      </c>
      <c r="N5434">
        <v>-1.108673E-2</v>
      </c>
      <c r="O5434">
        <v>9.6262369999999993E-3</v>
      </c>
      <c r="P5434">
        <v>-0.98321270000000005</v>
      </c>
      <c r="Q5434">
        <v>0.16024569999999999</v>
      </c>
      <c r="R5434">
        <v>-8.7260580000000004E-2</v>
      </c>
      <c r="S5434">
        <v>-3.019012</v>
      </c>
      <c r="T5434">
        <v>-0.1114247</v>
      </c>
      <c r="U5434">
        <v>-0.55111690000000002</v>
      </c>
      <c r="V5434">
        <v>-9.6720059999999997E-2</v>
      </c>
      <c r="W5434">
        <v>0.17112759999999999</v>
      </c>
      <c r="X5434">
        <v>0.98048999999999997</v>
      </c>
      <c r="Y5434">
        <v>-0.18887699999999999</v>
      </c>
      <c r="Z5434">
        <v>-4.7583920000000002E-3</v>
      </c>
      <c r="AA5434">
        <v>0.98198920000000001</v>
      </c>
      <c r="AB5434">
        <v>34</v>
      </c>
      <c r="AC5434">
        <v>-29.746399999999898</v>
      </c>
      <c r="AD5434">
        <v>-1.1103760158880001</v>
      </c>
      <c r="AE5434">
        <v>-5.4953000000000101</v>
      </c>
      <c r="AF5434">
        <v>-5.7736294556352696</v>
      </c>
      <c r="AG5434">
        <v>-1.1103760158880001</v>
      </c>
      <c r="AH5434">
        <v>29.652165907416599</v>
      </c>
      <c r="AI5434">
        <v>92.105040218723403</v>
      </c>
      <c r="AJ5434">
        <v>101.01830571145901</v>
      </c>
      <c r="AK5434">
        <v>30.229433917766201</v>
      </c>
      <c r="AL5434">
        <v>80.1466137601399</v>
      </c>
      <c r="AM5434">
        <v>95.633693996707606</v>
      </c>
      <c r="AN5434">
        <v>1.0000000327940799</v>
      </c>
    </row>
    <row r="5435" spans="1:40" x14ac:dyDescent="0.25">
      <c r="A5435" t="str">
        <f>"20190304154905724"</f>
        <v>20190304154905724</v>
      </c>
      <c r="B5435" t="str">
        <f>"1551685745712543"</f>
        <v>1551685745712543</v>
      </c>
      <c r="C5435" t="s">
        <v>40</v>
      </c>
      <c r="D5435">
        <v>4.3134059999999996</v>
      </c>
      <c r="E5435">
        <v>0.46300970000000002</v>
      </c>
      <c r="F5435" t="s">
        <v>44</v>
      </c>
      <c r="G5435">
        <v>-379.02429999999998</v>
      </c>
      <c r="H5435" s="1">
        <v>-1.3012510000000001E-6</v>
      </c>
      <c r="I5435">
        <v>135.9212</v>
      </c>
      <c r="J5435">
        <v>-347.2176</v>
      </c>
      <c r="K5435">
        <v>1.110385</v>
      </c>
      <c r="L5435">
        <v>141.8065</v>
      </c>
      <c r="M5435">
        <v>-0.99989240000000001</v>
      </c>
      <c r="N5435">
        <v>-1.1088890000000001E-2</v>
      </c>
      <c r="O5435">
        <v>9.6140070000000008E-3</v>
      </c>
      <c r="P5435">
        <v>-0.98293710000000001</v>
      </c>
      <c r="Q5435">
        <v>0.1616522</v>
      </c>
      <c r="R5435">
        <v>-8.7771260000000004E-2</v>
      </c>
      <c r="S5435">
        <v>-3.0191650000000001</v>
      </c>
      <c r="T5435">
        <v>-0.10429670000000001</v>
      </c>
      <c r="U5435">
        <v>-0.55249019999999904</v>
      </c>
      <c r="V5435">
        <v>-9.7215750000000004E-2</v>
      </c>
      <c r="W5435">
        <v>0.17253309999999999</v>
      </c>
      <c r="X5435">
        <v>0.98019460000000003</v>
      </c>
      <c r="Y5435">
        <v>-0.18930659999999999</v>
      </c>
      <c r="Z5435">
        <v>-4.5242579999999998E-3</v>
      </c>
      <c r="AA5435">
        <v>0.98190759999999999</v>
      </c>
      <c r="AB5435">
        <v>34</v>
      </c>
      <c r="AC5435">
        <v>-31.8066999999999</v>
      </c>
      <c r="AD5435">
        <v>-1.110386301251</v>
      </c>
      <c r="AE5435">
        <v>-5.8853</v>
      </c>
      <c r="AF5435">
        <v>-6.1835499191991499</v>
      </c>
      <c r="AG5435">
        <v>-1.110386301251</v>
      </c>
      <c r="AH5435">
        <v>31.7112766661125</v>
      </c>
      <c r="AI5435">
        <v>91.968378319468997</v>
      </c>
      <c r="AJ5435">
        <v>101.033949598935</v>
      </c>
      <c r="AK5435">
        <v>32.327609177543103</v>
      </c>
      <c r="AL5435">
        <v>80.064868510729198</v>
      </c>
      <c r="AM5435">
        <v>95.664074874643404</v>
      </c>
      <c r="AN5435">
        <v>1.00000001325641</v>
      </c>
    </row>
    <row r="5436" spans="1:40" x14ac:dyDescent="0.25">
      <c r="A5436" t="str">
        <f>"20190304154905746"</f>
        <v>20190304154905746</v>
      </c>
      <c r="B5436" t="str">
        <f>"1551685745742799"</f>
        <v>1551685745742799</v>
      </c>
      <c r="C5436" t="s">
        <v>40</v>
      </c>
      <c r="D5436">
        <v>4.2611980000000003</v>
      </c>
      <c r="E5436">
        <v>0.46315539999999999</v>
      </c>
      <c r="F5436" t="s">
        <v>44</v>
      </c>
      <c r="G5436">
        <v>-380.5994</v>
      </c>
      <c r="H5436" s="1">
        <v>-4.7180270000000001E-6</v>
      </c>
      <c r="I5436">
        <v>135.65360000000001</v>
      </c>
      <c r="J5436">
        <v>-347.55560000000003</v>
      </c>
      <c r="K5436">
        <v>1.1103940000000001</v>
      </c>
      <c r="L5436">
        <v>141.8098</v>
      </c>
      <c r="M5436">
        <v>-0.99989240000000001</v>
      </c>
      <c r="N5436">
        <v>-1.109104E-2</v>
      </c>
      <c r="O5436">
        <v>9.6017180000000004E-3</v>
      </c>
      <c r="P5436">
        <v>-0.98258630000000002</v>
      </c>
      <c r="Q5436">
        <v>0.1634292</v>
      </c>
      <c r="R5436">
        <v>-8.8402930000000005E-2</v>
      </c>
      <c r="S5436">
        <v>-3.0189210000000002</v>
      </c>
      <c r="T5436">
        <v>-0.10041949999999999</v>
      </c>
      <c r="U5436">
        <v>-0.55644229999999995</v>
      </c>
      <c r="V5436">
        <v>-9.7832000000000002E-2</v>
      </c>
      <c r="W5436">
        <v>0.1743082</v>
      </c>
      <c r="X5436">
        <v>0.97981910000000005</v>
      </c>
      <c r="Y5436">
        <v>-0.19056049999999999</v>
      </c>
      <c r="Z5436">
        <v>-4.4191569999999999E-3</v>
      </c>
      <c r="AA5436">
        <v>0.98166549999999997</v>
      </c>
      <c r="AB5436">
        <v>34</v>
      </c>
      <c r="AC5436">
        <v>-33.043799999999898</v>
      </c>
      <c r="AD5436">
        <v>-1.1103987180270001</v>
      </c>
      <c r="AE5436">
        <v>-6.1561999999999797</v>
      </c>
      <c r="AF5436">
        <v>-6.4661561750959802</v>
      </c>
      <c r="AG5436">
        <v>-1.1103987180270001</v>
      </c>
      <c r="AH5436">
        <v>32.947206277943302</v>
      </c>
      <c r="AI5436">
        <v>91.894165297925099</v>
      </c>
      <c r="AJ5436">
        <v>101.10363592007501</v>
      </c>
      <c r="AK5436">
        <v>33.594085231109901</v>
      </c>
      <c r="AL5436">
        <v>79.961597435264906</v>
      </c>
      <c r="AM5436">
        <v>95.701913680872295</v>
      </c>
      <c r="AN5436">
        <v>0.99999995876802406</v>
      </c>
    </row>
    <row r="5437" spans="1:40" x14ac:dyDescent="0.25">
      <c r="A5437" t="str">
        <f>"20190304154905768"</f>
        <v>20190304154905768</v>
      </c>
      <c r="B5437" t="str">
        <f>"1551685745762320"</f>
        <v>1551685745762320</v>
      </c>
      <c r="C5437" t="s">
        <v>40</v>
      </c>
      <c r="D5437">
        <v>4.2853250000000003</v>
      </c>
      <c r="E5437">
        <v>0.46337600000000001</v>
      </c>
      <c r="F5437" t="s">
        <v>44</v>
      </c>
      <c r="G5437">
        <v>-383.77280000000002</v>
      </c>
      <c r="H5437" s="1">
        <v>-3.4506980000000002E-6</v>
      </c>
      <c r="I5437">
        <v>135.12350000000001</v>
      </c>
      <c r="J5437">
        <v>-347.88670000000002</v>
      </c>
      <c r="K5437">
        <v>1.1103959999999999</v>
      </c>
      <c r="L5437">
        <v>141.81290000000001</v>
      </c>
      <c r="M5437">
        <v>-0.99989260000000002</v>
      </c>
      <c r="N5437">
        <v>-1.1093159999999999E-2</v>
      </c>
      <c r="O5437">
        <v>9.589307E-3</v>
      </c>
      <c r="P5437">
        <v>-0.98205830000000005</v>
      </c>
      <c r="Q5437">
        <v>0.16592470000000001</v>
      </c>
      <c r="R5437">
        <v>-8.9614890000000003E-2</v>
      </c>
      <c r="S5437">
        <v>-3.0184630000000001</v>
      </c>
      <c r="T5437">
        <v>-9.2544559999999998E-2</v>
      </c>
      <c r="U5437">
        <v>-0.55725100000000005</v>
      </c>
      <c r="V5437">
        <v>-9.9026749999999997E-2</v>
      </c>
      <c r="W5437">
        <v>0.17679990000000001</v>
      </c>
      <c r="X5437">
        <v>0.97925249999999997</v>
      </c>
      <c r="Y5437">
        <v>-0.19084770000000001</v>
      </c>
      <c r="Z5437">
        <v>-4.1543379999999996E-3</v>
      </c>
      <c r="AA5437">
        <v>0.98161089999999995</v>
      </c>
      <c r="AB5437">
        <v>34</v>
      </c>
      <c r="AC5437">
        <v>-35.886099999999999</v>
      </c>
      <c r="AD5437">
        <v>-1.1103994506979999</v>
      </c>
      <c r="AE5437">
        <v>-6.6894</v>
      </c>
      <c r="AF5437">
        <v>-7.0267346868591396</v>
      </c>
      <c r="AG5437">
        <v>-1.1103994506979999</v>
      </c>
      <c r="AH5437">
        <v>35.787186110044601</v>
      </c>
      <c r="AI5437">
        <v>91.743917594920703</v>
      </c>
      <c r="AJ5437">
        <v>101.108583649548</v>
      </c>
      <c r="AK5437">
        <v>36.487404360608998</v>
      </c>
      <c r="AL5437">
        <v>79.816581585865606</v>
      </c>
      <c r="AM5437">
        <v>95.774396347189693</v>
      </c>
      <c r="AN5437">
        <v>0.99999998030591097</v>
      </c>
    </row>
    <row r="5438" spans="1:40" x14ac:dyDescent="0.25">
      <c r="A5438" t="str">
        <f>"20190304154905790"</f>
        <v>20190304154905790</v>
      </c>
      <c r="B5438" t="str">
        <f>"1551685745782815"</f>
        <v>1551685745782815</v>
      </c>
      <c r="C5438" t="s">
        <v>40</v>
      </c>
      <c r="D5438">
        <v>4.2746300000000002</v>
      </c>
      <c r="E5438">
        <v>0.46352910000000003</v>
      </c>
      <c r="F5438" t="s">
        <v>44</v>
      </c>
      <c r="G5438">
        <v>-387.3528</v>
      </c>
      <c r="H5438" s="1">
        <v>-2.2483839999999999E-6</v>
      </c>
      <c r="I5438">
        <v>134.49930000000001</v>
      </c>
      <c r="J5438">
        <v>-348.2269</v>
      </c>
      <c r="K5438">
        <v>1.110403</v>
      </c>
      <c r="L5438">
        <v>141.81620000000001</v>
      </c>
      <c r="M5438">
        <v>-0.99989280000000003</v>
      </c>
      <c r="N5438">
        <v>-1.109535E-2</v>
      </c>
      <c r="O5438">
        <v>9.5758779999999995E-3</v>
      </c>
      <c r="P5438">
        <v>-0.98168180000000005</v>
      </c>
      <c r="Q5438">
        <v>0.16731979999999999</v>
      </c>
      <c r="R5438">
        <v>-9.1133710000000007E-2</v>
      </c>
      <c r="S5438">
        <v>-3.0181879999999999</v>
      </c>
      <c r="T5438">
        <v>-8.4918259999999995E-2</v>
      </c>
      <c r="U5438">
        <v>-0.55931090000000006</v>
      </c>
      <c r="V5438">
        <v>-0.1005288</v>
      </c>
      <c r="W5438">
        <v>0.17819270000000001</v>
      </c>
      <c r="X5438">
        <v>0.97884689999999996</v>
      </c>
      <c r="Y5438">
        <v>-0.19151460000000001</v>
      </c>
      <c r="Z5438">
        <v>-3.904505E-3</v>
      </c>
      <c r="AA5438">
        <v>0.98148199999999997</v>
      </c>
      <c r="AB5438">
        <v>34</v>
      </c>
      <c r="AC5438">
        <v>-39.125900000000001</v>
      </c>
      <c r="AD5438">
        <v>-1.1104052483839999</v>
      </c>
      <c r="AE5438">
        <v>-7.3169000000000004</v>
      </c>
      <c r="AF5438">
        <v>-7.6852714362224299</v>
      </c>
      <c r="AG5438">
        <v>-1.1104052483839999</v>
      </c>
      <c r="AH5438">
        <v>39.023666606465603</v>
      </c>
      <c r="AI5438">
        <v>91.599191460424905</v>
      </c>
      <c r="AJ5438">
        <v>101.141181971439</v>
      </c>
      <c r="AK5438">
        <v>39.7887289603052</v>
      </c>
      <c r="AL5438">
        <v>79.735492288097603</v>
      </c>
      <c r="AM5438">
        <v>95.863789634870102</v>
      </c>
      <c r="AN5438">
        <v>0.99999996580116901</v>
      </c>
    </row>
    <row r="5439" spans="1:40" x14ac:dyDescent="0.25">
      <c r="A5439" t="str">
        <f>"20190304154905814"</f>
        <v>20190304154905814</v>
      </c>
      <c r="B5439" t="str">
        <f>"1551685745802335"</f>
        <v>1551685745802335</v>
      </c>
      <c r="C5439" t="s">
        <v>40</v>
      </c>
      <c r="D5439">
        <v>4.2685040000000001</v>
      </c>
      <c r="E5439">
        <v>0.46358929999999998</v>
      </c>
      <c r="F5439" t="s">
        <v>44</v>
      </c>
      <c r="G5439">
        <v>-389.26339999999999</v>
      </c>
      <c r="H5439" s="1">
        <v>-1.6856509999999999E-6</v>
      </c>
      <c r="I5439">
        <v>134.17060000000001</v>
      </c>
      <c r="J5439">
        <v>-348.5616</v>
      </c>
      <c r="K5439">
        <v>1.110406</v>
      </c>
      <c r="L5439">
        <v>141.8194</v>
      </c>
      <c r="M5439">
        <v>-0.99989280000000003</v>
      </c>
      <c r="N5439">
        <v>-1.109751E-2</v>
      </c>
      <c r="O5439">
        <v>9.5624500000000001E-3</v>
      </c>
      <c r="P5439">
        <v>-0.98144019999999998</v>
      </c>
      <c r="Q5439">
        <v>0.16781289999999999</v>
      </c>
      <c r="R5439">
        <v>-9.2814480000000005E-2</v>
      </c>
      <c r="S5439">
        <v>-3.0177</v>
      </c>
      <c r="T5439">
        <v>-8.1655859999999997E-2</v>
      </c>
      <c r="U5439">
        <v>-0.56222530000000004</v>
      </c>
      <c r="V5439">
        <v>-0.1021941</v>
      </c>
      <c r="W5439">
        <v>0.17868489999999901</v>
      </c>
      <c r="X5439">
        <v>0.97858469999999997</v>
      </c>
      <c r="Y5439">
        <v>-0.1924524</v>
      </c>
      <c r="Z5439">
        <v>-3.8097600000000001E-3</v>
      </c>
      <c r="AA5439">
        <v>0.98129889999999997</v>
      </c>
      <c r="AB5439">
        <v>34</v>
      </c>
      <c r="AC5439">
        <v>-40.701799999999899</v>
      </c>
      <c r="AD5439">
        <v>-1.1104076856509999</v>
      </c>
      <c r="AE5439">
        <v>-7.6487999999999898</v>
      </c>
      <c r="AF5439">
        <v>-8.0319090046180897</v>
      </c>
      <c r="AG5439">
        <v>-1.1104076856509999</v>
      </c>
      <c r="AH5439">
        <v>40.5976076711462</v>
      </c>
      <c r="AI5439">
        <v>91.536962004938005</v>
      </c>
      <c r="AJ5439">
        <v>101.190990614943</v>
      </c>
      <c r="AK5439">
        <v>41.399399948636102</v>
      </c>
      <c r="AL5439">
        <v>79.706831382062305</v>
      </c>
      <c r="AM5439">
        <v>95.961817526695498</v>
      </c>
      <c r="AN5439">
        <v>0.99999997131845397</v>
      </c>
    </row>
    <row r="5440" spans="1:40" x14ac:dyDescent="0.25">
      <c r="A5440" t="str">
        <f>"20190304154905835"</f>
        <v>20190304154905835</v>
      </c>
      <c r="B5440" t="str">
        <f>"1551685745832591"</f>
        <v>1551685745832591</v>
      </c>
      <c r="C5440" t="s">
        <v>40</v>
      </c>
      <c r="D5440">
        <v>4.2668530000000002</v>
      </c>
      <c r="E5440">
        <v>0.46366259999999998</v>
      </c>
      <c r="F5440" t="s">
        <v>44</v>
      </c>
      <c r="G5440">
        <v>-389.71289999999999</v>
      </c>
      <c r="H5440" s="1">
        <v>-1.5518609999999999E-6</v>
      </c>
      <c r="I5440">
        <v>134.0985</v>
      </c>
      <c r="J5440">
        <v>-348.89370000000002</v>
      </c>
      <c r="K5440">
        <v>1.1104149999999999</v>
      </c>
      <c r="L5440">
        <v>141.82249999999999</v>
      </c>
      <c r="M5440">
        <v>-0.99989269999999997</v>
      </c>
      <c r="N5440">
        <v>-1.1099599999999999E-2</v>
      </c>
      <c r="O5440">
        <v>9.5493190000000006E-3</v>
      </c>
      <c r="P5440">
        <v>-0.98108309999999999</v>
      </c>
      <c r="Q5440">
        <v>0.1690055</v>
      </c>
      <c r="R5440">
        <v>-9.4408900000000004E-2</v>
      </c>
      <c r="S5440">
        <v>-3.0171199999999998</v>
      </c>
      <c r="T5440">
        <v>-8.1412670000000006E-2</v>
      </c>
      <c r="U5440">
        <v>-0.56607059999999998</v>
      </c>
      <c r="V5440">
        <v>-0.1037725</v>
      </c>
      <c r="W5440">
        <v>0.17987500000000001</v>
      </c>
      <c r="X5440">
        <v>0.97820050000000003</v>
      </c>
      <c r="Y5440">
        <v>-0.19368160000000001</v>
      </c>
      <c r="Z5440">
        <v>-3.824952E-3</v>
      </c>
      <c r="AA5440">
        <v>0.98105699999999996</v>
      </c>
      <c r="AB5440">
        <v>34</v>
      </c>
      <c r="AC5440">
        <v>-40.819199999999903</v>
      </c>
      <c r="AD5440">
        <v>-1.1104165518610001</v>
      </c>
      <c r="AE5440">
        <v>-7.7239999999999798</v>
      </c>
      <c r="AF5440">
        <v>-8.1076749592595192</v>
      </c>
      <c r="AG5440">
        <v>-1.1104165518610001</v>
      </c>
      <c r="AH5440">
        <v>40.714487124383098</v>
      </c>
      <c r="AI5440">
        <v>91.532185993488596</v>
      </c>
      <c r="AJ5440">
        <v>101.26226389163099</v>
      </c>
      <c r="AK5440">
        <v>41.5287476329976</v>
      </c>
      <c r="AL5440">
        <v>79.637520823711597</v>
      </c>
      <c r="AM5440">
        <v>96.0555798026774</v>
      </c>
      <c r="AN5440">
        <v>0.99999998279074898</v>
      </c>
    </row>
    <row r="5441" spans="1:40" x14ac:dyDescent="0.25">
      <c r="A5441" t="str">
        <f>"20190304154905857"</f>
        <v>20190304154905857</v>
      </c>
      <c r="B5441" t="str">
        <f>"1551685745853088"</f>
        <v>1551685745853088</v>
      </c>
      <c r="C5441" t="s">
        <v>40</v>
      </c>
      <c r="D5441">
        <v>4.2781779999999996</v>
      </c>
      <c r="E5441">
        <v>0.46371630000000003</v>
      </c>
      <c r="F5441" t="s">
        <v>44</v>
      </c>
      <c r="G5441">
        <v>-391.79230000000001</v>
      </c>
      <c r="H5441" s="1">
        <v>-4.54952099999999E-6</v>
      </c>
      <c r="I5441">
        <v>133.71860000000001</v>
      </c>
      <c r="J5441">
        <v>-349.2346</v>
      </c>
      <c r="K5441">
        <v>1.110417</v>
      </c>
      <c r="L5441">
        <v>141.82570000000001</v>
      </c>
      <c r="M5441">
        <v>-0.99989289999999997</v>
      </c>
      <c r="N5441">
        <v>-1.1101659999999999E-2</v>
      </c>
      <c r="O5441">
        <v>9.5352389999999992E-3</v>
      </c>
      <c r="P5441">
        <v>-0.98068509999999998</v>
      </c>
      <c r="Q5441">
        <v>0.17065569999999999</v>
      </c>
      <c r="R5441">
        <v>-9.5568570000000005E-2</v>
      </c>
      <c r="S5441">
        <v>-3.0164789999999999</v>
      </c>
      <c r="T5441">
        <v>-7.808089E-2</v>
      </c>
      <c r="U5441">
        <v>-0.56983950000000005</v>
      </c>
      <c r="V5441">
        <v>-0.1049151</v>
      </c>
      <c r="W5441">
        <v>0.18152260000000001</v>
      </c>
      <c r="X5441">
        <v>0.97777420000000004</v>
      </c>
      <c r="Y5441">
        <v>-0.1948954</v>
      </c>
      <c r="Z5441">
        <v>-3.7312600000000001E-3</v>
      </c>
      <c r="AA5441">
        <v>0.98081700000000005</v>
      </c>
      <c r="AB5441">
        <v>34</v>
      </c>
      <c r="AC5441">
        <v>-42.557699999999997</v>
      </c>
      <c r="AD5441">
        <v>-1.1104215495209999</v>
      </c>
      <c r="AE5441">
        <v>-8.1071000000000009</v>
      </c>
      <c r="AF5441">
        <v>-8.50696551658109</v>
      </c>
      <c r="AG5441">
        <v>-1.1104215495209999</v>
      </c>
      <c r="AH5441">
        <v>42.450568823062703</v>
      </c>
      <c r="AI5441">
        <v>91.469203461060701</v>
      </c>
      <c r="AJ5441">
        <v>101.331800906954</v>
      </c>
      <c r="AK5441">
        <v>43.308801550256703</v>
      </c>
      <c r="AL5441">
        <v>79.541540579230698</v>
      </c>
      <c r="AM5441">
        <v>96.124400704321005</v>
      </c>
      <c r="AN5441">
        <v>1.0000000093521999</v>
      </c>
    </row>
    <row r="5442" spans="1:40" x14ac:dyDescent="0.25">
      <c r="A5442" t="str">
        <f>"20190304154905875"</f>
        <v>20190304154905875</v>
      </c>
      <c r="B5442" t="str">
        <f>"1551685745872607"</f>
        <v>1551685745872607</v>
      </c>
      <c r="C5442" t="s">
        <v>40</v>
      </c>
      <c r="D5442">
        <v>4.2483380000000004</v>
      </c>
      <c r="E5442">
        <v>0.46380870000000002</v>
      </c>
      <c r="F5442" t="s">
        <v>44</v>
      </c>
      <c r="G5442">
        <v>-394.67939999999999</v>
      </c>
      <c r="H5442" s="1">
        <v>-3.5039980000000002E-6</v>
      </c>
      <c r="I5442">
        <v>133.1995</v>
      </c>
      <c r="J5442">
        <v>-349.4966</v>
      </c>
      <c r="K5442">
        <v>1.110419</v>
      </c>
      <c r="L5442">
        <v>141.82820000000001</v>
      </c>
      <c r="M5442">
        <v>-0.99989300000000003</v>
      </c>
      <c r="N5442">
        <v>-1.1103429999999999E-2</v>
      </c>
      <c r="O5442">
        <v>9.5237829999999992E-3</v>
      </c>
      <c r="P5442">
        <v>-0.98041369999999906</v>
      </c>
      <c r="Q5442">
        <v>0.17185049999999999</v>
      </c>
      <c r="R5442">
        <v>-9.6211130000000006E-2</v>
      </c>
      <c r="S5442">
        <v>-3.0161129999999998</v>
      </c>
      <c r="T5442">
        <v>-7.3697209999999999E-2</v>
      </c>
      <c r="U5442">
        <v>-0.57250979999999996</v>
      </c>
      <c r="V5442">
        <v>-0.1055437</v>
      </c>
      <c r="W5442">
        <v>0.18271580000000001</v>
      </c>
      <c r="X5442">
        <v>0.97748420000000003</v>
      </c>
      <c r="Y5442">
        <v>-0.19575229999999999</v>
      </c>
      <c r="Z5442">
        <v>-3.592572E-3</v>
      </c>
      <c r="AA5442">
        <v>0.98064680000000004</v>
      </c>
      <c r="AB5442">
        <v>34</v>
      </c>
      <c r="AC5442">
        <v>-45.182799999999901</v>
      </c>
      <c r="AD5442">
        <v>-1.110422503998</v>
      </c>
      <c r="AE5442">
        <v>-8.6287000000000091</v>
      </c>
      <c r="AF5442">
        <v>-9.0533705902659598</v>
      </c>
      <c r="AG5442">
        <v>-1.110422503998</v>
      </c>
      <c r="AH5442">
        <v>45.072302339137799</v>
      </c>
      <c r="AI5442">
        <v>91.383654928345095</v>
      </c>
      <c r="AJ5442">
        <v>101.357484601735</v>
      </c>
      <c r="AK5442">
        <v>45.985965199533702</v>
      </c>
      <c r="AL5442">
        <v>79.4720118497914</v>
      </c>
      <c r="AM5442">
        <v>96.162627492053701</v>
      </c>
      <c r="AN5442">
        <v>0.99999994871448294</v>
      </c>
    </row>
    <row r="5443" spans="1:40" x14ac:dyDescent="0.25">
      <c r="A5443" t="str">
        <f>"20190304154905892"</f>
        <v>20190304154905892</v>
      </c>
      <c r="B5443" t="str">
        <f>"1551685745882367"</f>
        <v>1551685745882367</v>
      </c>
      <c r="C5443" t="s">
        <v>40</v>
      </c>
      <c r="D5443">
        <v>4.2386679999999997</v>
      </c>
      <c r="E5443">
        <v>0.46383099999999999</v>
      </c>
      <c r="F5443" t="s">
        <v>44</v>
      </c>
      <c r="G5443">
        <v>-396.6651</v>
      </c>
      <c r="H5443" s="1">
        <v>-2.9186019999999999E-6</v>
      </c>
      <c r="I5443">
        <v>132.85990000000001</v>
      </c>
      <c r="J5443">
        <v>-349.75310000000002</v>
      </c>
      <c r="K5443">
        <v>1.1104309999999999</v>
      </c>
      <c r="L5443">
        <v>141.8306</v>
      </c>
      <c r="M5443">
        <v>-0.99989320000000004</v>
      </c>
      <c r="N5443">
        <v>-1.1105189999999999E-2</v>
      </c>
      <c r="O5443">
        <v>9.5111859999999996E-3</v>
      </c>
      <c r="P5443">
        <v>-0.98013419999999896</v>
      </c>
      <c r="Q5443">
        <v>0.1730227</v>
      </c>
      <c r="R5443">
        <v>-9.6954970000000001E-2</v>
      </c>
      <c r="S5443">
        <v>-3.0160830000000001</v>
      </c>
      <c r="T5443">
        <v>-7.1003319999999995E-2</v>
      </c>
      <c r="U5443">
        <v>-0.57345579999999996</v>
      </c>
      <c r="V5443">
        <v>-0.1062723</v>
      </c>
      <c r="W5443">
        <v>0.18388679999999999</v>
      </c>
      <c r="X5443">
        <v>0.97718570000000005</v>
      </c>
      <c r="Y5443">
        <v>-0.19604369999999999</v>
      </c>
      <c r="Z5443">
        <v>-3.5025379999999999E-3</v>
      </c>
      <c r="AA5443">
        <v>0.98058889999999999</v>
      </c>
      <c r="AB5443">
        <v>34</v>
      </c>
      <c r="AC5443">
        <v>-46.9119999999999</v>
      </c>
      <c r="AD5443">
        <v>-1.110433918602</v>
      </c>
      <c r="AE5443">
        <v>-8.9706999999999901</v>
      </c>
      <c r="AF5443">
        <v>-9.4114232503356305</v>
      </c>
      <c r="AG5443">
        <v>-1.110433918602</v>
      </c>
      <c r="AH5443">
        <v>46.799254118026198</v>
      </c>
      <c r="AI5443">
        <v>91.332567337042505</v>
      </c>
      <c r="AJ5443">
        <v>101.37063066393399</v>
      </c>
      <c r="AK5443">
        <v>47.749116610552399</v>
      </c>
      <c r="AL5443">
        <v>79.403762927415301</v>
      </c>
      <c r="AM5443">
        <v>96.206719847583699</v>
      </c>
      <c r="AN5443">
        <v>1.0000000246230001</v>
      </c>
    </row>
    <row r="5444" spans="1:40" x14ac:dyDescent="0.25">
      <c r="A5444" t="str">
        <f>"20190304154905914"</f>
        <v>20190304154905914</v>
      </c>
      <c r="B5444" t="str">
        <f>"1551685745902864"</f>
        <v>1551685745902864</v>
      </c>
      <c r="C5444" t="s">
        <v>40</v>
      </c>
      <c r="D5444">
        <v>4.2237539999999996</v>
      </c>
      <c r="E5444">
        <v>0.46386280000000002</v>
      </c>
      <c r="F5444" t="s">
        <v>44</v>
      </c>
      <c r="G5444">
        <v>-399.11419999999998</v>
      </c>
      <c r="H5444" s="1">
        <v>-2.2043339999999999E-6</v>
      </c>
      <c r="I5444">
        <v>132.41200000000001</v>
      </c>
      <c r="J5444">
        <v>-350.08670000000001</v>
      </c>
      <c r="K5444">
        <v>1.1104369999999999</v>
      </c>
      <c r="L5444">
        <v>141.8338</v>
      </c>
      <c r="M5444">
        <v>-0.99989340000000004</v>
      </c>
      <c r="N5444">
        <v>-1.110802E-2</v>
      </c>
      <c r="O5444">
        <v>9.4871539999999994E-3</v>
      </c>
      <c r="P5444">
        <v>-0.97998200000000002</v>
      </c>
      <c r="Q5444">
        <v>0.17396710000000001</v>
      </c>
      <c r="R5444">
        <v>-9.6804950000000001E-2</v>
      </c>
      <c r="S5444">
        <v>-3.0158689999999999</v>
      </c>
      <c r="T5444">
        <v>-6.7845459999999996E-2</v>
      </c>
      <c r="U5444">
        <v>-0.57545469999999999</v>
      </c>
      <c r="V5444">
        <v>-0.1060994</v>
      </c>
      <c r="W5444">
        <v>0.1848311</v>
      </c>
      <c r="X5444">
        <v>0.97702630000000001</v>
      </c>
      <c r="Y5444">
        <v>-0.1966656</v>
      </c>
      <c r="Z5444">
        <v>-3.4014660000000001E-3</v>
      </c>
      <c r="AA5444">
        <v>0.98046480000000003</v>
      </c>
      <c r="AB5444">
        <v>34</v>
      </c>
      <c r="AC5444">
        <v>-49.027499999999897</v>
      </c>
      <c r="AD5444">
        <v>-1.1104392043339999</v>
      </c>
      <c r="AE5444">
        <v>-9.4217999999999904</v>
      </c>
      <c r="AF5444">
        <v>-9.8816473637996403</v>
      </c>
      <c r="AG5444">
        <v>-1.1104392043339999</v>
      </c>
      <c r="AH5444">
        <v>48.911704072671</v>
      </c>
      <c r="AI5444">
        <v>91.274811342229398</v>
      </c>
      <c r="AJ5444">
        <v>101.421743415252</v>
      </c>
      <c r="AK5444">
        <v>49.912271288146599</v>
      </c>
      <c r="AL5444">
        <v>79.348714727083305</v>
      </c>
      <c r="AM5444">
        <v>96.197703545097994</v>
      </c>
      <c r="AN5444">
        <v>1.00000000454963</v>
      </c>
    </row>
    <row r="5445" spans="1:40" x14ac:dyDescent="0.25">
      <c r="A5445" t="str">
        <f>"20190304154905937"</f>
        <v>20190304154905937</v>
      </c>
      <c r="B5445" t="str">
        <f>"1551685745933119"</f>
        <v>1551685745933119</v>
      </c>
      <c r="C5445" t="s">
        <v>40</v>
      </c>
      <c r="D5445">
        <v>4.2126769999999896</v>
      </c>
      <c r="E5445">
        <v>0.46390239999999999</v>
      </c>
      <c r="F5445" t="s">
        <v>79</v>
      </c>
      <c r="G5445">
        <v>-401.42759999999998</v>
      </c>
      <c r="H5445" s="1">
        <v>-2.1681130000000002E-6</v>
      </c>
      <c r="I5445">
        <v>132.0401</v>
      </c>
      <c r="J5445">
        <v>-350.42360000000002</v>
      </c>
      <c r="K5445">
        <v>1.1104560000000001</v>
      </c>
      <c r="L5445">
        <v>141.83699999999999</v>
      </c>
      <c r="M5445">
        <v>-0.99989349999999999</v>
      </c>
      <c r="N5445">
        <v>-1.111672E-2</v>
      </c>
      <c r="O5445">
        <v>9.4507540000000004E-3</v>
      </c>
      <c r="P5445">
        <v>-0.97983900000000002</v>
      </c>
      <c r="Q5445">
        <v>0.17526220000000001</v>
      </c>
      <c r="R5445">
        <v>-9.591131E-2</v>
      </c>
      <c r="S5445">
        <v>-3.016022</v>
      </c>
      <c r="T5445">
        <v>-6.5232750000000006E-2</v>
      </c>
      <c r="U5445">
        <v>-0.57533259999999997</v>
      </c>
      <c r="V5445">
        <v>-0.1051726</v>
      </c>
      <c r="W5445">
        <v>0.1861305</v>
      </c>
      <c r="X5445">
        <v>0.97687979999999996</v>
      </c>
      <c r="Y5445">
        <v>-0.19658709999999999</v>
      </c>
      <c r="Z5445">
        <v>-3.3079229999999999E-3</v>
      </c>
      <c r="AA5445">
        <v>0.98048080000000004</v>
      </c>
      <c r="AB5445">
        <v>34</v>
      </c>
      <c r="AC5445">
        <v>-51.003999999999898</v>
      </c>
      <c r="AD5445">
        <v>-1.1104581681129999</v>
      </c>
      <c r="AE5445">
        <v>-9.7969000000000204</v>
      </c>
      <c r="AF5445">
        <v>-10.273821785450901</v>
      </c>
      <c r="AG5445">
        <v>-1.1104581681129999</v>
      </c>
      <c r="AH5445">
        <v>50.885865493104603</v>
      </c>
      <c r="AI5445">
        <v>91.225421371978001</v>
      </c>
      <c r="AJ5445">
        <v>101.414531828327</v>
      </c>
      <c r="AK5445">
        <v>51.924520589069203</v>
      </c>
      <c r="AL5445">
        <v>79.272949761383799</v>
      </c>
      <c r="AM5445">
        <v>96.144895548797507</v>
      </c>
      <c r="AN5445">
        <v>0.99999999123452399</v>
      </c>
    </row>
    <row r="5446" spans="1:40" x14ac:dyDescent="0.25">
      <c r="A5446" t="str">
        <f>"20190304154905958"</f>
        <v>20190304154905958</v>
      </c>
      <c r="B5446" t="str">
        <f>"1551685745952639"</f>
        <v>1551685745952639</v>
      </c>
      <c r="C5446" t="s">
        <v>40</v>
      </c>
      <c r="D5446">
        <v>4.2102559999999896</v>
      </c>
      <c r="E5446">
        <v>0.46394879999999999</v>
      </c>
      <c r="F5446" t="s">
        <v>79</v>
      </c>
      <c r="G5446">
        <v>-404.3544</v>
      </c>
      <c r="H5446" s="1">
        <v>-3.5505690000000001E-6</v>
      </c>
      <c r="I5446">
        <v>131.59229999999999</v>
      </c>
      <c r="J5446">
        <v>-350.76350000000002</v>
      </c>
      <c r="K5446">
        <v>1.110484</v>
      </c>
      <c r="L5446">
        <v>141.84010000000001</v>
      </c>
      <c r="M5446">
        <v>-0.9998939</v>
      </c>
      <c r="N5446">
        <v>-1.1133769999999999E-2</v>
      </c>
      <c r="O5446">
        <v>9.3955840000000002E-3</v>
      </c>
      <c r="P5446">
        <v>-0.97956140000000003</v>
      </c>
      <c r="Q5446">
        <v>0.17747650000000001</v>
      </c>
      <c r="R5446">
        <v>-9.46655E-2</v>
      </c>
      <c r="S5446">
        <v>-3.0167540000000002</v>
      </c>
      <c r="T5446">
        <v>-6.2116270000000001E-2</v>
      </c>
      <c r="U5446">
        <v>-0.57305909999999904</v>
      </c>
      <c r="V5446">
        <v>-0.10387639999999999</v>
      </c>
      <c r="W5446">
        <v>0.18835540000000001</v>
      </c>
      <c r="X5446">
        <v>0.97659200000000002</v>
      </c>
      <c r="Y5446">
        <v>-0.1957816</v>
      </c>
      <c r="Z5446">
        <v>-3.1854140000000001E-3</v>
      </c>
      <c r="AA5446">
        <v>0.98064229999999997</v>
      </c>
      <c r="AB5446">
        <v>34</v>
      </c>
      <c r="AC5446">
        <v>-53.590899999999898</v>
      </c>
      <c r="AD5446">
        <v>-1.1104875505689999</v>
      </c>
      <c r="AE5446">
        <v>-10.2478</v>
      </c>
      <c r="AF5446">
        <v>-10.746445044028</v>
      </c>
      <c r="AG5446">
        <v>-1.1104875505689999</v>
      </c>
      <c r="AH5446">
        <v>53.470094941071103</v>
      </c>
      <c r="AI5446">
        <v>91.166451331659403</v>
      </c>
      <c r="AJ5446">
        <v>101.363938660923</v>
      </c>
      <c r="AK5446">
        <v>54.550621597663202</v>
      </c>
      <c r="AL5446">
        <v>79.143177227716805</v>
      </c>
      <c r="AM5446">
        <v>96.071506974475099</v>
      </c>
      <c r="AN5446">
        <v>0.99999999882505997</v>
      </c>
    </row>
    <row r="5447" spans="1:40" x14ac:dyDescent="0.25">
      <c r="A5447" t="str">
        <f>"20190304154905980"</f>
        <v>20190304154905980</v>
      </c>
      <c r="B5447" t="str">
        <f>"1551685745972159"</f>
        <v>1551685745972159</v>
      </c>
      <c r="C5447" t="s">
        <v>40</v>
      </c>
      <c r="D5447">
        <v>4.2163940000000002</v>
      </c>
      <c r="E5447">
        <v>0.46395120000000001</v>
      </c>
      <c r="F5447" t="s">
        <v>79</v>
      </c>
      <c r="G5447">
        <v>-410.12880000000001</v>
      </c>
      <c r="H5447" s="1">
        <v>-6.7429460000000003E-6</v>
      </c>
      <c r="I5447">
        <v>130.6498</v>
      </c>
      <c r="J5447">
        <v>-351.10860000000002</v>
      </c>
      <c r="K5447">
        <v>1.110522</v>
      </c>
      <c r="L5447">
        <v>141.8433</v>
      </c>
      <c r="M5447">
        <v>-0.99989459999999997</v>
      </c>
      <c r="N5447">
        <v>-1.1154580000000001E-2</v>
      </c>
      <c r="O5447">
        <v>9.3123489999999993E-3</v>
      </c>
      <c r="P5447">
        <v>-0.97930490000000003</v>
      </c>
      <c r="Q5447">
        <v>0.17949590000000001</v>
      </c>
      <c r="R5447">
        <v>-9.3507199999999999E-2</v>
      </c>
      <c r="S5447">
        <v>-3.0178530000000001</v>
      </c>
      <c r="T5447">
        <v>-5.6452160000000001E-2</v>
      </c>
      <c r="U5447">
        <v>-0.56886289999999995</v>
      </c>
      <c r="V5447">
        <v>-0.1026437</v>
      </c>
      <c r="W5447">
        <v>0.19038740000000001</v>
      </c>
      <c r="X5447">
        <v>0.97632830000000004</v>
      </c>
      <c r="Y5447">
        <v>-0.19432749999999999</v>
      </c>
      <c r="Z5447">
        <v>-2.9647480000000001E-3</v>
      </c>
      <c r="AA5447">
        <v>0.98093220000000003</v>
      </c>
      <c r="AB5447">
        <v>34</v>
      </c>
      <c r="AC5447">
        <v>-59.020199999999903</v>
      </c>
      <c r="AD5447">
        <v>-1.110528742946</v>
      </c>
      <c r="AE5447">
        <v>-11.1935</v>
      </c>
      <c r="AF5447">
        <v>-11.7386536671395</v>
      </c>
      <c r="AG5447">
        <v>-1.110528742946</v>
      </c>
      <c r="AH5447">
        <v>58.893269361123998</v>
      </c>
      <c r="AI5447">
        <v>91.059442128169195</v>
      </c>
      <c r="AJ5447">
        <v>101.27250913668701</v>
      </c>
      <c r="AK5447">
        <v>60.062021611396503</v>
      </c>
      <c r="AL5447">
        <v>79.0246069486914</v>
      </c>
      <c r="AM5447">
        <v>96.001593914999503</v>
      </c>
      <c r="AN5447">
        <v>1.0000000203046699</v>
      </c>
    </row>
    <row r="5448" spans="1:40" x14ac:dyDescent="0.25">
      <c r="A5448" t="str">
        <f>"20190304154905998"</f>
        <v>20190304154905998</v>
      </c>
      <c r="B5448" t="str">
        <f>"1551685745992655"</f>
        <v>1551685745992655</v>
      </c>
      <c r="C5448" t="s">
        <v>40</v>
      </c>
      <c r="D5448">
        <v>4.2017040000000003</v>
      </c>
      <c r="E5448">
        <v>0.4638852</v>
      </c>
      <c r="F5448" t="s">
        <v>79</v>
      </c>
      <c r="G5448">
        <v>-416.88060000000002</v>
      </c>
      <c r="H5448" s="1">
        <v>-5.85849E-6</v>
      </c>
      <c r="I5448">
        <v>129.52619999999999</v>
      </c>
      <c r="J5448">
        <v>-351.36700000000002</v>
      </c>
      <c r="K5448">
        <v>1.110549</v>
      </c>
      <c r="L5448">
        <v>141.84559999999999</v>
      </c>
      <c r="M5448">
        <v>-0.99989519999999998</v>
      </c>
      <c r="N5448">
        <v>-1.117014E-2</v>
      </c>
      <c r="O5448">
        <v>9.2267040000000005E-3</v>
      </c>
      <c r="P5448">
        <v>-0.97912339999999998</v>
      </c>
      <c r="Q5448">
        <v>0.18059929999999999</v>
      </c>
      <c r="R5448">
        <v>-9.3283599999999994E-2</v>
      </c>
      <c r="S5448">
        <v>-3.0187680000000001</v>
      </c>
      <c r="T5448">
        <v>-5.0970439999999999E-2</v>
      </c>
      <c r="U5448">
        <v>-0.56532289999999996</v>
      </c>
      <c r="V5448">
        <v>-0.1023432</v>
      </c>
      <c r="W5448">
        <v>0.19149910000000001</v>
      </c>
      <c r="X5448">
        <v>0.97614239999999997</v>
      </c>
      <c r="Y5448">
        <v>-0.19308639999999999</v>
      </c>
      <c r="Z5448">
        <v>-2.756091E-3</v>
      </c>
      <c r="AA5448">
        <v>0.98117790000000005</v>
      </c>
      <c r="AB5448">
        <v>34</v>
      </c>
      <c r="AC5448">
        <v>-65.513599999999997</v>
      </c>
      <c r="AD5448">
        <v>-1.11055485849</v>
      </c>
      <c r="AE5448">
        <v>-12.3194</v>
      </c>
      <c r="AF5448">
        <v>-12.9198019879246</v>
      </c>
      <c r="AG5448">
        <v>-1.11055485849</v>
      </c>
      <c r="AH5448">
        <v>65.378991122855993</v>
      </c>
      <c r="AI5448">
        <v>90.954697417194694</v>
      </c>
      <c r="AJ5448">
        <v>101.178420965418</v>
      </c>
      <c r="AK5448">
        <v>66.652585064222293</v>
      </c>
      <c r="AL5448">
        <v>78.9597172192708</v>
      </c>
      <c r="AM5448">
        <v>95.985282683685398</v>
      </c>
      <c r="AN5448">
        <v>1.0000000104824001</v>
      </c>
    </row>
    <row r="5449" spans="1:40" x14ac:dyDescent="0.25">
      <c r="A5449" t="str">
        <f>"20190304154906014"</f>
        <v>20190304154906014</v>
      </c>
      <c r="B5449" t="str">
        <f>"1551685746002415"</f>
        <v>1551685746002415</v>
      </c>
      <c r="C5449" t="s">
        <v>40</v>
      </c>
      <c r="D5449">
        <v>4.1904589999999997</v>
      </c>
      <c r="E5449">
        <v>0.4638371</v>
      </c>
      <c r="F5449" t="s">
        <v>79</v>
      </c>
      <c r="G5449">
        <v>-421.07929999999999</v>
      </c>
      <c r="H5449" s="1">
        <v>-5.5542400000000004E-6</v>
      </c>
      <c r="I5449">
        <v>128.79159999999999</v>
      </c>
      <c r="J5449">
        <v>-351.60219999999998</v>
      </c>
      <c r="K5449">
        <v>1.1105780000000001</v>
      </c>
      <c r="L5449">
        <v>141.8477</v>
      </c>
      <c r="M5449">
        <v>-0.99989589999999995</v>
      </c>
      <c r="N5449">
        <v>-1.1183820000000001E-2</v>
      </c>
      <c r="O5449">
        <v>9.1302029999999999E-3</v>
      </c>
      <c r="P5449">
        <v>-0.97884450000000001</v>
      </c>
      <c r="Q5449">
        <v>0.18229419999999999</v>
      </c>
      <c r="R5449">
        <v>-9.2911060000000004E-2</v>
      </c>
      <c r="S5449">
        <v>-3.0189819999999998</v>
      </c>
      <c r="T5449">
        <v>-4.8094030000000003E-2</v>
      </c>
      <c r="U5449">
        <v>-0.56532289999999996</v>
      </c>
      <c r="V5449">
        <v>-0.10188410000000001</v>
      </c>
      <c r="W5449">
        <v>0.1931995</v>
      </c>
      <c r="X5449">
        <v>0.97585529999999998</v>
      </c>
      <c r="Y5449">
        <v>-0.19298319999999999</v>
      </c>
      <c r="Z5449">
        <v>-2.6554209999999998E-3</v>
      </c>
      <c r="AA5449">
        <v>0.98119849999999997</v>
      </c>
      <c r="AB5449">
        <v>34</v>
      </c>
      <c r="AC5449">
        <v>-69.477099999999993</v>
      </c>
      <c r="AD5449">
        <v>-1.11058355424</v>
      </c>
      <c r="AE5449">
        <v>-13.056100000000001</v>
      </c>
      <c r="AF5449">
        <v>-13.686557503127499</v>
      </c>
      <c r="AG5449">
        <v>-1.11058355424</v>
      </c>
      <c r="AH5449">
        <v>69.337878800708296</v>
      </c>
      <c r="AI5449">
        <v>90.900259329556405</v>
      </c>
      <c r="AJ5449">
        <v>101.166033300235</v>
      </c>
      <c r="AK5449">
        <v>70.684486902707803</v>
      </c>
      <c r="AL5449">
        <v>78.860437353860107</v>
      </c>
      <c r="AM5449">
        <v>95.960367418557098</v>
      </c>
      <c r="AN5449">
        <v>0.99999999158557495</v>
      </c>
    </row>
    <row r="5450" spans="1:40" x14ac:dyDescent="0.25">
      <c r="A5450" t="str">
        <f>"20190304154906036"</f>
        <v>20190304154906036</v>
      </c>
      <c r="B5450" t="str">
        <f>"1551685746032672"</f>
        <v>1551685746032672</v>
      </c>
      <c r="C5450" t="s">
        <v>40</v>
      </c>
      <c r="D5450">
        <v>4.2068219999999998</v>
      </c>
      <c r="E5450">
        <v>0.46373340000000002</v>
      </c>
      <c r="F5450" t="s">
        <v>79</v>
      </c>
      <c r="G5450">
        <v>-429.28800000000001</v>
      </c>
      <c r="H5450" s="1">
        <v>-6.3155010000000002E-6</v>
      </c>
      <c r="I5450">
        <v>127.32389999999999</v>
      </c>
      <c r="J5450">
        <v>-351.94260000000003</v>
      </c>
      <c r="K5450">
        <v>1.1106149999999999</v>
      </c>
      <c r="L5450">
        <v>141.85059999999999</v>
      </c>
      <c r="M5450">
        <v>-0.99989720000000004</v>
      </c>
      <c r="N5450">
        <v>-1.120283E-2</v>
      </c>
      <c r="O5450">
        <v>8.948246E-3</v>
      </c>
      <c r="P5450">
        <v>-0.97852090000000003</v>
      </c>
      <c r="Q5450">
        <v>0.18385670000000001</v>
      </c>
      <c r="R5450">
        <v>-9.3239929999999999E-2</v>
      </c>
      <c r="S5450">
        <v>-3.0192570000000001</v>
      </c>
      <c r="T5450">
        <v>-4.3162819999999998E-2</v>
      </c>
      <c r="U5450">
        <v>-0.56446839999999998</v>
      </c>
      <c r="V5450">
        <v>-0.10204870000000001</v>
      </c>
      <c r="W5450">
        <v>0.19476850000000001</v>
      </c>
      <c r="X5450">
        <v>0.97552620000000001</v>
      </c>
      <c r="Y5450">
        <v>-0.19252659999999999</v>
      </c>
      <c r="Z5450">
        <v>-2.4795680000000001E-3</v>
      </c>
      <c r="AA5450">
        <v>0.98128859999999996</v>
      </c>
      <c r="AB5450">
        <v>34</v>
      </c>
      <c r="AC5450">
        <v>-77.345399999999898</v>
      </c>
      <c r="AD5450">
        <v>-1.1106213155010001</v>
      </c>
      <c r="AE5450">
        <v>-14.5266999999999</v>
      </c>
      <c r="AF5450">
        <v>-15.215237133808699</v>
      </c>
      <c r="AG5450">
        <v>-1.1106213155010001</v>
      </c>
      <c r="AH5450">
        <v>77.196931612543906</v>
      </c>
      <c r="AI5450">
        <v>90.808693522777602</v>
      </c>
      <c r="AJ5450">
        <v>101.14987798196699</v>
      </c>
      <c r="AK5450">
        <v>78.689917849342393</v>
      </c>
      <c r="AL5450">
        <v>78.768800085619205</v>
      </c>
      <c r="AM5450">
        <v>95.971926709893793</v>
      </c>
      <c r="AN5450">
        <v>1.00000003632518</v>
      </c>
    </row>
    <row r="5451" spans="1:40" x14ac:dyDescent="0.25">
      <c r="A5451" t="str">
        <f>"20190304154906055"</f>
        <v>20190304154906055</v>
      </c>
      <c r="B5451" t="str">
        <f>"1551685746042431"</f>
        <v>1551685746042431</v>
      </c>
      <c r="C5451" t="s">
        <v>40</v>
      </c>
      <c r="D5451">
        <v>4.1832760000000002</v>
      </c>
      <c r="E5451">
        <v>0.46366960000000002</v>
      </c>
      <c r="F5451" t="s">
        <v>79</v>
      </c>
      <c r="G5451">
        <v>-430.8963</v>
      </c>
      <c r="H5451">
        <v>7.9987569999999994E-2</v>
      </c>
      <c r="I5451">
        <v>127.0432</v>
      </c>
      <c r="J5451">
        <v>-352.22160000000002</v>
      </c>
      <c r="K5451">
        <v>1.1106480000000001</v>
      </c>
      <c r="L5451">
        <v>141.85290000000001</v>
      </c>
      <c r="M5451">
        <v>-0.99989870000000003</v>
      </c>
      <c r="N5451">
        <v>-1.1217639999999999E-2</v>
      </c>
      <c r="O5451">
        <v>8.7681579999999999E-3</v>
      </c>
      <c r="P5451">
        <v>-0.97834580000000004</v>
      </c>
      <c r="Q5451">
        <v>0.1844905</v>
      </c>
      <c r="R5451">
        <v>-9.3825829999999999E-2</v>
      </c>
      <c r="S5451">
        <v>-3.0192869999999998</v>
      </c>
      <c r="T5451">
        <v>-3.9412500000000003E-2</v>
      </c>
      <c r="U5451">
        <v>-0.56625369999999997</v>
      </c>
      <c r="V5451">
        <v>-0.1024713</v>
      </c>
      <c r="W5451">
        <v>0.19540730000000001</v>
      </c>
      <c r="X5451">
        <v>0.9753541</v>
      </c>
      <c r="Y5451">
        <v>-0.1929131</v>
      </c>
      <c r="Z5451">
        <v>-2.3556470000000002E-3</v>
      </c>
      <c r="AA5451">
        <v>0.981213</v>
      </c>
      <c r="AB5451">
        <v>34</v>
      </c>
      <c r="AC5451">
        <v>-78.674699999999902</v>
      </c>
      <c r="AD5451">
        <v>-1.03066043</v>
      </c>
      <c r="AE5451">
        <v>-14.809699999999999</v>
      </c>
      <c r="AF5451">
        <v>-15.4964377458718</v>
      </c>
      <c r="AG5451">
        <v>-1.03066043</v>
      </c>
      <c r="AH5451">
        <v>78.528797632452296</v>
      </c>
      <c r="AI5451">
        <v>90.737717129161993</v>
      </c>
      <c r="AJ5451">
        <v>101.16300720590201</v>
      </c>
      <c r="AK5451">
        <v>80.049821369771294</v>
      </c>
      <c r="AL5451">
        <v>78.731482102375793</v>
      </c>
      <c r="AM5451">
        <v>95.997527946738799</v>
      </c>
      <c r="AN5451">
        <v>1.0000000003018901</v>
      </c>
    </row>
    <row r="5452" spans="1:40" x14ac:dyDescent="0.25">
      <c r="A5452" t="str">
        <f>"20190304154906068"</f>
        <v>20190304154906068</v>
      </c>
      <c r="B5452" t="str">
        <f>"1551685746062927"</f>
        <v>1551685746062927</v>
      </c>
      <c r="C5452" t="s">
        <v>40</v>
      </c>
      <c r="D5452">
        <v>4.1834759999999998</v>
      </c>
      <c r="E5452">
        <v>0.46065099999999998</v>
      </c>
      <c r="F5452" t="s">
        <v>79</v>
      </c>
      <c r="G5452">
        <v>-434.34280000000001</v>
      </c>
      <c r="H5452">
        <v>7.9987520000000006E-2</v>
      </c>
      <c r="I5452">
        <v>126.38979999999999</v>
      </c>
      <c r="J5452">
        <v>-352.4443</v>
      </c>
      <c r="K5452">
        <v>1.1106769999999999</v>
      </c>
      <c r="L5452">
        <v>141.85470000000001</v>
      </c>
      <c r="M5452">
        <v>-0.99989989999999995</v>
      </c>
      <c r="N5452">
        <v>-1.1228739999999999E-2</v>
      </c>
      <c r="O5452">
        <v>8.6030769999999902E-3</v>
      </c>
      <c r="P5452">
        <v>-0.97807120000000003</v>
      </c>
      <c r="Q5452">
        <v>0.1858715</v>
      </c>
      <c r="R5452">
        <v>-9.3958739999999999E-2</v>
      </c>
      <c r="S5452">
        <v>-3.0190730000000001</v>
      </c>
      <c r="T5452">
        <v>-3.7890790000000001E-2</v>
      </c>
      <c r="U5452">
        <v>-0.56848140000000003</v>
      </c>
      <c r="V5452">
        <v>-0.1024521</v>
      </c>
      <c r="W5452">
        <v>0.1967904</v>
      </c>
      <c r="X5452">
        <v>0.975078</v>
      </c>
      <c r="Y5452">
        <v>-0.19346459999999999</v>
      </c>
      <c r="Z5452">
        <v>-2.3104779999999999E-3</v>
      </c>
      <c r="AA5452">
        <v>0.98110459999999999</v>
      </c>
      <c r="AB5452">
        <v>34</v>
      </c>
      <c r="AC5452">
        <v>-81.898499999999999</v>
      </c>
      <c r="AD5452">
        <v>-1.0306894799999999</v>
      </c>
      <c r="AE5452">
        <v>-15.4649</v>
      </c>
      <c r="AF5452">
        <v>-16.1664788600918</v>
      </c>
      <c r="AG5452">
        <v>-1.0306894799999999</v>
      </c>
      <c r="AH5452">
        <v>81.749912790138794</v>
      </c>
      <c r="AI5452">
        <v>90.708615854594399</v>
      </c>
      <c r="AJ5452">
        <v>101.186214256574</v>
      </c>
      <c r="AK5452">
        <v>83.339460045846707</v>
      </c>
      <c r="AL5452">
        <v>78.650667210073394</v>
      </c>
      <c r="AM5452">
        <v>95.998097929937302</v>
      </c>
      <c r="AN5452">
        <v>1.00000000020528</v>
      </c>
    </row>
    <row r="5453" spans="1:40" x14ac:dyDescent="0.25">
      <c r="A5453" t="str">
        <f>"20190304154906093"</f>
        <v>20190304154906093</v>
      </c>
      <c r="B5453" t="str">
        <f>"1551685746082447"</f>
        <v>1551685746082447</v>
      </c>
      <c r="C5453" t="s">
        <v>40</v>
      </c>
      <c r="D5453">
        <v>4.1801570000000003</v>
      </c>
      <c r="E5453">
        <v>0.46044449999999998</v>
      </c>
      <c r="F5453" t="s">
        <v>44</v>
      </c>
      <c r="G5453">
        <v>-395.66899999999998</v>
      </c>
      <c r="H5453" s="1">
        <v>-3.1186640000000002E-6</v>
      </c>
      <c r="I5453">
        <v>133.38200000000001</v>
      </c>
      <c r="J5453">
        <v>-352.79790000000003</v>
      </c>
      <c r="K5453">
        <v>1.110722</v>
      </c>
      <c r="L5453">
        <v>141.85749999999999</v>
      </c>
      <c r="M5453">
        <v>-0.99990230000000002</v>
      </c>
      <c r="N5453">
        <v>-1.1249439999999999E-2</v>
      </c>
      <c r="O5453">
        <v>8.3030949999999999E-3</v>
      </c>
      <c r="P5453">
        <v>-0.97762819999999995</v>
      </c>
      <c r="Q5453">
        <v>0.187449</v>
      </c>
      <c r="R5453">
        <v>-9.5425170000000004E-2</v>
      </c>
      <c r="S5453">
        <v>-3.0250849999999998</v>
      </c>
      <c r="T5453">
        <v>-7.7731250000000002E-2</v>
      </c>
      <c r="U5453">
        <v>-0.5929565</v>
      </c>
      <c r="V5453">
        <v>-0.1036407</v>
      </c>
      <c r="W5453">
        <v>0.1983732</v>
      </c>
      <c r="X5453">
        <v>0.97463160000000004</v>
      </c>
      <c r="Y5453">
        <v>-0.2004013</v>
      </c>
      <c r="Z5453">
        <v>-3.807005E-3</v>
      </c>
      <c r="AA5453">
        <v>0.97970650000000004</v>
      </c>
      <c r="AB5453">
        <v>34</v>
      </c>
      <c r="AC5453">
        <v>-42.871099999999998</v>
      </c>
      <c r="AD5453">
        <v>-1.1107251186639999</v>
      </c>
      <c r="AE5453">
        <v>-8.4754999999999807</v>
      </c>
      <c r="AF5453">
        <v>-8.8254918489331207</v>
      </c>
      <c r="AG5453">
        <v>-1.1107251186639999</v>
      </c>
      <c r="AH5453">
        <v>42.771614154511802</v>
      </c>
      <c r="AI5453">
        <v>91.4568876984697</v>
      </c>
      <c r="AJ5453">
        <v>101.65878283585801</v>
      </c>
      <c r="AK5453">
        <v>43.686771385022801</v>
      </c>
      <c r="AL5453">
        <v>78.558156148174604</v>
      </c>
      <c r="AM5453">
        <v>96.069927031044699</v>
      </c>
      <c r="AN5453">
        <v>1.0000000384466401</v>
      </c>
    </row>
    <row r="5454" spans="1:40" x14ac:dyDescent="0.25">
      <c r="A5454" t="str">
        <f>"20190304154906114"</f>
        <v>20190304154906114</v>
      </c>
      <c r="B5454" t="str">
        <f>"1551685746102944"</f>
        <v>1551685746102944</v>
      </c>
      <c r="C5454" t="s">
        <v>40</v>
      </c>
      <c r="D5454">
        <v>4.173254</v>
      </c>
      <c r="E5454">
        <v>0.46004129999999899</v>
      </c>
      <c r="F5454" t="s">
        <v>79</v>
      </c>
      <c r="G5454">
        <v>-404.83280000000002</v>
      </c>
      <c r="H5454" s="1">
        <v>-3.7416249999999999E-6</v>
      </c>
      <c r="I5454">
        <v>131.5472</v>
      </c>
      <c r="J5454">
        <v>-353.1397</v>
      </c>
      <c r="K5454">
        <v>1.1107689999999999</v>
      </c>
      <c r="L5454">
        <v>141.86000000000001</v>
      </c>
      <c r="M5454">
        <v>-0.99990480000000004</v>
      </c>
      <c r="N5454">
        <v>-1.1272269999999999E-2</v>
      </c>
      <c r="O5454">
        <v>7.9621540000000008E-3</v>
      </c>
      <c r="P5454">
        <v>-0.97721239999999998</v>
      </c>
      <c r="Q5454">
        <v>0.18905649999999999</v>
      </c>
      <c r="R5454">
        <v>-9.6506960000000003E-2</v>
      </c>
      <c r="S5454">
        <v>-3.0226139999999999</v>
      </c>
      <c r="T5454">
        <v>-6.4519999999999994E-2</v>
      </c>
      <c r="U5454">
        <v>-0.59890750000000004</v>
      </c>
      <c r="V5454">
        <v>-0.1044045</v>
      </c>
      <c r="W5454">
        <v>0.19998850000000001</v>
      </c>
      <c r="X5454">
        <v>0.97421990000000003</v>
      </c>
      <c r="Y5454">
        <v>-0.20209940000000001</v>
      </c>
      <c r="Z5454">
        <v>-3.3657029999999998E-3</v>
      </c>
      <c r="AA5454">
        <v>0.97935919999999999</v>
      </c>
      <c r="AB5454">
        <v>34</v>
      </c>
      <c r="AC5454">
        <v>-51.693100000000001</v>
      </c>
      <c r="AD5454">
        <v>-1.1107727416249999</v>
      </c>
      <c r="AE5454">
        <v>-10.312799999999999</v>
      </c>
      <c r="AF5454">
        <v>-10.719327664309001</v>
      </c>
      <c r="AG5454">
        <v>-1.1107727416249999</v>
      </c>
      <c r="AH5454">
        <v>51.586436748203802</v>
      </c>
      <c r="AI5454">
        <v>91.2077269187741</v>
      </c>
      <c r="AJ5454">
        <v>101.738643692029</v>
      </c>
      <c r="AK5454">
        <v>52.700078349418</v>
      </c>
      <c r="AL5454">
        <v>78.463714117427301</v>
      </c>
      <c r="AM5454">
        <v>96.116887193735295</v>
      </c>
      <c r="AN5454">
        <v>1.00000005665425</v>
      </c>
    </row>
    <row r="5455" spans="1:40" x14ac:dyDescent="0.25">
      <c r="A5455" t="str">
        <f>"20190304154906137"</f>
        <v>20190304154906137</v>
      </c>
      <c r="B5455" t="str">
        <f>"1551685746132223"</f>
        <v>1551685746132223</v>
      </c>
      <c r="C5455" t="s">
        <v>40</v>
      </c>
      <c r="D5455">
        <v>4.1531799999999999</v>
      </c>
      <c r="E5455">
        <v>0.45972740000000001</v>
      </c>
      <c r="F5455" t="s">
        <v>79</v>
      </c>
      <c r="G5455">
        <v>-411.05070000000001</v>
      </c>
      <c r="H5455" s="1">
        <v>-6.5001940000000003E-6</v>
      </c>
      <c r="I5455">
        <v>130.2483</v>
      </c>
      <c r="J5455">
        <v>-353.4778</v>
      </c>
      <c r="K5455">
        <v>1.110814</v>
      </c>
      <c r="L5455">
        <v>141.8623</v>
      </c>
      <c r="M5455">
        <v>-0.9999074</v>
      </c>
      <c r="N5455">
        <v>-1.1294419999999999E-2</v>
      </c>
      <c r="O5455">
        <v>7.5882279999999998E-3</v>
      </c>
      <c r="P5455">
        <v>-0.97673129999999997</v>
      </c>
      <c r="Q5455">
        <v>0.19085730000000001</v>
      </c>
      <c r="R5455">
        <v>-9.7824739999999993E-2</v>
      </c>
      <c r="S5455">
        <v>-3.0213320000000001</v>
      </c>
      <c r="T5455">
        <v>-5.7951450000000002E-2</v>
      </c>
      <c r="U5455">
        <v>-0.60580440000000002</v>
      </c>
      <c r="V5455">
        <v>-0.105371699999999</v>
      </c>
      <c r="W5455">
        <v>0.20179630000000001</v>
      </c>
      <c r="X5455">
        <v>0.97374280000000002</v>
      </c>
      <c r="Y5455">
        <v>-0.20397270000000001</v>
      </c>
      <c r="Z5455">
        <v>-3.159439E-3</v>
      </c>
      <c r="AA5455">
        <v>0.97897149999999999</v>
      </c>
      <c r="AB5455">
        <v>34</v>
      </c>
      <c r="AC5455">
        <v>-57.572899999999997</v>
      </c>
      <c r="AD5455">
        <v>-1.1108205001939999</v>
      </c>
      <c r="AE5455">
        <v>-11.614000000000001</v>
      </c>
      <c r="AF5455">
        <v>-12.0462607043406</v>
      </c>
      <c r="AG5455">
        <v>-1.1108205001939999</v>
      </c>
      <c r="AH5455">
        <v>57.462552089216402</v>
      </c>
      <c r="AI5455">
        <v>91.083903092118206</v>
      </c>
      <c r="AJ5455">
        <v>101.839842171705</v>
      </c>
      <c r="AK5455">
        <v>58.7221526491196</v>
      </c>
      <c r="AL5455">
        <v>78.357978439760799</v>
      </c>
      <c r="AM5455">
        <v>96.176119556608796</v>
      </c>
      <c r="AN5455">
        <v>0.99999999120320904</v>
      </c>
    </row>
    <row r="5456" spans="1:40" x14ac:dyDescent="0.25">
      <c r="A5456" t="str">
        <f>"20190304154906160"</f>
        <v>20190304154906160</v>
      </c>
      <c r="B5456" t="str">
        <f>"1551685746152719"</f>
        <v>1551685746152719</v>
      </c>
      <c r="C5456" t="s">
        <v>40</v>
      </c>
      <c r="D5456">
        <v>4.1705180000000004</v>
      </c>
      <c r="E5456">
        <v>0.45955180000000001</v>
      </c>
      <c r="F5456" t="s">
        <v>79</v>
      </c>
      <c r="G5456">
        <v>-417.00689999999997</v>
      </c>
      <c r="H5456" s="1">
        <v>-5.5686140000000003E-6</v>
      </c>
      <c r="I5456">
        <v>128.9717</v>
      </c>
      <c r="J5456">
        <v>-353.82749999999999</v>
      </c>
      <c r="K5456">
        <v>1.1108629999999999</v>
      </c>
      <c r="L5456">
        <v>141.86449999999999</v>
      </c>
      <c r="M5456">
        <v>-0.99991039999999998</v>
      </c>
      <c r="N5456">
        <v>-1.1315550000000001E-2</v>
      </c>
      <c r="O5456">
        <v>7.1666999999999998E-3</v>
      </c>
      <c r="P5456">
        <v>-0.97625949999999995</v>
      </c>
      <c r="Q5456">
        <v>0.19241539999999999</v>
      </c>
      <c r="R5456">
        <v>-9.9469210000000002E-2</v>
      </c>
      <c r="S5456">
        <v>-3.020416</v>
      </c>
      <c r="T5456">
        <v>-5.2812579999999998E-2</v>
      </c>
      <c r="U5456">
        <v>-0.61286929999999995</v>
      </c>
      <c r="V5456">
        <v>-0.1066188</v>
      </c>
      <c r="W5456">
        <v>0.20336009999999999</v>
      </c>
      <c r="X5456">
        <v>0.97328159999999997</v>
      </c>
      <c r="Y5456">
        <v>-0.2058248</v>
      </c>
      <c r="Z5456">
        <v>-3.001395E-3</v>
      </c>
      <c r="AA5456">
        <v>0.97858429999999996</v>
      </c>
      <c r="AB5456">
        <v>34</v>
      </c>
      <c r="AC5456">
        <v>-63.179400000000001</v>
      </c>
      <c r="AD5456">
        <v>-1.1108685686140001</v>
      </c>
      <c r="AE5456">
        <v>-12.8927999999999</v>
      </c>
      <c r="AF5456">
        <v>-13.3413259767254</v>
      </c>
      <c r="AG5456">
        <v>-1.1108685686140001</v>
      </c>
      <c r="AH5456">
        <v>63.0666547214338</v>
      </c>
      <c r="AI5456">
        <v>90.987270649466694</v>
      </c>
      <c r="AJ5456">
        <v>101.944440552356</v>
      </c>
      <c r="AK5456">
        <v>64.471915944436802</v>
      </c>
      <c r="AL5456">
        <v>78.266482149774504</v>
      </c>
      <c r="AM5456">
        <v>96.251578115754299</v>
      </c>
      <c r="AN5456">
        <v>0.999999985842004</v>
      </c>
    </row>
    <row r="5457" spans="1:40" x14ac:dyDescent="0.25">
      <c r="A5457" t="str">
        <f>"20190304154906182"</f>
        <v>20190304154906182</v>
      </c>
      <c r="B5457" t="str">
        <f>"1551685746172239"</f>
        <v>1551685746172239</v>
      </c>
      <c r="C5457" t="s">
        <v>40</v>
      </c>
      <c r="D5457">
        <v>4.102417</v>
      </c>
      <c r="E5457">
        <v>0.45940639999999999</v>
      </c>
      <c r="F5457" t="s">
        <v>79</v>
      </c>
      <c r="G5457">
        <v>-421.64960000000002</v>
      </c>
      <c r="H5457" s="1">
        <v>-5.2563279999999999E-6</v>
      </c>
      <c r="I5457">
        <v>127.95869999999999</v>
      </c>
      <c r="J5457">
        <v>-354.15780000000001</v>
      </c>
      <c r="K5457">
        <v>1.1108929999999999</v>
      </c>
      <c r="L5457">
        <v>141.8665</v>
      </c>
      <c r="M5457">
        <v>-0.99991319999999995</v>
      </c>
      <c r="N5457">
        <v>-1.1333869999999999E-2</v>
      </c>
      <c r="O5457">
        <v>6.7391100000000004E-3</v>
      </c>
      <c r="P5457">
        <v>-0.97590339999999998</v>
      </c>
      <c r="Q5457">
        <v>0.19329740000000001</v>
      </c>
      <c r="R5457">
        <v>-0.10123699999999999</v>
      </c>
      <c r="S5457">
        <v>-3.0196230000000002</v>
      </c>
      <c r="T5457">
        <v>-4.945886E-2</v>
      </c>
      <c r="U5457">
        <v>-0.61912539999999905</v>
      </c>
      <c r="V5457">
        <v>-0.1079823</v>
      </c>
      <c r="W5457">
        <v>0.2042476</v>
      </c>
      <c r="X5457">
        <v>0.97294539999999996</v>
      </c>
      <c r="Y5457">
        <v>-0.20740729999999999</v>
      </c>
      <c r="Z5457">
        <v>-2.9022879999999998E-3</v>
      </c>
      <c r="AA5457">
        <v>0.97825039999999996</v>
      </c>
      <c r="AB5457">
        <v>34</v>
      </c>
      <c r="AC5457">
        <v>-67.491799999999998</v>
      </c>
      <c r="AD5457">
        <v>-1.1108982563279901</v>
      </c>
      <c r="AE5457">
        <v>-13.9078</v>
      </c>
      <c r="AF5457">
        <v>-14.3586163293035</v>
      </c>
      <c r="AG5457">
        <v>-1.1108982563279901</v>
      </c>
      <c r="AH5457">
        <v>67.379024014607197</v>
      </c>
      <c r="AI5457">
        <v>90.923827129897902</v>
      </c>
      <c r="AJ5457">
        <v>102.02990648415501</v>
      </c>
      <c r="AK5457">
        <v>68.900920421929598</v>
      </c>
      <c r="AL5457">
        <v>78.214542242282903</v>
      </c>
      <c r="AM5457">
        <v>96.333051499728299</v>
      </c>
      <c r="AN5457">
        <v>1.0000000053000999</v>
      </c>
    </row>
    <row r="5458" spans="1:40" x14ac:dyDescent="0.25">
      <c r="A5458" t="str">
        <f>"20190304154906204"</f>
        <v>20190304154906204</v>
      </c>
      <c r="B5458" t="str">
        <f>"1551685746192735"</f>
        <v>1551685746192735</v>
      </c>
      <c r="C5458" t="s">
        <v>40</v>
      </c>
      <c r="D5458">
        <v>4.6989869999999998</v>
      </c>
      <c r="E5458">
        <v>0.45942490000000002</v>
      </c>
      <c r="F5458" t="s">
        <v>79</v>
      </c>
      <c r="G5458">
        <v>-420.39670000000001</v>
      </c>
      <c r="H5458" s="1">
        <v>-5.0734000000000004E-6</v>
      </c>
      <c r="I5458">
        <v>128.14490000000001</v>
      </c>
      <c r="J5458">
        <v>-354.49470000000002</v>
      </c>
      <c r="K5458">
        <v>1.1109230000000001</v>
      </c>
      <c r="L5458">
        <v>141.8683</v>
      </c>
      <c r="M5458">
        <v>-0.99991600000000003</v>
      </c>
      <c r="N5458">
        <v>-1.135097E-2</v>
      </c>
      <c r="O5458">
        <v>6.2775799999999996E-3</v>
      </c>
      <c r="P5458">
        <v>-0.97555230000000004</v>
      </c>
      <c r="Q5458">
        <v>0.19441030000000001</v>
      </c>
      <c r="R5458">
        <v>-0.1024814</v>
      </c>
      <c r="S5458">
        <v>-3.0192260000000002</v>
      </c>
      <c r="T5458">
        <v>-5.0635699999999999E-2</v>
      </c>
      <c r="U5458">
        <v>-0.62544250000000001</v>
      </c>
      <c r="V5458">
        <v>-0.1087885</v>
      </c>
      <c r="W5458">
        <v>0.20536579999999999</v>
      </c>
      <c r="X5458">
        <v>0.97262009999999999</v>
      </c>
      <c r="Y5458">
        <v>-0.20894199999999999</v>
      </c>
      <c r="Z5458">
        <v>-2.965737E-3</v>
      </c>
      <c r="AA5458">
        <v>0.97792349999999995</v>
      </c>
      <c r="AB5458">
        <v>34</v>
      </c>
      <c r="AC5458">
        <v>-65.901999999999902</v>
      </c>
      <c r="AD5458">
        <v>-1.1109280734</v>
      </c>
      <c r="AE5458">
        <v>-13.7233999999999</v>
      </c>
      <c r="AF5458">
        <v>-14.133012005878699</v>
      </c>
      <c r="AG5458">
        <v>-1.1109280734</v>
      </c>
      <c r="AH5458">
        <v>65.796625816719398</v>
      </c>
      <c r="AI5458">
        <v>90.945738223139699</v>
      </c>
      <c r="AJ5458">
        <v>102.12284094113799</v>
      </c>
      <c r="AK5458">
        <v>67.306553606673205</v>
      </c>
      <c r="AL5458">
        <v>78.149085984094796</v>
      </c>
      <c r="AM5458">
        <v>96.382062074671396</v>
      </c>
      <c r="AN5458">
        <v>0.99999995423294896</v>
      </c>
    </row>
    <row r="5459" spans="1:40" x14ac:dyDescent="0.25">
      <c r="A5459" t="str">
        <f>"20190304154906226"</f>
        <v>20190304154906226</v>
      </c>
      <c r="B5459" t="str">
        <f>"1551685746222991"</f>
        <v>1551685746222991</v>
      </c>
      <c r="C5459" t="s">
        <v>40</v>
      </c>
      <c r="D5459">
        <v>4.1236420000000003</v>
      </c>
      <c r="E5459">
        <v>0.53414859999999997</v>
      </c>
      <c r="F5459" t="s">
        <v>79</v>
      </c>
      <c r="G5459">
        <v>-425.1164</v>
      </c>
      <c r="H5459" s="1">
        <v>-5.5958739999999998E-6</v>
      </c>
      <c r="I5459">
        <v>127.14400000000001</v>
      </c>
      <c r="J5459">
        <v>-354.83710000000002</v>
      </c>
      <c r="K5459">
        <v>1.1109469999999999</v>
      </c>
      <c r="L5459">
        <v>141.87</v>
      </c>
      <c r="M5459">
        <v>-0.99991859999999999</v>
      </c>
      <c r="N5459">
        <v>-1.1369809999999999E-2</v>
      </c>
      <c r="O5459">
        <v>5.786154E-3</v>
      </c>
      <c r="P5459">
        <v>-0.97517200000000004</v>
      </c>
      <c r="Q5459">
        <v>0.19562640000000001</v>
      </c>
      <c r="R5459">
        <v>-0.1037802</v>
      </c>
      <c r="S5459">
        <v>-3.0185240000000002</v>
      </c>
      <c r="T5459">
        <v>-4.7483440000000002E-2</v>
      </c>
      <c r="U5459">
        <v>-0.62934880000000004</v>
      </c>
      <c r="V5459">
        <v>-0.10961899999999999</v>
      </c>
      <c r="W5459">
        <v>0.2065893</v>
      </c>
      <c r="X5459">
        <v>0.97226769999999996</v>
      </c>
      <c r="Y5459">
        <v>-0.2097241</v>
      </c>
      <c r="Z5459">
        <v>-2.861995E-3</v>
      </c>
      <c r="AA5459">
        <v>0.97775639999999997</v>
      </c>
      <c r="AB5459">
        <v>34</v>
      </c>
      <c r="AC5459">
        <v>-70.279299999999907</v>
      </c>
      <c r="AD5459">
        <v>-1.1109525958740001</v>
      </c>
      <c r="AE5459">
        <v>-14.726000000000001</v>
      </c>
      <c r="AF5459">
        <v>-15.128805176079901</v>
      </c>
      <c r="AG5459">
        <v>-1.1109525958740001</v>
      </c>
      <c r="AH5459">
        <v>70.176112696020994</v>
      </c>
      <c r="AI5459">
        <v>90.886603637380105</v>
      </c>
      <c r="AJ5459">
        <v>102.165825987688</v>
      </c>
      <c r="AK5459">
        <v>71.796948088694506</v>
      </c>
      <c r="AL5459">
        <v>78.077448663295698</v>
      </c>
      <c r="AM5459">
        <v>96.432687839988503</v>
      </c>
      <c r="AN5459">
        <v>0.99999997224938897</v>
      </c>
    </row>
    <row r="5460" spans="1:40" x14ac:dyDescent="0.25">
      <c r="A5460" t="str">
        <f>"20190304154906249"</f>
        <v>20190304154906249</v>
      </c>
      <c r="B5460" t="str">
        <f>"1551685746242511"</f>
        <v>1551685746242511</v>
      </c>
      <c r="C5460" t="s">
        <v>40</v>
      </c>
      <c r="D5460">
        <v>4.0302959999999999</v>
      </c>
      <c r="E5460">
        <v>0.53574169999999999</v>
      </c>
      <c r="F5460" t="s">
        <v>42</v>
      </c>
      <c r="G5460">
        <v>0</v>
      </c>
      <c r="H5460">
        <v>0</v>
      </c>
      <c r="I5460">
        <v>0</v>
      </c>
      <c r="J5460">
        <v>-355.1773</v>
      </c>
      <c r="K5460">
        <v>1.1109709999999999</v>
      </c>
      <c r="L5460">
        <v>141.8715</v>
      </c>
      <c r="M5460">
        <v>-0.99992119999999995</v>
      </c>
      <c r="N5460">
        <v>-1.139126E-2</v>
      </c>
      <c r="O5460">
        <v>5.2806950000000002E-3</v>
      </c>
      <c r="P5460">
        <v>-0.97485100000000002</v>
      </c>
      <c r="Q5460">
        <v>0.19655110000000001</v>
      </c>
      <c r="R5460">
        <v>-0.1050394</v>
      </c>
      <c r="S5460">
        <v>-3.070465</v>
      </c>
      <c r="T5460">
        <v>8.0250500000000006E-3</v>
      </c>
      <c r="U5460">
        <v>-4.0786740000000002E-2</v>
      </c>
      <c r="V5460">
        <v>-0.11039499999999999</v>
      </c>
      <c r="W5460">
        <v>0.2075256</v>
      </c>
      <c r="X5460">
        <v>0.97198050000000003</v>
      </c>
      <c r="Y5460">
        <v>-1.8562479999999999E-2</v>
      </c>
      <c r="Z5460" s="1">
        <v>-7.5225399999999896E-6</v>
      </c>
      <c r="AA5460">
        <v>0.99982769999999999</v>
      </c>
      <c r="AB5460">
        <v>34</v>
      </c>
      <c r="AC5460">
        <v>-3.070465</v>
      </c>
      <c r="AD5460">
        <v>8.0250500000000006E-3</v>
      </c>
      <c r="AE5460">
        <v>-4.0786740000000002E-2</v>
      </c>
      <c r="AF5460">
        <v>-5.7001022761076998E-2</v>
      </c>
      <c r="AG5460">
        <v>8.0250500000000006E-3</v>
      </c>
      <c r="AH5460">
        <v>3.0701858178705601</v>
      </c>
      <c r="AI5460">
        <v>89.850262736298305</v>
      </c>
      <c r="AJ5460">
        <v>91.063630364431305</v>
      </c>
      <c r="AK5460">
        <v>3.0707253987090501</v>
      </c>
      <c r="AL5460">
        <v>78.022614771127607</v>
      </c>
      <c r="AM5460">
        <v>96.479737322867805</v>
      </c>
      <c r="AN5460">
        <v>1.0000000115303</v>
      </c>
    </row>
    <row r="5461" spans="1:40" x14ac:dyDescent="0.25">
      <c r="A5461" t="str">
        <f>"20190304154906270"</f>
        <v>20190304154906270</v>
      </c>
      <c r="B5461" t="str">
        <f>"1551685746263007"</f>
        <v>1551685746263007</v>
      </c>
      <c r="C5461" t="s">
        <v>40</v>
      </c>
      <c r="D5461">
        <v>4.199605</v>
      </c>
      <c r="E5461">
        <v>0.53513929999999998</v>
      </c>
      <c r="F5461" t="s">
        <v>42</v>
      </c>
      <c r="G5461">
        <v>0</v>
      </c>
      <c r="H5461">
        <v>0</v>
      </c>
      <c r="I5461">
        <v>0</v>
      </c>
      <c r="J5461">
        <v>-355.51740000000001</v>
      </c>
      <c r="K5461">
        <v>1.110992</v>
      </c>
      <c r="L5461">
        <v>141.87280000000001</v>
      </c>
      <c r="M5461">
        <v>-0.99992360000000002</v>
      </c>
      <c r="N5461">
        <v>-1.1413080000000001E-2</v>
      </c>
      <c r="O5461">
        <v>4.7622289999999998E-3</v>
      </c>
      <c r="P5461">
        <v>-0.97446259999999996</v>
      </c>
      <c r="Q5461">
        <v>0.197989</v>
      </c>
      <c r="R5461">
        <v>-0.1059384</v>
      </c>
      <c r="S5461">
        <v>-3.0752869999999999</v>
      </c>
      <c r="T5461">
        <v>-6.807446E-3</v>
      </c>
      <c r="U5461">
        <v>-3.2485960000000001E-2</v>
      </c>
      <c r="V5461">
        <v>-0.11079749999999999</v>
      </c>
      <c r="W5461">
        <v>0.20897560000000001</v>
      </c>
      <c r="X5461">
        <v>0.97162400000000004</v>
      </c>
      <c r="Y5461">
        <v>-1.532469E-2</v>
      </c>
      <c r="Z5461" s="1">
        <v>-6.0607089999999997E-5</v>
      </c>
      <c r="AA5461">
        <v>0.99988259999999995</v>
      </c>
      <c r="AB5461">
        <v>34</v>
      </c>
      <c r="AC5461">
        <v>-3.0752869999999999</v>
      </c>
      <c r="AD5461">
        <v>-6.807446E-3</v>
      </c>
      <c r="AE5461">
        <v>-3.2485960000000001E-2</v>
      </c>
      <c r="AF5461">
        <v>-4.7131534470623897E-2</v>
      </c>
      <c r="AG5461">
        <v>-6.807446E-3</v>
      </c>
      <c r="AH5461">
        <v>3.0750823414119499</v>
      </c>
      <c r="AI5461">
        <v>90.1268231026514</v>
      </c>
      <c r="AJ5461">
        <v>90.878098951468601</v>
      </c>
      <c r="AK5461">
        <v>3.0754510448593</v>
      </c>
      <c r="AL5461">
        <v>77.937673968269493</v>
      </c>
      <c r="AM5461">
        <v>96.505526051076302</v>
      </c>
      <c r="AN5461">
        <v>1.0000000423888</v>
      </c>
    </row>
    <row r="5462" spans="1:40" x14ac:dyDescent="0.25">
      <c r="A5462" t="str">
        <f>"20190304154906293"</f>
        <v>20190304154906293</v>
      </c>
      <c r="B5462" t="str">
        <f>"1551685746282528"</f>
        <v>1551685746282528</v>
      </c>
      <c r="C5462" t="s">
        <v>40</v>
      </c>
      <c r="D5462">
        <v>4.2158829999999998</v>
      </c>
      <c r="E5462">
        <v>0.53520889999999999</v>
      </c>
      <c r="F5462" t="s">
        <v>42</v>
      </c>
      <c r="G5462">
        <v>0</v>
      </c>
      <c r="H5462">
        <v>0</v>
      </c>
      <c r="I5462">
        <v>0</v>
      </c>
      <c r="J5462">
        <v>-355.85410000000002</v>
      </c>
      <c r="K5462">
        <v>1.1110260000000001</v>
      </c>
      <c r="L5462">
        <v>141.87379999999999</v>
      </c>
      <c r="M5462">
        <v>-0.99992570000000003</v>
      </c>
      <c r="N5462">
        <v>-1.1433169999999999E-2</v>
      </c>
      <c r="O5462">
        <v>4.2399600000000001E-3</v>
      </c>
      <c r="P5462">
        <v>-0.9739082</v>
      </c>
      <c r="Q5462">
        <v>0.2001232</v>
      </c>
      <c r="R5462">
        <v>-0.1070208</v>
      </c>
      <c r="S5462">
        <v>-3.0772089999999999</v>
      </c>
      <c r="T5462">
        <v>-1.466429E-2</v>
      </c>
      <c r="U5462">
        <v>-4.0496829999999998E-2</v>
      </c>
      <c r="V5462">
        <v>-0.1113779</v>
      </c>
      <c r="W5462">
        <v>0.21111959999999999</v>
      </c>
      <c r="X5462">
        <v>0.97109400000000001</v>
      </c>
      <c r="Y5462">
        <v>-1.7398090000000001E-2</v>
      </c>
      <c r="Z5462">
        <v>-1.126486E-4</v>
      </c>
      <c r="AA5462">
        <v>0.99984870000000003</v>
      </c>
      <c r="AB5462">
        <v>34</v>
      </c>
      <c r="AC5462">
        <v>-3.0772089999999999</v>
      </c>
      <c r="AD5462">
        <v>-1.466429E-2</v>
      </c>
      <c r="AE5462">
        <v>-4.0496829999999998E-2</v>
      </c>
      <c r="AF5462">
        <v>-5.3543345458691098E-2</v>
      </c>
      <c r="AG5462">
        <v>-1.466429E-2</v>
      </c>
      <c r="AH5462">
        <v>3.0769397564663499</v>
      </c>
      <c r="AI5462">
        <v>90.273020745285905</v>
      </c>
      <c r="AJ5462">
        <v>90.996931483403301</v>
      </c>
      <c r="AK5462">
        <v>3.0774405268286298</v>
      </c>
      <c r="AL5462">
        <v>77.812028760405994</v>
      </c>
      <c r="AM5462">
        <v>96.542848151254802</v>
      </c>
      <c r="AN5462">
        <v>1.0000000394742801</v>
      </c>
    </row>
    <row r="5463" spans="1:40" x14ac:dyDescent="0.25">
      <c r="A5463" t="str">
        <f>"20190304154906315"</f>
        <v>20190304154906315</v>
      </c>
      <c r="B5463" t="str">
        <f>"1551685746312783"</f>
        <v>1551685746312783</v>
      </c>
      <c r="C5463" t="s">
        <v>40</v>
      </c>
      <c r="D5463">
        <v>4.1725820000000002</v>
      </c>
      <c r="E5463">
        <v>0.53509119999999999</v>
      </c>
      <c r="F5463" t="s">
        <v>42</v>
      </c>
      <c r="G5463">
        <v>0</v>
      </c>
      <c r="H5463">
        <v>0</v>
      </c>
      <c r="I5463">
        <v>0</v>
      </c>
      <c r="J5463">
        <v>-356.1936</v>
      </c>
      <c r="K5463">
        <v>1.111043</v>
      </c>
      <c r="L5463">
        <v>141.87479999999999</v>
      </c>
      <c r="M5463">
        <v>-0.99992760000000003</v>
      </c>
      <c r="N5463">
        <v>-1.1451680000000001E-2</v>
      </c>
      <c r="O5463">
        <v>3.7080379999999999E-3</v>
      </c>
      <c r="P5463">
        <v>-0.97339140000000002</v>
      </c>
      <c r="Q5463">
        <v>0.20218359999999999</v>
      </c>
      <c r="R5463">
        <v>-0.1078486</v>
      </c>
      <c r="S5463">
        <v>-3.0783390000000002</v>
      </c>
      <c r="T5463">
        <v>-1.3261800000000001E-2</v>
      </c>
      <c r="U5463">
        <v>-4.3182369999999998E-2</v>
      </c>
      <c r="V5463">
        <v>-0.11169320000000001</v>
      </c>
      <c r="W5463">
        <v>0.2131895</v>
      </c>
      <c r="X5463">
        <v>0.97060539999999995</v>
      </c>
      <c r="Y5463">
        <v>-1.7733559999999999E-2</v>
      </c>
      <c r="Z5463">
        <v>-1.132577E-4</v>
      </c>
      <c r="AA5463">
        <v>0.99984280000000003</v>
      </c>
      <c r="AB5463">
        <v>34</v>
      </c>
      <c r="AC5463">
        <v>-3.0783390000000002</v>
      </c>
      <c r="AD5463">
        <v>-1.3261800000000001E-2</v>
      </c>
      <c r="AE5463">
        <v>-4.3182369999999998E-2</v>
      </c>
      <c r="AF5463">
        <v>-5.4596405971548301E-2</v>
      </c>
      <c r="AG5463">
        <v>-1.3261800000000001E-2</v>
      </c>
      <c r="AH5463">
        <v>3.0781005843810099</v>
      </c>
      <c r="AI5463">
        <v>90.246814862649103</v>
      </c>
      <c r="AJ5463">
        <v>91.016151218606396</v>
      </c>
      <c r="AK5463">
        <v>3.0786132999210798</v>
      </c>
      <c r="AL5463">
        <v>77.690668960060705</v>
      </c>
      <c r="AM5463">
        <v>96.564483111280595</v>
      </c>
      <c r="AN5463">
        <v>0.99999998817282498</v>
      </c>
    </row>
    <row r="5464" spans="1:40" x14ac:dyDescent="0.25">
      <c r="A5464" t="str">
        <f>"20190304154906338"</f>
        <v>20190304154906338</v>
      </c>
      <c r="B5464" t="str">
        <f>"1551685746332303"</f>
        <v>1551685746332303</v>
      </c>
      <c r="C5464" t="s">
        <v>40</v>
      </c>
      <c r="D5464">
        <v>4.099399</v>
      </c>
      <c r="E5464">
        <v>0.53587299999999904</v>
      </c>
      <c r="F5464" t="s">
        <v>42</v>
      </c>
      <c r="G5464">
        <v>0</v>
      </c>
      <c r="H5464">
        <v>0</v>
      </c>
      <c r="I5464">
        <v>0</v>
      </c>
      <c r="J5464">
        <v>-356.5428</v>
      </c>
      <c r="K5464">
        <v>1.1110599999999999</v>
      </c>
      <c r="L5464">
        <v>141.87549999999999</v>
      </c>
      <c r="M5464">
        <v>-0.99992939999999997</v>
      </c>
      <c r="N5464">
        <v>-1.146895E-2</v>
      </c>
      <c r="O5464">
        <v>3.1578700000000001E-3</v>
      </c>
      <c r="P5464">
        <v>-0.97301009999999999</v>
      </c>
      <c r="Q5464">
        <v>0.20370450000000001</v>
      </c>
      <c r="R5464">
        <v>-0.1084257</v>
      </c>
      <c r="S5464">
        <v>-3.0796809999999999</v>
      </c>
      <c r="T5464">
        <v>-1.378417E-2</v>
      </c>
      <c r="U5464">
        <v>-4.653931E-2</v>
      </c>
      <c r="V5464">
        <v>-0.11173909999999999</v>
      </c>
      <c r="W5464">
        <v>0.214721</v>
      </c>
      <c r="X5464">
        <v>0.97026250000000003</v>
      </c>
      <c r="Y5464">
        <v>-1.8266919999999999E-2</v>
      </c>
      <c r="Z5464">
        <v>-1.2355649999999999E-4</v>
      </c>
      <c r="AA5464">
        <v>0.99983319999999998</v>
      </c>
      <c r="AB5464">
        <v>34</v>
      </c>
      <c r="AC5464">
        <v>-3.0796809999999999</v>
      </c>
      <c r="AD5464">
        <v>-1.378417E-2</v>
      </c>
      <c r="AE5464">
        <v>-4.653931E-2</v>
      </c>
      <c r="AF5464">
        <v>-5.6263821423761198E-2</v>
      </c>
      <c r="AG5464">
        <v>-1.378417E-2</v>
      </c>
      <c r="AH5464">
        <v>3.0794569904881102</v>
      </c>
      <c r="AI5464">
        <v>90.256421085898893</v>
      </c>
      <c r="AJ5464">
        <v>91.046717288433001</v>
      </c>
      <c r="AK5464">
        <v>3.0800017820140702</v>
      </c>
      <c r="AL5464">
        <v>77.600840826801999</v>
      </c>
      <c r="AM5464">
        <v>96.569457818277797</v>
      </c>
      <c r="AN5464">
        <v>1.00000002660802</v>
      </c>
    </row>
    <row r="5465" spans="1:40" x14ac:dyDescent="0.25">
      <c r="A5465" t="str">
        <f>"20190304154906360"</f>
        <v>20190304154906360</v>
      </c>
      <c r="B5465" t="str">
        <f>"1551685746352801"</f>
        <v>1551685746352801</v>
      </c>
      <c r="C5465" t="s">
        <v>40</v>
      </c>
      <c r="D5465">
        <v>4.205997</v>
      </c>
      <c r="E5465">
        <v>0.53581060000000003</v>
      </c>
      <c r="F5465" t="s">
        <v>42</v>
      </c>
      <c r="G5465">
        <v>0</v>
      </c>
      <c r="H5465">
        <v>0</v>
      </c>
      <c r="I5465">
        <v>0</v>
      </c>
      <c r="J5465">
        <v>-356.88670000000002</v>
      </c>
      <c r="K5465">
        <v>1.1110709999999999</v>
      </c>
      <c r="L5465">
        <v>141.876</v>
      </c>
      <c r="M5465">
        <v>-0.99993069999999895</v>
      </c>
      <c r="N5465">
        <v>-1.1484339999999999E-2</v>
      </c>
      <c r="O5465">
        <v>2.6153159999999999E-3</v>
      </c>
      <c r="P5465">
        <v>-0.9727249</v>
      </c>
      <c r="Q5465">
        <v>0.20487349999999999</v>
      </c>
      <c r="R5465">
        <v>-0.1087809</v>
      </c>
      <c r="S5465">
        <v>-3.0798649999999999</v>
      </c>
      <c r="T5465">
        <v>-6.1068529999999998E-3</v>
      </c>
      <c r="U5465">
        <v>-4.1915889999999997E-2</v>
      </c>
      <c r="V5465">
        <v>-0.1115691</v>
      </c>
      <c r="W5465">
        <v>0.21590139999999999</v>
      </c>
      <c r="X5465">
        <v>0.97002010000000005</v>
      </c>
      <c r="Y5465">
        <v>-1.622326E-2</v>
      </c>
      <c r="Z5465" s="1">
        <v>-8.4398660000000006E-5</v>
      </c>
      <c r="AA5465">
        <v>0.99986839999999999</v>
      </c>
      <c r="AB5465">
        <v>34</v>
      </c>
      <c r="AC5465">
        <v>-3.0798649999999999</v>
      </c>
      <c r="AD5465">
        <v>-6.1068529999999998E-3</v>
      </c>
      <c r="AE5465">
        <v>-4.1915889999999997E-2</v>
      </c>
      <c r="AF5465">
        <v>-4.9970901098343103E-2</v>
      </c>
      <c r="AG5465">
        <v>-6.1068529999999998E-3</v>
      </c>
      <c r="AH5465">
        <v>3.0797327290262602</v>
      </c>
      <c r="AI5465">
        <v>90.113597647931201</v>
      </c>
      <c r="AJ5465">
        <v>90.929584077888194</v>
      </c>
      <c r="AK5465">
        <v>3.0801441633218598</v>
      </c>
      <c r="AL5465">
        <v>77.531584638004304</v>
      </c>
      <c r="AM5465">
        <v>96.561175094837296</v>
      </c>
      <c r="AN5465">
        <v>1.0000000365003801</v>
      </c>
    </row>
    <row r="5466" spans="1:40" x14ac:dyDescent="0.25">
      <c r="A5466" t="str">
        <f>"20190304154906383"</f>
        <v>20190304154906383</v>
      </c>
      <c r="B5466" t="str">
        <f>"1551685746372320"</f>
        <v>1551685746372320</v>
      </c>
      <c r="C5466" t="s">
        <v>40</v>
      </c>
      <c r="D5466">
        <v>4.0946389999999999</v>
      </c>
      <c r="E5466">
        <v>0.53679469999999996</v>
      </c>
      <c r="F5466" t="s">
        <v>42</v>
      </c>
      <c r="G5466">
        <v>0</v>
      </c>
      <c r="H5466">
        <v>0</v>
      </c>
      <c r="I5466">
        <v>0</v>
      </c>
      <c r="J5466">
        <v>-357.22699999999998</v>
      </c>
      <c r="K5466">
        <v>1.1110719999999901</v>
      </c>
      <c r="L5466">
        <v>141.87639999999999</v>
      </c>
      <c r="M5466">
        <v>-0.99993180000000004</v>
      </c>
      <c r="N5466">
        <v>-1.1498039999999999E-2</v>
      </c>
      <c r="O5466">
        <v>2.0783939999999999E-3</v>
      </c>
      <c r="P5466">
        <v>-0.972634</v>
      </c>
      <c r="Q5466">
        <v>0.2052003</v>
      </c>
      <c r="R5466">
        <v>-0.1089788</v>
      </c>
      <c r="S5466">
        <v>-3.0804749999999999</v>
      </c>
      <c r="T5466">
        <v>-5.8658119999999998E-3</v>
      </c>
      <c r="U5466">
        <v>-4.3518069999999999E-2</v>
      </c>
      <c r="V5466">
        <v>-0.111247</v>
      </c>
      <c r="W5466">
        <v>0.2162404</v>
      </c>
      <c r="X5466">
        <v>0.9699816</v>
      </c>
      <c r="Y5466">
        <v>-1.620365E-2</v>
      </c>
      <c r="Z5466" s="1">
        <v>-8.8650409999999907E-5</v>
      </c>
      <c r="AA5466">
        <v>0.99986870000000005</v>
      </c>
      <c r="AB5466">
        <v>34</v>
      </c>
      <c r="AC5466">
        <v>-3.0804749999999999</v>
      </c>
      <c r="AD5466">
        <v>-5.8658119999999998E-3</v>
      </c>
      <c r="AE5466">
        <v>-4.3518069999999999E-2</v>
      </c>
      <c r="AF5466">
        <v>-4.9920658623418199E-2</v>
      </c>
      <c r="AG5466">
        <v>-5.8658119999999998E-3</v>
      </c>
      <c r="AH5466">
        <v>3.0803667250438602</v>
      </c>
      <c r="AI5466">
        <v>90.1090914716643</v>
      </c>
      <c r="AJ5466">
        <v>90.928458505940895</v>
      </c>
      <c r="AK5466">
        <v>3.0807767917629598</v>
      </c>
      <c r="AL5466">
        <v>77.511691680328695</v>
      </c>
      <c r="AM5466">
        <v>96.542654864922994</v>
      </c>
      <c r="AN5466">
        <v>1.00000005496985</v>
      </c>
    </row>
    <row r="5467" spans="1:40" x14ac:dyDescent="0.25">
      <c r="A5467" t="str">
        <f>"20190304154906405"</f>
        <v>20190304154906405</v>
      </c>
      <c r="B5467" t="str">
        <f>"1551685746402575"</f>
        <v>1551685746402575</v>
      </c>
      <c r="C5467" t="s">
        <v>40</v>
      </c>
      <c r="D5467">
        <v>4.0886339999999999</v>
      </c>
      <c r="E5467">
        <v>0.53792969999999996</v>
      </c>
      <c r="F5467" t="s">
        <v>42</v>
      </c>
      <c r="G5467">
        <v>0</v>
      </c>
      <c r="H5467">
        <v>0</v>
      </c>
      <c r="I5467">
        <v>0</v>
      </c>
      <c r="J5467">
        <v>-357.56920000000002</v>
      </c>
      <c r="K5467">
        <v>1.111078</v>
      </c>
      <c r="L5467">
        <v>141.8766</v>
      </c>
      <c r="M5467">
        <v>-0.99993270000000001</v>
      </c>
      <c r="N5467">
        <v>-1.151026E-2</v>
      </c>
      <c r="O5467">
        <v>1.5388139999999999E-3</v>
      </c>
      <c r="P5467">
        <v>-0.97266710000000001</v>
      </c>
      <c r="Q5467">
        <v>0.20489589999999999</v>
      </c>
      <c r="R5467">
        <v>-0.1092554</v>
      </c>
      <c r="S5467">
        <v>-3.0802309999999999</v>
      </c>
      <c r="T5467">
        <v>6.3550469999999997E-4</v>
      </c>
      <c r="U5467">
        <v>-3.6102290000000002E-2</v>
      </c>
      <c r="V5467">
        <v>-0.1110004</v>
      </c>
      <c r="W5467">
        <v>0.2159489</v>
      </c>
      <c r="X5467">
        <v>0.97007469999999996</v>
      </c>
      <c r="Y5467">
        <v>-1.3258549999999999E-2</v>
      </c>
      <c r="Z5467" s="1">
        <v>-5.6912500000000001E-5</v>
      </c>
      <c r="AA5467">
        <v>0.99991209999999997</v>
      </c>
      <c r="AB5467">
        <v>34</v>
      </c>
      <c r="AC5467">
        <v>-3.0802309999999999</v>
      </c>
      <c r="AD5467">
        <v>6.3550469999999997E-4</v>
      </c>
      <c r="AE5467">
        <v>-3.6102290000000002E-2</v>
      </c>
      <c r="AF5467">
        <v>-4.08424615017478E-2</v>
      </c>
      <c r="AG5467">
        <v>6.3550469999999997E-4</v>
      </c>
      <c r="AH5467">
        <v>3.0801716631237102</v>
      </c>
      <c r="AI5467">
        <v>89.988179705529205</v>
      </c>
      <c r="AJ5467">
        <v>90.759686079888596</v>
      </c>
      <c r="AK5467">
        <v>3.0804424982196998</v>
      </c>
      <c r="AL5467">
        <v>77.528796491886894</v>
      </c>
      <c r="AM5467">
        <v>96.527656043401294</v>
      </c>
      <c r="AN5467">
        <v>0.99999996989572904</v>
      </c>
    </row>
    <row r="5468" spans="1:40" x14ac:dyDescent="0.25">
      <c r="A5468" t="str">
        <f>"20190304154906426"</f>
        <v>20190304154906426</v>
      </c>
      <c r="B5468" t="str">
        <f>"1551685746422095"</f>
        <v>1551685746422095</v>
      </c>
      <c r="C5468" t="s">
        <v>40</v>
      </c>
      <c r="D5468">
        <v>4.0661969999999998</v>
      </c>
      <c r="E5468">
        <v>0.53855090000000005</v>
      </c>
      <c r="F5468" t="s">
        <v>42</v>
      </c>
      <c r="G5468">
        <v>0</v>
      </c>
      <c r="H5468">
        <v>0</v>
      </c>
      <c r="I5468">
        <v>0</v>
      </c>
      <c r="J5468">
        <v>-357.90339999999998</v>
      </c>
      <c r="K5468">
        <v>1.1110719999999901</v>
      </c>
      <c r="L5468">
        <v>141.8766</v>
      </c>
      <c r="M5468">
        <v>-0.99993319999999997</v>
      </c>
      <c r="N5468">
        <v>-1.1520900000000001E-2</v>
      </c>
      <c r="O5468">
        <v>1.012899E-3</v>
      </c>
      <c r="P5468">
        <v>-0.9724256</v>
      </c>
      <c r="Q5468">
        <v>0.20589260000000001</v>
      </c>
      <c r="R5468">
        <v>-0.1095312</v>
      </c>
      <c r="S5468">
        <v>-3.0801090000000002</v>
      </c>
      <c r="T5468">
        <v>5.151391E-3</v>
      </c>
      <c r="U5468">
        <v>-2.758789E-2</v>
      </c>
      <c r="V5468">
        <v>-0.1107665</v>
      </c>
      <c r="W5468">
        <v>0.21695349999999999</v>
      </c>
      <c r="X5468">
        <v>0.96987730000000005</v>
      </c>
      <c r="Y5468">
        <v>-9.9693479999999994E-3</v>
      </c>
      <c r="Z5468" s="1">
        <v>-3.5730579999999998E-5</v>
      </c>
      <c r="AA5468">
        <v>0.99995029999999996</v>
      </c>
      <c r="AB5468">
        <v>34</v>
      </c>
      <c r="AC5468">
        <v>-3.0801090000000002</v>
      </c>
      <c r="AD5468">
        <v>5.151391E-3</v>
      </c>
      <c r="AE5468">
        <v>-2.758789E-2</v>
      </c>
      <c r="AF5468">
        <v>-3.0707836102711099E-2</v>
      </c>
      <c r="AG5468">
        <v>5.151391E-3</v>
      </c>
      <c r="AH5468">
        <v>3.0800708593994601</v>
      </c>
      <c r="AI5468">
        <v>89.904178172016003</v>
      </c>
      <c r="AJ5468">
        <v>90.571211246737704</v>
      </c>
      <c r="AK5468">
        <v>3.0802282394246498</v>
      </c>
      <c r="AL5468">
        <v>77.469839962559206</v>
      </c>
      <c r="AM5468">
        <v>96.515333720816997</v>
      </c>
      <c r="AN5468">
        <v>1.0000000078698901</v>
      </c>
    </row>
    <row r="5469" spans="1:40" x14ac:dyDescent="0.25">
      <c r="A5469" t="str">
        <f>"20190304154906450"</f>
        <v>20190304154906450</v>
      </c>
      <c r="B5469" t="str">
        <f>"1551685746442591"</f>
        <v>1551685746442591</v>
      </c>
      <c r="C5469" t="s">
        <v>40</v>
      </c>
      <c r="D5469">
        <v>4.0928779999999998</v>
      </c>
      <c r="E5469">
        <v>0.53914439999999997</v>
      </c>
      <c r="F5469" t="s">
        <v>42</v>
      </c>
      <c r="G5469">
        <v>0</v>
      </c>
      <c r="H5469">
        <v>0</v>
      </c>
      <c r="I5469">
        <v>0</v>
      </c>
      <c r="J5469">
        <v>-358.24919999999997</v>
      </c>
      <c r="K5469">
        <v>1.111073</v>
      </c>
      <c r="L5469">
        <v>141.87639999999999</v>
      </c>
      <c r="M5469">
        <v>-0.99993350000000003</v>
      </c>
      <c r="N5469">
        <v>-1.153058E-2</v>
      </c>
      <c r="O5469">
        <v>4.6953309999999999E-4</v>
      </c>
      <c r="P5469">
        <v>-0.97211099999999995</v>
      </c>
      <c r="Q5469">
        <v>0.20731910000000001</v>
      </c>
      <c r="R5469">
        <v>-0.1096318</v>
      </c>
      <c r="S5469">
        <v>-3.0801090000000002</v>
      </c>
      <c r="T5469">
        <v>1.093948E-2</v>
      </c>
      <c r="U5469">
        <v>-2.362061E-2</v>
      </c>
      <c r="V5469">
        <v>-0.11034099999999999</v>
      </c>
      <c r="W5469">
        <v>0.2183861</v>
      </c>
      <c r="X5469">
        <v>0.96960429999999997</v>
      </c>
      <c r="Y5469">
        <v>-8.1381430000000005E-3</v>
      </c>
      <c r="Z5469" s="1">
        <v>-2.538739E-5</v>
      </c>
      <c r="AA5469">
        <v>0.99996689999999999</v>
      </c>
      <c r="AB5469">
        <v>34</v>
      </c>
      <c r="AC5469">
        <v>-3.0801090000000002</v>
      </c>
      <c r="AD5469">
        <v>1.093948E-2</v>
      </c>
      <c r="AE5469">
        <v>-2.362061E-2</v>
      </c>
      <c r="AF5469">
        <v>-2.5066600365577899E-2</v>
      </c>
      <c r="AG5469">
        <v>1.093948E-2</v>
      </c>
      <c r="AH5469">
        <v>3.08005871871412</v>
      </c>
      <c r="AI5469">
        <v>89.796509514859693</v>
      </c>
      <c r="AJ5469">
        <v>90.466282896543703</v>
      </c>
      <c r="AK5469">
        <v>3.0801801436609901</v>
      </c>
      <c r="AL5469">
        <v>77.385742239699098</v>
      </c>
      <c r="AM5469">
        <v>96.492331457819105</v>
      </c>
      <c r="AN5469">
        <v>1.00000006176634</v>
      </c>
    </row>
    <row r="5470" spans="1:40" x14ac:dyDescent="0.25">
      <c r="A5470" t="str">
        <f>"20190304154906472"</f>
        <v>20190304154906472</v>
      </c>
      <c r="B5470" t="str">
        <f>"1551685746463089"</f>
        <v>1551685746463089</v>
      </c>
      <c r="C5470" t="s">
        <v>40</v>
      </c>
      <c r="D5470">
        <v>4.1034009999999999</v>
      </c>
      <c r="E5470">
        <v>0.53960900000000001</v>
      </c>
      <c r="F5470" t="s">
        <v>42</v>
      </c>
      <c r="G5470">
        <v>0</v>
      </c>
      <c r="H5470">
        <v>0</v>
      </c>
      <c r="I5470">
        <v>0</v>
      </c>
      <c r="J5470">
        <v>-358.59309999999999</v>
      </c>
      <c r="K5470">
        <v>1.111073</v>
      </c>
      <c r="L5470">
        <v>141.876</v>
      </c>
      <c r="M5470">
        <v>-0.99993350000000003</v>
      </c>
      <c r="N5470">
        <v>-1.1539229999999999E-2</v>
      </c>
      <c r="O5470" s="1">
        <v>-7.0839790000000005E-5</v>
      </c>
      <c r="P5470">
        <v>-0.97206649999999994</v>
      </c>
      <c r="Q5470">
        <v>0.2074569</v>
      </c>
      <c r="R5470">
        <v>-0.1097651</v>
      </c>
      <c r="S5470">
        <v>-3.080139</v>
      </c>
      <c r="T5470">
        <v>1.7488119999999999E-2</v>
      </c>
      <c r="U5470">
        <v>-1.9439700000000001E-2</v>
      </c>
      <c r="V5470">
        <v>-0.1099503</v>
      </c>
      <c r="W5470">
        <v>0.2185327</v>
      </c>
      <c r="X5470">
        <v>0.96961560000000002</v>
      </c>
      <c r="Y5470">
        <v>-6.2404510000000002E-3</v>
      </c>
      <c r="Z5470" s="1">
        <v>-1.951047E-5</v>
      </c>
      <c r="AA5470">
        <v>0.99998050000000005</v>
      </c>
      <c r="AB5470">
        <v>34</v>
      </c>
      <c r="AC5470">
        <v>-3.080139</v>
      </c>
      <c r="AD5470">
        <v>1.7488119999999999E-2</v>
      </c>
      <c r="AE5470">
        <v>-1.9439700000000001E-2</v>
      </c>
      <c r="AF5470">
        <v>-1.9220869455161198E-2</v>
      </c>
      <c r="AG5470">
        <v>1.7488119999999999E-2</v>
      </c>
      <c r="AH5470">
        <v>3.0800410841946002</v>
      </c>
      <c r="AI5470">
        <v>89.674690965624293</v>
      </c>
      <c r="AJ5470">
        <v>90.357547309537907</v>
      </c>
      <c r="AK5470">
        <v>3.08015070353553</v>
      </c>
      <c r="AL5470">
        <v>77.377134118070899</v>
      </c>
      <c r="AM5470">
        <v>96.469463623874503</v>
      </c>
      <c r="AN5470">
        <v>1.00000001060137</v>
      </c>
    </row>
    <row r="5471" spans="1:40" x14ac:dyDescent="0.25">
      <c r="A5471" t="str">
        <f>"20190304154906494"</f>
        <v>20190304154906494</v>
      </c>
      <c r="B5471" t="str">
        <f>"1551685746482607"</f>
        <v>1551685746482607</v>
      </c>
      <c r="C5471" t="s">
        <v>40</v>
      </c>
      <c r="D5471">
        <v>4.0548219999999997</v>
      </c>
      <c r="E5471">
        <v>0.54003020000000002</v>
      </c>
      <c r="F5471" t="s">
        <v>42</v>
      </c>
      <c r="G5471">
        <v>0</v>
      </c>
      <c r="H5471">
        <v>0</v>
      </c>
      <c r="I5471">
        <v>0</v>
      </c>
      <c r="J5471">
        <v>-358.92660000000001</v>
      </c>
      <c r="K5471">
        <v>1.1110789999999999</v>
      </c>
      <c r="L5471">
        <v>141.87540000000001</v>
      </c>
      <c r="M5471">
        <v>-0.99993319999999997</v>
      </c>
      <c r="N5471">
        <v>-1.154642E-2</v>
      </c>
      <c r="O5471">
        <v>-5.9468779999999897E-4</v>
      </c>
      <c r="P5471">
        <v>-0.97207710000000003</v>
      </c>
      <c r="Q5471">
        <v>0.20738519999999999</v>
      </c>
      <c r="R5471">
        <v>-0.1098084</v>
      </c>
      <c r="S5471">
        <v>-3.080292</v>
      </c>
      <c r="T5471">
        <v>1.9043089999999999E-2</v>
      </c>
      <c r="U5471">
        <v>-1.6601560000000001E-2</v>
      </c>
      <c r="V5471">
        <v>-0.1094844</v>
      </c>
      <c r="W5471">
        <v>0.21846940000000001</v>
      </c>
      <c r="X5471">
        <v>0.96968259999999995</v>
      </c>
      <c r="Y5471">
        <v>-4.7949830000000001E-3</v>
      </c>
      <c r="Z5471" s="1">
        <v>-2.3404670000000001E-5</v>
      </c>
      <c r="AA5471">
        <v>0.99998849999999995</v>
      </c>
      <c r="AB5471">
        <v>34</v>
      </c>
      <c r="AC5471">
        <v>-3.080292</v>
      </c>
      <c r="AD5471">
        <v>1.9043089999999999E-2</v>
      </c>
      <c r="AE5471">
        <v>-1.6601560000000001E-2</v>
      </c>
      <c r="AF5471">
        <v>-1.4769058484412999E-2</v>
      </c>
      <c r="AG5471">
        <v>1.9043089999999999E-2</v>
      </c>
      <c r="AH5471">
        <v>3.0801836073509201</v>
      </c>
      <c r="AI5471">
        <v>89.645780128046397</v>
      </c>
      <c r="AJ5471">
        <v>90.274723309240102</v>
      </c>
      <c r="AK5471">
        <v>3.0802778802177202</v>
      </c>
      <c r="AL5471">
        <v>77.380850978498898</v>
      </c>
      <c r="AM5471">
        <v>96.441839683720204</v>
      </c>
      <c r="AN5471">
        <v>1.0000000286612301</v>
      </c>
    </row>
    <row r="5472" spans="1:40" x14ac:dyDescent="0.25">
      <c r="A5472" t="str">
        <f>"20190304154906516"</f>
        <v>20190304154906516</v>
      </c>
      <c r="B5472" t="str">
        <f>"1551685746512864"</f>
        <v>1551685746512864</v>
      </c>
      <c r="C5472" t="s">
        <v>40</v>
      </c>
      <c r="D5472">
        <v>4.1581619999999999</v>
      </c>
      <c r="E5472">
        <v>0.54067279999999995</v>
      </c>
      <c r="F5472" t="s">
        <v>42</v>
      </c>
      <c r="G5472">
        <v>0</v>
      </c>
      <c r="H5472">
        <v>0</v>
      </c>
      <c r="I5472">
        <v>0</v>
      </c>
      <c r="J5472">
        <v>-359.27</v>
      </c>
      <c r="K5472">
        <v>1.111075</v>
      </c>
      <c r="L5472">
        <v>141.87469999999999</v>
      </c>
      <c r="M5472">
        <v>-0.99993259999999995</v>
      </c>
      <c r="N5472">
        <v>-1.1553229999999999E-2</v>
      </c>
      <c r="O5472">
        <v>-1.133907E-3</v>
      </c>
      <c r="P5472">
        <v>-0.97227160000000001</v>
      </c>
      <c r="Q5472">
        <v>0.20665990000000001</v>
      </c>
      <c r="R5472">
        <v>-0.1094521</v>
      </c>
      <c r="S5472">
        <v>-3.0804140000000002</v>
      </c>
      <c r="T5472">
        <v>1.992404E-2</v>
      </c>
      <c r="U5472">
        <v>-1.3473509999999999E-2</v>
      </c>
      <c r="V5472">
        <v>-0.1086028</v>
      </c>
      <c r="W5472">
        <v>0.21775410000000001</v>
      </c>
      <c r="X5472">
        <v>0.96994259999999999</v>
      </c>
      <c r="Y5472">
        <v>-3.2401489999999999E-3</v>
      </c>
      <c r="Z5472" s="1">
        <v>-2.8673480000000001E-5</v>
      </c>
      <c r="AA5472">
        <v>0.99999479999999996</v>
      </c>
      <c r="AB5472">
        <v>34</v>
      </c>
      <c r="AC5472">
        <v>-3.0804140000000002</v>
      </c>
      <c r="AD5472">
        <v>1.992404E-2</v>
      </c>
      <c r="AE5472">
        <v>-1.3473509999999999E-2</v>
      </c>
      <c r="AF5472">
        <v>-9.9799476479023701E-3</v>
      </c>
      <c r="AG5472">
        <v>1.992404E-2</v>
      </c>
      <c r="AH5472">
        <v>3.0802984372606002</v>
      </c>
      <c r="AI5472">
        <v>89.629405554350498</v>
      </c>
      <c r="AJ5472">
        <v>90.185633597152901</v>
      </c>
      <c r="AK5472">
        <v>3.0803790398772501</v>
      </c>
      <c r="AL5472">
        <v>77.422845762928006</v>
      </c>
      <c r="AM5472">
        <v>96.388700131961897</v>
      </c>
      <c r="AN5472">
        <v>1.0000000317647</v>
      </c>
    </row>
    <row r="5473" spans="1:40" x14ac:dyDescent="0.25">
      <c r="A5473" t="str">
        <f>"20190304154906540"</f>
        <v>20190304154906540</v>
      </c>
      <c r="B5473" t="str">
        <f>"1551685746532383"</f>
        <v>1551685746532383</v>
      </c>
      <c r="C5473" t="s">
        <v>40</v>
      </c>
      <c r="D5473">
        <v>4.0685209999999996</v>
      </c>
      <c r="E5473">
        <v>0.54124919999999899</v>
      </c>
      <c r="F5473" t="s">
        <v>42</v>
      </c>
      <c r="G5473">
        <v>0</v>
      </c>
      <c r="H5473">
        <v>0</v>
      </c>
      <c r="I5473">
        <v>0</v>
      </c>
      <c r="J5473">
        <v>-359.62189999999998</v>
      </c>
      <c r="K5473">
        <v>1.111075</v>
      </c>
      <c r="L5473">
        <v>141.87370000000001</v>
      </c>
      <c r="M5473">
        <v>-0.99993189999999998</v>
      </c>
      <c r="N5473">
        <v>-1.1559639999999999E-2</v>
      </c>
      <c r="O5473">
        <v>-1.6869509999999999E-3</v>
      </c>
      <c r="P5473">
        <v>-0.97242050000000002</v>
      </c>
      <c r="Q5473">
        <v>0.20600889999999999</v>
      </c>
      <c r="R5473">
        <v>-0.1093557</v>
      </c>
      <c r="S5473">
        <v>-3.0808409999999999</v>
      </c>
      <c r="T5473">
        <v>1.794362E-2</v>
      </c>
      <c r="U5473">
        <v>-7.9803469999999901E-3</v>
      </c>
      <c r="V5473">
        <v>-0.10796840000000001</v>
      </c>
      <c r="W5473">
        <v>0.21711230000000001</v>
      </c>
      <c r="X5473">
        <v>0.9701573</v>
      </c>
      <c r="Y5473">
        <v>-9.0351440000000004E-4</v>
      </c>
      <c r="Z5473" s="1">
        <v>-3.1916989999999999E-5</v>
      </c>
      <c r="AA5473">
        <v>0.99999959999999999</v>
      </c>
      <c r="AB5473">
        <v>34</v>
      </c>
      <c r="AC5473">
        <v>-3.0808409999999999</v>
      </c>
      <c r="AD5473">
        <v>1.794362E-2</v>
      </c>
      <c r="AE5473">
        <v>-7.9803469999999901E-3</v>
      </c>
      <c r="AF5473">
        <v>-2.7826668857424998E-3</v>
      </c>
      <c r="AG5473">
        <v>1.794362E-2</v>
      </c>
      <c r="AH5473">
        <v>3.0807455746541401</v>
      </c>
      <c r="AI5473">
        <v>89.666288037938202</v>
      </c>
      <c r="AJ5473">
        <v>90.051752090888996</v>
      </c>
      <c r="AK5473">
        <v>3.0807990866794199</v>
      </c>
      <c r="AL5473">
        <v>77.460519845893998</v>
      </c>
      <c r="AM5473">
        <v>96.350292451035997</v>
      </c>
      <c r="AN5473">
        <v>1.0000000564765601</v>
      </c>
    </row>
    <row r="5474" spans="1:40" x14ac:dyDescent="0.25">
      <c r="A5474" t="str">
        <f>"20190304154906562"</f>
        <v>20190304154906562</v>
      </c>
      <c r="B5474" t="str">
        <f>"1551685746552880"</f>
        <v>1551685746552880</v>
      </c>
      <c r="C5474" t="s">
        <v>40</v>
      </c>
      <c r="D5474">
        <v>4.0118510000000001</v>
      </c>
      <c r="E5474">
        <v>0.54147049999999997</v>
      </c>
      <c r="F5474" t="s">
        <v>42</v>
      </c>
      <c r="G5474">
        <v>0</v>
      </c>
      <c r="H5474">
        <v>0</v>
      </c>
      <c r="I5474">
        <v>0</v>
      </c>
      <c r="J5474">
        <v>-359.97160000000002</v>
      </c>
      <c r="K5474">
        <v>1.111081</v>
      </c>
      <c r="L5474">
        <v>141.8725</v>
      </c>
      <c r="M5474">
        <v>-0.9999306</v>
      </c>
      <c r="N5474">
        <v>-1.156538E-2</v>
      </c>
      <c r="O5474">
        <v>-2.237134E-3</v>
      </c>
      <c r="P5474">
        <v>-0.97234569999999998</v>
      </c>
      <c r="Q5474">
        <v>0.20662810000000001</v>
      </c>
      <c r="R5474">
        <v>-0.10885300000000001</v>
      </c>
      <c r="S5474">
        <v>-3.0809630000000001</v>
      </c>
      <c r="T5474">
        <v>1.7740010000000001E-2</v>
      </c>
      <c r="U5474">
        <v>-3.479004E-3</v>
      </c>
      <c r="V5474">
        <v>-0.1069321</v>
      </c>
      <c r="W5474">
        <v>0.21773780000000001</v>
      </c>
      <c r="X5474">
        <v>0.97013179999999999</v>
      </c>
      <c r="Y5474">
        <v>1.1077750000000001E-3</v>
      </c>
      <c r="Z5474" s="1">
        <v>-3.5537850000000001E-5</v>
      </c>
      <c r="AA5474">
        <v>0.99999939999999998</v>
      </c>
      <c r="AB5474">
        <v>34</v>
      </c>
      <c r="AC5474">
        <v>-3.0809630000000001</v>
      </c>
      <c r="AD5474">
        <v>1.7740010000000001E-2</v>
      </c>
      <c r="AE5474">
        <v>-3.479004E-3</v>
      </c>
      <c r="AF5474">
        <v>3.4138797270060698E-3</v>
      </c>
      <c r="AG5474">
        <v>1.7740010000000001E-2</v>
      </c>
      <c r="AH5474">
        <v>3.0808609302682601</v>
      </c>
      <c r="AI5474">
        <v>89.6700870739853</v>
      </c>
      <c r="AJ5474">
        <v>89.936510986866097</v>
      </c>
      <c r="AK5474">
        <v>3.0809138959378601</v>
      </c>
      <c r="AL5474">
        <v>77.423801809336496</v>
      </c>
      <c r="AM5474">
        <v>96.289996063680505</v>
      </c>
      <c r="AN5474">
        <v>0.99999996646524403</v>
      </c>
    </row>
    <row r="5475" spans="1:40" x14ac:dyDescent="0.25">
      <c r="A5475" t="str">
        <f>"20190304154906584"</f>
        <v>20190304154906584</v>
      </c>
      <c r="B5475" t="str">
        <f>"1551685746572400"</f>
        <v>1551685746572400</v>
      </c>
      <c r="C5475" t="s">
        <v>40</v>
      </c>
      <c r="D5475">
        <v>3.900938</v>
      </c>
      <c r="E5475">
        <v>0.54186259999999997</v>
      </c>
      <c r="F5475" t="s">
        <v>42</v>
      </c>
      <c r="G5475">
        <v>0</v>
      </c>
      <c r="H5475">
        <v>0</v>
      </c>
      <c r="I5475">
        <v>0</v>
      </c>
      <c r="J5475">
        <v>-360.29500000000002</v>
      </c>
      <c r="K5475">
        <v>1.111084</v>
      </c>
      <c r="L5475">
        <v>141.87129999999999</v>
      </c>
      <c r="M5475">
        <v>-0.99992939999999997</v>
      </c>
      <c r="N5475">
        <v>-1.157015E-2</v>
      </c>
      <c r="O5475">
        <v>-2.748103E-3</v>
      </c>
      <c r="P5475">
        <v>-0.9720858</v>
      </c>
      <c r="Q5475">
        <v>0.2077917</v>
      </c>
      <c r="R5475">
        <v>-0.108958399999999</v>
      </c>
      <c r="S5475">
        <v>-3.080994</v>
      </c>
      <c r="T5475">
        <v>2.0133020000000001E-2</v>
      </c>
      <c r="U5475">
        <v>-2.89917E-4</v>
      </c>
      <c r="V5475">
        <v>-0.1065432</v>
      </c>
      <c r="W5475">
        <v>0.21890390000000001</v>
      </c>
      <c r="X5475">
        <v>0.9699122</v>
      </c>
      <c r="Y5475">
        <v>2.6537819999999999E-3</v>
      </c>
      <c r="Z5475" s="1">
        <v>-4.3071510000000003E-5</v>
      </c>
      <c r="AA5475">
        <v>0.99999649999999995</v>
      </c>
      <c r="AB5475">
        <v>34</v>
      </c>
      <c r="AC5475">
        <v>-3.080994</v>
      </c>
      <c r="AD5475">
        <v>2.0133020000000001E-2</v>
      </c>
      <c r="AE5475">
        <v>-2.89917E-4</v>
      </c>
      <c r="AF5475">
        <v>8.1771896033230596E-3</v>
      </c>
      <c r="AG5475">
        <v>2.0133020000000001E-2</v>
      </c>
      <c r="AH5475">
        <v>3.0808516063892601</v>
      </c>
      <c r="AI5475">
        <v>89.625585150103106</v>
      </c>
      <c r="AJ5475">
        <v>89.847926024291198</v>
      </c>
      <c r="AK5475">
        <v>3.0809282408902998</v>
      </c>
      <c r="AL5475">
        <v>77.355338366346601</v>
      </c>
      <c r="AM5475">
        <v>96.268710122533093</v>
      </c>
      <c r="AN5475">
        <v>1.00000002330514</v>
      </c>
    </row>
    <row r="5476" spans="1:40" x14ac:dyDescent="0.25">
      <c r="A5476" t="str">
        <f>"20190304154906618"</f>
        <v>20190304154906618</v>
      </c>
      <c r="B5476" t="str">
        <f>"1551685746612416"</f>
        <v>1551685746612416</v>
      </c>
      <c r="C5476" t="s">
        <v>40</v>
      </c>
      <c r="D5476">
        <v>4.0300640000000003</v>
      </c>
      <c r="E5476">
        <v>0.54224490000000003</v>
      </c>
      <c r="F5476" t="s">
        <v>42</v>
      </c>
      <c r="G5476">
        <v>0</v>
      </c>
      <c r="H5476">
        <v>0</v>
      </c>
      <c r="I5476">
        <v>0</v>
      </c>
      <c r="J5476">
        <v>-360.81310000000002</v>
      </c>
      <c r="K5476">
        <v>1.1111</v>
      </c>
      <c r="L5476">
        <v>141.869</v>
      </c>
      <c r="M5476">
        <v>-0.99992669999999995</v>
      </c>
      <c r="N5476">
        <v>-1.1576909999999999E-2</v>
      </c>
      <c r="O5476">
        <v>-3.5727570000000002E-3</v>
      </c>
      <c r="P5476">
        <v>-0.97191760000000005</v>
      </c>
      <c r="Q5476">
        <v>0.20869650000000001</v>
      </c>
      <c r="R5476">
        <v>-0.1087293</v>
      </c>
      <c r="S5476">
        <v>-3.0814819999999998</v>
      </c>
      <c r="T5476">
        <v>2.333534E-2</v>
      </c>
      <c r="U5476">
        <v>2.6245119999999999E-3</v>
      </c>
      <c r="V5476">
        <v>-0.105516</v>
      </c>
      <c r="W5476">
        <v>0.21981439999999999</v>
      </c>
      <c r="X5476">
        <v>0.96981850000000003</v>
      </c>
      <c r="Y5476">
        <v>4.4241050000000002E-3</v>
      </c>
      <c r="Z5476" s="1">
        <v>-5.9558339999999998E-5</v>
      </c>
      <c r="AA5476">
        <v>0.99999020000000005</v>
      </c>
      <c r="AB5476">
        <v>34</v>
      </c>
      <c r="AC5476">
        <v>-3.0814819999999998</v>
      </c>
      <c r="AD5476">
        <v>2.333534E-2</v>
      </c>
      <c r="AE5476">
        <v>2.6245119999999999E-3</v>
      </c>
      <c r="AF5476">
        <v>1.3633836544415001E-2</v>
      </c>
      <c r="AG5476">
        <v>2.333534E-2</v>
      </c>
      <c r="AH5476">
        <v>3.0812762518764401</v>
      </c>
      <c r="AI5476">
        <v>89.566096078862003</v>
      </c>
      <c r="AJ5476">
        <v>89.746482908108305</v>
      </c>
      <c r="AK5476">
        <v>3.0813947750928601</v>
      </c>
      <c r="AL5476">
        <v>77.301867430015406</v>
      </c>
      <c r="AM5476">
        <v>96.209341953170707</v>
      </c>
      <c r="AN5476">
        <v>0.99999995982280399</v>
      </c>
    </row>
    <row r="5477" spans="1:40" x14ac:dyDescent="0.25">
      <c r="A5477" t="str">
        <f>"20190304154906639"</f>
        <v>20190304154906639</v>
      </c>
      <c r="B5477" t="str">
        <f>"1551685746632911"</f>
        <v>1551685746632911</v>
      </c>
      <c r="C5477" t="s">
        <v>40</v>
      </c>
      <c r="D5477">
        <v>4.0108290000000002</v>
      </c>
      <c r="E5477">
        <v>0.54277559999999903</v>
      </c>
      <c r="F5477" t="s">
        <v>42</v>
      </c>
      <c r="G5477">
        <v>0</v>
      </c>
      <c r="H5477">
        <v>0</v>
      </c>
      <c r="I5477">
        <v>0</v>
      </c>
      <c r="J5477">
        <v>-361.16030000000001</v>
      </c>
      <c r="K5477">
        <v>1.1111070000000001</v>
      </c>
      <c r="L5477">
        <v>141.8672</v>
      </c>
      <c r="M5477">
        <v>-0.99992449999999999</v>
      </c>
      <c r="N5477">
        <v>-1.158089E-2</v>
      </c>
      <c r="O5477">
        <v>-4.1303640000000001E-3</v>
      </c>
      <c r="P5477">
        <v>-0.97179309999999997</v>
      </c>
      <c r="Q5477">
        <v>0.20933170000000001</v>
      </c>
      <c r="R5477">
        <v>-0.1086202</v>
      </c>
      <c r="S5477">
        <v>-3.0814210000000002</v>
      </c>
      <c r="T5477">
        <v>2.7790189999999999E-2</v>
      </c>
      <c r="U5477">
        <v>6.17981E-3</v>
      </c>
      <c r="V5477">
        <v>-0.1048679</v>
      </c>
      <c r="W5477">
        <v>0.22045210000000001</v>
      </c>
      <c r="X5477">
        <v>0.9697441</v>
      </c>
      <c r="Y5477">
        <v>6.1353140000000002E-3</v>
      </c>
      <c r="Z5477" s="1">
        <v>-7.7220319999999896E-5</v>
      </c>
      <c r="AA5477">
        <v>0.99998120000000001</v>
      </c>
      <c r="AB5477">
        <v>34</v>
      </c>
      <c r="AC5477">
        <v>-3.0814210000000002</v>
      </c>
      <c r="AD5477">
        <v>2.7790189999999999E-2</v>
      </c>
      <c r="AE5477">
        <v>6.17981E-3</v>
      </c>
      <c r="AF5477">
        <v>1.89064622864785E-2</v>
      </c>
      <c r="AG5477">
        <v>2.7790189999999999E-2</v>
      </c>
      <c r="AH5477">
        <v>3.0811185816323299</v>
      </c>
      <c r="AI5477">
        <v>89.483243696263003</v>
      </c>
      <c r="AJ5477">
        <v>89.648424145318003</v>
      </c>
      <c r="AK5477">
        <v>3.0813019104035302</v>
      </c>
      <c r="AL5477">
        <v>77.264411776036695</v>
      </c>
      <c r="AM5477">
        <v>96.171967995029902</v>
      </c>
      <c r="AN5477">
        <v>1.00000001216481</v>
      </c>
    </row>
    <row r="5478" spans="1:40" x14ac:dyDescent="0.25">
      <c r="A5478" t="str">
        <f>"20190304154906662"</f>
        <v>20190304154906662</v>
      </c>
      <c r="B5478" t="str">
        <f>"1551685746652432"</f>
        <v>1551685746652432</v>
      </c>
      <c r="C5478" t="s">
        <v>40</v>
      </c>
      <c r="D5478">
        <v>4.0162430000000002</v>
      </c>
      <c r="E5478">
        <v>0.54331669999999999</v>
      </c>
      <c r="F5478" t="s">
        <v>42</v>
      </c>
      <c r="G5478">
        <v>0</v>
      </c>
      <c r="H5478">
        <v>0</v>
      </c>
      <c r="I5478">
        <v>0</v>
      </c>
      <c r="J5478">
        <v>-361.50049999999999</v>
      </c>
      <c r="K5478">
        <v>1.1111169999999999</v>
      </c>
      <c r="L5478">
        <v>141.86519999999999</v>
      </c>
      <c r="M5478">
        <v>-0.99992199999999998</v>
      </c>
      <c r="N5478">
        <v>-1.158435E-2</v>
      </c>
      <c r="O5478">
        <v>-4.6795029999999998E-3</v>
      </c>
      <c r="P5478">
        <v>-0.97152070000000001</v>
      </c>
      <c r="Q5478">
        <v>0.21045530000000001</v>
      </c>
      <c r="R5478">
        <v>-0.1088856</v>
      </c>
      <c r="S5478">
        <v>-3.081299</v>
      </c>
      <c r="T5478">
        <v>3.2505390000000002E-2</v>
      </c>
      <c r="U5478">
        <v>1.1047360000000001E-2</v>
      </c>
      <c r="V5478">
        <v>-0.1046038</v>
      </c>
      <c r="W5478">
        <v>0.22157569999999999</v>
      </c>
      <c r="X5478">
        <v>0.9695165</v>
      </c>
      <c r="Y5478">
        <v>8.2639180000000003E-3</v>
      </c>
      <c r="Z5478" s="1">
        <v>-9.9291219999999997E-5</v>
      </c>
      <c r="AA5478">
        <v>0.99996580000000002</v>
      </c>
      <c r="AB5478">
        <v>34</v>
      </c>
      <c r="AC5478">
        <v>-3.081299</v>
      </c>
      <c r="AD5478">
        <v>3.2505390000000002E-2</v>
      </c>
      <c r="AE5478">
        <v>1.1047360000000001E-2</v>
      </c>
      <c r="AF5478">
        <v>2.5464319998941599E-2</v>
      </c>
      <c r="AG5478">
        <v>3.2505390000000002E-2</v>
      </c>
      <c r="AH5478">
        <v>3.08087070353699</v>
      </c>
      <c r="AI5478">
        <v>89.395531611034301</v>
      </c>
      <c r="AJ5478">
        <v>89.526443988742699</v>
      </c>
      <c r="AK5478">
        <v>3.0811474037904398</v>
      </c>
      <c r="AL5478">
        <v>77.198401626693695</v>
      </c>
      <c r="AM5478">
        <v>96.157978170354994</v>
      </c>
      <c r="AN5478">
        <v>0.99999999478858903</v>
      </c>
    </row>
    <row r="5479" spans="1:40" x14ac:dyDescent="0.25">
      <c r="A5479" t="str">
        <f>"20190304154906683"</f>
        <v>20190304154906683</v>
      </c>
      <c r="B5479" t="str">
        <f>"1551685746672927"</f>
        <v>1551685746672927</v>
      </c>
      <c r="C5479" t="s">
        <v>40</v>
      </c>
      <c r="D5479">
        <v>4.0471409999999999</v>
      </c>
      <c r="E5479">
        <v>0.54341930000000005</v>
      </c>
      <c r="F5479" t="s">
        <v>42</v>
      </c>
      <c r="G5479">
        <v>0</v>
      </c>
      <c r="H5479">
        <v>0</v>
      </c>
      <c r="I5479">
        <v>0</v>
      </c>
      <c r="J5479">
        <v>-361.83030000000002</v>
      </c>
      <c r="K5479">
        <v>1.111124</v>
      </c>
      <c r="L5479">
        <v>141.8631</v>
      </c>
      <c r="M5479">
        <v>-0.99991940000000001</v>
      </c>
      <c r="N5479">
        <v>-1.1589830000000001E-2</v>
      </c>
      <c r="O5479">
        <v>-5.2154139999999998E-3</v>
      </c>
      <c r="P5479">
        <v>-0.97126670000000004</v>
      </c>
      <c r="Q5479">
        <v>0.211312</v>
      </c>
      <c r="R5479">
        <v>-0.1094919</v>
      </c>
      <c r="S5479">
        <v>-3.081299</v>
      </c>
      <c r="T5479">
        <v>3.8196330000000001E-2</v>
      </c>
      <c r="U5479">
        <v>1.45874E-2</v>
      </c>
      <c r="V5479">
        <v>-0.1046938</v>
      </c>
      <c r="W5479">
        <v>0.22243489999999999</v>
      </c>
      <c r="X5479">
        <v>0.96931</v>
      </c>
      <c r="Y5479">
        <v>9.9482110000000002E-3</v>
      </c>
      <c r="Z5479">
        <v>-1.29097E-4</v>
      </c>
      <c r="AA5479">
        <v>0.99995049999999996</v>
      </c>
      <c r="AB5479">
        <v>34</v>
      </c>
      <c r="AC5479">
        <v>-3.081299</v>
      </c>
      <c r="AD5479">
        <v>3.8196330000000001E-2</v>
      </c>
      <c r="AE5479">
        <v>1.45874E-2</v>
      </c>
      <c r="AF5479">
        <v>3.06538179604686E-2</v>
      </c>
      <c r="AG5479">
        <v>3.8196330000000001E-2</v>
      </c>
      <c r="AH5479">
        <v>3.0807076161580902</v>
      </c>
      <c r="AI5479">
        <v>89.289686549348104</v>
      </c>
      <c r="AJ5479">
        <v>89.429911353517895</v>
      </c>
      <c r="AK5479">
        <v>3.08109688786891</v>
      </c>
      <c r="AL5479">
        <v>77.147912932963493</v>
      </c>
      <c r="AM5479">
        <v>96.164538566279006</v>
      </c>
      <c r="AN5479">
        <v>0.99999997629822401</v>
      </c>
    </row>
    <row r="5480" spans="1:40" x14ac:dyDescent="0.25">
      <c r="A5480" t="str">
        <f>"20190304154906707"</f>
        <v>20190304154906707</v>
      </c>
      <c r="B5480" t="str">
        <f>"1551685746702212"</f>
        <v>1551685746702212</v>
      </c>
      <c r="C5480" t="s">
        <v>40</v>
      </c>
      <c r="D5480">
        <v>4.0521099999999999</v>
      </c>
      <c r="E5480">
        <v>0.48879810000000001</v>
      </c>
      <c r="F5480" t="s">
        <v>42</v>
      </c>
      <c r="G5480">
        <v>0</v>
      </c>
      <c r="H5480">
        <v>0</v>
      </c>
      <c r="I5480">
        <v>0</v>
      </c>
      <c r="J5480">
        <v>-362.18619999999999</v>
      </c>
      <c r="K5480">
        <v>1.11113</v>
      </c>
      <c r="L5480">
        <v>141.86070000000001</v>
      </c>
      <c r="M5480">
        <v>-0.99991600000000003</v>
      </c>
      <c r="N5480">
        <v>-1.160021E-2</v>
      </c>
      <c r="O5480">
        <v>-5.7960529999999998E-3</v>
      </c>
      <c r="P5480">
        <v>-0.97091229999999995</v>
      </c>
      <c r="Q5480">
        <v>0.2124239</v>
      </c>
      <c r="R5480">
        <v>-0.11047849999999999</v>
      </c>
      <c r="S5480">
        <v>-3.081299</v>
      </c>
      <c r="T5480">
        <v>4.1237709999999997E-2</v>
      </c>
      <c r="U5480">
        <v>1.351929E-2</v>
      </c>
      <c r="V5480">
        <v>-0.10512009999999999</v>
      </c>
      <c r="W5480">
        <v>0.22355230000000001</v>
      </c>
      <c r="X5480">
        <v>0.96900679999999995</v>
      </c>
      <c r="Y5480">
        <v>1.0181870000000001E-2</v>
      </c>
      <c r="Z5480">
        <v>-1.5386889999999999E-4</v>
      </c>
      <c r="AA5480">
        <v>0.99994810000000001</v>
      </c>
      <c r="AB5480">
        <v>34</v>
      </c>
      <c r="AC5480">
        <v>-3.081299</v>
      </c>
      <c r="AD5480">
        <v>4.1237709999999997E-2</v>
      </c>
      <c r="AE5480">
        <v>1.351929E-2</v>
      </c>
      <c r="AF5480">
        <v>3.1374016142614203E-2</v>
      </c>
      <c r="AG5480">
        <v>4.1237709999999997E-2</v>
      </c>
      <c r="AH5480">
        <v>3.0806171111946798</v>
      </c>
      <c r="AI5480">
        <v>89.233113677663894</v>
      </c>
      <c r="AJ5480">
        <v>89.416501142132404</v>
      </c>
      <c r="AK5480">
        <v>3.0810528498226701</v>
      </c>
      <c r="AL5480">
        <v>77.082237499852098</v>
      </c>
      <c r="AM5480">
        <v>96.191366980959103</v>
      </c>
      <c r="AN5480">
        <v>1.0000000223527601</v>
      </c>
    </row>
    <row r="5481" spans="1:40" x14ac:dyDescent="0.25">
      <c r="A5481" t="str">
        <f>"20190304154906729"</f>
        <v>20190304154906729</v>
      </c>
      <c r="B5481" t="str">
        <f>"1551685746722708"</f>
        <v>1551685746722708</v>
      </c>
      <c r="C5481" t="s">
        <v>40</v>
      </c>
      <c r="D5481">
        <v>4.0414219999999998</v>
      </c>
      <c r="E5481">
        <v>0.47866160000000002</v>
      </c>
      <c r="F5481" t="s">
        <v>42</v>
      </c>
      <c r="G5481">
        <v>0</v>
      </c>
      <c r="H5481">
        <v>0</v>
      </c>
      <c r="I5481">
        <v>0</v>
      </c>
      <c r="J5481">
        <v>-362.53179999999998</v>
      </c>
      <c r="K5481">
        <v>1.1111439999999999</v>
      </c>
      <c r="L5481">
        <v>141.85810000000001</v>
      </c>
      <c r="M5481">
        <v>-0.99991249999999998</v>
      </c>
      <c r="N5481">
        <v>-1.161221E-2</v>
      </c>
      <c r="O5481">
        <v>-6.3619100000000001E-3</v>
      </c>
      <c r="P5481">
        <v>-0.97055939999999996</v>
      </c>
      <c r="Q5481">
        <v>0.21363270000000001</v>
      </c>
      <c r="R5481">
        <v>-0.1112485</v>
      </c>
      <c r="S5481">
        <v>-3.0355530000000002</v>
      </c>
      <c r="T5481">
        <v>2.8373599999999999E-2</v>
      </c>
      <c r="U5481">
        <v>-0.4228363</v>
      </c>
      <c r="V5481">
        <v>-0.1053453</v>
      </c>
      <c r="W5481">
        <v>0.22476840000000001</v>
      </c>
      <c r="X5481">
        <v>0.96870089999999998</v>
      </c>
      <c r="Y5481">
        <v>-0.13166120000000001</v>
      </c>
      <c r="Z5481">
        <v>-2.884772E-4</v>
      </c>
      <c r="AA5481">
        <v>0.99129469999999997</v>
      </c>
      <c r="AB5481">
        <v>34</v>
      </c>
      <c r="AC5481">
        <v>-3.0355530000000002</v>
      </c>
      <c r="AD5481">
        <v>2.8373599999999999E-2</v>
      </c>
      <c r="AE5481">
        <v>-0.4228363</v>
      </c>
      <c r="AF5481">
        <v>-0.40347994748104099</v>
      </c>
      <c r="AG5481">
        <v>2.8373599999999999E-2</v>
      </c>
      <c r="AH5481">
        <v>3.03792142245379</v>
      </c>
      <c r="AI5481">
        <v>89.469541867965305</v>
      </c>
      <c r="AJ5481">
        <v>97.565432426753802</v>
      </c>
      <c r="AK5481">
        <v>3.0647296288905999</v>
      </c>
      <c r="AL5481">
        <v>77.010739707733904</v>
      </c>
      <c r="AM5481">
        <v>96.2064714771154</v>
      </c>
      <c r="AN5481">
        <v>0.99999994976572804</v>
      </c>
    </row>
    <row r="5482" spans="1:40" x14ac:dyDescent="0.25">
      <c r="A5482" t="str">
        <f>"20190304154906752"</f>
        <v>20190304154906752</v>
      </c>
      <c r="B5482" t="str">
        <f>"1551685746743205"</f>
        <v>1551685746743205</v>
      </c>
      <c r="C5482" t="s">
        <v>40</v>
      </c>
      <c r="D5482">
        <v>3.998605</v>
      </c>
      <c r="E5482">
        <v>0.4739756</v>
      </c>
      <c r="F5482" t="s">
        <v>42</v>
      </c>
      <c r="G5482">
        <v>0</v>
      </c>
      <c r="H5482">
        <v>0</v>
      </c>
      <c r="I5482">
        <v>0</v>
      </c>
      <c r="J5482">
        <v>-362.87709999999998</v>
      </c>
      <c r="K5482">
        <v>1.1111470000000001</v>
      </c>
      <c r="L5482">
        <v>141.8553</v>
      </c>
      <c r="M5482">
        <v>-0.99990840000000003</v>
      </c>
      <c r="N5482">
        <v>-1.1623949999999999E-2</v>
      </c>
      <c r="O5482">
        <v>-6.9277569999999997E-3</v>
      </c>
      <c r="P5482">
        <v>-0.97032510000000005</v>
      </c>
      <c r="Q5482">
        <v>0.2139964</v>
      </c>
      <c r="R5482">
        <v>-0.1125829</v>
      </c>
      <c r="S5482">
        <v>-3.0302120000000001</v>
      </c>
      <c r="T5482">
        <v>1.2628199999999999E-2</v>
      </c>
      <c r="U5482">
        <v>-0.50602720000000001</v>
      </c>
      <c r="V5482">
        <v>-0.106133199999999</v>
      </c>
      <c r="W5482">
        <v>0.22514010000000001</v>
      </c>
      <c r="X5482">
        <v>0.96852859999999996</v>
      </c>
      <c r="Y5482">
        <v>-0.15787880000000001</v>
      </c>
      <c r="Z5482">
        <v>-7.0586629999999997E-4</v>
      </c>
      <c r="AA5482">
        <v>0.98745819999999995</v>
      </c>
      <c r="AB5482">
        <v>34</v>
      </c>
      <c r="AC5482">
        <v>-3.0302120000000001</v>
      </c>
      <c r="AD5482">
        <v>1.2628199999999999E-2</v>
      </c>
      <c r="AE5482">
        <v>-0.50602720000000001</v>
      </c>
      <c r="AF5482">
        <v>-0.48501286858986598</v>
      </c>
      <c r="AG5482">
        <v>1.2628199999999999E-2</v>
      </c>
      <c r="AH5482">
        <v>3.0335938875529802</v>
      </c>
      <c r="AI5482">
        <v>89.764482449049694</v>
      </c>
      <c r="AJ5482">
        <v>99.083607504081698</v>
      </c>
      <c r="AK5482">
        <v>3.0721472667715402</v>
      </c>
      <c r="AL5482">
        <v>76.988883119302599</v>
      </c>
      <c r="AM5482">
        <v>96.253628199416994</v>
      </c>
      <c r="AN5482">
        <v>0.99999998489410402</v>
      </c>
    </row>
    <row r="5483" spans="1:40" x14ac:dyDescent="0.25">
      <c r="A5483" t="str">
        <f>"20190304154906774"</f>
        <v>20190304154906774</v>
      </c>
      <c r="B5483" t="str">
        <f>"1551685746762725"</f>
        <v>1551685746762725</v>
      </c>
      <c r="C5483" t="s">
        <v>40</v>
      </c>
      <c r="D5483">
        <v>3.971374</v>
      </c>
      <c r="E5483">
        <v>0.47138239999999998</v>
      </c>
      <c r="F5483" t="s">
        <v>42</v>
      </c>
      <c r="G5483">
        <v>0</v>
      </c>
      <c r="H5483">
        <v>0</v>
      </c>
      <c r="I5483">
        <v>0</v>
      </c>
      <c r="J5483">
        <v>-363.2176</v>
      </c>
      <c r="K5483">
        <v>1.1111500000000001</v>
      </c>
      <c r="L5483">
        <v>141.85239999999999</v>
      </c>
      <c r="M5483">
        <v>-0.99990429999999997</v>
      </c>
      <c r="N5483">
        <v>-1.1634769999999999E-2</v>
      </c>
      <c r="O5483">
        <v>-7.4858440000000002E-3</v>
      </c>
      <c r="P5483">
        <v>-0.97036429999999996</v>
      </c>
      <c r="Q5483">
        <v>0.21345320000000001</v>
      </c>
      <c r="R5483">
        <v>-0.1132739</v>
      </c>
      <c r="S5483">
        <v>-3.0290530000000002</v>
      </c>
      <c r="T5483">
        <v>-3.8168429999999999E-3</v>
      </c>
      <c r="U5483">
        <v>-0.5473633</v>
      </c>
      <c r="V5483">
        <v>-0.1062819</v>
      </c>
      <c r="W5483">
        <v>0.2246081</v>
      </c>
      <c r="X5483">
        <v>0.96863580000000005</v>
      </c>
      <c r="Y5483">
        <v>-0.1704513</v>
      </c>
      <c r="Z5483">
        <v>-1.1831719999999999E-3</v>
      </c>
      <c r="AA5483">
        <v>0.98536539999999995</v>
      </c>
      <c r="AB5483">
        <v>34</v>
      </c>
      <c r="AC5483">
        <v>-3.0290530000000002</v>
      </c>
      <c r="AD5483">
        <v>-3.8168429999999999E-3</v>
      </c>
      <c r="AE5483">
        <v>-0.5473633</v>
      </c>
      <c r="AF5483">
        <v>-0.52467060150045497</v>
      </c>
      <c r="AG5483">
        <v>-3.8168429999999999E-3</v>
      </c>
      <c r="AH5483">
        <v>3.0330612065046201</v>
      </c>
      <c r="AI5483">
        <v>90.071046561925698</v>
      </c>
      <c r="AJ5483">
        <v>99.814122901136997</v>
      </c>
      <c r="AK5483">
        <v>3.0781088497278</v>
      </c>
      <c r="AL5483">
        <v>77.020165584551293</v>
      </c>
      <c r="AM5483">
        <v>96.261632850725405</v>
      </c>
      <c r="AN5483">
        <v>0.99999997694742904</v>
      </c>
    </row>
    <row r="5484" spans="1:40" x14ac:dyDescent="0.25">
      <c r="A5484" t="str">
        <f>"20190304154906795"</f>
        <v>20190304154906795</v>
      </c>
      <c r="B5484" t="str">
        <f>"1551685746792980"</f>
        <v>1551685746792980</v>
      </c>
      <c r="C5484" t="s">
        <v>40</v>
      </c>
      <c r="D5484">
        <v>4.0030939999999999</v>
      </c>
      <c r="E5484">
        <v>0.46916200000000002</v>
      </c>
      <c r="F5484" t="s">
        <v>42</v>
      </c>
      <c r="G5484">
        <v>0</v>
      </c>
      <c r="H5484">
        <v>0</v>
      </c>
      <c r="I5484">
        <v>0</v>
      </c>
      <c r="J5484">
        <v>-363.55250000000001</v>
      </c>
      <c r="K5484">
        <v>1.1111470000000001</v>
      </c>
      <c r="L5484">
        <v>141.8493</v>
      </c>
      <c r="M5484">
        <v>-0.99990000000000001</v>
      </c>
      <c r="N5484">
        <v>-1.1644720000000001E-2</v>
      </c>
      <c r="O5484">
        <v>-8.0350969999999997E-3</v>
      </c>
      <c r="P5484">
        <v>-0.97033769999999997</v>
      </c>
      <c r="Q5484">
        <v>0.2132414</v>
      </c>
      <c r="R5484">
        <v>-0.11389879999999999</v>
      </c>
      <c r="S5484">
        <v>-3.0286559999999998</v>
      </c>
      <c r="T5484">
        <v>-1.648736E-2</v>
      </c>
      <c r="U5484">
        <v>-0.57028199999999996</v>
      </c>
      <c r="V5484">
        <v>-0.1063738</v>
      </c>
      <c r="W5484">
        <v>0.22440599999999999</v>
      </c>
      <c r="X5484">
        <v>0.96867259999999999</v>
      </c>
      <c r="Y5484">
        <v>-0.1771327</v>
      </c>
      <c r="Z5484">
        <v>-1.56772799999999E-3</v>
      </c>
      <c r="AA5484">
        <v>0.9841858</v>
      </c>
      <c r="AB5484">
        <v>34</v>
      </c>
      <c r="AC5484">
        <v>-3.0286559999999998</v>
      </c>
      <c r="AD5484">
        <v>-1.648736E-2</v>
      </c>
      <c r="AE5484">
        <v>-0.57028199999999996</v>
      </c>
      <c r="AF5484">
        <v>-0.545910770940645</v>
      </c>
      <c r="AG5484">
        <v>-1.648736E-2</v>
      </c>
      <c r="AH5484">
        <v>3.03305399115977</v>
      </c>
      <c r="AI5484">
        <v>90.306525382463306</v>
      </c>
      <c r="AJ5484">
        <v>100.203261074343</v>
      </c>
      <c r="AK5484">
        <v>3.0818349917150001</v>
      </c>
      <c r="AL5484">
        <v>77.032048996345097</v>
      </c>
      <c r="AM5484">
        <v>96.266767916386996</v>
      </c>
      <c r="AN5484">
        <v>1.0000000220765899</v>
      </c>
    </row>
    <row r="5485" spans="1:40" x14ac:dyDescent="0.25">
      <c r="A5485" t="str">
        <f>"20190304154906819"</f>
        <v>20190304154906819</v>
      </c>
      <c r="B5485" t="str">
        <f>"1551685746812500"</f>
        <v>1551685746812500</v>
      </c>
      <c r="C5485" t="s">
        <v>40</v>
      </c>
      <c r="D5485">
        <v>4.0095219999999996</v>
      </c>
      <c r="E5485">
        <v>0.46826329999999999</v>
      </c>
      <c r="F5485" t="s">
        <v>45</v>
      </c>
      <c r="G5485">
        <v>-489.5249</v>
      </c>
      <c r="H5485">
        <v>-0.05</v>
      </c>
      <c r="I5485">
        <v>117.30410000000001</v>
      </c>
      <c r="J5485">
        <v>-363.90140000000002</v>
      </c>
      <c r="K5485">
        <v>1.1111519999999999</v>
      </c>
      <c r="L5485">
        <v>141.8459</v>
      </c>
      <c r="M5485">
        <v>-0.99989530000000004</v>
      </c>
      <c r="N5485">
        <v>-1.1654289999999999E-2</v>
      </c>
      <c r="O5485">
        <v>-8.6071129999999996E-3</v>
      </c>
      <c r="P5485">
        <v>-0.97040029999999999</v>
      </c>
      <c r="Q5485">
        <v>0.2127038</v>
      </c>
      <c r="R5485">
        <v>-0.114371</v>
      </c>
      <c r="S5485">
        <v>-3.0285639999999998</v>
      </c>
      <c r="T5485">
        <v>-2.7915720000000002E-2</v>
      </c>
      <c r="U5485">
        <v>-0.59010309999999999</v>
      </c>
      <c r="V5485">
        <v>-0.1062891</v>
      </c>
      <c r="W5485">
        <v>0.22387950000000001</v>
      </c>
      <c r="X5485">
        <v>0.96880370000000005</v>
      </c>
      <c r="Y5485">
        <v>-0.1827761</v>
      </c>
      <c r="Z5485">
        <v>-1.9303969999999999E-3</v>
      </c>
      <c r="AA5485">
        <v>0.98315269999999999</v>
      </c>
      <c r="AB5485">
        <v>34</v>
      </c>
      <c r="AC5485">
        <v>-125.623499999999</v>
      </c>
      <c r="AD5485">
        <v>-1.161152</v>
      </c>
      <c r="AE5485">
        <v>-24.541799999999899</v>
      </c>
      <c r="AF5485">
        <v>-23.457631555116802</v>
      </c>
      <c r="AG5485">
        <v>-1.161152</v>
      </c>
      <c r="AH5485">
        <v>125.819740129319</v>
      </c>
      <c r="AI5485">
        <v>90.519794097507102</v>
      </c>
      <c r="AJ5485">
        <v>100.560884785233</v>
      </c>
      <c r="AK5485">
        <v>127.99303011630001</v>
      </c>
      <c r="AL5485">
        <v>77.063002593873406</v>
      </c>
      <c r="AM5485">
        <v>96.260977035965894</v>
      </c>
      <c r="AN5485">
        <v>1.0000000062163701</v>
      </c>
    </row>
    <row r="5486" spans="1:40" x14ac:dyDescent="0.25">
      <c r="A5486" t="str">
        <f>"20190304154906840"</f>
        <v>20190304154906840</v>
      </c>
      <c r="B5486" t="str">
        <f>"1551685746832997"</f>
        <v>1551685746832997</v>
      </c>
      <c r="C5486" t="s">
        <v>40</v>
      </c>
      <c r="D5486">
        <v>4.0084790000000003</v>
      </c>
      <c r="E5486">
        <v>0.46768009999999899</v>
      </c>
      <c r="F5486" t="s">
        <v>45</v>
      </c>
      <c r="G5486">
        <v>-464.31380000000001</v>
      </c>
      <c r="H5486">
        <v>-0.05</v>
      </c>
      <c r="I5486">
        <v>122.0059</v>
      </c>
      <c r="J5486">
        <v>-364.24599999999998</v>
      </c>
      <c r="K5486">
        <v>1.1111519999999999</v>
      </c>
      <c r="L5486">
        <v>141.8424</v>
      </c>
      <c r="M5486">
        <v>-0.99988999999999995</v>
      </c>
      <c r="N5486">
        <v>-1.166292E-2</v>
      </c>
      <c r="O5486">
        <v>-9.1722049999999992E-3</v>
      </c>
      <c r="P5486">
        <v>-0.97046100000000002</v>
      </c>
      <c r="Q5486">
        <v>0.21204999999999999</v>
      </c>
      <c r="R5486">
        <v>-0.11506769999999999</v>
      </c>
      <c r="S5486">
        <v>-3.0286559999999998</v>
      </c>
      <c r="T5486">
        <v>-3.5022850000000001E-2</v>
      </c>
      <c r="U5486">
        <v>-0.59841919999999904</v>
      </c>
      <c r="V5486">
        <v>-0.1064355</v>
      </c>
      <c r="W5486">
        <v>0.22323480000000001</v>
      </c>
      <c r="X5486">
        <v>0.96893640000000003</v>
      </c>
      <c r="Y5486">
        <v>-0.1848069</v>
      </c>
      <c r="Z5486">
        <v>-2.147351E-3</v>
      </c>
      <c r="AA5486">
        <v>0.98277250000000005</v>
      </c>
      <c r="AB5486">
        <v>34</v>
      </c>
      <c r="AC5486">
        <v>-100.06780000000001</v>
      </c>
      <c r="AD5486">
        <v>-1.161152</v>
      </c>
      <c r="AE5486">
        <v>-19.836500000000001</v>
      </c>
      <c r="AF5486">
        <v>-18.9153101709887</v>
      </c>
      <c r="AG5486">
        <v>-1.161152</v>
      </c>
      <c r="AH5486">
        <v>100.232561307306</v>
      </c>
      <c r="AI5486">
        <v>90.652206857683197</v>
      </c>
      <c r="AJ5486">
        <v>100.68684770598</v>
      </c>
      <c r="AK5486">
        <v>102.008350535898</v>
      </c>
      <c r="AL5486">
        <v>77.100900517560206</v>
      </c>
      <c r="AM5486">
        <v>96.268680322383901</v>
      </c>
      <c r="AN5486">
        <v>1.00000001941812</v>
      </c>
    </row>
    <row r="5487" spans="1:40" x14ac:dyDescent="0.25">
      <c r="A5487" t="str">
        <f>"20190304154906863"</f>
        <v>20190304154906863</v>
      </c>
      <c r="B5487" t="str">
        <f>"1551685746852517"</f>
        <v>1551685746852517</v>
      </c>
      <c r="C5487" t="s">
        <v>40</v>
      </c>
      <c r="D5487">
        <v>4.0357430000000001</v>
      </c>
      <c r="E5487">
        <v>0.46711619999999998</v>
      </c>
      <c r="F5487" t="s">
        <v>79</v>
      </c>
      <c r="G5487">
        <v>-439.59519999999998</v>
      </c>
      <c r="H5487">
        <v>7.9986680000000004E-2</v>
      </c>
      <c r="I5487">
        <v>126.8023</v>
      </c>
      <c r="J5487">
        <v>-364.59</v>
      </c>
      <c r="K5487">
        <v>1.1111500000000001</v>
      </c>
      <c r="L5487">
        <v>141.83869999999999</v>
      </c>
      <c r="M5487">
        <v>-0.99988449999999995</v>
      </c>
      <c r="N5487">
        <v>-1.167316E-2</v>
      </c>
      <c r="O5487">
        <v>-9.7367119999999998E-3</v>
      </c>
      <c r="P5487">
        <v>-0.97053840000000002</v>
      </c>
      <c r="Q5487">
        <v>0.21126710000000001</v>
      </c>
      <c r="R5487">
        <v>-0.1158516</v>
      </c>
      <c r="S5487">
        <v>-3.0286559999999998</v>
      </c>
      <c r="T5487">
        <v>-4.1447640000000001E-2</v>
      </c>
      <c r="U5487">
        <v>-0.60453800000000002</v>
      </c>
      <c r="V5487">
        <v>-0.10666970000000001</v>
      </c>
      <c r="W5487">
        <v>0.2224632</v>
      </c>
      <c r="X5487">
        <v>0.96908810000000001</v>
      </c>
      <c r="Y5487">
        <v>-0.18615480000000001</v>
      </c>
      <c r="Z5487">
        <v>-2.3392019999999999E-3</v>
      </c>
      <c r="AA5487">
        <v>0.98251770000000005</v>
      </c>
      <c r="AB5487">
        <v>34</v>
      </c>
      <c r="AC5487">
        <v>-75.005200000000002</v>
      </c>
      <c r="AD5487">
        <v>-1.0311633200000001</v>
      </c>
      <c r="AE5487">
        <v>-15.036399999999899</v>
      </c>
      <c r="AF5487">
        <v>-14.302734533196601</v>
      </c>
      <c r="AG5487">
        <v>-1.0311633200000001</v>
      </c>
      <c r="AH5487">
        <v>75.134407036709007</v>
      </c>
      <c r="AI5487">
        <v>90.772423045849706</v>
      </c>
      <c r="AJ5487">
        <v>100.777983092653</v>
      </c>
      <c r="AK5487">
        <v>76.4905917984524</v>
      </c>
      <c r="AL5487">
        <v>77.146250400563503</v>
      </c>
      <c r="AM5487">
        <v>96.281388142127796</v>
      </c>
      <c r="AN5487">
        <v>1.0000000229069601</v>
      </c>
    </row>
    <row r="5488" spans="1:40" x14ac:dyDescent="0.25">
      <c r="A5488" t="str">
        <f>"20190304154906880"</f>
        <v>20190304154906880</v>
      </c>
      <c r="B5488" t="str">
        <f>"1551685746873013"</f>
        <v>1551685746873013</v>
      </c>
      <c r="C5488" t="s">
        <v>40</v>
      </c>
      <c r="D5488">
        <v>3.9964599999999999</v>
      </c>
      <c r="E5488">
        <v>0.46692669999999997</v>
      </c>
      <c r="F5488" t="s">
        <v>79</v>
      </c>
      <c r="G5488">
        <v>-430.78129999999999</v>
      </c>
      <c r="H5488">
        <v>7.3309730000000004E-2</v>
      </c>
      <c r="I5488">
        <v>128.47980000000001</v>
      </c>
      <c r="J5488">
        <v>-364.8569</v>
      </c>
      <c r="K5488">
        <v>1.111151</v>
      </c>
      <c r="L5488">
        <v>141.8356</v>
      </c>
      <c r="M5488">
        <v>-0.99988010000000005</v>
      </c>
      <c r="N5488">
        <v>-1.1683799999999999E-2</v>
      </c>
      <c r="O5488">
        <v>-1.017439E-2</v>
      </c>
      <c r="P5488">
        <v>-0.97052320000000003</v>
      </c>
      <c r="Q5488">
        <v>0.211035</v>
      </c>
      <c r="R5488">
        <v>-0.1164018</v>
      </c>
      <c r="S5488">
        <v>-3.0284420000000001</v>
      </c>
      <c r="T5488">
        <v>-4.7484159999999997E-2</v>
      </c>
      <c r="U5488">
        <v>-0.61120609999999997</v>
      </c>
      <c r="V5488">
        <v>-0.1067944</v>
      </c>
      <c r="W5488">
        <v>0.22224150000000001</v>
      </c>
      <c r="X5488">
        <v>0.96912520000000002</v>
      </c>
      <c r="Y5488">
        <v>-0.18780959999999999</v>
      </c>
      <c r="Z5488">
        <v>-2.525696E-3</v>
      </c>
      <c r="AA5488">
        <v>0.98220220000000003</v>
      </c>
      <c r="AB5488">
        <v>34</v>
      </c>
      <c r="AC5488">
        <v>-65.924399999999906</v>
      </c>
      <c r="AD5488">
        <v>-1.0378412699999999</v>
      </c>
      <c r="AE5488">
        <v>-13.355799999999901</v>
      </c>
      <c r="AF5488">
        <v>-12.6813033338859</v>
      </c>
      <c r="AG5488">
        <v>-1.0378412699999999</v>
      </c>
      <c r="AH5488">
        <v>66.041161367627296</v>
      </c>
      <c r="AI5488">
        <v>90.884182239401198</v>
      </c>
      <c r="AJ5488">
        <v>100.86969705365399</v>
      </c>
      <c r="AK5488">
        <v>67.255687964161993</v>
      </c>
      <c r="AL5488">
        <v>77.159278608211594</v>
      </c>
      <c r="AM5488">
        <v>96.288433656282393</v>
      </c>
      <c r="AN5488">
        <v>0.99999999073432499</v>
      </c>
    </row>
    <row r="5489" spans="1:40" x14ac:dyDescent="0.25">
      <c r="A5489" t="str">
        <f>"20190304154906896"</f>
        <v>20190304154906896</v>
      </c>
      <c r="B5489" t="str">
        <f>"1551685746892533"</f>
        <v>1551685746892533</v>
      </c>
      <c r="C5489" t="s">
        <v>40</v>
      </c>
      <c r="D5489">
        <v>4.0218759999999998</v>
      </c>
      <c r="E5489">
        <v>0.46653129999999998</v>
      </c>
      <c r="F5489" t="s">
        <v>79</v>
      </c>
      <c r="G5489">
        <v>-435.88850000000002</v>
      </c>
      <c r="H5489">
        <v>7.9987150000000007E-2</v>
      </c>
      <c r="I5489">
        <v>127.4157</v>
      </c>
      <c r="J5489">
        <v>-365.09550000000002</v>
      </c>
      <c r="K5489">
        <v>1.1111470000000001</v>
      </c>
      <c r="L5489">
        <v>141.83279999999999</v>
      </c>
      <c r="M5489">
        <v>-0.99987579999999998</v>
      </c>
      <c r="N5489">
        <v>-1.1694420000000001E-2</v>
      </c>
      <c r="O5489">
        <v>-1.0565349999999999E-2</v>
      </c>
      <c r="P5489">
        <v>-0.97045579999999998</v>
      </c>
      <c r="Q5489">
        <v>0.2108681</v>
      </c>
      <c r="R5489">
        <v>-0.1172614</v>
      </c>
      <c r="S5489">
        <v>-3.0270079999999999</v>
      </c>
      <c r="T5489">
        <v>-4.3942929999999998E-2</v>
      </c>
      <c r="U5489">
        <v>-0.61450199999999999</v>
      </c>
      <c r="V5489">
        <v>-0.1072753</v>
      </c>
      <c r="W5489">
        <v>0.22208430000000001</v>
      </c>
      <c r="X5489">
        <v>0.96910819999999998</v>
      </c>
      <c r="Y5489">
        <v>-0.1885473</v>
      </c>
      <c r="Z5489">
        <v>-2.4389960000000001E-3</v>
      </c>
      <c r="AA5489">
        <v>0.98206110000000002</v>
      </c>
      <c r="AB5489">
        <v>34</v>
      </c>
      <c r="AC5489">
        <v>-70.793000000000006</v>
      </c>
      <c r="AD5489">
        <v>-1.0311598500000001</v>
      </c>
      <c r="AE5489">
        <v>-14.4170999999999</v>
      </c>
      <c r="AF5489">
        <v>-13.665507360881699</v>
      </c>
      <c r="AG5489">
        <v>-1.0311598500000001</v>
      </c>
      <c r="AH5489">
        <v>70.926931403772102</v>
      </c>
      <c r="AI5489">
        <v>90.817886560184505</v>
      </c>
      <c r="AJ5489">
        <v>100.90555614903499</v>
      </c>
      <c r="AK5489">
        <v>72.238763696660499</v>
      </c>
      <c r="AL5489">
        <v>77.168517326933198</v>
      </c>
      <c r="AM5489">
        <v>96.316632288764296</v>
      </c>
      <c r="AN5489">
        <v>1.0000000648019001</v>
      </c>
    </row>
    <row r="5490" spans="1:40" x14ac:dyDescent="0.25">
      <c r="A5490" t="str">
        <f>"20190304154906919"</f>
        <v>20190304154906919</v>
      </c>
      <c r="B5490" t="str">
        <f>"1551685746913029"</f>
        <v>1551685746913029</v>
      </c>
      <c r="C5490" t="s">
        <v>40</v>
      </c>
      <c r="D5490">
        <v>4.0144000000000002</v>
      </c>
      <c r="E5490">
        <v>0.46618229999999999</v>
      </c>
      <c r="F5490" t="s">
        <v>79</v>
      </c>
      <c r="G5490">
        <v>-431.31369999999998</v>
      </c>
      <c r="H5490">
        <v>7.9987210000000003E-2</v>
      </c>
      <c r="I5490">
        <v>128.25200000000001</v>
      </c>
      <c r="J5490">
        <v>-365.45100000000002</v>
      </c>
      <c r="K5490">
        <v>1.1111489999999999</v>
      </c>
      <c r="L5490">
        <v>141.82849999999999</v>
      </c>
      <c r="M5490">
        <v>-0.99986929999999996</v>
      </c>
      <c r="N5490">
        <v>-1.1711849999999999E-2</v>
      </c>
      <c r="O5490">
        <v>-1.114767E-2</v>
      </c>
      <c r="P5490">
        <v>-0.9703678</v>
      </c>
      <c r="Q5490">
        <v>0.2107453</v>
      </c>
      <c r="R5490">
        <v>-0.1182071</v>
      </c>
      <c r="S5490">
        <v>-3.0265810000000002</v>
      </c>
      <c r="T5490">
        <v>-4.7130350000000001E-2</v>
      </c>
      <c r="U5490">
        <v>-0.62072749999999999</v>
      </c>
      <c r="V5490">
        <v>-0.107656</v>
      </c>
      <c r="W5490">
        <v>0.22197739999999999</v>
      </c>
      <c r="X5490">
        <v>0.96909040000000002</v>
      </c>
      <c r="Y5490">
        <v>-0.1899373</v>
      </c>
      <c r="Z5490">
        <v>-2.544929E-3</v>
      </c>
      <c r="AA5490">
        <v>0.98179289999999997</v>
      </c>
      <c r="AB5490">
        <v>34</v>
      </c>
      <c r="AC5490">
        <v>-65.862700000000004</v>
      </c>
      <c r="AD5490">
        <v>-1.0311617900000001</v>
      </c>
      <c r="AE5490">
        <v>-13.5764999999999</v>
      </c>
      <c r="AF5490">
        <v>-12.8383716473093</v>
      </c>
      <c r="AG5490">
        <v>-1.0311617900000001</v>
      </c>
      <c r="AH5490">
        <v>65.994446565628493</v>
      </c>
      <c r="AI5490">
        <v>90.878702406308406</v>
      </c>
      <c r="AJ5490">
        <v>101.008658971267</v>
      </c>
      <c r="AK5490">
        <v>67.239527502022199</v>
      </c>
      <c r="AL5490">
        <v>77.174798088347103</v>
      </c>
      <c r="AM5490">
        <v>96.338982167783001</v>
      </c>
      <c r="AN5490">
        <v>0.99999999190945998</v>
      </c>
    </row>
    <row r="5491" spans="1:40" x14ac:dyDescent="0.25">
      <c r="A5491" t="str">
        <f>"20190304154906942"</f>
        <v>20190304154906942</v>
      </c>
      <c r="B5491" t="str">
        <f>"1551685746932548"</f>
        <v>1551685746932548</v>
      </c>
      <c r="C5491" t="s">
        <v>40</v>
      </c>
      <c r="D5491">
        <v>4.0008730000000003</v>
      </c>
      <c r="E5491">
        <v>0.46589390000000003</v>
      </c>
      <c r="F5491" t="s">
        <v>79</v>
      </c>
      <c r="G5491">
        <v>-430.625</v>
      </c>
      <c r="H5491">
        <v>4.3311700000000002E-2</v>
      </c>
      <c r="I5491">
        <v>128.33500000000001</v>
      </c>
      <c r="J5491">
        <v>-365.7962</v>
      </c>
      <c r="K5491">
        <v>1.1111519999999999</v>
      </c>
      <c r="L5491">
        <v>141.82409999999999</v>
      </c>
      <c r="M5491">
        <v>-0.99986269999999999</v>
      </c>
      <c r="N5491">
        <v>-1.1732619999999999E-2</v>
      </c>
      <c r="O5491">
        <v>-1.171357E-2</v>
      </c>
      <c r="P5491">
        <v>-0.97019069999999996</v>
      </c>
      <c r="Q5491">
        <v>0.2110023</v>
      </c>
      <c r="R5491">
        <v>-0.1191986</v>
      </c>
      <c r="S5491">
        <v>-3.026062</v>
      </c>
      <c r="T5491">
        <v>-4.9580220000000001E-2</v>
      </c>
      <c r="U5491">
        <v>-0.62651060000000003</v>
      </c>
      <c r="V5491">
        <v>-0.1081009</v>
      </c>
      <c r="W5491">
        <v>0.22225259999999999</v>
      </c>
      <c r="X5491">
        <v>0.9689778</v>
      </c>
      <c r="Y5491">
        <v>-0.19121089999999999</v>
      </c>
      <c r="Z5491">
        <v>-2.6297400000000002E-3</v>
      </c>
      <c r="AA5491">
        <v>0.98154540000000001</v>
      </c>
      <c r="AB5491">
        <v>34</v>
      </c>
      <c r="AC5491">
        <v>-64.828800000000001</v>
      </c>
      <c r="AD5491">
        <v>-1.0678403000000001</v>
      </c>
      <c r="AE5491">
        <v>-13.489099999999899</v>
      </c>
      <c r="AF5491">
        <v>-12.7254362368319</v>
      </c>
      <c r="AG5491">
        <v>-1.0678403000000001</v>
      </c>
      <c r="AH5491">
        <v>64.965473324910505</v>
      </c>
      <c r="AI5491">
        <v>90.924129468265406</v>
      </c>
      <c r="AJ5491">
        <v>101.082773673943</v>
      </c>
      <c r="AK5491">
        <v>66.208683227002993</v>
      </c>
      <c r="AL5491">
        <v>77.158626430289004</v>
      </c>
      <c r="AM5491">
        <v>96.365697704669003</v>
      </c>
      <c r="AN5491">
        <v>0.99999999984020405</v>
      </c>
    </row>
    <row r="5492" spans="1:40" x14ac:dyDescent="0.25">
      <c r="A5492" t="str">
        <f>"20190304154906963"</f>
        <v>20190304154906963</v>
      </c>
      <c r="B5492" t="str">
        <f>"1551685746953045"</f>
        <v>1551685746953045</v>
      </c>
      <c r="C5492" t="s">
        <v>40</v>
      </c>
      <c r="D5492">
        <v>4.0045039999999998</v>
      </c>
      <c r="E5492">
        <v>0.46559450000000002</v>
      </c>
      <c r="F5492" t="s">
        <v>79</v>
      </c>
      <c r="G5492">
        <v>-430.59910000000002</v>
      </c>
      <c r="H5492">
        <v>2.901461E-2</v>
      </c>
      <c r="I5492">
        <v>128.28829999999999</v>
      </c>
      <c r="J5492">
        <v>-366.13389999999998</v>
      </c>
      <c r="K5492">
        <v>1.111156</v>
      </c>
      <c r="L5492">
        <v>141.81950000000001</v>
      </c>
      <c r="M5492">
        <v>-0.99985570000000001</v>
      </c>
      <c r="N5492">
        <v>-1.175694E-2</v>
      </c>
      <c r="O5492">
        <v>-1.226757E-2</v>
      </c>
      <c r="P5492">
        <v>-0.97012569999999998</v>
      </c>
      <c r="Q5492">
        <v>0.21092430000000001</v>
      </c>
      <c r="R5492">
        <v>-0.119864</v>
      </c>
      <c r="S5492">
        <v>-3.0255130000000001</v>
      </c>
      <c r="T5492">
        <v>-5.05228E-2</v>
      </c>
      <c r="U5492">
        <v>-0.63195800000000002</v>
      </c>
      <c r="V5492">
        <v>-0.1082294</v>
      </c>
      <c r="W5492">
        <v>0.2221978</v>
      </c>
      <c r="X5492">
        <v>0.96897599999999995</v>
      </c>
      <c r="Y5492">
        <v>-0.1923947</v>
      </c>
      <c r="Z5492">
        <v>-2.6725210000000002E-3</v>
      </c>
      <c r="AA5492">
        <v>0.98131400000000002</v>
      </c>
      <c r="AB5492">
        <v>34</v>
      </c>
      <c r="AC5492">
        <v>-64.465199999999996</v>
      </c>
      <c r="AD5492">
        <v>-1.0821413900000001</v>
      </c>
      <c r="AE5492">
        <v>-13.5312</v>
      </c>
      <c r="AF5492">
        <v>-12.7358583545399</v>
      </c>
      <c r="AG5492">
        <v>-1.0821413900000001</v>
      </c>
      <c r="AH5492">
        <v>64.608917219662203</v>
      </c>
      <c r="AI5492">
        <v>90.941449790392994</v>
      </c>
      <c r="AJ5492">
        <v>101.151306564045</v>
      </c>
      <c r="AK5492">
        <v>65.8611061424876</v>
      </c>
      <c r="AL5492">
        <v>77.161846463512006</v>
      </c>
      <c r="AM5492">
        <v>96.373214152620406</v>
      </c>
      <c r="AN5492">
        <v>0.99999997696259901</v>
      </c>
    </row>
    <row r="5493" spans="1:40" x14ac:dyDescent="0.25">
      <c r="A5493" t="str">
        <f>"20190304154906986"</f>
        <v>20190304154906986</v>
      </c>
      <c r="B5493" t="str">
        <f>"1551685746982325"</f>
        <v>1551685746982325</v>
      </c>
      <c r="C5493" t="s">
        <v>40</v>
      </c>
      <c r="D5493">
        <v>4.0501050000000003</v>
      </c>
      <c r="E5493">
        <v>0.46518809999999999</v>
      </c>
      <c r="F5493" t="s">
        <v>79</v>
      </c>
      <c r="G5493">
        <v>-430.58550000000002</v>
      </c>
      <c r="H5493">
        <v>9.058343E-3</v>
      </c>
      <c r="I5493">
        <v>128.26390000000001</v>
      </c>
      <c r="J5493">
        <v>-366.46850000000001</v>
      </c>
      <c r="K5493">
        <v>1.111164</v>
      </c>
      <c r="L5493">
        <v>141.81489999999999</v>
      </c>
      <c r="M5493">
        <v>-0.99984839999999997</v>
      </c>
      <c r="N5493">
        <v>-1.1787290000000001E-2</v>
      </c>
      <c r="O5493">
        <v>-1.281708E-2</v>
      </c>
      <c r="P5493">
        <v>-0.97003779999999995</v>
      </c>
      <c r="Q5493">
        <v>0.21098500000000001</v>
      </c>
      <c r="R5493">
        <v>-0.1204654</v>
      </c>
      <c r="S5493">
        <v>-3.0250240000000002</v>
      </c>
      <c r="T5493">
        <v>-5.17267E-2</v>
      </c>
      <c r="U5493">
        <v>-0.63623050000000003</v>
      </c>
      <c r="V5493">
        <v>-0.1082987</v>
      </c>
      <c r="W5493">
        <v>0.2222875</v>
      </c>
      <c r="X5493">
        <v>0.96894769999999997</v>
      </c>
      <c r="Y5493">
        <v>-0.19321269999999999</v>
      </c>
      <c r="Z5493">
        <v>-2.717962E-3</v>
      </c>
      <c r="AA5493">
        <v>0.9811531</v>
      </c>
      <c r="AB5493">
        <v>34</v>
      </c>
      <c r="AC5493">
        <v>-64.117000000000004</v>
      </c>
      <c r="AD5493">
        <v>-1.1021056570000001</v>
      </c>
      <c r="AE5493">
        <v>-13.550999999999901</v>
      </c>
      <c r="AF5493">
        <v>-12.724438117248001</v>
      </c>
      <c r="AG5493">
        <v>-1.1021056570000001</v>
      </c>
      <c r="AH5493">
        <v>64.267252322251494</v>
      </c>
      <c r="AI5493">
        <v>90.963752195085604</v>
      </c>
      <c r="AJ5493">
        <v>101.199296086403</v>
      </c>
      <c r="AK5493">
        <v>65.524084757673705</v>
      </c>
      <c r="AL5493">
        <v>77.156575417295798</v>
      </c>
      <c r="AM5493">
        <v>96.377446079726397</v>
      </c>
      <c r="AN5493">
        <v>0.99999999320661404</v>
      </c>
    </row>
    <row r="5494" spans="1:40" x14ac:dyDescent="0.25">
      <c r="A5494" t="str">
        <f>"20190304154907031"</f>
        <v>20190304154907031</v>
      </c>
      <c r="B5494" t="str">
        <f>"1551685747022927"</f>
        <v>1551685747022927</v>
      </c>
      <c r="C5494" t="s">
        <v>40</v>
      </c>
      <c r="D5494">
        <v>4.0358280000000004</v>
      </c>
      <c r="E5494">
        <v>0.46470349999999999</v>
      </c>
      <c r="F5494" t="s">
        <v>79</v>
      </c>
      <c r="G5494">
        <v>-428.81360000000001</v>
      </c>
      <c r="H5494" s="1">
        <v>-6.7224040000000003E-6</v>
      </c>
      <c r="I5494">
        <v>128.59479999999999</v>
      </c>
      <c r="J5494">
        <v>-367.17509999999999</v>
      </c>
      <c r="K5494">
        <v>1.1111850000000001</v>
      </c>
      <c r="L5494">
        <v>141.80439999999999</v>
      </c>
      <c r="M5494">
        <v>-0.99983200000000005</v>
      </c>
      <c r="N5494">
        <v>-1.1862279999999999E-2</v>
      </c>
      <c r="O5494">
        <v>-1.39782E-2</v>
      </c>
      <c r="P5494">
        <v>-0.96987069999999997</v>
      </c>
      <c r="Q5494">
        <v>0.21078649999999999</v>
      </c>
      <c r="R5494">
        <v>-0.1221478</v>
      </c>
      <c r="S5494">
        <v>-3.02475</v>
      </c>
      <c r="T5494">
        <v>-5.3909779999999997E-2</v>
      </c>
      <c r="U5494">
        <v>-0.64138790000000001</v>
      </c>
      <c r="V5494">
        <v>-0.10885639999999901</v>
      </c>
      <c r="W5494">
        <v>0.22215960000000001</v>
      </c>
      <c r="X5494">
        <v>0.96891450000000001</v>
      </c>
      <c r="Y5494">
        <v>-0.19368940000000001</v>
      </c>
      <c r="Z5494">
        <v>-2.7863419999999998E-3</v>
      </c>
      <c r="AA5494">
        <v>0.98105900000000001</v>
      </c>
      <c r="AB5494">
        <v>34</v>
      </c>
      <c r="AC5494">
        <v>-61.638500000000001</v>
      </c>
      <c r="AD5494">
        <v>-1.111191722404</v>
      </c>
      <c r="AE5494">
        <v>-13.209599999999901</v>
      </c>
      <c r="AF5494">
        <v>-12.3428182070106</v>
      </c>
      <c r="AG5494">
        <v>-1.111191722404</v>
      </c>
      <c r="AH5494">
        <v>61.797934508718299</v>
      </c>
      <c r="AI5494">
        <v>91.010179719324299</v>
      </c>
      <c r="AJ5494">
        <v>101.294982609907</v>
      </c>
      <c r="AK5494">
        <v>63.0282842688827</v>
      </c>
      <c r="AL5494">
        <v>77.164090995453805</v>
      </c>
      <c r="AM5494">
        <v>96.410232824543002</v>
      </c>
      <c r="AN5494">
        <v>0.99999995600168401</v>
      </c>
    </row>
    <row r="5495" spans="1:40" x14ac:dyDescent="0.25">
      <c r="A5495" t="str">
        <f>"20190304154907046"</f>
        <v>20190304154907046</v>
      </c>
      <c r="B5495" t="str">
        <f>"1551685747042447"</f>
        <v>1551685747042447</v>
      </c>
      <c r="C5495" t="s">
        <v>40</v>
      </c>
      <c r="D5495">
        <v>4.0465140000000002</v>
      </c>
      <c r="E5495">
        <v>0.46451179999999997</v>
      </c>
      <c r="F5495" t="s">
        <v>79</v>
      </c>
      <c r="G5495">
        <v>-426.16269999999997</v>
      </c>
      <c r="H5495" s="1">
        <v>-6.5055319999999998E-6</v>
      </c>
      <c r="I5495">
        <v>129.11580000000001</v>
      </c>
      <c r="J5495">
        <v>-367.39120000000003</v>
      </c>
      <c r="K5495">
        <v>1.1111819999999999</v>
      </c>
      <c r="L5495">
        <v>141.80099999999999</v>
      </c>
      <c r="M5495">
        <v>-0.99982680000000002</v>
      </c>
      <c r="N5495">
        <v>-1.1883879999999999E-2</v>
      </c>
      <c r="O5495">
        <v>-1.4333210000000001E-2</v>
      </c>
      <c r="P5495">
        <v>-0.96985889999999997</v>
      </c>
      <c r="Q5495">
        <v>0.21041480000000001</v>
      </c>
      <c r="R5495">
        <v>-0.1228793</v>
      </c>
      <c r="S5495">
        <v>-3.0236510000000001</v>
      </c>
      <c r="T5495">
        <v>-5.6958679999999998E-2</v>
      </c>
      <c r="U5495">
        <v>-0.65040589999999998</v>
      </c>
      <c r="V5495">
        <v>-0.1092428</v>
      </c>
      <c r="W5495">
        <v>0.22180859999999999</v>
      </c>
      <c r="X5495">
        <v>0.96895149999999997</v>
      </c>
      <c r="Y5495">
        <v>-0.19620580000000001</v>
      </c>
      <c r="Z5495">
        <v>-2.9078709999999998E-3</v>
      </c>
      <c r="AA5495">
        <v>0.9805585</v>
      </c>
      <c r="AB5495">
        <v>34</v>
      </c>
      <c r="AC5495">
        <v>-58.771499999999897</v>
      </c>
      <c r="AD5495">
        <v>-1.1111885055320001</v>
      </c>
      <c r="AE5495">
        <v>-12.6852</v>
      </c>
      <c r="AF5495">
        <v>-11.837409920441401</v>
      </c>
      <c r="AG5495">
        <v>-1.1111885055320001</v>
      </c>
      <c r="AH5495">
        <v>58.927167100687697</v>
      </c>
      <c r="AI5495">
        <v>91.059143611175699</v>
      </c>
      <c r="AJ5495">
        <v>101.358518010146</v>
      </c>
      <c r="AK5495">
        <v>60.114640779362297</v>
      </c>
      <c r="AL5495">
        <v>77.184717337046607</v>
      </c>
      <c r="AM5495">
        <v>96.432552801491994</v>
      </c>
      <c r="AN5495">
        <v>1.0000000268690199</v>
      </c>
    </row>
    <row r="5496" spans="1:40" x14ac:dyDescent="0.25">
      <c r="A5496" t="str">
        <f>"20190304154907060"</f>
        <v>20190304154907060</v>
      </c>
      <c r="B5496" t="str">
        <f>"1551685747053183"</f>
        <v>1551685747053183</v>
      </c>
      <c r="C5496" t="s">
        <v>40</v>
      </c>
      <c r="D5496">
        <v>4.0286619999999997</v>
      </c>
      <c r="E5496">
        <v>0.46441789999999999</v>
      </c>
      <c r="F5496" t="s">
        <v>79</v>
      </c>
      <c r="G5496">
        <v>-423.97710000000001</v>
      </c>
      <c r="H5496" s="1">
        <v>-6.3292229999999999E-6</v>
      </c>
      <c r="I5496">
        <v>129.55189999999999</v>
      </c>
      <c r="J5496">
        <v>-367.62150000000003</v>
      </c>
      <c r="K5496">
        <v>1.111186</v>
      </c>
      <c r="L5496">
        <v>141.79730000000001</v>
      </c>
      <c r="M5496">
        <v>-0.99982090000000001</v>
      </c>
      <c r="N5496">
        <v>-1.190772E-2</v>
      </c>
      <c r="O5496">
        <v>-1.4712569999999999E-2</v>
      </c>
      <c r="P5496">
        <v>-0.96980089999999997</v>
      </c>
      <c r="Q5496">
        <v>0.21015049999999999</v>
      </c>
      <c r="R5496">
        <v>-0.1237866</v>
      </c>
      <c r="S5496">
        <v>-3.0232239999999999</v>
      </c>
      <c r="T5496">
        <v>-5.9367660000000003E-2</v>
      </c>
      <c r="U5496">
        <v>-0.65443419999999997</v>
      </c>
      <c r="V5496">
        <v>-0.1097817</v>
      </c>
      <c r="W5496">
        <v>0.22156629999999999</v>
      </c>
      <c r="X5496">
        <v>0.96894599999999997</v>
      </c>
      <c r="Y5496">
        <v>-0.19710659999999999</v>
      </c>
      <c r="Z5496">
        <v>-2.9879780000000001E-3</v>
      </c>
      <c r="AA5496">
        <v>0.98037750000000001</v>
      </c>
      <c r="AB5496">
        <v>34</v>
      </c>
      <c r="AC5496">
        <v>-56.355599999999903</v>
      </c>
      <c r="AD5496">
        <v>-1.1111923292229999</v>
      </c>
      <c r="AE5496">
        <v>-12.2454</v>
      </c>
      <c r="AF5496">
        <v>-11.410643734140001</v>
      </c>
      <c r="AG5496">
        <v>-1.1111923292229999</v>
      </c>
      <c r="AH5496">
        <v>56.508694550799703</v>
      </c>
      <c r="AI5496">
        <v>91.104242540481494</v>
      </c>
      <c r="AJ5496">
        <v>101.41606773962</v>
      </c>
      <c r="AK5496">
        <v>57.659952294947097</v>
      </c>
      <c r="AL5496">
        <v>77.198953989024901</v>
      </c>
      <c r="AM5496">
        <v>96.464053353404495</v>
      </c>
      <c r="AN5496">
        <v>0.99999999893328995</v>
      </c>
    </row>
    <row r="5497" spans="1:40" x14ac:dyDescent="0.25">
      <c r="A5497" t="str">
        <f>"20190304154907075"</f>
        <v>20190304154907075</v>
      </c>
      <c r="B5497" t="str">
        <f>"1551685747072703"</f>
        <v>1551685747072703</v>
      </c>
      <c r="C5497" t="s">
        <v>40</v>
      </c>
      <c r="D5497">
        <v>4.0593019999999997</v>
      </c>
      <c r="E5497">
        <v>0.46425549999999999</v>
      </c>
      <c r="F5497" t="s">
        <v>79</v>
      </c>
      <c r="G5497">
        <v>-422.83159999999998</v>
      </c>
      <c r="H5497" s="1">
        <v>-6.2424879999999996E-6</v>
      </c>
      <c r="I5497">
        <v>129.78809999999999</v>
      </c>
      <c r="J5497">
        <v>-367.85419999999999</v>
      </c>
      <c r="K5497">
        <v>1.111189</v>
      </c>
      <c r="L5497">
        <v>141.79349999999999</v>
      </c>
      <c r="M5497">
        <v>-0.9998148</v>
      </c>
      <c r="N5497">
        <v>-1.193348E-2</v>
      </c>
      <c r="O5497">
        <v>-1.5097660000000001E-2</v>
      </c>
      <c r="P5497">
        <v>-0.96974579999999999</v>
      </c>
      <c r="Q5497">
        <v>0.20986740000000001</v>
      </c>
      <c r="R5497">
        <v>-0.12469520000000001</v>
      </c>
      <c r="S5497">
        <v>-3.022675</v>
      </c>
      <c r="T5497">
        <v>-6.08362E-2</v>
      </c>
      <c r="U5497">
        <v>-0.65748600000000001</v>
      </c>
      <c r="V5497">
        <v>-0.110316899999999</v>
      </c>
      <c r="W5497">
        <v>0.2213078</v>
      </c>
      <c r="X5497">
        <v>0.96894429999999998</v>
      </c>
      <c r="Y5497">
        <v>-0.19770850000000001</v>
      </c>
      <c r="Z5497">
        <v>-3.0379220000000002E-3</v>
      </c>
      <c r="AA5497">
        <v>0.98025609999999996</v>
      </c>
      <c r="AB5497">
        <v>34</v>
      </c>
      <c r="AC5497">
        <v>-54.977399999999903</v>
      </c>
      <c r="AD5497">
        <v>-1.1111952424880001</v>
      </c>
      <c r="AE5497">
        <v>-12.0054</v>
      </c>
      <c r="AF5497">
        <v>-11.169586962097799</v>
      </c>
      <c r="AG5497">
        <v>-1.1111952424880001</v>
      </c>
      <c r="AH5497">
        <v>55.130902413423499</v>
      </c>
      <c r="AI5497">
        <v>91.131686675826799</v>
      </c>
      <c r="AJ5497">
        <v>101.453166061025</v>
      </c>
      <c r="AK5497">
        <v>56.261983867343503</v>
      </c>
      <c r="AL5497">
        <v>77.214142121536796</v>
      </c>
      <c r="AM5497">
        <v>96.495309093252501</v>
      </c>
      <c r="AN5497">
        <v>1.00000000863447</v>
      </c>
    </row>
    <row r="5498" spans="1:40" x14ac:dyDescent="0.25">
      <c r="A5498" t="str">
        <f>"20190304154907096"</f>
        <v>20190304154907096</v>
      </c>
      <c r="B5498" t="str">
        <f>"1551685747092876"</f>
        <v>1551685747092876</v>
      </c>
      <c r="C5498" t="s">
        <v>40</v>
      </c>
      <c r="D5498">
        <v>4.0383829999999996</v>
      </c>
      <c r="E5498">
        <v>0.46408159999999998</v>
      </c>
      <c r="F5498" t="s">
        <v>79</v>
      </c>
      <c r="G5498">
        <v>-421.55</v>
      </c>
      <c r="H5498" s="1">
        <v>-6.1425449999999998E-6</v>
      </c>
      <c r="I5498">
        <v>130.042</v>
      </c>
      <c r="J5498">
        <v>-368.18299999999999</v>
      </c>
      <c r="K5498">
        <v>1.111199</v>
      </c>
      <c r="L5498">
        <v>141.78799999999899</v>
      </c>
      <c r="M5498">
        <v>-0.99980590000000003</v>
      </c>
      <c r="N5498">
        <v>-1.197579E-2</v>
      </c>
      <c r="O5498">
        <v>-1.564691E-2</v>
      </c>
      <c r="P5498">
        <v>-0.96958710000000004</v>
      </c>
      <c r="Q5498">
        <v>0.20994070000000001</v>
      </c>
      <c r="R5498">
        <v>-0.12580139999999901</v>
      </c>
      <c r="S5498">
        <v>-3.0220950000000002</v>
      </c>
      <c r="T5498">
        <v>-6.2539940000000002E-2</v>
      </c>
      <c r="U5498">
        <v>-0.66139219999999999</v>
      </c>
      <c r="V5498">
        <v>-0.1108934</v>
      </c>
      <c r="W5498">
        <v>0.22141939999999999</v>
      </c>
      <c r="X5498">
        <v>0.96885299999999996</v>
      </c>
      <c r="Y5498">
        <v>-0.19841539999999999</v>
      </c>
      <c r="Z5498">
        <v>-3.0964719999999999E-3</v>
      </c>
      <c r="AA5498">
        <v>0.98011309999999996</v>
      </c>
      <c r="AB5498">
        <v>34</v>
      </c>
      <c r="AC5498">
        <v>-53.366999999999898</v>
      </c>
      <c r="AD5498">
        <v>-1.111205142545</v>
      </c>
      <c r="AE5498">
        <v>-11.745999999999899</v>
      </c>
      <c r="AF5498">
        <v>-10.9049639112189</v>
      </c>
      <c r="AG5498">
        <v>-1.111205142545</v>
      </c>
      <c r="AH5498">
        <v>53.522135087578199</v>
      </c>
      <c r="AI5498">
        <v>91.165443557863099</v>
      </c>
      <c r="AJ5498">
        <v>101.516202183575</v>
      </c>
      <c r="AK5498">
        <v>54.633066535814898</v>
      </c>
      <c r="AL5498">
        <v>77.207585344178199</v>
      </c>
      <c r="AM5498">
        <v>96.529570249039395</v>
      </c>
      <c r="AN5498">
        <v>1.00000001623445</v>
      </c>
    </row>
    <row r="5499" spans="1:40" x14ac:dyDescent="0.25">
      <c r="A5499" t="str">
        <f>"20190304154907130"</f>
        <v>20190304154907130</v>
      </c>
      <c r="B5499" t="str">
        <f>"1551685747123132"</f>
        <v>1551685747123132</v>
      </c>
      <c r="C5499" t="s">
        <v>40</v>
      </c>
      <c r="D5499">
        <v>4.074484</v>
      </c>
      <c r="E5499">
        <v>0.46387620000000002</v>
      </c>
      <c r="F5499" t="s">
        <v>79</v>
      </c>
      <c r="G5499">
        <v>-421.3673</v>
      </c>
      <c r="H5499" s="1">
        <v>-6.1224099999999999E-6</v>
      </c>
      <c r="I5499">
        <v>130.0633</v>
      </c>
      <c r="J5499">
        <v>-368.70460000000003</v>
      </c>
      <c r="K5499">
        <v>1.1112150000000001</v>
      </c>
      <c r="L5499">
        <v>141.77879999999999</v>
      </c>
      <c r="M5499">
        <v>-0.99979070000000003</v>
      </c>
      <c r="N5499">
        <v>-1.205675E-2</v>
      </c>
      <c r="O5499">
        <v>-1.652791E-2</v>
      </c>
      <c r="P5499">
        <v>-0.96974490000000002</v>
      </c>
      <c r="Q5499">
        <v>0.2085159</v>
      </c>
      <c r="R5499">
        <v>-0.1269497</v>
      </c>
      <c r="S5499">
        <v>-3.0213320000000001</v>
      </c>
      <c r="T5499">
        <v>-6.3126210000000002E-2</v>
      </c>
      <c r="U5499">
        <v>-0.66606140000000003</v>
      </c>
      <c r="V5499">
        <v>-0.1111859</v>
      </c>
      <c r="W5499">
        <v>0.22007399999999999</v>
      </c>
      <c r="X5499">
        <v>0.96912600000000004</v>
      </c>
      <c r="Y5499">
        <v>-0.199047</v>
      </c>
      <c r="Z5499">
        <v>-3.1248959999999998E-3</v>
      </c>
      <c r="AA5499">
        <v>0.97998490000000005</v>
      </c>
      <c r="AB5499">
        <v>34</v>
      </c>
      <c r="AC5499">
        <v>-52.662699999999901</v>
      </c>
      <c r="AD5499">
        <v>-1.1112211224099999</v>
      </c>
      <c r="AE5499">
        <v>-11.715499999999899</v>
      </c>
      <c r="AF5499">
        <v>-10.838833522652401</v>
      </c>
      <c r="AG5499">
        <v>-1.1112211224099999</v>
      </c>
      <c r="AH5499">
        <v>52.826740816958498</v>
      </c>
      <c r="AI5499">
        <v>91.180466443686001</v>
      </c>
      <c r="AJ5499">
        <v>101.594859612772</v>
      </c>
      <c r="AK5499">
        <v>53.9386658145784</v>
      </c>
      <c r="AL5499">
        <v>77.286621070407804</v>
      </c>
      <c r="AM5499">
        <v>96.544815604392596</v>
      </c>
      <c r="AN5499">
        <v>1.0000000368554001</v>
      </c>
    </row>
    <row r="5500" spans="1:40" x14ac:dyDescent="0.25">
      <c r="A5500" t="str">
        <f>"20190304154907154"</f>
        <v>20190304154907154</v>
      </c>
      <c r="B5500" t="str">
        <f>"1551685747142651"</f>
        <v>1551685747142651</v>
      </c>
      <c r="C5500" t="s">
        <v>40</v>
      </c>
      <c r="D5500">
        <v>4.0561920000000002</v>
      </c>
      <c r="E5500">
        <v>0.46390439999999999</v>
      </c>
      <c r="F5500" t="s">
        <v>79</v>
      </c>
      <c r="G5500">
        <v>-417.74189999999999</v>
      </c>
      <c r="H5500" s="1">
        <v>-6.3663600000000003E-6</v>
      </c>
      <c r="I5500">
        <v>130.8732</v>
      </c>
      <c r="J5500">
        <v>-369.0532</v>
      </c>
      <c r="K5500">
        <v>1.1112310000000001</v>
      </c>
      <c r="L5500">
        <v>141.7724</v>
      </c>
      <c r="M5500">
        <v>-0.9997798</v>
      </c>
      <c r="N5500">
        <v>-1.212595E-2</v>
      </c>
      <c r="O5500">
        <v>-1.7128589999999999E-2</v>
      </c>
      <c r="P5500">
        <v>-0.96987889999999999</v>
      </c>
      <c r="Q5500">
        <v>0.2076076</v>
      </c>
      <c r="R5500">
        <v>-0.1274129</v>
      </c>
      <c r="S5500">
        <v>-3.0203549999999999</v>
      </c>
      <c r="T5500">
        <v>-6.8443420000000005E-2</v>
      </c>
      <c r="U5500">
        <v>-0.67170719999999995</v>
      </c>
      <c r="V5500">
        <v>-0.1110665</v>
      </c>
      <c r="W5500">
        <v>0.21923339999999999</v>
      </c>
      <c r="X5500">
        <v>0.96933020000000003</v>
      </c>
      <c r="Y5500">
        <v>-0.2002611</v>
      </c>
      <c r="Z5500">
        <v>-3.2925559999999999E-3</v>
      </c>
      <c r="AA5500">
        <v>0.97973699999999997</v>
      </c>
      <c r="AB5500">
        <v>34</v>
      </c>
      <c r="AC5500">
        <v>-48.688699999999898</v>
      </c>
      <c r="AD5500">
        <v>-1.1112373663599999</v>
      </c>
      <c r="AE5500">
        <v>-10.8992</v>
      </c>
      <c r="AF5500">
        <v>-10.0585812083902</v>
      </c>
      <c r="AG5500">
        <v>-1.1112373663599999</v>
      </c>
      <c r="AH5500">
        <v>48.844028824887403</v>
      </c>
      <c r="AI5500">
        <v>91.276518759059002</v>
      </c>
      <c r="AJ5500">
        <v>101.636399625631</v>
      </c>
      <c r="AK5500">
        <v>49.881349783828099</v>
      </c>
      <c r="AL5500">
        <v>77.3359896752292</v>
      </c>
      <c r="AM5500">
        <v>96.536482808745802</v>
      </c>
      <c r="AN5500">
        <v>1.0000000438649199</v>
      </c>
    </row>
    <row r="5501" spans="1:40" x14ac:dyDescent="0.25">
      <c r="A5501" t="str">
        <f>"20190304154907176"</f>
        <v>20190304154907176</v>
      </c>
      <c r="B5501" t="str">
        <f>"1551685747172909"</f>
        <v>1551685747172909</v>
      </c>
      <c r="C5501" t="s">
        <v>40</v>
      </c>
      <c r="D5501">
        <v>4.0529339999999996</v>
      </c>
      <c r="E5501">
        <v>0.46376050000000002</v>
      </c>
      <c r="F5501" t="s">
        <v>79</v>
      </c>
      <c r="G5501">
        <v>-417.11529999999999</v>
      </c>
      <c r="H5501" s="1">
        <v>-6.4764099999999901E-6</v>
      </c>
      <c r="I5501">
        <v>131.05410000000001</v>
      </c>
      <c r="J5501">
        <v>-369.39679999999998</v>
      </c>
      <c r="K5501">
        <v>1.1112599999999999</v>
      </c>
      <c r="L5501">
        <v>141.76580000000001</v>
      </c>
      <c r="M5501">
        <v>-0.99976799999999999</v>
      </c>
      <c r="N5501">
        <v>-1.221411E-2</v>
      </c>
      <c r="O5501">
        <v>-1.773864E-2</v>
      </c>
      <c r="P5501">
        <v>-0.96995869999999995</v>
      </c>
      <c r="Q5501">
        <v>0.20680109999999999</v>
      </c>
      <c r="R5501">
        <v>-0.1281148</v>
      </c>
      <c r="S5501">
        <v>-3.0196839999999998</v>
      </c>
      <c r="T5501">
        <v>-6.9817779999999996E-2</v>
      </c>
      <c r="U5501">
        <v>-0.67341609999999996</v>
      </c>
      <c r="V5501">
        <v>-0.11117920000000001</v>
      </c>
      <c r="W5501">
        <v>0.21851080000000001</v>
      </c>
      <c r="X5501">
        <v>0.96948040000000002</v>
      </c>
      <c r="Y5501">
        <v>-0.2002351</v>
      </c>
      <c r="Z5501">
        <v>-3.333651E-3</v>
      </c>
      <c r="AA5501">
        <v>0.97974220000000001</v>
      </c>
      <c r="AB5501">
        <v>34</v>
      </c>
      <c r="AC5501">
        <v>-47.718499999999999</v>
      </c>
      <c r="AD5501">
        <v>-1.11126647641</v>
      </c>
      <c r="AE5501">
        <v>-10.7117</v>
      </c>
      <c r="AF5501">
        <v>-9.8583998532886596</v>
      </c>
      <c r="AG5501">
        <v>-1.11126647641</v>
      </c>
      <c r="AH5501">
        <v>47.876296813721197</v>
      </c>
      <c r="AI5501">
        <v>91.302351363897998</v>
      </c>
      <c r="AJ5501">
        <v>101.635373579171</v>
      </c>
      <c r="AK5501">
        <v>48.893381530064403</v>
      </c>
      <c r="AL5501">
        <v>77.378420029849394</v>
      </c>
      <c r="AM5501">
        <v>96.542053023630999</v>
      </c>
      <c r="AN5501">
        <v>1.0000000151067101</v>
      </c>
    </row>
    <row r="5502" spans="1:40" x14ac:dyDescent="0.25">
      <c r="A5502" t="str">
        <f>"20190304154907198"</f>
        <v>20190304154907198</v>
      </c>
      <c r="B5502" t="str">
        <f>"1551685747192427"</f>
        <v>1551685747192427</v>
      </c>
      <c r="C5502" t="s">
        <v>40</v>
      </c>
      <c r="D5502">
        <v>4.0562279999999999</v>
      </c>
      <c r="E5502">
        <v>0.46364889999999997</v>
      </c>
      <c r="F5502" t="s">
        <v>79</v>
      </c>
      <c r="G5502">
        <v>-415.54950000000002</v>
      </c>
      <c r="H5502" s="1">
        <v>-6.7169159999999996E-6</v>
      </c>
      <c r="I5502">
        <v>131.42150000000001</v>
      </c>
      <c r="J5502">
        <v>-369.73649999999998</v>
      </c>
      <c r="K5502">
        <v>1.1112789999999999</v>
      </c>
      <c r="L5502">
        <v>141.75909999999999</v>
      </c>
      <c r="M5502">
        <v>-0.99975570000000002</v>
      </c>
      <c r="N5502">
        <v>-1.2310160000000001E-2</v>
      </c>
      <c r="O5502">
        <v>-1.8362699999999999E-2</v>
      </c>
      <c r="P5502">
        <v>-0.97009909999999999</v>
      </c>
      <c r="Q5502">
        <v>0.20565919999999999</v>
      </c>
      <c r="R5502">
        <v>-0.12888839999999999</v>
      </c>
      <c r="S5502">
        <v>-3.0190429999999999</v>
      </c>
      <c r="T5502">
        <v>-7.2692629999999994E-2</v>
      </c>
      <c r="U5502">
        <v>-0.67666630000000005</v>
      </c>
      <c r="V5502">
        <v>-0.1113488</v>
      </c>
      <c r="W5502">
        <v>0.21746090000000001</v>
      </c>
      <c r="X5502">
        <v>0.96969689999999997</v>
      </c>
      <c r="Y5502">
        <v>-0.2006665</v>
      </c>
      <c r="Z5502">
        <v>-3.4234339999999999E-3</v>
      </c>
      <c r="AA5502">
        <v>0.97965360000000001</v>
      </c>
      <c r="AB5502">
        <v>34</v>
      </c>
      <c r="AC5502">
        <v>-45.813000000000002</v>
      </c>
      <c r="AD5502">
        <v>-1.111285716916</v>
      </c>
      <c r="AE5502">
        <v>-10.337599999999901</v>
      </c>
      <c r="AF5502">
        <v>-9.4892297228959706</v>
      </c>
      <c r="AG5502">
        <v>-1.111285716916</v>
      </c>
      <c r="AH5502">
        <v>45.969377012547902</v>
      </c>
      <c r="AI5502">
        <v>91.356242691914701</v>
      </c>
      <c r="AJ5502">
        <v>101.663459171786</v>
      </c>
      <c r="AK5502">
        <v>46.951720517999</v>
      </c>
      <c r="AL5502">
        <v>77.440056141065497</v>
      </c>
      <c r="AM5502">
        <v>96.550495880580499</v>
      </c>
      <c r="AN5502">
        <v>0.99999993807992804</v>
      </c>
    </row>
    <row r="5503" spans="1:40" x14ac:dyDescent="0.25">
      <c r="A5503" t="str">
        <f>"20190304154907221"</f>
        <v>20190304154907221</v>
      </c>
      <c r="B5503" t="str">
        <f>"1551685747212924"</f>
        <v>1551685747212924</v>
      </c>
      <c r="C5503" t="s">
        <v>40</v>
      </c>
      <c r="D5503">
        <v>4.0843160000000003</v>
      </c>
      <c r="E5503">
        <v>0.46357520000000002</v>
      </c>
      <c r="F5503" t="s">
        <v>79</v>
      </c>
      <c r="G5503">
        <v>-413.44479999999999</v>
      </c>
      <c r="H5503" s="1">
        <v>-7.03957099999999E-6</v>
      </c>
      <c r="I5503">
        <v>131.91370000000001</v>
      </c>
      <c r="J5503">
        <v>-370.08960000000002</v>
      </c>
      <c r="K5503">
        <v>1.1113059999999999</v>
      </c>
      <c r="L5503">
        <v>141.75190000000001</v>
      </c>
      <c r="M5503">
        <v>-0.99974169999999996</v>
      </c>
      <c r="N5503">
        <v>-1.241361E-2</v>
      </c>
      <c r="O5503">
        <v>-1.9038840000000001E-2</v>
      </c>
      <c r="P5503">
        <v>-0.97005189999999997</v>
      </c>
      <c r="Q5503">
        <v>0.2051462</v>
      </c>
      <c r="R5503">
        <v>-0.13005439999999999</v>
      </c>
      <c r="S5503">
        <v>-3.018402</v>
      </c>
      <c r="T5503">
        <v>-7.674301E-2</v>
      </c>
      <c r="U5503">
        <v>-0.67990109999999904</v>
      </c>
      <c r="V5503">
        <v>-0.1118658</v>
      </c>
      <c r="W5503">
        <v>0.21704380000000001</v>
      </c>
      <c r="X5503">
        <v>0.96973089999999995</v>
      </c>
      <c r="Y5503">
        <v>-0.20103969999999999</v>
      </c>
      <c r="Z5503">
        <v>-3.5431199999999999E-3</v>
      </c>
      <c r="AA5503">
        <v>0.97957669999999997</v>
      </c>
      <c r="AB5503">
        <v>34</v>
      </c>
      <c r="AC5503">
        <v>-43.355199999999897</v>
      </c>
      <c r="AD5503">
        <v>-1.11131303957099</v>
      </c>
      <c r="AE5503">
        <v>-9.8382000000000005</v>
      </c>
      <c r="AF5503">
        <v>-9.0052931320587</v>
      </c>
      <c r="AG5503">
        <v>-1.11131303957099</v>
      </c>
      <c r="AH5503">
        <v>43.507476619069799</v>
      </c>
      <c r="AI5503">
        <v>91.432832358859898</v>
      </c>
      <c r="AJ5503">
        <v>101.694100077272</v>
      </c>
      <c r="AK5503">
        <v>44.4435691953868</v>
      </c>
      <c r="AL5503">
        <v>77.464539677712807</v>
      </c>
      <c r="AM5503">
        <v>96.580415413230597</v>
      </c>
      <c r="AN5503">
        <v>0.99999999337144396</v>
      </c>
    </row>
    <row r="5504" spans="1:40" x14ac:dyDescent="0.25">
      <c r="A5504" t="str">
        <f>"20190304154907243"</f>
        <v>20190304154907243</v>
      </c>
      <c r="B5504" t="str">
        <f>"1551685747232444"</f>
        <v>1551685747232444</v>
      </c>
      <c r="C5504" t="s">
        <v>40</v>
      </c>
      <c r="D5504">
        <v>4.0911119999999999</v>
      </c>
      <c r="E5504">
        <v>0.46349439999999997</v>
      </c>
      <c r="F5504" t="s">
        <v>79</v>
      </c>
      <c r="G5504">
        <v>-412.66340000000002</v>
      </c>
      <c r="H5504" s="1">
        <v>-7.1609539999999997E-6</v>
      </c>
      <c r="I5504">
        <v>132.10040000000001</v>
      </c>
      <c r="J5504">
        <v>-370.41930000000002</v>
      </c>
      <c r="K5504">
        <v>1.111337</v>
      </c>
      <c r="L5504">
        <v>141.745</v>
      </c>
      <c r="M5504">
        <v>-0.9997277</v>
      </c>
      <c r="N5504">
        <v>-1.251322E-2</v>
      </c>
      <c r="O5504">
        <v>-1.9695899999999999E-2</v>
      </c>
      <c r="P5504">
        <v>-0.96986380000000005</v>
      </c>
      <c r="Q5504">
        <v>0.20528189999999999</v>
      </c>
      <c r="R5504">
        <v>-0.1312382</v>
      </c>
      <c r="S5504">
        <v>-3.0175480000000001</v>
      </c>
      <c r="T5504">
        <v>-7.8767779999999996E-2</v>
      </c>
      <c r="U5504">
        <v>-0.68408199999999997</v>
      </c>
      <c r="V5504">
        <v>-0.1124232</v>
      </c>
      <c r="W5504">
        <v>0.21726960000000001</v>
      </c>
      <c r="X5504">
        <v>0.96961589999999998</v>
      </c>
      <c r="Y5504">
        <v>-0.201742</v>
      </c>
      <c r="Z5504">
        <v>-3.6142499999999998E-3</v>
      </c>
      <c r="AA5504">
        <v>0.97943199999999997</v>
      </c>
      <c r="AB5504">
        <v>34</v>
      </c>
      <c r="AC5504">
        <v>-42.244100000000003</v>
      </c>
      <c r="AD5504">
        <v>-1.111344160954</v>
      </c>
      <c r="AE5504">
        <v>-9.6445999999999898</v>
      </c>
      <c r="AF5504">
        <v>-8.8048362153335606</v>
      </c>
      <c r="AG5504">
        <v>-1.111344160954</v>
      </c>
      <c r="AH5504">
        <v>42.397988356872602</v>
      </c>
      <c r="AI5504">
        <v>91.470151110653902</v>
      </c>
      <c r="AJ5504">
        <v>101.731918426999</v>
      </c>
      <c r="AK5504">
        <v>43.316851724616797</v>
      </c>
      <c r="AL5504">
        <v>77.451286409101598</v>
      </c>
      <c r="AM5504">
        <v>96.613691683771805</v>
      </c>
      <c r="AN5504">
        <v>1.0000000242575999</v>
      </c>
    </row>
    <row r="5505" spans="1:40" x14ac:dyDescent="0.25">
      <c r="A5505" t="str">
        <f>"20190304154907264"</f>
        <v>20190304154907264</v>
      </c>
      <c r="B5505" t="str">
        <f>"1551685747252941"</f>
        <v>1551685747252941</v>
      </c>
      <c r="C5505" t="s">
        <v>40</v>
      </c>
      <c r="D5505">
        <v>4.1196440000000001</v>
      </c>
      <c r="E5505">
        <v>0.46341759999999899</v>
      </c>
      <c r="F5505" t="s">
        <v>79</v>
      </c>
      <c r="G5505">
        <v>-412.911</v>
      </c>
      <c r="H5505" s="1">
        <v>-7.1275750000000001E-6</v>
      </c>
      <c r="I5505">
        <v>132.05369999999999</v>
      </c>
      <c r="J5505">
        <v>-370.75290000000001</v>
      </c>
      <c r="K5505">
        <v>1.111375</v>
      </c>
      <c r="L5505">
        <v>141.73769999999999</v>
      </c>
      <c r="M5505">
        <v>-0.99971270000000001</v>
      </c>
      <c r="N5505">
        <v>-1.2617130000000001E-2</v>
      </c>
      <c r="O5505">
        <v>-2.0386669999999999E-2</v>
      </c>
      <c r="P5505">
        <v>-0.96982009999999996</v>
      </c>
      <c r="Q5505">
        <v>0.2048191</v>
      </c>
      <c r="R5505">
        <v>-0.13228199999999901</v>
      </c>
      <c r="S5505">
        <v>-3.016785</v>
      </c>
      <c r="T5505">
        <v>-7.8902130000000001E-2</v>
      </c>
      <c r="U5505">
        <v>-0.68804929999999997</v>
      </c>
      <c r="V5505">
        <v>-0.11280519999999999</v>
      </c>
      <c r="W5505">
        <v>0.21690229999999999</v>
      </c>
      <c r="X5505">
        <v>0.96965369999999995</v>
      </c>
      <c r="Y5505">
        <v>-0.20234250000000001</v>
      </c>
      <c r="Z5505">
        <v>-3.6332209999999998E-3</v>
      </c>
      <c r="AA5505">
        <v>0.97930810000000001</v>
      </c>
      <c r="AB5505">
        <v>34</v>
      </c>
      <c r="AC5505">
        <v>-42.158099999999898</v>
      </c>
      <c r="AD5505">
        <v>-1.111382127575</v>
      </c>
      <c r="AE5505">
        <v>-9.6839999999999904</v>
      </c>
      <c r="AF5505">
        <v>-8.8166353152466694</v>
      </c>
      <c r="AG5505">
        <v>-1.111382127575</v>
      </c>
      <c r="AH5505">
        <v>42.318840920442298</v>
      </c>
      <c r="AI5505">
        <v>91.472753924202195</v>
      </c>
      <c r="AJ5505">
        <v>101.76856158550299</v>
      </c>
      <c r="AK5505">
        <v>43.241791421786097</v>
      </c>
      <c r="AL5505">
        <v>77.472844448111601</v>
      </c>
      <c r="AM5505">
        <v>96.635707706759206</v>
      </c>
      <c r="AN5505">
        <v>0.99999995940800901</v>
      </c>
    </row>
    <row r="5506" spans="1:40" x14ac:dyDescent="0.25">
      <c r="A5506" t="str">
        <f>"20190304154907287"</f>
        <v>20190304154907287</v>
      </c>
      <c r="B5506" t="str">
        <f>"1551685747283197"</f>
        <v>1551685747283197</v>
      </c>
      <c r="C5506" t="s">
        <v>40</v>
      </c>
      <c r="D5506">
        <v>4.1294009999999997</v>
      </c>
      <c r="E5506">
        <v>0.46333489999999999</v>
      </c>
      <c r="F5506" t="s">
        <v>79</v>
      </c>
      <c r="G5506">
        <v>-412.24810000000002</v>
      </c>
      <c r="H5506" s="1">
        <v>-7.2461169999999998E-6</v>
      </c>
      <c r="I5506">
        <v>132.2269</v>
      </c>
      <c r="J5506">
        <v>-371.09879999999998</v>
      </c>
      <c r="K5506">
        <v>1.11141</v>
      </c>
      <c r="L5506">
        <v>141.72989999999999</v>
      </c>
      <c r="M5506">
        <v>-0.99969580000000002</v>
      </c>
      <c r="N5506">
        <v>-1.272745E-2</v>
      </c>
      <c r="O5506">
        <v>-2.112866E-2</v>
      </c>
      <c r="P5506">
        <v>-0.96990900000000002</v>
      </c>
      <c r="Q5506">
        <v>0.20380400000000001</v>
      </c>
      <c r="R5506">
        <v>-0.1331938</v>
      </c>
      <c r="S5506">
        <v>-3.0161129999999998</v>
      </c>
      <c r="T5506">
        <v>-8.0781699999999998E-2</v>
      </c>
      <c r="U5506">
        <v>-0.69129940000000001</v>
      </c>
      <c r="V5506">
        <v>-0.1130034</v>
      </c>
      <c r="W5506">
        <v>0.21599090000000001</v>
      </c>
      <c r="X5506">
        <v>0.96983410000000003</v>
      </c>
      <c r="Y5506">
        <v>-0.20266149999999999</v>
      </c>
      <c r="Z5506">
        <v>-3.6927959999999999E-3</v>
      </c>
      <c r="AA5506">
        <v>0.9792419</v>
      </c>
      <c r="AB5506">
        <v>34</v>
      </c>
      <c r="AC5506">
        <v>-41.149299999999997</v>
      </c>
      <c r="AD5506">
        <v>-1.111417246117</v>
      </c>
      <c r="AE5506">
        <v>-9.5029999999999806</v>
      </c>
      <c r="AF5506">
        <v>-8.6254046055191598</v>
      </c>
      <c r="AG5506">
        <v>-1.111417246117</v>
      </c>
      <c r="AH5506">
        <v>41.312302797239198</v>
      </c>
      <c r="AI5506">
        <v>91.508532808634399</v>
      </c>
      <c r="AJ5506">
        <v>101.793109360819</v>
      </c>
      <c r="AK5506">
        <v>42.217759477673098</v>
      </c>
      <c r="AL5506">
        <v>77.526332405678502</v>
      </c>
      <c r="AM5506">
        <v>96.646037068889399</v>
      </c>
      <c r="AN5506">
        <v>1.0000000094085899</v>
      </c>
    </row>
    <row r="5507" spans="1:40" x14ac:dyDescent="0.25">
      <c r="A5507" t="str">
        <f>"20190304154907309"</f>
        <v>20190304154907309</v>
      </c>
      <c r="B5507" t="str">
        <f>"1551685747302716"</f>
        <v>1551685747302716</v>
      </c>
      <c r="C5507" t="s">
        <v>40</v>
      </c>
      <c r="D5507">
        <v>4.1074609999999998</v>
      </c>
      <c r="E5507">
        <v>0.46327679999999999</v>
      </c>
      <c r="F5507" t="s">
        <v>79</v>
      </c>
      <c r="G5507">
        <v>-410.7022</v>
      </c>
      <c r="H5507" s="1">
        <v>-7.5516239999999996E-6</v>
      </c>
      <c r="I5507">
        <v>132.61510000000001</v>
      </c>
      <c r="J5507">
        <v>-371.44200000000001</v>
      </c>
      <c r="K5507">
        <v>1.1114489999999999</v>
      </c>
      <c r="L5507">
        <v>141.7218</v>
      </c>
      <c r="M5507">
        <v>-0.99967810000000001</v>
      </c>
      <c r="N5507">
        <v>-1.2839089999999999E-2</v>
      </c>
      <c r="O5507">
        <v>-2.1890219999999998E-2</v>
      </c>
      <c r="P5507">
        <v>-0.96984239999999999</v>
      </c>
      <c r="Q5507">
        <v>0.2031076</v>
      </c>
      <c r="R5507">
        <v>-0.1347351</v>
      </c>
      <c r="S5507">
        <v>-3.0155639999999999</v>
      </c>
      <c r="T5507">
        <v>-8.4627750000000002E-2</v>
      </c>
      <c r="U5507">
        <v>-0.69403079999999995</v>
      </c>
      <c r="V5507">
        <v>-0.1138146</v>
      </c>
      <c r="W5507">
        <v>0.21539630000000001</v>
      </c>
      <c r="X5507">
        <v>0.9698715</v>
      </c>
      <c r="Y5507">
        <v>-0.20278850000000001</v>
      </c>
      <c r="Z5507">
        <v>-3.7990049999999998E-3</v>
      </c>
      <c r="AA5507">
        <v>0.97921519999999995</v>
      </c>
      <c r="AB5507">
        <v>34</v>
      </c>
      <c r="AC5507">
        <v>-39.260199999999998</v>
      </c>
      <c r="AD5507">
        <v>-1.11145655162399</v>
      </c>
      <c r="AE5507">
        <v>-9.1066999999999894</v>
      </c>
      <c r="AF5507">
        <v>-8.2387664985410307</v>
      </c>
      <c r="AG5507">
        <v>-1.11145655162399</v>
      </c>
      <c r="AH5507">
        <v>39.420174528760697</v>
      </c>
      <c r="AI5507">
        <v>91.580893345608004</v>
      </c>
      <c r="AJ5507">
        <v>101.804822738857</v>
      </c>
      <c r="AK5507">
        <v>40.287253182136702</v>
      </c>
      <c r="AL5507">
        <v>77.561221966298405</v>
      </c>
      <c r="AM5507">
        <v>96.693058829152207</v>
      </c>
      <c r="AN5507">
        <v>1.00000002786954</v>
      </c>
    </row>
    <row r="5508" spans="1:40" x14ac:dyDescent="0.25">
      <c r="A5508" t="str">
        <f>"20190304154907332"</f>
        <v>20190304154907332</v>
      </c>
      <c r="B5508" t="str">
        <f>"1551685747322236"</f>
        <v>1551685747322236</v>
      </c>
      <c r="C5508" t="s">
        <v>40</v>
      </c>
      <c r="D5508">
        <v>4.1229279999999999</v>
      </c>
      <c r="E5508">
        <v>0.45108890000000001</v>
      </c>
      <c r="F5508" t="s">
        <v>79</v>
      </c>
      <c r="G5508">
        <v>-409.86149999999998</v>
      </c>
      <c r="H5508" s="1">
        <v>-7.6473789999999999E-6</v>
      </c>
      <c r="I5508">
        <v>132.82169999999999</v>
      </c>
      <c r="J5508">
        <v>-371.78879999999998</v>
      </c>
      <c r="K5508">
        <v>1.111478</v>
      </c>
      <c r="L5508">
        <v>141.71340000000001</v>
      </c>
      <c r="M5508">
        <v>-0.99965879999999996</v>
      </c>
      <c r="N5508">
        <v>-1.2957949999999999E-2</v>
      </c>
      <c r="O5508">
        <v>-2.2683180000000001E-2</v>
      </c>
      <c r="P5508">
        <v>-0.96969030000000001</v>
      </c>
      <c r="Q5508">
        <v>0.2025024</v>
      </c>
      <c r="R5508">
        <v>-0.13672490000000001</v>
      </c>
      <c r="S5508">
        <v>-3.014526</v>
      </c>
      <c r="T5508">
        <v>-8.7208750000000002E-2</v>
      </c>
      <c r="U5508">
        <v>-0.69833369999999995</v>
      </c>
      <c r="V5508">
        <v>-0.11504549999999999</v>
      </c>
      <c r="W5508">
        <v>0.21489849999999999</v>
      </c>
      <c r="X5508">
        <v>0.9698367</v>
      </c>
      <c r="Y5508">
        <v>-0.20340610000000001</v>
      </c>
      <c r="Z5508">
        <v>-3.8819449999999999E-3</v>
      </c>
      <c r="AA5508">
        <v>0.97908680000000003</v>
      </c>
      <c r="AB5508">
        <v>34</v>
      </c>
      <c r="AC5508">
        <v>-38.072699999999998</v>
      </c>
      <c r="AD5508">
        <v>-1.111485647379</v>
      </c>
      <c r="AE5508">
        <v>-8.8917000000000108</v>
      </c>
      <c r="AF5508">
        <v>-8.0192483462542796</v>
      </c>
      <c r="AG5508">
        <v>-1.111485647379</v>
      </c>
      <c r="AH5508">
        <v>38.233711061827798</v>
      </c>
      <c r="AI5508">
        <v>91.629724862427807</v>
      </c>
      <c r="AJ5508">
        <v>101.845668270052</v>
      </c>
      <c r="AK5508">
        <v>39.081458595382102</v>
      </c>
      <c r="AL5508">
        <v>77.590427766349507</v>
      </c>
      <c r="AM5508">
        <v>96.765017170156796</v>
      </c>
      <c r="AN5508">
        <v>1.0000000285196899</v>
      </c>
    </row>
    <row r="5509" spans="1:40" x14ac:dyDescent="0.25">
      <c r="A5509" t="str">
        <f>"20190304154907355"</f>
        <v>20190304154907355</v>
      </c>
      <c r="B5509" t="str">
        <f>"1551685747342733"</f>
        <v>1551685747342733</v>
      </c>
      <c r="C5509" t="s">
        <v>40</v>
      </c>
      <c r="D5509">
        <v>4.10562</v>
      </c>
      <c r="E5509">
        <v>0.44605129999999998</v>
      </c>
      <c r="F5509" t="s">
        <v>79</v>
      </c>
      <c r="G5509">
        <v>-408.28379999999999</v>
      </c>
      <c r="H5509" s="1">
        <v>-6.2669260000000004E-6</v>
      </c>
      <c r="I5509">
        <v>131.97790000000001</v>
      </c>
      <c r="J5509">
        <v>-372.13200000000001</v>
      </c>
      <c r="K5509">
        <v>1.11151</v>
      </c>
      <c r="L5509">
        <v>141.70480000000001</v>
      </c>
      <c r="M5509">
        <v>-0.99963860000000004</v>
      </c>
      <c r="N5509">
        <v>-1.308075E-2</v>
      </c>
      <c r="O5509">
        <v>-2.348971E-2</v>
      </c>
      <c r="P5509">
        <v>-0.96952989999999994</v>
      </c>
      <c r="Q5509">
        <v>0.20201930000000001</v>
      </c>
      <c r="R5509">
        <v>-0.138564299999999</v>
      </c>
      <c r="S5509">
        <v>-3</v>
      </c>
      <c r="T5509">
        <v>-9.1367599999999993E-2</v>
      </c>
      <c r="U5509">
        <v>-0.80029300000000003</v>
      </c>
      <c r="V5509">
        <v>-0.1161119</v>
      </c>
      <c r="W5509">
        <v>0.21452769999999999</v>
      </c>
      <c r="X5509">
        <v>0.96979170000000003</v>
      </c>
      <c r="Y5509">
        <v>-0.23483709999999999</v>
      </c>
      <c r="Z5509">
        <v>-4.6765849999999996E-3</v>
      </c>
      <c r="AA5509">
        <v>0.97202350000000004</v>
      </c>
      <c r="AB5509">
        <v>34</v>
      </c>
      <c r="AC5509">
        <v>-36.151800000000001</v>
      </c>
      <c r="AD5509">
        <v>-1.1115162669259999</v>
      </c>
      <c r="AE5509">
        <v>-9.7269000000000005</v>
      </c>
      <c r="AF5509">
        <v>-8.86713150528408</v>
      </c>
      <c r="AG5509">
        <v>-1.1115162669259999</v>
      </c>
      <c r="AH5509">
        <v>36.338292918424301</v>
      </c>
      <c r="AI5509">
        <v>91.702106270237707</v>
      </c>
      <c r="AJ5509">
        <v>103.71311192816501</v>
      </c>
      <c r="AK5509">
        <v>37.421023793702503</v>
      </c>
      <c r="AL5509">
        <v>77.612180321383306</v>
      </c>
      <c r="AM5509">
        <v>96.827449265687306</v>
      </c>
      <c r="AN5509">
        <v>1.00000002438889</v>
      </c>
    </row>
    <row r="5510" spans="1:40" x14ac:dyDescent="0.25">
      <c r="A5510" t="str">
        <f>"20190304154907376"</f>
        <v>20190304154907376</v>
      </c>
      <c r="B5510" t="str">
        <f>"1551685747372988"</f>
        <v>1551685747372988</v>
      </c>
      <c r="C5510" t="s">
        <v>40</v>
      </c>
      <c r="D5510">
        <v>4.1226719999999997</v>
      </c>
      <c r="E5510">
        <v>0.44403350000000003</v>
      </c>
      <c r="F5510" t="s">
        <v>79</v>
      </c>
      <c r="G5510">
        <v>-408.95499999999998</v>
      </c>
      <c r="H5510" s="1">
        <v>-6.4052439999999996E-6</v>
      </c>
      <c r="I5510">
        <v>131.29339999999999</v>
      </c>
      <c r="J5510">
        <v>-372.46949999999998</v>
      </c>
      <c r="K5510">
        <v>1.111542</v>
      </c>
      <c r="L5510">
        <v>141.696</v>
      </c>
      <c r="M5510">
        <v>-0.99961770000000005</v>
      </c>
      <c r="N5510">
        <v>-1.3200470000000001E-2</v>
      </c>
      <c r="O5510">
        <v>-2.4297249999999999E-2</v>
      </c>
      <c r="P5510">
        <v>-0.9693292</v>
      </c>
      <c r="Q5510">
        <v>0.20166770000000001</v>
      </c>
      <c r="R5510">
        <v>-0.14046739999999999</v>
      </c>
      <c r="S5510">
        <v>-2.9921570000000002</v>
      </c>
      <c r="T5510">
        <v>-9.0319399999999994E-2</v>
      </c>
      <c r="U5510">
        <v>-0.84600830000000005</v>
      </c>
      <c r="V5510">
        <v>-0.117240899999999</v>
      </c>
      <c r="W5510">
        <v>0.214286</v>
      </c>
      <c r="X5510">
        <v>0.9697093</v>
      </c>
      <c r="Y5510">
        <v>-0.2484623</v>
      </c>
      <c r="Z5510">
        <v>-4.9454369999999996E-3</v>
      </c>
      <c r="AA5510">
        <v>0.96862890000000001</v>
      </c>
      <c r="AB5510">
        <v>34</v>
      </c>
      <c r="AC5510">
        <v>-36.485500000000002</v>
      </c>
      <c r="AD5510">
        <v>-1.1115484052439999</v>
      </c>
      <c r="AE5510">
        <v>-10.4026</v>
      </c>
      <c r="AF5510">
        <v>-9.5047952858829596</v>
      </c>
      <c r="AG5510">
        <v>-1.1115484052439999</v>
      </c>
      <c r="AH5510">
        <v>36.696004712709197</v>
      </c>
      <c r="AI5510">
        <v>91.679606646874205</v>
      </c>
      <c r="AJ5510">
        <v>104.521310900286</v>
      </c>
      <c r="AK5510">
        <v>37.923257180243901</v>
      </c>
      <c r="AL5510">
        <v>77.626358406692205</v>
      </c>
      <c r="AM5510">
        <v>96.893779537081997</v>
      </c>
      <c r="AN5510">
        <v>1.00000002246764</v>
      </c>
    </row>
    <row r="5511" spans="1:40" x14ac:dyDescent="0.25">
      <c r="A5511" t="str">
        <f>"20190304154907399"</f>
        <v>20190304154907399</v>
      </c>
      <c r="B5511" t="str">
        <f>"1551685747392508"</f>
        <v>1551685747392508</v>
      </c>
      <c r="C5511" t="s">
        <v>40</v>
      </c>
      <c r="D5511">
        <v>4.0957970000000001</v>
      </c>
      <c r="E5511">
        <v>0.4432739</v>
      </c>
      <c r="F5511" t="s">
        <v>79</v>
      </c>
      <c r="G5511">
        <v>-409.28590000000003</v>
      </c>
      <c r="H5511" s="1">
        <v>-6.4957259999999998E-6</v>
      </c>
      <c r="I5511">
        <v>131.0068</v>
      </c>
      <c r="J5511">
        <v>-372.80290000000002</v>
      </c>
      <c r="K5511">
        <v>1.1115759999999999</v>
      </c>
      <c r="L5511">
        <v>141.68709999999999</v>
      </c>
      <c r="M5511">
        <v>-0.99959589999999998</v>
      </c>
      <c r="N5511">
        <v>-1.3324269999999999E-2</v>
      </c>
      <c r="O5511">
        <v>-2.510658E-2</v>
      </c>
      <c r="P5511">
        <v>-0.9689584</v>
      </c>
      <c r="Q5511">
        <v>0.20174739999999999</v>
      </c>
      <c r="R5511">
        <v>-0.1428904</v>
      </c>
      <c r="S5511">
        <v>-2.9879760000000002</v>
      </c>
      <c r="T5511">
        <v>-9.021187E-2</v>
      </c>
      <c r="U5511">
        <v>-0.86752320000000005</v>
      </c>
      <c r="V5511">
        <v>-0.1188915</v>
      </c>
      <c r="W5511">
        <v>0.2144761</v>
      </c>
      <c r="X5511">
        <v>0.9694663</v>
      </c>
      <c r="Y5511">
        <v>-0.2544689</v>
      </c>
      <c r="Z5511">
        <v>-5.079376E-3</v>
      </c>
      <c r="AA5511">
        <v>0.96706769999999997</v>
      </c>
      <c r="AB5511">
        <v>34</v>
      </c>
      <c r="AC5511">
        <v>-36.482999999999997</v>
      </c>
      <c r="AD5511">
        <v>-1.1115824957260001</v>
      </c>
      <c r="AE5511">
        <v>-10.6802999999999</v>
      </c>
      <c r="AF5511">
        <v>-9.7525490802058901</v>
      </c>
      <c r="AG5511">
        <v>-1.1115824957260001</v>
      </c>
      <c r="AH5511">
        <v>36.708279967502499</v>
      </c>
      <c r="AI5511">
        <v>91.676354677604706</v>
      </c>
      <c r="AJ5511">
        <v>104.87846991831999</v>
      </c>
      <c r="AK5511">
        <v>37.9979689901865</v>
      </c>
      <c r="AL5511">
        <v>77.615207518057005</v>
      </c>
      <c r="AM5511">
        <v>96.991616151977595</v>
      </c>
      <c r="AN5511">
        <v>1.00000004653957</v>
      </c>
    </row>
    <row r="5512" spans="1:40" x14ac:dyDescent="0.25">
      <c r="A5512" t="str">
        <f>"20190304154907421"</f>
        <v>20190304154907421</v>
      </c>
      <c r="B5512" t="str">
        <f>"1551685747413005"</f>
        <v>1551685747413005</v>
      </c>
      <c r="C5512" t="s">
        <v>40</v>
      </c>
      <c r="D5512">
        <v>4.1338400000000002</v>
      </c>
      <c r="E5512">
        <v>0.44313079999999999</v>
      </c>
      <c r="F5512" t="s">
        <v>79</v>
      </c>
      <c r="G5512">
        <v>-409.91919999999999</v>
      </c>
      <c r="H5512" s="1">
        <v>-6.7684719999999997E-6</v>
      </c>
      <c r="I5512">
        <v>130.72880000000001</v>
      </c>
      <c r="J5512">
        <v>-373.14980000000003</v>
      </c>
      <c r="K5512">
        <v>1.1116029999999999</v>
      </c>
      <c r="L5512">
        <v>141.67750000000001</v>
      </c>
      <c r="M5512">
        <v>-0.99957249999999997</v>
      </c>
      <c r="N5512">
        <v>-1.3453949999999999E-2</v>
      </c>
      <c r="O5512">
        <v>-2.5959090000000001E-2</v>
      </c>
      <c r="P5512">
        <v>-0.96877440000000004</v>
      </c>
      <c r="Q5512">
        <v>0.20139509999999999</v>
      </c>
      <c r="R5512">
        <v>-0.14462510000000001</v>
      </c>
      <c r="S5512">
        <v>-2.9848020000000002</v>
      </c>
      <c r="T5512">
        <v>-8.9390750000000005E-2</v>
      </c>
      <c r="U5512">
        <v>-0.88124080000000005</v>
      </c>
      <c r="V5512">
        <v>-0.1198061</v>
      </c>
      <c r="W5512">
        <v>0.21424460000000001</v>
      </c>
      <c r="X5512">
        <v>0.96940490000000001</v>
      </c>
      <c r="Y5512">
        <v>-0.25801049999999998</v>
      </c>
      <c r="Z5512">
        <v>-5.1365619999999999E-3</v>
      </c>
      <c r="AA5512">
        <v>0.96612849999999995</v>
      </c>
      <c r="AB5512">
        <v>34</v>
      </c>
      <c r="AC5512">
        <v>-36.769399999999898</v>
      </c>
      <c r="AD5512">
        <v>-1.1116097684720001</v>
      </c>
      <c r="AE5512">
        <v>-10.948700000000001</v>
      </c>
      <c r="AF5512">
        <v>-9.9820429089897793</v>
      </c>
      <c r="AG5512">
        <v>-1.1116097684720001</v>
      </c>
      <c r="AH5512">
        <v>37.0101794584751</v>
      </c>
      <c r="AI5512">
        <v>91.661055249168299</v>
      </c>
      <c r="AJ5512">
        <v>105.0941267555</v>
      </c>
      <c r="AK5512">
        <v>38.348797118851103</v>
      </c>
      <c r="AL5512">
        <v>77.628787262480998</v>
      </c>
      <c r="AM5512">
        <v>97.045304060146293</v>
      </c>
      <c r="AN5512">
        <v>1.00000005518518</v>
      </c>
    </row>
    <row r="5513" spans="1:40" x14ac:dyDescent="0.25">
      <c r="A5513" t="str">
        <f>"20190304154907443"</f>
        <v>20190304154907443</v>
      </c>
      <c r="B5513" t="str">
        <f>"1551685747432524"</f>
        <v>1551685747432524</v>
      </c>
      <c r="C5513" t="s">
        <v>40</v>
      </c>
      <c r="D5513">
        <v>4.1138849999999998</v>
      </c>
      <c r="E5513">
        <v>0.44295040000000002</v>
      </c>
      <c r="F5513" t="s">
        <v>79</v>
      </c>
      <c r="G5513">
        <v>-410.2672</v>
      </c>
      <c r="H5513" s="1">
        <v>-6.7170100000000001E-6</v>
      </c>
      <c r="I5513">
        <v>130.6183</v>
      </c>
      <c r="J5513">
        <v>-373.47770000000003</v>
      </c>
      <c r="K5513">
        <v>1.1116269999999999</v>
      </c>
      <c r="L5513">
        <v>141.66810000000001</v>
      </c>
      <c r="M5513">
        <v>-0.99954949999999998</v>
      </c>
      <c r="N5513">
        <v>-1.3573730000000001E-2</v>
      </c>
      <c r="O5513">
        <v>-2.6773970000000001E-2</v>
      </c>
      <c r="P5513">
        <v>-0.96879210000000004</v>
      </c>
      <c r="Q5513">
        <v>0.19959979999999999</v>
      </c>
      <c r="R5513">
        <v>-0.146977</v>
      </c>
      <c r="S5513">
        <v>-2.982605</v>
      </c>
      <c r="T5513">
        <v>-8.9324589999999995E-2</v>
      </c>
      <c r="U5513">
        <v>-0.88867189999999996</v>
      </c>
      <c r="V5513">
        <v>-0.121365899999999</v>
      </c>
      <c r="W5513">
        <v>0.21256240000000001</v>
      </c>
      <c r="X5513">
        <v>0.96958109999999997</v>
      </c>
      <c r="Y5513">
        <v>-0.25962679999999999</v>
      </c>
      <c r="Z5513">
        <v>-5.1766779999999997E-3</v>
      </c>
      <c r="AA5513">
        <v>0.96569510000000003</v>
      </c>
      <c r="AB5513">
        <v>34</v>
      </c>
      <c r="AC5513">
        <v>-36.789499999999897</v>
      </c>
      <c r="AD5513">
        <v>-1.1116337170099999</v>
      </c>
      <c r="AE5513">
        <v>-11.049799999999999</v>
      </c>
      <c r="AF5513">
        <v>-10.0523280435778</v>
      </c>
      <c r="AG5513">
        <v>-1.1116337170099999</v>
      </c>
      <c r="AH5513">
        <v>37.041162688530001</v>
      </c>
      <c r="AI5513">
        <v>91.6590033843664</v>
      </c>
      <c r="AJ5513">
        <v>105.18338545243699</v>
      </c>
      <c r="AK5513">
        <v>38.397041057022101</v>
      </c>
      <c r="AL5513">
        <v>77.727441940662302</v>
      </c>
      <c r="AM5513">
        <v>97.134806359582001</v>
      </c>
      <c r="AN5513">
        <v>0.99999998252688904</v>
      </c>
    </row>
    <row r="5514" spans="1:40" x14ac:dyDescent="0.25">
      <c r="A5514" t="str">
        <f>"20190304154907465"</f>
        <v>20190304154907465</v>
      </c>
      <c r="B5514" t="str">
        <f>"1551685747462780"</f>
        <v>1551685747462780</v>
      </c>
      <c r="C5514" t="s">
        <v>40</v>
      </c>
      <c r="D5514">
        <v>4.1435399999999998</v>
      </c>
      <c r="E5514">
        <v>0.44284000000000001</v>
      </c>
      <c r="F5514" t="s">
        <v>79</v>
      </c>
      <c r="G5514">
        <v>-409.93340000000001</v>
      </c>
      <c r="H5514" s="1">
        <v>-6.759446E-6</v>
      </c>
      <c r="I5514">
        <v>130.68790000000001</v>
      </c>
      <c r="J5514">
        <v>-373.81189999999998</v>
      </c>
      <c r="K5514">
        <v>1.1116330000000001</v>
      </c>
      <c r="L5514">
        <v>141.6583</v>
      </c>
      <c r="M5514">
        <v>-0.99952510000000006</v>
      </c>
      <c r="N5514">
        <v>-1.368927E-2</v>
      </c>
      <c r="O5514">
        <v>-2.7611819999999999E-2</v>
      </c>
      <c r="P5514">
        <v>-0.96873810000000005</v>
      </c>
      <c r="Q5514">
        <v>0.19812850000000001</v>
      </c>
      <c r="R5514">
        <v>-0.14930389999999999</v>
      </c>
      <c r="S5514">
        <v>-2.9792179999999999</v>
      </c>
      <c r="T5514">
        <v>-9.0844389999999997E-2</v>
      </c>
      <c r="U5514">
        <v>-0.897323599999999</v>
      </c>
      <c r="V5514">
        <v>-0.1228805</v>
      </c>
      <c r="W5514">
        <v>0.21119979999999999</v>
      </c>
      <c r="X5514">
        <v>0.96968810000000005</v>
      </c>
      <c r="Y5514">
        <v>-0.26168409999999998</v>
      </c>
      <c r="Z5514">
        <v>-5.2805389999999999E-3</v>
      </c>
      <c r="AA5514">
        <v>0.96513919999999997</v>
      </c>
      <c r="AB5514">
        <v>34</v>
      </c>
      <c r="AC5514">
        <v>-36.121499999999997</v>
      </c>
      <c r="AD5514">
        <v>-1.1116397594459999</v>
      </c>
      <c r="AE5514">
        <v>-10.9703999999999</v>
      </c>
      <c r="AF5514">
        <v>-9.9601061253812109</v>
      </c>
      <c r="AG5514">
        <v>-1.1116397594459999</v>
      </c>
      <c r="AH5514">
        <v>36.3791210637349</v>
      </c>
      <c r="AI5514">
        <v>91.688157108573506</v>
      </c>
      <c r="AJ5514">
        <v>105.311582246239</v>
      </c>
      <c r="AK5514">
        <v>37.734333257042202</v>
      </c>
      <c r="AL5514">
        <v>77.807327048898202</v>
      </c>
      <c r="AM5514">
        <v>97.222122764358403</v>
      </c>
      <c r="AN5514">
        <v>0.99999999204095003</v>
      </c>
    </row>
    <row r="5515" spans="1:40" x14ac:dyDescent="0.25">
      <c r="A5515" t="str">
        <f>"20190304154907489"</f>
        <v>20190304154907489</v>
      </c>
      <c r="B5515" t="str">
        <f>"1551685747482299"</f>
        <v>1551685747482299</v>
      </c>
      <c r="C5515" t="s">
        <v>40</v>
      </c>
      <c r="D5515">
        <v>4.1447529999999997</v>
      </c>
      <c r="E5515">
        <v>0.44266660000000002</v>
      </c>
      <c r="F5515" t="s">
        <v>79</v>
      </c>
      <c r="G5515">
        <v>-409.43810000000002</v>
      </c>
      <c r="H5515" s="1">
        <v>-6.5119189999999997E-6</v>
      </c>
      <c r="I5515">
        <v>130.827</v>
      </c>
      <c r="J5515">
        <v>-374.16640000000001</v>
      </c>
      <c r="K5515">
        <v>1.1116539999999999</v>
      </c>
      <c r="L5515">
        <v>141.64760000000001</v>
      </c>
      <c r="M5515">
        <v>-0.99949840000000001</v>
      </c>
      <c r="N5515">
        <v>-1.380149E-2</v>
      </c>
      <c r="O5515">
        <v>-2.851035E-2</v>
      </c>
      <c r="P5515">
        <v>-0.96857349999999998</v>
      </c>
      <c r="Q5515">
        <v>0.1972486</v>
      </c>
      <c r="R5515">
        <v>-0.1515232</v>
      </c>
      <c r="S5515">
        <v>-2.976318</v>
      </c>
      <c r="T5515">
        <v>-9.2869759999999996E-2</v>
      </c>
      <c r="U5515">
        <v>-0.90487669999999998</v>
      </c>
      <c r="V5515">
        <v>-0.12423239999999899</v>
      </c>
      <c r="W5515">
        <v>0.21042269999999999</v>
      </c>
      <c r="X5515">
        <v>0.96968480000000001</v>
      </c>
      <c r="Y5515">
        <v>-0.26331179999999998</v>
      </c>
      <c r="Z5515">
        <v>-5.3907310000000002E-3</v>
      </c>
      <c r="AA5515">
        <v>0.96469570000000004</v>
      </c>
      <c r="AB5515">
        <v>34</v>
      </c>
      <c r="AC5515">
        <v>-35.271700000000003</v>
      </c>
      <c r="AD5515">
        <v>-1.1116605119189999</v>
      </c>
      <c r="AE5515">
        <v>-10.820600000000001</v>
      </c>
      <c r="AF5515">
        <v>-9.80159775439847</v>
      </c>
      <c r="AG5515">
        <v>-1.1116605119189999</v>
      </c>
      <c r="AH5515">
        <v>35.5336273170279</v>
      </c>
      <c r="AI5515">
        <v>91.727427428285495</v>
      </c>
      <c r="AJ5515">
        <v>105.42098926354799</v>
      </c>
      <c r="AK5515">
        <v>36.877442670801102</v>
      </c>
      <c r="AL5515">
        <v>77.852875394321003</v>
      </c>
      <c r="AM5515">
        <v>97.300750625895105</v>
      </c>
      <c r="AN5515">
        <v>1.0000000066180399</v>
      </c>
    </row>
    <row r="5516" spans="1:40" x14ac:dyDescent="0.25">
      <c r="A5516" t="str">
        <f>"20190304154907511"</f>
        <v>20190304154907511</v>
      </c>
      <c r="B5516" t="str">
        <f>"1551685747502797"</f>
        <v>1551685747502797</v>
      </c>
      <c r="C5516" t="s">
        <v>40</v>
      </c>
      <c r="D5516">
        <v>4.1485500000000002</v>
      </c>
      <c r="E5516">
        <v>0.44257920000000001</v>
      </c>
      <c r="F5516" t="s">
        <v>79</v>
      </c>
      <c r="G5516">
        <v>-409.51760000000002</v>
      </c>
      <c r="H5516" s="1">
        <v>-6.54523E-6</v>
      </c>
      <c r="I5516">
        <v>130.79</v>
      </c>
      <c r="J5516">
        <v>-374.51319999999998</v>
      </c>
      <c r="K5516">
        <v>1.1116710000000001</v>
      </c>
      <c r="L5516">
        <v>141.63679999999999</v>
      </c>
      <c r="M5516">
        <v>-0.9994712</v>
      </c>
      <c r="N5516">
        <v>-1.389984E-2</v>
      </c>
      <c r="O5516">
        <v>-2.940069E-2</v>
      </c>
      <c r="P5516">
        <v>-0.96838069999999998</v>
      </c>
      <c r="Q5516">
        <v>0.1967922</v>
      </c>
      <c r="R5516">
        <v>-0.15333720000000001</v>
      </c>
      <c r="S5516">
        <v>-2.9735109999999998</v>
      </c>
      <c r="T5516">
        <v>-9.3505740000000004E-2</v>
      </c>
      <c r="U5516">
        <v>-0.913269</v>
      </c>
      <c r="V5516">
        <v>-0.1251903</v>
      </c>
      <c r="W5516">
        <v>0.21005679999999999</v>
      </c>
      <c r="X5516">
        <v>0.96964090000000003</v>
      </c>
      <c r="Y5516">
        <v>-0.26519179999999998</v>
      </c>
      <c r="Z5516">
        <v>-5.4575730000000003E-3</v>
      </c>
      <c r="AA5516">
        <v>0.96418020000000004</v>
      </c>
      <c r="AB5516">
        <v>34</v>
      </c>
      <c r="AC5516">
        <v>-35.004399999999997</v>
      </c>
      <c r="AD5516">
        <v>-1.1116775452299901</v>
      </c>
      <c r="AE5516">
        <v>-10.8468</v>
      </c>
      <c r="AF5516">
        <v>-9.8038355530820898</v>
      </c>
      <c r="AG5516">
        <v>-1.1116775452299901</v>
      </c>
      <c r="AH5516">
        <v>35.275737436033602</v>
      </c>
      <c r="AI5516">
        <v>91.739145060967999</v>
      </c>
      <c r="AJ5516">
        <v>105.53167965973699</v>
      </c>
      <c r="AK5516">
        <v>36.629614660441398</v>
      </c>
      <c r="AL5516">
        <v>77.874318774357405</v>
      </c>
      <c r="AM5516">
        <v>97.356758527961105</v>
      </c>
      <c r="AN5516">
        <v>0.99999997269656904</v>
      </c>
    </row>
    <row r="5517" spans="1:40" x14ac:dyDescent="0.25">
      <c r="A5517" t="str">
        <f>"20190304154907533"</f>
        <v>20190304154907533</v>
      </c>
      <c r="B5517" t="str">
        <f>"1551685747522317"</f>
        <v>1551685747522317</v>
      </c>
      <c r="C5517" t="s">
        <v>40</v>
      </c>
      <c r="D5517">
        <v>4.138503</v>
      </c>
      <c r="E5517">
        <v>0.44246920000000001</v>
      </c>
      <c r="F5517" t="s">
        <v>79</v>
      </c>
      <c r="G5517">
        <v>-409.94529999999997</v>
      </c>
      <c r="H5517" s="1">
        <v>-6.7581560000000004E-6</v>
      </c>
      <c r="I5517">
        <v>130.66810000000001</v>
      </c>
      <c r="J5517">
        <v>-374.8306</v>
      </c>
      <c r="K5517">
        <v>1.1116919999999999</v>
      </c>
      <c r="L5517">
        <v>141.6266</v>
      </c>
      <c r="M5517">
        <v>-0.99944529999999998</v>
      </c>
      <c r="N5517">
        <v>-1.3979510000000001E-2</v>
      </c>
      <c r="O5517">
        <v>-3.023238E-2</v>
      </c>
      <c r="P5517">
        <v>-0.96798220000000001</v>
      </c>
      <c r="Q5517">
        <v>0.1976127</v>
      </c>
      <c r="R5517">
        <v>-0.1547907</v>
      </c>
      <c r="S5517">
        <v>-2.9712519999999998</v>
      </c>
      <c r="T5517">
        <v>-9.3222620000000006E-2</v>
      </c>
      <c r="U5517">
        <v>-0.9198151</v>
      </c>
      <c r="V5517">
        <v>-0.12585370000000001</v>
      </c>
      <c r="W5517">
        <v>0.2109462</v>
      </c>
      <c r="X5517">
        <v>0.96936199999999995</v>
      </c>
      <c r="Y5517">
        <v>-0.2665341</v>
      </c>
      <c r="Z5517">
        <v>-5.4790069999999897E-3</v>
      </c>
      <c r="AA5517">
        <v>0.9638099</v>
      </c>
      <c r="AB5517">
        <v>34</v>
      </c>
      <c r="AC5517">
        <v>-35.1146999999999</v>
      </c>
      <c r="AD5517">
        <v>-1.1116987581559901</v>
      </c>
      <c r="AE5517">
        <v>-10.9584999999999</v>
      </c>
      <c r="AF5517">
        <v>-9.8827589747900202</v>
      </c>
      <c r="AG5517">
        <v>-1.1116987581559901</v>
      </c>
      <c r="AH5517">
        <v>35.397649460725198</v>
      </c>
      <c r="AI5517">
        <v>91.732622383165705</v>
      </c>
      <c r="AJ5517">
        <v>105.599335795822</v>
      </c>
      <c r="AK5517">
        <v>36.768170833304403</v>
      </c>
      <c r="AL5517">
        <v>77.822193130162404</v>
      </c>
      <c r="AM5517">
        <v>97.397416723968803</v>
      </c>
      <c r="AN5517">
        <v>1.0000000700710601</v>
      </c>
    </row>
    <row r="5518" spans="1:40" x14ac:dyDescent="0.25">
      <c r="A5518" t="str">
        <f>"20190304154907555"</f>
        <v>20190304154907555</v>
      </c>
      <c r="B5518" t="str">
        <f>"1551685747552572"</f>
        <v>1551685747552572</v>
      </c>
      <c r="C5518" t="s">
        <v>40</v>
      </c>
      <c r="D5518">
        <v>4.1548790000000002</v>
      </c>
      <c r="E5518">
        <v>0.44216290000000003</v>
      </c>
      <c r="F5518" t="s">
        <v>79</v>
      </c>
      <c r="G5518">
        <v>-412.24430000000001</v>
      </c>
      <c r="H5518" s="1">
        <v>-6.3156269999999998E-6</v>
      </c>
      <c r="I5518">
        <v>129.96520000000001</v>
      </c>
      <c r="J5518">
        <v>-375.16890000000001</v>
      </c>
      <c r="K5518">
        <v>1.1117170000000001</v>
      </c>
      <c r="L5518">
        <v>141.61539999999999</v>
      </c>
      <c r="M5518">
        <v>-0.99941639999999998</v>
      </c>
      <c r="N5518">
        <v>-1.40546E-2</v>
      </c>
      <c r="O5518">
        <v>-3.1138119999999998E-2</v>
      </c>
      <c r="P5518">
        <v>-0.96782650000000003</v>
      </c>
      <c r="Q5518">
        <v>0.19750680000000001</v>
      </c>
      <c r="R5518">
        <v>-0.1558947</v>
      </c>
      <c r="S5518">
        <v>-2.9692379999999998</v>
      </c>
      <c r="T5518">
        <v>-8.8227150000000004E-2</v>
      </c>
      <c r="U5518">
        <v>-0.92547610000000002</v>
      </c>
      <c r="V5518">
        <v>-0.1260886</v>
      </c>
      <c r="W5518">
        <v>0.2109075</v>
      </c>
      <c r="X5518">
        <v>0.96933979999999997</v>
      </c>
      <c r="Y5518">
        <v>-0.26753480000000002</v>
      </c>
      <c r="Z5518">
        <v>-5.3317310000000001E-3</v>
      </c>
      <c r="AA5518">
        <v>0.96353350000000004</v>
      </c>
      <c r="AB5518">
        <v>34</v>
      </c>
      <c r="AC5518">
        <v>-37.075400000000002</v>
      </c>
      <c r="AD5518">
        <v>-1.1117233156270001</v>
      </c>
      <c r="AE5518">
        <v>-11.6501999999999</v>
      </c>
      <c r="AF5518">
        <v>-10.4814002473423</v>
      </c>
      <c r="AG5518">
        <v>-1.1117233156270001</v>
      </c>
      <c r="AH5518">
        <v>37.389622456860302</v>
      </c>
      <c r="AI5518">
        <v>91.639919683059205</v>
      </c>
      <c r="AJ5518">
        <v>105.65973163397</v>
      </c>
      <c r="AK5518">
        <v>38.846873070326403</v>
      </c>
      <c r="AL5518">
        <v>77.824460375751002</v>
      </c>
      <c r="AM5518">
        <v>97.411238150809893</v>
      </c>
      <c r="AN5518">
        <v>0.99999997823512399</v>
      </c>
    </row>
    <row r="5519" spans="1:40" x14ac:dyDescent="0.25">
      <c r="A5519" t="str">
        <f>"20190304154907577"</f>
        <v>20190304154907577</v>
      </c>
      <c r="B5519" t="str">
        <f>"1551685747573068"</f>
        <v>1551685747573068</v>
      </c>
      <c r="C5519" t="s">
        <v>40</v>
      </c>
      <c r="D5519">
        <v>4.1385649999999998</v>
      </c>
      <c r="E5519">
        <v>0.44200590000000001</v>
      </c>
      <c r="F5519" t="s">
        <v>79</v>
      </c>
      <c r="G5519">
        <v>-412.06380000000001</v>
      </c>
      <c r="H5519" s="1">
        <v>-6.3538369999999996E-6</v>
      </c>
      <c r="I5519">
        <v>130.0333</v>
      </c>
      <c r="J5519">
        <v>-375.51150000000001</v>
      </c>
      <c r="K5519">
        <v>1.11174</v>
      </c>
      <c r="L5519">
        <v>141.60380000000001</v>
      </c>
      <c r="M5519">
        <v>-0.99938570000000004</v>
      </c>
      <c r="N5519">
        <v>-1.4121369999999999E-2</v>
      </c>
      <c r="O5519">
        <v>-3.2074449999999997E-2</v>
      </c>
      <c r="P5519">
        <v>-0.96758630000000001</v>
      </c>
      <c r="Q5519">
        <v>0.1979631</v>
      </c>
      <c r="R5519">
        <v>-0.15680369999999999</v>
      </c>
      <c r="S5519">
        <v>-2.9678960000000001</v>
      </c>
      <c r="T5519">
        <v>-8.9429140000000004E-2</v>
      </c>
      <c r="U5519">
        <v>-0.93168640000000003</v>
      </c>
      <c r="V5519">
        <v>-0.126102399999999</v>
      </c>
      <c r="W5519">
        <v>0.211423</v>
      </c>
      <c r="X5519">
        <v>0.96922569999999997</v>
      </c>
      <c r="Y5519">
        <v>-0.26858779999999999</v>
      </c>
      <c r="Z5519">
        <v>-5.3929319999999996E-3</v>
      </c>
      <c r="AA5519">
        <v>0.96324010000000004</v>
      </c>
      <c r="AB5519">
        <v>34</v>
      </c>
      <c r="AC5519">
        <v>-36.552300000000002</v>
      </c>
      <c r="AD5519">
        <v>-1.111746353837</v>
      </c>
      <c r="AE5519">
        <v>-11.570499999999999</v>
      </c>
      <c r="AF5519">
        <v>-10.383303108930299</v>
      </c>
      <c r="AG5519">
        <v>-1.111746353837</v>
      </c>
      <c r="AH5519">
        <v>36.873639316507003</v>
      </c>
      <c r="AI5519">
        <v>91.662342945828001</v>
      </c>
      <c r="AJ5519">
        <v>105.726768009209</v>
      </c>
      <c r="AK5519">
        <v>38.323807742068702</v>
      </c>
      <c r="AL5519">
        <v>77.794243018073004</v>
      </c>
      <c r="AM5519">
        <v>97.412903130746002</v>
      </c>
      <c r="AN5519">
        <v>0.99999997887762404</v>
      </c>
    </row>
    <row r="5520" spans="1:40" x14ac:dyDescent="0.25">
      <c r="A5520" t="str">
        <f>"20190304154907600"</f>
        <v>20190304154907600</v>
      </c>
      <c r="B5520" t="str">
        <f>"1551685747592588"</f>
        <v>1551685747592588</v>
      </c>
      <c r="C5520" t="s">
        <v>40</v>
      </c>
      <c r="D5520">
        <v>4.327928</v>
      </c>
      <c r="E5520">
        <v>0.44213619999999998</v>
      </c>
      <c r="F5520" t="s">
        <v>79</v>
      </c>
      <c r="G5520">
        <v>-412.80990000000003</v>
      </c>
      <c r="H5520" s="1">
        <v>-6.2309059999999997E-6</v>
      </c>
      <c r="I5520">
        <v>129.83779999999999</v>
      </c>
      <c r="J5520">
        <v>-375.84730000000002</v>
      </c>
      <c r="K5520">
        <v>1.111766</v>
      </c>
      <c r="L5520">
        <v>141.59209999999999</v>
      </c>
      <c r="M5520">
        <v>-0.99935410000000002</v>
      </c>
      <c r="N5520">
        <v>-1.417845E-2</v>
      </c>
      <c r="O5520">
        <v>-3.3019470000000002E-2</v>
      </c>
      <c r="P5520">
        <v>-0.96738670000000004</v>
      </c>
      <c r="Q5520">
        <v>0.19815679999999999</v>
      </c>
      <c r="R5520">
        <v>-0.15778800000000001</v>
      </c>
      <c r="S5520">
        <v>-2.9669189999999999</v>
      </c>
      <c r="T5520">
        <v>-8.843434E-2</v>
      </c>
      <c r="U5520">
        <v>-0.93592830000000005</v>
      </c>
      <c r="V5520">
        <v>-0.1261835</v>
      </c>
      <c r="W5520">
        <v>0.2116653</v>
      </c>
      <c r="X5520">
        <v>0.96916230000000003</v>
      </c>
      <c r="Y5520">
        <v>-0.26902300000000001</v>
      </c>
      <c r="Z5520">
        <v>-5.3649429999999996E-3</v>
      </c>
      <c r="AA5520">
        <v>0.96311880000000005</v>
      </c>
      <c r="AB5520">
        <v>34</v>
      </c>
      <c r="AC5520">
        <v>-36.962600000000002</v>
      </c>
      <c r="AD5520">
        <v>-1.1117722309060001</v>
      </c>
      <c r="AE5520">
        <v>-11.754300000000001</v>
      </c>
      <c r="AF5520">
        <v>-10.5186387078426</v>
      </c>
      <c r="AG5520">
        <v>-1.1117722309060001</v>
      </c>
      <c r="AH5520">
        <v>37.299954092582901</v>
      </c>
      <c r="AI5520">
        <v>91.643216378764706</v>
      </c>
      <c r="AJ5520">
        <v>105.748525402358</v>
      </c>
      <c r="AK5520">
        <v>38.770663820320799</v>
      </c>
      <c r="AL5520">
        <v>77.780039288288506</v>
      </c>
      <c r="AM5520">
        <v>97.418097339227202</v>
      </c>
      <c r="AN5520">
        <v>1.0000000193188101</v>
      </c>
    </row>
    <row r="5521" spans="1:40" x14ac:dyDescent="0.25">
      <c r="A5521" t="str">
        <f>"20190304154907621"</f>
        <v>20190304154907621</v>
      </c>
      <c r="B5521" t="str">
        <f>"1551685747613083"</f>
        <v>1551685747613083</v>
      </c>
      <c r="C5521" t="s">
        <v>40</v>
      </c>
      <c r="D5521">
        <v>4.2036699999999998</v>
      </c>
      <c r="E5521">
        <v>0.47612939999999998</v>
      </c>
      <c r="F5521" t="s">
        <v>79</v>
      </c>
      <c r="G5521">
        <v>-413.90460000000002</v>
      </c>
      <c r="H5521" s="1">
        <v>-6.0458870000000003E-6</v>
      </c>
      <c r="I5521">
        <v>129.55500000000001</v>
      </c>
      <c r="J5521">
        <v>-376.18279999999999</v>
      </c>
      <c r="K5521">
        <v>1.111788</v>
      </c>
      <c r="L5521">
        <v>141.58000000000001</v>
      </c>
      <c r="M5521">
        <v>-0.99932049999999994</v>
      </c>
      <c r="N5521">
        <v>-1.4228080000000001E-2</v>
      </c>
      <c r="O5521">
        <v>-3.400272E-2</v>
      </c>
      <c r="P5521">
        <v>-0.96739070000000005</v>
      </c>
      <c r="Q5521">
        <v>0.19735269999999999</v>
      </c>
      <c r="R5521">
        <v>-0.15876770000000001</v>
      </c>
      <c r="S5521">
        <v>-2.9658509999999998</v>
      </c>
      <c r="T5521">
        <v>-8.6641670000000004E-2</v>
      </c>
      <c r="U5521">
        <v>-0.93806460000000003</v>
      </c>
      <c r="V5521">
        <v>-0.12621760000000001</v>
      </c>
      <c r="W5521">
        <v>0.2109038</v>
      </c>
      <c r="X5521">
        <v>0.96932379999999996</v>
      </c>
      <c r="Y5521">
        <v>-0.26881080000000002</v>
      </c>
      <c r="Z5521">
        <v>-5.2955509999999999E-3</v>
      </c>
      <c r="AA5521">
        <v>0.96317850000000005</v>
      </c>
      <c r="AB5521">
        <v>34</v>
      </c>
      <c r="AC5521">
        <v>-37.721800000000002</v>
      </c>
      <c r="AD5521">
        <v>-1.1117940458869999</v>
      </c>
      <c r="AE5521">
        <v>-12.025</v>
      </c>
      <c r="AF5521">
        <v>-10.7268127509086</v>
      </c>
      <c r="AG5521">
        <v>-1.1117940458869999</v>
      </c>
      <c r="AH5521">
        <v>38.078879415452597</v>
      </c>
      <c r="AI5521">
        <v>91.609779571403493</v>
      </c>
      <c r="AJ5521">
        <v>105.732517576091</v>
      </c>
      <c r="AK5521">
        <v>39.576529096550502</v>
      </c>
      <c r="AL5521">
        <v>77.824677051704896</v>
      </c>
      <c r="AM5521">
        <v>97.418857185815895</v>
      </c>
      <c r="AN5521">
        <v>0.99999996232531896</v>
      </c>
    </row>
    <row r="5522" spans="1:40" x14ac:dyDescent="0.25">
      <c r="A5522" t="str">
        <f>"20190304154907644"</f>
        <v>20190304154907644</v>
      </c>
      <c r="B5522" t="str">
        <f>"1551685747632605"</f>
        <v>1551685747632605</v>
      </c>
      <c r="C5522" t="s">
        <v>40</v>
      </c>
      <c r="D5522">
        <v>4.1922290000000002</v>
      </c>
      <c r="E5522">
        <v>0.51789449999999904</v>
      </c>
      <c r="F5522" t="s">
        <v>79</v>
      </c>
      <c r="G5522">
        <v>-406.7364</v>
      </c>
      <c r="H5522" s="1">
        <v>-6.5051349999999997E-6</v>
      </c>
      <c r="I5522">
        <v>134.74879999999999</v>
      </c>
      <c r="J5522">
        <v>-376.50889999999998</v>
      </c>
      <c r="K5522">
        <v>1.111826</v>
      </c>
      <c r="L5522">
        <v>141.56790000000001</v>
      </c>
      <c r="M5522">
        <v>-0.99928499999999998</v>
      </c>
      <c r="N5522">
        <v>-1.4270120000000001E-2</v>
      </c>
      <c r="O5522">
        <v>-3.5010319999999998E-2</v>
      </c>
      <c r="P5522">
        <v>-0.96735260000000001</v>
      </c>
      <c r="Q5522">
        <v>0.19722239999999999</v>
      </c>
      <c r="R5522">
        <v>-0.15916150000000001</v>
      </c>
      <c r="S5522">
        <v>-3.0129090000000001</v>
      </c>
      <c r="T5522">
        <v>-0.10963489999999999</v>
      </c>
      <c r="U5522">
        <v>-0.67362979999999995</v>
      </c>
      <c r="V5522">
        <v>-0.12565000000000001</v>
      </c>
      <c r="W5522">
        <v>0.21080589999999999</v>
      </c>
      <c r="X5522">
        <v>0.96941889999999997</v>
      </c>
      <c r="Y5522">
        <v>-0.18373519999999999</v>
      </c>
      <c r="Z5522">
        <v>-3.8660750000000001E-3</v>
      </c>
      <c r="AA5522">
        <v>0.98296819999999896</v>
      </c>
      <c r="AB5522">
        <v>34</v>
      </c>
      <c r="AC5522">
        <v>-30.227499999999999</v>
      </c>
      <c r="AD5522">
        <v>-1.111832505135</v>
      </c>
      <c r="AE5522">
        <v>-6.8191000000000104</v>
      </c>
      <c r="AF5522">
        <v>-5.7491349376231504</v>
      </c>
      <c r="AG5522">
        <v>-1.111832505135</v>
      </c>
      <c r="AH5522">
        <v>30.408580231225301</v>
      </c>
      <c r="AI5522">
        <v>92.057561051588095</v>
      </c>
      <c r="AJ5522">
        <v>100.70613810827599</v>
      </c>
      <c r="AK5522">
        <v>30.967248436523001</v>
      </c>
      <c r="AL5522">
        <v>77.830416117005001</v>
      </c>
      <c r="AM5522">
        <v>97.385147248275501</v>
      </c>
      <c r="AN5522">
        <v>1.0000000268260001</v>
      </c>
    </row>
    <row r="5523" spans="1:40" x14ac:dyDescent="0.25">
      <c r="A5523" t="str">
        <f>"20190304154907666"</f>
        <v>20190304154907666</v>
      </c>
      <c r="B5523" t="str">
        <f>"1551685747662860"</f>
        <v>1551685747662860</v>
      </c>
      <c r="C5523" t="s">
        <v>40</v>
      </c>
      <c r="D5523">
        <v>4.1710450000000003</v>
      </c>
      <c r="E5523">
        <v>0.51864069999999995</v>
      </c>
      <c r="F5523" t="s">
        <v>44</v>
      </c>
      <c r="G5523">
        <v>-454.33519999999999</v>
      </c>
      <c r="H5523" s="1">
        <v>-2.7196970000000001E-6</v>
      </c>
      <c r="I5523">
        <v>132.77930000000001</v>
      </c>
      <c r="J5523">
        <v>-376.84530000000001</v>
      </c>
      <c r="K5523">
        <v>1.111874</v>
      </c>
      <c r="L5523">
        <v>141.5549</v>
      </c>
      <c r="M5523">
        <v>-0.99924489999999999</v>
      </c>
      <c r="N5523">
        <v>-1.4307749999999999E-2</v>
      </c>
      <c r="O5523">
        <v>-3.6122399999999999E-2</v>
      </c>
      <c r="P5523">
        <v>-0.96728080000000005</v>
      </c>
      <c r="Q5523">
        <v>0.1970354</v>
      </c>
      <c r="R5523">
        <v>-0.15982789999999999</v>
      </c>
      <c r="S5523">
        <v>-3.0534059999999998</v>
      </c>
      <c r="T5523">
        <v>-4.3621060000000003E-2</v>
      </c>
      <c r="U5523">
        <v>-0.34480290000000002</v>
      </c>
      <c r="V5523">
        <v>-0.1252625</v>
      </c>
      <c r="W5523">
        <v>0.21064179999999999</v>
      </c>
      <c r="X5523">
        <v>0.9695047</v>
      </c>
      <c r="Y5523">
        <v>-7.6224180000000002E-2</v>
      </c>
      <c r="Z5523">
        <v>-1.0913559999999999E-3</v>
      </c>
      <c r="AA5523">
        <v>0.99709009999999998</v>
      </c>
      <c r="AB5523">
        <v>34</v>
      </c>
      <c r="AC5523">
        <v>-77.489899999999906</v>
      </c>
      <c r="AD5523">
        <v>-1.1118767196969901</v>
      </c>
      <c r="AE5523">
        <v>-8.7755999999999901</v>
      </c>
      <c r="AF5523">
        <v>-5.9692503813121096</v>
      </c>
      <c r="AG5523">
        <v>-1.1118767196969901</v>
      </c>
      <c r="AH5523">
        <v>77.740542970110297</v>
      </c>
      <c r="AI5523">
        <v>90.817006968522506</v>
      </c>
      <c r="AJ5523">
        <v>94.390798665838702</v>
      </c>
      <c r="AK5523">
        <v>77.977305937318505</v>
      </c>
      <c r="AL5523">
        <v>77.840034148940305</v>
      </c>
      <c r="AM5523">
        <v>97.361977567268497</v>
      </c>
      <c r="AN5523">
        <v>1.0000000125677899</v>
      </c>
    </row>
    <row r="5524" spans="1:40" x14ac:dyDescent="0.25">
      <c r="A5524" t="str">
        <f>"20190304154907690"</f>
        <v>20190304154907690</v>
      </c>
      <c r="B5524" t="str">
        <f>"1551685747682381"</f>
        <v>1551685747682381</v>
      </c>
      <c r="C5524" t="s">
        <v>40</v>
      </c>
      <c r="D5524">
        <v>4.1647730000000003</v>
      </c>
      <c r="E5524">
        <v>0.51962920000000001</v>
      </c>
      <c r="F5524" t="s">
        <v>44</v>
      </c>
      <c r="G5524">
        <v>-453.2373</v>
      </c>
      <c r="H5524" s="1">
        <v>-3.0428779999999999E-6</v>
      </c>
      <c r="I5524">
        <v>133.00540000000001</v>
      </c>
      <c r="J5524">
        <v>-377.18529999999998</v>
      </c>
      <c r="K5524">
        <v>1.1119520000000001</v>
      </c>
      <c r="L5524">
        <v>141.54140000000001</v>
      </c>
      <c r="M5524">
        <v>-0.99919970000000002</v>
      </c>
      <c r="N5524">
        <v>-1.434089E-2</v>
      </c>
      <c r="O5524">
        <v>-3.7341640000000002E-2</v>
      </c>
      <c r="P5524">
        <v>-0.96730240000000001</v>
      </c>
      <c r="Q5524">
        <v>0.19648969999999999</v>
      </c>
      <c r="R5524">
        <v>-0.16036909999999999</v>
      </c>
      <c r="S5524">
        <v>-3.0540470000000002</v>
      </c>
      <c r="T5524">
        <v>-4.4451360000000002E-2</v>
      </c>
      <c r="U5524">
        <v>-0.34179690000000001</v>
      </c>
      <c r="V5524">
        <v>-0.1246506</v>
      </c>
      <c r="W5524">
        <v>0.2101113</v>
      </c>
      <c r="X5524">
        <v>0.96969870000000002</v>
      </c>
      <c r="Y5524">
        <v>-7.4014860000000002E-2</v>
      </c>
      <c r="Z5524">
        <v>-1.062227E-3</v>
      </c>
      <c r="AA5524">
        <v>0.99725660000000005</v>
      </c>
      <c r="AB5524">
        <v>34</v>
      </c>
      <c r="AC5524">
        <v>-76.052000000000007</v>
      </c>
      <c r="AD5524">
        <v>-1.1119550428780001</v>
      </c>
      <c r="AE5524">
        <v>-8.5359999999999996</v>
      </c>
      <c r="AF5524">
        <v>-5.6886461197873404</v>
      </c>
      <c r="AG5524">
        <v>-1.1119550428780001</v>
      </c>
      <c r="AH5524">
        <v>76.301619905210899</v>
      </c>
      <c r="AI5524">
        <v>90.832610494191997</v>
      </c>
      <c r="AJ5524">
        <v>94.263782687717793</v>
      </c>
      <c r="AK5524">
        <v>76.521463256087998</v>
      </c>
      <c r="AL5524">
        <v>77.871125824376406</v>
      </c>
      <c r="AM5524">
        <v>97.324956594788205</v>
      </c>
      <c r="AN5524">
        <v>1.00000004962486</v>
      </c>
    </row>
    <row r="5525" spans="1:40" x14ac:dyDescent="0.25">
      <c r="A5525" t="str">
        <f>"20190304154907711"</f>
        <v>20190304154907711</v>
      </c>
      <c r="B5525" t="str">
        <f>"1551685747702876"</f>
        <v>1551685747702876</v>
      </c>
      <c r="C5525" t="s">
        <v>40</v>
      </c>
      <c r="D5525">
        <v>4.1904979999999998</v>
      </c>
      <c r="E5525">
        <v>0.51949079999999903</v>
      </c>
      <c r="F5525" t="s">
        <v>44</v>
      </c>
      <c r="G5525">
        <v>-457.0204</v>
      </c>
      <c r="H5525" s="1">
        <v>-1.816443E-6</v>
      </c>
      <c r="I5525">
        <v>132.7398</v>
      </c>
      <c r="J5525">
        <v>-377.51510000000002</v>
      </c>
      <c r="K5525">
        <v>1.112042</v>
      </c>
      <c r="L5525">
        <v>141.52780000000001</v>
      </c>
      <c r="M5525">
        <v>-0.99914999999999998</v>
      </c>
      <c r="N5525">
        <v>-1.436875E-2</v>
      </c>
      <c r="O5525">
        <v>-3.8638560000000002E-2</v>
      </c>
      <c r="P5525">
        <v>-0.96726199999999996</v>
      </c>
      <c r="Q5525">
        <v>0.19607840000000001</v>
      </c>
      <c r="R5525">
        <v>-0.16111320000000001</v>
      </c>
      <c r="S5525">
        <v>-3.0541990000000001</v>
      </c>
      <c r="T5525">
        <v>-4.2539359999999998E-2</v>
      </c>
      <c r="U5525">
        <v>-0.33671570000000001</v>
      </c>
      <c r="V5525">
        <v>-0.1241762</v>
      </c>
      <c r="W5525">
        <v>0.2097048</v>
      </c>
      <c r="X5525">
        <v>0.96984749999999997</v>
      </c>
      <c r="Y5525">
        <v>-7.1077260000000003E-2</v>
      </c>
      <c r="Z5525">
        <v>-1.023546E-3</v>
      </c>
      <c r="AA5525">
        <v>0.99747030000000003</v>
      </c>
      <c r="AB5525">
        <v>34</v>
      </c>
      <c r="AC5525">
        <v>-79.505299999999906</v>
      </c>
      <c r="AD5525">
        <v>-1.112043816443</v>
      </c>
      <c r="AE5525">
        <v>-8.7880000000000091</v>
      </c>
      <c r="AF5525">
        <v>-5.7080457088432901</v>
      </c>
      <c r="AG5525">
        <v>-1.112043816443</v>
      </c>
      <c r="AH5525">
        <v>79.770090386250899</v>
      </c>
      <c r="AI5525">
        <v>90.796649777837501</v>
      </c>
      <c r="AJ5525">
        <v>94.092893006793801</v>
      </c>
      <c r="AK5525">
        <v>79.981783847914798</v>
      </c>
      <c r="AL5525">
        <v>77.894946693839302</v>
      </c>
      <c r="AM5525">
        <v>97.296272516242297</v>
      </c>
      <c r="AN5525">
        <v>1.0000000025228599</v>
      </c>
    </row>
    <row r="5526" spans="1:40" x14ac:dyDescent="0.25">
      <c r="A5526" t="str">
        <f>"20190304154907727"</f>
        <v>20190304154907727</v>
      </c>
      <c r="B5526" t="str">
        <f>"1551685747722396"</f>
        <v>1551685747722396</v>
      </c>
      <c r="C5526" t="s">
        <v>40</v>
      </c>
      <c r="D5526">
        <v>4.2094659999999999</v>
      </c>
      <c r="E5526">
        <v>0.5195149</v>
      </c>
      <c r="F5526" t="s">
        <v>44</v>
      </c>
      <c r="G5526">
        <v>-453.24979999999999</v>
      </c>
      <c r="H5526" s="1">
        <v>-3.024721E-6</v>
      </c>
      <c r="I5526">
        <v>133.07749999999999</v>
      </c>
      <c r="J5526">
        <v>-377.74579999999997</v>
      </c>
      <c r="K5526">
        <v>1.112115</v>
      </c>
      <c r="L5526">
        <v>141.5179</v>
      </c>
      <c r="M5526">
        <v>-0.99911059999999996</v>
      </c>
      <c r="N5526">
        <v>-1.43859E-2</v>
      </c>
      <c r="O5526">
        <v>-3.963829E-2</v>
      </c>
      <c r="P5526">
        <v>-0.96714739999999999</v>
      </c>
      <c r="Q5526">
        <v>0.19597780000000001</v>
      </c>
      <c r="R5526">
        <v>-0.1619225</v>
      </c>
      <c r="S5526">
        <v>-3.0538940000000001</v>
      </c>
      <c r="T5526">
        <v>-4.4841649999999997E-2</v>
      </c>
      <c r="U5526">
        <v>-0.34074399999999999</v>
      </c>
      <c r="V5526">
        <v>-0.1240523</v>
      </c>
      <c r="W5526">
        <v>0.20959990000000001</v>
      </c>
      <c r="X5526">
        <v>0.96988609999999997</v>
      </c>
      <c r="Y5526">
        <v>-7.1388579999999993E-2</v>
      </c>
      <c r="Z5526">
        <v>-1.026793E-3</v>
      </c>
      <c r="AA5526">
        <v>0.997448</v>
      </c>
      <c r="AB5526">
        <v>34</v>
      </c>
      <c r="AC5526">
        <v>-75.504000000000005</v>
      </c>
      <c r="AD5526">
        <v>-1.1121180247210001</v>
      </c>
      <c r="AE5526">
        <v>-8.4404000000000092</v>
      </c>
      <c r="AF5526">
        <v>-5.4394407608164004</v>
      </c>
      <c r="AG5526">
        <v>-1.1121180247210001</v>
      </c>
      <c r="AH5526">
        <v>75.763012309338706</v>
      </c>
      <c r="AI5526">
        <v>90.838820081137499</v>
      </c>
      <c r="AJ5526">
        <v>94.106531025873295</v>
      </c>
      <c r="AK5526">
        <v>75.966165866630007</v>
      </c>
      <c r="AL5526">
        <v>77.901094448295893</v>
      </c>
      <c r="AM5526">
        <v>97.288783832015696</v>
      </c>
      <c r="AN5526">
        <v>1.0000000690942501</v>
      </c>
    </row>
    <row r="5527" spans="1:40" x14ac:dyDescent="0.25">
      <c r="A5527" t="str">
        <f>"20190304154907744"</f>
        <v>20190304154907744</v>
      </c>
      <c r="B5527" t="str">
        <f>"1551685747733132"</f>
        <v>1551685747733132</v>
      </c>
      <c r="C5527" t="s">
        <v>40</v>
      </c>
      <c r="D5527">
        <v>4.2049859999999999</v>
      </c>
      <c r="E5527">
        <v>0.51947180000000004</v>
      </c>
      <c r="F5527" t="s">
        <v>44</v>
      </c>
      <c r="G5527">
        <v>-453.63920000000002</v>
      </c>
      <c r="H5527" s="1">
        <v>-2.899364E-6</v>
      </c>
      <c r="I5527">
        <v>132.99420000000001</v>
      </c>
      <c r="J5527">
        <v>-378.01220000000001</v>
      </c>
      <c r="K5527">
        <v>1.112209</v>
      </c>
      <c r="L5527">
        <v>141.5061</v>
      </c>
      <c r="M5527">
        <v>-0.99906050000000002</v>
      </c>
      <c r="N5527">
        <v>-1.4404170000000001E-2</v>
      </c>
      <c r="O5527">
        <v>-4.0875549999999997E-2</v>
      </c>
      <c r="P5527">
        <v>-0.96702630000000001</v>
      </c>
      <c r="Q5527">
        <v>0.19577439999999999</v>
      </c>
      <c r="R5527">
        <v>-0.1628878</v>
      </c>
      <c r="S5527">
        <v>-3.053528</v>
      </c>
      <c r="T5527">
        <v>-4.4745449999999999E-2</v>
      </c>
      <c r="U5527">
        <v>-0.3429413</v>
      </c>
      <c r="V5527">
        <v>-0.1238624</v>
      </c>
      <c r="W5527">
        <v>0.2093892</v>
      </c>
      <c r="X5527">
        <v>0.96995580000000003</v>
      </c>
      <c r="Y5527">
        <v>-7.0875519999999997E-2</v>
      </c>
      <c r="Z5527">
        <v>-1.0205920000000001E-3</v>
      </c>
      <c r="AA5527">
        <v>0.99748460000000005</v>
      </c>
      <c r="AB5527">
        <v>33</v>
      </c>
      <c r="AC5527">
        <v>-75.626999999999995</v>
      </c>
      <c r="AD5527">
        <v>-1.112211899364</v>
      </c>
      <c r="AE5527">
        <v>-8.51189999999999</v>
      </c>
      <c r="AF5527">
        <v>-5.4120130912481796</v>
      </c>
      <c r="AG5527">
        <v>-1.112211899364</v>
      </c>
      <c r="AH5527">
        <v>75.895536408013797</v>
      </c>
      <c r="AI5527">
        <v>90.837455279528896</v>
      </c>
      <c r="AJ5527">
        <v>94.078784250255694</v>
      </c>
      <c r="AK5527">
        <v>76.096381961753494</v>
      </c>
      <c r="AL5527">
        <v>77.913439693569998</v>
      </c>
      <c r="AM5527">
        <v>97.277228471213604</v>
      </c>
      <c r="AN5527">
        <v>0.99999999258201999</v>
      </c>
    </row>
    <row r="5528" spans="1:40" x14ac:dyDescent="0.25">
      <c r="A5528" t="str">
        <f>"20190304154907768"</f>
        <v>20190304154907768</v>
      </c>
      <c r="B5528" t="str">
        <f>"1551685747762412"</f>
        <v>1551685747762412</v>
      </c>
      <c r="C5528" t="s">
        <v>40</v>
      </c>
      <c r="D5528">
        <v>4.1906629999999998</v>
      </c>
      <c r="E5528">
        <v>0.51945980000000003</v>
      </c>
      <c r="F5528" t="s">
        <v>44</v>
      </c>
      <c r="G5528">
        <v>-452.952</v>
      </c>
      <c r="H5528" s="1">
        <v>-3.1632620000000001E-6</v>
      </c>
      <c r="I5528">
        <v>133.01660000000001</v>
      </c>
      <c r="J5528">
        <v>-378.358</v>
      </c>
      <c r="K5528">
        <v>1.1123369999999999</v>
      </c>
      <c r="L5528">
        <v>141.49019999999999</v>
      </c>
      <c r="M5528">
        <v>-0.99898719999999996</v>
      </c>
      <c r="N5528">
        <v>-1.4425169999999999E-2</v>
      </c>
      <c r="O5528">
        <v>-4.2623710000000002E-2</v>
      </c>
      <c r="P5528">
        <v>-0.96676790000000001</v>
      </c>
      <c r="Q5528">
        <v>0.1957875</v>
      </c>
      <c r="R5528">
        <v>-0.1644004</v>
      </c>
      <c r="S5528">
        <v>-3.0531619999999999</v>
      </c>
      <c r="T5528">
        <v>-4.5313239999999998E-2</v>
      </c>
      <c r="U5528">
        <v>-0.34587099999999998</v>
      </c>
      <c r="V5528">
        <v>-0.12374640000000001</v>
      </c>
      <c r="W5528">
        <v>0.20938490000000001</v>
      </c>
      <c r="X5528">
        <v>0.96997149999999999</v>
      </c>
      <c r="Y5528">
        <v>-7.0088289999999998E-2</v>
      </c>
      <c r="Z5528">
        <v>-1.0090419999999999E-3</v>
      </c>
      <c r="AA5528">
        <v>0.99754030000000005</v>
      </c>
      <c r="AB5528">
        <v>33</v>
      </c>
      <c r="AC5528">
        <v>-74.593999999999994</v>
      </c>
      <c r="AD5528">
        <v>-1.112340163262</v>
      </c>
      <c r="AE5528">
        <v>-8.4735999999999692</v>
      </c>
      <c r="AF5528">
        <v>-5.2849339354057001</v>
      </c>
      <c r="AG5528">
        <v>-1.112340163262</v>
      </c>
      <c r="AH5528">
        <v>74.870971809012602</v>
      </c>
      <c r="AI5528">
        <v>90.849054811593007</v>
      </c>
      <c r="AJ5528">
        <v>94.037652871879899</v>
      </c>
      <c r="AK5528">
        <v>75.065506372543496</v>
      </c>
      <c r="AL5528">
        <v>77.913691242713099</v>
      </c>
      <c r="AM5528">
        <v>97.270369715902902</v>
      </c>
      <c r="AN5528">
        <v>0.99999995933660901</v>
      </c>
    </row>
    <row r="5529" spans="1:40" x14ac:dyDescent="0.25">
      <c r="A5529" t="str">
        <f>"20190304154907790"</f>
        <v>20190304154907790</v>
      </c>
      <c r="B5529" t="str">
        <f>"1551685747782908"</f>
        <v>1551685747782908</v>
      </c>
      <c r="C5529" t="s">
        <v>40</v>
      </c>
      <c r="D5529">
        <v>4.209803</v>
      </c>
      <c r="E5529">
        <v>0.51960139999999999</v>
      </c>
      <c r="F5529" t="s">
        <v>44</v>
      </c>
      <c r="G5529">
        <v>-452.04410000000001</v>
      </c>
      <c r="H5529" s="1">
        <v>-3.5531950000000002E-6</v>
      </c>
      <c r="I5529">
        <v>133.01419999999999</v>
      </c>
      <c r="J5529">
        <v>-378.68619999999999</v>
      </c>
      <c r="K5529">
        <v>1.11246</v>
      </c>
      <c r="L5529">
        <v>141.4744</v>
      </c>
      <c r="M5529">
        <v>-0.99890760000000001</v>
      </c>
      <c r="N5529">
        <v>-1.444262E-2</v>
      </c>
      <c r="O5529">
        <v>-4.4441689999999999E-2</v>
      </c>
      <c r="P5529">
        <v>-0.96652380000000004</v>
      </c>
      <c r="Q5529">
        <v>0.19600699999999999</v>
      </c>
      <c r="R5529">
        <v>-0.1655693</v>
      </c>
      <c r="S5529">
        <v>-3.0527340000000001</v>
      </c>
      <c r="T5529">
        <v>-4.608309E-2</v>
      </c>
      <c r="U5529">
        <v>-0.35115049999999998</v>
      </c>
      <c r="V5529">
        <v>-0.1232183</v>
      </c>
      <c r="W5529">
        <v>0.20958679999999999</v>
      </c>
      <c r="X5529">
        <v>0.9699951</v>
      </c>
      <c r="Y5529">
        <v>-6.9991090000000006E-2</v>
      </c>
      <c r="Z5529">
        <v>-1.005988E-3</v>
      </c>
      <c r="AA5529">
        <v>0.99754710000000002</v>
      </c>
      <c r="AB5529">
        <v>33</v>
      </c>
      <c r="AC5529">
        <v>-73.357900000000001</v>
      </c>
      <c r="AD5529">
        <v>-1.112463553195</v>
      </c>
      <c r="AE5529">
        <v>-8.4602000000000093</v>
      </c>
      <c r="AF5529">
        <v>-5.1901724293676201</v>
      </c>
      <c r="AG5529">
        <v>-1.112463553195</v>
      </c>
      <c r="AH5529">
        <v>73.644716569862396</v>
      </c>
      <c r="AI5529">
        <v>90.863292753565602</v>
      </c>
      <c r="AJ5529">
        <v>94.031302078351004</v>
      </c>
      <c r="AK5529">
        <v>73.8357619562439</v>
      </c>
      <c r="AL5529">
        <v>77.901860427409304</v>
      </c>
      <c r="AM5529">
        <v>97.239498310986605</v>
      </c>
      <c r="AN5529">
        <v>0.99999993510656704</v>
      </c>
    </row>
    <row r="5530" spans="1:40" x14ac:dyDescent="0.25">
      <c r="A5530" t="str">
        <f>"20190304154907813"</f>
        <v>20190304154907813</v>
      </c>
      <c r="B5530" t="str">
        <f>"1551685747802429"</f>
        <v>1551685747802429</v>
      </c>
      <c r="C5530" t="s">
        <v>40</v>
      </c>
      <c r="D5530">
        <v>4.1683760000000003</v>
      </c>
      <c r="E5530">
        <v>0.51974359999999997</v>
      </c>
      <c r="F5530" t="s">
        <v>44</v>
      </c>
      <c r="G5530">
        <v>-452.452</v>
      </c>
      <c r="H5530" s="1">
        <v>-3.3949490000000002E-6</v>
      </c>
      <c r="I5530">
        <v>132.91990000000001</v>
      </c>
      <c r="J5530">
        <v>-379.01569999999998</v>
      </c>
      <c r="K5530">
        <v>1.1125860000000001</v>
      </c>
      <c r="L5530">
        <v>141.45779999999999</v>
      </c>
      <c r="M5530">
        <v>-0.99881690000000001</v>
      </c>
      <c r="N5530">
        <v>-1.445771E-2</v>
      </c>
      <c r="O5530">
        <v>-4.6432639999999997E-2</v>
      </c>
      <c r="P5530">
        <v>-0.96628340000000001</v>
      </c>
      <c r="Q5530">
        <v>0.19535159999999999</v>
      </c>
      <c r="R5530">
        <v>-0.1677341</v>
      </c>
      <c r="S5530">
        <v>-3.0526119999999999</v>
      </c>
      <c r="T5530">
        <v>-4.6036599999999997E-2</v>
      </c>
      <c r="U5530">
        <v>-0.35400389999999998</v>
      </c>
      <c r="V5530">
        <v>-0.1235141</v>
      </c>
      <c r="W5530">
        <v>0.20890890000000001</v>
      </c>
      <c r="X5530">
        <v>0.97010379999999996</v>
      </c>
      <c r="Y5530">
        <v>-6.8927669999999996E-2</v>
      </c>
      <c r="Z5530">
        <v>-9.9051419999999992E-4</v>
      </c>
      <c r="AA5530">
        <v>0.99762119999999999</v>
      </c>
      <c r="AB5530">
        <v>33</v>
      </c>
      <c r="AC5530">
        <v>-73.436300000000003</v>
      </c>
      <c r="AD5530">
        <v>-1.112589394949</v>
      </c>
      <c r="AE5530">
        <v>-8.5378999999999792</v>
      </c>
      <c r="AF5530">
        <v>-5.11733301443528</v>
      </c>
      <c r="AG5530">
        <v>-1.112589394949</v>
      </c>
      <c r="AH5530">
        <v>73.736855963390596</v>
      </c>
      <c r="AI5530">
        <v>90.862376252367497</v>
      </c>
      <c r="AJ5530">
        <v>93.969957971724</v>
      </c>
      <c r="AK5530">
        <v>73.922587073966696</v>
      </c>
      <c r="AL5530">
        <v>77.941581602969706</v>
      </c>
      <c r="AM5530">
        <v>97.255888090842404</v>
      </c>
      <c r="AN5530">
        <v>1.00000002208622</v>
      </c>
    </row>
    <row r="5531" spans="1:40" x14ac:dyDescent="0.25">
      <c r="A5531" t="str">
        <f>"20190304154907834"</f>
        <v>20190304154907834</v>
      </c>
      <c r="B5531" t="str">
        <f>"1551685747822924"</f>
        <v>1551685747822924</v>
      </c>
      <c r="C5531" t="s">
        <v>40</v>
      </c>
      <c r="D5531">
        <v>4.1952550000000004</v>
      </c>
      <c r="E5531">
        <v>0.51978740000000001</v>
      </c>
      <c r="F5531" t="s">
        <v>44</v>
      </c>
      <c r="G5531">
        <v>-450.23559999999998</v>
      </c>
      <c r="H5531" s="1">
        <v>-4.3172199999999996E-6</v>
      </c>
      <c r="I5531">
        <v>133.08070000000001</v>
      </c>
      <c r="J5531">
        <v>-379.3374</v>
      </c>
      <c r="K5531">
        <v>1.112711</v>
      </c>
      <c r="L5531">
        <v>141.44069999999999</v>
      </c>
      <c r="M5531">
        <v>-0.99871659999999995</v>
      </c>
      <c r="N5531">
        <v>-1.447086E-2</v>
      </c>
      <c r="O5531">
        <v>-4.8537289999999997E-2</v>
      </c>
      <c r="P5531">
        <v>-0.96606559999999997</v>
      </c>
      <c r="Q5531">
        <v>0.19437699999999999</v>
      </c>
      <c r="R5531">
        <v>-0.17010320000000001</v>
      </c>
      <c r="S5531">
        <v>-3.0520019999999999</v>
      </c>
      <c r="T5531">
        <v>-4.7678110000000003E-2</v>
      </c>
      <c r="U5531">
        <v>-0.35897829999999997</v>
      </c>
      <c r="V5531">
        <v>-0.1239001</v>
      </c>
      <c r="W5531">
        <v>0.2079104</v>
      </c>
      <c r="X5531">
        <v>0.9702691</v>
      </c>
      <c r="Y5531">
        <v>-6.8451639999999994E-2</v>
      </c>
      <c r="Z5531">
        <v>-9.7573669999999996E-4</v>
      </c>
      <c r="AA5531">
        <v>0.99765400000000004</v>
      </c>
      <c r="AB5531">
        <v>33</v>
      </c>
      <c r="AC5531">
        <v>-70.898199999999903</v>
      </c>
      <c r="AD5531">
        <v>-1.1127153172199999</v>
      </c>
      <c r="AE5531">
        <v>-8.3599999999999799</v>
      </c>
      <c r="AF5531">
        <v>-4.9073857480216097</v>
      </c>
      <c r="AG5531">
        <v>-1.1127153172199999</v>
      </c>
      <c r="AH5531">
        <v>71.203135883857996</v>
      </c>
      <c r="AI5531">
        <v>90.893189003315797</v>
      </c>
      <c r="AJ5531">
        <v>93.9426431762448</v>
      </c>
      <c r="AK5531">
        <v>71.380719595365505</v>
      </c>
      <c r="AL5531">
        <v>78.000076192946906</v>
      </c>
      <c r="AM5531">
        <v>97.277094361419103</v>
      </c>
      <c r="AN5531">
        <v>1.0000000478114801</v>
      </c>
    </row>
    <row r="5532" spans="1:40" x14ac:dyDescent="0.25">
      <c r="A5532" t="str">
        <f>"20190304154907856"</f>
        <v>20190304154907856</v>
      </c>
      <c r="B5532" t="str">
        <f>"1551685747853181"</f>
        <v>1551685747853181</v>
      </c>
      <c r="C5532" t="s">
        <v>40</v>
      </c>
      <c r="D5532">
        <v>4.0393629999999998</v>
      </c>
      <c r="E5532">
        <v>0.51996589999999998</v>
      </c>
      <c r="F5532" t="s">
        <v>44</v>
      </c>
      <c r="G5532">
        <v>-446.0686</v>
      </c>
      <c r="H5532" s="1">
        <v>-1.953567E-6</v>
      </c>
      <c r="I5532">
        <v>133.4418</v>
      </c>
      <c r="J5532">
        <v>-379.66590000000002</v>
      </c>
      <c r="K5532">
        <v>1.112827</v>
      </c>
      <c r="L5532">
        <v>141.42240000000001</v>
      </c>
      <c r="M5532">
        <v>-0.99860320000000002</v>
      </c>
      <c r="N5532">
        <v>-1.448288E-2</v>
      </c>
      <c r="O5532">
        <v>-5.0814159999999997E-2</v>
      </c>
      <c r="P5532">
        <v>-0.96556330000000001</v>
      </c>
      <c r="Q5532">
        <v>0.19472239999999999</v>
      </c>
      <c r="R5532">
        <v>-0.17254259999999999</v>
      </c>
      <c r="S5532">
        <v>-3.0512079999999999</v>
      </c>
      <c r="T5532">
        <v>-5.0877569999999997E-2</v>
      </c>
      <c r="U5532">
        <v>-0.3657379</v>
      </c>
      <c r="V5532">
        <v>-0.1242037</v>
      </c>
      <c r="W5532">
        <v>0.20822940000000001</v>
      </c>
      <c r="X5532">
        <v>0.97016179999999996</v>
      </c>
      <c r="Y5532">
        <v>-6.8385059999999998E-2</v>
      </c>
      <c r="Z5532">
        <v>-9.5596500000000003E-4</v>
      </c>
      <c r="AA5532">
        <v>0.99765859999999995</v>
      </c>
      <c r="AB5532">
        <v>33</v>
      </c>
      <c r="AC5532">
        <v>-66.402699999999896</v>
      </c>
      <c r="AD5532">
        <v>-1.112828953567</v>
      </c>
      <c r="AE5532">
        <v>-7.9806000000000097</v>
      </c>
      <c r="AF5532">
        <v>-4.5944648509903399</v>
      </c>
      <c r="AG5532">
        <v>-1.112828953567</v>
      </c>
      <c r="AH5532">
        <v>66.704000539823895</v>
      </c>
      <c r="AI5532">
        <v>90.953523299878697</v>
      </c>
      <c r="AJ5532">
        <v>93.940218394532906</v>
      </c>
      <c r="AK5532">
        <v>66.871303139416298</v>
      </c>
      <c r="AL5532">
        <v>77.981389045128793</v>
      </c>
      <c r="AM5532">
        <v>97.295532137213797</v>
      </c>
      <c r="AN5532">
        <v>0.999999980148644</v>
      </c>
    </row>
    <row r="5533" spans="1:40" x14ac:dyDescent="0.25">
      <c r="A5533" t="str">
        <f>"20190304154907879"</f>
        <v>20190304154907879</v>
      </c>
      <c r="B5533" t="str">
        <f>"1551685747872701"</f>
        <v>1551685747872701</v>
      </c>
      <c r="C5533" t="s">
        <v>40</v>
      </c>
      <c r="D5533">
        <v>4.1578580000000001</v>
      </c>
      <c r="E5533">
        <v>0.51995639999999999</v>
      </c>
      <c r="F5533" t="s">
        <v>44</v>
      </c>
      <c r="G5533">
        <v>-448.76679999999999</v>
      </c>
      <c r="H5533" s="1">
        <v>-1.1543469999999999E-6</v>
      </c>
      <c r="I5533">
        <v>132.99449999999999</v>
      </c>
      <c r="J5533">
        <v>-380.00670000000002</v>
      </c>
      <c r="K5533">
        <v>1.112946</v>
      </c>
      <c r="L5533">
        <v>141.4025</v>
      </c>
      <c r="M5533">
        <v>-0.99847319999999995</v>
      </c>
      <c r="N5533">
        <v>-1.449341E-2</v>
      </c>
      <c r="O5533">
        <v>-5.3304869999999997E-2</v>
      </c>
      <c r="P5533">
        <v>-0.96489910000000001</v>
      </c>
      <c r="Q5533">
        <v>0.1954031</v>
      </c>
      <c r="R5533">
        <v>-0.1754628</v>
      </c>
      <c r="S5533">
        <v>-3.0504150000000001</v>
      </c>
      <c r="T5533">
        <v>-4.9125080000000002E-2</v>
      </c>
      <c r="U5533">
        <v>-0.37203979999999998</v>
      </c>
      <c r="V5533">
        <v>-0.12478690000000001</v>
      </c>
      <c r="W5533">
        <v>0.20888129999999999</v>
      </c>
      <c r="X5533">
        <v>0.9699468</v>
      </c>
      <c r="Y5533">
        <v>-6.7959519999999995E-2</v>
      </c>
      <c r="Z5533">
        <v>-9.5598820000000002E-4</v>
      </c>
      <c r="AA5533">
        <v>0.99768760000000001</v>
      </c>
      <c r="AB5533">
        <v>33</v>
      </c>
      <c r="AC5533">
        <v>-68.760099999999895</v>
      </c>
      <c r="AD5533">
        <v>-1.112947154347</v>
      </c>
      <c r="AE5533">
        <v>-8.4080000000000101</v>
      </c>
      <c r="AF5533">
        <v>-4.7291901381891099</v>
      </c>
      <c r="AG5533">
        <v>-1.112947154347</v>
      </c>
      <c r="AH5533">
        <v>69.092721995601394</v>
      </c>
      <c r="AI5533">
        <v>90.920688106631005</v>
      </c>
      <c r="AJ5533">
        <v>93.915617455080707</v>
      </c>
      <c r="AK5533">
        <v>69.263324519495697</v>
      </c>
      <c r="AL5533">
        <v>77.943198143128001</v>
      </c>
      <c r="AM5533">
        <v>97.331023736806799</v>
      </c>
      <c r="AN5533">
        <v>0.99999998136576895</v>
      </c>
    </row>
    <row r="5534" spans="1:40" x14ac:dyDescent="0.25">
      <c r="A5534" t="str">
        <f>"20190304154907901"</f>
        <v>20190304154907901</v>
      </c>
      <c r="B5534" t="str">
        <f>"1551685747893197"</f>
        <v>1551685747893197</v>
      </c>
      <c r="C5534" t="s">
        <v>40</v>
      </c>
      <c r="D5534">
        <v>4.1486489999999998</v>
      </c>
      <c r="E5534">
        <v>0.51994039999999997</v>
      </c>
      <c r="F5534" t="s">
        <v>44</v>
      </c>
      <c r="G5534">
        <v>-453.49099999999999</v>
      </c>
      <c r="H5534" s="1">
        <v>-3.1575350000000002E-6</v>
      </c>
      <c r="I5534">
        <v>132.21350000000001</v>
      </c>
      <c r="J5534">
        <v>-380.33260000000001</v>
      </c>
      <c r="K5534">
        <v>1.1130469999999999</v>
      </c>
      <c r="L5534">
        <v>141.3826</v>
      </c>
      <c r="M5534">
        <v>-0.99833640000000001</v>
      </c>
      <c r="N5534">
        <v>-1.4502009999999999E-2</v>
      </c>
      <c r="O5534">
        <v>-5.5805970000000003E-2</v>
      </c>
      <c r="P5534">
        <v>-0.96429069999999995</v>
      </c>
      <c r="Q5534">
        <v>0.19598979999999999</v>
      </c>
      <c r="R5534">
        <v>-0.1781336</v>
      </c>
      <c r="S5534">
        <v>-3.0491640000000002</v>
      </c>
      <c r="T5534">
        <v>-4.6180840000000001E-2</v>
      </c>
      <c r="U5534">
        <v>-0.38128659999999998</v>
      </c>
      <c r="V5534">
        <v>-0.12510309999999999</v>
      </c>
      <c r="W5534">
        <v>0.20944280000000001</v>
      </c>
      <c r="X5534">
        <v>0.96978500000000001</v>
      </c>
      <c r="Y5534">
        <v>-6.8490809999999999E-2</v>
      </c>
      <c r="Z5534">
        <v>-9.8165740000000007E-4</v>
      </c>
      <c r="AA5534">
        <v>0.99765130000000002</v>
      </c>
      <c r="AB5534">
        <v>33</v>
      </c>
      <c r="AC5534">
        <v>-73.158399999999901</v>
      </c>
      <c r="AD5534">
        <v>-1.11305015753499</v>
      </c>
      <c r="AE5534">
        <v>-9.1690999999999807</v>
      </c>
      <c r="AF5534">
        <v>-5.0705481408745801</v>
      </c>
      <c r="AG5534">
        <v>-1.11305015753499</v>
      </c>
      <c r="AH5534">
        <v>73.539353494277606</v>
      </c>
      <c r="AI5534">
        <v>90.865076789001904</v>
      </c>
      <c r="AJ5534">
        <v>93.9443088994866</v>
      </c>
      <c r="AK5534">
        <v>73.722356524045296</v>
      </c>
      <c r="AL5534">
        <v>77.910299203527998</v>
      </c>
      <c r="AM5534">
        <v>97.350609894729601</v>
      </c>
      <c r="AN5534">
        <v>1.00000000916322</v>
      </c>
    </row>
    <row r="5535" spans="1:40" x14ac:dyDescent="0.25">
      <c r="A5535" t="str">
        <f>"20190304154907923"</f>
        <v>20190304154907923</v>
      </c>
      <c r="B5535" t="str">
        <f>"1551685747912716"</f>
        <v>1551685747912716</v>
      </c>
      <c r="C5535" t="s">
        <v>40</v>
      </c>
      <c r="D5535">
        <v>4.1339259999999998</v>
      </c>
      <c r="E5535">
        <v>0.52000679999999999</v>
      </c>
      <c r="F5535" t="s">
        <v>44</v>
      </c>
      <c r="G5535">
        <v>-458.47059999999999</v>
      </c>
      <c r="H5535" s="1">
        <v>-1.68307E-6</v>
      </c>
      <c r="I5535">
        <v>131.3862</v>
      </c>
      <c r="J5535">
        <v>-380.65019999999998</v>
      </c>
      <c r="K5535">
        <v>1.1131450000000001</v>
      </c>
      <c r="L5535">
        <v>141.3623</v>
      </c>
      <c r="M5535">
        <v>-0.99819080000000004</v>
      </c>
      <c r="N5535">
        <v>-1.45095E-2</v>
      </c>
      <c r="O5535">
        <v>-5.8350480000000003E-2</v>
      </c>
      <c r="P5535">
        <v>-0.96400149999999996</v>
      </c>
      <c r="Q5535">
        <v>0.19426779999999999</v>
      </c>
      <c r="R5535">
        <v>-0.18155379999999999</v>
      </c>
      <c r="S5535">
        <v>-3.0479129999999999</v>
      </c>
      <c r="T5535">
        <v>-4.3416499999999997E-2</v>
      </c>
      <c r="U5535">
        <v>-0.38992310000000002</v>
      </c>
      <c r="V5535">
        <v>-0.12609400000000001</v>
      </c>
      <c r="W5535">
        <v>0.2076972</v>
      </c>
      <c r="X5535">
        <v>0.97003200000000001</v>
      </c>
      <c r="Y5535">
        <v>-6.8781910000000002E-2</v>
      </c>
      <c r="Z5535">
        <v>-1.006722E-3</v>
      </c>
      <c r="AA5535">
        <v>0.99763120000000005</v>
      </c>
      <c r="AB5535">
        <v>33</v>
      </c>
      <c r="AC5535">
        <v>-77.820400000000006</v>
      </c>
      <c r="AD5535">
        <v>-1.1131466830700001</v>
      </c>
      <c r="AE5535">
        <v>-9.9761000000000006</v>
      </c>
      <c r="AF5535">
        <v>-5.4166730207916496</v>
      </c>
      <c r="AG5535">
        <v>-1.1131466830700001</v>
      </c>
      <c r="AH5535">
        <v>78.254197572783696</v>
      </c>
      <c r="AI5535">
        <v>90.813018282065698</v>
      </c>
      <c r="AJ5535">
        <v>93.959637599734293</v>
      </c>
      <c r="AK5535">
        <v>78.449339576012093</v>
      </c>
      <c r="AL5535">
        <v>78.012563099441806</v>
      </c>
      <c r="AM5535">
        <v>97.406321991809506</v>
      </c>
      <c r="AN5535">
        <v>0.99999995237391803</v>
      </c>
    </row>
    <row r="5536" spans="1:40" x14ac:dyDescent="0.25">
      <c r="A5536" t="str">
        <f>"20190304154907945"</f>
        <v>20190304154907945</v>
      </c>
      <c r="B5536" t="str">
        <f>"1551685747942973"</f>
        <v>1551685747942973</v>
      </c>
      <c r="C5536" t="s">
        <v>40</v>
      </c>
      <c r="D5536">
        <v>4.3271059999999997</v>
      </c>
      <c r="E5536">
        <v>0.51858909999999903</v>
      </c>
      <c r="F5536" t="s">
        <v>44</v>
      </c>
      <c r="G5536">
        <v>-450.80770000000001</v>
      </c>
      <c r="H5536" s="1">
        <v>-4.2376559999999997E-6</v>
      </c>
      <c r="I5536">
        <v>132.1456</v>
      </c>
      <c r="J5536">
        <v>-380.98079999999999</v>
      </c>
      <c r="K5536">
        <v>1.113243</v>
      </c>
      <c r="L5536">
        <v>141.34020000000001</v>
      </c>
      <c r="M5536">
        <v>-0.99802590000000002</v>
      </c>
      <c r="N5536">
        <v>-1.451649E-2</v>
      </c>
      <c r="O5536">
        <v>-6.1104890000000002E-2</v>
      </c>
      <c r="P5536">
        <v>-0.96368410000000004</v>
      </c>
      <c r="Q5536">
        <v>0.19326409999999999</v>
      </c>
      <c r="R5536">
        <v>-0.1842887</v>
      </c>
      <c r="S5536">
        <v>-3.0464169999999999</v>
      </c>
      <c r="T5536">
        <v>-4.8335789999999997E-2</v>
      </c>
      <c r="U5536">
        <v>-0.40020749999999999</v>
      </c>
      <c r="V5536">
        <v>-0.12620149999999999</v>
      </c>
      <c r="W5536">
        <v>0.20667279999999999</v>
      </c>
      <c r="X5536">
        <v>0.97023680000000001</v>
      </c>
      <c r="Y5536">
        <v>-6.9400100000000006E-2</v>
      </c>
      <c r="Z5536">
        <v>-9.748278E-4</v>
      </c>
      <c r="AA5536">
        <v>0.99758849999999999</v>
      </c>
      <c r="AB5536">
        <v>33</v>
      </c>
      <c r="AC5536">
        <v>-69.826899999999995</v>
      </c>
      <c r="AD5536">
        <v>-1.1132472376559901</v>
      </c>
      <c r="AE5536">
        <v>-9.1945999999999994</v>
      </c>
      <c r="AF5536">
        <v>-4.9089742242704402</v>
      </c>
      <c r="AG5536">
        <v>-1.1132472376559901</v>
      </c>
      <c r="AH5536">
        <v>70.240735293831804</v>
      </c>
      <c r="AI5536">
        <v>90.905797240397604</v>
      </c>
      <c r="AJ5536">
        <v>93.997778706308694</v>
      </c>
      <c r="AK5536">
        <v>70.4208651037805</v>
      </c>
      <c r="AL5536">
        <v>78.072558749127793</v>
      </c>
      <c r="AM5536">
        <v>97.411018708441205</v>
      </c>
      <c r="AN5536">
        <v>0.99999995646816398</v>
      </c>
    </row>
    <row r="5537" spans="1:40" x14ac:dyDescent="0.25">
      <c r="A5537" t="str">
        <f>"20190304154907969"</f>
        <v>20190304154907969</v>
      </c>
      <c r="B5537" t="str">
        <f>"1551685747962492"</f>
        <v>1551685747962492</v>
      </c>
      <c r="C5537" t="s">
        <v>40</v>
      </c>
      <c r="D5537">
        <v>4.1360669999999997</v>
      </c>
      <c r="E5537">
        <v>0.44820979999999999</v>
      </c>
      <c r="F5537" t="s">
        <v>44</v>
      </c>
      <c r="G5537">
        <v>-445.28280000000001</v>
      </c>
      <c r="H5537" s="1">
        <v>-2.4848229999999999E-6</v>
      </c>
      <c r="I5537">
        <v>132.45009999999999</v>
      </c>
      <c r="J5537">
        <v>-381.31779999999998</v>
      </c>
      <c r="K5537">
        <v>1.113335</v>
      </c>
      <c r="L5537">
        <v>141.3167</v>
      </c>
      <c r="M5537">
        <v>-0.99784309999999998</v>
      </c>
      <c r="N5537">
        <v>-1.452268E-2</v>
      </c>
      <c r="O5537">
        <v>-6.4016660000000003E-2</v>
      </c>
      <c r="P5537">
        <v>-0.96335009999999999</v>
      </c>
      <c r="Q5537">
        <v>0.19189880000000001</v>
      </c>
      <c r="R5537">
        <v>-0.18743360000000001</v>
      </c>
      <c r="S5537">
        <v>-3.0431819999999998</v>
      </c>
      <c r="T5537">
        <v>-5.268598E-2</v>
      </c>
      <c r="U5537">
        <v>-0.42073060000000001</v>
      </c>
      <c r="V5537">
        <v>-0.1265627</v>
      </c>
      <c r="W5537">
        <v>0.2052851</v>
      </c>
      <c r="X5537">
        <v>0.97048440000000002</v>
      </c>
      <c r="Y5537">
        <v>-7.3230009999999998E-2</v>
      </c>
      <c r="Z5537">
        <v>-9.9086269999999993E-4</v>
      </c>
      <c r="AA5537">
        <v>0.99731460000000005</v>
      </c>
      <c r="AB5537">
        <v>33</v>
      </c>
      <c r="AC5537">
        <v>-63.965000000000003</v>
      </c>
      <c r="AD5537">
        <v>-1.113337484823</v>
      </c>
      <c r="AE5537">
        <v>-8.8666</v>
      </c>
      <c r="AF5537">
        <v>-4.7517390992808597</v>
      </c>
      <c r="AG5537">
        <v>-1.113337484823</v>
      </c>
      <c r="AH5537">
        <v>64.382302383800905</v>
      </c>
      <c r="AI5537">
        <v>90.988007586857904</v>
      </c>
      <c r="AJ5537">
        <v>94.221064712528801</v>
      </c>
      <c r="AK5537">
        <v>64.567014837778601</v>
      </c>
      <c r="AL5537">
        <v>78.153811323894303</v>
      </c>
      <c r="AM5537">
        <v>97.430117979845804</v>
      </c>
      <c r="AN5537">
        <v>1.00000002997832</v>
      </c>
    </row>
    <row r="5538" spans="1:40" x14ac:dyDescent="0.25">
      <c r="A5538" t="str">
        <f>"20190304154907991"</f>
        <v>20190304154907991</v>
      </c>
      <c r="B5538" t="str">
        <f>"1551685747982988"</f>
        <v>1551685747982988</v>
      </c>
      <c r="C5538" t="s">
        <v>40</v>
      </c>
      <c r="D5538">
        <v>4.1433879999999998</v>
      </c>
      <c r="E5538">
        <v>0.44312099999999999</v>
      </c>
      <c r="F5538" t="s">
        <v>79</v>
      </c>
      <c r="G5538">
        <v>-417.40960000000001</v>
      </c>
      <c r="H5538" s="1">
        <v>-5.6896879999999996E-6</v>
      </c>
      <c r="I5538">
        <v>129.2552</v>
      </c>
      <c r="J5538">
        <v>-381.64690000000002</v>
      </c>
      <c r="K5538">
        <v>1.1134269999999999</v>
      </c>
      <c r="L5538">
        <v>141.29259999999999</v>
      </c>
      <c r="M5538">
        <v>-0.99764980000000003</v>
      </c>
      <c r="N5538">
        <v>-1.452785E-2</v>
      </c>
      <c r="O5538">
        <v>-6.6961820000000005E-2</v>
      </c>
      <c r="P5538">
        <v>-0.96298329999999999</v>
      </c>
      <c r="Q5538">
        <v>0.189946</v>
      </c>
      <c r="R5538">
        <v>-0.19126850000000001</v>
      </c>
      <c r="S5538">
        <v>-2.9409480000000001</v>
      </c>
      <c r="T5538">
        <v>-9.072065E-2</v>
      </c>
      <c r="U5538">
        <v>-0.98283390000000004</v>
      </c>
      <c r="V5538">
        <v>-0.1275743</v>
      </c>
      <c r="W5538">
        <v>0.2033074</v>
      </c>
      <c r="X5538">
        <v>0.97076819999999997</v>
      </c>
      <c r="Y5538">
        <v>-0.25257550000000001</v>
      </c>
      <c r="Z5538">
        <v>-4.6220260000000004E-3</v>
      </c>
      <c r="AA5538">
        <v>0.96756609999999998</v>
      </c>
      <c r="AB5538">
        <v>33</v>
      </c>
      <c r="AC5538">
        <v>-35.762699999999903</v>
      </c>
      <c r="AD5538">
        <v>-1.113432689688</v>
      </c>
      <c r="AE5538">
        <v>-12.0373999999999</v>
      </c>
      <c r="AF5538">
        <v>-9.6070240305719992</v>
      </c>
      <c r="AG5538">
        <v>-1.113432689688</v>
      </c>
      <c r="AH5538">
        <v>36.456804153488299</v>
      </c>
      <c r="AI5538">
        <v>91.691621612913096</v>
      </c>
      <c r="AJ5538">
        <v>104.762857208021</v>
      </c>
      <c r="AK5538">
        <v>37.717810277960901</v>
      </c>
      <c r="AL5538">
        <v>78.269566224676097</v>
      </c>
      <c r="AM5538">
        <v>97.486670054788107</v>
      </c>
      <c r="AN5538">
        <v>0.99999999952324503</v>
      </c>
    </row>
    <row r="5539" spans="1:40" x14ac:dyDescent="0.25">
      <c r="A5539" t="str">
        <f>"20190304154908014"</f>
        <v>20190304154908014</v>
      </c>
      <c r="B5539" t="str">
        <f>"1551685748002509"</f>
        <v>1551685748002509</v>
      </c>
      <c r="C5539" t="s">
        <v>40</v>
      </c>
      <c r="D5539">
        <v>4.150023</v>
      </c>
      <c r="E5539">
        <v>0.44206279999999998</v>
      </c>
      <c r="F5539" t="s">
        <v>79</v>
      </c>
      <c r="G5539">
        <v>-416.8331</v>
      </c>
      <c r="H5539" s="1">
        <v>-5.5260540000000003E-6</v>
      </c>
      <c r="I5539">
        <v>128.86840000000001</v>
      </c>
      <c r="J5539">
        <v>-381.97050000000002</v>
      </c>
      <c r="K5539">
        <v>1.1135200000000001</v>
      </c>
      <c r="L5539">
        <v>141.2679</v>
      </c>
      <c r="M5539">
        <v>-0.99744379999999999</v>
      </c>
      <c r="N5539">
        <v>-1.453223E-2</v>
      </c>
      <c r="O5539">
        <v>-6.9963600000000001E-2</v>
      </c>
      <c r="P5539">
        <v>-0.96217779999999997</v>
      </c>
      <c r="Q5539">
        <v>0.19002069999999999</v>
      </c>
      <c r="R5539">
        <v>-0.1952084</v>
      </c>
      <c r="S5539">
        <v>-2.9282530000000002</v>
      </c>
      <c r="T5539">
        <v>-9.2661499999999994E-2</v>
      </c>
      <c r="U5539">
        <v>-1.0339659999999999</v>
      </c>
      <c r="V5539">
        <v>-0.1286738</v>
      </c>
      <c r="W5539">
        <v>0.2033508</v>
      </c>
      <c r="X5539">
        <v>0.97061399999999998</v>
      </c>
      <c r="Y5539">
        <v>-0.26598949999999999</v>
      </c>
      <c r="Z5539">
        <v>-4.9240509999999996E-3</v>
      </c>
      <c r="AA5539">
        <v>0.96396329999999997</v>
      </c>
      <c r="AB5539">
        <v>33</v>
      </c>
      <c r="AC5539">
        <v>-34.862599999999901</v>
      </c>
      <c r="AD5539">
        <v>-1.113525526054</v>
      </c>
      <c r="AE5539">
        <v>-12.3994999999999</v>
      </c>
      <c r="AF5539">
        <v>-9.9207543312359405</v>
      </c>
      <c r="AG5539">
        <v>-1.113525526054</v>
      </c>
      <c r="AH5539">
        <v>35.612506216526299</v>
      </c>
      <c r="AI5539">
        <v>91.725279164486807</v>
      </c>
      <c r="AJ5539">
        <v>105.56650833154301</v>
      </c>
      <c r="AK5539">
        <v>36.985293085495996</v>
      </c>
      <c r="AL5539">
        <v>78.2670267289366</v>
      </c>
      <c r="AM5539">
        <v>97.5516383561243</v>
      </c>
      <c r="AN5539">
        <v>1.0000000158315301</v>
      </c>
    </row>
    <row r="5540" spans="1:40" x14ac:dyDescent="0.25">
      <c r="A5540" t="str">
        <f>"20190304154908036"</f>
        <v>20190304154908036</v>
      </c>
      <c r="B5540" t="str">
        <f>"1551685748032765"</f>
        <v>1551685748032765</v>
      </c>
      <c r="C5540" t="s">
        <v>40</v>
      </c>
      <c r="D5540">
        <v>4.1278550000000003</v>
      </c>
      <c r="E5540">
        <v>0.4413569</v>
      </c>
      <c r="F5540" t="s">
        <v>79</v>
      </c>
      <c r="G5540">
        <v>-416.6891</v>
      </c>
      <c r="H5540" s="1">
        <v>-5.4707120000000003E-6</v>
      </c>
      <c r="I5540">
        <v>128.7433</v>
      </c>
      <c r="J5540">
        <v>-382.28820000000002</v>
      </c>
      <c r="K5540">
        <v>1.113604</v>
      </c>
      <c r="L5540">
        <v>141.24250000000001</v>
      </c>
      <c r="M5540">
        <v>-0.99722599999999995</v>
      </c>
      <c r="N5540">
        <v>-1.453633E-2</v>
      </c>
      <c r="O5540">
        <v>-7.3000300000000004E-2</v>
      </c>
      <c r="P5540">
        <v>-0.96106959999999997</v>
      </c>
      <c r="Q5540">
        <v>0.19140450000000001</v>
      </c>
      <c r="R5540">
        <v>-0.19927239999999999</v>
      </c>
      <c r="S5540">
        <v>-2.9225460000000001</v>
      </c>
      <c r="T5540">
        <v>-9.3734499999999998E-2</v>
      </c>
      <c r="U5540">
        <v>-1.0542910000000001</v>
      </c>
      <c r="V5540">
        <v>-0.1298916</v>
      </c>
      <c r="W5540">
        <v>0.2046994</v>
      </c>
      <c r="X5540">
        <v>0.97016820000000004</v>
      </c>
      <c r="Y5540">
        <v>-0.26958330000000003</v>
      </c>
      <c r="Z5540">
        <v>-4.9823999999999997E-3</v>
      </c>
      <c r="AA5540">
        <v>0.96296420000000005</v>
      </c>
      <c r="AB5540">
        <v>33</v>
      </c>
      <c r="AC5540">
        <v>-34.400899999999901</v>
      </c>
      <c r="AD5540">
        <v>-1.1136094707119999</v>
      </c>
      <c r="AE5540">
        <v>-12.4992</v>
      </c>
      <c r="AF5540">
        <v>-9.9450964810114595</v>
      </c>
      <c r="AG5540">
        <v>-1.1136094707119999</v>
      </c>
      <c r="AH5540">
        <v>35.189063145578601</v>
      </c>
      <c r="AI5540">
        <v>91.744324183946802</v>
      </c>
      <c r="AJ5540">
        <v>105.78129799289501</v>
      </c>
      <c r="AK5540">
        <v>36.584357793097901</v>
      </c>
      <c r="AL5540">
        <v>78.188097269343103</v>
      </c>
      <c r="AM5540">
        <v>97.625733767749793</v>
      </c>
      <c r="AN5540">
        <v>1.0000000042010799</v>
      </c>
    </row>
    <row r="5541" spans="1:40" x14ac:dyDescent="0.25">
      <c r="A5541" t="str">
        <f>"20190304154908058"</f>
        <v>20190304154908058</v>
      </c>
      <c r="B5541" t="str">
        <f>"1551685748052284"</f>
        <v>1551685748052284</v>
      </c>
      <c r="C5541" t="s">
        <v>40</v>
      </c>
      <c r="D5541">
        <v>4.1429650000000002</v>
      </c>
      <c r="E5541">
        <v>0.44124989999999997</v>
      </c>
      <c r="F5541" t="s">
        <v>79</v>
      </c>
      <c r="G5541">
        <v>-419.56459999999998</v>
      </c>
      <c r="H5541" s="1">
        <v>-4.6881460000000001E-6</v>
      </c>
      <c r="I5541">
        <v>127.535</v>
      </c>
      <c r="J5541">
        <v>-382.61880000000002</v>
      </c>
      <c r="K5541">
        <v>1.1136820000000001</v>
      </c>
      <c r="L5541">
        <v>141.2149</v>
      </c>
      <c r="M5541">
        <v>-0.99698359999999997</v>
      </c>
      <c r="N5541">
        <v>-1.454006E-2</v>
      </c>
      <c r="O5541">
        <v>-7.6238760000000003E-2</v>
      </c>
      <c r="P5541">
        <v>-0.960059</v>
      </c>
      <c r="Q5541">
        <v>0.19240589999999999</v>
      </c>
      <c r="R5541">
        <v>-0.20314289999999999</v>
      </c>
      <c r="S5541">
        <v>-2.916534</v>
      </c>
      <c r="T5541">
        <v>-8.7129590000000007E-2</v>
      </c>
      <c r="U5541">
        <v>-1.072479</v>
      </c>
      <c r="V5541">
        <v>-0.13070999999999999</v>
      </c>
      <c r="W5541">
        <v>0.20567150000000001</v>
      </c>
      <c r="X5541">
        <v>0.96985259999999995</v>
      </c>
      <c r="Y5541">
        <v>-0.27240579999999998</v>
      </c>
      <c r="Z5541">
        <v>-4.8652019999999999E-3</v>
      </c>
      <c r="AA5541">
        <v>0.96217010000000003</v>
      </c>
      <c r="AB5541">
        <v>33</v>
      </c>
      <c r="AC5541">
        <v>-36.945799999999899</v>
      </c>
      <c r="AD5541">
        <v>-1.1136866881459999</v>
      </c>
      <c r="AE5541">
        <v>-13.6799</v>
      </c>
      <c r="AF5541">
        <v>-10.8144360320026</v>
      </c>
      <c r="AG5541">
        <v>-1.1136866881459999</v>
      </c>
      <c r="AH5541">
        <v>37.851052152583001</v>
      </c>
      <c r="AI5541">
        <v>91.620512704556006</v>
      </c>
      <c r="AJ5541">
        <v>105.945185563503</v>
      </c>
      <c r="AK5541">
        <v>39.381397560106798</v>
      </c>
      <c r="AL5541">
        <v>78.131188775944594</v>
      </c>
      <c r="AM5541">
        <v>97.675677260584294</v>
      </c>
      <c r="AN5541">
        <v>0.99999996786950396</v>
      </c>
    </row>
    <row r="5542" spans="1:40" x14ac:dyDescent="0.25">
      <c r="A5542" t="str">
        <f>"20190304154908080"</f>
        <v>20190304154908080</v>
      </c>
      <c r="B5542" t="str">
        <f>"1551685748072780"</f>
        <v>1551685748072780</v>
      </c>
      <c r="C5542" t="s">
        <v>40</v>
      </c>
      <c r="D5542">
        <v>4.1736240000000002</v>
      </c>
      <c r="E5542">
        <v>0.44121199999999999</v>
      </c>
      <c r="F5542" t="s">
        <v>79</v>
      </c>
      <c r="G5542">
        <v>-421.60520000000002</v>
      </c>
      <c r="H5542" s="1">
        <v>-4.5913639999999996E-6</v>
      </c>
      <c r="I5542">
        <v>126.673</v>
      </c>
      <c r="J5542">
        <v>-382.94959999999998</v>
      </c>
      <c r="K5542">
        <v>1.11375</v>
      </c>
      <c r="L5542">
        <v>141.18620000000001</v>
      </c>
      <c r="M5542">
        <v>-0.99672439999999995</v>
      </c>
      <c r="N5542">
        <v>-1.454302E-2</v>
      </c>
      <c r="O5542">
        <v>-7.9554379999999994E-2</v>
      </c>
      <c r="P5542">
        <v>-0.95917680000000005</v>
      </c>
      <c r="Q5542">
        <v>0.19240260000000001</v>
      </c>
      <c r="R5542">
        <v>-0.20727029999999999</v>
      </c>
      <c r="S5542">
        <v>-2.9116819999999999</v>
      </c>
      <c r="T5542">
        <v>-8.3175180000000001E-2</v>
      </c>
      <c r="U5542">
        <v>-1.08606</v>
      </c>
      <c r="V5542">
        <v>-0.13169110000000001</v>
      </c>
      <c r="W5542">
        <v>0.20564209999999999</v>
      </c>
      <c r="X5542">
        <v>0.96972610000000004</v>
      </c>
      <c r="Y5542">
        <v>-0.27368029999999999</v>
      </c>
      <c r="Z5542">
        <v>-4.7724339999999999E-3</v>
      </c>
      <c r="AA5542">
        <v>0.96180889999999997</v>
      </c>
      <c r="AB5542">
        <v>33</v>
      </c>
      <c r="AC5542">
        <v>-38.6556</v>
      </c>
      <c r="AD5542">
        <v>-1.1137545913639999</v>
      </c>
      <c r="AE5542">
        <v>-14.513199999999999</v>
      </c>
      <c r="AF5542">
        <v>-11.3833610554838</v>
      </c>
      <c r="AG5542">
        <v>-1.1137545913639999</v>
      </c>
      <c r="AH5542">
        <v>39.658911773639602</v>
      </c>
      <c r="AI5542">
        <v>91.546231746959407</v>
      </c>
      <c r="AJ5542">
        <v>106.01515200572101</v>
      </c>
      <c r="AK5542">
        <v>41.2753030428442</v>
      </c>
      <c r="AL5542">
        <v>78.132910020119496</v>
      </c>
      <c r="AM5542">
        <v>97.733592369188202</v>
      </c>
      <c r="AN5542">
        <v>0.999999964066414</v>
      </c>
    </row>
    <row r="5543" spans="1:40" x14ac:dyDescent="0.25">
      <c r="A5543" t="str">
        <f>"20190304154908103"</f>
        <v>20190304154908103</v>
      </c>
      <c r="B5543" t="str">
        <f>"1551685748092301"</f>
        <v>1551685748092301</v>
      </c>
      <c r="C5543" t="s">
        <v>40</v>
      </c>
      <c r="D5543">
        <v>4.1413029999999997</v>
      </c>
      <c r="E5543">
        <v>0.44128469999999997</v>
      </c>
      <c r="F5543" t="s">
        <v>79</v>
      </c>
      <c r="G5543">
        <v>-421.87819999999999</v>
      </c>
      <c r="H5543" s="1">
        <v>-4.5519439999999999E-6</v>
      </c>
      <c r="I5543">
        <v>126.4768</v>
      </c>
      <c r="J5543">
        <v>-383.26650000000001</v>
      </c>
      <c r="K5543">
        <v>1.113809</v>
      </c>
      <c r="L5543">
        <v>141.15770000000001</v>
      </c>
      <c r="M5543">
        <v>-0.99646020000000002</v>
      </c>
      <c r="N5543">
        <v>-1.4545290000000001E-2</v>
      </c>
      <c r="O5543">
        <v>-8.2798650000000001E-2</v>
      </c>
      <c r="P5543">
        <v>-0.95817640000000004</v>
      </c>
      <c r="Q5543">
        <v>0.1926571</v>
      </c>
      <c r="R5543">
        <v>-0.21161669999999999</v>
      </c>
      <c r="S5543">
        <v>-2.9070130000000001</v>
      </c>
      <c r="T5543">
        <v>-8.3170179999999996E-2</v>
      </c>
      <c r="U5543">
        <v>-1.0984339999999999</v>
      </c>
      <c r="V5543">
        <v>-0.13296910000000001</v>
      </c>
      <c r="W5543">
        <v>0.20586840000000001</v>
      </c>
      <c r="X5543">
        <v>0.96950369999999997</v>
      </c>
      <c r="Y5543">
        <v>-0.27464240000000001</v>
      </c>
      <c r="Z5543">
        <v>-4.7526929999999997E-3</v>
      </c>
      <c r="AA5543">
        <v>0.96153469999999996</v>
      </c>
      <c r="AB5543">
        <v>33</v>
      </c>
      <c r="AC5543">
        <v>-38.6116999999999</v>
      </c>
      <c r="AD5543">
        <v>-1.113813551944</v>
      </c>
      <c r="AE5543">
        <v>-14.680899999999999</v>
      </c>
      <c r="AF5543">
        <v>-11.424838686397599</v>
      </c>
      <c r="AG5543">
        <v>-1.113813551944</v>
      </c>
      <c r="AH5543">
        <v>39.665940107247202</v>
      </c>
      <c r="AI5543">
        <v>91.545631501270904</v>
      </c>
      <c r="AJ5543">
        <v>106.067798288048</v>
      </c>
      <c r="AK5543">
        <v>41.293514311940299</v>
      </c>
      <c r="AL5543">
        <v>78.119660948078405</v>
      </c>
      <c r="AM5543">
        <v>97.809490889382303</v>
      </c>
      <c r="AN5543">
        <v>1.00000000199353</v>
      </c>
    </row>
    <row r="5544" spans="1:40" x14ac:dyDescent="0.25">
      <c r="A5544" t="str">
        <f>"20190304154908124"</f>
        <v>20190304154908124</v>
      </c>
      <c r="B5544" t="str">
        <f>"1551685748112796"</f>
        <v>1551685748112796</v>
      </c>
      <c r="C5544" t="s">
        <v>40</v>
      </c>
      <c r="D5544">
        <v>4.1635</v>
      </c>
      <c r="E5544">
        <v>0.44141330000000001</v>
      </c>
      <c r="F5544" t="s">
        <v>79</v>
      </c>
      <c r="G5544">
        <v>-422.30029999999999</v>
      </c>
      <c r="H5544" s="1">
        <v>-4.5143670000000001E-6</v>
      </c>
      <c r="I5544">
        <v>126.21939999999999</v>
      </c>
      <c r="J5544">
        <v>-383.57810000000001</v>
      </c>
      <c r="K5544">
        <v>1.113864</v>
      </c>
      <c r="L5544">
        <v>141.1285</v>
      </c>
      <c r="M5544">
        <v>-0.99618450000000003</v>
      </c>
      <c r="N5544">
        <v>-1.4547340000000001E-2</v>
      </c>
      <c r="O5544">
        <v>-8.6050840000000003E-2</v>
      </c>
      <c r="P5544">
        <v>-0.95727609999999996</v>
      </c>
      <c r="Q5544">
        <v>0.19276940000000001</v>
      </c>
      <c r="R5544">
        <v>-0.2155511</v>
      </c>
      <c r="S5544">
        <v>-2.9023129999999999</v>
      </c>
      <c r="T5544">
        <v>-8.2816360000000006E-2</v>
      </c>
      <c r="U5544">
        <v>-1.1107180000000001</v>
      </c>
      <c r="V5544">
        <v>-0.13381989999999999</v>
      </c>
      <c r="W5544">
        <v>0.2059571</v>
      </c>
      <c r="X5544">
        <v>0.9693678</v>
      </c>
      <c r="Y5544">
        <v>-0.27557359999999997</v>
      </c>
      <c r="Z5544">
        <v>-4.726035E-3</v>
      </c>
      <c r="AA5544">
        <v>0.96126840000000002</v>
      </c>
      <c r="AB5544">
        <v>33</v>
      </c>
      <c r="AC5544">
        <v>-38.722200000000001</v>
      </c>
      <c r="AD5544">
        <v>-1.113868514367</v>
      </c>
      <c r="AE5544">
        <v>-14.9091</v>
      </c>
      <c r="AF5544">
        <v>-11.513059396443101</v>
      </c>
      <c r="AG5544">
        <v>-1.113868514367</v>
      </c>
      <c r="AH5544">
        <v>39.832910671220397</v>
      </c>
      <c r="AI5544">
        <v>91.538818826267701</v>
      </c>
      <c r="AJ5544">
        <v>106.12108365144201</v>
      </c>
      <c r="AK5544">
        <v>41.4783318405496</v>
      </c>
      <c r="AL5544">
        <v>78.114467641902195</v>
      </c>
      <c r="AM5544">
        <v>97.859925319816796</v>
      </c>
      <c r="AN5544">
        <v>1.0000000121766299</v>
      </c>
    </row>
    <row r="5545" spans="1:40" x14ac:dyDescent="0.25">
      <c r="A5545" t="str">
        <f>"20190304154908142"</f>
        <v>20190304154908142</v>
      </c>
      <c r="B5545" t="str">
        <f>"1551685748132317"</f>
        <v>1551685748132317</v>
      </c>
      <c r="C5545" t="s">
        <v>40</v>
      </c>
      <c r="D5545">
        <v>4.1439959999999996</v>
      </c>
      <c r="E5545">
        <v>0.4415734</v>
      </c>
      <c r="F5545" t="s">
        <v>79</v>
      </c>
      <c r="G5545">
        <v>-422.5342</v>
      </c>
      <c r="H5545" s="1">
        <v>-4.4836669999999997E-6</v>
      </c>
      <c r="I5545">
        <v>126.0574</v>
      </c>
      <c r="J5545">
        <v>-383.83960000000002</v>
      </c>
      <c r="K5545">
        <v>1.1139079999999999</v>
      </c>
      <c r="L5545">
        <v>141.10310000000001</v>
      </c>
      <c r="M5545">
        <v>-0.99594090000000002</v>
      </c>
      <c r="N5545">
        <v>-1.454888E-2</v>
      </c>
      <c r="O5545">
        <v>-8.8824730000000005E-2</v>
      </c>
      <c r="P5545">
        <v>-0.95648869999999997</v>
      </c>
      <c r="Q5545">
        <v>0.19331619999999999</v>
      </c>
      <c r="R5545">
        <v>-0.21853620000000001</v>
      </c>
      <c r="S5545">
        <v>-2.8981020000000002</v>
      </c>
      <c r="T5545">
        <v>-8.2865240000000007E-2</v>
      </c>
      <c r="U5545">
        <v>-1.1212009999999999</v>
      </c>
      <c r="V5545">
        <v>-0.13418089999999999</v>
      </c>
      <c r="W5545">
        <v>0.20648620000000001</v>
      </c>
      <c r="X5545">
        <v>0.96920530000000005</v>
      </c>
      <c r="Y5545">
        <v>-0.27639029999999998</v>
      </c>
      <c r="Z5545">
        <v>-4.710082E-3</v>
      </c>
      <c r="AA5545">
        <v>0.9610339</v>
      </c>
      <c r="AB5545">
        <v>33</v>
      </c>
      <c r="AC5545">
        <v>-38.694599999999902</v>
      </c>
      <c r="AD5545">
        <v>-1.11391248366699</v>
      </c>
      <c r="AE5545">
        <v>-15.0457</v>
      </c>
      <c r="AF5545">
        <v>-11.540506543324801</v>
      </c>
      <c r="AG5545">
        <v>-1.11391248366699</v>
      </c>
      <c r="AH5545">
        <v>39.849503653230101</v>
      </c>
      <c r="AI5545">
        <v>91.538005772802606</v>
      </c>
      <c r="AJ5545">
        <v>106.151136118466</v>
      </c>
      <c r="AK5545">
        <v>41.5018919292433</v>
      </c>
      <c r="AL5545">
        <v>78.083486236397903</v>
      </c>
      <c r="AM5545">
        <v>97.882167342308705</v>
      </c>
      <c r="AN5545">
        <v>0.99999998913166999</v>
      </c>
    </row>
    <row r="5546" spans="1:40" x14ac:dyDescent="0.25">
      <c r="A5546" t="str">
        <f>"20190304154908157"</f>
        <v>20190304154908157</v>
      </c>
      <c r="B5546" t="str">
        <f>"1551685748152813"</f>
        <v>1551685748152813</v>
      </c>
      <c r="C5546" t="s">
        <v>40</v>
      </c>
      <c r="D5546">
        <v>4.1073250000000003</v>
      </c>
      <c r="E5546">
        <v>0.44169989999999998</v>
      </c>
      <c r="F5546" t="s">
        <v>79</v>
      </c>
      <c r="G5546">
        <v>-422.78219999999999</v>
      </c>
      <c r="H5546" s="1">
        <v>-4.469786E-6</v>
      </c>
      <c r="I5546">
        <v>125.9222</v>
      </c>
      <c r="J5546">
        <v>-384.06939999999997</v>
      </c>
      <c r="K5546">
        <v>1.113939</v>
      </c>
      <c r="L5546">
        <v>141.08019999999999</v>
      </c>
      <c r="M5546">
        <v>-0.99571779999999999</v>
      </c>
      <c r="N5546">
        <v>-1.4549950000000001E-2</v>
      </c>
      <c r="O5546">
        <v>-9.1292659999999998E-2</v>
      </c>
      <c r="P5546">
        <v>-0.95573819999999998</v>
      </c>
      <c r="Q5546">
        <v>0.1932526</v>
      </c>
      <c r="R5546">
        <v>-0.22185199999999999</v>
      </c>
      <c r="S5546">
        <v>-2.8953250000000001</v>
      </c>
      <c r="T5546">
        <v>-8.2817790000000002E-2</v>
      </c>
      <c r="U5546">
        <v>-1.1286769999999999</v>
      </c>
      <c r="V5546">
        <v>-0.13515969999999999</v>
      </c>
      <c r="W5546">
        <v>0.20640310000000001</v>
      </c>
      <c r="X5546">
        <v>0.96908700000000003</v>
      </c>
      <c r="Y5546">
        <v>-0.27647529999999998</v>
      </c>
      <c r="Z5546">
        <v>-4.6801869999999997E-3</v>
      </c>
      <c r="AA5546">
        <v>0.96100960000000002</v>
      </c>
      <c r="AB5546">
        <v>33</v>
      </c>
      <c r="AC5546">
        <v>-38.712800000000001</v>
      </c>
      <c r="AD5546">
        <v>-1.113943469786</v>
      </c>
      <c r="AE5546">
        <v>-15.1579999999999</v>
      </c>
      <c r="AF5546">
        <v>-11.5518265211292</v>
      </c>
      <c r="AG5546">
        <v>-1.113943469786</v>
      </c>
      <c r="AH5546">
        <v>39.906416548023898</v>
      </c>
      <c r="AI5546">
        <v>91.535909134329899</v>
      </c>
      <c r="AJ5546">
        <v>106.14429784472701</v>
      </c>
      <c r="AK5546">
        <v>41.559687772317702</v>
      </c>
      <c r="AL5546">
        <v>78.088352457807204</v>
      </c>
      <c r="AM5546">
        <v>97.9398911024809</v>
      </c>
      <c r="AN5546">
        <v>0.99999999888134905</v>
      </c>
    </row>
    <row r="5547" spans="1:40" x14ac:dyDescent="0.25">
      <c r="A5547" t="str">
        <f>"20190304154908181"</f>
        <v>20190304154908181</v>
      </c>
      <c r="B5547" t="str">
        <f>"1551685748172333"</f>
        <v>1551685748172333</v>
      </c>
      <c r="C5547" t="s">
        <v>40</v>
      </c>
      <c r="D5547">
        <v>4.1078619999999999</v>
      </c>
      <c r="E5547">
        <v>0.4418086</v>
      </c>
      <c r="F5547" t="s">
        <v>79</v>
      </c>
      <c r="G5547">
        <v>-422.34550000000002</v>
      </c>
      <c r="H5547" s="1">
        <v>-4.4276029999999996E-6</v>
      </c>
      <c r="I5547">
        <v>126.0294</v>
      </c>
      <c r="J5547">
        <v>-384.40120000000002</v>
      </c>
      <c r="K5547">
        <v>1.113982</v>
      </c>
      <c r="L5547">
        <v>141.0461</v>
      </c>
      <c r="M5547">
        <v>-0.99538020000000005</v>
      </c>
      <c r="N5547">
        <v>-1.4551110000000001E-2</v>
      </c>
      <c r="O5547">
        <v>-9.4902890000000004E-2</v>
      </c>
      <c r="P5547">
        <v>-0.95519500000000002</v>
      </c>
      <c r="Q5547">
        <v>0.1919835</v>
      </c>
      <c r="R5547">
        <v>-0.22526689999999999</v>
      </c>
      <c r="S5547">
        <v>-2.892029</v>
      </c>
      <c r="T5547">
        <v>-8.4166409999999997E-2</v>
      </c>
      <c r="U5547">
        <v>-1.137192</v>
      </c>
      <c r="V5547">
        <v>-0.13510030000000001</v>
      </c>
      <c r="W5547">
        <v>0.20512359999999999</v>
      </c>
      <c r="X5547">
        <v>0.96936690000000003</v>
      </c>
      <c r="Y5547">
        <v>-0.27581090000000003</v>
      </c>
      <c r="Z5547">
        <v>-4.6399259999999999E-3</v>
      </c>
      <c r="AA5547">
        <v>0.96120070000000002</v>
      </c>
      <c r="AB5547">
        <v>33</v>
      </c>
      <c r="AC5547">
        <v>-37.944299999999998</v>
      </c>
      <c r="AD5547">
        <v>-1.113986427603</v>
      </c>
      <c r="AE5547">
        <v>-15.0167</v>
      </c>
      <c r="AF5547">
        <v>-11.339053409720099</v>
      </c>
      <c r="AG5547">
        <v>-1.113986427603</v>
      </c>
      <c r="AH5547">
        <v>39.169093545695901</v>
      </c>
      <c r="AI5547">
        <v>91.5648602570283</v>
      </c>
      <c r="AJ5547">
        <v>106.14519122847101</v>
      </c>
      <c r="AK5547">
        <v>40.7925604391395</v>
      </c>
      <c r="AL5547">
        <v>78.163265245915994</v>
      </c>
      <c r="AM5547">
        <v>97.934183728831499</v>
      </c>
      <c r="AN5547">
        <v>0.99999998457632899</v>
      </c>
    </row>
    <row r="5548" spans="1:40" x14ac:dyDescent="0.25">
      <c r="A5548" t="str">
        <f>"20190304154908203"</f>
        <v>20190304154908203</v>
      </c>
      <c r="B5548" t="str">
        <f>"1551685748192829"</f>
        <v>1551685748192829</v>
      </c>
      <c r="C5548" t="s">
        <v>40</v>
      </c>
      <c r="D5548">
        <v>4.1066370000000001</v>
      </c>
      <c r="E5548">
        <v>0.44194670000000003</v>
      </c>
      <c r="F5548" t="s">
        <v>79</v>
      </c>
      <c r="G5548">
        <v>-420.53550000000001</v>
      </c>
      <c r="H5548" s="1">
        <v>-4.3720379999999996E-6</v>
      </c>
      <c r="I5548">
        <v>126.708</v>
      </c>
      <c r="J5548">
        <v>-384.71899999999999</v>
      </c>
      <c r="K5548">
        <v>1.114023</v>
      </c>
      <c r="L5548">
        <v>141.0121</v>
      </c>
      <c r="M5548">
        <v>-0.99504009999999998</v>
      </c>
      <c r="N5548">
        <v>-1.4551919999999999E-2</v>
      </c>
      <c r="O5548">
        <v>-9.8404770000000003E-2</v>
      </c>
      <c r="P5548">
        <v>-0.95478799999999997</v>
      </c>
      <c r="Q5548">
        <v>0.19105459999999999</v>
      </c>
      <c r="R5548">
        <v>-0.227768</v>
      </c>
      <c r="S5548">
        <v>-2.8883359999999998</v>
      </c>
      <c r="T5548">
        <v>-8.9044929999999994E-2</v>
      </c>
      <c r="U5548">
        <v>-1.146088</v>
      </c>
      <c r="V5548">
        <v>-0.13422000000000001</v>
      </c>
      <c r="W5548">
        <v>0.20419390000000001</v>
      </c>
      <c r="X5548">
        <v>0.96968540000000003</v>
      </c>
      <c r="Y5548">
        <v>-0.275395</v>
      </c>
      <c r="Z5548">
        <v>-4.650052E-3</v>
      </c>
      <c r="AA5548">
        <v>0.9613199</v>
      </c>
      <c r="AB5548">
        <v>33</v>
      </c>
      <c r="AC5548">
        <v>-35.816499999999998</v>
      </c>
      <c r="AD5548">
        <v>-1.1140273720379901</v>
      </c>
      <c r="AE5548">
        <v>-14.3041</v>
      </c>
      <c r="AF5548">
        <v>-10.700843944854499</v>
      </c>
      <c r="AG5548">
        <v>-1.1140273720379901</v>
      </c>
      <c r="AH5548">
        <v>37.019479696284399</v>
      </c>
      <c r="AI5548">
        <v>91.655928738878799</v>
      </c>
      <c r="AJ5548">
        <v>106.122456790775</v>
      </c>
      <c r="AK5548">
        <v>38.551147779299598</v>
      </c>
      <c r="AL5548">
        <v>78.2176847966021</v>
      </c>
      <c r="AM5548">
        <v>97.880580708538403</v>
      </c>
      <c r="AN5548">
        <v>0.99999996608518404</v>
      </c>
    </row>
    <row r="5549" spans="1:40" x14ac:dyDescent="0.25">
      <c r="A5549" t="str">
        <f>"20190304154908225"</f>
        <v>20190304154908225</v>
      </c>
      <c r="B5549" t="str">
        <f>"1551685748223085"</f>
        <v>1551685748223085</v>
      </c>
      <c r="C5549" t="s">
        <v>40</v>
      </c>
      <c r="D5549">
        <v>4.1110709999999999</v>
      </c>
      <c r="E5549">
        <v>0.44214730000000002</v>
      </c>
      <c r="F5549" t="s">
        <v>79</v>
      </c>
      <c r="G5549">
        <v>-419.47160000000002</v>
      </c>
      <c r="H5549" s="1">
        <v>-4.486793E-6</v>
      </c>
      <c r="I5549">
        <v>127.1293</v>
      </c>
      <c r="J5549">
        <v>-385.03289999999998</v>
      </c>
      <c r="K5549">
        <v>1.1140509999999999</v>
      </c>
      <c r="L5549">
        <v>140.97749999999999</v>
      </c>
      <c r="M5549">
        <v>-0.99468769999999995</v>
      </c>
      <c r="N5549">
        <v>-1.4552290000000001E-2</v>
      </c>
      <c r="O5549">
        <v>-0.1019052</v>
      </c>
      <c r="P5549">
        <v>-0.95405240000000002</v>
      </c>
      <c r="Q5549">
        <v>0.19112470000000001</v>
      </c>
      <c r="R5549">
        <v>-0.230771</v>
      </c>
      <c r="S5549">
        <v>-2.8855900000000001</v>
      </c>
      <c r="T5549">
        <v>-9.2500209999999999E-2</v>
      </c>
      <c r="U5549">
        <v>-1.152725</v>
      </c>
      <c r="V5549">
        <v>-0.133877</v>
      </c>
      <c r="W5549">
        <v>0.2042564</v>
      </c>
      <c r="X5549">
        <v>0.96971969999999996</v>
      </c>
      <c r="Y5549">
        <v>-0.27422629999999998</v>
      </c>
      <c r="Z5549">
        <v>-4.6133670000000002E-3</v>
      </c>
      <c r="AA5549">
        <v>0.96165409999999996</v>
      </c>
      <c r="AB5549">
        <v>33</v>
      </c>
      <c r="AC5549">
        <v>-34.438699999999997</v>
      </c>
      <c r="AD5549">
        <v>-1.1140554867929999</v>
      </c>
      <c r="AE5549">
        <v>-13.848199999999901</v>
      </c>
      <c r="AF5549">
        <v>-10.256998877189501</v>
      </c>
      <c r="AG5549">
        <v>-1.1140554867929999</v>
      </c>
      <c r="AH5549">
        <v>35.638627718906697</v>
      </c>
      <c r="AI5549">
        <v>91.720668991849905</v>
      </c>
      <c r="AJ5549">
        <v>106.056118130684</v>
      </c>
      <c r="AK5549">
        <v>37.102007105831198</v>
      </c>
      <c r="AL5549">
        <v>78.214027264993604</v>
      </c>
      <c r="AM5549">
        <v>97.860419348081294</v>
      </c>
      <c r="AN5549">
        <v>1.00000001231902</v>
      </c>
    </row>
    <row r="5550" spans="1:40" x14ac:dyDescent="0.25">
      <c r="A5550" t="str">
        <f>"20190304154908248"</f>
        <v>20190304154908248</v>
      </c>
      <c r="B5550" t="str">
        <f>"1551685748242606"</f>
        <v>1551685748242606</v>
      </c>
      <c r="C5550" t="s">
        <v>40</v>
      </c>
      <c r="D5550">
        <v>4.1234590000000004</v>
      </c>
      <c r="E5550">
        <v>0.44234489999999999</v>
      </c>
      <c r="F5550" t="s">
        <v>79</v>
      </c>
      <c r="G5550">
        <v>-419.51990000000001</v>
      </c>
      <c r="H5550" s="1">
        <v>-4.4682200000000004E-6</v>
      </c>
      <c r="I5550">
        <v>127.09829999999999</v>
      </c>
      <c r="J5550">
        <v>-385.35820000000001</v>
      </c>
      <c r="K5550">
        <v>1.1140840000000001</v>
      </c>
      <c r="L5550">
        <v>140.94040000000001</v>
      </c>
      <c r="M5550">
        <v>-0.99430499999999999</v>
      </c>
      <c r="N5550">
        <v>-1.455239E-2</v>
      </c>
      <c r="O5550">
        <v>-0.1055741</v>
      </c>
      <c r="P5550">
        <v>-0.95324920000000002</v>
      </c>
      <c r="Q5550">
        <v>0.19118250000000001</v>
      </c>
      <c r="R5550">
        <v>-0.23402020000000001</v>
      </c>
      <c r="S5550">
        <v>-2.8825379999999998</v>
      </c>
      <c r="T5550">
        <v>-9.3116279999999996E-2</v>
      </c>
      <c r="U5550">
        <v>-1.1600649999999999</v>
      </c>
      <c r="V5550">
        <v>-0.1336203</v>
      </c>
      <c r="W5550">
        <v>0.20430680000000001</v>
      </c>
      <c r="X5550">
        <v>0.96974439999999995</v>
      </c>
      <c r="Y5550">
        <v>-0.27313779999999999</v>
      </c>
      <c r="Z5550">
        <v>-4.5363340000000004E-3</v>
      </c>
      <c r="AA5550">
        <v>0.96196420000000005</v>
      </c>
      <c r="AB5550">
        <v>32</v>
      </c>
      <c r="AC5550">
        <v>-34.161700000000003</v>
      </c>
      <c r="AD5550">
        <v>-1.1140884682200001</v>
      </c>
      <c r="AE5550">
        <v>-13.8421</v>
      </c>
      <c r="AF5550">
        <v>-10.148482342233899</v>
      </c>
      <c r="AG5550">
        <v>-1.1140884682200001</v>
      </c>
      <c r="AH5550">
        <v>35.399926508587299</v>
      </c>
      <c r="AI5550">
        <v>91.732832432224896</v>
      </c>
      <c r="AJ5550">
        <v>105.99658522109701</v>
      </c>
      <c r="AK5550">
        <v>36.842742620209997</v>
      </c>
      <c r="AL5550">
        <v>78.211076332744298</v>
      </c>
      <c r="AM5550">
        <v>97.845338057370299</v>
      </c>
      <c r="AN5550">
        <v>0.99999992721484199</v>
      </c>
    </row>
    <row r="5551" spans="1:40" x14ac:dyDescent="0.25">
      <c r="A5551" t="str">
        <f>"20190304154908270"</f>
        <v>20190304154908270</v>
      </c>
      <c r="B5551" t="str">
        <f>"1551685748263101"</f>
        <v>1551685748263101</v>
      </c>
      <c r="C5551" t="s">
        <v>40</v>
      </c>
      <c r="D5551">
        <v>4.102786</v>
      </c>
      <c r="E5551">
        <v>0.44253219999999999</v>
      </c>
      <c r="F5551" t="s">
        <v>79</v>
      </c>
      <c r="G5551">
        <v>-419.30349999999999</v>
      </c>
      <c r="H5551" s="1">
        <v>-4.5188190000000001E-6</v>
      </c>
      <c r="I5551">
        <v>127.173</v>
      </c>
      <c r="J5551">
        <v>-385.67970000000003</v>
      </c>
      <c r="K5551">
        <v>1.114115</v>
      </c>
      <c r="L5551">
        <v>140.9025</v>
      </c>
      <c r="M5551">
        <v>-0.99390860000000003</v>
      </c>
      <c r="N5551">
        <v>-1.45524E-2</v>
      </c>
      <c r="O5551">
        <v>-0.1092424</v>
      </c>
      <c r="P5551">
        <v>-0.95220199999999999</v>
      </c>
      <c r="Q5551">
        <v>0.19154470000000001</v>
      </c>
      <c r="R5551">
        <v>-0.2379539</v>
      </c>
      <c r="S5551">
        <v>-2.8793950000000001</v>
      </c>
      <c r="T5551">
        <v>-9.4502089999999997E-2</v>
      </c>
      <c r="U5551">
        <v>-1.167816</v>
      </c>
      <c r="V5551">
        <v>-0.1340732</v>
      </c>
      <c r="W5551">
        <v>0.20465269999999999</v>
      </c>
      <c r="X5551">
        <v>0.96960900000000005</v>
      </c>
      <c r="Y5551">
        <v>-0.272175</v>
      </c>
      <c r="Z5551">
        <v>-4.467553E-3</v>
      </c>
      <c r="AA5551">
        <v>0.96223740000000002</v>
      </c>
      <c r="AB5551">
        <v>32</v>
      </c>
      <c r="AC5551">
        <v>-33.623799999999903</v>
      </c>
      <c r="AD5551">
        <v>-1.1141195188190001</v>
      </c>
      <c r="AE5551">
        <v>-13.7295</v>
      </c>
      <c r="AF5551">
        <v>-9.9644030458621593</v>
      </c>
      <c r="AG5551">
        <v>-1.1141195188190001</v>
      </c>
      <c r="AH5551">
        <v>34.8896939481468</v>
      </c>
      <c r="AI5551">
        <v>91.758710470661796</v>
      </c>
      <c r="AJ5551">
        <v>105.939199789236</v>
      </c>
      <c r="AK5551">
        <v>36.301808965366298</v>
      </c>
      <c r="AL5551">
        <v>78.190830583623693</v>
      </c>
      <c r="AM5551">
        <v>97.872682125244097</v>
      </c>
      <c r="AN5551">
        <v>0.99999998172826399</v>
      </c>
    </row>
    <row r="5552" spans="1:40" x14ac:dyDescent="0.25">
      <c r="A5552" t="str">
        <f>"20190304154908293"</f>
        <v>20190304154908293</v>
      </c>
      <c r="B5552" t="str">
        <f>"1551685748282621"</f>
        <v>1551685748282621</v>
      </c>
      <c r="C5552" t="s">
        <v>40</v>
      </c>
      <c r="D5552">
        <v>4.0945169999999997</v>
      </c>
      <c r="E5552">
        <v>0.4427353</v>
      </c>
      <c r="F5552" t="s">
        <v>79</v>
      </c>
      <c r="G5552">
        <v>-420.20679999999999</v>
      </c>
      <c r="H5552" s="1">
        <v>-4.3305460000000003E-6</v>
      </c>
      <c r="I5552">
        <v>126.7697</v>
      </c>
      <c r="J5552">
        <v>-385.99700000000001</v>
      </c>
      <c r="K5552">
        <v>1.114161</v>
      </c>
      <c r="L5552">
        <v>140.8639</v>
      </c>
      <c r="M5552">
        <v>-0.99349829999999995</v>
      </c>
      <c r="N5552">
        <v>-1.4552509999999999E-2</v>
      </c>
      <c r="O5552">
        <v>-0.1129144</v>
      </c>
      <c r="P5552">
        <v>-0.95105830000000002</v>
      </c>
      <c r="Q5552">
        <v>0.19129289999999999</v>
      </c>
      <c r="R5552">
        <v>-0.24268410000000001</v>
      </c>
      <c r="S5552">
        <v>-2.8751530000000001</v>
      </c>
      <c r="T5552">
        <v>-9.2775460000000004E-2</v>
      </c>
      <c r="U5552">
        <v>-1.1768799999999999</v>
      </c>
      <c r="V5552">
        <v>-0.13532339999999901</v>
      </c>
      <c r="W5552">
        <v>0.20437830000000001</v>
      </c>
      <c r="X5552">
        <v>0.96949319999999894</v>
      </c>
      <c r="Y5552">
        <v>-0.27171990000000001</v>
      </c>
      <c r="Z5552">
        <v>-4.3824420000000003E-3</v>
      </c>
      <c r="AA5552">
        <v>0.96236639999999996</v>
      </c>
      <c r="AB5552">
        <v>32</v>
      </c>
      <c r="AC5552">
        <v>-34.209800000000001</v>
      </c>
      <c r="AD5552">
        <v>-1.114165330546</v>
      </c>
      <c r="AE5552">
        <v>-14.094200000000001</v>
      </c>
      <c r="AF5552">
        <v>-10.1316696238692</v>
      </c>
      <c r="AG5552">
        <v>-1.114165330546</v>
      </c>
      <c r="AH5552">
        <v>35.550341833221701</v>
      </c>
      <c r="AI5552">
        <v>91.726392602016702</v>
      </c>
      <c r="AJ5552">
        <v>105.907286902574</v>
      </c>
      <c r="AK5552">
        <v>36.982683761592298</v>
      </c>
      <c r="AL5552">
        <v>78.206892112149404</v>
      </c>
      <c r="AM5552">
        <v>97.946096622217695</v>
      </c>
      <c r="AN5552">
        <v>0.99999998847234395</v>
      </c>
    </row>
    <row r="5553" spans="1:40" x14ac:dyDescent="0.25">
      <c r="A5553" t="str">
        <f>"20190304154908314"</f>
        <v>20190304154908314</v>
      </c>
      <c r="B5553" t="str">
        <f>"1551685748303118"</f>
        <v>1551685748303118</v>
      </c>
      <c r="C5553" t="s">
        <v>40</v>
      </c>
      <c r="D5553">
        <v>4.1298729999999999</v>
      </c>
      <c r="E5553">
        <v>0.44289230000000002</v>
      </c>
      <c r="F5553" t="s">
        <v>79</v>
      </c>
      <c r="G5553">
        <v>-419.8141</v>
      </c>
      <c r="H5553" s="1">
        <v>-4.326709E-6</v>
      </c>
      <c r="I5553">
        <v>126.8541</v>
      </c>
      <c r="J5553">
        <v>-386.31220000000002</v>
      </c>
      <c r="K5553">
        <v>1.1142080000000001</v>
      </c>
      <c r="L5553">
        <v>140.82419999999999</v>
      </c>
      <c r="M5553">
        <v>-0.99306939999999999</v>
      </c>
      <c r="N5553">
        <v>-1.4553E-2</v>
      </c>
      <c r="O5553">
        <v>-0.1166252</v>
      </c>
      <c r="P5553">
        <v>-0.95006539999999995</v>
      </c>
      <c r="Q5553">
        <v>0.19038330000000001</v>
      </c>
      <c r="R5553">
        <v>-0.2472452</v>
      </c>
      <c r="S5553">
        <v>-2.8700260000000002</v>
      </c>
      <c r="T5553">
        <v>-9.4558240000000002E-2</v>
      </c>
      <c r="U5553">
        <v>-1.188995</v>
      </c>
      <c r="V5553">
        <v>-0.13635069999999999</v>
      </c>
      <c r="W5553">
        <v>0.2034474</v>
      </c>
      <c r="X5553">
        <v>0.96954510000000005</v>
      </c>
      <c r="Y5553">
        <v>-0.27219520000000003</v>
      </c>
      <c r="Z5553">
        <v>-4.3464000000000003E-3</v>
      </c>
      <c r="AA5553">
        <v>0.96223219999999998</v>
      </c>
      <c r="AB5553">
        <v>32</v>
      </c>
      <c r="AC5553">
        <v>-33.5018999999999</v>
      </c>
      <c r="AD5553">
        <v>-1.1142123267090001</v>
      </c>
      <c r="AE5553">
        <v>-13.970099999999899</v>
      </c>
      <c r="AF5553">
        <v>-9.9577854197147495</v>
      </c>
      <c r="AG5553">
        <v>-1.1142123267090001</v>
      </c>
      <c r="AH5553">
        <v>34.869816086429999</v>
      </c>
      <c r="AI5553">
        <v>91.759871430743701</v>
      </c>
      <c r="AJ5553">
        <v>105.937770860391</v>
      </c>
      <c r="AK5553">
        <v>36.280890748099402</v>
      </c>
      <c r="AL5553">
        <v>78.261373949220101</v>
      </c>
      <c r="AM5553">
        <v>98.005216810052701</v>
      </c>
      <c r="AN5553">
        <v>1.0000000294456199</v>
      </c>
    </row>
    <row r="5554" spans="1:40" x14ac:dyDescent="0.25">
      <c r="A5554" t="str">
        <f>"20190304154908337"</f>
        <v>20190304154908337</v>
      </c>
      <c r="B5554" t="str">
        <f>"1551685748332397"</f>
        <v>1551685748332397</v>
      </c>
      <c r="C5554" t="s">
        <v>40</v>
      </c>
      <c r="D5554">
        <v>4.1232049999999996</v>
      </c>
      <c r="E5554">
        <v>0.44319229999999998</v>
      </c>
      <c r="F5554" t="s">
        <v>79</v>
      </c>
      <c r="G5554">
        <v>-418.99680000000001</v>
      </c>
      <c r="H5554" s="1">
        <v>-4.5047950000000001E-6</v>
      </c>
      <c r="I5554">
        <v>127.1105</v>
      </c>
      <c r="J5554">
        <v>-386.62610000000001</v>
      </c>
      <c r="K5554">
        <v>1.114255</v>
      </c>
      <c r="L5554">
        <v>140.7834</v>
      </c>
      <c r="M5554">
        <v>-0.99262150000000005</v>
      </c>
      <c r="N5554">
        <v>-1.45538E-2</v>
      </c>
      <c r="O5554">
        <v>-0.1203771</v>
      </c>
      <c r="P5554">
        <v>-0.94887869999999996</v>
      </c>
      <c r="Q5554">
        <v>0.1897731</v>
      </c>
      <c r="R5554">
        <v>-0.25222109999999998</v>
      </c>
      <c r="S5554">
        <v>-2.864471</v>
      </c>
      <c r="T5554">
        <v>-9.7649219999999995E-2</v>
      </c>
      <c r="U5554">
        <v>-1.201859</v>
      </c>
      <c r="V5554">
        <v>-0.1377755</v>
      </c>
      <c r="W5554">
        <v>0.2028105</v>
      </c>
      <c r="X5554">
        <v>0.96947709999999998</v>
      </c>
      <c r="Y5554">
        <v>-0.27289000000000002</v>
      </c>
      <c r="Z5554">
        <v>-4.3183170000000003E-3</v>
      </c>
      <c r="AA5554">
        <v>0.96203550000000004</v>
      </c>
      <c r="AB5554">
        <v>32</v>
      </c>
      <c r="AC5554">
        <v>-32.370699999999999</v>
      </c>
      <c r="AD5554">
        <v>-1.1142595047949999</v>
      </c>
      <c r="AE5554">
        <v>-13.672899999999901</v>
      </c>
      <c r="AF5554">
        <v>-9.6666292562138398</v>
      </c>
      <c r="AG5554">
        <v>-1.1142595047949999</v>
      </c>
      <c r="AH5554">
        <v>33.747404097881102</v>
      </c>
      <c r="AI5554">
        <v>91.8180235524285</v>
      </c>
      <c r="AJ5554">
        <v>105.983866567864</v>
      </c>
      <c r="AK5554">
        <v>35.122251903412902</v>
      </c>
      <c r="AL5554">
        <v>78.298642464645496</v>
      </c>
      <c r="AM5554">
        <v>98.088326125304505</v>
      </c>
      <c r="AN5554">
        <v>1.0000000173674499</v>
      </c>
    </row>
    <row r="5555" spans="1:40" x14ac:dyDescent="0.25">
      <c r="A5555" t="str">
        <f>"20190304154908359"</f>
        <v>20190304154908359</v>
      </c>
      <c r="B5555" t="str">
        <f>"1551685748352894"</f>
        <v>1551685748352894</v>
      </c>
      <c r="C5555" t="s">
        <v>40</v>
      </c>
      <c r="D5555">
        <v>4.1128879999999999</v>
      </c>
      <c r="E5555">
        <v>0.44337199999999999</v>
      </c>
      <c r="F5555" t="s">
        <v>79</v>
      </c>
      <c r="G5555">
        <v>-418.46949999999998</v>
      </c>
      <c r="H5555" s="1">
        <v>-4.6060289999999998E-6</v>
      </c>
      <c r="I5555">
        <v>127.2491</v>
      </c>
      <c r="J5555">
        <v>-386.94869999999997</v>
      </c>
      <c r="K5555">
        <v>1.1143050000000001</v>
      </c>
      <c r="L5555">
        <v>140.74010000000001</v>
      </c>
      <c r="M5555">
        <v>-0.99213700000000005</v>
      </c>
      <c r="N5555">
        <v>-1.4554589999999999E-2</v>
      </c>
      <c r="O5555">
        <v>-0.12430670000000001</v>
      </c>
      <c r="P5555">
        <v>-0.9475287</v>
      </c>
      <c r="Q5555">
        <v>0.18928780000000001</v>
      </c>
      <c r="R5555">
        <v>-0.25760329999999998</v>
      </c>
      <c r="S5555">
        <v>-2.8586429999999998</v>
      </c>
      <c r="T5555">
        <v>-0.1000293</v>
      </c>
      <c r="U5555">
        <v>-1.214996</v>
      </c>
      <c r="V5555">
        <v>-0.13945479999999999</v>
      </c>
      <c r="W5555">
        <v>0.20229269999999999</v>
      </c>
      <c r="X5555">
        <v>0.96934520000000002</v>
      </c>
      <c r="Y5555">
        <v>-0.27352490000000002</v>
      </c>
      <c r="Z5555">
        <v>-4.2752620000000002E-3</v>
      </c>
      <c r="AA5555">
        <v>0.96185540000000003</v>
      </c>
      <c r="AB5555">
        <v>32</v>
      </c>
      <c r="AC5555">
        <v>-31.520800000000001</v>
      </c>
      <c r="AD5555">
        <v>-1.1143096060290001</v>
      </c>
      <c r="AE5555">
        <v>-13.491</v>
      </c>
      <c r="AF5555">
        <v>-9.45768772717018</v>
      </c>
      <c r="AG5555">
        <v>-1.1143096060290001</v>
      </c>
      <c r="AH5555">
        <v>32.918697023622798</v>
      </c>
      <c r="AI5555">
        <v>91.863416615767306</v>
      </c>
      <c r="AJ5555">
        <v>106.029593303083</v>
      </c>
      <c r="AK5555">
        <v>34.268500941474301</v>
      </c>
      <c r="AL5555">
        <v>78.328938555093501</v>
      </c>
      <c r="AM5555">
        <v>98.186682660120297</v>
      </c>
      <c r="AN5555">
        <v>1.0000000472396799</v>
      </c>
    </row>
    <row r="5556" spans="1:40" x14ac:dyDescent="0.25">
      <c r="A5556" t="str">
        <f>"20190304154908382"</f>
        <v>20190304154908382</v>
      </c>
      <c r="B5556" t="str">
        <f>"1551685748372413"</f>
        <v>1551685748372413</v>
      </c>
      <c r="C5556" t="s">
        <v>40</v>
      </c>
      <c r="D5556">
        <v>4.1171620000000004</v>
      </c>
      <c r="E5556">
        <v>0.44355600000000001</v>
      </c>
      <c r="F5556" t="s">
        <v>79</v>
      </c>
      <c r="G5556">
        <v>-418.09</v>
      </c>
      <c r="H5556" s="1">
        <v>-4.6607290000000003E-6</v>
      </c>
      <c r="I5556">
        <v>127.3133</v>
      </c>
      <c r="J5556">
        <v>-387.27</v>
      </c>
      <c r="K5556">
        <v>1.1143670000000001</v>
      </c>
      <c r="L5556">
        <v>140.69569999999999</v>
      </c>
      <c r="M5556">
        <v>-0.99162629999999996</v>
      </c>
      <c r="N5556">
        <v>-1.455563E-2</v>
      </c>
      <c r="O5556">
        <v>-0.1283185</v>
      </c>
      <c r="P5556">
        <v>-0.94621940000000004</v>
      </c>
      <c r="Q5556">
        <v>0.18896089999999999</v>
      </c>
      <c r="R5556">
        <v>-0.26260749999999999</v>
      </c>
      <c r="S5556">
        <v>-2.8522340000000002</v>
      </c>
      <c r="T5556">
        <v>-0.1020596</v>
      </c>
      <c r="U5556">
        <v>-1.2297670000000001</v>
      </c>
      <c r="V5556">
        <v>-0.14068</v>
      </c>
      <c r="W5556">
        <v>0.20193410000000001</v>
      </c>
      <c r="X5556">
        <v>0.96924290000000002</v>
      </c>
      <c r="Y5556">
        <v>-0.27461459999999999</v>
      </c>
      <c r="Z5556">
        <v>-4.2351050000000003E-3</v>
      </c>
      <c r="AA5556">
        <v>0.96154510000000004</v>
      </c>
      <c r="AB5556">
        <v>32</v>
      </c>
      <c r="AC5556">
        <v>-30.82</v>
      </c>
      <c r="AD5556">
        <v>-1.114371660729</v>
      </c>
      <c r="AE5556">
        <v>-13.382399999999899</v>
      </c>
      <c r="AF5556">
        <v>-9.3063129011260699</v>
      </c>
      <c r="AG5556">
        <v>-1.114371660729</v>
      </c>
      <c r="AH5556">
        <v>32.247077595639198</v>
      </c>
      <c r="AI5556">
        <v>91.901652476791995</v>
      </c>
      <c r="AJ5556">
        <v>106.09782223408099</v>
      </c>
      <c r="AK5556">
        <v>33.581591645886498</v>
      </c>
      <c r="AL5556">
        <v>78.349917479551806</v>
      </c>
      <c r="AM5556">
        <v>98.258479831488501</v>
      </c>
      <c r="AN5556">
        <v>1.0000000211716</v>
      </c>
    </row>
    <row r="5557" spans="1:40" x14ac:dyDescent="0.25">
      <c r="A5557" t="str">
        <f>"20190304154908404"</f>
        <v>20190304154908404</v>
      </c>
      <c r="B5557" t="str">
        <f>"1551685748392909"</f>
        <v>1551685748392909</v>
      </c>
      <c r="C5557" t="s">
        <v>40</v>
      </c>
      <c r="D5557">
        <v>4.1551689999999999</v>
      </c>
      <c r="E5557">
        <v>0.4437277</v>
      </c>
      <c r="F5557" t="s">
        <v>79</v>
      </c>
      <c r="G5557">
        <v>-417.81290000000001</v>
      </c>
      <c r="H5557" s="1">
        <v>-4.7001829999999997E-6</v>
      </c>
      <c r="I5557">
        <v>127.3591</v>
      </c>
      <c r="J5557">
        <v>-387.58210000000003</v>
      </c>
      <c r="K5557">
        <v>1.1144400000000001</v>
      </c>
      <c r="L5557">
        <v>140.65119999999999</v>
      </c>
      <c r="M5557">
        <v>-0.99110010000000004</v>
      </c>
      <c r="N5557">
        <v>-1.4557570000000001E-2</v>
      </c>
      <c r="O5557">
        <v>-0.13232099999999999</v>
      </c>
      <c r="P5557">
        <v>-0.94481859999999995</v>
      </c>
      <c r="Q5557">
        <v>0.1887094</v>
      </c>
      <c r="R5557">
        <v>-0.2677812</v>
      </c>
      <c r="S5557">
        <v>-2.8463129999999999</v>
      </c>
      <c r="T5557">
        <v>-0.10384930000000001</v>
      </c>
      <c r="U5557">
        <v>-1.2428440000000001</v>
      </c>
      <c r="V5557">
        <v>-0.14210220000000001</v>
      </c>
      <c r="W5557">
        <v>0.20164589999999999</v>
      </c>
      <c r="X5557">
        <v>0.96909540000000005</v>
      </c>
      <c r="Y5557">
        <v>-0.2751711</v>
      </c>
      <c r="Z5557">
        <v>-4.1766809999999998E-3</v>
      </c>
      <c r="AA5557">
        <v>0.96138619999999997</v>
      </c>
      <c r="AB5557">
        <v>32</v>
      </c>
      <c r="AC5557">
        <v>-30.230799999999899</v>
      </c>
      <c r="AD5557">
        <v>-1.11444470018299</v>
      </c>
      <c r="AE5557">
        <v>-13.2920999999999</v>
      </c>
      <c r="AF5557">
        <v>-9.1641669091662799</v>
      </c>
      <c r="AG5557">
        <v>-1.11444470018299</v>
      </c>
      <c r="AH5557">
        <v>31.687844652721299</v>
      </c>
      <c r="AI5557">
        <v>91.935001489820095</v>
      </c>
      <c r="AJ5557">
        <v>106.129939638971</v>
      </c>
      <c r="AK5557">
        <v>33.005203239244302</v>
      </c>
      <c r="AL5557">
        <v>78.366776683711393</v>
      </c>
      <c r="AM5557">
        <v>98.3420515201516</v>
      </c>
      <c r="AN5557">
        <v>0.99999999926640504</v>
      </c>
    </row>
    <row r="5558" spans="1:40" x14ac:dyDescent="0.25">
      <c r="A5558" t="str">
        <f>"20190304154908426"</f>
        <v>20190304154908426</v>
      </c>
      <c r="B5558" t="str">
        <f>"1551685748423164"</f>
        <v>1551685748423164</v>
      </c>
      <c r="C5558" t="s">
        <v>40</v>
      </c>
      <c r="D5558">
        <v>4.1679040000000001</v>
      </c>
      <c r="E5558">
        <v>0.4440712</v>
      </c>
      <c r="F5558" t="s">
        <v>79</v>
      </c>
      <c r="G5558">
        <v>-417.7278</v>
      </c>
      <c r="H5558" s="1">
        <v>-4.6790749999999998E-6</v>
      </c>
      <c r="I5558">
        <v>127.30800000000001</v>
      </c>
      <c r="J5558">
        <v>-387.89179999999999</v>
      </c>
      <c r="K5558">
        <v>1.1145179999999999</v>
      </c>
      <c r="L5558">
        <v>140.60560000000001</v>
      </c>
      <c r="M5558">
        <v>-0.99054509999999996</v>
      </c>
      <c r="N5558">
        <v>-1.4560409999999999E-2</v>
      </c>
      <c r="O5558">
        <v>-0.13641349999999999</v>
      </c>
      <c r="P5558">
        <v>-0.94342999999999999</v>
      </c>
      <c r="Q5558">
        <v>0.1885038</v>
      </c>
      <c r="R5558">
        <v>-0.2727754</v>
      </c>
      <c r="S5558">
        <v>-2.8399350000000001</v>
      </c>
      <c r="T5558">
        <v>-0.1049886</v>
      </c>
      <c r="U5558">
        <v>-1.2570190000000001</v>
      </c>
      <c r="V5558">
        <v>-0.1432639</v>
      </c>
      <c r="W5558">
        <v>0.2014012</v>
      </c>
      <c r="X5558">
        <v>0.96897520000000004</v>
      </c>
      <c r="Y5558">
        <v>-0.27600849999999999</v>
      </c>
      <c r="Z5558">
        <v>-4.1187230000000003E-3</v>
      </c>
      <c r="AA5558">
        <v>0.96114639999999996</v>
      </c>
      <c r="AB5558">
        <v>32</v>
      </c>
      <c r="AC5558">
        <v>-29.835999999999999</v>
      </c>
      <c r="AD5558">
        <v>-1.114522679075</v>
      </c>
      <c r="AE5558">
        <v>-13.297599999999999</v>
      </c>
      <c r="AF5558">
        <v>-9.0922185148907602</v>
      </c>
      <c r="AG5558">
        <v>-1.114522679075</v>
      </c>
      <c r="AH5558">
        <v>31.334719307585001</v>
      </c>
      <c r="AI5558">
        <v>91.956424661710798</v>
      </c>
      <c r="AJ5558">
        <v>106.180844789324</v>
      </c>
      <c r="AK5558">
        <v>32.646213140421501</v>
      </c>
      <c r="AL5558">
        <v>78.381090207078302</v>
      </c>
      <c r="AM5558">
        <v>98.4103055881925</v>
      </c>
      <c r="AN5558">
        <v>0.99999996330984398</v>
      </c>
    </row>
    <row r="5559" spans="1:40" x14ac:dyDescent="0.25">
      <c r="A5559" t="str">
        <f>"20190304154908448"</f>
        <v>20190304154908448</v>
      </c>
      <c r="B5559" t="str">
        <f>"1551685748442684"</f>
        <v>1551685748442684</v>
      </c>
      <c r="C5559" t="s">
        <v>40</v>
      </c>
      <c r="D5559">
        <v>4.1545639999999997</v>
      </c>
      <c r="E5559">
        <v>0.44430120000000001</v>
      </c>
      <c r="F5559" t="s">
        <v>79</v>
      </c>
      <c r="G5559">
        <v>-417.68150000000003</v>
      </c>
      <c r="H5559" s="1">
        <v>-4.6558590000000001E-6</v>
      </c>
      <c r="I5559">
        <v>127.2572</v>
      </c>
      <c r="J5559">
        <v>-388.21420000000001</v>
      </c>
      <c r="K5559">
        <v>1.1146180000000001</v>
      </c>
      <c r="L5559">
        <v>140.5566</v>
      </c>
      <c r="M5559">
        <v>-0.98992959999999997</v>
      </c>
      <c r="N5559">
        <v>-1.456434E-2</v>
      </c>
      <c r="O5559">
        <v>-0.14080960000000001</v>
      </c>
      <c r="P5559">
        <v>-0.94210859999999996</v>
      </c>
      <c r="Q5559">
        <v>0.18828439999999999</v>
      </c>
      <c r="R5559">
        <v>-0.27745370000000003</v>
      </c>
      <c r="S5559">
        <v>-2.8338930000000002</v>
      </c>
      <c r="T5559">
        <v>-0.1060247</v>
      </c>
      <c r="U5559">
        <v>-1.269836</v>
      </c>
      <c r="V5559">
        <v>-0.143814</v>
      </c>
      <c r="W5559">
        <v>0.20114470000000001</v>
      </c>
      <c r="X5559">
        <v>0.968947</v>
      </c>
      <c r="Y5559">
        <v>-0.27612409999999998</v>
      </c>
      <c r="Z5559">
        <v>-4.0335309999999999E-3</v>
      </c>
      <c r="AA5559">
        <v>0.96111349999999995</v>
      </c>
      <c r="AB5559">
        <v>32</v>
      </c>
      <c r="AC5559">
        <v>-29.467300000000002</v>
      </c>
      <c r="AD5559">
        <v>-1.114622655859</v>
      </c>
      <c r="AE5559">
        <v>-13.2994</v>
      </c>
      <c r="AF5559">
        <v>-9.0064414538110196</v>
      </c>
      <c r="AG5559">
        <v>-1.114622655859</v>
      </c>
      <c r="AH5559">
        <v>31.009667492052898</v>
      </c>
      <c r="AI5559">
        <v>91.976947764947894</v>
      </c>
      <c r="AJ5559">
        <v>106.19539986349</v>
      </c>
      <c r="AK5559">
        <v>32.310336570415998</v>
      </c>
      <c r="AL5559">
        <v>78.396093729475695</v>
      </c>
      <c r="AM5559">
        <v>98.442376858602998</v>
      </c>
      <c r="AN5559">
        <v>0.99999997287154396</v>
      </c>
    </row>
    <row r="5560" spans="1:40" x14ac:dyDescent="0.25">
      <c r="A5560" t="str">
        <f>"20190304154908470"</f>
        <v>20190304154908470</v>
      </c>
      <c r="B5560" t="str">
        <f>"1551685748463181"</f>
        <v>1551685748463181</v>
      </c>
      <c r="C5560" t="s">
        <v>40</v>
      </c>
      <c r="D5560">
        <v>4.1879419999999996</v>
      </c>
      <c r="E5560">
        <v>0.4445422</v>
      </c>
      <c r="F5560" t="s">
        <v>79</v>
      </c>
      <c r="G5560">
        <v>-417.70960000000002</v>
      </c>
      <c r="H5560" s="1">
        <v>-4.6133649999999998E-6</v>
      </c>
      <c r="I5560">
        <v>127.17700000000001</v>
      </c>
      <c r="J5560">
        <v>-388.52839999999998</v>
      </c>
      <c r="K5560">
        <v>1.11473</v>
      </c>
      <c r="L5560">
        <v>140.50739999999999</v>
      </c>
      <c r="M5560">
        <v>-0.98928919999999998</v>
      </c>
      <c r="N5560">
        <v>-1.456872E-2</v>
      </c>
      <c r="O5560">
        <v>-0.14524020000000001</v>
      </c>
      <c r="P5560">
        <v>-0.94079760000000001</v>
      </c>
      <c r="Q5560">
        <v>0.18832789999999999</v>
      </c>
      <c r="R5560">
        <v>-0.28183780000000003</v>
      </c>
      <c r="S5560">
        <v>-2.8279109999999998</v>
      </c>
      <c r="T5560">
        <v>-0.1068659</v>
      </c>
      <c r="U5560">
        <v>-1.282791</v>
      </c>
      <c r="V5560">
        <v>-0.14404239999999999</v>
      </c>
      <c r="W5560">
        <v>0.2011532</v>
      </c>
      <c r="X5560">
        <v>0.96891130000000003</v>
      </c>
      <c r="Y5560">
        <v>-0.27623569999999997</v>
      </c>
      <c r="Z5560">
        <v>-3.944932E-3</v>
      </c>
      <c r="AA5560">
        <v>0.96108179999999999</v>
      </c>
      <c r="AB5560">
        <v>32</v>
      </c>
      <c r="AC5560">
        <v>-29.1812</v>
      </c>
      <c r="AD5560">
        <v>-1.114734613365</v>
      </c>
      <c r="AE5560">
        <v>-13.3303999999999</v>
      </c>
      <c r="AF5560">
        <v>-8.9394940315196703</v>
      </c>
      <c r="AG5560">
        <v>-1.114734613365</v>
      </c>
      <c r="AH5560">
        <v>30.770873746279602</v>
      </c>
      <c r="AI5560">
        <v>91.992435541148296</v>
      </c>
      <c r="AJ5560">
        <v>106.199534331707</v>
      </c>
      <c r="AK5560">
        <v>32.062499246117603</v>
      </c>
      <c r="AL5560">
        <v>78.395596461572197</v>
      </c>
      <c r="AM5560">
        <v>98.455898091948796</v>
      </c>
      <c r="AN5560">
        <v>0.99999996506784405</v>
      </c>
    </row>
    <row r="5561" spans="1:40" x14ac:dyDescent="0.25">
      <c r="A5561" t="str">
        <f>"20190304154908493"</f>
        <v>20190304154908493</v>
      </c>
      <c r="B5561" t="str">
        <f>"1551685748482701"</f>
        <v>1551685748482701</v>
      </c>
      <c r="C5561" t="s">
        <v>40</v>
      </c>
      <c r="D5561">
        <v>4.1808719999999999</v>
      </c>
      <c r="E5561">
        <v>0.4446659</v>
      </c>
      <c r="F5561" t="s">
        <v>79</v>
      </c>
      <c r="G5561">
        <v>-418.02010000000001</v>
      </c>
      <c r="H5561" s="1">
        <v>-4.4957909999999998E-6</v>
      </c>
      <c r="I5561">
        <v>126.9816</v>
      </c>
      <c r="J5561">
        <v>-388.83699999999999</v>
      </c>
      <c r="K5561">
        <v>1.114843</v>
      </c>
      <c r="L5561">
        <v>140.45740000000001</v>
      </c>
      <c r="M5561">
        <v>-0.98861730000000003</v>
      </c>
      <c r="N5561">
        <v>-1.4573529999999999E-2</v>
      </c>
      <c r="O5561">
        <v>-0.1497444</v>
      </c>
      <c r="P5561">
        <v>-0.93950409999999995</v>
      </c>
      <c r="Q5561">
        <v>0.18804499999999999</v>
      </c>
      <c r="R5561">
        <v>-0.28630660000000002</v>
      </c>
      <c r="S5561">
        <v>-2.8223569999999998</v>
      </c>
      <c r="T5561">
        <v>-0.1066802</v>
      </c>
      <c r="U5561">
        <v>-1.2944180000000001</v>
      </c>
      <c r="V5561">
        <v>-0.1442775</v>
      </c>
      <c r="W5561">
        <v>0.2008355</v>
      </c>
      <c r="X5561">
        <v>0.96894230000000003</v>
      </c>
      <c r="Y5561">
        <v>-0.27584789999999998</v>
      </c>
      <c r="Z5561">
        <v>-3.8429810000000001E-3</v>
      </c>
      <c r="AA5561">
        <v>0.96119359999999998</v>
      </c>
      <c r="AB5561">
        <v>32</v>
      </c>
      <c r="AC5561">
        <v>-29.1831</v>
      </c>
      <c r="AD5561">
        <v>-1.114847495791</v>
      </c>
      <c r="AE5561">
        <v>-13.4758</v>
      </c>
      <c r="AF5561">
        <v>-8.9425973812947106</v>
      </c>
      <c r="AG5561">
        <v>-1.114847495791</v>
      </c>
      <c r="AH5561">
        <v>30.835031561858401</v>
      </c>
      <c r="AI5561">
        <v>91.988762445718393</v>
      </c>
      <c r="AJ5561">
        <v>106.17291013299599</v>
      </c>
      <c r="AK5561">
        <v>32.124945202811098</v>
      </c>
      <c r="AL5561">
        <v>78.4141794027245</v>
      </c>
      <c r="AM5561">
        <v>98.469232403539905</v>
      </c>
      <c r="AN5561">
        <v>1.0000000378978899</v>
      </c>
    </row>
    <row r="5562" spans="1:40" x14ac:dyDescent="0.25">
      <c r="A5562" t="str">
        <f>"20190304154908515"</f>
        <v>20190304154908515</v>
      </c>
      <c r="B5562" t="str">
        <f>"1551685748512957"</f>
        <v>1551685748512957</v>
      </c>
      <c r="C5562" t="s">
        <v>40</v>
      </c>
      <c r="D5562">
        <v>4.1678680000000004</v>
      </c>
      <c r="E5562">
        <v>0.45177990000000001</v>
      </c>
      <c r="F5562" t="s">
        <v>79</v>
      </c>
      <c r="G5562">
        <v>-417.96420000000001</v>
      </c>
      <c r="H5562" s="1">
        <v>-4.4800840000000001E-6</v>
      </c>
      <c r="I5562">
        <v>126.9444</v>
      </c>
      <c r="J5562">
        <v>-389.14830000000001</v>
      </c>
      <c r="K5562">
        <v>1.1149500000000001</v>
      </c>
      <c r="L5562">
        <v>140.40530000000001</v>
      </c>
      <c r="M5562">
        <v>-0.98789579999999999</v>
      </c>
      <c r="N5562">
        <v>-1.457875E-2</v>
      </c>
      <c r="O5562">
        <v>-0.1544324</v>
      </c>
      <c r="P5562">
        <v>-0.93810729999999998</v>
      </c>
      <c r="Q5562">
        <v>0.1876912</v>
      </c>
      <c r="R5562">
        <v>-0.29107919999999998</v>
      </c>
      <c r="S5562">
        <v>-2.8165589999999998</v>
      </c>
      <c r="T5562">
        <v>-0.1078041</v>
      </c>
      <c r="U5562">
        <v>-1.306686</v>
      </c>
      <c r="V5562">
        <v>-0.14464589999999999</v>
      </c>
      <c r="W5562">
        <v>0.20044680000000001</v>
      </c>
      <c r="X5562">
        <v>0.96896780000000005</v>
      </c>
      <c r="Y5562">
        <v>-0.27548699999999998</v>
      </c>
      <c r="Z5562">
        <v>-3.7318999999999998E-3</v>
      </c>
      <c r="AA5562">
        <v>0.96129759999999997</v>
      </c>
      <c r="AB5562">
        <v>32</v>
      </c>
      <c r="AC5562">
        <v>-28.815899999999999</v>
      </c>
      <c r="AD5562">
        <v>-1.1149544800839899</v>
      </c>
      <c r="AE5562">
        <v>-13.460900000000001</v>
      </c>
      <c r="AF5562">
        <v>-8.8379371321659903</v>
      </c>
      <c r="AG5562">
        <v>-1.1149544800839899</v>
      </c>
      <c r="AH5562">
        <v>30.511655437037099</v>
      </c>
      <c r="AI5562">
        <v>92.010207182341105</v>
      </c>
      <c r="AJ5562">
        <v>106.15406852957599</v>
      </c>
      <c r="AK5562">
        <v>31.785427065767902</v>
      </c>
      <c r="AL5562">
        <v>78.436911837509896</v>
      </c>
      <c r="AM5562">
        <v>98.490322850967402</v>
      </c>
      <c r="AN5562">
        <v>0.99999997672694396</v>
      </c>
    </row>
    <row r="5563" spans="1:40" x14ac:dyDescent="0.25">
      <c r="A5563" t="str">
        <f>"20190304154908538"</f>
        <v>20190304154908538</v>
      </c>
      <c r="B5563" t="str">
        <f>"1551685748532477"</f>
        <v>1551685748532477</v>
      </c>
      <c r="C5563" t="s">
        <v>40</v>
      </c>
      <c r="D5563">
        <v>4.1424589999999997</v>
      </c>
      <c r="E5563">
        <v>0.45167570000000001</v>
      </c>
      <c r="F5563" t="s">
        <v>79</v>
      </c>
      <c r="G5563">
        <v>-415.59390000000002</v>
      </c>
      <c r="H5563" s="1">
        <v>-5.4441359999999901E-6</v>
      </c>
      <c r="I5563">
        <v>128.56639999999999</v>
      </c>
      <c r="J5563">
        <v>-389.46409999999997</v>
      </c>
      <c r="K5563">
        <v>1.1150409999999999</v>
      </c>
      <c r="L5563">
        <v>140.35079999999999</v>
      </c>
      <c r="M5563">
        <v>-0.98712160000000004</v>
      </c>
      <c r="N5563">
        <v>-1.4584E-2</v>
      </c>
      <c r="O5563">
        <v>-0.15930540000000001</v>
      </c>
      <c r="P5563">
        <v>-0.93670279999999995</v>
      </c>
      <c r="Q5563">
        <v>0.187166</v>
      </c>
      <c r="R5563">
        <v>-0.29590109999999997</v>
      </c>
      <c r="S5563">
        <v>-2.8288880000000001</v>
      </c>
      <c r="T5563">
        <v>-0.1192667</v>
      </c>
      <c r="U5563">
        <v>-1.2664029999999999</v>
      </c>
      <c r="V5563">
        <v>-0.1448739</v>
      </c>
      <c r="W5563">
        <v>0.19989229999999999</v>
      </c>
      <c r="X5563">
        <v>0.96904829999999997</v>
      </c>
      <c r="Y5563">
        <v>-0.25774279999999999</v>
      </c>
      <c r="Z5563">
        <v>-3.0614079999999998E-3</v>
      </c>
      <c r="AA5563">
        <v>0.96620870000000003</v>
      </c>
      <c r="AB5563">
        <v>32</v>
      </c>
      <c r="AC5563">
        <v>-26.129799999999999</v>
      </c>
      <c r="AD5563">
        <v>-1.115046444136</v>
      </c>
      <c r="AE5563">
        <v>-11.7844</v>
      </c>
      <c r="AF5563">
        <v>-7.4595242606145398</v>
      </c>
      <c r="AG5563">
        <v>-1.115046444136</v>
      </c>
      <c r="AH5563">
        <v>27.631739087903298</v>
      </c>
      <c r="AI5563">
        <v>92.231065394148303</v>
      </c>
      <c r="AJ5563">
        <v>105.10755490826</v>
      </c>
      <c r="AK5563">
        <v>28.642640167925201</v>
      </c>
      <c r="AL5563">
        <v>78.469338816996796</v>
      </c>
      <c r="AM5563">
        <v>98.502814254912806</v>
      </c>
      <c r="AN5563">
        <v>0.99999999311669496</v>
      </c>
    </row>
    <row r="5564" spans="1:40" x14ac:dyDescent="0.25">
      <c r="A5564" t="str">
        <f>"20190304154908559"</f>
        <v>20190304154908559</v>
      </c>
      <c r="B5564" t="str">
        <f>"1551685748552973"</f>
        <v>1551685748552973</v>
      </c>
      <c r="C5564" t="s">
        <v>40</v>
      </c>
      <c r="D5564">
        <v>4.1381809999999897</v>
      </c>
      <c r="E5564">
        <v>0.43115439999999999</v>
      </c>
      <c r="F5564" t="s">
        <v>79</v>
      </c>
      <c r="G5564">
        <v>-415.55070000000001</v>
      </c>
      <c r="H5564" s="1">
        <v>-5.4186629999999999E-6</v>
      </c>
      <c r="I5564">
        <v>128.51150000000001</v>
      </c>
      <c r="J5564">
        <v>-389.77089999999998</v>
      </c>
      <c r="K5564">
        <v>1.115119</v>
      </c>
      <c r="L5564">
        <v>140.2961</v>
      </c>
      <c r="M5564">
        <v>-0.98632790000000004</v>
      </c>
      <c r="N5564">
        <v>-1.458831E-2</v>
      </c>
      <c r="O5564">
        <v>-0.16414819999999999</v>
      </c>
      <c r="P5564">
        <v>-0.93539919999999999</v>
      </c>
      <c r="Q5564">
        <v>0.18651770000000001</v>
      </c>
      <c r="R5564">
        <v>-0.30039919999999998</v>
      </c>
      <c r="S5564">
        <v>-2.8222049999999999</v>
      </c>
      <c r="T5564">
        <v>-0.12063219999999999</v>
      </c>
      <c r="U5564">
        <v>-1.2808379999999999</v>
      </c>
      <c r="V5564">
        <v>-0.14478669999999999</v>
      </c>
      <c r="W5564">
        <v>0.19922319999999999</v>
      </c>
      <c r="X5564">
        <v>0.96919909999999998</v>
      </c>
      <c r="Y5564">
        <v>-0.2579572</v>
      </c>
      <c r="Z5564">
        <v>-2.9320359999999998E-3</v>
      </c>
      <c r="AA5564">
        <v>0.96615189999999995</v>
      </c>
      <c r="AB5564">
        <v>32</v>
      </c>
      <c r="AC5564">
        <v>-25.779800000000002</v>
      </c>
      <c r="AD5564">
        <v>-1.115124418663</v>
      </c>
      <c r="AE5564">
        <v>-11.7845999999999</v>
      </c>
      <c r="AF5564">
        <v>-7.3811345755235198</v>
      </c>
      <c r="AG5564">
        <v>-1.115124418663</v>
      </c>
      <c r="AH5564">
        <v>27.322380831286601</v>
      </c>
      <c r="AI5564">
        <v>92.256351909682493</v>
      </c>
      <c r="AJ5564">
        <v>105.11757231727201</v>
      </c>
      <c r="AK5564">
        <v>28.323791137150799</v>
      </c>
      <c r="AL5564">
        <v>78.508462242404093</v>
      </c>
      <c r="AM5564">
        <v>98.496468243574995</v>
      </c>
      <c r="AN5564">
        <v>0.99999998367796905</v>
      </c>
    </row>
    <row r="5565" spans="1:40" x14ac:dyDescent="0.25">
      <c r="A5565" t="str">
        <f>"20190304154908583"</f>
        <v>20190304154908583</v>
      </c>
      <c r="B5565" t="str">
        <f>"1551685748572493"</f>
        <v>1551685748572493</v>
      </c>
      <c r="C5565" t="s">
        <v>40</v>
      </c>
      <c r="D5565">
        <v>4.1406619999999998</v>
      </c>
      <c r="E5565">
        <v>0.42867929999999999</v>
      </c>
      <c r="F5565" t="s">
        <v>44</v>
      </c>
      <c r="G5565">
        <v>-429.86849999999998</v>
      </c>
      <c r="H5565" s="1">
        <v>-5.9185780000000002E-6</v>
      </c>
      <c r="I5565">
        <v>119.23480000000001</v>
      </c>
      <c r="J5565">
        <v>-390.08670000000001</v>
      </c>
      <c r="K5565">
        <v>1.1151960000000001</v>
      </c>
      <c r="L5565">
        <v>140.23820000000001</v>
      </c>
      <c r="M5565">
        <v>-0.98546710000000004</v>
      </c>
      <c r="N5565">
        <v>-1.4592340000000001E-2</v>
      </c>
      <c r="O5565">
        <v>-0.16923829999999901</v>
      </c>
      <c r="P5565">
        <v>-0.93401350000000005</v>
      </c>
      <c r="Q5565">
        <v>0.18599109999999999</v>
      </c>
      <c r="R5565">
        <v>-0.30500240000000001</v>
      </c>
      <c r="S5565">
        <v>-2.7573850000000002</v>
      </c>
      <c r="T5565">
        <v>-7.6683639999999997E-2</v>
      </c>
      <c r="U5565">
        <v>-1.448318</v>
      </c>
      <c r="V5565">
        <v>-0.1445697</v>
      </c>
      <c r="W5565">
        <v>0.19867779999999999</v>
      </c>
      <c r="X5565">
        <v>0.96934339999999997</v>
      </c>
      <c r="Y5565">
        <v>-0.30831360000000002</v>
      </c>
      <c r="Z5565">
        <v>-4.4100579999999997E-3</v>
      </c>
      <c r="AA5565">
        <v>0.95127459999999997</v>
      </c>
      <c r="AB5565">
        <v>32</v>
      </c>
      <c r="AC5565">
        <v>-39.781799999999897</v>
      </c>
      <c r="AD5565">
        <v>-1.11520191857799</v>
      </c>
      <c r="AE5565">
        <v>-21.003399999999999</v>
      </c>
      <c r="AF5565">
        <v>-13.958464902019699</v>
      </c>
      <c r="AG5565">
        <v>-1.11520191857799</v>
      </c>
      <c r="AH5565">
        <v>42.736525604518597</v>
      </c>
      <c r="AI5565">
        <v>91.420944587757504</v>
      </c>
      <c r="AJ5565">
        <v>108.087904845186</v>
      </c>
      <c r="AK5565">
        <v>44.972136245522002</v>
      </c>
      <c r="AL5565">
        <v>78.540348359304801</v>
      </c>
      <c r="AM5565">
        <v>98.482674990866201</v>
      </c>
      <c r="AN5565">
        <v>0.99999994674724302</v>
      </c>
    </row>
    <row r="5566" spans="1:40" x14ac:dyDescent="0.25">
      <c r="A5566" t="str">
        <f>"20190304154908605"</f>
        <v>20190304154908605</v>
      </c>
      <c r="B5566" t="str">
        <f>"1551685748592988"</f>
        <v>1551685748592988</v>
      </c>
      <c r="C5566" t="s">
        <v>40</v>
      </c>
      <c r="D5566">
        <v>4.1335739999999896</v>
      </c>
      <c r="E5566">
        <v>0.42783070000000001</v>
      </c>
      <c r="F5566" t="s">
        <v>45</v>
      </c>
      <c r="G5566">
        <v>-441.10309999999998</v>
      </c>
      <c r="H5566">
        <v>-0.05</v>
      </c>
      <c r="I5566">
        <v>112.693</v>
      </c>
      <c r="J5566">
        <v>-390.4024</v>
      </c>
      <c r="K5566">
        <v>1.1152740000000001</v>
      </c>
      <c r="L5566">
        <v>140.17859999999999</v>
      </c>
      <c r="M5566">
        <v>-0.98456160000000004</v>
      </c>
      <c r="N5566">
        <v>-1.459657E-2</v>
      </c>
      <c r="O5566">
        <v>-0.17442939999999901</v>
      </c>
      <c r="P5566">
        <v>-0.93227629999999995</v>
      </c>
      <c r="Q5566">
        <v>0.18610789999999999</v>
      </c>
      <c r="R5566">
        <v>-0.31020239999999999</v>
      </c>
      <c r="S5566">
        <v>-2.7411189999999999</v>
      </c>
      <c r="T5566">
        <v>-6.2606220000000004E-2</v>
      </c>
      <c r="U5566">
        <v>-1.480011</v>
      </c>
      <c r="V5566">
        <v>-0.14490629999999999</v>
      </c>
      <c r="W5566">
        <v>0.19876759999999999</v>
      </c>
      <c r="X5566">
        <v>0.96927479999999999</v>
      </c>
      <c r="Y5566">
        <v>-0.3142045</v>
      </c>
      <c r="Z5566">
        <v>-4.5475350000000001E-3</v>
      </c>
      <c r="AA5566">
        <v>0.94934450000000004</v>
      </c>
      <c r="AB5566">
        <v>32</v>
      </c>
      <c r="AC5566">
        <v>-50.700699999999898</v>
      </c>
      <c r="AD5566">
        <v>-1.1652739999999999</v>
      </c>
      <c r="AE5566">
        <v>-27.485599999999899</v>
      </c>
      <c r="AF5566">
        <v>-18.212077488982001</v>
      </c>
      <c r="AG5566">
        <v>-1.1652739999999999</v>
      </c>
      <c r="AH5566">
        <v>54.695752637233703</v>
      </c>
      <c r="AI5566">
        <v>91.157994353095205</v>
      </c>
      <c r="AJ5566">
        <v>108.41624192843599</v>
      </c>
      <c r="AK5566">
        <v>57.659890621758997</v>
      </c>
      <c r="AL5566">
        <v>78.535099301097503</v>
      </c>
      <c r="AM5566">
        <v>98.502729721009203</v>
      </c>
      <c r="AN5566">
        <v>1.00000001625224</v>
      </c>
    </row>
    <row r="5567" spans="1:40" x14ac:dyDescent="0.25">
      <c r="A5567" t="str">
        <f>"20190304154908628"</f>
        <v>20190304154908628</v>
      </c>
      <c r="B5567" t="str">
        <f>"1551685748622268"</f>
        <v>1551685748622268</v>
      </c>
      <c r="C5567" t="s">
        <v>40</v>
      </c>
      <c r="D5567">
        <v>4.1299199999999896</v>
      </c>
      <c r="E5567">
        <v>0.42707220000000001</v>
      </c>
      <c r="F5567" t="s">
        <v>45</v>
      </c>
      <c r="G5567">
        <v>-446.5292</v>
      </c>
      <c r="H5567">
        <v>-0.05</v>
      </c>
      <c r="I5567">
        <v>109.31319999999999</v>
      </c>
      <c r="J5567">
        <v>-390.70490000000001</v>
      </c>
      <c r="K5567">
        <v>1.115343</v>
      </c>
      <c r="L5567">
        <v>140.11969999999999</v>
      </c>
      <c r="M5567">
        <v>-0.98365159999999996</v>
      </c>
      <c r="N5567">
        <v>-1.4600760000000001E-2</v>
      </c>
      <c r="O5567">
        <v>-0.1794898</v>
      </c>
      <c r="P5567">
        <v>-0.93035900000000005</v>
      </c>
      <c r="Q5567">
        <v>0.18628249999999999</v>
      </c>
      <c r="R5567">
        <v>-0.31580239999999998</v>
      </c>
      <c r="S5567">
        <v>-2.729797</v>
      </c>
      <c r="T5567">
        <v>-5.6674599999999999E-2</v>
      </c>
      <c r="U5567">
        <v>-1.5011749999999999</v>
      </c>
      <c r="V5567">
        <v>-0.14579529999999999</v>
      </c>
      <c r="W5567">
        <v>0.19890959999999999</v>
      </c>
      <c r="X5567">
        <v>0.96911230000000004</v>
      </c>
      <c r="Y5567">
        <v>-0.31664910000000002</v>
      </c>
      <c r="Z5567">
        <v>-4.5985069999999999E-3</v>
      </c>
      <c r="AA5567">
        <v>0.94853160000000003</v>
      </c>
      <c r="AB5567">
        <v>32</v>
      </c>
      <c r="AC5567">
        <v>-55.824300000000001</v>
      </c>
      <c r="AD5567">
        <v>-1.165343</v>
      </c>
      <c r="AE5567">
        <v>-30.8065</v>
      </c>
      <c r="AF5567">
        <v>-20.2783565771567</v>
      </c>
      <c r="AG5567">
        <v>-1.165343</v>
      </c>
      <c r="AH5567">
        <v>60.427365315495202</v>
      </c>
      <c r="AI5567">
        <v>91.047422280213297</v>
      </c>
      <c r="AJ5567">
        <v>108.55084313737299</v>
      </c>
      <c r="AK5567">
        <v>63.749794107512798</v>
      </c>
      <c r="AL5567">
        <v>78.526797044374504</v>
      </c>
      <c r="AM5567">
        <v>98.555537676155495</v>
      </c>
      <c r="AN5567">
        <v>0.99999997424276899</v>
      </c>
    </row>
    <row r="5568" spans="1:40" x14ac:dyDescent="0.25">
      <c r="A5568" t="str">
        <f>"20190304154908649"</f>
        <v>20190304154908649</v>
      </c>
      <c r="B5568" t="str">
        <f>"1551685748642765"</f>
        <v>1551685748642765</v>
      </c>
      <c r="C5568" t="s">
        <v>40</v>
      </c>
      <c r="D5568">
        <v>4.1311090000000004</v>
      </c>
      <c r="E5568">
        <v>0.42686160000000001</v>
      </c>
      <c r="F5568" t="s">
        <v>83</v>
      </c>
      <c r="G5568">
        <v>-440.75</v>
      </c>
      <c r="H5568">
        <v>0.17121529999999999</v>
      </c>
      <c r="I5568">
        <v>112.08410000000001</v>
      </c>
      <c r="J5568">
        <v>-391.00799999999998</v>
      </c>
      <c r="K5568">
        <v>1.1154109999999999</v>
      </c>
      <c r="L5568">
        <v>140.059</v>
      </c>
      <c r="M5568">
        <v>-0.98269770000000001</v>
      </c>
      <c r="N5568">
        <v>-1.460502E-2</v>
      </c>
      <c r="O5568">
        <v>-0.1846399</v>
      </c>
      <c r="P5568">
        <v>-0.92843339999999996</v>
      </c>
      <c r="Q5568">
        <v>0.18595729999999999</v>
      </c>
      <c r="R5568">
        <v>-0.32160759999999899</v>
      </c>
      <c r="S5568">
        <v>-2.7179869999999999</v>
      </c>
      <c r="T5568">
        <v>-5.127466E-2</v>
      </c>
      <c r="U5568">
        <v>-1.522629</v>
      </c>
      <c r="V5568">
        <v>-0.1467937</v>
      </c>
      <c r="W5568">
        <v>0.19855220000000001</v>
      </c>
      <c r="X5568">
        <v>0.96903490000000003</v>
      </c>
      <c r="Y5568">
        <v>-0.31914710000000002</v>
      </c>
      <c r="Z5568">
        <v>-4.6608810000000004E-3</v>
      </c>
      <c r="AA5568">
        <v>0.94769369999999997</v>
      </c>
      <c r="AB5568">
        <v>32</v>
      </c>
      <c r="AC5568">
        <v>-49.741999999999898</v>
      </c>
      <c r="AD5568">
        <v>-0.94419569999999997</v>
      </c>
      <c r="AE5568">
        <v>-27.974899999999899</v>
      </c>
      <c r="AF5568">
        <v>-18.303454797767198</v>
      </c>
      <c r="AG5568">
        <v>-0.94419569999999997</v>
      </c>
      <c r="AH5568">
        <v>54.037605954266098</v>
      </c>
      <c r="AI5568">
        <v>90.9481219899574</v>
      </c>
      <c r="AJ5568">
        <v>108.712113317557</v>
      </c>
      <c r="AK5568">
        <v>57.061114783382401</v>
      </c>
      <c r="AL5568">
        <v>78.547691633338701</v>
      </c>
      <c r="AM5568">
        <v>98.613927495519206</v>
      </c>
      <c r="AN5568">
        <v>1.00000000195127</v>
      </c>
    </row>
    <row r="5569" spans="1:40" x14ac:dyDescent="0.25">
      <c r="A5569" t="str">
        <f>"20190304154908673"</f>
        <v>20190304154908673</v>
      </c>
      <c r="B5569" t="str">
        <f>"1551685748662286"</f>
        <v>1551685748662286</v>
      </c>
      <c r="C5569" t="s">
        <v>40</v>
      </c>
      <c r="D5569">
        <v>4.1663649999999999</v>
      </c>
      <c r="E5569">
        <v>0.42673719999999998</v>
      </c>
      <c r="F5569" t="s">
        <v>83</v>
      </c>
      <c r="G5569">
        <v>-440.75</v>
      </c>
      <c r="H5569">
        <v>0.1831786</v>
      </c>
      <c r="I5569">
        <v>111.76090000000001</v>
      </c>
      <c r="J5569">
        <v>-391.3218</v>
      </c>
      <c r="K5569">
        <v>1.1154790000000001</v>
      </c>
      <c r="L5569">
        <v>139.99440000000001</v>
      </c>
      <c r="M5569">
        <v>-0.98166569999999997</v>
      </c>
      <c r="N5569">
        <v>-1.460885E-2</v>
      </c>
      <c r="O5569">
        <v>-0.190051</v>
      </c>
      <c r="P5569">
        <v>-0.92634090000000002</v>
      </c>
      <c r="Q5569">
        <v>0.18610090000000001</v>
      </c>
      <c r="R5569">
        <v>-0.32750499999999999</v>
      </c>
      <c r="S5569">
        <v>-2.7078250000000001</v>
      </c>
      <c r="T5569">
        <v>-5.0746800000000002E-2</v>
      </c>
      <c r="U5569">
        <v>-1.5404659999999999</v>
      </c>
      <c r="V5569">
        <v>-0.14765790000000001</v>
      </c>
      <c r="W5569">
        <v>0.19866429999999999</v>
      </c>
      <c r="X5569">
        <v>0.96888059999999998</v>
      </c>
      <c r="Y5569">
        <v>-0.3201717</v>
      </c>
      <c r="Z5569">
        <v>-4.6687209999999998E-3</v>
      </c>
      <c r="AA5569">
        <v>0.94734810000000003</v>
      </c>
      <c r="AB5569">
        <v>32</v>
      </c>
      <c r="AC5569">
        <v>-49.428199999999997</v>
      </c>
      <c r="AD5569">
        <v>-0.93230040000000003</v>
      </c>
      <c r="AE5569">
        <v>-28.233499999999999</v>
      </c>
      <c r="AF5569">
        <v>-18.319017993298498</v>
      </c>
      <c r="AG5569">
        <v>-0.93230040000000003</v>
      </c>
      <c r="AH5569">
        <v>53.879062616093002</v>
      </c>
      <c r="AI5569">
        <v>90.938566468608897</v>
      </c>
      <c r="AJ5569">
        <v>108.778163531451</v>
      </c>
      <c r="AK5569">
        <v>56.915806175995698</v>
      </c>
      <c r="AL5569">
        <v>78.541138067108903</v>
      </c>
      <c r="AM5569">
        <v>98.665230710337994</v>
      </c>
      <c r="AN5569">
        <v>0.99999998829162895</v>
      </c>
    </row>
    <row r="5570" spans="1:40" x14ac:dyDescent="0.25">
      <c r="A5570" t="str">
        <f>"20190304154908693"</f>
        <v>20190304154908693</v>
      </c>
      <c r="B5570" t="str">
        <f>"1551685748682781"</f>
        <v>1551685748682781</v>
      </c>
      <c r="C5570" t="s">
        <v>40</v>
      </c>
      <c r="D5570">
        <v>4.1405029999999998</v>
      </c>
      <c r="E5570">
        <v>0.4267861</v>
      </c>
      <c r="F5570" t="s">
        <v>83</v>
      </c>
      <c r="G5570">
        <v>-440.75</v>
      </c>
      <c r="H5570">
        <v>0.2201938</v>
      </c>
      <c r="I5570">
        <v>111.43259999999999</v>
      </c>
      <c r="J5570">
        <v>-391.61630000000002</v>
      </c>
      <c r="K5570">
        <v>1.1155379999999999</v>
      </c>
      <c r="L5570">
        <v>139.93180000000001</v>
      </c>
      <c r="M5570">
        <v>-0.98065420000000003</v>
      </c>
      <c r="N5570">
        <v>-1.461203E-2</v>
      </c>
      <c r="O5570">
        <v>-0.19520219999999999</v>
      </c>
      <c r="P5570">
        <v>-0.92449409999999999</v>
      </c>
      <c r="Q5570">
        <v>0.1862096</v>
      </c>
      <c r="R5570">
        <v>-0.332621</v>
      </c>
      <c r="S5570">
        <v>-2.6972960000000001</v>
      </c>
      <c r="T5570">
        <v>-4.8854109999999999E-2</v>
      </c>
      <c r="U5570">
        <v>-1.5586089999999999</v>
      </c>
      <c r="V5570">
        <v>-0.14796010000000001</v>
      </c>
      <c r="W5570">
        <v>0.1987526</v>
      </c>
      <c r="X5570">
        <v>0.96881640000000002</v>
      </c>
      <c r="Y5570">
        <v>-0.32158009999999998</v>
      </c>
      <c r="Z5570">
        <v>-4.6993579999999998E-3</v>
      </c>
      <c r="AA5570">
        <v>0.94687069999999995</v>
      </c>
      <c r="AB5570">
        <v>32</v>
      </c>
      <c r="AC5570">
        <v>-49.133699999999898</v>
      </c>
      <c r="AD5570">
        <v>-0.89534419999999904</v>
      </c>
      <c r="AE5570">
        <v>-28.499199999999998</v>
      </c>
      <c r="AF5570">
        <v>-18.3542527499452</v>
      </c>
      <c r="AG5570">
        <v>-0.89534419999999904</v>
      </c>
      <c r="AH5570">
        <v>53.738660173090501</v>
      </c>
      <c r="AI5570">
        <v>90.903296901158399</v>
      </c>
      <c r="AJ5570">
        <v>108.857423389852</v>
      </c>
      <c r="AK5570">
        <v>56.793695358237201</v>
      </c>
      <c r="AL5570">
        <v>78.535976069214399</v>
      </c>
      <c r="AM5570">
        <v>98.683261770164194</v>
      </c>
      <c r="AN5570">
        <v>1.00000000205386</v>
      </c>
    </row>
    <row r="5571" spans="1:40" x14ac:dyDescent="0.25">
      <c r="A5571" t="str">
        <f>"20190304154908716"</f>
        <v>20190304154908716</v>
      </c>
      <c r="B5571" t="str">
        <f>"1551685748713037"</f>
        <v>1551685748713037</v>
      </c>
      <c r="C5571" t="s">
        <v>40</v>
      </c>
      <c r="D5571">
        <v>4.1563860000000004</v>
      </c>
      <c r="E5571">
        <v>0.42714010000000002</v>
      </c>
      <c r="F5571" t="s">
        <v>83</v>
      </c>
      <c r="G5571">
        <v>-440.75</v>
      </c>
      <c r="H5571">
        <v>0.25418410000000002</v>
      </c>
      <c r="I5571">
        <v>111.17</v>
      </c>
      <c r="J5571">
        <v>-391.9264</v>
      </c>
      <c r="K5571">
        <v>1.115585</v>
      </c>
      <c r="L5571">
        <v>139.86420000000001</v>
      </c>
      <c r="M5571">
        <v>-0.97954750000000002</v>
      </c>
      <c r="N5571">
        <v>-1.461494E-2</v>
      </c>
      <c r="O5571">
        <v>-0.2006819</v>
      </c>
      <c r="P5571">
        <v>-0.922346</v>
      </c>
      <c r="Q5571">
        <v>0.1864159</v>
      </c>
      <c r="R5571">
        <v>-0.33841830000000001</v>
      </c>
      <c r="S5571">
        <v>-2.6883240000000002</v>
      </c>
      <c r="T5571">
        <v>-4.7127009999999997E-2</v>
      </c>
      <c r="U5571">
        <v>-1.573685</v>
      </c>
      <c r="V5571">
        <v>-0.14866079999999901</v>
      </c>
      <c r="W5571">
        <v>0.19893530000000001</v>
      </c>
      <c r="X5571">
        <v>0.96867159999999997</v>
      </c>
      <c r="Y5571">
        <v>-0.32162230000000003</v>
      </c>
      <c r="Z5571">
        <v>-4.711186E-3</v>
      </c>
      <c r="AA5571">
        <v>0.94685629999999998</v>
      </c>
      <c r="AB5571">
        <v>32</v>
      </c>
      <c r="AC5571">
        <v>-48.823599999999999</v>
      </c>
      <c r="AD5571">
        <v>-0.86140090000000002</v>
      </c>
      <c r="AE5571">
        <v>-28.694199999999999</v>
      </c>
      <c r="AF5571">
        <v>-18.307038010947299</v>
      </c>
      <c r="AG5571">
        <v>-0.86140090000000002</v>
      </c>
      <c r="AH5571">
        <v>53.576766249118997</v>
      </c>
      <c r="AI5571">
        <v>90.871642898565</v>
      </c>
      <c r="AJ5571">
        <v>108.865160800194</v>
      </c>
      <c r="AK5571">
        <v>56.624725464743101</v>
      </c>
      <c r="AL5571">
        <v>78.525294556997594</v>
      </c>
      <c r="AM5571">
        <v>98.7250362531272</v>
      </c>
      <c r="AN5571">
        <v>0.99999997784464401</v>
      </c>
    </row>
    <row r="5572" spans="1:40" x14ac:dyDescent="0.25">
      <c r="A5572" t="str">
        <f>"20190304154908738"</f>
        <v>20190304154908738</v>
      </c>
      <c r="B5572" t="str">
        <f>"1551685748732557"</f>
        <v>1551685748732557</v>
      </c>
      <c r="C5572" t="s">
        <v>40</v>
      </c>
      <c r="D5572">
        <v>4.1308850000000001</v>
      </c>
      <c r="E5572">
        <v>0.4274985</v>
      </c>
      <c r="F5572" t="s">
        <v>83</v>
      </c>
      <c r="G5572">
        <v>-440.75</v>
      </c>
      <c r="H5572">
        <v>0.2450937</v>
      </c>
      <c r="I5572">
        <v>110.9422</v>
      </c>
      <c r="J5572">
        <v>-392.23070000000001</v>
      </c>
      <c r="K5572">
        <v>1.115621</v>
      </c>
      <c r="L5572">
        <v>139.79599999999999</v>
      </c>
      <c r="M5572">
        <v>-0.97842059999999997</v>
      </c>
      <c r="N5572">
        <v>-1.461722E-2</v>
      </c>
      <c r="O5572">
        <v>-0.20610609999999999</v>
      </c>
      <c r="P5572">
        <v>-0.92022590000000004</v>
      </c>
      <c r="Q5572">
        <v>0.1858921</v>
      </c>
      <c r="R5572">
        <v>-0.3444255</v>
      </c>
      <c r="S5572">
        <v>-2.6797490000000002</v>
      </c>
      <c r="T5572">
        <v>-4.777646E-2</v>
      </c>
      <c r="U5572">
        <v>-1.587418</v>
      </c>
      <c r="V5572">
        <v>-0.1496024</v>
      </c>
      <c r="W5572">
        <v>0.19839000000000001</v>
      </c>
      <c r="X5572">
        <v>0.96863849999999996</v>
      </c>
      <c r="Y5572">
        <v>-0.32129459999999999</v>
      </c>
      <c r="Z5572">
        <v>-4.6891440000000001E-3</v>
      </c>
      <c r="AA5572">
        <v>0.94696769999999997</v>
      </c>
      <c r="AB5572">
        <v>32</v>
      </c>
      <c r="AC5572">
        <v>-48.519299999999902</v>
      </c>
      <c r="AD5572">
        <v>-0.8705273</v>
      </c>
      <c r="AE5572">
        <v>-28.8538</v>
      </c>
      <c r="AF5572">
        <v>-18.228639282201801</v>
      </c>
      <c r="AG5572">
        <v>-0.8705273</v>
      </c>
      <c r="AH5572">
        <v>53.412225770564902</v>
      </c>
      <c r="AI5572">
        <v>90.883701722420298</v>
      </c>
      <c r="AJ5572">
        <v>108.84385707883401</v>
      </c>
      <c r="AK5572">
        <v>56.443839075903398</v>
      </c>
      <c r="AL5572">
        <v>78.557173694510993</v>
      </c>
      <c r="AM5572">
        <v>98.779736598366597</v>
      </c>
      <c r="AN5572">
        <v>1.000000006934</v>
      </c>
    </row>
    <row r="5573" spans="1:40" x14ac:dyDescent="0.25">
      <c r="A5573" t="str">
        <f>"20190304154908761"</f>
        <v>20190304154908761</v>
      </c>
      <c r="B5573" t="str">
        <f>"1551685748753053"</f>
        <v>1551685748753053</v>
      </c>
      <c r="C5573" t="s">
        <v>40</v>
      </c>
      <c r="D5573">
        <v>4.1347379999999996</v>
      </c>
      <c r="E5573">
        <v>0.42781249999999998</v>
      </c>
      <c r="F5573" t="s">
        <v>83</v>
      </c>
      <c r="G5573">
        <v>-440.75</v>
      </c>
      <c r="H5573">
        <v>0.1914257</v>
      </c>
      <c r="I5573">
        <v>110.70269999999999</v>
      </c>
      <c r="J5573">
        <v>-392.53930000000003</v>
      </c>
      <c r="K5573">
        <v>1.1156459999999999</v>
      </c>
      <c r="L5573">
        <v>139.72499999999999</v>
      </c>
      <c r="M5573">
        <v>-0.97723579999999999</v>
      </c>
      <c r="N5573">
        <v>-1.461893E-2</v>
      </c>
      <c r="O5573">
        <v>-0.21165229999999999</v>
      </c>
      <c r="P5573">
        <v>-0.91807680000000003</v>
      </c>
      <c r="Q5573">
        <v>0.18523870000000001</v>
      </c>
      <c r="R5573">
        <v>-0.35046040000000001</v>
      </c>
      <c r="S5573">
        <v>-2.6709290000000001</v>
      </c>
      <c r="T5573">
        <v>-5.0874229999999999E-2</v>
      </c>
      <c r="U5573">
        <v>-1.6015469999999901</v>
      </c>
      <c r="V5573">
        <v>-0.1504499</v>
      </c>
      <c r="W5573">
        <v>0.19771739999999999</v>
      </c>
      <c r="X5573">
        <v>0.96864470000000003</v>
      </c>
      <c r="Y5573">
        <v>-0.32097989999999998</v>
      </c>
      <c r="Z5573">
        <v>-4.6246009999999999E-3</v>
      </c>
      <c r="AA5573">
        <v>0.94707470000000005</v>
      </c>
      <c r="AB5573">
        <v>31</v>
      </c>
      <c r="AC5573">
        <v>-48.210699999999903</v>
      </c>
      <c r="AD5573">
        <v>-0.92422029999999999</v>
      </c>
      <c r="AE5573">
        <v>-29.022300000000001</v>
      </c>
      <c r="AF5573">
        <v>-18.154766361445098</v>
      </c>
      <c r="AG5573">
        <v>-0.92422029999999999</v>
      </c>
      <c r="AH5573">
        <v>53.247180909569003</v>
      </c>
      <c r="AI5573">
        <v>90.9412001049526</v>
      </c>
      <c r="AJ5573">
        <v>108.82694485070699</v>
      </c>
      <c r="AK5573">
        <v>56.264660308385103</v>
      </c>
      <c r="AL5573">
        <v>78.596488966861997</v>
      </c>
      <c r="AM5573">
        <v>98.828636912298705</v>
      </c>
      <c r="AN5573">
        <v>0.99999994875542797</v>
      </c>
    </row>
    <row r="5574" spans="1:40" x14ac:dyDescent="0.25">
      <c r="A5574" t="str">
        <f>"20190304154908778"</f>
        <v>20190304154908778</v>
      </c>
      <c r="B5574" t="str">
        <f>"1551685748772573"</f>
        <v>1551685748772573</v>
      </c>
      <c r="C5574" t="s">
        <v>40</v>
      </c>
      <c r="D5574">
        <v>4.1129670000000003</v>
      </c>
      <c r="E5574">
        <v>0.42817640000000001</v>
      </c>
      <c r="F5574" t="s">
        <v>45</v>
      </c>
      <c r="G5574">
        <v>-450.65219999999999</v>
      </c>
      <c r="H5574">
        <v>-0.05</v>
      </c>
      <c r="I5574">
        <v>104.42010000000001</v>
      </c>
      <c r="J5574">
        <v>-392.76589999999999</v>
      </c>
      <c r="K5574">
        <v>1.1156649999999999</v>
      </c>
      <c r="L5574">
        <v>139.67169999999999</v>
      </c>
      <c r="M5574">
        <v>-0.97633910000000002</v>
      </c>
      <c r="N5574">
        <v>-1.461992E-2</v>
      </c>
      <c r="O5574">
        <v>-0.2157511</v>
      </c>
      <c r="P5574">
        <v>-0.91658070000000003</v>
      </c>
      <c r="Q5574">
        <v>0.18463460000000001</v>
      </c>
      <c r="R5574">
        <v>-0.35466890000000001</v>
      </c>
      <c r="S5574">
        <v>-2.6612849999999999</v>
      </c>
      <c r="T5574">
        <v>-5.3380850000000001E-2</v>
      </c>
      <c r="U5574">
        <v>-1.6167910000000001</v>
      </c>
      <c r="V5574">
        <v>-0.15080750000000001</v>
      </c>
      <c r="W5574">
        <v>0.19710359999999999</v>
      </c>
      <c r="X5574">
        <v>0.96871419999999997</v>
      </c>
      <c r="Y5574">
        <v>-0.32248389999999999</v>
      </c>
      <c r="Z5574">
        <v>-4.5944849999999997E-3</v>
      </c>
      <c r="AA5574">
        <v>0.94656379999999996</v>
      </c>
      <c r="AB5574">
        <v>31</v>
      </c>
      <c r="AC5574">
        <v>-57.886299999999999</v>
      </c>
      <c r="AD5574">
        <v>-1.165665</v>
      </c>
      <c r="AE5574">
        <v>-35.251599999999897</v>
      </c>
      <c r="AF5574">
        <v>-21.924337627320401</v>
      </c>
      <c r="AG5574">
        <v>-1.165665</v>
      </c>
      <c r="AH5574">
        <v>64.110109229247996</v>
      </c>
      <c r="AI5574">
        <v>90.985621525466001</v>
      </c>
      <c r="AJ5574">
        <v>108.879632012653</v>
      </c>
      <c r="AK5574">
        <v>67.765341146304905</v>
      </c>
      <c r="AL5574">
        <v>78.632363290131096</v>
      </c>
      <c r="AM5574">
        <v>98.848664856452302</v>
      </c>
      <c r="AN5574">
        <v>0.99999996623542398</v>
      </c>
    </row>
    <row r="5575" spans="1:40" x14ac:dyDescent="0.25">
      <c r="A5575" t="str">
        <f>"20190304154908795"</f>
        <v>20190304154908795</v>
      </c>
      <c r="B5575" t="str">
        <f>"1551685748793071"</f>
        <v>1551685748793071</v>
      </c>
      <c r="C5575" t="s">
        <v>40</v>
      </c>
      <c r="D5575">
        <v>4.1598889999999997</v>
      </c>
      <c r="E5575">
        <v>0.42834329999999998</v>
      </c>
      <c r="F5575" t="s">
        <v>45</v>
      </c>
      <c r="G5575">
        <v>-447.72570000000002</v>
      </c>
      <c r="H5575">
        <v>-0.05</v>
      </c>
      <c r="I5575">
        <v>106.0057</v>
      </c>
      <c r="J5575">
        <v>-392.99200000000002</v>
      </c>
      <c r="K5575">
        <v>1.115675</v>
      </c>
      <c r="L5575">
        <v>139.61760000000001</v>
      </c>
      <c r="M5575">
        <v>-0.97542180000000001</v>
      </c>
      <c r="N5575">
        <v>-1.462078E-2</v>
      </c>
      <c r="O5575">
        <v>-0.21986059999999999</v>
      </c>
      <c r="P5575">
        <v>-0.91484929999999998</v>
      </c>
      <c r="Q5575">
        <v>0.18407190000000001</v>
      </c>
      <c r="R5575">
        <v>-0.3594002</v>
      </c>
      <c r="S5575">
        <v>-2.6550600000000002</v>
      </c>
      <c r="T5575">
        <v>-5.6312199999999903E-2</v>
      </c>
      <c r="U5575">
        <v>-1.6263729999999901</v>
      </c>
      <c r="V5575">
        <v>-0.15171419999999999</v>
      </c>
      <c r="W5575">
        <v>0.1965239</v>
      </c>
      <c r="X5575">
        <v>0.96869050000000001</v>
      </c>
      <c r="Y5575">
        <v>-0.32196370000000002</v>
      </c>
      <c r="Z5575">
        <v>-4.5157009999999996E-3</v>
      </c>
      <c r="AA5575">
        <v>0.94674119999999995</v>
      </c>
      <c r="AB5575">
        <v>31</v>
      </c>
      <c r="AC5575">
        <v>-54.733699999999999</v>
      </c>
      <c r="AD5575">
        <v>-1.165675</v>
      </c>
      <c r="AE5575">
        <v>-33.611899999999999</v>
      </c>
      <c r="AF5575">
        <v>-20.7473794301754</v>
      </c>
      <c r="AG5575">
        <v>-1.165675</v>
      </c>
      <c r="AH5575">
        <v>60.764856041070502</v>
      </c>
      <c r="AI5575">
        <v>91.040052218773198</v>
      </c>
      <c r="AJ5575">
        <v>108.85181117850399</v>
      </c>
      <c r="AK5575">
        <v>64.219781073414694</v>
      </c>
      <c r="AL5575">
        <v>78.666241372773797</v>
      </c>
      <c r="AM5575">
        <v>98.901230601559405</v>
      </c>
      <c r="AN5575">
        <v>1.00000006327154</v>
      </c>
    </row>
    <row r="5576" spans="1:40" x14ac:dyDescent="0.25">
      <c r="A5576" t="str">
        <f>"20190304154908818"</f>
        <v>20190304154908818</v>
      </c>
      <c r="B5576" t="str">
        <f>"1551685748812298"</f>
        <v>1551685748812298</v>
      </c>
      <c r="C5576" t="s">
        <v>40</v>
      </c>
      <c r="D5576">
        <v>4.1338179999999998</v>
      </c>
      <c r="E5576">
        <v>0.43541419999999997</v>
      </c>
      <c r="F5576" t="s">
        <v>45</v>
      </c>
      <c r="G5576">
        <v>-445.93490000000003</v>
      </c>
      <c r="H5576">
        <v>-0.05</v>
      </c>
      <c r="I5576">
        <v>106.8386</v>
      </c>
      <c r="J5576">
        <v>-393.30079999999998</v>
      </c>
      <c r="K5576">
        <v>1.115699</v>
      </c>
      <c r="L5576">
        <v>139.54179999999999</v>
      </c>
      <c r="M5576">
        <v>-0.97413070000000002</v>
      </c>
      <c r="N5576">
        <v>-1.4621810000000001E-2</v>
      </c>
      <c r="O5576">
        <v>-0.2255115</v>
      </c>
      <c r="P5576">
        <v>-0.91267259999999995</v>
      </c>
      <c r="Q5576">
        <v>0.1833157</v>
      </c>
      <c r="R5576">
        <v>-0.3652726</v>
      </c>
      <c r="S5576">
        <v>-2.6470950000000002</v>
      </c>
      <c r="T5576">
        <v>-5.8282609999999999E-2</v>
      </c>
      <c r="U5576">
        <v>-1.638916</v>
      </c>
      <c r="V5576">
        <v>-0.15229609999999999</v>
      </c>
      <c r="W5576">
        <v>0.19575339999999999</v>
      </c>
      <c r="X5576">
        <v>0.96875509999999998</v>
      </c>
      <c r="Y5576">
        <v>-0.32098870000000002</v>
      </c>
      <c r="Z5576">
        <v>-4.4315539999999999E-3</v>
      </c>
      <c r="AA5576">
        <v>0.94707260000000004</v>
      </c>
      <c r="AB5576">
        <v>31</v>
      </c>
      <c r="AC5576">
        <v>-52.634099999999997</v>
      </c>
      <c r="AD5576">
        <v>-1.165699</v>
      </c>
      <c r="AE5576">
        <v>-32.703199999999903</v>
      </c>
      <c r="AF5576">
        <v>-19.9826631984355</v>
      </c>
      <c r="AG5576">
        <v>-1.165699</v>
      </c>
      <c r="AH5576">
        <v>58.632965797182699</v>
      </c>
      <c r="AI5576">
        <v>91.078088606619403</v>
      </c>
      <c r="AJ5576">
        <v>108.81959034546701</v>
      </c>
      <c r="AK5576">
        <v>61.955551493262597</v>
      </c>
      <c r="AL5576">
        <v>78.711261177122296</v>
      </c>
      <c r="AM5576">
        <v>98.934235312475593</v>
      </c>
      <c r="AN5576">
        <v>0.99999996973138905</v>
      </c>
    </row>
    <row r="5577" spans="1:40" x14ac:dyDescent="0.25">
      <c r="A5577" t="str">
        <f>"20190304154908840"</f>
        <v>20190304154908840</v>
      </c>
      <c r="B5577" t="str">
        <f>"1551685748832794"</f>
        <v>1551685748832794</v>
      </c>
      <c r="C5577" t="s">
        <v>40</v>
      </c>
      <c r="D5577">
        <v>4.1418660000000003</v>
      </c>
      <c r="E5577">
        <v>0.43637320000000002</v>
      </c>
      <c r="F5577" t="s">
        <v>44</v>
      </c>
      <c r="G5577">
        <v>-429.95780000000002</v>
      </c>
      <c r="H5577">
        <v>3.0160559999999999E-2</v>
      </c>
      <c r="I5577">
        <v>117.4401</v>
      </c>
      <c r="J5577">
        <v>-393.60140000000001</v>
      </c>
      <c r="K5577">
        <v>1.115726</v>
      </c>
      <c r="L5577">
        <v>139.46610000000001</v>
      </c>
      <c r="M5577">
        <v>-0.97283180000000002</v>
      </c>
      <c r="N5577">
        <v>-1.4622889999999999E-2</v>
      </c>
      <c r="O5577">
        <v>-0.23105100000000001</v>
      </c>
      <c r="P5577">
        <v>-0.91019269999999997</v>
      </c>
      <c r="Q5577">
        <v>0.1832134</v>
      </c>
      <c r="R5577">
        <v>-0.37146000000000001</v>
      </c>
      <c r="S5577">
        <v>-2.6607970000000001</v>
      </c>
      <c r="T5577">
        <v>-7.8795309999999993E-2</v>
      </c>
      <c r="U5577">
        <v>-1.604279</v>
      </c>
      <c r="V5577">
        <v>-0.15336929999999999</v>
      </c>
      <c r="W5577">
        <v>0.19562760000000001</v>
      </c>
      <c r="X5577">
        <v>0.96861120000000001</v>
      </c>
      <c r="Y5577">
        <v>-0.304336</v>
      </c>
      <c r="Z5577">
        <v>-3.5833739999999998E-3</v>
      </c>
      <c r="AA5577">
        <v>0.95255800000000002</v>
      </c>
      <c r="AB5577">
        <v>31</v>
      </c>
      <c r="AC5577">
        <v>-36.356400000000001</v>
      </c>
      <c r="AD5577">
        <v>-1.0855654400000001</v>
      </c>
      <c r="AE5577">
        <v>-22.026</v>
      </c>
      <c r="AF5577">
        <v>-13.0203113730011</v>
      </c>
      <c r="AG5577">
        <v>-1.0855654400000001</v>
      </c>
      <c r="AH5577">
        <v>40.435743937272598</v>
      </c>
      <c r="AI5577">
        <v>91.463849115469898</v>
      </c>
      <c r="AJ5577">
        <v>107.84856089305499</v>
      </c>
      <c r="AK5577">
        <v>42.4941919364882</v>
      </c>
      <c r="AL5577">
        <v>78.718611191071702</v>
      </c>
      <c r="AM5577">
        <v>98.997481577041896</v>
      </c>
      <c r="AN5577">
        <v>0.999999978414844</v>
      </c>
    </row>
    <row r="5578" spans="1:40" x14ac:dyDescent="0.25">
      <c r="A5578" t="str">
        <f>"20190304154908862"</f>
        <v>20190304154908862</v>
      </c>
      <c r="B5578" t="str">
        <f>"1551685748852314"</f>
        <v>1551685748852314</v>
      </c>
      <c r="C5578" t="s">
        <v>40</v>
      </c>
      <c r="D5578">
        <v>4.1277889999999999</v>
      </c>
      <c r="E5578">
        <v>0.43699090000000002</v>
      </c>
      <c r="F5578" t="s">
        <v>44</v>
      </c>
      <c r="G5578">
        <v>-429.95780000000002</v>
      </c>
      <c r="H5578">
        <v>2.627123E-2</v>
      </c>
      <c r="I5578">
        <v>117.3344</v>
      </c>
      <c r="J5578">
        <v>-393.8972</v>
      </c>
      <c r="K5578">
        <v>1.115756</v>
      </c>
      <c r="L5578">
        <v>139.38990000000001</v>
      </c>
      <c r="M5578">
        <v>-0.97151149999999997</v>
      </c>
      <c r="N5578">
        <v>-1.462396E-2</v>
      </c>
      <c r="O5578">
        <v>-0.23654120000000001</v>
      </c>
      <c r="P5578">
        <v>-0.90779609999999999</v>
      </c>
      <c r="Q5578">
        <v>0.1830358</v>
      </c>
      <c r="R5578">
        <v>-0.37736459999999999</v>
      </c>
      <c r="S5578">
        <v>-2.6529850000000001</v>
      </c>
      <c r="T5578">
        <v>-7.9499479999999997E-2</v>
      </c>
      <c r="U5578">
        <v>-1.6149899999999999</v>
      </c>
      <c r="V5578">
        <v>-0.15419620000000001</v>
      </c>
      <c r="W5578">
        <v>0.19542979999999999</v>
      </c>
      <c r="X5578">
        <v>0.96851989999999999</v>
      </c>
      <c r="Y5578">
        <v>-0.3030062</v>
      </c>
      <c r="Z5578">
        <v>-3.4686249999999999E-3</v>
      </c>
      <c r="AA5578">
        <v>0.9529822</v>
      </c>
      <c r="AB5578">
        <v>31</v>
      </c>
      <c r="AC5578">
        <v>-36.060600000000001</v>
      </c>
      <c r="AD5578">
        <v>-1.0894847700000001</v>
      </c>
      <c r="AE5578">
        <v>-22.055499999999999</v>
      </c>
      <c r="AF5578">
        <v>-12.890169451574399</v>
      </c>
      <c r="AG5578">
        <v>-1.0894847700000001</v>
      </c>
      <c r="AH5578">
        <v>40.227899440816799</v>
      </c>
      <c r="AI5578">
        <v>91.477394608740696</v>
      </c>
      <c r="AJ5578">
        <v>107.766944709114</v>
      </c>
      <c r="AK5578">
        <v>42.256683956207802</v>
      </c>
      <c r="AL5578">
        <v>78.730168008549995</v>
      </c>
      <c r="AM5578">
        <v>99.046030723969395</v>
      </c>
      <c r="AN5578">
        <v>1.00000003575924</v>
      </c>
    </row>
    <row r="5579" spans="1:40" x14ac:dyDescent="0.25">
      <c r="A5579" t="str">
        <f>"20190304154908883"</f>
        <v>20190304154908883</v>
      </c>
      <c r="B5579" t="str">
        <f>"1551685748872810"</f>
        <v>1551685748872810</v>
      </c>
      <c r="C5579" t="s">
        <v>40</v>
      </c>
      <c r="D5579">
        <v>4.160882</v>
      </c>
      <c r="E5579">
        <v>0.43768800000000002</v>
      </c>
      <c r="F5579" t="s">
        <v>44</v>
      </c>
      <c r="G5579">
        <v>-429.95780000000002</v>
      </c>
      <c r="H5579">
        <v>3.5251289999999998E-2</v>
      </c>
      <c r="I5579">
        <v>117.19110000000001</v>
      </c>
      <c r="J5579">
        <v>-394.18939999999998</v>
      </c>
      <c r="K5579">
        <v>1.1157870000000001</v>
      </c>
      <c r="L5579">
        <v>139.31280000000001</v>
      </c>
      <c r="M5579">
        <v>-0.97016219999999997</v>
      </c>
      <c r="N5579">
        <v>-1.462507E-2</v>
      </c>
      <c r="O5579">
        <v>-0.24201520000000001</v>
      </c>
      <c r="P5579">
        <v>-0.90559690000000004</v>
      </c>
      <c r="Q5579">
        <v>0.18231549999999999</v>
      </c>
      <c r="R5579">
        <v>-0.38295580000000001</v>
      </c>
      <c r="S5579">
        <v>-2.6440730000000001</v>
      </c>
      <c r="T5579">
        <v>-7.9225899999999905E-2</v>
      </c>
      <c r="U5579">
        <v>-1.627686</v>
      </c>
      <c r="V5579">
        <v>-0.15468009999999999</v>
      </c>
      <c r="W5579">
        <v>0.19469500000000001</v>
      </c>
      <c r="X5579">
        <v>0.96859070000000003</v>
      </c>
      <c r="Y5579">
        <v>-0.30238480000000001</v>
      </c>
      <c r="Z5579">
        <v>-3.394916E-3</v>
      </c>
      <c r="AA5579">
        <v>0.95317989999999997</v>
      </c>
      <c r="AB5579">
        <v>31</v>
      </c>
      <c r="AC5579">
        <v>-35.7684</v>
      </c>
      <c r="AD5579">
        <v>-1.0805357099999999</v>
      </c>
      <c r="AE5579">
        <v>-22.121700000000001</v>
      </c>
      <c r="AF5579">
        <v>-12.798062650648101</v>
      </c>
      <c r="AG5579">
        <v>-1.0805357099999999</v>
      </c>
      <c r="AH5579">
        <v>40.032797018108703</v>
      </c>
      <c r="AI5579">
        <v>91.472718342420606</v>
      </c>
      <c r="AJ5579">
        <v>107.72852947281601</v>
      </c>
      <c r="AK5579">
        <v>42.0426307707259</v>
      </c>
      <c r="AL5579">
        <v>78.773093219770104</v>
      </c>
      <c r="AM5579">
        <v>99.073295250132304</v>
      </c>
      <c r="AN5579">
        <v>1.0000000102437501</v>
      </c>
    </row>
    <row r="5580" spans="1:40" x14ac:dyDescent="0.25">
      <c r="A5580" t="str">
        <f>"20190304154908907"</f>
        <v>20190304154908907</v>
      </c>
      <c r="B5580" t="str">
        <f>"1551685748902467"</f>
        <v>1551685748902467</v>
      </c>
      <c r="C5580" t="s">
        <v>40</v>
      </c>
      <c r="D5580">
        <v>4.1654429999999998</v>
      </c>
      <c r="E5580">
        <v>0.43829489999999999</v>
      </c>
      <c r="F5580" t="s">
        <v>44</v>
      </c>
      <c r="G5580">
        <v>-429.69279999999998</v>
      </c>
      <c r="H5580" s="1">
        <v>-5.209582E-6</v>
      </c>
      <c r="I5580">
        <v>117.24299999999999</v>
      </c>
      <c r="J5580">
        <v>-394.49380000000002</v>
      </c>
      <c r="K5580">
        <v>1.1158250000000001</v>
      </c>
      <c r="L5580">
        <v>139.23060000000001</v>
      </c>
      <c r="M5580">
        <v>-0.96870579999999995</v>
      </c>
      <c r="N5580">
        <v>-1.4626599999999899E-2</v>
      </c>
      <c r="O5580">
        <v>-0.2477809</v>
      </c>
      <c r="P5580">
        <v>-0.90303520000000004</v>
      </c>
      <c r="Q5580">
        <v>0.18255730000000001</v>
      </c>
      <c r="R5580">
        <v>-0.38884600000000002</v>
      </c>
      <c r="S5580">
        <v>-2.6363829999999999</v>
      </c>
      <c r="T5580">
        <v>-8.2855460000000006E-2</v>
      </c>
      <c r="U5580">
        <v>-1.6388400000000001</v>
      </c>
      <c r="V5580">
        <v>-0.15526209999999999</v>
      </c>
      <c r="W5580">
        <v>0.19491530000000001</v>
      </c>
      <c r="X5580">
        <v>0.96845329999999996</v>
      </c>
      <c r="Y5580">
        <v>-0.3008633</v>
      </c>
      <c r="Z5580">
        <v>-3.1761649999999999E-3</v>
      </c>
      <c r="AA5580">
        <v>0.95366200000000001</v>
      </c>
      <c r="AB5580">
        <v>31</v>
      </c>
      <c r="AC5580">
        <v>-35.198999999999899</v>
      </c>
      <c r="AD5580">
        <v>-1.1158302095819901</v>
      </c>
      <c r="AE5580">
        <v>-21.9876</v>
      </c>
      <c r="AF5580">
        <v>-12.5701334148839</v>
      </c>
      <c r="AG5580">
        <v>-1.1158302095819901</v>
      </c>
      <c r="AH5580">
        <v>39.521240416261797</v>
      </c>
      <c r="AI5580">
        <v>91.541202668788898</v>
      </c>
      <c r="AJ5580">
        <v>107.64379610901899</v>
      </c>
      <c r="AK5580">
        <v>41.487127824959899</v>
      </c>
      <c r="AL5580">
        <v>78.760224803879296</v>
      </c>
      <c r="AM5580">
        <v>99.108133815568493</v>
      </c>
      <c r="AN5580">
        <v>1.00000004407569</v>
      </c>
    </row>
    <row r="5581" spans="1:40" x14ac:dyDescent="0.25">
      <c r="A5581" t="str">
        <f>"20190304154908928"</f>
        <v>20190304154908928</v>
      </c>
      <c r="B5581" t="str">
        <f>"1551685748922941"</f>
        <v>1551685748922941</v>
      </c>
      <c r="C5581" t="s">
        <v>40</v>
      </c>
      <c r="D5581">
        <v>4.1452749999999998</v>
      </c>
      <c r="E5581">
        <v>0.43875910000000001</v>
      </c>
      <c r="F5581" t="s">
        <v>44</v>
      </c>
      <c r="G5581">
        <v>-429.6001</v>
      </c>
      <c r="H5581" s="1">
        <v>-5.1670219999999898E-6</v>
      </c>
      <c r="I5581">
        <v>117.16630000000001</v>
      </c>
      <c r="J5581">
        <v>-394.79349999999999</v>
      </c>
      <c r="K5581">
        <v>1.115872</v>
      </c>
      <c r="L5581">
        <v>139.14769999999999</v>
      </c>
      <c r="M5581">
        <v>-0.96721710000000005</v>
      </c>
      <c r="N5581">
        <v>-1.4628739999999999E-2</v>
      </c>
      <c r="O5581">
        <v>-0.25352930000000001</v>
      </c>
      <c r="P5581">
        <v>-0.9004607</v>
      </c>
      <c r="Q5581">
        <v>0.1832733</v>
      </c>
      <c r="R5581">
        <v>-0.39443810000000001</v>
      </c>
      <c r="S5581">
        <v>-2.6278380000000001</v>
      </c>
      <c r="T5581">
        <v>-8.3524109999999999E-2</v>
      </c>
      <c r="U5581">
        <v>-1.6515959999999901</v>
      </c>
      <c r="V5581">
        <v>-0.15558359999999999</v>
      </c>
      <c r="W5581">
        <v>0.1956107</v>
      </c>
      <c r="X5581">
        <v>0.96826140000000005</v>
      </c>
      <c r="Y5581">
        <v>-0.29991410000000002</v>
      </c>
      <c r="Z5581">
        <v>-3.0548089999999999E-3</v>
      </c>
      <c r="AA5581">
        <v>0.95396130000000001</v>
      </c>
      <c r="AB5581">
        <v>31</v>
      </c>
      <c r="AC5581">
        <v>-34.806600000000003</v>
      </c>
      <c r="AD5581">
        <v>-1.115877167022</v>
      </c>
      <c r="AE5581">
        <v>-21.981399999999901</v>
      </c>
      <c r="AF5581">
        <v>-12.4284918307876</v>
      </c>
      <c r="AG5581">
        <v>-1.115877167022</v>
      </c>
      <c r="AH5581">
        <v>39.213853657430398</v>
      </c>
      <c r="AI5581">
        <v>91.5538442801884</v>
      </c>
      <c r="AJ5581">
        <v>107.585561637103</v>
      </c>
      <c r="AK5581">
        <v>41.151414431416597</v>
      </c>
      <c r="AL5581">
        <v>78.719598477014401</v>
      </c>
      <c r="AM5581">
        <v>99.128455226044693</v>
      </c>
      <c r="AN5581">
        <v>0.99999997063670398</v>
      </c>
    </row>
    <row r="5582" spans="1:40" x14ac:dyDescent="0.25">
      <c r="A5582" t="str">
        <f>"20190304154908951"</f>
        <v>20190304154908951</v>
      </c>
      <c r="B5582" t="str">
        <f>"1551685748942461"</f>
        <v>1551685748942461</v>
      </c>
      <c r="C5582" t="s">
        <v>40</v>
      </c>
      <c r="D5582">
        <v>4.142207</v>
      </c>
      <c r="E5582">
        <v>0.43919619999999998</v>
      </c>
      <c r="F5582" t="s">
        <v>44</v>
      </c>
      <c r="G5582">
        <v>-429.95780000000002</v>
      </c>
      <c r="H5582">
        <v>3.0258569999999999E-2</v>
      </c>
      <c r="I5582">
        <v>116.78449999999999</v>
      </c>
      <c r="J5582">
        <v>-395.09</v>
      </c>
      <c r="K5582">
        <v>1.1159289999999999</v>
      </c>
      <c r="L5582">
        <v>139.06370000000001</v>
      </c>
      <c r="M5582">
        <v>-0.96568699999999996</v>
      </c>
      <c r="N5582">
        <v>-1.463155E-2</v>
      </c>
      <c r="O5582">
        <v>-0.25929639999999998</v>
      </c>
      <c r="P5582">
        <v>-0.89793940000000005</v>
      </c>
      <c r="Q5582">
        <v>0.18331800000000001</v>
      </c>
      <c r="R5582">
        <v>-0.40012449999999999</v>
      </c>
      <c r="S5582">
        <v>-2.6186219999999998</v>
      </c>
      <c r="T5582">
        <v>-8.0843810000000002E-2</v>
      </c>
      <c r="U5582">
        <v>-1.6653439999999999</v>
      </c>
      <c r="V5582">
        <v>-0.15595729999999999</v>
      </c>
      <c r="W5582">
        <v>0.19563320000000001</v>
      </c>
      <c r="X5582">
        <v>0.96819670000000002</v>
      </c>
      <c r="Y5582">
        <v>-0.29931380000000002</v>
      </c>
      <c r="Z5582">
        <v>-3.058182E-3</v>
      </c>
      <c r="AA5582">
        <v>0.95414980000000005</v>
      </c>
      <c r="AB5582">
        <v>31</v>
      </c>
      <c r="AC5582">
        <v>-34.867800000000003</v>
      </c>
      <c r="AD5582">
        <v>-1.08567043</v>
      </c>
      <c r="AE5582">
        <v>-22.279199999999999</v>
      </c>
      <c r="AF5582">
        <v>-12.466391410015</v>
      </c>
      <c r="AG5582">
        <v>-1.08567043</v>
      </c>
      <c r="AH5582">
        <v>39.425377439077401</v>
      </c>
      <c r="AI5582">
        <v>91.504013942047095</v>
      </c>
      <c r="AJ5582">
        <v>107.547069378315</v>
      </c>
      <c r="AK5582">
        <v>41.363631142393601</v>
      </c>
      <c r="AL5582">
        <v>78.718283563824002</v>
      </c>
      <c r="AM5582">
        <v>99.150611730581005</v>
      </c>
      <c r="AN5582">
        <v>0.99999993912820795</v>
      </c>
    </row>
    <row r="5583" spans="1:40" x14ac:dyDescent="0.25">
      <c r="A5583" t="str">
        <f>"20190304154908973"</f>
        <v>20190304154908973</v>
      </c>
      <c r="B5583" t="str">
        <f>"1551685748962958"</f>
        <v>1551685748962958</v>
      </c>
      <c r="C5583" t="s">
        <v>40</v>
      </c>
      <c r="D5583">
        <v>4.1496919999999999</v>
      </c>
      <c r="E5583">
        <v>0.44376700000000002</v>
      </c>
      <c r="F5583" t="s">
        <v>44</v>
      </c>
      <c r="G5583">
        <v>-429.95780000000002</v>
      </c>
      <c r="H5583">
        <v>4.3043240000000003E-2</v>
      </c>
      <c r="I5583">
        <v>116.6215</v>
      </c>
      <c r="J5583">
        <v>-395.37740000000002</v>
      </c>
      <c r="K5583">
        <v>1.1159760000000001</v>
      </c>
      <c r="L5583">
        <v>138.9802</v>
      </c>
      <c r="M5583">
        <v>-0.96414339999999998</v>
      </c>
      <c r="N5583">
        <v>-1.463507E-2</v>
      </c>
      <c r="O5583">
        <v>-0.26497769999999998</v>
      </c>
      <c r="P5583">
        <v>-0.89532239999999996</v>
      </c>
      <c r="Q5583">
        <v>0.18311330000000001</v>
      </c>
      <c r="R5583">
        <v>-0.40603830000000002</v>
      </c>
      <c r="S5583">
        <v>-2.60907</v>
      </c>
      <c r="T5583">
        <v>-8.0281500000000006E-2</v>
      </c>
      <c r="U5583">
        <v>-1.6792910000000001</v>
      </c>
      <c r="V5583">
        <v>-0.15665809999999999</v>
      </c>
      <c r="W5583">
        <v>0.19540080000000001</v>
      </c>
      <c r="X5583">
        <v>0.96813059999999995</v>
      </c>
      <c r="Y5583">
        <v>-0.29889310000000002</v>
      </c>
      <c r="Z5583">
        <v>-2.9970719999999999E-3</v>
      </c>
      <c r="AA5583">
        <v>0.95428190000000002</v>
      </c>
      <c r="AB5583">
        <v>31</v>
      </c>
      <c r="AC5583">
        <v>-34.580399999999997</v>
      </c>
      <c r="AD5583">
        <v>-1.07293276</v>
      </c>
      <c r="AE5583">
        <v>-22.358699999999999</v>
      </c>
      <c r="AF5583">
        <v>-12.3868773636248</v>
      </c>
      <c r="AG5583">
        <v>-1.07293276</v>
      </c>
      <c r="AH5583">
        <v>39.242588752993399</v>
      </c>
      <c r="AI5583">
        <v>91.493533575999294</v>
      </c>
      <c r="AJ5583">
        <v>107.518240697463</v>
      </c>
      <c r="AK5583">
        <v>41.1651149344384</v>
      </c>
      <c r="AL5583">
        <v>78.731862364664394</v>
      </c>
      <c r="AM5583">
        <v>99.191646920737398</v>
      </c>
      <c r="AN5583">
        <v>1.0000000457963001</v>
      </c>
    </row>
    <row r="5584" spans="1:40" x14ac:dyDescent="0.25">
      <c r="A5584" t="str">
        <f>"20190304154908996"</f>
        <v>20190304154908996</v>
      </c>
      <c r="B5584" t="str">
        <f>"1551685748993213"</f>
        <v>1551685748993213</v>
      </c>
      <c r="C5584" t="s">
        <v>40</v>
      </c>
      <c r="D5584">
        <v>4.1716819999999997</v>
      </c>
      <c r="E5584">
        <v>0.44412629999999997</v>
      </c>
      <c r="F5584" t="s">
        <v>44</v>
      </c>
      <c r="G5584">
        <v>-427.90910000000002</v>
      </c>
      <c r="H5584" s="1">
        <v>-5.2454639999999999E-6</v>
      </c>
      <c r="I5584">
        <v>118.2782</v>
      </c>
      <c r="J5584">
        <v>-395.67140000000001</v>
      </c>
      <c r="K5584">
        <v>1.1160350000000001</v>
      </c>
      <c r="L5584">
        <v>138.89269999999999</v>
      </c>
      <c r="M5584">
        <v>-0.96250089999999999</v>
      </c>
      <c r="N5584">
        <v>-1.4638989999999999E-2</v>
      </c>
      <c r="O5584">
        <v>-0.2708834</v>
      </c>
      <c r="P5584">
        <v>-0.89267059999999998</v>
      </c>
      <c r="Q5584">
        <v>0.18249090000000001</v>
      </c>
      <c r="R5584">
        <v>-0.41211179999999997</v>
      </c>
      <c r="S5584">
        <v>-2.6145019999999999</v>
      </c>
      <c r="T5584">
        <v>-8.9689019999999994E-2</v>
      </c>
      <c r="U5584">
        <v>-1.6637729999999999</v>
      </c>
      <c r="V5584">
        <v>-0.1572896</v>
      </c>
      <c r="W5584">
        <v>0.1947516</v>
      </c>
      <c r="X5584">
        <v>0.96815899999999999</v>
      </c>
      <c r="Y5584">
        <v>-0.28808820000000002</v>
      </c>
      <c r="Z5584">
        <v>-2.300645E-3</v>
      </c>
      <c r="AA5584">
        <v>0.95760109999999998</v>
      </c>
      <c r="AB5584">
        <v>31</v>
      </c>
      <c r="AC5584">
        <v>-32.237699999999997</v>
      </c>
      <c r="AD5584">
        <v>-1.1160402454639999</v>
      </c>
      <c r="AE5584">
        <v>-20.6144999999999</v>
      </c>
      <c r="AF5584">
        <v>-11.1005642663277</v>
      </c>
      <c r="AG5584">
        <v>-1.1160402454639999</v>
      </c>
      <c r="AH5584">
        <v>36.585741318477901</v>
      </c>
      <c r="AI5584">
        <v>91.672030762957405</v>
      </c>
      <c r="AJ5584">
        <v>106.878443176772</v>
      </c>
      <c r="AK5584">
        <v>38.248980910384397</v>
      </c>
      <c r="AL5584">
        <v>78.769787177939193</v>
      </c>
      <c r="AM5584">
        <v>99.227796863602606</v>
      </c>
      <c r="AN5584">
        <v>1.00000002662585</v>
      </c>
    </row>
    <row r="5585" spans="1:40" x14ac:dyDescent="0.25">
      <c r="A5585" t="str">
        <f>"20190304154909021"</f>
        <v>20190304154909021</v>
      </c>
      <c r="B5585" t="str">
        <f>"1551685749013206"</f>
        <v>1551685749013206</v>
      </c>
      <c r="C5585" t="s">
        <v>40</v>
      </c>
      <c r="D5585">
        <v>4.1105140000000002</v>
      </c>
      <c r="E5585">
        <v>0.44200850000000003</v>
      </c>
      <c r="F5585" t="s">
        <v>44</v>
      </c>
      <c r="G5585">
        <v>-429.1567</v>
      </c>
      <c r="H5585" s="1">
        <v>-5.1346480000000004E-6</v>
      </c>
      <c r="I5585">
        <v>117.3023</v>
      </c>
      <c r="J5585">
        <v>-395.99700000000001</v>
      </c>
      <c r="K5585">
        <v>1.1160920000000001</v>
      </c>
      <c r="L5585">
        <v>138.79349999999999</v>
      </c>
      <c r="M5585">
        <v>-0.96060999999999996</v>
      </c>
      <c r="N5585">
        <v>-1.464328E-2</v>
      </c>
      <c r="O5585">
        <v>-0.2775145</v>
      </c>
      <c r="P5585">
        <v>-0.88984719999999995</v>
      </c>
      <c r="Q5585">
        <v>0.1820929</v>
      </c>
      <c r="R5585">
        <v>-0.41834739999999998</v>
      </c>
      <c r="S5585">
        <v>-2.603485</v>
      </c>
      <c r="T5585">
        <v>-8.6772440000000006E-2</v>
      </c>
      <c r="U5585">
        <v>-1.6786650000000001</v>
      </c>
      <c r="V5585">
        <v>-0.15738779999999999</v>
      </c>
      <c r="W5585">
        <v>0.19433439999999999</v>
      </c>
      <c r="X5585">
        <v>0.9682269</v>
      </c>
      <c r="Y5585">
        <v>-0.28720370000000001</v>
      </c>
      <c r="Z5585">
        <v>-2.302695E-3</v>
      </c>
      <c r="AA5585">
        <v>0.95786680000000002</v>
      </c>
      <c r="AB5585">
        <v>31</v>
      </c>
      <c r="AC5585">
        <v>-33.159700000000001</v>
      </c>
      <c r="AD5585">
        <v>-1.116097134648</v>
      </c>
      <c r="AE5585">
        <v>-21.4911999999999</v>
      </c>
      <c r="AF5585">
        <v>-11.4344672300157</v>
      </c>
      <c r="AG5585">
        <v>-1.116097134648</v>
      </c>
      <c r="AH5585">
        <v>37.791559549622797</v>
      </c>
      <c r="AI5585">
        <v>91.619172189714206</v>
      </c>
      <c r="AJ5585">
        <v>106.834066840849</v>
      </c>
      <c r="AK5585">
        <v>39.499299827224299</v>
      </c>
      <c r="AL5585">
        <v>78.794156892223597</v>
      </c>
      <c r="AM5585">
        <v>99.232822443496303</v>
      </c>
      <c r="AN5585">
        <v>1.0000000542478999</v>
      </c>
    </row>
    <row r="5586" spans="1:40" x14ac:dyDescent="0.25">
      <c r="A5586" t="str">
        <f>"20190304154909040"</f>
        <v>20190304154909040</v>
      </c>
      <c r="B5586" t="str">
        <f>"1551685749032726"</f>
        <v>1551685749032726</v>
      </c>
      <c r="C5586" t="s">
        <v>40</v>
      </c>
      <c r="D5586">
        <v>4.162077</v>
      </c>
      <c r="E5586">
        <v>0.4428086</v>
      </c>
      <c r="F5586" t="s">
        <v>79</v>
      </c>
      <c r="G5586">
        <v>-419.96100000000001</v>
      </c>
      <c r="H5586" s="1">
        <v>-2.1079810000000001E-6</v>
      </c>
      <c r="I5586">
        <v>122.9314</v>
      </c>
      <c r="J5586">
        <v>-396.26209999999998</v>
      </c>
      <c r="K5586">
        <v>1.1161380000000001</v>
      </c>
      <c r="L5586">
        <v>138.71090000000001</v>
      </c>
      <c r="M5586">
        <v>-0.95901320000000001</v>
      </c>
      <c r="N5586">
        <v>-1.4646289999999999E-2</v>
      </c>
      <c r="O5586">
        <v>-0.28298259999999997</v>
      </c>
      <c r="P5586">
        <v>-0.88760680000000003</v>
      </c>
      <c r="Q5586">
        <v>0.1807771</v>
      </c>
      <c r="R5586">
        <v>-0.42364309999999999</v>
      </c>
      <c r="S5586">
        <v>-2.5900569999999998</v>
      </c>
      <c r="T5586">
        <v>-0.120629</v>
      </c>
      <c r="U5586">
        <v>-1.7144009999999901</v>
      </c>
      <c r="V5586">
        <v>-0.15757170000000001</v>
      </c>
      <c r="W5586">
        <v>0.19300539999999999</v>
      </c>
      <c r="X5586">
        <v>0.96846279999999996</v>
      </c>
      <c r="Y5586">
        <v>-0.2931763</v>
      </c>
      <c r="Z5586">
        <v>-8.452663E-4</v>
      </c>
      <c r="AA5586">
        <v>0.95605799999999996</v>
      </c>
      <c r="AB5586">
        <v>31</v>
      </c>
      <c r="AC5586">
        <v>-23.698899999999998</v>
      </c>
      <c r="AD5586">
        <v>-1.1161401079809901</v>
      </c>
      <c r="AE5586">
        <v>-15.779500000000001</v>
      </c>
      <c r="AF5586">
        <v>-8.4143453708924607</v>
      </c>
      <c r="AG5586">
        <v>-1.1161401079809901</v>
      </c>
      <c r="AH5586">
        <v>27.154069081197498</v>
      </c>
      <c r="AI5586">
        <v>92.248401055402397</v>
      </c>
      <c r="AJ5586">
        <v>107.21685996894701</v>
      </c>
      <c r="AK5586">
        <v>28.449788126236601</v>
      </c>
      <c r="AL5586">
        <v>78.871772566190799</v>
      </c>
      <c r="AM5586">
        <v>99.241211758450603</v>
      </c>
      <c r="AN5586">
        <v>1.0000000600269401</v>
      </c>
    </row>
    <row r="5587" spans="1:40" x14ac:dyDescent="0.25">
      <c r="A5587" t="str">
        <f>"20190304154909062"</f>
        <v>20190304154909062</v>
      </c>
      <c r="B5587" t="str">
        <f>"1551685749053222"</f>
        <v>1551685749053222</v>
      </c>
      <c r="C5587" t="s">
        <v>40</v>
      </c>
      <c r="D5587">
        <v>4.1606800000000002</v>
      </c>
      <c r="E5587">
        <v>0.44341619999999998</v>
      </c>
      <c r="F5587" t="s">
        <v>79</v>
      </c>
      <c r="G5587">
        <v>-418.84160000000003</v>
      </c>
      <c r="H5587" s="1">
        <v>-2.7136210000000001E-6</v>
      </c>
      <c r="I5587">
        <v>123.64100000000001</v>
      </c>
      <c r="J5587">
        <v>-396.55169999999998</v>
      </c>
      <c r="K5587">
        <v>1.116179</v>
      </c>
      <c r="L5587">
        <v>138.61859999999999</v>
      </c>
      <c r="M5587">
        <v>-0.957206</v>
      </c>
      <c r="N5587">
        <v>-1.4649519999999999E-2</v>
      </c>
      <c r="O5587">
        <v>-0.28903649999999997</v>
      </c>
      <c r="P5587">
        <v>-0.88503089999999995</v>
      </c>
      <c r="Q5587">
        <v>0.17995</v>
      </c>
      <c r="R5587">
        <v>-0.42934679999999997</v>
      </c>
      <c r="S5587">
        <v>-2.5830380000000002</v>
      </c>
      <c r="T5587">
        <v>-0.12768360000000001</v>
      </c>
      <c r="U5587">
        <v>-1.7239529999999901</v>
      </c>
      <c r="V5587">
        <v>-0.15764900000000001</v>
      </c>
      <c r="W5587">
        <v>0.1921641</v>
      </c>
      <c r="X5587">
        <v>0.96861739999999996</v>
      </c>
      <c r="Y5587">
        <v>-0.29076990000000003</v>
      </c>
      <c r="Z5587">
        <v>-2.8582290000000001E-4</v>
      </c>
      <c r="AA5587">
        <v>0.956793</v>
      </c>
      <c r="AB5587">
        <v>31</v>
      </c>
      <c r="AC5587">
        <v>-22.289899999999999</v>
      </c>
      <c r="AD5587">
        <v>-1.1161817136209999</v>
      </c>
      <c r="AE5587">
        <v>-14.977599999999899</v>
      </c>
      <c r="AF5587">
        <v>-7.8812855769384003</v>
      </c>
      <c r="AG5587">
        <v>-1.1161817136209999</v>
      </c>
      <c r="AH5587">
        <v>25.623586795222099</v>
      </c>
      <c r="AI5587">
        <v>92.384174971798501</v>
      </c>
      <c r="AJ5587">
        <v>107.096815308936</v>
      </c>
      <c r="AK5587">
        <v>26.8314875512961</v>
      </c>
      <c r="AL5587">
        <v>78.920893916277194</v>
      </c>
      <c r="AM5587">
        <v>99.244216738267795</v>
      </c>
      <c r="AN5587">
        <v>0.99999995805628406</v>
      </c>
    </row>
    <row r="5588" spans="1:40" x14ac:dyDescent="0.25">
      <c r="A5588" t="str">
        <f>"20190304154909085"</f>
        <v>20190304154909085</v>
      </c>
      <c r="B5588" t="str">
        <f>"1551685749082501"</f>
        <v>1551685749082501</v>
      </c>
      <c r="C5588" t="s">
        <v>40</v>
      </c>
      <c r="D5588">
        <v>4.1496089999999999</v>
      </c>
      <c r="E5588">
        <v>0.44396760000000002</v>
      </c>
      <c r="F5588" t="s">
        <v>79</v>
      </c>
      <c r="G5588">
        <v>-418.6216</v>
      </c>
      <c r="H5588" s="1">
        <v>-2.8026320000000001E-6</v>
      </c>
      <c r="I5588">
        <v>123.7329</v>
      </c>
      <c r="J5588">
        <v>-396.83870000000002</v>
      </c>
      <c r="K5588">
        <v>1.116225</v>
      </c>
      <c r="L5588">
        <v>138.52510000000001</v>
      </c>
      <c r="M5588">
        <v>-0.95534929999999996</v>
      </c>
      <c r="N5588">
        <v>-1.4653279999999999E-2</v>
      </c>
      <c r="O5588">
        <v>-0.29511530000000002</v>
      </c>
      <c r="P5588">
        <v>-0.88257240000000003</v>
      </c>
      <c r="Q5588">
        <v>0.1787002</v>
      </c>
      <c r="R5588">
        <v>-0.43489349999999999</v>
      </c>
      <c r="S5588">
        <v>-2.5739749999999999</v>
      </c>
      <c r="T5588">
        <v>-0.13017819999999999</v>
      </c>
      <c r="U5588">
        <v>-1.7360990000000001</v>
      </c>
      <c r="V5588">
        <v>-0.15750459999999999</v>
      </c>
      <c r="W5588">
        <v>0.19090460000000001</v>
      </c>
      <c r="X5588">
        <v>0.96889000000000003</v>
      </c>
      <c r="Y5588">
        <v>-0.28935070000000002</v>
      </c>
      <c r="Z5588" s="1">
        <v>5.4123809999999897E-5</v>
      </c>
      <c r="AA5588">
        <v>0.95722320000000005</v>
      </c>
      <c r="AB5588">
        <v>31</v>
      </c>
      <c r="AC5588">
        <v>-21.782899999999898</v>
      </c>
      <c r="AD5588">
        <v>-1.1162278026320001</v>
      </c>
      <c r="AE5588">
        <v>-14.792199999999999</v>
      </c>
      <c r="AF5588">
        <v>-7.6902573541856096</v>
      </c>
      <c r="AG5588">
        <v>-1.1162278026320001</v>
      </c>
      <c r="AH5588">
        <v>25.133217611777301</v>
      </c>
      <c r="AI5588">
        <v>92.4318262109188</v>
      </c>
      <c r="AJ5588">
        <v>107.013053371089</v>
      </c>
      <c r="AK5588">
        <v>26.307121663190799</v>
      </c>
      <c r="AL5588">
        <v>78.994420223314094</v>
      </c>
      <c r="AM5588">
        <v>99.233341616215398</v>
      </c>
      <c r="AN5588">
        <v>1.00000004871115</v>
      </c>
    </row>
    <row r="5589" spans="1:40" x14ac:dyDescent="0.25">
      <c r="A5589" t="str">
        <f>"20190304154909107"</f>
        <v>20190304154909107</v>
      </c>
      <c r="B5589" t="str">
        <f>"1551685749102439"</f>
        <v>1551685749102439</v>
      </c>
      <c r="C5589" t="s">
        <v>40</v>
      </c>
      <c r="D5589">
        <v>4.150379</v>
      </c>
      <c r="E5589">
        <v>0.44428849999999998</v>
      </c>
      <c r="F5589" t="s">
        <v>79</v>
      </c>
      <c r="G5589">
        <v>-418.18799999999999</v>
      </c>
      <c r="H5589" s="1">
        <v>-3.0166489999999999E-6</v>
      </c>
      <c r="I5589">
        <v>123.9746</v>
      </c>
      <c r="J5589">
        <v>-397.13170000000002</v>
      </c>
      <c r="K5589">
        <v>1.1162840000000001</v>
      </c>
      <c r="L5589">
        <v>138.42760000000001</v>
      </c>
      <c r="M5589">
        <v>-0.95338579999999995</v>
      </c>
      <c r="N5589">
        <v>-1.4657430000000001E-2</v>
      </c>
      <c r="O5589">
        <v>-0.3013979</v>
      </c>
      <c r="P5589">
        <v>-0.87996180000000002</v>
      </c>
      <c r="Q5589">
        <v>0.17750489999999999</v>
      </c>
      <c r="R5589">
        <v>-0.44063530000000001</v>
      </c>
      <c r="S5589">
        <v>-2.5649109999999999</v>
      </c>
      <c r="T5589">
        <v>-0.1341039</v>
      </c>
      <c r="U5589">
        <v>-1.748108</v>
      </c>
      <c r="V5589">
        <v>-0.15737579999999901</v>
      </c>
      <c r="W5589">
        <v>0.18969829999999999</v>
      </c>
      <c r="X5589">
        <v>0.9691478</v>
      </c>
      <c r="Y5589">
        <v>-0.28767939999999997</v>
      </c>
      <c r="Z5589">
        <v>4.9349569999999996E-4</v>
      </c>
      <c r="AA5589">
        <v>0.95772670000000004</v>
      </c>
      <c r="AB5589">
        <v>31</v>
      </c>
      <c r="AC5589">
        <v>-21.0563</v>
      </c>
      <c r="AD5589">
        <v>-1.116287016649</v>
      </c>
      <c r="AE5589">
        <v>-14.452999999999999</v>
      </c>
      <c r="AF5589">
        <v>-7.4195842191124797</v>
      </c>
      <c r="AG5589">
        <v>-1.116287016649</v>
      </c>
      <c r="AH5589">
        <v>24.386916142112302</v>
      </c>
      <c r="AI5589">
        <v>92.507498307007793</v>
      </c>
      <c r="AJ5589">
        <v>106.922092728747</v>
      </c>
      <c r="AK5589">
        <v>25.515054489662798</v>
      </c>
      <c r="AL5589">
        <v>79.064822392470305</v>
      </c>
      <c r="AM5589">
        <v>99.223508934815499</v>
      </c>
      <c r="AN5589">
        <v>1.0000000228466801</v>
      </c>
    </row>
    <row r="5590" spans="1:40" x14ac:dyDescent="0.25">
      <c r="A5590" t="str">
        <f>"20190304154909130"</f>
        <v>20190304154909130</v>
      </c>
      <c r="B5590" t="str">
        <f>"1551685749122916"</f>
        <v>1551685749122916</v>
      </c>
      <c r="C5590" t="s">
        <v>40</v>
      </c>
      <c r="D5590">
        <v>4.1194470000000001</v>
      </c>
      <c r="E5590">
        <v>0.44436009999999998</v>
      </c>
      <c r="F5590" t="s">
        <v>79</v>
      </c>
      <c r="G5590">
        <v>-417.84719999999999</v>
      </c>
      <c r="H5590" s="1">
        <v>-3.1663430000000002E-6</v>
      </c>
      <c r="I5590">
        <v>124.1354</v>
      </c>
      <c r="J5590">
        <v>-397.42320000000001</v>
      </c>
      <c r="K5590">
        <v>1.1163369999999999</v>
      </c>
      <c r="L5590">
        <v>138.32830000000001</v>
      </c>
      <c r="M5590">
        <v>-0.95136350000000003</v>
      </c>
      <c r="N5590">
        <v>-1.466169E-2</v>
      </c>
      <c r="O5590">
        <v>-0.30772149999999998</v>
      </c>
      <c r="P5590">
        <v>-0.87706489999999904</v>
      </c>
      <c r="Q5590">
        <v>0.17730090000000001</v>
      </c>
      <c r="R5590">
        <v>-0.44645459999999898</v>
      </c>
      <c r="S5590">
        <v>-2.5544739999999999</v>
      </c>
      <c r="T5590">
        <v>-0.13765169999999999</v>
      </c>
      <c r="U5590">
        <v>-1.7623899999999999</v>
      </c>
      <c r="V5590">
        <v>-0.1573696</v>
      </c>
      <c r="W5590">
        <v>0.18947919999999999</v>
      </c>
      <c r="X5590">
        <v>0.96919169999999999</v>
      </c>
      <c r="Y5590">
        <v>-0.28677390000000003</v>
      </c>
      <c r="Z5590">
        <v>9.0925399999999997E-4</v>
      </c>
      <c r="AA5590">
        <v>0.95799789999999996</v>
      </c>
      <c r="AB5590">
        <v>31</v>
      </c>
      <c r="AC5590">
        <v>-20.4239999999999</v>
      </c>
      <c r="AD5590">
        <v>-1.1163401663429999</v>
      </c>
      <c r="AE5590">
        <v>-14.1929</v>
      </c>
      <c r="AF5590">
        <v>-7.20396558828108</v>
      </c>
      <c r="AG5590">
        <v>-1.1163401663429999</v>
      </c>
      <c r="AH5590">
        <v>23.752813461595501</v>
      </c>
      <c r="AI5590">
        <v>92.575155045891805</v>
      </c>
      <c r="AJ5590">
        <v>106.87197021189</v>
      </c>
      <c r="AK5590">
        <v>24.846317290606301</v>
      </c>
      <c r="AL5590">
        <v>79.077608131736795</v>
      </c>
      <c r="AM5590">
        <v>99.222741221215998</v>
      </c>
      <c r="AN5590">
        <v>1.00000005479284</v>
      </c>
    </row>
    <row r="5591" spans="1:40" x14ac:dyDescent="0.25">
      <c r="A5591" t="str">
        <f>"20190304154909153"</f>
        <v>20190304154909153</v>
      </c>
      <c r="B5591" t="str">
        <f>"1551685749142436"</f>
        <v>1551685749142436</v>
      </c>
      <c r="C5591" t="s">
        <v>40</v>
      </c>
      <c r="D5591">
        <v>3.834193</v>
      </c>
      <c r="E5591">
        <v>0.4443743</v>
      </c>
      <c r="F5591" t="s">
        <v>79</v>
      </c>
      <c r="G5591">
        <v>-417.97620000000001</v>
      </c>
      <c r="H5591" s="1">
        <v>-3.030392E-6</v>
      </c>
      <c r="I5591">
        <v>123.9498</v>
      </c>
      <c r="J5591">
        <v>-397.70609999999999</v>
      </c>
      <c r="K5591">
        <v>1.1163860000000001</v>
      </c>
      <c r="L5591">
        <v>138.22980000000001</v>
      </c>
      <c r="M5591">
        <v>-0.9493336</v>
      </c>
      <c r="N5591">
        <v>-1.466537E-2</v>
      </c>
      <c r="O5591">
        <v>-0.31392789999999998</v>
      </c>
      <c r="P5591">
        <v>-0.87415810000000005</v>
      </c>
      <c r="Q5591">
        <v>0.17710979999999901</v>
      </c>
      <c r="R5591">
        <v>-0.45219480000000001</v>
      </c>
      <c r="S5591">
        <v>-2.5428769999999998</v>
      </c>
      <c r="T5591">
        <v>-0.13811699999999999</v>
      </c>
      <c r="U5591">
        <v>-1.7789459999999999</v>
      </c>
      <c r="V5591">
        <v>-0.15740129999999999</v>
      </c>
      <c r="W5591">
        <v>0.1892741</v>
      </c>
      <c r="X5591">
        <v>0.96922649999999999</v>
      </c>
      <c r="Y5591">
        <v>-0.28675929999999999</v>
      </c>
      <c r="Z5591">
        <v>1.1361209999999999E-3</v>
      </c>
      <c r="AA5591">
        <v>0.95800200000000002</v>
      </c>
      <c r="AB5591">
        <v>31</v>
      </c>
      <c r="AC5591">
        <v>-20.270099999999999</v>
      </c>
      <c r="AD5591">
        <v>-1.1163890303919899</v>
      </c>
      <c r="AE5591">
        <v>-14.28</v>
      </c>
      <c r="AF5591">
        <v>-7.1793531141940203</v>
      </c>
      <c r="AG5591">
        <v>-1.1163890303919899</v>
      </c>
      <c r="AH5591">
        <v>23.680522655069201</v>
      </c>
      <c r="AI5591">
        <v>92.583199938158003</v>
      </c>
      <c r="AJ5591">
        <v>106.866015336845</v>
      </c>
      <c r="AK5591">
        <v>24.770074461388202</v>
      </c>
      <c r="AL5591">
        <v>79.089574696329507</v>
      </c>
      <c r="AM5591">
        <v>99.224241570726505</v>
      </c>
      <c r="AN5591">
        <v>0.99999993123737196</v>
      </c>
    </row>
    <row r="5592" spans="1:40" x14ac:dyDescent="0.25">
      <c r="A5592" t="str">
        <f>"20190304154909175"</f>
        <v>20190304154909175</v>
      </c>
      <c r="B5592" t="str">
        <f>"1551685749172691"</f>
        <v>1551685749172691</v>
      </c>
      <c r="C5592" t="s">
        <v>40</v>
      </c>
      <c r="D5592">
        <v>4.0714990000000002</v>
      </c>
      <c r="E5592">
        <v>0.42678680000000002</v>
      </c>
      <c r="F5592" t="s">
        <v>79</v>
      </c>
      <c r="G5592">
        <v>-418.17520000000002</v>
      </c>
      <c r="H5592" s="1">
        <v>-2.8520750000000001E-6</v>
      </c>
      <c r="I5592">
        <v>123.7129</v>
      </c>
      <c r="J5592">
        <v>-397.99770000000001</v>
      </c>
      <c r="K5592">
        <v>1.1164210000000001</v>
      </c>
      <c r="L5592">
        <v>138.12569999999999</v>
      </c>
      <c r="M5592">
        <v>-0.94716880000000003</v>
      </c>
      <c r="N5592">
        <v>-1.4668759999999999E-2</v>
      </c>
      <c r="O5592">
        <v>-0.32040039999999997</v>
      </c>
      <c r="P5592">
        <v>-0.87103759999999997</v>
      </c>
      <c r="Q5592">
        <v>0.1772251</v>
      </c>
      <c r="R5592">
        <v>-0.4581324</v>
      </c>
      <c r="S5592">
        <v>-2.53125</v>
      </c>
      <c r="T5592">
        <v>-0.13805439999999999</v>
      </c>
      <c r="U5592">
        <v>-1.7951809999999999</v>
      </c>
      <c r="V5592">
        <v>-0.1574102</v>
      </c>
      <c r="W5592">
        <v>0.18937570000000001</v>
      </c>
      <c r="X5592">
        <v>0.96920530000000005</v>
      </c>
      <c r="Y5592">
        <v>-0.28638829999999998</v>
      </c>
      <c r="Z5592">
        <v>1.354175E-3</v>
      </c>
      <c r="AA5592">
        <v>0.95811270000000004</v>
      </c>
      <c r="AB5592">
        <v>31</v>
      </c>
      <c r="AC5592">
        <v>-20.177499999999998</v>
      </c>
      <c r="AD5592">
        <v>-1.1164238520749901</v>
      </c>
      <c r="AE5592">
        <v>-14.412799999999899</v>
      </c>
      <c r="AF5592">
        <v>-7.1727075182543798</v>
      </c>
      <c r="AG5592">
        <v>-1.1164238520749901</v>
      </c>
      <c r="AH5592">
        <v>23.6839044909804</v>
      </c>
      <c r="AI5592">
        <v>92.583143904367702</v>
      </c>
      <c r="AJ5592">
        <v>106.849018625181</v>
      </c>
      <c r="AK5592">
        <v>24.7713840408199</v>
      </c>
      <c r="AL5592">
        <v>79.083647208206699</v>
      </c>
      <c r="AM5592">
        <v>99.224952483410405</v>
      </c>
      <c r="AN5592">
        <v>1.00000002018131</v>
      </c>
    </row>
    <row r="5593" spans="1:40" x14ac:dyDescent="0.25">
      <c r="A5593" t="str">
        <f>"20190304154909211"</f>
        <v>20190304154909211</v>
      </c>
      <c r="B5593" t="str">
        <f>"1551685749202947"</f>
        <v>1551685749202947</v>
      </c>
      <c r="C5593" t="s">
        <v>40</v>
      </c>
      <c r="D5593">
        <v>4.0912559999999996</v>
      </c>
      <c r="E5593">
        <v>0.42642989999999997</v>
      </c>
      <c r="F5593" t="s">
        <v>83</v>
      </c>
      <c r="G5593">
        <v>-440.75</v>
      </c>
      <c r="H5593">
        <v>0.19136900000000001</v>
      </c>
      <c r="I5593">
        <v>104.28579999999999</v>
      </c>
      <c r="J5593">
        <v>-398.42399999999998</v>
      </c>
      <c r="K5593">
        <v>1.116479</v>
      </c>
      <c r="L5593">
        <v>137.96969999999999</v>
      </c>
      <c r="M5593">
        <v>-0.94388320000000003</v>
      </c>
      <c r="N5593">
        <v>-1.467297E-2</v>
      </c>
      <c r="O5593">
        <v>-0.3299533</v>
      </c>
      <c r="P5593">
        <v>-0.86626719999999902</v>
      </c>
      <c r="Q5593">
        <v>0.1773856</v>
      </c>
      <c r="R5593">
        <v>-0.46702880000000002</v>
      </c>
      <c r="S5593">
        <v>-2.439362</v>
      </c>
      <c r="T5593">
        <v>-5.2780269999999997E-2</v>
      </c>
      <c r="U5593">
        <v>-1.9308320000000001</v>
      </c>
      <c r="V5593">
        <v>-0.15757959999999999</v>
      </c>
      <c r="W5593">
        <v>0.18951850000000001</v>
      </c>
      <c r="X5593">
        <v>0.96914979999999995</v>
      </c>
      <c r="Y5593">
        <v>-0.32703900000000002</v>
      </c>
      <c r="Z5593">
        <v>-4.2662569999999999E-3</v>
      </c>
      <c r="AA5593">
        <v>0.94500119999999999</v>
      </c>
      <c r="AB5593">
        <v>31</v>
      </c>
      <c r="AC5593">
        <v>-42.325999999999901</v>
      </c>
      <c r="AD5593">
        <v>-0.92510999999999999</v>
      </c>
      <c r="AE5593">
        <v>-33.683899999999902</v>
      </c>
      <c r="AF5593">
        <v>-17.824770250903299</v>
      </c>
      <c r="AG5593">
        <v>-0.92510999999999999</v>
      </c>
      <c r="AH5593">
        <v>51.055480159698398</v>
      </c>
      <c r="AI5593">
        <v>90.980068456455299</v>
      </c>
      <c r="AJ5593">
        <v>109.24539715320201</v>
      </c>
      <c r="AK5593">
        <v>54.085490820985797</v>
      </c>
      <c r="AL5593">
        <v>79.075313846222301</v>
      </c>
      <c r="AM5593">
        <v>99.235228871127404</v>
      </c>
      <c r="AN5593">
        <v>0.99999996350922404</v>
      </c>
    </row>
    <row r="5594" spans="1:40" x14ac:dyDescent="0.25">
      <c r="A5594" t="str">
        <f>"20190304154909230"</f>
        <v>20190304154909230</v>
      </c>
      <c r="B5594" t="str">
        <f>"1551685749222467"</f>
        <v>1551685749222467</v>
      </c>
      <c r="C5594" t="s">
        <v>40</v>
      </c>
      <c r="D5594">
        <v>4.080031</v>
      </c>
      <c r="E5594">
        <v>0.4262377</v>
      </c>
      <c r="F5594" t="s">
        <v>44</v>
      </c>
      <c r="G5594">
        <v>-432.16520000000003</v>
      </c>
      <c r="H5594">
        <v>7.9986600000000005E-2</v>
      </c>
      <c r="I5594">
        <v>110.6664</v>
      </c>
      <c r="J5594">
        <v>-398.69959999999998</v>
      </c>
      <c r="K5594">
        <v>1.1165069999999999</v>
      </c>
      <c r="L5594">
        <v>137.86619999999999</v>
      </c>
      <c r="M5594">
        <v>-0.94168160000000001</v>
      </c>
      <c r="N5594">
        <v>-1.4674919999999999E-2</v>
      </c>
      <c r="O5594">
        <v>-0.33618510000000001</v>
      </c>
      <c r="P5594">
        <v>-0.86291079999999998</v>
      </c>
      <c r="Q5594">
        <v>0.17805760000000001</v>
      </c>
      <c r="R5594">
        <v>-0.4729488</v>
      </c>
      <c r="S5594">
        <v>-2.4218139999999999</v>
      </c>
      <c r="T5594">
        <v>-7.4395660000000002E-2</v>
      </c>
      <c r="U5594">
        <v>-1.959732</v>
      </c>
      <c r="V5594">
        <v>-0.1578775</v>
      </c>
      <c r="W5594">
        <v>0.19017580000000001</v>
      </c>
      <c r="X5594">
        <v>0.96897259999999996</v>
      </c>
      <c r="Y5594">
        <v>-0.33092050000000001</v>
      </c>
      <c r="Z5594">
        <v>-3.0886989999999999E-3</v>
      </c>
      <c r="AA5594">
        <v>0.94365359999999998</v>
      </c>
      <c r="AB5594">
        <v>31</v>
      </c>
      <c r="AC5594">
        <v>-33.465600000000002</v>
      </c>
      <c r="AD5594">
        <v>-1.0365203999999999</v>
      </c>
      <c r="AE5594">
        <v>-27.1998</v>
      </c>
      <c r="AF5594">
        <v>-14.356168404491701</v>
      </c>
      <c r="AG5594">
        <v>-1.0365203999999999</v>
      </c>
      <c r="AH5594">
        <v>40.6390088904393</v>
      </c>
      <c r="AI5594">
        <v>91.377645047461797</v>
      </c>
      <c r="AJ5594">
        <v>109.45631726239399</v>
      </c>
      <c r="AK5594">
        <v>43.112677826770998</v>
      </c>
      <c r="AL5594">
        <v>79.036956358411601</v>
      </c>
      <c r="AM5594">
        <v>99.254048909499502</v>
      </c>
      <c r="AN5594">
        <v>1.0000000197313199</v>
      </c>
    </row>
    <row r="5595" spans="1:40" x14ac:dyDescent="0.25">
      <c r="A5595" t="str">
        <f>"20190304154909253"</f>
        <v>20190304154909253</v>
      </c>
      <c r="B5595" t="str">
        <f>"1551685749242963"</f>
        <v>1551685749242963</v>
      </c>
      <c r="C5595" t="s">
        <v>40</v>
      </c>
      <c r="D5595">
        <v>4.1114439999999997</v>
      </c>
      <c r="E5595">
        <v>0.42612909999999998</v>
      </c>
      <c r="F5595" t="s">
        <v>44</v>
      </c>
      <c r="G5595">
        <v>-430.17410000000001</v>
      </c>
      <c r="H5595">
        <v>7.9986119999999994E-2</v>
      </c>
      <c r="I5595">
        <v>112.0204</v>
      </c>
      <c r="J5595">
        <v>-398.99220000000003</v>
      </c>
      <c r="K5595">
        <v>1.116538</v>
      </c>
      <c r="L5595">
        <v>137.75380000000001</v>
      </c>
      <c r="M5595">
        <v>-0.93927099999999997</v>
      </c>
      <c r="N5595">
        <v>-1.4677020000000001E-2</v>
      </c>
      <c r="O5595">
        <v>-0.34286260000000002</v>
      </c>
      <c r="P5595">
        <v>-0.85916299999999901</v>
      </c>
      <c r="Q5595">
        <v>0.17822660000000001</v>
      </c>
      <c r="R5595">
        <v>-0.4796607</v>
      </c>
      <c r="S5595">
        <v>-2.4088440000000002</v>
      </c>
      <c r="T5595">
        <v>-7.9328179999999998E-2</v>
      </c>
      <c r="U5595">
        <v>-1.9780580000000001</v>
      </c>
      <c r="V5595">
        <v>-0.1585811</v>
      </c>
      <c r="W5595">
        <v>0.1903242</v>
      </c>
      <c r="X5595">
        <v>0.96882849999999998</v>
      </c>
      <c r="Y5595">
        <v>-0.3309937</v>
      </c>
      <c r="Z5595">
        <v>-2.7267440000000001E-3</v>
      </c>
      <c r="AA5595">
        <v>0.94362900000000005</v>
      </c>
      <c r="AB5595">
        <v>31</v>
      </c>
      <c r="AC5595">
        <v>-31.181899999999899</v>
      </c>
      <c r="AD5595">
        <v>-1.03655188</v>
      </c>
      <c r="AE5595">
        <v>-25.7334</v>
      </c>
      <c r="AF5595">
        <v>-13.472124042576899</v>
      </c>
      <c r="AG5595">
        <v>-1.03655188</v>
      </c>
      <c r="AH5595">
        <v>38.090338333009299</v>
      </c>
      <c r="AI5595">
        <v>91.469632844881204</v>
      </c>
      <c r="AJ5595">
        <v>109.478113992787</v>
      </c>
      <c r="AK5595">
        <v>40.415918155370797</v>
      </c>
      <c r="AL5595">
        <v>79.0282948651667</v>
      </c>
      <c r="AM5595">
        <v>99.295930812820998</v>
      </c>
      <c r="AN5595">
        <v>0.99999996439754901</v>
      </c>
    </row>
    <row r="5596" spans="1:40" x14ac:dyDescent="0.25">
      <c r="A5596" t="str">
        <f>"20190304154909275"</f>
        <v>20190304154909275</v>
      </c>
      <c r="B5596" t="str">
        <f>"1551685749273220"</f>
        <v>1551685749273220</v>
      </c>
      <c r="C5596" t="s">
        <v>40</v>
      </c>
      <c r="D5596">
        <v>4.1233500000000003</v>
      </c>
      <c r="E5596">
        <v>0.42633769999999999</v>
      </c>
      <c r="F5596" t="s">
        <v>44</v>
      </c>
      <c r="G5596">
        <v>-429.95780000000002</v>
      </c>
      <c r="H5596">
        <v>3.4217450000000003E-2</v>
      </c>
      <c r="I5596">
        <v>111.9207</v>
      </c>
      <c r="J5596">
        <v>-399.26159999999999</v>
      </c>
      <c r="K5596">
        <v>1.116568</v>
      </c>
      <c r="L5596">
        <v>137.6482</v>
      </c>
      <c r="M5596">
        <v>-0.93698499999999996</v>
      </c>
      <c r="N5596">
        <v>-1.46794E-2</v>
      </c>
      <c r="O5596">
        <v>-0.34906130000000002</v>
      </c>
      <c r="P5596">
        <v>-0.85580460000000003</v>
      </c>
      <c r="Q5596">
        <v>0.17823149999999999</v>
      </c>
      <c r="R5596">
        <v>-0.48562620000000001</v>
      </c>
      <c r="S5596">
        <v>-2.3940730000000001</v>
      </c>
      <c r="T5596">
        <v>-8.3678719999999998E-2</v>
      </c>
      <c r="U5596">
        <v>-1.997269</v>
      </c>
      <c r="V5596">
        <v>-0.15893479999999999</v>
      </c>
      <c r="W5596">
        <v>0.19031390000000001</v>
      </c>
      <c r="X5596">
        <v>0.96877259999999998</v>
      </c>
      <c r="Y5596">
        <v>-0.33207999999999999</v>
      </c>
      <c r="Z5596">
        <v>-2.405674E-3</v>
      </c>
      <c r="AA5596">
        <v>0.94324819999999998</v>
      </c>
      <c r="AB5596">
        <v>31</v>
      </c>
      <c r="AC5596">
        <v>-30.696200000000001</v>
      </c>
      <c r="AD5596">
        <v>-1.0823505499999999</v>
      </c>
      <c r="AE5596">
        <v>-25.727499999999999</v>
      </c>
      <c r="AF5596">
        <v>-13.3830946815155</v>
      </c>
      <c r="AG5596">
        <v>-1.0823505499999999</v>
      </c>
      <c r="AH5596">
        <v>37.718872279473203</v>
      </c>
      <c r="AI5596">
        <v>91.549094117455098</v>
      </c>
      <c r="AJ5596">
        <v>109.535277055394</v>
      </c>
      <c r="AK5596">
        <v>40.037382931489198</v>
      </c>
      <c r="AL5596">
        <v>79.028896403923596</v>
      </c>
      <c r="AM5596">
        <v>99.316829512512797</v>
      </c>
      <c r="AN5596">
        <v>1.0000000008475001</v>
      </c>
    </row>
    <row r="5597" spans="1:40" x14ac:dyDescent="0.25">
      <c r="A5597" t="str">
        <f>"20190304154909297"</f>
        <v>20190304154909297</v>
      </c>
      <c r="B5597" t="str">
        <f>"1551685749292739"</f>
        <v>1551685749292739</v>
      </c>
      <c r="C5597" t="s">
        <v>40</v>
      </c>
      <c r="D5597">
        <v>4.1046360000000002</v>
      </c>
      <c r="E5597">
        <v>0.42655979999999999</v>
      </c>
      <c r="F5597" t="s">
        <v>44</v>
      </c>
      <c r="G5597">
        <v>-429.03149999999999</v>
      </c>
      <c r="H5597" s="1">
        <v>-3.4738129999999998E-6</v>
      </c>
      <c r="I5597">
        <v>112.4871</v>
      </c>
      <c r="J5597">
        <v>-399.5394</v>
      </c>
      <c r="K5597">
        <v>1.1166</v>
      </c>
      <c r="L5597">
        <v>137.53700000000001</v>
      </c>
      <c r="M5597">
        <v>-0.93456260000000002</v>
      </c>
      <c r="N5597">
        <v>-1.4682270000000001E-2</v>
      </c>
      <c r="O5597">
        <v>-0.35549599999999998</v>
      </c>
      <c r="P5597">
        <v>-0.85207180000000005</v>
      </c>
      <c r="Q5597">
        <v>0.17829200000000001</v>
      </c>
      <c r="R5597">
        <v>-0.49212400000000001</v>
      </c>
      <c r="S5597">
        <v>-2.3817750000000002</v>
      </c>
      <c r="T5597">
        <v>-8.9332700000000001E-2</v>
      </c>
      <c r="U5597">
        <v>-2.0130460000000001</v>
      </c>
      <c r="V5597">
        <v>-0.15966669999999999</v>
      </c>
      <c r="W5597">
        <v>0.1903533</v>
      </c>
      <c r="X5597">
        <v>0.96864450000000002</v>
      </c>
      <c r="Y5597">
        <v>-0.33163090000000001</v>
      </c>
      <c r="Z5597">
        <v>-1.9482690000000001E-3</v>
      </c>
      <c r="AA5597">
        <v>0.9434072</v>
      </c>
      <c r="AB5597">
        <v>30</v>
      </c>
      <c r="AC5597">
        <v>-29.492099999999901</v>
      </c>
      <c r="AD5597">
        <v>-1.116603473813</v>
      </c>
      <c r="AE5597">
        <v>-25.049900000000001</v>
      </c>
      <c r="AF5597">
        <v>-12.9170119612051</v>
      </c>
      <c r="AG5597">
        <v>-1.116603473813</v>
      </c>
      <c r="AH5597">
        <v>36.440935210364799</v>
      </c>
      <c r="AI5597">
        <v>91.654286294008003</v>
      </c>
      <c r="AJ5597">
        <v>109.517601496861</v>
      </c>
      <c r="AK5597">
        <v>38.678647343588104</v>
      </c>
      <c r="AL5597">
        <v>79.026596912077906</v>
      </c>
      <c r="AM5597">
        <v>99.360192194098104</v>
      </c>
      <c r="AN5597">
        <v>1.00000000064501</v>
      </c>
    </row>
    <row r="5598" spans="1:40" x14ac:dyDescent="0.25">
      <c r="A5598" t="str">
        <f>"20190304154909320"</f>
        <v>20190304154909320</v>
      </c>
      <c r="B5598" t="str">
        <f>"1551685749313235"</f>
        <v>1551685749313235</v>
      </c>
      <c r="C5598" t="s">
        <v>40</v>
      </c>
      <c r="D5598">
        <v>4.0987269999999896</v>
      </c>
      <c r="E5598">
        <v>0.42670049999999998</v>
      </c>
      <c r="F5598" t="s">
        <v>44</v>
      </c>
      <c r="G5598">
        <v>-428.34059999999999</v>
      </c>
      <c r="H5598" s="1">
        <v>-3.472048E-6</v>
      </c>
      <c r="I5598">
        <v>112.842</v>
      </c>
      <c r="J5598">
        <v>-399.82409999999999</v>
      </c>
      <c r="K5598">
        <v>1.1166320000000001</v>
      </c>
      <c r="L5598">
        <v>137.42080000000001</v>
      </c>
      <c r="M5598">
        <v>-0.93200629999999995</v>
      </c>
      <c r="N5598">
        <v>-1.4684799999999901E-2</v>
      </c>
      <c r="O5598">
        <v>-0.36214459999999998</v>
      </c>
      <c r="P5598">
        <v>-0.84809630000000003</v>
      </c>
      <c r="Q5598">
        <v>0.1785979</v>
      </c>
      <c r="R5598">
        <v>-0.49883450000000001</v>
      </c>
      <c r="S5598">
        <v>-2.3675540000000002</v>
      </c>
      <c r="T5598">
        <v>-9.1788529999999993E-2</v>
      </c>
      <c r="U5598">
        <v>-2.030014</v>
      </c>
      <c r="V5598">
        <v>-0.16045670000000001</v>
      </c>
      <c r="W5598">
        <v>0.190636</v>
      </c>
      <c r="X5598">
        <v>0.96845840000000005</v>
      </c>
      <c r="Y5598">
        <v>-0.33160329999999999</v>
      </c>
      <c r="Z5598">
        <v>-1.6777329999999901E-3</v>
      </c>
      <c r="AA5598">
        <v>0.94341739999999996</v>
      </c>
      <c r="AB5598">
        <v>30</v>
      </c>
      <c r="AC5598">
        <v>-28.516500000000001</v>
      </c>
      <c r="AD5598">
        <v>-1.1166354720479901</v>
      </c>
      <c r="AE5598">
        <v>-24.578800000000001</v>
      </c>
      <c r="AF5598">
        <v>-12.570796874567</v>
      </c>
      <c r="AG5598">
        <v>-1.1166354720479901</v>
      </c>
      <c r="AH5598">
        <v>35.451273390759297</v>
      </c>
      <c r="AI5598">
        <v>91.700420276686202</v>
      </c>
      <c r="AJ5598">
        <v>109.52418392129</v>
      </c>
      <c r="AK5598">
        <v>37.630633715968898</v>
      </c>
      <c r="AL5598">
        <v>79.010097859911596</v>
      </c>
      <c r="AM5598">
        <v>99.407454135159597</v>
      </c>
      <c r="AN5598">
        <v>1.00000005480072</v>
      </c>
    </row>
    <row r="5599" spans="1:40" x14ac:dyDescent="0.25">
      <c r="A5599" t="str">
        <f>"20190304154909342"</f>
        <v>20190304154909342</v>
      </c>
      <c r="B5599" t="str">
        <f>"1551685749332756"</f>
        <v>1551685749332756</v>
      </c>
      <c r="C5599" t="s">
        <v>40</v>
      </c>
      <c r="D5599">
        <v>4.1150029999999997</v>
      </c>
      <c r="E5599">
        <v>0.426898</v>
      </c>
      <c r="F5599" t="s">
        <v>44</v>
      </c>
      <c r="G5599">
        <v>-428.13780000000003</v>
      </c>
      <c r="H5599" s="1">
        <v>-3.4091480000000002E-6</v>
      </c>
      <c r="I5599">
        <v>112.7629</v>
      </c>
      <c r="J5599">
        <v>-400.09969999999998</v>
      </c>
      <c r="K5599">
        <v>1.116665</v>
      </c>
      <c r="L5599">
        <v>137.30590000000001</v>
      </c>
      <c r="M5599">
        <v>-0.92945750000000005</v>
      </c>
      <c r="N5599">
        <v>-1.468728E-2</v>
      </c>
      <c r="O5599">
        <v>-0.36863689999999999</v>
      </c>
      <c r="P5599">
        <v>-0.84425799999999995</v>
      </c>
      <c r="Q5599">
        <v>0.1791315</v>
      </c>
      <c r="R5599">
        <v>-0.50511459999999997</v>
      </c>
      <c r="S5599">
        <v>-2.3520810000000001</v>
      </c>
      <c r="T5599">
        <v>-9.276152E-2</v>
      </c>
      <c r="U5599">
        <v>-2.0483859999999998</v>
      </c>
      <c r="V5599">
        <v>-0.1609534</v>
      </c>
      <c r="W5599">
        <v>0.19114990000000001</v>
      </c>
      <c r="X5599">
        <v>0.96827459999999999</v>
      </c>
      <c r="Y5599">
        <v>-0.33228590000000002</v>
      </c>
      <c r="Z5599">
        <v>-1.5146420000000001E-3</v>
      </c>
      <c r="AA5599">
        <v>0.9431775</v>
      </c>
      <c r="AB5599">
        <v>30</v>
      </c>
      <c r="AC5599">
        <v>-28.0381</v>
      </c>
      <c r="AD5599">
        <v>-1.1166684091479999</v>
      </c>
      <c r="AE5599">
        <v>-24.542999999999999</v>
      </c>
      <c r="AF5599">
        <v>-12.4659470669512</v>
      </c>
      <c r="AG5599">
        <v>-1.1166684091479999</v>
      </c>
      <c r="AH5599">
        <v>35.079958995704999</v>
      </c>
      <c r="AI5599">
        <v>91.718044983834602</v>
      </c>
      <c r="AJ5599">
        <v>109.56308081138199</v>
      </c>
      <c r="AK5599">
        <v>37.245809264296597</v>
      </c>
      <c r="AL5599">
        <v>78.980101250859306</v>
      </c>
      <c r="AM5599">
        <v>99.437811296794905</v>
      </c>
      <c r="AN5599">
        <v>0.99999999112336502</v>
      </c>
    </row>
    <row r="5600" spans="1:40" x14ac:dyDescent="0.25">
      <c r="A5600" t="str">
        <f>"20190304154909363"</f>
        <v>20190304154909363</v>
      </c>
      <c r="B5600" t="str">
        <f>"1551685749353252"</f>
        <v>1551685749353252</v>
      </c>
      <c r="C5600" t="s">
        <v>40</v>
      </c>
      <c r="D5600">
        <v>4.1103059999999996</v>
      </c>
      <c r="E5600">
        <v>0.42711100000000002</v>
      </c>
      <c r="F5600" t="s">
        <v>44</v>
      </c>
      <c r="G5600">
        <v>-428.07319999999999</v>
      </c>
      <c r="H5600" s="1">
        <v>-3.3452190000000001E-6</v>
      </c>
      <c r="I5600">
        <v>112.6087</v>
      </c>
      <c r="J5600">
        <v>-400.37060000000002</v>
      </c>
      <c r="K5600">
        <v>1.1166959999999999</v>
      </c>
      <c r="L5600">
        <v>137.19069999999999</v>
      </c>
      <c r="M5600">
        <v>-0.92687629999999999</v>
      </c>
      <c r="N5600">
        <v>-1.4690160000000001E-2</v>
      </c>
      <c r="O5600">
        <v>-0.37507970000000002</v>
      </c>
      <c r="P5600">
        <v>-0.84031849999999997</v>
      </c>
      <c r="Q5600">
        <v>0.17939769999999999</v>
      </c>
      <c r="R5600">
        <v>-0.51154849999999996</v>
      </c>
      <c r="S5600">
        <v>-2.338165</v>
      </c>
      <c r="T5600">
        <v>-9.3336580000000002E-2</v>
      </c>
      <c r="U5600">
        <v>-2.0643159999999998</v>
      </c>
      <c r="V5600">
        <v>-0.16167129999999999</v>
      </c>
      <c r="W5600">
        <v>0.1913928</v>
      </c>
      <c r="X5600">
        <v>0.96810700000000005</v>
      </c>
      <c r="Y5600">
        <v>-0.33213530000000002</v>
      </c>
      <c r="Z5600">
        <v>-1.356386E-3</v>
      </c>
      <c r="AA5600">
        <v>0.94323080000000004</v>
      </c>
      <c r="AB5600">
        <v>30</v>
      </c>
      <c r="AC5600">
        <v>-27.702599999999901</v>
      </c>
      <c r="AD5600">
        <v>-1.1166993452189999</v>
      </c>
      <c r="AE5600">
        <v>-24.581999999999901</v>
      </c>
      <c r="AF5600">
        <v>-12.383868076382001</v>
      </c>
      <c r="AG5600">
        <v>-1.1166993452189999</v>
      </c>
      <c r="AH5600">
        <v>34.869154624627598</v>
      </c>
      <c r="AI5600">
        <v>91.7285851596735</v>
      </c>
      <c r="AJ5600">
        <v>109.55262257654201</v>
      </c>
      <c r="AK5600">
        <v>37.019794032342098</v>
      </c>
      <c r="AL5600">
        <v>78.965922291478805</v>
      </c>
      <c r="AM5600">
        <v>99.480755701204501</v>
      </c>
      <c r="AN5600">
        <v>0.999999988292265</v>
      </c>
    </row>
    <row r="5601" spans="1:40" x14ac:dyDescent="0.25">
      <c r="A5601" t="str">
        <f>"20190304154909386"</f>
        <v>20190304154909386</v>
      </c>
      <c r="B5601" t="str">
        <f>"1551685749382532"</f>
        <v>1551685749382532</v>
      </c>
      <c r="C5601" t="s">
        <v>40</v>
      </c>
      <c r="D5601">
        <v>4.1002179999999999</v>
      </c>
      <c r="E5601">
        <v>0.42729590000000001</v>
      </c>
      <c r="F5601" t="s">
        <v>44</v>
      </c>
      <c r="G5601">
        <v>-427.90269999999998</v>
      </c>
      <c r="H5601" s="1">
        <v>-3.2888039999999999E-6</v>
      </c>
      <c r="I5601">
        <v>112.5318</v>
      </c>
      <c r="J5601">
        <v>-400.6447</v>
      </c>
      <c r="K5601">
        <v>1.1167339999999999</v>
      </c>
      <c r="L5601">
        <v>137.0719</v>
      </c>
      <c r="M5601">
        <v>-0.92418639999999996</v>
      </c>
      <c r="N5601">
        <v>-1.4693640000000001E-2</v>
      </c>
      <c r="O5601">
        <v>-0.38165939999999998</v>
      </c>
      <c r="P5601">
        <v>-0.83662569999999903</v>
      </c>
      <c r="Q5601">
        <v>0.1782406</v>
      </c>
      <c r="R5601">
        <v>-0.51796549999999997</v>
      </c>
      <c r="S5601">
        <v>-2.3233950000000001</v>
      </c>
      <c r="T5601">
        <v>-9.4236730000000005E-2</v>
      </c>
      <c r="U5601">
        <v>-2.0809329999999999</v>
      </c>
      <c r="V5601">
        <v>-0.16210729999999901</v>
      </c>
      <c r="W5601">
        <v>0.19022069999999999</v>
      </c>
      <c r="X5601">
        <v>0.96826509999999999</v>
      </c>
      <c r="Y5601">
        <v>-0.33215230000000001</v>
      </c>
      <c r="Z5601">
        <v>-1.173419E-3</v>
      </c>
      <c r="AA5601">
        <v>0.94322499999999998</v>
      </c>
      <c r="AB5601">
        <v>30</v>
      </c>
      <c r="AC5601">
        <v>-27.2579999999999</v>
      </c>
      <c r="AD5601">
        <v>-1.1167372888039999</v>
      </c>
      <c r="AE5601">
        <v>-24.540099999999899</v>
      </c>
      <c r="AF5601">
        <v>-12.2663066903475</v>
      </c>
      <c r="AG5601">
        <v>-1.1167372888039999</v>
      </c>
      <c r="AH5601">
        <v>34.529147860857002</v>
      </c>
      <c r="AI5601">
        <v>91.745604365969996</v>
      </c>
      <c r="AJ5601">
        <v>109.55732710238399</v>
      </c>
      <c r="AK5601">
        <v>36.6602159566852</v>
      </c>
      <c r="AL5601">
        <v>79.034335699006107</v>
      </c>
      <c r="AM5601">
        <v>99.504333875225399</v>
      </c>
      <c r="AN5601">
        <v>0.999999997649894</v>
      </c>
    </row>
    <row r="5602" spans="1:40" x14ac:dyDescent="0.25">
      <c r="A5602" t="str">
        <f>"20190304154909409"</f>
        <v>20190304154909409</v>
      </c>
      <c r="B5602" t="str">
        <f>"1551685749403028"</f>
        <v>1551685749403028</v>
      </c>
      <c r="C5602" t="s">
        <v>40</v>
      </c>
      <c r="D5602">
        <v>4.0954819999999996</v>
      </c>
      <c r="E5602">
        <v>0.42745699999999998</v>
      </c>
      <c r="F5602" t="s">
        <v>44</v>
      </c>
      <c r="G5602">
        <v>-426.339</v>
      </c>
      <c r="H5602" s="1">
        <v>-3.4220999999999998E-6</v>
      </c>
      <c r="I5602">
        <v>113.73860000000001</v>
      </c>
      <c r="J5602">
        <v>-400.92790000000002</v>
      </c>
      <c r="K5602">
        <v>1.11677</v>
      </c>
      <c r="L5602">
        <v>136.94659999999999</v>
      </c>
      <c r="M5602">
        <v>-0.92132099999999995</v>
      </c>
      <c r="N5602">
        <v>-1.469727E-2</v>
      </c>
      <c r="O5602">
        <v>-0.38852510000000001</v>
      </c>
      <c r="P5602">
        <v>-0.83223709999999995</v>
      </c>
      <c r="Q5602">
        <v>0.17721429999999999</v>
      </c>
      <c r="R5602">
        <v>-0.5253352</v>
      </c>
      <c r="S5602">
        <v>-2.3090519999999999</v>
      </c>
      <c r="T5602">
        <v>-0.10035719999999999</v>
      </c>
      <c r="U5602">
        <v>-2.0968779999999998</v>
      </c>
      <c r="V5602">
        <v>-0.16337850000000001</v>
      </c>
      <c r="W5602">
        <v>0.1891641</v>
      </c>
      <c r="X5602">
        <v>0.96825839999999996</v>
      </c>
      <c r="Y5602">
        <v>-0.33161040000000003</v>
      </c>
      <c r="Z5602">
        <v>-5.8110829999999999E-4</v>
      </c>
      <c r="AA5602">
        <v>0.94341620000000004</v>
      </c>
      <c r="AB5602">
        <v>30</v>
      </c>
      <c r="AC5602">
        <v>-25.411099999999902</v>
      </c>
      <c r="AD5602">
        <v>-1.1167734220999901</v>
      </c>
      <c r="AE5602">
        <v>-23.207999999999899</v>
      </c>
      <c r="AF5602">
        <v>-11.4983015271367</v>
      </c>
      <c r="AG5602">
        <v>-1.1167734220999901</v>
      </c>
      <c r="AH5602">
        <v>32.398053923346602</v>
      </c>
      <c r="AI5602">
        <v>91.860607524000201</v>
      </c>
      <c r="AJ5602">
        <v>109.540138535114</v>
      </c>
      <c r="AK5602">
        <v>34.396104705407197</v>
      </c>
      <c r="AL5602">
        <v>79.095993501549003</v>
      </c>
      <c r="AM5602">
        <v>99.577553841371</v>
      </c>
      <c r="AN5602">
        <v>0.99999996008080905</v>
      </c>
    </row>
    <row r="5603" spans="1:40" x14ac:dyDescent="0.25">
      <c r="A5603" t="str">
        <f>"20190304154909432"</f>
        <v>20190304154909432</v>
      </c>
      <c r="B5603" t="str">
        <f>"1551685749422548"</f>
        <v>1551685749422548</v>
      </c>
      <c r="C5603" t="s">
        <v>40</v>
      </c>
      <c r="D5603">
        <v>4.1025799999999997</v>
      </c>
      <c r="E5603">
        <v>0.427593</v>
      </c>
      <c r="F5603" t="s">
        <v>44</v>
      </c>
      <c r="G5603">
        <v>-425.23390000000001</v>
      </c>
      <c r="H5603" s="1">
        <v>-3.4897100000000001E-6</v>
      </c>
      <c r="I5603">
        <v>114.5133</v>
      </c>
      <c r="J5603">
        <v>-401.19310000000002</v>
      </c>
      <c r="K5603">
        <v>1.1168089999999999</v>
      </c>
      <c r="L5603">
        <v>136.82689999999999</v>
      </c>
      <c r="M5603">
        <v>-0.91855509999999996</v>
      </c>
      <c r="N5603">
        <v>-1.470085E-2</v>
      </c>
      <c r="O5603">
        <v>-0.39501979999999998</v>
      </c>
      <c r="P5603">
        <v>-0.82810459999999997</v>
      </c>
      <c r="Q5603">
        <v>0.17707419999999999</v>
      </c>
      <c r="R5603">
        <v>-0.53187169999999995</v>
      </c>
      <c r="S5603">
        <v>-2.2919309999999999</v>
      </c>
      <c r="T5603">
        <v>-0.1053058</v>
      </c>
      <c r="U5603">
        <v>-2.1153409999999999</v>
      </c>
      <c r="V5603">
        <v>-0.16417279999999901</v>
      </c>
      <c r="W5603">
        <v>0.18899930000000001</v>
      </c>
      <c r="X5603">
        <v>0.96815629999999997</v>
      </c>
      <c r="Y5603">
        <v>-0.3325573</v>
      </c>
      <c r="Z5603" s="1">
        <v>-9.2291270000000007E-5</v>
      </c>
      <c r="AA5603">
        <v>0.943083</v>
      </c>
      <c r="AB5603">
        <v>30</v>
      </c>
      <c r="AC5603">
        <v>-24.040799999999901</v>
      </c>
      <c r="AD5603">
        <v>-1.11681248971</v>
      </c>
      <c r="AE5603">
        <v>-22.313599999999902</v>
      </c>
      <c r="AF5603">
        <v>-10.988127765299099</v>
      </c>
      <c r="AG5603">
        <v>-1.11681248971</v>
      </c>
      <c r="AH5603">
        <v>30.864666672850099</v>
      </c>
      <c r="AI5603">
        <v>91.952363686695904</v>
      </c>
      <c r="AJ5603">
        <v>109.596234355059</v>
      </c>
      <c r="AK5603">
        <v>32.781303676788902</v>
      </c>
      <c r="AL5603">
        <v>79.105610100398806</v>
      </c>
      <c r="AM5603">
        <v>99.624244344744</v>
      </c>
      <c r="AN5603">
        <v>1.000000032445</v>
      </c>
    </row>
    <row r="5604" spans="1:40" x14ac:dyDescent="0.25">
      <c r="A5604" t="str">
        <f>"20190304154909453"</f>
        <v>20190304154909453</v>
      </c>
      <c r="B5604" t="str">
        <f>"1551685749443044"</f>
        <v>1551685749443044</v>
      </c>
      <c r="C5604" t="s">
        <v>40</v>
      </c>
      <c r="D5604">
        <v>4.1281319999999999</v>
      </c>
      <c r="E5604">
        <v>0.427846</v>
      </c>
      <c r="F5604" t="s">
        <v>44</v>
      </c>
      <c r="G5604">
        <v>-424.89370000000002</v>
      </c>
      <c r="H5604" s="1">
        <v>-3.464215E-6</v>
      </c>
      <c r="I5604">
        <v>114.62909999999999</v>
      </c>
      <c r="J5604">
        <v>-401.4599</v>
      </c>
      <c r="K5604">
        <v>1.1168450000000001</v>
      </c>
      <c r="L5604">
        <v>136.70400000000001</v>
      </c>
      <c r="M5604">
        <v>-0.91568919999999998</v>
      </c>
      <c r="N5604">
        <v>-1.470432E-2</v>
      </c>
      <c r="O5604">
        <v>-0.40161829999999998</v>
      </c>
      <c r="P5604">
        <v>-0.82406109999999899</v>
      </c>
      <c r="Q5604">
        <v>0.17645239999999901</v>
      </c>
      <c r="R5604">
        <v>-0.538319199999999</v>
      </c>
      <c r="S5604">
        <v>-2.2763059999999999</v>
      </c>
      <c r="T5604">
        <v>-0.1072636</v>
      </c>
      <c r="U5604">
        <v>-2.1319729999999999</v>
      </c>
      <c r="V5604">
        <v>-0.16472059999999999</v>
      </c>
      <c r="W5604">
        <v>0.1883582</v>
      </c>
      <c r="X5604">
        <v>0.96818820000000005</v>
      </c>
      <c r="Y5604">
        <v>-0.33267039999999998</v>
      </c>
      <c r="Z5604">
        <v>2.064302E-4</v>
      </c>
      <c r="AA5604">
        <v>0.94304319999999997</v>
      </c>
      <c r="AB5604">
        <v>30</v>
      </c>
      <c r="AC5604">
        <v>-23.433800000000002</v>
      </c>
      <c r="AD5604">
        <v>-1.1168484642150001</v>
      </c>
      <c r="AE5604">
        <v>-22.0749</v>
      </c>
      <c r="AF5604">
        <v>-10.790485359096699</v>
      </c>
      <c r="AG5604">
        <v>-1.1168484642150001</v>
      </c>
      <c r="AH5604">
        <v>30.290582917597501</v>
      </c>
      <c r="AI5604">
        <v>91.989260806662202</v>
      </c>
      <c r="AJ5604">
        <v>109.60754359028201</v>
      </c>
      <c r="AK5604">
        <v>32.174544880460203</v>
      </c>
      <c r="AL5604">
        <v>79.143014318164305</v>
      </c>
      <c r="AM5604">
        <v>99.655442073530494</v>
      </c>
      <c r="AN5604">
        <v>1.00000003909541</v>
      </c>
    </row>
    <row r="5605" spans="1:40" x14ac:dyDescent="0.25">
      <c r="A5605" t="str">
        <f>"20190304154909476"</f>
        <v>20190304154909476</v>
      </c>
      <c r="B5605" t="str">
        <f>"1551685749473300"</f>
        <v>1551685749473300</v>
      </c>
      <c r="C5605" t="s">
        <v>40</v>
      </c>
      <c r="D5605">
        <v>4.1733539999999998</v>
      </c>
      <c r="E5605">
        <v>0.42911630000000001</v>
      </c>
      <c r="F5605" t="s">
        <v>44</v>
      </c>
      <c r="G5605">
        <v>-424.24119999999999</v>
      </c>
      <c r="H5605" s="1">
        <v>-3.4753559999999998E-6</v>
      </c>
      <c r="I5605">
        <v>115.05970000000001</v>
      </c>
      <c r="J5605">
        <v>-401.73270000000002</v>
      </c>
      <c r="K5605">
        <v>1.1168819999999999</v>
      </c>
      <c r="L5605">
        <v>136.57570000000001</v>
      </c>
      <c r="M5605">
        <v>-0.9126706</v>
      </c>
      <c r="N5605">
        <v>-1.470782E-2</v>
      </c>
      <c r="O5605">
        <v>-0.4084314</v>
      </c>
      <c r="P5605">
        <v>-0.8197681</v>
      </c>
      <c r="Q5605">
        <v>0.17623259999999999</v>
      </c>
      <c r="R5605">
        <v>-0.54490590000000005</v>
      </c>
      <c r="S5605">
        <v>-2.2609560000000002</v>
      </c>
      <c r="T5605">
        <v>-0.1108427</v>
      </c>
      <c r="U5605">
        <v>-2.1481020000000002</v>
      </c>
      <c r="V5605">
        <v>-0.1652602</v>
      </c>
      <c r="W5605">
        <v>0.18811890000000001</v>
      </c>
      <c r="X5605">
        <v>0.96814270000000002</v>
      </c>
      <c r="Y5605">
        <v>-0.33237060000000002</v>
      </c>
      <c r="Z5605">
        <v>6.6085809999999999E-4</v>
      </c>
      <c r="AA5605">
        <v>0.9431486</v>
      </c>
      <c r="AB5605">
        <v>30</v>
      </c>
      <c r="AC5605">
        <v>-22.508499999999898</v>
      </c>
      <c r="AD5605">
        <v>-1.116885475356</v>
      </c>
      <c r="AE5605">
        <v>-21.515999999999998</v>
      </c>
      <c r="AF5605">
        <v>-10.431550401348501</v>
      </c>
      <c r="AG5605">
        <v>-1.116885475356</v>
      </c>
      <c r="AH5605">
        <v>29.296134978457399</v>
      </c>
      <c r="AI5605">
        <v>92.056900458047096</v>
      </c>
      <c r="AJ5605">
        <v>109.599420248793</v>
      </c>
      <c r="AK5605">
        <v>31.1179723249593</v>
      </c>
      <c r="AL5605">
        <v>79.1569740154969</v>
      </c>
      <c r="AM5605">
        <v>99.686920165278195</v>
      </c>
      <c r="AN5605">
        <v>0.999999970902269</v>
      </c>
    </row>
    <row r="5606" spans="1:40" x14ac:dyDescent="0.25">
      <c r="A5606" t="str">
        <f>"20190304154909499"</f>
        <v>20190304154909499</v>
      </c>
      <c r="B5606" t="str">
        <f>"1551685749492820"</f>
        <v>1551685749492820</v>
      </c>
      <c r="C5606" t="s">
        <v>40</v>
      </c>
      <c r="D5606">
        <v>4.1898619999999998</v>
      </c>
      <c r="E5606">
        <v>0.42917470000000002</v>
      </c>
      <c r="F5606" t="s">
        <v>44</v>
      </c>
      <c r="G5606">
        <v>-422.82900000000001</v>
      </c>
      <c r="H5606" s="1">
        <v>-3.6497200000000001E-6</v>
      </c>
      <c r="I5606">
        <v>116.3421</v>
      </c>
      <c r="J5606">
        <v>-402.00020000000001</v>
      </c>
      <c r="K5606">
        <v>1.1169169999999999</v>
      </c>
      <c r="L5606">
        <v>136.44759999999999</v>
      </c>
      <c r="M5606">
        <v>-0.90962810000000005</v>
      </c>
      <c r="N5606">
        <v>-1.471097E-2</v>
      </c>
      <c r="O5606">
        <v>-0.41516340000000002</v>
      </c>
      <c r="P5606">
        <v>-0.81543269999999901</v>
      </c>
      <c r="Q5606">
        <v>0.17616979999999999</v>
      </c>
      <c r="R5606">
        <v>-0.55139289999999996</v>
      </c>
      <c r="S5606">
        <v>-2.2504580000000001</v>
      </c>
      <c r="T5606">
        <v>-0.119144</v>
      </c>
      <c r="U5606">
        <v>-2.1584319999999999</v>
      </c>
      <c r="V5606">
        <v>-0.16579739999999901</v>
      </c>
      <c r="W5606">
        <v>0.18803790000000001</v>
      </c>
      <c r="X5606">
        <v>0.9680666</v>
      </c>
      <c r="Y5606">
        <v>-0.32984429999999998</v>
      </c>
      <c r="Z5606">
        <v>1.583466E-3</v>
      </c>
      <c r="AA5606">
        <v>0.94403400000000004</v>
      </c>
      <c r="AB5606">
        <v>30</v>
      </c>
      <c r="AC5606">
        <v>-20.828800000000001</v>
      </c>
      <c r="AD5606">
        <v>-1.1169206497199999</v>
      </c>
      <c r="AE5606">
        <v>-20.1054999999999</v>
      </c>
      <c r="AF5606">
        <v>-9.6278824821727405</v>
      </c>
      <c r="AG5606">
        <v>-1.1169206497199999</v>
      </c>
      <c r="AH5606">
        <v>27.2559067919209</v>
      </c>
      <c r="AI5606">
        <v>92.2127624467728</v>
      </c>
      <c r="AJ5606">
        <v>109.45526936287</v>
      </c>
      <c r="AK5606">
        <v>28.927981054304102</v>
      </c>
      <c r="AL5606">
        <v>79.161699465211697</v>
      </c>
      <c r="AM5606">
        <v>99.718558648213204</v>
      </c>
      <c r="AN5606">
        <v>0.999999985859364</v>
      </c>
    </row>
    <row r="5607" spans="1:40" x14ac:dyDescent="0.25">
      <c r="A5607" t="str">
        <f>"20190304154909565"</f>
        <v>20190304154909565</v>
      </c>
      <c r="B5607" t="str">
        <f>"1551685749563092"</f>
        <v>1551685749563092</v>
      </c>
      <c r="C5607" t="s">
        <v>40</v>
      </c>
      <c r="D5607">
        <v>4.2151670000000001</v>
      </c>
      <c r="E5607">
        <v>0.43653570000000003</v>
      </c>
      <c r="F5607" t="s">
        <v>44</v>
      </c>
      <c r="G5607">
        <v>-422.80349999999999</v>
      </c>
      <c r="H5607" s="1">
        <v>-3.5740769999999998E-6</v>
      </c>
      <c r="I5607">
        <v>116.1816</v>
      </c>
      <c r="J5607">
        <v>-402.79419999999999</v>
      </c>
      <c r="K5607">
        <v>1.1170070000000001</v>
      </c>
      <c r="L5607">
        <v>136.0522</v>
      </c>
      <c r="M5607">
        <v>-0.90008359999999998</v>
      </c>
      <c r="N5607">
        <v>-1.471897E-2</v>
      </c>
      <c r="O5607">
        <v>-0.4354691</v>
      </c>
      <c r="P5607">
        <v>-0.8022205</v>
      </c>
      <c r="Q5607">
        <v>0.17795749999999999</v>
      </c>
      <c r="R5607">
        <v>-0.56988930000000004</v>
      </c>
      <c r="S5607">
        <v>-2.2335820000000002</v>
      </c>
      <c r="T5607">
        <v>-0.11991979999999999</v>
      </c>
      <c r="U5607">
        <v>-2.175888</v>
      </c>
      <c r="V5607">
        <v>-0.16644489999999901</v>
      </c>
      <c r="W5607">
        <v>0.1897826</v>
      </c>
      <c r="X5607">
        <v>0.96761490000000006</v>
      </c>
      <c r="Y5607">
        <v>-0.31599509999999997</v>
      </c>
      <c r="Z5607">
        <v>2.5714539999999999E-3</v>
      </c>
      <c r="AA5607">
        <v>0.94875739999999997</v>
      </c>
      <c r="AB5607">
        <v>30</v>
      </c>
      <c r="AC5607">
        <v>-20.0093</v>
      </c>
      <c r="AD5607">
        <v>-1.11701057407699</v>
      </c>
      <c r="AE5607">
        <v>-19.8706</v>
      </c>
      <c r="AF5607">
        <v>-9.1583910498870207</v>
      </c>
      <c r="AG5607">
        <v>-1.11701057407699</v>
      </c>
      <c r="AH5607">
        <v>26.624183364270198</v>
      </c>
      <c r="AI5607">
        <v>92.2719115314448</v>
      </c>
      <c r="AJ5607">
        <v>108.982585831846</v>
      </c>
      <c r="AK5607">
        <v>28.177490645185799</v>
      </c>
      <c r="AL5607">
        <v>79.059902379352806</v>
      </c>
      <c r="AM5607">
        <v>99.760251835699407</v>
      </c>
      <c r="AN5607">
        <v>0.99999996735038899</v>
      </c>
    </row>
    <row r="5608" spans="1:40" x14ac:dyDescent="0.25">
      <c r="A5608" t="str">
        <f>"20190304154909587"</f>
        <v>20190304154909587</v>
      </c>
      <c r="B5608" t="str">
        <f>"1551685749582615"</f>
        <v>1551685749582615</v>
      </c>
      <c r="C5608" t="s">
        <v>40</v>
      </c>
      <c r="D5608">
        <v>4.1503459999999999</v>
      </c>
      <c r="E5608">
        <v>0.43832900000000002</v>
      </c>
      <c r="F5608" t="s">
        <v>79</v>
      </c>
      <c r="G5608">
        <v>-418.03210000000001</v>
      </c>
      <c r="H5608" s="1">
        <v>-1.2085510000000001E-6</v>
      </c>
      <c r="I5608">
        <v>121.0958</v>
      </c>
      <c r="J5608">
        <v>-403.05439999999999</v>
      </c>
      <c r="K5608">
        <v>1.1170439999999999</v>
      </c>
      <c r="L5608">
        <v>135.91759999999999</v>
      </c>
      <c r="M5608">
        <v>-0.89677980000000002</v>
      </c>
      <c r="N5608">
        <v>-1.4722290000000001E-2</v>
      </c>
      <c r="O5608">
        <v>-0.44223220000000002</v>
      </c>
      <c r="P5608">
        <v>-0.79760489999999995</v>
      </c>
      <c r="Q5608">
        <v>0.1781683</v>
      </c>
      <c r="R5608">
        <v>-0.57626599999999994</v>
      </c>
      <c r="S5608">
        <v>-2.2246090000000001</v>
      </c>
      <c r="T5608">
        <v>-0.16307439999999901</v>
      </c>
      <c r="U5608">
        <v>-2.1835019999999998</v>
      </c>
      <c r="V5608">
        <v>-0.1669156</v>
      </c>
      <c r="W5608">
        <v>0.18997449999999999</v>
      </c>
      <c r="X5608">
        <v>0.96749620000000003</v>
      </c>
      <c r="Y5608">
        <v>-0.31238259999999901</v>
      </c>
      <c r="Z5608">
        <v>6.9830049999999996E-3</v>
      </c>
      <c r="AA5608">
        <v>0.94993070000000002</v>
      </c>
      <c r="AB5608">
        <v>30</v>
      </c>
      <c r="AC5608">
        <v>-14.9777</v>
      </c>
      <c r="AD5608">
        <v>-1.1170452085510001</v>
      </c>
      <c r="AE5608">
        <v>-14.8217999999999</v>
      </c>
      <c r="AF5608">
        <v>-6.6503032747223898</v>
      </c>
      <c r="AG5608">
        <v>-1.1170452085510001</v>
      </c>
      <c r="AH5608">
        <v>19.932526667102699</v>
      </c>
      <c r="AI5608">
        <v>93.043011566345299</v>
      </c>
      <c r="AJ5608">
        <v>108.450800001847</v>
      </c>
      <c r="AK5608">
        <v>21.042336918186901</v>
      </c>
      <c r="AL5608">
        <v>79.048704087385005</v>
      </c>
      <c r="AM5608">
        <v>99.788497937686401</v>
      </c>
      <c r="AN5608">
        <v>1.00000001259402</v>
      </c>
    </row>
    <row r="5609" spans="1:40" x14ac:dyDescent="0.25">
      <c r="A5609" t="str">
        <f>"20190304154909610"</f>
        <v>20190304154909610</v>
      </c>
      <c r="B5609" t="str">
        <f>"1551685749603107"</f>
        <v>1551685749603107</v>
      </c>
      <c r="C5609" t="s">
        <v>40</v>
      </c>
      <c r="D5609">
        <v>4.1786789999999998</v>
      </c>
      <c r="E5609">
        <v>0.43921169999999998</v>
      </c>
      <c r="F5609" t="s">
        <v>79</v>
      </c>
      <c r="G5609">
        <v>-416.64580000000001</v>
      </c>
      <c r="H5609" s="1">
        <v>-2.2895709999999999E-6</v>
      </c>
      <c r="I5609">
        <v>122.49290000000001</v>
      </c>
      <c r="J5609">
        <v>-403.32220000000001</v>
      </c>
      <c r="K5609">
        <v>1.1170770000000001</v>
      </c>
      <c r="L5609">
        <v>135.7765</v>
      </c>
      <c r="M5609">
        <v>-0.89328259999999904</v>
      </c>
      <c r="N5609">
        <v>-1.4725749999999999E-2</v>
      </c>
      <c r="O5609">
        <v>-0.4492546</v>
      </c>
      <c r="P5609">
        <v>-0.79286369999999995</v>
      </c>
      <c r="Q5609">
        <v>0.1786026</v>
      </c>
      <c r="R5609">
        <v>-0.58263949999999998</v>
      </c>
      <c r="S5609">
        <v>-2.218658</v>
      </c>
      <c r="T5609">
        <v>-0.18234620000000001</v>
      </c>
      <c r="U5609">
        <v>-2.191452</v>
      </c>
      <c r="V5609">
        <v>-0.1671454</v>
      </c>
      <c r="W5609">
        <v>0.19039210000000001</v>
      </c>
      <c r="X5609">
        <v>0.96737439999999997</v>
      </c>
      <c r="Y5609">
        <v>-0.30792720000000001</v>
      </c>
      <c r="Z5609">
        <v>9.320142E-3</v>
      </c>
      <c r="AA5609">
        <v>0.95136430000000005</v>
      </c>
      <c r="AB5609">
        <v>30</v>
      </c>
      <c r="AC5609">
        <v>-13.323600000000001</v>
      </c>
      <c r="AD5609">
        <v>-1.117079289571</v>
      </c>
      <c r="AE5609">
        <v>-13.2835999999999</v>
      </c>
      <c r="AF5609">
        <v>-5.8602973782030103</v>
      </c>
      <c r="AG5609">
        <v>-1.117079289571</v>
      </c>
      <c r="AH5609">
        <v>17.808612071285999</v>
      </c>
      <c r="AI5609">
        <v>93.409864664859398</v>
      </c>
      <c r="AJ5609">
        <v>108.214874982251</v>
      </c>
      <c r="AK5609">
        <v>18.7813102686079</v>
      </c>
      <c r="AL5609">
        <v>79.024332227970206</v>
      </c>
      <c r="AM5609">
        <v>99.8029231418042</v>
      </c>
      <c r="AN5609">
        <v>0.99999998312946403</v>
      </c>
    </row>
    <row r="5610" spans="1:40" x14ac:dyDescent="0.25">
      <c r="A5610" t="str">
        <f>"20190304154909633"</f>
        <v>20190304154909633</v>
      </c>
      <c r="B5610" t="str">
        <f>"1551685749622628"</f>
        <v>1551685749622628</v>
      </c>
      <c r="C5610" t="s">
        <v>40</v>
      </c>
      <c r="D5610">
        <v>4.2129539999999999</v>
      </c>
      <c r="E5610">
        <v>0.4396545</v>
      </c>
      <c r="F5610" t="s">
        <v>79</v>
      </c>
      <c r="G5610">
        <v>-416.27190000000002</v>
      </c>
      <c r="H5610" s="1">
        <v>-2.5616460000000002E-6</v>
      </c>
      <c r="I5610">
        <v>122.839</v>
      </c>
      <c r="J5610">
        <v>-403.57780000000002</v>
      </c>
      <c r="K5610">
        <v>1.117111</v>
      </c>
      <c r="L5610">
        <v>135.63919999999999</v>
      </c>
      <c r="M5610">
        <v>-0.88984940000000001</v>
      </c>
      <c r="N5610">
        <v>-1.4729290000000001E-2</v>
      </c>
      <c r="O5610">
        <v>-0.45601659999999999</v>
      </c>
      <c r="P5610">
        <v>-0.78811909999999996</v>
      </c>
      <c r="Q5610">
        <v>0.17924779999999901</v>
      </c>
      <c r="R5610">
        <v>-0.58884510000000001</v>
      </c>
      <c r="S5610">
        <v>-2.206604</v>
      </c>
      <c r="T5610">
        <v>-0.19034809999999999</v>
      </c>
      <c r="U5610">
        <v>-2.2045140000000001</v>
      </c>
      <c r="V5610">
        <v>-0.16749600000000001</v>
      </c>
      <c r="W5610">
        <v>0.19101889999999999</v>
      </c>
      <c r="X5610">
        <v>0.9671902</v>
      </c>
      <c r="Y5610">
        <v>-0.30613659999999998</v>
      </c>
      <c r="Z5610">
        <v>1.052172E-2</v>
      </c>
      <c r="AA5610">
        <v>0.95192949999999998</v>
      </c>
      <c r="AB5610">
        <v>30</v>
      </c>
      <c r="AC5610">
        <v>-12.694099999999899</v>
      </c>
      <c r="AD5610">
        <v>-1.117113561646</v>
      </c>
      <c r="AE5610">
        <v>-12.800199999999901</v>
      </c>
      <c r="AF5610">
        <v>-5.5807076656487897</v>
      </c>
      <c r="AG5610">
        <v>-1.117113561646</v>
      </c>
      <c r="AH5610">
        <v>17.0692534815384</v>
      </c>
      <c r="AI5610">
        <v>93.559535760653702</v>
      </c>
      <c r="AJ5610">
        <v>108.104899617095</v>
      </c>
      <c r="AK5610">
        <v>17.993100210248802</v>
      </c>
      <c r="AL5610">
        <v>78.987748070435003</v>
      </c>
      <c r="AM5610">
        <v>99.824919681377906</v>
      </c>
      <c r="AN5610">
        <v>1.00000000657462</v>
      </c>
    </row>
    <row r="5611" spans="1:40" x14ac:dyDescent="0.25">
      <c r="A5611" t="str">
        <f>"20190304154909653"</f>
        <v>20190304154909653</v>
      </c>
      <c r="B5611" t="str">
        <f>"1551685749643124"</f>
        <v>1551685749643124</v>
      </c>
      <c r="C5611" t="s">
        <v>40</v>
      </c>
      <c r="D5611">
        <v>4.1548080000000001</v>
      </c>
      <c r="E5611">
        <v>0.43994090000000002</v>
      </c>
      <c r="F5611" t="s">
        <v>79</v>
      </c>
      <c r="G5611">
        <v>-416.30720000000002</v>
      </c>
      <c r="H5611" s="1">
        <v>-2.5005839999999998E-6</v>
      </c>
      <c r="I5611">
        <v>122.75069999999999</v>
      </c>
      <c r="J5611">
        <v>-403.83030000000002</v>
      </c>
      <c r="K5611">
        <v>1.1171519999999999</v>
      </c>
      <c r="L5611">
        <v>135.50069999999999</v>
      </c>
      <c r="M5611">
        <v>-0.88635830000000004</v>
      </c>
      <c r="N5611">
        <v>-1.473289E-2</v>
      </c>
      <c r="O5611">
        <v>-0.46276590000000001</v>
      </c>
      <c r="P5611">
        <v>-0.78344340000000001</v>
      </c>
      <c r="Q5611">
        <v>0.17898449999999999</v>
      </c>
      <c r="R5611">
        <v>-0.59513149999999904</v>
      </c>
      <c r="S5611">
        <v>-2.1920169999999999</v>
      </c>
      <c r="T5611">
        <v>-0.19236790000000001</v>
      </c>
      <c r="U5611">
        <v>-2.2194060000000002</v>
      </c>
      <c r="V5611">
        <v>-0.16786960000000001</v>
      </c>
      <c r="W5611">
        <v>0.19073850000000001</v>
      </c>
      <c r="X5611">
        <v>0.96718079999999995</v>
      </c>
      <c r="Y5611">
        <v>-0.30527140000000003</v>
      </c>
      <c r="Z5611">
        <v>1.111185E-2</v>
      </c>
      <c r="AA5611">
        <v>0.95220059999999995</v>
      </c>
      <c r="AB5611">
        <v>30</v>
      </c>
      <c r="AC5611">
        <v>-12.476900000000001</v>
      </c>
      <c r="AD5611">
        <v>-1.117154500584</v>
      </c>
      <c r="AE5611">
        <v>-12.75</v>
      </c>
      <c r="AF5611">
        <v>-5.5061896010620597</v>
      </c>
      <c r="AG5611">
        <v>-1.117154500584</v>
      </c>
      <c r="AH5611">
        <v>16.894849756351999</v>
      </c>
      <c r="AI5611">
        <v>93.597411999829305</v>
      </c>
      <c r="AJ5611">
        <v>108.051273706557</v>
      </c>
      <c r="AK5611">
        <v>17.8045529680115</v>
      </c>
      <c r="AL5611">
        <v>79.004115090693006</v>
      </c>
      <c r="AM5611">
        <v>99.846499532715796</v>
      </c>
      <c r="AN5611">
        <v>1.0000000389375201</v>
      </c>
    </row>
    <row r="5612" spans="1:40" x14ac:dyDescent="0.25">
      <c r="A5612" t="str">
        <f>"20190304154909677"</f>
        <v>20190304154909677</v>
      </c>
      <c r="B5612" t="str">
        <f>"1551685749672407"</f>
        <v>1551685749672407</v>
      </c>
      <c r="C5612" t="s">
        <v>40</v>
      </c>
      <c r="D5612">
        <v>4.1612439999999999</v>
      </c>
      <c r="E5612">
        <v>0.44027660000000002</v>
      </c>
      <c r="F5612" t="s">
        <v>79</v>
      </c>
      <c r="G5612">
        <v>-416.1721</v>
      </c>
      <c r="H5612" s="1">
        <v>-2.5672449999999999E-6</v>
      </c>
      <c r="I5612">
        <v>122.82599999999999</v>
      </c>
      <c r="J5612">
        <v>-404.08850000000001</v>
      </c>
      <c r="K5612">
        <v>1.1171899999999999</v>
      </c>
      <c r="L5612">
        <v>135.35659999999999</v>
      </c>
      <c r="M5612">
        <v>-0.88269179999999903</v>
      </c>
      <c r="N5612">
        <v>-1.47365E-2</v>
      </c>
      <c r="O5612">
        <v>-0.46972130000000001</v>
      </c>
      <c r="P5612">
        <v>-0.77873000000000003</v>
      </c>
      <c r="Q5612">
        <v>0.178757</v>
      </c>
      <c r="R5612">
        <v>-0.60135349999999999</v>
      </c>
      <c r="S5612">
        <v>-2.1763919999999999</v>
      </c>
      <c r="T5612">
        <v>-0.1970025</v>
      </c>
      <c r="U5612">
        <v>-2.2351070000000002</v>
      </c>
      <c r="V5612">
        <v>-0.16795689999999999</v>
      </c>
      <c r="W5612">
        <v>0.19050020000000001</v>
      </c>
      <c r="X5612">
        <v>0.96721259999999998</v>
      </c>
      <c r="Y5612">
        <v>-0.30455280000000001</v>
      </c>
      <c r="Z5612">
        <v>1.1995540000000001E-2</v>
      </c>
      <c r="AA5612">
        <v>0.95241989999999999</v>
      </c>
      <c r="AB5612">
        <v>30</v>
      </c>
      <c r="AC5612">
        <v>-12.083599999999899</v>
      </c>
      <c r="AD5612">
        <v>-1.1171925672449901</v>
      </c>
      <c r="AE5612">
        <v>-12.5305999999999</v>
      </c>
      <c r="AF5612">
        <v>-5.3632280402810402</v>
      </c>
      <c r="AG5612">
        <v>-1.1171925672449901</v>
      </c>
      <c r="AH5612">
        <v>16.485879105094501</v>
      </c>
      <c r="AI5612">
        <v>93.6871715219132</v>
      </c>
      <c r="AJ5612">
        <v>108.020874635854</v>
      </c>
      <c r="AK5612">
        <v>17.3722924253582</v>
      </c>
      <c r="AL5612">
        <v>79.018023603295902</v>
      </c>
      <c r="AM5612">
        <v>99.851202314617595</v>
      </c>
      <c r="AN5612">
        <v>1.0000000300281999</v>
      </c>
    </row>
    <row r="5613" spans="1:40" x14ac:dyDescent="0.25">
      <c r="A5613" t="str">
        <f>"20190304154909698"</f>
        <v>20190304154909698</v>
      </c>
      <c r="B5613" t="str">
        <f>"1551685749692903"</f>
        <v>1551685749692903</v>
      </c>
      <c r="C5613" t="s">
        <v>40</v>
      </c>
      <c r="D5613">
        <v>4.2781549999999999</v>
      </c>
      <c r="E5613">
        <v>0.44034390000000001</v>
      </c>
      <c r="F5613" t="s">
        <v>79</v>
      </c>
      <c r="G5613">
        <v>-416.1481</v>
      </c>
      <c r="H5613" s="1">
        <v>-2.550277E-6</v>
      </c>
      <c r="I5613">
        <v>122.794</v>
      </c>
      <c r="J5613">
        <v>-404.34300000000002</v>
      </c>
      <c r="K5613">
        <v>1.117221</v>
      </c>
      <c r="L5613">
        <v>135.21180000000001</v>
      </c>
      <c r="M5613">
        <v>-0.87897939999999997</v>
      </c>
      <c r="N5613">
        <v>-1.473969E-2</v>
      </c>
      <c r="O5613">
        <v>-0.4766321</v>
      </c>
      <c r="P5613">
        <v>-0.77412179999999997</v>
      </c>
      <c r="Q5613">
        <v>0.17825389999999999</v>
      </c>
      <c r="R5613">
        <v>-0.60742189999999996</v>
      </c>
      <c r="S5613">
        <v>-2.160431</v>
      </c>
      <c r="T5613">
        <v>-0.20014109999999999</v>
      </c>
      <c r="U5613">
        <v>-2.250534</v>
      </c>
      <c r="V5613">
        <v>-0.16787959999999999</v>
      </c>
      <c r="W5613">
        <v>0.18999089999999999</v>
      </c>
      <c r="X5613">
        <v>0.96732620000000002</v>
      </c>
      <c r="Y5613">
        <v>-0.30386609999999997</v>
      </c>
      <c r="Z5613">
        <v>1.2738859999999999E-2</v>
      </c>
      <c r="AA5613">
        <v>0.95262959999999997</v>
      </c>
      <c r="AB5613">
        <v>30</v>
      </c>
      <c r="AC5613">
        <v>-11.8050999999999</v>
      </c>
      <c r="AD5613">
        <v>-1.117223550277</v>
      </c>
      <c r="AE5613">
        <v>-12.4178</v>
      </c>
      <c r="AF5613">
        <v>-5.2664824051807102</v>
      </c>
      <c r="AG5613">
        <v>-1.117223550277</v>
      </c>
      <c r="AH5613">
        <v>16.2279314957206</v>
      </c>
      <c r="AI5613">
        <v>93.746586146597195</v>
      </c>
      <c r="AJ5613">
        <v>107.97990343530201</v>
      </c>
      <c r="AK5613">
        <v>17.0976544009748</v>
      </c>
      <c r="AL5613">
        <v>79.047747306163998</v>
      </c>
      <c r="AM5613">
        <v>99.8456234491576</v>
      </c>
      <c r="AN5613">
        <v>1.0000000396927</v>
      </c>
    </row>
    <row r="5614" spans="1:40" x14ac:dyDescent="0.25">
      <c r="A5614" t="str">
        <f>"20190304154909721"</f>
        <v>20190304154909721</v>
      </c>
      <c r="B5614" t="str">
        <f>"1551685749712420"</f>
        <v>1551685749712420</v>
      </c>
      <c r="C5614" t="s">
        <v>40</v>
      </c>
      <c r="D5614">
        <v>4.301361</v>
      </c>
      <c r="E5614">
        <v>0.4404652</v>
      </c>
      <c r="F5614" t="s">
        <v>79</v>
      </c>
      <c r="G5614">
        <v>-416.26400000000001</v>
      </c>
      <c r="H5614" s="1">
        <v>-2.4136730000000002E-6</v>
      </c>
      <c r="I5614">
        <v>122.6045</v>
      </c>
      <c r="J5614">
        <v>-404.60109999999997</v>
      </c>
      <c r="K5614">
        <v>1.117254</v>
      </c>
      <c r="L5614">
        <v>135.06219999999999</v>
      </c>
      <c r="M5614">
        <v>-0.87510779999999999</v>
      </c>
      <c r="N5614">
        <v>-1.4742969999999999E-2</v>
      </c>
      <c r="O5614">
        <v>-0.4837033</v>
      </c>
      <c r="P5614">
        <v>-0.76954769999999995</v>
      </c>
      <c r="Q5614">
        <v>0.17791009999999999</v>
      </c>
      <c r="R5614">
        <v>-0.61330620000000002</v>
      </c>
      <c r="S5614">
        <v>-2.1431580000000001</v>
      </c>
      <c r="T5614">
        <v>-0.20085320000000001</v>
      </c>
      <c r="U5614">
        <v>-2.2665250000000001</v>
      </c>
      <c r="V5614">
        <v>-0.16742599999999999</v>
      </c>
      <c r="W5614">
        <v>0.18964629999999999</v>
      </c>
      <c r="X5614">
        <v>0.96747240000000001</v>
      </c>
      <c r="Y5614">
        <v>-0.30338120000000002</v>
      </c>
      <c r="Z5614">
        <v>1.323272E-2</v>
      </c>
      <c r="AA5614">
        <v>0.9527774</v>
      </c>
      <c r="AB5614">
        <v>30</v>
      </c>
      <c r="AC5614">
        <v>-11.6629</v>
      </c>
      <c r="AD5614">
        <v>-1.1172564136730001</v>
      </c>
      <c r="AE5614">
        <v>-12.4576999999999</v>
      </c>
      <c r="AF5614">
        <v>-5.2385649210807097</v>
      </c>
      <c r="AG5614">
        <v>-1.1172564136730001</v>
      </c>
      <c r="AH5614">
        <v>16.164603295958301</v>
      </c>
      <c r="AI5614">
        <v>93.761833956522594</v>
      </c>
      <c r="AJ5614">
        <v>107.956280868769</v>
      </c>
      <c r="AK5614">
        <v>17.0289525233344</v>
      </c>
      <c r="AL5614">
        <v>79.067856765702203</v>
      </c>
      <c r="AM5614">
        <v>99.818084736910095</v>
      </c>
      <c r="AN5614">
        <v>1.00000001467072</v>
      </c>
    </row>
    <row r="5615" spans="1:40" x14ac:dyDescent="0.25">
      <c r="A5615" t="str">
        <f>"20190304154909743"</f>
        <v>20190304154909743</v>
      </c>
      <c r="B5615" t="str">
        <f>"1551685749732916"</f>
        <v>1551685749732916</v>
      </c>
      <c r="C5615" t="s">
        <v>40</v>
      </c>
      <c r="D5615">
        <v>4.2841519999999997</v>
      </c>
      <c r="E5615">
        <v>0.44511640000000002</v>
      </c>
      <c r="F5615" t="s">
        <v>79</v>
      </c>
      <c r="G5615">
        <v>-416.36</v>
      </c>
      <c r="H5615" s="1">
        <v>-2.2955080000000001E-6</v>
      </c>
      <c r="I5615">
        <v>122.4396</v>
      </c>
      <c r="J5615">
        <v>-404.8449</v>
      </c>
      <c r="K5615">
        <v>1.117286</v>
      </c>
      <c r="L5615">
        <v>134.91829999999999</v>
      </c>
      <c r="M5615">
        <v>-0.87134560000000005</v>
      </c>
      <c r="N5615">
        <v>-1.4746749999999999E-2</v>
      </c>
      <c r="O5615">
        <v>-0.49044840000000001</v>
      </c>
      <c r="P5615">
        <v>-0.76493999999999995</v>
      </c>
      <c r="Q5615">
        <v>0.1775601</v>
      </c>
      <c r="R5615">
        <v>-0.61914409999999998</v>
      </c>
      <c r="S5615">
        <v>-2.12616</v>
      </c>
      <c r="T5615">
        <v>-0.20201359999999999</v>
      </c>
      <c r="U5615">
        <v>-2.2823180000000001</v>
      </c>
      <c r="V5615">
        <v>-0.16728599999999999</v>
      </c>
      <c r="W5615">
        <v>0.18928909999999999</v>
      </c>
      <c r="X5615">
        <v>0.9675665</v>
      </c>
      <c r="Y5615">
        <v>-0.30311650000000001</v>
      </c>
      <c r="Z5615">
        <v>1.375329E-2</v>
      </c>
      <c r="AA5615">
        <v>0.95285430000000004</v>
      </c>
      <c r="AB5615">
        <v>30</v>
      </c>
      <c r="AC5615">
        <v>-11.5151</v>
      </c>
      <c r="AD5615">
        <v>-1.1172882955079999</v>
      </c>
      <c r="AE5615">
        <v>-12.4786999999999</v>
      </c>
      <c r="AF5615">
        <v>-5.2037347475926996</v>
      </c>
      <c r="AG5615">
        <v>-1.1172882955079999</v>
      </c>
      <c r="AH5615">
        <v>16.085896987799298</v>
      </c>
      <c r="AI5615">
        <v>93.780934770487207</v>
      </c>
      <c r="AJ5615">
        <v>107.926223592143</v>
      </c>
      <c r="AK5615">
        <v>16.943531814845201</v>
      </c>
      <c r="AL5615">
        <v>79.088699650679501</v>
      </c>
      <c r="AM5615">
        <v>99.809098991145206</v>
      </c>
      <c r="AN5615">
        <v>0.99999995054852797</v>
      </c>
    </row>
    <row r="5616" spans="1:40" x14ac:dyDescent="0.25">
      <c r="A5616" t="str">
        <f>"20190304154909766"</f>
        <v>20190304154909766</v>
      </c>
      <c r="B5616" t="str">
        <f>"1551685749763172"</f>
        <v>1551685749763172</v>
      </c>
      <c r="C5616" t="s">
        <v>40</v>
      </c>
      <c r="D5616">
        <v>4.2370359999999998</v>
      </c>
      <c r="E5616">
        <v>0.44633420000000001</v>
      </c>
      <c r="F5616" t="s">
        <v>44</v>
      </c>
      <c r="G5616">
        <v>-420.21600000000001</v>
      </c>
      <c r="H5616" s="1">
        <v>-3.8960069999999996E-6</v>
      </c>
      <c r="I5616">
        <v>118.5368</v>
      </c>
      <c r="J5616">
        <v>-405.09620000000001</v>
      </c>
      <c r="K5616">
        <v>1.117326</v>
      </c>
      <c r="L5616">
        <v>134.7672</v>
      </c>
      <c r="M5616">
        <v>-0.8673573</v>
      </c>
      <c r="N5616">
        <v>-1.475159E-2</v>
      </c>
      <c r="O5616">
        <v>-0.4974672</v>
      </c>
      <c r="P5616">
        <v>-0.75964379999999998</v>
      </c>
      <c r="Q5616">
        <v>0.17792450000000001</v>
      </c>
      <c r="R5616">
        <v>-0.6255271</v>
      </c>
      <c r="S5616">
        <v>-2.1248170000000002</v>
      </c>
      <c r="T5616">
        <v>-0.15444820000000001</v>
      </c>
      <c r="U5616">
        <v>-2.264481</v>
      </c>
      <c r="V5616">
        <v>-0.16764370000000001</v>
      </c>
      <c r="W5616">
        <v>0.18963369999999999</v>
      </c>
      <c r="X5616">
        <v>0.96743710000000005</v>
      </c>
      <c r="Y5616">
        <v>-0.291987</v>
      </c>
      <c r="Z5616">
        <v>9.0446169999999996E-3</v>
      </c>
      <c r="AA5616">
        <v>0.95637950000000005</v>
      </c>
      <c r="AB5616">
        <v>30</v>
      </c>
      <c r="AC5616">
        <v>-15.1197999999999</v>
      </c>
      <c r="AD5616">
        <v>-1.1173298960069999</v>
      </c>
      <c r="AE5616">
        <v>-16.230399999999999</v>
      </c>
      <c r="AF5616">
        <v>-6.5400711220978396</v>
      </c>
      <c r="AG5616">
        <v>-1.1173298960069999</v>
      </c>
      <c r="AH5616">
        <v>21.137036795130001</v>
      </c>
      <c r="AI5616">
        <v>92.890933835624793</v>
      </c>
      <c r="AJ5616">
        <v>107.192740164298</v>
      </c>
      <c r="AK5616">
        <v>22.1538999017619</v>
      </c>
      <c r="AL5616">
        <v>79.068591279350898</v>
      </c>
      <c r="AM5616">
        <v>99.830953740665194</v>
      </c>
      <c r="AN5616">
        <v>0.99999994639089296</v>
      </c>
    </row>
    <row r="5617" spans="1:40" x14ac:dyDescent="0.25">
      <c r="A5617" t="str">
        <f>"20190304154909788"</f>
        <v>20190304154909788</v>
      </c>
      <c r="B5617" t="str">
        <f>"1551685749782695"</f>
        <v>1551685749782695</v>
      </c>
      <c r="C5617" t="s">
        <v>40</v>
      </c>
      <c r="D5617">
        <v>4.3583550000000004</v>
      </c>
      <c r="E5617">
        <v>0.44660270000000002</v>
      </c>
      <c r="F5617" t="s">
        <v>44</v>
      </c>
      <c r="G5617">
        <v>-420.03710000000001</v>
      </c>
      <c r="H5617" s="1">
        <v>-3.9082640000000002E-6</v>
      </c>
      <c r="I5617">
        <v>118.6763</v>
      </c>
      <c r="J5617">
        <v>-405.34570000000002</v>
      </c>
      <c r="K5617">
        <v>1.1173740000000001</v>
      </c>
      <c r="L5617">
        <v>134.61429999999999</v>
      </c>
      <c r="M5617">
        <v>-0.86327589999999998</v>
      </c>
      <c r="N5617">
        <v>-1.475713E-2</v>
      </c>
      <c r="O5617">
        <v>-0.50451650000000003</v>
      </c>
      <c r="P5617">
        <v>-0.75440959999999901</v>
      </c>
      <c r="Q5617">
        <v>0.17815239999999999</v>
      </c>
      <c r="R5617">
        <v>-0.63176569999999899</v>
      </c>
      <c r="S5617">
        <v>-2.1127009999999999</v>
      </c>
      <c r="T5617">
        <v>-0.15799389999999999</v>
      </c>
      <c r="U5617">
        <v>-2.275299</v>
      </c>
      <c r="V5617">
        <v>-0.16778899999999999</v>
      </c>
      <c r="W5617">
        <v>0.1898434</v>
      </c>
      <c r="X5617">
        <v>0.96737079999999998</v>
      </c>
      <c r="Y5617">
        <v>-0.28920420000000002</v>
      </c>
      <c r="Z5617">
        <v>9.8413010000000002E-3</v>
      </c>
      <c r="AA5617">
        <v>0.95721690000000004</v>
      </c>
      <c r="AB5617">
        <v>30</v>
      </c>
      <c r="AC5617">
        <v>-14.6913999999999</v>
      </c>
      <c r="AD5617">
        <v>-1.1173779082640001</v>
      </c>
      <c r="AE5617">
        <v>-15.937999999999899</v>
      </c>
      <c r="AF5617">
        <v>-6.3307065920636703</v>
      </c>
      <c r="AG5617">
        <v>-1.1173779082640001</v>
      </c>
      <c r="AH5617">
        <v>20.671044558020402</v>
      </c>
      <c r="AI5617">
        <v>92.958734881278602</v>
      </c>
      <c r="AJ5617">
        <v>107.027712120052</v>
      </c>
      <c r="AK5617">
        <v>21.6475971522093</v>
      </c>
      <c r="AL5617">
        <v>79.056354265052903</v>
      </c>
      <c r="AM5617">
        <v>99.839969119670201</v>
      </c>
      <c r="AN5617">
        <v>0.99999996486859899</v>
      </c>
    </row>
    <row r="5618" spans="1:40" x14ac:dyDescent="0.25">
      <c r="A5618" t="str">
        <f>"20190304154909811"</f>
        <v>20190304154909811</v>
      </c>
      <c r="B5618" t="str">
        <f>"1551685749803187"</f>
        <v>1551685749803187</v>
      </c>
      <c r="C5618" t="s">
        <v>40</v>
      </c>
      <c r="D5618">
        <v>4.2583580000000003</v>
      </c>
      <c r="E5618">
        <v>0.44697799999999999</v>
      </c>
      <c r="F5618" t="s">
        <v>44</v>
      </c>
      <c r="G5618">
        <v>-419.93709999999999</v>
      </c>
      <c r="H5618" s="1">
        <v>-3.879313E-6</v>
      </c>
      <c r="I5618">
        <v>118.64960000000001</v>
      </c>
      <c r="J5618">
        <v>-405.59719999999999</v>
      </c>
      <c r="K5618">
        <v>1.117432</v>
      </c>
      <c r="L5618">
        <v>134.4573</v>
      </c>
      <c r="M5618">
        <v>-0.85903039999999997</v>
      </c>
      <c r="N5618">
        <v>-1.4763429999999999E-2</v>
      </c>
      <c r="O5618">
        <v>-0.51171149999999999</v>
      </c>
      <c r="P5618">
        <v>-0.74886649999999999</v>
      </c>
      <c r="Q5618">
        <v>0.17807890000000001</v>
      </c>
      <c r="R5618">
        <v>-0.638347</v>
      </c>
      <c r="S5618">
        <v>-2.0949710000000001</v>
      </c>
      <c r="T5618">
        <v>-0.1604275</v>
      </c>
      <c r="U5618">
        <v>-2.2921450000000001</v>
      </c>
      <c r="V5618">
        <v>-0.1681945</v>
      </c>
      <c r="W5618">
        <v>0.18974559999999999</v>
      </c>
      <c r="X5618">
        <v>0.96731959999999995</v>
      </c>
      <c r="Y5618">
        <v>-0.28875020000000001</v>
      </c>
      <c r="Z5618">
        <v>1.045051E-2</v>
      </c>
      <c r="AA5618">
        <v>0.95734750000000002</v>
      </c>
      <c r="AB5618">
        <v>30</v>
      </c>
      <c r="AC5618">
        <v>-14.3399</v>
      </c>
      <c r="AD5618">
        <v>-1.1174358793129999</v>
      </c>
      <c r="AE5618">
        <v>-15.807699999999899</v>
      </c>
      <c r="AF5618">
        <v>-6.2250198368934004</v>
      </c>
      <c r="AG5618">
        <v>-1.1174358793129999</v>
      </c>
      <c r="AH5618">
        <v>20.353823831442401</v>
      </c>
      <c r="AI5618">
        <v>93.005271422808704</v>
      </c>
      <c r="AJ5618">
        <v>107.005744267495</v>
      </c>
      <c r="AK5618">
        <v>21.313790828369498</v>
      </c>
      <c r="AL5618">
        <v>79.062061868340805</v>
      </c>
      <c r="AM5618">
        <v>99.863794940389596</v>
      </c>
      <c r="AN5618">
        <v>0.99999999554688401</v>
      </c>
    </row>
    <row r="5619" spans="1:40" x14ac:dyDescent="0.25">
      <c r="A5619" t="str">
        <f>"20190304154909833"</f>
        <v>20190304154909833</v>
      </c>
      <c r="B5619" t="str">
        <f>"1551685749822707"</f>
        <v>1551685749822707</v>
      </c>
      <c r="C5619" t="s">
        <v>40</v>
      </c>
      <c r="D5619">
        <v>4.2887490000000001</v>
      </c>
      <c r="E5619">
        <v>0.44745269999999998</v>
      </c>
      <c r="F5619" t="s">
        <v>44</v>
      </c>
      <c r="G5619">
        <v>-420.04660000000001</v>
      </c>
      <c r="H5619" s="1">
        <v>-3.791052E-6</v>
      </c>
      <c r="I5619">
        <v>118.3973</v>
      </c>
      <c r="J5619">
        <v>-405.8424</v>
      </c>
      <c r="K5619">
        <v>1.1174959999999901</v>
      </c>
      <c r="L5619">
        <v>134.30099999999999</v>
      </c>
      <c r="M5619">
        <v>-0.85474879999999998</v>
      </c>
      <c r="N5619">
        <v>-1.4770719999999999E-2</v>
      </c>
      <c r="O5619">
        <v>-0.51883179999999995</v>
      </c>
      <c r="P5619">
        <v>-0.74331359999999902</v>
      </c>
      <c r="Q5619">
        <v>0.17760519999999999</v>
      </c>
      <c r="R5619">
        <v>-0.64493509999999998</v>
      </c>
      <c r="S5619">
        <v>-2.0766909999999998</v>
      </c>
      <c r="T5619">
        <v>-0.1606003</v>
      </c>
      <c r="U5619">
        <v>-2.308182</v>
      </c>
      <c r="V5619">
        <v>-0.16866349999999999</v>
      </c>
      <c r="W5619">
        <v>0.189246</v>
      </c>
      <c r="X5619">
        <v>0.96733579999999997</v>
      </c>
      <c r="Y5619">
        <v>-0.28829629999999901</v>
      </c>
      <c r="Z5619">
        <v>1.078839E-2</v>
      </c>
      <c r="AA5619">
        <v>0.95748049999999996</v>
      </c>
      <c r="AB5619">
        <v>29</v>
      </c>
      <c r="AC5619">
        <v>-14.2042</v>
      </c>
      <c r="AD5619">
        <v>-1.1174997910519999</v>
      </c>
      <c r="AE5619">
        <v>-15.903700000000001</v>
      </c>
      <c r="AF5619">
        <v>-6.20770695834665</v>
      </c>
      <c r="AG5619">
        <v>-1.1174997910519999</v>
      </c>
      <c r="AH5619">
        <v>20.3387311829614</v>
      </c>
      <c r="AI5619">
        <v>93.008192899734993</v>
      </c>
      <c r="AJ5619">
        <v>106.973029821401</v>
      </c>
      <c r="AK5619">
        <v>21.2943282964379</v>
      </c>
      <c r="AL5619">
        <v>79.091214960829902</v>
      </c>
      <c r="AM5619">
        <v>99.890594712739698</v>
      </c>
      <c r="AN5619">
        <v>0.999999987354944</v>
      </c>
    </row>
    <row r="5620" spans="1:40" x14ac:dyDescent="0.25">
      <c r="A5620" t="str">
        <f>"20190304154909854"</f>
        <v>20190304154909854</v>
      </c>
      <c r="B5620" t="str">
        <f>"1551685749852965"</f>
        <v>1551685749852965</v>
      </c>
      <c r="C5620" t="s">
        <v>40</v>
      </c>
      <c r="D5620">
        <v>4.2422870000000001</v>
      </c>
      <c r="E5620">
        <v>0.44813700000000001</v>
      </c>
      <c r="F5620" t="s">
        <v>44</v>
      </c>
      <c r="G5620">
        <v>-420.15230000000003</v>
      </c>
      <c r="H5620" s="1">
        <v>-3.7137250000000002E-6</v>
      </c>
      <c r="I5620">
        <v>118.1514</v>
      </c>
      <c r="J5620">
        <v>-406.07749999999999</v>
      </c>
      <c r="K5620">
        <v>1.1175580000000001</v>
      </c>
      <c r="L5620">
        <v>134.14840000000001</v>
      </c>
      <c r="M5620">
        <v>-0.85050949999999903</v>
      </c>
      <c r="N5620">
        <v>-1.4778650000000001E-2</v>
      </c>
      <c r="O5620">
        <v>-0.52575209999999895</v>
      </c>
      <c r="P5620">
        <v>-0.73807829999999996</v>
      </c>
      <c r="Q5620">
        <v>0.17763619999999999</v>
      </c>
      <c r="R5620">
        <v>-0.65091160000000003</v>
      </c>
      <c r="S5620">
        <v>-2.0585939999999998</v>
      </c>
      <c r="T5620">
        <v>-0.16076170000000001</v>
      </c>
      <c r="U5620">
        <v>-2.3232569999999999</v>
      </c>
      <c r="V5620">
        <v>-0.16865160000000001</v>
      </c>
      <c r="W5620">
        <v>0.1892587</v>
      </c>
      <c r="X5620">
        <v>0.96733539999999996</v>
      </c>
      <c r="Y5620">
        <v>-0.28778949999999998</v>
      </c>
      <c r="Z5620">
        <v>1.112164E-2</v>
      </c>
      <c r="AA5620">
        <v>0.95762910000000001</v>
      </c>
      <c r="AB5620">
        <v>29</v>
      </c>
      <c r="AC5620">
        <v>-14.0748</v>
      </c>
      <c r="AD5620">
        <v>-1.117561713725</v>
      </c>
      <c r="AE5620">
        <v>-15.997</v>
      </c>
      <c r="AF5620">
        <v>-6.1893956003975399</v>
      </c>
      <c r="AG5620">
        <v>-1.117561713725</v>
      </c>
      <c r="AH5620">
        <v>20.3275125743668</v>
      </c>
      <c r="AI5620">
        <v>93.010630335965402</v>
      </c>
      <c r="AJ5620">
        <v>106.934636171042</v>
      </c>
      <c r="AK5620">
        <v>21.2782830497022</v>
      </c>
      <c r="AL5620">
        <v>79.090474017971701</v>
      </c>
      <c r="AM5620">
        <v>99.889914672919403</v>
      </c>
      <c r="AN5620">
        <v>0.99999999690070496</v>
      </c>
    </row>
    <row r="5621" spans="1:40" x14ac:dyDescent="0.25">
      <c r="A5621" t="str">
        <f>"20190304154909878"</f>
        <v>20190304154909878</v>
      </c>
      <c r="B5621" t="str">
        <f>"1551685749872484"</f>
        <v>1551685749872484</v>
      </c>
      <c r="C5621" t="s">
        <v>40</v>
      </c>
      <c r="D5621">
        <v>4.2423129999999896</v>
      </c>
      <c r="E5621">
        <v>0.44836229999999999</v>
      </c>
      <c r="F5621" t="s">
        <v>44</v>
      </c>
      <c r="G5621">
        <v>-420.2398</v>
      </c>
      <c r="H5621" s="1">
        <v>-3.6516599999999999E-6</v>
      </c>
      <c r="I5621">
        <v>117.9525</v>
      </c>
      <c r="J5621">
        <v>-406.32850000000002</v>
      </c>
      <c r="K5621">
        <v>1.117626</v>
      </c>
      <c r="L5621">
        <v>133.98220000000001</v>
      </c>
      <c r="M5621">
        <v>-0.84583739999999996</v>
      </c>
      <c r="N5621">
        <v>-1.478747E-2</v>
      </c>
      <c r="O5621">
        <v>-0.53323599999999904</v>
      </c>
      <c r="P5621">
        <v>-0.73250599999999999</v>
      </c>
      <c r="Q5621">
        <v>0.17750179999999999</v>
      </c>
      <c r="R5621">
        <v>-0.65721240000000003</v>
      </c>
      <c r="S5621">
        <v>-2.042999</v>
      </c>
      <c r="T5621">
        <v>-0.1612152</v>
      </c>
      <c r="U5621">
        <v>-2.3363649999999998</v>
      </c>
      <c r="V5621">
        <v>-0.1684156</v>
      </c>
      <c r="W5621">
        <v>0.18911159999999999</v>
      </c>
      <c r="X5621">
        <v>0.96740530000000002</v>
      </c>
      <c r="Y5621">
        <v>-0.28562979999999999</v>
      </c>
      <c r="Z5621">
        <v>1.156597E-2</v>
      </c>
      <c r="AA5621">
        <v>0.95827030000000002</v>
      </c>
      <c r="AB5621">
        <v>29</v>
      </c>
      <c r="AC5621">
        <v>-13.911299999999899</v>
      </c>
      <c r="AD5621">
        <v>-1.1176296516599999</v>
      </c>
      <c r="AE5621">
        <v>-16.029699999999998</v>
      </c>
      <c r="AF5621">
        <v>-6.1242032177950501</v>
      </c>
      <c r="AG5621">
        <v>-1.1176296516599999</v>
      </c>
      <c r="AH5621">
        <v>20.2603515515761</v>
      </c>
      <c r="AI5621">
        <v>93.022625529279793</v>
      </c>
      <c r="AJ5621">
        <v>106.818768586217</v>
      </c>
      <c r="AK5621">
        <v>21.195207148895101</v>
      </c>
      <c r="AL5621">
        <v>79.099057405535603</v>
      </c>
      <c r="AM5621">
        <v>99.875648507109105</v>
      </c>
      <c r="AN5621">
        <v>1.000000013023</v>
      </c>
    </row>
    <row r="5622" spans="1:40" x14ac:dyDescent="0.25">
      <c r="A5622" t="str">
        <f>"20190304154909899"</f>
        <v>20190304154909899</v>
      </c>
      <c r="B5622" t="str">
        <f>"1551685749892980"</f>
        <v>1551685749892980</v>
      </c>
      <c r="C5622" t="s">
        <v>40</v>
      </c>
      <c r="D5622">
        <v>4.2133010000000004</v>
      </c>
      <c r="E5622">
        <v>0.44924960000000003</v>
      </c>
      <c r="F5622" t="s">
        <v>44</v>
      </c>
      <c r="G5622">
        <v>-420.34269999999998</v>
      </c>
      <c r="H5622" s="1">
        <v>-3.567163E-6</v>
      </c>
      <c r="I5622">
        <v>117.6917</v>
      </c>
      <c r="J5622">
        <v>-406.56099999999998</v>
      </c>
      <c r="K5622">
        <v>1.1176820000000001</v>
      </c>
      <c r="L5622">
        <v>133.8254</v>
      </c>
      <c r="M5622">
        <v>-0.84137209999999996</v>
      </c>
      <c r="N5622">
        <v>-1.479508E-2</v>
      </c>
      <c r="O5622">
        <v>-0.5402536</v>
      </c>
      <c r="P5622">
        <v>-0.72705540000000002</v>
      </c>
      <c r="Q5622">
        <v>0.178035</v>
      </c>
      <c r="R5622">
        <v>-0.66309419999999897</v>
      </c>
      <c r="S5622">
        <v>-2.0238339999999999</v>
      </c>
      <c r="T5622">
        <v>-0.1614004</v>
      </c>
      <c r="U5622">
        <v>-2.3525700000000001</v>
      </c>
      <c r="V5622">
        <v>-0.168268899999999</v>
      </c>
      <c r="W5622">
        <v>0.1896304</v>
      </c>
      <c r="X5622">
        <v>0.96732929999999995</v>
      </c>
      <c r="Y5622">
        <v>-0.28541109999999997</v>
      </c>
      <c r="Z5622">
        <v>1.189844E-2</v>
      </c>
      <c r="AA5622">
        <v>0.9583313</v>
      </c>
      <c r="AB5622">
        <v>29</v>
      </c>
      <c r="AC5622">
        <v>-13.781700000000001</v>
      </c>
      <c r="AD5622">
        <v>-1.1176855671629999</v>
      </c>
      <c r="AE5622">
        <v>-16.133700000000001</v>
      </c>
      <c r="AF5622">
        <v>-6.1125433616417002</v>
      </c>
      <c r="AG5622">
        <v>-1.1176855671629999</v>
      </c>
      <c r="AH5622">
        <v>20.2578444603596</v>
      </c>
      <c r="AI5622">
        <v>93.023599351431102</v>
      </c>
      <c r="AJ5622">
        <v>106.79051138723101</v>
      </c>
      <c r="AK5622">
        <v>21.189447127169601</v>
      </c>
      <c r="AL5622">
        <v>79.068784918356997</v>
      </c>
      <c r="AM5622">
        <v>99.867975377284694</v>
      </c>
      <c r="AN5622">
        <v>1.0000000429749201</v>
      </c>
    </row>
    <row r="5623" spans="1:40" x14ac:dyDescent="0.25">
      <c r="A5623" t="str">
        <f>"20190304154909922"</f>
        <v>20190304154909922</v>
      </c>
      <c r="B5623" t="str">
        <f>"1551685749912501"</f>
        <v>1551685749912501</v>
      </c>
      <c r="C5623" t="s">
        <v>40</v>
      </c>
      <c r="D5623">
        <v>4.2280259999999998</v>
      </c>
      <c r="E5623">
        <v>0.45473259999999999</v>
      </c>
      <c r="F5623" t="s">
        <v>44</v>
      </c>
      <c r="G5623">
        <v>-420.54899999999998</v>
      </c>
      <c r="H5623" s="1">
        <v>-3.4843869999999999E-6</v>
      </c>
      <c r="I5623">
        <v>117.3708</v>
      </c>
      <c r="J5623">
        <v>-406.79570000000001</v>
      </c>
      <c r="K5623">
        <v>1.1177459999999999</v>
      </c>
      <c r="L5623">
        <v>133.66399999999999</v>
      </c>
      <c r="M5623">
        <v>-0.83671790000000001</v>
      </c>
      <c r="N5623">
        <v>-1.480302E-2</v>
      </c>
      <c r="O5623">
        <v>-0.54743430000000004</v>
      </c>
      <c r="P5623">
        <v>-0.72161379999999997</v>
      </c>
      <c r="Q5623">
        <v>0.17909229999999901</v>
      </c>
      <c r="R5623">
        <v>-0.6687303</v>
      </c>
      <c r="S5623">
        <v>-2.0095830000000001</v>
      </c>
      <c r="T5623">
        <v>-0.16057109999999999</v>
      </c>
      <c r="U5623">
        <v>-2.363937</v>
      </c>
      <c r="V5623">
        <v>-0.1677014</v>
      </c>
      <c r="W5623">
        <v>0.19067999999999999</v>
      </c>
      <c r="X5623">
        <v>0.96722149999999996</v>
      </c>
      <c r="Y5623">
        <v>-0.28284239999999999</v>
      </c>
      <c r="Z5623">
        <v>1.217241E-2</v>
      </c>
      <c r="AA5623">
        <v>0.95908919999999998</v>
      </c>
      <c r="AB5623">
        <v>29</v>
      </c>
      <c r="AC5623">
        <v>-13.753299999999999</v>
      </c>
      <c r="AD5623">
        <v>-1.1177494843869999</v>
      </c>
      <c r="AE5623">
        <v>-16.293199999999899</v>
      </c>
      <c r="AF5623">
        <v>-6.0877220121424296</v>
      </c>
      <c r="AG5623">
        <v>-1.1177494843869999</v>
      </c>
      <c r="AH5623">
        <v>20.373335580638599</v>
      </c>
      <c r="AI5623">
        <v>93.009084504549804</v>
      </c>
      <c r="AJ5623">
        <v>106.63658269761</v>
      </c>
      <c r="AK5623">
        <v>21.292781074539999</v>
      </c>
      <c r="AL5623">
        <v>79.007529417059402</v>
      </c>
      <c r="AM5623">
        <v>99.836420635544798</v>
      </c>
      <c r="AN5623">
        <v>1.0000000260121</v>
      </c>
    </row>
    <row r="5624" spans="1:40" x14ac:dyDescent="0.25">
      <c r="A5624" t="str">
        <f>"20190304154909944"</f>
        <v>20190304154909944</v>
      </c>
      <c r="B5624" t="str">
        <f>"1551685749932996"</f>
        <v>1551685749932996</v>
      </c>
      <c r="C5624" t="s">
        <v>40</v>
      </c>
      <c r="D5624">
        <v>4.2016249999999999</v>
      </c>
      <c r="E5624">
        <v>0.45531949999999999</v>
      </c>
      <c r="F5624" t="s">
        <v>44</v>
      </c>
      <c r="G5624">
        <v>-420.74610000000001</v>
      </c>
      <c r="H5624" s="1">
        <v>-3.5731499999999998E-6</v>
      </c>
      <c r="I5624">
        <v>117.4555</v>
      </c>
      <c r="J5624">
        <v>-407.03320000000002</v>
      </c>
      <c r="K5624">
        <v>1.117815</v>
      </c>
      <c r="L5624">
        <v>133.49760000000001</v>
      </c>
      <c r="M5624">
        <v>-0.83185609999999999</v>
      </c>
      <c r="N5624">
        <v>-1.4811980000000001E-2</v>
      </c>
      <c r="O5624">
        <v>-0.55479409999999996</v>
      </c>
      <c r="P5624">
        <v>-0.71632530000000005</v>
      </c>
      <c r="Q5624">
        <v>0.17980650000000001</v>
      </c>
      <c r="R5624">
        <v>-0.67420159999999996</v>
      </c>
      <c r="S5624">
        <v>-2.0212400000000001</v>
      </c>
      <c r="T5624">
        <v>-0.16194819999999999</v>
      </c>
      <c r="U5624">
        <v>-2.3484189999999998</v>
      </c>
      <c r="V5624">
        <v>-0.16666619999999999</v>
      </c>
      <c r="W5624">
        <v>0.1913956</v>
      </c>
      <c r="X5624">
        <v>0.96725899999999998</v>
      </c>
      <c r="Y5624">
        <v>-0.26851560000000002</v>
      </c>
      <c r="Z5624">
        <v>1.3131820000000001E-2</v>
      </c>
      <c r="AA5624">
        <v>0.96318579999999998</v>
      </c>
      <c r="AB5624">
        <v>29</v>
      </c>
      <c r="AC5624">
        <v>-13.7128999999999</v>
      </c>
      <c r="AD5624">
        <v>-1.1178185731499899</v>
      </c>
      <c r="AE5624">
        <v>-16.042100000000001</v>
      </c>
      <c r="AF5624">
        <v>-5.7214596723293996</v>
      </c>
      <c r="AG5624">
        <v>-1.1178185731499899</v>
      </c>
      <c r="AH5624">
        <v>20.2526279387973</v>
      </c>
      <c r="AI5624">
        <v>93.040403487384694</v>
      </c>
      <c r="AJ5624">
        <v>105.775227724454</v>
      </c>
      <c r="AK5624">
        <v>21.074950950641</v>
      </c>
      <c r="AL5624">
        <v>78.965758251820702</v>
      </c>
      <c r="AM5624">
        <v>99.776505240674197</v>
      </c>
      <c r="AN5624">
        <v>0.99999993550139699</v>
      </c>
    </row>
    <row r="5625" spans="1:40" x14ac:dyDescent="0.25">
      <c r="A5625" t="str">
        <f>"20190304154909967"</f>
        <v>20190304154909967</v>
      </c>
      <c r="B5625" t="str">
        <f>"1551685749963252"</f>
        <v>1551685749963252</v>
      </c>
      <c r="C5625" t="s">
        <v>40</v>
      </c>
      <c r="D5625">
        <v>4.1666869999999996</v>
      </c>
      <c r="E5625">
        <v>0.45574019999999998</v>
      </c>
      <c r="F5625" t="s">
        <v>44</v>
      </c>
      <c r="G5625">
        <v>-421.58</v>
      </c>
      <c r="H5625" s="1">
        <v>-3.331938E-6</v>
      </c>
      <c r="I5625">
        <v>116.376</v>
      </c>
      <c r="J5625">
        <v>-407.26830000000001</v>
      </c>
      <c r="K5625">
        <v>1.11788</v>
      </c>
      <c r="L5625">
        <v>133.3297</v>
      </c>
      <c r="M5625">
        <v>-0.82688519999999899</v>
      </c>
      <c r="N5625">
        <v>-1.4821839999999999E-2</v>
      </c>
      <c r="O5625">
        <v>-0.56217569999999994</v>
      </c>
      <c r="P5625">
        <v>-0.71083529999999995</v>
      </c>
      <c r="Q5625">
        <v>0.18063860000000001</v>
      </c>
      <c r="R5625">
        <v>-0.67976729999999996</v>
      </c>
      <c r="S5625">
        <v>-2.00528</v>
      </c>
      <c r="T5625">
        <v>-0.15409210000000001</v>
      </c>
      <c r="U5625">
        <v>-2.3602289999999999</v>
      </c>
      <c r="V5625">
        <v>-0.16576050000000001</v>
      </c>
      <c r="W5625">
        <v>0.19222629999999999</v>
      </c>
      <c r="X5625">
        <v>0.96725000000000005</v>
      </c>
      <c r="Y5625">
        <v>-0.26609949999999999</v>
      </c>
      <c r="Z5625">
        <v>1.238878E-2</v>
      </c>
      <c r="AA5625">
        <v>0.96386590000000005</v>
      </c>
      <c r="AB5625">
        <v>29</v>
      </c>
      <c r="AC5625">
        <v>-14.311699999999901</v>
      </c>
      <c r="AD5625">
        <v>-1.1178833319379999</v>
      </c>
      <c r="AE5625">
        <v>-16.953699999999898</v>
      </c>
      <c r="AF5625">
        <v>-5.95860197384867</v>
      </c>
      <c r="AG5625">
        <v>-1.1178833319379999</v>
      </c>
      <c r="AH5625">
        <v>21.313327335556099</v>
      </c>
      <c r="AI5625">
        <v>92.891726531338705</v>
      </c>
      <c r="AJ5625">
        <v>105.61948524746001</v>
      </c>
      <c r="AK5625">
        <v>22.1588023760117</v>
      </c>
      <c r="AL5625">
        <v>78.9172632020463</v>
      </c>
      <c r="AM5625">
        <v>99.724483443043596</v>
      </c>
      <c r="AN5625">
        <v>1.00000002813596</v>
      </c>
    </row>
    <row r="5626" spans="1:40" x14ac:dyDescent="0.25">
      <c r="A5626" t="str">
        <f>"20190304154909990"</f>
        <v>20190304154909990</v>
      </c>
      <c r="B5626" t="str">
        <f>"1551685749982776"</f>
        <v>1551685749982776</v>
      </c>
      <c r="C5626" t="s">
        <v>40</v>
      </c>
      <c r="D5626">
        <v>4.1415249999999997</v>
      </c>
      <c r="E5626">
        <v>0.45608169999999998</v>
      </c>
      <c r="F5626" t="s">
        <v>44</v>
      </c>
      <c r="G5626">
        <v>-421.62869999999998</v>
      </c>
      <c r="H5626" s="1">
        <v>-3.2646099999999999E-6</v>
      </c>
      <c r="I5626">
        <v>116.1888</v>
      </c>
      <c r="J5626">
        <v>-407.50959999999998</v>
      </c>
      <c r="K5626">
        <v>1.1179539999999999</v>
      </c>
      <c r="L5626">
        <v>133.15389999999999</v>
      </c>
      <c r="M5626">
        <v>-0.82161669999999998</v>
      </c>
      <c r="N5626">
        <v>-1.483232E-2</v>
      </c>
      <c r="O5626">
        <v>-0.5698474</v>
      </c>
      <c r="P5626">
        <v>-0.70479519999999996</v>
      </c>
      <c r="Q5626">
        <v>0.1810283</v>
      </c>
      <c r="R5626">
        <v>-0.68592469999999905</v>
      </c>
      <c r="S5626">
        <v>-1.9891970000000001</v>
      </c>
      <c r="T5626">
        <v>-0.15484870000000001</v>
      </c>
      <c r="U5626">
        <v>-2.3743439999999998</v>
      </c>
      <c r="V5626">
        <v>-0.16526640000000001</v>
      </c>
      <c r="W5626">
        <v>0.19260720000000001</v>
      </c>
      <c r="X5626">
        <v>0.96725879999999997</v>
      </c>
      <c r="Y5626">
        <v>-0.26379229999999998</v>
      </c>
      <c r="Z5626">
        <v>1.286899E-2</v>
      </c>
      <c r="AA5626">
        <v>0.96449370000000001</v>
      </c>
      <c r="AB5626">
        <v>29</v>
      </c>
      <c r="AC5626">
        <v>-14.1191</v>
      </c>
      <c r="AD5626">
        <v>-1.11795726461</v>
      </c>
      <c r="AE5626">
        <v>-16.9650999999999</v>
      </c>
      <c r="AF5626">
        <v>-5.8786434343836502</v>
      </c>
      <c r="AG5626">
        <v>-1.11795726461</v>
      </c>
      <c r="AH5626">
        <v>21.215915815347699</v>
      </c>
      <c r="AI5626">
        <v>92.9070352233515</v>
      </c>
      <c r="AJ5626">
        <v>105.487333284332</v>
      </c>
      <c r="AK5626">
        <v>22.043669407746901</v>
      </c>
      <c r="AL5626">
        <v>78.8950239171362</v>
      </c>
      <c r="AM5626">
        <v>99.695961153794698</v>
      </c>
      <c r="AN5626">
        <v>1.0000000513191101</v>
      </c>
    </row>
    <row r="5627" spans="1:40" x14ac:dyDescent="0.25">
      <c r="A5627" t="str">
        <f>"20190304154910012"</f>
        <v>20190304154910012</v>
      </c>
      <c r="B5627" t="str">
        <f>"1551685750003269"</f>
        <v>1551685750003269</v>
      </c>
      <c r="C5627" t="s">
        <v>40</v>
      </c>
      <c r="D5627">
        <v>4.0937229999999998</v>
      </c>
      <c r="E5627">
        <v>0.45567580000000002</v>
      </c>
      <c r="F5627" t="s">
        <v>44</v>
      </c>
      <c r="G5627">
        <v>-421.58780000000002</v>
      </c>
      <c r="H5627" s="1">
        <v>-3.2052459999999998E-6</v>
      </c>
      <c r="I5627">
        <v>116.0758</v>
      </c>
      <c r="J5627">
        <v>-407.7321</v>
      </c>
      <c r="K5627">
        <v>1.1180209999999999</v>
      </c>
      <c r="L5627">
        <v>132.98849999999999</v>
      </c>
      <c r="M5627">
        <v>-0.81659859999999995</v>
      </c>
      <c r="N5627">
        <v>-1.484194E-2</v>
      </c>
      <c r="O5627">
        <v>-0.57701499999999994</v>
      </c>
      <c r="P5627">
        <v>-0.6986502</v>
      </c>
      <c r="Q5627">
        <v>0.1812975</v>
      </c>
      <c r="R5627">
        <v>-0.69211239999999996</v>
      </c>
      <c r="S5627">
        <v>-1.9704280000000001</v>
      </c>
      <c r="T5627">
        <v>-0.15647239999999901</v>
      </c>
      <c r="U5627">
        <v>-2.3903050000000001</v>
      </c>
      <c r="V5627">
        <v>-0.1654052</v>
      </c>
      <c r="W5627">
        <v>0.192858</v>
      </c>
      <c r="X5627">
        <v>0.96718499999999996</v>
      </c>
      <c r="Y5627">
        <v>-0.2630284</v>
      </c>
      <c r="Z5627">
        <v>1.342164E-2</v>
      </c>
      <c r="AA5627">
        <v>0.96469470000000002</v>
      </c>
      <c r="AB5627">
        <v>29</v>
      </c>
      <c r="AC5627">
        <v>-13.855700000000001</v>
      </c>
      <c r="AD5627">
        <v>-1.1180242052460001</v>
      </c>
      <c r="AE5627">
        <v>-16.912699999999901</v>
      </c>
      <c r="AF5627">
        <v>-5.8014113171832804</v>
      </c>
      <c r="AG5627">
        <v>-1.1180242052460001</v>
      </c>
      <c r="AH5627">
        <v>21.0207822385401</v>
      </c>
      <c r="AI5627">
        <v>92.934978589816396</v>
      </c>
      <c r="AJ5627">
        <v>105.42868296707699</v>
      </c>
      <c r="AK5627">
        <v>21.8352842279367</v>
      </c>
      <c r="AL5627">
        <v>78.880378504016903</v>
      </c>
      <c r="AM5627">
        <v>99.704675964935603</v>
      </c>
      <c r="AN5627">
        <v>0.99999995628801897</v>
      </c>
    </row>
    <row r="5628" spans="1:40" x14ac:dyDescent="0.25">
      <c r="A5628" t="str">
        <f>"20190304154910035"</f>
        <v>20190304154910035</v>
      </c>
      <c r="B5628" t="str">
        <f>"1551685750022789"</f>
        <v>1551685750022789</v>
      </c>
      <c r="C5628" t="s">
        <v>40</v>
      </c>
      <c r="D5628">
        <v>4.0843129999999999</v>
      </c>
      <c r="E5628">
        <v>0.4553488</v>
      </c>
      <c r="F5628" t="s">
        <v>44</v>
      </c>
      <c r="G5628">
        <v>-421.96980000000002</v>
      </c>
      <c r="H5628" s="1">
        <v>-3.0021969999999999E-6</v>
      </c>
      <c r="I5628">
        <v>115.3656</v>
      </c>
      <c r="J5628">
        <v>-407.96539999999999</v>
      </c>
      <c r="K5628">
        <v>1.118085</v>
      </c>
      <c r="L5628">
        <v>132.8115</v>
      </c>
      <c r="M5628">
        <v>-0.8111699</v>
      </c>
      <c r="N5628">
        <v>-1.4851899999999999E-2</v>
      </c>
      <c r="O5628">
        <v>-0.58462179999999997</v>
      </c>
      <c r="P5628">
        <v>-0.6919092</v>
      </c>
      <c r="Q5628">
        <v>0.18207789999999999</v>
      </c>
      <c r="R5628">
        <v>-0.69864839999999995</v>
      </c>
      <c r="S5628">
        <v>-1.9466859999999999</v>
      </c>
      <c r="T5628">
        <v>-0.1528648</v>
      </c>
      <c r="U5628">
        <v>-2.4095460000000002</v>
      </c>
      <c r="V5628">
        <v>-0.1656175</v>
      </c>
      <c r="W5628">
        <v>0.1936187</v>
      </c>
      <c r="X5628">
        <v>0.96699669999999904</v>
      </c>
      <c r="Y5628">
        <v>-0.26352779999999998</v>
      </c>
      <c r="Z5628">
        <v>1.316704E-2</v>
      </c>
      <c r="AA5628">
        <v>0.96456189999999997</v>
      </c>
      <c r="AB5628">
        <v>29</v>
      </c>
      <c r="AC5628">
        <v>-14.0044</v>
      </c>
      <c r="AD5628">
        <v>-1.1180880021970001</v>
      </c>
      <c r="AE5628">
        <v>-17.445899999999899</v>
      </c>
      <c r="AF5628">
        <v>-5.9501074659084203</v>
      </c>
      <c r="AG5628">
        <v>-1.1180880021970001</v>
      </c>
      <c r="AH5628">
        <v>21.507858155109499</v>
      </c>
      <c r="AI5628">
        <v>92.868299765873502</v>
      </c>
      <c r="AJ5628">
        <v>105.46400270250599</v>
      </c>
      <c r="AK5628">
        <v>22.343720864189699</v>
      </c>
      <c r="AL5628">
        <v>78.8359566787001</v>
      </c>
      <c r="AM5628">
        <v>99.718750795810095</v>
      </c>
      <c r="AN5628">
        <v>0.99999998755341402</v>
      </c>
    </row>
    <row r="5629" spans="1:40" x14ac:dyDescent="0.25">
      <c r="A5629" t="str">
        <f>"20190304154910056"</f>
        <v>20190304154910056</v>
      </c>
      <c r="B5629" t="str">
        <f>"1551685750053043"</f>
        <v>1551685750053043</v>
      </c>
      <c r="C5629" t="s">
        <v>40</v>
      </c>
      <c r="D5629">
        <v>4.0615300000000003</v>
      </c>
      <c r="E5629">
        <v>0.45557500000000001</v>
      </c>
      <c r="F5629" t="s">
        <v>44</v>
      </c>
      <c r="G5629">
        <v>-422.3091</v>
      </c>
      <c r="H5629" s="1">
        <v>-2.7925759999999999E-6</v>
      </c>
      <c r="I5629">
        <v>114.6665</v>
      </c>
      <c r="J5629">
        <v>-408.18990000000002</v>
      </c>
      <c r="K5629">
        <v>1.118128</v>
      </c>
      <c r="L5629">
        <v>132.6378</v>
      </c>
      <c r="M5629">
        <v>-0.80579480000000003</v>
      </c>
      <c r="N5629">
        <v>-1.4860470000000001E-2</v>
      </c>
      <c r="O5629">
        <v>-0.59200850000000005</v>
      </c>
      <c r="P5629">
        <v>-0.68510740000000003</v>
      </c>
      <c r="Q5629">
        <v>0.18222949999999999</v>
      </c>
      <c r="R5629">
        <v>-0.70528040000000003</v>
      </c>
      <c r="S5629">
        <v>-1.9212039999999999</v>
      </c>
      <c r="T5629">
        <v>-0.149757</v>
      </c>
      <c r="U5629">
        <v>-2.4303439999999998</v>
      </c>
      <c r="V5629">
        <v>-0.16614609999999999</v>
      </c>
      <c r="W5629">
        <v>0.19374920000000001</v>
      </c>
      <c r="X5629">
        <v>0.96687990000000001</v>
      </c>
      <c r="Y5629">
        <v>-0.26495350000000001</v>
      </c>
      <c r="Z5629">
        <v>1.2936400000000001E-2</v>
      </c>
      <c r="AA5629">
        <v>0.96417439999999999</v>
      </c>
      <c r="AB5629">
        <v>29</v>
      </c>
      <c r="AC5629">
        <v>-14.1191999999999</v>
      </c>
      <c r="AD5629">
        <v>-1.118130792576</v>
      </c>
      <c r="AE5629">
        <v>-17.971299999999999</v>
      </c>
      <c r="AF5629">
        <v>-6.1085479974177996</v>
      </c>
      <c r="AG5629">
        <v>-1.118130792576</v>
      </c>
      <c r="AH5629">
        <v>21.966191970633101</v>
      </c>
      <c r="AI5629">
        <v>92.807615439461301</v>
      </c>
      <c r="AJ5629">
        <v>105.540643799508</v>
      </c>
      <c r="AK5629">
        <v>22.827136587771399</v>
      </c>
      <c r="AL5629">
        <v>78.828335514401303</v>
      </c>
      <c r="AM5629">
        <v>99.750330802948994</v>
      </c>
      <c r="AN5629">
        <v>1.00000001003493</v>
      </c>
    </row>
    <row r="5630" spans="1:40" x14ac:dyDescent="0.25">
      <c r="A5630" t="str">
        <f>"20190304154910079"</f>
        <v>20190304154910079</v>
      </c>
      <c r="B5630" t="str">
        <f>"1551685750072564"</f>
        <v>1551685750072564</v>
      </c>
      <c r="C5630" t="s">
        <v>40</v>
      </c>
      <c r="D5630">
        <v>4.0659739999999998</v>
      </c>
      <c r="E5630">
        <v>0.4557776</v>
      </c>
      <c r="F5630" t="s">
        <v>44</v>
      </c>
      <c r="G5630">
        <v>-422.36360000000002</v>
      </c>
      <c r="H5630" s="1">
        <v>-2.6805380000000002E-6</v>
      </c>
      <c r="I5630">
        <v>114.3715</v>
      </c>
      <c r="J5630">
        <v>-408.41019999999997</v>
      </c>
      <c r="K5630">
        <v>1.1181570000000001</v>
      </c>
      <c r="L5630">
        <v>132.4641</v>
      </c>
      <c r="M5630">
        <v>-0.80037729999999996</v>
      </c>
      <c r="N5630">
        <v>-1.4867669999999999E-2</v>
      </c>
      <c r="O5630">
        <v>-0.59931250000000003</v>
      </c>
      <c r="P5630">
        <v>-0.6780718</v>
      </c>
      <c r="Q5630">
        <v>0.18167069999999999</v>
      </c>
      <c r="R5630">
        <v>-0.71219049999999995</v>
      </c>
      <c r="S5630">
        <v>-1.8991389999999999</v>
      </c>
      <c r="T5630">
        <v>-0.14981829999999999</v>
      </c>
      <c r="U5630">
        <v>-2.447495</v>
      </c>
      <c r="V5630">
        <v>-0.16707569999999999</v>
      </c>
      <c r="W5630">
        <v>0.19316630000000001</v>
      </c>
      <c r="X5630">
        <v>0.96683629999999998</v>
      </c>
      <c r="Y5630">
        <v>-0.26488479999999998</v>
      </c>
      <c r="Z5630">
        <v>1.3234070000000001E-2</v>
      </c>
      <c r="AA5630">
        <v>0.96418919999999997</v>
      </c>
      <c r="AB5630">
        <v>29</v>
      </c>
      <c r="AC5630">
        <v>-13.9534</v>
      </c>
      <c r="AD5630">
        <v>-1.1181596805380001</v>
      </c>
      <c r="AE5630">
        <v>-18.092600000000001</v>
      </c>
      <c r="AF5630">
        <v>-6.1045143302780902</v>
      </c>
      <c r="AG5630">
        <v>-1.1181596805380001</v>
      </c>
      <c r="AH5630">
        <v>21.960939042118</v>
      </c>
      <c r="AI5630">
        <v>92.808443147271404</v>
      </c>
      <c r="AJ5630">
        <v>105.534412830668</v>
      </c>
      <c r="AK5630">
        <v>22.821003919446099</v>
      </c>
      <c r="AL5630">
        <v>78.862375850692004</v>
      </c>
      <c r="AM5630">
        <v>99.804262413328999</v>
      </c>
      <c r="AN5630">
        <v>0.99999996999193397</v>
      </c>
    </row>
    <row r="5631" spans="1:40" x14ac:dyDescent="0.25">
      <c r="A5631" t="str">
        <f>"20190304154910101"</f>
        <v>20190304154910101</v>
      </c>
      <c r="B5631" t="str">
        <f>"1551685750093060"</f>
        <v>1551685750093060</v>
      </c>
      <c r="C5631" t="s">
        <v>40</v>
      </c>
      <c r="D5631">
        <v>4.0890219999999999</v>
      </c>
      <c r="E5631">
        <v>0.46219009999999999</v>
      </c>
      <c r="F5631" t="s">
        <v>44</v>
      </c>
      <c r="G5631">
        <v>-422.21300000000002</v>
      </c>
      <c r="H5631" s="1">
        <v>-2.623861E-6</v>
      </c>
      <c r="I5631">
        <v>114.33280000000001</v>
      </c>
      <c r="J5631">
        <v>-408.63310000000001</v>
      </c>
      <c r="K5631">
        <v>1.1181840000000001</v>
      </c>
      <c r="L5631">
        <v>132.28479999999999</v>
      </c>
      <c r="M5631">
        <v>-0.79474419999999901</v>
      </c>
      <c r="N5631">
        <v>-1.487404E-2</v>
      </c>
      <c r="O5631">
        <v>-0.60676229999999998</v>
      </c>
      <c r="P5631">
        <v>-0.67097059999999997</v>
      </c>
      <c r="Q5631">
        <v>0.18147430000000001</v>
      </c>
      <c r="R5631">
        <v>-0.71893359999999995</v>
      </c>
      <c r="S5631">
        <v>-1.876282</v>
      </c>
      <c r="T5631">
        <v>-0.1519963</v>
      </c>
      <c r="U5631">
        <v>-2.464661</v>
      </c>
      <c r="V5631">
        <v>-0.16769049999999999</v>
      </c>
      <c r="W5631">
        <v>0.19295300000000001</v>
      </c>
      <c r="X5631">
        <v>0.96677250000000003</v>
      </c>
      <c r="Y5631">
        <v>-0.26478059999999998</v>
      </c>
      <c r="Z5631">
        <v>1.388264E-2</v>
      </c>
      <c r="AA5631">
        <v>0.96420879999999998</v>
      </c>
      <c r="AB5631">
        <v>29</v>
      </c>
      <c r="AC5631">
        <v>-13.5799</v>
      </c>
      <c r="AD5631">
        <v>-1.1181866238609901</v>
      </c>
      <c r="AE5631">
        <v>-17.951999999999899</v>
      </c>
      <c r="AF5631">
        <v>-6.0133042920679198</v>
      </c>
      <c r="AG5631">
        <v>-1.1181866238609901</v>
      </c>
      <c r="AH5631">
        <v>21.634155929827902</v>
      </c>
      <c r="AI5631">
        <v>92.850876380019798</v>
      </c>
      <c r="AJ5631">
        <v>105.533494210513</v>
      </c>
      <c r="AK5631">
        <v>22.482145641172501</v>
      </c>
      <c r="AL5631">
        <v>78.874831877580803</v>
      </c>
      <c r="AM5631">
        <v>99.840272567550201</v>
      </c>
      <c r="AN5631">
        <v>1.00000001537774</v>
      </c>
    </row>
    <row r="5632" spans="1:40" x14ac:dyDescent="0.25">
      <c r="A5632" t="str">
        <f>"20190304154910123"</f>
        <v>20190304154910123</v>
      </c>
      <c r="B5632" t="str">
        <f>"1551685750112581"</f>
        <v>1551685750112581</v>
      </c>
      <c r="C5632" t="s">
        <v>40</v>
      </c>
      <c r="D5632">
        <v>4.1429039999999997</v>
      </c>
      <c r="E5632">
        <v>0.46193640000000002</v>
      </c>
      <c r="F5632" t="s">
        <v>44</v>
      </c>
      <c r="G5632">
        <v>-420.86529999999999</v>
      </c>
      <c r="H5632" s="1">
        <v>-3.1695450000000001E-6</v>
      </c>
      <c r="I5632">
        <v>116.44070000000001</v>
      </c>
      <c r="J5632">
        <v>-408.84890000000001</v>
      </c>
      <c r="K5632">
        <v>1.118201</v>
      </c>
      <c r="L5632">
        <v>132.108</v>
      </c>
      <c r="M5632">
        <v>-0.78915349999999995</v>
      </c>
      <c r="N5632">
        <v>-1.487977E-2</v>
      </c>
      <c r="O5632">
        <v>-0.61401609999999995</v>
      </c>
      <c r="P5632">
        <v>-0.66391619999999996</v>
      </c>
      <c r="Q5632">
        <v>0.18060000000000001</v>
      </c>
      <c r="R5632">
        <v>-0.72567190000000004</v>
      </c>
      <c r="S5632">
        <v>-1.892029</v>
      </c>
      <c r="T5632">
        <v>-0.17295779999999999</v>
      </c>
      <c r="U5632">
        <v>-2.4507140000000001</v>
      </c>
      <c r="V5632">
        <v>-0.1684493</v>
      </c>
      <c r="W5632">
        <v>0.1920616</v>
      </c>
      <c r="X5632">
        <v>0.96681810000000001</v>
      </c>
      <c r="Y5632">
        <v>-0.24943960000000001</v>
      </c>
      <c r="Z5632">
        <v>1.806578E-2</v>
      </c>
      <c r="AA5632">
        <v>0.96822180000000002</v>
      </c>
      <c r="AB5632">
        <v>29</v>
      </c>
      <c r="AC5632">
        <v>-12.0163999999999</v>
      </c>
      <c r="AD5632">
        <v>-1.118204169545</v>
      </c>
      <c r="AE5632">
        <v>-15.6672999999999</v>
      </c>
      <c r="AF5632">
        <v>-4.9702515860707601</v>
      </c>
      <c r="AG5632">
        <v>-1.118204169545</v>
      </c>
      <c r="AH5632">
        <v>19.043791008476301</v>
      </c>
      <c r="AI5632">
        <v>93.251729916284404</v>
      </c>
      <c r="AJ5632">
        <v>104.627369940422</v>
      </c>
      <c r="AK5632">
        <v>19.713441033166902</v>
      </c>
      <c r="AL5632">
        <v>78.926879029726607</v>
      </c>
      <c r="AM5632">
        <v>99.883466624446399</v>
      </c>
      <c r="AN5632">
        <v>1.00000003167632</v>
      </c>
    </row>
    <row r="5633" spans="1:40" x14ac:dyDescent="0.25">
      <c r="A5633" t="str">
        <f>"20190304154910145"</f>
        <v>20190304154910145</v>
      </c>
      <c r="B5633" t="str">
        <f>"1551685750142837"</f>
        <v>1551685750142837</v>
      </c>
      <c r="C5633" t="s">
        <v>40</v>
      </c>
      <c r="D5633">
        <v>4.2083640000000004</v>
      </c>
      <c r="E5633">
        <v>0.4648333</v>
      </c>
      <c r="F5633" t="s">
        <v>44</v>
      </c>
      <c r="G5633">
        <v>-421.20479999999998</v>
      </c>
      <c r="H5633" s="1">
        <v>-2.9620460000000002E-6</v>
      </c>
      <c r="I5633">
        <v>115.7465</v>
      </c>
      <c r="J5633">
        <v>-409.06979999999999</v>
      </c>
      <c r="K5633">
        <v>1.1182190000000001</v>
      </c>
      <c r="L5633">
        <v>131.92349999999999</v>
      </c>
      <c r="M5633">
        <v>-0.7832846</v>
      </c>
      <c r="N5633">
        <v>-1.488538E-2</v>
      </c>
      <c r="O5633">
        <v>-0.62148519999999996</v>
      </c>
      <c r="P5633">
        <v>-0.65636110000000003</v>
      </c>
      <c r="Q5633">
        <v>0.18026729999999999</v>
      </c>
      <c r="R5633">
        <v>-0.73259379999999996</v>
      </c>
      <c r="S5633">
        <v>-1.8651120000000001</v>
      </c>
      <c r="T5633">
        <v>-0.16879149999999901</v>
      </c>
      <c r="U5633">
        <v>-2.469757</v>
      </c>
      <c r="V5633">
        <v>-0.16935269999999999</v>
      </c>
      <c r="W5633">
        <v>0.1917083</v>
      </c>
      <c r="X5633">
        <v>0.96673039999999999</v>
      </c>
      <c r="Y5633">
        <v>-0.25054140000000003</v>
      </c>
      <c r="Z5633">
        <v>1.7698640000000002E-2</v>
      </c>
      <c r="AA5633">
        <v>0.96794409999999997</v>
      </c>
      <c r="AB5633">
        <v>29</v>
      </c>
      <c r="AC5633">
        <v>-12.1349999999999</v>
      </c>
      <c r="AD5633">
        <v>-1.1182219620460001</v>
      </c>
      <c r="AE5633">
        <v>-16.1769999999999</v>
      </c>
      <c r="AF5633">
        <v>-5.1144021062905596</v>
      </c>
      <c r="AG5633">
        <v>-1.1182219620460001</v>
      </c>
      <c r="AH5633">
        <v>19.501462193694199</v>
      </c>
      <c r="AI5633">
        <v>93.174642170804006</v>
      </c>
      <c r="AJ5633">
        <v>104.695297391815</v>
      </c>
      <c r="AK5633">
        <v>20.191942872178402</v>
      </c>
      <c r="AL5633">
        <v>78.947504978379399</v>
      </c>
      <c r="AM5633">
        <v>99.936301926210405</v>
      </c>
      <c r="AN5633">
        <v>1.0000000377851599</v>
      </c>
    </row>
    <row r="5634" spans="1:40" x14ac:dyDescent="0.25">
      <c r="A5634" t="str">
        <f>"20190304154910168"</f>
        <v>20190304154910168</v>
      </c>
      <c r="B5634" t="str">
        <f>"1551685750162359"</f>
        <v>1551685750162359</v>
      </c>
      <c r="C5634" t="s">
        <v>40</v>
      </c>
      <c r="D5634">
        <v>4.2086649999999999</v>
      </c>
      <c r="E5634">
        <v>0.46631309999999898</v>
      </c>
      <c r="F5634" t="s">
        <v>44</v>
      </c>
      <c r="G5634">
        <v>-421.0188</v>
      </c>
      <c r="H5634" s="1">
        <v>-3.0265830000000001E-6</v>
      </c>
      <c r="I5634">
        <v>116.0123</v>
      </c>
      <c r="J5634">
        <v>-409.28590000000003</v>
      </c>
      <c r="K5634">
        <v>1.1182379999999901</v>
      </c>
      <c r="L5634">
        <v>131.73949999999999</v>
      </c>
      <c r="M5634">
        <v>-0.77740730000000002</v>
      </c>
      <c r="N5634">
        <v>-1.489006E-2</v>
      </c>
      <c r="O5634">
        <v>-0.62882139999999997</v>
      </c>
      <c r="P5634">
        <v>-0.6491188</v>
      </c>
      <c r="Q5634">
        <v>0.18006739999999999</v>
      </c>
      <c r="R5634">
        <v>-0.73906740000000004</v>
      </c>
      <c r="S5634">
        <v>-1.8575740000000001</v>
      </c>
      <c r="T5634">
        <v>-0.1738374</v>
      </c>
      <c r="U5634">
        <v>-2.473541</v>
      </c>
      <c r="V5634">
        <v>-0.1698231</v>
      </c>
      <c r="W5634">
        <v>0.19149720000000001</v>
      </c>
      <c r="X5634">
        <v>0.96668960000000004</v>
      </c>
      <c r="Y5634">
        <v>-0.2440543</v>
      </c>
      <c r="Z5634">
        <v>1.91015E-2</v>
      </c>
      <c r="AA5634">
        <v>0.96957340000000003</v>
      </c>
      <c r="AB5634">
        <v>29</v>
      </c>
      <c r="AC5634">
        <v>-11.7328999999999</v>
      </c>
      <c r="AD5634">
        <v>-1.1182410265829901</v>
      </c>
      <c r="AE5634">
        <v>-15.7271999999999</v>
      </c>
      <c r="AF5634">
        <v>-4.8333802683024496</v>
      </c>
      <c r="AG5634">
        <v>-1.1182410265829901</v>
      </c>
      <c r="AH5634">
        <v>18.951395807633698</v>
      </c>
      <c r="AI5634">
        <v>93.272352869826804</v>
      </c>
      <c r="AJ5634">
        <v>104.30774994735</v>
      </c>
      <c r="AK5634">
        <v>19.589982921614499</v>
      </c>
      <c r="AL5634">
        <v>78.959827154038805</v>
      </c>
      <c r="AM5634">
        <v>99.963761145851805</v>
      </c>
      <c r="AN5634">
        <v>0.99999992282480199</v>
      </c>
    </row>
    <row r="5635" spans="1:40" x14ac:dyDescent="0.25">
      <c r="A5635" t="str">
        <f>"20190304154910191"</f>
        <v>20190304154910191</v>
      </c>
      <c r="B5635" t="str">
        <f>"1551685750182852"</f>
        <v>1551685750182852</v>
      </c>
      <c r="C5635" t="s">
        <v>40</v>
      </c>
      <c r="D5635">
        <v>4.232996</v>
      </c>
      <c r="E5635">
        <v>0.46771010000000002</v>
      </c>
      <c r="F5635" t="s">
        <v>44</v>
      </c>
      <c r="G5635">
        <v>-421.06529999999998</v>
      </c>
      <c r="H5635" s="1">
        <v>-2.971023E-6</v>
      </c>
      <c r="I5635">
        <v>115.8539</v>
      </c>
      <c r="J5635">
        <v>-409.50549999999998</v>
      </c>
      <c r="K5635">
        <v>1.1182540000000001</v>
      </c>
      <c r="L5635">
        <v>131.5489</v>
      </c>
      <c r="M5635">
        <v>-0.77129320000000001</v>
      </c>
      <c r="N5635">
        <v>-1.489352E-2</v>
      </c>
      <c r="O5635">
        <v>-0.63630589999999998</v>
      </c>
      <c r="P5635">
        <v>-0.64188509999999999</v>
      </c>
      <c r="Q5635">
        <v>0.180092</v>
      </c>
      <c r="R5635">
        <v>-0.74535280000000004</v>
      </c>
      <c r="S5635">
        <v>-1.8419490000000001</v>
      </c>
      <c r="T5635">
        <v>-0.1748593</v>
      </c>
      <c r="U5635">
        <v>-2.4840390000000001</v>
      </c>
      <c r="V5635">
        <v>-0.16990169999999999</v>
      </c>
      <c r="W5635">
        <v>0.19151969999999999</v>
      </c>
      <c r="X5635">
        <v>0.96667139999999996</v>
      </c>
      <c r="Y5635">
        <v>-0.24058570000000001</v>
      </c>
      <c r="Z5635">
        <v>1.9748680000000001E-2</v>
      </c>
      <c r="AA5635">
        <v>0.97042700000000004</v>
      </c>
      <c r="AB5635">
        <v>29</v>
      </c>
      <c r="AC5635">
        <v>-11.5597999999999</v>
      </c>
      <c r="AD5635">
        <v>-1.1182569710229999</v>
      </c>
      <c r="AE5635">
        <v>-15.695</v>
      </c>
      <c r="AF5635">
        <v>-4.7348213663466003</v>
      </c>
      <c r="AG5635">
        <v>-1.1182569710229999</v>
      </c>
      <c r="AH5635">
        <v>18.842896884775001</v>
      </c>
      <c r="AI5635">
        <v>93.294141405380401</v>
      </c>
      <c r="AJ5635">
        <v>104.10518497051601</v>
      </c>
      <c r="AK5635">
        <v>19.460827192971902</v>
      </c>
      <c r="AL5635">
        <v>78.958514431834104</v>
      </c>
      <c r="AM5635">
        <v>99.968464156763204</v>
      </c>
      <c r="AN5635">
        <v>0.99999998936446899</v>
      </c>
    </row>
    <row r="5636" spans="1:40" x14ac:dyDescent="0.25">
      <c r="A5636" t="str">
        <f>"20190304154910213"</f>
        <v>20190304154910213</v>
      </c>
      <c r="B5636" t="str">
        <f>"1551685750202373"</f>
        <v>1551685750202373</v>
      </c>
      <c r="C5636" t="s">
        <v>40</v>
      </c>
      <c r="D5636">
        <v>4.1767880000000002</v>
      </c>
      <c r="E5636">
        <v>0.46879140000000002</v>
      </c>
      <c r="F5636" t="s">
        <v>44</v>
      </c>
      <c r="G5636">
        <v>-421.14109999999999</v>
      </c>
      <c r="H5636" s="1">
        <v>-2.9090110000000001E-6</v>
      </c>
      <c r="I5636">
        <v>115.6623</v>
      </c>
      <c r="J5636">
        <v>-409.70979999999997</v>
      </c>
      <c r="K5636">
        <v>1.11826</v>
      </c>
      <c r="L5636">
        <v>131.36799999999999</v>
      </c>
      <c r="M5636">
        <v>-0.76547699999999996</v>
      </c>
      <c r="N5636">
        <v>-1.48954E-2</v>
      </c>
      <c r="O5636">
        <v>-0.6432909</v>
      </c>
      <c r="P5636">
        <v>-0.63521399999999995</v>
      </c>
      <c r="Q5636">
        <v>0.17929529999999999</v>
      </c>
      <c r="R5636">
        <v>-0.75123669999999998</v>
      </c>
      <c r="S5636">
        <v>-1.8267519999999999</v>
      </c>
      <c r="T5636">
        <v>-0.17556269999999999</v>
      </c>
      <c r="U5636">
        <v>-2.4941409999999999</v>
      </c>
      <c r="V5636">
        <v>-0.16986479999999901</v>
      </c>
      <c r="W5636">
        <v>0.1907268</v>
      </c>
      <c r="X5636">
        <v>0.96683470000000005</v>
      </c>
      <c r="Y5636">
        <v>-0.2374925</v>
      </c>
      <c r="Z5636">
        <v>2.0310680000000001E-2</v>
      </c>
      <c r="AA5636">
        <v>0.97117699999999996</v>
      </c>
      <c r="AB5636">
        <v>29</v>
      </c>
      <c r="AC5636">
        <v>-11.4313</v>
      </c>
      <c r="AD5636">
        <v>-1.1182629090109999</v>
      </c>
      <c r="AE5636">
        <v>-15.705699999999901</v>
      </c>
      <c r="AF5636">
        <v>-4.6537960330704404</v>
      </c>
      <c r="AG5636">
        <v>-1.1182629090109999</v>
      </c>
      <c r="AH5636">
        <v>18.7935406091602</v>
      </c>
      <c r="AI5636">
        <v>93.305618037246902</v>
      </c>
      <c r="AJ5636">
        <v>103.908229967824</v>
      </c>
      <c r="AK5636">
        <v>19.3934395628843</v>
      </c>
      <c r="AL5636">
        <v>79.0047981090527</v>
      </c>
      <c r="AM5636">
        <v>99.964692983630499</v>
      </c>
      <c r="AN5636">
        <v>1.00000004982068</v>
      </c>
    </row>
    <row r="5637" spans="1:40" x14ac:dyDescent="0.25">
      <c r="A5637" t="str">
        <f>"20190304154910235"</f>
        <v>20190304154910235</v>
      </c>
      <c r="B5637" t="str">
        <f>"1551685750232628"</f>
        <v>1551685750232628</v>
      </c>
      <c r="C5637" t="s">
        <v>40</v>
      </c>
      <c r="D5637">
        <v>4.1995529999999999</v>
      </c>
      <c r="E5637">
        <v>0.47753839999999997</v>
      </c>
      <c r="F5637" t="s">
        <v>44</v>
      </c>
      <c r="G5637">
        <v>-421.09800000000001</v>
      </c>
      <c r="H5637" s="1">
        <v>-2.8752719999999999E-6</v>
      </c>
      <c r="I5637">
        <v>115.6104</v>
      </c>
      <c r="J5637">
        <v>-409.92020000000002</v>
      </c>
      <c r="K5637">
        <v>1.1182540000000001</v>
      </c>
      <c r="L5637">
        <v>131.17789999999999</v>
      </c>
      <c r="M5637">
        <v>-0.75935549999999996</v>
      </c>
      <c r="N5637">
        <v>-1.4896319999999999E-2</v>
      </c>
      <c r="O5637">
        <v>-0.65050559999999902</v>
      </c>
      <c r="P5637">
        <v>-0.62842619999999905</v>
      </c>
      <c r="Q5637">
        <v>0.17959049999999999</v>
      </c>
      <c r="R5637">
        <v>-0.75685389999999997</v>
      </c>
      <c r="S5637">
        <v>-1.810425</v>
      </c>
      <c r="T5637">
        <v>-0.1777744</v>
      </c>
      <c r="U5637">
        <v>-2.5050349999999999</v>
      </c>
      <c r="V5637">
        <v>-0.16936709999999999</v>
      </c>
      <c r="W5637">
        <v>0.1910347</v>
      </c>
      <c r="X5637">
        <v>0.96686119999999998</v>
      </c>
      <c r="Y5637">
        <v>-0.23447560000000001</v>
      </c>
      <c r="Z5637">
        <v>2.1158090000000001E-2</v>
      </c>
      <c r="AA5637">
        <v>0.97189179999999997</v>
      </c>
      <c r="AB5637">
        <v>29</v>
      </c>
      <c r="AC5637">
        <v>-11.1777999999999</v>
      </c>
      <c r="AD5637">
        <v>-1.1182568752719999</v>
      </c>
      <c r="AE5637">
        <v>-15.5674999999999</v>
      </c>
      <c r="AF5637">
        <v>-4.5351091776915897</v>
      </c>
      <c r="AG5637">
        <v>-1.1182568752719999</v>
      </c>
      <c r="AH5637">
        <v>18.5535649347472</v>
      </c>
      <c r="AI5637">
        <v>93.350735219186703</v>
      </c>
      <c r="AJ5637">
        <v>103.735665992702</v>
      </c>
      <c r="AK5637">
        <v>19.1324981505437</v>
      </c>
      <c r="AL5637">
        <v>78.986826025927698</v>
      </c>
      <c r="AM5637">
        <v>99.935812431319206</v>
      </c>
      <c r="AN5637">
        <v>1.00000002561596</v>
      </c>
    </row>
    <row r="5638" spans="1:40" x14ac:dyDescent="0.25">
      <c r="A5638" t="str">
        <f>"20190304154910259"</f>
        <v>20190304154910259</v>
      </c>
      <c r="B5638" t="str">
        <f>"1551685750253124"</f>
        <v>1551685750253124</v>
      </c>
      <c r="C5638" t="s">
        <v>40</v>
      </c>
      <c r="D5638">
        <v>4.1963049999999997</v>
      </c>
      <c r="E5638">
        <v>0.47874800000000001</v>
      </c>
      <c r="F5638" t="s">
        <v>44</v>
      </c>
      <c r="G5638">
        <v>-422.10059999999999</v>
      </c>
      <c r="H5638" s="1">
        <v>-2.7898739999999999E-6</v>
      </c>
      <c r="I5638">
        <v>114.7895</v>
      </c>
      <c r="J5638">
        <v>-410.14769999999999</v>
      </c>
      <c r="K5638">
        <v>1.118249</v>
      </c>
      <c r="L5638">
        <v>130.9683</v>
      </c>
      <c r="M5638">
        <v>-0.7525944</v>
      </c>
      <c r="N5638">
        <v>-1.4896329999999999E-2</v>
      </c>
      <c r="O5638">
        <v>-0.65831580000000001</v>
      </c>
      <c r="P5638">
        <v>-0.62019040000000003</v>
      </c>
      <c r="Q5638">
        <v>0.18034140000000001</v>
      </c>
      <c r="R5638">
        <v>-0.76343989999999995</v>
      </c>
      <c r="S5638">
        <v>-1.8402099999999999</v>
      </c>
      <c r="T5638">
        <v>-0.1689464</v>
      </c>
      <c r="U5638">
        <v>-2.4759519999999999</v>
      </c>
      <c r="V5638">
        <v>-0.16972779999999901</v>
      </c>
      <c r="W5638">
        <v>0.1917808</v>
      </c>
      <c r="X5638">
        <v>0.96665020000000001</v>
      </c>
      <c r="Y5638">
        <v>-0.21141099999999999</v>
      </c>
      <c r="Z5638">
        <v>2.0614779999999999E-2</v>
      </c>
      <c r="AA5638">
        <v>0.97717980000000004</v>
      </c>
      <c r="AB5638">
        <v>29</v>
      </c>
      <c r="AC5638">
        <v>-11.9529</v>
      </c>
      <c r="AD5638">
        <v>-1.1182517898739901</v>
      </c>
      <c r="AE5638">
        <v>-16.178799999999899</v>
      </c>
      <c r="AF5638">
        <v>-4.2944974287334698</v>
      </c>
      <c r="AG5638">
        <v>-1.1182517898739901</v>
      </c>
      <c r="AH5638">
        <v>19.588089538872001</v>
      </c>
      <c r="AI5638">
        <v>93.191730561186702</v>
      </c>
      <c r="AJ5638">
        <v>102.365890444467</v>
      </c>
      <c r="AK5638">
        <v>20.0844827420032</v>
      </c>
      <c r="AL5638">
        <v>78.943272136077894</v>
      </c>
      <c r="AM5638">
        <v>99.958679483102799</v>
      </c>
      <c r="AN5638">
        <v>1.00000000525076</v>
      </c>
    </row>
    <row r="5639" spans="1:40" x14ac:dyDescent="0.25">
      <c r="A5639" t="str">
        <f>"20190304154910280"</f>
        <v>20190304154910280</v>
      </c>
      <c r="B5639" t="str">
        <f>"1551685750272644"</f>
        <v>1551685750272644</v>
      </c>
      <c r="C5639" t="s">
        <v>40</v>
      </c>
      <c r="D5639">
        <v>7.4027039999999902</v>
      </c>
      <c r="E5639">
        <v>0.47928589999999999</v>
      </c>
      <c r="F5639" t="s">
        <v>44</v>
      </c>
      <c r="G5639">
        <v>-422.52260000000001</v>
      </c>
      <c r="H5639" s="1">
        <v>-2.587506E-6</v>
      </c>
      <c r="I5639">
        <v>114.056</v>
      </c>
      <c r="J5639">
        <v>-410.33620000000002</v>
      </c>
      <c r="K5639">
        <v>1.1182379999999901</v>
      </c>
      <c r="L5639">
        <v>130.79140000000001</v>
      </c>
      <c r="M5639">
        <v>-0.74688080000000001</v>
      </c>
      <c r="N5639">
        <v>-1.4895769999999999E-2</v>
      </c>
      <c r="O5639">
        <v>-0.66479119999999903</v>
      </c>
      <c r="P5639">
        <v>-0.61289989999999905</v>
      </c>
      <c r="Q5639">
        <v>0.1802801</v>
      </c>
      <c r="R5639">
        <v>-0.76931949999999905</v>
      </c>
      <c r="S5639">
        <v>-1.8211980000000001</v>
      </c>
      <c r="T5639">
        <v>-0.16457179999999999</v>
      </c>
      <c r="U5639">
        <v>-2.488953</v>
      </c>
      <c r="V5639">
        <v>-0.1705816</v>
      </c>
      <c r="W5639">
        <v>0.19170690000000001</v>
      </c>
      <c r="X5639">
        <v>0.9665146</v>
      </c>
      <c r="Y5639">
        <v>-0.2102551</v>
      </c>
      <c r="Z5639">
        <v>2.012688E-2</v>
      </c>
      <c r="AA5639">
        <v>0.97743930000000001</v>
      </c>
      <c r="AB5639">
        <v>29</v>
      </c>
      <c r="AC5639">
        <v>-12.1863999999999</v>
      </c>
      <c r="AD5639">
        <v>-1.11824058750599</v>
      </c>
      <c r="AE5639">
        <v>-16.735399999999998</v>
      </c>
      <c r="AF5639">
        <v>-4.3856292890546502</v>
      </c>
      <c r="AG5639">
        <v>-1.11824058750599</v>
      </c>
      <c r="AH5639">
        <v>20.170726132903901</v>
      </c>
      <c r="AI5639">
        <v>93.100858296673707</v>
      </c>
      <c r="AJ5639">
        <v>102.26664205566</v>
      </c>
      <c r="AK5639">
        <v>20.672261584093199</v>
      </c>
      <c r="AL5639">
        <v>78.947586787899297</v>
      </c>
      <c r="AM5639">
        <v>100.00914110460199</v>
      </c>
      <c r="AN5639">
        <v>1.00000004488966</v>
      </c>
    </row>
    <row r="5640" spans="1:40" x14ac:dyDescent="0.25">
      <c r="A5640" t="str">
        <f>"20190304154910301"</f>
        <v>20190304154910301</v>
      </c>
      <c r="B5640" t="str">
        <f>"1551685750293140"</f>
        <v>1551685750293140</v>
      </c>
      <c r="C5640" t="s">
        <v>40</v>
      </c>
      <c r="D5640">
        <v>4.2422519999999997</v>
      </c>
      <c r="E5640">
        <v>0.45638410000000001</v>
      </c>
      <c r="F5640" t="s">
        <v>44</v>
      </c>
      <c r="G5640">
        <v>-422.42430000000002</v>
      </c>
      <c r="H5640" s="1">
        <v>-2.5303510000000001E-6</v>
      </c>
      <c r="I5640">
        <v>113.9838</v>
      </c>
      <c r="J5640">
        <v>-410.53320000000002</v>
      </c>
      <c r="K5640">
        <v>1.118225</v>
      </c>
      <c r="L5640">
        <v>130.60319999999999</v>
      </c>
      <c r="M5640">
        <v>-0.74079729999999999</v>
      </c>
      <c r="N5640">
        <v>-1.489472E-2</v>
      </c>
      <c r="O5640">
        <v>-0.67156349999999998</v>
      </c>
      <c r="P5640">
        <v>-0.60569779999999995</v>
      </c>
      <c r="Q5640">
        <v>0.17998449999999999</v>
      </c>
      <c r="R5640">
        <v>-0.77507169999999903</v>
      </c>
      <c r="S5640">
        <v>-1.8008419999999901</v>
      </c>
      <c r="T5640">
        <v>-0.16659179999999901</v>
      </c>
      <c r="U5640">
        <v>-2.5039370000000001</v>
      </c>
      <c r="V5640">
        <v>-0.17083589999999901</v>
      </c>
      <c r="W5640">
        <v>0.191412</v>
      </c>
      <c r="X5640">
        <v>0.9665281</v>
      </c>
      <c r="Y5640">
        <v>-0.20937459999999999</v>
      </c>
      <c r="Z5640">
        <v>2.0840560000000001E-2</v>
      </c>
      <c r="AA5640">
        <v>0.97761339999999997</v>
      </c>
      <c r="AB5640">
        <v>29</v>
      </c>
      <c r="AC5640">
        <v>-11.8910999999999</v>
      </c>
      <c r="AD5640">
        <v>-1.1182275303510001</v>
      </c>
      <c r="AE5640">
        <v>-16.619399999999899</v>
      </c>
      <c r="AF5640">
        <v>-4.3135417097517497</v>
      </c>
      <c r="AG5640">
        <v>-1.1182275303510001</v>
      </c>
      <c r="AH5640">
        <v>19.912468348975501</v>
      </c>
      <c r="AI5640">
        <v>93.141478725931407</v>
      </c>
      <c r="AJ5640">
        <v>102.22285132067501</v>
      </c>
      <c r="AK5640">
        <v>20.4049864160787</v>
      </c>
      <c r="AL5640">
        <v>78.964801769962804</v>
      </c>
      <c r="AM5640">
        <v>100.023622997819</v>
      </c>
      <c r="AN5640">
        <v>1.0000000132812099</v>
      </c>
    </row>
    <row r="5641" spans="1:40" x14ac:dyDescent="0.25">
      <c r="A5641" t="str">
        <f>"20190304154910324"</f>
        <v>20190304154910324</v>
      </c>
      <c r="B5641" t="str">
        <f>"1551685750312660"</f>
        <v>1551685750312660</v>
      </c>
      <c r="C5641" t="s">
        <v>40</v>
      </c>
      <c r="D5641">
        <v>4.2485059999999999</v>
      </c>
      <c r="E5641">
        <v>0.45216499999999998</v>
      </c>
      <c r="F5641" t="s">
        <v>44</v>
      </c>
      <c r="G5641">
        <v>-423.87979999999999</v>
      </c>
      <c r="H5641" s="1">
        <v>-5.2100899999999996E-6</v>
      </c>
      <c r="I5641">
        <v>109.0613</v>
      </c>
      <c r="J5641">
        <v>-410.73520000000002</v>
      </c>
      <c r="K5641">
        <v>1.1182000000000001</v>
      </c>
      <c r="L5641">
        <v>130.4067</v>
      </c>
      <c r="M5641">
        <v>-0.73443999999999998</v>
      </c>
      <c r="N5641">
        <v>-1.489308E-2</v>
      </c>
      <c r="O5641">
        <v>-0.67851039999999996</v>
      </c>
      <c r="P5641">
        <v>-0.59815450000000003</v>
      </c>
      <c r="Q5641">
        <v>0.1799905</v>
      </c>
      <c r="R5641">
        <v>-0.78090669999999995</v>
      </c>
      <c r="S5641">
        <v>-1.6289979999999999</v>
      </c>
      <c r="T5641">
        <v>-0.13648370000000001</v>
      </c>
      <c r="U5641">
        <v>-2.629257</v>
      </c>
      <c r="V5641">
        <v>-0.17109649999999901</v>
      </c>
      <c r="W5641">
        <v>0.19141759999999999</v>
      </c>
      <c r="X5641">
        <v>0.96648089999999998</v>
      </c>
      <c r="Y5641">
        <v>-0.26692709999999997</v>
      </c>
      <c r="Z5641">
        <v>1.392968E-2</v>
      </c>
      <c r="AA5641">
        <v>0.96361609999999998</v>
      </c>
      <c r="AB5641">
        <v>29</v>
      </c>
      <c r="AC5641">
        <v>-13.144599999999899</v>
      </c>
      <c r="AD5641">
        <v>-1.11820521009</v>
      </c>
      <c r="AE5641">
        <v>-21.345400000000001</v>
      </c>
      <c r="AF5641">
        <v>-6.7454944790217102</v>
      </c>
      <c r="AG5641">
        <v>-1.11820521009</v>
      </c>
      <c r="AH5641">
        <v>24.0917328751943</v>
      </c>
      <c r="AI5641">
        <v>92.559163966039407</v>
      </c>
      <c r="AJ5641">
        <v>105.641825841409</v>
      </c>
      <c r="AK5641">
        <v>25.043236044651</v>
      </c>
      <c r="AL5641">
        <v>78.964474943842106</v>
      </c>
      <c r="AM5641">
        <v>100.039082948009</v>
      </c>
      <c r="AN5641">
        <v>1.0000000199834</v>
      </c>
    </row>
    <row r="5642" spans="1:40" x14ac:dyDescent="0.25">
      <c r="A5642" t="str">
        <f>"20190304154910347"</f>
        <v>20190304154910347</v>
      </c>
      <c r="B5642" t="str">
        <f>"1551685750342916"</f>
        <v>1551685750342916</v>
      </c>
      <c r="C5642" t="s">
        <v>40</v>
      </c>
      <c r="D5642">
        <v>4.1166039999999997</v>
      </c>
      <c r="E5642">
        <v>0.448542</v>
      </c>
      <c r="F5642" t="s">
        <v>44</v>
      </c>
      <c r="G5642">
        <v>-422.31389999999999</v>
      </c>
      <c r="H5642" s="1">
        <v>-1.1524519999999999E-6</v>
      </c>
      <c r="I5642">
        <v>110.8404</v>
      </c>
      <c r="J5642">
        <v>-410.93900000000002</v>
      </c>
      <c r="K5642">
        <v>1.1181779999999999</v>
      </c>
      <c r="L5642">
        <v>130.2046</v>
      </c>
      <c r="M5642">
        <v>-0.72789809999999999</v>
      </c>
      <c r="N5642">
        <v>-1.489103E-2</v>
      </c>
      <c r="O5642">
        <v>-0.68552360000000001</v>
      </c>
      <c r="P5642">
        <v>-0.59083129999999995</v>
      </c>
      <c r="Q5642">
        <v>0.1798401</v>
      </c>
      <c r="R5642">
        <v>-0.78649609999999903</v>
      </c>
      <c r="S5642">
        <v>-1.5786129999999901</v>
      </c>
      <c r="T5642">
        <v>-0.15245259999999999</v>
      </c>
      <c r="U5642">
        <v>-2.667618</v>
      </c>
      <c r="V5642">
        <v>-0.1708713</v>
      </c>
      <c r="W5642">
        <v>0.19127769999999999</v>
      </c>
      <c r="X5642">
        <v>0.96654839999999997</v>
      </c>
      <c r="Y5642">
        <v>-0.27727420000000003</v>
      </c>
      <c r="Z5642">
        <v>1.6893450000000001E-2</v>
      </c>
      <c r="AA5642">
        <v>0.96064229999999995</v>
      </c>
      <c r="AB5642">
        <v>28</v>
      </c>
      <c r="AC5642">
        <v>-11.374899999999901</v>
      </c>
      <c r="AD5642">
        <v>-1.1181791524519999</v>
      </c>
      <c r="AE5642">
        <v>-19.3642</v>
      </c>
      <c r="AF5642">
        <v>-6.2825257659167901</v>
      </c>
      <c r="AG5642">
        <v>-1.1181791524519999</v>
      </c>
      <c r="AH5642">
        <v>21.503466710027599</v>
      </c>
      <c r="AI5642">
        <v>92.8574489352835</v>
      </c>
      <c r="AJ5642">
        <v>106.28643016599101</v>
      </c>
      <c r="AK5642">
        <v>22.430326238502399</v>
      </c>
      <c r="AL5642">
        <v>78.972641127671494</v>
      </c>
      <c r="AM5642">
        <v>100.025451629814</v>
      </c>
      <c r="AN5642">
        <v>0.99999998461176898</v>
      </c>
    </row>
    <row r="5643" spans="1:40" x14ac:dyDescent="0.25">
      <c r="A5643" t="str">
        <f>"20190304154910370"</f>
        <v>20190304154910370</v>
      </c>
      <c r="B5643" t="str">
        <f>"1551685750362436"</f>
        <v>1551685750362436</v>
      </c>
      <c r="C5643" t="s">
        <v>40</v>
      </c>
      <c r="D5643">
        <v>4.1933669999999896</v>
      </c>
      <c r="E5643">
        <v>0.44828580000000001</v>
      </c>
      <c r="F5643" t="s">
        <v>44</v>
      </c>
      <c r="G5643">
        <v>-421.81220000000002</v>
      </c>
      <c r="H5643" s="1">
        <v>-1.097919E-6</v>
      </c>
      <c r="I5643">
        <v>111.0244</v>
      </c>
      <c r="J5643">
        <v>-411.13459999999998</v>
      </c>
      <c r="K5643">
        <v>1.118163</v>
      </c>
      <c r="L5643">
        <v>130.0069</v>
      </c>
      <c r="M5643">
        <v>-0.72149229999999998</v>
      </c>
      <c r="N5643">
        <v>-1.4888490000000001E-2</v>
      </c>
      <c r="O5643">
        <v>-0.69226239999999895</v>
      </c>
      <c r="P5643">
        <v>-0.58342119999999997</v>
      </c>
      <c r="Q5643">
        <v>0.17941199999999999</v>
      </c>
      <c r="R5643">
        <v>-0.79210570000000002</v>
      </c>
      <c r="S5643">
        <v>-1.530853</v>
      </c>
      <c r="T5643">
        <v>-0.15742919999999999</v>
      </c>
      <c r="U5643">
        <v>-2.7003940000000002</v>
      </c>
      <c r="V5643">
        <v>-0.171013</v>
      </c>
      <c r="W5643">
        <v>0.19085170000000001</v>
      </c>
      <c r="X5643">
        <v>0.96660760000000001</v>
      </c>
      <c r="Y5643">
        <v>-0.28621380000000002</v>
      </c>
      <c r="Z5643">
        <v>1.7862320000000001E-2</v>
      </c>
      <c r="AA5643">
        <v>0.9579993</v>
      </c>
      <c r="AB5643">
        <v>28</v>
      </c>
      <c r="AC5643">
        <v>-10.6776</v>
      </c>
      <c r="AD5643">
        <v>-1.118164097919</v>
      </c>
      <c r="AE5643">
        <v>-18.982500000000002</v>
      </c>
      <c r="AF5643">
        <v>-6.2881508594028199</v>
      </c>
      <c r="AG5643">
        <v>-1.118164097919</v>
      </c>
      <c r="AH5643">
        <v>20.792183071205098</v>
      </c>
      <c r="AI5643">
        <v>92.946730490332499</v>
      </c>
      <c r="AJ5643">
        <v>106.826818058528</v>
      </c>
      <c r="AK5643">
        <v>21.751000184979802</v>
      </c>
      <c r="AL5643">
        <v>78.997507788415902</v>
      </c>
      <c r="AM5643">
        <v>100.03299463759301</v>
      </c>
      <c r="AN5643">
        <v>1.0000000349698199</v>
      </c>
    </row>
    <row r="5644" spans="1:40" x14ac:dyDescent="0.25">
      <c r="A5644" t="str">
        <f>"20190304154910391"</f>
        <v>20190304154910391</v>
      </c>
      <c r="B5644" t="str">
        <f>"1551685750382936"</f>
        <v>1551685750382936</v>
      </c>
      <c r="C5644" t="s">
        <v>40</v>
      </c>
      <c r="D5644">
        <v>4.2615920000000003</v>
      </c>
      <c r="E5644">
        <v>0.44793480000000002</v>
      </c>
      <c r="F5644" t="s">
        <v>44</v>
      </c>
      <c r="G5644">
        <v>-421.4939</v>
      </c>
      <c r="H5644" s="1">
        <v>-1.129402E-6</v>
      </c>
      <c r="I5644">
        <v>111.29519999999999</v>
      </c>
      <c r="J5644">
        <v>-411.32780000000002</v>
      </c>
      <c r="K5644">
        <v>1.1181509999999999</v>
      </c>
      <c r="L5644">
        <v>129.80799999999999</v>
      </c>
      <c r="M5644">
        <v>-0.71504579999999995</v>
      </c>
      <c r="N5644">
        <v>-1.488576E-2</v>
      </c>
      <c r="O5644">
        <v>-0.69891939999999997</v>
      </c>
      <c r="P5644">
        <v>-0.57624580000000003</v>
      </c>
      <c r="Q5644">
        <v>0.17917169999999999</v>
      </c>
      <c r="R5644">
        <v>-0.79739519999999997</v>
      </c>
      <c r="S5644">
        <v>-1.503906</v>
      </c>
      <c r="T5644">
        <v>-0.1623291</v>
      </c>
      <c r="U5644">
        <v>-2.7164609999999998</v>
      </c>
      <c r="V5644">
        <v>-0.17080780000000001</v>
      </c>
      <c r="W5644">
        <v>0.1906215</v>
      </c>
      <c r="X5644">
        <v>0.96668929999999997</v>
      </c>
      <c r="Y5644">
        <v>-0.28702030000000001</v>
      </c>
      <c r="Z5644">
        <v>1.907143E-2</v>
      </c>
      <c r="AA5644">
        <v>0.95773459999999999</v>
      </c>
      <c r="AB5644">
        <v>28</v>
      </c>
      <c r="AC5644">
        <v>-10.166099999999901</v>
      </c>
      <c r="AD5644">
        <v>-1.118152129402</v>
      </c>
      <c r="AE5644">
        <v>-18.512799999999999</v>
      </c>
      <c r="AF5644">
        <v>-6.1157522717813402</v>
      </c>
      <c r="AG5644">
        <v>-1.118152129402</v>
      </c>
      <c r="AH5644">
        <v>20.153929455189299</v>
      </c>
      <c r="AI5644">
        <v>93.038983936331107</v>
      </c>
      <c r="AJ5644">
        <v>106.88053094195</v>
      </c>
      <c r="AK5644">
        <v>21.091077794153399</v>
      </c>
      <c r="AL5644">
        <v>79.010943911846397</v>
      </c>
      <c r="AM5644">
        <v>100.020370341193</v>
      </c>
      <c r="AN5644">
        <v>1.0000000317687801</v>
      </c>
    </row>
    <row r="5645" spans="1:40" x14ac:dyDescent="0.25">
      <c r="A5645" t="str">
        <f>"20190304154910425"</f>
        <v>20190304154910425</v>
      </c>
      <c r="B5645" t="str">
        <f>"1551685750422949"</f>
        <v>1551685750422949</v>
      </c>
      <c r="C5645" t="s">
        <v>40</v>
      </c>
      <c r="D5645">
        <v>4.1953100000000001</v>
      </c>
      <c r="E5645">
        <v>0.44830940000000002</v>
      </c>
      <c r="F5645" t="s">
        <v>44</v>
      </c>
      <c r="G5645">
        <v>-421.45499999999998</v>
      </c>
      <c r="H5645" s="1">
        <v>-1.025196E-6</v>
      </c>
      <c r="I5645">
        <v>111.07640000000001</v>
      </c>
      <c r="J5645">
        <v>-411.61610000000002</v>
      </c>
      <c r="K5645">
        <v>1.1181270000000001</v>
      </c>
      <c r="L5645">
        <v>129.50360000000001</v>
      </c>
      <c r="M5645">
        <v>-0.70517559999999901</v>
      </c>
      <c r="N5645">
        <v>-1.488101E-2</v>
      </c>
      <c r="O5645">
        <v>-0.70887670000000003</v>
      </c>
      <c r="P5645">
        <v>-0.56590189999999996</v>
      </c>
      <c r="Q5645">
        <v>0.1798332</v>
      </c>
      <c r="R5645">
        <v>-0.80462140000000004</v>
      </c>
      <c r="S5645">
        <v>-1.476837</v>
      </c>
      <c r="T5645">
        <v>-0.16305919999999999</v>
      </c>
      <c r="U5645">
        <v>-2.7316129999999998</v>
      </c>
      <c r="V5645">
        <v>-0.1696261</v>
      </c>
      <c r="W5645">
        <v>0.19131090000000001</v>
      </c>
      <c r="X5645">
        <v>0.96676119999999999</v>
      </c>
      <c r="Y5645">
        <v>-0.28316449999999999</v>
      </c>
      <c r="Z5645">
        <v>1.9780699999999998E-2</v>
      </c>
      <c r="AA5645">
        <v>0.95886740000000004</v>
      </c>
      <c r="AB5645">
        <v>28</v>
      </c>
      <c r="AC5645">
        <v>-9.8388999999999598</v>
      </c>
      <c r="AD5645">
        <v>-1.118128025196</v>
      </c>
      <c r="AE5645">
        <v>-18.427199999999999</v>
      </c>
      <c r="AF5645">
        <v>-6.0033109520992598</v>
      </c>
      <c r="AG5645">
        <v>-1.118128025196</v>
      </c>
      <c r="AH5645">
        <v>19.9458315181462</v>
      </c>
      <c r="AI5645">
        <v>93.072661820133803</v>
      </c>
      <c r="AJ5645">
        <v>106.75078237379699</v>
      </c>
      <c r="AK5645">
        <v>20.859677553083099</v>
      </c>
      <c r="AL5645">
        <v>78.970703804039303</v>
      </c>
      <c r="AM5645">
        <v>99.951711745703705</v>
      </c>
      <c r="AN5645">
        <v>1.0000000460427201</v>
      </c>
    </row>
    <row r="5646" spans="1:40" x14ac:dyDescent="0.25">
      <c r="A5646" t="str">
        <f>"20190304154910448"</f>
        <v>20190304154910448</v>
      </c>
      <c r="B5646" t="str">
        <f>"1551685750442469"</f>
        <v>1551685750442469</v>
      </c>
      <c r="C5646" t="s">
        <v>40</v>
      </c>
      <c r="D5646">
        <v>4.2388729999999999</v>
      </c>
      <c r="E5646">
        <v>0.4486521</v>
      </c>
      <c r="F5646" t="s">
        <v>44</v>
      </c>
      <c r="G5646">
        <v>-421.51799999999997</v>
      </c>
      <c r="H5646" s="1">
        <v>-8.5762180000000004E-7</v>
      </c>
      <c r="I5646">
        <v>110.6468</v>
      </c>
      <c r="J5646">
        <v>-411.80720000000002</v>
      </c>
      <c r="K5646">
        <v>1.1181099999999999</v>
      </c>
      <c r="L5646">
        <v>129.29740000000001</v>
      </c>
      <c r="M5646">
        <v>-0.69847939999999997</v>
      </c>
      <c r="N5646">
        <v>-1.487748E-2</v>
      </c>
      <c r="O5646">
        <v>-0.71547559999999999</v>
      </c>
      <c r="P5646">
        <v>-0.55927349999999998</v>
      </c>
      <c r="Q5646">
        <v>0.1802733</v>
      </c>
      <c r="R5646">
        <v>-0.80914449999999905</v>
      </c>
      <c r="S5646">
        <v>-1.443756</v>
      </c>
      <c r="T5646">
        <v>-0.16303110000000001</v>
      </c>
      <c r="U5646">
        <v>-2.749466</v>
      </c>
      <c r="V5646">
        <v>-0.16840429999999901</v>
      </c>
      <c r="W5646">
        <v>0.1917789</v>
      </c>
      <c r="X5646">
        <v>0.96688200000000002</v>
      </c>
      <c r="Y5646">
        <v>-0.28575319999999998</v>
      </c>
      <c r="Z5646">
        <v>2.0024239999999999E-2</v>
      </c>
      <c r="AA5646">
        <v>0.958094</v>
      </c>
      <c r="AB5646">
        <v>28</v>
      </c>
      <c r="AC5646">
        <v>-9.7108000000000008</v>
      </c>
      <c r="AD5646">
        <v>-1.1181108576218</v>
      </c>
      <c r="AE5646">
        <v>-18.650600000000001</v>
      </c>
      <c r="AF5646">
        <v>-6.0627493576931801</v>
      </c>
      <c r="AG5646">
        <v>-1.1181108576218</v>
      </c>
      <c r="AH5646">
        <v>20.072314471932099</v>
      </c>
      <c r="AI5646">
        <v>93.052393228052097</v>
      </c>
      <c r="AJ5646">
        <v>106.806697590502</v>
      </c>
      <c r="AK5646">
        <v>20.9977358285192</v>
      </c>
      <c r="AL5646">
        <v>78.943382755615303</v>
      </c>
      <c r="AM5646">
        <v>99.8802382281729</v>
      </c>
      <c r="AN5646">
        <v>0.99999997833384902</v>
      </c>
    </row>
    <row r="5647" spans="1:40" x14ac:dyDescent="0.25">
      <c r="A5647" t="str">
        <f>"20190304154910469"</f>
        <v>20190304154910469</v>
      </c>
      <c r="B5647" t="str">
        <f>"1551685750462964"</f>
        <v>1551685750462964</v>
      </c>
      <c r="C5647" t="s">
        <v>40</v>
      </c>
      <c r="D5647">
        <v>4.2246870000000003</v>
      </c>
      <c r="E5647">
        <v>0.4490246</v>
      </c>
      <c r="F5647" t="s">
        <v>44</v>
      </c>
      <c r="G5647">
        <v>-421.69880000000001</v>
      </c>
      <c r="H5647" s="1">
        <v>-6.8095940000000002E-7</v>
      </c>
      <c r="I5647">
        <v>110.1228</v>
      </c>
      <c r="J5647">
        <v>-411.9907</v>
      </c>
      <c r="K5647">
        <v>1.1180950000000001</v>
      </c>
      <c r="L5647">
        <v>129.09569999999999</v>
      </c>
      <c r="M5647">
        <v>-0.69192310000000001</v>
      </c>
      <c r="N5647">
        <v>-1.487394E-2</v>
      </c>
      <c r="O5647">
        <v>-0.72181809999999902</v>
      </c>
      <c r="P5647">
        <v>-0.55256059999999996</v>
      </c>
      <c r="Q5647">
        <v>0.18033850000000001</v>
      </c>
      <c r="R5647">
        <v>-0.81372929999999999</v>
      </c>
      <c r="S5647">
        <v>-1.4235530000000001</v>
      </c>
      <c r="T5647">
        <v>-0.16091429999999901</v>
      </c>
      <c r="U5647">
        <v>-2.7595369999999999</v>
      </c>
      <c r="V5647">
        <v>-0.16756279999999901</v>
      </c>
      <c r="W5647">
        <v>0.1918646</v>
      </c>
      <c r="X5647">
        <v>0.96701119999999996</v>
      </c>
      <c r="Y5647">
        <v>-0.28397610000000001</v>
      </c>
      <c r="Z5647">
        <v>1.9955380000000002E-2</v>
      </c>
      <c r="AA5647">
        <v>0.95862369999999997</v>
      </c>
      <c r="AB5647">
        <v>28</v>
      </c>
      <c r="AC5647">
        <v>-9.7081</v>
      </c>
      <c r="AD5647">
        <v>-1.1180956809594</v>
      </c>
      <c r="AE5647">
        <v>-18.972899999999999</v>
      </c>
      <c r="AF5647">
        <v>-6.1041816092878998</v>
      </c>
      <c r="AG5647">
        <v>-1.1180956809594</v>
      </c>
      <c r="AH5647">
        <v>20.3584654494604</v>
      </c>
      <c r="AI5647">
        <v>93.011361368653098</v>
      </c>
      <c r="AJ5647">
        <v>106.690573521129</v>
      </c>
      <c r="AK5647">
        <v>21.283286553721499</v>
      </c>
      <c r="AL5647">
        <v>78.938379714705604</v>
      </c>
      <c r="AM5647">
        <v>99.830545480624494</v>
      </c>
      <c r="AN5647">
        <v>0.99999998880121899</v>
      </c>
    </row>
    <row r="5648" spans="1:40" x14ac:dyDescent="0.25">
      <c r="A5648" t="str">
        <f>"20190304154910492"</f>
        <v>20190304154910492</v>
      </c>
      <c r="B5648" t="str">
        <f>"1551685750482484"</f>
        <v>1551685750482484</v>
      </c>
      <c r="C5648" t="s">
        <v>40</v>
      </c>
      <c r="D5648">
        <v>4.2234290000000003</v>
      </c>
      <c r="E5648">
        <v>0.44952609999999898</v>
      </c>
      <c r="F5648" t="s">
        <v>44</v>
      </c>
      <c r="G5648">
        <v>-421.78300000000002</v>
      </c>
      <c r="H5648" s="1">
        <v>-5.4955640000000002E-7</v>
      </c>
      <c r="I5648">
        <v>109.76430000000001</v>
      </c>
      <c r="J5648">
        <v>-412.17500000000001</v>
      </c>
      <c r="K5648">
        <v>1.118074</v>
      </c>
      <c r="L5648">
        <v>128.88929999999999</v>
      </c>
      <c r="M5648">
        <v>-0.68520919999999996</v>
      </c>
      <c r="N5648">
        <v>-1.48702E-2</v>
      </c>
      <c r="O5648">
        <v>-0.72819480000000003</v>
      </c>
      <c r="P5648">
        <v>-0.54513789999999995</v>
      </c>
      <c r="Q5648">
        <v>0.1809907</v>
      </c>
      <c r="R5648">
        <v>-0.81857650000000004</v>
      </c>
      <c r="S5648">
        <v>-1.4029240000000001</v>
      </c>
      <c r="T5648">
        <v>-0.16018750000000001</v>
      </c>
      <c r="U5648">
        <v>-2.769577</v>
      </c>
      <c r="V5648">
        <v>-0.1673047</v>
      </c>
      <c r="W5648">
        <v>0.19252440000000001</v>
      </c>
      <c r="X5648">
        <v>0.96692480000000003</v>
      </c>
      <c r="Y5648">
        <v>-0.28218280000000001</v>
      </c>
      <c r="Z5648">
        <v>2.015987E-2</v>
      </c>
      <c r="AA5648">
        <v>0.95914880000000002</v>
      </c>
      <c r="AB5648">
        <v>28</v>
      </c>
      <c r="AC5648">
        <v>-9.6080000000000005</v>
      </c>
      <c r="AD5648">
        <v>-1.1180745495564</v>
      </c>
      <c r="AE5648">
        <v>-19.124999999999901</v>
      </c>
      <c r="AF5648">
        <v>-6.0921789568189899</v>
      </c>
      <c r="AG5648">
        <v>-1.1180745495564</v>
      </c>
      <c r="AH5648">
        <v>20.456653208142001</v>
      </c>
      <c r="AI5648">
        <v>92.998540269382502</v>
      </c>
      <c r="AJ5648">
        <v>106.584014183416</v>
      </c>
      <c r="AK5648">
        <v>21.373801618300401</v>
      </c>
      <c r="AL5648">
        <v>78.899858341805597</v>
      </c>
      <c r="AM5648">
        <v>99.816558097546505</v>
      </c>
      <c r="AN5648">
        <v>1.0000000380462399</v>
      </c>
    </row>
    <row r="5649" spans="1:40" x14ac:dyDescent="0.25">
      <c r="A5649" t="str">
        <f>"20190304154910514"</f>
        <v>20190304154910514</v>
      </c>
      <c r="B5649" t="str">
        <f>"1551685750502981"</f>
        <v>1551685750502981</v>
      </c>
      <c r="C5649" t="s">
        <v>40</v>
      </c>
      <c r="D5649">
        <v>4.5448399999999998</v>
      </c>
      <c r="E5649">
        <v>0.4498065</v>
      </c>
      <c r="F5649" t="s">
        <v>44</v>
      </c>
      <c r="G5649">
        <v>-421.93439999999998</v>
      </c>
      <c r="H5649" s="1">
        <v>-4.9390630000000003E-6</v>
      </c>
      <c r="I5649">
        <v>109.2542</v>
      </c>
      <c r="J5649">
        <v>-412.3603</v>
      </c>
      <c r="K5649">
        <v>1.1180589999999999</v>
      </c>
      <c r="L5649">
        <v>128.67750000000001</v>
      </c>
      <c r="M5649">
        <v>-0.67832109999999901</v>
      </c>
      <c r="N5649">
        <v>-1.4866010000000001E-2</v>
      </c>
      <c r="O5649">
        <v>-0.73461529999999997</v>
      </c>
      <c r="P5649">
        <v>-0.53738739999999996</v>
      </c>
      <c r="Q5649">
        <v>0.18014229999999901</v>
      </c>
      <c r="R5649">
        <v>-0.82387119999999903</v>
      </c>
      <c r="S5649">
        <v>-1.381653</v>
      </c>
      <c r="T5649">
        <v>-0.15828719999999999</v>
      </c>
      <c r="U5649">
        <v>-2.7797550000000002</v>
      </c>
      <c r="V5649">
        <v>-0.16742650000000001</v>
      </c>
      <c r="W5649">
        <v>0.19167970000000001</v>
      </c>
      <c r="X5649">
        <v>0.96707149999999997</v>
      </c>
      <c r="Y5649">
        <v>-0.28043390000000001</v>
      </c>
      <c r="Z5649">
        <v>2.012191E-2</v>
      </c>
      <c r="AA5649">
        <v>0.95966240000000003</v>
      </c>
      <c r="AB5649">
        <v>28</v>
      </c>
      <c r="AC5649">
        <v>-9.5740999999999801</v>
      </c>
      <c r="AD5649">
        <v>-1.1180639390629901</v>
      </c>
      <c r="AE5649">
        <v>-19.423300000000001</v>
      </c>
      <c r="AF5649">
        <v>-6.1263007276178998</v>
      </c>
      <c r="AG5649">
        <v>-1.1180639390629901</v>
      </c>
      <c r="AH5649">
        <v>20.710051690198899</v>
      </c>
      <c r="AI5649">
        <v>92.963499639594005</v>
      </c>
      <c r="AJ5649">
        <v>106.478897454256</v>
      </c>
      <c r="AK5649">
        <v>21.626092309701999</v>
      </c>
      <c r="AL5649">
        <v>78.949174326125998</v>
      </c>
      <c r="AM5649">
        <v>99.8221043340276</v>
      </c>
      <c r="AN5649">
        <v>1.00000001320329</v>
      </c>
    </row>
    <row r="5650" spans="1:40" x14ac:dyDescent="0.25">
      <c r="A5650" t="str">
        <f>"20190304154910537"</f>
        <v>20190304154910537</v>
      </c>
      <c r="B5650" t="str">
        <f>"1551685750533237"</f>
        <v>1551685750533237</v>
      </c>
      <c r="C5650" t="s">
        <v>40</v>
      </c>
      <c r="D5650">
        <v>4.201727</v>
      </c>
      <c r="E5650">
        <v>0.45920349999999999</v>
      </c>
      <c r="F5650" t="s">
        <v>44</v>
      </c>
      <c r="G5650">
        <v>-421.78210000000001</v>
      </c>
      <c r="H5650" s="1">
        <v>-4.9280120000000004E-6</v>
      </c>
      <c r="I5650">
        <v>109.2957</v>
      </c>
      <c r="J5650">
        <v>-412.5412</v>
      </c>
      <c r="K5650">
        <v>1.1180369999999999</v>
      </c>
      <c r="L5650">
        <v>128.4667</v>
      </c>
      <c r="M5650">
        <v>-0.6714618</v>
      </c>
      <c r="N5650">
        <v>-1.4861640000000001E-2</v>
      </c>
      <c r="O5650">
        <v>-0.7408901</v>
      </c>
      <c r="P5650">
        <v>-0.52932089999999998</v>
      </c>
      <c r="Q5650">
        <v>0.17957909999999999</v>
      </c>
      <c r="R5650">
        <v>-0.82919900000000002</v>
      </c>
      <c r="S5650">
        <v>-1.3569639999999901</v>
      </c>
      <c r="T5650">
        <v>-0.161026799999999</v>
      </c>
      <c r="U5650">
        <v>-2.7914119999999998</v>
      </c>
      <c r="V5650">
        <v>-0.16793839999999999</v>
      </c>
      <c r="W5650">
        <v>0.19111149999999999</v>
      </c>
      <c r="X5650">
        <v>0.96709520000000004</v>
      </c>
      <c r="Y5650">
        <v>-0.27995730000000002</v>
      </c>
      <c r="Z5650">
        <v>2.1000149999999999E-2</v>
      </c>
      <c r="AA5650">
        <v>0.95978269999999999</v>
      </c>
      <c r="AB5650">
        <v>28</v>
      </c>
      <c r="AC5650">
        <v>-9.2408999999999999</v>
      </c>
      <c r="AD5650">
        <v>-1.118041928012</v>
      </c>
      <c r="AE5650">
        <v>-19.170999999999999</v>
      </c>
      <c r="AF5650">
        <v>-6.0101810730134</v>
      </c>
      <c r="AG5650">
        <v>-1.118041928012</v>
      </c>
      <c r="AH5650">
        <v>20.354593427266899</v>
      </c>
      <c r="AI5650">
        <v>93.015539090518303</v>
      </c>
      <c r="AJ5650">
        <v>106.450497391955</v>
      </c>
      <c r="AK5650">
        <v>21.252806117605701</v>
      </c>
      <c r="AL5650">
        <v>78.982343039545498</v>
      </c>
      <c r="AM5650">
        <v>99.851310812706998</v>
      </c>
      <c r="AN5650">
        <v>1.0000000187449201</v>
      </c>
    </row>
    <row r="5651" spans="1:40" x14ac:dyDescent="0.25">
      <c r="A5651" t="str">
        <f>"20190304154910559"</f>
        <v>20190304154910559</v>
      </c>
      <c r="B5651" t="str">
        <f>"1551685750552764"</f>
        <v>1551685750552764</v>
      </c>
      <c r="C5651" t="s">
        <v>40</v>
      </c>
      <c r="D5651">
        <v>4.2165049999999997</v>
      </c>
      <c r="E5651">
        <v>0.45979639999999999</v>
      </c>
      <c r="F5651" t="s">
        <v>44</v>
      </c>
      <c r="G5651">
        <v>-425.48739999999998</v>
      </c>
      <c r="H5651" s="1">
        <v>-2.9516880000000001E-6</v>
      </c>
      <c r="I5651">
        <v>102.7471</v>
      </c>
      <c r="J5651">
        <v>-412.71870000000001</v>
      </c>
      <c r="K5651">
        <v>1.118018</v>
      </c>
      <c r="L5651">
        <v>128.2561</v>
      </c>
      <c r="M5651">
        <v>-0.66460649999999999</v>
      </c>
      <c r="N5651">
        <v>-1.48571E-2</v>
      </c>
      <c r="O5651">
        <v>-0.74704589999999904</v>
      </c>
      <c r="P5651">
        <v>-0.52084299999999994</v>
      </c>
      <c r="Q5651">
        <v>0.17989579999999999</v>
      </c>
      <c r="R5651">
        <v>-0.8344819</v>
      </c>
      <c r="S5651">
        <v>-1.388153</v>
      </c>
      <c r="T5651">
        <v>-0.119882</v>
      </c>
      <c r="U5651">
        <v>-2.7577820000000002</v>
      </c>
      <c r="V5651">
        <v>-0.16883570000000001</v>
      </c>
      <c r="W5651">
        <v>0.19141440000000001</v>
      </c>
      <c r="X5651">
        <v>0.96687900000000004</v>
      </c>
      <c r="Y5651">
        <v>-0.25772050000000002</v>
      </c>
      <c r="Z5651">
        <v>1.322045E-2</v>
      </c>
      <c r="AA5651">
        <v>0.96612909999999996</v>
      </c>
      <c r="AB5651">
        <v>28</v>
      </c>
      <c r="AC5651">
        <v>-12.7686999999999</v>
      </c>
      <c r="AD5651">
        <v>-1.118020951688</v>
      </c>
      <c r="AE5651">
        <v>-25.509</v>
      </c>
      <c r="AF5651">
        <v>-7.4040871249910403</v>
      </c>
      <c r="AG5651">
        <v>-1.118020951688</v>
      </c>
      <c r="AH5651">
        <v>27.503346726766601</v>
      </c>
      <c r="AI5651">
        <v>92.247869469993901</v>
      </c>
      <c r="AJ5651">
        <v>105.067206009499</v>
      </c>
      <c r="AK5651">
        <v>28.504465583055801</v>
      </c>
      <c r="AL5651">
        <v>78.964661335478198</v>
      </c>
      <c r="AM5651">
        <v>99.905077829571496</v>
      </c>
      <c r="AN5651">
        <v>0.99999998338142404</v>
      </c>
    </row>
    <row r="5652" spans="1:40" x14ac:dyDescent="0.25">
      <c r="A5652" t="str">
        <f>"20190304154910581"</f>
        <v>20190304154910581</v>
      </c>
      <c r="B5652" t="str">
        <f>"1551685750573252"</f>
        <v>1551685750573252</v>
      </c>
      <c r="C5652" t="s">
        <v>40</v>
      </c>
      <c r="D5652">
        <v>4.1790719999999997</v>
      </c>
      <c r="E5652">
        <v>0.46001710000000001</v>
      </c>
      <c r="F5652" t="s">
        <v>44</v>
      </c>
      <c r="G5652">
        <v>-424.65640000000002</v>
      </c>
      <c r="H5652" s="1">
        <v>-3.341694E-6</v>
      </c>
      <c r="I5652">
        <v>104.0399</v>
      </c>
      <c r="J5652">
        <v>-412.89339999999999</v>
      </c>
      <c r="K5652">
        <v>1.117996</v>
      </c>
      <c r="L5652">
        <v>128.04499999999999</v>
      </c>
      <c r="M5652">
        <v>-0.65773369999999998</v>
      </c>
      <c r="N5652">
        <v>-1.485235E-2</v>
      </c>
      <c r="O5652">
        <v>-0.7531042</v>
      </c>
      <c r="P5652">
        <v>-0.51275379999999904</v>
      </c>
      <c r="Q5652">
        <v>0.17970029999999901</v>
      </c>
      <c r="R5652">
        <v>-0.83951880000000001</v>
      </c>
      <c r="S5652">
        <v>-1.365631</v>
      </c>
      <c r="T5652">
        <v>-0.1278976</v>
      </c>
      <c r="U5652">
        <v>-2.770248</v>
      </c>
      <c r="V5652">
        <v>-0.16933480000000001</v>
      </c>
      <c r="W5652">
        <v>0.1912141</v>
      </c>
      <c r="X5652">
        <v>0.96683140000000001</v>
      </c>
      <c r="Y5652">
        <v>-0.25692289999999901</v>
      </c>
      <c r="Z5652">
        <v>1.51524E-2</v>
      </c>
      <c r="AA5652">
        <v>0.96631310000000004</v>
      </c>
      <c r="AB5652">
        <v>28</v>
      </c>
      <c r="AC5652">
        <v>-11.763</v>
      </c>
      <c r="AD5652">
        <v>-1.1179993416939999</v>
      </c>
      <c r="AE5652">
        <v>-24.005099999999899</v>
      </c>
      <c r="AF5652">
        <v>-6.9188608122498003</v>
      </c>
      <c r="AG5652">
        <v>-1.1179993416939999</v>
      </c>
      <c r="AH5652">
        <v>25.773029671224599</v>
      </c>
      <c r="AI5652">
        <v>92.399019521390599</v>
      </c>
      <c r="AJ5652">
        <v>105.02695735832199</v>
      </c>
      <c r="AK5652">
        <v>26.708980061041899</v>
      </c>
      <c r="AL5652">
        <v>78.976354185608102</v>
      </c>
      <c r="AM5652">
        <v>99.934255410254096</v>
      </c>
      <c r="AN5652">
        <v>1.0000000312779</v>
      </c>
    </row>
    <row r="5653" spans="1:40" x14ac:dyDescent="0.25">
      <c r="A5653" t="str">
        <f>"20190304154910603"</f>
        <v>20190304154910603</v>
      </c>
      <c r="B5653" t="str">
        <f>"1551685750592772"</f>
        <v>1551685750592772</v>
      </c>
      <c r="C5653" t="s">
        <v>40</v>
      </c>
      <c r="D5653">
        <v>4.1722089999999996</v>
      </c>
      <c r="E5653">
        <v>0.46034920000000001</v>
      </c>
      <c r="F5653" t="s">
        <v>44</v>
      </c>
      <c r="G5653">
        <v>-423.64960000000002</v>
      </c>
      <c r="H5653" s="1">
        <v>-3.8729870000000003E-6</v>
      </c>
      <c r="I5653">
        <v>105.7306</v>
      </c>
      <c r="J5653">
        <v>-413.06450000000001</v>
      </c>
      <c r="K5653">
        <v>1.1179680000000001</v>
      </c>
      <c r="L5653">
        <v>127.8343</v>
      </c>
      <c r="M5653">
        <v>-0.65088239999999997</v>
      </c>
      <c r="N5653">
        <v>-1.484716E-2</v>
      </c>
      <c r="O5653">
        <v>-0.75903330000000002</v>
      </c>
      <c r="P5653">
        <v>-0.50483</v>
      </c>
      <c r="Q5653">
        <v>0.1795197</v>
      </c>
      <c r="R5653">
        <v>-0.84434549999999997</v>
      </c>
      <c r="S5653">
        <v>-1.341858</v>
      </c>
      <c r="T5653">
        <v>-0.13947270000000001</v>
      </c>
      <c r="U5653">
        <v>-2.7837679999999998</v>
      </c>
      <c r="V5653">
        <v>-0.16968339999999901</v>
      </c>
      <c r="W5653">
        <v>0.19103290000000001</v>
      </c>
      <c r="X5653">
        <v>0.9668061</v>
      </c>
      <c r="Y5653">
        <v>-0.2567179</v>
      </c>
      <c r="Z5653">
        <v>1.7873259999999998E-2</v>
      </c>
      <c r="AA5653">
        <v>0.96632110000000004</v>
      </c>
      <c r="AB5653">
        <v>28</v>
      </c>
      <c r="AC5653">
        <v>-10.585100000000001</v>
      </c>
      <c r="AD5653">
        <v>-1.1179718729870001</v>
      </c>
      <c r="AE5653">
        <v>-22.1037</v>
      </c>
      <c r="AF5653">
        <v>-6.3399733344195797</v>
      </c>
      <c r="AG5653">
        <v>-1.1179718729870001</v>
      </c>
      <c r="AH5653">
        <v>23.620556571266501</v>
      </c>
      <c r="AI5653">
        <v>92.617308733959206</v>
      </c>
      <c r="AJ5653">
        <v>105.02458503918</v>
      </c>
      <c r="AK5653">
        <v>24.4821530043079</v>
      </c>
      <c r="AL5653">
        <v>78.986931142833001</v>
      </c>
      <c r="AM5653">
        <v>99.954553135751596</v>
      </c>
      <c r="AN5653">
        <v>1.00000003005758</v>
      </c>
    </row>
    <row r="5654" spans="1:40" x14ac:dyDescent="0.25">
      <c r="A5654" t="str">
        <f>"20190304154910626"</f>
        <v>20190304154910626</v>
      </c>
      <c r="B5654" t="str">
        <f>"1551685750623029"</f>
        <v>1551685750623029</v>
      </c>
      <c r="C5654" t="s">
        <v>40</v>
      </c>
      <c r="D5654">
        <v>4.119205</v>
      </c>
      <c r="E5654">
        <v>0.46088980000000002</v>
      </c>
      <c r="F5654" t="s">
        <v>44</v>
      </c>
      <c r="G5654">
        <v>-423.00310000000002</v>
      </c>
      <c r="H5654" s="1">
        <v>-4.1771799999999999E-6</v>
      </c>
      <c r="I5654">
        <v>106.7765</v>
      </c>
      <c r="J5654">
        <v>-413.23820000000001</v>
      </c>
      <c r="K5654">
        <v>1.117931</v>
      </c>
      <c r="L5654">
        <v>127.6165</v>
      </c>
      <c r="M5654">
        <v>-0.64380280000000001</v>
      </c>
      <c r="N5654">
        <v>-1.4841210000000001E-2</v>
      </c>
      <c r="O5654">
        <v>-0.76504759999999905</v>
      </c>
      <c r="P5654">
        <v>-0.49718760000000001</v>
      </c>
      <c r="Q5654">
        <v>0.17913989999999999</v>
      </c>
      <c r="R5654">
        <v>-0.848948699999999</v>
      </c>
      <c r="S5654">
        <v>-1.3194889999999999</v>
      </c>
      <c r="T5654">
        <v>-0.14842549999999999</v>
      </c>
      <c r="U5654">
        <v>-2.7957000000000001</v>
      </c>
      <c r="V5654">
        <v>-0.16945879999999999</v>
      </c>
      <c r="W5654">
        <v>0.1906659</v>
      </c>
      <c r="X5654">
        <v>0.9669179</v>
      </c>
      <c r="Y5654">
        <v>-0.25567289999999998</v>
      </c>
      <c r="Z5654">
        <v>2.009476E-2</v>
      </c>
      <c r="AA5654">
        <v>0.96655449999999998</v>
      </c>
      <c r="AB5654">
        <v>28</v>
      </c>
      <c r="AC5654">
        <v>-9.7649000000000097</v>
      </c>
      <c r="AD5654">
        <v>-1.1179351771799999</v>
      </c>
      <c r="AE5654">
        <v>-20.84</v>
      </c>
      <c r="AF5654">
        <v>-5.9328923989525899</v>
      </c>
      <c r="AG5654">
        <v>-1.1179351771799999</v>
      </c>
      <c r="AH5654">
        <v>22.180372423106299</v>
      </c>
      <c r="AI5654">
        <v>92.787544645214098</v>
      </c>
      <c r="AJ5654">
        <v>104.975123359459</v>
      </c>
      <c r="AK5654">
        <v>22.9873424324262</v>
      </c>
      <c r="AL5654">
        <v>79.008352072410702</v>
      </c>
      <c r="AM5654">
        <v>99.940513349908002</v>
      </c>
      <c r="AN5654">
        <v>0.99999999783033</v>
      </c>
    </row>
    <row r="5655" spans="1:40" x14ac:dyDescent="0.25">
      <c r="A5655" t="str">
        <f>"20190304154910649"</f>
        <v>20190304154910649</v>
      </c>
      <c r="B5655" t="str">
        <f>"1551685750642549"</f>
        <v>1551685750642549</v>
      </c>
      <c r="C5655" t="s">
        <v>40</v>
      </c>
      <c r="D5655">
        <v>4.1772850000000004</v>
      </c>
      <c r="E5655">
        <v>0.46478059999999899</v>
      </c>
      <c r="F5655" t="s">
        <v>44</v>
      </c>
      <c r="G5655">
        <v>-422.56479999999999</v>
      </c>
      <c r="H5655" s="1">
        <v>-4.3641829999999998E-6</v>
      </c>
      <c r="I5655">
        <v>107.46599999999999</v>
      </c>
      <c r="J5655">
        <v>-413.4101</v>
      </c>
      <c r="K5655">
        <v>1.1178939999999999</v>
      </c>
      <c r="L5655">
        <v>127.3969</v>
      </c>
      <c r="M5655">
        <v>-0.63667940000000001</v>
      </c>
      <c r="N5655">
        <v>-1.483459E-2</v>
      </c>
      <c r="O5655">
        <v>-0.77098599999999995</v>
      </c>
      <c r="P5655">
        <v>-0.48906100000000002</v>
      </c>
      <c r="Q5655">
        <v>0.1790167</v>
      </c>
      <c r="R5655">
        <v>-0.85368159999999904</v>
      </c>
      <c r="S5655">
        <v>-1.298737</v>
      </c>
      <c r="T5655">
        <v>-0.15567420000000001</v>
      </c>
      <c r="U5655">
        <v>-2.805984</v>
      </c>
      <c r="V5655">
        <v>-0.1697196</v>
      </c>
      <c r="W5655">
        <v>0.19054560000000001</v>
      </c>
      <c r="X5655">
        <v>0.96689590000000003</v>
      </c>
      <c r="Y5655">
        <v>-0.25396069999999998</v>
      </c>
      <c r="Z5655">
        <v>2.1996700000000001E-2</v>
      </c>
      <c r="AA5655">
        <v>0.96696439999999995</v>
      </c>
      <c r="AB5655">
        <v>28</v>
      </c>
      <c r="AC5655">
        <v>-9.1546999999999894</v>
      </c>
      <c r="AD5655">
        <v>-1.117898364183</v>
      </c>
      <c r="AE5655">
        <v>-19.930899999999902</v>
      </c>
      <c r="AF5655">
        <v>-5.6174738945809803</v>
      </c>
      <c r="AG5655">
        <v>-1.117898364183</v>
      </c>
      <c r="AH5655">
        <v>21.142459800306298</v>
      </c>
      <c r="AI5655">
        <v>92.925360010695201</v>
      </c>
      <c r="AJ5655">
        <v>104.879499281842</v>
      </c>
      <c r="AK5655">
        <v>21.904550123581799</v>
      </c>
      <c r="AL5655">
        <v>79.015373781224497</v>
      </c>
      <c r="AM5655">
        <v>99.955728116803201</v>
      </c>
      <c r="AN5655">
        <v>1.0000000248701599</v>
      </c>
    </row>
    <row r="5656" spans="1:40" x14ac:dyDescent="0.25">
      <c r="A5656" t="str">
        <f>"20190304154910670"</f>
        <v>20190304154910670</v>
      </c>
      <c r="B5656" t="str">
        <f>"1551685750663045"</f>
        <v>1551685750663045</v>
      </c>
      <c r="C5656" t="s">
        <v>40</v>
      </c>
      <c r="D5656">
        <v>4.1323930000000004</v>
      </c>
      <c r="E5656">
        <v>0.46548410000000001</v>
      </c>
      <c r="F5656" t="s">
        <v>44</v>
      </c>
      <c r="G5656">
        <v>-420.84019999999998</v>
      </c>
      <c r="H5656" s="1">
        <v>-9.9338430000000011E-7</v>
      </c>
      <c r="I5656">
        <v>111.3836</v>
      </c>
      <c r="J5656">
        <v>-413.57859999999999</v>
      </c>
      <c r="K5656">
        <v>1.1178589999999999</v>
      </c>
      <c r="L5656">
        <v>127.17749999999999</v>
      </c>
      <c r="M5656">
        <v>-0.62957769999999902</v>
      </c>
      <c r="N5656">
        <v>-1.482755E-2</v>
      </c>
      <c r="O5656">
        <v>-0.77679619999999905</v>
      </c>
      <c r="P5656">
        <v>-0.4808789</v>
      </c>
      <c r="Q5656">
        <v>0.1795263</v>
      </c>
      <c r="R5656">
        <v>-0.85821119999999995</v>
      </c>
      <c r="S5656">
        <v>-1.303223</v>
      </c>
      <c r="T5656">
        <v>-0.19607479999999999</v>
      </c>
      <c r="U5656">
        <v>-2.8086700000000002</v>
      </c>
      <c r="V5656">
        <v>-0.1700132</v>
      </c>
      <c r="W5656">
        <v>0.19105630000000001</v>
      </c>
      <c r="X5656">
        <v>0.96674349999999998</v>
      </c>
      <c r="Y5656">
        <v>-0.24426290000000001</v>
      </c>
      <c r="Z5656">
        <v>3.1515799999999997E-2</v>
      </c>
      <c r="AA5656">
        <v>0.96919670000000002</v>
      </c>
      <c r="AB5656">
        <v>28</v>
      </c>
      <c r="AC5656">
        <v>-7.2615999999999801</v>
      </c>
      <c r="AD5656">
        <v>-1.1178599933843001</v>
      </c>
      <c r="AE5656">
        <v>-15.793899999999899</v>
      </c>
      <c r="AF5656">
        <v>-4.2854545925906304</v>
      </c>
      <c r="AG5656">
        <v>-1.1178599933843001</v>
      </c>
      <c r="AH5656">
        <v>16.7728705490801</v>
      </c>
      <c r="AI5656">
        <v>93.694607205019295</v>
      </c>
      <c r="AJ5656">
        <v>104.332403063789</v>
      </c>
      <c r="AK5656">
        <v>17.347735255247699</v>
      </c>
      <c r="AL5656">
        <v>78.985564888289503</v>
      </c>
      <c r="AM5656">
        <v>99.974145744781794</v>
      </c>
      <c r="AN5656">
        <v>0.99999999636809001</v>
      </c>
    </row>
    <row r="5657" spans="1:40" x14ac:dyDescent="0.25">
      <c r="A5657" t="str">
        <f>"20190304154910693"</f>
        <v>20190304154910693</v>
      </c>
      <c r="B5657" t="str">
        <f>"1551685750682564"</f>
        <v>1551685750682564</v>
      </c>
      <c r="C5657" t="s">
        <v>40</v>
      </c>
      <c r="D5657">
        <v>4.1749219999999996</v>
      </c>
      <c r="E5657">
        <v>0.46613789999999999</v>
      </c>
      <c r="F5657" t="s">
        <v>44</v>
      </c>
      <c r="G5657">
        <v>-421.01819999999998</v>
      </c>
      <c r="H5657" s="1">
        <v>-7.9991439999999999E-7</v>
      </c>
      <c r="I5657">
        <v>110.8222</v>
      </c>
      <c r="J5657">
        <v>-413.73779999999999</v>
      </c>
      <c r="K5657">
        <v>1.1178330000000001</v>
      </c>
      <c r="L5657">
        <v>126.96599999999999</v>
      </c>
      <c r="M5657">
        <v>-0.62275269999999905</v>
      </c>
      <c r="N5657">
        <v>-1.4820430000000001E-2</v>
      </c>
      <c r="O5657">
        <v>-0.78227869999999899</v>
      </c>
      <c r="P5657">
        <v>-0.47335929999999998</v>
      </c>
      <c r="Q5657">
        <v>0.18047879999999999</v>
      </c>
      <c r="R5657">
        <v>-0.86218289999999997</v>
      </c>
      <c r="S5657">
        <v>-1.2817379999999901</v>
      </c>
      <c r="T5657">
        <v>-0.19259019999999999</v>
      </c>
      <c r="U5657">
        <v>-2.8177639999999999</v>
      </c>
      <c r="V5657">
        <v>-0.16987369999999999</v>
      </c>
      <c r="W5657">
        <v>0.1920171</v>
      </c>
      <c r="X5657">
        <v>0.96657760000000004</v>
      </c>
      <c r="Y5657">
        <v>-0.24306839999999999</v>
      </c>
      <c r="Z5657">
        <v>3.1102790000000002E-2</v>
      </c>
      <c r="AA5657">
        <v>0.96951039999999999</v>
      </c>
      <c r="AB5657">
        <v>28</v>
      </c>
      <c r="AC5657">
        <v>-7.2803999999999798</v>
      </c>
      <c r="AD5657">
        <v>-1.1178337999143999</v>
      </c>
      <c r="AE5657">
        <v>-16.143799999999999</v>
      </c>
      <c r="AF5657">
        <v>-4.3414734206052596</v>
      </c>
      <c r="AG5657">
        <v>-1.1178337999143999</v>
      </c>
      <c r="AH5657">
        <v>17.096603838254801</v>
      </c>
      <c r="AI5657">
        <v>93.626101897058305</v>
      </c>
      <c r="AJ5657">
        <v>104.248391809997</v>
      </c>
      <c r="AK5657">
        <v>17.674609095204399</v>
      </c>
      <c r="AL5657">
        <v>78.929476118333596</v>
      </c>
      <c r="AM5657">
        <v>99.967802106545406</v>
      </c>
      <c r="AN5657">
        <v>0.99999994873292797</v>
      </c>
    </row>
    <row r="5658" spans="1:40" x14ac:dyDescent="0.25">
      <c r="A5658" t="str">
        <f>"20190304154910714"</f>
        <v>20190304154910714</v>
      </c>
      <c r="B5658" t="str">
        <f>"1551685750712849"</f>
        <v>1551685750712849</v>
      </c>
      <c r="C5658" t="s">
        <v>40</v>
      </c>
      <c r="D5658">
        <v>4.1833720000000003</v>
      </c>
      <c r="E5658">
        <v>0.46294790000000002</v>
      </c>
      <c r="F5658" t="s">
        <v>44</v>
      </c>
      <c r="G5658">
        <v>-421.22969999999998</v>
      </c>
      <c r="H5658" s="1">
        <v>-5.7396609999999998E-7</v>
      </c>
      <c r="I5658">
        <v>110.1644</v>
      </c>
      <c r="J5658">
        <v>-413.9</v>
      </c>
      <c r="K5658">
        <v>1.117796</v>
      </c>
      <c r="L5658">
        <v>126.7466</v>
      </c>
      <c r="M5658">
        <v>-0.61568519999999904</v>
      </c>
      <c r="N5658">
        <v>-1.4812870000000001E-2</v>
      </c>
      <c r="O5658">
        <v>-0.78785329999999998</v>
      </c>
      <c r="P5658">
        <v>-0.46590880000000001</v>
      </c>
      <c r="Q5658">
        <v>0.17955380000000001</v>
      </c>
      <c r="R5658">
        <v>-0.86642389999999903</v>
      </c>
      <c r="S5658">
        <v>-1.2604979999999999</v>
      </c>
      <c r="T5658">
        <v>-0.18807380000000001</v>
      </c>
      <c r="U5658">
        <v>-2.8268589999999998</v>
      </c>
      <c r="V5658">
        <v>-0.16958999999999999</v>
      </c>
      <c r="W5658">
        <v>0.19110830000000001</v>
      </c>
      <c r="X5658">
        <v>0.96680750000000004</v>
      </c>
      <c r="Y5658">
        <v>-0.24156420000000001</v>
      </c>
      <c r="Z5658">
        <v>3.0447849999999999E-2</v>
      </c>
      <c r="AA5658">
        <v>0.96990699999999996</v>
      </c>
      <c r="AB5658">
        <v>28</v>
      </c>
      <c r="AC5658">
        <v>-7.3296999999999999</v>
      </c>
      <c r="AD5658">
        <v>-1.1177965739661</v>
      </c>
      <c r="AE5658">
        <v>-16.5822</v>
      </c>
      <c r="AF5658">
        <v>-4.4183766284402299</v>
      </c>
      <c r="AG5658">
        <v>-1.1177965739661</v>
      </c>
      <c r="AH5658">
        <v>17.512482563618502</v>
      </c>
      <c r="AI5658">
        <v>93.541471913430499</v>
      </c>
      <c r="AJ5658">
        <v>104.16013480842901</v>
      </c>
      <c r="AK5658">
        <v>18.0958162775974</v>
      </c>
      <c r="AL5658">
        <v>78.982529020029801</v>
      </c>
      <c r="AM5658">
        <v>99.949169176032498</v>
      </c>
      <c r="AN5658">
        <v>0.99999994624256805</v>
      </c>
    </row>
    <row r="5659" spans="1:40" x14ac:dyDescent="0.25">
      <c r="A5659" t="str">
        <f>"20190304154910760"</f>
        <v>20190304154910760</v>
      </c>
      <c r="B5659" t="str">
        <f>"1551685750752864"</f>
        <v>1551685750752864</v>
      </c>
      <c r="C5659" t="s">
        <v>40</v>
      </c>
      <c r="D5659">
        <v>4.1129579999999999</v>
      </c>
      <c r="E5659">
        <v>0.43079780000000001</v>
      </c>
      <c r="F5659" t="s">
        <v>44</v>
      </c>
      <c r="G5659">
        <v>-421.0369</v>
      </c>
      <c r="H5659" s="1">
        <v>-4.4395320000000002E-7</v>
      </c>
      <c r="I5659">
        <v>109.9808</v>
      </c>
      <c r="J5659">
        <v>-414.22230000000002</v>
      </c>
      <c r="K5659">
        <v>1.1177330000000001</v>
      </c>
      <c r="L5659">
        <v>126.29810000000001</v>
      </c>
      <c r="M5659">
        <v>-0.60127359999999996</v>
      </c>
      <c r="N5659">
        <v>-1.4798169999999999E-2</v>
      </c>
      <c r="O5659">
        <v>-0.79890609999999995</v>
      </c>
      <c r="P5659">
        <v>-0.44962479999999999</v>
      </c>
      <c r="Q5659">
        <v>0.17868049999999999</v>
      </c>
      <c r="R5659">
        <v>-0.87516309999999997</v>
      </c>
      <c r="S5659">
        <v>-1.2130129999999999</v>
      </c>
      <c r="T5659">
        <v>-0.18998409999999999</v>
      </c>
      <c r="U5659">
        <v>-2.849564</v>
      </c>
      <c r="V5659">
        <v>-0.1701725</v>
      </c>
      <c r="W5659">
        <v>0.19023809999999999</v>
      </c>
      <c r="X5659">
        <v>0.96687679999999998</v>
      </c>
      <c r="Y5659">
        <v>-0.2404298</v>
      </c>
      <c r="Z5659">
        <v>3.1547260000000001E-2</v>
      </c>
      <c r="AA5659">
        <v>0.97015370000000001</v>
      </c>
      <c r="AB5659">
        <v>28</v>
      </c>
      <c r="AC5659">
        <v>-6.81459999999998</v>
      </c>
      <c r="AD5659">
        <v>-1.1177334439532001</v>
      </c>
      <c r="AE5659">
        <v>-16.317299999999999</v>
      </c>
      <c r="AF5659">
        <v>-4.35003463549132</v>
      </c>
      <c r="AG5659">
        <v>-1.1177334439532001</v>
      </c>
      <c r="AH5659">
        <v>17.067117221936801</v>
      </c>
      <c r="AI5659">
        <v>93.631210875294101</v>
      </c>
      <c r="AJ5659">
        <v>104.29899443968201</v>
      </c>
      <c r="AK5659">
        <v>17.648190265549498</v>
      </c>
      <c r="AL5659">
        <v>79.033320017886297</v>
      </c>
      <c r="AM5659">
        <v>99.981954774026903</v>
      </c>
      <c r="AN5659">
        <v>0.99999998041304905</v>
      </c>
    </row>
    <row r="5660" spans="1:40" x14ac:dyDescent="0.25">
      <c r="A5660" t="str">
        <f>"20190304154910782"</f>
        <v>20190304154910782</v>
      </c>
      <c r="B5660" t="str">
        <f>"1551685750772384"</f>
        <v>1551685750772384</v>
      </c>
      <c r="C5660" t="s">
        <v>40</v>
      </c>
      <c r="D5660">
        <v>4.0979380000000001</v>
      </c>
      <c r="E5660">
        <v>0.43113430000000003</v>
      </c>
      <c r="F5660" t="s">
        <v>44</v>
      </c>
      <c r="G5660">
        <v>-425.3725</v>
      </c>
      <c r="H5660" s="1">
        <v>-1.7298309999999999E-6</v>
      </c>
      <c r="I5660">
        <v>90.289240000000007</v>
      </c>
      <c r="J5660">
        <v>-414.37759999999997</v>
      </c>
      <c r="K5660">
        <v>1.117707</v>
      </c>
      <c r="L5660">
        <v>126.0758</v>
      </c>
      <c r="M5660">
        <v>-0.59414389999999995</v>
      </c>
      <c r="N5660">
        <v>-1.479142E-2</v>
      </c>
      <c r="O5660">
        <v>-0.80422289999999996</v>
      </c>
      <c r="P5660">
        <v>-0.44143159999999998</v>
      </c>
      <c r="Q5660">
        <v>0.17834359999999999</v>
      </c>
      <c r="R5660">
        <v>-0.87939279999999997</v>
      </c>
      <c r="S5660">
        <v>-0.92080689999999998</v>
      </c>
      <c r="T5660">
        <v>-9.2305180000000001E-2</v>
      </c>
      <c r="U5660">
        <v>-2.9736940000000001</v>
      </c>
      <c r="V5660">
        <v>-0.17062659999999999</v>
      </c>
      <c r="W5660">
        <v>0.18989819999999999</v>
      </c>
      <c r="X5660">
        <v>0.96686360000000005</v>
      </c>
      <c r="Y5660">
        <v>-0.32959349999999998</v>
      </c>
      <c r="Z5660">
        <v>7.4689939999999996E-3</v>
      </c>
      <c r="AA5660">
        <v>0.94409339999999997</v>
      </c>
      <c r="AB5660">
        <v>28</v>
      </c>
      <c r="AC5660">
        <v>-10.994899999999999</v>
      </c>
      <c r="AD5660">
        <v>-1.117708729831</v>
      </c>
      <c r="AE5660">
        <v>-35.786559999999902</v>
      </c>
      <c r="AF5660">
        <v>-12.410311584420199</v>
      </c>
      <c r="AG5660">
        <v>-1.117708729831</v>
      </c>
      <c r="AH5660">
        <v>35.285332080480202</v>
      </c>
      <c r="AI5660">
        <v>91.711599936631899</v>
      </c>
      <c r="AJ5660">
        <v>109.377438438599</v>
      </c>
      <c r="AK5660">
        <v>37.420846682790298</v>
      </c>
      <c r="AL5660">
        <v>79.053156582629498</v>
      </c>
      <c r="AM5660">
        <v>100.008187368376</v>
      </c>
      <c r="AN5660">
        <v>0.99999999199788003</v>
      </c>
    </row>
    <row r="5661" spans="1:40" x14ac:dyDescent="0.25">
      <c r="A5661" t="str">
        <f>"20190304154910804"</f>
        <v>20190304154910804</v>
      </c>
      <c r="B5661" t="str">
        <f>"1551685750802640"</f>
        <v>1551685750802640</v>
      </c>
      <c r="C5661" t="s">
        <v>40</v>
      </c>
      <c r="D5661">
        <v>4.0964549999999997</v>
      </c>
      <c r="E5661">
        <v>0.43235780000000001</v>
      </c>
      <c r="F5661" t="s">
        <v>44</v>
      </c>
      <c r="G5661">
        <v>-425.82830000000001</v>
      </c>
      <c r="H5661" s="1">
        <v>-4.7601880000000003E-6</v>
      </c>
      <c r="I5661">
        <v>87.93683</v>
      </c>
      <c r="J5661">
        <v>-414.53089999999997</v>
      </c>
      <c r="K5661">
        <v>1.1176870000000001</v>
      </c>
      <c r="L5661">
        <v>125.8522</v>
      </c>
      <c r="M5661">
        <v>-0.58697259999999996</v>
      </c>
      <c r="N5661">
        <v>-1.478484E-2</v>
      </c>
      <c r="O5661">
        <v>-0.80947190000000002</v>
      </c>
      <c r="P5661">
        <v>-0.43358540000000001</v>
      </c>
      <c r="Q5661">
        <v>0.17752699999999999</v>
      </c>
      <c r="R5661">
        <v>-0.88345239999999903</v>
      </c>
      <c r="S5661">
        <v>-0.89471440000000002</v>
      </c>
      <c r="T5661">
        <v>-8.7333919999999995E-2</v>
      </c>
      <c r="U5661">
        <v>-2.9800420000000001</v>
      </c>
      <c r="V5661">
        <v>-0.1707119</v>
      </c>
      <c r="W5661">
        <v>0.1890859</v>
      </c>
      <c r="X5661">
        <v>0.96700779999999997</v>
      </c>
      <c r="Y5661">
        <v>-0.32933780000000001</v>
      </c>
      <c r="Z5661">
        <v>6.4872810000000001E-3</v>
      </c>
      <c r="AA5661">
        <v>0.94418979999999997</v>
      </c>
      <c r="AB5661">
        <v>28</v>
      </c>
      <c r="AC5661">
        <v>-11.2974</v>
      </c>
      <c r="AD5661">
        <v>-1.1176917601880001</v>
      </c>
      <c r="AE5661">
        <v>-37.915370000000003</v>
      </c>
      <c r="AF5661">
        <v>-13.101330879854</v>
      </c>
      <c r="AG5661">
        <v>-1.1176917601880001</v>
      </c>
      <c r="AH5661">
        <v>37.2969995629579</v>
      </c>
      <c r="AI5661">
        <v>91.619532453708402</v>
      </c>
      <c r="AJ5661">
        <v>109.354864085743</v>
      </c>
      <c r="AK5661">
        <v>39.546937708165103</v>
      </c>
      <c r="AL5661">
        <v>79.100557456177398</v>
      </c>
      <c r="AM5661">
        <v>100.011626514792</v>
      </c>
      <c r="AN5661">
        <v>1.0000000578206201</v>
      </c>
    </row>
    <row r="5662" spans="1:40" x14ac:dyDescent="0.25">
      <c r="A5662" t="str">
        <f>"20190304154910827"</f>
        <v>20190304154910827</v>
      </c>
      <c r="B5662" t="str">
        <f>"1551685750822829"</f>
        <v>1551685750822829</v>
      </c>
      <c r="C5662" t="s">
        <v>40</v>
      </c>
      <c r="D5662">
        <v>4.1418299999999997</v>
      </c>
      <c r="E5662">
        <v>0.43341780000000002</v>
      </c>
      <c r="F5662" t="s">
        <v>44</v>
      </c>
      <c r="G5662">
        <v>-425.82100000000003</v>
      </c>
      <c r="H5662" s="1">
        <v>-4.5753650000000004E-6</v>
      </c>
      <c r="I5662">
        <v>87.397490000000005</v>
      </c>
      <c r="J5662">
        <v>-414.68770000000001</v>
      </c>
      <c r="K5662">
        <v>1.117661</v>
      </c>
      <c r="L5662">
        <v>125.6191</v>
      </c>
      <c r="M5662">
        <v>-0.5794994</v>
      </c>
      <c r="N5662">
        <v>-1.477816E-2</v>
      </c>
      <c r="O5662">
        <v>-0.81483870000000003</v>
      </c>
      <c r="P5662">
        <v>-0.42569309999999999</v>
      </c>
      <c r="Q5662">
        <v>0.17712710000000001</v>
      </c>
      <c r="R5662">
        <v>-0.88736209999999904</v>
      </c>
      <c r="S5662">
        <v>-0.87588500000000002</v>
      </c>
      <c r="T5662">
        <v>-8.6710209999999996E-2</v>
      </c>
      <c r="U5662">
        <v>-2.9833069999999999</v>
      </c>
      <c r="V5662">
        <v>-0.17046159999999999</v>
      </c>
      <c r="W5662">
        <v>0.18869540000000001</v>
      </c>
      <c r="X5662">
        <v>0.96712819999999999</v>
      </c>
      <c r="Y5662">
        <v>-0.32641189999999998</v>
      </c>
      <c r="Z5662">
        <v>6.5289889999999998E-3</v>
      </c>
      <c r="AA5662">
        <v>0.94520510000000002</v>
      </c>
      <c r="AB5662">
        <v>28</v>
      </c>
      <c r="AC5662">
        <v>-11.133299999999901</v>
      </c>
      <c r="AD5662">
        <v>-1.117665575365</v>
      </c>
      <c r="AE5662">
        <v>-38.221609999999998</v>
      </c>
      <c r="AF5662">
        <v>-13.0686834940848</v>
      </c>
      <c r="AG5662">
        <v>-1.117665575365</v>
      </c>
      <c r="AH5662">
        <v>37.570679387621297</v>
      </c>
      <c r="AI5662">
        <v>91.609420301664699</v>
      </c>
      <c r="AJ5662">
        <v>109.17985297917301</v>
      </c>
      <c r="AK5662">
        <v>39.794416872902602</v>
      </c>
      <c r="AL5662">
        <v>79.123341342757698</v>
      </c>
      <c r="AM5662">
        <v>99.996024200794906</v>
      </c>
      <c r="AN5662">
        <v>1.0000000331454699</v>
      </c>
    </row>
    <row r="5663" spans="1:40" x14ac:dyDescent="0.25">
      <c r="A5663" t="str">
        <f>"20190304154910850"</f>
        <v>20190304154910850</v>
      </c>
      <c r="B5663" t="str">
        <f>"1551685750842349"</f>
        <v>1551685750842349</v>
      </c>
      <c r="C5663" t="s">
        <v>40</v>
      </c>
      <c r="D5663">
        <v>4.1160329999999998</v>
      </c>
      <c r="E5663">
        <v>0.43458590000000002</v>
      </c>
      <c r="F5663" t="s">
        <v>44</v>
      </c>
      <c r="G5663">
        <v>-425.44220000000001</v>
      </c>
      <c r="H5663" s="1">
        <v>-4.7584790000000003E-6</v>
      </c>
      <c r="I5663">
        <v>88.133039999999994</v>
      </c>
      <c r="J5663">
        <v>-414.83640000000003</v>
      </c>
      <c r="K5663">
        <v>1.1176410000000001</v>
      </c>
      <c r="L5663">
        <v>125.39360000000001</v>
      </c>
      <c r="M5663">
        <v>-0.57226690000000002</v>
      </c>
      <c r="N5663">
        <v>-1.4771970000000001E-2</v>
      </c>
      <c r="O5663">
        <v>-0.81993439999999995</v>
      </c>
      <c r="P5663">
        <v>-0.41810570000000002</v>
      </c>
      <c r="Q5663">
        <v>0.17725079999999999</v>
      </c>
      <c r="R5663">
        <v>-0.89093770000000005</v>
      </c>
      <c r="S5663">
        <v>-0.85708619999999902</v>
      </c>
      <c r="T5663">
        <v>-8.9072470000000001E-2</v>
      </c>
      <c r="U5663">
        <v>-2.987457</v>
      </c>
      <c r="V5663">
        <v>-0.17013349999999999</v>
      </c>
      <c r="W5663">
        <v>0.18882840000000001</v>
      </c>
      <c r="X5663">
        <v>0.96716000000000002</v>
      </c>
      <c r="Y5663">
        <v>-0.32388879999999998</v>
      </c>
      <c r="Z5663">
        <v>7.24529699999999E-3</v>
      </c>
      <c r="AA5663">
        <v>0.9460674</v>
      </c>
      <c r="AB5663">
        <v>28</v>
      </c>
      <c r="AC5663">
        <v>-10.605799999999901</v>
      </c>
      <c r="AD5663">
        <v>-1.1176457584789901</v>
      </c>
      <c r="AE5663">
        <v>-37.260559999999998</v>
      </c>
      <c r="AF5663">
        <v>-12.6178008624925</v>
      </c>
      <c r="AG5663">
        <v>-1.1176457584789901</v>
      </c>
      <c r="AH5663">
        <v>36.594101682357298</v>
      </c>
      <c r="AI5663">
        <v>91.653870060008103</v>
      </c>
      <c r="AJ5663">
        <v>109.024409761814</v>
      </c>
      <c r="AK5663">
        <v>38.724492360593501</v>
      </c>
      <c r="AL5663">
        <v>79.115581349367503</v>
      </c>
      <c r="AM5663">
        <v>99.976849611841899</v>
      </c>
      <c r="AN5663">
        <v>1.0000000190344001</v>
      </c>
    </row>
    <row r="5664" spans="1:40" x14ac:dyDescent="0.25">
      <c r="A5664" t="str">
        <f>"20190304154910872"</f>
        <v>20190304154910872</v>
      </c>
      <c r="B5664" t="str">
        <f>"1551685750862846"</f>
        <v>1551685750862846</v>
      </c>
      <c r="C5664" t="s">
        <v>40</v>
      </c>
      <c r="D5664">
        <v>4.1006010000000002</v>
      </c>
      <c r="E5664">
        <v>0.43559320000000001</v>
      </c>
      <c r="F5664" t="s">
        <v>44</v>
      </c>
      <c r="G5664">
        <v>-425.1551</v>
      </c>
      <c r="H5664" s="1">
        <v>-4.8865319999999998E-6</v>
      </c>
      <c r="I5664">
        <v>88.659009999999995</v>
      </c>
      <c r="J5664">
        <v>-414.98099999999999</v>
      </c>
      <c r="K5664">
        <v>1.1176200000000001</v>
      </c>
      <c r="L5664">
        <v>125.17010000000001</v>
      </c>
      <c r="M5664">
        <v>-0.56510039999999995</v>
      </c>
      <c r="N5664">
        <v>-1.476596E-2</v>
      </c>
      <c r="O5664">
        <v>-0.82489009999999996</v>
      </c>
      <c r="P5664">
        <v>-0.4111551</v>
      </c>
      <c r="Q5664">
        <v>0.17713599999999999</v>
      </c>
      <c r="R5664">
        <v>-0.89418940000000002</v>
      </c>
      <c r="S5664">
        <v>-0.84017940000000002</v>
      </c>
      <c r="T5664">
        <v>-9.1002700000000006E-2</v>
      </c>
      <c r="U5664">
        <v>-2.9910580000000002</v>
      </c>
      <c r="V5664">
        <v>-0.16923489999999999</v>
      </c>
      <c r="W5664">
        <v>0.1887337</v>
      </c>
      <c r="X5664">
        <v>0.96733610000000003</v>
      </c>
      <c r="Y5664">
        <v>-0.3208955</v>
      </c>
      <c r="Z5664">
        <v>7.8733680000000004E-3</v>
      </c>
      <c r="AA5664">
        <v>0.94708190000000003</v>
      </c>
      <c r="AB5664">
        <v>28</v>
      </c>
      <c r="AC5664">
        <v>-10.174099999999999</v>
      </c>
      <c r="AD5664">
        <v>-1.117624886532</v>
      </c>
      <c r="AE5664">
        <v>-36.511090000000003</v>
      </c>
      <c r="AF5664">
        <v>-12.2306163123092</v>
      </c>
      <c r="AG5664">
        <v>-1.117624886532</v>
      </c>
      <c r="AH5664">
        <v>35.8397699779836</v>
      </c>
      <c r="AI5664">
        <v>91.690465861201602</v>
      </c>
      <c r="AJ5664">
        <v>108.842629276552</v>
      </c>
      <c r="AK5664">
        <v>37.885698790449801</v>
      </c>
      <c r="AL5664">
        <v>79.121106350403096</v>
      </c>
      <c r="AM5664">
        <v>99.923434171994899</v>
      </c>
      <c r="AN5664">
        <v>0.99999999562845499</v>
      </c>
    </row>
    <row r="5665" spans="1:40" x14ac:dyDescent="0.25">
      <c r="A5665" t="str">
        <f>"20190304154910894"</f>
        <v>20190304154910894</v>
      </c>
      <c r="B5665" t="str">
        <f>"1551685750882365"</f>
        <v>1551685750882365</v>
      </c>
      <c r="C5665" t="s">
        <v>40</v>
      </c>
      <c r="D5665">
        <v>4.097836</v>
      </c>
      <c r="E5665">
        <v>0.43636330000000001</v>
      </c>
      <c r="F5665" t="s">
        <v>44</v>
      </c>
      <c r="G5665">
        <v>-424.58499999999998</v>
      </c>
      <c r="H5665" s="1">
        <v>-1.5146329999999999E-6</v>
      </c>
      <c r="I5665">
        <v>90.276020000000003</v>
      </c>
      <c r="J5665">
        <v>-415.12400000000002</v>
      </c>
      <c r="K5665">
        <v>1.11759599999999</v>
      </c>
      <c r="L5665">
        <v>124.94450000000001</v>
      </c>
      <c r="M5665">
        <v>-0.55787249999999999</v>
      </c>
      <c r="N5665">
        <v>-1.475979E-2</v>
      </c>
      <c r="O5665">
        <v>-0.82979539999999996</v>
      </c>
      <c r="P5665">
        <v>-0.40402949999999999</v>
      </c>
      <c r="Q5665">
        <v>0.17713099999999901</v>
      </c>
      <c r="R5665">
        <v>-0.89743209999999995</v>
      </c>
      <c r="S5665">
        <v>-0.82431030000000005</v>
      </c>
      <c r="T5665">
        <v>-9.5925570000000002E-2</v>
      </c>
      <c r="U5665">
        <v>-2.9949650000000001</v>
      </c>
      <c r="V5665">
        <v>-0.16846549999999999</v>
      </c>
      <c r="W5665">
        <v>0.18874730000000001</v>
      </c>
      <c r="X5665">
        <v>0.96746770000000004</v>
      </c>
      <c r="Y5665">
        <v>-0.31759999999999999</v>
      </c>
      <c r="Z5665">
        <v>9.2200649999999995E-3</v>
      </c>
      <c r="AA5665">
        <v>0.94818000000000002</v>
      </c>
      <c r="AB5665">
        <v>27</v>
      </c>
      <c r="AC5665">
        <v>-9.4609999999999506</v>
      </c>
      <c r="AD5665">
        <v>-1.11759751463299</v>
      </c>
      <c r="AE5665">
        <v>-34.668480000000002</v>
      </c>
      <c r="AF5665">
        <v>-11.480045952813599</v>
      </c>
      <c r="AG5665">
        <v>-1.11759751463299</v>
      </c>
      <c r="AH5665">
        <v>34.016586284220402</v>
      </c>
      <c r="AI5665">
        <v>91.783014689244695</v>
      </c>
      <c r="AJ5665">
        <v>108.648704189288</v>
      </c>
      <c r="AK5665">
        <v>35.918917323817503</v>
      </c>
      <c r="AL5665">
        <v>79.120312465846894</v>
      </c>
      <c r="AM5665">
        <v>99.877892339586595</v>
      </c>
      <c r="AN5665">
        <v>0.99999995924541396</v>
      </c>
    </row>
    <row r="5666" spans="1:40" x14ac:dyDescent="0.25">
      <c r="A5666" t="str">
        <f>"20190304154910916"</f>
        <v>20190304154910916</v>
      </c>
      <c r="B5666" t="str">
        <f>"1551685750912498"</f>
        <v>1551685750912498</v>
      </c>
      <c r="C5666" t="s">
        <v>40</v>
      </c>
      <c r="D5666">
        <v>4.1296460000000002</v>
      </c>
      <c r="E5666">
        <v>0.43743090000000001</v>
      </c>
      <c r="F5666" t="s">
        <v>44</v>
      </c>
      <c r="G5666">
        <v>-424.13529999999997</v>
      </c>
      <c r="H5666" s="1">
        <v>-1.891637E-6</v>
      </c>
      <c r="I5666">
        <v>91.433729999999997</v>
      </c>
      <c r="J5666">
        <v>-415.26710000000003</v>
      </c>
      <c r="K5666">
        <v>1.117575</v>
      </c>
      <c r="L5666">
        <v>124.71420000000001</v>
      </c>
      <c r="M5666">
        <v>-0.55049519999999996</v>
      </c>
      <c r="N5666">
        <v>-1.475335E-2</v>
      </c>
      <c r="O5666">
        <v>-0.83470800000000001</v>
      </c>
      <c r="P5666">
        <v>-0.39591349999999997</v>
      </c>
      <c r="Q5666">
        <v>0.17738889999999999</v>
      </c>
      <c r="R5666">
        <v>-0.9009916</v>
      </c>
      <c r="S5666">
        <v>-0.80657959999999995</v>
      </c>
      <c r="T5666">
        <v>-0.10003330000000001</v>
      </c>
      <c r="U5666">
        <v>-2.999466</v>
      </c>
      <c r="V5666">
        <v>-0.16858609999999999</v>
      </c>
      <c r="W5666">
        <v>0.18900629999999999</v>
      </c>
      <c r="X5666">
        <v>0.96739609999999998</v>
      </c>
      <c r="Y5666">
        <v>-0.31477769999999999</v>
      </c>
      <c r="Z5666">
        <v>1.03862E-2</v>
      </c>
      <c r="AA5666">
        <v>0.94910859999999997</v>
      </c>
      <c r="AB5666">
        <v>27</v>
      </c>
      <c r="AC5666">
        <v>-8.8681999999999395</v>
      </c>
      <c r="AD5666">
        <v>-1.1175768916369999</v>
      </c>
      <c r="AE5666">
        <v>-33.280469999999902</v>
      </c>
      <c r="AF5666">
        <v>-10.9080845143678</v>
      </c>
      <c r="AG5666">
        <v>-1.1175768916369999</v>
      </c>
      <c r="AH5666">
        <v>32.630573550897097</v>
      </c>
      <c r="AI5666">
        <v>91.860454673712098</v>
      </c>
      <c r="AJ5666">
        <v>108.4842822463</v>
      </c>
      <c r="AK5666">
        <v>34.423678132091197</v>
      </c>
      <c r="AL5666">
        <v>79.105200587626499</v>
      </c>
      <c r="AM5666">
        <v>99.885541402790693</v>
      </c>
      <c r="AN5666">
        <v>0.99999993442405199</v>
      </c>
    </row>
    <row r="5667" spans="1:40" x14ac:dyDescent="0.25">
      <c r="A5667" t="str">
        <f>"20190304154910939"</f>
        <v>20190304154910939</v>
      </c>
      <c r="B5667" t="str">
        <f>"1551685750932947"</f>
        <v>1551685750932947</v>
      </c>
      <c r="C5667" t="s">
        <v>40</v>
      </c>
      <c r="D5667">
        <v>4.120171</v>
      </c>
      <c r="E5667">
        <v>0.4458068</v>
      </c>
      <c r="F5667" t="s">
        <v>44</v>
      </c>
      <c r="G5667">
        <v>-424.0093</v>
      </c>
      <c r="H5667" s="1">
        <v>-1.8416450000000001E-6</v>
      </c>
      <c r="I5667">
        <v>91.395319999999998</v>
      </c>
      <c r="J5667">
        <v>-415.41019999999997</v>
      </c>
      <c r="K5667">
        <v>1.117543</v>
      </c>
      <c r="L5667">
        <v>124.4796</v>
      </c>
      <c r="M5667">
        <v>-0.542991</v>
      </c>
      <c r="N5667">
        <v>-1.4746510000000001E-2</v>
      </c>
      <c r="O5667">
        <v>-0.8396093</v>
      </c>
      <c r="P5667">
        <v>-0.38769120000000001</v>
      </c>
      <c r="Q5667">
        <v>0.17824100000000001</v>
      </c>
      <c r="R5667">
        <v>-0.9043928</v>
      </c>
      <c r="S5667">
        <v>-0.78799439999999998</v>
      </c>
      <c r="T5667">
        <v>-0.10073459999999999</v>
      </c>
      <c r="U5667">
        <v>-3.00325</v>
      </c>
      <c r="V5667">
        <v>-0.1686339</v>
      </c>
      <c r="W5667">
        <v>0.18986120000000001</v>
      </c>
      <c r="X5667">
        <v>0.96722039999999998</v>
      </c>
      <c r="Y5667">
        <v>-0.31205680000000002</v>
      </c>
      <c r="Z5667">
        <v>1.075095E-2</v>
      </c>
      <c r="AA5667">
        <v>0.95000260000000003</v>
      </c>
      <c r="AB5667">
        <v>27</v>
      </c>
      <c r="AC5667">
        <v>-8.5991000000000195</v>
      </c>
      <c r="AD5667">
        <v>-1.117544841645</v>
      </c>
      <c r="AE5667">
        <v>-33.08428</v>
      </c>
      <c r="AF5667">
        <v>-10.734275131711</v>
      </c>
      <c r="AG5667">
        <v>-1.117544841645</v>
      </c>
      <c r="AH5667">
        <v>32.4159779610169</v>
      </c>
      <c r="AI5667">
        <v>91.874474572026003</v>
      </c>
      <c r="AJ5667">
        <v>108.321849390463</v>
      </c>
      <c r="AK5667">
        <v>34.165321544593901</v>
      </c>
      <c r="AL5667">
        <v>79.055315729141498</v>
      </c>
      <c r="AM5667">
        <v>99.890049766124307</v>
      </c>
      <c r="AN5667">
        <v>0.99999998483540498</v>
      </c>
    </row>
    <row r="5668" spans="1:40" x14ac:dyDescent="0.25">
      <c r="A5668" t="str">
        <f>"20190304154910961"</f>
        <v>20190304154910961</v>
      </c>
      <c r="B5668" t="str">
        <f>"1551685750952468"</f>
        <v>1551685750952468</v>
      </c>
      <c r="C5668" t="s">
        <v>40</v>
      </c>
      <c r="D5668">
        <v>4.1115519999999997</v>
      </c>
      <c r="E5668">
        <v>0.44641170000000002</v>
      </c>
      <c r="F5668" t="s">
        <v>44</v>
      </c>
      <c r="G5668">
        <v>-421.9914</v>
      </c>
      <c r="H5668" s="1">
        <v>-1.0258720000000001E-6</v>
      </c>
      <c r="I5668">
        <v>100.6409</v>
      </c>
      <c r="J5668">
        <v>-415.54809999999998</v>
      </c>
      <c r="K5668">
        <v>1.1175010000000001</v>
      </c>
      <c r="L5668">
        <v>124.2488</v>
      </c>
      <c r="M5668">
        <v>-0.53562690000000002</v>
      </c>
      <c r="N5668">
        <v>-1.4739240000000001E-2</v>
      </c>
      <c r="O5668">
        <v>-0.84432609999999997</v>
      </c>
      <c r="P5668">
        <v>-0.37964969999999998</v>
      </c>
      <c r="Q5668">
        <v>0.1784665</v>
      </c>
      <c r="R5668">
        <v>-0.90775309999999998</v>
      </c>
      <c r="S5668">
        <v>-0.82568359999999996</v>
      </c>
      <c r="T5668">
        <v>-0.1402079</v>
      </c>
      <c r="U5668">
        <v>-2.9908139999999999</v>
      </c>
      <c r="V5668">
        <v>-0.16872219999999999</v>
      </c>
      <c r="W5668">
        <v>0.1900916</v>
      </c>
      <c r="X5668">
        <v>0.96715969999999996</v>
      </c>
      <c r="Y5668">
        <v>-0.29157250000000001</v>
      </c>
      <c r="Z5668">
        <v>2.0904590000000001E-2</v>
      </c>
      <c r="AA5668">
        <v>0.95632030000000001</v>
      </c>
      <c r="AB5668">
        <v>27</v>
      </c>
      <c r="AC5668">
        <v>-6.4433000000000202</v>
      </c>
      <c r="AD5668">
        <v>-1.1175020258720001</v>
      </c>
      <c r="AE5668">
        <v>-23.607900000000001</v>
      </c>
      <c r="AF5668">
        <v>-7.1905678568175597</v>
      </c>
      <c r="AG5668">
        <v>-1.1175020258720001</v>
      </c>
      <c r="AH5668">
        <v>23.3378439578902</v>
      </c>
      <c r="AI5668">
        <v>92.620077326433702</v>
      </c>
      <c r="AJ5668">
        <v>107.124464742101</v>
      </c>
      <c r="AK5668">
        <v>24.446022937978199</v>
      </c>
      <c r="AL5668">
        <v>79.041869431264502</v>
      </c>
      <c r="AM5668">
        <v>99.8957348079268</v>
      </c>
      <c r="AN5668">
        <v>0.99999994123374303</v>
      </c>
    </row>
    <row r="5669" spans="1:40" x14ac:dyDescent="0.25">
      <c r="A5669" t="str">
        <f>"20190304154910983"</f>
        <v>20190304154910983</v>
      </c>
      <c r="B5669" t="str">
        <f>"1551685750972963"</f>
        <v>1551685750972963</v>
      </c>
      <c r="C5669" t="s">
        <v>40</v>
      </c>
      <c r="D5669">
        <v>4.1216299999999997</v>
      </c>
      <c r="E5669">
        <v>0.4470615</v>
      </c>
      <c r="F5669" t="s">
        <v>44</v>
      </c>
      <c r="G5669">
        <v>-422.00650000000002</v>
      </c>
      <c r="H5669" s="1">
        <v>-8.0590419999999997E-7</v>
      </c>
      <c r="I5669">
        <v>100.1671</v>
      </c>
      <c r="J5669">
        <v>-415.6857</v>
      </c>
      <c r="K5669">
        <v>1.1174539999999999</v>
      </c>
      <c r="L5669">
        <v>124.0141</v>
      </c>
      <c r="M5669">
        <v>-0.52816839999999998</v>
      </c>
      <c r="N5669">
        <v>-1.4730790000000001E-2</v>
      </c>
      <c r="O5669">
        <v>-0.84901190000000004</v>
      </c>
      <c r="P5669">
        <v>-0.37158980000000003</v>
      </c>
      <c r="Q5669">
        <v>0.17836959999999999</v>
      </c>
      <c r="R5669">
        <v>-0.9111013</v>
      </c>
      <c r="S5669">
        <v>-0.80352780000000001</v>
      </c>
      <c r="T5669">
        <v>-0.13903550000000001</v>
      </c>
      <c r="U5669">
        <v>-2.9961549999999999</v>
      </c>
      <c r="V5669">
        <v>-0.16876150000000001</v>
      </c>
      <c r="W5669">
        <v>0.19000400000000001</v>
      </c>
      <c r="X5669">
        <v>0.96717010000000003</v>
      </c>
      <c r="Y5669">
        <v>-0.29016960000000003</v>
      </c>
      <c r="Z5669">
        <v>2.0861910000000001E-2</v>
      </c>
      <c r="AA5669">
        <v>0.95674780000000004</v>
      </c>
      <c r="AB5669">
        <v>27</v>
      </c>
      <c r="AC5669">
        <v>-6.32080000000001</v>
      </c>
      <c r="AD5669">
        <v>-1.1174548059042</v>
      </c>
      <c r="AE5669">
        <v>-23.846999999999898</v>
      </c>
      <c r="AF5669">
        <v>-7.2147793660876003</v>
      </c>
      <c r="AG5669">
        <v>-1.1174548059042</v>
      </c>
      <c r="AH5669">
        <v>23.539097999579798</v>
      </c>
      <c r="AI5669">
        <v>92.598767255817506</v>
      </c>
      <c r="AJ5669">
        <v>107.040404100611</v>
      </c>
      <c r="AK5669">
        <v>24.645301401654301</v>
      </c>
      <c r="AL5669">
        <v>79.046982178445901</v>
      </c>
      <c r="AM5669">
        <v>99.897889884831798</v>
      </c>
      <c r="AN5669">
        <v>0.99999998311612903</v>
      </c>
    </row>
    <row r="5670" spans="1:40" x14ac:dyDescent="0.25">
      <c r="A5670" t="str">
        <f>"20190304154911006"</f>
        <v>20190304154911006</v>
      </c>
      <c r="B5670" t="str">
        <f>"1551685751003219"</f>
        <v>1551685751003219</v>
      </c>
      <c r="C5670" t="s">
        <v>40</v>
      </c>
      <c r="D5670">
        <v>4.1598949999999997</v>
      </c>
      <c r="E5670">
        <v>0.44839609999999902</v>
      </c>
      <c r="F5670" t="s">
        <v>44</v>
      </c>
      <c r="G5670">
        <v>-421.93520000000001</v>
      </c>
      <c r="H5670" s="1">
        <v>-7.201493E-7</v>
      </c>
      <c r="I5670">
        <v>100.0258</v>
      </c>
      <c r="J5670">
        <v>-415.8168</v>
      </c>
      <c r="K5670">
        <v>1.1173979999999999</v>
      </c>
      <c r="L5670">
        <v>123.78579999999999</v>
      </c>
      <c r="M5670">
        <v>-0.52095820000000004</v>
      </c>
      <c r="N5670">
        <v>-1.472121E-2</v>
      </c>
      <c r="O5670">
        <v>-0.85345530000000003</v>
      </c>
      <c r="P5670">
        <v>-0.36446820000000002</v>
      </c>
      <c r="Q5670">
        <v>0.17784349999999999</v>
      </c>
      <c r="R5670">
        <v>-0.91407620000000001</v>
      </c>
      <c r="S5670">
        <v>-0.78189090000000006</v>
      </c>
      <c r="T5670">
        <v>-0.13980629999999999</v>
      </c>
      <c r="U5670">
        <v>-3.0012050000000001</v>
      </c>
      <c r="V5670">
        <v>-0.16813520000000001</v>
      </c>
      <c r="W5670">
        <v>0.18950359999999999</v>
      </c>
      <c r="X5670">
        <v>0.96737740000000005</v>
      </c>
      <c r="Y5670">
        <v>-0.28891670000000003</v>
      </c>
      <c r="Z5670">
        <v>2.128855E-2</v>
      </c>
      <c r="AA5670">
        <v>0.95711749999999995</v>
      </c>
      <c r="AB5670">
        <v>27</v>
      </c>
      <c r="AC5670">
        <v>-6.1184000000000003</v>
      </c>
      <c r="AD5670">
        <v>-1.1173987201493001</v>
      </c>
      <c r="AE5670">
        <v>-23.759999999999899</v>
      </c>
      <c r="AF5670">
        <v>-7.1421472118627403</v>
      </c>
      <c r="AG5670">
        <v>-1.1173987201493001</v>
      </c>
      <c r="AH5670">
        <v>23.4194948654456</v>
      </c>
      <c r="AI5670">
        <v>92.613010319352199</v>
      </c>
      <c r="AJ5670">
        <v>106.959918103354</v>
      </c>
      <c r="AK5670">
        <v>24.509826324320201</v>
      </c>
      <c r="AL5670">
        <v>79.076184232091904</v>
      </c>
      <c r="AM5670">
        <v>99.859807966356499</v>
      </c>
      <c r="AN5670">
        <v>1.0000000469613699</v>
      </c>
    </row>
    <row r="5671" spans="1:40" x14ac:dyDescent="0.25">
      <c r="A5671" t="str">
        <f>"20190304154911028"</f>
        <v>20190304154911028</v>
      </c>
      <c r="B5671" t="str">
        <f>"1551685751022748"</f>
        <v>1551685751022748</v>
      </c>
      <c r="C5671" t="s">
        <v>40</v>
      </c>
      <c r="D5671">
        <v>4.1201629999999998</v>
      </c>
      <c r="E5671">
        <v>0.45368199999999997</v>
      </c>
      <c r="F5671" t="s">
        <v>44</v>
      </c>
      <c r="G5671">
        <v>-421.80599999999998</v>
      </c>
      <c r="H5671" s="1">
        <v>-8.4662139999999999E-7</v>
      </c>
      <c r="I5671">
        <v>100.3661</v>
      </c>
      <c r="J5671">
        <v>-415.95049999999998</v>
      </c>
      <c r="K5671">
        <v>1.1173310000000001</v>
      </c>
      <c r="L5671">
        <v>123.5489</v>
      </c>
      <c r="M5671">
        <v>-0.51352699999999996</v>
      </c>
      <c r="N5671">
        <v>-1.470979E-2</v>
      </c>
      <c r="O5671">
        <v>-0.85794740000000003</v>
      </c>
      <c r="P5671">
        <v>-0.3571646</v>
      </c>
      <c r="Q5671">
        <v>0.17792910000000001</v>
      </c>
      <c r="R5671">
        <v>-0.91693800000000003</v>
      </c>
      <c r="S5671">
        <v>-0.76812740000000002</v>
      </c>
      <c r="T5671">
        <v>-0.14330850000000001</v>
      </c>
      <c r="U5671">
        <v>-3.0036320000000001</v>
      </c>
      <c r="V5671">
        <v>-0.16741029999999901</v>
      </c>
      <c r="W5671">
        <v>0.18961819999999999</v>
      </c>
      <c r="X5671">
        <v>0.96748060000000002</v>
      </c>
      <c r="Y5671">
        <v>-0.28490759999999998</v>
      </c>
      <c r="Z5671">
        <v>2.246186E-2</v>
      </c>
      <c r="AA5671">
        <v>0.95829180000000003</v>
      </c>
      <c r="AB5671">
        <v>27</v>
      </c>
      <c r="AC5671">
        <v>-5.8555000000000001</v>
      </c>
      <c r="AD5671">
        <v>-1.1173318466213999</v>
      </c>
      <c r="AE5671">
        <v>-23.1828</v>
      </c>
      <c r="AF5671">
        <v>-6.86703210950086</v>
      </c>
      <c r="AG5671">
        <v>-1.1173318466213999</v>
      </c>
      <c r="AH5671">
        <v>22.849163216118399</v>
      </c>
      <c r="AI5671">
        <v>92.6812651674379</v>
      </c>
      <c r="AJ5671">
        <v>106.727497659763</v>
      </c>
      <c r="AK5671">
        <v>23.8849077897573</v>
      </c>
      <c r="AL5671">
        <v>79.069496266689995</v>
      </c>
      <c r="AM5671">
        <v>99.817100394865705</v>
      </c>
      <c r="AN5671">
        <v>0.99999999084684399</v>
      </c>
    </row>
    <row r="5672" spans="1:40" x14ac:dyDescent="0.25">
      <c r="A5672" t="str">
        <f>"20190304154911052"</f>
        <v>20190304154911052</v>
      </c>
      <c r="B5672" t="str">
        <f>"1551685751043235"</f>
        <v>1551685751043235</v>
      </c>
      <c r="C5672" t="s">
        <v>40</v>
      </c>
      <c r="D5672">
        <v>4.1418039999999996</v>
      </c>
      <c r="E5672">
        <v>0.45433839999999998</v>
      </c>
      <c r="F5672" t="s">
        <v>44</v>
      </c>
      <c r="G5672">
        <v>-421.69069999999999</v>
      </c>
      <c r="H5672" s="1">
        <v>-1.3922369999999999E-6</v>
      </c>
      <c r="I5672">
        <v>101.5852</v>
      </c>
      <c r="J5672">
        <v>-416.08199999999999</v>
      </c>
      <c r="K5672">
        <v>1.117254</v>
      </c>
      <c r="L5672">
        <v>123.3109</v>
      </c>
      <c r="M5672">
        <v>-0.50613679999999905</v>
      </c>
      <c r="N5672">
        <v>-1.4697109999999999E-2</v>
      </c>
      <c r="O5672">
        <v>-0.86232790000000004</v>
      </c>
      <c r="P5672">
        <v>-0.35059420000000002</v>
      </c>
      <c r="Q5672">
        <v>0.17797379999999999</v>
      </c>
      <c r="R5672">
        <v>-0.91946110000000003</v>
      </c>
      <c r="S5672">
        <v>-0.78308109999999997</v>
      </c>
      <c r="T5672">
        <v>-0.15242790000000001</v>
      </c>
      <c r="U5672">
        <v>-2.9963069999999998</v>
      </c>
      <c r="V5672">
        <v>-0.16597619999999999</v>
      </c>
      <c r="W5672">
        <v>0.18970770000000001</v>
      </c>
      <c r="X5672">
        <v>0.96771010000000002</v>
      </c>
      <c r="Y5672">
        <v>-0.27162049999999999</v>
      </c>
      <c r="Z5672">
        <v>2.526142E-2</v>
      </c>
      <c r="AA5672">
        <v>0.96207279999999995</v>
      </c>
      <c r="AB5672">
        <v>27</v>
      </c>
      <c r="AC5672">
        <v>-5.60869999999999</v>
      </c>
      <c r="AD5672">
        <v>-1.1172553922370001</v>
      </c>
      <c r="AE5672">
        <v>-21.7257</v>
      </c>
      <c r="AF5672">
        <v>-6.1450677999101604</v>
      </c>
      <c r="AG5672">
        <v>-1.1172553922370001</v>
      </c>
      <c r="AH5672">
        <v>21.522416980681498</v>
      </c>
      <c r="AI5672">
        <v>92.857631274559196</v>
      </c>
      <c r="AJ5672">
        <v>105.93507250159099</v>
      </c>
      <c r="AK5672">
        <v>22.410367033301899</v>
      </c>
      <c r="AL5672">
        <v>79.0642733109934</v>
      </c>
      <c r="AM5672">
        <v>99.732354718295895</v>
      </c>
      <c r="AN5672">
        <v>0.99999997402386898</v>
      </c>
    </row>
    <row r="5673" spans="1:40" x14ac:dyDescent="0.25">
      <c r="A5673" t="str">
        <f>"20190304154911073"</f>
        <v>20190304154911073</v>
      </c>
      <c r="B5673" t="str">
        <f>"1551685751062757"</f>
        <v>1551685751062757</v>
      </c>
      <c r="C5673" t="s">
        <v>40</v>
      </c>
      <c r="D5673">
        <v>4.1552340000000001</v>
      </c>
      <c r="E5673">
        <v>0.4553527</v>
      </c>
      <c r="F5673" t="s">
        <v>44</v>
      </c>
      <c r="G5673">
        <v>-421.7826</v>
      </c>
      <c r="H5673" s="1">
        <v>-1.1263509999999901E-6</v>
      </c>
      <c r="I5673">
        <v>100.971</v>
      </c>
      <c r="J5673">
        <v>-416.20769999999999</v>
      </c>
      <c r="K5673">
        <v>1.1171709999999999</v>
      </c>
      <c r="L5673">
        <v>123.07899999999999</v>
      </c>
      <c r="M5673">
        <v>-0.4990175</v>
      </c>
      <c r="N5673">
        <v>-1.468335E-2</v>
      </c>
      <c r="O5673">
        <v>-0.86646759999999901</v>
      </c>
      <c r="P5673">
        <v>-0.34425230000000001</v>
      </c>
      <c r="Q5673">
        <v>0.177815</v>
      </c>
      <c r="R5673">
        <v>-0.92188530000000002</v>
      </c>
      <c r="S5673">
        <v>-0.76550289999999999</v>
      </c>
      <c r="T5673">
        <v>-0.15003</v>
      </c>
      <c r="U5673">
        <v>-2.999908</v>
      </c>
      <c r="V5673">
        <v>-0.16464200000000001</v>
      </c>
      <c r="W5673">
        <v>0.1895934</v>
      </c>
      <c r="X5673">
        <v>0.96796040000000005</v>
      </c>
      <c r="Y5673">
        <v>-0.26926169999999999</v>
      </c>
      <c r="Z5673">
        <v>2.491461E-2</v>
      </c>
      <c r="AA5673">
        <v>0.96274470000000001</v>
      </c>
      <c r="AB5673">
        <v>27</v>
      </c>
      <c r="AC5673">
        <v>-5.5749000000000102</v>
      </c>
      <c r="AD5673">
        <v>-1.1171721263509999</v>
      </c>
      <c r="AE5673">
        <v>-22.107999999999901</v>
      </c>
      <c r="AF5673">
        <v>-6.1876211649602899</v>
      </c>
      <c r="AG5673">
        <v>-1.1171721263509999</v>
      </c>
      <c r="AH5673">
        <v>21.887652498367199</v>
      </c>
      <c r="AI5673">
        <v>92.811895111649207</v>
      </c>
      <c r="AJ5673">
        <v>105.78555352553801</v>
      </c>
      <c r="AK5673">
        <v>22.772879948092601</v>
      </c>
      <c r="AL5673">
        <v>79.070943452261005</v>
      </c>
      <c r="AM5673">
        <v>99.653149961353904</v>
      </c>
      <c r="AN5673">
        <v>0.99999999072786006</v>
      </c>
    </row>
    <row r="5674" spans="1:40" x14ac:dyDescent="0.25">
      <c r="A5674" t="str">
        <f>"20190304154911095"</f>
        <v>20190304154911095</v>
      </c>
      <c r="B5674" t="str">
        <f>"1551685751093011"</f>
        <v>1551685751093011</v>
      </c>
      <c r="C5674" t="s">
        <v>40</v>
      </c>
      <c r="D5674">
        <v>4.1711839999999896</v>
      </c>
      <c r="E5674">
        <v>0.45666630000000002</v>
      </c>
      <c r="F5674" t="s">
        <v>44</v>
      </c>
      <c r="G5674">
        <v>-421.77690000000001</v>
      </c>
      <c r="H5674" s="1">
        <v>-1.0558159999999999E-6</v>
      </c>
      <c r="I5674">
        <v>100.825</v>
      </c>
      <c r="J5674">
        <v>-416.33190000000002</v>
      </c>
      <c r="K5674">
        <v>1.117086</v>
      </c>
      <c r="L5674">
        <v>122.84529999999999</v>
      </c>
      <c r="M5674">
        <v>-0.49192920000000001</v>
      </c>
      <c r="N5674">
        <v>-1.4668779999999999E-2</v>
      </c>
      <c r="O5674">
        <v>-0.87051179999999995</v>
      </c>
      <c r="P5674">
        <v>-0.33792840000000002</v>
      </c>
      <c r="Q5674">
        <v>0.17742729999999901</v>
      </c>
      <c r="R5674">
        <v>-0.92429669999999997</v>
      </c>
      <c r="S5674">
        <v>-0.7514343</v>
      </c>
      <c r="T5674">
        <v>-0.15073699999999901</v>
      </c>
      <c r="U5674">
        <v>-3.0026700000000002</v>
      </c>
      <c r="V5674">
        <v>-0.1633597</v>
      </c>
      <c r="W5674">
        <v>0.18924930000000001</v>
      </c>
      <c r="X5674">
        <v>0.96824500000000002</v>
      </c>
      <c r="Y5674">
        <v>-0.26585679999999901</v>
      </c>
      <c r="Z5674">
        <v>2.5374649999999999E-2</v>
      </c>
      <c r="AA5674">
        <v>0.96367849999999999</v>
      </c>
      <c r="AB5674">
        <v>27</v>
      </c>
      <c r="AC5674">
        <v>-5.4449999999999896</v>
      </c>
      <c r="AD5674">
        <v>-1.117087055816</v>
      </c>
      <c r="AE5674">
        <v>-22.020299999999899</v>
      </c>
      <c r="AF5674">
        <v>-6.0784049090465402</v>
      </c>
      <c r="AG5674">
        <v>-1.117087055816</v>
      </c>
      <c r="AH5674">
        <v>21.7969702900774</v>
      </c>
      <c r="AI5674">
        <v>92.826174403620399</v>
      </c>
      <c r="AJ5674">
        <v>105.58190815838699</v>
      </c>
      <c r="AK5674">
        <v>22.656186871473</v>
      </c>
      <c r="AL5674">
        <v>79.091022926648193</v>
      </c>
      <c r="AM5674">
        <v>99.576602241044995</v>
      </c>
      <c r="AN5674">
        <v>1.0000000345797799</v>
      </c>
    </row>
    <row r="5675" spans="1:40" x14ac:dyDescent="0.25">
      <c r="A5675" t="str">
        <f>"20190304154911117"</f>
        <v>20190304154911117</v>
      </c>
      <c r="B5675" t="str">
        <f>"1551685751113507"</f>
        <v>1551685751113507</v>
      </c>
      <c r="C5675" t="s">
        <v>40</v>
      </c>
      <c r="D5675">
        <v>4.205298</v>
      </c>
      <c r="E5675">
        <v>0.45733859999999898</v>
      </c>
      <c r="F5675" t="s">
        <v>44</v>
      </c>
      <c r="G5675">
        <v>-421.74290000000002</v>
      </c>
      <c r="H5675" s="1">
        <v>-1.069948E-6</v>
      </c>
      <c r="I5675">
        <v>100.8741</v>
      </c>
      <c r="J5675">
        <v>-416.45420000000001</v>
      </c>
      <c r="K5675">
        <v>1.1170020000000001</v>
      </c>
      <c r="L5675">
        <v>122.611</v>
      </c>
      <c r="M5675">
        <v>-0.48489589999999999</v>
      </c>
      <c r="N5675">
        <v>-1.4654149999999999E-2</v>
      </c>
      <c r="O5675">
        <v>-0.87444909999999998</v>
      </c>
      <c r="P5675">
        <v>-0.33184150000000001</v>
      </c>
      <c r="Q5675">
        <v>0.17734079999999999</v>
      </c>
      <c r="R5675">
        <v>-0.92651589999999995</v>
      </c>
      <c r="S5675">
        <v>-0.73992919999999995</v>
      </c>
      <c r="T5675">
        <v>-0.15275849999999999</v>
      </c>
      <c r="U5675">
        <v>-3.0045009999999999</v>
      </c>
      <c r="V5675">
        <v>-0.16188749999999999</v>
      </c>
      <c r="W5675">
        <v>0.18920619999999999</v>
      </c>
      <c r="X5675">
        <v>0.96850060000000004</v>
      </c>
      <c r="Y5675">
        <v>-0.2617042</v>
      </c>
      <c r="Z5675">
        <v>2.6190089999999999E-2</v>
      </c>
      <c r="AA5675">
        <v>0.96479269999999995</v>
      </c>
      <c r="AB5675">
        <v>27</v>
      </c>
      <c r="AC5675">
        <v>-5.2887000000000004</v>
      </c>
      <c r="AD5675">
        <v>-1.117003069948</v>
      </c>
      <c r="AE5675">
        <v>-21.736899999999999</v>
      </c>
      <c r="AF5675">
        <v>-5.9013573996411299</v>
      </c>
      <c r="AG5675">
        <v>-1.117003069948</v>
      </c>
      <c r="AH5675">
        <v>21.5209446662274</v>
      </c>
      <c r="AI5675">
        <v>92.8655632802284</v>
      </c>
      <c r="AJ5675">
        <v>105.33440702622499</v>
      </c>
      <c r="AK5675">
        <v>22.343338478020499</v>
      </c>
      <c r="AL5675">
        <v>79.093537213311507</v>
      </c>
      <c r="AM5675">
        <v>99.489415651533207</v>
      </c>
      <c r="AN5675">
        <v>0.99999998048752403</v>
      </c>
    </row>
    <row r="5676" spans="1:40" x14ac:dyDescent="0.25">
      <c r="A5676" t="str">
        <f>"20190304154911140"</f>
        <v>20190304154911140</v>
      </c>
      <c r="B5676" t="str">
        <f>"1551685751133027"</f>
        <v>1551685751133027</v>
      </c>
      <c r="C5676" t="s">
        <v>40</v>
      </c>
      <c r="D5676">
        <v>4.2387050000000004</v>
      </c>
      <c r="E5676">
        <v>0.457478</v>
      </c>
      <c r="F5676" t="s">
        <v>44</v>
      </c>
      <c r="G5676">
        <v>-421.69139999999999</v>
      </c>
      <c r="H5676" s="1">
        <v>-1.0497690000000001E-6</v>
      </c>
      <c r="I5676">
        <v>100.8604</v>
      </c>
      <c r="J5676">
        <v>-416.58199999999999</v>
      </c>
      <c r="K5676">
        <v>1.1169279999999999</v>
      </c>
      <c r="L5676">
        <v>122.36109999999999</v>
      </c>
      <c r="M5676">
        <v>-0.4774775</v>
      </c>
      <c r="N5676">
        <v>-1.463895E-2</v>
      </c>
      <c r="O5676">
        <v>-0.87852209999999997</v>
      </c>
      <c r="P5676">
        <v>-0.32507649999999999</v>
      </c>
      <c r="Q5676">
        <v>0.17751629999999999</v>
      </c>
      <c r="R5676">
        <v>-0.92887750000000002</v>
      </c>
      <c r="S5676">
        <v>-0.72430419999999995</v>
      </c>
      <c r="T5676">
        <v>-0.15448110000000001</v>
      </c>
      <c r="U5676">
        <v>-3.0081020000000001</v>
      </c>
      <c r="V5676">
        <v>-0.16069800000000001</v>
      </c>
      <c r="W5676">
        <v>0.1894188</v>
      </c>
      <c r="X5676">
        <v>0.96865710000000005</v>
      </c>
      <c r="Y5676">
        <v>-0.25853890000000002</v>
      </c>
      <c r="Z5676">
        <v>2.6915189999999999E-2</v>
      </c>
      <c r="AA5676">
        <v>0.96562579999999998</v>
      </c>
      <c r="AB5676">
        <v>27</v>
      </c>
      <c r="AC5676">
        <v>-5.1093999999999902</v>
      </c>
      <c r="AD5676">
        <v>-1.1169290497689901</v>
      </c>
      <c r="AE5676">
        <v>-21.500699999999899</v>
      </c>
      <c r="AF5676">
        <v>-5.7632767183201601</v>
      </c>
      <c r="AG5676">
        <v>-1.1169290497689901</v>
      </c>
      <c r="AH5676">
        <v>21.276399528839899</v>
      </c>
      <c r="AI5676">
        <v>92.900703005519503</v>
      </c>
      <c r="AJ5676">
        <v>105.156372478812</v>
      </c>
      <c r="AK5676">
        <v>22.071430989969102</v>
      </c>
      <c r="AL5676">
        <v>79.081131500153703</v>
      </c>
      <c r="AM5676">
        <v>99.419449961463002</v>
      </c>
      <c r="AN5676">
        <v>0.99999995318892398</v>
      </c>
    </row>
    <row r="5677" spans="1:40" x14ac:dyDescent="0.25">
      <c r="A5677" t="str">
        <f>"20190304154911162"</f>
        <v>20190304154911162</v>
      </c>
      <c r="B5677" t="str">
        <f>"1551685751152548"</f>
        <v>1551685751152548</v>
      </c>
      <c r="C5677" t="s">
        <v>40</v>
      </c>
      <c r="D5677">
        <v>4.1753</v>
      </c>
      <c r="E5677">
        <v>0.45762940000000002</v>
      </c>
      <c r="F5677" t="s">
        <v>44</v>
      </c>
      <c r="G5677">
        <v>-421.53100000000001</v>
      </c>
      <c r="H5677" s="1">
        <v>-1.14312E-6</v>
      </c>
      <c r="I5677">
        <v>101.1481</v>
      </c>
      <c r="J5677">
        <v>-416.69540000000001</v>
      </c>
      <c r="K5677">
        <v>1.116852</v>
      </c>
      <c r="L5677">
        <v>122.1352</v>
      </c>
      <c r="M5677">
        <v>-0.47084419999999999</v>
      </c>
      <c r="N5677">
        <v>-1.46252E-2</v>
      </c>
      <c r="O5677">
        <v>-0.88209530000000003</v>
      </c>
      <c r="P5677">
        <v>-0.31863900000000001</v>
      </c>
      <c r="Q5677">
        <v>0.1779877</v>
      </c>
      <c r="R5677">
        <v>-0.93101579999999995</v>
      </c>
      <c r="S5677">
        <v>-0.70315550000000004</v>
      </c>
      <c r="T5677">
        <v>-0.15869339999999901</v>
      </c>
      <c r="U5677">
        <v>-3.0139469999999999</v>
      </c>
      <c r="V5677">
        <v>-0.16003199999999901</v>
      </c>
      <c r="W5677">
        <v>0.189915</v>
      </c>
      <c r="X5677">
        <v>0.96867020000000004</v>
      </c>
      <c r="Y5677">
        <v>-0.258108</v>
      </c>
      <c r="Z5677">
        <v>2.8219930000000001E-2</v>
      </c>
      <c r="AA5677">
        <v>0.9657038</v>
      </c>
      <c r="AB5677">
        <v>27</v>
      </c>
      <c r="AC5677">
        <v>-4.8356000000000003</v>
      </c>
      <c r="AD5677">
        <v>-1.1168531431199999</v>
      </c>
      <c r="AE5677">
        <v>-20.987100000000002</v>
      </c>
      <c r="AF5677">
        <v>-5.6017300854592103</v>
      </c>
      <c r="AG5677">
        <v>-1.1168531431199999</v>
      </c>
      <c r="AH5677">
        <v>20.735894462737701</v>
      </c>
      <c r="AI5677">
        <v>92.976523718646405</v>
      </c>
      <c r="AJ5677">
        <v>105.117400320513</v>
      </c>
      <c r="AK5677">
        <v>21.508232378869</v>
      </c>
      <c r="AL5677">
        <v>79.052175732295495</v>
      </c>
      <c r="AM5677">
        <v>99.380982552254906</v>
      </c>
      <c r="AN5677">
        <v>0.99999995230851801</v>
      </c>
    </row>
    <row r="5678" spans="1:40" x14ac:dyDescent="0.25">
      <c r="A5678" t="str">
        <f>"20190304154911184"</f>
        <v>20190304154911184</v>
      </c>
      <c r="B5678" t="str">
        <f>"1551685751173043"</f>
        <v>1551685751173043</v>
      </c>
      <c r="C5678" t="s">
        <v>40</v>
      </c>
      <c r="D5678">
        <v>4.2068440000000002</v>
      </c>
      <c r="E5678">
        <v>0.4645434</v>
      </c>
      <c r="F5678" t="s">
        <v>44</v>
      </c>
      <c r="G5678">
        <v>-421.49029999999999</v>
      </c>
      <c r="H5678" s="1">
        <v>-1.0395040000000001E-6</v>
      </c>
      <c r="I5678">
        <v>100.95180000000001</v>
      </c>
      <c r="J5678">
        <v>-416.81330000000003</v>
      </c>
      <c r="K5678">
        <v>1.116768</v>
      </c>
      <c r="L5678">
        <v>121.8961</v>
      </c>
      <c r="M5678">
        <v>-0.46390910000000002</v>
      </c>
      <c r="N5678">
        <v>-1.460996E-2</v>
      </c>
      <c r="O5678">
        <v>-0.8857623</v>
      </c>
      <c r="P5678">
        <v>-0.31201119999999999</v>
      </c>
      <c r="Q5678">
        <v>0.17805779999999999</v>
      </c>
      <c r="R5678">
        <v>-0.93324419999999997</v>
      </c>
      <c r="S5678">
        <v>-0.68331909999999996</v>
      </c>
      <c r="T5678">
        <v>-0.15916379999999999</v>
      </c>
      <c r="U5678">
        <v>-3.0188600000000001</v>
      </c>
      <c r="V5678">
        <v>-0.1592741</v>
      </c>
      <c r="W5678">
        <v>0.19001390000000001</v>
      </c>
      <c r="X5678">
        <v>0.96877570000000002</v>
      </c>
      <c r="Y5678">
        <v>-0.25690619999999997</v>
      </c>
      <c r="Z5678">
        <v>2.8568079999999999E-2</v>
      </c>
      <c r="AA5678">
        <v>0.96601400000000004</v>
      </c>
      <c r="AB5678">
        <v>27</v>
      </c>
      <c r="AC5678">
        <v>-4.6769999999999596</v>
      </c>
      <c r="AD5678">
        <v>-1.116769039504</v>
      </c>
      <c r="AE5678">
        <v>-20.944299999999998</v>
      </c>
      <c r="AF5678">
        <v>-5.5590817134155603</v>
      </c>
      <c r="AG5678">
        <v>-1.116769039504</v>
      </c>
      <c r="AH5678">
        <v>20.667616981252099</v>
      </c>
      <c r="AI5678">
        <v>92.986992038940897</v>
      </c>
      <c r="AJ5678">
        <v>105.05484762059599</v>
      </c>
      <c r="AK5678">
        <v>21.431307805819198</v>
      </c>
      <c r="AL5678">
        <v>79.046403935898496</v>
      </c>
      <c r="AM5678">
        <v>99.336340220283802</v>
      </c>
      <c r="AN5678">
        <v>0.99999993901725304</v>
      </c>
    </row>
    <row r="5679" spans="1:40" x14ac:dyDescent="0.25">
      <c r="A5679" t="str">
        <f>"20190304154911208"</f>
        <v>20190304154911208</v>
      </c>
      <c r="B5679" t="str">
        <f>"1551685751203299"</f>
        <v>1551685751203299</v>
      </c>
      <c r="C5679" t="s">
        <v>40</v>
      </c>
      <c r="D5679">
        <v>4.2128930000000002</v>
      </c>
      <c r="E5679">
        <v>0.46505580000000002</v>
      </c>
      <c r="F5679" t="s">
        <v>44</v>
      </c>
      <c r="G5679">
        <v>-421.89600000000002</v>
      </c>
      <c r="H5679" s="1">
        <v>-9.3177260000000005E-7</v>
      </c>
      <c r="I5679">
        <v>100.4956</v>
      </c>
      <c r="J5679">
        <v>-416.93090000000001</v>
      </c>
      <c r="K5679">
        <v>1.1166799999999999</v>
      </c>
      <c r="L5679">
        <v>121.6529</v>
      </c>
      <c r="M5679">
        <v>-0.45694410000000002</v>
      </c>
      <c r="N5679">
        <v>-1.459357E-2</v>
      </c>
      <c r="O5679">
        <v>-0.88937579999999905</v>
      </c>
      <c r="P5679">
        <v>-0.30542039999999998</v>
      </c>
      <c r="Q5679">
        <v>0.177812</v>
      </c>
      <c r="R5679">
        <v>-0.93546870000000004</v>
      </c>
      <c r="S5679">
        <v>-0.71389769999999997</v>
      </c>
      <c r="T5679">
        <v>-0.15685750000000001</v>
      </c>
      <c r="U5679">
        <v>-3.0058440000000002</v>
      </c>
      <c r="V5679">
        <v>-0.15847829999999999</v>
      </c>
      <c r="W5679">
        <v>0.18980040000000001</v>
      </c>
      <c r="X5679">
        <v>0.96894809999999998</v>
      </c>
      <c r="Y5679">
        <v>-0.23906749999999999</v>
      </c>
      <c r="Z5679">
        <v>2.8517339999999999E-2</v>
      </c>
      <c r="AA5679">
        <v>0.97058409999999995</v>
      </c>
      <c r="AB5679">
        <v>27</v>
      </c>
      <c r="AC5679">
        <v>-4.9650999999999499</v>
      </c>
      <c r="AD5679">
        <v>-1.1166809317726001</v>
      </c>
      <c r="AE5679">
        <v>-21.157299999999999</v>
      </c>
      <c r="AF5679">
        <v>-5.2385909280393896</v>
      </c>
      <c r="AG5679">
        <v>-1.1166809317726001</v>
      </c>
      <c r="AH5679">
        <v>21.032275586502902</v>
      </c>
      <c r="AI5679">
        <v>92.949250596087197</v>
      </c>
      <c r="AJ5679">
        <v>103.98629230236</v>
      </c>
      <c r="AK5679">
        <v>21.703604022404399</v>
      </c>
      <c r="AL5679">
        <v>79.058863907146204</v>
      </c>
      <c r="AM5679">
        <v>99.288883128990506</v>
      </c>
      <c r="AN5679">
        <v>0.99999999195232903</v>
      </c>
    </row>
    <row r="5680" spans="1:40" x14ac:dyDescent="0.25">
      <c r="A5680" t="str">
        <f>"20190304154911230"</f>
        <v>20190304154911230</v>
      </c>
      <c r="B5680" t="str">
        <f>"1551685751222820"</f>
        <v>1551685751222820</v>
      </c>
      <c r="C5680" t="s">
        <v>40</v>
      </c>
      <c r="D5680">
        <v>4.216005</v>
      </c>
      <c r="E5680">
        <v>0.4653023</v>
      </c>
      <c r="F5680" t="s">
        <v>44</v>
      </c>
      <c r="G5680">
        <v>-421.6046</v>
      </c>
      <c r="H5680" s="1">
        <v>-1.313062E-6</v>
      </c>
      <c r="I5680">
        <v>101.4662</v>
      </c>
      <c r="J5680">
        <v>-417.04689999999999</v>
      </c>
      <c r="K5680">
        <v>1.116579</v>
      </c>
      <c r="L5680">
        <v>121.4085</v>
      </c>
      <c r="M5680">
        <v>-0.45004339999999998</v>
      </c>
      <c r="N5680">
        <v>-1.45764E-2</v>
      </c>
      <c r="O5680">
        <v>-0.89288789999999996</v>
      </c>
      <c r="P5680">
        <v>-0.29899019999999998</v>
      </c>
      <c r="Q5680">
        <v>0.17737639999999999</v>
      </c>
      <c r="R5680">
        <v>-0.93762619999999997</v>
      </c>
      <c r="S5680">
        <v>-0.69711299999999998</v>
      </c>
      <c r="T5680">
        <v>-0.16656260000000001</v>
      </c>
      <c r="U5680">
        <v>-3.0110169999999998</v>
      </c>
      <c r="V5680">
        <v>-0.15761</v>
      </c>
      <c r="W5680">
        <v>0.1894015</v>
      </c>
      <c r="X5680">
        <v>0.96916780000000002</v>
      </c>
      <c r="Y5680">
        <v>-0.23706720000000001</v>
      </c>
      <c r="Z5680">
        <v>3.1355189999999998E-2</v>
      </c>
      <c r="AA5680">
        <v>0.97098709999999999</v>
      </c>
      <c r="AB5680">
        <v>27</v>
      </c>
      <c r="AC5680">
        <v>-4.5577000000000103</v>
      </c>
      <c r="AD5680">
        <v>-1.116580313062</v>
      </c>
      <c r="AE5680">
        <v>-19.942299999999999</v>
      </c>
      <c r="AF5680">
        <v>-4.8913328366804603</v>
      </c>
      <c r="AG5680">
        <v>-1.116580313062</v>
      </c>
      <c r="AH5680">
        <v>19.800515594247699</v>
      </c>
      <c r="AI5680">
        <v>93.133575486878897</v>
      </c>
      <c r="AJ5680">
        <v>103.876004609391</v>
      </c>
      <c r="AK5680">
        <v>20.4262651092351</v>
      </c>
      <c r="AL5680">
        <v>79.082141866694897</v>
      </c>
      <c r="AM5680">
        <v>99.236811210814494</v>
      </c>
      <c r="AN5680">
        <v>1.0000000324295399</v>
      </c>
    </row>
    <row r="5681" spans="1:40" x14ac:dyDescent="0.25">
      <c r="A5681" t="str">
        <f>"20190304154911253"</f>
        <v>20190304154911253</v>
      </c>
      <c r="B5681" t="str">
        <f>"1551685751243316"</f>
        <v>1551685751243316</v>
      </c>
      <c r="C5681" t="s">
        <v>40</v>
      </c>
      <c r="D5681">
        <v>4.2622619999999998</v>
      </c>
      <c r="E5681">
        <v>0.46595180000000003</v>
      </c>
      <c r="F5681" t="s">
        <v>44</v>
      </c>
      <c r="G5681">
        <v>-421.51769999999999</v>
      </c>
      <c r="H5681" s="1">
        <v>-1.317336E-6</v>
      </c>
      <c r="I5681">
        <v>101.5241</v>
      </c>
      <c r="J5681">
        <v>-417.15899999999999</v>
      </c>
      <c r="K5681">
        <v>1.1164719999999999</v>
      </c>
      <c r="L5681">
        <v>121.1677</v>
      </c>
      <c r="M5681">
        <v>-0.44335219999999997</v>
      </c>
      <c r="N5681">
        <v>-1.455888E-2</v>
      </c>
      <c r="O5681">
        <v>-0.89622930000000001</v>
      </c>
      <c r="P5681">
        <v>-0.29320239999999997</v>
      </c>
      <c r="Q5681">
        <v>0.1762899</v>
      </c>
      <c r="R5681">
        <v>-0.93965650000000001</v>
      </c>
      <c r="S5681">
        <v>-0.67797850000000004</v>
      </c>
      <c r="T5681">
        <v>-0.16932539999999999</v>
      </c>
      <c r="U5681">
        <v>-3.015396</v>
      </c>
      <c r="V5681">
        <v>-0.1563611</v>
      </c>
      <c r="W5681">
        <v>0.18836049999999999</v>
      </c>
      <c r="X5681">
        <v>0.96957280000000001</v>
      </c>
      <c r="Y5681">
        <v>-0.2359735</v>
      </c>
      <c r="Z5681">
        <v>3.2326309999999997E-2</v>
      </c>
      <c r="AA5681">
        <v>0.97122169999999997</v>
      </c>
      <c r="AB5681">
        <v>27</v>
      </c>
      <c r="AC5681">
        <v>-4.35869999999999</v>
      </c>
      <c r="AD5681">
        <v>-1.116473317336</v>
      </c>
      <c r="AE5681">
        <v>-19.6435999999999</v>
      </c>
      <c r="AF5681">
        <v>-4.7884049168034597</v>
      </c>
      <c r="AG5681">
        <v>-1.116473317336</v>
      </c>
      <c r="AH5681">
        <v>19.479704974261001</v>
      </c>
      <c r="AI5681">
        <v>93.185669864206105</v>
      </c>
      <c r="AJ5681">
        <v>103.810347663893</v>
      </c>
      <c r="AK5681">
        <v>20.090650566864198</v>
      </c>
      <c r="AL5681">
        <v>79.142879080344002</v>
      </c>
      <c r="AM5681">
        <v>99.161102420816107</v>
      </c>
      <c r="AN5681">
        <v>0.99999994302664796</v>
      </c>
    </row>
    <row r="5682" spans="1:40" x14ac:dyDescent="0.25">
      <c r="A5682" t="str">
        <f>"20190304154911274"</f>
        <v>20190304154911274</v>
      </c>
      <c r="B5682" t="str">
        <f>"1551685751262835"</f>
        <v>1551685751262835</v>
      </c>
      <c r="C5682" t="s">
        <v>40</v>
      </c>
      <c r="D5682">
        <v>4.2499570000000002</v>
      </c>
      <c r="E5682">
        <v>0.47025990000000001</v>
      </c>
      <c r="F5682" t="s">
        <v>44</v>
      </c>
      <c r="G5682">
        <v>-421.42829999999998</v>
      </c>
      <c r="H5682" s="1">
        <v>-1.4109999999999999E-6</v>
      </c>
      <c r="I5682">
        <v>101.7726</v>
      </c>
      <c r="J5682">
        <v>-417.2672</v>
      </c>
      <c r="K5682">
        <v>1.116363</v>
      </c>
      <c r="L5682">
        <v>120.93089999999999</v>
      </c>
      <c r="M5682">
        <v>-0.4368899</v>
      </c>
      <c r="N5682">
        <v>-1.454103E-2</v>
      </c>
      <c r="O5682">
        <v>-0.89939749999999996</v>
      </c>
      <c r="P5682">
        <v>-0.28671469999999999</v>
      </c>
      <c r="Q5682">
        <v>0.17549719999999999</v>
      </c>
      <c r="R5682">
        <v>-0.94180450000000004</v>
      </c>
      <c r="S5682">
        <v>-0.66430659999999997</v>
      </c>
      <c r="T5682">
        <v>-0.17372750000000001</v>
      </c>
      <c r="U5682">
        <v>-3.017944</v>
      </c>
      <c r="V5682">
        <v>-0.1560723</v>
      </c>
      <c r="W5682">
        <v>0.1875976</v>
      </c>
      <c r="X5682">
        <v>0.9697673</v>
      </c>
      <c r="Y5682">
        <v>-0.2333559</v>
      </c>
      <c r="Z5682">
        <v>3.3775979999999997E-2</v>
      </c>
      <c r="AA5682">
        <v>0.97180460000000002</v>
      </c>
      <c r="AB5682">
        <v>27</v>
      </c>
      <c r="AC5682">
        <v>-4.16109999999997</v>
      </c>
      <c r="AD5682">
        <v>-1.1163644109999999</v>
      </c>
      <c r="AE5682">
        <v>-19.158300000000001</v>
      </c>
      <c r="AF5682">
        <v>-4.6131159356435596</v>
      </c>
      <c r="AG5682">
        <v>-1.1163644109999999</v>
      </c>
      <c r="AH5682">
        <v>18.989310291110201</v>
      </c>
      <c r="AI5682">
        <v>93.269613108933598</v>
      </c>
      <c r="AJ5682">
        <v>103.654482887516</v>
      </c>
      <c r="AK5682">
        <v>19.573477296226599</v>
      </c>
      <c r="AL5682">
        <v>79.187384245461104</v>
      </c>
      <c r="AM5682">
        <v>99.142664871153897</v>
      </c>
      <c r="AN5682">
        <v>1.00000001925116</v>
      </c>
    </row>
    <row r="5683" spans="1:40" x14ac:dyDescent="0.25">
      <c r="A5683" t="str">
        <f>"20190304154911296"</f>
        <v>20190304154911296</v>
      </c>
      <c r="B5683" t="str">
        <f>"1551685751293092"</f>
        <v>1551685751293092</v>
      </c>
      <c r="C5683" t="s">
        <v>40</v>
      </c>
      <c r="D5683">
        <v>4.2315659999999999</v>
      </c>
      <c r="E5683">
        <v>0.47039789999999998</v>
      </c>
      <c r="F5683" t="s">
        <v>44</v>
      </c>
      <c r="G5683">
        <v>-421.55790000000002</v>
      </c>
      <c r="H5683" s="1">
        <v>-1.4682939999999901E-6</v>
      </c>
      <c r="I5683">
        <v>101.82089999999999</v>
      </c>
      <c r="J5683">
        <v>-417.3768</v>
      </c>
      <c r="K5683">
        <v>1.1162589999999999</v>
      </c>
      <c r="L5683">
        <v>120.68680000000001</v>
      </c>
      <c r="M5683">
        <v>-0.43032860000000001</v>
      </c>
      <c r="N5683">
        <v>-1.452267E-2</v>
      </c>
      <c r="O5683">
        <v>-0.90255549999999996</v>
      </c>
      <c r="P5683">
        <v>-0.28066380000000002</v>
      </c>
      <c r="Q5683">
        <v>0.174486</v>
      </c>
      <c r="R5683">
        <v>-0.94381269999999995</v>
      </c>
      <c r="S5683">
        <v>-0.6763306</v>
      </c>
      <c r="T5683">
        <v>-0.1759715</v>
      </c>
      <c r="U5683">
        <v>-3.0122990000000001</v>
      </c>
      <c r="V5683">
        <v>-0.15525159999999999</v>
      </c>
      <c r="W5683">
        <v>0.18662280000000001</v>
      </c>
      <c r="X5683">
        <v>0.97008709999999998</v>
      </c>
      <c r="Y5683">
        <v>-0.22219520000000001</v>
      </c>
      <c r="Z5683">
        <v>3.4819780000000002E-2</v>
      </c>
      <c r="AA5683">
        <v>0.97438029999999998</v>
      </c>
      <c r="AB5683">
        <v>27</v>
      </c>
      <c r="AC5683">
        <v>-4.1811000000000096</v>
      </c>
      <c r="AD5683">
        <v>-1.1162604682940001</v>
      </c>
      <c r="AE5683">
        <v>-18.8659</v>
      </c>
      <c r="AF5683">
        <v>-4.3308677185058304</v>
      </c>
      <c r="AG5683">
        <v>-1.1162604682940001</v>
      </c>
      <c r="AH5683">
        <v>18.766131957856398</v>
      </c>
      <c r="AI5683">
        <v>93.317111259400505</v>
      </c>
      <c r="AJ5683">
        <v>102.99525997656001</v>
      </c>
      <c r="AK5683">
        <v>19.2917122435504</v>
      </c>
      <c r="AL5683">
        <v>79.244240702827497</v>
      </c>
      <c r="AM5683">
        <v>99.092445911578807</v>
      </c>
      <c r="AN5683">
        <v>1.0000000551843999</v>
      </c>
    </row>
    <row r="5684" spans="1:40" x14ac:dyDescent="0.25">
      <c r="A5684" t="str">
        <f>"20190304154911319"</f>
        <v>20190304154911319</v>
      </c>
      <c r="B5684" t="str">
        <f>"1551685751312615"</f>
        <v>1551685751312615</v>
      </c>
      <c r="C5684" t="s">
        <v>40</v>
      </c>
      <c r="D5684">
        <v>4.2467160000000002</v>
      </c>
      <c r="E5684">
        <v>0.47094079999999999</v>
      </c>
      <c r="F5684" t="s">
        <v>44</v>
      </c>
      <c r="G5684">
        <v>-421.59829999999999</v>
      </c>
      <c r="H5684" s="1">
        <v>-1.2435409999999999E-6</v>
      </c>
      <c r="I5684">
        <v>101.3227</v>
      </c>
      <c r="J5684">
        <v>-417.48390000000001</v>
      </c>
      <c r="K5684">
        <v>1.116158</v>
      </c>
      <c r="L5684">
        <v>120.4438</v>
      </c>
      <c r="M5684">
        <v>-0.42390250000000002</v>
      </c>
      <c r="N5684">
        <v>-1.450516E-2</v>
      </c>
      <c r="O5684">
        <v>-0.90559199999999995</v>
      </c>
      <c r="P5684">
        <v>-0.27458769999999999</v>
      </c>
      <c r="Q5684">
        <v>0.1738922</v>
      </c>
      <c r="R5684">
        <v>-0.9457084</v>
      </c>
      <c r="S5684">
        <v>-0.65734859999999995</v>
      </c>
      <c r="T5684">
        <v>-0.1738181</v>
      </c>
      <c r="U5684">
        <v>-3.0152739999999998</v>
      </c>
      <c r="V5684">
        <v>-0.1545879</v>
      </c>
      <c r="W5684">
        <v>0.1860607</v>
      </c>
      <c r="X5684">
        <v>0.97030099999999997</v>
      </c>
      <c r="Y5684">
        <v>-0.22131670000000001</v>
      </c>
      <c r="Z5684">
        <v>3.4452829999999997E-2</v>
      </c>
      <c r="AA5684">
        <v>0.97459320000000005</v>
      </c>
      <c r="AB5684">
        <v>27</v>
      </c>
      <c r="AC5684">
        <v>-4.1143999999999803</v>
      </c>
      <c r="AD5684">
        <v>-1.1161592435409999</v>
      </c>
      <c r="AE5684">
        <v>-19.121099999999998</v>
      </c>
      <c r="AF5684">
        <v>-4.3657561448516002</v>
      </c>
      <c r="AG5684">
        <v>-1.1161592435409999</v>
      </c>
      <c r="AH5684">
        <v>19.000142678159101</v>
      </c>
      <c r="AI5684">
        <v>93.276769266637004</v>
      </c>
      <c r="AJ5684">
        <v>102.940515366376</v>
      </c>
      <c r="AK5684">
        <v>19.527187712613799</v>
      </c>
      <c r="AL5684">
        <v>79.277020386028497</v>
      </c>
      <c r="AM5684">
        <v>99.052258053751402</v>
      </c>
      <c r="AN5684">
        <v>1.00000001675594</v>
      </c>
    </row>
    <row r="5685" spans="1:40" x14ac:dyDescent="0.25">
      <c r="A5685" t="str">
        <f>"20190304154911340"</f>
        <v>20190304154911340</v>
      </c>
      <c r="B5685" t="str">
        <f>"1551685751333107"</f>
        <v>1551685751333107</v>
      </c>
      <c r="C5685" t="s">
        <v>40</v>
      </c>
      <c r="D5685">
        <v>4.2015900000000004</v>
      </c>
      <c r="E5685">
        <v>0.47688399999999997</v>
      </c>
      <c r="F5685" t="s">
        <v>44</v>
      </c>
      <c r="G5685">
        <v>-421.56779999999998</v>
      </c>
      <c r="H5685" s="1">
        <v>-1.1937450000000001E-6</v>
      </c>
      <c r="I5685">
        <v>101.2345</v>
      </c>
      <c r="J5685">
        <v>-417.58679999999998</v>
      </c>
      <c r="K5685">
        <v>1.1160620000000001</v>
      </c>
      <c r="L5685">
        <v>120.20610000000001</v>
      </c>
      <c r="M5685">
        <v>-0.4177265</v>
      </c>
      <c r="N5685">
        <v>-1.448816E-2</v>
      </c>
      <c r="O5685">
        <v>-0.90845750000000003</v>
      </c>
      <c r="P5685">
        <v>-0.26883400000000002</v>
      </c>
      <c r="Q5685">
        <v>0.17408599999999999</v>
      </c>
      <c r="R5685">
        <v>-0.94732430000000001</v>
      </c>
      <c r="S5685">
        <v>-0.64166259999999997</v>
      </c>
      <c r="T5685">
        <v>-0.17537139999999901</v>
      </c>
      <c r="U5685">
        <v>-3.018173</v>
      </c>
      <c r="V5685">
        <v>-0.15382019999999999</v>
      </c>
      <c r="W5685">
        <v>0.1862837</v>
      </c>
      <c r="X5685">
        <v>0.97038020000000003</v>
      </c>
      <c r="Y5685">
        <v>-0.219717</v>
      </c>
      <c r="Z5685">
        <v>3.5101750000000001E-2</v>
      </c>
      <c r="AA5685">
        <v>0.97493200000000002</v>
      </c>
      <c r="AB5685">
        <v>27</v>
      </c>
      <c r="AC5685">
        <v>-3.9809999999999901</v>
      </c>
      <c r="AD5685">
        <v>-1.1160631937450001</v>
      </c>
      <c r="AE5685">
        <v>-18.971599999999999</v>
      </c>
      <c r="AF5685">
        <v>-4.2945865871530398</v>
      </c>
      <c r="AG5685">
        <v>-1.1160631937450001</v>
      </c>
      <c r="AH5685">
        <v>18.837399811127302</v>
      </c>
      <c r="AI5685">
        <v>93.306018224601004</v>
      </c>
      <c r="AJ5685">
        <v>102.842898154998</v>
      </c>
      <c r="AK5685">
        <v>19.3529507479156</v>
      </c>
      <c r="AL5685">
        <v>79.264015910967203</v>
      </c>
      <c r="AM5685">
        <v>99.007319346417802</v>
      </c>
      <c r="AN5685">
        <v>1.0000000016828801</v>
      </c>
    </row>
    <row r="5686" spans="1:40" x14ac:dyDescent="0.25">
      <c r="A5686" t="str">
        <f>"20190304154911363"</f>
        <v>20190304154911363</v>
      </c>
      <c r="B5686" t="str">
        <f>"1551685751352628"</f>
        <v>1551685751352628</v>
      </c>
      <c r="C5686" t="s">
        <v>40</v>
      </c>
      <c r="D5686">
        <v>4.1958539999999998</v>
      </c>
      <c r="E5686">
        <v>0.47783799999999998</v>
      </c>
      <c r="F5686" t="s">
        <v>44</v>
      </c>
      <c r="G5686">
        <v>-421.81490000000002</v>
      </c>
      <c r="H5686" s="1">
        <v>-1.236049E-6</v>
      </c>
      <c r="I5686">
        <v>101.1849</v>
      </c>
      <c r="J5686">
        <v>-417.6891</v>
      </c>
      <c r="K5686">
        <v>1.1159600000000001</v>
      </c>
      <c r="L5686">
        <v>119.96559999999999</v>
      </c>
      <c r="M5686">
        <v>-0.41159079999999898</v>
      </c>
      <c r="N5686">
        <v>-1.447027E-2</v>
      </c>
      <c r="O5686">
        <v>-0.91125400000000001</v>
      </c>
      <c r="P5686">
        <v>-0.26261479999999998</v>
      </c>
      <c r="Q5686">
        <v>0.17457739999999999</v>
      </c>
      <c r="R5686">
        <v>-0.9489765</v>
      </c>
      <c r="S5686">
        <v>-0.66894529999999996</v>
      </c>
      <c r="T5686">
        <v>-0.17657819999999999</v>
      </c>
      <c r="U5686">
        <v>-3.0094449999999999</v>
      </c>
      <c r="V5686">
        <v>-0.1535628</v>
      </c>
      <c r="W5686">
        <v>0.18679850000000001</v>
      </c>
      <c r="X5686">
        <v>0.97032200000000002</v>
      </c>
      <c r="Y5686">
        <v>-0.20411319999999999</v>
      </c>
      <c r="Z5686">
        <v>3.5904709999999999E-2</v>
      </c>
      <c r="AA5686">
        <v>0.97828870000000001</v>
      </c>
      <c r="AB5686">
        <v>27</v>
      </c>
      <c r="AC5686">
        <v>-4.1258000000000203</v>
      </c>
      <c r="AD5686">
        <v>-1.1159612360490001</v>
      </c>
      <c r="AE5686">
        <v>-18.7807</v>
      </c>
      <c r="AF5686">
        <v>-3.9573973295600999</v>
      </c>
      <c r="AG5686">
        <v>-1.1159612360490001</v>
      </c>
      <c r="AH5686">
        <v>18.750939001692799</v>
      </c>
      <c r="AI5686">
        <v>93.332694581395003</v>
      </c>
      <c r="AJ5686">
        <v>101.917420571625</v>
      </c>
      <c r="AK5686">
        <v>19.196460000468299</v>
      </c>
      <c r="AL5686">
        <v>79.233993021332694</v>
      </c>
      <c r="AM5686">
        <v>98.993023720285393</v>
      </c>
      <c r="AN5686">
        <v>0.99999999841504394</v>
      </c>
    </row>
    <row r="5687" spans="1:40" x14ac:dyDescent="0.25">
      <c r="A5687" t="str">
        <f>"20190304154911386"</f>
        <v>20190304154911386</v>
      </c>
      <c r="B5687" t="str">
        <f>"1551685751382884"</f>
        <v>1551685751382884</v>
      </c>
      <c r="C5687" t="s">
        <v>40</v>
      </c>
      <c r="D5687">
        <v>4.1618490000000001</v>
      </c>
      <c r="E5687">
        <v>0.47879090000000002</v>
      </c>
      <c r="F5687" t="s">
        <v>44</v>
      </c>
      <c r="G5687">
        <v>-421.98820000000001</v>
      </c>
      <c r="H5687" s="1">
        <v>-8.4571580000000004E-7</v>
      </c>
      <c r="I5687">
        <v>100.2616</v>
      </c>
      <c r="J5687">
        <v>-417.7903</v>
      </c>
      <c r="K5687">
        <v>1.1158539999999999</v>
      </c>
      <c r="L5687">
        <v>119.7235</v>
      </c>
      <c r="M5687">
        <v>-0.40553109999999998</v>
      </c>
      <c r="N5687">
        <v>-1.4451749999999999E-2</v>
      </c>
      <c r="O5687">
        <v>-0.91396730000000004</v>
      </c>
      <c r="P5687">
        <v>-0.25655990000000001</v>
      </c>
      <c r="Q5687">
        <v>0.17452679999999901</v>
      </c>
      <c r="R5687">
        <v>-0.95064079999999995</v>
      </c>
      <c r="S5687">
        <v>-0.65692139999999999</v>
      </c>
      <c r="T5687">
        <v>-0.170524799999999</v>
      </c>
      <c r="U5687">
        <v>-3.0108799999999998</v>
      </c>
      <c r="V5687">
        <v>-0.1532577</v>
      </c>
      <c r="W5687">
        <v>0.1867741</v>
      </c>
      <c r="X5687">
        <v>0.97037490000000004</v>
      </c>
      <c r="Y5687">
        <v>-0.20142979999999999</v>
      </c>
      <c r="Z5687">
        <v>3.4434359999999997E-2</v>
      </c>
      <c r="AA5687">
        <v>0.97889749999999998</v>
      </c>
      <c r="AB5687">
        <v>27</v>
      </c>
      <c r="AC5687">
        <v>-4.1978999999999997</v>
      </c>
      <c r="AD5687">
        <v>-1.1158548457158</v>
      </c>
      <c r="AE5687">
        <v>-19.4619</v>
      </c>
      <c r="AF5687">
        <v>-4.0433837926461296</v>
      </c>
      <c r="AG5687">
        <v>-1.1158548457158</v>
      </c>
      <c r="AH5687">
        <v>19.4309131054396</v>
      </c>
      <c r="AI5687">
        <v>93.217919891666895</v>
      </c>
      <c r="AJ5687">
        <v>101.75494062943901</v>
      </c>
      <c r="AK5687">
        <v>19.878492614946602</v>
      </c>
      <c r="AL5687">
        <v>79.235415739000103</v>
      </c>
      <c r="AM5687">
        <v>98.974966122029201</v>
      </c>
      <c r="AN5687">
        <v>0.99999996679505399</v>
      </c>
    </row>
    <row r="5688" spans="1:40" x14ac:dyDescent="0.25">
      <c r="A5688" t="str">
        <f>"20190304154911408"</f>
        <v>20190304154911408</v>
      </c>
      <c r="B5688" t="str">
        <f>"1551685751403379"</f>
        <v>1551685751403379</v>
      </c>
      <c r="C5688" t="s">
        <v>40</v>
      </c>
      <c r="D5688">
        <v>4.1465439999999996</v>
      </c>
      <c r="E5688">
        <v>0.47941800000000001</v>
      </c>
      <c r="F5688" t="s">
        <v>44</v>
      </c>
      <c r="G5688">
        <v>-422.07100000000003</v>
      </c>
      <c r="H5688" s="1">
        <v>-6.1545209999999996E-7</v>
      </c>
      <c r="I5688">
        <v>99.727900000000005</v>
      </c>
      <c r="J5688">
        <v>-417.8913</v>
      </c>
      <c r="K5688">
        <v>1.1157429999999999</v>
      </c>
      <c r="L5688">
        <v>119.47799999999999</v>
      </c>
      <c r="M5688">
        <v>-0.39950780000000002</v>
      </c>
      <c r="N5688">
        <v>-1.4432830000000001E-2</v>
      </c>
      <c r="O5688">
        <v>-0.9166164</v>
      </c>
      <c r="P5688">
        <v>-0.25091609999999998</v>
      </c>
      <c r="Q5688">
        <v>0.17461299999999999</v>
      </c>
      <c r="R5688">
        <v>-0.95213009999999998</v>
      </c>
      <c r="S5688">
        <v>-0.64492799999999995</v>
      </c>
      <c r="T5688">
        <v>-0.16811679999999901</v>
      </c>
      <c r="U5688">
        <v>-3.0125730000000002</v>
      </c>
      <c r="V5688">
        <v>-0.15256839999999999</v>
      </c>
      <c r="W5688">
        <v>0.18689410000000001</v>
      </c>
      <c r="X5688">
        <v>0.97046049999999995</v>
      </c>
      <c r="Y5688">
        <v>-0.1988201</v>
      </c>
      <c r="Z5688">
        <v>3.3971719999999997E-2</v>
      </c>
      <c r="AA5688">
        <v>0.97944699999999996</v>
      </c>
      <c r="AB5688">
        <v>27</v>
      </c>
      <c r="AC5688">
        <v>-4.1796999999999596</v>
      </c>
      <c r="AD5688">
        <v>-1.1157436154521001</v>
      </c>
      <c r="AE5688">
        <v>-19.7500999999999</v>
      </c>
      <c r="AF5688">
        <v>-4.04719663433153</v>
      </c>
      <c r="AG5688">
        <v>-1.1157436154521001</v>
      </c>
      <c r="AH5688">
        <v>19.714921649987598</v>
      </c>
      <c r="AI5688">
        <v>93.173102847030606</v>
      </c>
      <c r="AJ5688">
        <v>101.600848907773</v>
      </c>
      <c r="AK5688">
        <v>20.1569546330173</v>
      </c>
      <c r="AL5688">
        <v>79.228417933154802</v>
      </c>
      <c r="AM5688">
        <v>98.934477148598603</v>
      </c>
      <c r="AN5688">
        <v>1.0000000516768</v>
      </c>
    </row>
    <row r="5689" spans="1:40" x14ac:dyDescent="0.25">
      <c r="A5689" t="str">
        <f>"20190304154911424"</f>
        <v>20190304154911424</v>
      </c>
      <c r="B5689" t="str">
        <f>"1551685751413139"</f>
        <v>1551685751413139</v>
      </c>
      <c r="C5689" t="s">
        <v>40</v>
      </c>
      <c r="D5689">
        <v>4.1695880000000001</v>
      </c>
      <c r="E5689">
        <v>0.47959010000000002</v>
      </c>
      <c r="F5689" t="s">
        <v>44</v>
      </c>
      <c r="G5689">
        <v>-422.12</v>
      </c>
      <c r="H5689" s="1">
        <v>-4.5576750000000004E-6</v>
      </c>
      <c r="I5689">
        <v>99.274659999999997</v>
      </c>
      <c r="J5689">
        <v>-417.96280000000002</v>
      </c>
      <c r="K5689">
        <v>1.1156600000000001</v>
      </c>
      <c r="L5689">
        <v>119.30119999999999</v>
      </c>
      <c r="M5689">
        <v>-0.39525900000000003</v>
      </c>
      <c r="N5689">
        <v>-1.441929E-2</v>
      </c>
      <c r="O5689">
        <v>-0.91845659999999896</v>
      </c>
      <c r="P5689">
        <v>-0.24682889999999999</v>
      </c>
      <c r="Q5689">
        <v>0.17470329999999901</v>
      </c>
      <c r="R5689">
        <v>-0.95318119999999995</v>
      </c>
      <c r="S5689">
        <v>-0.631073</v>
      </c>
      <c r="T5689">
        <v>-0.16650970000000001</v>
      </c>
      <c r="U5689">
        <v>-3.0150600000000001</v>
      </c>
      <c r="V5689">
        <v>-0.15219299999999999</v>
      </c>
      <c r="W5689">
        <v>0.18700700000000001</v>
      </c>
      <c r="X5689">
        <v>0.97049770000000002</v>
      </c>
      <c r="Y5689">
        <v>-0.1987535</v>
      </c>
      <c r="Z5689">
        <v>3.3638540000000001E-2</v>
      </c>
      <c r="AA5689">
        <v>0.97947200000000001</v>
      </c>
      <c r="AB5689">
        <v>27</v>
      </c>
      <c r="AC5689">
        <v>-4.15719999999998</v>
      </c>
      <c r="AD5689">
        <v>-1.1156645576749999</v>
      </c>
      <c r="AE5689">
        <v>-20.026540000000001</v>
      </c>
      <c r="AF5689">
        <v>-4.0857318394877904</v>
      </c>
      <c r="AG5689">
        <v>-1.1156645576749999</v>
      </c>
      <c r="AH5689">
        <v>19.979315879640801</v>
      </c>
      <c r="AI5689">
        <v>93.131458746286995</v>
      </c>
      <c r="AJ5689">
        <v>101.55752569541001</v>
      </c>
      <c r="AK5689">
        <v>20.423294912621799</v>
      </c>
      <c r="AL5689">
        <v>79.221833198372494</v>
      </c>
      <c r="AM5689">
        <v>98.912510753588506</v>
      </c>
      <c r="AN5689">
        <v>1.00000005650164</v>
      </c>
    </row>
    <row r="5690" spans="1:40" x14ac:dyDescent="0.25">
      <c r="A5690" t="str">
        <f>"20190304154911442"</f>
        <v>20190304154911442</v>
      </c>
      <c r="B5690" t="str">
        <f>"1551685751432660"</f>
        <v>1551685751432660</v>
      </c>
      <c r="C5690" t="s">
        <v>40</v>
      </c>
      <c r="D5690">
        <v>4.1226799999999999</v>
      </c>
      <c r="E5690">
        <v>0.48421540000000002</v>
      </c>
      <c r="F5690" t="s">
        <v>44</v>
      </c>
      <c r="G5690">
        <v>-422.13</v>
      </c>
      <c r="H5690" s="1">
        <v>-4.4646749999999997E-6</v>
      </c>
      <c r="I5690">
        <v>98.996170000000006</v>
      </c>
      <c r="J5690">
        <v>-418.03800000000001</v>
      </c>
      <c r="K5690">
        <v>1.1155660000000001</v>
      </c>
      <c r="L5690">
        <v>119.1131</v>
      </c>
      <c r="M5690">
        <v>-0.39080520000000002</v>
      </c>
      <c r="N5690">
        <v>-1.4405019999999999E-2</v>
      </c>
      <c r="O5690">
        <v>-0.92036099999999998</v>
      </c>
      <c r="P5690">
        <v>-0.24233450000000001</v>
      </c>
      <c r="Q5690">
        <v>0.1741356</v>
      </c>
      <c r="R5690">
        <v>-0.9544376</v>
      </c>
      <c r="S5690">
        <v>-0.61926269999999894</v>
      </c>
      <c r="T5690">
        <v>-0.1657904</v>
      </c>
      <c r="U5690">
        <v>-3.0173800000000002</v>
      </c>
      <c r="V5690">
        <v>-0.15205779999999999</v>
      </c>
      <c r="W5690">
        <v>0.18646119999999999</v>
      </c>
      <c r="X5690">
        <v>0.97062389999999998</v>
      </c>
      <c r="Y5690">
        <v>-0.19783290000000001</v>
      </c>
      <c r="Z5690">
        <v>3.3567590000000001E-2</v>
      </c>
      <c r="AA5690">
        <v>0.97966089999999995</v>
      </c>
      <c r="AB5690">
        <v>27</v>
      </c>
      <c r="AC5690">
        <v>-4.0919999999999801</v>
      </c>
      <c r="AD5690">
        <v>-1.115570464675</v>
      </c>
      <c r="AE5690">
        <v>-20.11693</v>
      </c>
      <c r="AF5690">
        <v>-4.08404727509369</v>
      </c>
      <c r="AG5690">
        <v>-1.115570464675</v>
      </c>
      <c r="AH5690">
        <v>20.0568661884253</v>
      </c>
      <c r="AI5690">
        <v>93.1196457497512</v>
      </c>
      <c r="AJ5690">
        <v>101.509413335487</v>
      </c>
      <c r="AK5690">
        <v>20.4988248664955</v>
      </c>
      <c r="AL5690">
        <v>79.253665119325206</v>
      </c>
      <c r="AM5690">
        <v>98.903581059580105</v>
      </c>
      <c r="AN5690">
        <v>1.00000005444874</v>
      </c>
    </row>
    <row r="5691" spans="1:40" x14ac:dyDescent="0.25">
      <c r="A5691" t="str">
        <f>"20190304154911464"</f>
        <v>20190304154911464</v>
      </c>
      <c r="B5691" t="str">
        <f>"1551685751453156"</f>
        <v>1551685751453156</v>
      </c>
      <c r="C5691" t="s">
        <v>40</v>
      </c>
      <c r="D5691">
        <v>4.1834879999999997</v>
      </c>
      <c r="E5691">
        <v>0.48473929999999998</v>
      </c>
      <c r="F5691" t="s">
        <v>44</v>
      </c>
      <c r="G5691">
        <v>-422.07150000000001</v>
      </c>
      <c r="H5691" s="1">
        <v>-8.2704829999999996E-7</v>
      </c>
      <c r="I5691">
        <v>100.1752</v>
      </c>
      <c r="J5691">
        <v>-418.13630000000001</v>
      </c>
      <c r="K5691">
        <v>1.115451</v>
      </c>
      <c r="L5691">
        <v>118.86369999999999</v>
      </c>
      <c r="M5691">
        <v>-0.38501000000000002</v>
      </c>
      <c r="N5691">
        <v>-1.4386329999999999E-2</v>
      </c>
      <c r="O5691">
        <v>-0.92280039999999997</v>
      </c>
      <c r="P5691">
        <v>-0.23617679999999999</v>
      </c>
      <c r="Q5691">
        <v>0.17363429999999999</v>
      </c>
      <c r="R5691">
        <v>-0.95607109999999995</v>
      </c>
      <c r="S5691">
        <v>-0.64166259999999997</v>
      </c>
      <c r="T5691">
        <v>-0.1774666</v>
      </c>
      <c r="U5691">
        <v>-3.01268</v>
      </c>
      <c r="V5691">
        <v>-0.15218889999999999</v>
      </c>
      <c r="W5691">
        <v>0.18598339999999999</v>
      </c>
      <c r="X5691">
        <v>0.97069499999999997</v>
      </c>
      <c r="Y5691">
        <v>-0.1844026</v>
      </c>
      <c r="Z5691">
        <v>3.7252609999999999E-2</v>
      </c>
      <c r="AA5691">
        <v>0.98214449999999998</v>
      </c>
      <c r="AB5691">
        <v>27</v>
      </c>
      <c r="AC5691">
        <v>-3.9352</v>
      </c>
      <c r="AD5691">
        <v>-1.1154518270483</v>
      </c>
      <c r="AE5691">
        <v>-18.688499999999902</v>
      </c>
      <c r="AF5691">
        <v>-3.5521066101060801</v>
      </c>
      <c r="AG5691">
        <v>-1.1154518270483</v>
      </c>
      <c r="AH5691">
        <v>18.698999433035599</v>
      </c>
      <c r="AI5691">
        <v>93.353982393467902</v>
      </c>
      <c r="AJ5691">
        <v>100.755887223168</v>
      </c>
      <c r="AK5691">
        <v>19.066050297444701</v>
      </c>
      <c r="AL5691">
        <v>79.281528222551799</v>
      </c>
      <c r="AM5691">
        <v>98.910492102077299</v>
      </c>
      <c r="AN5691">
        <v>1.00000003469188</v>
      </c>
    </row>
    <row r="5692" spans="1:40" x14ac:dyDescent="0.25">
      <c r="A5692" t="str">
        <f>"20190304154911487"</f>
        <v>20190304154911487</v>
      </c>
      <c r="B5692" t="str">
        <f>"1551685751483411"</f>
        <v>1551685751483411</v>
      </c>
      <c r="C5692" t="s">
        <v>40</v>
      </c>
      <c r="D5692">
        <v>4.0817620000000003</v>
      </c>
      <c r="E5692">
        <v>0.45671719999999999</v>
      </c>
      <c r="F5692" t="s">
        <v>44</v>
      </c>
      <c r="G5692">
        <v>-422.14150000000001</v>
      </c>
      <c r="H5692" s="1">
        <v>-4.6664290000000001E-6</v>
      </c>
      <c r="I5692">
        <v>99.583029999999994</v>
      </c>
      <c r="J5692">
        <v>-418.22969999999998</v>
      </c>
      <c r="K5692">
        <v>1.1153459999999999</v>
      </c>
      <c r="L5692">
        <v>118.6224</v>
      </c>
      <c r="M5692">
        <v>-0.37951610000000002</v>
      </c>
      <c r="N5692">
        <v>-1.4368789999999999E-2</v>
      </c>
      <c r="O5692">
        <v>-0.9250737</v>
      </c>
      <c r="P5692">
        <v>-0.23061709999999999</v>
      </c>
      <c r="Q5692">
        <v>0.17274349999999999</v>
      </c>
      <c r="R5692">
        <v>-0.95758869999999896</v>
      </c>
      <c r="S5692">
        <v>-0.62628169999999905</v>
      </c>
      <c r="T5692">
        <v>-0.17441799999999999</v>
      </c>
      <c r="U5692">
        <v>-3.0148160000000002</v>
      </c>
      <c r="V5692">
        <v>-0.1520629</v>
      </c>
      <c r="W5692">
        <v>0.18511610000000001</v>
      </c>
      <c r="X5692">
        <v>0.97088050000000004</v>
      </c>
      <c r="Y5692">
        <v>-0.18349470000000001</v>
      </c>
      <c r="Z5692">
        <v>3.6556930000000001E-2</v>
      </c>
      <c r="AA5692">
        <v>0.98234069999999996</v>
      </c>
      <c r="AB5692">
        <v>27</v>
      </c>
      <c r="AC5692">
        <v>-3.9118000000000199</v>
      </c>
      <c r="AD5692">
        <v>-1.115350666429</v>
      </c>
      <c r="AE5692">
        <v>-19.039369999999899</v>
      </c>
      <c r="AF5692">
        <v>-3.5955766555686699</v>
      </c>
      <c r="AG5692">
        <v>-1.115350666429</v>
      </c>
      <c r="AH5692">
        <v>19.036697152684599</v>
      </c>
      <c r="AI5692">
        <v>93.294972210006804</v>
      </c>
      <c r="AJ5692">
        <v>100.69580189251499</v>
      </c>
      <c r="AK5692">
        <v>19.405360524303699</v>
      </c>
      <c r="AL5692">
        <v>79.332098869072595</v>
      </c>
      <c r="AM5692">
        <v>98.901559329854095</v>
      </c>
      <c r="AN5692">
        <v>1.00000002065793</v>
      </c>
    </row>
    <row r="5693" spans="1:40" x14ac:dyDescent="0.25">
      <c r="A5693" t="str">
        <f>"20190304154911508"</f>
        <v>20190304154911508</v>
      </c>
      <c r="B5693" t="str">
        <f>"1551685751502932"</f>
        <v>1551685751502932</v>
      </c>
      <c r="C5693" t="s">
        <v>40</v>
      </c>
      <c r="D5693">
        <v>4.0922749999999999</v>
      </c>
      <c r="E5693">
        <v>0.454015</v>
      </c>
      <c r="F5693" t="s">
        <v>44</v>
      </c>
      <c r="G5693">
        <v>-421.54719999999998</v>
      </c>
      <c r="H5693" s="1">
        <v>-1.657314E-6</v>
      </c>
      <c r="I5693">
        <v>92.492739999999998</v>
      </c>
      <c r="J5693">
        <v>-418.32319999999999</v>
      </c>
      <c r="K5693">
        <v>1.115256</v>
      </c>
      <c r="L5693">
        <v>118.3771</v>
      </c>
      <c r="M5693">
        <v>-0.37403320000000001</v>
      </c>
      <c r="N5693">
        <v>-1.435171E-2</v>
      </c>
      <c r="O5693">
        <v>-0.92730440000000003</v>
      </c>
      <c r="P5693">
        <v>-0.22480559999999999</v>
      </c>
      <c r="Q5693">
        <v>0.17210780000000001</v>
      </c>
      <c r="R5693">
        <v>-0.95908400000000005</v>
      </c>
      <c r="S5693">
        <v>-0.38885500000000001</v>
      </c>
      <c r="T5693">
        <v>-0.13073609999999999</v>
      </c>
      <c r="U5693">
        <v>-3.062805</v>
      </c>
      <c r="V5693">
        <v>-0.152197</v>
      </c>
      <c r="W5693">
        <v>0.18449840000000001</v>
      </c>
      <c r="X5693">
        <v>0.97097699999999998</v>
      </c>
      <c r="Y5693">
        <v>-0.25421189999999999</v>
      </c>
      <c r="Z5693">
        <v>2.3196379999999999E-2</v>
      </c>
      <c r="AA5693">
        <v>0.96687029999999996</v>
      </c>
      <c r="AB5693">
        <v>26</v>
      </c>
      <c r="AC5693">
        <v>-3.2239999999999802</v>
      </c>
      <c r="AD5693">
        <v>-1.1152576573140001</v>
      </c>
      <c r="AE5693">
        <v>-25.884360000000001</v>
      </c>
      <c r="AF5693">
        <v>-6.6804567847624003</v>
      </c>
      <c r="AG5693">
        <v>-1.1152576573140001</v>
      </c>
      <c r="AH5693">
        <v>25.1651539056415</v>
      </c>
      <c r="AI5693">
        <v>92.452705005355796</v>
      </c>
      <c r="AJ5693">
        <v>104.86709555954501</v>
      </c>
      <c r="AK5693">
        <v>26.060646070078601</v>
      </c>
      <c r="AL5693">
        <v>79.368110137559896</v>
      </c>
      <c r="AM5693">
        <v>98.908412249436296</v>
      </c>
      <c r="AN5693">
        <v>0.99999996047027895</v>
      </c>
    </row>
    <row r="5694" spans="1:40" x14ac:dyDescent="0.25">
      <c r="A5694" t="str">
        <f>"20190304154911531"</f>
        <v>20190304154911531</v>
      </c>
      <c r="B5694" t="str">
        <f>"1551685751523428"</f>
        <v>1551685751523428</v>
      </c>
      <c r="C5694" t="s">
        <v>40</v>
      </c>
      <c r="D5694">
        <v>4.0958800000000002</v>
      </c>
      <c r="E5694">
        <v>0.45315859999999902</v>
      </c>
      <c r="F5694" t="s">
        <v>44</v>
      </c>
      <c r="G5694">
        <v>-421.3</v>
      </c>
      <c r="H5694" s="1">
        <v>-1.453708E-6</v>
      </c>
      <c r="I5694">
        <v>92.171449999999993</v>
      </c>
      <c r="J5694">
        <v>-418.41309999999999</v>
      </c>
      <c r="K5694">
        <v>1.115167</v>
      </c>
      <c r="L5694">
        <v>118.1374</v>
      </c>
      <c r="M5694">
        <v>-0.36876979999999998</v>
      </c>
      <c r="N5694">
        <v>-1.4335789999999999E-2</v>
      </c>
      <c r="O5694">
        <v>-0.92941019999999996</v>
      </c>
      <c r="P5694">
        <v>-0.21939639999999999</v>
      </c>
      <c r="Q5694">
        <v>0.170575799999999</v>
      </c>
      <c r="R5694">
        <v>-0.96060880000000004</v>
      </c>
      <c r="S5694">
        <v>-0.3486938</v>
      </c>
      <c r="T5694">
        <v>-0.1306406</v>
      </c>
      <c r="U5694">
        <v>-3.0697169999999998</v>
      </c>
      <c r="V5694">
        <v>-0.15221209999999999</v>
      </c>
      <c r="W5694">
        <v>0.18298539999999999</v>
      </c>
      <c r="X5694">
        <v>0.97126100000000004</v>
      </c>
      <c r="Y5694">
        <v>-0.26145940000000001</v>
      </c>
      <c r="Z5694">
        <v>2.31776E-2</v>
      </c>
      <c r="AA5694">
        <v>0.96493609999999996</v>
      </c>
      <c r="AB5694">
        <v>26</v>
      </c>
      <c r="AC5694">
        <v>-2.8869000000000198</v>
      </c>
      <c r="AD5694">
        <v>-1.115168453708</v>
      </c>
      <c r="AE5694">
        <v>-25.965949999999999</v>
      </c>
      <c r="AF5694">
        <v>-6.8805162551990096</v>
      </c>
      <c r="AG5694">
        <v>-1.115168453708</v>
      </c>
      <c r="AH5694">
        <v>25.154379868799801</v>
      </c>
      <c r="AI5694">
        <v>92.448596455234494</v>
      </c>
      <c r="AJ5694">
        <v>105.29800081207</v>
      </c>
      <c r="AK5694">
        <v>26.102259120660101</v>
      </c>
      <c r="AL5694">
        <v>79.456301150534898</v>
      </c>
      <c r="AM5694">
        <v>98.906718574889297</v>
      </c>
      <c r="AN5694">
        <v>1.0000000550602799</v>
      </c>
    </row>
    <row r="5695" spans="1:40" x14ac:dyDescent="0.25">
      <c r="A5695" t="str">
        <f>"20190304154911553"</f>
        <v>20190304154911553</v>
      </c>
      <c r="B5695" t="str">
        <f>"1551685751542947"</f>
        <v>1551685751542947</v>
      </c>
      <c r="C5695" t="s">
        <v>40</v>
      </c>
      <c r="D5695">
        <v>4.0723599999999998</v>
      </c>
      <c r="E5695">
        <v>0.45293050000000001</v>
      </c>
      <c r="F5695" t="s">
        <v>44</v>
      </c>
      <c r="G5695">
        <v>-421.10289999999998</v>
      </c>
      <c r="H5695" s="1">
        <v>-1.611295E-6</v>
      </c>
      <c r="I5695">
        <v>92.661019999999994</v>
      </c>
      <c r="J5695">
        <v>-418.50380000000001</v>
      </c>
      <c r="K5695">
        <v>1.115083</v>
      </c>
      <c r="L5695">
        <v>117.8913</v>
      </c>
      <c r="M5695">
        <v>-0.36345420000000001</v>
      </c>
      <c r="N5695">
        <v>-1.432014E-2</v>
      </c>
      <c r="O5695">
        <v>-0.9315021</v>
      </c>
      <c r="P5695">
        <v>-0.2140205</v>
      </c>
      <c r="Q5695">
        <v>0.16976620000000001</v>
      </c>
      <c r="R5695">
        <v>-0.96196409999999999</v>
      </c>
      <c r="S5695">
        <v>-0.32443240000000001</v>
      </c>
      <c r="T5695">
        <v>-0.13450570000000001</v>
      </c>
      <c r="U5695">
        <v>-3.0728300000000002</v>
      </c>
      <c r="V5695">
        <v>-0.15210379999999901</v>
      </c>
      <c r="W5695">
        <v>0.18219260000000001</v>
      </c>
      <c r="X5695">
        <v>0.97142689999999998</v>
      </c>
      <c r="Y5695">
        <v>-0.26358189999999998</v>
      </c>
      <c r="Z5695">
        <v>2.436489E-2</v>
      </c>
      <c r="AA5695">
        <v>0.96432929999999994</v>
      </c>
      <c r="AB5695">
        <v>26</v>
      </c>
      <c r="AC5695">
        <v>-2.59909999999996</v>
      </c>
      <c r="AD5695">
        <v>-1.1150846112949999</v>
      </c>
      <c r="AE5695">
        <v>-25.23028</v>
      </c>
      <c r="AF5695">
        <v>-6.7366549952497001</v>
      </c>
      <c r="AG5695">
        <v>-1.1150846112949999</v>
      </c>
      <c r="AH5695">
        <v>24.4020530500757</v>
      </c>
      <c r="AI5695">
        <v>92.522168405782395</v>
      </c>
      <c r="AJ5695">
        <v>105.433188615844</v>
      </c>
      <c r="AK5695">
        <v>25.339418447827001</v>
      </c>
      <c r="AL5695">
        <v>79.502500960945099</v>
      </c>
      <c r="AM5695">
        <v>98.898987182932103</v>
      </c>
      <c r="AN5695">
        <v>0.99999996575640404</v>
      </c>
    </row>
    <row r="5696" spans="1:40" x14ac:dyDescent="0.25">
      <c r="A5696" t="str">
        <f>"20190304154911576"</f>
        <v>20190304154911576</v>
      </c>
      <c r="B5696" t="str">
        <f>"1551685751573204"</f>
        <v>1551685751573204</v>
      </c>
      <c r="C5696" t="s">
        <v>40</v>
      </c>
      <c r="D5696">
        <v>4.0653699999999997</v>
      </c>
      <c r="E5696">
        <v>0.4532409</v>
      </c>
      <c r="F5696" t="s">
        <v>44</v>
      </c>
      <c r="G5696">
        <v>-421.00389999999999</v>
      </c>
      <c r="H5696" s="1">
        <v>-1.638805E-6</v>
      </c>
      <c r="I5696">
        <v>92.786569999999998</v>
      </c>
      <c r="J5696">
        <v>-418.59269999999998</v>
      </c>
      <c r="K5696">
        <v>1.1150100000000001</v>
      </c>
      <c r="L5696">
        <v>117.6461</v>
      </c>
      <c r="M5696">
        <v>-0.35822470000000001</v>
      </c>
      <c r="N5696">
        <v>-1.4305490000000001E-2</v>
      </c>
      <c r="O5696">
        <v>-0.93352570000000001</v>
      </c>
      <c r="P5696">
        <v>-0.2085757</v>
      </c>
      <c r="Q5696">
        <v>0.16886979999999999</v>
      </c>
      <c r="R5696">
        <v>-0.96331659999999997</v>
      </c>
      <c r="S5696">
        <v>-0.30618289999999998</v>
      </c>
      <c r="T5696">
        <v>-0.1365664</v>
      </c>
      <c r="U5696">
        <v>-3.0746150000000001</v>
      </c>
      <c r="V5696">
        <v>-0.152169</v>
      </c>
      <c r="W5696">
        <v>0.18130779999999999</v>
      </c>
      <c r="X5696">
        <v>0.97158219999999995</v>
      </c>
      <c r="Y5696">
        <v>-0.2638954</v>
      </c>
      <c r="Z5696">
        <v>2.5065750000000001E-2</v>
      </c>
      <c r="AA5696">
        <v>0.96422560000000002</v>
      </c>
      <c r="AB5696">
        <v>26</v>
      </c>
      <c r="AC5696">
        <v>-2.4112</v>
      </c>
      <c r="AD5696">
        <v>-1.115011638805</v>
      </c>
      <c r="AE5696">
        <v>-24.859529999999999</v>
      </c>
      <c r="AF5696">
        <v>-6.6418249980238899</v>
      </c>
      <c r="AG5696">
        <v>-1.115011638805</v>
      </c>
      <c r="AH5696">
        <v>24.025344736864898</v>
      </c>
      <c r="AI5696">
        <v>92.561244835940499</v>
      </c>
      <c r="AJ5696">
        <v>105.453501218998</v>
      </c>
      <c r="AK5696">
        <v>24.951438435173301</v>
      </c>
      <c r="AL5696">
        <v>79.554054718426499</v>
      </c>
      <c r="AM5696">
        <v>98.901340438912101</v>
      </c>
      <c r="AN5696">
        <v>0.99999994712933804</v>
      </c>
    </row>
    <row r="5697" spans="1:40" x14ac:dyDescent="0.25">
      <c r="A5697" t="str">
        <f>"20190304154911598"</f>
        <v>20190304154911598</v>
      </c>
      <c r="B5697" t="str">
        <f>"1551685751592723"</f>
        <v>1551685751592723</v>
      </c>
      <c r="C5697" t="s">
        <v>40</v>
      </c>
      <c r="D5697">
        <v>4.0557019999999904</v>
      </c>
      <c r="E5697">
        <v>0.4535653</v>
      </c>
      <c r="F5697" t="s">
        <v>44</v>
      </c>
      <c r="G5697">
        <v>-420.92129999999997</v>
      </c>
      <c r="H5697" s="1">
        <v>-1.731427E-6</v>
      </c>
      <c r="I5697">
        <v>93.053669999999997</v>
      </c>
      <c r="J5697">
        <v>-418.68099999999998</v>
      </c>
      <c r="K5697">
        <v>1.114957</v>
      </c>
      <c r="L5697">
        <v>117.3982</v>
      </c>
      <c r="M5697">
        <v>-0.3529834</v>
      </c>
      <c r="N5697">
        <v>-1.4292030000000001E-2</v>
      </c>
      <c r="O5697">
        <v>-0.93552049999999998</v>
      </c>
      <c r="P5697">
        <v>-0.20331279999999999</v>
      </c>
      <c r="Q5697">
        <v>0.1689109</v>
      </c>
      <c r="R5697">
        <v>-0.96443409999999996</v>
      </c>
      <c r="S5697">
        <v>-0.29122920000000002</v>
      </c>
      <c r="T5697">
        <v>-0.13944790000000001</v>
      </c>
      <c r="U5697">
        <v>-3.0756230000000002</v>
      </c>
      <c r="V5697">
        <v>-0.15199799999999999</v>
      </c>
      <c r="W5697">
        <v>0.1813584</v>
      </c>
      <c r="X5697">
        <v>0.97159960000000001</v>
      </c>
      <c r="Y5697">
        <v>-0.2631617</v>
      </c>
      <c r="Z5697">
        <v>2.601995E-2</v>
      </c>
      <c r="AA5697">
        <v>0.96440079999999995</v>
      </c>
      <c r="AB5697">
        <v>26</v>
      </c>
      <c r="AC5697">
        <v>-2.2402999999999902</v>
      </c>
      <c r="AD5697">
        <v>-1.114958731427</v>
      </c>
      <c r="AE5697">
        <v>-24.344529999999999</v>
      </c>
      <c r="AF5697">
        <v>-6.4845440830296903</v>
      </c>
      <c r="AG5697">
        <v>-1.114958731427</v>
      </c>
      <c r="AH5697">
        <v>23.5190825203562</v>
      </c>
      <c r="AI5697">
        <v>92.616671096216507</v>
      </c>
      <c r="AJ5697">
        <v>105.414285770993</v>
      </c>
      <c r="AK5697">
        <v>24.422114722866699</v>
      </c>
      <c r="AL5697">
        <v>79.551107469404698</v>
      </c>
      <c r="AM5697">
        <v>98.891340775650406</v>
      </c>
      <c r="AN5697">
        <v>1.0000000219873499</v>
      </c>
    </row>
    <row r="5698" spans="1:40" x14ac:dyDescent="0.25">
      <c r="A5698" t="str">
        <f>"20190304154911620"</f>
        <v>20190304154911620</v>
      </c>
      <c r="B5698" t="str">
        <f>"1551685751613220"</f>
        <v>1551685751613220</v>
      </c>
      <c r="C5698" t="s">
        <v>40</v>
      </c>
      <c r="D5698">
        <v>4.0743580000000001</v>
      </c>
      <c r="E5698">
        <v>0.45398250000000001</v>
      </c>
      <c r="F5698" t="s">
        <v>44</v>
      </c>
      <c r="G5698">
        <v>-420.89080000000001</v>
      </c>
      <c r="H5698" s="1">
        <v>-1.623285E-6</v>
      </c>
      <c r="I5698">
        <v>92.820499999999996</v>
      </c>
      <c r="J5698">
        <v>-418.76560000000001</v>
      </c>
      <c r="K5698">
        <v>1.114922</v>
      </c>
      <c r="L5698">
        <v>117.1568</v>
      </c>
      <c r="M5698">
        <v>-0.34790989999999999</v>
      </c>
      <c r="N5698">
        <v>-1.428049E-2</v>
      </c>
      <c r="O5698">
        <v>-0.93741940000000001</v>
      </c>
      <c r="P5698">
        <v>-0.19745760000000001</v>
      </c>
      <c r="Q5698">
        <v>0.16912739999999901</v>
      </c>
      <c r="R5698">
        <v>-0.96561220000000003</v>
      </c>
      <c r="S5698">
        <v>-0.27664179999999999</v>
      </c>
      <c r="T5698">
        <v>-0.13957729999999999</v>
      </c>
      <c r="U5698">
        <v>-3.0767820000000001</v>
      </c>
      <c r="V5698">
        <v>-0.15260109999999999</v>
      </c>
      <c r="W5698">
        <v>0.18157039999999999</v>
      </c>
      <c r="X5698">
        <v>0.97146540000000003</v>
      </c>
      <c r="Y5698">
        <v>-0.2625035</v>
      </c>
      <c r="Z5698">
        <v>2.6176939999999999E-2</v>
      </c>
      <c r="AA5698">
        <v>0.96457590000000004</v>
      </c>
      <c r="AB5698">
        <v>26</v>
      </c>
      <c r="AC5698">
        <v>-2.1252</v>
      </c>
      <c r="AD5698">
        <v>-1.1149236232849999</v>
      </c>
      <c r="AE5698">
        <v>-24.336300000000001</v>
      </c>
      <c r="AF5698">
        <v>-6.4618353398875401</v>
      </c>
      <c r="AG5698">
        <v>-1.1149236232849999</v>
      </c>
      <c r="AH5698">
        <v>23.506133105999101</v>
      </c>
      <c r="AI5698">
        <v>92.618573065219195</v>
      </c>
      <c r="AJ5698">
        <v>105.370922894438</v>
      </c>
      <c r="AK5698">
        <v>24.4036199003862</v>
      </c>
      <c r="AL5698">
        <v>79.538755087519704</v>
      </c>
      <c r="AM5698">
        <v>98.927266212602007</v>
      </c>
      <c r="AN5698">
        <v>0.99999996463726404</v>
      </c>
    </row>
    <row r="5699" spans="1:40" x14ac:dyDescent="0.25">
      <c r="A5699" t="str">
        <f>"20190304154911643"</f>
        <v>20190304154911643</v>
      </c>
      <c r="B5699" t="str">
        <f>"1551685751632739"</f>
        <v>1551685751632739</v>
      </c>
      <c r="C5699" t="s">
        <v>40</v>
      </c>
      <c r="D5699">
        <v>4.0615709999999998</v>
      </c>
      <c r="E5699">
        <v>0.45443070000000002</v>
      </c>
      <c r="F5699" t="s">
        <v>44</v>
      </c>
      <c r="G5699">
        <v>-420.87240000000003</v>
      </c>
      <c r="H5699" s="1">
        <v>-1.4193919999999999E-6</v>
      </c>
      <c r="I5699">
        <v>92.356669999999994</v>
      </c>
      <c r="J5699">
        <v>-418.85239999999999</v>
      </c>
      <c r="K5699">
        <v>1.1149</v>
      </c>
      <c r="L5699">
        <v>116.9045</v>
      </c>
      <c r="M5699">
        <v>-0.34262579999999998</v>
      </c>
      <c r="N5699">
        <v>-1.4269769999999999E-2</v>
      </c>
      <c r="O5699">
        <v>-0.93936370000000002</v>
      </c>
      <c r="P5699">
        <v>-0.19073080000000001</v>
      </c>
      <c r="Q5699">
        <v>0.16995639999999901</v>
      </c>
      <c r="R5699">
        <v>-0.96681799999999996</v>
      </c>
      <c r="S5699">
        <v>-0.26144410000000001</v>
      </c>
      <c r="T5699">
        <v>-0.13835799999999901</v>
      </c>
      <c r="U5699">
        <v>-3.0776059999999998</v>
      </c>
      <c r="V5699">
        <v>-0.15384200000000001</v>
      </c>
      <c r="W5699">
        <v>0.18238299999999999</v>
      </c>
      <c r="X5699">
        <v>0.97111740000000002</v>
      </c>
      <c r="Y5699">
        <v>-0.26182090000000002</v>
      </c>
      <c r="Z5699">
        <v>2.59513E-2</v>
      </c>
      <c r="AA5699">
        <v>0.9647675</v>
      </c>
      <c r="AB5699">
        <v>26</v>
      </c>
      <c r="AC5699">
        <v>-2.0200000000000302</v>
      </c>
      <c r="AD5699">
        <v>-1.1149014193919999</v>
      </c>
      <c r="AE5699">
        <v>-24.547830000000001</v>
      </c>
      <c r="AF5699">
        <v>-6.50054888856247</v>
      </c>
      <c r="AG5699">
        <v>-1.1149014193919999</v>
      </c>
      <c r="AH5699">
        <v>23.705291202207299</v>
      </c>
      <c r="AI5699">
        <v>92.596999788247302</v>
      </c>
      <c r="AJ5699">
        <v>105.334883056338</v>
      </c>
      <c r="AK5699">
        <v>24.6057101504712</v>
      </c>
      <c r="AL5699">
        <v>79.491405910949993</v>
      </c>
      <c r="AM5699">
        <v>99.001848350986805</v>
      </c>
      <c r="AN5699">
        <v>0.999999962117879</v>
      </c>
    </row>
    <row r="5700" spans="1:40" x14ac:dyDescent="0.25">
      <c r="A5700" t="str">
        <f>"20190304154911665"</f>
        <v>20190304154911665</v>
      </c>
      <c r="B5700" t="str">
        <f>"1551685751662996"</f>
        <v>1551685751662996</v>
      </c>
      <c r="C5700" t="s">
        <v>40</v>
      </c>
      <c r="D5700">
        <v>4.0794489999999897</v>
      </c>
      <c r="E5700">
        <v>0.45528780000000002</v>
      </c>
      <c r="F5700" t="s">
        <v>44</v>
      </c>
      <c r="G5700">
        <v>-420.84989999999999</v>
      </c>
      <c r="H5700" s="1">
        <v>-1.1274589999999999E-6</v>
      </c>
      <c r="I5700">
        <v>91.690110000000004</v>
      </c>
      <c r="J5700">
        <v>-418.93369999999999</v>
      </c>
      <c r="K5700">
        <v>1.1148899999999999</v>
      </c>
      <c r="L5700">
        <v>116.6645</v>
      </c>
      <c r="M5700">
        <v>-0.33760499999999999</v>
      </c>
      <c r="N5700">
        <v>-1.426059E-2</v>
      </c>
      <c r="O5700">
        <v>-0.94118009999999996</v>
      </c>
      <c r="P5700">
        <v>-0.18416179999999999</v>
      </c>
      <c r="Q5700">
        <v>0.1709763</v>
      </c>
      <c r="R5700">
        <v>-0.96791110000000002</v>
      </c>
      <c r="S5700">
        <v>-0.24389649999999999</v>
      </c>
      <c r="T5700">
        <v>-0.13613400000000001</v>
      </c>
      <c r="U5700">
        <v>-3.0787810000000002</v>
      </c>
      <c r="V5700">
        <v>-0.15519530000000001</v>
      </c>
      <c r="W5700">
        <v>0.18338199999999999</v>
      </c>
      <c r="X5700">
        <v>0.97071390000000002</v>
      </c>
      <c r="Y5700">
        <v>-0.26216070000000002</v>
      </c>
      <c r="Z5700">
        <v>2.541115E-2</v>
      </c>
      <c r="AA5700">
        <v>0.96468960000000004</v>
      </c>
      <c r="AB5700">
        <v>26</v>
      </c>
      <c r="AC5700">
        <v>-1.9161999999999999</v>
      </c>
      <c r="AD5700">
        <v>-1.1148911274590001</v>
      </c>
      <c r="AE5700">
        <v>-24.97439</v>
      </c>
      <c r="AF5700">
        <v>-6.6155554178890101</v>
      </c>
      <c r="AG5700">
        <v>-1.1148911274590001</v>
      </c>
      <c r="AH5700">
        <v>24.1070074595454</v>
      </c>
      <c r="AI5700">
        <v>92.553627126089197</v>
      </c>
      <c r="AJ5700">
        <v>105.345595643067</v>
      </c>
      <c r="AK5700">
        <v>25.023116599812798</v>
      </c>
      <c r="AL5700">
        <v>79.433186006019</v>
      </c>
      <c r="AM5700">
        <v>99.083432587077994</v>
      </c>
      <c r="AN5700">
        <v>1.00000000735965</v>
      </c>
    </row>
    <row r="5701" spans="1:40" x14ac:dyDescent="0.25">
      <c r="A5701" t="str">
        <f>"20190304154911688"</f>
        <v>20190304154911688</v>
      </c>
      <c r="B5701" t="str">
        <f>"1551685751682515"</f>
        <v>1551685751682515</v>
      </c>
      <c r="C5701" t="s">
        <v>40</v>
      </c>
      <c r="D5701">
        <v>4.0891950000000001</v>
      </c>
      <c r="E5701">
        <v>0.46320410000000001</v>
      </c>
      <c r="F5701" t="s">
        <v>44</v>
      </c>
      <c r="G5701">
        <v>-420.85329999999999</v>
      </c>
      <c r="H5701" s="1">
        <v>-8.0117679999999996E-7</v>
      </c>
      <c r="I5701">
        <v>90.927409999999995</v>
      </c>
      <c r="J5701">
        <v>-419.0172</v>
      </c>
      <c r="K5701">
        <v>1.1148830000000001</v>
      </c>
      <c r="L5701">
        <v>116.4132</v>
      </c>
      <c r="M5701">
        <v>-0.33234520000000001</v>
      </c>
      <c r="N5701">
        <v>-1.4251939999999999E-2</v>
      </c>
      <c r="O5701">
        <v>-0.94305030000000001</v>
      </c>
      <c r="P5701">
        <v>-0.17823120000000001</v>
      </c>
      <c r="Q5701">
        <v>0.17119100000000001</v>
      </c>
      <c r="R5701">
        <v>-0.96898309999999999</v>
      </c>
      <c r="S5701">
        <v>-0.2296753</v>
      </c>
      <c r="T5701">
        <v>-0.13339129999999999</v>
      </c>
      <c r="U5701">
        <v>-3.0793149999999998</v>
      </c>
      <c r="V5701">
        <v>-0.15570529999999999</v>
      </c>
      <c r="W5701">
        <v>0.1835859</v>
      </c>
      <c r="X5701">
        <v>0.9705937</v>
      </c>
      <c r="Y5701">
        <v>-0.26121640000000002</v>
      </c>
      <c r="Z5701">
        <v>2.4736319999999999E-2</v>
      </c>
      <c r="AA5701">
        <v>0.96496329999999997</v>
      </c>
      <c r="AB5701">
        <v>26</v>
      </c>
      <c r="AC5701">
        <v>-1.8360999999999801</v>
      </c>
      <c r="AD5701">
        <v>-1.1148838011768001</v>
      </c>
      <c r="AE5701">
        <v>-25.485790000000001</v>
      </c>
      <c r="AF5701">
        <v>-6.72642314120964</v>
      </c>
      <c r="AG5701">
        <v>-1.1148838011768001</v>
      </c>
      <c r="AH5701">
        <v>24.6002669918322</v>
      </c>
      <c r="AI5701">
        <v>92.503107913904699</v>
      </c>
      <c r="AJ5701">
        <v>105.29252748169399</v>
      </c>
      <c r="AK5701">
        <v>25.527649132541601</v>
      </c>
      <c r="AL5701">
        <v>79.421301840188093</v>
      </c>
      <c r="AM5701">
        <v>99.113891949188002</v>
      </c>
      <c r="AN5701">
        <v>1.00000002680329</v>
      </c>
    </row>
    <row r="5702" spans="1:40" x14ac:dyDescent="0.25">
      <c r="A5702" t="str">
        <f>"20190304154911709"</f>
        <v>20190304154911709</v>
      </c>
      <c r="B5702" t="str">
        <f>"1551685751703012"</f>
        <v>1551685751703012</v>
      </c>
      <c r="C5702" t="s">
        <v>40</v>
      </c>
      <c r="D5702">
        <v>4.1029119999999999</v>
      </c>
      <c r="E5702">
        <v>0.46313409999999999</v>
      </c>
      <c r="F5702" t="s">
        <v>44</v>
      </c>
      <c r="G5702">
        <v>-421.2473</v>
      </c>
      <c r="H5702" s="1">
        <v>-1.1360349999999999E-6</v>
      </c>
      <c r="I5702">
        <v>91.463650000000001</v>
      </c>
      <c r="J5702">
        <v>-419.0958</v>
      </c>
      <c r="K5702">
        <v>1.114873</v>
      </c>
      <c r="L5702">
        <v>116.1724</v>
      </c>
      <c r="M5702">
        <v>-0.32729409999999998</v>
      </c>
      <c r="N5702">
        <v>-1.424457E-2</v>
      </c>
      <c r="O5702">
        <v>-0.94481519999999997</v>
      </c>
      <c r="P5702">
        <v>-0.173017899999999</v>
      </c>
      <c r="Q5702">
        <v>0.1709426</v>
      </c>
      <c r="R5702">
        <v>-0.96997120000000003</v>
      </c>
      <c r="S5702">
        <v>-0.2743835</v>
      </c>
      <c r="T5702">
        <v>-0.13717470000000001</v>
      </c>
      <c r="U5702">
        <v>-3.0697779999999999</v>
      </c>
      <c r="V5702">
        <v>-0.15573970000000001</v>
      </c>
      <c r="W5702">
        <v>0.1833332</v>
      </c>
      <c r="X5702">
        <v>0.9706359</v>
      </c>
      <c r="Y5702">
        <v>-0.24182870000000001</v>
      </c>
      <c r="Z5702">
        <v>2.6206610000000002E-2</v>
      </c>
      <c r="AA5702">
        <v>0.96996499999999997</v>
      </c>
      <c r="AB5702">
        <v>26</v>
      </c>
      <c r="AC5702">
        <v>-2.1514999999999902</v>
      </c>
      <c r="AD5702">
        <v>-1.1148741360349901</v>
      </c>
      <c r="AE5702">
        <v>-24.708749999999899</v>
      </c>
      <c r="AF5702">
        <v>-6.0426627095964198</v>
      </c>
      <c r="AG5702">
        <v>-1.1148741360349901</v>
      </c>
      <c r="AH5702">
        <v>24.0033150119209</v>
      </c>
      <c r="AI5702">
        <v>92.578936838480402</v>
      </c>
      <c r="AJ5702">
        <v>104.13018831470001</v>
      </c>
      <c r="AK5702">
        <v>24.777325289922899</v>
      </c>
      <c r="AL5702">
        <v>79.4360300044345</v>
      </c>
      <c r="AM5702">
        <v>99.115482005068898</v>
      </c>
      <c r="AN5702">
        <v>0.99999998337356899</v>
      </c>
    </row>
    <row r="5703" spans="1:40" x14ac:dyDescent="0.25">
      <c r="A5703" t="str">
        <f>"20190304154911732"</f>
        <v>20190304154911732</v>
      </c>
      <c r="B5703" t="str">
        <f>"1551685751722533"</f>
        <v>1551685751722533</v>
      </c>
      <c r="C5703" t="s">
        <v>40</v>
      </c>
      <c r="D5703">
        <v>4.1020130000000004</v>
      </c>
      <c r="E5703">
        <v>0.46423940000000002</v>
      </c>
      <c r="F5703" t="s">
        <v>44</v>
      </c>
      <c r="G5703">
        <v>-421.13690000000003</v>
      </c>
      <c r="H5703" s="1">
        <v>-1.2651040000000001E-6</v>
      </c>
      <c r="I5703">
        <v>91.832939999999994</v>
      </c>
      <c r="J5703">
        <v>-419.1728</v>
      </c>
      <c r="K5703">
        <v>1.114868</v>
      </c>
      <c r="L5703">
        <v>115.9319</v>
      </c>
      <c r="M5703">
        <v>-0.32223210000000002</v>
      </c>
      <c r="N5703">
        <v>-1.423807E-2</v>
      </c>
      <c r="O5703">
        <v>-0.94655359999999999</v>
      </c>
      <c r="P5703">
        <v>-0.16910919999999999</v>
      </c>
      <c r="Q5703">
        <v>0.17027590000000001</v>
      </c>
      <c r="R5703">
        <v>-0.97077720000000001</v>
      </c>
      <c r="S5703">
        <v>-0.25759890000000002</v>
      </c>
      <c r="T5703">
        <v>-0.14070139999999901</v>
      </c>
      <c r="U5703">
        <v>-3.0717319999999999</v>
      </c>
      <c r="V5703">
        <v>-0.15448129999999999</v>
      </c>
      <c r="W5703">
        <v>0.18267739999999999</v>
      </c>
      <c r="X5703">
        <v>0.97096059999999995</v>
      </c>
      <c r="Y5703">
        <v>-0.24195059999999999</v>
      </c>
      <c r="Z5703">
        <v>2.7329639999999999E-2</v>
      </c>
      <c r="AA5703">
        <v>0.96990359999999998</v>
      </c>
      <c r="AB5703">
        <v>26</v>
      </c>
      <c r="AC5703">
        <v>-1.9641000000000299</v>
      </c>
      <c r="AD5703">
        <v>-1.114869265104</v>
      </c>
      <c r="AE5703">
        <v>-24.098959999999899</v>
      </c>
      <c r="AF5703">
        <v>-5.8943995643696701</v>
      </c>
      <c r="AG5703">
        <v>-1.114869265104</v>
      </c>
      <c r="AH5703">
        <v>23.3964880689396</v>
      </c>
      <c r="AI5703">
        <v>92.645600110948294</v>
      </c>
      <c r="AJ5703">
        <v>104.140553894796</v>
      </c>
      <c r="AK5703">
        <v>24.153313099091601</v>
      </c>
      <c r="AL5703">
        <v>79.474250171383204</v>
      </c>
      <c r="AM5703">
        <v>99.040075333811103</v>
      </c>
      <c r="AN5703">
        <v>0.99999999563640496</v>
      </c>
    </row>
    <row r="5704" spans="1:40" x14ac:dyDescent="0.25">
      <c r="A5704" t="str">
        <f>"20190304154911754"</f>
        <v>20190304154911754</v>
      </c>
      <c r="B5704" t="str">
        <f>"1551685751743029"</f>
        <v>1551685751743029</v>
      </c>
      <c r="C5704" t="s">
        <v>40</v>
      </c>
      <c r="D5704">
        <v>4.0949600000000004</v>
      </c>
      <c r="E5704">
        <v>0.46463939999999998</v>
      </c>
      <c r="F5704" t="s">
        <v>44</v>
      </c>
      <c r="G5704">
        <v>-421.1241</v>
      </c>
      <c r="H5704" s="1">
        <v>-1.4551869999999999E-6</v>
      </c>
      <c r="I5704">
        <v>92.284000000000006</v>
      </c>
      <c r="J5704">
        <v>-419.2509</v>
      </c>
      <c r="K5704">
        <v>1.11487</v>
      </c>
      <c r="L5704">
        <v>115.6829</v>
      </c>
      <c r="M5704">
        <v>-0.31696809999999997</v>
      </c>
      <c r="N5704">
        <v>-1.423233E-2</v>
      </c>
      <c r="O5704">
        <v>-0.94832939999999999</v>
      </c>
      <c r="P5704">
        <v>-0.16492789999999999</v>
      </c>
      <c r="Q5704">
        <v>0.17006840000000001</v>
      </c>
      <c r="R5704">
        <v>-0.97153230000000002</v>
      </c>
      <c r="S5704">
        <v>-0.25344850000000002</v>
      </c>
      <c r="T5704">
        <v>-0.14480750000000001</v>
      </c>
      <c r="U5704">
        <v>-3.071564</v>
      </c>
      <c r="V5704">
        <v>-0.1532743</v>
      </c>
      <c r="W5704">
        <v>0.1824781</v>
      </c>
      <c r="X5704">
        <v>0.97118930000000003</v>
      </c>
      <c r="Y5704">
        <v>-0.2378575</v>
      </c>
      <c r="Z5704">
        <v>2.8686650000000001E-2</v>
      </c>
      <c r="AA5704">
        <v>0.97087630000000003</v>
      </c>
      <c r="AB5704">
        <v>26</v>
      </c>
      <c r="AC5704">
        <v>-1.87319999999999</v>
      </c>
      <c r="AD5704">
        <v>-1.114871455187</v>
      </c>
      <c r="AE5704">
        <v>-23.398900000000001</v>
      </c>
      <c r="AF5704">
        <v>-5.6281700654197104</v>
      </c>
      <c r="AG5704">
        <v>-1.114871455187</v>
      </c>
      <c r="AH5704">
        <v>22.734634599224599</v>
      </c>
      <c r="AI5704">
        <v>92.725308131908506</v>
      </c>
      <c r="AJ5704">
        <v>103.904551867433</v>
      </c>
      <c r="AK5704">
        <v>23.4474486246827</v>
      </c>
      <c r="AL5704">
        <v>79.485864084425103</v>
      </c>
      <c r="AM5704">
        <v>98.968517963666898</v>
      </c>
      <c r="AN5704">
        <v>0.99999996222729404</v>
      </c>
    </row>
    <row r="5705" spans="1:40" x14ac:dyDescent="0.25">
      <c r="A5705" t="str">
        <f>"20190304154911777"</f>
        <v>20190304154911777</v>
      </c>
      <c r="B5705" t="str">
        <f>"1551685751773284"</f>
        <v>1551685751773284</v>
      </c>
      <c r="C5705" t="s">
        <v>40</v>
      </c>
      <c r="D5705">
        <v>4.1249200000000004</v>
      </c>
      <c r="E5705">
        <v>0.46566610000000003</v>
      </c>
      <c r="F5705" t="s">
        <v>44</v>
      </c>
      <c r="G5705">
        <v>-421.09460000000001</v>
      </c>
      <c r="H5705" s="1">
        <v>-1.4490539999999901E-6</v>
      </c>
      <c r="I5705">
        <v>92.287980000000005</v>
      </c>
      <c r="J5705">
        <v>-419.3272</v>
      </c>
      <c r="K5705">
        <v>1.1148709999999999</v>
      </c>
      <c r="L5705">
        <v>115.43519999999999</v>
      </c>
      <c r="M5705">
        <v>-0.3117105</v>
      </c>
      <c r="N5705">
        <v>-1.422727E-2</v>
      </c>
      <c r="O5705">
        <v>-0.95007079999999999</v>
      </c>
      <c r="P5705">
        <v>-0.15993650000000001</v>
      </c>
      <c r="Q5705">
        <v>0.1698848</v>
      </c>
      <c r="R5705">
        <v>-0.97239940000000002</v>
      </c>
      <c r="S5705">
        <v>-0.24212649999999999</v>
      </c>
      <c r="T5705">
        <v>-0.14641509999999999</v>
      </c>
      <c r="U5705">
        <v>-3.0724330000000002</v>
      </c>
      <c r="V5705">
        <v>-0.15289159999999999</v>
      </c>
      <c r="W5705">
        <v>0.18229339999999999</v>
      </c>
      <c r="X5705">
        <v>0.97128429999999999</v>
      </c>
      <c r="Y5705">
        <v>-0.2360556</v>
      </c>
      <c r="Z5705">
        <v>2.9280830000000001E-2</v>
      </c>
      <c r="AA5705">
        <v>0.97129829999999995</v>
      </c>
      <c r="AB5705">
        <v>26</v>
      </c>
      <c r="AC5705">
        <v>-1.7674000000000001</v>
      </c>
      <c r="AD5705">
        <v>-1.1148724490539901</v>
      </c>
      <c r="AE5705">
        <v>-23.147219999999901</v>
      </c>
      <c r="AF5705">
        <v>-5.5238956040313303</v>
      </c>
      <c r="AG5705">
        <v>-1.1148724490539901</v>
      </c>
      <c r="AH5705">
        <v>22.492815882927701</v>
      </c>
      <c r="AI5705">
        <v>92.755827794969704</v>
      </c>
      <c r="AJ5705">
        <v>103.79791023655299</v>
      </c>
      <c r="AK5705">
        <v>23.187995376167802</v>
      </c>
      <c r="AL5705">
        <v>79.496627101091093</v>
      </c>
      <c r="AM5705">
        <v>98.945626851155495</v>
      </c>
      <c r="AN5705">
        <v>0.99999995823030396</v>
      </c>
    </row>
    <row r="5706" spans="1:40" x14ac:dyDescent="0.25">
      <c r="A5706" t="str">
        <f>"20190304154911799"</f>
        <v>20190304154911799</v>
      </c>
      <c r="B5706" t="str">
        <f>"1551685751792807"</f>
        <v>1551685751792807</v>
      </c>
      <c r="C5706" t="s">
        <v>40</v>
      </c>
      <c r="D5706">
        <v>4.1140629999999998</v>
      </c>
      <c r="E5706">
        <v>0.47088649999999999</v>
      </c>
      <c r="F5706" t="s">
        <v>44</v>
      </c>
      <c r="G5706">
        <v>-421.11880000000002</v>
      </c>
      <c r="H5706" s="1">
        <v>-1.310086E-6</v>
      </c>
      <c r="I5706">
        <v>91.94905</v>
      </c>
      <c r="J5706">
        <v>-419.40210000000002</v>
      </c>
      <c r="K5706">
        <v>1.1148849999999999</v>
      </c>
      <c r="L5706">
        <v>115.18689999999999</v>
      </c>
      <c r="M5706">
        <v>-0.30641639999999998</v>
      </c>
      <c r="N5706">
        <v>-1.422261E-2</v>
      </c>
      <c r="O5706">
        <v>-0.95179150000000001</v>
      </c>
      <c r="P5706">
        <v>-0.1550541</v>
      </c>
      <c r="Q5706">
        <v>0.1697806</v>
      </c>
      <c r="R5706">
        <v>-0.97320739999999994</v>
      </c>
      <c r="S5706">
        <v>-0.23434450000000001</v>
      </c>
      <c r="T5706">
        <v>-0.14582999999999999</v>
      </c>
      <c r="U5706">
        <v>-3.0720830000000001</v>
      </c>
      <c r="V5706">
        <v>-0.15236469999999999</v>
      </c>
      <c r="W5706">
        <v>0.1821884</v>
      </c>
      <c r="X5706">
        <v>0.97138679999999999</v>
      </c>
      <c r="Y5706">
        <v>-0.2330834</v>
      </c>
      <c r="Z5706">
        <v>2.9250970000000001E-2</v>
      </c>
      <c r="AA5706">
        <v>0.97201669999999996</v>
      </c>
      <c r="AB5706">
        <v>26</v>
      </c>
      <c r="AC5706">
        <v>-1.7166999999999999</v>
      </c>
      <c r="AD5706">
        <v>-1.114886310086</v>
      </c>
      <c r="AE5706">
        <v>-23.237849999999899</v>
      </c>
      <c r="AF5706">
        <v>-5.4745389599842396</v>
      </c>
      <c r="AG5706">
        <v>-1.114886310086</v>
      </c>
      <c r="AH5706">
        <v>22.594174523441499</v>
      </c>
      <c r="AI5706">
        <v>92.745591387656106</v>
      </c>
      <c r="AJ5706">
        <v>103.62020051058199</v>
      </c>
      <c r="AK5706">
        <v>23.274670152432499</v>
      </c>
      <c r="AL5706">
        <v>79.502745691932404</v>
      </c>
      <c r="AM5706">
        <v>98.914368556425003</v>
      </c>
      <c r="AN5706">
        <v>0.99999996505744404</v>
      </c>
    </row>
    <row r="5707" spans="1:40" x14ac:dyDescent="0.25">
      <c r="A5707" t="str">
        <f>"20190304154911822"</f>
        <v>20190304154911822</v>
      </c>
      <c r="B5707" t="str">
        <f>"1551685751813300"</f>
        <v>1551685751813300</v>
      </c>
      <c r="C5707" t="s">
        <v>40</v>
      </c>
      <c r="D5707">
        <v>4.1056280000000003</v>
      </c>
      <c r="E5707">
        <v>0.47129209999999999</v>
      </c>
      <c r="F5707" t="s">
        <v>44</v>
      </c>
      <c r="G5707">
        <v>-421.32600000000002</v>
      </c>
      <c r="H5707" s="1">
        <v>-1.5751800000000001E-6</v>
      </c>
      <c r="I5707">
        <v>92.438479999999998</v>
      </c>
      <c r="J5707">
        <v>-419.47550000000001</v>
      </c>
      <c r="K5707">
        <v>1.114895</v>
      </c>
      <c r="L5707">
        <v>114.93819999999999</v>
      </c>
      <c r="M5707">
        <v>-0.301085099999999</v>
      </c>
      <c r="N5707">
        <v>-1.421862E-2</v>
      </c>
      <c r="O5707">
        <v>-0.95349130000000004</v>
      </c>
      <c r="P5707">
        <v>-0.1497552</v>
      </c>
      <c r="Q5707">
        <v>0.16930819999999999</v>
      </c>
      <c r="R5707">
        <v>-0.97411930000000002</v>
      </c>
      <c r="S5707">
        <v>-0.25942989999999999</v>
      </c>
      <c r="T5707">
        <v>-0.15033659999999999</v>
      </c>
      <c r="U5707">
        <v>-3.0675050000000001</v>
      </c>
      <c r="V5707">
        <v>-0.15223989999999901</v>
      </c>
      <c r="W5707">
        <v>0.1817116</v>
      </c>
      <c r="X5707">
        <v>0.97149569999999996</v>
      </c>
      <c r="Y5707">
        <v>-0.21962019999999999</v>
      </c>
      <c r="Z5707">
        <v>3.0858730000000001E-2</v>
      </c>
      <c r="AA5707">
        <v>0.97509729999999994</v>
      </c>
      <c r="AB5707">
        <v>26</v>
      </c>
      <c r="AC5707">
        <v>-1.8504999999999501</v>
      </c>
      <c r="AD5707">
        <v>-1.11489657518</v>
      </c>
      <c r="AE5707">
        <v>-22.49972</v>
      </c>
      <c r="AF5707">
        <v>-4.9982111862492404</v>
      </c>
      <c r="AG5707">
        <v>-1.11489657518</v>
      </c>
      <c r="AH5707">
        <v>21.959114542911799</v>
      </c>
      <c r="AI5707">
        <v>92.8341294194461</v>
      </c>
      <c r="AJ5707">
        <v>102.822880835276</v>
      </c>
      <c r="AK5707">
        <v>22.548344084309502</v>
      </c>
      <c r="AL5707">
        <v>79.530528375967606</v>
      </c>
      <c r="AM5707">
        <v>98.906201586116097</v>
      </c>
      <c r="AN5707">
        <v>0.99999999392253003</v>
      </c>
    </row>
    <row r="5708" spans="1:40" x14ac:dyDescent="0.25">
      <c r="A5708" t="str">
        <f>"20190304154911843"</f>
        <v>20190304154911843</v>
      </c>
      <c r="B5708" t="str">
        <f>"1551685751832823"</f>
        <v>1551685751832823</v>
      </c>
      <c r="C5708" t="s">
        <v>40</v>
      </c>
      <c r="D5708">
        <v>4.1026930000000004</v>
      </c>
      <c r="E5708">
        <v>0.47131099999999998</v>
      </c>
      <c r="F5708" t="s">
        <v>44</v>
      </c>
      <c r="G5708">
        <v>-421.3064</v>
      </c>
      <c r="H5708" s="1">
        <v>-1.3616729999999999E-6</v>
      </c>
      <c r="I5708">
        <v>91.952910000000003</v>
      </c>
      <c r="J5708">
        <v>-419.54430000000002</v>
      </c>
      <c r="K5708">
        <v>1.1149009999999999</v>
      </c>
      <c r="L5708">
        <v>114.7009</v>
      </c>
      <c r="M5708">
        <v>-0.2959637</v>
      </c>
      <c r="N5708">
        <v>-1.4215439999999999E-2</v>
      </c>
      <c r="O5708">
        <v>-0.95509339999999998</v>
      </c>
      <c r="P5708">
        <v>-0.1443971</v>
      </c>
      <c r="Q5708">
        <v>0.1686761</v>
      </c>
      <c r="R5708">
        <v>-0.97503740000000005</v>
      </c>
      <c r="S5708">
        <v>-0.24438480000000001</v>
      </c>
      <c r="T5708">
        <v>-0.1488128</v>
      </c>
      <c r="U5708">
        <v>-3.0680079999999998</v>
      </c>
      <c r="V5708">
        <v>-0.15239949999999999</v>
      </c>
      <c r="W5708">
        <v>0.1810715</v>
      </c>
      <c r="X5708">
        <v>0.97159019999999996</v>
      </c>
      <c r="Y5708">
        <v>-0.21914800000000001</v>
      </c>
      <c r="Z5708">
        <v>3.0512910000000001E-2</v>
      </c>
      <c r="AA5708">
        <v>0.97521440000000004</v>
      </c>
      <c r="AB5708">
        <v>26</v>
      </c>
      <c r="AC5708">
        <v>-1.76209999999997</v>
      </c>
      <c r="AD5708">
        <v>-1.1149023616729901</v>
      </c>
      <c r="AE5708">
        <v>-22.747989999999898</v>
      </c>
      <c r="AF5708">
        <v>-5.0380897951607597</v>
      </c>
      <c r="AG5708">
        <v>-1.1149023616729901</v>
      </c>
      <c r="AH5708">
        <v>22.197219596963102</v>
      </c>
      <c r="AI5708">
        <v>92.804181856888206</v>
      </c>
      <c r="AJ5708">
        <v>102.787739659306</v>
      </c>
      <c r="AK5708">
        <v>22.789074441406601</v>
      </c>
      <c r="AL5708">
        <v>79.567822201969705</v>
      </c>
      <c r="AM5708">
        <v>98.914535244541099</v>
      </c>
      <c r="AN5708">
        <v>1.00000000622426</v>
      </c>
    </row>
    <row r="5709" spans="1:40" x14ac:dyDescent="0.25">
      <c r="A5709" t="str">
        <f>"20190304154911866"</f>
        <v>20190304154911866</v>
      </c>
      <c r="B5709" t="str">
        <f>"1551685751863076"</f>
        <v>1551685751863076</v>
      </c>
      <c r="C5709" t="s">
        <v>40</v>
      </c>
      <c r="D5709">
        <v>4.1213649999999999</v>
      </c>
      <c r="E5709">
        <v>0.47239680000000001</v>
      </c>
      <c r="F5709" t="s">
        <v>44</v>
      </c>
      <c r="G5709">
        <v>-421.21809999999999</v>
      </c>
      <c r="H5709" s="1">
        <v>-1.3910089999999999E-6</v>
      </c>
      <c r="I5709">
        <v>92.076070000000001</v>
      </c>
      <c r="J5709">
        <v>-419.61509999999998</v>
      </c>
      <c r="K5709">
        <v>1.1149209999999901</v>
      </c>
      <c r="L5709">
        <v>114.4507</v>
      </c>
      <c r="M5709">
        <v>-0.29053400000000001</v>
      </c>
      <c r="N5709">
        <v>-1.421269E-2</v>
      </c>
      <c r="O5709">
        <v>-0.95675920000000003</v>
      </c>
      <c r="P5709">
        <v>-0.13905329999999999</v>
      </c>
      <c r="Q5709">
        <v>0.16824600000000001</v>
      </c>
      <c r="R5709">
        <v>-0.97588819999999998</v>
      </c>
      <c r="S5709">
        <v>-0.22708130000000001</v>
      </c>
      <c r="T5709">
        <v>-0.15125050000000001</v>
      </c>
      <c r="U5709">
        <v>-3.0693359999999998</v>
      </c>
      <c r="V5709">
        <v>-0.152227</v>
      </c>
      <c r="W5709">
        <v>0.1806363</v>
      </c>
      <c r="X5709">
        <v>0.97169819999999996</v>
      </c>
      <c r="Y5709">
        <v>-0.21910560000000001</v>
      </c>
      <c r="Z5709">
        <v>3.1340720000000002E-2</v>
      </c>
      <c r="AA5709">
        <v>0.97519769999999995</v>
      </c>
      <c r="AB5709">
        <v>26</v>
      </c>
      <c r="AC5709">
        <v>-1.603</v>
      </c>
      <c r="AD5709">
        <v>-1.11492239100899</v>
      </c>
      <c r="AE5709">
        <v>-22.37463</v>
      </c>
      <c r="AF5709">
        <v>-4.9551661900762998</v>
      </c>
      <c r="AG5709">
        <v>-1.11492239100899</v>
      </c>
      <c r="AH5709">
        <v>21.821161352392402</v>
      </c>
      <c r="AI5709">
        <v>92.852411697720498</v>
      </c>
      <c r="AJ5709">
        <v>102.793807653054</v>
      </c>
      <c r="AK5709">
        <v>22.404459526540499</v>
      </c>
      <c r="AL5709">
        <v>79.593174936364903</v>
      </c>
      <c r="AM5709">
        <v>98.903632874734399</v>
      </c>
      <c r="AN5709">
        <v>0.99999996214496401</v>
      </c>
    </row>
    <row r="5710" spans="1:40" x14ac:dyDescent="0.25">
      <c r="A5710" t="str">
        <f>"20190304154911889"</f>
        <v>20190304154911889</v>
      </c>
      <c r="B5710" t="str">
        <f>"1551685751882596"</f>
        <v>1551685751882596</v>
      </c>
      <c r="C5710" t="s">
        <v>40</v>
      </c>
      <c r="D5710">
        <v>4.1137449999999998</v>
      </c>
      <c r="E5710">
        <v>0.4769969</v>
      </c>
      <c r="F5710" t="s">
        <v>44</v>
      </c>
      <c r="G5710">
        <v>-421.21089999999998</v>
      </c>
      <c r="H5710" s="1">
        <v>-1.3942299999999999E-6</v>
      </c>
      <c r="I5710">
        <v>92.088040000000007</v>
      </c>
      <c r="J5710">
        <v>-419.68490000000003</v>
      </c>
      <c r="K5710">
        <v>1.1149309999999999</v>
      </c>
      <c r="L5710">
        <v>114.1991</v>
      </c>
      <c r="M5710">
        <v>-0.28504390000000002</v>
      </c>
      <c r="N5710">
        <v>-1.4210179999999999E-2</v>
      </c>
      <c r="O5710">
        <v>-0.95840930000000002</v>
      </c>
      <c r="P5710">
        <v>-0.133943799999999</v>
      </c>
      <c r="Q5710">
        <v>0.16859009999999999</v>
      </c>
      <c r="R5710">
        <v>-0.97654319999999895</v>
      </c>
      <c r="S5710">
        <v>-0.21902469999999999</v>
      </c>
      <c r="T5710">
        <v>-0.1530244</v>
      </c>
      <c r="U5710">
        <v>-3.0693049999999999</v>
      </c>
      <c r="V5710">
        <v>-0.15173220000000001</v>
      </c>
      <c r="W5710">
        <v>0.18097859999999999</v>
      </c>
      <c r="X5710">
        <v>0.97171189999999996</v>
      </c>
      <c r="Y5710">
        <v>-0.21605840000000001</v>
      </c>
      <c r="Z5710">
        <v>3.2009900000000001E-2</v>
      </c>
      <c r="AA5710">
        <v>0.97585560000000005</v>
      </c>
      <c r="AB5710">
        <v>26</v>
      </c>
      <c r="AC5710">
        <v>-1.5259999999999501</v>
      </c>
      <c r="AD5710">
        <v>-1.11493239422999</v>
      </c>
      <c r="AE5710">
        <v>-22.111059999999899</v>
      </c>
      <c r="AF5710">
        <v>-4.8283597242076803</v>
      </c>
      <c r="AG5710">
        <v>-1.11493239422999</v>
      </c>
      <c r="AH5710">
        <v>21.574008654851198</v>
      </c>
      <c r="AI5710">
        <v>92.887085150097306</v>
      </c>
      <c r="AJ5710">
        <v>102.61516903971901</v>
      </c>
      <c r="AK5710">
        <v>22.135807672403701</v>
      </c>
      <c r="AL5710">
        <v>79.573233966970605</v>
      </c>
      <c r="AM5710">
        <v>98.875030740748201</v>
      </c>
      <c r="AN5710">
        <v>0.99999996538820402</v>
      </c>
    </row>
    <row r="5711" spans="1:40" x14ac:dyDescent="0.25">
      <c r="A5711" t="str">
        <f>"20190304154911910"</f>
        <v>20190304154911910</v>
      </c>
      <c r="B5711" t="str">
        <f>"1551685751903092"</f>
        <v>1551685751903092</v>
      </c>
      <c r="C5711" t="s">
        <v>40</v>
      </c>
      <c r="D5711">
        <v>4.1321810000000001</v>
      </c>
      <c r="E5711">
        <v>0.477796</v>
      </c>
      <c r="F5711" t="s">
        <v>44</v>
      </c>
      <c r="G5711">
        <v>-421.4434</v>
      </c>
      <c r="H5711" s="1">
        <v>-1.2861160000000001E-6</v>
      </c>
      <c r="I5711">
        <v>91.691860000000005</v>
      </c>
      <c r="J5711">
        <v>-419.74950000000001</v>
      </c>
      <c r="K5711">
        <v>1.114941</v>
      </c>
      <c r="L5711">
        <v>113.96080000000001</v>
      </c>
      <c r="M5711">
        <v>-0.2798213</v>
      </c>
      <c r="N5711">
        <v>-1.420777E-2</v>
      </c>
      <c r="O5711">
        <v>-0.9599472</v>
      </c>
      <c r="P5711">
        <v>-0.12944710000000001</v>
      </c>
      <c r="Q5711">
        <v>0.16860349999999999</v>
      </c>
      <c r="R5711">
        <v>-0.97714730000000005</v>
      </c>
      <c r="S5711">
        <v>-0.23950199999999999</v>
      </c>
      <c r="T5711">
        <v>-0.15185170000000001</v>
      </c>
      <c r="U5711">
        <v>-3.065445</v>
      </c>
      <c r="V5711">
        <v>-0.15091570000000001</v>
      </c>
      <c r="W5711">
        <v>0.18099599999999999</v>
      </c>
      <c r="X5711">
        <v>0.97183589999999997</v>
      </c>
      <c r="Y5711">
        <v>-0.20416319999999999</v>
      </c>
      <c r="Z5711">
        <v>3.1893970000000001E-2</v>
      </c>
      <c r="AA5711">
        <v>0.97841719999999999</v>
      </c>
      <c r="AB5711">
        <v>26</v>
      </c>
      <c r="AC5711">
        <v>-1.69389999999998</v>
      </c>
      <c r="AD5711">
        <v>-1.1149422861160001</v>
      </c>
      <c r="AE5711">
        <v>-22.268940000000001</v>
      </c>
      <c r="AF5711">
        <v>-4.5942827043008396</v>
      </c>
      <c r="AG5711">
        <v>-1.1149422861160001</v>
      </c>
      <c r="AH5711">
        <v>21.7988674814954</v>
      </c>
      <c r="AI5711">
        <v>92.865111495404705</v>
      </c>
      <c r="AJ5711">
        <v>101.901361027193</v>
      </c>
      <c r="AK5711">
        <v>22.305630530074801</v>
      </c>
      <c r="AL5711">
        <v>79.572221261850402</v>
      </c>
      <c r="AM5711">
        <v>98.826918101242597</v>
      </c>
      <c r="AN5711">
        <v>1.0000000585256399</v>
      </c>
    </row>
    <row r="5712" spans="1:40" x14ac:dyDescent="0.25">
      <c r="A5712" t="str">
        <f>"20190304154911933"</f>
        <v>20190304154911933</v>
      </c>
      <c r="B5712" t="str">
        <f>"1551685751922612"</f>
        <v>1551685751922612</v>
      </c>
      <c r="C5712" t="s">
        <v>40</v>
      </c>
      <c r="D5712">
        <v>4.0917070000000004</v>
      </c>
      <c r="E5712">
        <v>0.47815970000000002</v>
      </c>
      <c r="F5712" t="s">
        <v>44</v>
      </c>
      <c r="G5712">
        <v>-421.45339999999999</v>
      </c>
      <c r="H5712" s="1">
        <v>-1.2009349999999999E-6</v>
      </c>
      <c r="I5712">
        <v>91.487080000000006</v>
      </c>
      <c r="J5712">
        <v>-419.81509999999997</v>
      </c>
      <c r="K5712">
        <v>1.1149469999999999</v>
      </c>
      <c r="L5712">
        <v>113.71299999999999</v>
      </c>
      <c r="M5712">
        <v>-0.27437420000000001</v>
      </c>
      <c r="N5712">
        <v>-1.420504E-2</v>
      </c>
      <c r="O5712">
        <v>-0.96151819999999999</v>
      </c>
      <c r="P5712">
        <v>-0.1249461</v>
      </c>
      <c r="Q5712">
        <v>0.16860520000000001</v>
      </c>
      <c r="R5712">
        <v>-0.9777325</v>
      </c>
      <c r="S5712">
        <v>-0.23242189999999999</v>
      </c>
      <c r="T5712">
        <v>-0.15208720000000001</v>
      </c>
      <c r="U5712">
        <v>-3.065598</v>
      </c>
      <c r="V5712">
        <v>-0.14987819999999999</v>
      </c>
      <c r="W5712">
        <v>0.18100669999999999</v>
      </c>
      <c r="X5712">
        <v>0.97199440000000004</v>
      </c>
      <c r="Y5712">
        <v>-0.20086409999999999</v>
      </c>
      <c r="Z5712">
        <v>3.209439E-2</v>
      </c>
      <c r="AA5712">
        <v>0.97909330000000006</v>
      </c>
      <c r="AB5712">
        <v>26</v>
      </c>
      <c r="AC5712">
        <v>-1.6383000000000101</v>
      </c>
      <c r="AD5712">
        <v>-1.11494820093499</v>
      </c>
      <c r="AE5712">
        <v>-22.225919999999899</v>
      </c>
      <c r="AF5712">
        <v>-4.5121263996494898</v>
      </c>
      <c r="AG5712">
        <v>-1.11494820093499</v>
      </c>
      <c r="AH5712">
        <v>21.7678512041213</v>
      </c>
      <c r="AI5712">
        <v>92.871195791998403</v>
      </c>
      <c r="AJ5712">
        <v>101.710653241552</v>
      </c>
      <c r="AK5712">
        <v>22.258520619797501</v>
      </c>
      <c r="AL5712">
        <v>79.571597357088805</v>
      </c>
      <c r="AM5712">
        <v>98.765774232858803</v>
      </c>
      <c r="AN5712">
        <v>1.00000000695574</v>
      </c>
    </row>
    <row r="5713" spans="1:40" x14ac:dyDescent="0.25">
      <c r="A5713" t="str">
        <f>"20190304154911956"</f>
        <v>20190304154911956</v>
      </c>
      <c r="B5713" t="str">
        <f>"1551685751952868"</f>
        <v>1551685751952868</v>
      </c>
      <c r="C5713" t="s">
        <v>40</v>
      </c>
      <c r="D5713">
        <v>4.1207640000000003</v>
      </c>
      <c r="E5713">
        <v>0.48107929999999999</v>
      </c>
      <c r="F5713" t="s">
        <v>44</v>
      </c>
      <c r="G5713">
        <v>-421.4384</v>
      </c>
      <c r="H5713" s="1">
        <v>-1.1099149999999999E-6</v>
      </c>
      <c r="I5713">
        <v>91.284210000000002</v>
      </c>
      <c r="J5713">
        <v>-419.87990000000002</v>
      </c>
      <c r="K5713">
        <v>1.114949</v>
      </c>
      <c r="L5713">
        <v>113.46210000000001</v>
      </c>
      <c r="M5713">
        <v>-0.26884590000000003</v>
      </c>
      <c r="N5713">
        <v>-1.4201999999999999E-2</v>
      </c>
      <c r="O5713">
        <v>-0.9630784</v>
      </c>
      <c r="P5713">
        <v>-0.1194431</v>
      </c>
      <c r="Q5713">
        <v>0.16842480000000001</v>
      </c>
      <c r="R5713">
        <v>-0.97845079999999995</v>
      </c>
      <c r="S5713">
        <v>-0.2219238</v>
      </c>
      <c r="T5713">
        <v>-0.152425799999999</v>
      </c>
      <c r="U5713">
        <v>-3.0662690000000001</v>
      </c>
      <c r="V5713">
        <v>-0.14976729999999899</v>
      </c>
      <c r="W5713">
        <v>0.1808266</v>
      </c>
      <c r="X5713">
        <v>0.97204500000000005</v>
      </c>
      <c r="Y5713">
        <v>-0.19858729999999999</v>
      </c>
      <c r="Z5713">
        <v>3.231245E-2</v>
      </c>
      <c r="AA5713">
        <v>0.97955040000000004</v>
      </c>
      <c r="AB5713">
        <v>26</v>
      </c>
      <c r="AC5713">
        <v>-1.55849999999998</v>
      </c>
      <c r="AD5713">
        <v>-1.1149501099150001</v>
      </c>
      <c r="AE5713">
        <v>-22.177890000000001</v>
      </c>
      <c r="AF5713">
        <v>-4.4507340976896597</v>
      </c>
      <c r="AG5713">
        <v>-1.1149501099150001</v>
      </c>
      <c r="AH5713">
        <v>21.725602716367501</v>
      </c>
      <c r="AI5713">
        <v>92.878150530505394</v>
      </c>
      <c r="AJ5713">
        <v>101.57749676279001</v>
      </c>
      <c r="AK5713">
        <v>22.2048184218059</v>
      </c>
      <c r="AL5713">
        <v>79.582089313168595</v>
      </c>
      <c r="AM5713">
        <v>98.758939864856998</v>
      </c>
      <c r="AN5713">
        <v>0.99999999272092399</v>
      </c>
    </row>
    <row r="5714" spans="1:40" x14ac:dyDescent="0.25">
      <c r="A5714" t="str">
        <f>"20190304154911978"</f>
        <v>20190304154911978</v>
      </c>
      <c r="B5714" t="str">
        <f>"1551685751973366"</f>
        <v>1551685751973366</v>
      </c>
      <c r="C5714" t="s">
        <v>40</v>
      </c>
      <c r="D5714">
        <v>4.0815729999999997</v>
      </c>
      <c r="E5714">
        <v>0.4740029</v>
      </c>
      <c r="F5714" t="s">
        <v>44</v>
      </c>
      <c r="G5714">
        <v>-421.6259</v>
      </c>
      <c r="H5714" s="1">
        <v>-5.4803519999999903E-7</v>
      </c>
      <c r="I5714">
        <v>89.858180000000004</v>
      </c>
      <c r="J5714">
        <v>-419.94110000000001</v>
      </c>
      <c r="K5714">
        <v>1.114941</v>
      </c>
      <c r="L5714">
        <v>113.2197</v>
      </c>
      <c r="M5714">
        <v>-0.26349879999999998</v>
      </c>
      <c r="N5714">
        <v>-1.419895E-2</v>
      </c>
      <c r="O5714">
        <v>-0.9645553</v>
      </c>
      <c r="P5714">
        <v>-0.11406330000000001</v>
      </c>
      <c r="Q5714">
        <v>0.16877310000000001</v>
      </c>
      <c r="R5714">
        <v>-0.97903289999999998</v>
      </c>
      <c r="S5714">
        <v>-0.22659299999999999</v>
      </c>
      <c r="T5714">
        <v>-0.14469770000000001</v>
      </c>
      <c r="U5714">
        <v>-3.0633089999999998</v>
      </c>
      <c r="V5714">
        <v>-0.14970049999999999</v>
      </c>
      <c r="W5714">
        <v>0.18117559999999999</v>
      </c>
      <c r="X5714">
        <v>0.97199029999999997</v>
      </c>
      <c r="Y5714">
        <v>-0.19159380000000001</v>
      </c>
      <c r="Z5714">
        <v>3.0145459999999999E-2</v>
      </c>
      <c r="AA5714">
        <v>0.98101119999999997</v>
      </c>
      <c r="AB5714">
        <v>26</v>
      </c>
      <c r="AC5714">
        <v>-1.6847999999999901</v>
      </c>
      <c r="AD5714">
        <v>-1.1149415480351901</v>
      </c>
      <c r="AE5714">
        <v>-23.361519999999999</v>
      </c>
      <c r="AF5714">
        <v>-4.5208621305283003</v>
      </c>
      <c r="AG5714">
        <v>-1.1149415480351901</v>
      </c>
      <c r="AH5714">
        <v>22.927782468522</v>
      </c>
      <c r="AI5714">
        <v>92.731498338507606</v>
      </c>
      <c r="AJ5714">
        <v>101.154397400222</v>
      </c>
      <c r="AK5714">
        <v>23.395822233523699</v>
      </c>
      <c r="AL5714">
        <v>79.561757235865102</v>
      </c>
      <c r="AM5714">
        <v>98.755578768776502</v>
      </c>
      <c r="AN5714">
        <v>0.99999999051485</v>
      </c>
    </row>
    <row r="5715" spans="1:40" x14ac:dyDescent="0.25">
      <c r="A5715" t="str">
        <f>"20190304154911991"</f>
        <v>20190304154911991</v>
      </c>
      <c r="B5715" t="str">
        <f>"1551685751983124"</f>
        <v>1551685751983124</v>
      </c>
      <c r="C5715" t="s">
        <v>40</v>
      </c>
      <c r="D5715">
        <v>4.1039589999999997</v>
      </c>
      <c r="E5715">
        <v>0.47072589999999997</v>
      </c>
      <c r="F5715" t="s">
        <v>44</v>
      </c>
      <c r="G5715">
        <v>-421.19130000000001</v>
      </c>
      <c r="H5715" s="1">
        <v>-3.9726190000000002E-6</v>
      </c>
      <c r="I5715">
        <v>88.110469999999907</v>
      </c>
      <c r="J5715">
        <v>-419.97980000000001</v>
      </c>
      <c r="K5715">
        <v>1.114932</v>
      </c>
      <c r="L5715">
        <v>113.0639</v>
      </c>
      <c r="M5715">
        <v>-0.26006210000000002</v>
      </c>
      <c r="N5715">
        <v>-1.419697E-2</v>
      </c>
      <c r="O5715">
        <v>-0.96548769999999995</v>
      </c>
      <c r="P5715">
        <v>-0.11039599999999999</v>
      </c>
      <c r="Q5715">
        <v>0.16895650000000001</v>
      </c>
      <c r="R5715">
        <v>-0.97942169999999895</v>
      </c>
      <c r="S5715">
        <v>-0.15286250000000001</v>
      </c>
      <c r="T5715">
        <v>-0.13631650000000001</v>
      </c>
      <c r="U5715">
        <v>-3.069931</v>
      </c>
      <c r="V5715">
        <v>-0.1498707</v>
      </c>
      <c r="W5715">
        <v>0.18135660000000001</v>
      </c>
      <c r="X5715">
        <v>0.97193030000000002</v>
      </c>
      <c r="Y5715">
        <v>-0.21167340000000001</v>
      </c>
      <c r="Z5715">
        <v>2.7453399999999999E-2</v>
      </c>
      <c r="AA5715">
        <v>0.97695480000000001</v>
      </c>
      <c r="AB5715">
        <v>26</v>
      </c>
      <c r="AC5715">
        <v>-1.2115</v>
      </c>
      <c r="AD5715">
        <v>-1.114935972619</v>
      </c>
      <c r="AE5715">
        <v>-24.953430000000001</v>
      </c>
      <c r="AF5715">
        <v>-5.30971313769742</v>
      </c>
      <c r="AG5715">
        <v>-1.114935972619</v>
      </c>
      <c r="AH5715">
        <v>24.3612313052747</v>
      </c>
      <c r="AI5715">
        <v>92.560388996216901</v>
      </c>
      <c r="AJ5715">
        <v>102.295746925874</v>
      </c>
      <c r="AK5715">
        <v>24.9580793839745</v>
      </c>
      <c r="AL5715">
        <v>79.551211850410695</v>
      </c>
      <c r="AM5715">
        <v>98.765911506895506</v>
      </c>
      <c r="AN5715">
        <v>0.99999997557006903</v>
      </c>
    </row>
    <row r="5716" spans="1:40" x14ac:dyDescent="0.25">
      <c r="A5716" t="str">
        <f>"20190304154912011"</f>
        <v>20190304154912011</v>
      </c>
      <c r="B5716" t="str">
        <f>"1551685752002644"</f>
        <v>1551685752002644</v>
      </c>
      <c r="C5716" t="s">
        <v>40</v>
      </c>
      <c r="D5716">
        <v>4.0889430000000004</v>
      </c>
      <c r="E5716">
        <v>0.46679090000000001</v>
      </c>
      <c r="F5716" t="s">
        <v>44</v>
      </c>
      <c r="G5716">
        <v>-420.97239999999999</v>
      </c>
      <c r="H5716" s="1">
        <v>-3.205714E-6</v>
      </c>
      <c r="I5716">
        <v>86.458590000000001</v>
      </c>
      <c r="J5716">
        <v>-420.0317</v>
      </c>
      <c r="K5716">
        <v>1.114924</v>
      </c>
      <c r="L5716">
        <v>112.8507</v>
      </c>
      <c r="M5716">
        <v>-0.25536150000000002</v>
      </c>
      <c r="N5716">
        <v>-1.419406E-2</v>
      </c>
      <c r="O5716">
        <v>-0.96674139999999997</v>
      </c>
      <c r="P5716">
        <v>-0.10478229999999999</v>
      </c>
      <c r="Q5716">
        <v>0.16975079999999901</v>
      </c>
      <c r="R5716">
        <v>-0.97990060000000001</v>
      </c>
      <c r="S5716">
        <v>-0.114624</v>
      </c>
      <c r="T5716">
        <v>-0.12875029999999901</v>
      </c>
      <c r="U5716">
        <v>-3.072327</v>
      </c>
      <c r="V5716">
        <v>-0.15068029999999999</v>
      </c>
      <c r="W5716">
        <v>0.18214060000000001</v>
      </c>
      <c r="X5716">
        <v>0.97165849999999998</v>
      </c>
      <c r="Y5716">
        <v>-0.21908459999999999</v>
      </c>
      <c r="Z5716">
        <v>2.5151630000000001E-2</v>
      </c>
      <c r="AA5716">
        <v>0.97538170000000002</v>
      </c>
      <c r="AB5716">
        <v>26</v>
      </c>
      <c r="AC5716">
        <v>-0.94069999999999199</v>
      </c>
      <c r="AD5716">
        <v>-1.1149272057140001</v>
      </c>
      <c r="AE5716">
        <v>-26.392109999999999</v>
      </c>
      <c r="AF5716">
        <v>-5.8203289660764099</v>
      </c>
      <c r="AG5716">
        <v>-1.1149272057140001</v>
      </c>
      <c r="AH5716">
        <v>25.711333358748199</v>
      </c>
      <c r="AI5716">
        <v>92.421775993914295</v>
      </c>
      <c r="AJ5716">
        <v>102.755189802261</v>
      </c>
      <c r="AK5716">
        <v>26.385449684097999</v>
      </c>
      <c r="AL5716">
        <v>79.505531360728995</v>
      </c>
      <c r="AM5716">
        <v>98.814949925034199</v>
      </c>
      <c r="AN5716">
        <v>0.99999999579934995</v>
      </c>
    </row>
    <row r="5717" spans="1:40" x14ac:dyDescent="0.25">
      <c r="A5717" t="str">
        <f>"20190304154912028"</f>
        <v>20190304154912028</v>
      </c>
      <c r="B5717" t="str">
        <f>"1551685752023140"</f>
        <v>1551685752023140</v>
      </c>
      <c r="C5717" t="s">
        <v>40</v>
      </c>
      <c r="D5717">
        <v>4.0701689999999999</v>
      </c>
      <c r="E5717">
        <v>0.46466049999999998</v>
      </c>
      <c r="F5717" t="s">
        <v>44</v>
      </c>
      <c r="G5717">
        <v>-420.64479999999998</v>
      </c>
      <c r="H5717" s="1">
        <v>-2.0388069999999998E-6</v>
      </c>
      <c r="I5717">
        <v>83.94171</v>
      </c>
      <c r="J5717">
        <v>-420.07319999999999</v>
      </c>
      <c r="K5717">
        <v>1.1149100000000001</v>
      </c>
      <c r="L5717">
        <v>112.6763</v>
      </c>
      <c r="M5717">
        <v>-0.25152429999999998</v>
      </c>
      <c r="N5717">
        <v>-1.4191519999999999E-2</v>
      </c>
      <c r="O5717">
        <v>-0.96774700000000002</v>
      </c>
      <c r="P5717">
        <v>-0.1006655</v>
      </c>
      <c r="Q5717">
        <v>0.16982559999999999</v>
      </c>
      <c r="R5717">
        <v>-0.9803191</v>
      </c>
      <c r="S5717">
        <v>-6.5216060000000006E-2</v>
      </c>
      <c r="T5717">
        <v>-0.1185968</v>
      </c>
      <c r="U5717">
        <v>-3.0751040000000001</v>
      </c>
      <c r="V5717">
        <v>-0.1508997</v>
      </c>
      <c r="W5717">
        <v>0.18221470000000001</v>
      </c>
      <c r="X5717">
        <v>0.97161050000000004</v>
      </c>
      <c r="Y5717">
        <v>-0.23088710000000001</v>
      </c>
      <c r="Z5717">
        <v>2.2010430000000001E-2</v>
      </c>
      <c r="AA5717">
        <v>0.97273160000000003</v>
      </c>
      <c r="AB5717">
        <v>26</v>
      </c>
      <c r="AC5717">
        <v>-0.57159999999998901</v>
      </c>
      <c r="AD5717">
        <v>-1.114912038807</v>
      </c>
      <c r="AE5717">
        <v>-28.734590000000001</v>
      </c>
      <c r="AF5717">
        <v>-6.6649253645442403</v>
      </c>
      <c r="AG5717">
        <v>-1.114912038807</v>
      </c>
      <c r="AH5717">
        <v>27.912393336317798</v>
      </c>
      <c r="AI5717">
        <v>92.224882207883198</v>
      </c>
      <c r="AJ5717">
        <v>103.429629091715</v>
      </c>
      <c r="AK5717">
        <v>28.718738842966999</v>
      </c>
      <c r="AL5717">
        <v>79.501212894435</v>
      </c>
      <c r="AM5717">
        <v>98.828012270487605</v>
      </c>
      <c r="AN5717">
        <v>0.99999994003321302</v>
      </c>
    </row>
    <row r="5718" spans="1:40" x14ac:dyDescent="0.25">
      <c r="A5718" t="str">
        <f>"20190304154912045"</f>
        <v>20190304154912045</v>
      </c>
      <c r="B5718" t="str">
        <f>"1551685752042660"</f>
        <v>1551685752042660</v>
      </c>
      <c r="C5718" t="s">
        <v>40</v>
      </c>
      <c r="D5718">
        <v>4.0726839999999997</v>
      </c>
      <c r="E5718">
        <v>0.4634219</v>
      </c>
      <c r="F5718" t="s">
        <v>44</v>
      </c>
      <c r="G5718">
        <v>-420.42430000000002</v>
      </c>
      <c r="H5718" s="1">
        <v>-1.287632E-6</v>
      </c>
      <c r="I5718">
        <v>82.327479999999994</v>
      </c>
      <c r="J5718">
        <v>-420.11799999999999</v>
      </c>
      <c r="K5718">
        <v>1.114895</v>
      </c>
      <c r="L5718">
        <v>112.4846</v>
      </c>
      <c r="M5718">
        <v>-0.24731210000000001</v>
      </c>
      <c r="N5718">
        <v>-1.418852E-2</v>
      </c>
      <c r="O5718">
        <v>-0.96883209999999997</v>
      </c>
      <c r="P5718">
        <v>-9.5900280000000004E-2</v>
      </c>
      <c r="Q5718">
        <v>0.170015</v>
      </c>
      <c r="R5718">
        <v>-0.98076419999999997</v>
      </c>
      <c r="S5718">
        <v>-3.5583499999999997E-2</v>
      </c>
      <c r="T5718">
        <v>-0.1130062</v>
      </c>
      <c r="U5718">
        <v>-3.0761259999999999</v>
      </c>
      <c r="V5718">
        <v>-0.15138309999999999</v>
      </c>
      <c r="W5718">
        <v>0.1823999</v>
      </c>
      <c r="X5718">
        <v>0.97150060000000005</v>
      </c>
      <c r="Y5718">
        <v>-0.23602680000000001</v>
      </c>
      <c r="Z5718">
        <v>2.0320339999999999E-2</v>
      </c>
      <c r="AA5718">
        <v>0.97153409999999996</v>
      </c>
      <c r="AB5718">
        <v>26</v>
      </c>
      <c r="AC5718">
        <v>-0.30629999999996399</v>
      </c>
      <c r="AD5718">
        <v>-1.1148962876320001</v>
      </c>
      <c r="AE5718">
        <v>-30.1571199999999</v>
      </c>
      <c r="AF5718">
        <v>-7.1524129982646896</v>
      </c>
      <c r="AG5718">
        <v>-1.1148962876320001</v>
      </c>
      <c r="AH5718">
        <v>29.255901866344999</v>
      </c>
      <c r="AI5718">
        <v>92.120018657963399</v>
      </c>
      <c r="AJ5718">
        <v>103.73806145319899</v>
      </c>
      <c r="AK5718">
        <v>30.138145255525099</v>
      </c>
      <c r="AL5718">
        <v>79.490421401405598</v>
      </c>
      <c r="AM5718">
        <v>98.8568307518089</v>
      </c>
      <c r="AN5718">
        <v>0.99999999114298999</v>
      </c>
    </row>
    <row r="5719" spans="1:40" x14ac:dyDescent="0.25">
      <c r="A5719" t="str">
        <f>"20190304154912069"</f>
        <v>20190304154912069</v>
      </c>
      <c r="B5719" t="str">
        <f>"1551685752063156"</f>
        <v>1551685752063156</v>
      </c>
      <c r="C5719" t="s">
        <v>40</v>
      </c>
      <c r="D5719">
        <v>4.0641360000000004</v>
      </c>
      <c r="E5719">
        <v>0.4627578</v>
      </c>
      <c r="F5719" t="s">
        <v>44</v>
      </c>
      <c r="G5719">
        <v>-420.23360000000002</v>
      </c>
      <c r="H5719" s="1">
        <v>-7.2934139999999999E-7</v>
      </c>
      <c r="I5719">
        <v>81.144300000000001</v>
      </c>
      <c r="J5719">
        <v>-420.17910000000001</v>
      </c>
      <c r="K5719">
        <v>1.114868</v>
      </c>
      <c r="L5719">
        <v>112.21810000000001</v>
      </c>
      <c r="M5719">
        <v>-0.2414781</v>
      </c>
      <c r="N5719">
        <v>-1.4183930000000001E-2</v>
      </c>
      <c r="O5719">
        <v>-0.97030269999999996</v>
      </c>
      <c r="P5719">
        <v>-9.0180200000000002E-2</v>
      </c>
      <c r="Q5719">
        <v>0.16988020000000001</v>
      </c>
      <c r="R5719">
        <v>-0.98132969999999997</v>
      </c>
      <c r="S5719">
        <v>-1.135254E-2</v>
      </c>
      <c r="T5719">
        <v>-0.10945050000000001</v>
      </c>
      <c r="U5719">
        <v>-3.0767060000000002</v>
      </c>
      <c r="V5719">
        <v>-0.151195</v>
      </c>
      <c r="W5719">
        <v>0.1822723</v>
      </c>
      <c r="X5719">
        <v>0.97155389999999997</v>
      </c>
      <c r="Y5719">
        <v>-0.23783380000000001</v>
      </c>
      <c r="Z5719">
        <v>1.9291369999999999E-2</v>
      </c>
      <c r="AA5719">
        <v>0.97111429999999999</v>
      </c>
      <c r="AB5719">
        <v>26</v>
      </c>
      <c r="AC5719">
        <v>-5.4500000000018603E-2</v>
      </c>
      <c r="AD5719">
        <v>-1.1148687293413999</v>
      </c>
      <c r="AE5719">
        <v>-31.073799999999999</v>
      </c>
      <c r="AF5719">
        <v>-7.4419300888285997</v>
      </c>
      <c r="AG5719">
        <v>-1.1148687293413999</v>
      </c>
      <c r="AH5719">
        <v>30.128402219232299</v>
      </c>
      <c r="AI5719">
        <v>92.057421574757001</v>
      </c>
      <c r="AJ5719">
        <v>103.874738198339</v>
      </c>
      <c r="AK5719">
        <v>31.053918851161399</v>
      </c>
      <c r="AL5719">
        <v>79.497857616246804</v>
      </c>
      <c r="AM5719">
        <v>98.845522293966397</v>
      </c>
      <c r="AN5719">
        <v>1.00000004998874</v>
      </c>
    </row>
    <row r="5720" spans="1:40" x14ac:dyDescent="0.25">
      <c r="A5720" t="str">
        <f>"20190304154912091"</f>
        <v>20190304154912091</v>
      </c>
      <c r="B5720" t="str">
        <f>"1551685752082676"</f>
        <v>1551685752082676</v>
      </c>
      <c r="C5720" t="s">
        <v>40</v>
      </c>
      <c r="D5720">
        <v>4.05769</v>
      </c>
      <c r="E5720">
        <v>0.46271430000000002</v>
      </c>
      <c r="F5720" t="s">
        <v>44</v>
      </c>
      <c r="G5720">
        <v>-420.06569999999999</v>
      </c>
      <c r="H5720" s="1">
        <v>-4.3388719999999998E-7</v>
      </c>
      <c r="I5720">
        <v>80.559730000000002</v>
      </c>
      <c r="J5720">
        <v>-420.233</v>
      </c>
      <c r="K5720">
        <v>1.114838</v>
      </c>
      <c r="L5720">
        <v>111.97620000000001</v>
      </c>
      <c r="M5720">
        <v>-0.23621349999999999</v>
      </c>
      <c r="N5720">
        <v>-1.417918E-2</v>
      </c>
      <c r="O5720">
        <v>-0.97159770000000001</v>
      </c>
      <c r="P5720">
        <v>-8.5147490000000006E-2</v>
      </c>
      <c r="Q5720">
        <v>0.16970869999999999</v>
      </c>
      <c r="R5720">
        <v>-0.98180909999999999</v>
      </c>
      <c r="S5720">
        <v>1.101685E-2</v>
      </c>
      <c r="T5720">
        <v>-0.1083529</v>
      </c>
      <c r="U5720">
        <v>-3.0768430000000002</v>
      </c>
      <c r="V5720">
        <v>-0.15089939999999999</v>
      </c>
      <c r="W5720">
        <v>0.1821111</v>
      </c>
      <c r="X5720">
        <v>0.97162999999999999</v>
      </c>
      <c r="Y5720">
        <v>-0.23962739999999999</v>
      </c>
      <c r="Z5720">
        <v>1.9007010000000001E-2</v>
      </c>
      <c r="AA5720">
        <v>0.97067890000000001</v>
      </c>
      <c r="AB5720">
        <v>26</v>
      </c>
      <c r="AC5720">
        <v>0.167300000000011</v>
      </c>
      <c r="AD5720">
        <v>-1.1148384338871999</v>
      </c>
      <c r="AE5720">
        <v>-31.41647</v>
      </c>
      <c r="AF5720">
        <v>-7.5747670486005498</v>
      </c>
      <c r="AG5720">
        <v>-1.1148384338871999</v>
      </c>
      <c r="AH5720">
        <v>30.449375009033599</v>
      </c>
      <c r="AI5720">
        <v>92.034861690778897</v>
      </c>
      <c r="AJ5720">
        <v>103.969676324676</v>
      </c>
      <c r="AK5720">
        <v>31.397203681458599</v>
      </c>
      <c r="AL5720">
        <v>79.507250054300698</v>
      </c>
      <c r="AM5720">
        <v>98.827820614574605</v>
      </c>
      <c r="AN5720">
        <v>0.99999996928178403</v>
      </c>
    </row>
    <row r="5721" spans="1:40" x14ac:dyDescent="0.25">
      <c r="A5721" t="str">
        <f>"20190304154912112"</f>
        <v>20190304154912112</v>
      </c>
      <c r="B5721" t="str">
        <f>"1551685752103173"</f>
        <v>1551685752103173</v>
      </c>
      <c r="C5721" t="s">
        <v>40</v>
      </c>
      <c r="D5721">
        <v>4.031339</v>
      </c>
      <c r="E5721">
        <v>0.46273219999999998</v>
      </c>
      <c r="F5721" t="s">
        <v>44</v>
      </c>
      <c r="G5721">
        <v>-419.9622</v>
      </c>
      <c r="H5721" s="1">
        <v>-3.1017789999999999E-7</v>
      </c>
      <c r="I5721">
        <v>80.335589999999996</v>
      </c>
      <c r="J5721">
        <v>-420.2842</v>
      </c>
      <c r="K5721">
        <v>1.1148009999999999</v>
      </c>
      <c r="L5721">
        <v>111.74079999999999</v>
      </c>
      <c r="M5721">
        <v>-0.23112289999999999</v>
      </c>
      <c r="N5721">
        <v>-1.41739E-2</v>
      </c>
      <c r="O5721">
        <v>-0.9728213</v>
      </c>
      <c r="P5721">
        <v>-8.0498459999999994E-2</v>
      </c>
      <c r="Q5721">
        <v>0.16921989999999901</v>
      </c>
      <c r="R5721">
        <v>-0.98228559999999998</v>
      </c>
      <c r="S5721">
        <v>2.633667E-2</v>
      </c>
      <c r="T5721">
        <v>-0.1084026</v>
      </c>
      <c r="U5721">
        <v>-3.0766140000000002</v>
      </c>
      <c r="V5721">
        <v>-0.1504096</v>
      </c>
      <c r="W5721">
        <v>0.18163699999999999</v>
      </c>
      <c r="X5721">
        <v>0.97179470000000001</v>
      </c>
      <c r="Y5721">
        <v>-0.23937739999999999</v>
      </c>
      <c r="Z5721">
        <v>1.9086760000000001E-2</v>
      </c>
      <c r="AA5721">
        <v>0.97073889999999996</v>
      </c>
      <c r="AB5721">
        <v>25</v>
      </c>
      <c r="AC5721">
        <v>0.32200000000000201</v>
      </c>
      <c r="AD5721">
        <v>-1.1148013101779</v>
      </c>
      <c r="AE5721">
        <v>-31.40521</v>
      </c>
      <c r="AF5721">
        <v>-7.5629436824909497</v>
      </c>
      <c r="AG5721">
        <v>-1.1148013101779</v>
      </c>
      <c r="AH5721">
        <v>30.441943230474401</v>
      </c>
      <c r="AI5721">
        <v>92.035446336403893</v>
      </c>
      <c r="AJ5721">
        <v>103.95199554207301</v>
      </c>
      <c r="AK5721">
        <v>31.387143972542798</v>
      </c>
      <c r="AL5721">
        <v>79.534874966757599</v>
      </c>
      <c r="AM5721">
        <v>98.798147796261901</v>
      </c>
      <c r="AN5721">
        <v>0.99999999324462496</v>
      </c>
    </row>
    <row r="5722" spans="1:40" x14ac:dyDescent="0.25">
      <c r="A5722" t="str">
        <f>"20190304154912134"</f>
        <v>20190304154912134</v>
      </c>
      <c r="B5722" t="str">
        <f>"1551685752122693"</f>
        <v>1551685752122693</v>
      </c>
      <c r="C5722" t="s">
        <v>40</v>
      </c>
      <c r="D5722">
        <v>4.0253680000000003</v>
      </c>
      <c r="E5722">
        <v>0.46289279999999999</v>
      </c>
      <c r="F5722" t="s">
        <v>44</v>
      </c>
      <c r="G5722">
        <v>-419.8734</v>
      </c>
      <c r="H5722" s="1">
        <v>-3.2957439999999998E-7</v>
      </c>
      <c r="I5722">
        <v>80.348690000000005</v>
      </c>
      <c r="J5722">
        <v>-420.3356</v>
      </c>
      <c r="K5722">
        <v>1.1147609999999999</v>
      </c>
      <c r="L5722">
        <v>111.4984</v>
      </c>
      <c r="M5722">
        <v>-0.22591720000000001</v>
      </c>
      <c r="N5722">
        <v>-1.416827E-2</v>
      </c>
      <c r="O5722">
        <v>-0.97404360000000001</v>
      </c>
      <c r="P5722">
        <v>-7.5358949999999994E-2</v>
      </c>
      <c r="Q5722">
        <v>0.1685914</v>
      </c>
      <c r="R5722">
        <v>-0.98280149999999999</v>
      </c>
      <c r="S5722">
        <v>4.0252690000000001E-2</v>
      </c>
      <c r="T5722">
        <v>-0.1092436</v>
      </c>
      <c r="U5722">
        <v>-3.0762330000000002</v>
      </c>
      <c r="V5722">
        <v>-0.15029729999999999</v>
      </c>
      <c r="W5722">
        <v>0.18101990000000001</v>
      </c>
      <c r="X5722">
        <v>0.97192719999999999</v>
      </c>
      <c r="Y5722">
        <v>-0.23857680000000001</v>
      </c>
      <c r="Z5722">
        <v>1.9414959999999998E-2</v>
      </c>
      <c r="AA5722">
        <v>0.97092959999999995</v>
      </c>
      <c r="AB5722">
        <v>25</v>
      </c>
      <c r="AC5722">
        <v>0.462199999999995</v>
      </c>
      <c r="AD5722">
        <v>-1.1147613295743899</v>
      </c>
      <c r="AE5722">
        <v>-31.149709999999999</v>
      </c>
      <c r="AF5722">
        <v>-7.4786329254014499</v>
      </c>
      <c r="AG5722">
        <v>-1.1147613295743899</v>
      </c>
      <c r="AH5722">
        <v>30.201117384986102</v>
      </c>
      <c r="AI5722">
        <v>92.051978069183306</v>
      </c>
      <c r="AJ5722">
        <v>103.908244358967</v>
      </c>
      <c r="AK5722">
        <v>31.133264116641001</v>
      </c>
      <c r="AL5722">
        <v>79.570828089715604</v>
      </c>
      <c r="AM5722">
        <v>98.790501693981497</v>
      </c>
      <c r="AN5722">
        <v>0.99999998234156895</v>
      </c>
    </row>
    <row r="5723" spans="1:40" x14ac:dyDescent="0.25">
      <c r="A5723" t="str">
        <f>"20190304154912149"</f>
        <v>20190304154912149</v>
      </c>
      <c r="B5723" t="str">
        <f>"1551685752143188"</f>
        <v>1551685752143188</v>
      </c>
      <c r="C5723" t="s">
        <v>40</v>
      </c>
      <c r="D5723">
        <v>4.0534379999999999</v>
      </c>
      <c r="E5723">
        <v>0.46319460000000001</v>
      </c>
      <c r="F5723" t="s">
        <v>44</v>
      </c>
      <c r="G5723">
        <v>-419.77719999999999</v>
      </c>
      <c r="H5723" s="1">
        <v>-3.5627549999999999E-7</v>
      </c>
      <c r="I5723">
        <v>80.371119999999905</v>
      </c>
      <c r="J5723">
        <v>-420.36939999999998</v>
      </c>
      <c r="K5723">
        <v>1.114733</v>
      </c>
      <c r="L5723">
        <v>111.33540000000001</v>
      </c>
      <c r="M5723">
        <v>-0.2224341</v>
      </c>
      <c r="N5723">
        <v>-1.416449E-2</v>
      </c>
      <c r="O5723">
        <v>-0.97484490000000001</v>
      </c>
      <c r="P5723">
        <v>-7.1447620000000003E-2</v>
      </c>
      <c r="Q5723">
        <v>0.16834969999999999</v>
      </c>
      <c r="R5723">
        <v>-0.98313470000000003</v>
      </c>
      <c r="S5723">
        <v>5.5175780000000001E-2</v>
      </c>
      <c r="T5723">
        <v>-0.1101478</v>
      </c>
      <c r="U5723">
        <v>-3.0756380000000001</v>
      </c>
      <c r="V5723">
        <v>-0.15068779999999901</v>
      </c>
      <c r="W5723">
        <v>0.18077979999999999</v>
      </c>
      <c r="X5723">
        <v>0.97191150000000004</v>
      </c>
      <c r="Y5723">
        <v>-0.23981659999999999</v>
      </c>
      <c r="Z5723">
        <v>1.9731789999999999E-2</v>
      </c>
      <c r="AA5723">
        <v>0.97061770000000003</v>
      </c>
      <c r="AB5723">
        <v>25</v>
      </c>
      <c r="AC5723">
        <v>0.59219999999999096</v>
      </c>
      <c r="AD5723">
        <v>-1.1147333562755</v>
      </c>
      <c r="AE5723">
        <v>-30.964279999999999</v>
      </c>
      <c r="AF5723">
        <v>-7.4559036823826803</v>
      </c>
      <c r="AG5723">
        <v>-1.1147333562755</v>
      </c>
      <c r="AH5723">
        <v>30.0177680306913</v>
      </c>
      <c r="AI5723">
        <v>92.064085067722999</v>
      </c>
      <c r="AJ5723">
        <v>103.949013640118</v>
      </c>
      <c r="AK5723">
        <v>30.949951982530699</v>
      </c>
      <c r="AL5723">
        <v>79.584816359883106</v>
      </c>
      <c r="AM5723">
        <v>98.813123073141298</v>
      </c>
      <c r="AN5723">
        <v>1.0000000564945599</v>
      </c>
    </row>
    <row r="5724" spans="1:40" x14ac:dyDescent="0.25">
      <c r="A5724" t="str">
        <f>"20190304154912168"</f>
        <v>20190304154912168</v>
      </c>
      <c r="B5724" t="str">
        <f>"1551685752162708"</f>
        <v>1551685752162708</v>
      </c>
      <c r="C5724" t="s">
        <v>40</v>
      </c>
      <c r="D5724">
        <v>4.0371680000000003</v>
      </c>
      <c r="E5724">
        <v>0.46363280000000001</v>
      </c>
      <c r="F5724" t="s">
        <v>44</v>
      </c>
      <c r="G5724">
        <v>-419.71170000000001</v>
      </c>
      <c r="H5724" s="1">
        <v>-3.180861E-7</v>
      </c>
      <c r="I5724">
        <v>80.255039999999994</v>
      </c>
      <c r="J5724">
        <v>-420.41199999999998</v>
      </c>
      <c r="K5724">
        <v>1.1147049999999901</v>
      </c>
      <c r="L5724">
        <v>111.12569999999999</v>
      </c>
      <c r="M5724">
        <v>-0.2179722</v>
      </c>
      <c r="N5724">
        <v>-1.4159730000000001E-2</v>
      </c>
      <c r="O5724">
        <v>-0.97585239999999995</v>
      </c>
      <c r="P5724">
        <v>-6.5427899999999997E-2</v>
      </c>
      <c r="Q5724">
        <v>0.16792899999999999</v>
      </c>
      <c r="R5724">
        <v>-0.98362570000000005</v>
      </c>
      <c r="S5724">
        <v>6.5063480000000007E-2</v>
      </c>
      <c r="T5724">
        <v>-0.110291</v>
      </c>
      <c r="U5724">
        <v>-3.0750730000000002</v>
      </c>
      <c r="V5724">
        <v>-0.15219349999999901</v>
      </c>
      <c r="W5724">
        <v>0.18034919999999999</v>
      </c>
      <c r="X5724">
        <v>0.97175679999999998</v>
      </c>
      <c r="Y5724">
        <v>-0.23849870000000001</v>
      </c>
      <c r="Z5724">
        <v>1.98412E-2</v>
      </c>
      <c r="AA5724">
        <v>0.97094009999999997</v>
      </c>
      <c r="AB5724">
        <v>25</v>
      </c>
      <c r="AC5724">
        <v>0.70029999999996995</v>
      </c>
      <c r="AD5724">
        <v>-1.11470531808609</v>
      </c>
      <c r="AE5724">
        <v>-30.870659999999901</v>
      </c>
      <c r="AF5724">
        <v>-7.4034292358673399</v>
      </c>
      <c r="AG5724">
        <v>-1.11470531808609</v>
      </c>
      <c r="AH5724">
        <v>29.936549868513399</v>
      </c>
      <c r="AI5724">
        <v>92.070149119264201</v>
      </c>
      <c r="AJ5724">
        <v>103.89076978834299</v>
      </c>
      <c r="AK5724">
        <v>30.858553926369499</v>
      </c>
      <c r="AL5724">
        <v>79.6098994895939</v>
      </c>
      <c r="AM5724">
        <v>98.9011766640009</v>
      </c>
      <c r="AN5724">
        <v>0.99999998686456404</v>
      </c>
    </row>
    <row r="5725" spans="1:40" x14ac:dyDescent="0.25">
      <c r="A5725" t="str">
        <f>"20190304154912184"</f>
        <v>20190304154912184</v>
      </c>
      <c r="B5725" t="str">
        <f>"1551685752173445"</f>
        <v>1551685752173445</v>
      </c>
      <c r="C5725" t="s">
        <v>40</v>
      </c>
      <c r="D5725">
        <v>4.076562</v>
      </c>
      <c r="E5725">
        <v>0.46385999999999999</v>
      </c>
      <c r="F5725" t="s">
        <v>44</v>
      </c>
      <c r="G5725">
        <v>-419.60939999999999</v>
      </c>
      <c r="H5725" s="1">
        <v>-3.658738E-7</v>
      </c>
      <c r="I5725">
        <v>80.324110000000005</v>
      </c>
      <c r="J5725">
        <v>-420.447</v>
      </c>
      <c r="K5725">
        <v>1.1146860000000001</v>
      </c>
      <c r="L5725">
        <v>110.94929999999999</v>
      </c>
      <c r="M5725">
        <v>-0.21423719999999999</v>
      </c>
      <c r="N5725">
        <v>-1.415578E-2</v>
      </c>
      <c r="O5725">
        <v>-0.97667910000000002</v>
      </c>
      <c r="P5725">
        <v>-6.0726059999999998E-2</v>
      </c>
      <c r="Q5725">
        <v>0.1684165</v>
      </c>
      <c r="R5725">
        <v>-0.98384360000000004</v>
      </c>
      <c r="S5725">
        <v>8.0108639999999995E-2</v>
      </c>
      <c r="T5725">
        <v>-0.1112578</v>
      </c>
      <c r="U5725">
        <v>-3.0742799999999999</v>
      </c>
      <c r="V5725">
        <v>-0.1530995</v>
      </c>
      <c r="W5725">
        <v>0.18082999999999999</v>
      </c>
      <c r="X5725">
        <v>0.97152510000000003</v>
      </c>
      <c r="Y5725">
        <v>-0.23953640000000001</v>
      </c>
      <c r="Z5725">
        <v>2.0183159999999999E-2</v>
      </c>
      <c r="AA5725">
        <v>0.97067760000000003</v>
      </c>
      <c r="AB5725">
        <v>25</v>
      </c>
      <c r="AC5725">
        <v>0.83759999999995205</v>
      </c>
      <c r="AD5725">
        <v>-1.1146863658738</v>
      </c>
      <c r="AE5725">
        <v>-30.6251899999999</v>
      </c>
      <c r="AF5725">
        <v>-7.3701041533631004</v>
      </c>
      <c r="AG5725">
        <v>-1.1146863658738</v>
      </c>
      <c r="AH5725">
        <v>29.695206272307701</v>
      </c>
      <c r="AI5725">
        <v>92.086491700480593</v>
      </c>
      <c r="AJ5725">
        <v>103.93868945768401</v>
      </c>
      <c r="AK5725">
        <v>30.616437357742701</v>
      </c>
      <c r="AL5725">
        <v>79.581891138428901</v>
      </c>
      <c r="AM5725">
        <v>98.955409662997397</v>
      </c>
      <c r="AN5725">
        <v>0.99999998286512903</v>
      </c>
    </row>
    <row r="5726" spans="1:40" x14ac:dyDescent="0.25">
      <c r="A5726" t="str">
        <f>"20190304154912202"</f>
        <v>20190304154912202</v>
      </c>
      <c r="B5726" t="str">
        <f>"1551685752192965"</f>
        <v>1551685752192965</v>
      </c>
      <c r="C5726" t="s">
        <v>40</v>
      </c>
      <c r="D5726">
        <v>4.0127730000000001</v>
      </c>
      <c r="E5726">
        <v>0.46439760000000002</v>
      </c>
      <c r="F5726" t="s">
        <v>44</v>
      </c>
      <c r="G5726">
        <v>-419.4973</v>
      </c>
      <c r="H5726" s="1">
        <v>-1.5445019999999999E-7</v>
      </c>
      <c r="I5726">
        <v>79.708830000000006</v>
      </c>
      <c r="J5726">
        <v>-420.48579999999998</v>
      </c>
      <c r="K5726">
        <v>1.114676</v>
      </c>
      <c r="L5726">
        <v>110.75</v>
      </c>
      <c r="M5726">
        <v>-0.21002689999999999</v>
      </c>
      <c r="N5726">
        <v>-1.4151489999999999E-2</v>
      </c>
      <c r="O5726">
        <v>-0.97759320000000005</v>
      </c>
      <c r="P5726">
        <v>-5.5249359999999997E-2</v>
      </c>
      <c r="Q5726">
        <v>0.16919670000000001</v>
      </c>
      <c r="R5726">
        <v>-0.98403260000000004</v>
      </c>
      <c r="S5726">
        <v>9.3444819999999998E-2</v>
      </c>
      <c r="T5726">
        <v>-0.10967590000000001</v>
      </c>
      <c r="U5726">
        <v>-3.073807</v>
      </c>
      <c r="V5726">
        <v>-0.15429319999999999</v>
      </c>
      <c r="W5726">
        <v>0.18159810000000001</v>
      </c>
      <c r="X5726">
        <v>0.97119299999999997</v>
      </c>
      <c r="Y5726">
        <v>-0.23956630000000001</v>
      </c>
      <c r="Z5726">
        <v>1.9745160000000001E-2</v>
      </c>
      <c r="AA5726">
        <v>0.97067919999999996</v>
      </c>
      <c r="AB5726">
        <v>25</v>
      </c>
      <c r="AC5726">
        <v>0.98849999999998694</v>
      </c>
      <c r="AD5726">
        <v>-1.1146761544502</v>
      </c>
      <c r="AE5726">
        <v>-31.041169999999902</v>
      </c>
      <c r="AF5726">
        <v>-7.4769494101517102</v>
      </c>
      <c r="AG5726">
        <v>-1.1146761544502</v>
      </c>
      <c r="AH5726">
        <v>30.102265403060802</v>
      </c>
      <c r="AI5726">
        <v>92.058189693480202</v>
      </c>
      <c r="AJ5726">
        <v>103.949117648903</v>
      </c>
      <c r="AK5726">
        <v>31.0369724330126</v>
      </c>
      <c r="AL5726">
        <v>79.537142091784403</v>
      </c>
      <c r="AM5726">
        <v>99.027124320765793</v>
      </c>
      <c r="AN5726">
        <v>1.0000000523694199</v>
      </c>
    </row>
    <row r="5727" spans="1:40" x14ac:dyDescent="0.25">
      <c r="A5727" t="str">
        <f>"20190304154912224"</f>
        <v>20190304154912224</v>
      </c>
      <c r="B5727" t="str">
        <f>"1551685752213461"</f>
        <v>1551685752213461</v>
      </c>
      <c r="C5727" t="s">
        <v>40</v>
      </c>
      <c r="D5727">
        <v>4.055491</v>
      </c>
      <c r="E5727">
        <v>0.47314270000000003</v>
      </c>
      <c r="F5727" t="s">
        <v>44</v>
      </c>
      <c r="G5727">
        <v>-419.3571</v>
      </c>
      <c r="H5727" s="1">
        <v>-3.944726E-6</v>
      </c>
      <c r="I5727">
        <v>78.562219999999996</v>
      </c>
      <c r="J5727">
        <v>-420.53129999999999</v>
      </c>
      <c r="K5727">
        <v>1.114665</v>
      </c>
      <c r="L5727">
        <v>110.5106</v>
      </c>
      <c r="M5727">
        <v>-0.204983</v>
      </c>
      <c r="N5727">
        <v>-1.4146550000000001E-2</v>
      </c>
      <c r="O5727">
        <v>-0.97866330000000001</v>
      </c>
      <c r="P5727">
        <v>-4.9143649999999997E-2</v>
      </c>
      <c r="Q5727">
        <v>0.16944139999999999</v>
      </c>
      <c r="R5727">
        <v>-0.98431429999999998</v>
      </c>
      <c r="S5727">
        <v>0.1077576</v>
      </c>
      <c r="T5727">
        <v>-0.1064208</v>
      </c>
      <c r="U5727">
        <v>-3.073029</v>
      </c>
      <c r="V5727">
        <v>-0.15529770000000001</v>
      </c>
      <c r="W5727">
        <v>0.18183340000000001</v>
      </c>
      <c r="X5727">
        <v>0.97098879999999999</v>
      </c>
      <c r="Y5727">
        <v>-0.2390862</v>
      </c>
      <c r="Z5727">
        <v>1.880124E-2</v>
      </c>
      <c r="AA5727">
        <v>0.97081629999999997</v>
      </c>
      <c r="AB5727">
        <v>25</v>
      </c>
      <c r="AC5727">
        <v>1.1741999999999799</v>
      </c>
      <c r="AD5727">
        <v>-1.1146689447260001</v>
      </c>
      <c r="AE5727">
        <v>-31.94838</v>
      </c>
      <c r="AF5727">
        <v>-7.68944392662514</v>
      </c>
      <c r="AG5727">
        <v>-1.1146689447260001</v>
      </c>
      <c r="AH5727">
        <v>30.991446119823799</v>
      </c>
      <c r="AI5727">
        <v>91.9992996118945</v>
      </c>
      <c r="AJ5727">
        <v>103.934551232956</v>
      </c>
      <c r="AK5727">
        <v>31.950583208370301</v>
      </c>
      <c r="AL5727">
        <v>79.523431641811499</v>
      </c>
      <c r="AM5727">
        <v>99.086795572971297</v>
      </c>
      <c r="AN5727">
        <v>1.0000000053531399</v>
      </c>
    </row>
    <row r="5728" spans="1:40" x14ac:dyDescent="0.25">
      <c r="A5728" t="str">
        <f>"20190304154912247"</f>
        <v>20190304154912247</v>
      </c>
      <c r="B5728" t="str">
        <f>"1551685752242740"</f>
        <v>1551685752242740</v>
      </c>
      <c r="C5728" t="s">
        <v>40</v>
      </c>
      <c r="D5728">
        <v>4.0285640000000003</v>
      </c>
      <c r="E5728">
        <v>0.47510649999999999</v>
      </c>
      <c r="F5728" t="s">
        <v>44</v>
      </c>
      <c r="G5728">
        <v>-419.90550000000002</v>
      </c>
      <c r="H5728" s="1">
        <v>-3.0349500000000001E-6</v>
      </c>
      <c r="I5728">
        <v>76.668239999999997</v>
      </c>
      <c r="J5728">
        <v>-420.57749999999999</v>
      </c>
      <c r="K5728">
        <v>1.1146529999999999</v>
      </c>
      <c r="L5728">
        <v>110.2603</v>
      </c>
      <c r="M5728">
        <v>-0.19971610000000001</v>
      </c>
      <c r="N5728">
        <v>-1.41418E-2</v>
      </c>
      <c r="O5728">
        <v>-0.97975159999999994</v>
      </c>
      <c r="P5728">
        <v>-4.3224230000000002E-2</v>
      </c>
      <c r="Q5728">
        <v>0.1696395</v>
      </c>
      <c r="R5728">
        <v>-0.98455769999999998</v>
      </c>
      <c r="S5728">
        <v>5.673218E-2</v>
      </c>
      <c r="T5728">
        <v>-0.1010523</v>
      </c>
      <c r="U5728">
        <v>-3.0680390000000002</v>
      </c>
      <c r="V5728">
        <v>-0.15590270000000001</v>
      </c>
      <c r="W5728">
        <v>0.18202570000000001</v>
      </c>
      <c r="X5728">
        <v>0.97085580000000005</v>
      </c>
      <c r="Y5728">
        <v>-0.2177405</v>
      </c>
      <c r="Z5728">
        <v>1.7362470000000001E-2</v>
      </c>
      <c r="AA5728">
        <v>0.97585230000000001</v>
      </c>
      <c r="AB5728">
        <v>25</v>
      </c>
      <c r="AC5728">
        <v>0.67199999999996796</v>
      </c>
      <c r="AD5728">
        <v>-1.1146560349500001</v>
      </c>
      <c r="AE5728">
        <v>-33.592059999999996</v>
      </c>
      <c r="AF5728">
        <v>-7.3599057555344096</v>
      </c>
      <c r="AG5728">
        <v>-1.1146560349500001</v>
      </c>
      <c r="AH5728">
        <v>32.744908711828202</v>
      </c>
      <c r="AI5728">
        <v>91.902208451312404</v>
      </c>
      <c r="AJ5728">
        <v>102.667561052997</v>
      </c>
      <c r="AK5728">
        <v>33.580347189279699</v>
      </c>
      <c r="AL5728">
        <v>79.512226569356599</v>
      </c>
      <c r="AM5728">
        <v>99.122829980398805</v>
      </c>
      <c r="AN5728">
        <v>0.99999999586070998</v>
      </c>
    </row>
    <row r="5729" spans="1:40" x14ac:dyDescent="0.25">
      <c r="A5729" t="str">
        <f>"20190304154912269"</f>
        <v>20190304154912269</v>
      </c>
      <c r="B5729" t="str">
        <f>"1551685752263236"</f>
        <v>1551685752263236</v>
      </c>
      <c r="C5729" t="s">
        <v>40</v>
      </c>
      <c r="D5729">
        <v>4.0495760000000001</v>
      </c>
      <c r="E5729">
        <v>0.47633629999999999</v>
      </c>
      <c r="F5729" t="s">
        <v>44</v>
      </c>
      <c r="G5729">
        <v>-419.88909999999998</v>
      </c>
      <c r="H5729" s="1">
        <v>-2.114844E-6</v>
      </c>
      <c r="I5729">
        <v>74.516679999999994</v>
      </c>
      <c r="J5729">
        <v>-420.62130000000002</v>
      </c>
      <c r="K5729">
        <v>1.114636</v>
      </c>
      <c r="L5729">
        <v>110.01600000000001</v>
      </c>
      <c r="M5729">
        <v>-0.19457650000000001</v>
      </c>
      <c r="N5729">
        <v>-1.413764E-2</v>
      </c>
      <c r="O5729">
        <v>-0.98078569999999998</v>
      </c>
      <c r="P5729">
        <v>-3.8192660000000003E-2</v>
      </c>
      <c r="Q5729">
        <v>0.16954279999999999</v>
      </c>
      <c r="R5729">
        <v>-0.98478290000000002</v>
      </c>
      <c r="S5729">
        <v>5.9051510000000001E-2</v>
      </c>
      <c r="T5729">
        <v>-9.5615980000000003E-2</v>
      </c>
      <c r="U5729">
        <v>-3.0661160000000001</v>
      </c>
      <c r="V5729">
        <v>-0.15577070000000001</v>
      </c>
      <c r="W5729">
        <v>0.18193100000000001</v>
      </c>
      <c r="X5729">
        <v>0.97089479999999995</v>
      </c>
      <c r="Y5729">
        <v>-0.21337529999999999</v>
      </c>
      <c r="Z5729">
        <v>1.5753130000000001E-2</v>
      </c>
      <c r="AA5729">
        <v>0.97684329999999997</v>
      </c>
      <c r="AB5729">
        <v>25</v>
      </c>
      <c r="AC5729">
        <v>0.73220000000003405</v>
      </c>
      <c r="AD5729">
        <v>-1.1146381148440001</v>
      </c>
      <c r="AE5729">
        <v>-35.499319999999997</v>
      </c>
      <c r="AF5729">
        <v>-7.6187170761173499</v>
      </c>
      <c r="AG5729">
        <v>-1.1146381148440001</v>
      </c>
      <c r="AH5729">
        <v>34.644073366679201</v>
      </c>
      <c r="AI5729">
        <v>91.799819778517403</v>
      </c>
      <c r="AJ5729">
        <v>102.402718997468</v>
      </c>
      <c r="AK5729">
        <v>35.489422190968902</v>
      </c>
      <c r="AL5729">
        <v>79.517745256776394</v>
      </c>
      <c r="AM5729">
        <v>99.114875567308601</v>
      </c>
      <c r="AN5729">
        <v>1.00000005620326</v>
      </c>
    </row>
    <row r="5730" spans="1:40" x14ac:dyDescent="0.25">
      <c r="A5730" t="str">
        <f>"20190304154912292"</f>
        <v>20190304154912292</v>
      </c>
      <c r="B5730" t="str">
        <f>"1551685752282756"</f>
        <v>1551685752282756</v>
      </c>
      <c r="C5730" t="s">
        <v>40</v>
      </c>
      <c r="D5730">
        <v>4.0484609999999996</v>
      </c>
      <c r="E5730">
        <v>0.47733799999999998</v>
      </c>
      <c r="F5730" t="s">
        <v>44</v>
      </c>
      <c r="G5730">
        <v>-419.88099999999997</v>
      </c>
      <c r="H5730" s="1">
        <v>-2.3458180000000001E-6</v>
      </c>
      <c r="I5730">
        <v>75.051730000000006</v>
      </c>
      <c r="J5730">
        <v>-420.66469999999998</v>
      </c>
      <c r="K5730">
        <v>1.1146229999999999</v>
      </c>
      <c r="L5730">
        <v>109.76609999999999</v>
      </c>
      <c r="M5730">
        <v>-0.1893137</v>
      </c>
      <c r="N5730">
        <v>-1.413355E-2</v>
      </c>
      <c r="O5730">
        <v>-0.9818152</v>
      </c>
      <c r="P5730">
        <v>-3.3344569999999997E-2</v>
      </c>
      <c r="Q5730">
        <v>0.169048799999999</v>
      </c>
      <c r="R5730">
        <v>-0.98504349999999996</v>
      </c>
      <c r="S5730">
        <v>6.4910889999999999E-2</v>
      </c>
      <c r="T5730">
        <v>-9.7733020000000004E-2</v>
      </c>
      <c r="U5730">
        <v>-3.0657199999999998</v>
      </c>
      <c r="V5730">
        <v>-0.15534890000000001</v>
      </c>
      <c r="W5730">
        <v>0.1814424</v>
      </c>
      <c r="X5730">
        <v>0.97105379999999997</v>
      </c>
      <c r="Y5730">
        <v>-0.210003</v>
      </c>
      <c r="Z5730">
        <v>1.6481470000000002E-2</v>
      </c>
      <c r="AA5730">
        <v>0.97756180000000004</v>
      </c>
      <c r="AB5730">
        <v>25</v>
      </c>
      <c r="AC5730">
        <v>0.78370000000001006</v>
      </c>
      <c r="AD5730">
        <v>-1.114625345818</v>
      </c>
      <c r="AE5730">
        <v>-34.714369999999903</v>
      </c>
      <c r="AF5730">
        <v>-7.3345281319674003</v>
      </c>
      <c r="AG5730">
        <v>-1.114625345818</v>
      </c>
      <c r="AH5730">
        <v>33.903177185294197</v>
      </c>
      <c r="AI5730">
        <v>91.840473141603397</v>
      </c>
      <c r="AJ5730">
        <v>102.207106508244</v>
      </c>
      <c r="AK5730">
        <v>34.705375892469696</v>
      </c>
      <c r="AL5730">
        <v>79.546213765639195</v>
      </c>
      <c r="AM5730">
        <v>99.089143097837507</v>
      </c>
      <c r="AN5730">
        <v>1.0000000538717</v>
      </c>
    </row>
    <row r="5731" spans="1:40" x14ac:dyDescent="0.25">
      <c r="A5731" t="str">
        <f>"20190304154912313"</f>
        <v>20190304154912313</v>
      </c>
      <c r="B5731" t="str">
        <f>"1551685752303253"</f>
        <v>1551685752303253</v>
      </c>
      <c r="C5731" t="s">
        <v>40</v>
      </c>
      <c r="D5731">
        <v>4.045668</v>
      </c>
      <c r="E5731">
        <v>0.48264099999999999</v>
      </c>
      <c r="F5731" t="s">
        <v>44</v>
      </c>
      <c r="G5731">
        <v>-419.8501</v>
      </c>
      <c r="H5731" s="1">
        <v>-2.3269609999999999E-6</v>
      </c>
      <c r="I5731">
        <v>74.994969999999995</v>
      </c>
      <c r="J5731">
        <v>-420.70400000000001</v>
      </c>
      <c r="K5731">
        <v>1.114608</v>
      </c>
      <c r="L5731">
        <v>109.53270000000001</v>
      </c>
      <c r="M5731">
        <v>-0.18439269999999999</v>
      </c>
      <c r="N5731">
        <v>-1.4122549999999999E-2</v>
      </c>
      <c r="O5731">
        <v>-0.98275129999999999</v>
      </c>
      <c r="P5731">
        <v>-2.9106279999999998E-2</v>
      </c>
      <c r="Q5731">
        <v>0.16808519999999999</v>
      </c>
      <c r="R5731">
        <v>-0.98534290000000002</v>
      </c>
      <c r="S5731">
        <v>7.1807860000000001E-2</v>
      </c>
      <c r="T5731">
        <v>-9.8246570000000005E-2</v>
      </c>
      <c r="U5731">
        <v>-3.064835</v>
      </c>
      <c r="V5731">
        <v>-0.15467879999999901</v>
      </c>
      <c r="W5731">
        <v>0.180481</v>
      </c>
      <c r="X5731">
        <v>0.97133979999999998</v>
      </c>
      <c r="Y5731">
        <v>-0.20730960000000001</v>
      </c>
      <c r="Z5731">
        <v>1.6713459999999999E-2</v>
      </c>
      <c r="AA5731">
        <v>0.97813260000000002</v>
      </c>
      <c r="AB5731">
        <v>25</v>
      </c>
      <c r="AC5731">
        <v>0.85390000000000998</v>
      </c>
      <c r="AD5731">
        <v>-1.1146103269609999</v>
      </c>
      <c r="AE5731">
        <v>-34.537730000000003</v>
      </c>
      <c r="AF5731">
        <v>-7.2008995231280597</v>
      </c>
      <c r="AG5731">
        <v>-1.1146103269609999</v>
      </c>
      <c r="AH5731">
        <v>33.752779832866999</v>
      </c>
      <c r="AI5731">
        <v>91.849780051239705</v>
      </c>
      <c r="AJ5731">
        <v>102.04307276873899</v>
      </c>
      <c r="AK5731">
        <v>34.5303555812729</v>
      </c>
      <c r="AL5731">
        <v>79.602221689150795</v>
      </c>
      <c r="AM5731">
        <v>99.047966485377401</v>
      </c>
      <c r="AN5731">
        <v>0.99999996479723896</v>
      </c>
    </row>
    <row r="5732" spans="1:40" x14ac:dyDescent="0.25">
      <c r="A5732" t="str">
        <f>"20190304154912335"</f>
        <v>20190304154912335</v>
      </c>
      <c r="B5732" t="str">
        <f>"1551685752332534"</f>
        <v>1551685752332534</v>
      </c>
      <c r="C5732" t="s">
        <v>40</v>
      </c>
      <c r="D5732">
        <v>4.0553100000000004</v>
      </c>
      <c r="E5732">
        <v>0.48332380000000003</v>
      </c>
      <c r="F5732" t="s">
        <v>44</v>
      </c>
      <c r="G5732">
        <v>-420.2595</v>
      </c>
      <c r="H5732" s="1">
        <v>-3.7499739999999998E-6</v>
      </c>
      <c r="I5732">
        <v>78.169420000000002</v>
      </c>
      <c r="J5732">
        <v>-420.74380000000002</v>
      </c>
      <c r="K5732">
        <v>1.1145910000000001</v>
      </c>
      <c r="L5732">
        <v>109.2876</v>
      </c>
      <c r="M5732">
        <v>-0.17921979999999901</v>
      </c>
      <c r="N5732">
        <v>-1.410321E-2</v>
      </c>
      <c r="O5732">
        <v>-0.98370800000000003</v>
      </c>
      <c r="P5732">
        <v>-2.465703E-2</v>
      </c>
      <c r="Q5732">
        <v>0.16688320000000001</v>
      </c>
      <c r="R5732">
        <v>-0.98566810000000005</v>
      </c>
      <c r="S5732">
        <v>4.3426510000000001E-2</v>
      </c>
      <c r="T5732">
        <v>-0.1089079</v>
      </c>
      <c r="U5732">
        <v>-3.0644840000000002</v>
      </c>
      <c r="V5732">
        <v>-0.15397549999999999</v>
      </c>
      <c r="W5732">
        <v>0.17927270000000001</v>
      </c>
      <c r="X5732">
        <v>0.97167530000000002</v>
      </c>
      <c r="Y5732">
        <v>-0.1930877</v>
      </c>
      <c r="Z5732">
        <v>2.0201690000000001E-2</v>
      </c>
      <c r="AA5732">
        <v>0.98097350000000005</v>
      </c>
      <c r="AB5732">
        <v>25</v>
      </c>
      <c r="AC5732">
        <v>0.48430000000001799</v>
      </c>
      <c r="AD5732">
        <v>-1.1145947499740001</v>
      </c>
      <c r="AE5732">
        <v>-31.118179999999899</v>
      </c>
      <c r="AF5732">
        <v>-6.0462505962597097</v>
      </c>
      <c r="AG5732">
        <v>-1.1145947499740001</v>
      </c>
      <c r="AH5732">
        <v>30.488336392134201</v>
      </c>
      <c r="AI5732">
        <v>92.053730607921395</v>
      </c>
      <c r="AJ5732">
        <v>101.216993022624</v>
      </c>
      <c r="AK5732">
        <v>31.102059798176999</v>
      </c>
      <c r="AL5732">
        <v>79.672600718021897</v>
      </c>
      <c r="AM5732">
        <v>99.004443677456294</v>
      </c>
      <c r="AN5732">
        <v>1.00000002209781</v>
      </c>
    </row>
    <row r="5733" spans="1:40" x14ac:dyDescent="0.25">
      <c r="A5733" t="str">
        <f>"20190304154912358"</f>
        <v>20190304154912358</v>
      </c>
      <c r="B5733" t="str">
        <f>"1551685752353028"</f>
        <v>1551685752353028</v>
      </c>
      <c r="C5733" t="s">
        <v>40</v>
      </c>
      <c r="D5733">
        <v>4.0308710000000003</v>
      </c>
      <c r="E5733">
        <v>0.48676039999999998</v>
      </c>
      <c r="F5733" t="s">
        <v>44</v>
      </c>
      <c r="G5733">
        <v>-420.19639999999998</v>
      </c>
      <c r="H5733" s="1">
        <v>-3.2997879999999998E-6</v>
      </c>
      <c r="I5733">
        <v>77.15916</v>
      </c>
      <c r="J5733">
        <v>-420.78309999999999</v>
      </c>
      <c r="K5733">
        <v>1.1145719999999999</v>
      </c>
      <c r="L5733">
        <v>109.0382</v>
      </c>
      <c r="M5733">
        <v>-0.1739455</v>
      </c>
      <c r="N5733">
        <v>-1.406842E-2</v>
      </c>
      <c r="O5733">
        <v>-0.9846549</v>
      </c>
      <c r="P5733">
        <v>-1.9570850000000001E-2</v>
      </c>
      <c r="Q5733">
        <v>0.16670189999999999</v>
      </c>
      <c r="R5733">
        <v>-0.98581359999999996</v>
      </c>
      <c r="S5733">
        <v>5.2185059999999998E-2</v>
      </c>
      <c r="T5733">
        <v>-0.1062584</v>
      </c>
      <c r="U5733">
        <v>-3.0629270000000002</v>
      </c>
      <c r="V5733">
        <v>-0.1537828</v>
      </c>
      <c r="W5733">
        <v>0.17906259999999999</v>
      </c>
      <c r="X5733">
        <v>0.97174450000000001</v>
      </c>
      <c r="Y5733">
        <v>-0.1906429</v>
      </c>
      <c r="Z5733">
        <v>1.9473009999999999E-2</v>
      </c>
      <c r="AA5733">
        <v>0.98146630000000001</v>
      </c>
      <c r="AB5733">
        <v>25</v>
      </c>
      <c r="AC5733">
        <v>0.58670000000000699</v>
      </c>
      <c r="AD5733">
        <v>-1.1145752997880001</v>
      </c>
      <c r="AE5733">
        <v>-31.87904</v>
      </c>
      <c r="AF5733">
        <v>-6.1160442586744699</v>
      </c>
      <c r="AG5733">
        <v>-1.1145752997880001</v>
      </c>
      <c r="AH5733">
        <v>31.2527023042583</v>
      </c>
      <c r="AI5733">
        <v>92.0045016143971</v>
      </c>
      <c r="AJ5733">
        <v>101.072648271204</v>
      </c>
      <c r="AK5733">
        <v>31.865022780339501</v>
      </c>
      <c r="AL5733">
        <v>79.684835998613806</v>
      </c>
      <c r="AM5733">
        <v>98.9927289633995</v>
      </c>
      <c r="AN5733">
        <v>0.99999996878742403</v>
      </c>
    </row>
    <row r="5734" spans="1:40" x14ac:dyDescent="0.25">
      <c r="A5734" t="str">
        <f>"20190304154912373"</f>
        <v>20190304154912373</v>
      </c>
      <c r="B5734" t="str">
        <f>"1551685752362789"</f>
        <v>1551685752362789</v>
      </c>
      <c r="C5734" t="s">
        <v>40</v>
      </c>
      <c r="D5734">
        <v>4.0381330000000002</v>
      </c>
      <c r="E5734">
        <v>0.48766759999999898</v>
      </c>
      <c r="F5734" t="s">
        <v>44</v>
      </c>
      <c r="G5734">
        <v>-420.31569999999999</v>
      </c>
      <c r="H5734" s="1">
        <v>-1.9350659999999998E-6</v>
      </c>
      <c r="I5734">
        <v>73.903959999999998</v>
      </c>
      <c r="J5734">
        <v>-420.8082</v>
      </c>
      <c r="K5734">
        <v>1.1145620000000001</v>
      </c>
      <c r="L5734">
        <v>108.87430000000001</v>
      </c>
      <c r="M5734">
        <v>-0.1704756</v>
      </c>
      <c r="N5734">
        <v>-1.4035580000000001E-2</v>
      </c>
      <c r="O5734">
        <v>-0.98526219999999998</v>
      </c>
      <c r="P5734">
        <v>-1.6241579999999999E-2</v>
      </c>
      <c r="Q5734">
        <v>0.1669407</v>
      </c>
      <c r="R5734">
        <v>-0.98583359999999998</v>
      </c>
      <c r="S5734">
        <v>4.0710450000000002E-2</v>
      </c>
      <c r="T5734">
        <v>-9.7085710000000006E-2</v>
      </c>
      <c r="U5734">
        <v>-3.0603940000000001</v>
      </c>
      <c r="V5734">
        <v>-0.1536341</v>
      </c>
      <c r="W5734">
        <v>0.17927179999999901</v>
      </c>
      <c r="X5734">
        <v>0.97172950000000002</v>
      </c>
      <c r="Y5734">
        <v>-0.18352189999999999</v>
      </c>
      <c r="Z5734">
        <v>1.669261E-2</v>
      </c>
      <c r="AA5734">
        <v>0.98287389999999997</v>
      </c>
      <c r="AB5734">
        <v>25</v>
      </c>
      <c r="AC5734">
        <v>0.49250000000000599</v>
      </c>
      <c r="AD5734">
        <v>-1.1145639350659999</v>
      </c>
      <c r="AE5734">
        <v>-34.97034</v>
      </c>
      <c r="AF5734">
        <v>-6.44092329212741</v>
      </c>
      <c r="AG5734">
        <v>-1.1145639350659999</v>
      </c>
      <c r="AH5734">
        <v>34.339496463537699</v>
      </c>
      <c r="AI5734">
        <v>91.827167191148206</v>
      </c>
      <c r="AJ5734">
        <v>100.62331041774</v>
      </c>
      <c r="AK5734">
        <v>34.956097651049902</v>
      </c>
      <c r="AL5734">
        <v>79.672653091263001</v>
      </c>
      <c r="AM5734">
        <v>98.984311781885793</v>
      </c>
      <c r="AN5734">
        <v>1.00000001806415</v>
      </c>
    </row>
    <row r="5735" spans="1:40" x14ac:dyDescent="0.25">
      <c r="A5735" t="str">
        <f>"20190304154912386"</f>
        <v>20190304154912386</v>
      </c>
      <c r="B5735" t="str">
        <f>"1551685752383285"</f>
        <v>1551685752383285</v>
      </c>
      <c r="C5735" t="s">
        <v>40</v>
      </c>
      <c r="D5735">
        <v>4.0437640000000004</v>
      </c>
      <c r="E5735">
        <v>0.48788169999999997</v>
      </c>
      <c r="F5735" t="s">
        <v>44</v>
      </c>
      <c r="G5735">
        <v>-420.2946</v>
      </c>
      <c r="H5735" s="1">
        <v>-1.71614E-6</v>
      </c>
      <c r="I5735">
        <v>73.406719999999893</v>
      </c>
      <c r="J5735">
        <v>-420.83010000000002</v>
      </c>
      <c r="K5735">
        <v>1.1145529999999999</v>
      </c>
      <c r="L5735">
        <v>108.7276</v>
      </c>
      <c r="M5735">
        <v>-0.16736599999999999</v>
      </c>
      <c r="N5735">
        <v>-1.399533E-2</v>
      </c>
      <c r="O5735">
        <v>-0.98579550000000005</v>
      </c>
      <c r="P5735">
        <v>-1.3482849999999999E-2</v>
      </c>
      <c r="Q5735">
        <v>0.16700219999999999</v>
      </c>
      <c r="R5735">
        <v>-0.98586430000000003</v>
      </c>
      <c r="S5735">
        <v>4.431152E-2</v>
      </c>
      <c r="T5735">
        <v>-9.6163750000000006E-2</v>
      </c>
      <c r="U5735">
        <v>-3.06012</v>
      </c>
      <c r="V5735">
        <v>-0.153284</v>
      </c>
      <c r="W5735">
        <v>0.1792985</v>
      </c>
      <c r="X5735">
        <v>0.97177979999999997</v>
      </c>
      <c r="Y5735">
        <v>-0.18157880000000001</v>
      </c>
      <c r="Z5735">
        <v>1.64733E-2</v>
      </c>
      <c r="AA5735">
        <v>0.98323839999999996</v>
      </c>
      <c r="AB5735">
        <v>25</v>
      </c>
      <c r="AC5735">
        <v>0.53550000000001297</v>
      </c>
      <c r="AD5735">
        <v>-1.11455471614</v>
      </c>
      <c r="AE5735">
        <v>-35.320879999999903</v>
      </c>
      <c r="AF5735">
        <v>-6.4336339145069603</v>
      </c>
      <c r="AG5735">
        <v>-1.11455471614</v>
      </c>
      <c r="AH5735">
        <v>34.6983993787182</v>
      </c>
      <c r="AI5735">
        <v>91.808965941999801</v>
      </c>
      <c r="AJ5735">
        <v>100.504255522073</v>
      </c>
      <c r="AK5735">
        <v>35.3074042802101</v>
      </c>
      <c r="AL5735">
        <v>79.671097473793097</v>
      </c>
      <c r="AM5735">
        <v>98.963714791127501</v>
      </c>
      <c r="AN5735">
        <v>0.99999995822314403</v>
      </c>
    </row>
    <row r="5736" spans="1:40" x14ac:dyDescent="0.25">
      <c r="A5736" t="str">
        <f>"20190304154912402"</f>
        <v>20190304154912402</v>
      </c>
      <c r="B5736" t="str">
        <f>"1551685752393045"</f>
        <v>1551685752393045</v>
      </c>
      <c r="C5736" t="s">
        <v>40</v>
      </c>
      <c r="D5736">
        <v>4.0405419999999896</v>
      </c>
      <c r="E5736">
        <v>0.48842010000000002</v>
      </c>
      <c r="F5736" t="s">
        <v>44</v>
      </c>
      <c r="G5736">
        <v>-420.19880000000001</v>
      </c>
      <c r="H5736" s="1">
        <v>-6.4515369999999995E-7</v>
      </c>
      <c r="I5736">
        <v>70.969669999999994</v>
      </c>
      <c r="J5736">
        <v>-420.85599999999999</v>
      </c>
      <c r="K5736">
        <v>1.114547</v>
      </c>
      <c r="L5736">
        <v>108.5496</v>
      </c>
      <c r="M5736">
        <v>-0.16359099999999999</v>
      </c>
      <c r="N5736">
        <v>-1.3940009999999999E-2</v>
      </c>
      <c r="O5736">
        <v>-0.98642969999999996</v>
      </c>
      <c r="P5736">
        <v>-1.096076E-2</v>
      </c>
      <c r="Q5736">
        <v>0.1683896</v>
      </c>
      <c r="R5736">
        <v>-0.98565979999999997</v>
      </c>
      <c r="S5736">
        <v>5.1147459999999999E-2</v>
      </c>
      <c r="T5736">
        <v>-9.0296860000000007E-2</v>
      </c>
      <c r="U5736">
        <v>-3.0590060000000001</v>
      </c>
      <c r="V5736">
        <v>-0.1520183</v>
      </c>
      <c r="W5736">
        <v>0.18064330000000001</v>
      </c>
      <c r="X5736">
        <v>0.97172959999999997</v>
      </c>
      <c r="Y5736">
        <v>-0.1800196</v>
      </c>
      <c r="Z5736">
        <v>1.4710010000000001E-2</v>
      </c>
      <c r="AA5736">
        <v>0.98355309999999996</v>
      </c>
      <c r="AB5736">
        <v>25</v>
      </c>
      <c r="AC5736">
        <v>0.65719999999998802</v>
      </c>
      <c r="AD5736">
        <v>-1.1145476451537</v>
      </c>
      <c r="AE5736">
        <v>-37.579929999999997</v>
      </c>
      <c r="AF5736">
        <v>-6.7907094211170103</v>
      </c>
      <c r="AG5736">
        <v>-1.1145476451537</v>
      </c>
      <c r="AH5736">
        <v>36.933564090375697</v>
      </c>
      <c r="AI5736">
        <v>91.700016564821894</v>
      </c>
      <c r="AJ5736">
        <v>100.418206156031</v>
      </c>
      <c r="AK5736">
        <v>37.569190932375101</v>
      </c>
      <c r="AL5736">
        <v>79.592767455441205</v>
      </c>
      <c r="AM5736">
        <v>98.891338627255706</v>
      </c>
      <c r="AN5736">
        <v>0.99999999044296894</v>
      </c>
    </row>
    <row r="5737" spans="1:40" x14ac:dyDescent="0.25">
      <c r="A5737" t="str">
        <f>"20190304154912425"</f>
        <v>20190304154912425</v>
      </c>
      <c r="B5737" t="str">
        <f>"1551685752412564"</f>
        <v>1551685752412564</v>
      </c>
      <c r="C5737" t="s">
        <v>40</v>
      </c>
      <c r="D5737">
        <v>4.0734300000000001</v>
      </c>
      <c r="E5737">
        <v>0.48874319999999999</v>
      </c>
      <c r="F5737" t="s">
        <v>44</v>
      </c>
      <c r="G5737">
        <v>-420.1284</v>
      </c>
      <c r="H5737" s="1">
        <v>-3.6170849999999999E-6</v>
      </c>
      <c r="I5737">
        <v>67.941019999999995</v>
      </c>
      <c r="J5737">
        <v>-420.89030000000002</v>
      </c>
      <c r="K5737">
        <v>1.114536</v>
      </c>
      <c r="L5737">
        <v>108.3078</v>
      </c>
      <c r="M5737">
        <v>-0.1584604</v>
      </c>
      <c r="N5737">
        <v>-1.3856810000000001E-2</v>
      </c>
      <c r="O5737">
        <v>-0.98726800000000003</v>
      </c>
      <c r="P5737">
        <v>-7.3226819999999996E-3</v>
      </c>
      <c r="Q5737">
        <v>0.16919129999999999</v>
      </c>
      <c r="R5737">
        <v>-0.98555590000000004</v>
      </c>
      <c r="S5737">
        <v>5.4809570000000002E-2</v>
      </c>
      <c r="T5737">
        <v>-8.3946699999999999E-2</v>
      </c>
      <c r="U5737">
        <v>-3.0585939999999998</v>
      </c>
      <c r="V5737">
        <v>-0.1505309</v>
      </c>
      <c r="W5737">
        <v>0.1813796</v>
      </c>
      <c r="X5737">
        <v>0.97182400000000002</v>
      </c>
      <c r="Y5737">
        <v>-0.176088299999999</v>
      </c>
      <c r="Z5737">
        <v>1.2825120000000001E-2</v>
      </c>
      <c r="AA5737">
        <v>0.98429080000000002</v>
      </c>
      <c r="AB5737">
        <v>25</v>
      </c>
      <c r="AC5737">
        <v>0.761900000000025</v>
      </c>
      <c r="AD5737">
        <v>-1.1145396170849999</v>
      </c>
      <c r="AE5737">
        <v>-40.366779999999999</v>
      </c>
      <c r="AF5737">
        <v>-7.1439785522580097</v>
      </c>
      <c r="AG5737">
        <v>-1.1145396170849999</v>
      </c>
      <c r="AH5737">
        <v>39.705659917787798</v>
      </c>
      <c r="AI5737">
        <v>91.582475781118006</v>
      </c>
      <c r="AJ5737">
        <v>100.199724250673</v>
      </c>
      <c r="AK5737">
        <v>40.358618133184301</v>
      </c>
      <c r="AL5737">
        <v>79.5498720717449</v>
      </c>
      <c r="AM5737">
        <v>98.804870734687</v>
      </c>
      <c r="AN5737">
        <v>0.99999999906348502</v>
      </c>
    </row>
    <row r="5738" spans="1:40" x14ac:dyDescent="0.25">
      <c r="A5738" t="str">
        <f>"20190304154912439"</f>
        <v>20190304154912439</v>
      </c>
      <c r="B5738" t="str">
        <f>"1551685752433062"</f>
        <v>1551685752433062</v>
      </c>
      <c r="C5738" t="s">
        <v>40</v>
      </c>
      <c r="D5738">
        <v>4.0416150000000002</v>
      </c>
      <c r="E5738">
        <v>0.4919367</v>
      </c>
      <c r="F5738" t="s">
        <v>44</v>
      </c>
      <c r="G5738">
        <v>-420.03960000000001</v>
      </c>
      <c r="H5738" s="1">
        <v>-3.2995809999999998E-6</v>
      </c>
      <c r="I5738">
        <v>67.255979999999994</v>
      </c>
      <c r="J5738">
        <v>-420.9117</v>
      </c>
      <c r="K5738">
        <v>1.114525</v>
      </c>
      <c r="L5738">
        <v>108.1511</v>
      </c>
      <c r="M5738">
        <v>-0.15513589999999999</v>
      </c>
      <c r="N5738">
        <v>-1.380118E-2</v>
      </c>
      <c r="O5738">
        <v>-0.98779669999999997</v>
      </c>
      <c r="P5738">
        <v>-4.9575239999999996E-3</v>
      </c>
      <c r="Q5738">
        <v>0.16991700000000001</v>
      </c>
      <c r="R5738">
        <v>-0.98544600000000004</v>
      </c>
      <c r="S5738">
        <v>6.3385010000000006E-2</v>
      </c>
      <c r="T5738">
        <v>-8.3042030000000003E-2</v>
      </c>
      <c r="U5738">
        <v>-3.0586850000000001</v>
      </c>
      <c r="V5738">
        <v>-0.1495737</v>
      </c>
      <c r="W5738">
        <v>0.1820618</v>
      </c>
      <c r="X5738">
        <v>0.97184429999999999</v>
      </c>
      <c r="Y5738">
        <v>-0.1755331</v>
      </c>
      <c r="Z5738">
        <v>1.261194E-2</v>
      </c>
      <c r="AA5738">
        <v>0.98439279999999996</v>
      </c>
      <c r="AB5738">
        <v>25</v>
      </c>
      <c r="AC5738">
        <v>0.872099999999989</v>
      </c>
      <c r="AD5738">
        <v>-1.114528299581</v>
      </c>
      <c r="AE5738">
        <v>-40.895119999999899</v>
      </c>
      <c r="AF5738">
        <v>-7.2010991679348297</v>
      </c>
      <c r="AG5738">
        <v>-1.114528299581</v>
      </c>
      <c r="AH5738">
        <v>40.2347360646677</v>
      </c>
      <c r="AI5738">
        <v>91.561917967622506</v>
      </c>
      <c r="AJ5738">
        <v>100.147198909146</v>
      </c>
      <c r="AK5738">
        <v>40.889264957326802</v>
      </c>
      <c r="AL5738">
        <v>79.510123798403995</v>
      </c>
      <c r="AM5738">
        <v>98.749571269123805</v>
      </c>
      <c r="AN5738">
        <v>1.0000000670967</v>
      </c>
    </row>
    <row r="5739" spans="1:40" x14ac:dyDescent="0.25">
      <c r="A5739" t="str">
        <f>"20190304154912460"</f>
        <v>20190304154912460</v>
      </c>
      <c r="B5739" t="str">
        <f>"1551685752452580"</f>
        <v>1551685752452580</v>
      </c>
      <c r="C5739" t="s">
        <v>40</v>
      </c>
      <c r="D5739">
        <v>4.0159419999999999</v>
      </c>
      <c r="E5739">
        <v>0.52474209999999999</v>
      </c>
      <c r="F5739" t="s">
        <v>44</v>
      </c>
      <c r="G5739">
        <v>-420.24310000000003</v>
      </c>
      <c r="H5739" s="1">
        <v>-1.686281E-6</v>
      </c>
      <c r="I5739">
        <v>63.369109999999999</v>
      </c>
      <c r="J5739">
        <v>-420.94170000000003</v>
      </c>
      <c r="K5739">
        <v>1.1145130000000001</v>
      </c>
      <c r="L5739">
        <v>107.9255</v>
      </c>
      <c r="M5739">
        <v>-0.1503516</v>
      </c>
      <c r="N5739">
        <v>-1.372257E-2</v>
      </c>
      <c r="O5739">
        <v>-0.98853729999999995</v>
      </c>
      <c r="P5739">
        <v>-2.9029569999999998E-3</v>
      </c>
      <c r="Q5739">
        <v>0.17138490000000001</v>
      </c>
      <c r="R5739">
        <v>-0.98519999999999996</v>
      </c>
      <c r="S5739">
        <v>4.5654300000000002E-2</v>
      </c>
      <c r="T5739">
        <v>-7.6098199999999894E-2</v>
      </c>
      <c r="U5739">
        <v>-3.0576479999999999</v>
      </c>
      <c r="V5739">
        <v>-0.14685709999999999</v>
      </c>
      <c r="W5739">
        <v>0.1834818</v>
      </c>
      <c r="X5739">
        <v>0.97199150000000001</v>
      </c>
      <c r="Y5739">
        <v>-0.16506379999999901</v>
      </c>
      <c r="Z5739">
        <v>1.0547569999999999E-2</v>
      </c>
      <c r="AA5739">
        <v>0.98622650000000001</v>
      </c>
      <c r="AB5739">
        <v>25</v>
      </c>
      <c r="AC5739">
        <v>0.698599999999999</v>
      </c>
      <c r="AD5739">
        <v>-1.11451468628099</v>
      </c>
      <c r="AE5739">
        <v>-44.55639</v>
      </c>
      <c r="AF5739">
        <v>-7.3857929048749504</v>
      </c>
      <c r="AG5739">
        <v>-1.11451468628099</v>
      </c>
      <c r="AH5739">
        <v>43.9172863234894</v>
      </c>
      <c r="AI5739">
        <v>91.433593393245701</v>
      </c>
      <c r="AJ5739">
        <v>99.546391171878497</v>
      </c>
      <c r="AK5739">
        <v>44.547953015138503</v>
      </c>
      <c r="AL5739">
        <v>79.427369404415799</v>
      </c>
      <c r="AM5739">
        <v>98.591770814834604</v>
      </c>
      <c r="AN5739">
        <v>1.0000000274119401</v>
      </c>
    </row>
    <row r="5740" spans="1:40" x14ac:dyDescent="0.25">
      <c r="A5740" t="str">
        <f>"20190304154912481"</f>
        <v>20190304154912481</v>
      </c>
      <c r="B5740" t="str">
        <f>"1551685752473076"</f>
        <v>1551685752473076</v>
      </c>
      <c r="C5740" t="s">
        <v>40</v>
      </c>
      <c r="D5740">
        <v>4.0252869999999996</v>
      </c>
      <c r="E5740">
        <v>0.52678480000000005</v>
      </c>
      <c r="F5740" t="s">
        <v>68</v>
      </c>
      <c r="G5740">
        <v>-427.1087</v>
      </c>
      <c r="H5740" s="1">
        <v>-8.5300289999999905E-6</v>
      </c>
      <c r="I5740">
        <v>17.890840000000001</v>
      </c>
      <c r="J5740">
        <v>-420.97269999999997</v>
      </c>
      <c r="K5740">
        <v>1.1144909999999999</v>
      </c>
      <c r="L5740">
        <v>107.68210000000001</v>
      </c>
      <c r="M5740">
        <v>-0.14520189999999999</v>
      </c>
      <c r="N5740">
        <v>-1.364256E-2</v>
      </c>
      <c r="O5740">
        <v>-0.98930810000000002</v>
      </c>
      <c r="P5740">
        <v>5.3523419999999995E-4</v>
      </c>
      <c r="Q5740">
        <v>0.17179739999999999</v>
      </c>
      <c r="R5740">
        <v>-0.98513220000000001</v>
      </c>
      <c r="S5740">
        <v>-0.20898439999999999</v>
      </c>
      <c r="T5740">
        <v>-3.7768240000000002E-2</v>
      </c>
      <c r="U5740">
        <v>-3.0510410000000001</v>
      </c>
      <c r="V5740">
        <v>-0.14516870000000001</v>
      </c>
      <c r="W5740">
        <v>0.183839</v>
      </c>
      <c r="X5740">
        <v>0.97217759999999998</v>
      </c>
      <c r="Y5740">
        <v>-7.7250669999999994E-2</v>
      </c>
      <c r="Z5740">
        <v>-1.4260410000000001E-3</v>
      </c>
      <c r="AA5740">
        <v>0.99701070000000003</v>
      </c>
      <c r="AB5740">
        <v>25</v>
      </c>
      <c r="AC5740">
        <v>-6.1360000000000197</v>
      </c>
      <c r="AD5740">
        <v>-1.1144995300289999</v>
      </c>
      <c r="AE5740">
        <v>-89.791259999999994</v>
      </c>
      <c r="AF5740">
        <v>-6.9670463821520503</v>
      </c>
      <c r="AG5740">
        <v>-1.1144995300289999</v>
      </c>
      <c r="AH5740">
        <v>89.716762569693799</v>
      </c>
      <c r="AI5740">
        <v>90.709579662833704</v>
      </c>
      <c r="AJ5740">
        <v>94.440450318913804</v>
      </c>
      <c r="AK5740">
        <v>89.993773842862595</v>
      </c>
      <c r="AL5740">
        <v>79.4065489839207</v>
      </c>
      <c r="AM5740">
        <v>98.492839084981696</v>
      </c>
      <c r="AN5740">
        <v>1.0000000076612201</v>
      </c>
    </row>
    <row r="5741" spans="1:40" x14ac:dyDescent="0.25">
      <c r="A5741" t="str">
        <f>"20190304154912503"</f>
        <v>20190304154912503</v>
      </c>
      <c r="B5741" t="str">
        <f>"1551685752492597"</f>
        <v>1551685752492597</v>
      </c>
      <c r="C5741" t="s">
        <v>40</v>
      </c>
      <c r="D5741">
        <v>4.0500189999999998</v>
      </c>
      <c r="E5741">
        <v>0.52776869999999998</v>
      </c>
      <c r="F5741" t="s">
        <v>45</v>
      </c>
      <c r="G5741">
        <v>-429.3433</v>
      </c>
      <c r="H5741">
        <v>-0.05</v>
      </c>
      <c r="I5741">
        <v>-11.021269999999999</v>
      </c>
      <c r="J5741">
        <v>-421.00130000000001</v>
      </c>
      <c r="K5741">
        <v>1.1144670000000001</v>
      </c>
      <c r="L5741">
        <v>107.44889999999999</v>
      </c>
      <c r="M5741">
        <v>-0.14029079999999999</v>
      </c>
      <c r="N5741">
        <v>-1.357094E-2</v>
      </c>
      <c r="O5741">
        <v>-0.99001740000000005</v>
      </c>
      <c r="P5741">
        <v>3.9995639999999997E-3</v>
      </c>
      <c r="Q5741">
        <v>0.1717812</v>
      </c>
      <c r="R5741">
        <v>-0.98512699999999997</v>
      </c>
      <c r="S5741">
        <v>-0.21511839999999999</v>
      </c>
      <c r="T5741">
        <v>-2.9926660000000001E-2</v>
      </c>
      <c r="U5741">
        <v>-3.0505979999999999</v>
      </c>
      <c r="V5741">
        <v>-0.14374990000000001</v>
      </c>
      <c r="W5741">
        <v>0.1837753</v>
      </c>
      <c r="X5741">
        <v>0.97240040000000005</v>
      </c>
      <c r="Y5741">
        <v>-7.0299249999999994E-2</v>
      </c>
      <c r="Z5741">
        <v>-3.8637519999999998E-3</v>
      </c>
      <c r="AA5741">
        <v>0.99751849999999997</v>
      </c>
      <c r="AB5741">
        <v>25</v>
      </c>
      <c r="AC5741">
        <v>-8.3419999999999792</v>
      </c>
      <c r="AD5741">
        <v>-1.1644669999999999</v>
      </c>
      <c r="AE5741">
        <v>-118.47017</v>
      </c>
      <c r="AF5741">
        <v>-8.3615154601141697</v>
      </c>
      <c r="AG5741">
        <v>-1.1644669999999999</v>
      </c>
      <c r="AH5741">
        <v>118.45734940171199</v>
      </c>
      <c r="AI5741">
        <v>90.561816696325096</v>
      </c>
      <c r="AJ5741">
        <v>94.037624089942994</v>
      </c>
      <c r="AK5741">
        <v>118.75779785539601</v>
      </c>
      <c r="AL5741">
        <v>79.4102615426971</v>
      </c>
      <c r="AM5741">
        <v>98.409128190398405</v>
      </c>
      <c r="AN5741">
        <v>0.99999996628012899</v>
      </c>
    </row>
    <row r="5742" spans="1:40" x14ac:dyDescent="0.25">
      <c r="A5742" t="str">
        <f>"20190304154912525"</f>
        <v>20190304154912525</v>
      </c>
      <c r="B5742" t="str">
        <f>"1551685752523398"</f>
        <v>1551685752523398</v>
      </c>
      <c r="C5742" t="s">
        <v>40</v>
      </c>
      <c r="D5742">
        <v>4.0635019999999997</v>
      </c>
      <c r="E5742">
        <v>0.52912389999999998</v>
      </c>
      <c r="F5742" t="s">
        <v>85</v>
      </c>
      <c r="G5742">
        <v>-428.56880000000001</v>
      </c>
      <c r="H5742">
        <v>0.14688989999999999</v>
      </c>
      <c r="I5742">
        <v>-0.90659520000000005</v>
      </c>
      <c r="J5742">
        <v>-421.0301</v>
      </c>
      <c r="K5742">
        <v>1.1144210000000001</v>
      </c>
      <c r="L5742">
        <v>107.205</v>
      </c>
      <c r="M5742">
        <v>-0.1351956</v>
      </c>
      <c r="N5742">
        <v>-1.35011E-2</v>
      </c>
      <c r="O5742">
        <v>-0.99072689999999997</v>
      </c>
      <c r="P5742">
        <v>7.488265E-3</v>
      </c>
      <c r="Q5742">
        <v>0.1720361</v>
      </c>
      <c r="R5742">
        <v>-0.98506229999999995</v>
      </c>
      <c r="S5742">
        <v>-0.2130737</v>
      </c>
      <c r="T5742">
        <v>-2.7244089999999999E-2</v>
      </c>
      <c r="U5742">
        <v>-3.050888</v>
      </c>
      <c r="V5742">
        <v>-0.14216879999999901</v>
      </c>
      <c r="W5742">
        <v>0.18398800000000001</v>
      </c>
      <c r="X5742">
        <v>0.97259269999999998</v>
      </c>
      <c r="Y5742">
        <v>-6.5839709999999996E-2</v>
      </c>
      <c r="Z5742">
        <v>-4.6512189999999998E-3</v>
      </c>
      <c r="AA5742">
        <v>0.99781940000000002</v>
      </c>
      <c r="AB5742">
        <v>25</v>
      </c>
      <c r="AC5742">
        <v>-7.5387000000000004</v>
      </c>
      <c r="AD5742">
        <v>-0.96753109999999998</v>
      </c>
      <c r="AE5742">
        <v>-108.1115952</v>
      </c>
      <c r="AF5742">
        <v>-7.1475012048945299</v>
      </c>
      <c r="AG5742">
        <v>-0.96753109999999998</v>
      </c>
      <c r="AH5742">
        <v>108.12950675859901</v>
      </c>
      <c r="AI5742">
        <v>90.511546446338699</v>
      </c>
      <c r="AJ5742">
        <v>93.781823962536805</v>
      </c>
      <c r="AK5742">
        <v>108.369798014766</v>
      </c>
      <c r="AL5742">
        <v>79.397864282157201</v>
      </c>
      <c r="AM5742">
        <v>98.316316011251104</v>
      </c>
      <c r="AN5742">
        <v>1.0000000559653599</v>
      </c>
    </row>
    <row r="5743" spans="1:40" x14ac:dyDescent="0.25">
      <c r="A5743" t="str">
        <f>"20190304154912548"</f>
        <v>20190304154912548</v>
      </c>
      <c r="B5743" t="str">
        <f>"1551685752542922"</f>
        <v>1551685752542922</v>
      </c>
      <c r="C5743" t="s">
        <v>40</v>
      </c>
      <c r="D5743">
        <v>4.0661259999999997</v>
      </c>
      <c r="E5743">
        <v>0.52978859999999905</v>
      </c>
      <c r="F5743" t="s">
        <v>85</v>
      </c>
      <c r="G5743">
        <v>-428.56310000000002</v>
      </c>
      <c r="H5743">
        <v>0.27706720000000001</v>
      </c>
      <c r="I5743">
        <v>-0.90186120000000003</v>
      </c>
      <c r="J5743">
        <v>-421.05849999999998</v>
      </c>
      <c r="K5743">
        <v>1.1143689999999999</v>
      </c>
      <c r="L5743">
        <v>106.9532</v>
      </c>
      <c r="M5743">
        <v>-0.12999929999999901</v>
      </c>
      <c r="N5743">
        <v>-1.34345E-2</v>
      </c>
      <c r="O5743">
        <v>-0.9914231</v>
      </c>
      <c r="P5743">
        <v>1.1552649999999999E-2</v>
      </c>
      <c r="Q5743">
        <v>0.17175560000000001</v>
      </c>
      <c r="R5743">
        <v>-0.98507210000000001</v>
      </c>
      <c r="S5743">
        <v>-0.212616</v>
      </c>
      <c r="T5743">
        <v>-2.3634430000000001E-2</v>
      </c>
      <c r="U5743">
        <v>-3.0512389999999998</v>
      </c>
      <c r="V5743">
        <v>-0.14106289999999999</v>
      </c>
      <c r="W5743">
        <v>0.18367020000000001</v>
      </c>
      <c r="X5743">
        <v>0.9728137</v>
      </c>
      <c r="Y5743">
        <v>-6.0765699999999902E-2</v>
      </c>
      <c r="Z5743">
        <v>-5.7431449999999998E-3</v>
      </c>
      <c r="AA5743">
        <v>0.99813549999999995</v>
      </c>
      <c r="AB5743">
        <v>25</v>
      </c>
      <c r="AC5743">
        <v>-7.5046000000000301</v>
      </c>
      <c r="AD5743">
        <v>-0.83730179999999899</v>
      </c>
      <c r="AE5743">
        <v>-107.85506119999999</v>
      </c>
      <c r="AF5743">
        <v>-6.58104768375338</v>
      </c>
      <c r="AG5743">
        <v>-0.83730179999999899</v>
      </c>
      <c r="AH5743">
        <v>107.908855227578</v>
      </c>
      <c r="AI5743">
        <v>90.443744234972598</v>
      </c>
      <c r="AJ5743">
        <v>93.489980565340005</v>
      </c>
      <c r="AK5743">
        <v>108.112590846055</v>
      </c>
      <c r="AL5743">
        <v>79.416387855320806</v>
      </c>
      <c r="AM5743">
        <v>98.2506706598259</v>
      </c>
      <c r="AN5743">
        <v>0.99999998951606905</v>
      </c>
    </row>
    <row r="5744" spans="1:40" x14ac:dyDescent="0.25">
      <c r="A5744" t="str">
        <f>"20190304154912571"</f>
        <v>20190304154912571</v>
      </c>
      <c r="B5744" t="str">
        <f>"1551685752562441"</f>
        <v>1551685752562441</v>
      </c>
      <c r="C5744" t="s">
        <v>40</v>
      </c>
      <c r="D5744">
        <v>3.9411049999999999</v>
      </c>
      <c r="E5744">
        <v>0.52999510000000005</v>
      </c>
      <c r="F5744" t="s">
        <v>85</v>
      </c>
      <c r="G5744">
        <v>-428.2978</v>
      </c>
      <c r="H5744">
        <v>0.2951975</v>
      </c>
      <c r="I5744">
        <v>-0.68470379999999997</v>
      </c>
      <c r="J5744">
        <v>-421.08609999999999</v>
      </c>
      <c r="K5744">
        <v>1.1142989999999999</v>
      </c>
      <c r="L5744">
        <v>106.6973</v>
      </c>
      <c r="M5744">
        <v>-0.1248098</v>
      </c>
      <c r="N5744">
        <v>-1.3372459999999999E-2</v>
      </c>
      <c r="O5744">
        <v>-0.99209049999999999</v>
      </c>
      <c r="P5744">
        <v>1.548037E-2</v>
      </c>
      <c r="Q5744">
        <v>0.17080770000000001</v>
      </c>
      <c r="R5744">
        <v>-0.98518269999999997</v>
      </c>
      <c r="S5744">
        <v>-0.2052612</v>
      </c>
      <c r="T5744">
        <v>-2.3227100000000001E-2</v>
      </c>
      <c r="U5744">
        <v>-3.0519099999999999</v>
      </c>
      <c r="V5744">
        <v>-0.13983229999999999</v>
      </c>
      <c r="W5744">
        <v>0.18269850000000001</v>
      </c>
      <c r="X5744">
        <v>0.97317430000000005</v>
      </c>
      <c r="Y5744">
        <v>-5.7952400000000001E-2</v>
      </c>
      <c r="Z5744">
        <v>-5.81015E-3</v>
      </c>
      <c r="AA5744">
        <v>0.99830249999999998</v>
      </c>
      <c r="AB5744">
        <v>25</v>
      </c>
      <c r="AC5744">
        <v>-7.2117000000000004</v>
      </c>
      <c r="AD5744">
        <v>-0.81910149999999904</v>
      </c>
      <c r="AE5744">
        <v>-107.38200380000001</v>
      </c>
      <c r="AF5744">
        <v>-6.2478645545951501</v>
      </c>
      <c r="AG5744">
        <v>-0.81910149999999904</v>
      </c>
      <c r="AH5744">
        <v>107.436147583321</v>
      </c>
      <c r="AI5744">
        <v>90.436082246653996</v>
      </c>
      <c r="AJ5744">
        <v>93.328242372279007</v>
      </c>
      <c r="AK5744">
        <v>107.62078120096101</v>
      </c>
      <c r="AL5744">
        <v>79.473020754755495</v>
      </c>
      <c r="AM5744">
        <v>98.176682011022706</v>
      </c>
      <c r="AN5744">
        <v>1.00000001610301</v>
      </c>
    </row>
    <row r="5745" spans="1:40" x14ac:dyDescent="0.25">
      <c r="A5745" t="str">
        <f>"20190304154912592"</f>
        <v>20190304154912592</v>
      </c>
      <c r="B5745" t="str">
        <f>"1551685752582935"</f>
        <v>1551685752582935</v>
      </c>
      <c r="C5745" t="s">
        <v>40</v>
      </c>
      <c r="D5745">
        <v>4.1572719999999999</v>
      </c>
      <c r="E5745">
        <v>0.53033529999999995</v>
      </c>
      <c r="F5745" t="s">
        <v>85</v>
      </c>
      <c r="G5745">
        <v>-427.8451</v>
      </c>
      <c r="H5745">
        <v>0.20617250000000001</v>
      </c>
      <c r="I5745">
        <v>0.44089699999999998</v>
      </c>
      <c r="J5745">
        <v>-421.10989999999998</v>
      </c>
      <c r="K5745">
        <v>1.114217</v>
      </c>
      <c r="L5745">
        <v>106.46599999999999</v>
      </c>
      <c r="M5745">
        <v>-0.1202377</v>
      </c>
      <c r="N5745">
        <v>-1.332119E-2</v>
      </c>
      <c r="O5745">
        <v>-0.99265590000000004</v>
      </c>
      <c r="P5745">
        <v>1.8943669999999999E-2</v>
      </c>
      <c r="Q5745">
        <v>0.17110639999999999</v>
      </c>
      <c r="R5745">
        <v>-0.98507080000000002</v>
      </c>
      <c r="S5745">
        <v>-0.1941833</v>
      </c>
      <c r="T5745">
        <v>-2.6090740000000001E-2</v>
      </c>
      <c r="U5745">
        <v>-3.052689</v>
      </c>
      <c r="V5745">
        <v>-0.13872870000000001</v>
      </c>
      <c r="W5745">
        <v>0.18298349999999999</v>
      </c>
      <c r="X5745">
        <v>0.97327870000000005</v>
      </c>
      <c r="Y5745">
        <v>-5.6976550000000001E-2</v>
      </c>
      <c r="Z5745">
        <v>-4.832345E-3</v>
      </c>
      <c r="AA5745">
        <v>0.99836380000000002</v>
      </c>
      <c r="AB5745">
        <v>25</v>
      </c>
      <c r="AC5745">
        <v>-6.7352000000000096</v>
      </c>
      <c r="AD5745">
        <v>-0.90804449999999903</v>
      </c>
      <c r="AE5745">
        <v>-106.025103</v>
      </c>
      <c r="AF5745">
        <v>-6.0625726949782202</v>
      </c>
      <c r="AG5745">
        <v>-0.90804449999999903</v>
      </c>
      <c r="AH5745">
        <v>106.057916670956</v>
      </c>
      <c r="AI5745">
        <v>90.489742398810193</v>
      </c>
      <c r="AJ5745">
        <v>93.271629653117998</v>
      </c>
      <c r="AK5745">
        <v>106.23493314856201</v>
      </c>
      <c r="AL5745">
        <v>79.4564115154284</v>
      </c>
      <c r="AM5745">
        <v>98.112152915786893</v>
      </c>
      <c r="AN5745">
        <v>1.0000000206748101</v>
      </c>
    </row>
    <row r="5746" spans="1:40" x14ac:dyDescent="0.25">
      <c r="A5746" t="str">
        <f>"20190304154912615"</f>
        <v>20190304154912615</v>
      </c>
      <c r="B5746" t="str">
        <f>"1551685752602453"</f>
        <v>1551685752602453</v>
      </c>
      <c r="C5746" t="s">
        <v>40</v>
      </c>
      <c r="D5746">
        <v>4.2142419999999996</v>
      </c>
      <c r="E5746">
        <v>0.5254645</v>
      </c>
      <c r="F5746" t="s">
        <v>85</v>
      </c>
      <c r="G5746">
        <v>-427.59769999999997</v>
      </c>
      <c r="H5746">
        <v>0.26071070000000002</v>
      </c>
      <c r="I5746">
        <v>0.64339829999999998</v>
      </c>
      <c r="J5746">
        <v>-421.13389999999998</v>
      </c>
      <c r="K5746">
        <v>1.114117</v>
      </c>
      <c r="L5746">
        <v>106.2223</v>
      </c>
      <c r="M5746">
        <v>-0.1155529</v>
      </c>
      <c r="N5746">
        <v>-1.327152E-2</v>
      </c>
      <c r="O5746">
        <v>-0.9932126</v>
      </c>
      <c r="P5746">
        <v>2.2972880000000001E-2</v>
      </c>
      <c r="Q5746">
        <v>0.1716116</v>
      </c>
      <c r="R5746">
        <v>-0.98489700000000002</v>
      </c>
      <c r="S5746">
        <v>-0.18719479999999999</v>
      </c>
      <c r="T5746">
        <v>-2.462721E-2</v>
      </c>
      <c r="U5746">
        <v>-3.0533290000000002</v>
      </c>
      <c r="V5746">
        <v>-0.13806640000000001</v>
      </c>
      <c r="W5746">
        <v>0.18347759999999999</v>
      </c>
      <c r="X5746">
        <v>0.97327980000000003</v>
      </c>
      <c r="Y5746">
        <v>-5.455608E-2</v>
      </c>
      <c r="Z5746">
        <v>-5.2537740000000001E-3</v>
      </c>
      <c r="AA5746">
        <v>0.99849690000000002</v>
      </c>
      <c r="AB5746">
        <v>25</v>
      </c>
      <c r="AC5746">
        <v>-6.4637999999999902</v>
      </c>
      <c r="AD5746">
        <v>-0.85340629999999995</v>
      </c>
      <c r="AE5746">
        <v>-105.5789017</v>
      </c>
      <c r="AF5746">
        <v>-5.7801538764884199</v>
      </c>
      <c r="AG5746">
        <v>-0.85340629999999995</v>
      </c>
      <c r="AH5746">
        <v>105.61164023613</v>
      </c>
      <c r="AI5746">
        <v>90.462282862749504</v>
      </c>
      <c r="AJ5746">
        <v>93.132688247496304</v>
      </c>
      <c r="AK5746">
        <v>105.773139475552</v>
      </c>
      <c r="AL5746">
        <v>79.427613532916695</v>
      </c>
      <c r="AM5746">
        <v>98.0739278169806</v>
      </c>
      <c r="AN5746">
        <v>0.99999996479937903</v>
      </c>
    </row>
    <row r="5747" spans="1:40" x14ac:dyDescent="0.25">
      <c r="A5747" t="str">
        <f>"20190304154912637"</f>
        <v>20190304154912637</v>
      </c>
      <c r="B5747" t="str">
        <f>"1551685752633302"</f>
        <v>1551685752633302</v>
      </c>
      <c r="C5747" t="s">
        <v>40</v>
      </c>
      <c r="D5747">
        <v>4.199738</v>
      </c>
      <c r="E5747">
        <v>0.52657359999999998</v>
      </c>
      <c r="F5747" t="s">
        <v>44</v>
      </c>
      <c r="G5747">
        <v>-422.73059999999998</v>
      </c>
      <c r="H5747" s="1">
        <v>-1.136868E-6</v>
      </c>
      <c r="I5747">
        <v>70.545590000000004</v>
      </c>
      <c r="J5747">
        <v>-421.15719999999999</v>
      </c>
      <c r="K5747">
        <v>1.114018</v>
      </c>
      <c r="L5747">
        <v>105.97669999999999</v>
      </c>
      <c r="M5747">
        <v>-0.1109559</v>
      </c>
      <c r="N5747">
        <v>-1.3226150000000001E-2</v>
      </c>
      <c r="O5747">
        <v>-0.99373739999999999</v>
      </c>
      <c r="P5747">
        <v>2.719365E-2</v>
      </c>
      <c r="Q5747">
        <v>0.1712629</v>
      </c>
      <c r="R5747">
        <v>-0.98484989999999994</v>
      </c>
      <c r="S5747">
        <v>-0.137207</v>
      </c>
      <c r="T5747">
        <v>-9.5741989999999999E-2</v>
      </c>
      <c r="U5747">
        <v>-3.065887</v>
      </c>
      <c r="V5747">
        <v>-0.13769289999999901</v>
      </c>
      <c r="W5747">
        <v>0.1831218</v>
      </c>
      <c r="X5747">
        <v>0.97339980000000004</v>
      </c>
      <c r="Y5747">
        <v>-6.6410120000000003E-2</v>
      </c>
      <c r="Z5747">
        <v>1.7684640000000001E-2</v>
      </c>
      <c r="AA5747">
        <v>0.99763570000000001</v>
      </c>
      <c r="AB5747">
        <v>25</v>
      </c>
      <c r="AC5747">
        <v>-1.5733999999999899</v>
      </c>
      <c r="AD5747">
        <v>-1.1140191368679999</v>
      </c>
      <c r="AE5747">
        <v>-35.431109999999897</v>
      </c>
      <c r="AF5747">
        <v>-2.3656171826099301</v>
      </c>
      <c r="AG5747">
        <v>-1.1140191368679999</v>
      </c>
      <c r="AH5747">
        <v>35.352009702758501</v>
      </c>
      <c r="AI5747">
        <v>91.800893213338796</v>
      </c>
      <c r="AJ5747">
        <v>93.828300525563293</v>
      </c>
      <c r="AK5747">
        <v>35.448579284872601</v>
      </c>
      <c r="AL5747">
        <v>79.448351624570606</v>
      </c>
      <c r="AM5747">
        <v>98.051393245142506</v>
      </c>
      <c r="AN5747">
        <v>1.00000004949284</v>
      </c>
    </row>
    <row r="5748" spans="1:40" x14ac:dyDescent="0.25">
      <c r="A5748" t="str">
        <f>"20190304154912660"</f>
        <v>20190304154912660</v>
      </c>
      <c r="B5748" t="str">
        <f>"1551685752652825"</f>
        <v>1551685752652825</v>
      </c>
      <c r="C5748" t="s">
        <v>40</v>
      </c>
      <c r="D5748">
        <v>4.2029389999999998</v>
      </c>
      <c r="E5748">
        <v>0.5271515</v>
      </c>
      <c r="F5748" t="s">
        <v>44</v>
      </c>
      <c r="G5748">
        <v>-422.62619999999998</v>
      </c>
      <c r="H5748" s="1">
        <v>-1.7679310000000001E-6</v>
      </c>
      <c r="I5748">
        <v>72.081360000000004</v>
      </c>
      <c r="J5748">
        <v>-421.18040000000002</v>
      </c>
      <c r="K5748">
        <v>1.1139159999999999</v>
      </c>
      <c r="L5748">
        <v>105.7208</v>
      </c>
      <c r="M5748">
        <v>-0.1063128</v>
      </c>
      <c r="N5748">
        <v>-1.318386E-2</v>
      </c>
      <c r="O5748">
        <v>-0.9942453</v>
      </c>
      <c r="P5748">
        <v>3.141791E-2</v>
      </c>
      <c r="Q5748">
        <v>0.17091799999999999</v>
      </c>
      <c r="R5748">
        <v>-0.98478429999999995</v>
      </c>
      <c r="S5748">
        <v>-0.13293460000000001</v>
      </c>
      <c r="T5748">
        <v>-0.100813399999999</v>
      </c>
      <c r="U5748">
        <v>-3.0673680000000001</v>
      </c>
      <c r="V5748">
        <v>-0.1372795</v>
      </c>
      <c r="W5748">
        <v>0.18277350000000001</v>
      </c>
      <c r="X5748">
        <v>0.97352360000000004</v>
      </c>
      <c r="Y5748">
        <v>-6.3158980000000003E-2</v>
      </c>
      <c r="Z5748">
        <v>1.937243E-2</v>
      </c>
      <c r="AA5748">
        <v>0.99781540000000002</v>
      </c>
      <c r="AB5748">
        <v>25</v>
      </c>
      <c r="AC5748">
        <v>-1.44579999999996</v>
      </c>
      <c r="AD5748">
        <v>-1.1139177679309999</v>
      </c>
      <c r="AE5748">
        <v>-33.639439999999901</v>
      </c>
      <c r="AF5748">
        <v>-2.1366706269151301</v>
      </c>
      <c r="AG5748">
        <v>-1.1139177679309999</v>
      </c>
      <c r="AH5748">
        <v>33.565746563869197</v>
      </c>
      <c r="AI5748">
        <v>91.896892021417102</v>
      </c>
      <c r="AJ5748">
        <v>93.642321888512498</v>
      </c>
      <c r="AK5748">
        <v>33.652124993104501</v>
      </c>
      <c r="AL5748">
        <v>79.468649874942997</v>
      </c>
      <c r="AM5748">
        <v>98.026528313010402</v>
      </c>
      <c r="AN5748">
        <v>1.0000000065897201</v>
      </c>
    </row>
    <row r="5749" spans="1:40" x14ac:dyDescent="0.25">
      <c r="A5749" t="str">
        <f>"20190304154912682"</f>
        <v>20190304154912682</v>
      </c>
      <c r="B5749" t="str">
        <f>"1551685752673317"</f>
        <v>1551685752673317</v>
      </c>
      <c r="C5749" t="s">
        <v>40</v>
      </c>
      <c r="D5749">
        <v>4.2055939999999996</v>
      </c>
      <c r="E5749">
        <v>0.52746090000000001</v>
      </c>
      <c r="F5749" t="s">
        <v>44</v>
      </c>
      <c r="G5749">
        <v>-422.5342</v>
      </c>
      <c r="H5749" s="1">
        <v>-1.908475E-6</v>
      </c>
      <c r="I5749">
        <v>72.466030000000003</v>
      </c>
      <c r="J5749">
        <v>-421.20150000000001</v>
      </c>
      <c r="K5749">
        <v>1.1138159999999999</v>
      </c>
      <c r="L5749">
        <v>105.47709999999999</v>
      </c>
      <c r="M5749">
        <v>-0.1020452</v>
      </c>
      <c r="N5749">
        <v>-1.3147290000000001E-2</v>
      </c>
      <c r="O5749">
        <v>-0.99469289999999999</v>
      </c>
      <c r="P5749">
        <v>3.5288609999999998E-2</v>
      </c>
      <c r="Q5749">
        <v>0.1711665</v>
      </c>
      <c r="R5749">
        <v>-0.98460990000000004</v>
      </c>
      <c r="S5749">
        <v>-0.1249084</v>
      </c>
      <c r="T5749">
        <v>-0.10277310000000001</v>
      </c>
      <c r="U5749">
        <v>-3.0681759999999998</v>
      </c>
      <c r="V5749">
        <v>-0.13688029999999901</v>
      </c>
      <c r="W5749">
        <v>0.18302189999999999</v>
      </c>
      <c r="X5749">
        <v>0.97353319999999999</v>
      </c>
      <c r="Y5749">
        <v>-6.1493939999999997E-2</v>
      </c>
      <c r="Z5749">
        <v>2.0054869999999999E-2</v>
      </c>
      <c r="AA5749">
        <v>0.99790599999999996</v>
      </c>
      <c r="AB5749">
        <v>25</v>
      </c>
      <c r="AC5749">
        <v>-1.33269999999998</v>
      </c>
      <c r="AD5749">
        <v>-1.113817908475</v>
      </c>
      <c r="AE5749">
        <v>-33.011069999999897</v>
      </c>
      <c r="AF5749">
        <v>-2.04085096153428</v>
      </c>
      <c r="AG5749">
        <v>-1.113817908475</v>
      </c>
      <c r="AH5749">
        <v>32.937285896519199</v>
      </c>
      <c r="AI5749">
        <v>91.933090121599705</v>
      </c>
      <c r="AJ5749">
        <v>93.545612311163794</v>
      </c>
      <c r="AK5749">
        <v>33.019243861867601</v>
      </c>
      <c r="AL5749">
        <v>79.454174004252906</v>
      </c>
      <c r="AM5749">
        <v>98.003412655063599</v>
      </c>
      <c r="AN5749">
        <v>1.0000000619549601</v>
      </c>
    </row>
    <row r="5750" spans="1:40" x14ac:dyDescent="0.25">
      <c r="A5750" t="str">
        <f>"20190304154912704"</f>
        <v>20190304154912704</v>
      </c>
      <c r="B5750" t="str">
        <f>"1551685752692837"</f>
        <v>1551685752692837</v>
      </c>
      <c r="C5750" t="s">
        <v>40</v>
      </c>
      <c r="D5750">
        <v>4.24254</v>
      </c>
      <c r="E5750">
        <v>0.53267810000000004</v>
      </c>
      <c r="F5750" t="s">
        <v>44</v>
      </c>
      <c r="G5750">
        <v>-422.46609999999998</v>
      </c>
      <c r="H5750" s="1">
        <v>-1.695919E-6</v>
      </c>
      <c r="I5750">
        <v>72.012819999999905</v>
      </c>
      <c r="J5750">
        <v>-421.22120000000001</v>
      </c>
      <c r="K5750">
        <v>1.113707</v>
      </c>
      <c r="L5750">
        <v>105.23869999999999</v>
      </c>
      <c r="M5750">
        <v>-9.8031300000000002E-2</v>
      </c>
      <c r="N5750">
        <v>-1.311406E-2</v>
      </c>
      <c r="O5750">
        <v>-0.99509700000000001</v>
      </c>
      <c r="P5750">
        <v>3.9160960000000002E-2</v>
      </c>
      <c r="Q5750">
        <v>0.17076520000000001</v>
      </c>
      <c r="R5750">
        <v>-0.9845334</v>
      </c>
      <c r="S5750">
        <v>-0.11596679999999999</v>
      </c>
      <c r="T5750">
        <v>-0.10214090000000001</v>
      </c>
      <c r="U5750">
        <v>-3.0687869999999999</v>
      </c>
      <c r="V5750">
        <v>-0.13673879999999999</v>
      </c>
      <c r="W5750">
        <v>0.18262529999999999</v>
      </c>
      <c r="X5750">
        <v>0.97362749999999998</v>
      </c>
      <c r="Y5750">
        <v>-6.0378609999999999E-2</v>
      </c>
      <c r="Z5750">
        <v>1.9897749999999999E-2</v>
      </c>
      <c r="AA5750">
        <v>0.99797720000000001</v>
      </c>
      <c r="AB5750">
        <v>25</v>
      </c>
      <c r="AC5750">
        <v>-1.2448999999999699</v>
      </c>
      <c r="AD5750">
        <v>-1.1137086959189999</v>
      </c>
      <c r="AE5750">
        <v>-33.225879999999997</v>
      </c>
      <c r="AF5750">
        <v>-2.0162911641163701</v>
      </c>
      <c r="AG5750">
        <v>-1.1137086959189999</v>
      </c>
      <c r="AH5750">
        <v>33.150670012302001</v>
      </c>
      <c r="AI5750">
        <v>91.920602149892503</v>
      </c>
      <c r="AJ5750">
        <v>93.480558151071094</v>
      </c>
      <c r="AK5750">
        <v>33.230598841766302</v>
      </c>
      <c r="AL5750">
        <v>79.477286448031094</v>
      </c>
      <c r="AM5750">
        <v>97.994481806078397</v>
      </c>
      <c r="AN5750">
        <v>1.0000000041908801</v>
      </c>
    </row>
    <row r="5751" spans="1:40" x14ac:dyDescent="0.25">
      <c r="A5751" t="str">
        <f>"20190304154912726"</f>
        <v>20190304154912726</v>
      </c>
      <c r="B5751" t="str">
        <f>"1551685752722819"</f>
        <v>1551685752722819</v>
      </c>
      <c r="C5751" t="s">
        <v>40</v>
      </c>
      <c r="D5751">
        <v>4.2567729999999999</v>
      </c>
      <c r="E5751">
        <v>0.53320699999999999</v>
      </c>
      <c r="F5751" t="s">
        <v>44</v>
      </c>
      <c r="G5751">
        <v>-422.9862</v>
      </c>
      <c r="H5751" s="1">
        <v>-4.2582460000000002E-6</v>
      </c>
      <c r="I5751">
        <v>67.943259999999995</v>
      </c>
      <c r="J5751">
        <v>-421.24079999999998</v>
      </c>
      <c r="K5751">
        <v>1.1135889999999999</v>
      </c>
      <c r="L5751">
        <v>104.99299999999999</v>
      </c>
      <c r="M5751">
        <v>-9.4057779999999994E-2</v>
      </c>
      <c r="N5751">
        <v>-1.308227E-2</v>
      </c>
      <c r="O5751">
        <v>-0.99548080000000005</v>
      </c>
      <c r="P5751">
        <v>4.27026E-2</v>
      </c>
      <c r="Q5751">
        <v>0.1701666</v>
      </c>
      <c r="R5751">
        <v>-0.98448959999999996</v>
      </c>
      <c r="S5751">
        <v>-0.14523320000000001</v>
      </c>
      <c r="T5751">
        <v>-9.1640589999999994E-2</v>
      </c>
      <c r="U5751">
        <v>-3.0688170000000001</v>
      </c>
      <c r="V5751">
        <v>-0.1363067</v>
      </c>
      <c r="W5751">
        <v>0.18203929999999999</v>
      </c>
      <c r="X5751">
        <v>0.97379780000000005</v>
      </c>
      <c r="Y5751">
        <v>-4.6891049999999997E-2</v>
      </c>
      <c r="Z5751">
        <v>1.6567370000000001E-2</v>
      </c>
      <c r="AA5751">
        <v>0.99876259999999994</v>
      </c>
      <c r="AB5751">
        <v>25</v>
      </c>
      <c r="AC5751">
        <v>-1.7454000000000101</v>
      </c>
      <c r="AD5751">
        <v>-1.113593258246</v>
      </c>
      <c r="AE5751">
        <v>-37.04974</v>
      </c>
      <c r="AF5751">
        <v>-1.74587987089698</v>
      </c>
      <c r="AG5751">
        <v>-1.113593258246</v>
      </c>
      <c r="AH5751">
        <v>37.0162765315374</v>
      </c>
      <c r="AI5751">
        <v>91.721247406598394</v>
      </c>
      <c r="AJ5751">
        <v>92.700365382678001</v>
      </c>
      <c r="AK5751">
        <v>37.074154268542202</v>
      </c>
      <c r="AL5751">
        <v>79.511434036540706</v>
      </c>
      <c r="AM5751">
        <v>97.968168190775103</v>
      </c>
      <c r="AN5751">
        <v>0.99999998924710898</v>
      </c>
    </row>
    <row r="5752" spans="1:40" x14ac:dyDescent="0.25">
      <c r="A5752" t="str">
        <f>"20190304154912749"</f>
        <v>20190304154912749</v>
      </c>
      <c r="B5752" t="str">
        <f>"1551685752743314"</f>
        <v>1551685752743314</v>
      </c>
      <c r="C5752" t="s">
        <v>40</v>
      </c>
      <c r="D5752">
        <v>4.2602060000000002</v>
      </c>
      <c r="E5752">
        <v>0.53383530000000001</v>
      </c>
      <c r="F5752" t="s">
        <v>44</v>
      </c>
      <c r="G5752">
        <v>-422.91019999999997</v>
      </c>
      <c r="H5752" s="1">
        <v>-4.3497409999999997E-6</v>
      </c>
      <c r="I5752">
        <v>68.251739999999998</v>
      </c>
      <c r="J5752">
        <v>-421.25970000000001</v>
      </c>
      <c r="K5752">
        <v>1.1134630000000001</v>
      </c>
      <c r="L5752">
        <v>104.746</v>
      </c>
      <c r="M5752">
        <v>-9.0224840000000001E-2</v>
      </c>
      <c r="N5752">
        <v>-1.305307E-2</v>
      </c>
      <c r="O5752">
        <v>-0.9958359</v>
      </c>
      <c r="P5752">
        <v>4.5353249999999998E-2</v>
      </c>
      <c r="Q5752">
        <v>0.16963879999999901</v>
      </c>
      <c r="R5752">
        <v>-0.98446230000000001</v>
      </c>
      <c r="S5752">
        <v>-0.13946529999999999</v>
      </c>
      <c r="T5752">
        <v>-9.3030450000000001E-2</v>
      </c>
      <c r="U5752">
        <v>-3.0693969999999999</v>
      </c>
      <c r="V5752">
        <v>-0.13512750000000001</v>
      </c>
      <c r="W5752">
        <v>0.18153430000000001</v>
      </c>
      <c r="X5752">
        <v>0.97405640000000004</v>
      </c>
      <c r="Y5752">
        <v>-4.4928040000000002E-2</v>
      </c>
      <c r="Z5752">
        <v>1.705622E-2</v>
      </c>
      <c r="AA5752">
        <v>0.99884459999999997</v>
      </c>
      <c r="AB5752">
        <v>25</v>
      </c>
      <c r="AC5752">
        <v>-1.6504999999999601</v>
      </c>
      <c r="AD5752">
        <v>-1.1134673497409999</v>
      </c>
      <c r="AE5752">
        <v>-36.494259999999997</v>
      </c>
      <c r="AF5752">
        <v>-1.64767138743048</v>
      </c>
      <c r="AG5752">
        <v>-1.1134673497409999</v>
      </c>
      <c r="AH5752">
        <v>36.460446708927599</v>
      </c>
      <c r="AI5752">
        <v>91.747432649655906</v>
      </c>
      <c r="AJ5752">
        <v>92.587473260864698</v>
      </c>
      <c r="AK5752">
        <v>36.514638225709497</v>
      </c>
      <c r="AL5752">
        <v>79.540858866477507</v>
      </c>
      <c r="AM5752">
        <v>97.898038126703497</v>
      </c>
      <c r="AN5752">
        <v>1.00000000685685</v>
      </c>
    </row>
    <row r="5753" spans="1:40" x14ac:dyDescent="0.25">
      <c r="A5753" t="str">
        <f>"20190304154912771"</f>
        <v>20190304154912771</v>
      </c>
      <c r="B5753" t="str">
        <f>"1551685752762835"</f>
        <v>1551685752762835</v>
      </c>
      <c r="C5753" t="s">
        <v>40</v>
      </c>
      <c r="D5753">
        <v>4.2321090000000003</v>
      </c>
      <c r="E5753">
        <v>0.53780479999999997</v>
      </c>
      <c r="F5753" t="s">
        <v>44</v>
      </c>
      <c r="G5753">
        <v>-422.8707</v>
      </c>
      <c r="H5753" s="1">
        <v>-4.3993560000000002E-6</v>
      </c>
      <c r="I5753">
        <v>68.418120000000002</v>
      </c>
      <c r="J5753">
        <v>-421.27789999999999</v>
      </c>
      <c r="K5753">
        <v>1.1133459999999999</v>
      </c>
      <c r="L5753">
        <v>104.498</v>
      </c>
      <c r="M5753">
        <v>-8.6533849999999995E-2</v>
      </c>
      <c r="N5753">
        <v>-1.302649E-2</v>
      </c>
      <c r="O5753">
        <v>-0.99616400000000005</v>
      </c>
      <c r="P5753">
        <v>4.8061050000000001E-2</v>
      </c>
      <c r="Q5753">
        <v>0.16861760000000001</v>
      </c>
      <c r="R5753">
        <v>-0.98450919999999997</v>
      </c>
      <c r="S5753">
        <v>-0.13613889999999901</v>
      </c>
      <c r="T5753">
        <v>-9.4092490000000001E-2</v>
      </c>
      <c r="U5753">
        <v>-3.069855</v>
      </c>
      <c r="V5753">
        <v>-0.13415060000000001</v>
      </c>
      <c r="W5753">
        <v>0.1805359</v>
      </c>
      <c r="X5753">
        <v>0.97437689999999999</v>
      </c>
      <c r="Y5753">
        <v>-4.2313650000000001E-2</v>
      </c>
      <c r="Z5753">
        <v>1.743718E-2</v>
      </c>
      <c r="AA5753">
        <v>0.99895219999999996</v>
      </c>
      <c r="AB5753">
        <v>25</v>
      </c>
      <c r="AC5753">
        <v>-1.59280000000001</v>
      </c>
      <c r="AD5753">
        <v>-1.1133503993560001</v>
      </c>
      <c r="AE5753">
        <v>-36.079879999999903</v>
      </c>
      <c r="AF5753">
        <v>-1.5341128436068101</v>
      </c>
      <c r="AG5753">
        <v>-1.1133503993560001</v>
      </c>
      <c r="AH5753">
        <v>36.048102332765602</v>
      </c>
      <c r="AI5753">
        <v>91.767426590815305</v>
      </c>
      <c r="AJ5753">
        <v>92.436887883211199</v>
      </c>
      <c r="AK5753">
        <v>36.097904830089597</v>
      </c>
      <c r="AL5753">
        <v>79.599023661196298</v>
      </c>
      <c r="AM5753">
        <v>97.839105135040199</v>
      </c>
      <c r="AN5753">
        <v>0.99999996896138899</v>
      </c>
    </row>
    <row r="5754" spans="1:40" x14ac:dyDescent="0.25">
      <c r="A5754" t="str">
        <f>"20190304154912794"</f>
        <v>20190304154912794</v>
      </c>
      <c r="B5754" t="str">
        <f>"1551685752783330"</f>
        <v>1551685752783330</v>
      </c>
      <c r="C5754" t="s">
        <v>40</v>
      </c>
      <c r="D5754">
        <v>4.2723709999999997</v>
      </c>
      <c r="E5754">
        <v>0.53791599999999995</v>
      </c>
      <c r="F5754" t="s">
        <v>44</v>
      </c>
      <c r="G5754">
        <v>-423.20319999999998</v>
      </c>
      <c r="H5754" s="1">
        <v>-4.1405020000000001E-6</v>
      </c>
      <c r="I5754">
        <v>67.484189999999998</v>
      </c>
      <c r="J5754">
        <v>-421.29480000000001</v>
      </c>
      <c r="K5754">
        <v>1.1132329999999999</v>
      </c>
      <c r="L5754">
        <v>104.25749999999999</v>
      </c>
      <c r="M5754">
        <v>-8.3116640000000006E-2</v>
      </c>
      <c r="N5754">
        <v>-1.3003229999999999E-2</v>
      </c>
      <c r="O5754">
        <v>-0.99645490000000003</v>
      </c>
      <c r="P5754">
        <v>5.0183810000000002E-2</v>
      </c>
      <c r="Q5754">
        <v>0.16768029999999901</v>
      </c>
      <c r="R5754">
        <v>-0.98456330000000003</v>
      </c>
      <c r="S5754">
        <v>-0.15972900000000001</v>
      </c>
      <c r="T5754">
        <v>-9.2368599999999995E-2</v>
      </c>
      <c r="U5754">
        <v>-3.0708310000000001</v>
      </c>
      <c r="V5754">
        <v>-0.1328675</v>
      </c>
      <c r="W5754">
        <v>0.17962220000000001</v>
      </c>
      <c r="X5754">
        <v>0.97472159999999997</v>
      </c>
      <c r="Y5754">
        <v>-3.1245220000000001E-2</v>
      </c>
      <c r="Z5754">
        <v>1.6910499999999998E-2</v>
      </c>
      <c r="AA5754">
        <v>0.9993687</v>
      </c>
      <c r="AB5754">
        <v>25</v>
      </c>
      <c r="AC5754">
        <v>-1.9083999999999699</v>
      </c>
      <c r="AD5754">
        <v>-1.1132371405019901</v>
      </c>
      <c r="AE5754">
        <v>-36.773310000000002</v>
      </c>
      <c r="AF5754">
        <v>-1.1538825440393301</v>
      </c>
      <c r="AG5754">
        <v>-1.1132371405019901</v>
      </c>
      <c r="AH5754">
        <v>36.771071158050603</v>
      </c>
      <c r="AI5754">
        <v>91.733236443876606</v>
      </c>
      <c r="AJ5754">
        <v>91.797361617818297</v>
      </c>
      <c r="AK5754">
        <v>36.806010595646597</v>
      </c>
      <c r="AL5754">
        <v>79.652245744386704</v>
      </c>
      <c r="AM5754">
        <v>97.762333556672701</v>
      </c>
      <c r="AN5754">
        <v>1.0000000523978201</v>
      </c>
    </row>
    <row r="5755" spans="1:40" x14ac:dyDescent="0.25">
      <c r="A5755" t="str">
        <f>"20190304154912816"</f>
        <v>20190304154912816</v>
      </c>
      <c r="B5755" t="str">
        <f>"1551685752812612"</f>
        <v>1551685752812612</v>
      </c>
      <c r="C5755" t="s">
        <v>40</v>
      </c>
      <c r="D5755">
        <v>4.2423019999999996</v>
      </c>
      <c r="E5755">
        <v>0.53836209999999995</v>
      </c>
      <c r="F5755" t="s">
        <v>44</v>
      </c>
      <c r="G5755">
        <v>-423.16079999999999</v>
      </c>
      <c r="H5755" s="1">
        <v>-3.9227370000000001E-6</v>
      </c>
      <c r="I5755">
        <v>66.866380000000007</v>
      </c>
      <c r="J5755">
        <v>-421.3116</v>
      </c>
      <c r="K5755">
        <v>1.113135</v>
      </c>
      <c r="L5755">
        <v>104.0076</v>
      </c>
      <c r="M5755">
        <v>-7.9704780000000003E-2</v>
      </c>
      <c r="N5755">
        <v>-1.2981380000000001E-2</v>
      </c>
      <c r="O5755">
        <v>-0.99673420000000001</v>
      </c>
      <c r="P5755">
        <v>5.2130500000000003E-2</v>
      </c>
      <c r="Q5755">
        <v>0.16666819999999999</v>
      </c>
      <c r="R5755">
        <v>-0.98463420000000001</v>
      </c>
      <c r="S5755">
        <v>-0.153228799999999</v>
      </c>
      <c r="T5755">
        <v>-9.1415289999999996E-2</v>
      </c>
      <c r="U5755">
        <v>-3.0704349999999998</v>
      </c>
      <c r="V5755">
        <v>-0.13142039999999999</v>
      </c>
      <c r="W5755">
        <v>0.17863280000000001</v>
      </c>
      <c r="X5755">
        <v>0.97509950000000001</v>
      </c>
      <c r="Y5755">
        <v>-2.9927059999999998E-2</v>
      </c>
      <c r="Z5755">
        <v>1.6640249999999999E-2</v>
      </c>
      <c r="AA5755">
        <v>0.99941349999999995</v>
      </c>
      <c r="AB5755">
        <v>25</v>
      </c>
      <c r="AC5755">
        <v>-1.84919999999999</v>
      </c>
      <c r="AD5755">
        <v>-1.1131389227370001</v>
      </c>
      <c r="AE5755">
        <v>-37.141219999999898</v>
      </c>
      <c r="AF5755">
        <v>-1.1162656055302</v>
      </c>
      <c r="AG5755">
        <v>-1.1131389227370001</v>
      </c>
      <c r="AH5755">
        <v>37.137163125307701</v>
      </c>
      <c r="AI5755">
        <v>91.716079030343394</v>
      </c>
      <c r="AJ5755">
        <v>91.721673163043903</v>
      </c>
      <c r="AK5755">
        <v>37.170606830654798</v>
      </c>
      <c r="AL5755">
        <v>79.709865778285604</v>
      </c>
      <c r="AM5755">
        <v>97.675865353735503</v>
      </c>
      <c r="AN5755">
        <v>1.0000000168361201</v>
      </c>
    </row>
    <row r="5756" spans="1:40" x14ac:dyDescent="0.25">
      <c r="A5756" t="str">
        <f>"20190304154912832"</f>
        <v>20190304154912832</v>
      </c>
      <c r="B5756" t="str">
        <f>"1551685752823350"</f>
        <v>1551685752823350</v>
      </c>
      <c r="C5756" t="s">
        <v>40</v>
      </c>
      <c r="D5756">
        <v>4.229006</v>
      </c>
      <c r="E5756">
        <v>0.53854919999999995</v>
      </c>
      <c r="F5756" t="s">
        <v>44</v>
      </c>
      <c r="G5756">
        <v>-423.19659999999999</v>
      </c>
      <c r="H5756" s="1">
        <v>-3.4583579999999999E-6</v>
      </c>
      <c r="I5756">
        <v>65.668000000000006</v>
      </c>
      <c r="J5756">
        <v>-421.3229</v>
      </c>
      <c r="K5756">
        <v>1.1130789999999999</v>
      </c>
      <c r="L5756">
        <v>103.8335</v>
      </c>
      <c r="M5756">
        <v>-7.7385289999999995E-2</v>
      </c>
      <c r="N5756">
        <v>-1.296744E-2</v>
      </c>
      <c r="O5756">
        <v>-0.99691719999999895</v>
      </c>
      <c r="P5756">
        <v>5.3506079999999998E-2</v>
      </c>
      <c r="Q5756">
        <v>0.1665703</v>
      </c>
      <c r="R5756">
        <v>-0.98457709999999998</v>
      </c>
      <c r="S5756">
        <v>-0.15093989999999999</v>
      </c>
      <c r="T5756">
        <v>-8.9130760000000003E-2</v>
      </c>
      <c r="U5756">
        <v>-3.0699160000000001</v>
      </c>
      <c r="V5756">
        <v>-0.13048789999999999</v>
      </c>
      <c r="W5756">
        <v>0.17854600000000001</v>
      </c>
      <c r="X5756">
        <v>0.97524060000000001</v>
      </c>
      <c r="Y5756">
        <v>-2.8336090000000001E-2</v>
      </c>
      <c r="Z5756">
        <v>1.592793E-2</v>
      </c>
      <c r="AA5756">
        <v>0.99947149999999996</v>
      </c>
      <c r="AB5756">
        <v>25</v>
      </c>
      <c r="AC5756">
        <v>-1.8736999999999799</v>
      </c>
      <c r="AD5756">
        <v>-1.1130824583579999</v>
      </c>
      <c r="AE5756">
        <v>-38.165500000000002</v>
      </c>
      <c r="AF5756">
        <v>-1.08469511692931</v>
      </c>
      <c r="AG5756">
        <v>-1.1130824583579999</v>
      </c>
      <c r="AH5756">
        <v>38.163658415126498</v>
      </c>
      <c r="AI5756">
        <v>91.669942912673207</v>
      </c>
      <c r="AJ5756">
        <v>91.628033789076596</v>
      </c>
      <c r="AK5756">
        <v>38.1952921141107</v>
      </c>
      <c r="AL5756">
        <v>79.714920104114498</v>
      </c>
      <c r="AM5756">
        <v>97.620953598929702</v>
      </c>
      <c r="AN5756">
        <v>0.999999997025385</v>
      </c>
    </row>
    <row r="5757" spans="1:40" x14ac:dyDescent="0.25">
      <c r="A5757" t="str">
        <f>"20190304154912849"</f>
        <v>20190304154912849</v>
      </c>
      <c r="B5757" t="str">
        <f>"1551685752842870"</f>
        <v>1551685752842870</v>
      </c>
      <c r="C5757" t="s">
        <v>40</v>
      </c>
      <c r="D5757">
        <v>4.2489910000000002</v>
      </c>
      <c r="E5757">
        <v>0.53875109999999904</v>
      </c>
      <c r="F5757" t="s">
        <v>44</v>
      </c>
      <c r="G5757">
        <v>-423.17840000000001</v>
      </c>
      <c r="H5757" s="1">
        <v>-3.226817E-6</v>
      </c>
      <c r="I5757">
        <v>65.139529999999993</v>
      </c>
      <c r="J5757">
        <v>-421.33550000000002</v>
      </c>
      <c r="K5757">
        <v>1.11303</v>
      </c>
      <c r="L5757">
        <v>103.6323</v>
      </c>
      <c r="M5757">
        <v>-7.4771489999999996E-2</v>
      </c>
      <c r="N5757">
        <v>-1.295288E-2</v>
      </c>
      <c r="O5757">
        <v>-0.99711680000000003</v>
      </c>
      <c r="P5757">
        <v>5.4702199999999902E-2</v>
      </c>
      <c r="Q5757">
        <v>0.16633239999999999</v>
      </c>
      <c r="R5757">
        <v>-0.98455159999999997</v>
      </c>
      <c r="S5757">
        <v>-0.14721679999999901</v>
      </c>
      <c r="T5757">
        <v>-8.8310959999999994E-2</v>
      </c>
      <c r="U5757">
        <v>-3.0699459999999998</v>
      </c>
      <c r="V5757">
        <v>-0.1290915</v>
      </c>
      <c r="W5757">
        <v>0.17832029999999999</v>
      </c>
      <c r="X5757">
        <v>0.97546770000000005</v>
      </c>
      <c r="Y5757">
        <v>-2.6925500000000002E-2</v>
      </c>
      <c r="Z5757">
        <v>1.5685370000000001E-2</v>
      </c>
      <c r="AA5757">
        <v>0.99951440000000003</v>
      </c>
      <c r="AB5757">
        <v>25</v>
      </c>
      <c r="AC5757">
        <v>-1.84289999999998</v>
      </c>
      <c r="AD5757">
        <v>-1.113033226817</v>
      </c>
      <c r="AE5757">
        <v>-38.492769999999901</v>
      </c>
      <c r="AF5757">
        <v>-1.03979489366373</v>
      </c>
      <c r="AG5757">
        <v>-1.113033226817</v>
      </c>
      <c r="AH5757">
        <v>38.490698359092796</v>
      </c>
      <c r="AI5757">
        <v>91.655753352964794</v>
      </c>
      <c r="AJ5757">
        <v>91.547422512373998</v>
      </c>
      <c r="AK5757">
        <v>38.520823934017301</v>
      </c>
      <c r="AL5757">
        <v>79.728062592387502</v>
      </c>
      <c r="AM5757">
        <v>97.538607014110795</v>
      </c>
      <c r="AN5757">
        <v>0.99999998925381495</v>
      </c>
    </row>
    <row r="5758" spans="1:40" x14ac:dyDescent="0.25">
      <c r="A5758" t="str">
        <f>"20190304154912873"</f>
        <v>20190304154912873</v>
      </c>
      <c r="B5758" t="str">
        <f>"1551685752863366"</f>
        <v>1551685752863366</v>
      </c>
      <c r="C5758" t="s">
        <v>40</v>
      </c>
      <c r="D5758">
        <v>4.2372880000000004</v>
      </c>
      <c r="E5758">
        <v>0.54075869999999904</v>
      </c>
      <c r="F5758" t="s">
        <v>44</v>
      </c>
      <c r="G5758">
        <v>-423.16419999999999</v>
      </c>
      <c r="H5758" s="1">
        <v>-3.090695E-6</v>
      </c>
      <c r="I5758">
        <v>64.831090000000003</v>
      </c>
      <c r="J5758">
        <v>-421.3501</v>
      </c>
      <c r="K5758">
        <v>1.112973</v>
      </c>
      <c r="L5758">
        <v>103.39060000000001</v>
      </c>
      <c r="M5758">
        <v>-7.171015E-2</v>
      </c>
      <c r="N5758">
        <v>-1.293714E-2</v>
      </c>
      <c r="O5758">
        <v>-0.9973417</v>
      </c>
      <c r="P5758">
        <v>5.6112099999999998E-2</v>
      </c>
      <c r="Q5758">
        <v>0.16697239999999999</v>
      </c>
      <c r="R5758">
        <v>-0.98436389999999996</v>
      </c>
      <c r="S5758">
        <v>-0.1446838</v>
      </c>
      <c r="T5758">
        <v>-8.8064790000000004E-2</v>
      </c>
      <c r="U5758">
        <v>-3.0700069999999999</v>
      </c>
      <c r="V5758">
        <v>-0.12746099999999999</v>
      </c>
      <c r="W5758">
        <v>0.17897199999999999</v>
      </c>
      <c r="X5758">
        <v>0.97556279999999995</v>
      </c>
      <c r="Y5758">
        <v>-2.4681060000000001E-2</v>
      </c>
      <c r="Z5758">
        <v>1.563051E-2</v>
      </c>
      <c r="AA5758">
        <v>0.99957320000000005</v>
      </c>
      <c r="AB5758">
        <v>25</v>
      </c>
      <c r="AC5758">
        <v>-1.8140999999999901</v>
      </c>
      <c r="AD5758">
        <v>-1.1129760906949999</v>
      </c>
      <c r="AE5758">
        <v>-38.559509999999896</v>
      </c>
      <c r="AF5758">
        <v>-0.955116608320289</v>
      </c>
      <c r="AG5758">
        <v>-1.1129760906949999</v>
      </c>
      <c r="AH5758">
        <v>38.558269887330397</v>
      </c>
      <c r="AI5758">
        <v>91.652864427142006</v>
      </c>
      <c r="AJ5758">
        <v>91.418968282605405</v>
      </c>
      <c r="AK5758">
        <v>38.586152182073803</v>
      </c>
      <c r="AL5758">
        <v>79.690112867273101</v>
      </c>
      <c r="AM5758">
        <v>97.443747225938907</v>
      </c>
      <c r="AN5758">
        <v>1.0000000300244101</v>
      </c>
    </row>
    <row r="5759" spans="1:40" x14ac:dyDescent="0.25">
      <c r="A5759" t="str">
        <f>"20190304154912895"</f>
        <v>20190304154912895</v>
      </c>
      <c r="B5759" t="str">
        <f>"1551685752882886"</f>
        <v>1551685752882886</v>
      </c>
      <c r="C5759" t="s">
        <v>40</v>
      </c>
      <c r="D5759">
        <v>4.2358539999999998</v>
      </c>
      <c r="E5759">
        <v>0.54143030000000003</v>
      </c>
      <c r="F5759" t="s">
        <v>44</v>
      </c>
      <c r="G5759">
        <v>-423.53449999999998</v>
      </c>
      <c r="H5759" s="1">
        <v>-1.207275E-6</v>
      </c>
      <c r="I5759">
        <v>60.211109999999998</v>
      </c>
      <c r="J5759">
        <v>-421.36410000000001</v>
      </c>
      <c r="K5759">
        <v>1.1129020000000001</v>
      </c>
      <c r="L5759">
        <v>103.1465</v>
      </c>
      <c r="M5759">
        <v>-6.8716189999999996E-2</v>
      </c>
      <c r="N5759">
        <v>-1.292245E-2</v>
      </c>
      <c r="O5759">
        <v>-0.99755269999999996</v>
      </c>
      <c r="P5759">
        <v>5.7143859999999998E-2</v>
      </c>
      <c r="Q5759">
        <v>0.16714499999999999</v>
      </c>
      <c r="R5759">
        <v>-0.98427500000000001</v>
      </c>
      <c r="S5759">
        <v>-0.155304</v>
      </c>
      <c r="T5759">
        <v>-7.9128740000000003E-2</v>
      </c>
      <c r="U5759">
        <v>-3.0699160000000001</v>
      </c>
      <c r="V5759">
        <v>-0.12552360000000001</v>
      </c>
      <c r="W5759">
        <v>0.1791606</v>
      </c>
      <c r="X5759">
        <v>0.97577939999999996</v>
      </c>
      <c r="Y5759">
        <v>-1.822878E-2</v>
      </c>
      <c r="Z5759">
        <v>1.275928E-2</v>
      </c>
      <c r="AA5759">
        <v>0.99975239999999999</v>
      </c>
      <c r="AB5759">
        <v>25</v>
      </c>
      <c r="AC5759">
        <v>-2.1703999999999701</v>
      </c>
      <c r="AD5759">
        <v>-1.112903207275</v>
      </c>
      <c r="AE5759">
        <v>-42.935389999999998</v>
      </c>
      <c r="AF5759">
        <v>-0.78480755244511302</v>
      </c>
      <c r="AG5759">
        <v>-1.112903207275</v>
      </c>
      <c r="AH5759">
        <v>42.954252507378499</v>
      </c>
      <c r="AI5759">
        <v>91.483898745038701</v>
      </c>
      <c r="AJ5759">
        <v>91.046721926439901</v>
      </c>
      <c r="AK5759">
        <v>42.975833731421297</v>
      </c>
      <c r="AL5759">
        <v>79.679129733681904</v>
      </c>
      <c r="AM5759">
        <v>97.330233350447799</v>
      </c>
      <c r="AN5759">
        <v>1.00000006610683</v>
      </c>
    </row>
    <row r="5760" spans="1:40" x14ac:dyDescent="0.25">
      <c r="A5760" t="str">
        <f>"20190304154912916"</f>
        <v>20190304154912916</v>
      </c>
      <c r="B5760" t="str">
        <f>"1551685752913142"</f>
        <v>1551685752913142</v>
      </c>
      <c r="C5760" t="s">
        <v>40</v>
      </c>
      <c r="D5760">
        <v>4.2381630000000001</v>
      </c>
      <c r="E5760">
        <v>0.54265399999999997</v>
      </c>
      <c r="F5760" t="s">
        <v>44</v>
      </c>
      <c r="G5760">
        <v>-423.63839999999999</v>
      </c>
      <c r="H5760" s="1">
        <v>-4.5884789999999901E-6</v>
      </c>
      <c r="I5760">
        <v>58.573720000000002</v>
      </c>
      <c r="J5760">
        <v>-421.37700000000001</v>
      </c>
      <c r="K5760">
        <v>1.112843</v>
      </c>
      <c r="L5760">
        <v>102.9109</v>
      </c>
      <c r="M5760">
        <v>-6.5892400000000004E-2</v>
      </c>
      <c r="N5760">
        <v>-1.290928E-2</v>
      </c>
      <c r="O5760">
        <v>-0.99774320000000005</v>
      </c>
      <c r="P5760">
        <v>5.7847349999999999E-2</v>
      </c>
      <c r="Q5760">
        <v>0.16658210000000001</v>
      </c>
      <c r="R5760">
        <v>-0.98432940000000002</v>
      </c>
      <c r="S5760">
        <v>-0.1566467</v>
      </c>
      <c r="T5760">
        <v>-7.6653600000000002E-2</v>
      </c>
      <c r="U5760">
        <v>-3.0700379999999998</v>
      </c>
      <c r="V5760">
        <v>-0.123433</v>
      </c>
      <c r="W5760">
        <v>0.17861640000000001</v>
      </c>
      <c r="X5760">
        <v>0.97614570000000001</v>
      </c>
      <c r="Y5760">
        <v>-1.4964979999999999E-2</v>
      </c>
      <c r="Z5760">
        <v>1.1975980000000001E-2</v>
      </c>
      <c r="AA5760">
        <v>0.99981629999999999</v>
      </c>
      <c r="AB5760">
        <v>25</v>
      </c>
      <c r="AC5760">
        <v>-2.2614000000000298</v>
      </c>
      <c r="AD5760">
        <v>-1.1128475884789999</v>
      </c>
      <c r="AE5760">
        <v>-44.337179999999996</v>
      </c>
      <c r="AF5760">
        <v>-0.66482442917479301</v>
      </c>
      <c r="AG5760">
        <v>-1.1128475884789999</v>
      </c>
      <c r="AH5760">
        <v>44.361953765095599</v>
      </c>
      <c r="AI5760">
        <v>91.436838111978901</v>
      </c>
      <c r="AJ5760">
        <v>90.858591188605402</v>
      </c>
      <c r="AK5760">
        <v>44.3808896162897</v>
      </c>
      <c r="AL5760">
        <v>79.710820360670894</v>
      </c>
      <c r="AM5760">
        <v>97.206766405081495</v>
      </c>
      <c r="AN5760">
        <v>0.99999997573322397</v>
      </c>
    </row>
    <row r="5761" spans="1:40" x14ac:dyDescent="0.25">
      <c r="A5761" t="str">
        <f>"20190304154912939"</f>
        <v>20190304154912939</v>
      </c>
      <c r="B5761" t="str">
        <f>"1551685752932665"</f>
        <v>1551685752932665</v>
      </c>
      <c r="C5761" t="s">
        <v>40</v>
      </c>
      <c r="D5761">
        <v>4.2123269999999904</v>
      </c>
      <c r="E5761">
        <v>0.54333959999999903</v>
      </c>
      <c r="F5761" t="s">
        <v>44</v>
      </c>
      <c r="G5761">
        <v>-423.8075</v>
      </c>
      <c r="H5761" s="1">
        <v>-4.2285899999999998E-6</v>
      </c>
      <c r="I5761">
        <v>57.428019999999997</v>
      </c>
      <c r="J5761">
        <v>-421.39019999999999</v>
      </c>
      <c r="K5761">
        <v>1.112781</v>
      </c>
      <c r="L5761">
        <v>102.6584</v>
      </c>
      <c r="M5761">
        <v>-6.2938729999999998E-2</v>
      </c>
      <c r="N5761">
        <v>-1.289655E-2</v>
      </c>
      <c r="O5761">
        <v>-0.99793430000000005</v>
      </c>
      <c r="P5761">
        <v>5.8118120000000002E-2</v>
      </c>
      <c r="Q5761">
        <v>0.16668259999999999</v>
      </c>
      <c r="R5761">
        <v>-0.98429630000000001</v>
      </c>
      <c r="S5761">
        <v>-0.1640625</v>
      </c>
      <c r="T5761">
        <v>-7.5117349999999999E-2</v>
      </c>
      <c r="U5761">
        <v>-3.0700989999999999</v>
      </c>
      <c r="V5761">
        <v>-0.1207791</v>
      </c>
      <c r="W5761">
        <v>0.1787388</v>
      </c>
      <c r="X5761">
        <v>0.97645530000000003</v>
      </c>
      <c r="Y5761">
        <v>-9.5986089999999993E-3</v>
      </c>
      <c r="Z5761">
        <v>1.149638E-2</v>
      </c>
      <c r="AA5761">
        <v>0.99988779999999999</v>
      </c>
      <c r="AB5761">
        <v>25</v>
      </c>
      <c r="AC5761">
        <v>-2.4173000000000102</v>
      </c>
      <c r="AD5761">
        <v>-1.11278522859</v>
      </c>
      <c r="AE5761">
        <v>-45.230379999999997</v>
      </c>
      <c r="AF5761">
        <v>-0.43421004746033898</v>
      </c>
      <c r="AG5761">
        <v>-1.11278522859</v>
      </c>
      <c r="AH5761">
        <v>45.265524787643002</v>
      </c>
      <c r="AI5761">
        <v>91.408182643382801</v>
      </c>
      <c r="AJ5761">
        <v>90.549593542279197</v>
      </c>
      <c r="AK5761">
        <v>45.281282707438898</v>
      </c>
      <c r="AL5761">
        <v>79.703693441871096</v>
      </c>
      <c r="AM5761">
        <v>97.051179402411094</v>
      </c>
      <c r="AN5761">
        <v>1.0000000512601599</v>
      </c>
    </row>
    <row r="5762" spans="1:40" x14ac:dyDescent="0.25">
      <c r="A5762" t="str">
        <f>"20190304154912960"</f>
        <v>20190304154912960</v>
      </c>
      <c r="B5762" t="str">
        <f>"1551685752953158"</f>
        <v>1551685752953158</v>
      </c>
      <c r="C5762" t="s">
        <v>40</v>
      </c>
      <c r="D5762">
        <v>4.1880759999999997</v>
      </c>
      <c r="E5762">
        <v>0.54399310000000001</v>
      </c>
      <c r="F5762" t="s">
        <v>44</v>
      </c>
      <c r="G5762">
        <v>-423.9753</v>
      </c>
      <c r="H5762" s="1">
        <v>-3.5731460000000001E-6</v>
      </c>
      <c r="I5762">
        <v>55.452599999999997</v>
      </c>
      <c r="J5762">
        <v>-421.40219999999999</v>
      </c>
      <c r="K5762">
        <v>1.1127279999999999</v>
      </c>
      <c r="L5762">
        <v>102.41849999999999</v>
      </c>
      <c r="M5762">
        <v>-6.021257E-2</v>
      </c>
      <c r="N5762">
        <v>-1.2885560000000001E-2</v>
      </c>
      <c r="O5762">
        <v>-0.99810259999999995</v>
      </c>
      <c r="P5762">
        <v>5.846697E-2</v>
      </c>
      <c r="Q5762">
        <v>0.1671762</v>
      </c>
      <c r="R5762">
        <v>-0.98419230000000002</v>
      </c>
      <c r="S5762">
        <v>-0.1681213</v>
      </c>
      <c r="T5762">
        <v>-7.2370050000000005E-2</v>
      </c>
      <c r="U5762">
        <v>-3.0700379999999998</v>
      </c>
      <c r="V5762">
        <v>-0.1184236</v>
      </c>
      <c r="W5762">
        <v>0.17925160000000001</v>
      </c>
      <c r="X5762">
        <v>0.97664980000000001</v>
      </c>
      <c r="Y5762">
        <v>-5.54844E-3</v>
      </c>
      <c r="Z5762">
        <v>1.062188E-2</v>
      </c>
      <c r="AA5762">
        <v>0.99992820000000004</v>
      </c>
      <c r="AB5762">
        <v>25</v>
      </c>
      <c r="AC5762">
        <v>-2.5731000000000099</v>
      </c>
      <c r="AD5762">
        <v>-1.1127315731459999</v>
      </c>
      <c r="AE5762">
        <v>-46.965899999999998</v>
      </c>
      <c r="AF5762">
        <v>-0.25959597276329899</v>
      </c>
      <c r="AG5762">
        <v>-1.1127315731459999</v>
      </c>
      <c r="AH5762">
        <v>47.009307062631301</v>
      </c>
      <c r="AI5762">
        <v>91.355943157900199</v>
      </c>
      <c r="AJ5762">
        <v>90.316396972397897</v>
      </c>
      <c r="AK5762">
        <v>47.023191215948998</v>
      </c>
      <c r="AL5762">
        <v>79.6738299445189</v>
      </c>
      <c r="AM5762">
        <v>96.913644173248997</v>
      </c>
      <c r="AN5762">
        <v>1.0000000584897699</v>
      </c>
    </row>
    <row r="5763" spans="1:40" x14ac:dyDescent="0.25">
      <c r="A5763" t="str">
        <f>"20190304154912983"</f>
        <v>20190304154912983</v>
      </c>
      <c r="B5763" t="str">
        <f>"1551685752972678"</f>
        <v>1551685752972678</v>
      </c>
      <c r="C5763" t="s">
        <v>40</v>
      </c>
      <c r="D5763">
        <v>4.3332829999999998</v>
      </c>
      <c r="E5763">
        <v>0.54398930000000001</v>
      </c>
      <c r="F5763" t="s">
        <v>44</v>
      </c>
      <c r="G5763">
        <v>-424.19659999999999</v>
      </c>
      <c r="H5763" s="1">
        <v>-2.5247149999999999E-6</v>
      </c>
      <c r="I5763">
        <v>52.871450000000003</v>
      </c>
      <c r="J5763">
        <v>-421.41370000000001</v>
      </c>
      <c r="K5763">
        <v>1.1126640000000001</v>
      </c>
      <c r="L5763">
        <v>102.176</v>
      </c>
      <c r="M5763">
        <v>-5.7552949999999999E-2</v>
      </c>
      <c r="N5763">
        <v>-1.2875080000000001E-2</v>
      </c>
      <c r="O5763">
        <v>-0.99825949999999997</v>
      </c>
      <c r="P5763">
        <v>6.0252739999999999E-2</v>
      </c>
      <c r="Q5763">
        <v>0.167272</v>
      </c>
      <c r="R5763">
        <v>-0.9840681</v>
      </c>
      <c r="S5763">
        <v>-0.1731567</v>
      </c>
      <c r="T5763">
        <v>-6.8950410000000004E-2</v>
      </c>
      <c r="U5763">
        <v>-3.0701900000000002</v>
      </c>
      <c r="V5763">
        <v>-0.117562899999999</v>
      </c>
      <c r="W5763">
        <v>0.1793604</v>
      </c>
      <c r="X5763">
        <v>0.97673370000000004</v>
      </c>
      <c r="Y5763">
        <v>-1.2521590000000001E-3</v>
      </c>
      <c r="Z5763">
        <v>9.5259650000000008E-3</v>
      </c>
      <c r="AA5763">
        <v>0.99995389999999995</v>
      </c>
      <c r="AB5763">
        <v>25</v>
      </c>
      <c r="AC5763">
        <v>-2.7828999999999802</v>
      </c>
      <c r="AD5763">
        <v>-1.1126665247149901</v>
      </c>
      <c r="AE5763">
        <v>-49.304549999999999</v>
      </c>
      <c r="AF5763">
        <v>-5.9540645373611999E-2</v>
      </c>
      <c r="AG5763">
        <v>-1.1126665247149901</v>
      </c>
      <c r="AH5763">
        <v>49.3579321756458</v>
      </c>
      <c r="AI5763">
        <v>91.291388253478203</v>
      </c>
      <c r="AJ5763">
        <v>90.069116064719196</v>
      </c>
      <c r="AK5763">
        <v>49.370507801108502</v>
      </c>
      <c r="AL5763">
        <v>79.667492386166003</v>
      </c>
      <c r="AM5763">
        <v>96.863293097602295</v>
      </c>
      <c r="AN5763">
        <v>0.99999995463012803</v>
      </c>
    </row>
    <row r="5764" spans="1:40" x14ac:dyDescent="0.25">
      <c r="A5764" t="str">
        <f>"20190304154912998"</f>
        <v>20190304154912998</v>
      </c>
      <c r="B5764" t="str">
        <f>"1551685752993175"</f>
        <v>1551685752993175</v>
      </c>
      <c r="C5764" t="s">
        <v>40</v>
      </c>
      <c r="D5764">
        <v>4.1677499999999998</v>
      </c>
      <c r="E5764">
        <v>0.54349259999999999</v>
      </c>
      <c r="F5764" t="s">
        <v>44</v>
      </c>
      <c r="G5764">
        <v>-424.17200000000003</v>
      </c>
      <c r="H5764" s="1">
        <v>-2.0436409999999999E-6</v>
      </c>
      <c r="I5764">
        <v>51.765309999999999</v>
      </c>
      <c r="J5764">
        <v>-421.42110000000002</v>
      </c>
      <c r="K5764">
        <v>1.112619</v>
      </c>
      <c r="L5764">
        <v>102.01519999999999</v>
      </c>
      <c r="M5764">
        <v>-5.5852350000000002E-2</v>
      </c>
      <c r="N5764">
        <v>-1.2868330000000001E-2</v>
      </c>
      <c r="O5764">
        <v>-0.99835620000000003</v>
      </c>
      <c r="P5764">
        <v>6.1367659999999997E-2</v>
      </c>
      <c r="Q5764">
        <v>0.16721529999999901</v>
      </c>
      <c r="R5764">
        <v>-0.98400889999999996</v>
      </c>
      <c r="S5764">
        <v>-0.16799929999999999</v>
      </c>
      <c r="T5764">
        <v>-6.7769410000000002E-2</v>
      </c>
      <c r="U5764">
        <v>-3.0703740000000002</v>
      </c>
      <c r="V5764">
        <v>-0.11698310000000001</v>
      </c>
      <c r="W5764">
        <v>0.17931449999999999</v>
      </c>
      <c r="X5764">
        <v>0.97681180000000001</v>
      </c>
      <c r="Y5764">
        <v>-1.2263479999999999E-3</v>
      </c>
      <c r="Z5764">
        <v>9.1511879999999993E-3</v>
      </c>
      <c r="AA5764">
        <v>0.9999574</v>
      </c>
      <c r="AB5764">
        <v>25</v>
      </c>
      <c r="AC5764">
        <v>-2.7508999999999402</v>
      </c>
      <c r="AD5764">
        <v>-1.112621043641</v>
      </c>
      <c r="AE5764">
        <v>-50.249889999999901</v>
      </c>
      <c r="AF5764">
        <v>-6.0171940803821398E-2</v>
      </c>
      <c r="AG5764">
        <v>-1.112621043641</v>
      </c>
      <c r="AH5764">
        <v>50.300509322179899</v>
      </c>
      <c r="AI5764">
        <v>91.267145234676207</v>
      </c>
      <c r="AJ5764">
        <v>90.068539994030104</v>
      </c>
      <c r="AK5764">
        <v>50.312849097620401</v>
      </c>
      <c r="AL5764">
        <v>79.670166222895702</v>
      </c>
      <c r="AM5764">
        <v>96.829224115854004</v>
      </c>
      <c r="AN5764">
        <v>1.00000001410755</v>
      </c>
    </row>
    <row r="5765" spans="1:40" x14ac:dyDescent="0.25">
      <c r="A5765" t="str">
        <f>"20190304154913011"</f>
        <v>20190304154913011</v>
      </c>
      <c r="B5765" t="str">
        <f>"1551685753002934"</f>
        <v>1551685753002934</v>
      </c>
      <c r="C5765" t="s">
        <v>40</v>
      </c>
      <c r="D5765">
        <v>4.1800899999999999</v>
      </c>
      <c r="E5765">
        <v>0.54331300000000005</v>
      </c>
      <c r="F5765" t="s">
        <v>44</v>
      </c>
      <c r="G5765">
        <v>-424.38749999999999</v>
      </c>
      <c r="H5765" s="1">
        <v>-3.6653989999999999E-6</v>
      </c>
      <c r="I5765">
        <v>45.470739999999999</v>
      </c>
      <c r="J5765">
        <v>-421.42790000000002</v>
      </c>
      <c r="K5765">
        <v>1.112568</v>
      </c>
      <c r="L5765">
        <v>101.86069999999999</v>
      </c>
      <c r="M5765">
        <v>-5.4259479999999999E-2</v>
      </c>
      <c r="N5765">
        <v>-1.2861869999999999E-2</v>
      </c>
      <c r="O5765">
        <v>-0.99844429999999995</v>
      </c>
      <c r="P5765">
        <v>6.1681710000000001E-2</v>
      </c>
      <c r="Q5765">
        <v>0.1673723</v>
      </c>
      <c r="R5765">
        <v>-0.98396260000000002</v>
      </c>
      <c r="S5765">
        <v>-0.16101070000000001</v>
      </c>
      <c r="T5765">
        <v>-6.0389760000000001E-2</v>
      </c>
      <c r="U5765">
        <v>-3.069061</v>
      </c>
      <c r="V5765">
        <v>-0.11571099999999999</v>
      </c>
      <c r="W5765">
        <v>0.1794866</v>
      </c>
      <c r="X5765">
        <v>0.97693169999999996</v>
      </c>
      <c r="Y5765">
        <v>-1.8769419999999999E-3</v>
      </c>
      <c r="Z5765">
        <v>6.7734719999999896E-3</v>
      </c>
      <c r="AA5765">
        <v>0.99997530000000001</v>
      </c>
      <c r="AB5765">
        <v>25</v>
      </c>
      <c r="AC5765">
        <v>-2.95959999999996</v>
      </c>
      <c r="AD5765">
        <v>-1.1125716653990001</v>
      </c>
      <c r="AE5765">
        <v>-56.389960000000002</v>
      </c>
      <c r="AF5765">
        <v>-0.10466215898916401</v>
      </c>
      <c r="AG5765">
        <v>-1.1125716653990001</v>
      </c>
      <c r="AH5765">
        <v>56.445563830955699</v>
      </c>
      <c r="AI5765">
        <v>91.129181705826994</v>
      </c>
      <c r="AJ5765">
        <v>90.106238519121504</v>
      </c>
      <c r="AK5765">
        <v>56.456624465802697</v>
      </c>
      <c r="AL5765">
        <v>79.660142969052103</v>
      </c>
      <c r="AM5765">
        <v>96.754830250089498</v>
      </c>
      <c r="AN5765">
        <v>1.0000000107827201</v>
      </c>
    </row>
    <row r="5766" spans="1:40" x14ac:dyDescent="0.25">
      <c r="A5766" t="str">
        <f>"20190304154913027"</f>
        <v>20190304154913027</v>
      </c>
      <c r="B5766" t="str">
        <f>"1551685753022454"</f>
        <v>1551685753022454</v>
      </c>
      <c r="C5766" t="s">
        <v>40</v>
      </c>
      <c r="D5766">
        <v>4.2196480000000003</v>
      </c>
      <c r="E5766">
        <v>0.54306980000000005</v>
      </c>
      <c r="F5766" t="s">
        <v>44</v>
      </c>
      <c r="G5766">
        <v>-424.53859999999997</v>
      </c>
      <c r="H5766" s="1">
        <v>-2.1034660000000002E-6</v>
      </c>
      <c r="I5766">
        <v>41.67736</v>
      </c>
      <c r="J5766">
        <v>-421.43520000000001</v>
      </c>
      <c r="K5766">
        <v>1.112503</v>
      </c>
      <c r="L5766">
        <v>101.69240000000001</v>
      </c>
      <c r="M5766">
        <v>-5.2607590000000003E-2</v>
      </c>
      <c r="N5766">
        <v>-1.2851359999999999E-2</v>
      </c>
      <c r="O5766">
        <v>-0.99853270000000005</v>
      </c>
      <c r="P5766">
        <v>6.181942E-2</v>
      </c>
      <c r="Q5766">
        <v>0.1671666</v>
      </c>
      <c r="R5766">
        <v>-0.98398850000000004</v>
      </c>
      <c r="S5766">
        <v>-0.15859989999999999</v>
      </c>
      <c r="T5766">
        <v>-5.6725030000000003E-2</v>
      </c>
      <c r="U5766">
        <v>-3.0684809999999998</v>
      </c>
      <c r="V5766">
        <v>-0.11420089999999999</v>
      </c>
      <c r="W5766">
        <v>0.1792966</v>
      </c>
      <c r="X5766">
        <v>0.97714420000000002</v>
      </c>
      <c r="Y5766">
        <v>-9.9603959999999998E-4</v>
      </c>
      <c r="Z5766">
        <v>5.5992780000000001E-3</v>
      </c>
      <c r="AA5766">
        <v>0.99998379999999998</v>
      </c>
      <c r="AB5766">
        <v>25</v>
      </c>
      <c r="AC5766">
        <v>-3.1033999999999602</v>
      </c>
      <c r="AD5766">
        <v>-1.1125051034660001</v>
      </c>
      <c r="AE5766">
        <v>-60.015039999999999</v>
      </c>
      <c r="AF5766">
        <v>-5.8385043318776898E-2</v>
      </c>
      <c r="AG5766">
        <v>-1.1125051034660001</v>
      </c>
      <c r="AH5766">
        <v>60.074608992751202</v>
      </c>
      <c r="AI5766">
        <v>91.060922958636894</v>
      </c>
      <c r="AJ5766">
        <v>90.055684349373394</v>
      </c>
      <c r="AK5766">
        <v>60.084937563839297</v>
      </c>
      <c r="AL5766">
        <v>79.671208063588494</v>
      </c>
      <c r="AM5766">
        <v>96.666037485588404</v>
      </c>
      <c r="AN5766">
        <v>0.99999995196300395</v>
      </c>
    </row>
    <row r="5767" spans="1:40" x14ac:dyDescent="0.25">
      <c r="A5767" t="str">
        <f>"20190304154913040"</f>
        <v>20190304154913040</v>
      </c>
      <c r="B5767" t="str">
        <f>"1551685753033190"</f>
        <v>1551685753033190</v>
      </c>
      <c r="C5767" t="s">
        <v>40</v>
      </c>
      <c r="D5767">
        <v>4.178229</v>
      </c>
      <c r="E5767">
        <v>0.54291299999999998</v>
      </c>
      <c r="F5767" t="s">
        <v>68</v>
      </c>
      <c r="G5767">
        <v>-424.79969999999997</v>
      </c>
      <c r="H5767" s="1">
        <v>-3.197925E-6</v>
      </c>
      <c r="I5767">
        <v>35.643359999999902</v>
      </c>
      <c r="J5767">
        <v>-421.44110000000001</v>
      </c>
      <c r="K5767">
        <v>1.112444</v>
      </c>
      <c r="L5767">
        <v>101.55159999999999</v>
      </c>
      <c r="M5767">
        <v>-5.1273579999999999E-2</v>
      </c>
      <c r="N5767">
        <v>-1.284093E-2</v>
      </c>
      <c r="O5767">
        <v>-0.99860230000000005</v>
      </c>
      <c r="P5767">
        <v>6.1567330000000003E-2</v>
      </c>
      <c r="Q5767">
        <v>0.16809660000000001</v>
      </c>
      <c r="R5767">
        <v>-0.98384669999999996</v>
      </c>
      <c r="S5767">
        <v>-0.15625</v>
      </c>
      <c r="T5767">
        <v>-5.1666379999999998E-2</v>
      </c>
      <c r="U5767">
        <v>-3.0674130000000002</v>
      </c>
      <c r="V5767">
        <v>-0.1126122</v>
      </c>
      <c r="W5767">
        <v>0.18023810000000001</v>
      </c>
      <c r="X5767">
        <v>0.97715540000000001</v>
      </c>
      <c r="Y5767">
        <v>-4.059248E-4</v>
      </c>
      <c r="Z5767">
        <v>3.973402E-3</v>
      </c>
      <c r="AA5767">
        <v>0.99999199999999999</v>
      </c>
      <c r="AB5767">
        <v>25</v>
      </c>
      <c r="AC5767">
        <v>-3.3585999999999601</v>
      </c>
      <c r="AD5767">
        <v>-1.1124471979249999</v>
      </c>
      <c r="AE5767">
        <v>-65.908240000000006</v>
      </c>
      <c r="AF5767">
        <v>-2.5440595226435801E-2</v>
      </c>
      <c r="AG5767">
        <v>-1.1124471979249999</v>
      </c>
      <c r="AH5767">
        <v>65.975007568403399</v>
      </c>
      <c r="AI5767">
        <v>90.966009514896101</v>
      </c>
      <c r="AJ5767">
        <v>90.022093800611003</v>
      </c>
      <c r="AK5767">
        <v>65.984390651448393</v>
      </c>
      <c r="AL5767">
        <v>79.616371009290503</v>
      </c>
      <c r="AM5767">
        <v>96.574045972310401</v>
      </c>
      <c r="AN5767">
        <v>0.999999978014804</v>
      </c>
    </row>
    <row r="5768" spans="1:40" x14ac:dyDescent="0.25">
      <c r="A5768" t="str">
        <f>"20190304154913063"</f>
        <v>20190304154913063</v>
      </c>
      <c r="B5768" t="str">
        <f>"1551685753052710"</f>
        <v>1551685753052710</v>
      </c>
      <c r="C5768" t="s">
        <v>40</v>
      </c>
      <c r="D5768">
        <v>4.2028879999999997</v>
      </c>
      <c r="E5768">
        <v>0.54242440000000003</v>
      </c>
      <c r="F5768" t="s">
        <v>68</v>
      </c>
      <c r="G5768">
        <v>-425.13290000000001</v>
      </c>
      <c r="H5768" s="1">
        <v>-6.5306919999999998E-6</v>
      </c>
      <c r="I5768">
        <v>28.37378</v>
      </c>
      <c r="J5768">
        <v>-421.4511</v>
      </c>
      <c r="K5768">
        <v>1.112339</v>
      </c>
      <c r="L5768">
        <v>101.3044</v>
      </c>
      <c r="M5768">
        <v>-4.9052159999999997E-2</v>
      </c>
      <c r="N5768">
        <v>-1.2818329999999999E-2</v>
      </c>
      <c r="O5768">
        <v>-0.99871399999999999</v>
      </c>
      <c r="P5768">
        <v>6.2953140000000005E-2</v>
      </c>
      <c r="Q5768">
        <v>0.16870940000000001</v>
      </c>
      <c r="R5768">
        <v>-0.98365360000000002</v>
      </c>
      <c r="S5768">
        <v>-0.1547241</v>
      </c>
      <c r="T5768">
        <v>-4.6622990000000003E-2</v>
      </c>
      <c r="U5768">
        <v>-3.0668950000000001</v>
      </c>
      <c r="V5768">
        <v>-0.1117628</v>
      </c>
      <c r="W5768">
        <v>0.18086140000000001</v>
      </c>
      <c r="X5768">
        <v>0.97713779999999995</v>
      </c>
      <c r="Y5768">
        <v>1.3307659999999999E-3</v>
      </c>
      <c r="Z5768">
        <v>2.3609350000000002E-3</v>
      </c>
      <c r="AA5768">
        <v>0.99999629999999995</v>
      </c>
      <c r="AB5768">
        <v>25</v>
      </c>
      <c r="AC5768">
        <v>-3.6818</v>
      </c>
      <c r="AD5768">
        <v>-1.112345530692</v>
      </c>
      <c r="AE5768">
        <v>-72.930619999999905</v>
      </c>
      <c r="AF5768">
        <v>9.9645827446347202E-2</v>
      </c>
      <c r="AG5768">
        <v>-1.112345530692</v>
      </c>
      <c r="AH5768">
        <v>73.006488009002396</v>
      </c>
      <c r="AI5768">
        <v>90.872904801094194</v>
      </c>
      <c r="AJ5768">
        <v>89.921797610470605</v>
      </c>
      <c r="AK5768">
        <v>73.015029502693395</v>
      </c>
      <c r="AL5768">
        <v>79.580062331481599</v>
      </c>
      <c r="AM5768">
        <v>96.525005636931994</v>
      </c>
      <c r="AN5768">
        <v>1.0000000248313099</v>
      </c>
    </row>
    <row r="5769" spans="1:40" x14ac:dyDescent="0.25">
      <c r="A5769" t="str">
        <f>"20190304154913084"</f>
        <v>20190304154913084</v>
      </c>
      <c r="B5769" t="str">
        <f>"1551685753073206"</f>
        <v>1551685753073206</v>
      </c>
      <c r="C5769" t="s">
        <v>40</v>
      </c>
      <c r="D5769">
        <v>4.1622690000000002</v>
      </c>
      <c r="E5769">
        <v>0.54177509999999995</v>
      </c>
      <c r="F5769" t="s">
        <v>68</v>
      </c>
      <c r="G5769">
        <v>-425.37279999999998</v>
      </c>
      <c r="H5769" s="1">
        <v>-9.3070159999999996E-6</v>
      </c>
      <c r="I5769">
        <v>19.381679999999999</v>
      </c>
      <c r="J5769">
        <v>-421.4606</v>
      </c>
      <c r="K5769">
        <v>1.112217</v>
      </c>
      <c r="L5769">
        <v>101.0647</v>
      </c>
      <c r="M5769">
        <v>-4.706399E-2</v>
      </c>
      <c r="N5769">
        <v>-1.278871E-2</v>
      </c>
      <c r="O5769">
        <v>-0.99881019999999998</v>
      </c>
      <c r="P5769">
        <v>6.4715529999999993E-2</v>
      </c>
      <c r="Q5769">
        <v>0.168189899999999</v>
      </c>
      <c r="R5769">
        <v>-0.98362830000000001</v>
      </c>
      <c r="S5769">
        <v>-0.14678959999999999</v>
      </c>
      <c r="T5769">
        <v>-4.1635270000000002E-2</v>
      </c>
      <c r="U5769">
        <v>-3.066376</v>
      </c>
      <c r="V5769">
        <v>-0.1115206</v>
      </c>
      <c r="W5769">
        <v>0.18034549999999999</v>
      </c>
      <c r="X5769">
        <v>0.97726080000000004</v>
      </c>
      <c r="Y5769">
        <v>0</v>
      </c>
      <c r="Z5769">
        <v>0</v>
      </c>
      <c r="AA5769">
        <v>1</v>
      </c>
      <c r="AB5769">
        <v>25</v>
      </c>
      <c r="AC5769">
        <v>-3.9121999999999799</v>
      </c>
      <c r="AD5769">
        <v>-1.1122263070159999</v>
      </c>
      <c r="AE5769">
        <v>-81.683019999999999</v>
      </c>
      <c r="AF5769">
        <v>6.3209893338960599E-2</v>
      </c>
      <c r="AG5769">
        <v>-1.1122263070159999</v>
      </c>
      <c r="AH5769">
        <v>81.7615047640152</v>
      </c>
      <c r="AI5769">
        <v>90.779363393758999</v>
      </c>
      <c r="AJ5769">
        <v>89.955704589822403</v>
      </c>
      <c r="AK5769">
        <v>81.769093819882301</v>
      </c>
      <c r="AL5769">
        <v>79.610115233793195</v>
      </c>
      <c r="AM5769">
        <v>96.510174465689801</v>
      </c>
      <c r="AN5769">
        <v>1.0000000074056199</v>
      </c>
    </row>
    <row r="5770" spans="1:40" x14ac:dyDescent="0.25">
      <c r="A5770" t="str">
        <f>"20190304154913107"</f>
        <v>20190304154913107</v>
      </c>
      <c r="B5770" t="str">
        <f>"1551685753102486"</f>
        <v>1551685753102486</v>
      </c>
      <c r="C5770" t="s">
        <v>40</v>
      </c>
      <c r="D5770">
        <v>4.166175</v>
      </c>
      <c r="E5770">
        <v>0.54123429999999995</v>
      </c>
      <c r="F5770" t="s">
        <v>68</v>
      </c>
      <c r="G5770">
        <v>-425.10469999999998</v>
      </c>
      <c r="H5770" s="1">
        <v>-9.412857E-6</v>
      </c>
      <c r="I5770">
        <v>19.485939999999999</v>
      </c>
      <c r="J5770">
        <v>-421.46980000000002</v>
      </c>
      <c r="K5770">
        <v>1.112085</v>
      </c>
      <c r="L5770">
        <v>100.8215</v>
      </c>
      <c r="M5770">
        <v>-4.5228989999999997E-2</v>
      </c>
      <c r="N5770">
        <v>-1.275247E-2</v>
      </c>
      <c r="O5770">
        <v>-0.99889539999999999</v>
      </c>
      <c r="P5770">
        <v>6.6031259999999994E-2</v>
      </c>
      <c r="Q5770">
        <v>0.167757399999999</v>
      </c>
      <c r="R5770">
        <v>-0.98361449999999995</v>
      </c>
      <c r="S5770">
        <v>-0.1369629</v>
      </c>
      <c r="T5770">
        <v>-4.1802529999999997E-2</v>
      </c>
      <c r="U5770">
        <v>-3.0661010000000002</v>
      </c>
      <c r="V5770">
        <v>-0.1109786</v>
      </c>
      <c r="W5770">
        <v>0.1799144</v>
      </c>
      <c r="X5770">
        <v>0.97740190000000005</v>
      </c>
      <c r="Y5770">
        <v>0</v>
      </c>
      <c r="Z5770">
        <v>0</v>
      </c>
      <c r="AA5770">
        <v>1</v>
      </c>
      <c r="AB5770">
        <v>25</v>
      </c>
      <c r="AC5770">
        <v>-3.6348999999999498</v>
      </c>
      <c r="AD5770">
        <v>-1.1120944128569901</v>
      </c>
      <c r="AE5770">
        <v>-81.335560000000001</v>
      </c>
      <c r="AF5770">
        <v>-4.7835298658246601E-2</v>
      </c>
      <c r="AG5770">
        <v>-1.1120944128569901</v>
      </c>
      <c r="AH5770">
        <v>81.401540000269094</v>
      </c>
      <c r="AI5770">
        <v>90.782716659536803</v>
      </c>
      <c r="AJ5770">
        <v>90.033669638306193</v>
      </c>
      <c r="AK5770">
        <v>81.409150324851794</v>
      </c>
      <c r="AL5770">
        <v>79.635225666324502</v>
      </c>
      <c r="AM5770">
        <v>96.477876760912295</v>
      </c>
      <c r="AN5770">
        <v>0.99999995755446403</v>
      </c>
    </row>
    <row r="5771" spans="1:40" x14ac:dyDescent="0.25">
      <c r="A5771" t="str">
        <f>"20190304154913121"</f>
        <v>20190304154913121</v>
      </c>
      <c r="B5771" t="str">
        <f>"1551685753113221"</f>
        <v>1551685753113221</v>
      </c>
      <c r="C5771" t="s">
        <v>40</v>
      </c>
      <c r="D5771">
        <v>4.2303129999999998</v>
      </c>
      <c r="E5771">
        <v>0.54096440000000001</v>
      </c>
      <c r="F5771" t="s">
        <v>68</v>
      </c>
      <c r="G5771">
        <v>-425.04649999999998</v>
      </c>
      <c r="H5771" s="1">
        <v>-9.0282799999999999E-6</v>
      </c>
      <c r="I5771">
        <v>15.88522</v>
      </c>
      <c r="J5771">
        <v>-421.47559999999999</v>
      </c>
      <c r="K5771">
        <v>1.111996</v>
      </c>
      <c r="L5771">
        <v>100.66370000000001</v>
      </c>
      <c r="M5771">
        <v>-4.4152339999999998E-2</v>
      </c>
      <c r="N5771">
        <v>-1.272623E-2</v>
      </c>
      <c r="O5771">
        <v>-0.99894380000000005</v>
      </c>
      <c r="P5771">
        <v>6.6493479999999994E-2</v>
      </c>
      <c r="Q5771">
        <v>0.16749700000000001</v>
      </c>
      <c r="R5771">
        <v>-0.98362760000000005</v>
      </c>
      <c r="S5771">
        <v>-0.12908939999999999</v>
      </c>
      <c r="T5771">
        <v>-4.0137289999999999E-2</v>
      </c>
      <c r="U5771">
        <v>-3.0654910000000002</v>
      </c>
      <c r="V5771">
        <v>-0.11034679999999999</v>
      </c>
      <c r="W5771">
        <v>0.1796546</v>
      </c>
      <c r="X5771">
        <v>0.97752119999999998</v>
      </c>
      <c r="Y5771">
        <v>-2.0842959999999998E-3</v>
      </c>
      <c r="Z5771">
        <v>3.5282020000000001E-4</v>
      </c>
      <c r="AA5771">
        <v>0.99999780000000005</v>
      </c>
      <c r="AB5771">
        <v>25</v>
      </c>
      <c r="AC5771">
        <v>-3.5708999999999902</v>
      </c>
      <c r="AD5771">
        <v>-1.11200502828</v>
      </c>
      <c r="AE5771">
        <v>-84.778480000000002</v>
      </c>
      <c r="AF5771">
        <v>-0.17602387603728301</v>
      </c>
      <c r="AG5771">
        <v>-1.11200502828</v>
      </c>
      <c r="AH5771">
        <v>84.838897565345405</v>
      </c>
      <c r="AI5771">
        <v>90.750945749707896</v>
      </c>
      <c r="AJ5771">
        <v>90.1188772014726</v>
      </c>
      <c r="AK5771">
        <v>84.846367510288999</v>
      </c>
      <c r="AL5771">
        <v>79.650357529407103</v>
      </c>
      <c r="AM5771">
        <v>96.440529585378599</v>
      </c>
      <c r="AN5771">
        <v>0.99999994401041803</v>
      </c>
    </row>
    <row r="5772" spans="1:40" x14ac:dyDescent="0.25">
      <c r="A5772" t="str">
        <f>"20190304154913134"</f>
        <v>20190304154913134</v>
      </c>
      <c r="B5772" t="str">
        <f>"1551685753122982"</f>
        <v>1551685753122982</v>
      </c>
      <c r="C5772" t="s">
        <v>40</v>
      </c>
      <c r="D5772">
        <v>4.2084210000000004</v>
      </c>
      <c r="E5772">
        <v>0.5407516</v>
      </c>
      <c r="F5772" t="s">
        <v>68</v>
      </c>
      <c r="G5772">
        <v>-424.90539999999999</v>
      </c>
      <c r="H5772" s="1">
        <v>-9.1718450000000006E-6</v>
      </c>
      <c r="I5772">
        <v>16.721319999999999</v>
      </c>
      <c r="J5772">
        <v>-421.48099999999999</v>
      </c>
      <c r="K5772">
        <v>1.1119129999999999</v>
      </c>
      <c r="L5772">
        <v>100.5189</v>
      </c>
      <c r="M5772">
        <v>-4.3222679999999999E-2</v>
      </c>
      <c r="N5772">
        <v>-1.2701169999999999E-2</v>
      </c>
      <c r="O5772">
        <v>-0.99898480000000001</v>
      </c>
      <c r="P5772">
        <v>6.7119639999999994E-2</v>
      </c>
      <c r="Q5772">
        <v>0.16744909999999999</v>
      </c>
      <c r="R5772">
        <v>-0.9835933</v>
      </c>
      <c r="S5772">
        <v>-0.1252441</v>
      </c>
      <c r="T5772">
        <v>-4.0606860000000002E-2</v>
      </c>
      <c r="U5772">
        <v>-3.0653079999999999</v>
      </c>
      <c r="V5772">
        <v>-0.11002389999999999</v>
      </c>
      <c r="W5772">
        <v>0.1796053</v>
      </c>
      <c r="X5772">
        <v>0.97756670000000001</v>
      </c>
      <c r="Y5772">
        <v>-2.4033779999999999E-3</v>
      </c>
      <c r="Z5772">
        <v>5.3206170000000004E-4</v>
      </c>
      <c r="AA5772">
        <v>0.99999700000000002</v>
      </c>
      <c r="AB5772">
        <v>25</v>
      </c>
      <c r="AC5772">
        <v>-3.4243999999999901</v>
      </c>
      <c r="AD5772">
        <v>-1.1119221718450001</v>
      </c>
      <c r="AE5772">
        <v>-83.797579999999996</v>
      </c>
      <c r="AF5772">
        <v>-0.20101330463683101</v>
      </c>
      <c r="AG5772">
        <v>-1.1119221718450001</v>
      </c>
      <c r="AH5772">
        <v>83.852539811611607</v>
      </c>
      <c r="AI5772">
        <v>90.759720945300899</v>
      </c>
      <c r="AJ5772">
        <v>90.137350543533898</v>
      </c>
      <c r="AK5772">
        <v>83.860152695560899</v>
      </c>
      <c r="AL5772">
        <v>79.653229373304995</v>
      </c>
      <c r="AM5772">
        <v>96.4215443892179</v>
      </c>
      <c r="AN5772">
        <v>0.99999998765409404</v>
      </c>
    </row>
    <row r="5773" spans="1:40" x14ac:dyDescent="0.25">
      <c r="A5773" t="str">
        <f>"20190304154913149"</f>
        <v>20190304154913149</v>
      </c>
      <c r="B5773" t="str">
        <f>"1551685753142503"</f>
        <v>1551685753142503</v>
      </c>
      <c r="C5773" t="s">
        <v>40</v>
      </c>
      <c r="D5773">
        <v>4.1789899999999998</v>
      </c>
      <c r="E5773">
        <v>0.54031619999999903</v>
      </c>
      <c r="F5773" t="s">
        <v>68</v>
      </c>
      <c r="G5773">
        <v>-424.81670000000003</v>
      </c>
      <c r="H5773" s="1">
        <v>-9.1665919999999994E-6</v>
      </c>
      <c r="I5773">
        <v>16.397939999999998</v>
      </c>
      <c r="J5773">
        <v>-421.48669999999998</v>
      </c>
      <c r="K5773">
        <v>1.1118209999999999</v>
      </c>
      <c r="L5773">
        <v>100.36</v>
      </c>
      <c r="M5773">
        <v>-4.2293949999999997E-2</v>
      </c>
      <c r="N5773">
        <v>-1.2672859999999999E-2</v>
      </c>
      <c r="O5773">
        <v>-0.99902489999999999</v>
      </c>
      <c r="P5773">
        <v>6.7695619999999998E-2</v>
      </c>
      <c r="Q5773">
        <v>0.16757320000000001</v>
      </c>
      <c r="R5773">
        <v>-0.98353279999999998</v>
      </c>
      <c r="S5773">
        <v>-0.12155150000000001</v>
      </c>
      <c r="T5773">
        <v>-4.051685E-2</v>
      </c>
      <c r="U5773">
        <v>-3.0652469999999998</v>
      </c>
      <c r="V5773">
        <v>-0.1096471</v>
      </c>
      <c r="W5773">
        <v>0.17972630000000001</v>
      </c>
      <c r="X5773">
        <v>0.97758679999999998</v>
      </c>
      <c r="Y5773">
        <v>-2.6755669999999998E-3</v>
      </c>
      <c r="Z5773">
        <v>5.3185039999999997E-4</v>
      </c>
      <c r="AA5773">
        <v>0.99999629999999995</v>
      </c>
      <c r="AB5773">
        <v>25</v>
      </c>
      <c r="AC5773">
        <v>-3.33000000000004</v>
      </c>
      <c r="AD5773">
        <v>-1.1118301665919901</v>
      </c>
      <c r="AE5773">
        <v>-83.962059999999994</v>
      </c>
      <c r="AF5773">
        <v>-0.22431298031437999</v>
      </c>
      <c r="AG5773">
        <v>-1.1118301665919901</v>
      </c>
      <c r="AH5773">
        <v>84.013061006082097</v>
      </c>
      <c r="AI5773">
        <v>90.758206280228194</v>
      </c>
      <c r="AJ5773">
        <v>90.152978077076298</v>
      </c>
      <c r="AK5773">
        <v>84.020717101463504</v>
      </c>
      <c r="AL5773">
        <v>79.6461819351331</v>
      </c>
      <c r="AM5773">
        <v>96.399604735936506</v>
      </c>
      <c r="AN5773">
        <v>0.99999999049216903</v>
      </c>
    </row>
    <row r="5774" spans="1:40" x14ac:dyDescent="0.25">
      <c r="A5774" t="str">
        <f>"20190304154913162"</f>
        <v>20190304154913162</v>
      </c>
      <c r="B5774" t="str">
        <f>"1551685753153239"</f>
        <v>1551685753153239</v>
      </c>
      <c r="C5774" t="s">
        <v>40</v>
      </c>
      <c r="D5774">
        <v>4.2257550000000004</v>
      </c>
      <c r="E5774">
        <v>0.54013</v>
      </c>
      <c r="F5774" t="s">
        <v>68</v>
      </c>
      <c r="G5774">
        <v>-424.73009999999999</v>
      </c>
      <c r="H5774" s="1">
        <v>-8.9903749999999995E-6</v>
      </c>
      <c r="I5774">
        <v>14.52533</v>
      </c>
      <c r="J5774">
        <v>-421.49200000000002</v>
      </c>
      <c r="K5774">
        <v>1.111739</v>
      </c>
      <c r="L5774">
        <v>100.2118</v>
      </c>
      <c r="M5774">
        <v>-4.1506880000000003E-2</v>
      </c>
      <c r="N5774">
        <v>-1.2647179999999999E-2</v>
      </c>
      <c r="O5774">
        <v>-0.99905820000000001</v>
      </c>
      <c r="P5774">
        <v>6.8487770000000003E-2</v>
      </c>
      <c r="Q5774">
        <v>0.16811870000000001</v>
      </c>
      <c r="R5774">
        <v>-0.9833847</v>
      </c>
      <c r="S5774">
        <v>-0.11581420000000001</v>
      </c>
      <c r="T5774">
        <v>-3.9700630000000001E-2</v>
      </c>
      <c r="U5774">
        <v>-3.0649410000000001</v>
      </c>
      <c r="V5774">
        <v>-0.1096263</v>
      </c>
      <c r="W5774">
        <v>0.18026710000000001</v>
      </c>
      <c r="X5774">
        <v>0.97748950000000001</v>
      </c>
      <c r="Y5774">
        <v>-3.7527210000000001E-3</v>
      </c>
      <c r="Z5774">
        <v>2.9342039999999999E-4</v>
      </c>
      <c r="AA5774">
        <v>0.99999289999999996</v>
      </c>
      <c r="AB5774">
        <v>25</v>
      </c>
      <c r="AC5774">
        <v>-3.23810000000003</v>
      </c>
      <c r="AD5774">
        <v>-1.1117479903750001</v>
      </c>
      <c r="AE5774">
        <v>-85.68647</v>
      </c>
      <c r="AF5774">
        <v>-0.32149933428799898</v>
      </c>
      <c r="AG5774">
        <v>-1.1117479903750001</v>
      </c>
      <c r="AH5774">
        <v>85.732617636630195</v>
      </c>
      <c r="AI5774">
        <v>90.742943019209704</v>
      </c>
      <c r="AJ5774">
        <v>90.214859514757094</v>
      </c>
      <c r="AK5774">
        <v>85.740428458485596</v>
      </c>
      <c r="AL5774">
        <v>79.614681340124406</v>
      </c>
      <c r="AM5774">
        <v>96.399032421668494</v>
      </c>
      <c r="AN5774">
        <v>0.999999937802173</v>
      </c>
    </row>
    <row r="5775" spans="1:40" x14ac:dyDescent="0.25">
      <c r="A5775" t="str">
        <f>"20190304154913184"</f>
        <v>20190304154913184</v>
      </c>
      <c r="B5775" t="str">
        <f>"1551685753172758"</f>
        <v>1551685753172758</v>
      </c>
      <c r="C5775" t="s">
        <v>40</v>
      </c>
      <c r="D5775">
        <v>4.3217689999999997</v>
      </c>
      <c r="E5775">
        <v>0.53951110000000002</v>
      </c>
      <c r="F5775" t="s">
        <v>68</v>
      </c>
      <c r="G5775">
        <v>-424.8152</v>
      </c>
      <c r="H5775" s="1">
        <v>-8.4713300000000001E-6</v>
      </c>
      <c r="I5775">
        <v>9.639227</v>
      </c>
      <c r="J5775">
        <v>-421.50049999999999</v>
      </c>
      <c r="K5775">
        <v>1.1116090000000001</v>
      </c>
      <c r="L5775">
        <v>99.973879999999994</v>
      </c>
      <c r="M5775">
        <v>-4.0370549999999998E-2</v>
      </c>
      <c r="N5775">
        <v>-1.2605E-2</v>
      </c>
      <c r="O5775">
        <v>-0.99910529999999997</v>
      </c>
      <c r="P5775">
        <v>6.9457050000000006E-2</v>
      </c>
      <c r="Q5775">
        <v>0.16855619999999999</v>
      </c>
      <c r="R5775">
        <v>-0.9832417</v>
      </c>
      <c r="S5775">
        <v>-0.1124573</v>
      </c>
      <c r="T5775">
        <v>-3.7621500000000002E-2</v>
      </c>
      <c r="U5775">
        <v>-3.064972</v>
      </c>
      <c r="V5775">
        <v>-0.1094213</v>
      </c>
      <c r="W5775">
        <v>0.18069579999999999</v>
      </c>
      <c r="X5775">
        <v>0.97743340000000001</v>
      </c>
      <c r="Y5775">
        <v>-3.7094670000000001E-3</v>
      </c>
      <c r="Z5775">
        <v>-3.4112280000000002E-4</v>
      </c>
      <c r="AA5775">
        <v>0.99999309999999997</v>
      </c>
      <c r="AB5775">
        <v>25</v>
      </c>
      <c r="AC5775">
        <v>-3.31470000000001</v>
      </c>
      <c r="AD5775">
        <v>-1.11161747132999</v>
      </c>
      <c r="AE5775">
        <v>-90.334653000000003</v>
      </c>
      <c r="AF5775">
        <v>-0.33510122794163999</v>
      </c>
      <c r="AG5775">
        <v>-1.11161747132999</v>
      </c>
      <c r="AH5775">
        <v>90.381157602482503</v>
      </c>
      <c r="AI5775">
        <v>90.704652853491694</v>
      </c>
      <c r="AJ5775">
        <v>90.212431424898995</v>
      </c>
      <c r="AK5775">
        <v>90.3886145252837</v>
      </c>
      <c r="AL5775">
        <v>79.589709432853795</v>
      </c>
      <c r="AM5775">
        <v>96.387528844568394</v>
      </c>
      <c r="AN5775">
        <v>1.00000002223344</v>
      </c>
    </row>
    <row r="5776" spans="1:40" x14ac:dyDescent="0.25">
      <c r="A5776" t="str">
        <f>"20190304154913207"</f>
        <v>20190304154913207</v>
      </c>
      <c r="B5776" t="str">
        <f>"1551685753203014"</f>
        <v>1551685753203014</v>
      </c>
      <c r="C5776" t="s">
        <v>40</v>
      </c>
      <c r="D5776">
        <v>4.2364059999999997</v>
      </c>
      <c r="E5776">
        <v>0.53892269999999998</v>
      </c>
      <c r="F5776" t="s">
        <v>68</v>
      </c>
      <c r="G5776">
        <v>-424.6035</v>
      </c>
      <c r="H5776">
        <v>1.025214E-2</v>
      </c>
      <c r="I5776">
        <v>9.6163019999999992</v>
      </c>
      <c r="J5776">
        <v>-421.5095</v>
      </c>
      <c r="K5776">
        <v>1.111483</v>
      </c>
      <c r="L5776">
        <v>99.717129999999997</v>
      </c>
      <c r="M5776">
        <v>-3.9331339999999999E-2</v>
      </c>
      <c r="N5776">
        <v>-1.255333E-2</v>
      </c>
      <c r="O5776">
        <v>-0.99914760000000002</v>
      </c>
      <c r="P5776">
        <v>7.0674340000000002E-2</v>
      </c>
      <c r="Q5776">
        <v>0.168339299999999</v>
      </c>
      <c r="R5776">
        <v>-0.98319250000000002</v>
      </c>
      <c r="S5776">
        <v>-0.1052551</v>
      </c>
      <c r="T5776">
        <v>-3.7358160000000001E-2</v>
      </c>
      <c r="U5776">
        <v>-3.0649410000000001</v>
      </c>
      <c r="V5776">
        <v>-0.1095612</v>
      </c>
      <c r="W5776">
        <v>0.18046129999999999</v>
      </c>
      <c r="X5776">
        <v>0.97746100000000002</v>
      </c>
      <c r="Y5776">
        <v>-5.015622E-3</v>
      </c>
      <c r="Z5776">
        <v>-3.7472969999999999E-4</v>
      </c>
      <c r="AA5776">
        <v>0.99998739999999997</v>
      </c>
      <c r="AB5776">
        <v>25</v>
      </c>
      <c r="AC5776">
        <v>-3.0939999999999901</v>
      </c>
      <c r="AD5776">
        <v>-1.10123086</v>
      </c>
      <c r="AE5776">
        <v>-90.100828000000007</v>
      </c>
      <c r="AF5776">
        <v>-0.45239167261663299</v>
      </c>
      <c r="AG5776">
        <v>-1.10123086</v>
      </c>
      <c r="AH5776">
        <v>90.139350496717199</v>
      </c>
      <c r="AI5776">
        <v>90.699937894546494</v>
      </c>
      <c r="AJ5776">
        <v>90.287553834806502</v>
      </c>
      <c r="AK5776">
        <v>90.147212245318499</v>
      </c>
      <c r="AL5776">
        <v>79.603369333825995</v>
      </c>
      <c r="AM5776">
        <v>96.395448863658601</v>
      </c>
      <c r="AN5776">
        <v>0.99999997193206402</v>
      </c>
    </row>
    <row r="5777" spans="1:40" x14ac:dyDescent="0.25">
      <c r="A5777" t="str">
        <f>"20190304154913231"</f>
        <v>20190304154913231</v>
      </c>
      <c r="B5777" t="str">
        <f>"1551685753223511"</f>
        <v>1551685753223511</v>
      </c>
      <c r="C5777" t="s">
        <v>40</v>
      </c>
      <c r="D5777">
        <v>4.337631</v>
      </c>
      <c r="E5777">
        <v>0.53828480000000001</v>
      </c>
      <c r="F5777" t="s">
        <v>68</v>
      </c>
      <c r="G5777">
        <v>-424.30520000000001</v>
      </c>
      <c r="H5777" s="1">
        <v>-8.8239300000000007E-6</v>
      </c>
      <c r="I5777">
        <v>11.31256</v>
      </c>
      <c r="J5777">
        <v>-421.51830000000001</v>
      </c>
      <c r="K5777">
        <v>1.111359</v>
      </c>
      <c r="L5777">
        <v>99.466250000000002</v>
      </c>
      <c r="M5777">
        <v>-3.849085E-2</v>
      </c>
      <c r="N5777">
        <v>-1.249834E-2</v>
      </c>
      <c r="O5777">
        <v>-0.99918079999999998</v>
      </c>
      <c r="P5777">
        <v>7.1749309999999997E-2</v>
      </c>
      <c r="Q5777">
        <v>0.16876969999999999</v>
      </c>
      <c r="R5777">
        <v>-0.98304080000000005</v>
      </c>
      <c r="S5777">
        <v>-9.6923830000000002E-2</v>
      </c>
      <c r="T5777">
        <v>-3.8533690000000002E-2</v>
      </c>
      <c r="U5777">
        <v>-3.0648499999999999</v>
      </c>
      <c r="V5777">
        <v>-0.1097566</v>
      </c>
      <c r="W5777">
        <v>0.18086650000000001</v>
      </c>
      <c r="X5777">
        <v>0.97736420000000002</v>
      </c>
      <c r="Y5777">
        <v>-6.8884380000000002E-3</v>
      </c>
      <c r="Z5777" s="1">
        <v>6.3797669999999897E-5</v>
      </c>
      <c r="AA5777">
        <v>0.99997630000000004</v>
      </c>
      <c r="AB5777">
        <v>25</v>
      </c>
      <c r="AC5777">
        <v>-2.7869000000000002</v>
      </c>
      <c r="AD5777">
        <v>-1.11136782393</v>
      </c>
      <c r="AE5777">
        <v>-88.153689999999997</v>
      </c>
      <c r="AF5777">
        <v>-0.60844440115120701</v>
      </c>
      <c r="AG5777">
        <v>-1.11136782393</v>
      </c>
      <c r="AH5777">
        <v>88.181630621035595</v>
      </c>
      <c r="AI5777">
        <v>90.722052866585202</v>
      </c>
      <c r="AJ5777">
        <v>90.395328854682504</v>
      </c>
      <c r="AK5777">
        <v>88.190732631122401</v>
      </c>
      <c r="AL5777">
        <v>79.579764864075798</v>
      </c>
      <c r="AM5777">
        <v>96.407389510357206</v>
      </c>
      <c r="AN5777">
        <v>0.99999999075372403</v>
      </c>
    </row>
    <row r="5778" spans="1:40" x14ac:dyDescent="0.25">
      <c r="A5778" t="str">
        <f>"20190304154913245"</f>
        <v>20190304154913245</v>
      </c>
      <c r="B5778" t="str">
        <f>"1551685753243030"</f>
        <v>1551685753243030</v>
      </c>
      <c r="C5778" t="s">
        <v>40</v>
      </c>
      <c r="D5778">
        <v>4.346584</v>
      </c>
      <c r="E5778">
        <v>0.53776080000000004</v>
      </c>
      <c r="F5778" t="s">
        <v>68</v>
      </c>
      <c r="G5778">
        <v>-424.00889999999998</v>
      </c>
      <c r="H5778" s="1">
        <v>-9.1390289999999994E-6</v>
      </c>
      <c r="I5778">
        <v>13.38832</v>
      </c>
      <c r="J5778">
        <v>-421.524</v>
      </c>
      <c r="K5778">
        <v>1.1112850000000001</v>
      </c>
      <c r="L5778">
        <v>99.301029999999997</v>
      </c>
      <c r="M5778">
        <v>-3.8041829999999999E-2</v>
      </c>
      <c r="N5778">
        <v>-1.2464009999999999E-2</v>
      </c>
      <c r="O5778">
        <v>-0.99919840000000004</v>
      </c>
      <c r="P5778">
        <v>7.2467669999999998E-2</v>
      </c>
      <c r="Q5778">
        <v>0.169104799999999</v>
      </c>
      <c r="R5778">
        <v>-0.98293019999999998</v>
      </c>
      <c r="S5778">
        <v>-8.8684079999999998E-2</v>
      </c>
      <c r="T5778">
        <v>-3.9573190000000001E-2</v>
      </c>
      <c r="U5778">
        <v>-3.0650330000000001</v>
      </c>
      <c r="V5778">
        <v>-0.1099999</v>
      </c>
      <c r="W5778">
        <v>0.18118500000000001</v>
      </c>
      <c r="X5778">
        <v>0.97727790000000003</v>
      </c>
      <c r="Y5778">
        <v>-9.1263349999999993E-3</v>
      </c>
      <c r="Z5778">
        <v>4.3600680000000001E-4</v>
      </c>
      <c r="AA5778">
        <v>0.99995829999999997</v>
      </c>
      <c r="AB5778">
        <v>25</v>
      </c>
      <c r="AC5778">
        <v>-2.4848999999999801</v>
      </c>
      <c r="AD5778">
        <v>-1.1112941390289901</v>
      </c>
      <c r="AE5778">
        <v>-85.912710000000004</v>
      </c>
      <c r="AF5778">
        <v>-0.785298340681306</v>
      </c>
      <c r="AG5778">
        <v>-1.1112941390289901</v>
      </c>
      <c r="AH5778">
        <v>85.930683949264605</v>
      </c>
      <c r="AI5778">
        <v>90.740902474519402</v>
      </c>
      <c r="AJ5778">
        <v>90.5235967640984</v>
      </c>
      <c r="AK5778">
        <v>85.941457470394994</v>
      </c>
      <c r="AL5778">
        <v>79.561210093496996</v>
      </c>
      <c r="AM5778">
        <v>96.422036728531907</v>
      </c>
      <c r="AN5778">
        <v>1.0000000380267</v>
      </c>
    </row>
    <row r="5779" spans="1:40" x14ac:dyDescent="0.25">
      <c r="A5779" t="str">
        <f>"20190304154913263"</f>
        <v>20190304154913263</v>
      </c>
      <c r="B5779" t="str">
        <f>"1551685753252791"</f>
        <v>1551685753252791</v>
      </c>
      <c r="C5779" t="s">
        <v>40</v>
      </c>
      <c r="D5779">
        <v>4.358174</v>
      </c>
      <c r="E5779">
        <v>0.53768090000000002</v>
      </c>
      <c r="F5779" t="s">
        <v>68</v>
      </c>
      <c r="G5779">
        <v>-423.76889999999997</v>
      </c>
      <c r="H5779" s="1">
        <v>-9.4835899999999994E-6</v>
      </c>
      <c r="I5779">
        <v>15.94624</v>
      </c>
      <c r="J5779">
        <v>-421.53070000000002</v>
      </c>
      <c r="K5779">
        <v>1.1111979999999999</v>
      </c>
      <c r="L5779">
        <v>99.111450000000005</v>
      </c>
      <c r="M5779">
        <v>-3.7601910000000002E-2</v>
      </c>
      <c r="N5779">
        <v>-1.2424670000000001E-2</v>
      </c>
      <c r="O5779">
        <v>-0.99921559999999998</v>
      </c>
      <c r="P5779">
        <v>7.3540090000000002E-2</v>
      </c>
      <c r="Q5779">
        <v>0.16976579999999999</v>
      </c>
      <c r="R5779">
        <v>-0.98273690000000002</v>
      </c>
      <c r="S5779">
        <v>-8.255005E-2</v>
      </c>
      <c r="T5779">
        <v>-4.0865779999999997E-2</v>
      </c>
      <c r="U5779">
        <v>-3.0652159999999999</v>
      </c>
      <c r="V5779">
        <v>-0.1105993</v>
      </c>
      <c r="W5779">
        <v>0.1818255</v>
      </c>
      <c r="X5779">
        <v>0.9770913</v>
      </c>
      <c r="Y5779">
        <v>-1.068706E-2</v>
      </c>
      <c r="Z5779">
        <v>8.9568549999999997E-4</v>
      </c>
      <c r="AA5779">
        <v>0.99994249999999996</v>
      </c>
      <c r="AB5779">
        <v>25</v>
      </c>
      <c r="AC5779">
        <v>-2.23819999999994</v>
      </c>
      <c r="AD5779">
        <v>-1.1112074835900001</v>
      </c>
      <c r="AE5779">
        <v>-83.165210000000002</v>
      </c>
      <c r="AF5779">
        <v>-0.89063621605810595</v>
      </c>
      <c r="AG5779">
        <v>-1.1112074835900001</v>
      </c>
      <c r="AH5779">
        <v>83.175714948933205</v>
      </c>
      <c r="AI5779">
        <v>90.765368383100494</v>
      </c>
      <c r="AJ5779">
        <v>90.613493326646307</v>
      </c>
      <c r="AK5779">
        <v>83.187905203864403</v>
      </c>
      <c r="AL5779">
        <v>79.523892563308095</v>
      </c>
      <c r="AM5779">
        <v>96.457958953703596</v>
      </c>
      <c r="AN5779">
        <v>1.00000006307321</v>
      </c>
    </row>
    <row r="5780" spans="1:40" x14ac:dyDescent="0.25">
      <c r="A5780" t="str">
        <f>"20190304154913280"</f>
        <v>20190304154913280</v>
      </c>
      <c r="B5780" t="str">
        <f>"1551685753273287"</f>
        <v>1551685753273287</v>
      </c>
      <c r="C5780" t="s">
        <v>40</v>
      </c>
      <c r="D5780">
        <v>4.3669089999999997</v>
      </c>
      <c r="E5780">
        <v>0.53721580000000002</v>
      </c>
      <c r="F5780" t="s">
        <v>68</v>
      </c>
      <c r="G5780">
        <v>-423.84109999999998</v>
      </c>
      <c r="H5780">
        <v>3.7021799999999998E-3</v>
      </c>
      <c r="I5780">
        <v>9.6162969999999994</v>
      </c>
      <c r="J5780">
        <v>-421.5369</v>
      </c>
      <c r="K5780">
        <v>1.1111230000000001</v>
      </c>
      <c r="L5780">
        <v>98.93253</v>
      </c>
      <c r="M5780">
        <v>-3.7261040000000002E-2</v>
      </c>
      <c r="N5780">
        <v>-1.2387270000000001E-2</v>
      </c>
      <c r="O5780">
        <v>-0.99922880000000003</v>
      </c>
      <c r="P5780">
        <v>7.4294460000000007E-2</v>
      </c>
      <c r="Q5780">
        <v>0.1695585</v>
      </c>
      <c r="R5780">
        <v>-0.98271580000000003</v>
      </c>
      <c r="S5780">
        <v>-7.9132079999999994E-2</v>
      </c>
      <c r="T5780">
        <v>-3.7931439999999997E-2</v>
      </c>
      <c r="U5780">
        <v>-3.0651860000000002</v>
      </c>
      <c r="V5780">
        <v>-0.1109865</v>
      </c>
      <c r="W5780">
        <v>0.1816004</v>
      </c>
      <c r="X5780">
        <v>0.97708919999999999</v>
      </c>
      <c r="Y5780">
        <v>-1.1459840000000001E-2</v>
      </c>
      <c r="Z5780" s="1">
        <v>-2.268615E-5</v>
      </c>
      <c r="AA5780">
        <v>0.99993430000000005</v>
      </c>
      <c r="AB5780">
        <v>25</v>
      </c>
      <c r="AC5780">
        <v>-2.3041999999999798</v>
      </c>
      <c r="AD5780">
        <v>-1.10742081999999</v>
      </c>
      <c r="AE5780">
        <v>-89.316232999999997</v>
      </c>
      <c r="AF5780">
        <v>-1.0255138623031701</v>
      </c>
      <c r="AG5780">
        <v>-1.10742081999999</v>
      </c>
      <c r="AH5780">
        <v>89.326339562492706</v>
      </c>
      <c r="AI5780">
        <v>90.710239651574895</v>
      </c>
      <c r="AJ5780">
        <v>90.657757109101993</v>
      </c>
      <c r="AK5780">
        <v>89.339089984105499</v>
      </c>
      <c r="AL5780">
        <v>79.537007599109103</v>
      </c>
      <c r="AM5780">
        <v>96.480389609650601</v>
      </c>
      <c r="AN5780">
        <v>1.00000000660952</v>
      </c>
    </row>
    <row r="5781" spans="1:40" x14ac:dyDescent="0.25">
      <c r="A5781" t="str">
        <f>"20190304154913296"</f>
        <v>20190304154913296</v>
      </c>
      <c r="B5781" t="str">
        <f>"1551685753292806"</f>
        <v>1551685753292806</v>
      </c>
      <c r="C5781" t="s">
        <v>40</v>
      </c>
      <c r="D5781">
        <v>4.3078110000000001</v>
      </c>
      <c r="E5781">
        <v>0.53684829999999994</v>
      </c>
      <c r="F5781" t="s">
        <v>68</v>
      </c>
      <c r="G5781">
        <v>-423.52980000000002</v>
      </c>
      <c r="H5781" s="1">
        <v>-9.5056659999999998E-6</v>
      </c>
      <c r="I5781">
        <v>15.3149</v>
      </c>
      <c r="J5781">
        <v>-421.54360000000003</v>
      </c>
      <c r="K5781">
        <v>1.1110469999999999</v>
      </c>
      <c r="L5781">
        <v>98.743129999999994</v>
      </c>
      <c r="M5781">
        <v>-3.697284E-2</v>
      </c>
      <c r="N5781">
        <v>-1.234797E-2</v>
      </c>
      <c r="O5781">
        <v>-0.99924029999999997</v>
      </c>
      <c r="P5781">
        <v>7.5176519999999997E-2</v>
      </c>
      <c r="Q5781">
        <v>0.169102</v>
      </c>
      <c r="R5781">
        <v>-0.98272760000000003</v>
      </c>
      <c r="S5781">
        <v>-7.3059079999999998E-2</v>
      </c>
      <c r="T5781">
        <v>-4.0732980000000002E-2</v>
      </c>
      <c r="U5781">
        <v>-3.0653380000000001</v>
      </c>
      <c r="V5781">
        <v>-0.11155370000000001</v>
      </c>
      <c r="W5781">
        <v>0.18112439999999999</v>
      </c>
      <c r="X5781">
        <v>0.97711289999999995</v>
      </c>
      <c r="Y5781">
        <v>-1.3152199999999999E-2</v>
      </c>
      <c r="Z5781">
        <v>9.2854500000000002E-4</v>
      </c>
      <c r="AA5781">
        <v>0.9999131</v>
      </c>
      <c r="AB5781">
        <v>25</v>
      </c>
      <c r="AC5781">
        <v>-1.98619999999999</v>
      </c>
      <c r="AD5781">
        <v>-1.111056505666</v>
      </c>
      <c r="AE5781">
        <v>-83.428229999999999</v>
      </c>
      <c r="AF5781">
        <v>-1.0997760824073799</v>
      </c>
      <c r="AG5781">
        <v>-1.111056505666</v>
      </c>
      <c r="AH5781">
        <v>83.429831637770704</v>
      </c>
      <c r="AI5781">
        <v>90.762911242394594</v>
      </c>
      <c r="AJ5781">
        <v>90.755231998613496</v>
      </c>
      <c r="AK5781">
        <v>83.444477115606503</v>
      </c>
      <c r="AL5781">
        <v>79.564739679661898</v>
      </c>
      <c r="AM5781">
        <v>96.513067359313098</v>
      </c>
      <c r="AN5781">
        <v>0.99999994780272805</v>
      </c>
    </row>
    <row r="5782" spans="1:40" x14ac:dyDescent="0.25">
      <c r="A5782" t="str">
        <f>"20190304154913313"</f>
        <v>20190304154913313</v>
      </c>
      <c r="B5782" t="str">
        <f>"1551685753303543"</f>
        <v>1551685753303543</v>
      </c>
      <c r="C5782" t="s">
        <v>40</v>
      </c>
      <c r="D5782">
        <v>4.3205010000000001</v>
      </c>
      <c r="E5782">
        <v>0.53669299999999998</v>
      </c>
      <c r="F5782" t="s">
        <v>68</v>
      </c>
      <c r="G5782">
        <v>-423.24579999999997</v>
      </c>
      <c r="H5782" s="1">
        <v>-9.1214569999999997E-6</v>
      </c>
      <c r="I5782">
        <v>21.823170000000001</v>
      </c>
      <c r="J5782">
        <v>-421.54989999999998</v>
      </c>
      <c r="K5782">
        <v>1.110978</v>
      </c>
      <c r="L5782">
        <v>98.565029999999993</v>
      </c>
      <c r="M5782">
        <v>-3.6763690000000002E-2</v>
      </c>
      <c r="N5782">
        <v>-1.231224E-2</v>
      </c>
      <c r="O5782">
        <v>-0.99924809999999997</v>
      </c>
      <c r="P5782">
        <v>7.5481899999999894E-2</v>
      </c>
      <c r="Q5782">
        <v>0.16860149999999999</v>
      </c>
      <c r="R5782">
        <v>-0.98278989999999999</v>
      </c>
      <c r="S5782">
        <v>-6.7840579999999998E-2</v>
      </c>
      <c r="T5782">
        <v>-4.427934E-2</v>
      </c>
      <c r="U5782">
        <v>-3.0655209999999999</v>
      </c>
      <c r="V5782">
        <v>-0.1116283</v>
      </c>
      <c r="W5782">
        <v>0.18060760000000001</v>
      </c>
      <c r="X5782">
        <v>0.97720010000000002</v>
      </c>
      <c r="Y5782">
        <v>-1.464531E-2</v>
      </c>
      <c r="Z5782">
        <v>2.1185710000000001E-3</v>
      </c>
      <c r="AA5782">
        <v>0.99989050000000002</v>
      </c>
      <c r="AB5782">
        <v>25</v>
      </c>
      <c r="AC5782">
        <v>-1.69589999999999</v>
      </c>
      <c r="AD5782">
        <v>-1.110987121457</v>
      </c>
      <c r="AE5782">
        <v>-76.741860000000003</v>
      </c>
      <c r="AF5782">
        <v>-1.12653856141569</v>
      </c>
      <c r="AG5782">
        <v>-1.110987121457</v>
      </c>
      <c r="AH5782">
        <v>76.736251241711898</v>
      </c>
      <c r="AI5782">
        <v>90.829380743902504</v>
      </c>
      <c r="AJ5782">
        <v>90.841079249624798</v>
      </c>
      <c r="AK5782">
        <v>76.752561104796499</v>
      </c>
      <c r="AL5782">
        <v>79.594847316355597</v>
      </c>
      <c r="AM5782">
        <v>96.516808849186006</v>
      </c>
      <c r="AN5782">
        <v>1.0000000089893299</v>
      </c>
    </row>
    <row r="5783" spans="1:40" x14ac:dyDescent="0.25">
      <c r="A5783" t="str">
        <f>"20190304154913329"</f>
        <v>20190304154913329</v>
      </c>
      <c r="B5783" t="str">
        <f>"1551685753323062"</f>
        <v>1551685753323062</v>
      </c>
      <c r="C5783" t="s">
        <v>40</v>
      </c>
      <c r="D5783">
        <v>4.0994219999999997</v>
      </c>
      <c r="E5783">
        <v>0.53652639999999996</v>
      </c>
      <c r="F5783" t="s">
        <v>68</v>
      </c>
      <c r="G5783">
        <v>-423.10120000000001</v>
      </c>
      <c r="H5783" s="1">
        <v>-7.4003750000000003E-6</v>
      </c>
      <c r="I5783">
        <v>25.949020000000001</v>
      </c>
      <c r="J5783">
        <v>-421.55680000000001</v>
      </c>
      <c r="K5783">
        <v>1.1109089999999999</v>
      </c>
      <c r="L5783">
        <v>98.37097</v>
      </c>
      <c r="M5783">
        <v>-3.660865E-2</v>
      </c>
      <c r="N5783">
        <v>-1.2272760000000001E-2</v>
      </c>
      <c r="O5783">
        <v>-0.99925450000000005</v>
      </c>
      <c r="P5783">
        <v>7.5559100000000004E-2</v>
      </c>
      <c r="Q5783">
        <v>0.16786139999999999</v>
      </c>
      <c r="R5783">
        <v>-0.98291079999999997</v>
      </c>
      <c r="S5783">
        <v>-6.5490720000000002E-2</v>
      </c>
      <c r="T5783">
        <v>-4.6902180000000002E-2</v>
      </c>
      <c r="U5783">
        <v>-3.0656129999999999</v>
      </c>
      <c r="V5783">
        <v>-0.1115304</v>
      </c>
      <c r="W5783">
        <v>0.17984739999999999</v>
      </c>
      <c r="X5783">
        <v>0.97735150000000004</v>
      </c>
      <c r="Y5783">
        <v>-1.5256749999999999E-2</v>
      </c>
      <c r="Z5783">
        <v>3.0119700000000001E-3</v>
      </c>
      <c r="AA5783">
        <v>0.99987910000000002</v>
      </c>
      <c r="AB5783">
        <v>25</v>
      </c>
      <c r="AC5783">
        <v>-1.54439999999999</v>
      </c>
      <c r="AD5783">
        <v>-1.1109164003749901</v>
      </c>
      <c r="AE5783">
        <v>-72.421949999999995</v>
      </c>
      <c r="AF5783">
        <v>-1.1078438626681799</v>
      </c>
      <c r="AG5783">
        <v>-1.1109164003749901</v>
      </c>
      <c r="AH5783">
        <v>72.412908346158105</v>
      </c>
      <c r="AI5783">
        <v>90.878826492871497</v>
      </c>
      <c r="AJ5783">
        <v>90.876498783942594</v>
      </c>
      <c r="AK5783">
        <v>72.429902308520099</v>
      </c>
      <c r="AL5783">
        <v>79.639128960860106</v>
      </c>
      <c r="AM5783">
        <v>96.510142621298598</v>
      </c>
      <c r="AN5783">
        <v>1.0000000359815799</v>
      </c>
    </row>
    <row r="5784" spans="1:40" x14ac:dyDescent="0.25">
      <c r="A5784" t="str">
        <f>"20190304154913345"</f>
        <v>20190304154913345</v>
      </c>
      <c r="B5784" t="str">
        <f>"1551685753332823"</f>
        <v>1551685753332823</v>
      </c>
      <c r="C5784" t="s">
        <v>40</v>
      </c>
      <c r="D5784">
        <v>4.3474240000000002</v>
      </c>
      <c r="E5784">
        <v>0.53640659999999996</v>
      </c>
      <c r="F5784" t="s">
        <v>68</v>
      </c>
      <c r="G5784">
        <v>-422.95800000000003</v>
      </c>
      <c r="H5784" s="1">
        <v>-4.8590980000000001E-6</v>
      </c>
      <c r="I5784">
        <v>31.65597</v>
      </c>
      <c r="J5784">
        <v>-421.56240000000003</v>
      </c>
      <c r="K5784">
        <v>1.110857</v>
      </c>
      <c r="L5784">
        <v>98.213040000000007</v>
      </c>
      <c r="M5784">
        <v>-3.6537840000000002E-2</v>
      </c>
      <c r="N5784">
        <v>-1.223724E-2</v>
      </c>
      <c r="O5784">
        <v>-0.99925730000000001</v>
      </c>
      <c r="P5784">
        <v>7.5549130000000006E-2</v>
      </c>
      <c r="Q5784">
        <v>0.16806989999999999</v>
      </c>
      <c r="R5784">
        <v>-0.98287579999999997</v>
      </c>
      <c r="S5784">
        <v>-6.4392089999999999E-2</v>
      </c>
      <c r="T5784">
        <v>-5.1051020000000003E-2</v>
      </c>
      <c r="U5784">
        <v>-3.0658259999999999</v>
      </c>
      <c r="V5784">
        <v>-0.1114301</v>
      </c>
      <c r="W5784">
        <v>0.1800331</v>
      </c>
      <c r="X5784">
        <v>0.97732870000000005</v>
      </c>
      <c r="Y5784">
        <v>-1.5545460000000001E-2</v>
      </c>
      <c r="Z5784">
        <v>4.3977189999999996E-3</v>
      </c>
      <c r="AA5784">
        <v>0.99986949999999997</v>
      </c>
      <c r="AB5784">
        <v>25</v>
      </c>
      <c r="AC5784">
        <v>-1.3956</v>
      </c>
      <c r="AD5784">
        <v>-1.1108618590979999</v>
      </c>
      <c r="AE5784">
        <v>-66.557069999999996</v>
      </c>
      <c r="AF5784">
        <v>-1.03707703638882</v>
      </c>
      <c r="AG5784">
        <v>-1.1108618590979999</v>
      </c>
      <c r="AH5784">
        <v>66.545088022042407</v>
      </c>
      <c r="AI5784">
        <v>90.956254789606106</v>
      </c>
      <c r="AJ5784">
        <v>90.892858196551799</v>
      </c>
      <c r="AK5784">
        <v>66.562438978081104</v>
      </c>
      <c r="AL5784">
        <v>79.628312061669405</v>
      </c>
      <c r="AM5784">
        <v>96.504488639967803</v>
      </c>
      <c r="AN5784">
        <v>0.99999998606265394</v>
      </c>
    </row>
    <row r="5785" spans="1:40" x14ac:dyDescent="0.25">
      <c r="A5785" t="str">
        <f>"20190304154913359"</f>
        <v>20190304154913359</v>
      </c>
      <c r="B5785" t="str">
        <f>"1551685753353319"</f>
        <v>1551685753353319</v>
      </c>
      <c r="C5785" t="s">
        <v>40</v>
      </c>
      <c r="D5785">
        <v>4.3495799999999996</v>
      </c>
      <c r="E5785">
        <v>0.53612329999999997</v>
      </c>
      <c r="F5785" t="s">
        <v>68</v>
      </c>
      <c r="G5785">
        <v>-422.92340000000002</v>
      </c>
      <c r="H5785" s="1">
        <v>-4.746506E-6</v>
      </c>
      <c r="I5785">
        <v>31.873000000000001</v>
      </c>
      <c r="J5785">
        <v>-421.56779999999998</v>
      </c>
      <c r="K5785">
        <v>1.1108129999999901</v>
      </c>
      <c r="L5785">
        <v>98.062290000000004</v>
      </c>
      <c r="M5785">
        <v>-3.6498290000000003E-2</v>
      </c>
      <c r="N5785">
        <v>-1.219923E-2</v>
      </c>
      <c r="O5785">
        <v>-0.99925909999999996</v>
      </c>
      <c r="P5785">
        <v>7.5203569999999997E-2</v>
      </c>
      <c r="Q5785">
        <v>0.16818569999999999</v>
      </c>
      <c r="R5785">
        <v>-0.98288240000000004</v>
      </c>
      <c r="S5785">
        <v>-6.2896729999999998E-2</v>
      </c>
      <c r="T5785">
        <v>-5.1338200000000001E-2</v>
      </c>
      <c r="U5785">
        <v>-3.065887</v>
      </c>
      <c r="V5785">
        <v>-0.1110289</v>
      </c>
      <c r="W5785">
        <v>0.1801227</v>
      </c>
      <c r="X5785">
        <v>0.9773579</v>
      </c>
      <c r="Y5785">
        <v>-1.5993690000000001E-2</v>
      </c>
      <c r="Z5785">
        <v>4.5288589999999997E-3</v>
      </c>
      <c r="AA5785">
        <v>0.99986180000000002</v>
      </c>
      <c r="AB5785">
        <v>25</v>
      </c>
      <c r="AC5785">
        <v>-1.3556000000000299</v>
      </c>
      <c r="AD5785">
        <v>-1.1108177465059901</v>
      </c>
      <c r="AE5785">
        <v>-66.18929</v>
      </c>
      <c r="AF5785">
        <v>-1.06098070021419</v>
      </c>
      <c r="AG5785">
        <v>-1.1108177465059901</v>
      </c>
      <c r="AH5785">
        <v>66.176032607403599</v>
      </c>
      <c r="AI5785">
        <v>90.961541717256594</v>
      </c>
      <c r="AJ5785">
        <v>90.918527540241996</v>
      </c>
      <c r="AK5785">
        <v>66.193858384055005</v>
      </c>
      <c r="AL5785">
        <v>79.623093545999197</v>
      </c>
      <c r="AM5785">
        <v>96.481077102545697</v>
      </c>
      <c r="AN5785">
        <v>1.0000000341914499</v>
      </c>
    </row>
    <row r="5786" spans="1:40" x14ac:dyDescent="0.25">
      <c r="A5786" t="str">
        <f>"20190304154913371"</f>
        <v>20190304154913371</v>
      </c>
      <c r="B5786" t="str">
        <f>"1551685753363079"</f>
        <v>1551685753363079</v>
      </c>
      <c r="C5786" t="s">
        <v>40</v>
      </c>
      <c r="D5786">
        <v>4.3525179999999999</v>
      </c>
      <c r="E5786">
        <v>0.53603120000000004</v>
      </c>
      <c r="F5786" t="s">
        <v>68</v>
      </c>
      <c r="G5786">
        <v>-422.8809</v>
      </c>
      <c r="H5786" s="1">
        <v>-4.1634930000000001E-6</v>
      </c>
      <c r="I5786">
        <v>33.012369999999997</v>
      </c>
      <c r="J5786">
        <v>-421.57319999999999</v>
      </c>
      <c r="K5786">
        <v>1.1107720000000001</v>
      </c>
      <c r="L5786">
        <v>97.911410000000004</v>
      </c>
      <c r="M5786">
        <v>-3.6483349999999998E-2</v>
      </c>
      <c r="N5786">
        <v>-1.2157309999999999E-2</v>
      </c>
      <c r="O5786">
        <v>-0.9992605</v>
      </c>
      <c r="P5786">
        <v>7.4976440000000005E-2</v>
      </c>
      <c r="Q5786">
        <v>0.168523799999999</v>
      </c>
      <c r="R5786">
        <v>-0.9828424</v>
      </c>
      <c r="S5786">
        <v>-6.1889649999999997E-2</v>
      </c>
      <c r="T5786">
        <v>-5.2355289999999999E-2</v>
      </c>
      <c r="U5786">
        <v>-3.0659480000000001</v>
      </c>
      <c r="V5786">
        <v>-0.1107704</v>
      </c>
      <c r="W5786">
        <v>0.18042900000000001</v>
      </c>
      <c r="X5786">
        <v>0.9773307</v>
      </c>
      <c r="Y5786">
        <v>-1.6307370000000002E-2</v>
      </c>
      <c r="Z5786">
        <v>4.9016479999999998E-3</v>
      </c>
      <c r="AA5786">
        <v>0.99985500000000005</v>
      </c>
      <c r="AB5786">
        <v>25</v>
      </c>
      <c r="AC5786">
        <v>-1.3077000000000101</v>
      </c>
      <c r="AD5786">
        <v>-1.11077616349299</v>
      </c>
      <c r="AE5786">
        <v>-64.899039999999999</v>
      </c>
      <c r="AF5786">
        <v>-1.06076903525096</v>
      </c>
      <c r="AG5786">
        <v>-1.11077616349299</v>
      </c>
      <c r="AH5786">
        <v>64.884541127569406</v>
      </c>
      <c r="AI5786">
        <v>90.980635263837996</v>
      </c>
      <c r="AJ5786">
        <v>90.936620245482004</v>
      </c>
      <c r="AK5786">
        <v>64.9027174467046</v>
      </c>
      <c r="AL5786">
        <v>79.605251182225999</v>
      </c>
      <c r="AM5786">
        <v>96.466294088384103</v>
      </c>
      <c r="AN5786">
        <v>1.00000000135982</v>
      </c>
    </row>
    <row r="5787" spans="1:40" x14ac:dyDescent="0.25">
      <c r="A5787" t="str">
        <f>"20190304154913385"</f>
        <v>20190304154913385</v>
      </c>
      <c r="B5787" t="str">
        <f>"1551685753372839"</f>
        <v>1551685753372839</v>
      </c>
      <c r="C5787" t="s">
        <v>40</v>
      </c>
      <c r="D5787">
        <v>4.6557149999999998</v>
      </c>
      <c r="E5787">
        <v>0.53608829999999996</v>
      </c>
      <c r="F5787" t="s">
        <v>68</v>
      </c>
      <c r="G5787">
        <v>-422.89179999999999</v>
      </c>
      <c r="H5787" s="1">
        <v>-4.4293699999999999E-6</v>
      </c>
      <c r="I5787">
        <v>32.491810000000001</v>
      </c>
      <c r="J5787">
        <v>-421.57859999999999</v>
      </c>
      <c r="K5787">
        <v>1.110738</v>
      </c>
      <c r="L5787">
        <v>97.766270000000006</v>
      </c>
      <c r="M5787">
        <v>-3.6502430000000002E-2</v>
      </c>
      <c r="N5787">
        <v>-1.2114130000000001E-2</v>
      </c>
      <c r="O5787">
        <v>-0.99926009999999998</v>
      </c>
      <c r="P5787">
        <v>7.4303279999999999E-2</v>
      </c>
      <c r="Q5787">
        <v>0.16855580000000001</v>
      </c>
      <c r="R5787">
        <v>-0.98288770000000003</v>
      </c>
      <c r="S5787">
        <v>-6.1798100000000002E-2</v>
      </c>
      <c r="T5787">
        <v>-5.205858E-2</v>
      </c>
      <c r="U5787">
        <v>-3.0660099999999999</v>
      </c>
      <c r="V5787">
        <v>-0.11010540000000001</v>
      </c>
      <c r="W5787">
        <v>0.18042710000000001</v>
      </c>
      <c r="X5787">
        <v>0.9774062</v>
      </c>
      <c r="Y5787">
        <v>-1.635671E-2</v>
      </c>
      <c r="Z5787">
        <v>4.8478169999999999E-3</v>
      </c>
      <c r="AA5787">
        <v>0.99985440000000003</v>
      </c>
      <c r="AB5787">
        <v>25</v>
      </c>
      <c r="AC5787">
        <v>-1.3131999999999899</v>
      </c>
      <c r="AD5787">
        <v>-1.1107424293699999</v>
      </c>
      <c r="AE5787">
        <v>-65.274459999999905</v>
      </c>
      <c r="AF5787">
        <v>-1.0702168688717899</v>
      </c>
      <c r="AG5787">
        <v>-1.1107424293699999</v>
      </c>
      <c r="AH5787">
        <v>65.260001775867593</v>
      </c>
      <c r="AI5787">
        <v>90.974964049056496</v>
      </c>
      <c r="AJ5787">
        <v>90.939525161020995</v>
      </c>
      <c r="AK5787">
        <v>65.278227186996006</v>
      </c>
      <c r="AL5787">
        <v>79.605361937377396</v>
      </c>
      <c r="AM5787">
        <v>96.427307786087397</v>
      </c>
      <c r="AN5787">
        <v>1.0000000086609999</v>
      </c>
    </row>
    <row r="5788" spans="1:40" x14ac:dyDescent="0.25">
      <c r="A5788" t="str">
        <f>"20190304154913400"</f>
        <v>20190304154913400</v>
      </c>
      <c r="B5788" t="str">
        <f>"1551685753393335"</f>
        <v>1551685753393335</v>
      </c>
      <c r="C5788" t="s">
        <v>40</v>
      </c>
      <c r="D5788">
        <v>4.3245469999999999</v>
      </c>
      <c r="E5788">
        <v>0.5358868</v>
      </c>
      <c r="F5788" t="s">
        <v>68</v>
      </c>
      <c r="G5788">
        <v>-422.9402</v>
      </c>
      <c r="H5788" s="1">
        <v>-4.11589E-6</v>
      </c>
      <c r="I5788">
        <v>33.112549999999999</v>
      </c>
      <c r="J5788">
        <v>-421.58420000000001</v>
      </c>
      <c r="K5788">
        <v>1.1107070000000001</v>
      </c>
      <c r="L5788">
        <v>97.612489999999994</v>
      </c>
      <c r="M5788">
        <v>-3.6540400000000001E-2</v>
      </c>
      <c r="N5788">
        <v>-1.206802E-2</v>
      </c>
      <c r="O5788">
        <v>-0.99925940000000002</v>
      </c>
      <c r="P5788">
        <v>7.3869130000000005E-2</v>
      </c>
      <c r="Q5788">
        <v>0.16826769999999999</v>
      </c>
      <c r="R5788">
        <v>-0.98296989999999995</v>
      </c>
      <c r="S5788">
        <v>-6.4575199999999999E-2</v>
      </c>
      <c r="T5788">
        <v>-5.2675720000000002E-2</v>
      </c>
      <c r="U5788">
        <v>-3.0661320000000001</v>
      </c>
      <c r="V5788">
        <v>-0.10969959999999999</v>
      </c>
      <c r="W5788">
        <v>0.18010199999999901</v>
      </c>
      <c r="X5788">
        <v>0.97751180000000004</v>
      </c>
      <c r="Y5788">
        <v>-1.5490429999999999E-2</v>
      </c>
      <c r="Z5788">
        <v>5.0943430000000003E-3</v>
      </c>
      <c r="AA5788">
        <v>0.99986699999999995</v>
      </c>
      <c r="AB5788">
        <v>25</v>
      </c>
      <c r="AC5788">
        <v>-1.3559999999999901</v>
      </c>
      <c r="AD5788">
        <v>-1.1107111158899901</v>
      </c>
      <c r="AE5788">
        <v>-64.499939999999995</v>
      </c>
      <c r="AF5788">
        <v>-1.00163383607409</v>
      </c>
      <c r="AG5788">
        <v>-1.1107111158899901</v>
      </c>
      <c r="AH5788">
        <v>64.487296918729399</v>
      </c>
      <c r="AI5788">
        <v>90.986629887443897</v>
      </c>
      <c r="AJ5788">
        <v>90.889861720777702</v>
      </c>
      <c r="AK5788">
        <v>64.504638696832401</v>
      </c>
      <c r="AL5788">
        <v>79.624299200161701</v>
      </c>
      <c r="AM5788">
        <v>96.403130649245597</v>
      </c>
      <c r="AN5788">
        <v>1.0000000258916899</v>
      </c>
    </row>
    <row r="5789" spans="1:40" x14ac:dyDescent="0.25">
      <c r="A5789" t="str">
        <f>"20190304154913413"</f>
        <v>20190304154913413</v>
      </c>
      <c r="B5789" t="str">
        <f>"1551685753403095"</f>
        <v>1551685753403095</v>
      </c>
      <c r="C5789" t="s">
        <v>40</v>
      </c>
      <c r="D5789">
        <v>4.3238839999999996</v>
      </c>
      <c r="E5789">
        <v>0.53580000000000005</v>
      </c>
      <c r="F5789" t="s">
        <v>68</v>
      </c>
      <c r="G5789">
        <v>-422.87630000000001</v>
      </c>
      <c r="H5789" s="1">
        <v>-2.8937560000000002E-6</v>
      </c>
      <c r="I5789">
        <v>35.700569999999999</v>
      </c>
      <c r="J5789">
        <v>-421.58980000000003</v>
      </c>
      <c r="K5789">
        <v>1.110676</v>
      </c>
      <c r="L5789">
        <v>97.458370000000002</v>
      </c>
      <c r="M5789">
        <v>-3.6596530000000002E-2</v>
      </c>
      <c r="N5789">
        <v>-1.2021270000000001E-2</v>
      </c>
      <c r="O5789">
        <v>-0.99925790000000003</v>
      </c>
      <c r="P5789">
        <v>7.3039300000000001E-2</v>
      </c>
      <c r="Q5789">
        <v>0.16798579999999999</v>
      </c>
      <c r="R5789">
        <v>-0.9830797</v>
      </c>
      <c r="S5789">
        <v>-6.3995360000000001E-2</v>
      </c>
      <c r="T5789">
        <v>-5.500853E-2</v>
      </c>
      <c r="U5789">
        <v>-3.0662229999999999</v>
      </c>
      <c r="V5789">
        <v>-0.10891919999999999</v>
      </c>
      <c r="W5789">
        <v>0.17978259999999999</v>
      </c>
      <c r="X5789">
        <v>0.97765780000000002</v>
      </c>
      <c r="Y5789">
        <v>-1.5736179999999999E-2</v>
      </c>
      <c r="Z5789">
        <v>5.900153E-3</v>
      </c>
      <c r="AA5789">
        <v>0.99985880000000005</v>
      </c>
      <c r="AB5789">
        <v>25</v>
      </c>
      <c r="AC5789">
        <v>-1.28649999999998</v>
      </c>
      <c r="AD5789">
        <v>-1.1106788937559999</v>
      </c>
      <c r="AE5789">
        <v>-61.757800000000003</v>
      </c>
      <c r="AF5789">
        <v>-0.97433123567302604</v>
      </c>
      <c r="AG5789">
        <v>-1.1106788937559999</v>
      </c>
      <c r="AH5789">
        <v>61.743547051344599</v>
      </c>
      <c r="AI5789">
        <v>91.030430448558107</v>
      </c>
      <c r="AJ5789">
        <v>90.904069124646995</v>
      </c>
      <c r="AK5789">
        <v>61.761221906981703</v>
      </c>
      <c r="AL5789">
        <v>79.642902604141298</v>
      </c>
      <c r="AM5789">
        <v>96.357011588791494</v>
      </c>
      <c r="AN5789">
        <v>0.99999997464611901</v>
      </c>
    </row>
    <row r="5790" spans="1:40" x14ac:dyDescent="0.25">
      <c r="A5790" t="str">
        <f>"20190304154913430"</f>
        <v>20190304154913430</v>
      </c>
      <c r="B5790" t="str">
        <f>"1551685753422614"</f>
        <v>1551685753422614</v>
      </c>
      <c r="C5790" t="s">
        <v>40</v>
      </c>
      <c r="D5790">
        <v>4.3386079999999998</v>
      </c>
      <c r="E5790">
        <v>0.53560730000000001</v>
      </c>
      <c r="F5790" t="s">
        <v>68</v>
      </c>
      <c r="G5790">
        <v>-422.88240000000002</v>
      </c>
      <c r="H5790" s="1">
        <v>-1.9285260000000001E-6</v>
      </c>
      <c r="I5790">
        <v>37.220460000000003</v>
      </c>
      <c r="J5790">
        <v>-421.59679999999997</v>
      </c>
      <c r="K5790">
        <v>1.110638</v>
      </c>
      <c r="L5790">
        <v>97.269289999999998</v>
      </c>
      <c r="M5790">
        <v>-3.6699219999999998E-2</v>
      </c>
      <c r="N5790">
        <v>-1.1961919999999999E-2</v>
      </c>
      <c r="O5790">
        <v>-0.99925509999999995</v>
      </c>
      <c r="P5790">
        <v>7.2076509999999996E-2</v>
      </c>
      <c r="Q5790">
        <v>0.16748929999999901</v>
      </c>
      <c r="R5790">
        <v>-0.983236</v>
      </c>
      <c r="S5790">
        <v>-6.5795899999999893E-2</v>
      </c>
      <c r="T5790">
        <v>-5.6535009999999997E-2</v>
      </c>
      <c r="U5790">
        <v>-3.0661930000000002</v>
      </c>
      <c r="V5790">
        <v>-0.1080518</v>
      </c>
      <c r="W5790">
        <v>0.17923710000000001</v>
      </c>
      <c r="X5790">
        <v>0.97785429999999995</v>
      </c>
      <c r="Y5790">
        <v>-1.525196E-2</v>
      </c>
      <c r="Z5790">
        <v>6.4567349999999999E-3</v>
      </c>
      <c r="AA5790">
        <v>0.99986280000000005</v>
      </c>
      <c r="AB5790">
        <v>25</v>
      </c>
      <c r="AC5790">
        <v>-1.28560000000004</v>
      </c>
      <c r="AD5790">
        <v>-1.110639928526</v>
      </c>
      <c r="AE5790">
        <v>-60.048830000000002</v>
      </c>
      <c r="AF5790">
        <v>-0.91885413446105402</v>
      </c>
      <c r="AG5790">
        <v>-1.110639928526</v>
      </c>
      <c r="AH5790">
        <v>60.0350287870953</v>
      </c>
      <c r="AI5790">
        <v>91.059719203857895</v>
      </c>
      <c r="AJ5790">
        <v>90.876860637594206</v>
      </c>
      <c r="AK5790">
        <v>60.052331307274102</v>
      </c>
      <c r="AL5790">
        <v>79.674674642247297</v>
      </c>
      <c r="AM5790">
        <v>96.305538659769098</v>
      </c>
      <c r="AN5790">
        <v>1.0000000807640601</v>
      </c>
    </row>
    <row r="5791" spans="1:40" x14ac:dyDescent="0.25">
      <c r="A5791" t="str">
        <f>"20190304154913445"</f>
        <v>20190304154913445</v>
      </c>
      <c r="B5791" t="str">
        <f>"1551685753433351"</f>
        <v>1551685753433351</v>
      </c>
      <c r="C5791" t="s">
        <v>40</v>
      </c>
      <c r="D5791">
        <v>4.3255119999999998</v>
      </c>
      <c r="E5791">
        <v>0.53551519999999897</v>
      </c>
      <c r="F5791" t="s">
        <v>44</v>
      </c>
      <c r="G5791">
        <v>-422.8546</v>
      </c>
      <c r="H5791" s="1">
        <v>-9.4027099999999996E-7</v>
      </c>
      <c r="I5791">
        <v>40.01041</v>
      </c>
      <c r="J5791">
        <v>-421.60239999999999</v>
      </c>
      <c r="K5791">
        <v>1.1106119999999999</v>
      </c>
      <c r="L5791">
        <v>97.118589999999998</v>
      </c>
      <c r="M5791">
        <v>-3.6806279999999997E-2</v>
      </c>
      <c r="N5791">
        <v>-1.191161E-2</v>
      </c>
      <c r="O5791">
        <v>-0.99925149999999996</v>
      </c>
      <c r="P5791">
        <v>7.174461E-2</v>
      </c>
      <c r="Q5791">
        <v>0.1670857</v>
      </c>
      <c r="R5791">
        <v>-0.9833286</v>
      </c>
      <c r="S5791">
        <v>-6.7352289999999995E-2</v>
      </c>
      <c r="T5791">
        <v>-5.9474949999999999E-2</v>
      </c>
      <c r="U5791">
        <v>-3.0662229999999999</v>
      </c>
      <c r="V5791">
        <v>-0.1078206</v>
      </c>
      <c r="W5791">
        <v>0.17879</v>
      </c>
      <c r="X5791">
        <v>0.97796159999999999</v>
      </c>
      <c r="Y5791">
        <v>-1.485216E-2</v>
      </c>
      <c r="Z5791">
        <v>7.4641219999999897E-3</v>
      </c>
      <c r="AA5791">
        <v>0.99986180000000002</v>
      </c>
      <c r="AB5791">
        <v>25</v>
      </c>
      <c r="AC5791">
        <v>-1.25220000000001</v>
      </c>
      <c r="AD5791">
        <v>-1.1106129402709899</v>
      </c>
      <c r="AE5791">
        <v>-57.108179999999997</v>
      </c>
      <c r="AF5791">
        <v>-0.85041574981380896</v>
      </c>
      <c r="AG5791">
        <v>-1.1106129402709899</v>
      </c>
      <c r="AH5791">
        <v>57.093988271357198</v>
      </c>
      <c r="AI5791">
        <v>91.114274140952205</v>
      </c>
      <c r="AJ5791">
        <v>90.853358327798304</v>
      </c>
      <c r="AK5791">
        <v>57.111121200520202</v>
      </c>
      <c r="AL5791">
        <v>79.700711529394297</v>
      </c>
      <c r="AM5791">
        <v>96.291470111905795</v>
      </c>
      <c r="AN5791">
        <v>1.00000001847945</v>
      </c>
    </row>
    <row r="5792" spans="1:40" x14ac:dyDescent="0.25">
      <c r="A5792" t="str">
        <f>"20190304154913458"</f>
        <v>20190304154913458</v>
      </c>
      <c r="B5792" t="str">
        <f>"1551685753452870"</f>
        <v>1551685753452870</v>
      </c>
      <c r="C5792" t="s">
        <v>40</v>
      </c>
      <c r="D5792">
        <v>4.3261719999999997</v>
      </c>
      <c r="E5792">
        <v>0.53536510000000004</v>
      </c>
      <c r="F5792" t="s">
        <v>44</v>
      </c>
      <c r="G5792">
        <v>-422.8193</v>
      </c>
      <c r="H5792" s="1">
        <v>-1.588103E-6</v>
      </c>
      <c r="I5792">
        <v>41.542380000000001</v>
      </c>
      <c r="J5792">
        <v>-421.60820000000001</v>
      </c>
      <c r="K5792">
        <v>1.110584</v>
      </c>
      <c r="L5792">
        <v>96.966830000000002</v>
      </c>
      <c r="M5792">
        <v>-3.6927500000000002E-2</v>
      </c>
      <c r="N5792">
        <v>-1.1859160000000001E-2</v>
      </c>
      <c r="O5792">
        <v>-0.99924769999999896</v>
      </c>
      <c r="P5792">
        <v>7.0874039999999999E-2</v>
      </c>
      <c r="Q5792">
        <v>0.1666282</v>
      </c>
      <c r="R5792">
        <v>-0.98346920000000004</v>
      </c>
      <c r="S5792">
        <v>-6.7138669999999998E-2</v>
      </c>
      <c r="T5792">
        <v>-6.1272979999999998E-2</v>
      </c>
      <c r="U5792">
        <v>-3.0661619999999998</v>
      </c>
      <c r="V5792">
        <v>-0.1070676</v>
      </c>
      <c r="W5792">
        <v>0.17828749999999999</v>
      </c>
      <c r="X5792">
        <v>0.97813609999999895</v>
      </c>
      <c r="Y5792">
        <v>-1.5042649999999999E-2</v>
      </c>
      <c r="Z5792">
        <v>8.1022560000000004E-3</v>
      </c>
      <c r="AA5792">
        <v>0.99985400000000002</v>
      </c>
      <c r="AB5792">
        <v>25</v>
      </c>
      <c r="AC5792">
        <v>-1.2110999999999801</v>
      </c>
      <c r="AD5792">
        <v>-1.110585588103</v>
      </c>
      <c r="AE5792">
        <v>-55.42445</v>
      </c>
      <c r="AF5792">
        <v>-0.83622061911317203</v>
      </c>
      <c r="AG5792">
        <v>-1.110585588103</v>
      </c>
      <c r="AH5792">
        <v>55.409131373564598</v>
      </c>
      <c r="AI5792">
        <v>91.148115917046098</v>
      </c>
      <c r="AJ5792">
        <v>90.864627797631101</v>
      </c>
      <c r="AK5792">
        <v>55.426568582632598</v>
      </c>
      <c r="AL5792">
        <v>79.729973305160101</v>
      </c>
      <c r="AM5792">
        <v>96.246774480600607</v>
      </c>
      <c r="AN5792">
        <v>1.0000000668746001</v>
      </c>
    </row>
    <row r="5793" spans="1:40" x14ac:dyDescent="0.25">
      <c r="A5793" t="str">
        <f>"20190304154913472"</f>
        <v>20190304154913472</v>
      </c>
      <c r="B5793" t="str">
        <f>"1551685753462630"</f>
        <v>1551685753462630</v>
      </c>
      <c r="C5793" t="s">
        <v>40</v>
      </c>
      <c r="D5793">
        <v>4.2992410000000003</v>
      </c>
      <c r="E5793">
        <v>0.53528969999999998</v>
      </c>
      <c r="F5793" t="s">
        <v>44</v>
      </c>
      <c r="G5793">
        <v>-422.8073</v>
      </c>
      <c r="H5793" s="1">
        <v>-2.4720589999999999E-6</v>
      </c>
      <c r="I5793">
        <v>43.610370000000003</v>
      </c>
      <c r="J5793">
        <v>-421.61410000000001</v>
      </c>
      <c r="K5793">
        <v>1.1105609999999999</v>
      </c>
      <c r="L5793">
        <v>96.809569999999994</v>
      </c>
      <c r="M5793">
        <v>-3.7067500000000003E-2</v>
      </c>
      <c r="N5793">
        <v>-1.1803060000000001E-2</v>
      </c>
      <c r="O5793">
        <v>-0.9992432</v>
      </c>
      <c r="P5793">
        <v>7.0687100000000003E-2</v>
      </c>
      <c r="Q5793">
        <v>0.16617750000000001</v>
      </c>
      <c r="R5793">
        <v>-0.98355919999999997</v>
      </c>
      <c r="S5793">
        <v>-6.8908689999999995E-2</v>
      </c>
      <c r="T5793">
        <v>-6.3821199999999995E-2</v>
      </c>
      <c r="U5793">
        <v>-3.0661930000000002</v>
      </c>
      <c r="V5793">
        <v>-0.1070144</v>
      </c>
      <c r="W5793">
        <v>0.17778679999999999</v>
      </c>
      <c r="X5793">
        <v>0.97823300000000002</v>
      </c>
      <c r="Y5793">
        <v>-1.460623E-2</v>
      </c>
      <c r="Z5793">
        <v>8.987755E-3</v>
      </c>
      <c r="AA5793">
        <v>0.99985299999999999</v>
      </c>
      <c r="AB5793">
        <v>25</v>
      </c>
      <c r="AC5793">
        <v>-1.19319999999999</v>
      </c>
      <c r="AD5793">
        <v>-1.1105634720590001</v>
      </c>
      <c r="AE5793">
        <v>-53.199199999999898</v>
      </c>
      <c r="AF5793">
        <v>-0.779379088586303</v>
      </c>
      <c r="AG5793">
        <v>-1.1105634720590001</v>
      </c>
      <c r="AH5793">
        <v>53.1837012943151</v>
      </c>
      <c r="AI5793">
        <v>91.196128207762101</v>
      </c>
      <c r="AJ5793">
        <v>90.839579328358198</v>
      </c>
      <c r="AK5793">
        <v>53.201004373527901</v>
      </c>
      <c r="AL5793">
        <v>79.759126532477794</v>
      </c>
      <c r="AM5793">
        <v>96.243081496826093</v>
      </c>
      <c r="AN5793">
        <v>1.0000000151752999</v>
      </c>
    </row>
    <row r="5794" spans="1:40" x14ac:dyDescent="0.25">
      <c r="A5794" t="str">
        <f>"20190304154913486"</f>
        <v>20190304154913486</v>
      </c>
      <c r="B5794" t="str">
        <f>"1551685753483126"</f>
        <v>1551685753483126</v>
      </c>
      <c r="C5794" t="s">
        <v>40</v>
      </c>
      <c r="D5794">
        <v>4.3117010000000002</v>
      </c>
      <c r="E5794">
        <v>0.53509289999999998</v>
      </c>
      <c r="F5794" t="s">
        <v>44</v>
      </c>
      <c r="G5794">
        <v>-422.77190000000002</v>
      </c>
      <c r="H5794" s="1">
        <v>-3.0956879999999999E-6</v>
      </c>
      <c r="I5794">
        <v>45.08605</v>
      </c>
      <c r="J5794">
        <v>-421.6198</v>
      </c>
      <c r="K5794">
        <v>1.110535</v>
      </c>
      <c r="L5794">
        <v>96.658690000000007</v>
      </c>
      <c r="M5794">
        <v>-3.7219040000000002E-2</v>
      </c>
      <c r="N5794">
        <v>-1.174994E-2</v>
      </c>
      <c r="O5794">
        <v>-0.99923799999999996</v>
      </c>
      <c r="P5794">
        <v>7.0049440000000004E-2</v>
      </c>
      <c r="Q5794">
        <v>0.16521479999999999</v>
      </c>
      <c r="R5794">
        <v>-0.98376669999999999</v>
      </c>
      <c r="S5794">
        <v>-6.8634029999999999E-2</v>
      </c>
      <c r="T5794">
        <v>-6.5835359999999996E-2</v>
      </c>
      <c r="U5794">
        <v>-3.0662229999999999</v>
      </c>
      <c r="V5794">
        <v>-0.106528399999999</v>
      </c>
      <c r="W5794">
        <v>0.176778399999999</v>
      </c>
      <c r="X5794">
        <v>0.97846880000000003</v>
      </c>
      <c r="Y5794">
        <v>-1.484766E-2</v>
      </c>
      <c r="Z5794">
        <v>9.6962130000000004E-3</v>
      </c>
      <c r="AA5794">
        <v>0.99984280000000003</v>
      </c>
      <c r="AB5794">
        <v>25</v>
      </c>
      <c r="AC5794">
        <v>-1.1521000000000099</v>
      </c>
      <c r="AD5794">
        <v>-1.110538095688</v>
      </c>
      <c r="AE5794">
        <v>-51.57264</v>
      </c>
      <c r="AF5794">
        <v>-0.76795921146830703</v>
      </c>
      <c r="AG5794">
        <v>-1.110538095688</v>
      </c>
      <c r="AH5794">
        <v>51.555890968847997</v>
      </c>
      <c r="AI5794">
        <v>91.233850326023699</v>
      </c>
      <c r="AJ5794">
        <v>90.853395547031496</v>
      </c>
      <c r="AK5794">
        <v>51.573568325298197</v>
      </c>
      <c r="AL5794">
        <v>79.817833851945494</v>
      </c>
      <c r="AM5794">
        <v>96.213465244771996</v>
      </c>
      <c r="AN5794">
        <v>1.00000004764327</v>
      </c>
    </row>
    <row r="5795" spans="1:40" x14ac:dyDescent="0.25">
      <c r="A5795" t="str">
        <f>"20190304154913521"</f>
        <v>20190304154913521</v>
      </c>
      <c r="B5795" t="str">
        <f>"1551685753513386"</f>
        <v>1551685753513386</v>
      </c>
      <c r="C5795" t="s">
        <v>40</v>
      </c>
      <c r="D5795">
        <v>4.5419530000000004</v>
      </c>
      <c r="E5795">
        <v>0.53491519999999904</v>
      </c>
      <c r="F5795" t="s">
        <v>44</v>
      </c>
      <c r="G5795">
        <v>-422.70359999999999</v>
      </c>
      <c r="H5795" s="1">
        <v>-4.2222629999999998E-6</v>
      </c>
      <c r="I5795">
        <v>47.984859999999998</v>
      </c>
      <c r="J5795">
        <v>-421.63420000000002</v>
      </c>
      <c r="K5795">
        <v>1.1104860000000001</v>
      </c>
      <c r="L5795">
        <v>96.284360000000007</v>
      </c>
      <c r="M5795">
        <v>-3.7626369999999999E-2</v>
      </c>
      <c r="N5795">
        <v>-1.162084E-2</v>
      </c>
      <c r="O5795">
        <v>-0.99922440000000001</v>
      </c>
      <c r="P5795">
        <v>6.8270299999999895E-2</v>
      </c>
      <c r="Q5795">
        <v>0.16366059999999999</v>
      </c>
      <c r="R5795">
        <v>-0.98415149999999996</v>
      </c>
      <c r="S5795">
        <v>-6.8267820000000007E-2</v>
      </c>
      <c r="T5795">
        <v>-6.9956660000000004E-2</v>
      </c>
      <c r="U5795">
        <v>-3.0661320000000001</v>
      </c>
      <c r="V5795">
        <v>-0.10515679999999999</v>
      </c>
      <c r="W5795">
        <v>0.17510729999999999</v>
      </c>
      <c r="X5795">
        <v>0.9789175</v>
      </c>
      <c r="Y5795">
        <v>-1.537405E-2</v>
      </c>
      <c r="Z5795">
        <v>1.1167120000000001E-2</v>
      </c>
      <c r="AA5795">
        <v>0.99981949999999997</v>
      </c>
      <c r="AB5795">
        <v>25</v>
      </c>
      <c r="AC5795">
        <v>-1.0693999999999699</v>
      </c>
      <c r="AD5795">
        <v>-1.110490222263</v>
      </c>
      <c r="AE5795">
        <v>-48.299500000000002</v>
      </c>
      <c r="AF5795">
        <v>-0.74841934062077597</v>
      </c>
      <c r="AG5795">
        <v>-1.110490222263</v>
      </c>
      <c r="AH5795">
        <v>48.280024454901103</v>
      </c>
      <c r="AI5795">
        <v>91.317471302663805</v>
      </c>
      <c r="AJ5795">
        <v>90.888107156179998</v>
      </c>
      <c r="AK5795">
        <v>48.298592954754</v>
      </c>
      <c r="AL5795">
        <v>79.915097590534202</v>
      </c>
      <c r="AM5795">
        <v>96.131287764355207</v>
      </c>
      <c r="AN5795">
        <v>0.99999999545288998</v>
      </c>
    </row>
    <row r="5796" spans="1:40" x14ac:dyDescent="0.25">
      <c r="A5796" t="str">
        <f>"20190304154913542"</f>
        <v>20190304154913542</v>
      </c>
      <c r="B5796" t="str">
        <f>"1551685753532906"</f>
        <v>1551685753532906</v>
      </c>
      <c r="C5796" t="s">
        <v>40</v>
      </c>
      <c r="D5796">
        <v>4.4393060000000002</v>
      </c>
      <c r="E5796">
        <v>0.53604739999999995</v>
      </c>
      <c r="F5796" t="s">
        <v>44</v>
      </c>
      <c r="G5796">
        <v>-422.69990000000001</v>
      </c>
      <c r="H5796" s="1">
        <v>-1.4771629999999901E-6</v>
      </c>
      <c r="I5796">
        <v>51.357860000000002</v>
      </c>
      <c r="J5796">
        <v>-421.6438</v>
      </c>
      <c r="K5796">
        <v>1.1104700000000001</v>
      </c>
      <c r="L5796">
        <v>96.03931</v>
      </c>
      <c r="M5796">
        <v>-3.790934E-2</v>
      </c>
      <c r="N5796">
        <v>-1.1541259999999999E-2</v>
      </c>
      <c r="O5796">
        <v>-0.99921459999999995</v>
      </c>
      <c r="P5796">
        <v>6.7220650000000007E-2</v>
      </c>
      <c r="Q5796">
        <v>0.1622922</v>
      </c>
      <c r="R5796">
        <v>-0.98445050000000001</v>
      </c>
      <c r="S5796">
        <v>-7.2723389999999999E-2</v>
      </c>
      <c r="T5796">
        <v>-7.5783729999999994E-2</v>
      </c>
      <c r="U5796">
        <v>-3.0659480000000001</v>
      </c>
      <c r="V5796">
        <v>-0.1043959</v>
      </c>
      <c r="W5796">
        <v>0.17366489999999901</v>
      </c>
      <c r="X5796">
        <v>0.97925589999999996</v>
      </c>
      <c r="Y5796">
        <v>-1.420429E-2</v>
      </c>
      <c r="Z5796">
        <v>1.314477E-2</v>
      </c>
      <c r="AA5796">
        <v>0.9998127</v>
      </c>
      <c r="AB5796">
        <v>25</v>
      </c>
      <c r="AC5796">
        <v>-1.05610000000001</v>
      </c>
      <c r="AD5796">
        <v>-1.110471477163</v>
      </c>
      <c r="AE5796">
        <v>-44.681449999999998</v>
      </c>
      <c r="AF5796">
        <v>-0.638222236801541</v>
      </c>
      <c r="AG5796">
        <v>-1.110471477163</v>
      </c>
      <c r="AH5796">
        <v>44.6617955503921</v>
      </c>
      <c r="AI5796">
        <v>91.424164213471101</v>
      </c>
      <c r="AJ5796">
        <v>90.818707606810094</v>
      </c>
      <c r="AK5796">
        <v>44.6801572995236</v>
      </c>
      <c r="AL5796">
        <v>79.999027700653102</v>
      </c>
      <c r="AM5796">
        <v>96.085169133172798</v>
      </c>
      <c r="AN5796">
        <v>1.0000000595568099</v>
      </c>
    </row>
    <row r="5797" spans="1:40" x14ac:dyDescent="0.25">
      <c r="A5797" t="str">
        <f>"20190304154913564"</f>
        <v>20190304154913564</v>
      </c>
      <c r="B5797" t="str">
        <f>"1551685753553399"</f>
        <v>1551685753553399</v>
      </c>
      <c r="C5797" t="s">
        <v>40</v>
      </c>
      <c r="D5797">
        <v>4.6144499999999997</v>
      </c>
      <c r="E5797">
        <v>0.63311930000000005</v>
      </c>
      <c r="F5797" t="s">
        <v>44</v>
      </c>
      <c r="G5797">
        <v>-422.83409999999998</v>
      </c>
      <c r="H5797" s="1">
        <v>-2.192085E-6</v>
      </c>
      <c r="I5797">
        <v>52.941090000000003</v>
      </c>
      <c r="J5797">
        <v>-421.65320000000003</v>
      </c>
      <c r="K5797">
        <v>1.1104689999999999</v>
      </c>
      <c r="L5797">
        <v>95.799679999999995</v>
      </c>
      <c r="M5797">
        <v>-3.8190540000000002E-2</v>
      </c>
      <c r="N5797">
        <v>-1.147016E-2</v>
      </c>
      <c r="O5797">
        <v>-0.9992046</v>
      </c>
      <c r="P5797">
        <v>6.5652420000000003E-2</v>
      </c>
      <c r="Q5797">
        <v>0.1610704</v>
      </c>
      <c r="R5797">
        <v>-0.98475659999999998</v>
      </c>
      <c r="S5797">
        <v>-8.4686280000000003E-2</v>
      </c>
      <c r="T5797">
        <v>-7.9003809999999994E-2</v>
      </c>
      <c r="U5797">
        <v>-3.0661930000000002</v>
      </c>
      <c r="V5797">
        <v>-0.1031181</v>
      </c>
      <c r="W5797">
        <v>0.17237620000000001</v>
      </c>
      <c r="X5797">
        <v>0.97961880000000001</v>
      </c>
      <c r="Y5797">
        <v>-1.059036E-2</v>
      </c>
      <c r="Z5797">
        <v>1.426174E-2</v>
      </c>
      <c r="AA5797">
        <v>0.99984220000000001</v>
      </c>
      <c r="AB5797">
        <v>25</v>
      </c>
      <c r="AC5797">
        <v>-1.1808999999999501</v>
      </c>
      <c r="AD5797">
        <v>-1.1104711920849999</v>
      </c>
      <c r="AE5797">
        <v>-42.85859</v>
      </c>
      <c r="AF5797">
        <v>-0.45655578848907302</v>
      </c>
      <c r="AG5797">
        <v>-1.1104711920849999</v>
      </c>
      <c r="AH5797">
        <v>42.843681043199901</v>
      </c>
      <c r="AI5797">
        <v>91.484640420412305</v>
      </c>
      <c r="AJ5797">
        <v>90.610538801851405</v>
      </c>
      <c r="AK5797">
        <v>42.860501569485798</v>
      </c>
      <c r="AL5797">
        <v>80.073994272329102</v>
      </c>
      <c r="AM5797">
        <v>96.009025138297801</v>
      </c>
      <c r="AN5797">
        <v>0.99999994509374301</v>
      </c>
    </row>
    <row r="5798" spans="1:40" x14ac:dyDescent="0.25">
      <c r="A5798" t="str">
        <f>"20190304154913586"</f>
        <v>20190304154913586</v>
      </c>
      <c r="B5798" t="str">
        <f>"1551685753582679"</f>
        <v>1551685753582679</v>
      </c>
      <c r="C5798" t="s">
        <v>40</v>
      </c>
      <c r="D5798">
        <v>4.7430709999999996</v>
      </c>
      <c r="E5798">
        <v>0.63344840000000002</v>
      </c>
      <c r="F5798" t="s">
        <v>41</v>
      </c>
      <c r="G5798">
        <v>-421.87020000000001</v>
      </c>
      <c r="H5798">
        <v>1.0113810000000001</v>
      </c>
      <c r="I5798">
        <v>95.003270000000001</v>
      </c>
      <c r="J5798">
        <v>-421.66309999999999</v>
      </c>
      <c r="K5798">
        <v>1.1104639999999999</v>
      </c>
      <c r="L5798">
        <v>95.548069999999996</v>
      </c>
      <c r="M5798">
        <v>-3.8484579999999997E-2</v>
      </c>
      <c r="N5798">
        <v>-1.139952E-2</v>
      </c>
      <c r="O5798">
        <v>-0.99919429999999998</v>
      </c>
      <c r="P5798">
        <v>6.4031149999999995E-2</v>
      </c>
      <c r="Q5798">
        <v>0.16115789999999999</v>
      </c>
      <c r="R5798">
        <v>-0.98484950000000004</v>
      </c>
      <c r="S5798">
        <v>-0.86202999999999996</v>
      </c>
      <c r="T5798">
        <v>-0.39422069999999998</v>
      </c>
      <c r="U5798">
        <v>-3.168396</v>
      </c>
      <c r="V5798">
        <v>-0.10179299999999999</v>
      </c>
      <c r="W5798">
        <v>0.17239399999999999</v>
      </c>
      <c r="X5798">
        <v>0.97975429999999997</v>
      </c>
      <c r="Y5798">
        <v>0.22348770000000001</v>
      </c>
      <c r="Z5798">
        <v>0.1083688</v>
      </c>
      <c r="AA5798">
        <v>0.96866379999999996</v>
      </c>
      <c r="AB5798">
        <v>25</v>
      </c>
      <c r="AC5798">
        <v>-0.20710000000002499</v>
      </c>
      <c r="AD5798">
        <v>-9.9083000000000004E-2</v>
      </c>
      <c r="AE5798">
        <v>-0.54479999999999495</v>
      </c>
      <c r="AF5798">
        <v>0.18075488592043701</v>
      </c>
      <c r="AG5798">
        <v>-9.9083000000000004E-2</v>
      </c>
      <c r="AH5798">
        <v>0.53685172347160703</v>
      </c>
      <c r="AI5798">
        <v>99.921505376555601</v>
      </c>
      <c r="AJ5798">
        <v>71.391916802869403</v>
      </c>
      <c r="AK5798">
        <v>0.57506481605776005</v>
      </c>
      <c r="AL5798">
        <v>80.0729594303738</v>
      </c>
      <c r="AM5798">
        <v>95.931546911271298</v>
      </c>
      <c r="AN5798">
        <v>0.99999999722674404</v>
      </c>
    </row>
    <row r="5799" spans="1:40" x14ac:dyDescent="0.25">
      <c r="A5799" t="str">
        <f>"20190304154913610"</f>
        <v>20190304154913610</v>
      </c>
      <c r="B5799" t="str">
        <f>"1551685753603174"</f>
        <v>1551685753603174</v>
      </c>
      <c r="C5799" t="s">
        <v>40</v>
      </c>
      <c r="D5799">
        <v>4.601032</v>
      </c>
      <c r="E5799">
        <v>0.63731179999999998</v>
      </c>
      <c r="F5799" t="s">
        <v>41</v>
      </c>
      <c r="G5799">
        <v>-421.87110000000001</v>
      </c>
      <c r="H5799">
        <v>1.002847</v>
      </c>
      <c r="I5799">
        <v>94.789159999999995</v>
      </c>
      <c r="J5799">
        <v>-421.673</v>
      </c>
      <c r="K5799">
        <v>1.1104590000000001</v>
      </c>
      <c r="L5799">
        <v>95.29871</v>
      </c>
      <c r="M5799">
        <v>-3.8770850000000003E-2</v>
      </c>
      <c r="N5799">
        <v>-1.133136E-2</v>
      </c>
      <c r="O5799">
        <v>-0.99918410000000002</v>
      </c>
      <c r="P5799">
        <v>6.267839E-2</v>
      </c>
      <c r="Q5799">
        <v>0.16153580000000001</v>
      </c>
      <c r="R5799">
        <v>-0.98487449999999999</v>
      </c>
      <c r="S5799">
        <v>-0.87042240000000004</v>
      </c>
      <c r="T5799">
        <v>-0.45044729999999999</v>
      </c>
      <c r="U5799">
        <v>-3.1764830000000002</v>
      </c>
      <c r="V5799">
        <v>-0.10072589999999999</v>
      </c>
      <c r="W5799">
        <v>0.1727031</v>
      </c>
      <c r="X5799">
        <v>0.97981019999999996</v>
      </c>
      <c r="Y5799">
        <v>0.22443479999999999</v>
      </c>
      <c r="Z5799">
        <v>0.1248266</v>
      </c>
      <c r="AA5799">
        <v>0.96646120000000002</v>
      </c>
      <c r="AB5799">
        <v>25</v>
      </c>
      <c r="AC5799">
        <v>-0.19810000000000999</v>
      </c>
      <c r="AD5799">
        <v>-0.107612</v>
      </c>
      <c r="AE5799">
        <v>-0.50955000000000406</v>
      </c>
      <c r="AF5799">
        <v>0.17154744950689799</v>
      </c>
      <c r="AG5799">
        <v>-0.107612</v>
      </c>
      <c r="AH5799">
        <v>0.49756942013261501</v>
      </c>
      <c r="AI5799">
        <v>101.555675568086</v>
      </c>
      <c r="AJ5799">
        <v>70.977297491266995</v>
      </c>
      <c r="AK5799">
        <v>0.537200333048509</v>
      </c>
      <c r="AL5799">
        <v>80.054980134553901</v>
      </c>
      <c r="AM5799">
        <v>95.869470165940498</v>
      </c>
      <c r="AN5799">
        <v>1.00000004785222</v>
      </c>
    </row>
    <row r="5800" spans="1:40" x14ac:dyDescent="0.25">
      <c r="A5800" t="str">
        <f>"20190304154913631"</f>
        <v>20190304154913631</v>
      </c>
      <c r="B5800" t="str">
        <f>"1551685753622698"</f>
        <v>1551685753622698</v>
      </c>
      <c r="C5800" t="s">
        <v>40</v>
      </c>
      <c r="D5800">
        <v>4.53071</v>
      </c>
      <c r="E5800">
        <v>0.64009819999999995</v>
      </c>
      <c r="F5800" t="s">
        <v>41</v>
      </c>
      <c r="G5800">
        <v>-421.88220000000001</v>
      </c>
      <c r="H5800">
        <v>1.006745</v>
      </c>
      <c r="I5800">
        <v>94.565749999999994</v>
      </c>
      <c r="J5800">
        <v>-421.68290000000002</v>
      </c>
      <c r="K5800">
        <v>1.1104560000000001</v>
      </c>
      <c r="L5800">
        <v>95.052639999999997</v>
      </c>
      <c r="M5800">
        <v>-3.9046459999999998E-2</v>
      </c>
      <c r="N5800">
        <v>-1.1264349999999999E-2</v>
      </c>
      <c r="O5800">
        <v>-0.99917409999999995</v>
      </c>
      <c r="P5800">
        <v>6.1428530000000002E-2</v>
      </c>
      <c r="Q5800">
        <v>0.16157650000000001</v>
      </c>
      <c r="R5800">
        <v>-0.9849464</v>
      </c>
      <c r="S5800">
        <v>-0.90567019999999998</v>
      </c>
      <c r="T5800">
        <v>-0.4496096</v>
      </c>
      <c r="U5800">
        <v>-3.17746</v>
      </c>
      <c r="V5800">
        <v>-9.9753610000000006E-2</v>
      </c>
      <c r="W5800">
        <v>0.1726772</v>
      </c>
      <c r="X5800">
        <v>0.97991419999999996</v>
      </c>
      <c r="Y5800">
        <v>0.23403750000000001</v>
      </c>
      <c r="Z5800">
        <v>0.1242548</v>
      </c>
      <c r="AA5800">
        <v>0.96425470000000002</v>
      </c>
      <c r="AB5800">
        <v>25</v>
      </c>
      <c r="AC5800">
        <v>-0.19929999999999301</v>
      </c>
      <c r="AD5800">
        <v>-0.103710999999999</v>
      </c>
      <c r="AE5800">
        <v>-0.48689000000000199</v>
      </c>
      <c r="AF5800">
        <v>0.173397117538034</v>
      </c>
      <c r="AG5800">
        <v>-0.103710999999999</v>
      </c>
      <c r="AH5800">
        <v>0.47581073617172698</v>
      </c>
      <c r="AI5800">
        <v>101.573688066343</v>
      </c>
      <c r="AJ5800">
        <v>69.977017519835002</v>
      </c>
      <c r="AK5800">
        <v>0.51693170588364901</v>
      </c>
      <c r="AL5800">
        <v>80.056486437487905</v>
      </c>
      <c r="AM5800">
        <v>95.812590316803295</v>
      </c>
      <c r="AN5800">
        <v>1.00000001873475</v>
      </c>
    </row>
    <row r="5801" spans="1:40" x14ac:dyDescent="0.25">
      <c r="A5801" t="str">
        <f>"20190304154913653"</f>
        <v>20190304154913653</v>
      </c>
      <c r="B5801" t="str">
        <f>"1551685753643190"</f>
        <v>1551685753643190</v>
      </c>
      <c r="C5801" t="s">
        <v>40</v>
      </c>
      <c r="D5801">
        <v>5.0341899999999997</v>
      </c>
      <c r="E5801">
        <v>0.64145580000000002</v>
      </c>
      <c r="F5801" t="s">
        <v>41</v>
      </c>
      <c r="G5801">
        <v>-421.89240000000001</v>
      </c>
      <c r="H5801">
        <v>1.012381</v>
      </c>
      <c r="I5801">
        <v>94.339740000000006</v>
      </c>
      <c r="J5801">
        <v>-421.6925</v>
      </c>
      <c r="K5801">
        <v>1.1104449999999999</v>
      </c>
      <c r="L5801">
        <v>94.81317</v>
      </c>
      <c r="M5801">
        <v>-3.9308280000000001E-2</v>
      </c>
      <c r="N5801">
        <v>-1.119057E-2</v>
      </c>
      <c r="O5801">
        <v>-0.99916479999999996</v>
      </c>
      <c r="P5801">
        <v>5.9996819999999999E-2</v>
      </c>
      <c r="Q5801">
        <v>0.16162089999999901</v>
      </c>
      <c r="R5801">
        <v>-0.98502800000000001</v>
      </c>
      <c r="S5801">
        <v>-0.93310550000000003</v>
      </c>
      <c r="T5801">
        <v>-0.43689109999999998</v>
      </c>
      <c r="U5801">
        <v>-3.1757200000000001</v>
      </c>
      <c r="V5801">
        <v>-9.8584959999999999E-2</v>
      </c>
      <c r="W5801">
        <v>0.1726491</v>
      </c>
      <c r="X5801">
        <v>0.98003739999999995</v>
      </c>
      <c r="Y5801">
        <v>0.24173710000000001</v>
      </c>
      <c r="Z5801">
        <v>0.1203523</v>
      </c>
      <c r="AA5801">
        <v>0.96284910000000001</v>
      </c>
      <c r="AB5801">
        <v>25</v>
      </c>
      <c r="AC5801">
        <v>-0.19990000000001301</v>
      </c>
      <c r="AD5801">
        <v>-9.8064000000000096E-2</v>
      </c>
      <c r="AE5801">
        <v>-0.47342999999999302</v>
      </c>
      <c r="AF5801">
        <v>0.17477066761917101</v>
      </c>
      <c r="AG5801">
        <v>-9.8064000000000096E-2</v>
      </c>
      <c r="AH5801">
        <v>0.46402566549261398</v>
      </c>
      <c r="AI5801">
        <v>101.187054337828</v>
      </c>
      <c r="AJ5801">
        <v>69.361614458021407</v>
      </c>
      <c r="AK5801">
        <v>0.50545143445430496</v>
      </c>
      <c r="AL5801">
        <v>80.058120867876994</v>
      </c>
      <c r="AM5801">
        <v>95.744234502491906</v>
      </c>
      <c r="AN5801">
        <v>1.00000000573388</v>
      </c>
    </row>
    <row r="5802" spans="1:40" x14ac:dyDescent="0.25">
      <c r="A5802" t="str">
        <f>"20190304154913676"</f>
        <v>20190304154913676</v>
      </c>
      <c r="B5802" t="str">
        <f>"1551685753673447"</f>
        <v>1551685753673447</v>
      </c>
      <c r="C5802" t="s">
        <v>40</v>
      </c>
      <c r="D5802">
        <v>4.4838089999999999</v>
      </c>
      <c r="E5802">
        <v>0.64403929999999998</v>
      </c>
      <c r="F5802" t="s">
        <v>44</v>
      </c>
      <c r="G5802">
        <v>-424.21559999999999</v>
      </c>
      <c r="H5802" s="1">
        <v>-3.9394720000000002E-6</v>
      </c>
      <c r="I5802">
        <v>86.365719999999996</v>
      </c>
      <c r="J5802">
        <v>-421.7029</v>
      </c>
      <c r="K5802">
        <v>1.110439</v>
      </c>
      <c r="L5802">
        <v>94.557280000000006</v>
      </c>
      <c r="M5802">
        <v>-3.9583920000000002E-2</v>
      </c>
      <c r="N5802">
        <v>-1.110329E-2</v>
      </c>
      <c r="O5802">
        <v>-0.99915469999999895</v>
      </c>
      <c r="P5802">
        <v>5.9315710000000001E-2</v>
      </c>
      <c r="Q5802">
        <v>0.1609961</v>
      </c>
      <c r="R5802">
        <v>-0.98517129999999997</v>
      </c>
      <c r="S5802">
        <v>-0.94732669999999997</v>
      </c>
      <c r="T5802">
        <v>-0.41693469999999999</v>
      </c>
      <c r="U5802">
        <v>-3.1717219999999999</v>
      </c>
      <c r="V5802">
        <v>-9.8182809999999995E-2</v>
      </c>
      <c r="W5802">
        <v>0.17193889999999901</v>
      </c>
      <c r="X5802">
        <v>0.98020260000000003</v>
      </c>
      <c r="Y5802">
        <v>0.2459674</v>
      </c>
      <c r="Z5802">
        <v>0.11453199999999999</v>
      </c>
      <c r="AA5802">
        <v>0.9624876</v>
      </c>
      <c r="AB5802">
        <v>25</v>
      </c>
      <c r="AC5802">
        <v>-2.5126999999999899</v>
      </c>
      <c r="AD5802">
        <v>-1.1104429394719999</v>
      </c>
      <c r="AE5802">
        <v>-8.1915600000000097</v>
      </c>
      <c r="AF5802">
        <v>2.1503393333060798</v>
      </c>
      <c r="AG5802">
        <v>-1.1104429394719999</v>
      </c>
      <c r="AH5802">
        <v>8.1477579759247103</v>
      </c>
      <c r="AI5802">
        <v>97.5069626239748</v>
      </c>
      <c r="AJ5802">
        <v>75.215718927961404</v>
      </c>
      <c r="AK5802">
        <v>8.4995883902946296</v>
      </c>
      <c r="AL5802">
        <v>80.099429962434897</v>
      </c>
      <c r="AM5802">
        <v>95.720000442996806</v>
      </c>
      <c r="AN5802">
        <v>0.99999999327973299</v>
      </c>
    </row>
    <row r="5803" spans="1:40" x14ac:dyDescent="0.25">
      <c r="A5803" t="str">
        <f>"20190304154913699"</f>
        <v>20190304154913699</v>
      </c>
      <c r="B5803" t="str">
        <f>"1551685753692967"</f>
        <v>1551685753692967</v>
      </c>
      <c r="C5803" t="s">
        <v>40</v>
      </c>
      <c r="D5803">
        <v>4.3872439999999999</v>
      </c>
      <c r="E5803">
        <v>0.64687499999999998</v>
      </c>
      <c r="F5803" t="s">
        <v>44</v>
      </c>
      <c r="G5803">
        <v>-424.4008</v>
      </c>
      <c r="H5803" s="1">
        <v>-3.7634549999999999E-6</v>
      </c>
      <c r="I5803">
        <v>85.751959999999997</v>
      </c>
      <c r="J5803">
        <v>-421.71339999999998</v>
      </c>
      <c r="K5803">
        <v>1.1104210000000001</v>
      </c>
      <c r="L5803">
        <v>94.299679999999995</v>
      </c>
      <c r="M5803">
        <v>-3.9859510000000001E-2</v>
      </c>
      <c r="N5803">
        <v>-1.1014599999999999E-2</v>
      </c>
      <c r="O5803">
        <v>-0.9991447</v>
      </c>
      <c r="P5803">
        <v>5.8675669999999999E-2</v>
      </c>
      <c r="Q5803">
        <v>0.16050500000000001</v>
      </c>
      <c r="R5803">
        <v>-0.98528959999999999</v>
      </c>
      <c r="S5803">
        <v>-0.97091669999999997</v>
      </c>
      <c r="T5803">
        <v>-0.39963330000000002</v>
      </c>
      <c r="U5803">
        <v>-3.1689150000000001</v>
      </c>
      <c r="V5803">
        <v>-9.7820740000000003E-2</v>
      </c>
      <c r="W5803">
        <v>0.17136109999999999</v>
      </c>
      <c r="X5803">
        <v>0.98033999999999999</v>
      </c>
      <c r="Y5803">
        <v>0.25266680000000002</v>
      </c>
      <c r="Z5803">
        <v>0.1093548</v>
      </c>
      <c r="AA5803">
        <v>0.96135380000000004</v>
      </c>
      <c r="AB5803">
        <v>25</v>
      </c>
      <c r="AC5803">
        <v>-2.6874000000000202</v>
      </c>
      <c r="AD5803">
        <v>-1.110424763455</v>
      </c>
      <c r="AE5803">
        <v>-8.5477200000000106</v>
      </c>
      <c r="AF5803">
        <v>2.3090722850987699</v>
      </c>
      <c r="AG5803">
        <v>-1.110424763455</v>
      </c>
      <c r="AH5803">
        <v>8.5172416526982904</v>
      </c>
      <c r="AI5803">
        <v>97.171922008441499</v>
      </c>
      <c r="AJ5803">
        <v>74.831396913376693</v>
      </c>
      <c r="AK5803">
        <v>8.8942826210754102</v>
      </c>
      <c r="AL5803">
        <v>80.1330344822222</v>
      </c>
      <c r="AM5803">
        <v>95.698252338247798</v>
      </c>
      <c r="AN5803">
        <v>1.00000001968367</v>
      </c>
    </row>
    <row r="5804" spans="1:40" x14ac:dyDescent="0.25">
      <c r="A5804" t="str">
        <f>"20190304154913721"</f>
        <v>20190304154913721</v>
      </c>
      <c r="B5804" t="str">
        <f>"1551685753713466"</f>
        <v>1551685753713466</v>
      </c>
      <c r="C5804" t="s">
        <v>40</v>
      </c>
      <c r="D5804">
        <v>4.5414149999999998</v>
      </c>
      <c r="E5804">
        <v>0.647783199999999</v>
      </c>
      <c r="F5804" t="s">
        <v>44</v>
      </c>
      <c r="G5804">
        <v>-424.51679999999999</v>
      </c>
      <c r="H5804" s="1">
        <v>-3.6575959999999998E-6</v>
      </c>
      <c r="I5804">
        <v>85.380439999999993</v>
      </c>
      <c r="J5804">
        <v>-421.72320000000002</v>
      </c>
      <c r="K5804">
        <v>1.110406</v>
      </c>
      <c r="L5804">
        <v>94.061160000000001</v>
      </c>
      <c r="M5804">
        <v>-4.011431E-2</v>
      </c>
      <c r="N5804">
        <v>-1.092981E-2</v>
      </c>
      <c r="O5804">
        <v>-0.99913540000000001</v>
      </c>
      <c r="P5804">
        <v>5.8842609999999997E-2</v>
      </c>
      <c r="Q5804">
        <v>0.16010439999999901</v>
      </c>
      <c r="R5804">
        <v>-0.98534489999999997</v>
      </c>
      <c r="S5804">
        <v>-0.99581909999999896</v>
      </c>
      <c r="T5804">
        <v>-0.39445010000000003</v>
      </c>
      <c r="U5804">
        <v>-3.1683349999999999</v>
      </c>
      <c r="V5804">
        <v>-9.8240939999999999E-2</v>
      </c>
      <c r="W5804">
        <v>0.1708781</v>
      </c>
      <c r="X5804">
        <v>0.98038230000000004</v>
      </c>
      <c r="Y5804">
        <v>0.25940950000000002</v>
      </c>
      <c r="Z5804">
        <v>0.10767980000000001</v>
      </c>
      <c r="AA5804">
        <v>0.95974570000000003</v>
      </c>
      <c r="AB5804">
        <v>25</v>
      </c>
      <c r="AC5804">
        <v>-2.7935999999999601</v>
      </c>
      <c r="AD5804">
        <v>-1.1104096575960001</v>
      </c>
      <c r="AE5804">
        <v>-8.6807199999999902</v>
      </c>
      <c r="AF5804">
        <v>2.4074142794840898</v>
      </c>
      <c r="AG5804">
        <v>-1.1104096575960001</v>
      </c>
      <c r="AH5804">
        <v>8.6574372274251203</v>
      </c>
      <c r="AI5804">
        <v>97.044447837404405</v>
      </c>
      <c r="AJ5804">
        <v>74.460096354284502</v>
      </c>
      <c r="AK5804">
        <v>9.0542737128691204</v>
      </c>
      <c r="AL5804">
        <v>80.161122746316906</v>
      </c>
      <c r="AM5804">
        <v>95.722322436939805</v>
      </c>
      <c r="AN5804">
        <v>1.0000000307524901</v>
      </c>
    </row>
    <row r="5805" spans="1:40" x14ac:dyDescent="0.25">
      <c r="A5805" t="str">
        <f>"20190304154913742"</f>
        <v>20190304154913742</v>
      </c>
      <c r="B5805" t="str">
        <f>"1551685753732982"</f>
        <v>1551685753732982</v>
      </c>
      <c r="C5805" t="s">
        <v>40</v>
      </c>
      <c r="D5805">
        <v>4.1507170000000002</v>
      </c>
      <c r="E5805">
        <v>0.65147080000000002</v>
      </c>
      <c r="F5805" t="s">
        <v>44</v>
      </c>
      <c r="G5805">
        <v>-424.57709999999997</v>
      </c>
      <c r="H5805" s="1">
        <v>-3.5528519999999998E-6</v>
      </c>
      <c r="I5805">
        <v>85.041209999999893</v>
      </c>
      <c r="J5805">
        <v>-421.73329999999999</v>
      </c>
      <c r="K5805">
        <v>1.110401</v>
      </c>
      <c r="L5805">
        <v>93.81711</v>
      </c>
      <c r="M5805">
        <v>-4.0375170000000002E-2</v>
      </c>
      <c r="N5805">
        <v>-1.084187E-2</v>
      </c>
      <c r="O5805">
        <v>-0.99912590000000001</v>
      </c>
      <c r="P5805">
        <v>5.9114300000000002E-2</v>
      </c>
      <c r="Q5805">
        <v>0.15959119999999999</v>
      </c>
      <c r="R5805">
        <v>-0.98541179999999995</v>
      </c>
      <c r="S5805">
        <v>-1.002289</v>
      </c>
      <c r="T5805">
        <v>-0.38998080000000002</v>
      </c>
      <c r="U5805">
        <v>-3.1678470000000001</v>
      </c>
      <c r="V5805">
        <v>-9.8772589999999993E-2</v>
      </c>
      <c r="W5805">
        <v>0.1702786</v>
      </c>
      <c r="X5805">
        <v>0.9804332</v>
      </c>
      <c r="Y5805">
        <v>0.26102629999999999</v>
      </c>
      <c r="Z5805">
        <v>0.1063972</v>
      </c>
      <c r="AA5805">
        <v>0.95945040000000004</v>
      </c>
      <c r="AB5805">
        <v>25</v>
      </c>
      <c r="AC5805">
        <v>-2.8437999999999799</v>
      </c>
      <c r="AD5805">
        <v>-1.1104045528519999</v>
      </c>
      <c r="AE5805">
        <v>-8.7759</v>
      </c>
      <c r="AF5805">
        <v>2.4516121836193401</v>
      </c>
      <c r="AG5805">
        <v>-1.1104045528519999</v>
      </c>
      <c r="AH5805">
        <v>8.7567000262797894</v>
      </c>
      <c r="AI5805">
        <v>96.961968855294003</v>
      </c>
      <c r="AJ5805">
        <v>74.359354278189301</v>
      </c>
      <c r="AK5805">
        <v>9.16096042563845</v>
      </c>
      <c r="AL5805">
        <v>80.195982585981795</v>
      </c>
      <c r="AM5805">
        <v>95.752786053057207</v>
      </c>
      <c r="AN5805">
        <v>1.00000004290775</v>
      </c>
    </row>
    <row r="5806" spans="1:40" x14ac:dyDescent="0.25">
      <c r="A5806" t="str">
        <f>"20190304154913765"</f>
        <v>20190304154913765</v>
      </c>
      <c r="B5806" t="str">
        <f>"1551685753753479"</f>
        <v>1551685753753479</v>
      </c>
      <c r="C5806" t="s">
        <v>40</v>
      </c>
      <c r="D5806">
        <v>4.1390820000000001</v>
      </c>
      <c r="E5806">
        <v>0.65791919999999904</v>
      </c>
      <c r="F5806" t="s">
        <v>44</v>
      </c>
      <c r="G5806">
        <v>-424.67630000000003</v>
      </c>
      <c r="H5806" s="1">
        <v>-3.469134E-6</v>
      </c>
      <c r="I5806">
        <v>84.775359999999907</v>
      </c>
      <c r="J5806">
        <v>-421.74369999999999</v>
      </c>
      <c r="K5806">
        <v>1.110382</v>
      </c>
      <c r="L5806">
        <v>93.567350000000005</v>
      </c>
      <c r="M5806">
        <v>-4.0642360000000002E-2</v>
      </c>
      <c r="N5806">
        <v>-1.075021E-2</v>
      </c>
      <c r="O5806">
        <v>-0.99911589999999995</v>
      </c>
      <c r="P5806">
        <v>5.9732390000000003E-2</v>
      </c>
      <c r="Q5806">
        <v>0.15863440000000001</v>
      </c>
      <c r="R5806">
        <v>-0.98552879999999998</v>
      </c>
      <c r="S5806">
        <v>-1.0315859999999999</v>
      </c>
      <c r="T5806">
        <v>-0.38922250000000003</v>
      </c>
      <c r="U5806">
        <v>-3.1693419999999999</v>
      </c>
      <c r="V5806">
        <v>-9.9658440000000001E-2</v>
      </c>
      <c r="W5806">
        <v>0.16923299999999999</v>
      </c>
      <c r="X5806">
        <v>0.98052450000000002</v>
      </c>
      <c r="Y5806">
        <v>0.26868370000000003</v>
      </c>
      <c r="Z5806">
        <v>0.1059278</v>
      </c>
      <c r="AA5806">
        <v>0.95738619999999997</v>
      </c>
      <c r="AB5806">
        <v>25</v>
      </c>
      <c r="AC5806">
        <v>-2.9326000000000301</v>
      </c>
      <c r="AD5806">
        <v>-1.110385469134</v>
      </c>
      <c r="AE5806">
        <v>-8.7919900000000109</v>
      </c>
      <c r="AF5806">
        <v>2.5364222270369901</v>
      </c>
      <c r="AG5806">
        <v>-1.110385469134</v>
      </c>
      <c r="AH5806">
        <v>8.7779254399173592</v>
      </c>
      <c r="AI5806">
        <v>96.928938403389694</v>
      </c>
      <c r="AJ5806">
        <v>73.883105104099997</v>
      </c>
      <c r="AK5806">
        <v>9.2042581793765201</v>
      </c>
      <c r="AL5806">
        <v>80.256772486698395</v>
      </c>
      <c r="AM5806">
        <v>95.803492951073395</v>
      </c>
      <c r="AN5806">
        <v>0.99999995402623998</v>
      </c>
    </row>
    <row r="5807" spans="1:40" x14ac:dyDescent="0.25">
      <c r="A5807" t="str">
        <f>"20190304154913788"</f>
        <v>20190304154913788</v>
      </c>
      <c r="B5807" t="str">
        <f>"1551685753782762"</f>
        <v>1551685753782762</v>
      </c>
      <c r="C5807" t="s">
        <v>40</v>
      </c>
      <c r="D5807">
        <v>4.0799500000000002</v>
      </c>
      <c r="E5807">
        <v>0.66522749999999997</v>
      </c>
      <c r="F5807" t="s">
        <v>44</v>
      </c>
      <c r="G5807">
        <v>-424.8775</v>
      </c>
      <c r="H5807" s="1">
        <v>-3.3505060000000001E-6</v>
      </c>
      <c r="I5807">
        <v>84.374039999999994</v>
      </c>
      <c r="J5807">
        <v>-421.75450000000001</v>
      </c>
      <c r="K5807">
        <v>1.110366</v>
      </c>
      <c r="L5807">
        <v>93.310329999999993</v>
      </c>
      <c r="M5807">
        <v>-4.09179E-2</v>
      </c>
      <c r="N5807">
        <v>-1.065663E-2</v>
      </c>
      <c r="O5807">
        <v>-0.99910589999999999</v>
      </c>
      <c r="P5807">
        <v>6.0394740000000002E-2</v>
      </c>
      <c r="Q5807">
        <v>0.15785859999999999</v>
      </c>
      <c r="R5807">
        <v>-0.98561310000000002</v>
      </c>
      <c r="S5807">
        <v>-1.081024</v>
      </c>
      <c r="T5807">
        <v>-0.38302740000000002</v>
      </c>
      <c r="U5807">
        <v>-3.1712340000000001</v>
      </c>
      <c r="V5807">
        <v>-0.10059510000000001</v>
      </c>
      <c r="W5807">
        <v>0.1683664</v>
      </c>
      <c r="X5807">
        <v>0.98057810000000001</v>
      </c>
      <c r="Y5807">
        <v>0.28173419999999999</v>
      </c>
      <c r="Z5807">
        <v>0.1036369</v>
      </c>
      <c r="AA5807">
        <v>0.95387909999999998</v>
      </c>
      <c r="AB5807">
        <v>25</v>
      </c>
      <c r="AC5807">
        <v>-3.12299999999999</v>
      </c>
      <c r="AD5807">
        <v>-1.1103693505059999</v>
      </c>
      <c r="AE5807">
        <v>-8.9362899999999996</v>
      </c>
      <c r="AF5807">
        <v>2.7173225776671002</v>
      </c>
      <c r="AG5807">
        <v>-1.1103693505059999</v>
      </c>
      <c r="AH5807">
        <v>8.93368334067892</v>
      </c>
      <c r="AI5807">
        <v>96.781268340799102</v>
      </c>
      <c r="AJ5807">
        <v>73.082022987114101</v>
      </c>
      <c r="AK5807">
        <v>9.4035876194762196</v>
      </c>
      <c r="AL5807">
        <v>80.307148473131704</v>
      </c>
      <c r="AM5807">
        <v>95.857342755160701</v>
      </c>
      <c r="AN5807">
        <v>1.0000000144962899</v>
      </c>
    </row>
    <row r="5808" spans="1:40" x14ac:dyDescent="0.25">
      <c r="A5808" t="str">
        <f>"20190304154913811"</f>
        <v>20190304154913811</v>
      </c>
      <c r="B5808" t="str">
        <f>"1551685753803255"</f>
        <v>1551685753803255</v>
      </c>
      <c r="C5808" t="s">
        <v>40</v>
      </c>
      <c r="D5808">
        <v>4.0970009999999997</v>
      </c>
      <c r="E5808">
        <v>0.66899419999999898</v>
      </c>
      <c r="F5808" t="s">
        <v>44</v>
      </c>
      <c r="G5808">
        <v>-425.12220000000002</v>
      </c>
      <c r="H5808" s="1">
        <v>-3.219607E-6</v>
      </c>
      <c r="I5808">
        <v>83.917140000000003</v>
      </c>
      <c r="J5808">
        <v>-421.76499999999999</v>
      </c>
      <c r="K5808">
        <v>1.1103559999999999</v>
      </c>
      <c r="L5808">
        <v>93.060360000000003</v>
      </c>
      <c r="M5808">
        <v>-4.1186529999999999E-2</v>
      </c>
      <c r="N5808">
        <v>-1.056756E-2</v>
      </c>
      <c r="O5808">
        <v>-0.99909590000000004</v>
      </c>
      <c r="P5808">
        <v>6.1139140000000002E-2</v>
      </c>
      <c r="Q5808">
        <v>0.15800449999999999</v>
      </c>
      <c r="R5808">
        <v>-0.98554410000000003</v>
      </c>
      <c r="S5808">
        <v>-1.137848</v>
      </c>
      <c r="T5808">
        <v>-0.37515310000000002</v>
      </c>
      <c r="U5808">
        <v>-3.1736149999999999</v>
      </c>
      <c r="V5808">
        <v>-0.1015998</v>
      </c>
      <c r="W5808">
        <v>0.16842409999999999</v>
      </c>
      <c r="X5808">
        <v>0.98046460000000002</v>
      </c>
      <c r="Y5808">
        <v>0.29653950000000001</v>
      </c>
      <c r="Z5808">
        <v>0.1007588</v>
      </c>
      <c r="AA5808">
        <v>0.94969049999999999</v>
      </c>
      <c r="AB5808">
        <v>25</v>
      </c>
      <c r="AC5808">
        <v>-3.3572000000000299</v>
      </c>
      <c r="AD5808">
        <v>-1.11035921960699</v>
      </c>
      <c r="AE5808">
        <v>-9.1432199999999995</v>
      </c>
      <c r="AF5808">
        <v>2.93955091840877</v>
      </c>
      <c r="AG5808">
        <v>-1.11035921960699</v>
      </c>
      <c r="AH5808">
        <v>9.1547668862792708</v>
      </c>
      <c r="AI5808">
        <v>96.587361794880906</v>
      </c>
      <c r="AJ5808">
        <v>72.198429373646107</v>
      </c>
      <c r="AK5808">
        <v>9.6790295970515299</v>
      </c>
      <c r="AL5808">
        <v>80.303794610512597</v>
      </c>
      <c r="AM5808">
        <v>95.916110460744804</v>
      </c>
      <c r="AN5808">
        <v>1.000000014337</v>
      </c>
    </row>
    <row r="5809" spans="1:40" x14ac:dyDescent="0.25">
      <c r="A5809" t="str">
        <f>"20190304154913832"</f>
        <v>20190304154913832</v>
      </c>
      <c r="B5809" t="str">
        <f>"1551685753822775"</f>
        <v>1551685753822775</v>
      </c>
      <c r="C5809" t="s">
        <v>40</v>
      </c>
      <c r="D5809">
        <v>4.0725150000000001</v>
      </c>
      <c r="E5809">
        <v>0.67220839999999904</v>
      </c>
      <c r="F5809" t="s">
        <v>44</v>
      </c>
      <c r="G5809">
        <v>-425.29520000000002</v>
      </c>
      <c r="H5809" s="1">
        <v>-3.0660930000000002E-6</v>
      </c>
      <c r="I5809">
        <v>83.452019999999905</v>
      </c>
      <c r="J5809">
        <v>-421.77550000000002</v>
      </c>
      <c r="K5809">
        <v>1.1103499999999999</v>
      </c>
      <c r="L5809">
        <v>92.812650000000005</v>
      </c>
      <c r="M5809">
        <v>-4.1453160000000003E-2</v>
      </c>
      <c r="N5809">
        <v>-1.048311E-2</v>
      </c>
      <c r="O5809">
        <v>-0.99908560000000002</v>
      </c>
      <c r="P5809">
        <v>6.1213669999999998E-2</v>
      </c>
      <c r="Q5809">
        <v>0.15838099999999999</v>
      </c>
      <c r="R5809">
        <v>-0.98547879999999999</v>
      </c>
      <c r="S5809">
        <v>-1.166595</v>
      </c>
      <c r="T5809">
        <v>-0.36693239999999999</v>
      </c>
      <c r="U5809">
        <v>-3.1752009999999999</v>
      </c>
      <c r="V5809">
        <v>-0.1019336</v>
      </c>
      <c r="W5809">
        <v>0.16871700000000001</v>
      </c>
      <c r="X5809">
        <v>0.98037960000000002</v>
      </c>
      <c r="Y5809">
        <v>0.30381629999999998</v>
      </c>
      <c r="Z5809">
        <v>9.8095219999999997E-2</v>
      </c>
      <c r="AA5809">
        <v>0.94766709999999998</v>
      </c>
      <c r="AB5809">
        <v>25</v>
      </c>
      <c r="AC5809">
        <v>-3.5196999999999998</v>
      </c>
      <c r="AD5809">
        <v>-1.1103530660930001</v>
      </c>
      <c r="AE5809">
        <v>-9.3606300000000093</v>
      </c>
      <c r="AF5809">
        <v>3.0905264306665998</v>
      </c>
      <c r="AG5809">
        <v>-1.1103530660930001</v>
      </c>
      <c r="AH5809">
        <v>9.3828257047180497</v>
      </c>
      <c r="AI5809">
        <v>96.413053411337998</v>
      </c>
      <c r="AJ5809">
        <v>71.769088510778403</v>
      </c>
      <c r="AK5809">
        <v>9.9409081956906107</v>
      </c>
      <c r="AL5809">
        <v>80.286769113936501</v>
      </c>
      <c r="AM5809">
        <v>95.935919881534303</v>
      </c>
      <c r="AN5809">
        <v>1.00000002249705</v>
      </c>
    </row>
    <row r="5810" spans="1:40" x14ac:dyDescent="0.25">
      <c r="A5810" t="str">
        <f>"20190304154913854"</f>
        <v>20190304154913854</v>
      </c>
      <c r="B5810" t="str">
        <f>"1551685753843271"</f>
        <v>1551685753843271</v>
      </c>
      <c r="C5810" t="s">
        <v>40</v>
      </c>
      <c r="D5810">
        <v>4.0460659999999997</v>
      </c>
      <c r="E5810">
        <v>0.67518489999999998</v>
      </c>
      <c r="F5810" t="s">
        <v>44</v>
      </c>
      <c r="G5810">
        <v>-425.45420000000001</v>
      </c>
      <c r="H5810" s="1">
        <v>-2.9214659999999998E-6</v>
      </c>
      <c r="I5810">
        <v>83.016279999999995</v>
      </c>
      <c r="J5810">
        <v>-421.78609999999998</v>
      </c>
      <c r="K5810">
        <v>1.1103379999999901</v>
      </c>
      <c r="L5810">
        <v>92.56335</v>
      </c>
      <c r="M5810">
        <v>-4.1721840000000003E-2</v>
      </c>
      <c r="N5810">
        <v>-1.040578E-2</v>
      </c>
      <c r="O5810">
        <v>-0.99907539999999995</v>
      </c>
      <c r="P5810">
        <v>6.0668499999999903E-2</v>
      </c>
      <c r="Q5810">
        <v>0.15881679999999901</v>
      </c>
      <c r="R5810">
        <v>-0.98544279999999995</v>
      </c>
      <c r="S5810">
        <v>-1.192688</v>
      </c>
      <c r="T5810">
        <v>-0.3599948</v>
      </c>
      <c r="U5810">
        <v>-3.1761469999999998</v>
      </c>
      <c r="V5810">
        <v>-0.1016509</v>
      </c>
      <c r="W5810">
        <v>0.16907610000000001</v>
      </c>
      <c r="X5810">
        <v>0.98034710000000003</v>
      </c>
      <c r="Y5810">
        <v>0.31038120000000002</v>
      </c>
      <c r="Z5810">
        <v>9.5853460000000001E-2</v>
      </c>
      <c r="AA5810">
        <v>0.94576720000000003</v>
      </c>
      <c r="AB5810">
        <v>25</v>
      </c>
      <c r="AC5810">
        <v>-3.6681000000000301</v>
      </c>
      <c r="AD5810">
        <v>-1.1103409214659901</v>
      </c>
      <c r="AE5810">
        <v>-9.5470699999999908</v>
      </c>
      <c r="AF5810">
        <v>3.22851098743911</v>
      </c>
      <c r="AG5810">
        <v>-1.1103409214659901</v>
      </c>
      <c r="AH5810">
        <v>9.5789051133003795</v>
      </c>
      <c r="AI5810">
        <v>96.268464286268994</v>
      </c>
      <c r="AJ5810">
        <v>71.3739277667529</v>
      </c>
      <c r="AK5810">
        <v>10.1691476204994</v>
      </c>
      <c r="AL5810">
        <v>80.265894428516305</v>
      </c>
      <c r="AM5810">
        <v>95.919769265256406</v>
      </c>
      <c r="AN5810">
        <v>1.00000003477021</v>
      </c>
    </row>
    <row r="5811" spans="1:40" x14ac:dyDescent="0.25">
      <c r="A5811" t="str">
        <f>"20190304154913877"</f>
        <v>20190304154913877</v>
      </c>
      <c r="B5811" t="str">
        <f>"1551685753873527"</f>
        <v>1551685753873527</v>
      </c>
      <c r="C5811" t="s">
        <v>40</v>
      </c>
      <c r="D5811">
        <v>4.2429389999999998</v>
      </c>
      <c r="E5811">
        <v>0.67797569999999996</v>
      </c>
      <c r="F5811" t="s">
        <v>44</v>
      </c>
      <c r="G5811">
        <v>-425.6046</v>
      </c>
      <c r="H5811" s="1">
        <v>-2.7875879999999999E-6</v>
      </c>
      <c r="I5811">
        <v>82.610910000000004</v>
      </c>
      <c r="J5811">
        <v>-421.79719999999998</v>
      </c>
      <c r="K5811">
        <v>1.1103320000000001</v>
      </c>
      <c r="L5811">
        <v>92.306610000000006</v>
      </c>
      <c r="M5811">
        <v>-4.1998599999999997E-2</v>
      </c>
      <c r="N5811">
        <v>-1.033473E-2</v>
      </c>
      <c r="O5811">
        <v>-0.99906410000000001</v>
      </c>
      <c r="P5811">
        <v>6.0689590000000002E-2</v>
      </c>
      <c r="Q5811">
        <v>0.15924079999999999</v>
      </c>
      <c r="R5811">
        <v>-0.98537240000000004</v>
      </c>
      <c r="S5811">
        <v>-1.2187190000000001</v>
      </c>
      <c r="T5811">
        <v>-0.35437950000000001</v>
      </c>
      <c r="U5811">
        <v>-3.176453</v>
      </c>
      <c r="V5811">
        <v>-0.1019405</v>
      </c>
      <c r="W5811">
        <v>0.16942989999999999</v>
      </c>
      <c r="X5811">
        <v>0.98025589999999996</v>
      </c>
      <c r="Y5811">
        <v>0.3169187</v>
      </c>
      <c r="Z5811">
        <v>9.4015779999999993E-2</v>
      </c>
      <c r="AA5811">
        <v>0.94378150000000005</v>
      </c>
      <c r="AB5811">
        <v>25</v>
      </c>
      <c r="AC5811">
        <v>-3.8074000000000199</v>
      </c>
      <c r="AD5811">
        <v>-1.1103347875880001</v>
      </c>
      <c r="AE5811">
        <v>-9.6956999999999791</v>
      </c>
      <c r="AF5811">
        <v>3.3586506092772499</v>
      </c>
      <c r="AG5811">
        <v>-1.1103347875880001</v>
      </c>
      <c r="AH5811">
        <v>9.7364299803789898</v>
      </c>
      <c r="AI5811">
        <v>96.153024487361506</v>
      </c>
      <c r="AJ5811">
        <v>70.967762435549503</v>
      </c>
      <c r="AK5811">
        <v>10.359123805542101</v>
      </c>
      <c r="AL5811">
        <v>80.245326029248503</v>
      </c>
      <c r="AM5811">
        <v>95.937062584064094</v>
      </c>
      <c r="AN5811">
        <v>0.99999999301953402</v>
      </c>
    </row>
    <row r="5812" spans="1:40" x14ac:dyDescent="0.25">
      <c r="A5812" t="str">
        <f>"20190304154913900"</f>
        <v>20190304154913900</v>
      </c>
      <c r="B5812" t="str">
        <f>"1551685753893046"</f>
        <v>1551685753893046</v>
      </c>
      <c r="C5812" t="s">
        <v>40</v>
      </c>
      <c r="D5812">
        <v>3.521855</v>
      </c>
      <c r="E5812">
        <v>0.54731859999999999</v>
      </c>
      <c r="F5812" t="s">
        <v>44</v>
      </c>
      <c r="G5812">
        <v>-425.77120000000002</v>
      </c>
      <c r="H5812" s="1">
        <v>-2.628835E-6</v>
      </c>
      <c r="I5812">
        <v>82.137529999999998</v>
      </c>
      <c r="J5812">
        <v>-421.80829999999997</v>
      </c>
      <c r="K5812">
        <v>1.110331</v>
      </c>
      <c r="L5812">
        <v>92.049840000000003</v>
      </c>
      <c r="M5812">
        <v>-4.2275380000000001E-2</v>
      </c>
      <c r="N5812">
        <v>-1.027161E-2</v>
      </c>
      <c r="O5812">
        <v>-0.99905339999999998</v>
      </c>
      <c r="P5812">
        <v>6.0262019999999999E-2</v>
      </c>
      <c r="Q5812">
        <v>0.15982449999999901</v>
      </c>
      <c r="R5812">
        <v>-0.98530450000000003</v>
      </c>
      <c r="S5812">
        <v>-1.2415769999999999</v>
      </c>
      <c r="T5812">
        <v>-0.34689520000000001</v>
      </c>
      <c r="U5812">
        <v>-3.177063</v>
      </c>
      <c r="V5812">
        <v>-0.1017821</v>
      </c>
      <c r="W5812">
        <v>0.16995109999999999</v>
      </c>
      <c r="X5812">
        <v>0.9801822</v>
      </c>
      <c r="Y5812">
        <v>0.3225768</v>
      </c>
      <c r="Z5812">
        <v>9.1654639999999996E-2</v>
      </c>
      <c r="AA5812">
        <v>0.94209529999999997</v>
      </c>
      <c r="AB5812">
        <v>25</v>
      </c>
      <c r="AC5812">
        <v>-3.9629000000000398</v>
      </c>
      <c r="AD5812">
        <v>-1.1103336288350001</v>
      </c>
      <c r="AE5812">
        <v>-9.9123099999999997</v>
      </c>
      <c r="AF5812">
        <v>3.5023979754901702</v>
      </c>
      <c r="AG5812">
        <v>-1.1103336288350001</v>
      </c>
      <c r="AH5812">
        <v>9.9632040649028895</v>
      </c>
      <c r="AI5812">
        <v>96.001825570538202</v>
      </c>
      <c r="AJ5812">
        <v>70.6317271239175</v>
      </c>
      <c r="AK5812">
        <v>10.619089771959599</v>
      </c>
      <c r="AL5812">
        <v>80.215024659791993</v>
      </c>
      <c r="AM5812">
        <v>95.928345582091396</v>
      </c>
      <c r="AN5812">
        <v>1.0000000587342199</v>
      </c>
    </row>
    <row r="5813" spans="1:40" x14ac:dyDescent="0.25">
      <c r="A5813" t="str">
        <f>"20190304154913922"</f>
        <v>20190304154913922</v>
      </c>
      <c r="B5813" t="str">
        <f>"1551685753913542"</f>
        <v>1551685753913542</v>
      </c>
      <c r="C5813" t="s">
        <v>40</v>
      </c>
      <c r="D5813">
        <v>4.2259510000000002</v>
      </c>
      <c r="E5813">
        <v>0.53735639999999996</v>
      </c>
      <c r="F5813" t="s">
        <v>41</v>
      </c>
      <c r="G5813">
        <v>-421.86450000000002</v>
      </c>
      <c r="H5813">
        <v>1.0453129999999999</v>
      </c>
      <c r="I5813">
        <v>91.188699999999997</v>
      </c>
      <c r="J5813">
        <v>-421.81900000000002</v>
      </c>
      <c r="K5813">
        <v>1.1103350000000001</v>
      </c>
      <c r="L5813">
        <v>91.803529999999995</v>
      </c>
      <c r="M5813">
        <v>-4.2540729999999999E-2</v>
      </c>
      <c r="N5813">
        <v>-1.021799E-2</v>
      </c>
      <c r="O5813">
        <v>-0.99904269999999995</v>
      </c>
      <c r="P5813">
        <v>5.9559920000000002E-2</v>
      </c>
      <c r="Q5813">
        <v>0.15996389999999999</v>
      </c>
      <c r="R5813">
        <v>-0.9853248</v>
      </c>
      <c r="S5813">
        <v>-0.2015381</v>
      </c>
      <c r="T5813">
        <v>-0.2336869</v>
      </c>
      <c r="U5813">
        <v>-3.0949710000000001</v>
      </c>
      <c r="V5813">
        <v>-0.10134219999999999</v>
      </c>
      <c r="W5813">
        <v>0.17003750000000001</v>
      </c>
      <c r="X5813">
        <v>0.98021270000000005</v>
      </c>
      <c r="Y5813">
        <v>2.2321460000000001E-2</v>
      </c>
      <c r="Z5813">
        <v>6.492175E-2</v>
      </c>
      <c r="AA5813">
        <v>0.99764070000000005</v>
      </c>
      <c r="AB5813">
        <v>25</v>
      </c>
      <c r="AC5813">
        <v>-4.5500000000004003E-2</v>
      </c>
      <c r="AD5813">
        <v>-6.5022000000000094E-2</v>
      </c>
      <c r="AE5813">
        <v>-0.61483000000001198</v>
      </c>
      <c r="AF5813">
        <v>1.90897854542748E-2</v>
      </c>
      <c r="AG5813">
        <v>-6.5022000000000094E-2</v>
      </c>
      <c r="AH5813">
        <v>0.60943011014460202</v>
      </c>
      <c r="AI5813">
        <v>96.087063647023299</v>
      </c>
      <c r="AJ5813">
        <v>88.205853961778402</v>
      </c>
      <c r="AK5813">
        <v>0.61318621930336303</v>
      </c>
      <c r="AL5813">
        <v>80.210000262381399</v>
      </c>
      <c r="AM5813">
        <v>95.902722335894296</v>
      </c>
      <c r="AN5813">
        <v>0.99999996507418898</v>
      </c>
    </row>
    <row r="5814" spans="1:40" x14ac:dyDescent="0.25">
      <c r="A5814" t="str">
        <f>"20190304154913943"</f>
        <v>20190304154913943</v>
      </c>
      <c r="B5814" t="str">
        <f>"1551685753933062"</f>
        <v>1551685753933062</v>
      </c>
      <c r="C5814" t="s">
        <v>40</v>
      </c>
      <c r="D5814">
        <v>4.216825</v>
      </c>
      <c r="E5814">
        <v>0.53291709999999903</v>
      </c>
      <c r="F5814" t="s">
        <v>44</v>
      </c>
      <c r="G5814">
        <v>-423.0548</v>
      </c>
      <c r="H5814" s="1">
        <v>-1.3985949999999999E-6</v>
      </c>
      <c r="I5814">
        <v>60.954610000000002</v>
      </c>
      <c r="J5814">
        <v>-421.82979999999998</v>
      </c>
      <c r="K5814">
        <v>1.1103320000000001</v>
      </c>
      <c r="L5814">
        <v>91.556610000000006</v>
      </c>
      <c r="M5814">
        <v>-4.2805490000000002E-2</v>
      </c>
      <c r="N5814">
        <v>-1.017065E-2</v>
      </c>
      <c r="O5814">
        <v>-0.99903169999999997</v>
      </c>
      <c r="P5814">
        <v>5.9051359999999997E-2</v>
      </c>
      <c r="Q5814">
        <v>0.160907299999999</v>
      </c>
      <c r="R5814">
        <v>-0.98520129999999995</v>
      </c>
      <c r="S5814">
        <v>-0.12298580000000001</v>
      </c>
      <c r="T5814">
        <v>-0.1105001</v>
      </c>
      <c r="U5814">
        <v>-3.070068</v>
      </c>
      <c r="V5814">
        <v>-0.10108789999999999</v>
      </c>
      <c r="W5814">
        <v>0.17093359999999999</v>
      </c>
      <c r="X5814">
        <v>0.98008320000000004</v>
      </c>
      <c r="Y5814">
        <v>-2.7951740000000001E-3</v>
      </c>
      <c r="Z5814">
        <v>2.574833E-2</v>
      </c>
      <c r="AA5814">
        <v>0.99966449999999996</v>
      </c>
      <c r="AB5814">
        <v>25</v>
      </c>
      <c r="AC5814">
        <v>-1.2250000000000201</v>
      </c>
      <c r="AD5814">
        <v>-1.1103333985949999</v>
      </c>
      <c r="AE5814">
        <v>-30.602</v>
      </c>
      <c r="AF5814">
        <v>-8.60111741742772E-2</v>
      </c>
      <c r="AG5814">
        <v>-1.1103333985949999</v>
      </c>
      <c r="AH5814">
        <v>30.5861864772396</v>
      </c>
      <c r="AI5814">
        <v>92.079018352619002</v>
      </c>
      <c r="AJ5814">
        <v>90.161120585748506</v>
      </c>
      <c r="AK5814">
        <v>30.6064542441393</v>
      </c>
      <c r="AL5814">
        <v>80.157895727574697</v>
      </c>
      <c r="AM5814">
        <v>95.888787234762304</v>
      </c>
      <c r="AN5814">
        <v>1.0000000690288</v>
      </c>
    </row>
    <row r="5815" spans="1:40" x14ac:dyDescent="0.25">
      <c r="A5815" t="str">
        <f>"20190304154913966"</f>
        <v>20190304154913966</v>
      </c>
      <c r="B5815" t="str">
        <f>"1551685753963319"</f>
        <v>1551685753963319</v>
      </c>
      <c r="C5815" t="s">
        <v>40</v>
      </c>
      <c r="D5815">
        <v>4.1594249999999997</v>
      </c>
      <c r="E5815">
        <v>0.52878449999999999</v>
      </c>
      <c r="F5815" t="s">
        <v>44</v>
      </c>
      <c r="G5815">
        <v>-423.23840000000001</v>
      </c>
      <c r="H5815" s="1">
        <v>-2.539992E-6</v>
      </c>
      <c r="I5815">
        <v>43.501350000000002</v>
      </c>
      <c r="J5815">
        <v>-421.84089999999998</v>
      </c>
      <c r="K5815">
        <v>1.1103190000000001</v>
      </c>
      <c r="L5815">
        <v>91.305729999999997</v>
      </c>
      <c r="M5815">
        <v>-4.3070669999999998E-2</v>
      </c>
      <c r="N5815">
        <v>-1.0128699999999999E-2</v>
      </c>
      <c r="O5815">
        <v>-0.99902100000000005</v>
      </c>
      <c r="P5815">
        <v>5.8708780000000002E-2</v>
      </c>
      <c r="Q5815">
        <v>0.1604035</v>
      </c>
      <c r="R5815">
        <v>-0.98530439999999997</v>
      </c>
      <c r="S5815">
        <v>-8.9752199999999893E-2</v>
      </c>
      <c r="T5815">
        <v>-7.0748930000000002E-2</v>
      </c>
      <c r="U5815">
        <v>-3.0620120000000002</v>
      </c>
      <c r="V5815">
        <v>-0.10101160000000001</v>
      </c>
      <c r="W5815">
        <v>0.1703895</v>
      </c>
      <c r="X5815">
        <v>0.98018570000000005</v>
      </c>
      <c r="Y5815">
        <v>-1.378277E-2</v>
      </c>
      <c r="Z5815">
        <v>1.294023E-2</v>
      </c>
      <c r="AA5815">
        <v>0.99982130000000002</v>
      </c>
      <c r="AB5815">
        <v>25</v>
      </c>
      <c r="AC5815">
        <v>-1.3975000000000299</v>
      </c>
      <c r="AD5815">
        <v>-1.1103215399919999</v>
      </c>
      <c r="AE5815">
        <v>-47.804380000000002</v>
      </c>
      <c r="AF5815">
        <v>-0.66251152591015505</v>
      </c>
      <c r="AG5815">
        <v>-1.1103215399919999</v>
      </c>
      <c r="AH5815">
        <v>47.794447335516899</v>
      </c>
      <c r="AI5815">
        <v>91.330681560664203</v>
      </c>
      <c r="AJ5815">
        <v>90.794165127446206</v>
      </c>
      <c r="AK5815">
        <v>47.811932940968099</v>
      </c>
      <c r="AL5815">
        <v>80.189533486475696</v>
      </c>
      <c r="AM5815">
        <v>95.883762621731805</v>
      </c>
      <c r="AN5815">
        <v>0.999999965764649</v>
      </c>
    </row>
    <row r="5816" spans="1:40" x14ac:dyDescent="0.25">
      <c r="A5816" t="str">
        <f>"20190304154913989"</f>
        <v>20190304154913989</v>
      </c>
      <c r="B5816" t="str">
        <f>"1551685753982839"</f>
        <v>1551685753982839</v>
      </c>
      <c r="C5816" t="s">
        <v>40</v>
      </c>
      <c r="D5816">
        <v>4.1728449999999997</v>
      </c>
      <c r="E5816">
        <v>0.52704439999999997</v>
      </c>
      <c r="F5816" t="s">
        <v>44</v>
      </c>
      <c r="G5816">
        <v>-422.79989999999998</v>
      </c>
      <c r="H5816" s="1">
        <v>-1.2247070000000001E-6</v>
      </c>
      <c r="I5816">
        <v>40.707349999999998</v>
      </c>
      <c r="J5816">
        <v>-421.85239999999999</v>
      </c>
      <c r="K5816">
        <v>1.1103149999999999</v>
      </c>
      <c r="L5816">
        <v>91.043980000000005</v>
      </c>
      <c r="M5816">
        <v>-4.3338740000000001E-2</v>
      </c>
      <c r="N5816">
        <v>-1.009084E-2</v>
      </c>
      <c r="O5816">
        <v>-0.99900949999999999</v>
      </c>
      <c r="P5816">
        <v>5.8286610000000003E-2</v>
      </c>
      <c r="Q5816">
        <v>0.1595567</v>
      </c>
      <c r="R5816">
        <v>-0.98546679999999998</v>
      </c>
      <c r="S5816">
        <v>-5.7983399999999997E-2</v>
      </c>
      <c r="T5816">
        <v>-6.712854E-2</v>
      </c>
      <c r="U5816">
        <v>-3.059113</v>
      </c>
      <c r="V5816">
        <v>-0.1008627</v>
      </c>
      <c r="W5816">
        <v>0.16950560000000001</v>
      </c>
      <c r="X5816">
        <v>0.98035430000000001</v>
      </c>
      <c r="Y5816">
        <v>-2.4397439999999999E-2</v>
      </c>
      <c r="Z5816">
        <v>1.1816989999999999E-2</v>
      </c>
      <c r="AA5816">
        <v>0.99963250000000003</v>
      </c>
      <c r="AB5816">
        <v>25</v>
      </c>
      <c r="AC5816">
        <v>-0.94749999999999002</v>
      </c>
      <c r="AD5816">
        <v>-1.110316224707</v>
      </c>
      <c r="AE5816">
        <v>-50.33663</v>
      </c>
      <c r="AF5816">
        <v>-1.23442707185267</v>
      </c>
      <c r="AG5816">
        <v>-1.110316224707</v>
      </c>
      <c r="AH5816">
        <v>50.305928668697398</v>
      </c>
      <c r="AI5816">
        <v>91.264005524153902</v>
      </c>
      <c r="AJ5816">
        <v>91.405664750631999</v>
      </c>
      <c r="AK5816">
        <v>50.3333196951546</v>
      </c>
      <c r="AL5816">
        <v>80.240925083083795</v>
      </c>
      <c r="AM5816">
        <v>95.874146815992901</v>
      </c>
      <c r="AN5816">
        <v>0.99999999310556997</v>
      </c>
    </row>
    <row r="5817" spans="1:40" x14ac:dyDescent="0.25">
      <c r="A5817" t="str">
        <f>"20190304154914012"</f>
        <v>20190304154914012</v>
      </c>
      <c r="B5817" t="str">
        <f>"1551685754003335"</f>
        <v>1551685754003335</v>
      </c>
      <c r="C5817" t="s">
        <v>40</v>
      </c>
      <c r="D5817">
        <v>4.1527649999999996</v>
      </c>
      <c r="E5817">
        <v>0.52585919999999997</v>
      </c>
      <c r="F5817" t="s">
        <v>68</v>
      </c>
      <c r="G5817">
        <v>-422.67750000000001</v>
      </c>
      <c r="H5817" s="1">
        <v>-3.2753159999999998E-6</v>
      </c>
      <c r="I5817">
        <v>35.056719999999999</v>
      </c>
      <c r="J5817">
        <v>-421.8639</v>
      </c>
      <c r="K5817">
        <v>1.1103190000000001</v>
      </c>
      <c r="L5817">
        <v>90.787509999999997</v>
      </c>
      <c r="M5817">
        <v>-4.3587180000000003E-2</v>
      </c>
      <c r="N5817">
        <v>-1.0058930000000001E-2</v>
      </c>
      <c r="O5817">
        <v>-0.99899919999999998</v>
      </c>
      <c r="P5817">
        <v>5.8473990000000003E-2</v>
      </c>
      <c r="Q5817">
        <v>0.1590867</v>
      </c>
      <c r="R5817">
        <v>-0.98553190000000002</v>
      </c>
      <c r="S5817">
        <v>-4.5043949999999999E-2</v>
      </c>
      <c r="T5817">
        <v>-6.0619949999999999E-2</v>
      </c>
      <c r="U5817">
        <v>-3.0567319999999998</v>
      </c>
      <c r="V5817">
        <v>-0.10130069999999999</v>
      </c>
      <c r="W5817">
        <v>0.16900270000000001</v>
      </c>
      <c r="X5817">
        <v>0.98039600000000005</v>
      </c>
      <c r="Y5817">
        <v>-2.8860630000000002E-2</v>
      </c>
      <c r="Z5817">
        <v>9.739536E-3</v>
      </c>
      <c r="AA5817">
        <v>0.99953599999999998</v>
      </c>
      <c r="AB5817">
        <v>25</v>
      </c>
      <c r="AC5817">
        <v>-0.81360000000000798</v>
      </c>
      <c r="AD5817">
        <v>-1.110322275316</v>
      </c>
      <c r="AE5817">
        <v>-55.730789999999999</v>
      </c>
      <c r="AF5817">
        <v>-1.6158024468890599</v>
      </c>
      <c r="AG5817">
        <v>-1.110322275316</v>
      </c>
      <c r="AH5817">
        <v>55.691183478545497</v>
      </c>
      <c r="AI5817">
        <v>91.141681696553405</v>
      </c>
      <c r="AJ5817">
        <v>91.661891358912001</v>
      </c>
      <c r="AK5817">
        <v>55.725681246113602</v>
      </c>
      <c r="AL5817">
        <v>80.270161301730695</v>
      </c>
      <c r="AM5817">
        <v>95.899226831395396</v>
      </c>
      <c r="AN5817">
        <v>1.0000000306218799</v>
      </c>
    </row>
    <row r="5818" spans="1:40" x14ac:dyDescent="0.25">
      <c r="A5818" t="str">
        <f>"20190304154914026"</f>
        <v>20190304154914026</v>
      </c>
      <c r="B5818" t="str">
        <f>"1551685754022855"</f>
        <v>1551685754022855</v>
      </c>
      <c r="C5818" t="s">
        <v>40</v>
      </c>
      <c r="D5818">
        <v>4.1606880000000004</v>
      </c>
      <c r="E5818">
        <v>0.52501229999999999</v>
      </c>
      <c r="F5818" t="s">
        <v>68</v>
      </c>
      <c r="G5818">
        <v>-422.48039999999997</v>
      </c>
      <c r="H5818" s="1">
        <v>-1.4010940000000001E-6</v>
      </c>
      <c r="I5818">
        <v>37.96217</v>
      </c>
      <c r="J5818">
        <v>-421.87180000000001</v>
      </c>
      <c r="K5818">
        <v>1.110325</v>
      </c>
      <c r="L5818">
        <v>90.608729999999994</v>
      </c>
      <c r="M5818">
        <v>-4.3746449999999999E-2</v>
      </c>
      <c r="N5818">
        <v>-1.0039869999999999E-2</v>
      </c>
      <c r="O5818">
        <v>-0.99899230000000006</v>
      </c>
      <c r="P5818">
        <v>5.8817380000000002E-2</v>
      </c>
      <c r="Q5818">
        <v>0.1587942</v>
      </c>
      <c r="R5818">
        <v>-0.98555859999999995</v>
      </c>
      <c r="S5818">
        <v>-3.567505E-2</v>
      </c>
      <c r="T5818">
        <v>-6.4244750000000003E-2</v>
      </c>
      <c r="U5818">
        <v>-3.056549</v>
      </c>
      <c r="V5818">
        <v>-0.10180549999999999</v>
      </c>
      <c r="W5818">
        <v>0.1686897</v>
      </c>
      <c r="X5818">
        <v>0.98039759999999998</v>
      </c>
      <c r="Y5818">
        <v>-3.208167E-2</v>
      </c>
      <c r="Z5818">
        <v>1.0941640000000001E-2</v>
      </c>
      <c r="AA5818">
        <v>0.99942540000000002</v>
      </c>
      <c r="AB5818">
        <v>25</v>
      </c>
      <c r="AC5818">
        <v>-0.60859999999996695</v>
      </c>
      <c r="AD5818">
        <v>-1.1103264010939999</v>
      </c>
      <c r="AE5818">
        <v>-52.646560000000001</v>
      </c>
      <c r="AF5818">
        <v>-1.69444510674744</v>
      </c>
      <c r="AG5818">
        <v>-1.1103264010939999</v>
      </c>
      <c r="AH5818">
        <v>52.599387106823798</v>
      </c>
      <c r="AI5818">
        <v>91.2086566889419</v>
      </c>
      <c r="AJ5818">
        <v>91.845097371510505</v>
      </c>
      <c r="AK5818">
        <v>52.638384216750502</v>
      </c>
      <c r="AL5818">
        <v>80.288355954827495</v>
      </c>
      <c r="AM5818">
        <v>95.928405300397998</v>
      </c>
      <c r="AN5818">
        <v>1.0000000144010499</v>
      </c>
    </row>
    <row r="5819" spans="1:40" x14ac:dyDescent="0.25">
      <c r="A5819" t="str">
        <f>"20190304154914044"</f>
        <v>20190304154914044</v>
      </c>
      <c r="B5819" t="str">
        <f>"1551685754032788"</f>
        <v>1551685754032788</v>
      </c>
      <c r="C5819" t="s">
        <v>40</v>
      </c>
      <c r="D5819">
        <v>4.1638659999999996</v>
      </c>
      <c r="E5819">
        <v>0.52463870000000001</v>
      </c>
      <c r="F5819" t="s">
        <v>68</v>
      </c>
      <c r="G5819">
        <v>-422.33870000000002</v>
      </c>
      <c r="H5819" s="1">
        <v>-6.3301080000000002E-7</v>
      </c>
      <c r="I5819">
        <v>39.61354</v>
      </c>
      <c r="J5819">
        <v>-421.88040000000001</v>
      </c>
      <c r="K5819">
        <v>1.1103339999999999</v>
      </c>
      <c r="L5819">
        <v>90.416659999999993</v>
      </c>
      <c r="M5819">
        <v>-4.3907969999999998E-2</v>
      </c>
      <c r="N5819">
        <v>-1.0021510000000001E-2</v>
      </c>
      <c r="O5819">
        <v>-0.99898540000000002</v>
      </c>
      <c r="P5819">
        <v>5.9164670000000003E-2</v>
      </c>
      <c r="Q5819">
        <v>0.15914919999999999</v>
      </c>
      <c r="R5819">
        <v>-0.98548020000000003</v>
      </c>
      <c r="S5819">
        <v>-2.7984620000000002E-2</v>
      </c>
      <c r="T5819">
        <v>-6.6546679999999997E-2</v>
      </c>
      <c r="U5819">
        <v>-3.0563660000000001</v>
      </c>
      <c r="V5819">
        <v>-0.1023124</v>
      </c>
      <c r="W5819">
        <v>0.1690229</v>
      </c>
      <c r="X5819">
        <v>0.98028740000000003</v>
      </c>
      <c r="Y5819">
        <v>-3.4756460000000003E-2</v>
      </c>
      <c r="Z5819">
        <v>1.1711249999999999E-2</v>
      </c>
      <c r="AA5819">
        <v>0.99932719999999997</v>
      </c>
      <c r="AB5819">
        <v>25</v>
      </c>
      <c r="AC5819">
        <v>-0.45830000000000798</v>
      </c>
      <c r="AD5819">
        <v>-1.1103346330107999</v>
      </c>
      <c r="AE5819">
        <v>-50.8031199999999</v>
      </c>
      <c r="AF5819">
        <v>-1.77206934560393</v>
      </c>
      <c r="AG5819">
        <v>-1.1103346330107999</v>
      </c>
      <c r="AH5819">
        <v>50.750003845010497</v>
      </c>
      <c r="AI5819">
        <v>91.252583394918503</v>
      </c>
      <c r="AJ5819">
        <v>91.999819763061097</v>
      </c>
      <c r="AK5819">
        <v>50.793070029596301</v>
      </c>
      <c r="AL5819">
        <v>80.268986509502696</v>
      </c>
      <c r="AM5819">
        <v>95.958376570208998</v>
      </c>
      <c r="AN5819">
        <v>0.99999997725846401</v>
      </c>
    </row>
    <row r="5820" spans="1:40" x14ac:dyDescent="0.25">
      <c r="A5820" t="str">
        <f>"20190304154914060"</f>
        <v>20190304154914060</v>
      </c>
      <c r="B5820" t="str">
        <f>"1551685754053284"</f>
        <v>1551685754053284</v>
      </c>
      <c r="C5820" t="s">
        <v>40</v>
      </c>
      <c r="D5820">
        <v>4.1349980000000004</v>
      </c>
      <c r="E5820">
        <v>0.5241422</v>
      </c>
      <c r="F5820" t="s">
        <v>68</v>
      </c>
      <c r="G5820">
        <v>-422.29509999999999</v>
      </c>
      <c r="H5820" s="1">
        <v>-9.7509059999999998E-7</v>
      </c>
      <c r="I5820">
        <v>38.687530000000002</v>
      </c>
      <c r="J5820">
        <v>-421.88819999999998</v>
      </c>
      <c r="K5820">
        <v>1.1103430000000001</v>
      </c>
      <c r="L5820">
        <v>90.243129999999994</v>
      </c>
      <c r="M5820">
        <v>-4.4042539999999998E-2</v>
      </c>
      <c r="N5820">
        <v>-1.000675E-2</v>
      </c>
      <c r="O5820">
        <v>-0.99897970000000003</v>
      </c>
      <c r="P5820">
        <v>5.9246130000000001E-2</v>
      </c>
      <c r="Q5820">
        <v>0.15924059999999901</v>
      </c>
      <c r="R5820">
        <v>-0.98546060000000002</v>
      </c>
      <c r="S5820">
        <v>-2.4505619999999999E-2</v>
      </c>
      <c r="T5820">
        <v>-6.5601110000000004E-2</v>
      </c>
      <c r="U5820">
        <v>-3.0562740000000002</v>
      </c>
      <c r="V5820">
        <v>-0.1025293</v>
      </c>
      <c r="W5820">
        <v>0.1690972</v>
      </c>
      <c r="X5820">
        <v>0.98025200000000001</v>
      </c>
      <c r="Y5820">
        <v>-3.6028079999999997E-2</v>
      </c>
      <c r="Z5820">
        <v>1.1417170000000001E-2</v>
      </c>
      <c r="AA5820">
        <v>0.9992856</v>
      </c>
      <c r="AB5820">
        <v>25</v>
      </c>
      <c r="AC5820">
        <v>-0.40690000000000698</v>
      </c>
      <c r="AD5820">
        <v>-1.1103439750905999</v>
      </c>
      <c r="AE5820">
        <v>-51.555599999999998</v>
      </c>
      <c r="AF5820">
        <v>-1.8633835278993001</v>
      </c>
      <c r="AG5820">
        <v>-1.1103439750905999</v>
      </c>
      <c r="AH5820">
        <v>51.4996043448918</v>
      </c>
      <c r="AI5820">
        <v>91.234312114495694</v>
      </c>
      <c r="AJ5820">
        <v>92.072199560830697</v>
      </c>
      <c r="AK5820">
        <v>51.545264667042503</v>
      </c>
      <c r="AL5820">
        <v>80.264667994924594</v>
      </c>
      <c r="AM5820">
        <v>95.971131105531896</v>
      </c>
      <c r="AN5820">
        <v>1.00000005195516</v>
      </c>
    </row>
    <row r="5821" spans="1:40" x14ac:dyDescent="0.25">
      <c r="A5821" t="str">
        <f>"20190304154914074"</f>
        <v>20190304154914074</v>
      </c>
      <c r="B5821" t="str">
        <f>"1551685754063044"</f>
        <v>1551685754063044</v>
      </c>
      <c r="C5821" t="s">
        <v>40</v>
      </c>
      <c r="D5821">
        <v>4.1305189999999996</v>
      </c>
      <c r="E5821">
        <v>0.52402590000000004</v>
      </c>
      <c r="F5821" t="s">
        <v>68</v>
      </c>
      <c r="G5821">
        <v>-422.23500000000001</v>
      </c>
      <c r="H5821" s="1">
        <v>-1.581736E-6</v>
      </c>
      <c r="I5821">
        <v>37.624209999999998</v>
      </c>
      <c r="J5821">
        <v>-421.89600000000002</v>
      </c>
      <c r="K5821">
        <v>1.1103529999999999</v>
      </c>
      <c r="L5821">
        <v>90.067319999999995</v>
      </c>
      <c r="M5821">
        <v>-4.4166459999999998E-2</v>
      </c>
      <c r="N5821">
        <v>-9.99331E-3</v>
      </c>
      <c r="O5821">
        <v>-0.99897420000000003</v>
      </c>
      <c r="P5821">
        <v>5.9375339999999999E-2</v>
      </c>
      <c r="Q5821">
        <v>0.15897139999999901</v>
      </c>
      <c r="R5821">
        <v>-0.98549629999999999</v>
      </c>
      <c r="S5821">
        <v>-2.0141599999999999E-2</v>
      </c>
      <c r="T5821">
        <v>-6.4484600000000003E-2</v>
      </c>
      <c r="U5821">
        <v>-3.0559080000000001</v>
      </c>
      <c r="V5821">
        <v>-0.1027873</v>
      </c>
      <c r="W5821">
        <v>0.1688114</v>
      </c>
      <c r="X5821">
        <v>0.98027419999999998</v>
      </c>
      <c r="Y5821">
        <v>-3.7577800000000001E-2</v>
      </c>
      <c r="Z5821">
        <v>1.106768E-2</v>
      </c>
      <c r="AA5821">
        <v>0.99923240000000002</v>
      </c>
      <c r="AB5821">
        <v>25</v>
      </c>
      <c r="AC5821">
        <v>-0.33900000000005498</v>
      </c>
      <c r="AD5821">
        <v>-1.1103545817360001</v>
      </c>
      <c r="AE5821">
        <v>-52.443109999999997</v>
      </c>
      <c r="AF5821">
        <v>-1.9767869142158101</v>
      </c>
      <c r="AG5821">
        <v>-1.1103545817360001</v>
      </c>
      <c r="AH5821">
        <v>52.3834220277665</v>
      </c>
      <c r="AI5821">
        <v>91.213434963627094</v>
      </c>
      <c r="AJ5821">
        <v>92.161138476392196</v>
      </c>
      <c r="AK5821">
        <v>52.4324658693494</v>
      </c>
      <c r="AL5821">
        <v>80.281281585141102</v>
      </c>
      <c r="AM5821">
        <v>95.985913039802597</v>
      </c>
      <c r="AN5821">
        <v>1.0000000124984401</v>
      </c>
    </row>
    <row r="5822" spans="1:40" x14ac:dyDescent="0.25">
      <c r="A5822" t="str">
        <f>"20190304154914091"</f>
        <v>20190304154914091</v>
      </c>
      <c r="B5822" t="str">
        <f>"1551685754083540"</f>
        <v>1551685754083540</v>
      </c>
      <c r="C5822" t="s">
        <v>40</v>
      </c>
      <c r="D5822">
        <v>4.1126440000000004</v>
      </c>
      <c r="E5822">
        <v>0.52386250000000001</v>
      </c>
      <c r="F5822" t="s">
        <v>68</v>
      </c>
      <c r="G5822">
        <v>-422.22269999999997</v>
      </c>
      <c r="H5822" s="1">
        <v>-1.360387E-6</v>
      </c>
      <c r="I5822">
        <v>37.969769999999997</v>
      </c>
      <c r="J5822">
        <v>-421.90440000000001</v>
      </c>
      <c r="K5822">
        <v>1.1103700000000001</v>
      </c>
      <c r="L5822">
        <v>89.881709999999998</v>
      </c>
      <c r="M5822">
        <v>-4.4280199999999999E-2</v>
      </c>
      <c r="N5822">
        <v>-9.9807030000000005E-3</v>
      </c>
      <c r="O5822">
        <v>-0.99896940000000001</v>
      </c>
      <c r="P5822">
        <v>5.9309929999999997E-2</v>
      </c>
      <c r="Q5822">
        <v>0.15878159999999999</v>
      </c>
      <c r="R5822">
        <v>-0.98553089999999999</v>
      </c>
      <c r="S5822">
        <v>-1.9165040000000001E-2</v>
      </c>
      <c r="T5822">
        <v>-6.5128560000000002E-2</v>
      </c>
      <c r="U5822">
        <v>-3.0558169999999998</v>
      </c>
      <c r="V5822">
        <v>-0.1028415</v>
      </c>
      <c r="W5822">
        <v>0.16860559999999999</v>
      </c>
      <c r="X5822">
        <v>0.98030390000000001</v>
      </c>
      <c r="Y5822">
        <v>-3.801061E-2</v>
      </c>
      <c r="Z5822">
        <v>1.129077E-2</v>
      </c>
      <c r="AA5822">
        <v>0.99921360000000004</v>
      </c>
      <c r="AB5822">
        <v>26</v>
      </c>
      <c r="AC5822">
        <v>-0.318299999999965</v>
      </c>
      <c r="AD5822">
        <v>-1.110371360387</v>
      </c>
      <c r="AE5822">
        <v>-51.911940000000001</v>
      </c>
      <c r="AF5822">
        <v>-1.9798917862447301</v>
      </c>
      <c r="AG5822">
        <v>-1.110371360387</v>
      </c>
      <c r="AH5822">
        <v>51.851390530906301</v>
      </c>
      <c r="AI5822">
        <v>91.225879623794896</v>
      </c>
      <c r="AJ5822">
        <v>92.186717812464593</v>
      </c>
      <c r="AK5822">
        <v>51.901055827716696</v>
      </c>
      <c r="AL5822">
        <v>80.293244209221797</v>
      </c>
      <c r="AM5822">
        <v>95.988866361514397</v>
      </c>
      <c r="AN5822">
        <v>0.99999997941440899</v>
      </c>
    </row>
    <row r="5823" spans="1:40" x14ac:dyDescent="0.25">
      <c r="A5823" t="str">
        <f>"20190304154914112"</f>
        <v>20190304154914112</v>
      </c>
      <c r="B5823" t="str">
        <f>"1551685754103062"</f>
        <v>1551685754103062</v>
      </c>
      <c r="C5823" t="s">
        <v>40</v>
      </c>
      <c r="D5823">
        <v>4.1215840000000004</v>
      </c>
      <c r="E5823">
        <v>0.52369089999999996</v>
      </c>
      <c r="F5823" t="s">
        <v>68</v>
      </c>
      <c r="G5823">
        <v>-422.21359999999999</v>
      </c>
      <c r="H5823" s="1">
        <v>-1.6597449999999999E-6</v>
      </c>
      <c r="I5823">
        <v>37.496789999999997</v>
      </c>
      <c r="J5823">
        <v>-421.9153</v>
      </c>
      <c r="K5823">
        <v>1.11039</v>
      </c>
      <c r="L5823">
        <v>89.637699999999995</v>
      </c>
      <c r="M5823">
        <v>-4.439978E-2</v>
      </c>
      <c r="N5823">
        <v>-9.9668420000000001E-3</v>
      </c>
      <c r="O5823">
        <v>-0.99896419999999997</v>
      </c>
      <c r="P5823">
        <v>5.8943250000000003E-2</v>
      </c>
      <c r="Q5823">
        <v>0.15852539999999901</v>
      </c>
      <c r="R5823">
        <v>-0.98559399999999997</v>
      </c>
      <c r="S5823">
        <v>-1.8035889999999999E-2</v>
      </c>
      <c r="T5823">
        <v>-6.4767119999999997E-2</v>
      </c>
      <c r="U5823">
        <v>-3.0555729999999999</v>
      </c>
      <c r="V5823">
        <v>-0.10260469999999999</v>
      </c>
      <c r="W5823">
        <v>0.16833110000000001</v>
      </c>
      <c r="X5823">
        <v>0.98037589999999997</v>
      </c>
      <c r="Y5823">
        <v>-3.8498900000000003E-2</v>
      </c>
      <c r="Z5823">
        <v>1.1187900000000001E-2</v>
      </c>
      <c r="AA5823">
        <v>0.99919599999999997</v>
      </c>
      <c r="AB5823">
        <v>26</v>
      </c>
      <c r="AC5823">
        <v>-0.29829999999998302</v>
      </c>
      <c r="AD5823">
        <v>-1.1103916597450001</v>
      </c>
      <c r="AE5823">
        <v>-52.140909999999899</v>
      </c>
      <c r="AF5823">
        <v>-2.01623957963398</v>
      </c>
      <c r="AG5823">
        <v>-1.1103916597450001</v>
      </c>
      <c r="AH5823">
        <v>52.079112834755101</v>
      </c>
      <c r="AI5823">
        <v>91.220518372774507</v>
      </c>
      <c r="AJ5823">
        <v>92.217095249502194</v>
      </c>
      <c r="AK5823">
        <v>52.129954779720101</v>
      </c>
      <c r="AL5823">
        <v>80.309200103108907</v>
      </c>
      <c r="AM5823">
        <v>95.974740792051094</v>
      </c>
      <c r="AN5823">
        <v>0.99999999449505494</v>
      </c>
    </row>
    <row r="5824" spans="1:40" x14ac:dyDescent="0.25">
      <c r="A5824" t="str">
        <f>"20190304154914133"</f>
        <v>20190304154914133</v>
      </c>
      <c r="B5824" t="str">
        <f>"1551685754123556"</f>
        <v>1551685754123556</v>
      </c>
      <c r="C5824" t="s">
        <v>40</v>
      </c>
      <c r="D5824">
        <v>4.1154679999999999</v>
      </c>
      <c r="E5824">
        <v>0.52357140000000002</v>
      </c>
      <c r="F5824" t="s">
        <v>68</v>
      </c>
      <c r="G5824">
        <v>-422.21980000000002</v>
      </c>
      <c r="H5824" s="1">
        <v>-1.5335499999999999E-6</v>
      </c>
      <c r="I5824">
        <v>37.696710000000003</v>
      </c>
      <c r="J5824">
        <v>-421.92619999999999</v>
      </c>
      <c r="K5824">
        <v>1.11042</v>
      </c>
      <c r="L5824">
        <v>89.395319999999998</v>
      </c>
      <c r="M5824">
        <v>-4.4477950000000002E-2</v>
      </c>
      <c r="N5824">
        <v>-9.9604900000000007E-3</v>
      </c>
      <c r="O5824">
        <v>-0.99896090000000004</v>
      </c>
      <c r="P5824">
        <v>5.9251110000000003E-2</v>
      </c>
      <c r="Q5824">
        <v>0.15878729999999999</v>
      </c>
      <c r="R5824">
        <v>-0.98553360000000001</v>
      </c>
      <c r="S5824">
        <v>-1.791382E-2</v>
      </c>
      <c r="T5824">
        <v>-6.5318580000000001E-2</v>
      </c>
      <c r="U5824">
        <v>-3.0554199999999998</v>
      </c>
      <c r="V5824">
        <v>-0.10299759999999999</v>
      </c>
      <c r="W5824">
        <v>0.16857929999999999</v>
      </c>
      <c r="X5824">
        <v>0.9802921</v>
      </c>
      <c r="Y5824">
        <v>-3.861668E-2</v>
      </c>
      <c r="Z5824">
        <v>1.13752E-2</v>
      </c>
      <c r="AA5824">
        <v>0.99918940000000001</v>
      </c>
      <c r="AB5824">
        <v>26</v>
      </c>
      <c r="AC5824">
        <v>-0.29360000000002601</v>
      </c>
      <c r="AD5824">
        <v>-1.1104215335500001</v>
      </c>
      <c r="AE5824">
        <v>-51.698609999999903</v>
      </c>
      <c r="AF5824">
        <v>-2.0053273127890199</v>
      </c>
      <c r="AG5824">
        <v>-1.1104215335500001</v>
      </c>
      <c r="AH5824">
        <v>51.636680496780102</v>
      </c>
      <c r="AI5824">
        <v>91.231000160632902</v>
      </c>
      <c r="AJ5824">
        <v>92.223982659132204</v>
      </c>
      <c r="AK5824">
        <v>51.687533761441401</v>
      </c>
      <c r="AL5824">
        <v>80.294773600724398</v>
      </c>
      <c r="AM5824">
        <v>95.997962136246898</v>
      </c>
      <c r="AN5824">
        <v>1.0000000436583201</v>
      </c>
    </row>
    <row r="5825" spans="1:40" x14ac:dyDescent="0.25">
      <c r="A5825" t="str">
        <f>"20190304154914148"</f>
        <v>20190304154914148</v>
      </c>
      <c r="B5825" t="str">
        <f>"1551685754143075"</f>
        <v>1551685754143075</v>
      </c>
      <c r="C5825" t="s">
        <v>40</v>
      </c>
      <c r="D5825">
        <v>4.1236990000000002</v>
      </c>
      <c r="E5825">
        <v>0.52344609999999903</v>
      </c>
      <c r="F5825" t="s">
        <v>68</v>
      </c>
      <c r="G5825">
        <v>-422.21</v>
      </c>
      <c r="H5825" s="1">
        <v>-2.424129E-6</v>
      </c>
      <c r="I5825">
        <v>36.293430000000001</v>
      </c>
      <c r="J5825">
        <v>-421.93400000000003</v>
      </c>
      <c r="K5825">
        <v>1.1104400000000001</v>
      </c>
      <c r="L5825">
        <v>89.222139999999996</v>
      </c>
      <c r="M5825">
        <v>-4.4512219999999998E-2</v>
      </c>
      <c r="N5825">
        <v>-9.9597739999999994E-3</v>
      </c>
      <c r="O5825">
        <v>-0.99895940000000005</v>
      </c>
      <c r="P5825">
        <v>5.9086710000000001E-2</v>
      </c>
      <c r="Q5825">
        <v>0.1587614</v>
      </c>
      <c r="R5825">
        <v>-0.98554790000000003</v>
      </c>
      <c r="S5825">
        <v>-1.6326899999999998E-2</v>
      </c>
      <c r="T5825">
        <v>-6.3889860000000007E-2</v>
      </c>
      <c r="U5825">
        <v>-3.0552980000000001</v>
      </c>
      <c r="V5825">
        <v>-0.1028752</v>
      </c>
      <c r="W5825">
        <v>0.1685478</v>
      </c>
      <c r="X5825">
        <v>0.98031029999999997</v>
      </c>
      <c r="Y5825">
        <v>-3.916965E-2</v>
      </c>
      <c r="Z5825">
        <v>1.090991E-2</v>
      </c>
      <c r="AA5825">
        <v>0.99917299999999998</v>
      </c>
      <c r="AB5825">
        <v>26</v>
      </c>
      <c r="AC5825">
        <v>-0.27599999999995301</v>
      </c>
      <c r="AD5825">
        <v>-1.1104424241289901</v>
      </c>
      <c r="AE5825">
        <v>-52.928710000000002</v>
      </c>
      <c r="AF5825">
        <v>-2.0794490774688201</v>
      </c>
      <c r="AG5825">
        <v>-1.1104424241289901</v>
      </c>
      <c r="AH5825">
        <v>52.865261489005299</v>
      </c>
      <c r="AI5825">
        <v>91.202399573961898</v>
      </c>
      <c r="AJ5825">
        <v>92.252561735258794</v>
      </c>
      <c r="AK5825">
        <v>52.917795335255597</v>
      </c>
      <c r="AL5825">
        <v>80.296603954984306</v>
      </c>
      <c r="AM5825">
        <v>95.990775748713006</v>
      </c>
      <c r="AN5825">
        <v>0.99999997597298396</v>
      </c>
    </row>
    <row r="5826" spans="1:40" x14ac:dyDescent="0.25">
      <c r="A5826" t="str">
        <f>"20190304154914167"</f>
        <v>20190304154914167</v>
      </c>
      <c r="B5826" t="str">
        <f>"1551685754163573"</f>
        <v>1551685754163573</v>
      </c>
      <c r="C5826" t="s">
        <v>40</v>
      </c>
      <c r="D5826">
        <v>4.1334660000000003</v>
      </c>
      <c r="E5826">
        <v>0.52335909999999997</v>
      </c>
      <c r="F5826" t="s">
        <v>68</v>
      </c>
      <c r="G5826">
        <v>-422.2088</v>
      </c>
      <c r="H5826" s="1">
        <v>-2.6063389999999999E-6</v>
      </c>
      <c r="I5826">
        <v>36.006520000000002</v>
      </c>
      <c r="J5826">
        <v>-421.9436</v>
      </c>
      <c r="K5826">
        <v>1.110457</v>
      </c>
      <c r="L5826">
        <v>89.007170000000002</v>
      </c>
      <c r="M5826">
        <v>-4.4535459999999999E-2</v>
      </c>
      <c r="N5826">
        <v>-9.9605749999999993E-3</v>
      </c>
      <c r="O5826">
        <v>-0.99895849999999997</v>
      </c>
      <c r="P5826">
        <v>5.9277509999999999E-2</v>
      </c>
      <c r="Q5826">
        <v>0.15850059999999999</v>
      </c>
      <c r="R5826">
        <v>-0.98557810000000001</v>
      </c>
      <c r="S5826">
        <v>-1.5777590000000001E-2</v>
      </c>
      <c r="T5826">
        <v>-6.3752530000000002E-2</v>
      </c>
      <c r="U5826">
        <v>-3.0552060000000001</v>
      </c>
      <c r="V5826">
        <v>-0.1030997</v>
      </c>
      <c r="W5826">
        <v>0.16828270000000001</v>
      </c>
      <c r="X5826">
        <v>0.98033230000000005</v>
      </c>
      <c r="Y5826">
        <v>-3.9372339999999999E-2</v>
      </c>
      <c r="Z5826">
        <v>1.0864739999999999E-2</v>
      </c>
      <c r="AA5826">
        <v>0.99916550000000004</v>
      </c>
      <c r="AB5826">
        <v>26</v>
      </c>
      <c r="AC5826">
        <v>-0.265199999999993</v>
      </c>
      <c r="AD5826">
        <v>-1.110459606339</v>
      </c>
      <c r="AE5826">
        <v>-53.00065</v>
      </c>
      <c r="AF5826">
        <v>-2.09466826147926</v>
      </c>
      <c r="AG5826">
        <v>-1.110459606339</v>
      </c>
      <c r="AH5826">
        <v>52.936631723329697</v>
      </c>
      <c r="AI5826">
        <v>91.200786437104398</v>
      </c>
      <c r="AJ5826">
        <v>92.265974774373205</v>
      </c>
      <c r="AK5826">
        <v>52.989694600690001</v>
      </c>
      <c r="AL5826">
        <v>80.312013569412599</v>
      </c>
      <c r="AM5826">
        <v>96.003620021075093</v>
      </c>
      <c r="AN5826">
        <v>1.0000000168413301</v>
      </c>
    </row>
    <row r="5827" spans="1:40" x14ac:dyDescent="0.25">
      <c r="A5827" t="str">
        <f>"20190304154914190"</f>
        <v>20190304154914190</v>
      </c>
      <c r="B5827" t="str">
        <f>"1551685754183092"</f>
        <v>1551685754183092</v>
      </c>
      <c r="C5827" t="s">
        <v>40</v>
      </c>
      <c r="D5827">
        <v>4.1285339999999904</v>
      </c>
      <c r="E5827">
        <v>0.52324999999999999</v>
      </c>
      <c r="F5827" t="s">
        <v>68</v>
      </c>
      <c r="G5827">
        <v>-422.20530000000002</v>
      </c>
      <c r="H5827" s="1">
        <v>-2.4950790000000001E-6</v>
      </c>
      <c r="I5827">
        <v>36.180790000000002</v>
      </c>
      <c r="J5827">
        <v>-421.9554</v>
      </c>
      <c r="K5827">
        <v>1.110479</v>
      </c>
      <c r="L5827">
        <v>88.741789999999995</v>
      </c>
      <c r="M5827">
        <v>-4.4536289999999999E-2</v>
      </c>
      <c r="N5827">
        <v>-9.9623579999999993E-3</v>
      </c>
      <c r="O5827">
        <v>-0.99895820000000002</v>
      </c>
      <c r="P5827">
        <v>5.9674690000000002E-2</v>
      </c>
      <c r="Q5827">
        <v>0.15830659999999999</v>
      </c>
      <c r="R5827">
        <v>-0.9855853</v>
      </c>
      <c r="S5827">
        <v>-1.5136719999999999E-2</v>
      </c>
      <c r="T5827">
        <v>-6.4221979999999998E-2</v>
      </c>
      <c r="U5827">
        <v>-3.055145</v>
      </c>
      <c r="V5827">
        <v>-0.1035066</v>
      </c>
      <c r="W5827">
        <v>0.16808480000000001</v>
      </c>
      <c r="X5827">
        <v>0.98032339999999996</v>
      </c>
      <c r="Y5827">
        <v>-3.9582609999999997E-2</v>
      </c>
      <c r="Z5827">
        <v>1.101654E-2</v>
      </c>
      <c r="AA5827">
        <v>0.99915560000000003</v>
      </c>
      <c r="AB5827">
        <v>26</v>
      </c>
      <c r="AC5827">
        <v>-0.24990000000002499</v>
      </c>
      <c r="AD5827">
        <v>-1.1104814950790001</v>
      </c>
      <c r="AE5827">
        <v>-52.561</v>
      </c>
      <c r="AF5827">
        <v>-2.0904027703715502</v>
      </c>
      <c r="AG5827">
        <v>-1.1104814950790001</v>
      </c>
      <c r="AH5827">
        <v>52.496539879281201</v>
      </c>
      <c r="AI5827">
        <v>91.210861794958603</v>
      </c>
      <c r="AJ5827">
        <v>92.280302908242902</v>
      </c>
      <c r="AK5827">
        <v>52.549877756187499</v>
      </c>
      <c r="AL5827">
        <v>80.323516501900997</v>
      </c>
      <c r="AM5827">
        <v>96.027194544853401</v>
      </c>
      <c r="AN5827">
        <v>1.00000004241107</v>
      </c>
    </row>
    <row r="5828" spans="1:40" x14ac:dyDescent="0.25">
      <c r="A5828" t="str">
        <f>"20190304154914213"</f>
        <v>20190304154914213</v>
      </c>
      <c r="B5828" t="str">
        <f>"1551685754202612"</f>
        <v>1551685754202612</v>
      </c>
      <c r="C5828" t="s">
        <v>40</v>
      </c>
      <c r="D5828">
        <v>4.0751119999999998</v>
      </c>
      <c r="E5828">
        <v>0.52318299999999995</v>
      </c>
      <c r="F5828" t="s">
        <v>68</v>
      </c>
      <c r="G5828">
        <v>-422.17660000000001</v>
      </c>
      <c r="H5828" s="1">
        <v>-2.4312710000000002E-6</v>
      </c>
      <c r="I5828">
        <v>36.274889999999999</v>
      </c>
      <c r="J5828">
        <v>-421.9667</v>
      </c>
      <c r="K5828">
        <v>1.1105</v>
      </c>
      <c r="L5828">
        <v>88.489040000000003</v>
      </c>
      <c r="M5828">
        <v>-4.4499419999999998E-2</v>
      </c>
      <c r="N5828">
        <v>-9.9697659999999997E-3</v>
      </c>
      <c r="O5828">
        <v>-0.99895990000000001</v>
      </c>
      <c r="P5828">
        <v>6.0300010000000001E-2</v>
      </c>
      <c r="Q5828">
        <v>0.158237299999999</v>
      </c>
      <c r="R5828">
        <v>-0.98555859999999995</v>
      </c>
      <c r="S5828">
        <v>-1.287842E-2</v>
      </c>
      <c r="T5828">
        <v>-6.4660670000000003E-2</v>
      </c>
      <c r="U5828">
        <v>-3.0550229999999998</v>
      </c>
      <c r="V5828">
        <v>-0.104102399999999</v>
      </c>
      <c r="W5828">
        <v>0.1680171</v>
      </c>
      <c r="X5828">
        <v>0.98027189999999997</v>
      </c>
      <c r="Y5828">
        <v>-4.0283949999999999E-2</v>
      </c>
      <c r="Z5828">
        <v>1.1152850000000001E-2</v>
      </c>
      <c r="AA5828">
        <v>0.99912599999999996</v>
      </c>
      <c r="AB5828">
        <v>26</v>
      </c>
      <c r="AC5828">
        <v>-0.209900000000004</v>
      </c>
      <c r="AD5828">
        <v>-1.1105024312709999</v>
      </c>
      <c r="AE5828">
        <v>-52.214149999999997</v>
      </c>
      <c r="AF5828">
        <v>-2.1129665062032799</v>
      </c>
      <c r="AG5828">
        <v>-1.1105024312709999</v>
      </c>
      <c r="AH5828">
        <v>52.148174770837201</v>
      </c>
      <c r="AI5828">
        <v>91.218937103152797</v>
      </c>
      <c r="AJ5828">
        <v>92.320270584161605</v>
      </c>
      <c r="AK5828">
        <v>52.202777464766903</v>
      </c>
      <c r="AL5828">
        <v>80.327451233813903</v>
      </c>
      <c r="AM5828">
        <v>96.061946528647695</v>
      </c>
      <c r="AN5828">
        <v>1.00000002675388</v>
      </c>
    </row>
    <row r="5829" spans="1:40" x14ac:dyDescent="0.25">
      <c r="A5829" t="str">
        <f>"20190304154914227"</f>
        <v>20190304154914227</v>
      </c>
      <c r="B5829" t="str">
        <f>"1551685754223108"</f>
        <v>1551685754223108</v>
      </c>
      <c r="C5829" t="s">
        <v>40</v>
      </c>
      <c r="D5829">
        <v>4.0696279999999998</v>
      </c>
      <c r="E5829">
        <v>0.52310820000000002</v>
      </c>
      <c r="F5829" t="s">
        <v>68</v>
      </c>
      <c r="G5829">
        <v>-422.14850000000001</v>
      </c>
      <c r="H5829" s="1">
        <v>-2.5768699999999999E-6</v>
      </c>
      <c r="I5829">
        <v>36.039679999999997</v>
      </c>
      <c r="J5829">
        <v>-421.97460000000001</v>
      </c>
      <c r="K5829">
        <v>1.1105149999999999</v>
      </c>
      <c r="L5829">
        <v>88.310969999999998</v>
      </c>
      <c r="M5829">
        <v>-4.4447019999999997E-2</v>
      </c>
      <c r="N5829">
        <v>-9.9787049999999992E-3</v>
      </c>
      <c r="O5829">
        <v>-0.99896189999999996</v>
      </c>
      <c r="P5829">
        <v>6.0734059999999999E-2</v>
      </c>
      <c r="Q5829">
        <v>0.15805839999999999</v>
      </c>
      <c r="R5829">
        <v>-0.9855602</v>
      </c>
      <c r="S5829">
        <v>-1.0589599999999999E-2</v>
      </c>
      <c r="T5829">
        <v>-6.4682249999999997E-2</v>
      </c>
      <c r="U5829">
        <v>-3.0549620000000002</v>
      </c>
      <c r="V5829">
        <v>-0.1044916</v>
      </c>
      <c r="W5829">
        <v>0.1678422</v>
      </c>
      <c r="X5829">
        <v>0.98026040000000003</v>
      </c>
      <c r="Y5829">
        <v>-4.0979889999999998E-2</v>
      </c>
      <c r="Z5829">
        <v>1.1151009999999999E-2</v>
      </c>
      <c r="AA5829">
        <v>0.99909780000000004</v>
      </c>
      <c r="AB5829">
        <v>26</v>
      </c>
      <c r="AC5829">
        <v>-0.173900000000003</v>
      </c>
      <c r="AD5829">
        <v>-1.11051757687</v>
      </c>
      <c r="AE5829">
        <v>-52.27129</v>
      </c>
      <c r="AF5829">
        <v>-2.1487207995837201</v>
      </c>
      <c r="AG5829">
        <v>-1.11051757687</v>
      </c>
      <c r="AH5829">
        <v>52.203794581649298</v>
      </c>
      <c r="AI5829">
        <v>91.217623547548399</v>
      </c>
      <c r="AJ5829">
        <v>92.356977693837607</v>
      </c>
      <c r="AK5829">
        <v>52.259797350220701</v>
      </c>
      <c r="AL5829">
        <v>80.337616121273797</v>
      </c>
      <c r="AM5829">
        <v>96.084511040374295</v>
      </c>
      <c r="AN5829">
        <v>0.99999997518977901</v>
      </c>
    </row>
    <row r="5830" spans="1:40" x14ac:dyDescent="0.25">
      <c r="A5830" t="str">
        <f>"20190304154914246"</f>
        <v>20190304154914246</v>
      </c>
      <c r="B5830" t="str">
        <f>"1551685754242628"</f>
        <v>1551685754242628</v>
      </c>
      <c r="C5830" t="s">
        <v>40</v>
      </c>
      <c r="D5830">
        <v>4.0694169999999996</v>
      </c>
      <c r="E5830">
        <v>0.52301379999999997</v>
      </c>
      <c r="F5830" t="s">
        <v>68</v>
      </c>
      <c r="G5830">
        <v>-422.12470000000002</v>
      </c>
      <c r="H5830" s="1">
        <v>-2.6329580000000001E-6</v>
      </c>
      <c r="I5830">
        <v>35.946219999999997</v>
      </c>
      <c r="J5830">
        <v>-421.98360000000002</v>
      </c>
      <c r="K5830">
        <v>1.110535</v>
      </c>
      <c r="L5830">
        <v>88.107209999999995</v>
      </c>
      <c r="M5830">
        <v>-4.436706E-2</v>
      </c>
      <c r="N5830">
        <v>-9.9896640000000005E-3</v>
      </c>
      <c r="O5830">
        <v>-0.99896569999999996</v>
      </c>
      <c r="P5830">
        <v>6.1608709999999997E-2</v>
      </c>
      <c r="Q5830">
        <v>0.1574797</v>
      </c>
      <c r="R5830">
        <v>-0.98559909999999995</v>
      </c>
      <c r="S5830">
        <v>-8.7585449999999995E-3</v>
      </c>
      <c r="T5830">
        <v>-6.4785720000000005E-2</v>
      </c>
      <c r="U5830">
        <v>-3.0548709999999999</v>
      </c>
      <c r="V5830">
        <v>-0.1052971</v>
      </c>
      <c r="W5830">
        <v>0.16726869999999999</v>
      </c>
      <c r="X5830">
        <v>0.98027220000000004</v>
      </c>
      <c r="Y5830">
        <v>-4.1498550000000002E-2</v>
      </c>
      <c r="Z5830">
        <v>1.117426E-2</v>
      </c>
      <c r="AA5830">
        <v>0.99907610000000002</v>
      </c>
      <c r="AB5830">
        <v>26</v>
      </c>
      <c r="AC5830">
        <v>-0.14109999999999401</v>
      </c>
      <c r="AD5830">
        <v>-1.1105376329579999</v>
      </c>
      <c r="AE5830">
        <v>-52.160989999999899</v>
      </c>
      <c r="AF5830">
        <v>-2.1723986836365698</v>
      </c>
      <c r="AG5830">
        <v>-1.1105376329579999</v>
      </c>
      <c r="AH5830">
        <v>52.092269669982997</v>
      </c>
      <c r="AI5830">
        <v>91.220224235157104</v>
      </c>
      <c r="AJ5830">
        <v>92.388016414349096</v>
      </c>
      <c r="AK5830">
        <v>52.149373622749401</v>
      </c>
      <c r="AL5830">
        <v>80.370946128909793</v>
      </c>
      <c r="AM5830">
        <v>96.130985914940197</v>
      </c>
      <c r="AN5830">
        <v>0.99999994168046802</v>
      </c>
    </row>
    <row r="5831" spans="1:40" x14ac:dyDescent="0.25">
      <c r="A5831" t="str">
        <f>"20190304154914261"</f>
        <v>20190304154914261</v>
      </c>
      <c r="B5831" t="str">
        <f>"1551685754253364"</f>
        <v>1551685754253364</v>
      </c>
      <c r="C5831" t="s">
        <v>40</v>
      </c>
      <c r="D5831">
        <v>4.0448779999999998</v>
      </c>
      <c r="E5831">
        <v>0.52299899999999999</v>
      </c>
      <c r="F5831" t="s">
        <v>68</v>
      </c>
      <c r="G5831">
        <v>-422.0718</v>
      </c>
      <c r="H5831" s="1">
        <v>-2.108184E-6</v>
      </c>
      <c r="I5831">
        <v>36.76023</v>
      </c>
      <c r="J5831">
        <v>-421.9914</v>
      </c>
      <c r="K5831">
        <v>1.110549</v>
      </c>
      <c r="L5831">
        <v>87.92841</v>
      </c>
      <c r="M5831">
        <v>-4.4276210000000003E-2</v>
      </c>
      <c r="N5831">
        <v>-9.9990989999999991E-3</v>
      </c>
      <c r="O5831">
        <v>-0.99896929999999995</v>
      </c>
      <c r="P5831">
        <v>6.2001550000000002E-2</v>
      </c>
      <c r="Q5831">
        <v>0.15736600000000001</v>
      </c>
      <c r="R5831">
        <v>-0.98559220000000003</v>
      </c>
      <c r="S5831">
        <v>-5.2490230000000002E-3</v>
      </c>
      <c r="T5831">
        <v>-6.6067699999999993E-2</v>
      </c>
      <c r="U5831">
        <v>-3.0547179999999998</v>
      </c>
      <c r="V5831">
        <v>-0.1056081</v>
      </c>
      <c r="W5831">
        <v>0.16715920000000001</v>
      </c>
      <c r="X5831">
        <v>0.9802575</v>
      </c>
      <c r="Y5831">
        <v>-4.2555089999999997E-2</v>
      </c>
      <c r="Z5831">
        <v>1.1583950000000001E-2</v>
      </c>
      <c r="AA5831">
        <v>0.999027</v>
      </c>
      <c r="AB5831">
        <v>26</v>
      </c>
      <c r="AC5831">
        <v>-8.0399999999997293E-2</v>
      </c>
      <c r="AD5831">
        <v>-1.110551108184</v>
      </c>
      <c r="AE5831">
        <v>-51.16818</v>
      </c>
      <c r="AF5831">
        <v>-2.1842962367172798</v>
      </c>
      <c r="AG5831">
        <v>-1.110551108184</v>
      </c>
      <c r="AH5831">
        <v>51.097485778742097</v>
      </c>
      <c r="AI5831">
        <v>91.243932926416207</v>
      </c>
      <c r="AJ5831">
        <v>92.447768323721405</v>
      </c>
      <c r="AK5831">
        <v>51.156207118221502</v>
      </c>
      <c r="AL5831">
        <v>80.377310348618806</v>
      </c>
      <c r="AM5831">
        <v>96.149047059009703</v>
      </c>
      <c r="AN5831">
        <v>1.00000001761824</v>
      </c>
    </row>
    <row r="5832" spans="1:40" x14ac:dyDescent="0.25">
      <c r="A5832" t="str">
        <f>"20190304154914279"</f>
        <v>20190304154914279</v>
      </c>
      <c r="B5832" t="str">
        <f>"1551685754272887"</f>
        <v>1551685754272887</v>
      </c>
      <c r="C5832" t="s">
        <v>40</v>
      </c>
      <c r="D5832">
        <v>4.0591439999999999</v>
      </c>
      <c r="E5832">
        <v>0.52303699999999997</v>
      </c>
      <c r="F5832" t="s">
        <v>68</v>
      </c>
      <c r="G5832">
        <v>-422.06229999999999</v>
      </c>
      <c r="H5832" s="1">
        <v>-2.2838730000000002E-6</v>
      </c>
      <c r="I5832">
        <v>36.481760000000001</v>
      </c>
      <c r="J5832">
        <v>-422.00060000000002</v>
      </c>
      <c r="K5832">
        <v>1.1105750000000001</v>
      </c>
      <c r="L5832">
        <v>87.719300000000004</v>
      </c>
      <c r="M5832">
        <v>-4.414423E-2</v>
      </c>
      <c r="N5832">
        <v>-1.00097E-2</v>
      </c>
      <c r="O5832">
        <v>-0.99897499999999995</v>
      </c>
      <c r="P5832">
        <v>6.3185950000000005E-2</v>
      </c>
      <c r="Q5832">
        <v>0.15703800000000001</v>
      </c>
      <c r="R5832">
        <v>-0.98556940000000004</v>
      </c>
      <c r="S5832">
        <v>-4.2114259999999999E-3</v>
      </c>
      <c r="T5832">
        <v>-6.5938590000000005E-2</v>
      </c>
      <c r="U5832">
        <v>-3.0546259999999998</v>
      </c>
      <c r="V5832">
        <v>-0.1066713</v>
      </c>
      <c r="W5832">
        <v>0.1668338</v>
      </c>
      <c r="X5832">
        <v>0.98019780000000001</v>
      </c>
      <c r="Y5832">
        <v>-4.2762370000000001E-2</v>
      </c>
      <c r="Z5832">
        <v>1.153186E-2</v>
      </c>
      <c r="AA5832">
        <v>0.99901870000000004</v>
      </c>
      <c r="AB5832">
        <v>26</v>
      </c>
      <c r="AC5832">
        <v>-6.1699999999973401E-2</v>
      </c>
      <c r="AD5832">
        <v>-1.1105772838729999</v>
      </c>
      <c r="AE5832">
        <v>-51.237540000000003</v>
      </c>
      <c r="AF5832">
        <v>-2.1992820311469199</v>
      </c>
      <c r="AG5832">
        <v>-1.1105772838729999</v>
      </c>
      <c r="AH5832">
        <v>51.1662725254821</v>
      </c>
      <c r="AI5832">
        <v>91.242277898065396</v>
      </c>
      <c r="AJ5832">
        <v>92.461231889311605</v>
      </c>
      <c r="AK5832">
        <v>51.225556780848002</v>
      </c>
      <c r="AL5832">
        <v>80.396219811679998</v>
      </c>
      <c r="AM5832">
        <v>96.210845968583698</v>
      </c>
      <c r="AN5832">
        <v>1.00000000509548</v>
      </c>
    </row>
    <row r="5833" spans="1:40" x14ac:dyDescent="0.25">
      <c r="A5833" t="str">
        <f>"20190304154914302"</f>
        <v>20190304154914302</v>
      </c>
      <c r="B5833" t="str">
        <f>"1551685754293380"</f>
        <v>1551685754293380</v>
      </c>
      <c r="C5833" t="s">
        <v>40</v>
      </c>
      <c r="D5833">
        <v>3.9618890000000002</v>
      </c>
      <c r="E5833">
        <v>0.4807574</v>
      </c>
      <c r="F5833" t="s">
        <v>68</v>
      </c>
      <c r="G5833">
        <v>-422.03820000000002</v>
      </c>
      <c r="H5833" s="1">
        <v>-2.9718480000000001E-6</v>
      </c>
      <c r="I5833">
        <v>35.394109999999998</v>
      </c>
      <c r="J5833">
        <v>-422.01190000000003</v>
      </c>
      <c r="K5833">
        <v>1.110617</v>
      </c>
      <c r="L5833">
        <v>87.458619999999996</v>
      </c>
      <c r="M5833">
        <v>-4.3937480000000001E-2</v>
      </c>
      <c r="N5833">
        <v>-1.00225E-2</v>
      </c>
      <c r="O5833">
        <v>-0.99898410000000004</v>
      </c>
      <c r="P5833">
        <v>6.3938060000000005E-2</v>
      </c>
      <c r="Q5833">
        <v>0.15723419999999999</v>
      </c>
      <c r="R5833">
        <v>-0.98548950000000002</v>
      </c>
      <c r="S5833">
        <v>-2.1972659999999998E-3</v>
      </c>
      <c r="T5833">
        <v>-6.4828520000000001E-2</v>
      </c>
      <c r="U5833">
        <v>-3.0544129999999998</v>
      </c>
      <c r="V5833">
        <v>-0.1072303</v>
      </c>
      <c r="W5833">
        <v>0.16703270000000001</v>
      </c>
      <c r="X5833">
        <v>0.9801029</v>
      </c>
      <c r="Y5833">
        <v>-4.3214280000000001E-2</v>
      </c>
      <c r="Z5833">
        <v>1.115796E-2</v>
      </c>
      <c r="AA5833">
        <v>0.99900350000000004</v>
      </c>
      <c r="AB5833">
        <v>26</v>
      </c>
      <c r="AC5833">
        <v>-2.6299999999992E-2</v>
      </c>
      <c r="AD5833">
        <v>-1.1106199718480001</v>
      </c>
      <c r="AE5833">
        <v>-52.064509999999999</v>
      </c>
      <c r="AF5833">
        <v>-2.2603948949118098</v>
      </c>
      <c r="AG5833">
        <v>-1.1106199718480001</v>
      </c>
      <c r="AH5833">
        <v>51.9917227789118</v>
      </c>
      <c r="AI5833">
        <v>91.222581797575401</v>
      </c>
      <c r="AJ5833">
        <v>92.489426658857496</v>
      </c>
      <c r="AK5833">
        <v>52.052685803155498</v>
      </c>
      <c r="AL5833">
        <v>80.384661227872897</v>
      </c>
      <c r="AM5833">
        <v>96.243736646656501</v>
      </c>
      <c r="AN5833">
        <v>0.99999997734789403</v>
      </c>
    </row>
    <row r="5834" spans="1:40" x14ac:dyDescent="0.25">
      <c r="A5834" t="str">
        <f>"20190304154914323"</f>
        <v>20190304154914323</v>
      </c>
      <c r="B5834" t="str">
        <f>"1551685754312901"</f>
        <v>1551685754312901</v>
      </c>
      <c r="C5834" t="s">
        <v>40</v>
      </c>
      <c r="D5834">
        <v>3.8978459999999999</v>
      </c>
      <c r="E5834">
        <v>0.47612120000000002</v>
      </c>
      <c r="F5834" t="s">
        <v>68</v>
      </c>
      <c r="G5834">
        <v>-416.6687</v>
      </c>
      <c r="H5834" s="1">
        <v>-1.0347889999999999E-6</v>
      </c>
      <c r="I5834">
        <v>39.362670000000001</v>
      </c>
      <c r="J5834">
        <v>-422.02269999999999</v>
      </c>
      <c r="K5834">
        <v>1.1106499999999999</v>
      </c>
      <c r="L5834">
        <v>87.207089999999994</v>
      </c>
      <c r="M5834">
        <v>-4.3695699999999997E-2</v>
      </c>
      <c r="N5834">
        <v>-1.003452E-2</v>
      </c>
      <c r="O5834">
        <v>-0.99899459999999995</v>
      </c>
      <c r="P5834">
        <v>6.4647060000000006E-2</v>
      </c>
      <c r="Q5834">
        <v>0.15797</v>
      </c>
      <c r="R5834">
        <v>-0.98532560000000002</v>
      </c>
      <c r="S5834">
        <v>0.33700560000000002</v>
      </c>
      <c r="T5834">
        <v>-7.004821E-2</v>
      </c>
      <c r="U5834">
        <v>-3.0334780000000001</v>
      </c>
      <c r="V5834">
        <v>-0.107707399999999</v>
      </c>
      <c r="W5834">
        <v>0.1677698</v>
      </c>
      <c r="X5834">
        <v>0.97992469999999998</v>
      </c>
      <c r="Y5834">
        <v>-0.15370690000000001</v>
      </c>
      <c r="Z5834">
        <v>1.2787730000000001E-2</v>
      </c>
      <c r="AA5834">
        <v>0.98803370000000001</v>
      </c>
      <c r="AB5834">
        <v>26</v>
      </c>
      <c r="AC5834">
        <v>5.3539999999999797</v>
      </c>
      <c r="AD5834">
        <v>-1.110651034789</v>
      </c>
      <c r="AE5834">
        <v>-47.84442</v>
      </c>
      <c r="AF5834">
        <v>-7.4356289060836502</v>
      </c>
      <c r="AG5834">
        <v>-1.110651034789</v>
      </c>
      <c r="AH5834">
        <v>47.539458774863398</v>
      </c>
      <c r="AI5834">
        <v>91.322271294507004</v>
      </c>
      <c r="AJ5834">
        <v>98.889586790243499</v>
      </c>
      <c r="AK5834">
        <v>48.1302634893785</v>
      </c>
      <c r="AL5834">
        <v>80.341824281798196</v>
      </c>
      <c r="AM5834">
        <v>96.272427404584207</v>
      </c>
      <c r="AN5834">
        <v>1.00000000373844</v>
      </c>
    </row>
    <row r="5835" spans="1:40" x14ac:dyDescent="0.25">
      <c r="A5835" t="str">
        <f>"20190304154914346"</f>
        <v>20190304154914346</v>
      </c>
      <c r="B5835" t="str">
        <f>"1551685754343156"</f>
        <v>1551685754343156</v>
      </c>
      <c r="C5835" t="s">
        <v>40</v>
      </c>
      <c r="D5835">
        <v>3.888398</v>
      </c>
      <c r="E5835">
        <v>0.47419420000000001</v>
      </c>
      <c r="F5835" t="s">
        <v>68</v>
      </c>
      <c r="G5835">
        <v>-415.80599999999998</v>
      </c>
      <c r="H5835" s="1">
        <v>-2.748224E-6</v>
      </c>
      <c r="I5835">
        <v>37.028109999999998</v>
      </c>
      <c r="J5835">
        <v>-422.03370000000001</v>
      </c>
      <c r="K5835">
        <v>1.1106849999999999</v>
      </c>
      <c r="L5835">
        <v>86.948300000000003</v>
      </c>
      <c r="M5835">
        <v>-4.340401E-2</v>
      </c>
      <c r="N5835">
        <v>-1.004622E-2</v>
      </c>
      <c r="O5835">
        <v>-0.99900710000000004</v>
      </c>
      <c r="P5835">
        <v>6.5980639999999993E-2</v>
      </c>
      <c r="Q5835">
        <v>0.15838050000000001</v>
      </c>
      <c r="R5835">
        <v>-0.98517129999999997</v>
      </c>
      <c r="S5835">
        <v>0.3754883</v>
      </c>
      <c r="T5835">
        <v>-6.7083719999999999E-2</v>
      </c>
      <c r="U5835">
        <v>-3.0308229999999998</v>
      </c>
      <c r="V5835">
        <v>-0.1087593</v>
      </c>
      <c r="W5835">
        <v>0.1681811</v>
      </c>
      <c r="X5835">
        <v>0.979738</v>
      </c>
      <c r="Y5835">
        <v>-0.16587569999999999</v>
      </c>
      <c r="Z5835">
        <v>1.1788470000000001E-2</v>
      </c>
      <c r="AA5835">
        <v>0.98607619999999896</v>
      </c>
      <c r="AB5835">
        <v>26</v>
      </c>
      <c r="AC5835">
        <v>6.22770000000002</v>
      </c>
      <c r="AD5835">
        <v>-1.1106877482240001</v>
      </c>
      <c r="AE5835">
        <v>-49.920189999999998</v>
      </c>
      <c r="AF5835">
        <v>-8.3845891720614496</v>
      </c>
      <c r="AG5835">
        <v>-1.1106877482240001</v>
      </c>
      <c r="AH5835">
        <v>49.578652962677801</v>
      </c>
      <c r="AI5835">
        <v>91.265394375070002</v>
      </c>
      <c r="AJ5835">
        <v>99.598862665236993</v>
      </c>
      <c r="AK5835">
        <v>50.294908215961001</v>
      </c>
      <c r="AL5835">
        <v>80.317918903225305</v>
      </c>
      <c r="AM5835">
        <v>96.334387326917806</v>
      </c>
      <c r="AN5835">
        <v>1.00000000818885</v>
      </c>
    </row>
    <row r="5836" spans="1:40" x14ac:dyDescent="0.25">
      <c r="A5836" t="str">
        <f>"20190304154914360"</f>
        <v>20190304154914360</v>
      </c>
      <c r="B5836" t="str">
        <f>"1551685754352916"</f>
        <v>1551685754352916</v>
      </c>
      <c r="C5836" t="s">
        <v>40</v>
      </c>
      <c r="D5836">
        <v>3.8625980000000002</v>
      </c>
      <c r="E5836">
        <v>0.47387430000000003</v>
      </c>
      <c r="F5836" t="s">
        <v>68</v>
      </c>
      <c r="G5836">
        <v>-415.41539999999998</v>
      </c>
      <c r="H5836" s="1">
        <v>-3.3559509999999998E-6</v>
      </c>
      <c r="I5836">
        <v>36.129809999999999</v>
      </c>
      <c r="J5836">
        <v>-422.0412</v>
      </c>
      <c r="K5836">
        <v>1.1107020000000001</v>
      </c>
      <c r="L5836">
        <v>86.770510000000002</v>
      </c>
      <c r="M5836">
        <v>-4.3178029999999999E-2</v>
      </c>
      <c r="N5836">
        <v>-1.005371E-2</v>
      </c>
      <c r="O5836">
        <v>-0.99901660000000003</v>
      </c>
      <c r="P5836">
        <v>6.6573930000000003E-2</v>
      </c>
      <c r="Q5836">
        <v>0.1585587</v>
      </c>
      <c r="R5836">
        <v>-0.98510240000000004</v>
      </c>
      <c r="S5836">
        <v>0.39453129999999997</v>
      </c>
      <c r="T5836">
        <v>-6.6210270000000002E-2</v>
      </c>
      <c r="U5836">
        <v>-3.029388</v>
      </c>
      <c r="V5836">
        <v>-0.1091353</v>
      </c>
      <c r="W5836">
        <v>0.1683607</v>
      </c>
      <c r="X5836">
        <v>0.97966529999999996</v>
      </c>
      <c r="Y5836">
        <v>-0.1718063</v>
      </c>
      <c r="Z5836">
        <v>1.1486079999999999E-2</v>
      </c>
      <c r="AA5836">
        <v>0.98506380000000004</v>
      </c>
      <c r="AB5836">
        <v>26</v>
      </c>
      <c r="AC5836">
        <v>6.6258000000000203</v>
      </c>
      <c r="AD5836">
        <v>-1.1107053559510001</v>
      </c>
      <c r="AE5836">
        <v>-50.640700000000002</v>
      </c>
      <c r="AF5836">
        <v>-8.8021336638758196</v>
      </c>
      <c r="AG5836">
        <v>-1.1107053559510001</v>
      </c>
      <c r="AH5836">
        <v>50.283581631064202</v>
      </c>
      <c r="AI5836">
        <v>91.246443972227993</v>
      </c>
      <c r="AJ5836">
        <v>99.929017073471798</v>
      </c>
      <c r="AK5836">
        <v>51.060256609934598</v>
      </c>
      <c r="AL5836">
        <v>80.307479348442399</v>
      </c>
      <c r="AM5836">
        <v>96.356575313965493</v>
      </c>
      <c r="AN5836">
        <v>0.99999996951733405</v>
      </c>
    </row>
    <row r="5837" spans="1:40" x14ac:dyDescent="0.25">
      <c r="A5837" t="str">
        <f>"20190304154914374"</f>
        <v>20190304154914374</v>
      </c>
      <c r="B5837" t="str">
        <f>"1551685754362676"</f>
        <v>1551685754362676</v>
      </c>
      <c r="C5837" t="s">
        <v>40</v>
      </c>
      <c r="D5837">
        <v>3.8888090000000002</v>
      </c>
      <c r="E5837">
        <v>0.47370139999999999</v>
      </c>
      <c r="F5837" t="s">
        <v>68</v>
      </c>
      <c r="G5837">
        <v>-415.36169999999998</v>
      </c>
      <c r="H5837" s="1">
        <v>-3.4637279999999999E-6</v>
      </c>
      <c r="I5837">
        <v>35.954540000000001</v>
      </c>
      <c r="J5837">
        <v>-422.04759999999999</v>
      </c>
      <c r="K5837">
        <v>1.1107199999999999</v>
      </c>
      <c r="L5837">
        <v>86.618499999999997</v>
      </c>
      <c r="M5837">
        <v>-4.2972539999999997E-2</v>
      </c>
      <c r="N5837">
        <v>-1.005985E-2</v>
      </c>
      <c r="O5837">
        <v>-0.99902579999999996</v>
      </c>
      <c r="P5837">
        <v>6.7159590000000005E-2</v>
      </c>
      <c r="Q5837">
        <v>0.1584487</v>
      </c>
      <c r="R5837">
        <v>-0.98508070000000003</v>
      </c>
      <c r="S5837">
        <v>0.39816279999999998</v>
      </c>
      <c r="T5837">
        <v>-6.6208600000000006E-2</v>
      </c>
      <c r="U5837">
        <v>-3.0291139999999999</v>
      </c>
      <c r="V5837">
        <v>-0.1095246</v>
      </c>
      <c r="W5837">
        <v>0.1682517</v>
      </c>
      <c r="X5837">
        <v>0.97964059999999997</v>
      </c>
      <c r="Y5837">
        <v>-0.17277600000000001</v>
      </c>
      <c r="Z5837">
        <v>1.1477970000000001E-2</v>
      </c>
      <c r="AA5837">
        <v>0.9848943</v>
      </c>
      <c r="AB5837">
        <v>26</v>
      </c>
      <c r="AC5837">
        <v>6.6859000000000002</v>
      </c>
      <c r="AD5837">
        <v>-1.1107234637279999</v>
      </c>
      <c r="AE5837">
        <v>-50.663960000000003</v>
      </c>
      <c r="AF5837">
        <v>-8.8528099778065208</v>
      </c>
      <c r="AG5837">
        <v>-1.1107234637279999</v>
      </c>
      <c r="AH5837">
        <v>50.306065154151703</v>
      </c>
      <c r="AI5837">
        <v>91.245710347760394</v>
      </c>
      <c r="AJ5837">
        <v>99.980661049869298</v>
      </c>
      <c r="AK5837">
        <v>51.091155226807899</v>
      </c>
      <c r="AL5837">
        <v>80.313815156912597</v>
      </c>
      <c r="AM5837">
        <v>96.379222980853996</v>
      </c>
      <c r="AN5837">
        <v>0.99999998886320396</v>
      </c>
    </row>
    <row r="5838" spans="1:40" x14ac:dyDescent="0.25">
      <c r="A5838" t="str">
        <f>"20190304154914390"</f>
        <v>20190304154914390</v>
      </c>
      <c r="B5838" t="str">
        <f>"1551685754383172"</f>
        <v>1551685754383172</v>
      </c>
      <c r="C5838" t="s">
        <v>40</v>
      </c>
      <c r="D5838">
        <v>3.8407640000000001</v>
      </c>
      <c r="E5838">
        <v>0.47343150000000001</v>
      </c>
      <c r="F5838" t="s">
        <v>68</v>
      </c>
      <c r="G5838">
        <v>-415.22590000000002</v>
      </c>
      <c r="H5838" s="1">
        <v>-3.8851430000000004E-6</v>
      </c>
      <c r="I5838">
        <v>35.239069999999998</v>
      </c>
      <c r="J5838">
        <v>-422.0557</v>
      </c>
      <c r="K5838">
        <v>1.1107290000000001</v>
      </c>
      <c r="L5838">
        <v>86.421999999999997</v>
      </c>
      <c r="M5838">
        <v>-4.2685920000000002E-2</v>
      </c>
      <c r="N5838">
        <v>-1.0067359999999999E-2</v>
      </c>
      <c r="O5838">
        <v>-0.99903799999999998</v>
      </c>
      <c r="P5838">
        <v>6.7796759999999998E-2</v>
      </c>
      <c r="Q5838">
        <v>0.15818399999999999</v>
      </c>
      <c r="R5838">
        <v>-0.9850797</v>
      </c>
      <c r="S5838">
        <v>0.4020996</v>
      </c>
      <c r="T5838">
        <v>-6.5471050000000003E-2</v>
      </c>
      <c r="U5838">
        <v>-3.0285340000000001</v>
      </c>
      <c r="V5838">
        <v>-0.1098874</v>
      </c>
      <c r="W5838">
        <v>0.1679889</v>
      </c>
      <c r="X5838">
        <v>0.97964510000000005</v>
      </c>
      <c r="Y5838">
        <v>-0.17377629999999999</v>
      </c>
      <c r="Z5838">
        <v>1.123094E-2</v>
      </c>
      <c r="AA5838">
        <v>0.98472110000000002</v>
      </c>
      <c r="AB5838">
        <v>26</v>
      </c>
      <c r="AC5838">
        <v>6.8297999999999703</v>
      </c>
      <c r="AD5838">
        <v>-1.1107328851430001</v>
      </c>
      <c r="AE5838">
        <v>-51.182929999999999</v>
      </c>
      <c r="AF5838">
        <v>-9.00430873110591</v>
      </c>
      <c r="AG5838">
        <v>-1.1107328851430001</v>
      </c>
      <c r="AH5838">
        <v>50.821207897043102</v>
      </c>
      <c r="AI5838">
        <v>91.2328450424571</v>
      </c>
      <c r="AJ5838">
        <v>100.047182898565</v>
      </c>
      <c r="AK5838">
        <v>51.6246692520319</v>
      </c>
      <c r="AL5838">
        <v>80.329090171880793</v>
      </c>
      <c r="AM5838">
        <v>96.400149930980007</v>
      </c>
      <c r="AN5838">
        <v>1.0000000165779801</v>
      </c>
    </row>
    <row r="5839" spans="1:40" x14ac:dyDescent="0.25">
      <c r="A5839" t="str">
        <f>"20190304154914413"</f>
        <v>20190304154914413</v>
      </c>
      <c r="B5839" t="str">
        <f>"1551685754402693"</f>
        <v>1551685754402693</v>
      </c>
      <c r="C5839" t="s">
        <v>40</v>
      </c>
      <c r="D5839">
        <v>3.864449</v>
      </c>
      <c r="E5839">
        <v>0.47305930000000002</v>
      </c>
      <c r="F5839" t="s">
        <v>68</v>
      </c>
      <c r="G5839">
        <v>-415.1592</v>
      </c>
      <c r="H5839" s="1">
        <v>-4.0138499999999997E-6</v>
      </c>
      <c r="I5839">
        <v>35.030769999999997</v>
      </c>
      <c r="J5839">
        <v>-422.06610000000001</v>
      </c>
      <c r="K5839">
        <v>1.1107469999999999</v>
      </c>
      <c r="L5839">
        <v>86.170959999999994</v>
      </c>
      <c r="M5839">
        <v>-4.2292200000000002E-2</v>
      </c>
      <c r="N5839">
        <v>-1.007629E-2</v>
      </c>
      <c r="O5839">
        <v>-0.99905469999999996</v>
      </c>
      <c r="P5839">
        <v>6.9383609999999998E-2</v>
      </c>
      <c r="Q5839">
        <v>0.15804009999999999</v>
      </c>
      <c r="R5839">
        <v>-0.98499219999999998</v>
      </c>
      <c r="S5839">
        <v>0.40634160000000002</v>
      </c>
      <c r="T5839">
        <v>-6.5444710000000003E-2</v>
      </c>
      <c r="U5839">
        <v>-3.0279850000000001</v>
      </c>
      <c r="V5839">
        <v>-0.1110911</v>
      </c>
      <c r="W5839">
        <v>0.167846</v>
      </c>
      <c r="X5839">
        <v>0.97953380000000001</v>
      </c>
      <c r="Y5839">
        <v>-0.1747667</v>
      </c>
      <c r="Z5839">
        <v>1.1213890000000001E-2</v>
      </c>
      <c r="AA5839">
        <v>0.98454600000000003</v>
      </c>
      <c r="AB5839">
        <v>26</v>
      </c>
      <c r="AC5839">
        <v>6.9069000000000003</v>
      </c>
      <c r="AD5839">
        <v>-1.1107510138500001</v>
      </c>
      <c r="AE5839">
        <v>-51.140189999999897</v>
      </c>
      <c r="AF5839">
        <v>-9.0594629122314601</v>
      </c>
      <c r="AG5839">
        <v>-1.1107510138500001</v>
      </c>
      <c r="AH5839">
        <v>50.778781106855199</v>
      </c>
      <c r="AI5839">
        <v>91.233632574505506</v>
      </c>
      <c r="AJ5839">
        <v>100.115730549893</v>
      </c>
      <c r="AK5839">
        <v>51.592559994351703</v>
      </c>
      <c r="AL5839">
        <v>80.337395396692202</v>
      </c>
      <c r="AM5839">
        <v>96.470394450541207</v>
      </c>
      <c r="AN5839">
        <v>0.99999998877882401</v>
      </c>
    </row>
    <row r="5840" spans="1:40" x14ac:dyDescent="0.25">
      <c r="A5840" t="str">
        <f>"20190304154914447"</f>
        <v>20190304154914447</v>
      </c>
      <c r="B5840" t="str">
        <f>"1551685754443429"</f>
        <v>1551685754443429</v>
      </c>
      <c r="C5840" t="s">
        <v>40</v>
      </c>
      <c r="D5840">
        <v>3.8900320000000002</v>
      </c>
      <c r="E5840">
        <v>0.47271859999999999</v>
      </c>
      <c r="F5840" t="s">
        <v>68</v>
      </c>
      <c r="G5840">
        <v>-415.03570000000002</v>
      </c>
      <c r="H5840" s="1">
        <v>-4.2333900000000001E-6</v>
      </c>
      <c r="I5840">
        <v>34.679450000000003</v>
      </c>
      <c r="J5840">
        <v>-422.08190000000002</v>
      </c>
      <c r="K5840">
        <v>1.1107849999999999</v>
      </c>
      <c r="L5840">
        <v>85.777919999999995</v>
      </c>
      <c r="M5840">
        <v>-4.1622310000000003E-2</v>
      </c>
      <c r="N5840">
        <v>-1.008884E-2</v>
      </c>
      <c r="O5840">
        <v>-0.99908260000000004</v>
      </c>
      <c r="P5840">
        <v>7.1026489999999998E-2</v>
      </c>
      <c r="Q5840">
        <v>0.15758549999999999</v>
      </c>
      <c r="R5840">
        <v>-0.98494800000000005</v>
      </c>
      <c r="S5840">
        <v>0.41329959999999999</v>
      </c>
      <c r="T5840">
        <v>-6.5298560000000005E-2</v>
      </c>
      <c r="U5840">
        <v>-3.027069</v>
      </c>
      <c r="V5840">
        <v>-0.1120853</v>
      </c>
      <c r="W5840">
        <v>0.16739379999999901</v>
      </c>
      <c r="X5840">
        <v>0.97949799999999998</v>
      </c>
      <c r="Y5840">
        <v>-0.17636769999999999</v>
      </c>
      <c r="Z5840">
        <v>1.1154620000000001E-2</v>
      </c>
      <c r="AA5840">
        <v>0.98426119999999995</v>
      </c>
      <c r="AB5840">
        <v>26</v>
      </c>
      <c r="AC5840">
        <v>7.04619999999999</v>
      </c>
      <c r="AD5840">
        <v>-1.11078923339</v>
      </c>
      <c r="AE5840">
        <v>-51.098469999999899</v>
      </c>
      <c r="AF5840">
        <v>-9.1627885274865495</v>
      </c>
      <c r="AG5840">
        <v>-1.11078923339</v>
      </c>
      <c r="AH5840">
        <v>50.737361847157402</v>
      </c>
      <c r="AI5840">
        <v>91.234213515906205</v>
      </c>
      <c r="AJ5840">
        <v>100.23685433175299</v>
      </c>
      <c r="AK5840">
        <v>51.570053650639501</v>
      </c>
      <c r="AL5840">
        <v>80.363677125226999</v>
      </c>
      <c r="AM5840">
        <v>96.528039589837405</v>
      </c>
      <c r="AN5840">
        <v>1.00000006537926</v>
      </c>
    </row>
    <row r="5841" spans="1:40" x14ac:dyDescent="0.25">
      <c r="A5841" t="str">
        <f>"20190304154914468"</f>
        <v>20190304154914468</v>
      </c>
      <c r="B5841" t="str">
        <f>"1551685754462949"</f>
        <v>1551685754462949</v>
      </c>
      <c r="C5841" t="s">
        <v>40</v>
      </c>
      <c r="D5841">
        <v>3.8918089999999999</v>
      </c>
      <c r="E5841">
        <v>0.47273870000000001</v>
      </c>
      <c r="F5841" t="s">
        <v>68</v>
      </c>
      <c r="G5841">
        <v>-415.02969999999999</v>
      </c>
      <c r="H5841" s="1">
        <v>-3.9838779999999999E-6</v>
      </c>
      <c r="I5841">
        <v>35.138089999999998</v>
      </c>
      <c r="J5841">
        <v>-422.09230000000002</v>
      </c>
      <c r="K5841">
        <v>1.1108020000000001</v>
      </c>
      <c r="L5841">
        <v>85.517849999999996</v>
      </c>
      <c r="M5841">
        <v>-4.1154059999999999E-2</v>
      </c>
      <c r="N5841">
        <v>-1.009637E-2</v>
      </c>
      <c r="O5841">
        <v>-0.99910180000000004</v>
      </c>
      <c r="P5841">
        <v>7.1797509999999995E-2</v>
      </c>
      <c r="Q5841">
        <v>0.15817320000000001</v>
      </c>
      <c r="R5841">
        <v>-0.98479779999999995</v>
      </c>
      <c r="S5841">
        <v>0.42141719999999999</v>
      </c>
      <c r="T5841">
        <v>-6.6376920000000006E-2</v>
      </c>
      <c r="U5841">
        <v>-3.026062</v>
      </c>
      <c r="V5841">
        <v>-0.1123971</v>
      </c>
      <c r="W5841">
        <v>0.16798279999999999</v>
      </c>
      <c r="X5841">
        <v>0.97936140000000005</v>
      </c>
      <c r="Y5841">
        <v>-0.1785397</v>
      </c>
      <c r="Z5841">
        <v>1.149755E-2</v>
      </c>
      <c r="AA5841">
        <v>0.98386560000000001</v>
      </c>
      <c r="AB5841">
        <v>26</v>
      </c>
      <c r="AC5841">
        <v>7.06260000000003</v>
      </c>
      <c r="AD5841">
        <v>-1.110805983878</v>
      </c>
      <c r="AE5841">
        <v>-50.379759999999898</v>
      </c>
      <c r="AF5841">
        <v>-9.1257025009566597</v>
      </c>
      <c r="AG5841">
        <v>-1.110805983878</v>
      </c>
      <c r="AH5841">
        <v>50.022555653930901</v>
      </c>
      <c r="AI5841">
        <v>91.2514589286871</v>
      </c>
      <c r="AJ5841">
        <v>100.33887284987701</v>
      </c>
      <c r="AK5841">
        <v>50.860283229848399</v>
      </c>
      <c r="AL5841">
        <v>80.329444947922298</v>
      </c>
      <c r="AM5841">
        <v>96.546947062680701</v>
      </c>
      <c r="AN5841">
        <v>1.0000000404970999</v>
      </c>
    </row>
    <row r="5842" spans="1:40" x14ac:dyDescent="0.25">
      <c r="A5842" t="str">
        <f>"20190304154914491"</f>
        <v>20190304154914491</v>
      </c>
      <c r="B5842" t="str">
        <f>"1551685754483448"</f>
        <v>1551685754483448</v>
      </c>
      <c r="C5842" t="s">
        <v>40</v>
      </c>
      <c r="D5842">
        <v>3.8984200000000002</v>
      </c>
      <c r="E5842">
        <v>0.47271590000000002</v>
      </c>
      <c r="F5842" t="s">
        <v>68</v>
      </c>
      <c r="G5842">
        <v>-414.84980000000002</v>
      </c>
      <c r="H5842" s="1">
        <v>-4.732585E-6</v>
      </c>
      <c r="I5842">
        <v>33.78528</v>
      </c>
      <c r="J5842">
        <v>-422.10250000000002</v>
      </c>
      <c r="K5842">
        <v>1.1108100000000001</v>
      </c>
      <c r="L5842">
        <v>85.255650000000003</v>
      </c>
      <c r="M5842">
        <v>-4.0662459999999997E-2</v>
      </c>
      <c r="N5842">
        <v>-1.010336E-2</v>
      </c>
      <c r="O5842">
        <v>-0.99912210000000001</v>
      </c>
      <c r="P5842">
        <v>7.2873610000000005E-2</v>
      </c>
      <c r="Q5842">
        <v>0.15861229999999901</v>
      </c>
      <c r="R5842">
        <v>-0.98464819999999997</v>
      </c>
      <c r="S5842">
        <v>0.4236145</v>
      </c>
      <c r="T5842">
        <v>-6.4971329999999994E-2</v>
      </c>
      <c r="U5842">
        <v>-3.0258479999999999</v>
      </c>
      <c r="V5842">
        <v>-0.1129899</v>
      </c>
      <c r="W5842">
        <v>0.16842370000000001</v>
      </c>
      <c r="X5842">
        <v>0.97921740000000002</v>
      </c>
      <c r="Y5842">
        <v>-0.17876689999999901</v>
      </c>
      <c r="Z5842">
        <v>1.1033650000000001E-2</v>
      </c>
      <c r="AA5842">
        <v>0.98382959999999997</v>
      </c>
      <c r="AB5842">
        <v>26</v>
      </c>
      <c r="AC5842">
        <v>7.2526999999999999</v>
      </c>
      <c r="AD5842">
        <v>-1.110814732585</v>
      </c>
      <c r="AE5842">
        <v>-51.470370000000003</v>
      </c>
      <c r="AF5842">
        <v>-9.3354556637663695</v>
      </c>
      <c r="AG5842">
        <v>-1.110814732585</v>
      </c>
      <c r="AH5842">
        <v>51.109527326935599</v>
      </c>
      <c r="AI5842">
        <v>91.224812890077999</v>
      </c>
      <c r="AJ5842">
        <v>100.351300260976</v>
      </c>
      <c r="AK5842">
        <v>51.966993615207798</v>
      </c>
      <c r="AL5842">
        <v>80.303817606490398</v>
      </c>
      <c r="AM5842">
        <v>96.582133874601993</v>
      </c>
      <c r="AN5842">
        <v>0.99999998834322901</v>
      </c>
    </row>
    <row r="5843" spans="1:40" x14ac:dyDescent="0.25">
      <c r="A5843" t="str">
        <f>"20190304154914513"</f>
        <v>20190304154914513</v>
      </c>
      <c r="B5843" t="str">
        <f>"1551685754502966"</f>
        <v>1551685754502966</v>
      </c>
      <c r="C5843" t="s">
        <v>40</v>
      </c>
      <c r="D5843">
        <v>3.8845610000000002</v>
      </c>
      <c r="E5843">
        <v>0.47268880000000002</v>
      </c>
      <c r="F5843" t="s">
        <v>68</v>
      </c>
      <c r="G5843">
        <v>-414.66680000000002</v>
      </c>
      <c r="H5843" s="1">
        <v>-5.37468499999999E-6</v>
      </c>
      <c r="I5843">
        <v>32.604759999999999</v>
      </c>
      <c r="J5843">
        <v>-422.11259999999999</v>
      </c>
      <c r="K5843">
        <v>1.1108199999999999</v>
      </c>
      <c r="L5843">
        <v>84.994509999999906</v>
      </c>
      <c r="M5843">
        <v>-4.0154530000000001E-2</v>
      </c>
      <c r="N5843">
        <v>-1.0109699999999999E-2</v>
      </c>
      <c r="O5843">
        <v>-0.99914230000000004</v>
      </c>
      <c r="P5843">
        <v>7.3782860000000006E-2</v>
      </c>
      <c r="Q5843">
        <v>0.157752799999999</v>
      </c>
      <c r="R5843">
        <v>-0.98471850000000005</v>
      </c>
      <c r="S5843">
        <v>0.42727660000000001</v>
      </c>
      <c r="T5843">
        <v>-6.383026E-2</v>
      </c>
      <c r="U5843">
        <v>-3.025452</v>
      </c>
      <c r="V5843">
        <v>-0.1134064</v>
      </c>
      <c r="W5843">
        <v>0.1675672</v>
      </c>
      <c r="X5843">
        <v>0.97931619999999997</v>
      </c>
      <c r="Y5843">
        <v>-0.1794529</v>
      </c>
      <c r="Z5843">
        <v>1.06561E-2</v>
      </c>
      <c r="AA5843">
        <v>0.9837089</v>
      </c>
      <c r="AB5843">
        <v>26</v>
      </c>
      <c r="AC5843">
        <v>7.4457999999999602</v>
      </c>
      <c r="AD5843">
        <v>-1.1108253746850001</v>
      </c>
      <c r="AE5843">
        <v>-52.3897499999999</v>
      </c>
      <c r="AF5843">
        <v>-9.5393838621585605</v>
      </c>
      <c r="AG5843">
        <v>-1.1108253746850001</v>
      </c>
      <c r="AH5843">
        <v>52.025568353672902</v>
      </c>
      <c r="AI5843">
        <v>91.203115024653002</v>
      </c>
      <c r="AJ5843">
        <v>100.390310066231</v>
      </c>
      <c r="AK5843">
        <v>52.904570124001097</v>
      </c>
      <c r="AL5843">
        <v>80.353599049871605</v>
      </c>
      <c r="AM5843">
        <v>96.605522079791498</v>
      </c>
      <c r="AN5843">
        <v>0.99999999882961899</v>
      </c>
    </row>
    <row r="5844" spans="1:40" x14ac:dyDescent="0.25">
      <c r="A5844" t="str">
        <f>"20190304154914536"</f>
        <v>20190304154914536</v>
      </c>
      <c r="B5844" t="str">
        <f>"1551685754532780"</f>
        <v>1551685754532780</v>
      </c>
      <c r="C5844" t="s">
        <v>40</v>
      </c>
      <c r="D5844">
        <v>4.1019009999999998</v>
      </c>
      <c r="E5844">
        <v>0.4724447</v>
      </c>
      <c r="F5844" t="s">
        <v>68</v>
      </c>
      <c r="G5844">
        <v>-415.03309999999999</v>
      </c>
      <c r="H5844" s="1">
        <v>-3.9307749999999996E-6</v>
      </c>
      <c r="I5844">
        <v>35.233829999999998</v>
      </c>
      <c r="J5844">
        <v>-422.12259999999998</v>
      </c>
      <c r="K5844">
        <v>1.110833</v>
      </c>
      <c r="L5844">
        <v>84.730869999999996</v>
      </c>
      <c r="M5844">
        <v>-3.9628320000000002E-2</v>
      </c>
      <c r="N5844">
        <v>-1.0115580000000001E-2</v>
      </c>
      <c r="O5844">
        <v>-0.99916340000000003</v>
      </c>
      <c r="P5844">
        <v>7.4821929999999995E-2</v>
      </c>
      <c r="Q5844">
        <v>0.15812379999999901</v>
      </c>
      <c r="R5844">
        <v>-0.98458029999999996</v>
      </c>
      <c r="S5844">
        <v>0.43038939999999998</v>
      </c>
      <c r="T5844">
        <v>-6.7530629999999994E-2</v>
      </c>
      <c r="U5844">
        <v>-3.0251160000000001</v>
      </c>
      <c r="V5844">
        <v>-0.11392770000000001</v>
      </c>
      <c r="W5844">
        <v>0.16793910000000001</v>
      </c>
      <c r="X5844">
        <v>0.97919199999999995</v>
      </c>
      <c r="Y5844">
        <v>-0.17993909999999999</v>
      </c>
      <c r="Z5844">
        <v>1.185597E-2</v>
      </c>
      <c r="AA5844">
        <v>0.98360630000000004</v>
      </c>
      <c r="AB5844">
        <v>26</v>
      </c>
      <c r="AC5844">
        <v>7.0894999999999797</v>
      </c>
      <c r="AD5844">
        <v>-1.1108369307749999</v>
      </c>
      <c r="AE5844">
        <v>-49.497039999999998</v>
      </c>
      <c r="AF5844">
        <v>-9.0410531079756904</v>
      </c>
      <c r="AG5844">
        <v>-1.1108369307749999</v>
      </c>
      <c r="AH5844">
        <v>49.152937309593398</v>
      </c>
      <c r="AI5844">
        <v>91.273288427083898</v>
      </c>
      <c r="AJ5844">
        <v>100.422327519593</v>
      </c>
      <c r="AK5844">
        <v>49.989857432771601</v>
      </c>
      <c r="AL5844">
        <v>80.331984631740099</v>
      </c>
      <c r="AM5844">
        <v>96.636449942010003</v>
      </c>
      <c r="AN5844">
        <v>1.0000000175000401</v>
      </c>
    </row>
    <row r="5845" spans="1:40" x14ac:dyDescent="0.25">
      <c r="A5845" t="str">
        <f>"20190304154914558"</f>
        <v>20190304154914558</v>
      </c>
      <c r="B5845" t="str">
        <f>"1551685754553276"</f>
        <v>1551685754553276</v>
      </c>
      <c r="C5845" t="s">
        <v>40</v>
      </c>
      <c r="D5845">
        <v>3.8997709999999999</v>
      </c>
      <c r="E5845">
        <v>0.4724505</v>
      </c>
      <c r="F5845" t="s">
        <v>68</v>
      </c>
      <c r="G5845">
        <v>-414.9753</v>
      </c>
      <c r="H5845" s="1">
        <v>-4.0156089999999998E-6</v>
      </c>
      <c r="I5845">
        <v>35.102110000000003</v>
      </c>
      <c r="J5845">
        <v>-422.13240000000002</v>
      </c>
      <c r="K5845">
        <v>1.110846</v>
      </c>
      <c r="L5845">
        <v>84.470179999999999</v>
      </c>
      <c r="M5845">
        <v>-3.9099130000000003E-2</v>
      </c>
      <c r="N5845">
        <v>-1.0121099999999999E-2</v>
      </c>
      <c r="O5845">
        <v>-0.99918410000000002</v>
      </c>
      <c r="P5845">
        <v>7.5856800000000002E-2</v>
      </c>
      <c r="Q5845">
        <v>0.15861149999999999</v>
      </c>
      <c r="R5845">
        <v>-0.98442269999999998</v>
      </c>
      <c r="S5845">
        <v>0.43560789999999999</v>
      </c>
      <c r="T5845">
        <v>-6.7702769999999995E-2</v>
      </c>
      <c r="U5845">
        <v>-3.02475</v>
      </c>
      <c r="V5845">
        <v>-0.11444</v>
      </c>
      <c r="W5845">
        <v>0.16842839999999901</v>
      </c>
      <c r="X5845">
        <v>0.97904820000000004</v>
      </c>
      <c r="Y5845">
        <v>-0.18109710000000001</v>
      </c>
      <c r="Z5845">
        <v>1.190482E-2</v>
      </c>
      <c r="AA5845">
        <v>0.98339310000000002</v>
      </c>
      <c r="AB5845">
        <v>26</v>
      </c>
      <c r="AC5845">
        <v>7.1571000000000096</v>
      </c>
      <c r="AD5845">
        <v>-1.110850015609</v>
      </c>
      <c r="AE5845">
        <v>-49.368070000000003</v>
      </c>
      <c r="AF5845">
        <v>-9.0774726551744394</v>
      </c>
      <c r="AG5845">
        <v>-1.110850015609</v>
      </c>
      <c r="AH5845">
        <v>49.026153889211301</v>
      </c>
      <c r="AI5845">
        <v>91.276317644101695</v>
      </c>
      <c r="AJ5845">
        <v>100.489844560072</v>
      </c>
      <c r="AK5845">
        <v>49.871818321886501</v>
      </c>
      <c r="AL5845">
        <v>80.303544613107704</v>
      </c>
      <c r="AM5845">
        <v>96.666994443248996</v>
      </c>
      <c r="AN5845">
        <v>1.0000000087248999</v>
      </c>
    </row>
    <row r="5846" spans="1:40" x14ac:dyDescent="0.25">
      <c r="A5846" t="str">
        <f>"20190304154914580"</f>
        <v>20190304154914580</v>
      </c>
      <c r="B5846" t="str">
        <f>"1551685754572799"</f>
        <v>1551685754572799</v>
      </c>
      <c r="C5846" t="s">
        <v>40</v>
      </c>
      <c r="D5846">
        <v>3.9310320000000001</v>
      </c>
      <c r="E5846">
        <v>0.47245930000000003</v>
      </c>
      <c r="F5846" t="s">
        <v>68</v>
      </c>
      <c r="G5846">
        <v>-414.84230000000002</v>
      </c>
      <c r="H5846" s="1">
        <v>-4.5263759999999997E-6</v>
      </c>
      <c r="I5846">
        <v>34.193240000000003</v>
      </c>
      <c r="J5846">
        <v>-422.14229999999998</v>
      </c>
      <c r="K5846">
        <v>1.1108549999999999</v>
      </c>
      <c r="L5846">
        <v>84.202999999999903</v>
      </c>
      <c r="M5846">
        <v>-3.854892E-2</v>
      </c>
      <c r="N5846">
        <v>-1.0126339999999999E-2</v>
      </c>
      <c r="O5846">
        <v>-0.99920560000000003</v>
      </c>
      <c r="P5846">
        <v>7.6632080000000005E-2</v>
      </c>
      <c r="Q5846">
        <v>0.15922709999999901</v>
      </c>
      <c r="R5846">
        <v>-0.98426369999999996</v>
      </c>
      <c r="S5846">
        <v>0.43853760000000003</v>
      </c>
      <c r="T5846">
        <v>-6.6823960000000002E-2</v>
      </c>
      <c r="U5846">
        <v>-3.0244450000000001</v>
      </c>
      <c r="V5846">
        <v>-0.1146718</v>
      </c>
      <c r="W5846">
        <v>0.16904549999999999</v>
      </c>
      <c r="X5846">
        <v>0.97891470000000003</v>
      </c>
      <c r="Y5846">
        <v>-0.18150340000000001</v>
      </c>
      <c r="Z5846">
        <v>1.161417E-2</v>
      </c>
      <c r="AA5846">
        <v>0.98332169999999997</v>
      </c>
      <c r="AB5846">
        <v>26</v>
      </c>
      <c r="AC5846">
        <v>7.2999999999999501</v>
      </c>
      <c r="AD5846">
        <v>-1.1108595263759999</v>
      </c>
      <c r="AE5846">
        <v>-50.009759999999901</v>
      </c>
      <c r="AF5846">
        <v>-9.2180407765215495</v>
      </c>
      <c r="AG5846">
        <v>-1.1108595263759999</v>
      </c>
      <c r="AH5846">
        <v>49.667168120250501</v>
      </c>
      <c r="AI5846">
        <v>91.259761930080998</v>
      </c>
      <c r="AJ5846">
        <v>100.51424740049499</v>
      </c>
      <c r="AK5846">
        <v>50.5275555883142</v>
      </c>
      <c r="AL5846">
        <v>80.267672907088496</v>
      </c>
      <c r="AM5846">
        <v>96.681279416242702</v>
      </c>
      <c r="AN5846">
        <v>0.99999999633078995</v>
      </c>
    </row>
    <row r="5847" spans="1:40" x14ac:dyDescent="0.25">
      <c r="A5847" t="str">
        <f>"20190304154914603"</f>
        <v>20190304154914603</v>
      </c>
      <c r="B5847" t="str">
        <f>"1551685754593292"</f>
        <v>1551685754593292</v>
      </c>
      <c r="C5847" t="s">
        <v>40</v>
      </c>
      <c r="D5847">
        <v>4.0112730000000001</v>
      </c>
      <c r="E5847">
        <v>0.47246939999999998</v>
      </c>
      <c r="F5847" t="s">
        <v>68</v>
      </c>
      <c r="G5847">
        <v>-414.63319999999999</v>
      </c>
      <c r="H5847" s="1">
        <v>-5.286482E-6</v>
      </c>
      <c r="I5847">
        <v>32.792459999999998</v>
      </c>
      <c r="J5847">
        <v>-422.15159999999997</v>
      </c>
      <c r="K5847">
        <v>1.110865</v>
      </c>
      <c r="L5847">
        <v>83.946529999999996</v>
      </c>
      <c r="M5847">
        <v>-3.8013020000000002E-2</v>
      </c>
      <c r="N5847">
        <v>-1.0130999999999999E-2</v>
      </c>
      <c r="O5847">
        <v>-0.99922610000000001</v>
      </c>
      <c r="P5847">
        <v>7.7449420000000005E-2</v>
      </c>
      <c r="Q5847">
        <v>0.16014339999999999</v>
      </c>
      <c r="R5847">
        <v>-0.98405089999999995</v>
      </c>
      <c r="S5847">
        <v>0.44171139999999998</v>
      </c>
      <c r="T5847">
        <v>-6.5345169999999994E-2</v>
      </c>
      <c r="U5847">
        <v>-3.0241699999999998</v>
      </c>
      <c r="V5847">
        <v>-0.1149573</v>
      </c>
      <c r="W5847">
        <v>0.1699628</v>
      </c>
      <c r="X5847">
        <v>0.97872230000000005</v>
      </c>
      <c r="Y5847">
        <v>-0.1820003</v>
      </c>
      <c r="Z5847">
        <v>1.112811E-2</v>
      </c>
      <c r="AA5847">
        <v>0.98323550000000004</v>
      </c>
      <c r="AB5847">
        <v>26</v>
      </c>
      <c r="AC5847">
        <v>7.5183999999999802</v>
      </c>
      <c r="AD5847">
        <v>-1.1108702864819999</v>
      </c>
      <c r="AE5847">
        <v>-51.154069999999997</v>
      </c>
      <c r="AF5847">
        <v>-9.4532217484690495</v>
      </c>
      <c r="AG5847">
        <v>-1.1108702864819999</v>
      </c>
      <c r="AH5847">
        <v>50.8078286981833</v>
      </c>
      <c r="AI5847">
        <v>91.231398207883501</v>
      </c>
      <c r="AJ5847">
        <v>100.539840385041</v>
      </c>
      <c r="AK5847">
        <v>51.691710082401599</v>
      </c>
      <c r="AL5847">
        <v>80.214343203090905</v>
      </c>
      <c r="AM5847">
        <v>96.699067648353207</v>
      </c>
      <c r="AN5847">
        <v>0.99999993736220805</v>
      </c>
    </row>
    <row r="5848" spans="1:40" x14ac:dyDescent="0.25">
      <c r="A5848" t="str">
        <f>"20190304154914625"</f>
        <v>20190304154914625</v>
      </c>
      <c r="B5848" t="str">
        <f>"1551685754612812"</f>
        <v>1551685754612812</v>
      </c>
      <c r="C5848" t="s">
        <v>40</v>
      </c>
      <c r="D5848">
        <v>3.8220360000000002</v>
      </c>
      <c r="E5848">
        <v>0.44791560000000002</v>
      </c>
      <c r="F5848" t="s">
        <v>68</v>
      </c>
      <c r="G5848">
        <v>-414.29559999999998</v>
      </c>
      <c r="H5848" s="1">
        <v>-6.3153889999999996E-6</v>
      </c>
      <c r="I5848">
        <v>30.391079999999999</v>
      </c>
      <c r="J5848">
        <v>-422.16090000000003</v>
      </c>
      <c r="K5848">
        <v>1.1108800000000001</v>
      </c>
      <c r="L5848">
        <v>83.684600000000003</v>
      </c>
      <c r="M5848">
        <v>-3.7456530000000002E-2</v>
      </c>
      <c r="N5848">
        <v>-1.013558E-2</v>
      </c>
      <c r="O5848">
        <v>-0.99924710000000005</v>
      </c>
      <c r="P5848">
        <v>7.8441170000000005E-2</v>
      </c>
      <c r="Q5848">
        <v>0.1615374</v>
      </c>
      <c r="R5848">
        <v>-0.98374450000000002</v>
      </c>
      <c r="S5848">
        <v>0.443573</v>
      </c>
      <c r="T5848">
        <v>-6.2723639999999997E-2</v>
      </c>
      <c r="U5848">
        <v>-3.0239259999999999</v>
      </c>
      <c r="V5848">
        <v>-0.1153952</v>
      </c>
      <c r="W5848">
        <v>0.17135590000000001</v>
      </c>
      <c r="X5848">
        <v>0.97842790000000002</v>
      </c>
      <c r="Y5848">
        <v>-0.18205879999999999</v>
      </c>
      <c r="Z5848">
        <v>1.027136E-2</v>
      </c>
      <c r="AA5848">
        <v>0.98323400000000005</v>
      </c>
      <c r="AB5848">
        <v>26</v>
      </c>
      <c r="AC5848">
        <v>7.8653000000000404</v>
      </c>
      <c r="AD5848">
        <v>-1.1108863153889901</v>
      </c>
      <c r="AE5848">
        <v>-53.293519999999901</v>
      </c>
      <c r="AF5848">
        <v>-9.8518830096718908</v>
      </c>
      <c r="AG5848">
        <v>-1.1108863153889901</v>
      </c>
      <c r="AH5848">
        <v>52.938984273033803</v>
      </c>
      <c r="AI5848">
        <v>91.181848827270599</v>
      </c>
      <c r="AJ5848">
        <v>100.542081010845</v>
      </c>
      <c r="AK5848">
        <v>53.859351305994203</v>
      </c>
      <c r="AL5848">
        <v>80.133336956983399</v>
      </c>
      <c r="AM5848">
        <v>96.726357525311997</v>
      </c>
      <c r="AN5848">
        <v>1.0000000260731201</v>
      </c>
    </row>
    <row r="5849" spans="1:40" x14ac:dyDescent="0.25">
      <c r="A5849" t="str">
        <f>"20190304154914648"</f>
        <v>20190304154914648</v>
      </c>
      <c r="B5849" t="str">
        <f>"1551685754642695"</f>
        <v>1551685754642695</v>
      </c>
      <c r="C5849" t="s">
        <v>40</v>
      </c>
      <c r="D5849">
        <v>3.8265929999999999</v>
      </c>
      <c r="E5849">
        <v>0.43683179999999999</v>
      </c>
      <c r="F5849" t="s">
        <v>68</v>
      </c>
      <c r="G5849">
        <v>-406.25560000000002</v>
      </c>
      <c r="H5849">
        <v>7.9986559999999998E-2</v>
      </c>
      <c r="I5849">
        <v>9.2535059999999998</v>
      </c>
      <c r="J5849">
        <v>-422.1703</v>
      </c>
      <c r="K5849">
        <v>1.1108929999999999</v>
      </c>
      <c r="L5849">
        <v>83.415800000000004</v>
      </c>
      <c r="M5849">
        <v>-3.6875110000000003E-2</v>
      </c>
      <c r="N5849">
        <v>-1.0140130000000001E-2</v>
      </c>
      <c r="O5849">
        <v>-0.99926859999999995</v>
      </c>
      <c r="P5849">
        <v>7.8733990000000004E-2</v>
      </c>
      <c r="Q5849">
        <v>0.16287449999999901</v>
      </c>
      <c r="R5849">
        <v>-0.98350059999999995</v>
      </c>
      <c r="S5849">
        <v>0.64218140000000001</v>
      </c>
      <c r="T5849">
        <v>-4.1622760000000002E-2</v>
      </c>
      <c r="U5849">
        <v>-3.005188</v>
      </c>
      <c r="V5849">
        <v>-0.1151128</v>
      </c>
      <c r="W5849">
        <v>0.17269370000000001</v>
      </c>
      <c r="X5849">
        <v>0.97822589999999998</v>
      </c>
      <c r="Y5849">
        <v>-0.24486340000000001</v>
      </c>
      <c r="Z5849">
        <v>3.292517E-3</v>
      </c>
      <c r="AA5849">
        <v>0.96955199999999997</v>
      </c>
      <c r="AB5849">
        <v>26</v>
      </c>
      <c r="AC5849">
        <v>15.9146999999999</v>
      </c>
      <c r="AD5849">
        <v>-1.0309064400000001</v>
      </c>
      <c r="AE5849">
        <v>-74.162293999999903</v>
      </c>
      <c r="AF5849">
        <v>-18.635315556041899</v>
      </c>
      <c r="AG5849">
        <v>-1.0309064400000001</v>
      </c>
      <c r="AH5849">
        <v>73.511384112867106</v>
      </c>
      <c r="AI5849">
        <v>90.778817953286705</v>
      </c>
      <c r="AJ5849">
        <v>104.224958112368</v>
      </c>
      <c r="AK5849">
        <v>75.843663862914596</v>
      </c>
      <c r="AL5849">
        <v>80.055526360364595</v>
      </c>
      <c r="AM5849">
        <v>96.711419741907207</v>
      </c>
      <c r="AN5849">
        <v>0.99999999108716997</v>
      </c>
    </row>
    <row r="5850" spans="1:40" x14ac:dyDescent="0.25">
      <c r="A5850" t="str">
        <f>"20190304154914670"</f>
        <v>20190304154914670</v>
      </c>
      <c r="B5850" t="str">
        <f>"1551685754663187"</f>
        <v>1551685754663187</v>
      </c>
      <c r="C5850" t="s">
        <v>40</v>
      </c>
      <c r="D5850">
        <v>4.0898839999999996</v>
      </c>
      <c r="E5850">
        <v>0.4336275</v>
      </c>
      <c r="F5850" t="s">
        <v>85</v>
      </c>
      <c r="G5850">
        <v>-401.94119999999998</v>
      </c>
      <c r="H5850">
        <v>0.3747799</v>
      </c>
      <c r="I5850">
        <v>0.66104700000000005</v>
      </c>
      <c r="J5850">
        <v>-422.17939999999999</v>
      </c>
      <c r="K5850">
        <v>1.1109100000000001</v>
      </c>
      <c r="L5850">
        <v>83.152280000000005</v>
      </c>
      <c r="M5850">
        <v>-3.6291009999999999E-2</v>
      </c>
      <c r="N5850">
        <v>-1.014433E-2</v>
      </c>
      <c r="O5850">
        <v>-0.99928980000000001</v>
      </c>
      <c r="P5850">
        <v>7.9200199999999998E-2</v>
      </c>
      <c r="Q5850">
        <v>0.1632121</v>
      </c>
      <c r="R5850">
        <v>-0.98340689999999997</v>
      </c>
      <c r="S5850">
        <v>0.73239140000000003</v>
      </c>
      <c r="T5850">
        <v>-2.6651859999999999E-2</v>
      </c>
      <c r="U5850">
        <v>-2.996124</v>
      </c>
      <c r="V5850">
        <v>-0.115007399999999</v>
      </c>
      <c r="W5850">
        <v>0.17303189999999999</v>
      </c>
      <c r="X5850">
        <v>0.97817860000000001</v>
      </c>
      <c r="Y5850">
        <v>-0.27252729999999997</v>
      </c>
      <c r="Z5850">
        <v>-1.5973630000000001E-3</v>
      </c>
      <c r="AA5850">
        <v>0.96214670000000002</v>
      </c>
      <c r="AB5850">
        <v>26</v>
      </c>
      <c r="AC5850">
        <v>20.238199999999999</v>
      </c>
      <c r="AD5850">
        <v>-0.73613009999999901</v>
      </c>
      <c r="AE5850">
        <v>-82.491232999999994</v>
      </c>
      <c r="AF5850">
        <v>-23.2169672661961</v>
      </c>
      <c r="AG5850">
        <v>-0.73613009999999901</v>
      </c>
      <c r="AH5850">
        <v>81.696248623220399</v>
      </c>
      <c r="AI5850">
        <v>90.496591403956202</v>
      </c>
      <c r="AJ5850">
        <v>105.86443167726701</v>
      </c>
      <c r="AK5850">
        <v>84.934365810729304</v>
      </c>
      <c r="AL5850">
        <v>80.035853422676396</v>
      </c>
      <c r="AM5850">
        <v>96.705651873340003</v>
      </c>
      <c r="AN5850">
        <v>1.0000000569851599</v>
      </c>
    </row>
    <row r="5851" spans="1:40" x14ac:dyDescent="0.25">
      <c r="A5851" t="str">
        <f>"20190304154914694"</f>
        <v>20190304154914694</v>
      </c>
      <c r="B5851" t="str">
        <f>"1551685754682708"</f>
        <v>1551685754682708</v>
      </c>
      <c r="C5851" t="s">
        <v>40</v>
      </c>
      <c r="D5851">
        <v>3.829421</v>
      </c>
      <c r="E5851">
        <v>0.4327104</v>
      </c>
      <c r="F5851" t="s">
        <v>68</v>
      </c>
      <c r="G5851">
        <v>-403.53519999999997</v>
      </c>
      <c r="H5851">
        <v>6.450873E-2</v>
      </c>
      <c r="I5851">
        <v>9.6017089999999996</v>
      </c>
      <c r="J5851">
        <v>-422.18880000000001</v>
      </c>
      <c r="K5851">
        <v>1.1109260000000001</v>
      </c>
      <c r="L5851">
        <v>82.87424</v>
      </c>
      <c r="M5851">
        <v>-3.5652980000000001E-2</v>
      </c>
      <c r="N5851">
        <v>-1.0148580000000001E-2</v>
      </c>
      <c r="O5851">
        <v>-0.99931289999999995</v>
      </c>
      <c r="P5851">
        <v>7.9359639999999995E-2</v>
      </c>
      <c r="Q5851">
        <v>0.16419600000000001</v>
      </c>
      <c r="R5851">
        <v>-0.98323059999999995</v>
      </c>
      <c r="S5851">
        <v>0.75958249999999905</v>
      </c>
      <c r="T5851">
        <v>-4.2631389999999998E-2</v>
      </c>
      <c r="U5851">
        <v>-2.996521</v>
      </c>
      <c r="V5851">
        <v>-0.1145418</v>
      </c>
      <c r="W5851">
        <v>0.17401520000000001</v>
      </c>
      <c r="X5851">
        <v>0.97805880000000001</v>
      </c>
      <c r="Y5851">
        <v>-0.28008709999999998</v>
      </c>
      <c r="Z5851">
        <v>3.5169260000000001E-3</v>
      </c>
      <c r="AA5851">
        <v>0.95996809999999999</v>
      </c>
      <c r="AB5851">
        <v>26</v>
      </c>
      <c r="AC5851">
        <v>18.653600000000001</v>
      </c>
      <c r="AD5851">
        <v>-1.0464172700000001</v>
      </c>
      <c r="AE5851">
        <v>-73.272531000000001</v>
      </c>
      <c r="AF5851">
        <v>-21.250187268720801</v>
      </c>
      <c r="AG5851">
        <v>-1.0464172700000001</v>
      </c>
      <c r="AH5851">
        <v>72.546955718211706</v>
      </c>
      <c r="AI5851">
        <v>90.793059348845702</v>
      </c>
      <c r="AJ5851">
        <v>106.326168934028</v>
      </c>
      <c r="AK5851">
        <v>75.602422130768005</v>
      </c>
      <c r="AL5851">
        <v>79.978646721865502</v>
      </c>
      <c r="AM5851">
        <v>96.679560885731107</v>
      </c>
      <c r="AN5851">
        <v>1.00000006501785</v>
      </c>
    </row>
    <row r="5852" spans="1:40" x14ac:dyDescent="0.25">
      <c r="A5852" t="str">
        <f>"20190304154914714"</f>
        <v>20190304154914714</v>
      </c>
      <c r="B5852" t="str">
        <f>"1551685754703203"</f>
        <v>1551685754703203</v>
      </c>
      <c r="C5852" t="s">
        <v>40</v>
      </c>
      <c r="D5852">
        <v>3.8714599999999999</v>
      </c>
      <c r="E5852">
        <v>0.4318707</v>
      </c>
      <c r="F5852" t="s">
        <v>45</v>
      </c>
      <c r="G5852">
        <v>-398.81439999999998</v>
      </c>
      <c r="H5852">
        <v>-0.05</v>
      </c>
      <c r="I5852">
        <v>-8.3513029999999997</v>
      </c>
      <c r="J5852">
        <v>-422.197</v>
      </c>
      <c r="K5852">
        <v>1.1109469999999999</v>
      </c>
      <c r="L5852">
        <v>82.629519999999999</v>
      </c>
      <c r="M5852">
        <v>-3.5070959999999998E-2</v>
      </c>
      <c r="N5852">
        <v>-1.015226E-2</v>
      </c>
      <c r="O5852">
        <v>-0.99933340000000004</v>
      </c>
      <c r="P5852">
        <v>8.0144899999999894E-2</v>
      </c>
      <c r="Q5852">
        <v>0.1650017</v>
      </c>
      <c r="R5852">
        <v>-0.98303200000000002</v>
      </c>
      <c r="S5852">
        <v>0.7675476</v>
      </c>
      <c r="T5852">
        <v>-3.8121339999999997E-2</v>
      </c>
      <c r="U5852">
        <v>-2.9955750000000001</v>
      </c>
      <c r="V5852">
        <v>-0.114757</v>
      </c>
      <c r="W5852">
        <v>0.17481759999999999</v>
      </c>
      <c r="X5852">
        <v>0.97789040000000005</v>
      </c>
      <c r="Y5852">
        <v>-0.28199920000000001</v>
      </c>
      <c r="Z5852">
        <v>2.059834E-3</v>
      </c>
      <c r="AA5852">
        <v>0.9594125</v>
      </c>
      <c r="AB5852">
        <v>26</v>
      </c>
      <c r="AC5852">
        <v>23.382599999999901</v>
      </c>
      <c r="AD5852">
        <v>-1.160947</v>
      </c>
      <c r="AE5852">
        <v>-90.980823000000001</v>
      </c>
      <c r="AF5852">
        <v>-26.555106948746499</v>
      </c>
      <c r="AG5852">
        <v>-1.160947</v>
      </c>
      <c r="AH5852">
        <v>90.0909954048565</v>
      </c>
      <c r="AI5852">
        <v>90.708174337579194</v>
      </c>
      <c r="AJ5852">
        <v>106.423341082612</v>
      </c>
      <c r="AK5852">
        <v>93.930340976885901</v>
      </c>
      <c r="AL5852">
        <v>79.931956250198397</v>
      </c>
      <c r="AM5852">
        <v>96.693138621400493</v>
      </c>
      <c r="AN5852">
        <v>0.99999999836546005</v>
      </c>
    </row>
    <row r="5853" spans="1:40" x14ac:dyDescent="0.25">
      <c r="A5853" t="str">
        <f>"20190304154914737"</f>
        <v>20190304154914737</v>
      </c>
      <c r="B5853" t="str">
        <f>"1551685754733405"</f>
        <v>1551685754733405</v>
      </c>
      <c r="C5853" t="s">
        <v>40</v>
      </c>
      <c r="D5853">
        <v>3.8608910000000001</v>
      </c>
      <c r="E5853">
        <v>0.43118869999999998</v>
      </c>
      <c r="F5853" t="s">
        <v>85</v>
      </c>
      <c r="G5853">
        <v>-400.92950000000002</v>
      </c>
      <c r="H5853">
        <v>0.18774289999999999</v>
      </c>
      <c r="I5853">
        <v>0.67133330000000002</v>
      </c>
      <c r="J5853">
        <v>-422.20569999999998</v>
      </c>
      <c r="K5853">
        <v>1.1109610000000001</v>
      </c>
      <c r="L5853">
        <v>82.362340000000003</v>
      </c>
      <c r="M5853">
        <v>-3.4413810000000003E-2</v>
      </c>
      <c r="N5853">
        <v>-1.015626E-2</v>
      </c>
      <c r="O5853">
        <v>-0.99935620000000003</v>
      </c>
      <c r="P5853">
        <v>8.1178479999999997E-2</v>
      </c>
      <c r="Q5853">
        <v>0.16500909999999999</v>
      </c>
      <c r="R5853">
        <v>-0.98294590000000004</v>
      </c>
      <c r="S5853">
        <v>0.77694700000000005</v>
      </c>
      <c r="T5853">
        <v>-3.3727649999999998E-2</v>
      </c>
      <c r="U5853">
        <v>-2.99411</v>
      </c>
      <c r="V5853">
        <v>-0.1151504</v>
      </c>
      <c r="W5853">
        <v>0.1748237</v>
      </c>
      <c r="X5853">
        <v>0.97784300000000002</v>
      </c>
      <c r="Y5853">
        <v>-0.28430660000000002</v>
      </c>
      <c r="Z5853">
        <v>6.4108399999999999E-4</v>
      </c>
      <c r="AA5853">
        <v>0.95873319999999995</v>
      </c>
      <c r="AB5853">
        <v>27</v>
      </c>
      <c r="AC5853">
        <v>21.2761999999999</v>
      </c>
      <c r="AD5853">
        <v>-0.92321810000000004</v>
      </c>
      <c r="AE5853">
        <v>-81.691006700000003</v>
      </c>
      <c r="AF5853">
        <v>-24.072160359137499</v>
      </c>
      <c r="AG5853">
        <v>-0.92321810000000004</v>
      </c>
      <c r="AH5853">
        <v>80.9007045717712</v>
      </c>
      <c r="AI5853">
        <v>90.626665366400402</v>
      </c>
      <c r="AJ5853">
        <v>106.57047477099201</v>
      </c>
      <c r="AK5853">
        <v>84.411167722198897</v>
      </c>
      <c r="AL5853">
        <v>79.931600651905399</v>
      </c>
      <c r="AM5853">
        <v>96.716196798597096</v>
      </c>
      <c r="AN5853">
        <v>0.99999993667542297</v>
      </c>
    </row>
    <row r="5854" spans="1:40" x14ac:dyDescent="0.25">
      <c r="A5854" t="str">
        <f>"20190304154914759"</f>
        <v>20190304154914759</v>
      </c>
      <c r="B5854" t="str">
        <f>"1551685754752930"</f>
        <v>1551685754752930</v>
      </c>
      <c r="C5854" t="s">
        <v>40</v>
      </c>
      <c r="D5854">
        <v>3.8411599999999999</v>
      </c>
      <c r="E5854">
        <v>0.43084850000000002</v>
      </c>
      <c r="F5854" t="s">
        <v>85</v>
      </c>
      <c r="G5854">
        <v>-400.75220000000002</v>
      </c>
      <c r="H5854">
        <v>0.2472665</v>
      </c>
      <c r="I5854">
        <v>0.67313769999999995</v>
      </c>
      <c r="J5854">
        <v>-422.21420000000001</v>
      </c>
      <c r="K5854">
        <v>1.110984</v>
      </c>
      <c r="L5854">
        <v>82.09366</v>
      </c>
      <c r="M5854">
        <v>-3.3727939999999998E-2</v>
      </c>
      <c r="N5854">
        <v>-1.016006E-2</v>
      </c>
      <c r="O5854">
        <v>-0.99937949999999998</v>
      </c>
      <c r="P5854">
        <v>8.1864099999999995E-2</v>
      </c>
      <c r="Q5854">
        <v>0.1655865</v>
      </c>
      <c r="R5854">
        <v>-0.982792</v>
      </c>
      <c r="S5854">
        <v>0.7858887</v>
      </c>
      <c r="T5854">
        <v>-3.1640050000000003E-2</v>
      </c>
      <c r="U5854">
        <v>-2.9924620000000002</v>
      </c>
      <c r="V5854">
        <v>-0.1151664</v>
      </c>
      <c r="W5854">
        <v>0.17539830000000001</v>
      </c>
      <c r="X5854">
        <v>0.97773829999999995</v>
      </c>
      <c r="Y5854">
        <v>-0.28645900000000002</v>
      </c>
      <c r="Z5854" s="1">
        <v>-3.471051E-5</v>
      </c>
      <c r="AA5854">
        <v>0.95809250000000001</v>
      </c>
      <c r="AB5854">
        <v>27</v>
      </c>
      <c r="AC5854">
        <v>21.4619999999999</v>
      </c>
      <c r="AD5854">
        <v>-0.86371749999999903</v>
      </c>
      <c r="AE5854">
        <v>-81.420522300000002</v>
      </c>
      <c r="AF5854">
        <v>-24.193530280508799</v>
      </c>
      <c r="AG5854">
        <v>-0.86371749999999903</v>
      </c>
      <c r="AH5854">
        <v>80.6418018634579</v>
      </c>
      <c r="AI5854">
        <v>90.587765617456398</v>
      </c>
      <c r="AJ5854">
        <v>106.699889364288</v>
      </c>
      <c r="AK5854">
        <v>84.197227526438795</v>
      </c>
      <c r="AL5854">
        <v>79.898162705184106</v>
      </c>
      <c r="AM5854">
        <v>96.717834200362702</v>
      </c>
      <c r="AN5854">
        <v>1.00000002330936</v>
      </c>
    </row>
    <row r="5855" spans="1:40" x14ac:dyDescent="0.25">
      <c r="A5855" t="str">
        <f>"20190304154914781"</f>
        <v>20190304154914781</v>
      </c>
      <c r="B5855" t="str">
        <f>"1551685754773423"</f>
        <v>1551685754773423</v>
      </c>
      <c r="C5855" t="s">
        <v>40</v>
      </c>
      <c r="D5855">
        <v>3.8772190000000002</v>
      </c>
      <c r="E5855">
        <v>0.43066339999999997</v>
      </c>
      <c r="F5855" t="s">
        <v>85</v>
      </c>
      <c r="G5855">
        <v>-400.66539999999998</v>
      </c>
      <c r="H5855">
        <v>0.34685729999999998</v>
      </c>
      <c r="I5855">
        <v>0.67402079999999998</v>
      </c>
      <c r="J5855">
        <v>-422.22230000000002</v>
      </c>
      <c r="K5855">
        <v>1.1110040000000001</v>
      </c>
      <c r="L5855">
        <v>81.830439999999996</v>
      </c>
      <c r="M5855">
        <v>-3.3027910000000001E-2</v>
      </c>
      <c r="N5855">
        <v>-1.016361E-2</v>
      </c>
      <c r="O5855">
        <v>-0.99940289999999998</v>
      </c>
      <c r="P5855">
        <v>8.3052639999999997E-2</v>
      </c>
      <c r="Q5855">
        <v>0.1657141</v>
      </c>
      <c r="R5855">
        <v>-0.98267079999999996</v>
      </c>
      <c r="S5855">
        <v>0.79168700000000003</v>
      </c>
      <c r="T5855">
        <v>-2.8074499999999999E-2</v>
      </c>
      <c r="U5855">
        <v>-2.9913020000000001</v>
      </c>
      <c r="V5855">
        <v>-0.1156725</v>
      </c>
      <c r="W5855">
        <v>0.17552279999999901</v>
      </c>
      <c r="X5855">
        <v>0.97765619999999998</v>
      </c>
      <c r="Y5855">
        <v>-0.287616599999999</v>
      </c>
      <c r="Z5855">
        <v>-1.1837519999999999E-3</v>
      </c>
      <c r="AA5855">
        <v>0.95774490000000001</v>
      </c>
      <c r="AB5855">
        <v>27</v>
      </c>
      <c r="AC5855">
        <v>21.556899999999999</v>
      </c>
      <c r="AD5855">
        <v>-0.76414669999999996</v>
      </c>
      <c r="AE5855">
        <v>-81.156419200000002</v>
      </c>
      <c r="AF5855">
        <v>-24.223696909410901</v>
      </c>
      <c r="AG5855">
        <v>-0.76414669999999996</v>
      </c>
      <c r="AH5855">
        <v>80.393464458944095</v>
      </c>
      <c r="AI5855">
        <v>90.521429994990996</v>
      </c>
      <c r="AJ5855">
        <v>106.76830298821</v>
      </c>
      <c r="AK5855">
        <v>83.967139643134402</v>
      </c>
      <c r="AL5855">
        <v>79.890916868435397</v>
      </c>
      <c r="AM5855">
        <v>96.747645589773896</v>
      </c>
      <c r="AN5855">
        <v>1.0000000129872599</v>
      </c>
    </row>
    <row r="5856" spans="1:40" x14ac:dyDescent="0.25">
      <c r="A5856" t="str">
        <f>"20190304154914803"</f>
        <v>20190304154914803</v>
      </c>
      <c r="B5856" t="str">
        <f>"1551685754792941"</f>
        <v>1551685754792941</v>
      </c>
      <c r="C5856" t="s">
        <v>40</v>
      </c>
      <c r="D5856">
        <v>3.8506339999999999</v>
      </c>
      <c r="E5856">
        <v>0.43049189999999998</v>
      </c>
      <c r="F5856" t="s">
        <v>85</v>
      </c>
      <c r="G5856">
        <v>-400.59859999999998</v>
      </c>
      <c r="H5856">
        <v>0.36824580000000001</v>
      </c>
      <c r="I5856">
        <v>0.67470169999999996</v>
      </c>
      <c r="J5856">
        <v>-422.2303</v>
      </c>
      <c r="K5856">
        <v>1.111027</v>
      </c>
      <c r="L5856">
        <v>81.563109999999995</v>
      </c>
      <c r="M5856">
        <v>-3.2288299999999999E-2</v>
      </c>
      <c r="N5856">
        <v>-1.016718E-2</v>
      </c>
      <c r="O5856">
        <v>-0.99942679999999995</v>
      </c>
      <c r="P5856">
        <v>8.42778E-2</v>
      </c>
      <c r="Q5856">
        <v>0.1660539</v>
      </c>
      <c r="R5856">
        <v>-0.98250870000000001</v>
      </c>
      <c r="S5856">
        <v>0.79672240000000005</v>
      </c>
      <c r="T5856">
        <v>-2.7367829999999999E-2</v>
      </c>
      <c r="U5856">
        <v>-2.990173</v>
      </c>
      <c r="V5856">
        <v>-0.1161763</v>
      </c>
      <c r="W5856">
        <v>0.175858399999999</v>
      </c>
      <c r="X5856">
        <v>0.97753610000000002</v>
      </c>
      <c r="Y5856">
        <v>-0.28850389999999998</v>
      </c>
      <c r="Z5856">
        <v>-1.413304E-3</v>
      </c>
      <c r="AA5856">
        <v>0.95747769999999999</v>
      </c>
      <c r="AB5856">
        <v>27</v>
      </c>
      <c r="AC5856">
        <v>21.631699999999999</v>
      </c>
      <c r="AD5856">
        <v>-0.74278120000000003</v>
      </c>
      <c r="AE5856">
        <v>-80.888408299999995</v>
      </c>
      <c r="AF5856">
        <v>-24.230397582738998</v>
      </c>
      <c r="AG5856">
        <v>-0.74278120000000003</v>
      </c>
      <c r="AH5856">
        <v>80.141434711382203</v>
      </c>
      <c r="AI5856">
        <v>90.508300473068502</v>
      </c>
      <c r="AJ5856">
        <v>106.822452569804</v>
      </c>
      <c r="AK5856">
        <v>83.727614611473399</v>
      </c>
      <c r="AL5856">
        <v>79.871384130111593</v>
      </c>
      <c r="AM5856">
        <v>96.777586395502993</v>
      </c>
      <c r="AN5856">
        <v>0.99999996816772896</v>
      </c>
    </row>
    <row r="5857" spans="1:40" x14ac:dyDescent="0.25">
      <c r="A5857" t="str">
        <f>"20190304154914826"</f>
        <v>20190304154914826</v>
      </c>
      <c r="B5857" t="str">
        <f>"1551685754823197"</f>
        <v>1551685754823197</v>
      </c>
      <c r="C5857" t="s">
        <v>40</v>
      </c>
      <c r="D5857">
        <v>3.8406889999999998</v>
      </c>
      <c r="E5857">
        <v>0.43026720000000002</v>
      </c>
      <c r="F5857" t="s">
        <v>85</v>
      </c>
      <c r="G5857">
        <v>-400.5181</v>
      </c>
      <c r="H5857">
        <v>0.40980650000000002</v>
      </c>
      <c r="I5857">
        <v>0.67551989999999995</v>
      </c>
      <c r="J5857">
        <v>-422.23790000000002</v>
      </c>
      <c r="K5857">
        <v>1.1110450000000001</v>
      </c>
      <c r="L5857">
        <v>81.302800000000005</v>
      </c>
      <c r="M5857">
        <v>-3.1540220000000001E-2</v>
      </c>
      <c r="N5857">
        <v>-1.017063E-2</v>
      </c>
      <c r="O5857">
        <v>-0.99945079999999997</v>
      </c>
      <c r="P5857">
        <v>8.5832359999999996E-2</v>
      </c>
      <c r="Q5857">
        <v>0.1665963</v>
      </c>
      <c r="R5857">
        <v>-0.98228249999999995</v>
      </c>
      <c r="S5857">
        <v>0.80230709999999905</v>
      </c>
      <c r="T5857">
        <v>-2.5912520000000001E-2</v>
      </c>
      <c r="U5857">
        <v>-2.988953</v>
      </c>
      <c r="V5857">
        <v>-0.1169997</v>
      </c>
      <c r="W5857">
        <v>0.17639489999999999</v>
      </c>
      <c r="X5857">
        <v>0.97734120000000002</v>
      </c>
      <c r="Y5857">
        <v>-0.28955419999999998</v>
      </c>
      <c r="Z5857">
        <v>-1.883575E-3</v>
      </c>
      <c r="AA5857">
        <v>0.95715980000000001</v>
      </c>
      <c r="AB5857">
        <v>27</v>
      </c>
      <c r="AC5857">
        <v>21.719799999999999</v>
      </c>
      <c r="AD5857">
        <v>-0.70123849999999999</v>
      </c>
      <c r="AE5857">
        <v>-80.627280099999993</v>
      </c>
      <c r="AF5857">
        <v>-24.2504161911422</v>
      </c>
      <c r="AG5857">
        <v>-0.70123849999999999</v>
      </c>
      <c r="AH5857">
        <v>79.896445203034403</v>
      </c>
      <c r="AI5857">
        <v>90.481187448465604</v>
      </c>
      <c r="AJ5857">
        <v>106.88425536381099</v>
      </c>
      <c r="AK5857">
        <v>83.498601047915599</v>
      </c>
      <c r="AL5857">
        <v>79.840156655752494</v>
      </c>
      <c r="AM5857">
        <v>96.826519226686798</v>
      </c>
      <c r="AN5857">
        <v>0.99999995588176904</v>
      </c>
    </row>
    <row r="5858" spans="1:40" x14ac:dyDescent="0.25">
      <c r="A5858" t="str">
        <f>"20190304154914849"</f>
        <v>20190304154914849</v>
      </c>
      <c r="B5858" t="str">
        <f>"1551685754842717"</f>
        <v>1551685754842717</v>
      </c>
      <c r="C5858" t="s">
        <v>40</v>
      </c>
      <c r="D5858">
        <v>3.8682180000000002</v>
      </c>
      <c r="E5858">
        <v>0.4301122</v>
      </c>
      <c r="F5858" t="s">
        <v>85</v>
      </c>
      <c r="G5858">
        <v>-400.40120000000002</v>
      </c>
      <c r="H5858">
        <v>0.45103910000000003</v>
      </c>
      <c r="I5858">
        <v>0.67670629999999998</v>
      </c>
      <c r="J5858">
        <v>-422.24560000000002</v>
      </c>
      <c r="K5858">
        <v>1.111065</v>
      </c>
      <c r="L5858">
        <v>81.030240000000006</v>
      </c>
      <c r="M5858">
        <v>-3.073093E-2</v>
      </c>
      <c r="N5858">
        <v>-1.017411E-2</v>
      </c>
      <c r="O5858">
        <v>-0.99947609999999998</v>
      </c>
      <c r="P5858">
        <v>8.7100070000000002E-2</v>
      </c>
      <c r="Q5858">
        <v>0.167183</v>
      </c>
      <c r="R5858">
        <v>-0.98207160000000004</v>
      </c>
      <c r="S5858">
        <v>0.8091431</v>
      </c>
      <c r="T5858">
        <v>-2.4457099999999999E-2</v>
      </c>
      <c r="U5858">
        <v>-2.987549</v>
      </c>
      <c r="V5858">
        <v>-0.1174775</v>
      </c>
      <c r="W5858">
        <v>0.17697679999999999</v>
      </c>
      <c r="X5858">
        <v>0.97717869999999996</v>
      </c>
      <c r="Y5858">
        <v>-0.29093340000000001</v>
      </c>
      <c r="Z5858">
        <v>-2.3542699999999999E-3</v>
      </c>
      <c r="AA5858">
        <v>0.95674040000000005</v>
      </c>
      <c r="AB5858">
        <v>27</v>
      </c>
      <c r="AC5858">
        <v>21.8444</v>
      </c>
      <c r="AD5858">
        <v>-0.66002589999999906</v>
      </c>
      <c r="AE5858">
        <v>-80.3535337</v>
      </c>
      <c r="AF5858">
        <v>-24.302021026202901</v>
      </c>
      <c r="AG5858">
        <v>-0.66002589999999906</v>
      </c>
      <c r="AH5858">
        <v>79.639241440407901</v>
      </c>
      <c r="AI5858">
        <v>90.454165361441895</v>
      </c>
      <c r="AJ5858">
        <v>106.969638570339</v>
      </c>
      <c r="AK5858">
        <v>83.267236277843693</v>
      </c>
      <c r="AL5858">
        <v>79.806283581700299</v>
      </c>
      <c r="AM5858">
        <v>96.855261455055498</v>
      </c>
      <c r="AN5858">
        <v>0.99999998123908895</v>
      </c>
    </row>
    <row r="5859" spans="1:40" x14ac:dyDescent="0.25">
      <c r="A5859" t="str">
        <f>"20190304154914871"</f>
        <v>20190304154914871</v>
      </c>
      <c r="B5859" t="str">
        <f>"1551685754863213"</f>
        <v>1551685754863213</v>
      </c>
      <c r="C5859" t="s">
        <v>40</v>
      </c>
      <c r="D5859">
        <v>3.8372609999999998</v>
      </c>
      <c r="E5859">
        <v>0.43003400000000003</v>
      </c>
      <c r="F5859" t="s">
        <v>85</v>
      </c>
      <c r="G5859">
        <v>-400.32569999999998</v>
      </c>
      <c r="H5859">
        <v>0.50364330000000002</v>
      </c>
      <c r="I5859">
        <v>0.67747690000000005</v>
      </c>
      <c r="J5859">
        <v>-422.25290000000001</v>
      </c>
      <c r="K5859">
        <v>1.1110799999999901</v>
      </c>
      <c r="L5859">
        <v>80.767910000000001</v>
      </c>
      <c r="M5859">
        <v>-2.993198E-2</v>
      </c>
      <c r="N5859">
        <v>-1.017737E-2</v>
      </c>
      <c r="O5859">
        <v>-0.99950000000000006</v>
      </c>
      <c r="P5859">
        <v>8.8456640000000003E-2</v>
      </c>
      <c r="Q5859">
        <v>0.1679021</v>
      </c>
      <c r="R5859">
        <v>-0.98182689999999995</v>
      </c>
      <c r="S5859">
        <v>0.81466669999999997</v>
      </c>
      <c r="T5859">
        <v>-2.257609E-2</v>
      </c>
      <c r="U5859">
        <v>-2.9863590000000002</v>
      </c>
      <c r="V5859">
        <v>-0.1180528</v>
      </c>
      <c r="W5859">
        <v>0.17769160000000001</v>
      </c>
      <c r="X5859">
        <v>0.97697970000000001</v>
      </c>
      <c r="Y5859">
        <v>-0.29191289999999998</v>
      </c>
      <c r="Z5859">
        <v>-2.9611400000000001E-3</v>
      </c>
      <c r="AA5859">
        <v>0.95644030000000002</v>
      </c>
      <c r="AB5859">
        <v>27</v>
      </c>
      <c r="AC5859">
        <v>21.927199999999999</v>
      </c>
      <c r="AD5859">
        <v>-0.60743669999999905</v>
      </c>
      <c r="AE5859">
        <v>-80.090433099999899</v>
      </c>
      <c r="AF5859">
        <v>-24.313462874809101</v>
      </c>
      <c r="AG5859">
        <v>-0.60743669999999905</v>
      </c>
      <c r="AH5859">
        <v>79.393936780852101</v>
      </c>
      <c r="AI5859">
        <v>90.419143959878397</v>
      </c>
      <c r="AJ5859">
        <v>107.026593559601</v>
      </c>
      <c r="AK5859">
        <v>83.035598714474006</v>
      </c>
      <c r="AL5859">
        <v>79.764669718605006</v>
      </c>
      <c r="AM5859">
        <v>96.889900243468105</v>
      </c>
      <c r="AN5859">
        <v>1.0000000512552401</v>
      </c>
    </row>
    <row r="5860" spans="1:40" x14ac:dyDescent="0.25">
      <c r="A5860" t="str">
        <f>"20190304154914893"</f>
        <v>20190304154914893</v>
      </c>
      <c r="B5860" t="str">
        <f>"1551685754882733"</f>
        <v>1551685754882733</v>
      </c>
      <c r="C5860" t="s">
        <v>40</v>
      </c>
      <c r="D5860">
        <v>3.846784</v>
      </c>
      <c r="E5860">
        <v>0.42998059999999999</v>
      </c>
      <c r="F5860" t="s">
        <v>85</v>
      </c>
      <c r="G5860">
        <v>-400.29180000000002</v>
      </c>
      <c r="H5860">
        <v>0.54491730000000005</v>
      </c>
      <c r="I5860">
        <v>0.67781829999999998</v>
      </c>
      <c r="J5860">
        <v>-422.25990000000002</v>
      </c>
      <c r="K5860">
        <v>1.1110990000000001</v>
      </c>
      <c r="L5860">
        <v>80.504519999999999</v>
      </c>
      <c r="M5860">
        <v>-2.911302E-2</v>
      </c>
      <c r="N5860">
        <v>-1.018054E-2</v>
      </c>
      <c r="O5860">
        <v>-0.99952419999999997</v>
      </c>
      <c r="P5860">
        <v>9.0073200000000006E-2</v>
      </c>
      <c r="Q5860">
        <v>0.1686965</v>
      </c>
      <c r="R5860">
        <v>-0.98154370000000002</v>
      </c>
      <c r="S5860">
        <v>0.81860350000000004</v>
      </c>
      <c r="T5860">
        <v>-2.1104810000000002E-2</v>
      </c>
      <c r="U5860">
        <v>-2.985382</v>
      </c>
      <c r="V5860">
        <v>-0.11886480000000001</v>
      </c>
      <c r="W5860">
        <v>0.17848129999999901</v>
      </c>
      <c r="X5860">
        <v>0.97673719999999997</v>
      </c>
      <c r="Y5860">
        <v>-0.29238229999999998</v>
      </c>
      <c r="Z5860">
        <v>-3.4356080000000002E-3</v>
      </c>
      <c r="AA5860">
        <v>0.95629540000000002</v>
      </c>
      <c r="AB5860">
        <v>27</v>
      </c>
      <c r="AC5860">
        <v>21.9681</v>
      </c>
      <c r="AD5860">
        <v>-0.56618169999999901</v>
      </c>
      <c r="AE5860">
        <v>-79.826701700000001</v>
      </c>
      <c r="AF5860">
        <v>-24.2817688158074</v>
      </c>
      <c r="AG5860">
        <v>-0.56618169999999901</v>
      </c>
      <c r="AH5860">
        <v>79.149569465796503</v>
      </c>
      <c r="AI5860">
        <v>90.391824371862697</v>
      </c>
      <c r="AJ5860">
        <v>107.05514071908399</v>
      </c>
      <c r="AK5860">
        <v>82.792386154541305</v>
      </c>
      <c r="AL5860">
        <v>79.718687548202894</v>
      </c>
      <c r="AM5860">
        <v>96.9385361577596</v>
      </c>
      <c r="AN5860">
        <v>0.99999998649628397</v>
      </c>
    </row>
    <row r="5861" spans="1:40" x14ac:dyDescent="0.25">
      <c r="A5861" t="str">
        <f>"20190304154914916"</f>
        <v>20190304154914916</v>
      </c>
      <c r="B5861" t="str">
        <f>"1551685754912989"</f>
        <v>1551685754912989</v>
      </c>
      <c r="C5861" t="s">
        <v>40</v>
      </c>
      <c r="D5861">
        <v>3.8787720000000001</v>
      </c>
      <c r="E5861">
        <v>0.42992570000000002</v>
      </c>
      <c r="F5861" t="s">
        <v>85</v>
      </c>
      <c r="G5861">
        <v>-400.2208</v>
      </c>
      <c r="H5861">
        <v>0.59739140000000002</v>
      </c>
      <c r="I5861">
        <v>0.67854309999999995</v>
      </c>
      <c r="J5861">
        <v>-422.26690000000002</v>
      </c>
      <c r="K5861">
        <v>1.111111</v>
      </c>
      <c r="L5861">
        <v>80.228849999999994</v>
      </c>
      <c r="M5861">
        <v>-2.8244669999999999E-2</v>
      </c>
      <c r="N5861">
        <v>-1.018399E-2</v>
      </c>
      <c r="O5861">
        <v>-0.99954920000000003</v>
      </c>
      <c r="P5861">
        <v>9.1433410000000007E-2</v>
      </c>
      <c r="Q5861">
        <v>0.16929549999999999</v>
      </c>
      <c r="R5861">
        <v>-0.98131500000000005</v>
      </c>
      <c r="S5861">
        <v>0.82388309999999998</v>
      </c>
      <c r="T5861">
        <v>-1.9204969999999998E-2</v>
      </c>
      <c r="U5861">
        <v>-2.9841310000000001</v>
      </c>
      <c r="V5861">
        <v>-0.1193732</v>
      </c>
      <c r="W5861">
        <v>0.17907899999999999</v>
      </c>
      <c r="X5861">
        <v>0.97656580000000004</v>
      </c>
      <c r="Y5861">
        <v>-0.293226599999999</v>
      </c>
      <c r="Z5861">
        <v>-4.0483969999999996E-3</v>
      </c>
      <c r="AA5861">
        <v>0.95603439999999995</v>
      </c>
      <c r="AB5861">
        <v>27</v>
      </c>
      <c r="AC5861">
        <v>22.046099999999999</v>
      </c>
      <c r="AD5861">
        <v>-0.51371959999999905</v>
      </c>
      <c r="AE5861">
        <v>-79.550306899999995</v>
      </c>
      <c r="AF5861">
        <v>-24.2833517125916</v>
      </c>
      <c r="AG5861">
        <v>-0.51371959999999905</v>
      </c>
      <c r="AH5861">
        <v>78.892793699441796</v>
      </c>
      <c r="AI5861">
        <v>90.356574214431504</v>
      </c>
      <c r="AJ5861">
        <v>107.10846484911499</v>
      </c>
      <c r="AK5861">
        <v>82.547065216926597</v>
      </c>
      <c r="AL5861">
        <v>79.683881292017006</v>
      </c>
      <c r="AM5861">
        <v>96.969132967540702</v>
      </c>
      <c r="AN5861">
        <v>1.00000000542444</v>
      </c>
    </row>
    <row r="5862" spans="1:40" x14ac:dyDescent="0.25">
      <c r="A5862" t="str">
        <f>"20190304154914938"</f>
        <v>20190304154914938</v>
      </c>
      <c r="B5862" t="str">
        <f>"1551685754933490"</f>
        <v>1551685754933490</v>
      </c>
      <c r="C5862" t="s">
        <v>40</v>
      </c>
      <c r="D5862">
        <v>3.87982</v>
      </c>
      <c r="E5862">
        <v>0.42988510000000002</v>
      </c>
      <c r="F5862" t="s">
        <v>85</v>
      </c>
      <c r="G5862">
        <v>-400.17829999999998</v>
      </c>
      <c r="H5862">
        <v>0.61181470000000004</v>
      </c>
      <c r="I5862">
        <v>0.67897419999999997</v>
      </c>
      <c r="J5862">
        <v>-422.27370000000002</v>
      </c>
      <c r="K5862">
        <v>1.111116</v>
      </c>
      <c r="L5862">
        <v>79.957400000000007</v>
      </c>
      <c r="M5862">
        <v>-2.7384370000000002E-2</v>
      </c>
      <c r="N5862">
        <v>-1.0187379999999999E-2</v>
      </c>
      <c r="O5862">
        <v>-0.99957309999999999</v>
      </c>
      <c r="P5862">
        <v>9.224446E-2</v>
      </c>
      <c r="Q5862">
        <v>0.16964749999999901</v>
      </c>
      <c r="R5862">
        <v>-0.98117849999999995</v>
      </c>
      <c r="S5862">
        <v>0.82833860000000004</v>
      </c>
      <c r="T5862">
        <v>-1.8724919999999999E-2</v>
      </c>
      <c r="U5862">
        <v>-2.9831850000000002</v>
      </c>
      <c r="V5862">
        <v>-0.11934019999999999</v>
      </c>
      <c r="W5862">
        <v>0.1794317</v>
      </c>
      <c r="X5862">
        <v>0.97650510000000001</v>
      </c>
      <c r="Y5862">
        <v>-0.2938077</v>
      </c>
      <c r="Z5862">
        <v>-4.2048299999999997E-3</v>
      </c>
      <c r="AA5862">
        <v>0.95585529999999996</v>
      </c>
      <c r="AB5862">
        <v>27</v>
      </c>
      <c r="AC5862">
        <v>22.095400000000001</v>
      </c>
      <c r="AD5862">
        <v>-0.4993013</v>
      </c>
      <c r="AE5862">
        <v>-79.278425799999994</v>
      </c>
      <c r="AF5862">
        <v>-24.257322378669301</v>
      </c>
      <c r="AG5862">
        <v>-0.4993013</v>
      </c>
      <c r="AH5862">
        <v>78.640697056000306</v>
      </c>
      <c r="AI5862">
        <v>90.347613484364501</v>
      </c>
      <c r="AJ5862">
        <v>107.142777238817</v>
      </c>
      <c r="AK5862">
        <v>82.2983974584225</v>
      </c>
      <c r="AL5862">
        <v>79.663340453407301</v>
      </c>
      <c r="AM5862">
        <v>96.967654160047999</v>
      </c>
      <c r="AN5862">
        <v>1.00000001431347</v>
      </c>
    </row>
    <row r="5863" spans="1:40" x14ac:dyDescent="0.25">
      <c r="A5863" t="str">
        <f>"20190304154914960"</f>
        <v>20190304154914960</v>
      </c>
      <c r="B5863" t="str">
        <f>"1551685754953005"</f>
        <v>1551685754953005</v>
      </c>
      <c r="C5863" t="s">
        <v>40</v>
      </c>
      <c r="D5863">
        <v>3.8775219999999999</v>
      </c>
      <c r="E5863">
        <v>0.42986780000000002</v>
      </c>
      <c r="F5863" t="s">
        <v>85</v>
      </c>
      <c r="G5863">
        <v>-400.17860000000002</v>
      </c>
      <c r="H5863">
        <v>0.62666339999999998</v>
      </c>
      <c r="I5863">
        <v>0.67897030000000003</v>
      </c>
      <c r="J5863">
        <v>-422.2801</v>
      </c>
      <c r="K5863">
        <v>1.1111249999999999</v>
      </c>
      <c r="L5863">
        <v>79.689149999999998</v>
      </c>
      <c r="M5863">
        <v>-2.6532920000000002E-2</v>
      </c>
      <c r="N5863">
        <v>-1.0190670000000001E-2</v>
      </c>
      <c r="O5863">
        <v>-0.99959589999999998</v>
      </c>
      <c r="P5863">
        <v>9.3149549999999998E-2</v>
      </c>
      <c r="Q5863">
        <v>0.17030020000000001</v>
      </c>
      <c r="R5863">
        <v>-0.98097970000000001</v>
      </c>
      <c r="S5863">
        <v>0.83123780000000003</v>
      </c>
      <c r="T5863">
        <v>-1.8226619999999999E-2</v>
      </c>
      <c r="U5863">
        <v>-2.9825439999999999</v>
      </c>
      <c r="V5863">
        <v>-0.1194081</v>
      </c>
      <c r="W5863">
        <v>0.18008660000000001</v>
      </c>
      <c r="X5863">
        <v>0.97637620000000003</v>
      </c>
      <c r="Y5863">
        <v>-0.29390880000000003</v>
      </c>
      <c r="Z5863">
        <v>-4.3667139999999998E-3</v>
      </c>
      <c r="AA5863">
        <v>0.95582350000000005</v>
      </c>
      <c r="AB5863">
        <v>27</v>
      </c>
      <c r="AC5863">
        <v>22.101499999999898</v>
      </c>
      <c r="AD5863">
        <v>-0.48446159999999999</v>
      </c>
      <c r="AE5863">
        <v>-79.010179699999995</v>
      </c>
      <c r="AF5863">
        <v>-24.1893545309735</v>
      </c>
      <c r="AG5863">
        <v>-0.48446159999999999</v>
      </c>
      <c r="AH5863">
        <v>78.393179195115593</v>
      </c>
      <c r="AI5863">
        <v>90.338337047860094</v>
      </c>
      <c r="AJ5863">
        <v>107.14837031923599</v>
      </c>
      <c r="AK5863">
        <v>82.041758391593007</v>
      </c>
      <c r="AL5863">
        <v>79.625195749935202</v>
      </c>
      <c r="AM5863">
        <v>96.972490806357499</v>
      </c>
      <c r="AN5863">
        <v>0.999999980885804</v>
      </c>
    </row>
    <row r="5864" spans="1:40" x14ac:dyDescent="0.25">
      <c r="A5864" t="str">
        <f>"20190304154914982"</f>
        <v>20190304154914982</v>
      </c>
      <c r="B5864" t="str">
        <f>"1551685754973503"</f>
        <v>1551685754973503</v>
      </c>
      <c r="C5864" t="s">
        <v>40</v>
      </c>
      <c r="D5864">
        <v>3.90334</v>
      </c>
      <c r="E5864">
        <v>0.42982890000000001</v>
      </c>
      <c r="F5864" t="s">
        <v>85</v>
      </c>
      <c r="G5864">
        <v>-400.18290000000002</v>
      </c>
      <c r="H5864">
        <v>0.66806290000000002</v>
      </c>
      <c r="I5864">
        <v>0.67892839999999999</v>
      </c>
      <c r="J5864">
        <v>-422.28609999999998</v>
      </c>
      <c r="K5864">
        <v>1.1111310000000001</v>
      </c>
      <c r="L5864">
        <v>79.427610000000001</v>
      </c>
      <c r="M5864">
        <v>-2.57047E-2</v>
      </c>
      <c r="N5864">
        <v>-1.0193809999999999E-2</v>
      </c>
      <c r="O5864">
        <v>-0.9996176</v>
      </c>
      <c r="P5864">
        <v>9.4046740000000004E-2</v>
      </c>
      <c r="Q5864">
        <v>0.1708519</v>
      </c>
      <c r="R5864">
        <v>-0.98079819999999995</v>
      </c>
      <c r="S5864">
        <v>0.83395390000000003</v>
      </c>
      <c r="T5864">
        <v>-1.67222E-2</v>
      </c>
      <c r="U5864">
        <v>-2.9818730000000002</v>
      </c>
      <c r="V5864">
        <v>-0.11949129999999999</v>
      </c>
      <c r="W5864">
        <v>0.18063950000000001</v>
      </c>
      <c r="X5864">
        <v>0.97626389999999996</v>
      </c>
      <c r="Y5864">
        <v>-0.29398030000000003</v>
      </c>
      <c r="Z5864">
        <v>-4.851958E-3</v>
      </c>
      <c r="AA5864">
        <v>0.95579919999999996</v>
      </c>
      <c r="AB5864">
        <v>27</v>
      </c>
      <c r="AC5864">
        <v>22.103199999999902</v>
      </c>
      <c r="AD5864">
        <v>-0.44306809999999902</v>
      </c>
      <c r="AE5864">
        <v>-78.748681599999998</v>
      </c>
      <c r="AF5864">
        <v>-24.119504551811101</v>
      </c>
      <c r="AG5864">
        <v>-0.44306809999999902</v>
      </c>
      <c r="AH5864">
        <v>78.152179769675897</v>
      </c>
      <c r="AI5864">
        <v>90.310378473763606</v>
      </c>
      <c r="AJ5864">
        <v>107.151391854997</v>
      </c>
      <c r="AK5864">
        <v>81.790647459949994</v>
      </c>
      <c r="AL5864">
        <v>79.592988933120296</v>
      </c>
      <c r="AM5864">
        <v>96.978095846992005</v>
      </c>
      <c r="AN5864">
        <v>1.00000000108957</v>
      </c>
    </row>
    <row r="5865" spans="1:40" x14ac:dyDescent="0.25">
      <c r="A5865" t="str">
        <f>"20190304154914993"</f>
        <v>20190304154914993</v>
      </c>
      <c r="B5865" t="str">
        <f>"1551685754983262"</f>
        <v>1551685754983262</v>
      </c>
      <c r="C5865" t="s">
        <v>40</v>
      </c>
      <c r="D5865">
        <v>3.8873139999999999</v>
      </c>
      <c r="E5865">
        <v>0.42982860000000001</v>
      </c>
      <c r="F5865" t="s">
        <v>85</v>
      </c>
      <c r="G5865">
        <v>-400.1728</v>
      </c>
      <c r="H5865">
        <v>0.70912769999999903</v>
      </c>
      <c r="I5865">
        <v>0.67903139999999995</v>
      </c>
      <c r="J5865">
        <v>-422.28899999999999</v>
      </c>
      <c r="K5865">
        <v>1.1111329999999999</v>
      </c>
      <c r="L5865">
        <v>79.29871</v>
      </c>
      <c r="M5865">
        <v>-2.5297489999999999E-2</v>
      </c>
      <c r="N5865">
        <v>-1.019537E-2</v>
      </c>
      <c r="O5865">
        <v>-0.99962810000000002</v>
      </c>
      <c r="P5865">
        <v>9.4207609999999997E-2</v>
      </c>
      <c r="Q5865">
        <v>0.17148369999999999</v>
      </c>
      <c r="R5865">
        <v>-0.98067269999999895</v>
      </c>
      <c r="S5865">
        <v>0.83712770000000003</v>
      </c>
      <c r="T5865">
        <v>-1.521933E-2</v>
      </c>
      <c r="U5865">
        <v>-2.9811399999999999</v>
      </c>
      <c r="V5865">
        <v>-0.11925139999999999</v>
      </c>
      <c r="W5865">
        <v>0.18127170000000001</v>
      </c>
      <c r="X5865">
        <v>0.97617609999999999</v>
      </c>
      <c r="Y5865">
        <v>-0.2945953</v>
      </c>
      <c r="Z5865">
        <v>-5.3363359999999997E-3</v>
      </c>
      <c r="AA5865">
        <v>0.95560719999999999</v>
      </c>
      <c r="AB5865">
        <v>27</v>
      </c>
      <c r="AC5865">
        <v>22.1161999999999</v>
      </c>
      <c r="AD5865">
        <v>-0.40200530000000001</v>
      </c>
      <c r="AE5865">
        <v>-78.6196786</v>
      </c>
      <c r="AF5865">
        <v>-24.097521175689501</v>
      </c>
      <c r="AG5865">
        <v>-0.40200530000000001</v>
      </c>
      <c r="AH5865">
        <v>78.033111138914705</v>
      </c>
      <c r="AI5865">
        <v>90.282028270080403</v>
      </c>
      <c r="AJ5865">
        <v>107.16128895665101</v>
      </c>
      <c r="AK5865">
        <v>81.670181639887701</v>
      </c>
      <c r="AL5865">
        <v>79.556159053927502</v>
      </c>
      <c r="AM5865">
        <v>96.964844026837895</v>
      </c>
      <c r="AN5865">
        <v>1.00000005191702</v>
      </c>
    </row>
    <row r="5866" spans="1:40" x14ac:dyDescent="0.25">
      <c r="A5866" t="str">
        <f>"20190304154915016"</f>
        <v>20190304154915016</v>
      </c>
      <c r="B5866" t="str">
        <f>"1551685755013518"</f>
        <v>1551685755013518</v>
      </c>
      <c r="C5866" t="s">
        <v>40</v>
      </c>
      <c r="D5866">
        <v>3.8917839999999999</v>
      </c>
      <c r="E5866">
        <v>0.42975350000000001</v>
      </c>
      <c r="F5866" t="s">
        <v>85</v>
      </c>
      <c r="G5866">
        <v>-400.19909999999999</v>
      </c>
      <c r="H5866">
        <v>0.75252079999999999</v>
      </c>
      <c r="I5866">
        <v>0.67876429999999999</v>
      </c>
      <c r="J5866">
        <v>-422.29500000000002</v>
      </c>
      <c r="K5866">
        <v>1.1111329999999999</v>
      </c>
      <c r="L5866">
        <v>79.021479999999997</v>
      </c>
      <c r="M5866">
        <v>-2.442418E-2</v>
      </c>
      <c r="N5866">
        <v>-1.0198789999999999E-2</v>
      </c>
      <c r="O5866">
        <v>-0.99964960000000003</v>
      </c>
      <c r="P5866">
        <v>9.4622869999999998E-2</v>
      </c>
      <c r="Q5866">
        <v>0.1724407</v>
      </c>
      <c r="R5866">
        <v>-0.98046460000000002</v>
      </c>
      <c r="S5866">
        <v>0.83758539999999904</v>
      </c>
      <c r="T5866">
        <v>-1.3598560000000001E-2</v>
      </c>
      <c r="U5866">
        <v>-2.9810490000000001</v>
      </c>
      <c r="V5866">
        <v>-0.1188087</v>
      </c>
      <c r="W5866">
        <v>0.18223149999999999</v>
      </c>
      <c r="X5866">
        <v>0.97605129999999996</v>
      </c>
      <c r="Y5866">
        <v>-0.293904</v>
      </c>
      <c r="Z5866">
        <v>-5.8591449999999996E-3</v>
      </c>
      <c r="AA5866">
        <v>0.95581700000000003</v>
      </c>
      <c r="AB5866">
        <v>27</v>
      </c>
      <c r="AC5866">
        <v>22.0959</v>
      </c>
      <c r="AD5866">
        <v>-0.35861219999999899</v>
      </c>
      <c r="AE5866">
        <v>-78.342715699999999</v>
      </c>
      <c r="AF5866">
        <v>-24.002398136947502</v>
      </c>
      <c r="AG5866">
        <v>-0.35861219999999899</v>
      </c>
      <c r="AH5866">
        <v>77.778130511118604</v>
      </c>
      <c r="AI5866">
        <v>90.252425849385901</v>
      </c>
      <c r="AJ5866">
        <v>107.15027098650199</v>
      </c>
      <c r="AK5866">
        <v>81.398288095261194</v>
      </c>
      <c r="AL5866">
        <v>79.500234396437506</v>
      </c>
      <c r="AM5866">
        <v>96.940119434069103</v>
      </c>
      <c r="AN5866">
        <v>0.99999998350981401</v>
      </c>
    </row>
    <row r="5867" spans="1:40" x14ac:dyDescent="0.25">
      <c r="A5867" t="str">
        <f>"20190304154915038"</f>
        <v>20190304154915038</v>
      </c>
      <c r="B5867" t="str">
        <f>"1551685755033037"</f>
        <v>1551685755033037</v>
      </c>
      <c r="C5867" t="s">
        <v>40</v>
      </c>
      <c r="D5867">
        <v>3.9141879999999998</v>
      </c>
      <c r="E5867">
        <v>0.42968079999999997</v>
      </c>
      <c r="F5867" t="s">
        <v>85</v>
      </c>
      <c r="G5867">
        <v>-400.22660000000002</v>
      </c>
      <c r="H5867">
        <v>0.80305219999999999</v>
      </c>
      <c r="I5867">
        <v>0.67848589999999998</v>
      </c>
      <c r="J5867">
        <v>-422.30079999999998</v>
      </c>
      <c r="K5867">
        <v>1.111137</v>
      </c>
      <c r="L5867">
        <v>78.746189999999999</v>
      </c>
      <c r="M5867">
        <v>-2.3559429999999999E-2</v>
      </c>
      <c r="N5867">
        <v>-1.0202030000000001E-2</v>
      </c>
      <c r="O5867">
        <v>-0.99967059999999996</v>
      </c>
      <c r="P5867">
        <v>9.4979560000000005E-2</v>
      </c>
      <c r="Q5867">
        <v>0.17295829999999901</v>
      </c>
      <c r="R5867">
        <v>-0.98033899999999996</v>
      </c>
      <c r="S5867">
        <v>0.83966059999999998</v>
      </c>
      <c r="T5867">
        <v>-1.17228E-2</v>
      </c>
      <c r="U5867">
        <v>-2.980804</v>
      </c>
      <c r="V5867">
        <v>-0.11831759999999999</v>
      </c>
      <c r="W5867">
        <v>0.18275240000000001</v>
      </c>
      <c r="X5867">
        <v>0.97601360000000004</v>
      </c>
      <c r="Y5867">
        <v>-0.29371399999999998</v>
      </c>
      <c r="Z5867">
        <v>-6.4644269999999896E-3</v>
      </c>
      <c r="AA5867">
        <v>0.95587149999999999</v>
      </c>
      <c r="AB5867">
        <v>27</v>
      </c>
      <c r="AC5867">
        <v>22.074199999999902</v>
      </c>
      <c r="AD5867">
        <v>-0.30808479999999999</v>
      </c>
      <c r="AE5867">
        <v>-78.0677041</v>
      </c>
      <c r="AF5867">
        <v>-23.907053576753601</v>
      </c>
      <c r="AG5867">
        <v>-0.30808479999999999</v>
      </c>
      <c r="AH5867">
        <v>77.524832731078305</v>
      </c>
      <c r="AI5867">
        <v>90.217582281943805</v>
      </c>
      <c r="AJ5867">
        <v>107.138679472159</v>
      </c>
      <c r="AK5867">
        <v>81.1279348741691</v>
      </c>
      <c r="AL5867">
        <v>79.469879678032697</v>
      </c>
      <c r="AM5867">
        <v>96.911974659881807</v>
      </c>
      <c r="AN5867">
        <v>1.00000002078024</v>
      </c>
    </row>
    <row r="5868" spans="1:40" x14ac:dyDescent="0.25">
      <c r="A5868" t="str">
        <f>"20190304154915054"</f>
        <v>20190304154915054</v>
      </c>
      <c r="B5868" t="str">
        <f>"1551685755042797"</f>
        <v>1551685755042797</v>
      </c>
      <c r="C5868" t="s">
        <v>40</v>
      </c>
      <c r="D5868">
        <v>3.9079619999999999</v>
      </c>
      <c r="E5868">
        <v>0.42963889999999999</v>
      </c>
      <c r="F5868" t="s">
        <v>85</v>
      </c>
      <c r="G5868">
        <v>-400.26569999999998</v>
      </c>
      <c r="H5868">
        <v>0.8265555</v>
      </c>
      <c r="I5868">
        <v>0.6780853</v>
      </c>
      <c r="J5868">
        <v>-422.30450000000002</v>
      </c>
      <c r="K5868">
        <v>1.1111390000000001</v>
      </c>
      <c r="L5868">
        <v>78.564179999999993</v>
      </c>
      <c r="M5868">
        <v>-2.298909E-2</v>
      </c>
      <c r="N5868">
        <v>-1.0204120000000001E-2</v>
      </c>
      <c r="O5868">
        <v>-0.99968369999999995</v>
      </c>
      <c r="P5868">
        <v>9.4984369999999999E-2</v>
      </c>
      <c r="Q5868">
        <v>0.1734309</v>
      </c>
      <c r="R5868">
        <v>-0.98025490000000004</v>
      </c>
      <c r="S5868">
        <v>0.84127809999999903</v>
      </c>
      <c r="T5868">
        <v>-1.0865929999999999E-2</v>
      </c>
      <c r="U5868">
        <v>-2.9805600000000001</v>
      </c>
      <c r="V5868">
        <v>-0.11776349999999999</v>
      </c>
      <c r="W5868">
        <v>0.18322769999999999</v>
      </c>
      <c r="X5868">
        <v>0.97599150000000001</v>
      </c>
      <c r="Y5868">
        <v>-0.29366959999999998</v>
      </c>
      <c r="Z5868">
        <v>-6.7412870000000003E-3</v>
      </c>
      <c r="AA5868">
        <v>0.95588320000000004</v>
      </c>
      <c r="AB5868">
        <v>27</v>
      </c>
      <c r="AC5868">
        <v>22.038799999999998</v>
      </c>
      <c r="AD5868">
        <v>-0.28458349999999899</v>
      </c>
      <c r="AE5868">
        <v>-77.886094700000001</v>
      </c>
      <c r="AF5868">
        <v>-23.8233039713617</v>
      </c>
      <c r="AG5868">
        <v>-0.28458349999999899</v>
      </c>
      <c r="AH5868">
        <v>77.357873991027603</v>
      </c>
      <c r="AI5868">
        <v>90.201442247822399</v>
      </c>
      <c r="AJ5868">
        <v>107.116856155579</v>
      </c>
      <c r="AK5868">
        <v>80.943631425159595</v>
      </c>
      <c r="AL5868">
        <v>79.442179258312905</v>
      </c>
      <c r="AM5868">
        <v>96.880070057714605</v>
      </c>
      <c r="AN5868">
        <v>1.0000000200258901</v>
      </c>
    </row>
    <row r="5869" spans="1:40" x14ac:dyDescent="0.25">
      <c r="A5869" t="str">
        <f>"20190304154915072"</f>
        <v>20190304154915072</v>
      </c>
      <c r="B5869" t="str">
        <f>"1551685755063297"</f>
        <v>1551685755063297</v>
      </c>
      <c r="C5869" t="s">
        <v>40</v>
      </c>
      <c r="D5869">
        <v>3.929894</v>
      </c>
      <c r="E5869">
        <v>0.42955090000000001</v>
      </c>
      <c r="F5869" t="s">
        <v>85</v>
      </c>
      <c r="G5869">
        <v>-400.30869999999999</v>
      </c>
      <c r="H5869">
        <v>0.85974139999999999</v>
      </c>
      <c r="I5869">
        <v>0.67764849999999999</v>
      </c>
      <c r="J5869">
        <v>-422.30889999999999</v>
      </c>
      <c r="K5869">
        <v>1.111146</v>
      </c>
      <c r="L5869">
        <v>78.344939999999994</v>
      </c>
      <c r="M5869">
        <v>-2.2302579999999999E-2</v>
      </c>
      <c r="N5869">
        <v>-1.0206639999999999E-2</v>
      </c>
      <c r="O5869">
        <v>-0.99969940000000002</v>
      </c>
      <c r="P5869">
        <v>9.4952720000000004E-2</v>
      </c>
      <c r="Q5869">
        <v>0.17438619999999999</v>
      </c>
      <c r="R5869">
        <v>-0.98008879999999998</v>
      </c>
      <c r="S5869">
        <v>0.84173580000000003</v>
      </c>
      <c r="T5869">
        <v>-9.6215009999999993E-3</v>
      </c>
      <c r="U5869">
        <v>-2.9805600000000001</v>
      </c>
      <c r="V5869">
        <v>-0.117058</v>
      </c>
      <c r="W5869">
        <v>0.1841854</v>
      </c>
      <c r="X5869">
        <v>0.97589610000000004</v>
      </c>
      <c r="Y5869">
        <v>-0.29314889999999999</v>
      </c>
      <c r="Z5869">
        <v>-7.1429019999999996E-3</v>
      </c>
      <c r="AA5869">
        <v>0.95604009999999995</v>
      </c>
      <c r="AB5869">
        <v>27</v>
      </c>
      <c r="AC5869">
        <v>22.0002</v>
      </c>
      <c r="AD5869">
        <v>-0.25140459999999898</v>
      </c>
      <c r="AE5869">
        <v>-77.667291500000005</v>
      </c>
      <c r="AF5869">
        <v>-23.7267679142365</v>
      </c>
      <c r="AG5869">
        <v>-0.25140459999999898</v>
      </c>
      <c r="AH5869">
        <v>77.156535994193305</v>
      </c>
      <c r="AI5869">
        <v>90.178443565452298</v>
      </c>
      <c r="AJ5869">
        <v>107.093431685434</v>
      </c>
      <c r="AK5869">
        <v>80.722696724974398</v>
      </c>
      <c r="AL5869">
        <v>79.386357030808696</v>
      </c>
      <c r="AM5869">
        <v>96.839906606788105</v>
      </c>
      <c r="AN5869">
        <v>1.0000000174661801</v>
      </c>
    </row>
    <row r="5870" spans="1:40" x14ac:dyDescent="0.25">
      <c r="A5870" t="str">
        <f>"20190304154915087"</f>
        <v>20190304154915087</v>
      </c>
      <c r="B5870" t="str">
        <f>"1551685755082813"</f>
        <v>1551685755082813</v>
      </c>
      <c r="C5870" t="s">
        <v>40</v>
      </c>
      <c r="D5870">
        <v>3.9296739999999999</v>
      </c>
      <c r="E5870">
        <v>0.42951309999999898</v>
      </c>
      <c r="F5870" t="s">
        <v>85</v>
      </c>
      <c r="G5870">
        <v>-400.36290000000002</v>
      </c>
      <c r="H5870">
        <v>0.91553949999999995</v>
      </c>
      <c r="I5870">
        <v>0.67709730000000001</v>
      </c>
      <c r="J5870">
        <v>-422.31229999999999</v>
      </c>
      <c r="K5870">
        <v>1.1111489999999999</v>
      </c>
      <c r="L5870">
        <v>78.166290000000004</v>
      </c>
      <c r="M5870">
        <v>-2.1744050000000001E-2</v>
      </c>
      <c r="N5870">
        <v>-1.020865E-2</v>
      </c>
      <c r="O5870">
        <v>-0.99971129999999997</v>
      </c>
      <c r="P5870">
        <v>9.5128950000000004E-2</v>
      </c>
      <c r="Q5870">
        <v>0.17487369999999999</v>
      </c>
      <c r="R5870">
        <v>-0.97998439999999998</v>
      </c>
      <c r="S5870">
        <v>0.84222410000000003</v>
      </c>
      <c r="T5870">
        <v>-7.5079200000000004E-3</v>
      </c>
      <c r="U5870">
        <v>-2.9806819999999998</v>
      </c>
      <c r="V5870">
        <v>-0.1166869</v>
      </c>
      <c r="W5870">
        <v>0.18467510000000001</v>
      </c>
      <c r="X5870">
        <v>0.97584800000000005</v>
      </c>
      <c r="Y5870">
        <v>-0.29274909999999998</v>
      </c>
      <c r="Z5870">
        <v>-7.8240529999999992E-3</v>
      </c>
      <c r="AA5870">
        <v>0.95615729999999999</v>
      </c>
      <c r="AB5870">
        <v>27</v>
      </c>
      <c r="AC5870">
        <v>21.949399999999901</v>
      </c>
      <c r="AD5870">
        <v>-0.19560949999999899</v>
      </c>
      <c r="AE5870">
        <v>-77.489192700000004</v>
      </c>
      <c r="AF5870">
        <v>-23.6290875127028</v>
      </c>
      <c r="AG5870">
        <v>-0.19560949999999899</v>
      </c>
      <c r="AH5870">
        <v>76.993122053199698</v>
      </c>
      <c r="AI5870">
        <v>90.139159883121906</v>
      </c>
      <c r="AJ5870">
        <v>107.061180852668</v>
      </c>
      <c r="AK5870">
        <v>80.537648856037293</v>
      </c>
      <c r="AL5870">
        <v>79.357809623805096</v>
      </c>
      <c r="AM5870">
        <v>96.818759960674299</v>
      </c>
      <c r="AN5870">
        <v>1.0000000221478</v>
      </c>
    </row>
    <row r="5871" spans="1:40" x14ac:dyDescent="0.25">
      <c r="A5871" t="str">
        <f>"20190304154915107"</f>
        <v>20190304154915107</v>
      </c>
      <c r="B5871" t="str">
        <f>"1551685755103309"</f>
        <v>1551685755103309</v>
      </c>
      <c r="C5871" t="s">
        <v>40</v>
      </c>
      <c r="D5871">
        <v>3.8864139999999998</v>
      </c>
      <c r="E5871">
        <v>0.42957309999999999</v>
      </c>
      <c r="F5871" t="s">
        <v>85</v>
      </c>
      <c r="G5871">
        <v>-400.39510000000001</v>
      </c>
      <c r="H5871">
        <v>0.93240999999999996</v>
      </c>
      <c r="I5871">
        <v>0.67677310000000002</v>
      </c>
      <c r="J5871">
        <v>-422.31650000000002</v>
      </c>
      <c r="K5871">
        <v>1.111157</v>
      </c>
      <c r="L5871">
        <v>77.934749999999994</v>
      </c>
      <c r="M5871">
        <v>-2.1019929999999999E-2</v>
      </c>
      <c r="N5871">
        <v>-1.021124E-2</v>
      </c>
      <c r="O5871">
        <v>-0.99972709999999998</v>
      </c>
      <c r="P5871">
        <v>9.5469479999999995E-2</v>
      </c>
      <c r="Q5871">
        <v>0.17637050000000001</v>
      </c>
      <c r="R5871">
        <v>-0.97968310000000003</v>
      </c>
      <c r="S5871">
        <v>0.84304809999999997</v>
      </c>
      <c r="T5871">
        <v>-6.8762299999999997E-3</v>
      </c>
      <c r="U5871">
        <v>-2.9806520000000001</v>
      </c>
      <c r="V5871">
        <v>-0.1163151</v>
      </c>
      <c r="W5871">
        <v>0.18617259999999999</v>
      </c>
      <c r="X5871">
        <v>0.97560780000000002</v>
      </c>
      <c r="Y5871">
        <v>-0.2923037</v>
      </c>
      <c r="Z5871">
        <v>-8.0287269999999994E-3</v>
      </c>
      <c r="AA5871">
        <v>0.95629189999999997</v>
      </c>
      <c r="AB5871">
        <v>27</v>
      </c>
      <c r="AC5871">
        <v>21.921399999999998</v>
      </c>
      <c r="AD5871">
        <v>-0.17874699999999899</v>
      </c>
      <c r="AE5871">
        <v>-77.257976899999903</v>
      </c>
      <c r="AF5871">
        <v>-23.5404811205226</v>
      </c>
      <c r="AG5871">
        <v>-0.17874699999999899</v>
      </c>
      <c r="AH5871">
        <v>76.779714904068697</v>
      </c>
      <c r="AI5871">
        <v>90.127527867775399</v>
      </c>
      <c r="AJ5871">
        <v>107.045417114024</v>
      </c>
      <c r="AK5871">
        <v>80.307601275506698</v>
      </c>
      <c r="AL5871">
        <v>79.270494894839501</v>
      </c>
      <c r="AM5871">
        <v>96.798894769974098</v>
      </c>
      <c r="AN5871">
        <v>1.0000000094498001</v>
      </c>
    </row>
    <row r="5872" spans="1:40" x14ac:dyDescent="0.25">
      <c r="A5872" t="str">
        <f>"20190304154915128"</f>
        <v>20190304154915128</v>
      </c>
      <c r="B5872" t="str">
        <f>"1551685755122829"</f>
        <v>1551685755122829</v>
      </c>
      <c r="C5872" t="s">
        <v>40</v>
      </c>
      <c r="D5872">
        <v>4.201689</v>
      </c>
      <c r="E5872">
        <v>0.49597350000000001</v>
      </c>
      <c r="F5872" t="s">
        <v>85</v>
      </c>
      <c r="G5872">
        <v>-400.45510000000002</v>
      </c>
      <c r="H5872">
        <v>1.0231669999999999</v>
      </c>
      <c r="I5872">
        <v>0.67616080000000001</v>
      </c>
      <c r="J5872">
        <v>-422.32130000000001</v>
      </c>
      <c r="K5872">
        <v>1.1111610000000001</v>
      </c>
      <c r="L5872">
        <v>77.663209999999907</v>
      </c>
      <c r="M5872">
        <v>-2.0170919999999998E-2</v>
      </c>
      <c r="N5872">
        <v>-1.0214259999999999E-2</v>
      </c>
      <c r="O5872">
        <v>-0.99974450000000004</v>
      </c>
      <c r="P5872">
        <v>9.572804E-2</v>
      </c>
      <c r="Q5872">
        <v>0.17806710000000001</v>
      </c>
      <c r="R5872">
        <v>-0.97935110000000003</v>
      </c>
      <c r="S5872">
        <v>0.84341429999999995</v>
      </c>
      <c r="T5872">
        <v>-3.395557E-3</v>
      </c>
      <c r="U5872">
        <v>-2.9806520000000001</v>
      </c>
      <c r="V5872">
        <v>-0.1157397</v>
      </c>
      <c r="W5872">
        <v>0.1878697</v>
      </c>
      <c r="X5872">
        <v>0.97535090000000002</v>
      </c>
      <c r="Y5872">
        <v>-0.2915992</v>
      </c>
      <c r="Z5872">
        <v>-9.1502839999999998E-3</v>
      </c>
      <c r="AA5872">
        <v>0.95649680000000004</v>
      </c>
      <c r="AB5872">
        <v>27</v>
      </c>
      <c r="AC5872">
        <v>21.8661999999999</v>
      </c>
      <c r="AD5872">
        <v>-8.79940000000001E-2</v>
      </c>
      <c r="AE5872">
        <v>-76.987049199999902</v>
      </c>
      <c r="AF5872">
        <v>-23.414702893228899</v>
      </c>
      <c r="AG5872">
        <v>-8.79940000000001E-2</v>
      </c>
      <c r="AH5872">
        <v>76.530207431608602</v>
      </c>
      <c r="AI5872">
        <v>90.062995836860907</v>
      </c>
      <c r="AJ5872">
        <v>107.011686906401</v>
      </c>
      <c r="AK5872">
        <v>80.032047981088496</v>
      </c>
      <c r="AL5872">
        <v>79.171512082487595</v>
      </c>
      <c r="AM5872">
        <v>96.767339277502998</v>
      </c>
      <c r="AN5872">
        <v>1.00000004023249</v>
      </c>
    </row>
    <row r="5873" spans="1:40" x14ac:dyDescent="0.25">
      <c r="A5873" t="str">
        <f>"20190304154915150"</f>
        <v>20190304154915150</v>
      </c>
      <c r="B5873" t="str">
        <f>"1551685755143329"</f>
        <v>1551685755143329</v>
      </c>
      <c r="C5873" t="s">
        <v>40</v>
      </c>
      <c r="D5873">
        <v>4.0105500000000003</v>
      </c>
      <c r="E5873">
        <v>0.51404859999999997</v>
      </c>
      <c r="F5873" t="s">
        <v>85</v>
      </c>
      <c r="G5873">
        <v>-414.20710000000003</v>
      </c>
      <c r="H5873">
        <v>3.071383</v>
      </c>
      <c r="I5873">
        <v>0.53630829999999996</v>
      </c>
      <c r="J5873">
        <v>-422.32560000000001</v>
      </c>
      <c r="K5873">
        <v>1.1111660000000001</v>
      </c>
      <c r="L5873">
        <v>77.400300000000001</v>
      </c>
      <c r="M5873">
        <v>-1.9348379999999998E-2</v>
      </c>
      <c r="N5873">
        <v>-1.0217240000000001E-2</v>
      </c>
      <c r="O5873">
        <v>-0.99976069999999995</v>
      </c>
      <c r="P5873">
        <v>9.5688750000000003E-2</v>
      </c>
      <c r="Q5873">
        <v>0.17964189999999999</v>
      </c>
      <c r="R5873">
        <v>-0.97906720000000003</v>
      </c>
      <c r="S5873">
        <v>0.31753540000000002</v>
      </c>
      <c r="T5873">
        <v>7.6709269999999996E-2</v>
      </c>
      <c r="U5873">
        <v>-3.0182500000000001</v>
      </c>
      <c r="V5873">
        <v>-0.1148936</v>
      </c>
      <c r="W5873">
        <v>0.1894469</v>
      </c>
      <c r="X5873">
        <v>0.97514579999999995</v>
      </c>
      <c r="Y5873">
        <v>-0.123795</v>
      </c>
      <c r="Z5873">
        <v>-3.5455489999999999E-2</v>
      </c>
      <c r="AA5873">
        <v>0.99167419999999995</v>
      </c>
      <c r="AB5873">
        <v>27</v>
      </c>
      <c r="AC5873">
        <v>8.1184999999999796</v>
      </c>
      <c r="AD5873">
        <v>1.9602169999999901</v>
      </c>
      <c r="AE5873">
        <v>-76.8639917</v>
      </c>
      <c r="AF5873">
        <v>-9.5980778162201403</v>
      </c>
      <c r="AG5873">
        <v>1.9602169999999901</v>
      </c>
      <c r="AH5873">
        <v>76.643216732970401</v>
      </c>
      <c r="AI5873">
        <v>88.5462798036002</v>
      </c>
      <c r="AJ5873">
        <v>97.138026442400204</v>
      </c>
      <c r="AK5873">
        <v>77.266734236865403</v>
      </c>
      <c r="AL5873">
        <v>79.079492308908996</v>
      </c>
      <c r="AM5873">
        <v>96.719721511349107</v>
      </c>
      <c r="AN5873">
        <v>0.99999999924910399</v>
      </c>
    </row>
    <row r="5874" spans="1:40" x14ac:dyDescent="0.25">
      <c r="A5874" t="str">
        <f>"20190304154915172"</f>
        <v>20190304154915172</v>
      </c>
      <c r="B5874" t="str">
        <f>"1551685755162845"</f>
        <v>1551685755162845</v>
      </c>
      <c r="C5874" t="s">
        <v>40</v>
      </c>
      <c r="D5874">
        <v>4.0412309999999998</v>
      </c>
      <c r="E5874">
        <v>0.58741009999999905</v>
      </c>
      <c r="F5874" t="s">
        <v>85</v>
      </c>
      <c r="G5874">
        <v>-417.90899999999999</v>
      </c>
      <c r="H5874">
        <v>2.9827279999999998</v>
      </c>
      <c r="I5874">
        <v>0.49866100000000002</v>
      </c>
      <c r="J5874">
        <v>-422.33</v>
      </c>
      <c r="K5874">
        <v>1.111173</v>
      </c>
      <c r="L5874">
        <v>77.130949999999999</v>
      </c>
      <c r="M5874">
        <v>-1.8505750000000001E-2</v>
      </c>
      <c r="N5874">
        <v>-1.02202E-2</v>
      </c>
      <c r="O5874">
        <v>-0.99977669999999996</v>
      </c>
      <c r="P5874">
        <v>9.5881750000000002E-2</v>
      </c>
      <c r="Q5874">
        <v>0.18052470000000001</v>
      </c>
      <c r="R5874">
        <v>-0.97888609999999998</v>
      </c>
      <c r="S5874">
        <v>0.17422489999999999</v>
      </c>
      <c r="T5874">
        <v>7.382727E-2</v>
      </c>
      <c r="U5874">
        <v>-3.033569</v>
      </c>
      <c r="V5874">
        <v>-0.1142613</v>
      </c>
      <c r="W5874">
        <v>0.19033220000000001</v>
      </c>
      <c r="X5874">
        <v>0.97504769999999996</v>
      </c>
      <c r="Y5874">
        <v>-7.5775579999999995E-2</v>
      </c>
      <c r="Z5874">
        <v>-3.448967E-2</v>
      </c>
      <c r="AA5874">
        <v>0.99652819999999998</v>
      </c>
      <c r="AB5874">
        <v>27</v>
      </c>
      <c r="AC5874">
        <v>4.4209999999999896</v>
      </c>
      <c r="AD5874">
        <v>1.8715550000000001</v>
      </c>
      <c r="AE5874">
        <v>-76.632289</v>
      </c>
      <c r="AF5874">
        <v>-5.8349858426587602</v>
      </c>
      <c r="AG5874">
        <v>1.8715550000000001</v>
      </c>
      <c r="AH5874">
        <v>76.491873452791296</v>
      </c>
      <c r="AI5874">
        <v>88.602461215652696</v>
      </c>
      <c r="AJ5874">
        <v>94.362213023153501</v>
      </c>
      <c r="AK5874">
        <v>76.736930367456694</v>
      </c>
      <c r="AL5874">
        <v>79.027828405842598</v>
      </c>
      <c r="AM5874">
        <v>96.683742243576205</v>
      </c>
      <c r="AN5874">
        <v>1.00000000415491</v>
      </c>
    </row>
    <row r="5875" spans="1:40" x14ac:dyDescent="0.25">
      <c r="A5875" t="str">
        <f>"20190304154915187"</f>
        <v>20190304154915187</v>
      </c>
      <c r="B5875" t="str">
        <f>"1551685755183341"</f>
        <v>1551685755183341</v>
      </c>
      <c r="C5875" t="s">
        <v>40</v>
      </c>
      <c r="D5875">
        <v>4.051647</v>
      </c>
      <c r="E5875">
        <v>0.58902900000000002</v>
      </c>
      <c r="F5875" t="s">
        <v>85</v>
      </c>
      <c r="G5875">
        <v>-433.18380000000002</v>
      </c>
      <c r="H5875">
        <v>6.4420780000000004</v>
      </c>
      <c r="I5875">
        <v>-4.6821669999999997</v>
      </c>
      <c r="J5875">
        <v>-422.33269999999999</v>
      </c>
      <c r="K5875">
        <v>1.111178</v>
      </c>
      <c r="L5875">
        <v>76.950779999999995</v>
      </c>
      <c r="M5875">
        <v>-1.7942320000000001E-2</v>
      </c>
      <c r="N5875">
        <v>-1.0222139999999999E-2</v>
      </c>
      <c r="O5875">
        <v>-0.99978719999999999</v>
      </c>
      <c r="P5875">
        <v>9.6261929999999996E-2</v>
      </c>
      <c r="Q5875">
        <v>0.18083479999999999</v>
      </c>
      <c r="R5875">
        <v>-0.97879179999999999</v>
      </c>
      <c r="S5875">
        <v>-0.40698240000000002</v>
      </c>
      <c r="T5875">
        <v>0.19989000000000001</v>
      </c>
      <c r="U5875">
        <v>-3.0677189999999999</v>
      </c>
      <c r="V5875">
        <v>-0.1140901</v>
      </c>
      <c r="W5875">
        <v>0.19064339999999999</v>
      </c>
      <c r="X5875">
        <v>0.97500690000000001</v>
      </c>
      <c r="Y5875">
        <v>0.11336930000000001</v>
      </c>
      <c r="Z5875">
        <v>-7.4699799999999997E-2</v>
      </c>
      <c r="AA5875">
        <v>0.99074079999999998</v>
      </c>
      <c r="AB5875">
        <v>27</v>
      </c>
      <c r="AC5875">
        <v>-10.851100000000001</v>
      </c>
      <c r="AD5875">
        <v>5.3308999999999997</v>
      </c>
      <c r="AE5875">
        <v>-81.632947000000001</v>
      </c>
      <c r="AF5875">
        <v>9.3454308772836594</v>
      </c>
      <c r="AG5875">
        <v>5.3308999999999997</v>
      </c>
      <c r="AH5875">
        <v>81.473097490307296</v>
      </c>
      <c r="AI5875">
        <v>86.280711494890397</v>
      </c>
      <c r="AJ5875">
        <v>83.456444685575406</v>
      </c>
      <c r="AK5875">
        <v>82.180418517778307</v>
      </c>
      <c r="AL5875">
        <v>79.009664850208196</v>
      </c>
      <c r="AM5875">
        <v>96.674095012878198</v>
      </c>
      <c r="AN5875">
        <v>0.99999995596458902</v>
      </c>
    </row>
    <row r="5876" spans="1:40" x14ac:dyDescent="0.25">
      <c r="A5876" t="str">
        <f>"20190304154915201"</f>
        <v>20190304154915201</v>
      </c>
      <c r="B5876" t="str">
        <f>"1551685755193101"</f>
        <v>1551685755193101</v>
      </c>
      <c r="C5876" t="s">
        <v>40</v>
      </c>
      <c r="D5876">
        <v>3.9985469999999999</v>
      </c>
      <c r="E5876">
        <v>0.58907080000000001</v>
      </c>
      <c r="F5876" t="s">
        <v>85</v>
      </c>
      <c r="G5876">
        <v>-433.49650000000003</v>
      </c>
      <c r="H5876">
        <v>5.9581169999999997</v>
      </c>
      <c r="I5876">
        <v>-4.9382720000000004</v>
      </c>
      <c r="J5876">
        <v>-422.33530000000002</v>
      </c>
      <c r="K5876">
        <v>1.111186</v>
      </c>
      <c r="L5876">
        <v>76.778319999999994</v>
      </c>
      <c r="M5876">
        <v>-1.7403109999999999E-2</v>
      </c>
      <c r="N5876">
        <v>-1.0223990000000001E-2</v>
      </c>
      <c r="O5876">
        <v>-0.99979669999999998</v>
      </c>
      <c r="P5876">
        <v>9.6556630000000004E-2</v>
      </c>
      <c r="Q5876">
        <v>0.1816778</v>
      </c>
      <c r="R5876">
        <v>-0.97860650000000005</v>
      </c>
      <c r="S5876">
        <v>-0.41888429999999999</v>
      </c>
      <c r="T5876">
        <v>0.18186340000000001</v>
      </c>
      <c r="U5876">
        <v>-3.0726010000000001</v>
      </c>
      <c r="V5876">
        <v>-0.11385670000000001</v>
      </c>
      <c r="W5876">
        <v>0.1914874</v>
      </c>
      <c r="X5876">
        <v>0.97486879999999998</v>
      </c>
      <c r="Y5876">
        <v>0.1175235</v>
      </c>
      <c r="Z5876">
        <v>-6.8788310000000005E-2</v>
      </c>
      <c r="AA5876">
        <v>0.99068480000000003</v>
      </c>
      <c r="AB5876">
        <v>27</v>
      </c>
      <c r="AC5876">
        <v>-11.161199999999999</v>
      </c>
      <c r="AD5876">
        <v>4.8469309999999997</v>
      </c>
      <c r="AE5876">
        <v>-81.716591999999906</v>
      </c>
      <c r="AF5876">
        <v>9.7037988214167701</v>
      </c>
      <c r="AG5876">
        <v>4.8469309999999997</v>
      </c>
      <c r="AH5876">
        <v>81.616584693514099</v>
      </c>
      <c r="AI5876">
        <v>86.625104944568093</v>
      </c>
      <c r="AJ5876">
        <v>83.219651282140404</v>
      </c>
      <c r="AK5876">
        <v>82.334217362642406</v>
      </c>
      <c r="AL5876">
        <v>78.960399821265199</v>
      </c>
      <c r="AM5876">
        <v>96.661499328565498</v>
      </c>
      <c r="AN5876">
        <v>0.99999997485354397</v>
      </c>
    </row>
    <row r="5877" spans="1:40" x14ac:dyDescent="0.25">
      <c r="A5877" t="str">
        <f>"20190304154915217"</f>
        <v>20190304154915217</v>
      </c>
      <c r="B5877" t="str">
        <f>"1551685755213598"</f>
        <v>1551685755213598</v>
      </c>
      <c r="C5877" t="s">
        <v>40</v>
      </c>
      <c r="D5877">
        <v>3.99011</v>
      </c>
      <c r="E5877">
        <v>0.58868339999999997</v>
      </c>
      <c r="F5877" t="s">
        <v>85</v>
      </c>
      <c r="G5877">
        <v>-433.45319999999998</v>
      </c>
      <c r="H5877">
        <v>5.8052210000000004</v>
      </c>
      <c r="I5877">
        <v>-4.9028109999999998</v>
      </c>
      <c r="J5877">
        <v>-422.33800000000002</v>
      </c>
      <c r="K5877">
        <v>1.111194</v>
      </c>
      <c r="L5877">
        <v>76.583500000000001</v>
      </c>
      <c r="M5877">
        <v>-1.679425E-2</v>
      </c>
      <c r="N5877">
        <v>-1.022606E-2</v>
      </c>
      <c r="O5877">
        <v>-0.99980690000000005</v>
      </c>
      <c r="P5877">
        <v>9.6279550000000005E-2</v>
      </c>
      <c r="Q5877">
        <v>0.18375369999999999</v>
      </c>
      <c r="R5877">
        <v>-0.97824599999999995</v>
      </c>
      <c r="S5877">
        <v>-0.41842649999999998</v>
      </c>
      <c r="T5877">
        <v>0.1766605</v>
      </c>
      <c r="U5877">
        <v>-3.0740970000000001</v>
      </c>
      <c r="V5877">
        <v>-0.112982399999999</v>
      </c>
      <c r="W5877">
        <v>0.19356309999999999</v>
      </c>
      <c r="X5877">
        <v>0.9745606</v>
      </c>
      <c r="Y5877">
        <v>0.1179335</v>
      </c>
      <c r="Z5877">
        <v>-6.7093780000000006E-2</v>
      </c>
      <c r="AA5877">
        <v>0.99075230000000003</v>
      </c>
      <c r="AB5877">
        <v>27</v>
      </c>
      <c r="AC5877">
        <v>-11.1151999999999</v>
      </c>
      <c r="AD5877">
        <v>4.6940269999999904</v>
      </c>
      <c r="AE5877">
        <v>-81.486311000000001</v>
      </c>
      <c r="AF5877">
        <v>9.7134157885633208</v>
      </c>
      <c r="AG5877">
        <v>4.6940269999999904</v>
      </c>
      <c r="AH5877">
        <v>81.396331220540404</v>
      </c>
      <c r="AI5877">
        <v>86.722680078879307</v>
      </c>
      <c r="AJ5877">
        <v>83.194801041012695</v>
      </c>
      <c r="AK5877">
        <v>82.1081425433688</v>
      </c>
      <c r="AL5877">
        <v>78.839204227875697</v>
      </c>
      <c r="AM5877">
        <v>96.612872631002205</v>
      </c>
      <c r="AN5877">
        <v>1.0000000297318601</v>
      </c>
    </row>
    <row r="5878" spans="1:40" x14ac:dyDescent="0.25">
      <c r="A5878" t="str">
        <f>"20190304154915239"</f>
        <v>20190304154915239</v>
      </c>
      <c r="B5878" t="str">
        <f>"1551685755233118"</f>
        <v>1551685755233118</v>
      </c>
      <c r="C5878" t="s">
        <v>40</v>
      </c>
      <c r="D5878">
        <v>4.0065739999999996</v>
      </c>
      <c r="E5878">
        <v>0.58884950000000003</v>
      </c>
      <c r="F5878" t="s">
        <v>85</v>
      </c>
      <c r="G5878">
        <v>-433.34390000000002</v>
      </c>
      <c r="H5878">
        <v>5.6900820000000003</v>
      </c>
      <c r="I5878">
        <v>-4.8134370000000004</v>
      </c>
      <c r="J5878">
        <v>-422.3417</v>
      </c>
      <c r="K5878">
        <v>1.1112070000000001</v>
      </c>
      <c r="L5878">
        <v>76.309569999999994</v>
      </c>
      <c r="M5878">
        <v>-1.593789E-2</v>
      </c>
      <c r="N5878">
        <v>-1.0228889999999999E-2</v>
      </c>
      <c r="O5878">
        <v>-0.99982079999999995</v>
      </c>
      <c r="P5878">
        <v>9.6294320000000003E-2</v>
      </c>
      <c r="Q5878">
        <v>0.18616930000000001</v>
      </c>
      <c r="R5878">
        <v>-0.97778770000000004</v>
      </c>
      <c r="S5878">
        <v>-0.415802</v>
      </c>
      <c r="T5878">
        <v>0.1729887</v>
      </c>
      <c r="U5878">
        <v>-3.0751650000000001</v>
      </c>
      <c r="V5878">
        <v>-0.1121574</v>
      </c>
      <c r="W5878">
        <v>0.19597829999999999</v>
      </c>
      <c r="X5878">
        <v>0.97417310000000001</v>
      </c>
      <c r="Y5878">
        <v>0.1179177</v>
      </c>
      <c r="Z5878">
        <v>-6.5904409999999997E-2</v>
      </c>
      <c r="AA5878">
        <v>0.99083399999999999</v>
      </c>
      <c r="AB5878">
        <v>27</v>
      </c>
      <c r="AC5878">
        <v>-11.0022</v>
      </c>
      <c r="AD5878">
        <v>4.578875</v>
      </c>
      <c r="AE5878">
        <v>-81.123007000000001</v>
      </c>
      <c r="AF5878">
        <v>9.6775307759006601</v>
      </c>
      <c r="AG5878">
        <v>4.578875</v>
      </c>
      <c r="AH5878">
        <v>81.034559446676198</v>
      </c>
      <c r="AI5878">
        <v>86.788699703710407</v>
      </c>
      <c r="AJ5878">
        <v>83.189721169993007</v>
      </c>
      <c r="AK5878">
        <v>81.738733308640306</v>
      </c>
      <c r="AL5878">
        <v>78.698121213093998</v>
      </c>
      <c r="AM5878">
        <v>96.567596919821895</v>
      </c>
      <c r="AN5878">
        <v>1.0000000026046301</v>
      </c>
    </row>
    <row r="5879" spans="1:40" x14ac:dyDescent="0.25">
      <c r="A5879" t="str">
        <f>"20190304154915263"</f>
        <v>20190304154915263</v>
      </c>
      <c r="B5879" t="str">
        <f>"1551685755252638"</f>
        <v>1551685755252638</v>
      </c>
      <c r="C5879" t="s">
        <v>40</v>
      </c>
      <c r="D5879">
        <v>3.998669</v>
      </c>
      <c r="E5879">
        <v>0.58917679999999995</v>
      </c>
      <c r="F5879" t="s">
        <v>85</v>
      </c>
      <c r="G5879">
        <v>-433.34</v>
      </c>
      <c r="H5879">
        <v>5.7040040000000003</v>
      </c>
      <c r="I5879">
        <v>-4.8102049999999998</v>
      </c>
      <c r="J5879">
        <v>-422.3451</v>
      </c>
      <c r="K5879">
        <v>1.1112139999999999</v>
      </c>
      <c r="L5879">
        <v>76.036249999999995</v>
      </c>
      <c r="M5879">
        <v>-1.508375E-2</v>
      </c>
      <c r="N5879">
        <v>-1.023172E-2</v>
      </c>
      <c r="O5879">
        <v>-0.99983409999999995</v>
      </c>
      <c r="P5879">
        <v>9.6113050000000005E-2</v>
      </c>
      <c r="Q5879">
        <v>0.18763350000000001</v>
      </c>
      <c r="R5879">
        <v>-0.9775258</v>
      </c>
      <c r="S5879">
        <v>-0.41705320000000001</v>
      </c>
      <c r="T5879">
        <v>0.17415710000000001</v>
      </c>
      <c r="U5879">
        <v>-3.07605</v>
      </c>
      <c r="V5879">
        <v>-0.11114110000000001</v>
      </c>
      <c r="W5879">
        <v>0.19744439999999999</v>
      </c>
      <c r="X5879">
        <v>0.97399349999999996</v>
      </c>
      <c r="Y5879">
        <v>0.1191212</v>
      </c>
      <c r="Z5879">
        <v>-6.6262249999999995E-2</v>
      </c>
      <c r="AA5879">
        <v>0.99066620000000005</v>
      </c>
      <c r="AB5879">
        <v>27</v>
      </c>
      <c r="AC5879">
        <v>-10.9948999999999</v>
      </c>
      <c r="AD5879">
        <v>4.5927899999999999</v>
      </c>
      <c r="AE5879">
        <v>-80.846454999999906</v>
      </c>
      <c r="AF5879">
        <v>9.7432449483533006</v>
      </c>
      <c r="AG5879">
        <v>4.5927899999999999</v>
      </c>
      <c r="AH5879">
        <v>80.747250857684506</v>
      </c>
      <c r="AI5879">
        <v>86.767997449439207</v>
      </c>
      <c r="AJ5879">
        <v>83.1197541082893</v>
      </c>
      <c r="AK5879">
        <v>81.462525514383302</v>
      </c>
      <c r="AL5879">
        <v>78.6124457057374</v>
      </c>
      <c r="AM5879">
        <v>96.5097882779733</v>
      </c>
      <c r="AN5879">
        <v>0.99999998662140999</v>
      </c>
    </row>
    <row r="5880" spans="1:40" x14ac:dyDescent="0.25">
      <c r="A5880" t="str">
        <f>"20190304154915278"</f>
        <v>20190304154915278</v>
      </c>
      <c r="B5880" t="str">
        <f>"1551685755273133"</f>
        <v>1551685755273133</v>
      </c>
      <c r="C5880" t="s">
        <v>40</v>
      </c>
      <c r="D5880">
        <v>4.4776769999999999</v>
      </c>
      <c r="E5880">
        <v>0.58306190000000002</v>
      </c>
      <c r="F5880" t="s">
        <v>85</v>
      </c>
      <c r="G5880">
        <v>-433.36500000000001</v>
      </c>
      <c r="H5880">
        <v>5.6564690000000004</v>
      </c>
      <c r="I5880">
        <v>-4.8306879999999897</v>
      </c>
      <c r="J5880">
        <v>-422.34730000000002</v>
      </c>
      <c r="K5880">
        <v>1.111216</v>
      </c>
      <c r="L5880">
        <v>75.851929999999996</v>
      </c>
      <c r="M5880">
        <v>-1.450779E-2</v>
      </c>
      <c r="N5880">
        <v>-1.0233630000000001E-2</v>
      </c>
      <c r="O5880">
        <v>-0.99984249999999997</v>
      </c>
      <c r="P5880">
        <v>9.6340309999999998E-2</v>
      </c>
      <c r="Q5880">
        <v>0.18846869999999999</v>
      </c>
      <c r="R5880">
        <v>-0.97734239999999994</v>
      </c>
      <c r="S5880">
        <v>-0.4193115</v>
      </c>
      <c r="T5880">
        <v>0.17294809999999999</v>
      </c>
      <c r="U5880">
        <v>-3.077026</v>
      </c>
      <c r="V5880">
        <v>-0.11080569999999999</v>
      </c>
      <c r="W5880">
        <v>0.1982806</v>
      </c>
      <c r="X5880">
        <v>0.97386189999999995</v>
      </c>
      <c r="Y5880">
        <v>0.1203687</v>
      </c>
      <c r="Z5880">
        <v>-6.5853129999999996E-2</v>
      </c>
      <c r="AA5880">
        <v>0.9905427</v>
      </c>
      <c r="AB5880">
        <v>27</v>
      </c>
      <c r="AC5880">
        <v>-11.0176999999999</v>
      </c>
      <c r="AD5880">
        <v>4.5452529999999998</v>
      </c>
      <c r="AE5880">
        <v>-80.682618000000005</v>
      </c>
      <c r="AF5880">
        <v>9.8153725871405406</v>
      </c>
      <c r="AG5880">
        <v>4.5452529999999998</v>
      </c>
      <c r="AH5880">
        <v>80.582917962077303</v>
      </c>
      <c r="AI5880">
        <v>86.795306680033903</v>
      </c>
      <c r="AJ5880">
        <v>83.055318501830101</v>
      </c>
      <c r="AK5880">
        <v>81.305642677130805</v>
      </c>
      <c r="AL5880">
        <v>78.563569396177797</v>
      </c>
      <c r="AM5880">
        <v>96.491180571449803</v>
      </c>
      <c r="AN5880">
        <v>1.00000004988022</v>
      </c>
    </row>
    <row r="5881" spans="1:40" x14ac:dyDescent="0.25">
      <c r="A5881" t="str">
        <f>"20190304154915295"</f>
        <v>20190304154915295</v>
      </c>
      <c r="B5881" t="str">
        <f>"1551685755292654"</f>
        <v>1551685755292654</v>
      </c>
      <c r="C5881" t="s">
        <v>40</v>
      </c>
      <c r="D5881">
        <v>4.0683199999999999</v>
      </c>
      <c r="E5881">
        <v>0.58412500000000001</v>
      </c>
      <c r="F5881" t="s">
        <v>85</v>
      </c>
      <c r="G5881">
        <v>-431.90190000000001</v>
      </c>
      <c r="H5881">
        <v>4.7604579999999999</v>
      </c>
      <c r="I5881">
        <v>-3.6334420000000001</v>
      </c>
      <c r="J5881">
        <v>-422.34980000000002</v>
      </c>
      <c r="K5881">
        <v>1.1112229999999901</v>
      </c>
      <c r="L5881">
        <v>75.632230000000007</v>
      </c>
      <c r="M5881">
        <v>-1.3821460000000001E-2</v>
      </c>
      <c r="N5881">
        <v>-1.0235849999999999E-2</v>
      </c>
      <c r="O5881">
        <v>-0.99985219999999997</v>
      </c>
      <c r="P5881">
        <v>9.6313529999999994E-2</v>
      </c>
      <c r="Q5881">
        <v>0.18980250000000001</v>
      </c>
      <c r="R5881">
        <v>-0.97708700000000004</v>
      </c>
      <c r="S5881">
        <v>-0.37008669999999999</v>
      </c>
      <c r="T5881">
        <v>0.1413478</v>
      </c>
      <c r="U5881">
        <v>-3.0787659999999999</v>
      </c>
      <c r="V5881">
        <v>-0.1101075</v>
      </c>
      <c r="W5881">
        <v>0.19961519999999999</v>
      </c>
      <c r="X5881">
        <v>0.97366839999999999</v>
      </c>
      <c r="Y5881">
        <v>0.1054455</v>
      </c>
      <c r="Z5881">
        <v>-5.5778439999999999E-2</v>
      </c>
      <c r="AA5881">
        <v>0.99285950000000001</v>
      </c>
      <c r="AB5881">
        <v>27</v>
      </c>
      <c r="AC5881">
        <v>-9.5520999999999905</v>
      </c>
      <c r="AD5881">
        <v>3.649235</v>
      </c>
      <c r="AE5881">
        <v>-79.265671999999995</v>
      </c>
      <c r="AF5881">
        <v>8.4379346881686601</v>
      </c>
      <c r="AG5881">
        <v>3.649235</v>
      </c>
      <c r="AH5881">
        <v>79.2246175737329</v>
      </c>
      <c r="AI5881">
        <v>87.377524046197294</v>
      </c>
      <c r="AJ5881">
        <v>83.920547096467502</v>
      </c>
      <c r="AK5881">
        <v>79.756226638371302</v>
      </c>
      <c r="AL5881">
        <v>78.485542365260102</v>
      </c>
      <c r="AM5881">
        <v>96.451895838416206</v>
      </c>
      <c r="AN5881">
        <v>1.0000000213929201</v>
      </c>
    </row>
    <row r="5882" spans="1:40" x14ac:dyDescent="0.25">
      <c r="A5882" t="str">
        <f>"20190304154915313"</f>
        <v>20190304154915313</v>
      </c>
      <c r="B5882" t="str">
        <f>"1551685755303390"</f>
        <v>1551685755303390</v>
      </c>
      <c r="C5882" t="s">
        <v>40</v>
      </c>
      <c r="D5882">
        <v>4.4408960000000004</v>
      </c>
      <c r="E5882">
        <v>0.58206250000000004</v>
      </c>
      <c r="F5882" t="s">
        <v>85</v>
      </c>
      <c r="G5882">
        <v>-432.11450000000002</v>
      </c>
      <c r="H5882">
        <v>4.8446550000000004</v>
      </c>
      <c r="I5882">
        <v>-3.8074150000000002</v>
      </c>
      <c r="J5882">
        <v>-422.35199999999998</v>
      </c>
      <c r="K5882">
        <v>1.1112280000000001</v>
      </c>
      <c r="L5882">
        <v>75.425719999999998</v>
      </c>
      <c r="M5882">
        <v>-1.31761E-2</v>
      </c>
      <c r="N5882">
        <v>-1.0237899999999999E-2</v>
      </c>
      <c r="O5882">
        <v>-0.999861</v>
      </c>
      <c r="P5882">
        <v>9.6726220000000002E-2</v>
      </c>
      <c r="Q5882">
        <v>0.19063150000000001</v>
      </c>
      <c r="R5882">
        <v>-0.97688520000000001</v>
      </c>
      <c r="S5882">
        <v>-0.37853999999999999</v>
      </c>
      <c r="T5882">
        <v>0.14472929999999901</v>
      </c>
      <c r="U5882">
        <v>-3.0795590000000002</v>
      </c>
      <c r="V5882">
        <v>-0.1098903</v>
      </c>
      <c r="W5882">
        <v>0.2004445</v>
      </c>
      <c r="X5882">
        <v>0.97352249999999996</v>
      </c>
      <c r="Y5882">
        <v>0.108736</v>
      </c>
      <c r="Z5882">
        <v>-5.6840540000000002E-2</v>
      </c>
      <c r="AA5882">
        <v>0.99244429999999995</v>
      </c>
      <c r="AB5882">
        <v>27</v>
      </c>
      <c r="AC5882">
        <v>-9.7625000000000401</v>
      </c>
      <c r="AD5882">
        <v>3.7334269999999998</v>
      </c>
      <c r="AE5882">
        <v>-79.233135000000004</v>
      </c>
      <c r="AF5882">
        <v>8.6985900254630302</v>
      </c>
      <c r="AG5882">
        <v>3.7334269999999998</v>
      </c>
      <c r="AH5882">
        <v>79.181720439533606</v>
      </c>
      <c r="AI5882">
        <v>87.316616471959506</v>
      </c>
      <c r="AJ5882">
        <v>83.730851486058697</v>
      </c>
      <c r="AK5882">
        <v>79.745525249758501</v>
      </c>
      <c r="AL5882">
        <v>78.437046231465999</v>
      </c>
      <c r="AM5882">
        <v>96.440232651968202</v>
      </c>
      <c r="AN5882">
        <v>0.99999996681029402</v>
      </c>
    </row>
    <row r="5883" spans="1:40" x14ac:dyDescent="0.25">
      <c r="A5883" t="str">
        <f>"20190304154915329"</f>
        <v>20190304154915329</v>
      </c>
      <c r="B5883" t="str">
        <f>"1551685755322909"</f>
        <v>1551685755322909</v>
      </c>
      <c r="C5883" t="s">
        <v>40</v>
      </c>
      <c r="D5883">
        <v>4.4092500000000001</v>
      </c>
      <c r="E5883">
        <v>0.57856359999999996</v>
      </c>
      <c r="F5883" t="s">
        <v>85</v>
      </c>
      <c r="G5883">
        <v>-431.5847</v>
      </c>
      <c r="H5883">
        <v>4.5528979999999999</v>
      </c>
      <c r="I5883">
        <v>-3.3738589999999902</v>
      </c>
      <c r="J5883">
        <v>-422.35410000000002</v>
      </c>
      <c r="K5883">
        <v>1.1112379999999999</v>
      </c>
      <c r="L5883">
        <v>75.216949999999997</v>
      </c>
      <c r="M5883">
        <v>-1.252402E-2</v>
      </c>
      <c r="N5883">
        <v>-1.0240030000000001E-2</v>
      </c>
      <c r="O5883">
        <v>-0.99986929999999996</v>
      </c>
      <c r="P5883">
        <v>9.6798490000000001E-2</v>
      </c>
      <c r="Q5883">
        <v>0.1919855</v>
      </c>
      <c r="R5883">
        <v>-0.9766127</v>
      </c>
      <c r="S5883">
        <v>-0.36093140000000001</v>
      </c>
      <c r="T5883">
        <v>0.13454260000000001</v>
      </c>
      <c r="U5883">
        <v>-3.0804749999999999</v>
      </c>
      <c r="V5883">
        <v>-0.1093253</v>
      </c>
      <c r="W5883">
        <v>0.20179910000000001</v>
      </c>
      <c r="X5883">
        <v>0.97330629999999996</v>
      </c>
      <c r="Y5883">
        <v>0.10377309999999999</v>
      </c>
      <c r="Z5883">
        <v>-5.3583939999999997E-2</v>
      </c>
      <c r="AA5883">
        <v>0.99315659999999895</v>
      </c>
      <c r="AB5883">
        <v>27</v>
      </c>
      <c r="AC5883">
        <v>-9.2305999999999795</v>
      </c>
      <c r="AD5883">
        <v>3.4416600000000002</v>
      </c>
      <c r="AE5883">
        <v>-78.590808999999993</v>
      </c>
      <c r="AF5883">
        <v>8.2299833657432995</v>
      </c>
      <c r="AG5883">
        <v>3.4416600000000002</v>
      </c>
      <c r="AH5883">
        <v>78.551662066033998</v>
      </c>
      <c r="AI5883">
        <v>87.504888803920807</v>
      </c>
      <c r="AJ5883">
        <v>84.018850975044401</v>
      </c>
      <c r="AK5883">
        <v>79.056570018515302</v>
      </c>
      <c r="AL5883">
        <v>78.357815050220196</v>
      </c>
      <c r="AM5883">
        <v>96.4088077651991</v>
      </c>
      <c r="AN5883">
        <v>1.0000000258002899</v>
      </c>
    </row>
    <row r="5884" spans="1:40" x14ac:dyDescent="0.25">
      <c r="A5884" t="str">
        <f>"20190304154915347"</f>
        <v>20190304154915347</v>
      </c>
      <c r="B5884" t="str">
        <f>"1551685755343406"</f>
        <v>1551685755343406</v>
      </c>
      <c r="C5884" t="s">
        <v>40</v>
      </c>
      <c r="D5884">
        <v>4.4849370000000004</v>
      </c>
      <c r="E5884">
        <v>0.57589319999999999</v>
      </c>
      <c r="F5884" t="s">
        <v>85</v>
      </c>
      <c r="G5884">
        <v>-430.54559999999998</v>
      </c>
      <c r="H5884">
        <v>3.9956179999999999</v>
      </c>
      <c r="I5884">
        <v>-0.68152049999999997</v>
      </c>
      <c r="J5884">
        <v>-422.35599999999999</v>
      </c>
      <c r="K5884">
        <v>1.11124</v>
      </c>
      <c r="L5884">
        <v>75.006259999999997</v>
      </c>
      <c r="M5884">
        <v>-1.186576E-2</v>
      </c>
      <c r="N5884">
        <v>-1.024219E-2</v>
      </c>
      <c r="O5884">
        <v>-0.99987749999999997</v>
      </c>
      <c r="P5884">
        <v>9.7079219999999994E-2</v>
      </c>
      <c r="Q5884">
        <v>0.1926948</v>
      </c>
      <c r="R5884">
        <v>-0.97644500000000001</v>
      </c>
      <c r="S5884">
        <v>-0.33261109999999999</v>
      </c>
      <c r="T5884">
        <v>0.1171165</v>
      </c>
      <c r="U5884">
        <v>-3.0817869999999998</v>
      </c>
      <c r="V5884">
        <v>-0.1089633</v>
      </c>
      <c r="W5884">
        <v>0.20250940000000001</v>
      </c>
      <c r="X5884">
        <v>0.97319940000000005</v>
      </c>
      <c r="Y5884">
        <v>9.5389150000000006E-2</v>
      </c>
      <c r="Z5884">
        <v>-4.8001549999999997E-2</v>
      </c>
      <c r="AA5884">
        <v>0.994282</v>
      </c>
      <c r="AB5884">
        <v>27</v>
      </c>
      <c r="AC5884">
        <v>-8.1895999999999791</v>
      </c>
      <c r="AD5884">
        <v>2.8843779999999999</v>
      </c>
      <c r="AE5884">
        <v>-75.687780500000002</v>
      </c>
      <c r="AF5884">
        <v>7.2804326300879998</v>
      </c>
      <c r="AG5884">
        <v>2.8843779999999999</v>
      </c>
      <c r="AH5884">
        <v>75.671008005794903</v>
      </c>
      <c r="AI5884">
        <v>87.827117728642705</v>
      </c>
      <c r="AJ5884">
        <v>84.504393815006196</v>
      </c>
      <c r="AK5884">
        <v>76.075132522666195</v>
      </c>
      <c r="AL5884">
        <v>78.316260362182604</v>
      </c>
      <c r="AM5884">
        <v>96.388458350081393</v>
      </c>
      <c r="AN5884">
        <v>1.0000000649978</v>
      </c>
    </row>
    <row r="5885" spans="1:40" x14ac:dyDescent="0.25">
      <c r="A5885" t="str">
        <f>"20190304154915362"</f>
        <v>20190304154915362</v>
      </c>
      <c r="B5885" t="str">
        <f>"1551685755353166"</f>
        <v>1551685755353166</v>
      </c>
      <c r="C5885" t="s">
        <v>40</v>
      </c>
      <c r="D5885">
        <v>4.4577960000000001</v>
      </c>
      <c r="E5885">
        <v>0.57494209999999901</v>
      </c>
      <c r="F5885" t="s">
        <v>85</v>
      </c>
      <c r="G5885">
        <v>-429.90809999999999</v>
      </c>
      <c r="H5885">
        <v>3.6083769999999999</v>
      </c>
      <c r="I5885">
        <v>-0.15985869999999999</v>
      </c>
      <c r="J5885">
        <v>-422.35770000000002</v>
      </c>
      <c r="K5885">
        <v>1.1112470000000001</v>
      </c>
      <c r="L5885">
        <v>74.809839999999994</v>
      </c>
      <c r="M5885">
        <v>-1.1252399999999999E-2</v>
      </c>
      <c r="N5885">
        <v>-1.02442E-2</v>
      </c>
      <c r="O5885">
        <v>-0.99988410000000005</v>
      </c>
      <c r="P5885">
        <v>9.6942630000000002E-2</v>
      </c>
      <c r="Q5885">
        <v>0.19412550000000001</v>
      </c>
      <c r="R5885">
        <v>-0.97617480000000001</v>
      </c>
      <c r="S5885">
        <v>-0.30975340000000001</v>
      </c>
      <c r="T5885">
        <v>0.1024193</v>
      </c>
      <c r="U5885">
        <v>-3.0829469999999999</v>
      </c>
      <c r="V5885">
        <v>-0.1082283</v>
      </c>
      <c r="W5885">
        <v>0.20394129999999999</v>
      </c>
      <c r="X5885">
        <v>0.97298229999999997</v>
      </c>
      <c r="Y5885">
        <v>8.8683570000000003E-2</v>
      </c>
      <c r="Z5885">
        <v>-4.3282290000000001E-2</v>
      </c>
      <c r="AA5885">
        <v>0.99511899999999998</v>
      </c>
      <c r="AB5885">
        <v>27</v>
      </c>
      <c r="AC5885">
        <v>-7.5503999999999598</v>
      </c>
      <c r="AD5885">
        <v>2.4971299999999901</v>
      </c>
      <c r="AE5885">
        <v>-74.969698699999995</v>
      </c>
      <c r="AF5885">
        <v>6.6989309776655199</v>
      </c>
      <c r="AG5885">
        <v>2.4971299999999901</v>
      </c>
      <c r="AH5885">
        <v>74.967578237273202</v>
      </c>
      <c r="AI5885">
        <v>88.099779319821195</v>
      </c>
      <c r="AJ5885">
        <v>84.893742452275802</v>
      </c>
      <c r="AK5885">
        <v>75.307696294881495</v>
      </c>
      <c r="AL5885">
        <v>78.232469069000999</v>
      </c>
      <c r="AM5885">
        <v>96.347122768516698</v>
      </c>
      <c r="AN5885">
        <v>0.99999998743993401</v>
      </c>
    </row>
    <row r="5886" spans="1:40" x14ac:dyDescent="0.25">
      <c r="A5886" t="str">
        <f>"20190304154915384"</f>
        <v>20190304154915384</v>
      </c>
      <c r="B5886" t="str">
        <f>"1551685755373661"</f>
        <v>1551685755373661</v>
      </c>
      <c r="C5886" t="s">
        <v>40</v>
      </c>
      <c r="D5886">
        <v>4.4064249999999996</v>
      </c>
      <c r="E5886">
        <v>0.57305229999999996</v>
      </c>
      <c r="F5886" t="s">
        <v>85</v>
      </c>
      <c r="G5886">
        <v>-429.70780000000002</v>
      </c>
      <c r="H5886">
        <v>3.5212349999999999</v>
      </c>
      <c r="I5886">
        <v>4.110336E-3</v>
      </c>
      <c r="J5886">
        <v>-422.35980000000001</v>
      </c>
      <c r="K5886">
        <v>1.1112519999999999</v>
      </c>
      <c r="L5886">
        <v>74.540369999999996</v>
      </c>
      <c r="M5886">
        <v>-1.0410350000000001E-2</v>
      </c>
      <c r="N5886">
        <v>-1.0246959999999999E-2</v>
      </c>
      <c r="O5886">
        <v>-0.99989340000000004</v>
      </c>
      <c r="P5886">
        <v>9.6650970000000003E-2</v>
      </c>
      <c r="Q5886">
        <v>0.19596810000000001</v>
      </c>
      <c r="R5886">
        <v>-0.97583569999999997</v>
      </c>
      <c r="S5886">
        <v>-0.30297849999999998</v>
      </c>
      <c r="T5886">
        <v>9.9340680000000001E-2</v>
      </c>
      <c r="U5886">
        <v>-3.0835569999999999</v>
      </c>
      <c r="V5886">
        <v>-0.10711519999999999</v>
      </c>
      <c r="W5886">
        <v>0.20578489999999999</v>
      </c>
      <c r="X5886">
        <v>0.97271730000000001</v>
      </c>
      <c r="Y5886">
        <v>8.7341249999999995E-2</v>
      </c>
      <c r="Z5886">
        <v>-4.229306E-2</v>
      </c>
      <c r="AA5886">
        <v>0.99528030000000001</v>
      </c>
      <c r="AB5886">
        <v>27</v>
      </c>
      <c r="AC5886">
        <v>-7.3480000000000096</v>
      </c>
      <c r="AD5886">
        <v>2.4099829999999902</v>
      </c>
      <c r="AE5886">
        <v>-74.536259663999999</v>
      </c>
      <c r="AF5886">
        <v>6.56481559380651</v>
      </c>
      <c r="AG5886">
        <v>2.4099829999999902</v>
      </c>
      <c r="AH5886">
        <v>74.531552272427803</v>
      </c>
      <c r="AI5886">
        <v>88.1551199558006</v>
      </c>
      <c r="AJ5886">
        <v>84.966319677626203</v>
      </c>
      <c r="AK5886">
        <v>74.858914672726897</v>
      </c>
      <c r="AL5886">
        <v>78.124550022005494</v>
      </c>
      <c r="AM5886">
        <v>96.2840667246697</v>
      </c>
      <c r="AN5886">
        <v>1.00000001842916</v>
      </c>
    </row>
    <row r="5887" spans="1:40" x14ac:dyDescent="0.25">
      <c r="A5887" t="str">
        <f>"20190304154915400"</f>
        <v>20190304154915400</v>
      </c>
      <c r="B5887" t="str">
        <f>"1551685755393182"</f>
        <v>1551685755393182</v>
      </c>
      <c r="C5887" t="s">
        <v>40</v>
      </c>
      <c r="D5887">
        <v>4.4136730000000002</v>
      </c>
      <c r="E5887">
        <v>0.57153940000000003</v>
      </c>
      <c r="F5887" t="s">
        <v>85</v>
      </c>
      <c r="G5887">
        <v>-429.29719999999998</v>
      </c>
      <c r="H5887">
        <v>3.3431380000000002</v>
      </c>
      <c r="I5887">
        <v>0.34013939999999998</v>
      </c>
      <c r="J5887">
        <v>-422.3612</v>
      </c>
      <c r="K5887">
        <v>1.111245</v>
      </c>
      <c r="L5887">
        <v>74.350369999999998</v>
      </c>
      <c r="M5887">
        <v>-9.8166339999999994E-3</v>
      </c>
      <c r="N5887">
        <v>-1.0248899999999899E-2</v>
      </c>
      <c r="O5887">
        <v>-0.99989910000000004</v>
      </c>
      <c r="P5887">
        <v>9.6589980000000006E-2</v>
      </c>
      <c r="Q5887">
        <v>0.19613130000000001</v>
      </c>
      <c r="R5887">
        <v>-0.97580869999999997</v>
      </c>
      <c r="S5887">
        <v>-0.28836060000000002</v>
      </c>
      <c r="T5887">
        <v>9.2770099999999994E-2</v>
      </c>
      <c r="U5887">
        <v>-3.0842290000000001</v>
      </c>
      <c r="V5887">
        <v>-0.106475399999999</v>
      </c>
      <c r="W5887">
        <v>0.20595150000000001</v>
      </c>
      <c r="X5887">
        <v>0.97275230000000001</v>
      </c>
      <c r="Y5887">
        <v>8.3243440000000002E-2</v>
      </c>
      <c r="Z5887">
        <v>-4.0183709999999997E-2</v>
      </c>
      <c r="AA5887">
        <v>0.99571869999999996</v>
      </c>
      <c r="AB5887">
        <v>27</v>
      </c>
      <c r="AC5887">
        <v>-6.9359999999999697</v>
      </c>
      <c r="AD5887">
        <v>2.2318929999999901</v>
      </c>
      <c r="AE5887">
        <v>-74.0102306</v>
      </c>
      <c r="AF5887">
        <v>6.20350365642879</v>
      </c>
      <c r="AG5887">
        <v>2.2318929999999901</v>
      </c>
      <c r="AH5887">
        <v>74.008037637767202</v>
      </c>
      <c r="AI5887">
        <v>88.278662406478404</v>
      </c>
      <c r="AJ5887">
        <v>85.208552511343399</v>
      </c>
      <c r="AK5887">
        <v>74.301106579726905</v>
      </c>
      <c r="AL5887">
        <v>78.114795792650696</v>
      </c>
      <c r="AM5887">
        <v>96.246606579997405</v>
      </c>
      <c r="AN5887">
        <v>1.00000003415634</v>
      </c>
    </row>
    <row r="5888" spans="1:40" x14ac:dyDescent="0.25">
      <c r="A5888" t="str">
        <f>"20190304154915418"</f>
        <v>20190304154915418</v>
      </c>
      <c r="B5888" t="str">
        <f>"1551685755413677"</f>
        <v>1551685755413677</v>
      </c>
      <c r="C5888" t="s">
        <v>40</v>
      </c>
      <c r="D5888">
        <v>4.4788040000000002</v>
      </c>
      <c r="E5888">
        <v>0.57027530000000004</v>
      </c>
      <c r="F5888" t="s">
        <v>85</v>
      </c>
      <c r="G5888">
        <v>-429.15089999999998</v>
      </c>
      <c r="H5888">
        <v>3.1219749999999999</v>
      </c>
      <c r="I5888">
        <v>-1.30687</v>
      </c>
      <c r="J5888">
        <v>-422.36259999999999</v>
      </c>
      <c r="K5888">
        <v>1.1112470000000001</v>
      </c>
      <c r="L5888">
        <v>74.123199999999997</v>
      </c>
      <c r="M5888">
        <v>-9.107057E-3</v>
      </c>
      <c r="N5888">
        <v>-1.025124E-2</v>
      </c>
      <c r="O5888">
        <v>-0.99990630000000003</v>
      </c>
      <c r="P5888">
        <v>9.6559870000000006E-2</v>
      </c>
      <c r="Q5888">
        <v>0.19636400000000001</v>
      </c>
      <c r="R5888">
        <v>-0.97576549999999995</v>
      </c>
      <c r="S5888">
        <v>-0.27688600000000002</v>
      </c>
      <c r="T5888">
        <v>8.1996319999999998E-2</v>
      </c>
      <c r="U5888">
        <v>-3.0852970000000002</v>
      </c>
      <c r="V5888">
        <v>-0.1057543</v>
      </c>
      <c r="W5888">
        <v>0.2061876</v>
      </c>
      <c r="X5888">
        <v>0.97278089999999995</v>
      </c>
      <c r="Y5888">
        <v>8.0256129999999995E-2</v>
      </c>
      <c r="Z5888">
        <v>-3.6711500000000001E-2</v>
      </c>
      <c r="AA5888">
        <v>0.99609800000000004</v>
      </c>
      <c r="AB5888">
        <v>28</v>
      </c>
      <c r="AC5888">
        <v>-6.7882999999999898</v>
      </c>
      <c r="AD5888">
        <v>2.0107279999999998</v>
      </c>
      <c r="AE5888">
        <v>-75.430070000000001</v>
      </c>
      <c r="AF5888">
        <v>6.0967391705517997</v>
      </c>
      <c r="AG5888">
        <v>2.0107279999999998</v>
      </c>
      <c r="AH5888">
        <v>75.4355932959039</v>
      </c>
      <c r="AI5888">
        <v>88.478108429406305</v>
      </c>
      <c r="AJ5888">
        <v>85.379371980897702</v>
      </c>
      <c r="AK5888">
        <v>75.708268977098797</v>
      </c>
      <c r="AL5888">
        <v>78.100971008156094</v>
      </c>
      <c r="AM5888">
        <v>96.204451789983395</v>
      </c>
      <c r="AN5888">
        <v>0.99999998888352903</v>
      </c>
    </row>
    <row r="5889" spans="1:40" x14ac:dyDescent="0.25">
      <c r="A5889" t="str">
        <f>"20190304154915441"</f>
        <v>20190304154915441</v>
      </c>
      <c r="B5889" t="str">
        <f>"1551685755433197"</f>
        <v>1551685755433197</v>
      </c>
      <c r="C5889" t="s">
        <v>40</v>
      </c>
      <c r="D5889">
        <v>4.4186399999999999</v>
      </c>
      <c r="E5889">
        <v>0.56938909999999998</v>
      </c>
      <c r="F5889" t="s">
        <v>85</v>
      </c>
      <c r="G5889">
        <v>-428.86130000000003</v>
      </c>
      <c r="H5889">
        <v>2.9079809999999999</v>
      </c>
      <c r="I5889">
        <v>-1.1451739999999999</v>
      </c>
      <c r="J5889">
        <v>-422.36419999999998</v>
      </c>
      <c r="K5889">
        <v>1.111251</v>
      </c>
      <c r="L5889">
        <v>73.846530000000001</v>
      </c>
      <c r="M5889">
        <v>-8.2426670000000004E-3</v>
      </c>
      <c r="N5889">
        <v>-1.025413E-2</v>
      </c>
      <c r="O5889">
        <v>-0.99991350000000001</v>
      </c>
      <c r="P5889">
        <v>9.6338670000000001E-2</v>
      </c>
      <c r="Q5889">
        <v>0.19703879999999999</v>
      </c>
      <c r="R5889">
        <v>-0.9756513</v>
      </c>
      <c r="S5889">
        <v>-0.26644899999999999</v>
      </c>
      <c r="T5889">
        <v>7.3666330000000002E-2</v>
      </c>
      <c r="U5889">
        <v>-3.0860599999999998</v>
      </c>
      <c r="V5889">
        <v>-0.1046911</v>
      </c>
      <c r="W5889">
        <v>0.20686589999999999</v>
      </c>
      <c r="X5889">
        <v>0.9727519</v>
      </c>
      <c r="Y5889">
        <v>7.7759620000000002E-2</v>
      </c>
      <c r="Z5889">
        <v>-3.4028639999999999E-2</v>
      </c>
      <c r="AA5889">
        <v>0.99639120000000003</v>
      </c>
      <c r="AB5889">
        <v>28</v>
      </c>
      <c r="AC5889">
        <v>-6.4971000000000396</v>
      </c>
      <c r="AD5889">
        <v>1.7967299999999999</v>
      </c>
      <c r="AE5889">
        <v>-74.991703999999999</v>
      </c>
      <c r="AF5889">
        <v>5.8753676013521297</v>
      </c>
      <c r="AG5889">
        <v>1.7967299999999999</v>
      </c>
      <c r="AH5889">
        <v>74.999980461105693</v>
      </c>
      <c r="AI5889">
        <v>88.631851583797996</v>
      </c>
      <c r="AJ5889">
        <v>85.520696647192807</v>
      </c>
      <c r="AK5889">
        <v>75.251214291266706</v>
      </c>
      <c r="AL5889">
        <v>78.061251002707294</v>
      </c>
      <c r="AM5889">
        <v>96.142736351333298</v>
      </c>
      <c r="AN5889">
        <v>0.99999999297781506</v>
      </c>
    </row>
    <row r="5890" spans="1:40" x14ac:dyDescent="0.25">
      <c r="A5890" t="str">
        <f>"20190304154915462"</f>
        <v>20190304154915462</v>
      </c>
      <c r="B5890" t="str">
        <f>"1551685755452718"</f>
        <v>1551685755452718</v>
      </c>
      <c r="C5890" t="s">
        <v>40</v>
      </c>
      <c r="D5890">
        <v>4.3440009999999996</v>
      </c>
      <c r="E5890">
        <v>0.5684863</v>
      </c>
      <c r="F5890" t="s">
        <v>85</v>
      </c>
      <c r="G5890">
        <v>-428.67149999999998</v>
      </c>
      <c r="H5890">
        <v>2.7606929999999998</v>
      </c>
      <c r="I5890">
        <v>-0.98991779999999996</v>
      </c>
      <c r="J5890">
        <v>-422.3655</v>
      </c>
      <c r="K5890">
        <v>1.1112580000000001</v>
      </c>
      <c r="L5890">
        <v>73.576779999999999</v>
      </c>
      <c r="M5890">
        <v>-7.40010199999999E-3</v>
      </c>
      <c r="N5890">
        <v>-1.0256950000000001E-2</v>
      </c>
      <c r="O5890">
        <v>-0.99992009999999998</v>
      </c>
      <c r="P5890">
        <v>9.5987600000000006E-2</v>
      </c>
      <c r="Q5890">
        <v>0.1976725</v>
      </c>
      <c r="R5890">
        <v>-0.97555729999999996</v>
      </c>
      <c r="S5890">
        <v>-0.26016240000000002</v>
      </c>
      <c r="T5890">
        <v>6.8034410000000003E-2</v>
      </c>
      <c r="U5890">
        <v>-3.0868229999999999</v>
      </c>
      <c r="V5890">
        <v>-0.1035194</v>
      </c>
      <c r="W5890">
        <v>0.2075041</v>
      </c>
      <c r="X5890">
        <v>0.97274139999999998</v>
      </c>
      <c r="Y5890">
        <v>7.6568209999999998E-2</v>
      </c>
      <c r="Z5890">
        <v>-3.2212879999999999E-2</v>
      </c>
      <c r="AA5890">
        <v>0.99654379999999998</v>
      </c>
      <c r="AB5890">
        <v>28</v>
      </c>
      <c r="AC5890">
        <v>-6.3059999999999796</v>
      </c>
      <c r="AD5890">
        <v>1.64943499999999</v>
      </c>
      <c r="AE5890">
        <v>-74.5666978</v>
      </c>
      <c r="AF5890">
        <v>5.7512030508369802</v>
      </c>
      <c r="AG5890">
        <v>1.64943499999999</v>
      </c>
      <c r="AH5890">
        <v>74.575092432865901</v>
      </c>
      <c r="AI5890">
        <v>88.736701417145198</v>
      </c>
      <c r="AJ5890">
        <v>85.590099766997696</v>
      </c>
      <c r="AK5890">
        <v>74.814713684686794</v>
      </c>
      <c r="AL5890">
        <v>78.023874199784302</v>
      </c>
      <c r="AM5890">
        <v>96.074568979865802</v>
      </c>
      <c r="AN5890">
        <v>1.0000000244835601</v>
      </c>
    </row>
    <row r="5891" spans="1:40" x14ac:dyDescent="0.25">
      <c r="A5891" t="str">
        <f>"20190304154915484"</f>
        <v>20190304154915484</v>
      </c>
      <c r="B5891" t="str">
        <f>"1551685755473213"</f>
        <v>1551685755473213</v>
      </c>
      <c r="C5891" t="s">
        <v>40</v>
      </c>
      <c r="D5891">
        <v>4.3647299999999998</v>
      </c>
      <c r="E5891">
        <v>0.56775690000000001</v>
      </c>
      <c r="F5891" t="s">
        <v>85</v>
      </c>
      <c r="G5891">
        <v>-428.49099999999999</v>
      </c>
      <c r="H5891">
        <v>2.6402640000000002</v>
      </c>
      <c r="I5891">
        <v>-0.84220499999999998</v>
      </c>
      <c r="J5891">
        <v>-422.36669999999998</v>
      </c>
      <c r="K5891">
        <v>1.111259</v>
      </c>
      <c r="L5891">
        <v>73.303889999999996</v>
      </c>
      <c r="M5891">
        <v>-6.5484419999999998E-3</v>
      </c>
      <c r="N5891">
        <v>-1.0259809999999999E-2</v>
      </c>
      <c r="O5891">
        <v>-0.99992610000000004</v>
      </c>
      <c r="P5891">
        <v>9.5664020000000002E-2</v>
      </c>
      <c r="Q5891">
        <v>0.19803290000000001</v>
      </c>
      <c r="R5891">
        <v>-0.9755161</v>
      </c>
      <c r="S5891">
        <v>-0.25411990000000001</v>
      </c>
      <c r="T5891">
        <v>6.3430550000000002E-2</v>
      </c>
      <c r="U5891">
        <v>-3.0873110000000001</v>
      </c>
      <c r="V5891">
        <v>-0.1023665</v>
      </c>
      <c r="W5891">
        <v>0.20786879999999999</v>
      </c>
      <c r="X5891">
        <v>0.97278549999999997</v>
      </c>
      <c r="Y5891">
        <v>7.5470389999999998E-2</v>
      </c>
      <c r="Z5891">
        <v>-3.0730480000000001E-2</v>
      </c>
      <c r="AA5891">
        <v>0.99667439999999996</v>
      </c>
      <c r="AB5891">
        <v>28</v>
      </c>
      <c r="AC5891">
        <v>-6.1242999999999999</v>
      </c>
      <c r="AD5891">
        <v>1.52900499999999</v>
      </c>
      <c r="AE5891">
        <v>-74.146094999999903</v>
      </c>
      <c r="AF5891">
        <v>5.6362212540045604</v>
      </c>
      <c r="AG5891">
        <v>1.52900499999999</v>
      </c>
      <c r="AH5891">
        <v>74.153291985296704</v>
      </c>
      <c r="AI5891">
        <v>88.822152590648003</v>
      </c>
      <c r="AJ5891">
        <v>85.653436938168497</v>
      </c>
      <c r="AK5891">
        <v>74.382898293699199</v>
      </c>
      <c r="AL5891">
        <v>78.002512153514502</v>
      </c>
      <c r="AM5891">
        <v>96.007143381297197</v>
      </c>
      <c r="AN5891">
        <v>0.99999998367296905</v>
      </c>
    </row>
    <row r="5892" spans="1:40" x14ac:dyDescent="0.25">
      <c r="A5892" t="str">
        <f>"20190304154915508"</f>
        <v>20190304154915508</v>
      </c>
      <c r="B5892" t="str">
        <f>"1551685755503469"</f>
        <v>1551685755503469</v>
      </c>
      <c r="C5892" t="s">
        <v>40</v>
      </c>
      <c r="D5892">
        <v>4.4905980000000003</v>
      </c>
      <c r="E5892">
        <v>0.56719399999999998</v>
      </c>
      <c r="F5892" t="s">
        <v>85</v>
      </c>
      <c r="G5892">
        <v>-428.3383</v>
      </c>
      <c r="H5892">
        <v>2.5064479999999998</v>
      </c>
      <c r="I5892">
        <v>-0.71723369999999997</v>
      </c>
      <c r="J5892">
        <v>-422.36759999999998</v>
      </c>
      <c r="K5892">
        <v>1.1112610000000001</v>
      </c>
      <c r="L5892">
        <v>73.021940000000001</v>
      </c>
      <c r="M5892">
        <v>-5.6687780000000002E-3</v>
      </c>
      <c r="N5892">
        <v>-1.0262769999999999E-2</v>
      </c>
      <c r="O5892">
        <v>-0.99993129999999997</v>
      </c>
      <c r="P5892">
        <v>9.5508369999999995E-2</v>
      </c>
      <c r="Q5892">
        <v>0.1977342</v>
      </c>
      <c r="R5892">
        <v>-0.97559200000000001</v>
      </c>
      <c r="S5892">
        <v>-0.249115</v>
      </c>
      <c r="T5892">
        <v>5.8201070000000001E-2</v>
      </c>
      <c r="U5892">
        <v>-3.0878909999999999</v>
      </c>
      <c r="V5892">
        <v>-0.10135420000000001</v>
      </c>
      <c r="W5892">
        <v>0.20757639999999999</v>
      </c>
      <c r="X5892">
        <v>0.97295390000000004</v>
      </c>
      <c r="Y5892">
        <v>7.4730870000000005E-2</v>
      </c>
      <c r="Z5892">
        <v>-2.9045120000000001E-2</v>
      </c>
      <c r="AA5892">
        <v>0.99678060000000002</v>
      </c>
      <c r="AB5892">
        <v>28</v>
      </c>
      <c r="AC5892">
        <v>-5.9707000000000203</v>
      </c>
      <c r="AD5892">
        <v>1.39518699999999</v>
      </c>
      <c r="AE5892">
        <v>-73.739173699999995</v>
      </c>
      <c r="AF5892">
        <v>5.5505969437694498</v>
      </c>
      <c r="AG5892">
        <v>1.39518699999999</v>
      </c>
      <c r="AH5892">
        <v>73.745609038138099</v>
      </c>
      <c r="AI5892">
        <v>88.919211578140207</v>
      </c>
      <c r="AJ5892">
        <v>85.695645241487099</v>
      </c>
      <c r="AK5892">
        <v>73.967361218331106</v>
      </c>
      <c r="AL5892">
        <v>78.019638770838796</v>
      </c>
      <c r="AM5892">
        <v>95.947144747609798</v>
      </c>
      <c r="AN5892">
        <v>0.99999996360990395</v>
      </c>
    </row>
    <row r="5893" spans="1:40" x14ac:dyDescent="0.25">
      <c r="A5893" t="str">
        <f>"20190304154915530"</f>
        <v>20190304154915530</v>
      </c>
      <c r="B5893" t="str">
        <f>"1551685755522989"</f>
        <v>1551685755522989</v>
      </c>
      <c r="C5893" t="s">
        <v>40</v>
      </c>
      <c r="D5893">
        <v>4.4370120000000002</v>
      </c>
      <c r="E5893">
        <v>0.58974659999999901</v>
      </c>
      <c r="F5893" t="s">
        <v>85</v>
      </c>
      <c r="G5893">
        <v>-428.20870000000002</v>
      </c>
      <c r="H5893">
        <v>2.3638720000000002</v>
      </c>
      <c r="I5893">
        <v>-0.61118509999999904</v>
      </c>
      <c r="J5893">
        <v>-422.3682</v>
      </c>
      <c r="K5893">
        <v>1.1112599999999999</v>
      </c>
      <c r="L5893">
        <v>72.737849999999995</v>
      </c>
      <c r="M5893">
        <v>-4.7824010000000004E-3</v>
      </c>
      <c r="N5893">
        <v>-1.026577E-2</v>
      </c>
      <c r="O5893">
        <v>-0.99993609999999999</v>
      </c>
      <c r="P5893">
        <v>9.4812270000000004E-2</v>
      </c>
      <c r="Q5893">
        <v>0.1973838</v>
      </c>
      <c r="R5893">
        <v>-0.97573109999999996</v>
      </c>
      <c r="S5893">
        <v>-0.24499509999999999</v>
      </c>
      <c r="T5893">
        <v>5.2537439999999998E-2</v>
      </c>
      <c r="U5893">
        <v>-3.088409</v>
      </c>
      <c r="V5893">
        <v>-9.9794309999999997E-2</v>
      </c>
      <c r="W5893">
        <v>0.20723349999999999</v>
      </c>
      <c r="X5893">
        <v>0.97318819999999995</v>
      </c>
      <c r="Y5893">
        <v>7.428353E-2</v>
      </c>
      <c r="Z5893">
        <v>-2.7219730000000001E-2</v>
      </c>
      <c r="AA5893">
        <v>0.99686560000000002</v>
      </c>
      <c r="AB5893">
        <v>28</v>
      </c>
      <c r="AC5893">
        <v>-5.8405000000000102</v>
      </c>
      <c r="AD5893">
        <v>1.2526120000000001</v>
      </c>
      <c r="AE5893">
        <v>-73.349035099999995</v>
      </c>
      <c r="AF5893">
        <v>5.4880398614361496</v>
      </c>
      <c r="AG5893">
        <v>1.2526120000000001</v>
      </c>
      <c r="AH5893">
        <v>73.354870995607996</v>
      </c>
      <c r="AI5893">
        <v>89.024434964070295</v>
      </c>
      <c r="AJ5893">
        <v>85.721390983488007</v>
      </c>
      <c r="AK5893">
        <v>73.570542455017602</v>
      </c>
      <c r="AL5893">
        <v>78.039722042814802</v>
      </c>
      <c r="AM5893">
        <v>95.854856257059396</v>
      </c>
      <c r="AN5893">
        <v>0.99999995022493104</v>
      </c>
    </row>
    <row r="5894" spans="1:40" x14ac:dyDescent="0.25">
      <c r="A5894" t="str">
        <f>"20190304154915552"</f>
        <v>20190304154915552</v>
      </c>
      <c r="B5894" t="str">
        <f>"1551685755543489"</f>
        <v>1551685755543489</v>
      </c>
      <c r="C5894" t="s">
        <v>40</v>
      </c>
      <c r="D5894">
        <v>4.3843579999999998</v>
      </c>
      <c r="E5894">
        <v>0.59171439999999997</v>
      </c>
      <c r="F5894" t="s">
        <v>85</v>
      </c>
      <c r="G5894">
        <v>-432.92770000000002</v>
      </c>
      <c r="H5894">
        <v>1.327736</v>
      </c>
      <c r="I5894">
        <v>-4.4739890000000004</v>
      </c>
      <c r="J5894">
        <v>-422.36860000000001</v>
      </c>
      <c r="K5894">
        <v>1.1112629999999999</v>
      </c>
      <c r="L5894">
        <v>72.47287</v>
      </c>
      <c r="M5894">
        <v>-3.9557469999999999E-3</v>
      </c>
      <c r="N5894">
        <v>-1.026854E-2</v>
      </c>
      <c r="O5894">
        <v>-0.99993969999999999</v>
      </c>
      <c r="P5894">
        <v>9.4382519999999998E-2</v>
      </c>
      <c r="Q5894">
        <v>0.19715360000000001</v>
      </c>
      <c r="R5894">
        <v>-0.97581949999999995</v>
      </c>
      <c r="S5894">
        <v>-0.42590329999999899</v>
      </c>
      <c r="T5894">
        <v>8.7301730000000008E-3</v>
      </c>
      <c r="U5894">
        <v>-3.1142270000000001</v>
      </c>
      <c r="V5894">
        <v>-9.8559069999999999E-2</v>
      </c>
      <c r="W5894">
        <v>0.20700869999999999</v>
      </c>
      <c r="X5894">
        <v>0.97336199999999995</v>
      </c>
      <c r="Y5894">
        <v>0.13156209999999999</v>
      </c>
      <c r="Z5894">
        <v>-1.304374E-2</v>
      </c>
      <c r="AA5894">
        <v>0.99122209999999999</v>
      </c>
      <c r="AB5894">
        <v>28</v>
      </c>
      <c r="AC5894">
        <v>-10.559100000000001</v>
      </c>
      <c r="AD5894">
        <v>0.216473</v>
      </c>
      <c r="AE5894">
        <v>-76.946859000000003</v>
      </c>
      <c r="AF5894">
        <v>10.254539436933401</v>
      </c>
      <c r="AG5894">
        <v>0.216473</v>
      </c>
      <c r="AH5894">
        <v>76.9874301667802</v>
      </c>
      <c r="AI5894">
        <v>89.8403067137166</v>
      </c>
      <c r="AJ5894">
        <v>82.412998963125801</v>
      </c>
      <c r="AK5894">
        <v>77.667669227988398</v>
      </c>
      <c r="AL5894">
        <v>78.052888685590503</v>
      </c>
      <c r="AM5894">
        <v>95.781854302767698</v>
      </c>
      <c r="AN5894">
        <v>1.00000003759947</v>
      </c>
    </row>
    <row r="5895" spans="1:40" x14ac:dyDescent="0.25">
      <c r="A5895" t="str">
        <f>"20190304154915573"</f>
        <v>20190304154915573</v>
      </c>
      <c r="B5895" t="str">
        <f>"1551685755563009"</f>
        <v>1551685755563009</v>
      </c>
      <c r="C5895" t="s">
        <v>40</v>
      </c>
      <c r="D5895">
        <v>4.3605450000000001</v>
      </c>
      <c r="E5895">
        <v>0.59359219999999902</v>
      </c>
      <c r="F5895" t="s">
        <v>85</v>
      </c>
      <c r="G5895">
        <v>-433.34379999999999</v>
      </c>
      <c r="H5895">
        <v>1.1325829999999999</v>
      </c>
      <c r="I5895">
        <v>-4.8146079999999998</v>
      </c>
      <c r="J5895">
        <v>-422.36880000000002</v>
      </c>
      <c r="K5895">
        <v>1.111264</v>
      </c>
      <c r="L5895">
        <v>72.197599999999994</v>
      </c>
      <c r="M5895">
        <v>-3.0974430000000001E-3</v>
      </c>
      <c r="N5895">
        <v>-1.027133E-2</v>
      </c>
      <c r="O5895">
        <v>-0.99994280000000002</v>
      </c>
      <c r="P5895">
        <v>9.4181680000000004E-2</v>
      </c>
      <c r="Q5895">
        <v>0.1969476</v>
      </c>
      <c r="R5895">
        <v>-0.97588019999999998</v>
      </c>
      <c r="S5895">
        <v>-0.44262699999999999</v>
      </c>
      <c r="T5895">
        <v>8.5878369999999905E-4</v>
      </c>
      <c r="U5895">
        <v>-3.1169739999999999</v>
      </c>
      <c r="V5895">
        <v>-9.7521259999999999E-2</v>
      </c>
      <c r="W5895">
        <v>0.20680860000000001</v>
      </c>
      <c r="X5895">
        <v>0.97350899999999996</v>
      </c>
      <c r="Y5895">
        <v>0.13751250000000001</v>
      </c>
      <c r="Z5895">
        <v>-1.05419E-2</v>
      </c>
      <c r="AA5895">
        <v>0.99044390000000004</v>
      </c>
      <c r="AB5895">
        <v>28</v>
      </c>
      <c r="AC5895">
        <v>-10.9749999999999</v>
      </c>
      <c r="AD5895">
        <v>2.13189999999998E-2</v>
      </c>
      <c r="AE5895">
        <v>-77.012207999999902</v>
      </c>
      <c r="AF5895">
        <v>10.7363931146391</v>
      </c>
      <c r="AG5895">
        <v>2.13189999999998E-2</v>
      </c>
      <c r="AH5895">
        <v>77.045828958638396</v>
      </c>
      <c r="AI5895">
        <v>89.984297672314099</v>
      </c>
      <c r="AJ5895">
        <v>82.066877730314701</v>
      </c>
      <c r="AK5895">
        <v>77.790297284016006</v>
      </c>
      <c r="AL5895">
        <v>78.064606495563595</v>
      </c>
      <c r="AM5895">
        <v>95.720520214490705</v>
      </c>
      <c r="AN5895">
        <v>0.99999998313347305</v>
      </c>
    </row>
    <row r="5896" spans="1:40" x14ac:dyDescent="0.25">
      <c r="A5896" t="str">
        <f>"20190304154915597"</f>
        <v>20190304154915597</v>
      </c>
      <c r="B5896" t="str">
        <f>"1551685755593262"</f>
        <v>1551685755593262</v>
      </c>
      <c r="C5896" t="s">
        <v>40</v>
      </c>
      <c r="D5896">
        <v>4.3567780000000003</v>
      </c>
      <c r="E5896">
        <v>0.59548819999999902</v>
      </c>
      <c r="F5896" t="s">
        <v>85</v>
      </c>
      <c r="G5896">
        <v>-433.72230000000002</v>
      </c>
      <c r="H5896">
        <v>1.0536730000000001</v>
      </c>
      <c r="I5896">
        <v>-5.1243840000000001</v>
      </c>
      <c r="J5896">
        <v>-422.36869999999999</v>
      </c>
      <c r="K5896">
        <v>1.1112569999999999</v>
      </c>
      <c r="L5896">
        <v>71.916079999999994</v>
      </c>
      <c r="M5896">
        <v>-2.221691E-3</v>
      </c>
      <c r="N5896">
        <v>-1.0274180000000001E-2</v>
      </c>
      <c r="O5896">
        <v>-0.99994470000000002</v>
      </c>
      <c r="P5896">
        <v>9.4064320000000007E-2</v>
      </c>
      <c r="Q5896">
        <v>0.1967063</v>
      </c>
      <c r="R5896">
        <v>-0.97593980000000002</v>
      </c>
      <c r="S5896">
        <v>-0.45794679999999999</v>
      </c>
      <c r="T5896">
        <v>-2.3239850000000002E-3</v>
      </c>
      <c r="U5896">
        <v>-3.118805</v>
      </c>
      <c r="V5896">
        <v>-9.6549419999999997E-2</v>
      </c>
      <c r="W5896">
        <v>0.20657300000000001</v>
      </c>
      <c r="X5896">
        <v>0.97365590000000002</v>
      </c>
      <c r="Y5896">
        <v>0.1430631</v>
      </c>
      <c r="Z5896">
        <v>-9.5351840000000004E-3</v>
      </c>
      <c r="AA5896">
        <v>0.98966770000000004</v>
      </c>
      <c r="AB5896">
        <v>28</v>
      </c>
      <c r="AC5896">
        <v>-11.3536</v>
      </c>
      <c r="AD5896">
        <v>-5.7584000000000003E-2</v>
      </c>
      <c r="AE5896">
        <v>-77.040464</v>
      </c>
      <c r="AF5896">
        <v>11.182396713506799</v>
      </c>
      <c r="AG5896">
        <v>-5.7584000000000003E-2</v>
      </c>
      <c r="AH5896">
        <v>77.065457230904499</v>
      </c>
      <c r="AI5896">
        <v>90.042368209043701</v>
      </c>
      <c r="AJ5896">
        <v>81.743856452223397</v>
      </c>
      <c r="AK5896">
        <v>77.872549787352398</v>
      </c>
      <c r="AL5896">
        <v>78.078403548444498</v>
      </c>
      <c r="AM5896">
        <v>95.663036369457501</v>
      </c>
      <c r="AN5896">
        <v>1.00000000321807</v>
      </c>
    </row>
    <row r="5897" spans="1:40" x14ac:dyDescent="0.25">
      <c r="A5897" t="str">
        <f>"20190304154915620"</f>
        <v>20190304154915620</v>
      </c>
      <c r="B5897" t="str">
        <f>"1551685755612785"</f>
        <v>1551685755612785</v>
      </c>
      <c r="C5897" t="s">
        <v>40</v>
      </c>
      <c r="D5897">
        <v>4.3330630000000001</v>
      </c>
      <c r="E5897">
        <v>0.59685840000000001</v>
      </c>
      <c r="F5897" t="s">
        <v>85</v>
      </c>
      <c r="G5897">
        <v>-434.09930000000003</v>
      </c>
      <c r="H5897">
        <v>0.83421209999999901</v>
      </c>
      <c r="I5897">
        <v>-5.4329980000000004</v>
      </c>
      <c r="J5897">
        <v>-422.36829999999998</v>
      </c>
      <c r="K5897">
        <v>1.1112489999999999</v>
      </c>
      <c r="L5897">
        <v>71.626919999999998</v>
      </c>
      <c r="M5897">
        <v>-1.3252019999999999E-3</v>
      </c>
      <c r="N5897">
        <v>-1.0277100000000001E-2</v>
      </c>
      <c r="O5897">
        <v>-0.99994640000000001</v>
      </c>
      <c r="P5897">
        <v>9.4248589999999993E-2</v>
      </c>
      <c r="Q5897">
        <v>0.1959582</v>
      </c>
      <c r="R5897">
        <v>-0.97607279999999996</v>
      </c>
      <c r="S5897">
        <v>-0.47344969999999997</v>
      </c>
      <c r="T5897">
        <v>-1.118267E-2</v>
      </c>
      <c r="U5897">
        <v>-3.121826</v>
      </c>
      <c r="V5897">
        <v>-9.5857629999999999E-2</v>
      </c>
      <c r="W5897">
        <v>0.20583109999999999</v>
      </c>
      <c r="X5897">
        <v>0.97388140000000001</v>
      </c>
      <c r="Y5897">
        <v>0.1486191</v>
      </c>
      <c r="Z5897">
        <v>-6.7342670000000004E-3</v>
      </c>
      <c r="AA5897">
        <v>0.98887159999999996</v>
      </c>
      <c r="AB5897">
        <v>28</v>
      </c>
      <c r="AC5897">
        <v>-11.731</v>
      </c>
      <c r="AD5897">
        <v>-0.27703689999999997</v>
      </c>
      <c r="AE5897">
        <v>-77.059917999999996</v>
      </c>
      <c r="AF5897">
        <v>11.628717463761101</v>
      </c>
      <c r="AG5897">
        <v>-0.27703689999999997</v>
      </c>
      <c r="AH5897">
        <v>77.074423496612894</v>
      </c>
      <c r="AI5897">
        <v>90.203638778090905</v>
      </c>
      <c r="AJ5897">
        <v>81.420127349034502</v>
      </c>
      <c r="AK5897">
        <v>77.947229435247905</v>
      </c>
      <c r="AL5897">
        <v>78.121845480074896</v>
      </c>
      <c r="AM5897">
        <v>95.621427280205296</v>
      </c>
      <c r="AN5897">
        <v>1.00000005411119</v>
      </c>
    </row>
    <row r="5898" spans="1:40" x14ac:dyDescent="0.25">
      <c r="A5898" t="str">
        <f>"20190304154915641"</f>
        <v>20190304154915641</v>
      </c>
      <c r="B5898" t="str">
        <f>"1551685755633281"</f>
        <v>1551685755633281</v>
      </c>
      <c r="C5898" t="s">
        <v>40</v>
      </c>
      <c r="D5898">
        <v>4.3559279999999996</v>
      </c>
      <c r="E5898">
        <v>0.59792109999999998</v>
      </c>
      <c r="F5898" t="s">
        <v>85</v>
      </c>
      <c r="G5898">
        <v>-434.32920000000001</v>
      </c>
      <c r="H5898">
        <v>0.72958639999999997</v>
      </c>
      <c r="I5898">
        <v>-5.6212350000000004</v>
      </c>
      <c r="J5898">
        <v>-422.36779999999999</v>
      </c>
      <c r="K5898">
        <v>1.111253</v>
      </c>
      <c r="L5898">
        <v>71.360500000000002</v>
      </c>
      <c r="M5898">
        <v>-5.055061E-4</v>
      </c>
      <c r="N5898">
        <v>-1.0279750000000001E-2</v>
      </c>
      <c r="O5898">
        <v>-0.99994709999999998</v>
      </c>
      <c r="P5898">
        <v>9.4457650000000004E-2</v>
      </c>
      <c r="Q5898">
        <v>0.19599659999999999</v>
      </c>
      <c r="R5898">
        <v>-0.97604449999999998</v>
      </c>
      <c r="S5898">
        <v>-0.48361209999999999</v>
      </c>
      <c r="T5898">
        <v>-1.543272E-2</v>
      </c>
      <c r="U5898">
        <v>-3.1233520000000001</v>
      </c>
      <c r="V5898">
        <v>-9.5265569999999994E-2</v>
      </c>
      <c r="W5898">
        <v>0.205874</v>
      </c>
      <c r="X5898">
        <v>0.97393039999999997</v>
      </c>
      <c r="Y5898">
        <v>0.15250050000000001</v>
      </c>
      <c r="Z5898">
        <v>-5.3964620000000003E-3</v>
      </c>
      <c r="AA5898">
        <v>0.98828859999999996</v>
      </c>
      <c r="AB5898">
        <v>28</v>
      </c>
      <c r="AC5898">
        <v>-11.961399999999999</v>
      </c>
      <c r="AD5898">
        <v>-0.38166660000000002</v>
      </c>
      <c r="AE5898">
        <v>-76.981735</v>
      </c>
      <c r="AF5898">
        <v>11.9221955345735</v>
      </c>
      <c r="AG5898">
        <v>-0.38166660000000002</v>
      </c>
      <c r="AH5898">
        <v>76.985924290787594</v>
      </c>
      <c r="AI5898">
        <v>90.280702171617705</v>
      </c>
      <c r="AJ5898">
        <v>81.196987523771696</v>
      </c>
      <c r="AK5898">
        <v>77.904537445934693</v>
      </c>
      <c r="AL5898">
        <v>78.119333386216994</v>
      </c>
      <c r="AM5898">
        <v>95.586647843269603</v>
      </c>
      <c r="AN5898">
        <v>1.00000002837379</v>
      </c>
    </row>
    <row r="5899" spans="1:40" x14ac:dyDescent="0.25">
      <c r="A5899" t="str">
        <f>"20190304154915663"</f>
        <v>20190304154915663</v>
      </c>
      <c r="B5899" t="str">
        <f>"1551685755652798"</f>
        <v>1551685755652798</v>
      </c>
      <c r="C5899" t="s">
        <v>40</v>
      </c>
      <c r="D5899">
        <v>4.327394</v>
      </c>
      <c r="E5899">
        <v>0.59831049999999997</v>
      </c>
      <c r="F5899" t="s">
        <v>85</v>
      </c>
      <c r="G5899">
        <v>-434.4846</v>
      </c>
      <c r="H5899">
        <v>0.77969719999999998</v>
      </c>
      <c r="I5899">
        <v>-5.7483690000000003</v>
      </c>
      <c r="J5899">
        <v>-422.36700000000002</v>
      </c>
      <c r="K5899">
        <v>1.111248</v>
      </c>
      <c r="L5899">
        <v>71.085539999999995</v>
      </c>
      <c r="M5899">
        <v>3.296296E-4</v>
      </c>
      <c r="N5899">
        <v>-1.028252E-2</v>
      </c>
      <c r="O5899">
        <v>-0.99994720000000004</v>
      </c>
      <c r="P5899">
        <v>9.4947039999999996E-2</v>
      </c>
      <c r="Q5899">
        <v>0.19585530000000001</v>
      </c>
      <c r="R5899">
        <v>-0.9760257</v>
      </c>
      <c r="S5899">
        <v>-0.49087520000000001</v>
      </c>
      <c r="T5899">
        <v>-1.34331E-2</v>
      </c>
      <c r="U5899">
        <v>-3.12384</v>
      </c>
      <c r="V5899">
        <v>-9.4936740000000006E-2</v>
      </c>
      <c r="W5899">
        <v>0.20573820000000001</v>
      </c>
      <c r="X5899">
        <v>0.97399119999999995</v>
      </c>
      <c r="Y5899">
        <v>0.15554479999999901</v>
      </c>
      <c r="Z5899">
        <v>-6.0350009999999999E-3</v>
      </c>
      <c r="AA5899">
        <v>0.98781039999999998</v>
      </c>
      <c r="AB5899">
        <v>28</v>
      </c>
      <c r="AC5899">
        <v>-12.117599999999999</v>
      </c>
      <c r="AD5899">
        <v>-0.33155079999999998</v>
      </c>
      <c r="AE5899">
        <v>-76.833908999999906</v>
      </c>
      <c r="AF5899">
        <v>12.1427067908352</v>
      </c>
      <c r="AG5899">
        <v>-0.33155079999999998</v>
      </c>
      <c r="AH5899">
        <v>76.8285144194368</v>
      </c>
      <c r="AI5899">
        <v>90.244224949057298</v>
      </c>
      <c r="AJ5899">
        <v>81.018723096734703</v>
      </c>
      <c r="AK5899">
        <v>77.7828765348697</v>
      </c>
      <c r="AL5899">
        <v>78.127284315690602</v>
      </c>
      <c r="AM5899">
        <v>95.567140309209293</v>
      </c>
      <c r="AN5899">
        <v>1.00000002460925</v>
      </c>
    </row>
    <row r="5900" spans="1:40" x14ac:dyDescent="0.25">
      <c r="A5900" t="str">
        <f>"20190304154915686"</f>
        <v>20190304154915686</v>
      </c>
      <c r="B5900" t="str">
        <f>"1551685755682811"</f>
        <v>1551685755682811</v>
      </c>
      <c r="C5900" t="s">
        <v>40</v>
      </c>
      <c r="D5900">
        <v>4.2775699999999999</v>
      </c>
      <c r="E5900">
        <v>0.59889300000000001</v>
      </c>
      <c r="F5900" t="s">
        <v>85</v>
      </c>
      <c r="G5900">
        <v>-434.49279999999999</v>
      </c>
      <c r="H5900">
        <v>0.98416210000000004</v>
      </c>
      <c r="I5900">
        <v>-5.7550600000000003</v>
      </c>
      <c r="J5900">
        <v>-422.36599999999999</v>
      </c>
      <c r="K5900">
        <v>1.111237</v>
      </c>
      <c r="L5900">
        <v>70.803989999999999</v>
      </c>
      <c r="M5900">
        <v>1.169514E-3</v>
      </c>
      <c r="N5900">
        <v>-1.028517E-2</v>
      </c>
      <c r="O5900">
        <v>-0.99994669999999997</v>
      </c>
      <c r="P5900">
        <v>9.5538319999999996E-2</v>
      </c>
      <c r="Q5900">
        <v>0.19587560000000001</v>
      </c>
      <c r="R5900">
        <v>-0.97596380000000005</v>
      </c>
      <c r="S5900">
        <v>-0.49276730000000002</v>
      </c>
      <c r="T5900">
        <v>-5.1655770000000002E-3</v>
      </c>
      <c r="U5900">
        <v>-3.1226500000000001</v>
      </c>
      <c r="V5900">
        <v>-9.4703079999999995E-2</v>
      </c>
      <c r="W5900">
        <v>0.2057639</v>
      </c>
      <c r="X5900">
        <v>0.97400850000000005</v>
      </c>
      <c r="Y5900">
        <v>0.15701509999999999</v>
      </c>
      <c r="Z5900">
        <v>-8.6523209999999993E-3</v>
      </c>
      <c r="AA5900">
        <v>0.9875583</v>
      </c>
      <c r="AB5900">
        <v>28</v>
      </c>
      <c r="AC5900">
        <v>-12.126799999999999</v>
      </c>
      <c r="AD5900">
        <v>-0.12707489999999999</v>
      </c>
      <c r="AE5900">
        <v>-76.559049999999999</v>
      </c>
      <c r="AF5900">
        <v>12.2163004654393</v>
      </c>
      <c r="AG5900">
        <v>-0.12707489999999999</v>
      </c>
      <c r="AH5900">
        <v>76.544608707278499</v>
      </c>
      <c r="AI5900">
        <v>90.093930291235793</v>
      </c>
      <c r="AJ5900">
        <v>80.932230637766907</v>
      </c>
      <c r="AK5900">
        <v>77.513426367581502</v>
      </c>
      <c r="AL5900">
        <v>78.125779408002003</v>
      </c>
      <c r="AM5900">
        <v>95.553426103344904</v>
      </c>
      <c r="AN5900">
        <v>1.00000000698847</v>
      </c>
    </row>
    <row r="5901" spans="1:40" x14ac:dyDescent="0.25">
      <c r="A5901" t="str">
        <f>"20190304154915710"</f>
        <v>20190304154915710</v>
      </c>
      <c r="B5901" t="str">
        <f>"1551685755703307"</f>
        <v>1551685755703307</v>
      </c>
      <c r="C5901" t="s">
        <v>40</v>
      </c>
      <c r="D5901">
        <v>4.297021</v>
      </c>
      <c r="E5901">
        <v>0.59964949999999995</v>
      </c>
      <c r="F5901" t="s">
        <v>85</v>
      </c>
      <c r="G5901">
        <v>-434.52640000000002</v>
      </c>
      <c r="H5901">
        <v>1.2886329999999999</v>
      </c>
      <c r="I5901">
        <v>-5.7825150000000001</v>
      </c>
      <c r="J5901">
        <v>-422.3648</v>
      </c>
      <c r="K5901">
        <v>1.1112249999999999</v>
      </c>
      <c r="L5901">
        <v>70.515500000000003</v>
      </c>
      <c r="M5901">
        <v>2.0095410000000001E-3</v>
      </c>
      <c r="N5901">
        <v>-1.0287879999999999E-2</v>
      </c>
      <c r="O5901">
        <v>-0.99994530000000004</v>
      </c>
      <c r="P5901">
        <v>9.6320970000000006E-2</v>
      </c>
      <c r="Q5901">
        <v>0.195849</v>
      </c>
      <c r="R5901">
        <v>-0.97589250000000005</v>
      </c>
      <c r="S5901">
        <v>-0.4955444</v>
      </c>
      <c r="T5901">
        <v>7.227898E-3</v>
      </c>
      <c r="U5901">
        <v>-3.1209410000000002</v>
      </c>
      <c r="V5901">
        <v>-9.4658919999999994E-2</v>
      </c>
      <c r="W5901">
        <v>0.20574290000000001</v>
      </c>
      <c r="X5901">
        <v>0.97401720000000003</v>
      </c>
      <c r="Y5901">
        <v>0.15878159999999999</v>
      </c>
      <c r="Z5901">
        <v>-1.2576260000000001E-2</v>
      </c>
      <c r="AA5901">
        <v>0.98723360000000004</v>
      </c>
      <c r="AB5901">
        <v>28</v>
      </c>
      <c r="AC5901">
        <v>-12.1616</v>
      </c>
      <c r="AD5901">
        <v>0.17740799999999901</v>
      </c>
      <c r="AE5901">
        <v>-76.298015000000007</v>
      </c>
      <c r="AF5901">
        <v>12.314842577521601</v>
      </c>
      <c r="AG5901">
        <v>0.17740799999999901</v>
      </c>
      <c r="AH5901">
        <v>76.273018250833601</v>
      </c>
      <c r="AI5901">
        <v>89.868436335592804</v>
      </c>
      <c r="AJ5901">
        <v>80.8283235553819</v>
      </c>
      <c r="AK5901">
        <v>77.260987143574596</v>
      </c>
      <c r="AL5901">
        <v>78.127008588736402</v>
      </c>
      <c r="AM5901">
        <v>95.550803449297007</v>
      </c>
      <c r="AN5901">
        <v>0.99999997896590798</v>
      </c>
    </row>
    <row r="5902" spans="1:40" x14ac:dyDescent="0.25">
      <c r="A5902" t="str">
        <f>"20190304154915731"</f>
        <v>20190304154915731</v>
      </c>
      <c r="B5902" t="str">
        <f>"1551685755722826"</f>
        <v>1551685755722826</v>
      </c>
      <c r="C5902" t="s">
        <v>40</v>
      </c>
      <c r="D5902">
        <v>4.3363610000000001</v>
      </c>
      <c r="E5902">
        <v>0.60048800000000002</v>
      </c>
      <c r="F5902" t="s">
        <v>85</v>
      </c>
      <c r="G5902">
        <v>-434.5729</v>
      </c>
      <c r="H5902">
        <v>1.298217</v>
      </c>
      <c r="I5902">
        <v>-5.8205720000000003</v>
      </c>
      <c r="J5902">
        <v>-422.36340000000001</v>
      </c>
      <c r="K5902">
        <v>1.1112070000000001</v>
      </c>
      <c r="L5902">
        <v>70.237519999999904</v>
      </c>
      <c r="M5902">
        <v>2.79379E-3</v>
      </c>
      <c r="N5902">
        <v>-1.029073E-2</v>
      </c>
      <c r="O5902">
        <v>-0.99994349999999999</v>
      </c>
      <c r="P5902">
        <v>9.7965780000000002E-2</v>
      </c>
      <c r="Q5902">
        <v>0.1958319</v>
      </c>
      <c r="R5902">
        <v>-0.9757323</v>
      </c>
      <c r="S5902">
        <v>-0.49926759999999898</v>
      </c>
      <c r="T5902">
        <v>7.6462029999999999E-3</v>
      </c>
      <c r="U5902">
        <v>-3.1218569999999999</v>
      </c>
      <c r="V5902">
        <v>-9.5530900000000002E-2</v>
      </c>
      <c r="W5902">
        <v>0.2057303</v>
      </c>
      <c r="X5902">
        <v>0.97393479999999999</v>
      </c>
      <c r="Y5902">
        <v>0.16065879999999999</v>
      </c>
      <c r="Z5902">
        <v>-1.2710809999999999E-2</v>
      </c>
      <c r="AA5902">
        <v>0.98692820000000003</v>
      </c>
      <c r="AB5902">
        <v>28</v>
      </c>
      <c r="AC5902">
        <v>-12.209499999999901</v>
      </c>
      <c r="AD5902">
        <v>0.18700999999999901</v>
      </c>
      <c r="AE5902">
        <v>-76.058091999999903</v>
      </c>
      <c r="AF5902">
        <v>12.4218806485302</v>
      </c>
      <c r="AG5902">
        <v>0.18700999999999901</v>
      </c>
      <c r="AH5902">
        <v>76.023234509078094</v>
      </c>
      <c r="AI5902">
        <v>89.860902647053194</v>
      </c>
      <c r="AJ5902">
        <v>80.720113232124802</v>
      </c>
      <c r="AK5902">
        <v>77.031618682257402</v>
      </c>
      <c r="AL5902">
        <v>78.127747175836205</v>
      </c>
      <c r="AM5902">
        <v>95.602083570169597</v>
      </c>
      <c r="AN5902">
        <v>1.0000000519219601</v>
      </c>
    </row>
    <row r="5903" spans="1:40" x14ac:dyDescent="0.25">
      <c r="A5903" t="str">
        <f>"20190304154915753"</f>
        <v>20190304154915753</v>
      </c>
      <c r="B5903" t="str">
        <f>"1551685755743323"</f>
        <v>1551685755743323</v>
      </c>
      <c r="C5903" t="s">
        <v>40</v>
      </c>
      <c r="D5903">
        <v>4.323061</v>
      </c>
      <c r="E5903">
        <v>0.6013984</v>
      </c>
      <c r="F5903" t="s">
        <v>85</v>
      </c>
      <c r="G5903">
        <v>-434.56900000000002</v>
      </c>
      <c r="H5903">
        <v>1.3276239999999999</v>
      </c>
      <c r="I5903">
        <v>-5.8173579999999996</v>
      </c>
      <c r="J5903">
        <v>-422.36189999999999</v>
      </c>
      <c r="K5903">
        <v>1.111189</v>
      </c>
      <c r="L5903">
        <v>69.966859999999997</v>
      </c>
      <c r="M5903">
        <v>3.524938E-3</v>
      </c>
      <c r="N5903">
        <v>-1.0293450000000001E-2</v>
      </c>
      <c r="O5903">
        <v>-0.99994079999999996</v>
      </c>
      <c r="P5903">
        <v>9.9363530000000005E-2</v>
      </c>
      <c r="Q5903">
        <v>0.19604009999999999</v>
      </c>
      <c r="R5903">
        <v>-0.975549</v>
      </c>
      <c r="S5903">
        <v>-0.50122069999999996</v>
      </c>
      <c r="T5903">
        <v>8.8859799999999999E-3</v>
      </c>
      <c r="U5903">
        <v>-3.1231689999999999</v>
      </c>
      <c r="V5903">
        <v>-9.6205910000000006E-2</v>
      </c>
      <c r="W5903">
        <v>0.2059436</v>
      </c>
      <c r="X5903">
        <v>0.9738232</v>
      </c>
      <c r="Y5903">
        <v>0.161916899999999</v>
      </c>
      <c r="Z5903">
        <v>-1.310455E-2</v>
      </c>
      <c r="AA5903">
        <v>0.98671739999999997</v>
      </c>
      <c r="AB5903">
        <v>28</v>
      </c>
      <c r="AC5903">
        <v>-12.207100000000001</v>
      </c>
      <c r="AD5903">
        <v>0.21643499999999999</v>
      </c>
      <c r="AE5903">
        <v>-75.784217999999996</v>
      </c>
      <c r="AF5903">
        <v>12.4740738090001</v>
      </c>
      <c r="AG5903">
        <v>0.21643499999999999</v>
      </c>
      <c r="AH5903">
        <v>75.740113439233198</v>
      </c>
      <c r="AI5903">
        <v>89.838448334699706</v>
      </c>
      <c r="AJ5903">
        <v>80.647586679909594</v>
      </c>
      <c r="AK5903">
        <v>76.760759150034005</v>
      </c>
      <c r="AL5903">
        <v>78.115257742378006</v>
      </c>
      <c r="AM5903">
        <v>95.642055111794406</v>
      </c>
      <c r="AN5903">
        <v>0.999999984179063</v>
      </c>
    </row>
    <row r="5904" spans="1:40" x14ac:dyDescent="0.25">
      <c r="A5904" t="str">
        <f>"20190304154915775"</f>
        <v>20190304154915775</v>
      </c>
      <c r="B5904" t="str">
        <f>"1551685755773579"</f>
        <v>1551685755773579</v>
      </c>
      <c r="C5904" t="s">
        <v>40</v>
      </c>
      <c r="D5904">
        <v>4.3134059999999996</v>
      </c>
      <c r="E5904">
        <v>0.60163469999999997</v>
      </c>
      <c r="F5904" t="s">
        <v>85</v>
      </c>
      <c r="G5904">
        <v>-434.58539999999999</v>
      </c>
      <c r="H5904">
        <v>1.353828</v>
      </c>
      <c r="I5904">
        <v>-5.8307510000000002</v>
      </c>
      <c r="J5904">
        <v>-422.36</v>
      </c>
      <c r="K5904">
        <v>1.1111599999999999</v>
      </c>
      <c r="L5904">
        <v>69.683869999999999</v>
      </c>
      <c r="M5904">
        <v>4.2546270000000004E-3</v>
      </c>
      <c r="N5904">
        <v>-1.029628E-2</v>
      </c>
      <c r="O5904">
        <v>-0.99993790000000005</v>
      </c>
      <c r="P5904">
        <v>0.1009149</v>
      </c>
      <c r="Q5904">
        <v>0.195826</v>
      </c>
      <c r="R5904">
        <v>-0.97543259999999998</v>
      </c>
      <c r="S5904">
        <v>-0.50387570000000004</v>
      </c>
      <c r="T5904">
        <v>1.000094E-2</v>
      </c>
      <c r="U5904">
        <v>-3.1245120000000002</v>
      </c>
      <c r="V5904">
        <v>-9.703349E-2</v>
      </c>
      <c r="W5904">
        <v>0.2057359</v>
      </c>
      <c r="X5904">
        <v>0.97378500000000001</v>
      </c>
      <c r="Y5904">
        <v>0.16338730000000001</v>
      </c>
      <c r="Z5904">
        <v>-1.3458400000000001E-2</v>
      </c>
      <c r="AA5904">
        <v>0.98647019999999996</v>
      </c>
      <c r="AB5904">
        <v>28</v>
      </c>
      <c r="AC5904">
        <v>-12.225399999999899</v>
      </c>
      <c r="AD5904">
        <v>0.24266799999999999</v>
      </c>
      <c r="AE5904">
        <v>-75.514620999999906</v>
      </c>
      <c r="AF5904">
        <v>12.5464666717792</v>
      </c>
      <c r="AG5904">
        <v>0.24266799999999999</v>
      </c>
      <c r="AH5904">
        <v>75.461160806396705</v>
      </c>
      <c r="AI5904">
        <v>89.818243928901097</v>
      </c>
      <c r="AJ5904">
        <v>80.560132553765101</v>
      </c>
      <c r="AK5904">
        <v>76.497447695679</v>
      </c>
      <c r="AL5904">
        <v>78.127418589702202</v>
      </c>
      <c r="AM5904">
        <v>95.690493645625594</v>
      </c>
      <c r="AN5904">
        <v>0.999999992477695</v>
      </c>
    </row>
    <row r="5905" spans="1:40" x14ac:dyDescent="0.25">
      <c r="A5905" t="str">
        <f>"20190304154915797"</f>
        <v>20190304154915797</v>
      </c>
      <c r="B5905" t="str">
        <f>"1551685755793099"</f>
        <v>1551685755793099</v>
      </c>
      <c r="C5905" t="s">
        <v>40</v>
      </c>
      <c r="D5905">
        <v>4.0584579999999999</v>
      </c>
      <c r="E5905">
        <v>0.56595830000000003</v>
      </c>
      <c r="F5905" t="s">
        <v>85</v>
      </c>
      <c r="G5905">
        <v>-434.44529999999997</v>
      </c>
      <c r="H5905">
        <v>1.37249</v>
      </c>
      <c r="I5905">
        <v>-5.7160539999999997</v>
      </c>
      <c r="J5905">
        <v>-422.35809999999998</v>
      </c>
      <c r="K5905">
        <v>1.111137</v>
      </c>
      <c r="L5905">
        <v>69.404049999999998</v>
      </c>
      <c r="M5905">
        <v>4.9464030000000003E-3</v>
      </c>
      <c r="N5905">
        <v>-1.029911E-2</v>
      </c>
      <c r="O5905">
        <v>-0.99993500000000002</v>
      </c>
      <c r="P5905">
        <v>0.1022105</v>
      </c>
      <c r="Q5905">
        <v>0.1960316</v>
      </c>
      <c r="R5905">
        <v>-0.97525649999999997</v>
      </c>
      <c r="S5905">
        <v>-0.50091549999999996</v>
      </c>
      <c r="T5905">
        <v>1.0830640000000001E-2</v>
      </c>
      <c r="U5905">
        <v>-3.1252140000000002</v>
      </c>
      <c r="V5905">
        <v>-9.7644270000000005E-2</v>
      </c>
      <c r="W5905">
        <v>0.2059482</v>
      </c>
      <c r="X5905">
        <v>0.97367910000000002</v>
      </c>
      <c r="Y5905">
        <v>0.16312370000000001</v>
      </c>
      <c r="Z5905">
        <v>-1.372337E-2</v>
      </c>
      <c r="AA5905">
        <v>0.9865102</v>
      </c>
      <c r="AB5905">
        <v>28</v>
      </c>
      <c r="AC5905">
        <v>-12.0871999999999</v>
      </c>
      <c r="AD5905">
        <v>0.261352999999999</v>
      </c>
      <c r="AE5905">
        <v>-75.120103999999998</v>
      </c>
      <c r="AF5905">
        <v>12.4584990339367</v>
      </c>
      <c r="AG5905">
        <v>0.261352999999999</v>
      </c>
      <c r="AH5905">
        <v>75.058507993889293</v>
      </c>
      <c r="AI5905">
        <v>89.803190131604595</v>
      </c>
      <c r="AJ5905">
        <v>80.575747965430907</v>
      </c>
      <c r="AK5905">
        <v>76.085886508852298</v>
      </c>
      <c r="AL5905">
        <v>78.114988926479896</v>
      </c>
      <c r="AM5905">
        <v>95.726693971736395</v>
      </c>
      <c r="AN5905">
        <v>1.00000002716194</v>
      </c>
    </row>
    <row r="5906" spans="1:40" x14ac:dyDescent="0.25">
      <c r="A5906" t="str">
        <f>"20190304154915821"</f>
        <v>20190304154915821</v>
      </c>
      <c r="B5906" t="str">
        <f>"1551685755813595"</f>
        <v>1551685755813595</v>
      </c>
      <c r="C5906" t="s">
        <v>40</v>
      </c>
      <c r="D5906">
        <v>4.0586929999999999</v>
      </c>
      <c r="E5906">
        <v>0.51898859999999902</v>
      </c>
      <c r="F5906" t="s">
        <v>85</v>
      </c>
      <c r="G5906">
        <v>-427.07749999999999</v>
      </c>
      <c r="H5906">
        <v>1.0744370000000001</v>
      </c>
      <c r="I5906">
        <v>1.069445</v>
      </c>
      <c r="J5906">
        <v>-422.35590000000002</v>
      </c>
      <c r="K5906">
        <v>1.1111120000000001</v>
      </c>
      <c r="L5906">
        <v>69.114620000000002</v>
      </c>
      <c r="M5906">
        <v>5.6276190000000004E-3</v>
      </c>
      <c r="N5906">
        <v>-1.030202E-2</v>
      </c>
      <c r="O5906">
        <v>-0.99993129999999997</v>
      </c>
      <c r="P5906">
        <v>0.1030354</v>
      </c>
      <c r="Q5906">
        <v>0.19597870000000001</v>
      </c>
      <c r="R5906">
        <v>-0.9751803</v>
      </c>
      <c r="S5906">
        <v>-0.21401980000000001</v>
      </c>
      <c r="T5906">
        <v>-1.66547299999999E-3</v>
      </c>
      <c r="U5906">
        <v>-3.0988769999999999</v>
      </c>
      <c r="V5906">
        <v>-9.7792840000000006E-2</v>
      </c>
      <c r="W5906">
        <v>0.20590339999999999</v>
      </c>
      <c r="X5906">
        <v>0.97367360000000003</v>
      </c>
      <c r="Y5906">
        <v>7.4505559999999998E-2</v>
      </c>
      <c r="Z5906">
        <v>-9.7679940000000003E-3</v>
      </c>
      <c r="AA5906">
        <v>0.99717279999999997</v>
      </c>
      <c r="AB5906">
        <v>28</v>
      </c>
      <c r="AC5906">
        <v>-4.7215999999999596</v>
      </c>
      <c r="AD5906">
        <v>-3.6674999999999999E-2</v>
      </c>
      <c r="AE5906">
        <v>-68.045175</v>
      </c>
      <c r="AF5906">
        <v>5.10447631308634</v>
      </c>
      <c r="AG5906">
        <v>-3.6674999999999999E-2</v>
      </c>
      <c r="AH5906">
        <v>68.017504943945696</v>
      </c>
      <c r="AI5906">
        <v>90.030807217775205</v>
      </c>
      <c r="AJ5906">
        <v>85.708196802918906</v>
      </c>
      <c r="AK5906">
        <v>68.208782442484306</v>
      </c>
      <c r="AL5906">
        <v>78.117611240689797</v>
      </c>
      <c r="AM5906">
        <v>95.735381520494698</v>
      </c>
      <c r="AN5906">
        <v>0.99999996451189199</v>
      </c>
    </row>
    <row r="5907" spans="1:40" x14ac:dyDescent="0.25">
      <c r="A5907" t="str">
        <f>"20190304154915841"</f>
        <v>20190304154915841</v>
      </c>
      <c r="B5907" t="str">
        <f>"1551685755833115"</f>
        <v>1551685755833115</v>
      </c>
      <c r="C5907" t="s">
        <v>40</v>
      </c>
      <c r="D5907">
        <v>4.2286799999999998</v>
      </c>
      <c r="E5907">
        <v>0.51603319999999997</v>
      </c>
      <c r="F5907" t="s">
        <v>85</v>
      </c>
      <c r="G5907">
        <v>-418.73289999999997</v>
      </c>
      <c r="H5907">
        <v>0.49077579999999998</v>
      </c>
      <c r="I5907">
        <v>0.4902744</v>
      </c>
      <c r="J5907">
        <v>-422.3537</v>
      </c>
      <c r="K5907">
        <v>1.111084</v>
      </c>
      <c r="L5907">
        <v>68.845489999999998</v>
      </c>
      <c r="M5907">
        <v>6.2246549999999999E-3</v>
      </c>
      <c r="N5907">
        <v>-1.030467E-2</v>
      </c>
      <c r="O5907">
        <v>-0.99992760000000003</v>
      </c>
      <c r="P5907">
        <v>0.1035074</v>
      </c>
      <c r="Q5907">
        <v>0.19558249999999999</v>
      </c>
      <c r="R5907">
        <v>-0.97520980000000002</v>
      </c>
      <c r="S5907">
        <v>0.16180420000000001</v>
      </c>
      <c r="T5907">
        <v>-2.770591E-2</v>
      </c>
      <c r="U5907">
        <v>-3.064819</v>
      </c>
      <c r="V5907">
        <v>-9.7670049999999994E-2</v>
      </c>
      <c r="W5907">
        <v>0.20551610000000001</v>
      </c>
      <c r="X5907">
        <v>0.97376779999999996</v>
      </c>
      <c r="Y5907">
        <v>-4.6498600000000001E-2</v>
      </c>
      <c r="Z5907">
        <v>-1.274863E-3</v>
      </c>
      <c r="AA5907">
        <v>0.99891750000000001</v>
      </c>
      <c r="AB5907">
        <v>28</v>
      </c>
      <c r="AC5907">
        <v>3.6208000000000302</v>
      </c>
      <c r="AD5907">
        <v>-0.62030819999999998</v>
      </c>
      <c r="AE5907">
        <v>-68.355215599999994</v>
      </c>
      <c r="AF5907">
        <v>-3.1949572745506898</v>
      </c>
      <c r="AG5907">
        <v>-0.62030819999999998</v>
      </c>
      <c r="AH5907">
        <v>68.370815927822406</v>
      </c>
      <c r="AI5907">
        <v>90.519246812809598</v>
      </c>
      <c r="AJ5907">
        <v>92.675476270478498</v>
      </c>
      <c r="AK5907">
        <v>68.448235951596004</v>
      </c>
      <c r="AL5907">
        <v>78.140287493042294</v>
      </c>
      <c r="AM5907">
        <v>95.727677568751403</v>
      </c>
      <c r="AN5907">
        <v>1.00000001717152</v>
      </c>
    </row>
    <row r="5908" spans="1:40" x14ac:dyDescent="0.25">
      <c r="A5908" t="str">
        <f>"20190304154915864"</f>
        <v>20190304154915864</v>
      </c>
      <c r="B5908" t="str">
        <f>"1551685755853611"</f>
        <v>1551685755853611</v>
      </c>
      <c r="C5908" t="s">
        <v>40</v>
      </c>
      <c r="D5908">
        <v>4.0010700000000003</v>
      </c>
      <c r="E5908">
        <v>0.51608750000000003</v>
      </c>
      <c r="F5908" t="s">
        <v>85</v>
      </c>
      <c r="G5908">
        <v>-418.18819999999999</v>
      </c>
      <c r="H5908">
        <v>0.31155650000000001</v>
      </c>
      <c r="I5908">
        <v>0.49581340000000002</v>
      </c>
      <c r="J5908">
        <v>-422.35129999999998</v>
      </c>
      <c r="K5908">
        <v>1.1110640000000001</v>
      </c>
      <c r="L5908">
        <v>68.565190000000001</v>
      </c>
      <c r="M5908">
        <v>6.8054219999999898E-3</v>
      </c>
      <c r="N5908">
        <v>-1.0307409999999999E-2</v>
      </c>
      <c r="O5908">
        <v>-0.99992380000000003</v>
      </c>
      <c r="P5908">
        <v>0.10341839999999999</v>
      </c>
      <c r="Q5908">
        <v>0.19510179999999999</v>
      </c>
      <c r="R5908">
        <v>-0.97531559999999995</v>
      </c>
      <c r="S5908">
        <v>0.1867065</v>
      </c>
      <c r="T5908">
        <v>-3.5838370000000001E-2</v>
      </c>
      <c r="U5908">
        <v>-3.0636290000000002</v>
      </c>
      <c r="V5908">
        <v>-9.6999070000000007E-2</v>
      </c>
      <c r="W5908">
        <v>0.20504749999999999</v>
      </c>
      <c r="X5908">
        <v>0.97393359999999995</v>
      </c>
      <c r="Y5908">
        <v>-5.4029319999999999E-2</v>
      </c>
      <c r="Z5908">
        <v>1.37223799999999E-3</v>
      </c>
      <c r="AA5908">
        <v>0.99853840000000005</v>
      </c>
      <c r="AB5908">
        <v>28</v>
      </c>
      <c r="AC5908">
        <v>4.1630999999999796</v>
      </c>
      <c r="AD5908">
        <v>-0.79950749999999904</v>
      </c>
      <c r="AE5908">
        <v>-68.069376599999998</v>
      </c>
      <c r="AF5908">
        <v>-3.6992297485804602</v>
      </c>
      <c r="AG5908">
        <v>-0.79950749999999904</v>
      </c>
      <c r="AH5908">
        <v>68.086775299030293</v>
      </c>
      <c r="AI5908">
        <v>90.671772871688404</v>
      </c>
      <c r="AJ5908">
        <v>93.109885435327996</v>
      </c>
      <c r="AK5908">
        <v>68.1918798948671</v>
      </c>
      <c r="AL5908">
        <v>78.167720057314696</v>
      </c>
      <c r="AM5908">
        <v>95.687626095879494</v>
      </c>
      <c r="AN5908">
        <v>0.999999977023037</v>
      </c>
    </row>
    <row r="5909" spans="1:40" x14ac:dyDescent="0.25">
      <c r="A5909" t="str">
        <f>"20190304154915887"</f>
        <v>20190304154915887</v>
      </c>
      <c r="B5909" t="str">
        <f>"1551685755882891"</f>
        <v>1551685755882891</v>
      </c>
      <c r="C5909" t="s">
        <v>40</v>
      </c>
      <c r="D5909">
        <v>4.0371579999999998</v>
      </c>
      <c r="E5909">
        <v>0.51603169999999998</v>
      </c>
      <c r="F5909" t="s">
        <v>85</v>
      </c>
      <c r="G5909">
        <v>-418.21</v>
      </c>
      <c r="H5909">
        <v>0.20028470000000001</v>
      </c>
      <c r="I5909">
        <v>0.49559019999999998</v>
      </c>
      <c r="J5909">
        <v>-422.34870000000001</v>
      </c>
      <c r="K5909">
        <v>1.11103</v>
      </c>
      <c r="L5909">
        <v>68.275940000000006</v>
      </c>
      <c r="M5909">
        <v>7.3593069999999998E-3</v>
      </c>
      <c r="N5909">
        <v>-1.0310120000000001E-2</v>
      </c>
      <c r="O5909">
        <v>-0.99991989999999997</v>
      </c>
      <c r="P5909">
        <v>0.10395310000000001</v>
      </c>
      <c r="Q5909">
        <v>0.19485849999999999</v>
      </c>
      <c r="R5909">
        <v>-0.97530720000000004</v>
      </c>
      <c r="S5909">
        <v>0.18643190000000001</v>
      </c>
      <c r="T5909">
        <v>-4.1002749999999998E-2</v>
      </c>
      <c r="U5909">
        <v>-3.064362</v>
      </c>
      <c r="V5909">
        <v>-9.6976469999999995E-2</v>
      </c>
      <c r="W5909">
        <v>0.2048151</v>
      </c>
      <c r="X5909">
        <v>0.97398479999999998</v>
      </c>
      <c r="Y5909">
        <v>-5.3371910000000002E-2</v>
      </c>
      <c r="Z5909">
        <v>3.0492919999999999E-3</v>
      </c>
      <c r="AA5909">
        <v>0.99856999999999996</v>
      </c>
      <c r="AB5909">
        <v>28</v>
      </c>
      <c r="AC5909">
        <v>4.1387000000000196</v>
      </c>
      <c r="AD5909">
        <v>-0.91074529999999998</v>
      </c>
      <c r="AE5909">
        <v>-67.780349799999996</v>
      </c>
      <c r="AF5909">
        <v>-3.6390904809228899</v>
      </c>
      <c r="AG5909">
        <v>-0.91074529999999998</v>
      </c>
      <c r="AH5909">
        <v>67.796778763129396</v>
      </c>
      <c r="AI5909">
        <v>90.768528058349901</v>
      </c>
      <c r="AJ5909">
        <v>93.072485596092605</v>
      </c>
      <c r="AK5909">
        <v>67.900483409078305</v>
      </c>
      <c r="AL5909">
        <v>78.181324913510693</v>
      </c>
      <c r="AM5909">
        <v>95.686012653723907</v>
      </c>
      <c r="AN5909">
        <v>1.0000000257763499</v>
      </c>
    </row>
    <row r="5910" spans="1:40" x14ac:dyDescent="0.25">
      <c r="A5910" t="str">
        <f>"20190304154915910"</f>
        <v>20190304154915910</v>
      </c>
      <c r="B5910" t="str">
        <f>"1551685755903387"</f>
        <v>1551685755903387</v>
      </c>
      <c r="C5910" t="s">
        <v>40</v>
      </c>
      <c r="D5910">
        <v>4.0572609999999996</v>
      </c>
      <c r="E5910">
        <v>0.51601300000000005</v>
      </c>
      <c r="F5910" t="s">
        <v>85</v>
      </c>
      <c r="G5910">
        <v>-418.19049999999999</v>
      </c>
      <c r="H5910">
        <v>0.18593779999999999</v>
      </c>
      <c r="I5910">
        <v>0.49579050000000002</v>
      </c>
      <c r="J5910">
        <v>-422.346</v>
      </c>
      <c r="K5910">
        <v>1.110992</v>
      </c>
      <c r="L5910">
        <v>67.989199999999997</v>
      </c>
      <c r="M5910">
        <v>7.8600690000000008E-3</v>
      </c>
      <c r="N5910">
        <v>-1.031264E-2</v>
      </c>
      <c r="O5910">
        <v>-0.99991620000000003</v>
      </c>
      <c r="P5910">
        <v>0.10505</v>
      </c>
      <c r="Q5910">
        <v>0.19437109999999999</v>
      </c>
      <c r="R5910">
        <v>-0.97528700000000002</v>
      </c>
      <c r="S5910">
        <v>0.1879883</v>
      </c>
      <c r="T5910">
        <v>-4.1823510000000001E-2</v>
      </c>
      <c r="U5910">
        <v>-3.06427</v>
      </c>
      <c r="V5910">
        <v>-9.7565550000000001E-2</v>
      </c>
      <c r="W5910">
        <v>0.20433860000000001</v>
      </c>
      <c r="X5910">
        <v>0.97402599999999995</v>
      </c>
      <c r="Y5910">
        <v>-5.3378799999999997E-2</v>
      </c>
      <c r="Z5910">
        <v>3.314408E-3</v>
      </c>
      <c r="AA5910">
        <v>0.99856880000000003</v>
      </c>
      <c r="AB5910">
        <v>28</v>
      </c>
      <c r="AC5910">
        <v>4.1555000000000097</v>
      </c>
      <c r="AD5910">
        <v>-0.92505420000000005</v>
      </c>
      <c r="AE5910">
        <v>-67.493409499999999</v>
      </c>
      <c r="AF5910">
        <v>-3.6241624662138801</v>
      </c>
      <c r="AG5910">
        <v>-0.92505420000000005</v>
      </c>
      <c r="AH5910">
        <v>67.511354469901903</v>
      </c>
      <c r="AI5910">
        <v>90.783900640411503</v>
      </c>
      <c r="AJ5910">
        <v>93.072817788290806</v>
      </c>
      <c r="AK5910">
        <v>67.614889345581204</v>
      </c>
      <c r="AL5910">
        <v>78.209215624232201</v>
      </c>
      <c r="AM5910">
        <v>95.720083392372302</v>
      </c>
      <c r="AN5910">
        <v>0.99999997433637999</v>
      </c>
    </row>
    <row r="5911" spans="1:40" x14ac:dyDescent="0.25">
      <c r="A5911" t="str">
        <f>"20190304154915933"</f>
        <v>20190304154915933</v>
      </c>
      <c r="B5911" t="str">
        <f>"1551685755922907"</f>
        <v>1551685755922907</v>
      </c>
      <c r="C5911" t="s">
        <v>40</v>
      </c>
      <c r="D5911">
        <v>4.0647699999999896</v>
      </c>
      <c r="E5911">
        <v>0.51625469999999996</v>
      </c>
      <c r="F5911" t="s">
        <v>85</v>
      </c>
      <c r="G5911">
        <v>-418.13150000000002</v>
      </c>
      <c r="H5911">
        <v>0.1303986</v>
      </c>
      <c r="I5911">
        <v>0.49639129999999998</v>
      </c>
      <c r="J5911">
        <v>-422.3433</v>
      </c>
      <c r="K5911">
        <v>1.1109450000000001</v>
      </c>
      <c r="L5911">
        <v>67.702209999999994</v>
      </c>
      <c r="M5911">
        <v>8.3059880000000003E-3</v>
      </c>
      <c r="N5911">
        <v>-1.0315309999999999E-2</v>
      </c>
      <c r="O5911">
        <v>-0.99991260000000004</v>
      </c>
      <c r="P5911">
        <v>0.105813</v>
      </c>
      <c r="Q5911">
        <v>0.19401650000000001</v>
      </c>
      <c r="R5911">
        <v>-0.97527549999999996</v>
      </c>
      <c r="S5911">
        <v>0.19134519999999999</v>
      </c>
      <c r="T5911">
        <v>-4.4521570000000003E-2</v>
      </c>
      <c r="U5911">
        <v>-3.06427</v>
      </c>
      <c r="V5911">
        <v>-9.7873660000000001E-2</v>
      </c>
      <c r="W5911">
        <v>0.20399600000000001</v>
      </c>
      <c r="X5911">
        <v>0.97406689999999996</v>
      </c>
      <c r="Y5911">
        <v>-5.4022710000000002E-2</v>
      </c>
      <c r="Z5911">
        <v>4.1899219999999996E-3</v>
      </c>
      <c r="AA5911">
        <v>0.9985309</v>
      </c>
      <c r="AB5911">
        <v>28</v>
      </c>
      <c r="AC5911">
        <v>4.2117999999999798</v>
      </c>
      <c r="AD5911">
        <v>-0.98054640000000004</v>
      </c>
      <c r="AE5911">
        <v>-67.205818699999995</v>
      </c>
      <c r="AF5911">
        <v>-3.6526399310925899</v>
      </c>
      <c r="AG5911">
        <v>-0.98054640000000004</v>
      </c>
      <c r="AH5911">
        <v>67.224230875983395</v>
      </c>
      <c r="AI5911">
        <v>90.834438035508597</v>
      </c>
      <c r="AJ5911">
        <v>93.110117578750703</v>
      </c>
      <c r="AK5911">
        <v>67.330531459184797</v>
      </c>
      <c r="AL5911">
        <v>78.229267522193595</v>
      </c>
      <c r="AM5911">
        <v>95.737787620539095</v>
      </c>
      <c r="AN5911">
        <v>0.999999973506702</v>
      </c>
    </row>
    <row r="5912" spans="1:40" x14ac:dyDescent="0.25">
      <c r="A5912" t="str">
        <f>"20190304154915948"</f>
        <v>20190304154915948</v>
      </c>
      <c r="B5912" t="str">
        <f>"1551685755943403"</f>
        <v>1551685755943403</v>
      </c>
      <c r="C5912" t="s">
        <v>40</v>
      </c>
      <c r="D5912">
        <v>4.0537859999999997</v>
      </c>
      <c r="E5912">
        <v>0.51641190000000003</v>
      </c>
      <c r="F5912" t="s">
        <v>85</v>
      </c>
      <c r="G5912">
        <v>-418.12920000000003</v>
      </c>
      <c r="H5912">
        <v>0.1135813</v>
      </c>
      <c r="I5912">
        <v>0.49641229999999997</v>
      </c>
      <c r="J5912">
        <v>-422.34120000000001</v>
      </c>
      <c r="K5912">
        <v>1.1109119999999999</v>
      </c>
      <c r="L5912">
        <v>67.500369999999904</v>
      </c>
      <c r="M5912">
        <v>8.5830409999999996E-3</v>
      </c>
      <c r="N5912">
        <v>-1.0317150000000001E-2</v>
      </c>
      <c r="O5912">
        <v>-0.99991010000000002</v>
      </c>
      <c r="P5912">
        <v>0.106256</v>
      </c>
      <c r="Q5912">
        <v>0.19410830000000001</v>
      </c>
      <c r="R5912">
        <v>-0.97520879999999999</v>
      </c>
      <c r="S5912">
        <v>0.1921387</v>
      </c>
      <c r="T5912">
        <v>-4.5476320000000001E-2</v>
      </c>
      <c r="U5912">
        <v>-3.06427</v>
      </c>
      <c r="V5912">
        <v>-9.8032739999999993E-2</v>
      </c>
      <c r="W5912">
        <v>0.2040959</v>
      </c>
      <c r="X5912">
        <v>0.97402999999999995</v>
      </c>
      <c r="Y5912">
        <v>-5.4003420000000003E-2</v>
      </c>
      <c r="Z5912">
        <v>4.4989849999999996E-3</v>
      </c>
      <c r="AA5912">
        <v>0.99853060000000005</v>
      </c>
      <c r="AB5912">
        <v>28</v>
      </c>
      <c r="AC5912">
        <v>4.2119999999999802</v>
      </c>
      <c r="AD5912">
        <v>-0.99733070000000001</v>
      </c>
      <c r="AE5912">
        <v>-67.003957699999901</v>
      </c>
      <c r="AF5912">
        <v>-3.6359142237535802</v>
      </c>
      <c r="AG5912">
        <v>-0.99733070000000001</v>
      </c>
      <c r="AH5912">
        <v>67.022852375065199</v>
      </c>
      <c r="AI5912">
        <v>90.851272968146901</v>
      </c>
      <c r="AJ5912">
        <v>93.105187740457694</v>
      </c>
      <c r="AK5912">
        <v>67.128811111604193</v>
      </c>
      <c r="AL5912">
        <v>78.223420952468999</v>
      </c>
      <c r="AM5912">
        <v>95.747267480822202</v>
      </c>
      <c r="AN5912">
        <v>0.99999999770435799</v>
      </c>
    </row>
    <row r="5913" spans="1:40" x14ac:dyDescent="0.25">
      <c r="A5913" t="str">
        <f>"20190304154915961"</f>
        <v>20190304154915961</v>
      </c>
      <c r="B5913" t="str">
        <f>"1551685755953163"</f>
        <v>1551685755953163</v>
      </c>
      <c r="C5913" t="s">
        <v>40</v>
      </c>
      <c r="D5913">
        <v>4.0582560000000001</v>
      </c>
      <c r="E5913">
        <v>0.51655439999999997</v>
      </c>
      <c r="F5913" t="s">
        <v>85</v>
      </c>
      <c r="G5913">
        <v>-418.13600000000002</v>
      </c>
      <c r="H5913">
        <v>0.1145053</v>
      </c>
      <c r="I5913">
        <v>0.4963436</v>
      </c>
      <c r="J5913">
        <v>-422.33960000000002</v>
      </c>
      <c r="K5913">
        <v>1.1108880000000001</v>
      </c>
      <c r="L5913">
        <v>67.333250000000007</v>
      </c>
      <c r="M5913">
        <v>8.7933839999999996E-3</v>
      </c>
      <c r="N5913">
        <v>-1.031869E-2</v>
      </c>
      <c r="O5913">
        <v>-0.99990809999999997</v>
      </c>
      <c r="P5913">
        <v>0.106971</v>
      </c>
      <c r="Q5913">
        <v>0.1939063</v>
      </c>
      <c r="R5913">
        <v>-0.97517089999999995</v>
      </c>
      <c r="S5913">
        <v>0.19232179999999999</v>
      </c>
      <c r="T5913">
        <v>-4.5571210000000001E-2</v>
      </c>
      <c r="U5913">
        <v>-3.0643919999999998</v>
      </c>
      <c r="V5913">
        <v>-9.8531480000000005E-2</v>
      </c>
      <c r="W5913">
        <v>0.20389979999999999</v>
      </c>
      <c r="X5913">
        <v>0.97402080000000002</v>
      </c>
      <c r="Y5913">
        <v>-5.385032E-2</v>
      </c>
      <c r="Z5913">
        <v>4.5278150000000001E-3</v>
      </c>
      <c r="AA5913">
        <v>0.9985387</v>
      </c>
      <c r="AB5913">
        <v>28</v>
      </c>
      <c r="AC5913">
        <v>4.2036000000000504</v>
      </c>
      <c r="AD5913">
        <v>-0.99638269999999896</v>
      </c>
      <c r="AE5913">
        <v>-66.836906400000004</v>
      </c>
      <c r="AF5913">
        <v>-3.61488338644762</v>
      </c>
      <c r="AG5913">
        <v>-0.99638269999999896</v>
      </c>
      <c r="AH5913">
        <v>66.856488318741199</v>
      </c>
      <c r="AI5913">
        <v>90.852588148519203</v>
      </c>
      <c r="AJ5913">
        <v>93.0949289242714</v>
      </c>
      <c r="AK5913">
        <v>66.961557558769897</v>
      </c>
      <c r="AL5913">
        <v>78.234898624900097</v>
      </c>
      <c r="AM5913">
        <v>95.776363580035394</v>
      </c>
      <c r="AN5913">
        <v>1.00000004991183</v>
      </c>
    </row>
    <row r="5914" spans="1:40" x14ac:dyDescent="0.25">
      <c r="A5914" t="str">
        <f>"20190304154915975"</f>
        <v>20190304154915975</v>
      </c>
      <c r="B5914" t="str">
        <f>"1551685755972683"</f>
        <v>1551685755972683</v>
      </c>
      <c r="C5914" t="s">
        <v>40</v>
      </c>
      <c r="D5914">
        <v>4.0711539999999999</v>
      </c>
      <c r="E5914">
        <v>0.51706179999999902</v>
      </c>
      <c r="F5914" t="s">
        <v>85</v>
      </c>
      <c r="G5914">
        <v>-418.12479999999999</v>
      </c>
      <c r="H5914">
        <v>0.1082423</v>
      </c>
      <c r="I5914">
        <v>0.49645610000000001</v>
      </c>
      <c r="J5914">
        <v>-422.33780000000002</v>
      </c>
      <c r="K5914">
        <v>1.11086</v>
      </c>
      <c r="L5914">
        <v>67.157869999999903</v>
      </c>
      <c r="M5914">
        <v>8.9992779999999994E-3</v>
      </c>
      <c r="N5914">
        <v>-1.0320319999999999E-2</v>
      </c>
      <c r="O5914">
        <v>-0.99990650000000003</v>
      </c>
      <c r="P5914">
        <v>0.1073591</v>
      </c>
      <c r="Q5914">
        <v>0.19354370000000001</v>
      </c>
      <c r="R5914">
        <v>-0.97520039999999997</v>
      </c>
      <c r="S5914">
        <v>0.1932373</v>
      </c>
      <c r="T5914">
        <v>-4.5970440000000001E-2</v>
      </c>
      <c r="U5914">
        <v>-3.0643310000000001</v>
      </c>
      <c r="V5914">
        <v>-9.8706569999999993E-2</v>
      </c>
      <c r="W5914">
        <v>0.20354549999999999</v>
      </c>
      <c r="X5914">
        <v>0.97407710000000003</v>
      </c>
      <c r="Y5914">
        <v>-5.3942999999999998E-2</v>
      </c>
      <c r="Z5914">
        <v>4.6563739999999996E-3</v>
      </c>
      <c r="AA5914">
        <v>0.99853320000000001</v>
      </c>
      <c r="AB5914">
        <v>28</v>
      </c>
      <c r="AC5914">
        <v>4.2130000000000196</v>
      </c>
      <c r="AD5914">
        <v>-1.0026177000000001</v>
      </c>
      <c r="AE5914">
        <v>-66.6614138999999</v>
      </c>
      <c r="AF5914">
        <v>-3.6120791287296701</v>
      </c>
      <c r="AG5914">
        <v>-1.0026177000000001</v>
      </c>
      <c r="AH5914">
        <v>66.681605794215599</v>
      </c>
      <c r="AI5914">
        <v>90.860167603420606</v>
      </c>
      <c r="AJ5914">
        <v>93.100627511334906</v>
      </c>
      <c r="AK5914">
        <v>66.786891746657304</v>
      </c>
      <c r="AL5914">
        <v>78.2556324872196</v>
      </c>
      <c r="AM5914">
        <v>95.786226373535797</v>
      </c>
      <c r="AN5914">
        <v>0.999999977137912</v>
      </c>
    </row>
    <row r="5915" spans="1:40" x14ac:dyDescent="0.25">
      <c r="A5915" t="str">
        <f>"20190304154915988"</f>
        <v>20190304154915988</v>
      </c>
      <c r="B5915" t="str">
        <f>"1551685755983419"</f>
        <v>1551685755983419</v>
      </c>
      <c r="C5915" t="s">
        <v>40</v>
      </c>
      <c r="D5915">
        <v>4.0618530000000002</v>
      </c>
      <c r="E5915">
        <v>0.51714510000000002</v>
      </c>
      <c r="F5915" t="s">
        <v>85</v>
      </c>
      <c r="G5915">
        <v>-418.19650000000001</v>
      </c>
      <c r="H5915">
        <v>0.12334150000000001</v>
      </c>
      <c r="I5915">
        <v>0.49572749999999999</v>
      </c>
      <c r="J5915">
        <v>-422.33620000000002</v>
      </c>
      <c r="K5915">
        <v>1.110833</v>
      </c>
      <c r="L5915">
        <v>66.994380000000007</v>
      </c>
      <c r="M5915">
        <v>9.171195E-3</v>
      </c>
      <c r="N5915">
        <v>-1.0321800000000001E-2</v>
      </c>
      <c r="O5915">
        <v>-0.99990480000000004</v>
      </c>
      <c r="P5915">
        <v>0.1081428</v>
      </c>
      <c r="Q5915">
        <v>0.1927905</v>
      </c>
      <c r="R5915">
        <v>-0.97526290000000004</v>
      </c>
      <c r="S5915">
        <v>0.1903687</v>
      </c>
      <c r="T5915">
        <v>-4.5395489999999997E-2</v>
      </c>
      <c r="U5915">
        <v>-3.0643310000000001</v>
      </c>
      <c r="V5915">
        <v>-9.931073E-2</v>
      </c>
      <c r="W5915">
        <v>0.2027989</v>
      </c>
      <c r="X5915">
        <v>0.97417149999999997</v>
      </c>
      <c r="Y5915">
        <v>-5.2840419999999999E-2</v>
      </c>
      <c r="Z5915">
        <v>4.4684800000000004E-3</v>
      </c>
      <c r="AA5915">
        <v>0.99859299999999995</v>
      </c>
      <c r="AB5915">
        <v>28</v>
      </c>
      <c r="AC5915">
        <v>4.1397000000000004</v>
      </c>
      <c r="AD5915">
        <v>-0.98749149999999997</v>
      </c>
      <c r="AE5915">
        <v>-66.498652500000006</v>
      </c>
      <c r="AF5915">
        <v>-3.5288461958360799</v>
      </c>
      <c r="AG5915">
        <v>-0.98749149999999997</v>
      </c>
      <c r="AH5915">
        <v>66.5192115740346</v>
      </c>
      <c r="AI5915">
        <v>90.849311166831001</v>
      </c>
      <c r="AJ5915">
        <v>93.0366962488865</v>
      </c>
      <c r="AK5915">
        <v>66.620067572523595</v>
      </c>
      <c r="AL5915">
        <v>78.299321743878807</v>
      </c>
      <c r="AM5915">
        <v>95.820839783784393</v>
      </c>
      <c r="AN5915">
        <v>1.0000000631732899</v>
      </c>
    </row>
    <row r="5916" spans="1:40" x14ac:dyDescent="0.25">
      <c r="A5916" t="str">
        <f>"20190304154916002"</f>
        <v>20190304154916002</v>
      </c>
      <c r="B5916" t="str">
        <f>"1551685755993179"</f>
        <v>1551685755993179</v>
      </c>
      <c r="C5916" t="s">
        <v>40</v>
      </c>
      <c r="D5916">
        <v>4.0878220000000001</v>
      </c>
      <c r="E5916">
        <v>0.51711839999999998</v>
      </c>
      <c r="F5916" t="s">
        <v>45</v>
      </c>
      <c r="G5916">
        <v>-417.67110000000002</v>
      </c>
      <c r="H5916">
        <v>-0.05</v>
      </c>
      <c r="I5916">
        <v>-7.451111</v>
      </c>
      <c r="J5916">
        <v>-422.33440000000002</v>
      </c>
      <c r="K5916">
        <v>1.1108100000000001</v>
      </c>
      <c r="L5916">
        <v>66.822599999999994</v>
      </c>
      <c r="M5916">
        <v>9.3279969999999993E-3</v>
      </c>
      <c r="N5916">
        <v>-1.032336E-2</v>
      </c>
      <c r="O5916">
        <v>-0.99990330000000005</v>
      </c>
      <c r="P5916">
        <v>0.10810939999999999</v>
      </c>
      <c r="Q5916">
        <v>0.19236809999999999</v>
      </c>
      <c r="R5916">
        <v>-0.97535000000000005</v>
      </c>
      <c r="S5916">
        <v>0.19201660000000001</v>
      </c>
      <c r="T5916">
        <v>-4.7780870000000003E-2</v>
      </c>
      <c r="U5916">
        <v>-3.0642399999999999</v>
      </c>
      <c r="V5916">
        <v>-9.9111299999999999E-2</v>
      </c>
      <c r="W5916">
        <v>0.2023847</v>
      </c>
      <c r="X5916">
        <v>0.97427790000000003</v>
      </c>
      <c r="Y5916">
        <v>-5.3220129999999997E-2</v>
      </c>
      <c r="Z5916">
        <v>5.2439219999999998E-3</v>
      </c>
      <c r="AA5916">
        <v>0.99856900000000004</v>
      </c>
      <c r="AB5916">
        <v>28</v>
      </c>
      <c r="AC5916">
        <v>4.6632999999999898</v>
      </c>
      <c r="AD5916">
        <v>-1.1608099999999999</v>
      </c>
      <c r="AE5916">
        <v>-74.273710999999906</v>
      </c>
      <c r="AF5916">
        <v>-3.9692695600085899</v>
      </c>
      <c r="AG5916">
        <v>-1.1608099999999999</v>
      </c>
      <c r="AH5916">
        <v>74.295904565856404</v>
      </c>
      <c r="AI5916">
        <v>90.893850227072804</v>
      </c>
      <c r="AJ5916">
        <v>93.058128055521294</v>
      </c>
      <c r="AK5916">
        <v>74.410913285316894</v>
      </c>
      <c r="AL5916">
        <v>78.323555704195599</v>
      </c>
      <c r="AM5916">
        <v>95.8086006551098</v>
      </c>
      <c r="AN5916">
        <v>1.0000000215050899</v>
      </c>
    </row>
    <row r="5917" spans="1:40" x14ac:dyDescent="0.25">
      <c r="A5917" t="str">
        <f>"20190304154916022"</f>
        <v>20190304154916022</v>
      </c>
      <c r="B5917" t="str">
        <f>"1551685756012702"</f>
        <v>1551685756012702</v>
      </c>
      <c r="C5917" t="s">
        <v>40</v>
      </c>
      <c r="D5917">
        <v>4.0734879999999896</v>
      </c>
      <c r="E5917">
        <v>0.51728529999999995</v>
      </c>
      <c r="F5917" t="s">
        <v>45</v>
      </c>
      <c r="G5917">
        <v>-417.80540000000002</v>
      </c>
      <c r="H5917">
        <v>-0.05</v>
      </c>
      <c r="I5917">
        <v>-5.3608859999999998</v>
      </c>
      <c r="J5917">
        <v>-422.33179999999999</v>
      </c>
      <c r="K5917">
        <v>1.1107769999999999</v>
      </c>
      <c r="L5917">
        <v>66.565799999999996</v>
      </c>
      <c r="M5917">
        <v>9.5284180000000003E-3</v>
      </c>
      <c r="N5917">
        <v>-1.032568E-2</v>
      </c>
      <c r="O5917">
        <v>-0.99990159999999995</v>
      </c>
      <c r="P5917">
        <v>0.108277</v>
      </c>
      <c r="Q5917">
        <v>0.19222549999999999</v>
      </c>
      <c r="R5917">
        <v>-0.97535959999999999</v>
      </c>
      <c r="S5917">
        <v>0.19226070000000001</v>
      </c>
      <c r="T5917">
        <v>-4.9277189999999998E-2</v>
      </c>
      <c r="U5917">
        <v>-3.0642399999999999</v>
      </c>
      <c r="V5917">
        <v>-9.9065730000000005E-2</v>
      </c>
      <c r="W5917">
        <v>0.20225399999999999</v>
      </c>
      <c r="X5917">
        <v>0.97430969999999995</v>
      </c>
      <c r="Y5917">
        <v>-5.3098939999999997E-2</v>
      </c>
      <c r="Z5917">
        <v>5.7289659999999899E-3</v>
      </c>
      <c r="AA5917">
        <v>0.99857280000000004</v>
      </c>
      <c r="AB5917">
        <v>28</v>
      </c>
      <c r="AC5917">
        <v>4.5263999999999598</v>
      </c>
      <c r="AD5917">
        <v>-1.1607769999999999</v>
      </c>
      <c r="AE5917">
        <v>-71.926685999999904</v>
      </c>
      <c r="AF5917">
        <v>-3.83981452125352</v>
      </c>
      <c r="AG5917">
        <v>-1.1607769999999999</v>
      </c>
      <c r="AH5917">
        <v>71.947887544520199</v>
      </c>
      <c r="AI5917">
        <v>90.922992538378693</v>
      </c>
      <c r="AJ5917">
        <v>93.054942269041703</v>
      </c>
      <c r="AK5917">
        <v>72.059628787000307</v>
      </c>
      <c r="AL5917">
        <v>78.331202682399805</v>
      </c>
      <c r="AM5917">
        <v>95.805759987460206</v>
      </c>
      <c r="AN5917">
        <v>1.00000004544526</v>
      </c>
    </row>
    <row r="5918" spans="1:40" x14ac:dyDescent="0.25">
      <c r="A5918" t="str">
        <f>"20190304154916038"</f>
        <v>20190304154916038</v>
      </c>
      <c r="B5918" t="str">
        <f>"1551685756033195"</f>
        <v>1551685756033195</v>
      </c>
      <c r="C5918" t="s">
        <v>40</v>
      </c>
      <c r="D5918">
        <v>4.0641129999999999</v>
      </c>
      <c r="E5918">
        <v>0.51744709999999905</v>
      </c>
      <c r="F5918" t="s">
        <v>45</v>
      </c>
      <c r="G5918">
        <v>-417.86180000000002</v>
      </c>
      <c r="H5918">
        <v>-0.05</v>
      </c>
      <c r="I5918">
        <v>-5.0533449999999904</v>
      </c>
      <c r="J5918">
        <v>-422.32990000000001</v>
      </c>
      <c r="K5918">
        <v>1.110751</v>
      </c>
      <c r="L5918">
        <v>66.381320000000002</v>
      </c>
      <c r="M5918">
        <v>9.6465950000000009E-3</v>
      </c>
      <c r="N5918">
        <v>-1.0327350000000001E-2</v>
      </c>
      <c r="O5918">
        <v>-0.99990020000000002</v>
      </c>
      <c r="P5918">
        <v>0.10818270000000001</v>
      </c>
      <c r="Q5918">
        <v>0.19231719999999999</v>
      </c>
      <c r="R5918">
        <v>-0.97535190000000005</v>
      </c>
      <c r="S5918">
        <v>0.1912537</v>
      </c>
      <c r="T5918">
        <v>-4.9665569999999999E-2</v>
      </c>
      <c r="U5918">
        <v>-3.0643310000000001</v>
      </c>
      <c r="V5918">
        <v>-9.8842979999999997E-2</v>
      </c>
      <c r="W5918">
        <v>0.20235339999999999</v>
      </c>
      <c r="X5918">
        <v>0.97431160000000006</v>
      </c>
      <c r="Y5918">
        <v>-5.2652119999999997E-2</v>
      </c>
      <c r="Z5918">
        <v>5.8536480000000004E-3</v>
      </c>
      <c r="AA5918">
        <v>0.99859580000000003</v>
      </c>
      <c r="AB5918">
        <v>28</v>
      </c>
      <c r="AC5918">
        <v>4.46809999999999</v>
      </c>
      <c r="AD5918">
        <v>-1.1607510000000001</v>
      </c>
      <c r="AE5918">
        <v>-71.434664999999995</v>
      </c>
      <c r="AF5918">
        <v>-3.7777605175382298</v>
      </c>
      <c r="AG5918">
        <v>-1.1607510000000001</v>
      </c>
      <c r="AH5918">
        <v>71.455651866582699</v>
      </c>
      <c r="AI5918">
        <v>90.929353469375499</v>
      </c>
      <c r="AJ5918">
        <v>93.026330319686195</v>
      </c>
      <c r="AK5918">
        <v>71.564858702369705</v>
      </c>
      <c r="AL5918">
        <v>78.325386265554897</v>
      </c>
      <c r="AM5918">
        <v>95.792783351979807</v>
      </c>
      <c r="AN5918">
        <v>0.99999996354069898</v>
      </c>
    </row>
    <row r="5919" spans="1:40" x14ac:dyDescent="0.25">
      <c r="A5919" t="str">
        <f>"20190304154916054"</f>
        <v>20190304154916054</v>
      </c>
      <c r="B5919" t="str">
        <f>"1551685756042955"</f>
        <v>1551685756042955</v>
      </c>
      <c r="C5919" t="s">
        <v>40</v>
      </c>
      <c r="D5919">
        <v>4.0571590000000004</v>
      </c>
      <c r="E5919">
        <v>0.51776449999999996</v>
      </c>
      <c r="F5919" t="s">
        <v>45</v>
      </c>
      <c r="G5919">
        <v>-417.84359999999998</v>
      </c>
      <c r="H5919">
        <v>-0.05</v>
      </c>
      <c r="I5919">
        <v>-6.0930019999999896</v>
      </c>
      <c r="J5919">
        <v>-422.32760000000002</v>
      </c>
      <c r="K5919">
        <v>1.1107260000000001</v>
      </c>
      <c r="L5919">
        <v>66.15616</v>
      </c>
      <c r="M5919">
        <v>9.7632859999999995E-3</v>
      </c>
      <c r="N5919">
        <v>-1.0329400000000001E-2</v>
      </c>
      <c r="O5919">
        <v>-0.99989890000000003</v>
      </c>
      <c r="P5919">
        <v>0.107931</v>
      </c>
      <c r="Q5919">
        <v>0.19242680000000001</v>
      </c>
      <c r="R5919">
        <v>-0.97535799999999995</v>
      </c>
      <c r="S5919">
        <v>0.18969730000000001</v>
      </c>
      <c r="T5919">
        <v>-4.9080369999999998E-2</v>
      </c>
      <c r="U5919">
        <v>-3.0644529999999999</v>
      </c>
      <c r="V5919">
        <v>-9.8461859999999998E-2</v>
      </c>
      <c r="W5919">
        <v>0.20247299999999999</v>
      </c>
      <c r="X5919">
        <v>0.97432540000000001</v>
      </c>
      <c r="Y5919">
        <v>-5.2028070000000003E-2</v>
      </c>
      <c r="Z5919">
        <v>5.6608739999999998E-3</v>
      </c>
      <c r="AA5919">
        <v>0.99862960000000001</v>
      </c>
      <c r="AB5919">
        <v>28</v>
      </c>
      <c r="AC5919">
        <v>4.4840000000000302</v>
      </c>
      <c r="AD5919">
        <v>-1.1607259999999999</v>
      </c>
      <c r="AE5919">
        <v>-72.249161999999998</v>
      </c>
      <c r="AF5919">
        <v>-3.77738811809719</v>
      </c>
      <c r="AG5919">
        <v>-1.1607259999999999</v>
      </c>
      <c r="AH5919">
        <v>72.270917206514795</v>
      </c>
      <c r="AI5919">
        <v>90.9188807191085</v>
      </c>
      <c r="AJ5919">
        <v>92.991959207932695</v>
      </c>
      <c r="AK5919">
        <v>72.378874125760802</v>
      </c>
      <c r="AL5919">
        <v>78.318389505967005</v>
      </c>
      <c r="AM5919">
        <v>95.770517312413602</v>
      </c>
      <c r="AN5919">
        <v>1.0000000193444001</v>
      </c>
    </row>
    <row r="5920" spans="1:40" x14ac:dyDescent="0.25">
      <c r="A5920" t="str">
        <f>"20190304154916070"</f>
        <v>20190304154916070</v>
      </c>
      <c r="B5920" t="str">
        <f>"1551685756063451"</f>
        <v>1551685756063451</v>
      </c>
      <c r="C5920" t="s">
        <v>40</v>
      </c>
      <c r="D5920">
        <v>4.0758150000000004</v>
      </c>
      <c r="E5920">
        <v>0.51822950000000001</v>
      </c>
      <c r="F5920" t="s">
        <v>45</v>
      </c>
      <c r="G5920">
        <v>-417.81729999999999</v>
      </c>
      <c r="H5920">
        <v>-0.05</v>
      </c>
      <c r="I5920">
        <v>-8.0220950000000002</v>
      </c>
      <c r="J5920">
        <v>-422.32549999999998</v>
      </c>
      <c r="K5920">
        <v>1.1107</v>
      </c>
      <c r="L5920">
        <v>65.954709999999906</v>
      </c>
      <c r="M5920">
        <v>9.8444009999999992E-3</v>
      </c>
      <c r="N5920">
        <v>-1.033126E-2</v>
      </c>
      <c r="O5920">
        <v>-0.99989839999999997</v>
      </c>
      <c r="P5920">
        <v>0.10778840000000001</v>
      </c>
      <c r="Q5920">
        <v>0.1922894</v>
      </c>
      <c r="R5920">
        <v>-0.97540099999999996</v>
      </c>
      <c r="S5920">
        <v>0.18634029999999999</v>
      </c>
      <c r="T5920">
        <v>-4.7954799999999999E-2</v>
      </c>
      <c r="U5920">
        <v>-3.0646360000000001</v>
      </c>
      <c r="V5920">
        <v>-9.8226640000000004E-2</v>
      </c>
      <c r="W5920">
        <v>0.2023441</v>
      </c>
      <c r="X5920">
        <v>0.97437589999999996</v>
      </c>
      <c r="Y5920">
        <v>-5.0853950000000002E-2</v>
      </c>
      <c r="Z5920">
        <v>5.2924560000000001E-3</v>
      </c>
      <c r="AA5920">
        <v>0.99869209999999997</v>
      </c>
      <c r="AB5920">
        <v>28</v>
      </c>
      <c r="AC5920">
        <v>4.50819999999998</v>
      </c>
      <c r="AD5920">
        <v>-1.1607000000000001</v>
      </c>
      <c r="AE5920">
        <v>-73.976804999999899</v>
      </c>
      <c r="AF5920">
        <v>-3.77875868232488</v>
      </c>
      <c r="AG5920">
        <v>-1.1607000000000001</v>
      </c>
      <c r="AH5920">
        <v>73.999453174016296</v>
      </c>
      <c r="AI5920">
        <v>90.897455844399204</v>
      </c>
      <c r="AJ5920">
        <v>92.923251739614301</v>
      </c>
      <c r="AK5920">
        <v>74.104961451462003</v>
      </c>
      <c r="AL5920">
        <v>78.325930816082504</v>
      </c>
      <c r="AM5920">
        <v>95.756528202630093</v>
      </c>
      <c r="AN5920">
        <v>1.00000000105565</v>
      </c>
    </row>
    <row r="5921" spans="1:40" x14ac:dyDescent="0.25">
      <c r="A5921" t="str">
        <f>"20190304154916083"</f>
        <v>20190304154916083</v>
      </c>
      <c r="B5921" t="str">
        <f>"1551685756073212"</f>
        <v>1551685756073212</v>
      </c>
      <c r="C5921" t="s">
        <v>40</v>
      </c>
      <c r="D5921">
        <v>4.076549</v>
      </c>
      <c r="E5921">
        <v>0.51829899999999995</v>
      </c>
      <c r="F5921" t="s">
        <v>85</v>
      </c>
      <c r="G5921">
        <v>-418.42750000000001</v>
      </c>
      <c r="H5921">
        <v>0.1015737</v>
      </c>
      <c r="I5921">
        <v>0.49337959999999897</v>
      </c>
      <c r="J5921">
        <v>-422.32369999999997</v>
      </c>
      <c r="K5921">
        <v>1.1106799999999999</v>
      </c>
      <c r="L5921">
        <v>65.777979999999999</v>
      </c>
      <c r="M5921">
        <v>9.8951969999999997E-3</v>
      </c>
      <c r="N5921">
        <v>-1.0332859999999999E-2</v>
      </c>
      <c r="O5921">
        <v>-0.9998977</v>
      </c>
      <c r="P5921">
        <v>0.1077574</v>
      </c>
      <c r="Q5921">
        <v>0.19218299999999999</v>
      </c>
      <c r="R5921">
        <v>-0.97542510000000004</v>
      </c>
      <c r="S5921">
        <v>0.18249509999999999</v>
      </c>
      <c r="T5921">
        <v>-4.724681E-2</v>
      </c>
      <c r="U5921">
        <v>-3.0647890000000002</v>
      </c>
      <c r="V5921">
        <v>-9.8135310000000003E-2</v>
      </c>
      <c r="W5921">
        <v>0.20224510000000001</v>
      </c>
      <c r="X5921">
        <v>0.97440559999999998</v>
      </c>
      <c r="Y5921">
        <v>-4.9551980000000002E-2</v>
      </c>
      <c r="Z5921">
        <v>5.0605349999999997E-3</v>
      </c>
      <c r="AA5921">
        <v>0.9987587</v>
      </c>
      <c r="AB5921">
        <v>28</v>
      </c>
      <c r="AC5921">
        <v>3.8961999999999599</v>
      </c>
      <c r="AD5921">
        <v>-1.00910629999999</v>
      </c>
      <c r="AE5921">
        <v>-65.284600400000002</v>
      </c>
      <c r="AF5921">
        <v>-3.2491972432748302</v>
      </c>
      <c r="AG5921">
        <v>-1.00910629999999</v>
      </c>
      <c r="AH5921">
        <v>65.304412386182605</v>
      </c>
      <c r="AI5921">
        <v>90.884190120022495</v>
      </c>
      <c r="AJ5921">
        <v>92.848381770118493</v>
      </c>
      <c r="AK5921">
        <v>65.392980168784206</v>
      </c>
      <c r="AL5921">
        <v>78.331722203832797</v>
      </c>
      <c r="AM5921">
        <v>95.7510376228295</v>
      </c>
      <c r="AN5921">
        <v>0.99999994642708101</v>
      </c>
    </row>
    <row r="5922" spans="1:40" x14ac:dyDescent="0.25">
      <c r="A5922" t="str">
        <f>"20190304154916098"</f>
        <v>20190304154916098</v>
      </c>
      <c r="B5922" t="str">
        <f>"1551685756092731"</f>
        <v>1551685756092731</v>
      </c>
      <c r="C5922" t="s">
        <v>40</v>
      </c>
      <c r="D5922">
        <v>4.0579890000000001</v>
      </c>
      <c r="E5922">
        <v>0.51863899999999996</v>
      </c>
      <c r="F5922" t="s">
        <v>85</v>
      </c>
      <c r="G5922">
        <v>-418.45119999999997</v>
      </c>
      <c r="H5922">
        <v>9.9763569999999996E-2</v>
      </c>
      <c r="I5922">
        <v>0.4931355</v>
      </c>
      <c r="J5922">
        <v>-422.3218</v>
      </c>
      <c r="K5922">
        <v>1.1106560000000001</v>
      </c>
      <c r="L5922">
        <v>65.600949999999997</v>
      </c>
      <c r="M5922">
        <v>9.9348470000000001E-3</v>
      </c>
      <c r="N5922">
        <v>-1.033448E-2</v>
      </c>
      <c r="O5922">
        <v>-0.99989749999999999</v>
      </c>
      <c r="P5922">
        <v>0.1075622</v>
      </c>
      <c r="Q5922">
        <v>0.19201799999999999</v>
      </c>
      <c r="R5922">
        <v>-0.9754796</v>
      </c>
      <c r="S5922">
        <v>0.18179319999999999</v>
      </c>
      <c r="T5922">
        <v>-4.7459359999999999E-2</v>
      </c>
      <c r="U5922">
        <v>-3.0648499999999999</v>
      </c>
      <c r="V5922">
        <v>-9.7891409999999998E-2</v>
      </c>
      <c r="W5922">
        <v>0.2020863</v>
      </c>
      <c r="X5922">
        <v>0.97446319999999997</v>
      </c>
      <c r="Y5922">
        <v>-4.9283250000000001E-2</v>
      </c>
      <c r="Z5922">
        <v>5.128039E-3</v>
      </c>
      <c r="AA5922">
        <v>0.99877169999999904</v>
      </c>
      <c r="AB5922">
        <v>28</v>
      </c>
      <c r="AC5922">
        <v>3.87060000000002</v>
      </c>
      <c r="AD5922">
        <v>-1.01089243</v>
      </c>
      <c r="AE5922">
        <v>-65.107814500000003</v>
      </c>
      <c r="AF5922">
        <v>-3.2227642281613602</v>
      </c>
      <c r="AG5922">
        <v>-1.01089243</v>
      </c>
      <c r="AH5922">
        <v>65.127411842166197</v>
      </c>
      <c r="AI5922">
        <v>90.888173676364602</v>
      </c>
      <c r="AJ5922">
        <v>92.832913031120299</v>
      </c>
      <c r="AK5922">
        <v>65.214936065555406</v>
      </c>
      <c r="AL5922">
        <v>78.341014004289093</v>
      </c>
      <c r="AM5922">
        <v>95.736502932887305</v>
      </c>
      <c r="AN5922">
        <v>1.0000000644768501</v>
      </c>
    </row>
    <row r="5923" spans="1:40" x14ac:dyDescent="0.25">
      <c r="A5923" t="str">
        <f>"20190304154916112"</f>
        <v>20190304154916112</v>
      </c>
      <c r="B5923" t="str">
        <f>"1551685756103467"</f>
        <v>1551685756103467</v>
      </c>
      <c r="C5923" t="s">
        <v>40</v>
      </c>
      <c r="D5923">
        <v>4.0759290000000004</v>
      </c>
      <c r="E5923">
        <v>0.51891290000000001</v>
      </c>
      <c r="F5923" t="s">
        <v>85</v>
      </c>
      <c r="G5923">
        <v>-418.53789999999998</v>
      </c>
      <c r="H5923">
        <v>0.10886410000000001</v>
      </c>
      <c r="I5923">
        <v>0.49225429999999998</v>
      </c>
      <c r="J5923">
        <v>-422.32010000000002</v>
      </c>
      <c r="K5923">
        <v>1.110638</v>
      </c>
      <c r="L5923">
        <v>65.427949999999996</v>
      </c>
      <c r="M5923">
        <v>9.9632669999999996E-3</v>
      </c>
      <c r="N5923">
        <v>-1.0336069999999999E-2</v>
      </c>
      <c r="O5923">
        <v>-0.99989700000000004</v>
      </c>
      <c r="P5923">
        <v>0.1071762</v>
      </c>
      <c r="Q5923">
        <v>0.19163079999999999</v>
      </c>
      <c r="R5923">
        <v>-0.97559790000000002</v>
      </c>
      <c r="S5923">
        <v>0.17813109999999999</v>
      </c>
      <c r="T5923">
        <v>-4.716182E-2</v>
      </c>
      <c r="U5923">
        <v>-3.0650629999999999</v>
      </c>
      <c r="V5923">
        <v>-9.7468440000000003E-2</v>
      </c>
      <c r="W5923">
        <v>0.2017061</v>
      </c>
      <c r="X5923">
        <v>0.97458429999999996</v>
      </c>
      <c r="Y5923">
        <v>-4.8061710000000001E-2</v>
      </c>
      <c r="Z5923">
        <v>5.0294049999999998E-3</v>
      </c>
      <c r="AA5923">
        <v>0.99883169999999999</v>
      </c>
      <c r="AB5923">
        <v>29</v>
      </c>
      <c r="AC5923">
        <v>3.78220000000004</v>
      </c>
      <c r="AD5923">
        <v>-1.0017738999999899</v>
      </c>
      <c r="AE5923">
        <v>-64.935695699999997</v>
      </c>
      <c r="AF5923">
        <v>-3.1342626272835701</v>
      </c>
      <c r="AG5923">
        <v>-1.0017738999999899</v>
      </c>
      <c r="AH5923">
        <v>64.954750578016103</v>
      </c>
      <c r="AI5923">
        <v>90.882555585094593</v>
      </c>
      <c r="AJ5923">
        <v>92.762551437077903</v>
      </c>
      <c r="AK5923">
        <v>65.038040989991302</v>
      </c>
      <c r="AL5923">
        <v>78.363255158063296</v>
      </c>
      <c r="AM5923">
        <v>95.711175797874006</v>
      </c>
      <c r="AN5923">
        <v>1.0000000026898599</v>
      </c>
    </row>
    <row r="5924" spans="1:40" x14ac:dyDescent="0.25">
      <c r="A5924" t="str">
        <f>"20190304154916134"</f>
        <v>20190304154916134</v>
      </c>
      <c r="B5924" t="str">
        <f>"1551685756122987"</f>
        <v>1551685756122987</v>
      </c>
      <c r="C5924" t="s">
        <v>40</v>
      </c>
      <c r="D5924">
        <v>4.0602130000000001</v>
      </c>
      <c r="E5924">
        <v>0.51943569999999994</v>
      </c>
      <c r="F5924" t="s">
        <v>45</v>
      </c>
      <c r="G5924">
        <v>-418.0668</v>
      </c>
      <c r="H5924">
        <v>-0.05</v>
      </c>
      <c r="I5924">
        <v>-8.8663790000000002</v>
      </c>
      <c r="J5924">
        <v>-422.31720000000001</v>
      </c>
      <c r="K5924">
        <v>1.1106210000000001</v>
      </c>
      <c r="L5924">
        <v>65.148160000000004</v>
      </c>
      <c r="M5924">
        <v>9.9835459999999994E-3</v>
      </c>
      <c r="N5924">
        <v>-1.033858E-2</v>
      </c>
      <c r="O5924">
        <v>-0.99989680000000003</v>
      </c>
      <c r="P5924">
        <v>0.1069412</v>
      </c>
      <c r="Q5924">
        <v>0.19118089999999999</v>
      </c>
      <c r="R5924">
        <v>-0.97571200000000002</v>
      </c>
      <c r="S5924">
        <v>0.1754761</v>
      </c>
      <c r="T5924">
        <v>-4.7884349999999999E-2</v>
      </c>
      <c r="U5924">
        <v>-3.0651549999999999</v>
      </c>
      <c r="V5924">
        <v>-9.7202319999999995E-2</v>
      </c>
      <c r="W5924">
        <v>0.20126479999999999</v>
      </c>
      <c r="X5924">
        <v>0.97470210000000002</v>
      </c>
      <c r="Y5924">
        <v>-4.7177379999999998E-2</v>
      </c>
      <c r="Z5924">
        <v>5.2624250000000003E-3</v>
      </c>
      <c r="AA5924">
        <v>0.9988726</v>
      </c>
      <c r="AB5924">
        <v>29</v>
      </c>
      <c r="AC5924">
        <v>4.2504000000000097</v>
      </c>
      <c r="AD5924">
        <v>-1.1606209999999999</v>
      </c>
      <c r="AE5924">
        <v>-74.014538999999999</v>
      </c>
      <c r="AF5924">
        <v>-3.5103608273409699</v>
      </c>
      <c r="AG5924">
        <v>-1.1606209999999999</v>
      </c>
      <c r="AH5924">
        <v>74.035141374138405</v>
      </c>
      <c r="AI5924">
        <v>90.897123057794204</v>
      </c>
      <c r="AJ5924">
        <v>92.714634371941997</v>
      </c>
      <c r="AK5924">
        <v>74.127402710013001</v>
      </c>
      <c r="AL5924">
        <v>78.389069128487904</v>
      </c>
      <c r="AM5924">
        <v>95.695001286831499</v>
      </c>
      <c r="AN5924">
        <v>0.99999999723841604</v>
      </c>
    </row>
    <row r="5925" spans="1:40" x14ac:dyDescent="0.25">
      <c r="A5925" t="str">
        <f>"20190304154916156"</f>
        <v>20190304154916156</v>
      </c>
      <c r="B5925" t="str">
        <f>"1551685756153243"</f>
        <v>1551685756153243</v>
      </c>
      <c r="C5925" t="s">
        <v>40</v>
      </c>
      <c r="D5925">
        <v>4.0989250000000004</v>
      </c>
      <c r="E5925">
        <v>0.52000179999999996</v>
      </c>
      <c r="F5925" t="s">
        <v>85</v>
      </c>
      <c r="G5925">
        <v>-418.71690000000001</v>
      </c>
      <c r="H5925">
        <v>0.1009703</v>
      </c>
      <c r="I5925">
        <v>0.4904346</v>
      </c>
      <c r="J5925">
        <v>-422.31439999999998</v>
      </c>
      <c r="K5925">
        <v>1.1106</v>
      </c>
      <c r="L5925">
        <v>64.866150000000005</v>
      </c>
      <c r="M5925">
        <v>9.9872929999999995E-3</v>
      </c>
      <c r="N5925">
        <v>-1.034115E-2</v>
      </c>
      <c r="O5925">
        <v>-0.99989680000000003</v>
      </c>
      <c r="P5925">
        <v>0.10707609999999999</v>
      </c>
      <c r="Q5925">
        <v>0.19109770000000001</v>
      </c>
      <c r="R5925">
        <v>-0.97571359999999996</v>
      </c>
      <c r="S5925">
        <v>0.1706848</v>
      </c>
      <c r="T5925">
        <v>-4.7867300000000002E-2</v>
      </c>
      <c r="U5925">
        <v>-3.0653380000000001</v>
      </c>
      <c r="V5925">
        <v>-9.7326140000000005E-2</v>
      </c>
      <c r="W5925">
        <v>0.2011877</v>
      </c>
      <c r="X5925">
        <v>0.97470559999999995</v>
      </c>
      <c r="Y5925">
        <v>-4.561407E-2</v>
      </c>
      <c r="Z5925">
        <v>5.2545450000000002E-3</v>
      </c>
      <c r="AA5925">
        <v>0.99894530000000004</v>
      </c>
      <c r="AB5925">
        <v>29</v>
      </c>
      <c r="AC5925">
        <v>3.5974999999999602</v>
      </c>
      <c r="AD5925">
        <v>-1.0096296999999901</v>
      </c>
      <c r="AE5925">
        <v>-64.375715400000004</v>
      </c>
      <c r="AF5925">
        <v>-2.9536229036310999</v>
      </c>
      <c r="AG5925">
        <v>-1.0096296999999901</v>
      </c>
      <c r="AH5925">
        <v>64.392646292822306</v>
      </c>
      <c r="AI5925">
        <v>90.897339069539299</v>
      </c>
      <c r="AJ5925">
        <v>92.626256280736001</v>
      </c>
      <c r="AK5925">
        <v>64.468256816672906</v>
      </c>
      <c r="AL5925">
        <v>78.393578177044304</v>
      </c>
      <c r="AM5925">
        <v>95.702187677105798</v>
      </c>
      <c r="AN5925">
        <v>0.99999993741497195</v>
      </c>
    </row>
    <row r="5926" spans="1:40" x14ac:dyDescent="0.25">
      <c r="A5926" t="str">
        <f>"20190304154916178"</f>
        <v>20190304154916178</v>
      </c>
      <c r="B5926" t="str">
        <f>"1551685756172767"</f>
        <v>1551685756172767</v>
      </c>
      <c r="C5926" t="s">
        <v>40</v>
      </c>
      <c r="D5926">
        <v>4.0847879999999996</v>
      </c>
      <c r="E5926">
        <v>0.52043989999999996</v>
      </c>
      <c r="F5926" t="s">
        <v>85</v>
      </c>
      <c r="G5926">
        <v>-418.82369999999997</v>
      </c>
      <c r="H5926">
        <v>0.122683</v>
      </c>
      <c r="I5926">
        <v>0.48934939999999999</v>
      </c>
      <c r="J5926">
        <v>-422.31150000000002</v>
      </c>
      <c r="K5926">
        <v>1.110581</v>
      </c>
      <c r="L5926">
        <v>64.576629999999994</v>
      </c>
      <c r="M5926">
        <v>9.9827340000000001E-3</v>
      </c>
      <c r="N5926">
        <v>-1.0343730000000001E-2</v>
      </c>
      <c r="O5926">
        <v>-0.99989680000000003</v>
      </c>
      <c r="P5926">
        <v>0.10736279999999999</v>
      </c>
      <c r="Q5926">
        <v>0.19037319999999999</v>
      </c>
      <c r="R5926">
        <v>-0.97582340000000001</v>
      </c>
      <c r="S5926">
        <v>0.16622919999999999</v>
      </c>
      <c r="T5926">
        <v>-4.7045950000000003E-2</v>
      </c>
      <c r="U5926">
        <v>-3.0656430000000001</v>
      </c>
      <c r="V5926">
        <v>-9.7611310000000007E-2</v>
      </c>
      <c r="W5926">
        <v>0.20046929999999999</v>
      </c>
      <c r="X5926">
        <v>0.9748251</v>
      </c>
      <c r="Y5926">
        <v>-4.4165900000000001E-2</v>
      </c>
      <c r="Z5926">
        <v>4.9839580000000001E-3</v>
      </c>
      <c r="AA5926">
        <v>0.99901180000000001</v>
      </c>
      <c r="AB5926">
        <v>29</v>
      </c>
      <c r="AC5926">
        <v>3.48780000000004</v>
      </c>
      <c r="AD5926">
        <v>-0.98789799999999905</v>
      </c>
      <c r="AE5926">
        <v>-64.0872806</v>
      </c>
      <c r="AF5926">
        <v>-2.84715123016128</v>
      </c>
      <c r="AG5926">
        <v>-0.98789799999999905</v>
      </c>
      <c r="AH5926">
        <v>64.103719251941797</v>
      </c>
      <c r="AI5926">
        <v>90.882041995000804</v>
      </c>
      <c r="AJ5926">
        <v>92.543106869795693</v>
      </c>
      <c r="AK5926">
        <v>64.174520134688905</v>
      </c>
      <c r="AL5926">
        <v>78.435595564346499</v>
      </c>
      <c r="AM5926">
        <v>95.718088363541597</v>
      </c>
      <c r="AN5926">
        <v>0.999999941836206</v>
      </c>
    </row>
    <row r="5927" spans="1:40" x14ac:dyDescent="0.25">
      <c r="A5927" t="str">
        <f>"20190304154916195"</f>
        <v>20190304154916195</v>
      </c>
      <c r="B5927" t="str">
        <f>"1551685756183499"</f>
        <v>1551685756183499</v>
      </c>
      <c r="C5927" t="s">
        <v>40</v>
      </c>
      <c r="D5927">
        <v>4.0877150000000002</v>
      </c>
      <c r="E5927">
        <v>0.52048609999999995</v>
      </c>
      <c r="F5927" t="s">
        <v>85</v>
      </c>
      <c r="G5927">
        <v>-418.89319999999998</v>
      </c>
      <c r="H5927">
        <v>0.11103929999999999</v>
      </c>
      <c r="I5927">
        <v>0.48864170000000001</v>
      </c>
      <c r="J5927">
        <v>-422.30939999999998</v>
      </c>
      <c r="K5927">
        <v>1.110574</v>
      </c>
      <c r="L5927">
        <v>64.369810000000001</v>
      </c>
      <c r="M5927">
        <v>9.9773759999999996E-3</v>
      </c>
      <c r="N5927">
        <v>-1.0345679999999999E-2</v>
      </c>
      <c r="O5927">
        <v>-0.99989680000000003</v>
      </c>
      <c r="P5927">
        <v>0.10736320000000001</v>
      </c>
      <c r="Q5927">
        <v>0.19023660000000001</v>
      </c>
      <c r="R5927">
        <v>-0.97585</v>
      </c>
      <c r="S5927">
        <v>0.1635132</v>
      </c>
      <c r="T5927">
        <v>-4.781473E-2</v>
      </c>
      <c r="U5927">
        <v>-3.065674</v>
      </c>
      <c r="V5927">
        <v>-9.7614480000000003E-2</v>
      </c>
      <c r="W5927">
        <v>0.20033619999999999</v>
      </c>
      <c r="X5927">
        <v>0.97485219999999995</v>
      </c>
      <c r="Y5927">
        <v>-4.3288149999999997E-2</v>
      </c>
      <c r="Z5927">
        <v>5.2328670000000004E-3</v>
      </c>
      <c r="AA5927">
        <v>0.99904890000000002</v>
      </c>
      <c r="AB5927">
        <v>29</v>
      </c>
      <c r="AC5927">
        <v>3.4161999999999999</v>
      </c>
      <c r="AD5927">
        <v>-0.9995347</v>
      </c>
      <c r="AE5927">
        <v>-63.881168299999999</v>
      </c>
      <c r="AF5927">
        <v>-2.7779512893490899</v>
      </c>
      <c r="AG5927">
        <v>-0.9995347</v>
      </c>
      <c r="AH5927">
        <v>63.896476152173797</v>
      </c>
      <c r="AI5927">
        <v>90.895361041588004</v>
      </c>
      <c r="AJ5927">
        <v>92.489412970531504</v>
      </c>
      <c r="AK5927">
        <v>63.9646445127917</v>
      </c>
      <c r="AL5927">
        <v>78.443380174077305</v>
      </c>
      <c r="AM5927">
        <v>95.718114922752505</v>
      </c>
      <c r="AN5927">
        <v>0.99999999579047505</v>
      </c>
    </row>
    <row r="5928" spans="1:40" x14ac:dyDescent="0.25">
      <c r="A5928" t="str">
        <f>"20190304154916210"</f>
        <v>20190304154916210</v>
      </c>
      <c r="B5928" t="str">
        <f>"1551685756203019"</f>
        <v>1551685756203019</v>
      </c>
      <c r="C5928" t="s">
        <v>40</v>
      </c>
      <c r="D5928">
        <v>4.1243259999999999</v>
      </c>
      <c r="E5928">
        <v>0.52072689999999999</v>
      </c>
      <c r="F5928" t="s">
        <v>85</v>
      </c>
      <c r="G5928">
        <v>-418.90410000000003</v>
      </c>
      <c r="H5928">
        <v>0.1052022</v>
      </c>
      <c r="I5928">
        <v>0.4885311</v>
      </c>
      <c r="J5928">
        <v>-422.3073</v>
      </c>
      <c r="K5928">
        <v>1.110576</v>
      </c>
      <c r="L5928">
        <v>64.152190000000004</v>
      </c>
      <c r="M5928">
        <v>9.9714109999999995E-3</v>
      </c>
      <c r="N5928">
        <v>-1.0347749999999999E-2</v>
      </c>
      <c r="O5928">
        <v>-0.99989680000000003</v>
      </c>
      <c r="P5928">
        <v>0.1076323</v>
      </c>
      <c r="Q5928">
        <v>0.189744</v>
      </c>
      <c r="R5928">
        <v>-0.97591649999999996</v>
      </c>
      <c r="S5928">
        <v>0.1634216</v>
      </c>
      <c r="T5928">
        <v>-4.8249130000000001E-2</v>
      </c>
      <c r="U5928">
        <v>-3.065674</v>
      </c>
      <c r="V5928">
        <v>-9.7887580000000002E-2</v>
      </c>
      <c r="W5928">
        <v>0.19984650000000001</v>
      </c>
      <c r="X5928">
        <v>0.97492529999999999</v>
      </c>
      <c r="Y5928">
        <v>-4.3264289999999997E-2</v>
      </c>
      <c r="Z5928">
        <v>5.3722919999999999E-3</v>
      </c>
      <c r="AA5928">
        <v>0.99904919999999997</v>
      </c>
      <c r="AB5928">
        <v>29</v>
      </c>
      <c r="AC5928">
        <v>3.4031999999999698</v>
      </c>
      <c r="AD5928">
        <v>-1.0053738000000001</v>
      </c>
      <c r="AE5928">
        <v>-63.663658900000001</v>
      </c>
      <c r="AF5928">
        <v>-2.76749212077672</v>
      </c>
      <c r="AG5928">
        <v>-1.0053738000000001</v>
      </c>
      <c r="AH5928">
        <v>63.678594700237298</v>
      </c>
      <c r="AI5928">
        <v>90.903672260099995</v>
      </c>
      <c r="AJ5928">
        <v>92.488526940719694</v>
      </c>
      <c r="AK5928">
        <v>63.746632947265397</v>
      </c>
      <c r="AL5928">
        <v>78.472016746917603</v>
      </c>
      <c r="AM5928">
        <v>95.733579197562804</v>
      </c>
      <c r="AN5928">
        <v>0.99999997123029705</v>
      </c>
    </row>
    <row r="5929" spans="1:40" x14ac:dyDescent="0.25">
      <c r="A5929" t="str">
        <f>"20190304154916228"</f>
        <v>20190304154916228</v>
      </c>
      <c r="B5929" t="str">
        <f>"1551685756223516"</f>
        <v>1551685756223516</v>
      </c>
      <c r="C5929" t="s">
        <v>40</v>
      </c>
      <c r="D5929">
        <v>4.0921640000000004</v>
      </c>
      <c r="E5929">
        <v>0.5210572</v>
      </c>
      <c r="F5929" t="s">
        <v>45</v>
      </c>
      <c r="G5929">
        <v>-418.47570000000002</v>
      </c>
      <c r="H5929">
        <v>-0.05</v>
      </c>
      <c r="I5929">
        <v>-8.3355409999999992</v>
      </c>
      <c r="J5929">
        <v>-422.30520000000001</v>
      </c>
      <c r="K5929">
        <v>1.110574</v>
      </c>
      <c r="L5929">
        <v>63.944270000000003</v>
      </c>
      <c r="M5929">
        <v>9.9667790000000003E-3</v>
      </c>
      <c r="N5929">
        <v>-1.0349789999999999E-2</v>
      </c>
      <c r="O5929">
        <v>-0.99989680000000003</v>
      </c>
      <c r="P5929">
        <v>0.10788209999999999</v>
      </c>
      <c r="Q5929">
        <v>0.1895308</v>
      </c>
      <c r="R5929">
        <v>-0.97593030000000003</v>
      </c>
      <c r="S5929">
        <v>0.16204830000000001</v>
      </c>
      <c r="T5929">
        <v>-4.9083950000000001E-2</v>
      </c>
      <c r="U5929">
        <v>-3.0657040000000002</v>
      </c>
      <c r="V5929">
        <v>-9.8141049999999994E-2</v>
      </c>
      <c r="W5929">
        <v>0.1996358</v>
      </c>
      <c r="X5929">
        <v>0.974943</v>
      </c>
      <c r="Y5929">
        <v>-4.2822029999999997E-2</v>
      </c>
      <c r="Z5929">
        <v>5.6423209999999996E-3</v>
      </c>
      <c r="AA5929">
        <v>0.99906680000000003</v>
      </c>
      <c r="AB5929">
        <v>29</v>
      </c>
      <c r="AC5929">
        <v>3.8294999999999901</v>
      </c>
      <c r="AD5929">
        <v>-1.160574</v>
      </c>
      <c r="AE5929">
        <v>-72.279810999999995</v>
      </c>
      <c r="AF5929">
        <v>-3.1080752325016201</v>
      </c>
      <c r="AG5929">
        <v>-1.160574</v>
      </c>
      <c r="AH5929">
        <v>72.295803414097804</v>
      </c>
      <c r="AI5929">
        <v>90.918849068225398</v>
      </c>
      <c r="AJ5929">
        <v>92.461692040640699</v>
      </c>
      <c r="AK5929">
        <v>72.371888568353896</v>
      </c>
      <c r="AL5929">
        <v>78.484337412047395</v>
      </c>
      <c r="AM5929">
        <v>95.748222761986796</v>
      </c>
      <c r="AN5929">
        <v>0.99999998579287097</v>
      </c>
    </row>
    <row r="5930" spans="1:40" x14ac:dyDescent="0.25">
      <c r="A5930" t="str">
        <f>"20190304154916245"</f>
        <v>20190304154916245</v>
      </c>
      <c r="B5930" t="str">
        <f>"1551685756233275"</f>
        <v>1551685756233275</v>
      </c>
      <c r="C5930" t="s">
        <v>40</v>
      </c>
      <c r="D5930">
        <v>4.0910010000000003</v>
      </c>
      <c r="E5930">
        <v>0.5211964</v>
      </c>
      <c r="F5930" t="s">
        <v>85</v>
      </c>
      <c r="G5930">
        <v>-418.99709999999999</v>
      </c>
      <c r="H5930">
        <v>0.10681110000000001</v>
      </c>
      <c r="I5930">
        <v>0.48758509999999999</v>
      </c>
      <c r="J5930">
        <v>-422.30290000000002</v>
      </c>
      <c r="K5930">
        <v>1.110574</v>
      </c>
      <c r="L5930">
        <v>63.714869999999998</v>
      </c>
      <c r="M5930">
        <v>9.9632190000000006E-3</v>
      </c>
      <c r="N5930">
        <v>-1.035526E-2</v>
      </c>
      <c r="O5930">
        <v>-0.99989680000000003</v>
      </c>
      <c r="P5930">
        <v>0.10790039999999999</v>
      </c>
      <c r="Q5930">
        <v>0.1890155</v>
      </c>
      <c r="R5930">
        <v>-0.97602809999999995</v>
      </c>
      <c r="S5930">
        <v>0.15982060000000001</v>
      </c>
      <c r="T5930">
        <v>-4.8495290000000003E-2</v>
      </c>
      <c r="U5930">
        <v>-3.0657350000000001</v>
      </c>
      <c r="V5930">
        <v>-9.8162100000000002E-2</v>
      </c>
      <c r="W5930">
        <v>0.19912740000000001</v>
      </c>
      <c r="X5930">
        <v>0.97504480000000004</v>
      </c>
      <c r="Y5930">
        <v>-4.210125E-2</v>
      </c>
      <c r="Z5930">
        <v>5.4454689999999997E-3</v>
      </c>
      <c r="AA5930">
        <v>0.9990985</v>
      </c>
      <c r="AB5930">
        <v>29</v>
      </c>
      <c r="AC5930">
        <v>3.3058000000000298</v>
      </c>
      <c r="AD5930">
        <v>-1.0037628999999999</v>
      </c>
      <c r="AE5930">
        <v>-63.227284899999901</v>
      </c>
      <c r="AF5930">
        <v>-2.6749825325432002</v>
      </c>
      <c r="AG5930">
        <v>-1.0037628999999999</v>
      </c>
      <c r="AH5930">
        <v>63.241189247663499</v>
      </c>
      <c r="AI5930">
        <v>90.908508900592807</v>
      </c>
      <c r="AJ5930">
        <v>92.422059189895705</v>
      </c>
      <c r="AK5930">
        <v>63.305695549196997</v>
      </c>
      <c r="AL5930">
        <v>78.514062902873206</v>
      </c>
      <c r="AM5930">
        <v>95.748851170400698</v>
      </c>
      <c r="AN5930">
        <v>0.99999994065710296</v>
      </c>
    </row>
    <row r="5931" spans="1:40" x14ac:dyDescent="0.25">
      <c r="A5931" t="str">
        <f>"20190304154916267"</f>
        <v>20190304154916267</v>
      </c>
      <c r="B5931" t="str">
        <f>"1551685756263259"</f>
        <v>1551685756263259</v>
      </c>
      <c r="C5931" t="s">
        <v>40</v>
      </c>
      <c r="D5931">
        <v>4.1145769999999997</v>
      </c>
      <c r="E5931">
        <v>0.52147379999999999</v>
      </c>
      <c r="F5931" t="s">
        <v>45</v>
      </c>
      <c r="G5931">
        <v>-418.58749999999998</v>
      </c>
      <c r="H5931">
        <v>-0.05</v>
      </c>
      <c r="I5931">
        <v>-7.993881</v>
      </c>
      <c r="J5931">
        <v>-422.30009999999999</v>
      </c>
      <c r="K5931">
        <v>1.1105750000000001</v>
      </c>
      <c r="L5931">
        <v>63.437379999999997</v>
      </c>
      <c r="M5931">
        <v>9.9612989999999998E-3</v>
      </c>
      <c r="N5931">
        <v>-1.036576E-2</v>
      </c>
      <c r="O5931">
        <v>-0.99989680000000003</v>
      </c>
      <c r="P5931">
        <v>0.1078228</v>
      </c>
      <c r="Q5931">
        <v>0.18850929999999999</v>
      </c>
      <c r="R5931">
        <v>-0.97613479999999997</v>
      </c>
      <c r="S5931">
        <v>0.15884400000000001</v>
      </c>
      <c r="T5931">
        <v>-4.961753E-2</v>
      </c>
      <c r="U5931">
        <v>-3.0657350000000001</v>
      </c>
      <c r="V5931">
        <v>-9.8085220000000001E-2</v>
      </c>
      <c r="W5931">
        <v>0.198632</v>
      </c>
      <c r="X5931">
        <v>0.97515359999999995</v>
      </c>
      <c r="Y5931">
        <v>-4.1785620000000002E-2</v>
      </c>
      <c r="Z5931">
        <v>5.800721E-3</v>
      </c>
      <c r="AA5931">
        <v>0.99910969999999999</v>
      </c>
      <c r="AB5931">
        <v>29</v>
      </c>
      <c r="AC5931">
        <v>3.7126000000000001</v>
      </c>
      <c r="AD5931">
        <v>-1.1605749999999999</v>
      </c>
      <c r="AE5931">
        <v>-71.431260999999907</v>
      </c>
      <c r="AF5931">
        <v>-3.0000396878105602</v>
      </c>
      <c r="AG5931">
        <v>-1.1605749999999999</v>
      </c>
      <c r="AH5931">
        <v>71.445891438637204</v>
      </c>
      <c r="AI5931">
        <v>90.929817940616402</v>
      </c>
      <c r="AJ5931">
        <v>92.404458688917202</v>
      </c>
      <c r="AK5931">
        <v>71.518267428123593</v>
      </c>
      <c r="AL5931">
        <v>78.543026055519107</v>
      </c>
      <c r="AM5931">
        <v>95.743742198302002</v>
      </c>
      <c r="AN5931">
        <v>0.99999996269970304</v>
      </c>
    </row>
    <row r="5932" spans="1:40" x14ac:dyDescent="0.25">
      <c r="A5932" t="str">
        <f>"20190304154916290"</f>
        <v>20190304154916290</v>
      </c>
      <c r="B5932" t="str">
        <f>"1551685756282782"</f>
        <v>1551685756282782</v>
      </c>
      <c r="C5932" t="s">
        <v>40</v>
      </c>
      <c r="D5932">
        <v>4.1165750000000001</v>
      </c>
      <c r="E5932">
        <v>0.52162370000000002</v>
      </c>
      <c r="F5932" t="s">
        <v>45</v>
      </c>
      <c r="G5932">
        <v>-418.7063</v>
      </c>
      <c r="H5932">
        <v>-0.05</v>
      </c>
      <c r="I5932">
        <v>-7.1345369999999999</v>
      </c>
      <c r="J5932">
        <v>-422.29719999999998</v>
      </c>
      <c r="K5932">
        <v>1.1105769999999999</v>
      </c>
      <c r="L5932">
        <v>63.140230000000003</v>
      </c>
      <c r="M5932">
        <v>9.9619429999999991E-3</v>
      </c>
      <c r="N5932">
        <v>-1.0378760000000001E-2</v>
      </c>
      <c r="O5932">
        <v>-0.99989680000000003</v>
      </c>
      <c r="P5932">
        <v>0.107874</v>
      </c>
      <c r="Q5932">
        <v>0.1885484</v>
      </c>
      <c r="R5932">
        <v>-0.97612169999999998</v>
      </c>
      <c r="S5932">
        <v>0.15612789999999999</v>
      </c>
      <c r="T5932">
        <v>-5.0418379999999999E-2</v>
      </c>
      <c r="U5932">
        <v>-3.0658259999999999</v>
      </c>
      <c r="V5932">
        <v>-9.8136249999999994E-2</v>
      </c>
      <c r="W5932">
        <v>0.19868350000000001</v>
      </c>
      <c r="X5932">
        <v>0.97513799999999995</v>
      </c>
      <c r="Y5932">
        <v>-4.0900609999999997E-2</v>
      </c>
      <c r="Z5932">
        <v>6.0487070000000004E-3</v>
      </c>
      <c r="AA5932">
        <v>0.9991449</v>
      </c>
      <c r="AB5932">
        <v>29</v>
      </c>
      <c r="AC5932">
        <v>3.5908999999999698</v>
      </c>
      <c r="AD5932">
        <v>-1.160577</v>
      </c>
      <c r="AE5932">
        <v>-70.274766999999997</v>
      </c>
      <c r="AF5932">
        <v>-2.8898249444221298</v>
      </c>
      <c r="AG5932">
        <v>-1.160577</v>
      </c>
      <c r="AH5932">
        <v>70.287933334132305</v>
      </c>
      <c r="AI5932">
        <v>90.945169441177896</v>
      </c>
      <c r="AJ5932">
        <v>92.354338296049207</v>
      </c>
      <c r="AK5932">
        <v>70.356887364107905</v>
      </c>
      <c r="AL5932">
        <v>78.540015608068998</v>
      </c>
      <c r="AM5932">
        <v>95.746801771817204</v>
      </c>
      <c r="AN5932">
        <v>0.99999998789015598</v>
      </c>
    </row>
    <row r="5933" spans="1:40" x14ac:dyDescent="0.25">
      <c r="A5933" t="str">
        <f>"20190304154916305"</f>
        <v>20190304154916305</v>
      </c>
      <c r="B5933" t="str">
        <f>"1551685756293515"</f>
        <v>1551685756293515</v>
      </c>
      <c r="C5933" t="s">
        <v>40</v>
      </c>
      <c r="D5933">
        <v>4.1063280000000004</v>
      </c>
      <c r="E5933">
        <v>0.52154820000000002</v>
      </c>
      <c r="F5933" t="s">
        <v>45</v>
      </c>
      <c r="G5933">
        <v>-418.68400000000003</v>
      </c>
      <c r="H5933">
        <v>-0.05</v>
      </c>
      <c r="I5933">
        <v>-8.3847810000000003</v>
      </c>
      <c r="J5933">
        <v>-422.29520000000002</v>
      </c>
      <c r="K5933">
        <v>1.1105780000000001</v>
      </c>
      <c r="L5933">
        <v>62.943210000000001</v>
      </c>
      <c r="M5933">
        <v>9.9636700000000009E-3</v>
      </c>
      <c r="N5933">
        <v>-1.03871E-2</v>
      </c>
      <c r="O5933">
        <v>-0.99989649999999997</v>
      </c>
      <c r="P5933">
        <v>0.108112</v>
      </c>
      <c r="Q5933">
        <v>0.1886227</v>
      </c>
      <c r="R5933">
        <v>-0.97608099999999998</v>
      </c>
      <c r="S5933">
        <v>0.15487670000000001</v>
      </c>
      <c r="T5933">
        <v>-4.9747590000000001E-2</v>
      </c>
      <c r="U5933">
        <v>-3.065887</v>
      </c>
      <c r="V5933">
        <v>-9.8373119999999994E-2</v>
      </c>
      <c r="W5933">
        <v>0.19876569999999999</v>
      </c>
      <c r="X5933">
        <v>0.9750974</v>
      </c>
      <c r="Y5933">
        <v>-4.0491319999999997E-2</v>
      </c>
      <c r="Z5933">
        <v>5.821845E-3</v>
      </c>
      <c r="AA5933">
        <v>0.99916289999999996</v>
      </c>
      <c r="AB5933">
        <v>29</v>
      </c>
      <c r="AC5933">
        <v>3.61119999999999</v>
      </c>
      <c r="AD5933">
        <v>-1.1605780000000001</v>
      </c>
      <c r="AE5933">
        <v>-71.327990999999997</v>
      </c>
      <c r="AF5933">
        <v>-2.8995282082346199</v>
      </c>
      <c r="AG5933">
        <v>-1.1605780000000001</v>
      </c>
      <c r="AH5933">
        <v>71.341593658938393</v>
      </c>
      <c r="AI5933">
        <v>90.931231200698605</v>
      </c>
      <c r="AJ5933">
        <v>92.327384866611496</v>
      </c>
      <c r="AK5933">
        <v>71.409923616550003</v>
      </c>
      <c r="AL5933">
        <v>78.535210270309804</v>
      </c>
      <c r="AM5933">
        <v>95.760817804010799</v>
      </c>
      <c r="AN5933">
        <v>1.0000000068608901</v>
      </c>
    </row>
    <row r="5934" spans="1:40" x14ac:dyDescent="0.25">
      <c r="A5934" t="str">
        <f>"20190304154916321"</f>
        <v>20190304154916321</v>
      </c>
      <c r="B5934" t="str">
        <f>"1551685756313034"</f>
        <v>1551685756313034</v>
      </c>
      <c r="C5934" t="s">
        <v>40</v>
      </c>
      <c r="D5934">
        <v>4.1255559999999996</v>
      </c>
      <c r="E5934">
        <v>0.52156349999999996</v>
      </c>
      <c r="F5934" t="s">
        <v>45</v>
      </c>
      <c r="G5934">
        <v>-418.6678</v>
      </c>
      <c r="H5934">
        <v>-0.05</v>
      </c>
      <c r="I5934">
        <v>-8.2463230000000003</v>
      </c>
      <c r="J5934">
        <v>-422.29320000000001</v>
      </c>
      <c r="K5934">
        <v>1.110582</v>
      </c>
      <c r="L5934">
        <v>62.734380000000002</v>
      </c>
      <c r="M5934">
        <v>9.9660249999999999E-3</v>
      </c>
      <c r="N5934">
        <v>-1.0395639999999999E-2</v>
      </c>
      <c r="O5934">
        <v>-0.99989649999999997</v>
      </c>
      <c r="P5934">
        <v>0.1081396</v>
      </c>
      <c r="Q5934">
        <v>0.1884448</v>
      </c>
      <c r="R5934">
        <v>-0.97611219999999999</v>
      </c>
      <c r="S5934">
        <v>0.15621949999999901</v>
      </c>
      <c r="T5934">
        <v>-4.9982070000000003E-2</v>
      </c>
      <c r="U5934">
        <v>-3.065887</v>
      </c>
      <c r="V5934">
        <v>-9.8397949999999998E-2</v>
      </c>
      <c r="W5934">
        <v>0.19859660000000001</v>
      </c>
      <c r="X5934">
        <v>0.97512940000000004</v>
      </c>
      <c r="Y5934">
        <v>-4.0925330000000003E-2</v>
      </c>
      <c r="Z5934">
        <v>5.8893740000000002E-3</v>
      </c>
      <c r="AA5934">
        <v>0.9991449</v>
      </c>
      <c r="AB5934">
        <v>29</v>
      </c>
      <c r="AC5934">
        <v>3.6254000000000102</v>
      </c>
      <c r="AD5934">
        <v>-1.160582</v>
      </c>
      <c r="AE5934">
        <v>-70.980703000000005</v>
      </c>
      <c r="AF5934">
        <v>-2.9170085735485198</v>
      </c>
      <c r="AG5934">
        <v>-1.160582</v>
      </c>
      <c r="AH5934">
        <v>70.994379780823394</v>
      </c>
      <c r="AI5934">
        <v>90.935771026066803</v>
      </c>
      <c r="AJ5934">
        <v>92.352838690285296</v>
      </c>
      <c r="AK5934">
        <v>71.063759048200197</v>
      </c>
      <c r="AL5934">
        <v>78.545096643417097</v>
      </c>
      <c r="AM5934">
        <v>95.762074264461205</v>
      </c>
      <c r="AN5934">
        <v>1.00000005642005</v>
      </c>
    </row>
    <row r="5935" spans="1:40" x14ac:dyDescent="0.25">
      <c r="A5935" t="str">
        <f>"20190304154916335"</f>
        <v>20190304154916335</v>
      </c>
      <c r="B5935" t="str">
        <f>"1551685756322794"</f>
        <v>1551685756322794</v>
      </c>
      <c r="C5935" t="s">
        <v>40</v>
      </c>
      <c r="D5935">
        <v>4.1318699999999904</v>
      </c>
      <c r="E5935">
        <v>0.52156119999999995</v>
      </c>
      <c r="F5935" t="s">
        <v>45</v>
      </c>
      <c r="G5935">
        <v>-418.71960000000001</v>
      </c>
      <c r="H5935">
        <v>-0.05</v>
      </c>
      <c r="I5935">
        <v>-7.4948729999999903</v>
      </c>
      <c r="J5935">
        <v>-422.29140000000001</v>
      </c>
      <c r="K5935">
        <v>1.1105750000000001</v>
      </c>
      <c r="L5935">
        <v>62.558259999999997</v>
      </c>
      <c r="M5935">
        <v>9.9682859999999998E-3</v>
      </c>
      <c r="N5935">
        <v>-1.0402649999999999E-2</v>
      </c>
      <c r="O5935">
        <v>-0.99989649999999997</v>
      </c>
      <c r="P5935">
        <v>0.1083992</v>
      </c>
      <c r="Q5935">
        <v>0.18853919999999999</v>
      </c>
      <c r="R5935">
        <v>-0.97606530000000002</v>
      </c>
      <c r="S5935">
        <v>0.1560059</v>
      </c>
      <c r="T5935">
        <v>-5.0666210000000003E-2</v>
      </c>
      <c r="U5935">
        <v>-3.0659179999999999</v>
      </c>
      <c r="V5935">
        <v>-9.8656270000000004E-2</v>
      </c>
      <c r="W5935">
        <v>0.19869700000000001</v>
      </c>
      <c r="X5935">
        <v>0.97508280000000003</v>
      </c>
      <c r="Y5935">
        <v>-4.0853029999999999E-2</v>
      </c>
      <c r="Z5935">
        <v>6.1050790000000002E-3</v>
      </c>
      <c r="AA5935">
        <v>0.99914650000000005</v>
      </c>
      <c r="AB5935">
        <v>29</v>
      </c>
      <c r="AC5935">
        <v>3.5717999999999899</v>
      </c>
      <c r="AD5935">
        <v>-1.1605749999999999</v>
      </c>
      <c r="AE5935">
        <v>-70.053133000000003</v>
      </c>
      <c r="AF5935">
        <v>-2.8724889113060001</v>
      </c>
      <c r="AG5935">
        <v>-1.1605749999999999</v>
      </c>
      <c r="AH5935">
        <v>70.066077690559496</v>
      </c>
      <c r="AI5935">
        <v>90.948164580542596</v>
      </c>
      <c r="AJ5935">
        <v>92.347632167486395</v>
      </c>
      <c r="AK5935">
        <v>70.134537638853203</v>
      </c>
      <c r="AL5935">
        <v>78.539226661326694</v>
      </c>
      <c r="AM5935">
        <v>95.777373235153206</v>
      </c>
      <c r="AN5935">
        <v>1.0000000121375701</v>
      </c>
    </row>
    <row r="5936" spans="1:40" x14ac:dyDescent="0.25">
      <c r="A5936" t="str">
        <f>"20190304154916356"</f>
        <v>20190304154916356</v>
      </c>
      <c r="B5936" t="str">
        <f>"1551685756352874"</f>
        <v>1551685756352874</v>
      </c>
      <c r="C5936" t="s">
        <v>40</v>
      </c>
      <c r="D5936">
        <v>4.1399290000000004</v>
      </c>
      <c r="E5936">
        <v>0.52154800000000001</v>
      </c>
      <c r="F5936" t="s">
        <v>45</v>
      </c>
      <c r="G5936">
        <v>-418.6678</v>
      </c>
      <c r="H5936">
        <v>-0.05</v>
      </c>
      <c r="I5936">
        <v>-8.2357940000000003</v>
      </c>
      <c r="J5936">
        <v>-422.28859999999997</v>
      </c>
      <c r="K5936">
        <v>1.110573</v>
      </c>
      <c r="L5936">
        <v>62.286499999999997</v>
      </c>
      <c r="M5936">
        <v>9.9720280000000008E-3</v>
      </c>
      <c r="N5936">
        <v>-1.041309E-2</v>
      </c>
      <c r="O5936">
        <v>-0.99989629999999996</v>
      </c>
      <c r="P5936">
        <v>0.10880330000000001</v>
      </c>
      <c r="Q5936">
        <v>0.18840519999999999</v>
      </c>
      <c r="R5936">
        <v>-0.97604610000000003</v>
      </c>
      <c r="S5936">
        <v>0.15692139999999999</v>
      </c>
      <c r="T5936">
        <v>-5.0260659999999999E-2</v>
      </c>
      <c r="U5936">
        <v>-3.0658569999999998</v>
      </c>
      <c r="V5936">
        <v>-9.9057270000000003E-2</v>
      </c>
      <c r="W5936">
        <v>0.19857320000000001</v>
      </c>
      <c r="X5936">
        <v>0.97506740000000003</v>
      </c>
      <c r="Y5936">
        <v>-4.1147910000000003E-2</v>
      </c>
      <c r="Z5936">
        <v>5.9626749999999997E-3</v>
      </c>
      <c r="AA5936">
        <v>0.99913529999999995</v>
      </c>
      <c r="AB5936">
        <v>29</v>
      </c>
      <c r="AC5936">
        <v>3.6207999999999698</v>
      </c>
      <c r="AD5936">
        <v>-1.1605729999999901</v>
      </c>
      <c r="AE5936">
        <v>-70.522293999999903</v>
      </c>
      <c r="AF5936">
        <v>-2.91654389449296</v>
      </c>
      <c r="AG5936">
        <v>-1.1605729999999901</v>
      </c>
      <c r="AH5936">
        <v>70.5358429954738</v>
      </c>
      <c r="AI5936">
        <v>90.941835762320906</v>
      </c>
      <c r="AJ5936">
        <v>92.367739768258403</v>
      </c>
      <c r="AK5936">
        <v>70.605653492188296</v>
      </c>
      <c r="AL5936">
        <v>78.546464494494501</v>
      </c>
      <c r="AM5936">
        <v>95.800787224211902</v>
      </c>
      <c r="AN5936">
        <v>1.00000004652042</v>
      </c>
    </row>
    <row r="5937" spans="1:40" x14ac:dyDescent="0.25">
      <c r="A5937" t="str">
        <f>"20190304154916379"</f>
        <v>20190304154916379</v>
      </c>
      <c r="B5937" t="str">
        <f>"1551685756373370"</f>
        <v>1551685756373370</v>
      </c>
      <c r="C5937" t="s">
        <v>40</v>
      </c>
      <c r="D5937">
        <v>4.1587839999999998</v>
      </c>
      <c r="E5937">
        <v>0.52147219999999905</v>
      </c>
      <c r="F5937" t="s">
        <v>45</v>
      </c>
      <c r="G5937">
        <v>-418.65910000000002</v>
      </c>
      <c r="H5937">
        <v>-0.05</v>
      </c>
      <c r="I5937">
        <v>-8.2795869999999994</v>
      </c>
      <c r="J5937">
        <v>-422.28570000000002</v>
      </c>
      <c r="K5937">
        <v>1.1105670000000001</v>
      </c>
      <c r="L5937">
        <v>61.990690000000001</v>
      </c>
      <c r="M5937">
        <v>9.9761069999999997E-3</v>
      </c>
      <c r="N5937">
        <v>-1.042388E-2</v>
      </c>
      <c r="O5937">
        <v>-0.99989600000000001</v>
      </c>
      <c r="P5937">
        <v>0.1098267</v>
      </c>
      <c r="Q5937">
        <v>0.1879422</v>
      </c>
      <c r="R5937">
        <v>-0.97602069999999996</v>
      </c>
      <c r="S5937">
        <v>0.157684299999999</v>
      </c>
      <c r="T5937">
        <v>-5.0421479999999998E-2</v>
      </c>
      <c r="U5937">
        <v>-3.0657649999999999</v>
      </c>
      <c r="V5937">
        <v>-0.1000764</v>
      </c>
      <c r="W5937">
        <v>0.1981203</v>
      </c>
      <c r="X5937">
        <v>0.97505540000000002</v>
      </c>
      <c r="Y5937">
        <v>-4.1393270000000003E-2</v>
      </c>
      <c r="Z5937">
        <v>6.004578E-3</v>
      </c>
      <c r="AA5937">
        <v>0.99912489999999998</v>
      </c>
      <c r="AB5937">
        <v>29</v>
      </c>
      <c r="AC5937">
        <v>3.6265999999999901</v>
      </c>
      <c r="AD5937">
        <v>-1.1605669999999999</v>
      </c>
      <c r="AE5937">
        <v>-70.270276999999993</v>
      </c>
      <c r="AF5937">
        <v>-2.9245620726660202</v>
      </c>
      <c r="AG5937">
        <v>-1.1605669999999999</v>
      </c>
      <c r="AH5937">
        <v>70.283840683661097</v>
      </c>
      <c r="AI5937">
        <v>90.945196945988002</v>
      </c>
      <c r="AJ5937">
        <v>92.382744768333495</v>
      </c>
      <c r="AK5937">
        <v>70.354233990035198</v>
      </c>
      <c r="AL5937">
        <v>78.572939065162004</v>
      </c>
      <c r="AM5937">
        <v>95.860125794097698</v>
      </c>
      <c r="AN5937">
        <v>0.99999998608910501</v>
      </c>
    </row>
    <row r="5938" spans="1:40" x14ac:dyDescent="0.25">
      <c r="A5938" t="str">
        <f>"20190304154916394"</f>
        <v>20190304154916394</v>
      </c>
      <c r="B5938" t="str">
        <f>"1551685756383131"</f>
        <v>1551685756383131</v>
      </c>
      <c r="C5938" t="s">
        <v>40</v>
      </c>
      <c r="D5938">
        <v>4.1528749999999999</v>
      </c>
      <c r="E5938">
        <v>0.52144440000000003</v>
      </c>
      <c r="F5938" t="s">
        <v>45</v>
      </c>
      <c r="G5938">
        <v>-418.6902</v>
      </c>
      <c r="H5938">
        <v>-0.05</v>
      </c>
      <c r="I5938">
        <v>-6.361237</v>
      </c>
      <c r="J5938">
        <v>-422.28370000000001</v>
      </c>
      <c r="K5938">
        <v>1.110574</v>
      </c>
      <c r="L5938">
        <v>61.791629999999998</v>
      </c>
      <c r="M5938">
        <v>9.9787980000000005E-3</v>
      </c>
      <c r="N5938">
        <v>-1.0430750000000001E-2</v>
      </c>
      <c r="O5938">
        <v>-0.9998958</v>
      </c>
      <c r="P5938">
        <v>0.1097238</v>
      </c>
      <c r="Q5938">
        <v>0.1879179</v>
      </c>
      <c r="R5938">
        <v>-0.97603680000000004</v>
      </c>
      <c r="S5938">
        <v>0.16125490000000001</v>
      </c>
      <c r="T5938">
        <v>-5.2051420000000001E-2</v>
      </c>
      <c r="U5938">
        <v>-3.065582</v>
      </c>
      <c r="V5938">
        <v>-9.9971749999999998E-2</v>
      </c>
      <c r="W5938">
        <v>0.19810259999999999</v>
      </c>
      <c r="X5938">
        <v>0.97506979999999999</v>
      </c>
      <c r="Y5938">
        <v>-4.2553720000000003E-2</v>
      </c>
      <c r="Z5938">
        <v>6.5287349999999999E-3</v>
      </c>
      <c r="AA5938">
        <v>0.99907279999999998</v>
      </c>
      <c r="AB5938">
        <v>29</v>
      </c>
      <c r="AC5938">
        <v>3.5935000000000001</v>
      </c>
      <c r="AD5938">
        <v>-1.160574</v>
      </c>
      <c r="AE5938">
        <v>-68.152867000000001</v>
      </c>
      <c r="AF5938">
        <v>-2.9123581629494701</v>
      </c>
      <c r="AG5938">
        <v>-1.160574</v>
      </c>
      <c r="AH5938">
        <v>68.165621808633702</v>
      </c>
      <c r="AI5938">
        <v>90.974523163577203</v>
      </c>
      <c r="AJ5938">
        <v>92.446459158388393</v>
      </c>
      <c r="AK5938">
        <v>68.237678438209301</v>
      </c>
      <c r="AL5938">
        <v>78.573974481252094</v>
      </c>
      <c r="AM5938">
        <v>95.853954581282395</v>
      </c>
      <c r="AN5938">
        <v>1.0000000528984201</v>
      </c>
    </row>
    <row r="5939" spans="1:40" x14ac:dyDescent="0.25">
      <c r="A5939" t="str">
        <f>"20190304154916412"</f>
        <v>20190304154916412</v>
      </c>
      <c r="B5939" t="str">
        <f>"1551685756403627"</f>
        <v>1551685756403627</v>
      </c>
      <c r="C5939" t="s">
        <v>40</v>
      </c>
      <c r="D5939">
        <v>4.1614979999999999</v>
      </c>
      <c r="E5939">
        <v>0.52144979999999996</v>
      </c>
      <c r="F5939" t="s">
        <v>45</v>
      </c>
      <c r="G5939">
        <v>-418.69990000000001</v>
      </c>
      <c r="H5939">
        <v>-0.05</v>
      </c>
      <c r="I5939">
        <v>-6.5082089999999999</v>
      </c>
      <c r="J5939">
        <v>-422.28140000000002</v>
      </c>
      <c r="K5939">
        <v>1.110573</v>
      </c>
      <c r="L5939">
        <v>61.561860000000003</v>
      </c>
      <c r="M5939">
        <v>9.9818270000000004E-3</v>
      </c>
      <c r="N5939">
        <v>-1.04382E-2</v>
      </c>
      <c r="O5939">
        <v>-0.99989600000000001</v>
      </c>
      <c r="P5939">
        <v>0.110391</v>
      </c>
      <c r="Q5939">
        <v>0.18762709999999999</v>
      </c>
      <c r="R5939">
        <v>-0.97601789999999999</v>
      </c>
      <c r="S5939">
        <v>0.16085820000000001</v>
      </c>
      <c r="T5939">
        <v>-5.209196E-2</v>
      </c>
      <c r="U5939">
        <v>-3.0656129999999999</v>
      </c>
      <c r="V5939">
        <v>-0.100636</v>
      </c>
      <c r="W5939">
        <v>0.1978193</v>
      </c>
      <c r="X5939">
        <v>0.97505889999999995</v>
      </c>
      <c r="Y5939">
        <v>-4.2421239999999999E-2</v>
      </c>
      <c r="Z5939">
        <v>6.5344280000000001E-3</v>
      </c>
      <c r="AA5939">
        <v>0.99907849999999998</v>
      </c>
      <c r="AB5939">
        <v>29</v>
      </c>
      <c r="AC5939">
        <v>3.5815000000000001</v>
      </c>
      <c r="AD5939">
        <v>-1.1605729999999901</v>
      </c>
      <c r="AE5939">
        <v>-68.070068999999904</v>
      </c>
      <c r="AF5939">
        <v>-2.9009801225243801</v>
      </c>
      <c r="AG5939">
        <v>-1.1605729999999901</v>
      </c>
      <c r="AH5939">
        <v>68.082692821267401</v>
      </c>
      <c r="AI5939">
        <v>90.975713905214604</v>
      </c>
      <c r="AJ5939">
        <v>92.439877571184695</v>
      </c>
      <c r="AK5939">
        <v>68.154351857784306</v>
      </c>
      <c r="AL5939">
        <v>78.590533123292005</v>
      </c>
      <c r="AM5939">
        <v>95.892643074318798</v>
      </c>
      <c r="AN5939">
        <v>0.99999996920884904</v>
      </c>
    </row>
    <row r="5940" spans="1:40" x14ac:dyDescent="0.25">
      <c r="A5940" t="str">
        <f>"20190304154916434"</f>
        <v>20190304154916434</v>
      </c>
      <c r="B5940" t="str">
        <f>"1551685756423147"</f>
        <v>1551685756423147</v>
      </c>
      <c r="C5940" t="s">
        <v>40</v>
      </c>
      <c r="D5940">
        <v>4.1833119999999999</v>
      </c>
      <c r="E5940">
        <v>0.5214377</v>
      </c>
      <c r="F5940" t="s">
        <v>45</v>
      </c>
      <c r="G5940">
        <v>-418.70729999999998</v>
      </c>
      <c r="H5940">
        <v>-0.05</v>
      </c>
      <c r="I5940">
        <v>-5.9994509999999996</v>
      </c>
      <c r="J5940">
        <v>-422.27850000000001</v>
      </c>
      <c r="K5940">
        <v>1.1105750000000001</v>
      </c>
      <c r="L5940">
        <v>61.2789</v>
      </c>
      <c r="M5940">
        <v>9.9854579999999991E-3</v>
      </c>
      <c r="N5940">
        <v>-1.044722E-2</v>
      </c>
      <c r="O5940">
        <v>-0.9998956</v>
      </c>
      <c r="P5940">
        <v>0.1106316</v>
      </c>
      <c r="Q5940">
        <v>0.187255</v>
      </c>
      <c r="R5940">
        <v>-0.97606179999999998</v>
      </c>
      <c r="S5940">
        <v>0.16217039999999999</v>
      </c>
      <c r="T5940">
        <v>-5.2659749999999998E-2</v>
      </c>
      <c r="U5940">
        <v>-3.0655209999999999</v>
      </c>
      <c r="V5940">
        <v>-0.1008727</v>
      </c>
      <c r="W5940">
        <v>0.1974561</v>
      </c>
      <c r="X5940">
        <v>0.97510810000000003</v>
      </c>
      <c r="Y5940">
        <v>-4.284549E-2</v>
      </c>
      <c r="Z5940">
        <v>6.7105169999999896E-3</v>
      </c>
      <c r="AA5940">
        <v>0.99905920000000004</v>
      </c>
      <c r="AB5940">
        <v>29</v>
      </c>
      <c r="AC5940">
        <v>3.5712000000000299</v>
      </c>
      <c r="AD5940">
        <v>-1.1605749999999999</v>
      </c>
      <c r="AE5940">
        <v>-67.278351000000001</v>
      </c>
      <c r="AF5940">
        <v>-2.8983201007319801</v>
      </c>
      <c r="AG5940">
        <v>-1.1605749999999999</v>
      </c>
      <c r="AH5940">
        <v>67.290690687783595</v>
      </c>
      <c r="AI5940">
        <v>90.987177866240202</v>
      </c>
      <c r="AJ5940">
        <v>92.466298552797099</v>
      </c>
      <c r="AK5940">
        <v>67.363077772440704</v>
      </c>
      <c r="AL5940">
        <v>78.611762150796295</v>
      </c>
      <c r="AM5940">
        <v>95.906109038601798</v>
      </c>
      <c r="AN5940">
        <v>1.00000000985905</v>
      </c>
    </row>
    <row r="5941" spans="1:40" x14ac:dyDescent="0.25">
      <c r="A5941" t="str">
        <f>"20190304154916456"</f>
        <v>20190304154916456</v>
      </c>
      <c r="B5941" t="str">
        <f>"1551685756453734"</f>
        <v>1551685756453734</v>
      </c>
      <c r="C5941" t="s">
        <v>40</v>
      </c>
      <c r="D5941">
        <v>4.1914110000000004</v>
      </c>
      <c r="E5941">
        <v>0.52144179999999996</v>
      </c>
      <c r="F5941" t="s">
        <v>45</v>
      </c>
      <c r="G5941">
        <v>-418.75189999999998</v>
      </c>
      <c r="H5941">
        <v>-0.05</v>
      </c>
      <c r="I5941">
        <v>-5.1711879999999999</v>
      </c>
      <c r="J5941">
        <v>-422.2756</v>
      </c>
      <c r="K5941">
        <v>1.110579</v>
      </c>
      <c r="L5941">
        <v>60.986539999999998</v>
      </c>
      <c r="M5941">
        <v>9.9891040000000004E-3</v>
      </c>
      <c r="N5941">
        <v>-1.046148E-2</v>
      </c>
      <c r="O5941">
        <v>-0.99989530000000004</v>
      </c>
      <c r="P5941">
        <v>0.11104749999999999</v>
      </c>
      <c r="Q5941">
        <v>0.18671589999999999</v>
      </c>
      <c r="R5941">
        <v>-0.97611800000000004</v>
      </c>
      <c r="S5941">
        <v>0.16268920000000001</v>
      </c>
      <c r="T5941">
        <v>-5.353832E-2</v>
      </c>
      <c r="U5941">
        <v>-3.0653990000000002</v>
      </c>
      <c r="V5941">
        <v>-0.1012844</v>
      </c>
      <c r="W5941">
        <v>0.19693160000000001</v>
      </c>
      <c r="X5941">
        <v>0.97517149999999997</v>
      </c>
      <c r="Y5941">
        <v>-4.3012349999999998E-2</v>
      </c>
      <c r="Z5941">
        <v>6.9829799999999997E-3</v>
      </c>
      <c r="AA5941">
        <v>0.99905010000000005</v>
      </c>
      <c r="AB5941">
        <v>29</v>
      </c>
      <c r="AC5941">
        <v>3.5237000000000198</v>
      </c>
      <c r="AD5941">
        <v>-1.160579</v>
      </c>
      <c r="AE5941">
        <v>-66.157728000000006</v>
      </c>
      <c r="AF5941">
        <v>-2.86175333611919</v>
      </c>
      <c r="AG5941">
        <v>-1.160579</v>
      </c>
      <c r="AH5941">
        <v>66.169321863967895</v>
      </c>
      <c r="AI5941">
        <v>91.003899926948407</v>
      </c>
      <c r="AJ5941">
        <v>92.476438728117103</v>
      </c>
      <c r="AK5941">
        <v>66.241344579570594</v>
      </c>
      <c r="AL5941">
        <v>78.642415796145997</v>
      </c>
      <c r="AM5941">
        <v>95.929659905704895</v>
      </c>
      <c r="AN5941">
        <v>1.00000001958708</v>
      </c>
    </row>
    <row r="5942" spans="1:40" x14ac:dyDescent="0.25">
      <c r="A5942" t="str">
        <f>"20190304154916479"</f>
        <v>20190304154916479</v>
      </c>
      <c r="B5942" t="str">
        <f>"1551685756473256"</f>
        <v>1551685756473256</v>
      </c>
      <c r="C5942" t="s">
        <v>40</v>
      </c>
      <c r="D5942">
        <v>4.2018120000000003</v>
      </c>
      <c r="E5942">
        <v>0.52146680000000001</v>
      </c>
      <c r="F5942" t="s">
        <v>45</v>
      </c>
      <c r="G5942">
        <v>-418.8073</v>
      </c>
      <c r="H5942">
        <v>-0.05</v>
      </c>
      <c r="I5942">
        <v>-3.8359529999999999</v>
      </c>
      <c r="J5942">
        <v>-422.27269999999999</v>
      </c>
      <c r="K5942">
        <v>1.1105750000000001</v>
      </c>
      <c r="L5942">
        <v>60.692630000000001</v>
      </c>
      <c r="M5942">
        <v>9.9926770000000002E-3</v>
      </c>
      <c r="N5942">
        <v>-1.0478380000000001E-2</v>
      </c>
      <c r="O5942">
        <v>-0.99989510000000004</v>
      </c>
      <c r="P5942">
        <v>0.1117281</v>
      </c>
      <c r="Q5942">
        <v>0.18715100000000001</v>
      </c>
      <c r="R5942">
        <v>-0.97595679999999996</v>
      </c>
      <c r="S5942">
        <v>0.16400149999999999</v>
      </c>
      <c r="T5942">
        <v>-5.4880020000000002E-2</v>
      </c>
      <c r="U5942">
        <v>-3.0652469999999998</v>
      </c>
      <c r="V5942">
        <v>-0.1019631</v>
      </c>
      <c r="W5942">
        <v>0.1973818</v>
      </c>
      <c r="X5942">
        <v>0.97500969999999998</v>
      </c>
      <c r="Y5942">
        <v>-4.343756E-2</v>
      </c>
      <c r="Z5942">
        <v>7.4036190000000002E-3</v>
      </c>
      <c r="AA5942">
        <v>0.99902869999999999</v>
      </c>
      <c r="AB5942">
        <v>29</v>
      </c>
      <c r="AC5942">
        <v>3.4653999999999798</v>
      </c>
      <c r="AD5942">
        <v>-1.1605749999999999</v>
      </c>
      <c r="AE5942">
        <v>-64.528582999999998</v>
      </c>
      <c r="AF5942">
        <v>-2.8194688183896699</v>
      </c>
      <c r="AG5942">
        <v>-1.1605749999999999</v>
      </c>
      <c r="AH5942">
        <v>64.539174544245995</v>
      </c>
      <c r="AI5942">
        <v>91.029228239901002</v>
      </c>
      <c r="AJ5942">
        <v>92.501442182426601</v>
      </c>
      <c r="AK5942">
        <v>64.611155303098798</v>
      </c>
      <c r="AL5942">
        <v>78.616104369415694</v>
      </c>
      <c r="AM5942">
        <v>95.970091624044002</v>
      </c>
      <c r="AN5942">
        <v>0.99999998191346895</v>
      </c>
    </row>
    <row r="5943" spans="1:40" x14ac:dyDescent="0.25">
      <c r="A5943" t="str">
        <f>"20190304154916501"</f>
        <v>20190304154916501</v>
      </c>
      <c r="B5943" t="str">
        <f>"1551685756492773"</f>
        <v>1551685756492773</v>
      </c>
      <c r="C5943" t="s">
        <v>40</v>
      </c>
      <c r="D5943">
        <v>4.2497109999999996</v>
      </c>
      <c r="E5943">
        <v>0.52153959999999999</v>
      </c>
      <c r="F5943" t="s">
        <v>45</v>
      </c>
      <c r="G5943">
        <v>-418.65300000000002</v>
      </c>
      <c r="H5943">
        <v>-0.05</v>
      </c>
      <c r="I5943">
        <v>-6.3597720000000004</v>
      </c>
      <c r="J5943">
        <v>-422.26979999999998</v>
      </c>
      <c r="K5943">
        <v>1.110574</v>
      </c>
      <c r="L5943">
        <v>60.406460000000003</v>
      </c>
      <c r="M5943">
        <v>9.9961070000000006E-3</v>
      </c>
      <c r="N5943">
        <v>-1.049663E-2</v>
      </c>
      <c r="O5943">
        <v>-0.99989510000000004</v>
      </c>
      <c r="P5943">
        <v>0.1122909</v>
      </c>
      <c r="Q5943">
        <v>0.1868766</v>
      </c>
      <c r="R5943">
        <v>-0.9759449</v>
      </c>
      <c r="S5943">
        <v>0.16546629999999901</v>
      </c>
      <c r="T5943">
        <v>-5.3052660000000001E-2</v>
      </c>
      <c r="U5943">
        <v>-3.0651250000000001</v>
      </c>
      <c r="V5943">
        <v>-0.102522699999999</v>
      </c>
      <c r="W5943">
        <v>0.1971252</v>
      </c>
      <c r="X5943">
        <v>0.97500290000000001</v>
      </c>
      <c r="Y5943">
        <v>-4.3912609999999998E-2</v>
      </c>
      <c r="Z5943">
        <v>6.7904940000000002E-3</v>
      </c>
      <c r="AA5943">
        <v>0.99901229999999996</v>
      </c>
      <c r="AB5943">
        <v>29</v>
      </c>
      <c r="AC5943">
        <v>3.6167999999999498</v>
      </c>
      <c r="AD5943">
        <v>-1.160574</v>
      </c>
      <c r="AE5943">
        <v>-66.766231999999903</v>
      </c>
      <c r="AF5943">
        <v>-2.9482919725920702</v>
      </c>
      <c r="AG5943">
        <v>-1.160574</v>
      </c>
      <c r="AH5943">
        <v>66.778933092965403</v>
      </c>
      <c r="AI5943">
        <v>90.994694008662904</v>
      </c>
      <c r="AJ5943">
        <v>92.527968773207803</v>
      </c>
      <c r="AK5943">
        <v>66.854059432467295</v>
      </c>
      <c r="AL5943">
        <v>78.631100767568995</v>
      </c>
      <c r="AM5943">
        <v>96.002660017486605</v>
      </c>
      <c r="AN5943">
        <v>0.99999995174936795</v>
      </c>
    </row>
    <row r="5944" spans="1:40" x14ac:dyDescent="0.25">
      <c r="A5944" t="str">
        <f>"20190304154916524"</f>
        <v>20190304154916524</v>
      </c>
      <c r="B5944" t="str">
        <f>"1551685756513269"</f>
        <v>1551685756513269</v>
      </c>
      <c r="C5944" t="s">
        <v>40</v>
      </c>
      <c r="D5944">
        <v>4.3444859999999998</v>
      </c>
      <c r="E5944">
        <v>0.54016439999999999</v>
      </c>
      <c r="F5944" t="s">
        <v>45</v>
      </c>
      <c r="G5944">
        <v>-418.67320000000001</v>
      </c>
      <c r="H5944">
        <v>-0.05</v>
      </c>
      <c r="I5944">
        <v>-6.1557009999999996</v>
      </c>
      <c r="J5944">
        <v>-422.26679999999999</v>
      </c>
      <c r="K5944">
        <v>1.110582</v>
      </c>
      <c r="L5944">
        <v>60.110869999999998</v>
      </c>
      <c r="M5944">
        <v>9.9996249999999998E-3</v>
      </c>
      <c r="N5944">
        <v>-1.0522689999999999E-2</v>
      </c>
      <c r="O5944">
        <v>-0.99989490000000003</v>
      </c>
      <c r="P5944">
        <v>0.1126694</v>
      </c>
      <c r="Q5944">
        <v>0.1873649</v>
      </c>
      <c r="R5944">
        <v>-0.97580800000000001</v>
      </c>
      <c r="S5944">
        <v>0.16561890000000001</v>
      </c>
      <c r="T5944">
        <v>-5.3443310000000001E-2</v>
      </c>
      <c r="U5944">
        <v>-3.0651250000000001</v>
      </c>
      <c r="V5944">
        <v>-0.1028992</v>
      </c>
      <c r="W5944">
        <v>0.19763749999999999</v>
      </c>
      <c r="X5944">
        <v>0.97485960000000005</v>
      </c>
      <c r="Y5944">
        <v>-4.3958579999999997E-2</v>
      </c>
      <c r="Z5944">
        <v>6.8916450000000001E-3</v>
      </c>
      <c r="AA5944">
        <v>0.99900960000000005</v>
      </c>
      <c r="AB5944">
        <v>29</v>
      </c>
      <c r="AC5944">
        <v>3.5935999999999799</v>
      </c>
      <c r="AD5944">
        <v>-1.160582</v>
      </c>
      <c r="AE5944">
        <v>-66.266570999999999</v>
      </c>
      <c r="AF5944">
        <v>-2.92984688572745</v>
      </c>
      <c r="AG5944">
        <v>-1.160582</v>
      </c>
      <c r="AH5944">
        <v>66.278923682098096</v>
      </c>
      <c r="AI5944">
        <v>91.002200960654093</v>
      </c>
      <c r="AJ5944">
        <v>92.5311009641037</v>
      </c>
      <c r="AK5944">
        <v>66.353799271857199</v>
      </c>
      <c r="AL5944">
        <v>78.6011600300955</v>
      </c>
      <c r="AM5944">
        <v>96.025421168891</v>
      </c>
      <c r="AN5944">
        <v>1.00000003323952</v>
      </c>
    </row>
    <row r="5945" spans="1:40" x14ac:dyDescent="0.25">
      <c r="A5945" t="str">
        <f>"20190304154916546"</f>
        <v>20190304154916546</v>
      </c>
      <c r="B5945" t="str">
        <f>"1551685756543080"</f>
        <v>1551685756543080</v>
      </c>
      <c r="C5945" t="s">
        <v>40</v>
      </c>
      <c r="D5945">
        <v>4.3033190000000001</v>
      </c>
      <c r="E5945">
        <v>0.53987059999999998</v>
      </c>
      <c r="F5945" t="s">
        <v>68</v>
      </c>
      <c r="G5945">
        <v>-421.94529999999997</v>
      </c>
      <c r="H5945">
        <v>7.9986349999999998E-2</v>
      </c>
      <c r="I5945">
        <v>9.0182380000000002</v>
      </c>
      <c r="J5945">
        <v>-422.26400000000001</v>
      </c>
      <c r="K5945">
        <v>1.11059</v>
      </c>
      <c r="L5945">
        <v>59.820650000000001</v>
      </c>
      <c r="M5945">
        <v>1.000269E-2</v>
      </c>
      <c r="N5945">
        <v>-1.056171E-2</v>
      </c>
      <c r="O5945">
        <v>-0.99989410000000001</v>
      </c>
      <c r="P5945">
        <v>0.1128483</v>
      </c>
      <c r="Q5945">
        <v>0.18692610000000001</v>
      </c>
      <c r="R5945">
        <v>-0.97587069999999998</v>
      </c>
      <c r="S5945">
        <v>1.9409180000000002E-2</v>
      </c>
      <c r="T5945">
        <v>-6.2209250000000001E-2</v>
      </c>
      <c r="U5945">
        <v>-3.084076</v>
      </c>
      <c r="V5945">
        <v>-0.1030745</v>
      </c>
      <c r="W5945">
        <v>0.1972373</v>
      </c>
      <c r="X5945">
        <v>0.97492210000000001</v>
      </c>
      <c r="Y5945">
        <v>3.709829E-3</v>
      </c>
      <c r="Z5945">
        <v>9.6048790000000002E-3</v>
      </c>
      <c r="AA5945">
        <v>0.99994700000000003</v>
      </c>
      <c r="AB5945">
        <v>29</v>
      </c>
      <c r="AC5945">
        <v>0.31870000000003501</v>
      </c>
      <c r="AD5945">
        <v>-1.03060365</v>
      </c>
      <c r="AE5945">
        <v>-50.802411999999997</v>
      </c>
      <c r="AF5945">
        <v>0.18942716202964699</v>
      </c>
      <c r="AG5945">
        <v>-1.03060365</v>
      </c>
      <c r="AH5945">
        <v>50.782160005975797</v>
      </c>
      <c r="AI5945">
        <v>91.162627268392001</v>
      </c>
      <c r="AJ5945">
        <v>89.786276783629404</v>
      </c>
      <c r="AK5945">
        <v>50.792969999849703</v>
      </c>
      <c r="AL5945">
        <v>78.624549876975607</v>
      </c>
      <c r="AM5945">
        <v>96.035226350566006</v>
      </c>
      <c r="AN5945">
        <v>1.0000000030649701</v>
      </c>
    </row>
    <row r="5946" spans="1:40" x14ac:dyDescent="0.25">
      <c r="A5946" t="str">
        <f>"20190304154916569"</f>
        <v>20190304154916569</v>
      </c>
      <c r="B5946" t="str">
        <f>"1551685756563578"</f>
        <v>1551685756563578</v>
      </c>
      <c r="C5946" t="s">
        <v>40</v>
      </c>
      <c r="D5946">
        <v>4.3328430000000004</v>
      </c>
      <c r="E5946">
        <v>0.53984889999999996</v>
      </c>
      <c r="F5946" t="s">
        <v>68</v>
      </c>
      <c r="G5946">
        <v>-421.90260000000001</v>
      </c>
      <c r="H5946">
        <v>7.6606939999999998E-2</v>
      </c>
      <c r="I5946">
        <v>9.5896720000000002</v>
      </c>
      <c r="J5946">
        <v>-422.26100000000002</v>
      </c>
      <c r="K5946">
        <v>1.1106009999999999</v>
      </c>
      <c r="L5946">
        <v>59.526580000000003</v>
      </c>
      <c r="M5946">
        <v>1.000593E-2</v>
      </c>
      <c r="N5946">
        <v>-1.061574E-2</v>
      </c>
      <c r="O5946">
        <v>-0.99989340000000004</v>
      </c>
      <c r="P5946">
        <v>0.1130935</v>
      </c>
      <c r="Q5946">
        <v>0.18656909999999999</v>
      </c>
      <c r="R5946">
        <v>-0.97591079999999997</v>
      </c>
      <c r="S5946">
        <v>2.2186279999999999E-2</v>
      </c>
      <c r="T5946">
        <v>-6.3478110000000004E-2</v>
      </c>
      <c r="U5946">
        <v>-3.083771</v>
      </c>
      <c r="V5946">
        <v>-0.1033162</v>
      </c>
      <c r="W5946">
        <v>0.19693350000000001</v>
      </c>
      <c r="X5946">
        <v>0.97495790000000004</v>
      </c>
      <c r="Y5946">
        <v>2.8121499999999998E-3</v>
      </c>
      <c r="Z5946">
        <v>9.9640939999999997E-3</v>
      </c>
      <c r="AA5946">
        <v>0.99994640000000001</v>
      </c>
      <c r="AB5946">
        <v>29</v>
      </c>
      <c r="AC5946">
        <v>0.35839999999995997</v>
      </c>
      <c r="AD5946">
        <v>-1.0339940599999999</v>
      </c>
      <c r="AE5946">
        <v>-49.936908000000003</v>
      </c>
      <c r="AF5946">
        <v>0.14125084397190801</v>
      </c>
      <c r="AG5946">
        <v>-1.0339940599999999</v>
      </c>
      <c r="AH5946">
        <v>49.916594096763703</v>
      </c>
      <c r="AI5946">
        <v>91.186675258750299</v>
      </c>
      <c r="AJ5946">
        <v>89.837868433188106</v>
      </c>
      <c r="AK5946">
        <v>49.927502057864899</v>
      </c>
      <c r="AL5946">
        <v>78.642304231506898</v>
      </c>
      <c r="AM5946">
        <v>96.049053094920595</v>
      </c>
      <c r="AN5946">
        <v>0.99999997368854898</v>
      </c>
    </row>
    <row r="5947" spans="1:40" x14ac:dyDescent="0.25">
      <c r="A5947" t="str">
        <f>"20190304154916591"</f>
        <v>20190304154916591</v>
      </c>
      <c r="B5947" t="str">
        <f>"1551685756583095"</f>
        <v>1551685756583095</v>
      </c>
      <c r="C5947" t="s">
        <v>40</v>
      </c>
      <c r="D5947">
        <v>4.3127170000000001</v>
      </c>
      <c r="E5947">
        <v>0.53989480000000001</v>
      </c>
      <c r="F5947" t="s">
        <v>68</v>
      </c>
      <c r="G5947">
        <v>-421.89389999999997</v>
      </c>
      <c r="H5947">
        <v>6.8921510000000005E-2</v>
      </c>
      <c r="I5947">
        <v>9.5973570000000006</v>
      </c>
      <c r="J5947">
        <v>-422.25799999999998</v>
      </c>
      <c r="K5947">
        <v>1.1106100000000001</v>
      </c>
      <c r="L5947">
        <v>59.232640000000004</v>
      </c>
      <c r="M5947">
        <v>1.0009250000000001E-2</v>
      </c>
      <c r="N5947">
        <v>-1.06801E-2</v>
      </c>
      <c r="O5947">
        <v>-0.99989300000000003</v>
      </c>
      <c r="P5947">
        <v>0.11373369999999999</v>
      </c>
      <c r="Q5947">
        <v>0.18595100000000001</v>
      </c>
      <c r="R5947">
        <v>-0.97595469999999895</v>
      </c>
      <c r="S5947">
        <v>2.267456E-2</v>
      </c>
      <c r="T5947">
        <v>-6.4335820000000002E-2</v>
      </c>
      <c r="U5947">
        <v>-3.08371</v>
      </c>
      <c r="V5947">
        <v>-0.1039528</v>
      </c>
      <c r="W5947">
        <v>0.196379</v>
      </c>
      <c r="X5947">
        <v>0.97500209999999998</v>
      </c>
      <c r="Y5947">
        <v>2.6570360000000002E-3</v>
      </c>
      <c r="Z5947">
        <v>1.0178130000000001E-2</v>
      </c>
      <c r="AA5947">
        <v>0.99994470000000002</v>
      </c>
      <c r="AB5947">
        <v>29</v>
      </c>
      <c r="AC5947">
        <v>0.36410000000006398</v>
      </c>
      <c r="AD5947">
        <v>-1.0416884900000001</v>
      </c>
      <c r="AE5947">
        <v>-49.635283000000001</v>
      </c>
      <c r="AF5947">
        <v>0.13270002514246301</v>
      </c>
      <c r="AG5947">
        <v>-1.0416884900000001</v>
      </c>
      <c r="AH5947">
        <v>49.614589397421703</v>
      </c>
      <c r="AI5947">
        <v>91.202778734520905</v>
      </c>
      <c r="AJ5947">
        <v>89.8467560984691</v>
      </c>
      <c r="AK5947">
        <v>49.625701055820102</v>
      </c>
      <c r="AL5947">
        <v>78.674707749288103</v>
      </c>
      <c r="AM5947">
        <v>96.085772630919394</v>
      </c>
      <c r="AN5947">
        <v>0.99999999563662401</v>
      </c>
    </row>
    <row r="5948" spans="1:40" x14ac:dyDescent="0.25">
      <c r="A5948" t="str">
        <f>"20190304154916612"</f>
        <v>20190304154916612</v>
      </c>
      <c r="B5948" t="str">
        <f>"1551685756603592"</f>
        <v>1551685756603592</v>
      </c>
      <c r="C5948" t="s">
        <v>40</v>
      </c>
      <c r="D5948">
        <v>4.3261469999999997</v>
      </c>
      <c r="E5948">
        <v>0.53989330000000002</v>
      </c>
      <c r="F5948" t="s">
        <v>68</v>
      </c>
      <c r="G5948">
        <v>-421.87360000000001</v>
      </c>
      <c r="H5948">
        <v>3.786221E-2</v>
      </c>
      <c r="I5948">
        <v>9.6162910000000004</v>
      </c>
      <c r="J5948">
        <v>-422.2552</v>
      </c>
      <c r="K5948">
        <v>1.110617</v>
      </c>
      <c r="L5948">
        <v>58.955170000000003</v>
      </c>
      <c r="M5948">
        <v>1.0012999999999999E-2</v>
      </c>
      <c r="N5948">
        <v>-1.0742959999999999E-2</v>
      </c>
      <c r="O5948">
        <v>-0.99989249999999996</v>
      </c>
      <c r="P5948">
        <v>0.11428140000000001</v>
      </c>
      <c r="Q5948">
        <v>0.1857133</v>
      </c>
      <c r="R5948">
        <v>-0.97593620000000003</v>
      </c>
      <c r="S5948">
        <v>2.3895260000000001E-2</v>
      </c>
      <c r="T5948">
        <v>-6.6675070000000003E-2</v>
      </c>
      <c r="U5948">
        <v>-3.0838320000000001</v>
      </c>
      <c r="V5948">
        <v>-0.1044963</v>
      </c>
      <c r="W5948">
        <v>0.1962023</v>
      </c>
      <c r="X5948">
        <v>0.97497959999999995</v>
      </c>
      <c r="Y5948">
        <v>2.2654009999999998E-3</v>
      </c>
      <c r="Z5948">
        <v>1.087255E-2</v>
      </c>
      <c r="AA5948">
        <v>0.99993829999999995</v>
      </c>
      <c r="AB5948">
        <v>29</v>
      </c>
      <c r="AC5948">
        <v>0.381599999999991</v>
      </c>
      <c r="AD5948">
        <v>-1.0727547900000001</v>
      </c>
      <c r="AE5948">
        <v>-49.338878999999899</v>
      </c>
      <c r="AF5948">
        <v>0.112424525403265</v>
      </c>
      <c r="AG5948">
        <v>-1.0727547900000001</v>
      </c>
      <c r="AH5948">
        <v>49.316913787764797</v>
      </c>
      <c r="AI5948">
        <v>91.246113475928794</v>
      </c>
      <c r="AJ5948">
        <v>89.869386805326897</v>
      </c>
      <c r="AK5948">
        <v>49.328707946420103</v>
      </c>
      <c r="AL5948">
        <v>78.685033056569793</v>
      </c>
      <c r="AM5948">
        <v>96.117490550748101</v>
      </c>
      <c r="AN5948">
        <v>1.00000001982756</v>
      </c>
    </row>
    <row r="5949" spans="1:40" x14ac:dyDescent="0.25">
      <c r="A5949" t="str">
        <f>"20190304154916635"</f>
        <v>20190304154916635</v>
      </c>
      <c r="B5949" t="str">
        <f>"1551685756623111"</f>
        <v>1551685756623111</v>
      </c>
      <c r="C5949" t="s">
        <v>40</v>
      </c>
      <c r="D5949">
        <v>4.3038239999999996</v>
      </c>
      <c r="E5949">
        <v>0.53989600000000004</v>
      </c>
      <c r="F5949" t="s">
        <v>68</v>
      </c>
      <c r="G5949">
        <v>-421.84070000000003</v>
      </c>
      <c r="H5949">
        <v>3.1932710000000003E-2</v>
      </c>
      <c r="I5949">
        <v>9.6162910000000004</v>
      </c>
      <c r="J5949">
        <v>-422.25229999999999</v>
      </c>
      <c r="K5949">
        <v>1.110625</v>
      </c>
      <c r="L5949">
        <v>58.66</v>
      </c>
      <c r="M5949">
        <v>1.0017140000000001E-2</v>
      </c>
      <c r="N5949">
        <v>-1.0807529999999999E-2</v>
      </c>
      <c r="O5949">
        <v>-0.99989150000000004</v>
      </c>
      <c r="P5949">
        <v>0.1150399</v>
      </c>
      <c r="Q5949">
        <v>0.18577589999999999</v>
      </c>
      <c r="R5949">
        <v>-0.9758346</v>
      </c>
      <c r="S5949">
        <v>2.5909419999999999E-2</v>
      </c>
      <c r="T5949">
        <v>-6.7419770000000004E-2</v>
      </c>
      <c r="U5949">
        <v>-3.083771</v>
      </c>
      <c r="V5949">
        <v>-0.10525180000000001</v>
      </c>
      <c r="W5949">
        <v>0.19632659999999999</v>
      </c>
      <c r="X5949">
        <v>0.9748732</v>
      </c>
      <c r="Y5949">
        <v>1.6164510000000001E-3</v>
      </c>
      <c r="Z5949">
        <v>1.1049740000000001E-2</v>
      </c>
      <c r="AA5949">
        <v>0.99993770000000004</v>
      </c>
      <c r="AB5949">
        <v>29</v>
      </c>
      <c r="AC5949">
        <v>0.41159999999996399</v>
      </c>
      <c r="AD5949">
        <v>-1.07869229</v>
      </c>
      <c r="AE5949">
        <v>-49.0437089999999</v>
      </c>
      <c r="AF5949">
        <v>7.9688460543088299E-2</v>
      </c>
      <c r="AG5949">
        <v>-1.07869229</v>
      </c>
      <c r="AH5949">
        <v>49.021658378069802</v>
      </c>
      <c r="AI5949">
        <v>91.260554289937204</v>
      </c>
      <c r="AJ5949">
        <v>89.906861403829097</v>
      </c>
      <c r="AK5949">
        <v>49.033589685474098</v>
      </c>
      <c r="AL5949">
        <v>78.677768735954004</v>
      </c>
      <c r="AM5949">
        <v>96.162047834966501</v>
      </c>
      <c r="AN5949">
        <v>0.99999991567451596</v>
      </c>
    </row>
    <row r="5950" spans="1:40" x14ac:dyDescent="0.25">
      <c r="A5950" t="str">
        <f>"20190304154916657"</f>
        <v>20190304154916657</v>
      </c>
      <c r="B5950" t="str">
        <f>"1551685756652954"</f>
        <v>1551685756652954</v>
      </c>
      <c r="C5950" t="s">
        <v>40</v>
      </c>
      <c r="D5950">
        <v>4.3450290000000003</v>
      </c>
      <c r="E5950">
        <v>0.5398558</v>
      </c>
      <c r="F5950" t="s">
        <v>68</v>
      </c>
      <c r="G5950">
        <v>-421.8116</v>
      </c>
      <c r="H5950">
        <v>3.2439210000000003E-2</v>
      </c>
      <c r="I5950">
        <v>9.6162890000000001</v>
      </c>
      <c r="J5950">
        <v>-422.24939999999998</v>
      </c>
      <c r="K5950">
        <v>1.11063</v>
      </c>
      <c r="L5950">
        <v>58.371189999999999</v>
      </c>
      <c r="M5950">
        <v>1.002077E-2</v>
      </c>
      <c r="N5950">
        <v>-1.0871840000000001E-2</v>
      </c>
      <c r="O5950">
        <v>-0.99989079999999997</v>
      </c>
      <c r="P5950">
        <v>0.1157789</v>
      </c>
      <c r="Q5950">
        <v>0.1852046</v>
      </c>
      <c r="R5950">
        <v>-0.97585599999999995</v>
      </c>
      <c r="S5950">
        <v>2.7709959999999999E-2</v>
      </c>
      <c r="T5950">
        <v>-6.7797540000000003E-2</v>
      </c>
      <c r="U5950">
        <v>-3.083923</v>
      </c>
      <c r="V5950">
        <v>-0.1059871</v>
      </c>
      <c r="W5950">
        <v>0.1958184</v>
      </c>
      <c r="X5950">
        <v>0.97489579999999998</v>
      </c>
      <c r="Y5950">
        <v>1.0368479999999999E-3</v>
      </c>
      <c r="Z5950">
        <v>1.110675E-2</v>
      </c>
      <c r="AA5950">
        <v>0.99993779999999999</v>
      </c>
      <c r="AB5950">
        <v>29</v>
      </c>
      <c r="AC5950">
        <v>0.43779999999998098</v>
      </c>
      <c r="AD5950">
        <v>-1.0781907900000001</v>
      </c>
      <c r="AE5950">
        <v>-48.754900999999997</v>
      </c>
      <c r="AF5950">
        <v>5.07876186086441E-2</v>
      </c>
      <c r="AG5950">
        <v>-1.0781907900000001</v>
      </c>
      <c r="AH5950">
        <v>48.733009085528103</v>
      </c>
      <c r="AI5950">
        <v>91.267429875554399</v>
      </c>
      <c r="AJ5950">
        <v>89.940288621636199</v>
      </c>
      <c r="AK5950">
        <v>48.7449612708022</v>
      </c>
      <c r="AL5950">
        <v>78.707463410026506</v>
      </c>
      <c r="AM5950">
        <v>96.204619194218395</v>
      </c>
      <c r="AN5950">
        <v>0.99999996600130403</v>
      </c>
    </row>
    <row r="5951" spans="1:40" x14ac:dyDescent="0.25">
      <c r="A5951" t="str">
        <f>"20190304154916680"</f>
        <v>20190304154916680</v>
      </c>
      <c r="B5951" t="str">
        <f>"1551685756673453"</f>
        <v>1551685756673453</v>
      </c>
      <c r="C5951" t="s">
        <v>40</v>
      </c>
      <c r="D5951">
        <v>4.3231659999999996</v>
      </c>
      <c r="E5951">
        <v>0.53985740000000004</v>
      </c>
      <c r="F5951" t="s">
        <v>68</v>
      </c>
      <c r="G5951">
        <v>-421.76740000000001</v>
      </c>
      <c r="H5951">
        <v>1.4425600000000001E-3</v>
      </c>
      <c r="I5951">
        <v>9.6162910000000004</v>
      </c>
      <c r="J5951">
        <v>-422.24639999999999</v>
      </c>
      <c r="K5951">
        <v>1.1106370000000001</v>
      </c>
      <c r="L5951">
        <v>58.075710000000001</v>
      </c>
      <c r="M5951">
        <v>1.002425E-2</v>
      </c>
      <c r="N5951">
        <v>-1.093819E-2</v>
      </c>
      <c r="O5951">
        <v>-0.9998899</v>
      </c>
      <c r="P5951">
        <v>0.11653760000000001</v>
      </c>
      <c r="Q5951">
        <v>0.18517230000000001</v>
      </c>
      <c r="R5951">
        <v>-0.97577170000000002</v>
      </c>
      <c r="S5951">
        <v>3.048706E-2</v>
      </c>
      <c r="T5951">
        <v>-7.0160150000000004E-2</v>
      </c>
      <c r="U5951">
        <v>-3.083923</v>
      </c>
      <c r="V5951">
        <v>-0.10674309999999999</v>
      </c>
      <c r="W5951">
        <v>0.19585060000000001</v>
      </c>
      <c r="X5951">
        <v>0.97480679999999997</v>
      </c>
      <c r="Y5951">
        <v>1.401993E-4</v>
      </c>
      <c r="Z5951">
        <v>1.1805950000000001E-2</v>
      </c>
      <c r="AA5951">
        <v>0.99993030000000005</v>
      </c>
      <c r="AB5951">
        <v>29</v>
      </c>
      <c r="AC5951">
        <v>0.47899999999998399</v>
      </c>
      <c r="AD5951">
        <v>-1.10919444</v>
      </c>
      <c r="AE5951">
        <v>-48.459418999999997</v>
      </c>
      <c r="AF5951">
        <v>6.81890499384912E-3</v>
      </c>
      <c r="AG5951">
        <v>-1.10919444</v>
      </c>
      <c r="AH5951">
        <v>48.436411839637202</v>
      </c>
      <c r="AI5951">
        <v>91.311844775059399</v>
      </c>
      <c r="AJ5951">
        <v>89.991933868351694</v>
      </c>
      <c r="AK5951">
        <v>48.449110938201301</v>
      </c>
      <c r="AL5951">
        <v>78.705581555040396</v>
      </c>
      <c r="AM5951">
        <v>96.249093513030303</v>
      </c>
      <c r="AN5951">
        <v>0.99999992212210098</v>
      </c>
    </row>
    <row r="5952" spans="1:40" x14ac:dyDescent="0.25">
      <c r="A5952" t="str">
        <f>"20190304154916702"</f>
        <v>20190304154916702</v>
      </c>
      <c r="B5952" t="str">
        <f>"1551685756692970"</f>
        <v>1551685756692970</v>
      </c>
      <c r="C5952" t="s">
        <v>40</v>
      </c>
      <c r="D5952">
        <v>4.3577510000000004</v>
      </c>
      <c r="E5952">
        <v>0.53992530000000005</v>
      </c>
      <c r="F5952" t="s">
        <v>68</v>
      </c>
      <c r="G5952">
        <v>-421.73320000000001</v>
      </c>
      <c r="H5952">
        <v>8.3734810000000003E-3</v>
      </c>
      <c r="I5952">
        <v>9.6162890000000001</v>
      </c>
      <c r="J5952">
        <v>-422.24349999999998</v>
      </c>
      <c r="K5952">
        <v>1.110649</v>
      </c>
      <c r="L5952">
        <v>57.789090000000002</v>
      </c>
      <c r="M5952">
        <v>1.002742E-2</v>
      </c>
      <c r="N5952">
        <v>-1.100304E-2</v>
      </c>
      <c r="O5952">
        <v>-0.99988940000000004</v>
      </c>
      <c r="P5952">
        <v>0.1168616</v>
      </c>
      <c r="Q5952">
        <v>0.1854731</v>
      </c>
      <c r="R5952">
        <v>-0.97567599999999999</v>
      </c>
      <c r="S5952">
        <v>3.2653809999999998E-2</v>
      </c>
      <c r="T5952">
        <v>-7.0146559999999997E-2</v>
      </c>
      <c r="U5952">
        <v>-3.0838930000000002</v>
      </c>
      <c r="V5952">
        <v>-0.1070652</v>
      </c>
      <c r="W5952">
        <v>0.19621350000000001</v>
      </c>
      <c r="X5952">
        <v>0.97469859999999997</v>
      </c>
      <c r="Y5952">
        <v>-5.590759E-4</v>
      </c>
      <c r="Z5952">
        <v>1.173689E-2</v>
      </c>
      <c r="AA5952">
        <v>0.99993100000000001</v>
      </c>
      <c r="AB5952">
        <v>29</v>
      </c>
      <c r="AC5952">
        <v>0.510299999999972</v>
      </c>
      <c r="AD5952">
        <v>-1.102275519</v>
      </c>
      <c r="AE5952">
        <v>-48.172801</v>
      </c>
      <c r="AF5952">
        <v>-2.7182062953665102E-2</v>
      </c>
      <c r="AG5952">
        <v>-1.102275519</v>
      </c>
      <c r="AH5952">
        <v>48.150288759928102</v>
      </c>
      <c r="AI5952">
        <v>91.311408459462399</v>
      </c>
      <c r="AJ5952">
        <v>90.032344921710106</v>
      </c>
      <c r="AK5952">
        <v>48.162911642142198</v>
      </c>
      <c r="AL5952">
        <v>78.684378713873997</v>
      </c>
      <c r="AM5952">
        <v>96.268490695267204</v>
      </c>
      <c r="AN5952">
        <v>1.00000002773762</v>
      </c>
    </row>
    <row r="5953" spans="1:40" x14ac:dyDescent="0.25">
      <c r="A5953" t="str">
        <f>"20190304154916725"</f>
        <v>20190304154916725</v>
      </c>
      <c r="B5953" t="str">
        <f>"1551685756713469"</f>
        <v>1551685756713469</v>
      </c>
      <c r="C5953" t="s">
        <v>40</v>
      </c>
      <c r="D5953">
        <v>4.3038790000000002</v>
      </c>
      <c r="E5953">
        <v>0.51396609999999998</v>
      </c>
      <c r="F5953" t="s">
        <v>68</v>
      </c>
      <c r="G5953">
        <v>-421.72669999999999</v>
      </c>
      <c r="H5953">
        <v>3.1235309999999999E-2</v>
      </c>
      <c r="I5953">
        <v>9.6162890000000001</v>
      </c>
      <c r="J5953">
        <v>-422.2405</v>
      </c>
      <c r="K5953">
        <v>1.1106549999999999</v>
      </c>
      <c r="L5953">
        <v>57.490839999999999</v>
      </c>
      <c r="M5953">
        <v>1.003096E-2</v>
      </c>
      <c r="N5953">
        <v>-1.106729E-2</v>
      </c>
      <c r="O5953">
        <v>-0.99988869999999996</v>
      </c>
      <c r="P5953">
        <v>0.117036</v>
      </c>
      <c r="Q5953">
        <v>0.18558930000000001</v>
      </c>
      <c r="R5953">
        <v>-0.97563310000000003</v>
      </c>
      <c r="S5953">
        <v>3.3081050000000001E-2</v>
      </c>
      <c r="T5953">
        <v>-6.9102529999999995E-2</v>
      </c>
      <c r="U5953">
        <v>-3.0839539999999999</v>
      </c>
      <c r="V5953">
        <v>-0.1072365</v>
      </c>
      <c r="W5953">
        <v>0.1963916</v>
      </c>
      <c r="X5953">
        <v>0.97464390000000001</v>
      </c>
      <c r="Y5953">
        <v>-6.9386139999999996E-4</v>
      </c>
      <c r="Z5953">
        <v>1.1333869999999999E-2</v>
      </c>
      <c r="AA5953">
        <v>0.99993549999999998</v>
      </c>
      <c r="AB5953">
        <v>29</v>
      </c>
      <c r="AC5953">
        <v>0.51380000000000303</v>
      </c>
      <c r="AD5953">
        <v>-1.0794196899999999</v>
      </c>
      <c r="AE5953">
        <v>-47.874550999999997</v>
      </c>
      <c r="AF5953">
        <v>-3.3500123867540199E-2</v>
      </c>
      <c r="AG5953">
        <v>-1.0794196899999999</v>
      </c>
      <c r="AH5953">
        <v>47.852972566316097</v>
      </c>
      <c r="AI5953">
        <v>91.292201671157002</v>
      </c>
      <c r="AJ5953">
        <v>90.040110682665599</v>
      </c>
      <c r="AK5953">
        <v>47.865156978308001</v>
      </c>
      <c r="AL5953">
        <v>78.673971875321897</v>
      </c>
      <c r="AM5953">
        <v>96.2787895484377</v>
      </c>
      <c r="AN5953">
        <v>1.000000029645</v>
      </c>
    </row>
    <row r="5954" spans="1:40" x14ac:dyDescent="0.25">
      <c r="A5954" t="str">
        <f>"20190304154916748"</f>
        <v>20190304154916748</v>
      </c>
      <c r="B5954" t="str">
        <f>"1551685756743252"</f>
        <v>1551685756743252</v>
      </c>
      <c r="C5954" t="s">
        <v>40</v>
      </c>
      <c r="D5954">
        <v>4.1904510000000004</v>
      </c>
      <c r="E5954">
        <v>0.4414555</v>
      </c>
      <c r="F5954" t="s">
        <v>68</v>
      </c>
      <c r="G5954">
        <v>-418.48919999999998</v>
      </c>
      <c r="H5954">
        <v>3.4630309999999997E-2</v>
      </c>
      <c r="I5954">
        <v>9.6162799999999997</v>
      </c>
      <c r="J5954">
        <v>-422.23750000000001</v>
      </c>
      <c r="K5954">
        <v>1.1106590000000001</v>
      </c>
      <c r="L5954">
        <v>57.195010000000003</v>
      </c>
      <c r="M5954">
        <v>1.003629E-2</v>
      </c>
      <c r="N5954">
        <v>-1.1125360000000001E-2</v>
      </c>
      <c r="O5954">
        <v>-0.99988770000000005</v>
      </c>
      <c r="P5954">
        <v>0.11744449999999999</v>
      </c>
      <c r="Q5954">
        <v>0.18545819999999999</v>
      </c>
      <c r="R5954">
        <v>-0.97560860000000005</v>
      </c>
      <c r="S5954">
        <v>0.2397156</v>
      </c>
      <c r="T5954">
        <v>-6.8759799999999996E-2</v>
      </c>
      <c r="U5954">
        <v>-3.0592649999999999</v>
      </c>
      <c r="V5954">
        <v>-0.10764020000000001</v>
      </c>
      <c r="W5954">
        <v>0.19631680000000001</v>
      </c>
      <c r="X5954">
        <v>0.97461439999999999</v>
      </c>
      <c r="Y5954">
        <v>-6.808997E-2</v>
      </c>
      <c r="Z5954">
        <v>1.128857E-2</v>
      </c>
      <c r="AA5954">
        <v>0.99761529999999998</v>
      </c>
      <c r="AB5954">
        <v>29</v>
      </c>
      <c r="AC5954">
        <v>3.7483000000000199</v>
      </c>
      <c r="AD5954">
        <v>-1.07602869</v>
      </c>
      <c r="AE5954">
        <v>-47.578729999999901</v>
      </c>
      <c r="AF5954">
        <v>-3.26890604518029</v>
      </c>
      <c r="AG5954">
        <v>-1.07602869</v>
      </c>
      <c r="AH5954">
        <v>47.589764062646097</v>
      </c>
      <c r="AI5954">
        <v>91.292222053660794</v>
      </c>
      <c r="AJ5954">
        <v>93.929432925079098</v>
      </c>
      <c r="AK5954">
        <v>47.714035964401901</v>
      </c>
      <c r="AL5954">
        <v>78.678341928906207</v>
      </c>
      <c r="AM5954">
        <v>96.302425914399905</v>
      </c>
      <c r="AN5954">
        <v>0.99999996365281896</v>
      </c>
    </row>
    <row r="5955" spans="1:40" x14ac:dyDescent="0.25">
      <c r="A5955" t="str">
        <f>"20190304154916770"</f>
        <v>20190304154916770</v>
      </c>
      <c r="B5955" t="str">
        <f>"1551685756762774"</f>
        <v>1551685756762774</v>
      </c>
      <c r="C5955" t="s">
        <v>40</v>
      </c>
      <c r="D5955">
        <v>4.1298539999999999</v>
      </c>
      <c r="E5955">
        <v>0.43816460000000002</v>
      </c>
      <c r="F5955" t="s">
        <v>68</v>
      </c>
      <c r="G5955">
        <v>-411.58629999999999</v>
      </c>
      <c r="H5955" s="1">
        <v>-1.0641859999999999E-5</v>
      </c>
      <c r="I5955">
        <v>18.07123</v>
      </c>
      <c r="J5955">
        <v>-422.23469999999998</v>
      </c>
      <c r="K5955">
        <v>1.1106659999999999</v>
      </c>
      <c r="L5955">
        <v>56.909239999999997</v>
      </c>
      <c r="M5955">
        <v>1.004678E-2</v>
      </c>
      <c r="N5955">
        <v>-1.117595E-2</v>
      </c>
      <c r="O5955">
        <v>-0.99988719999999998</v>
      </c>
      <c r="P5955">
        <v>0.11867080000000001</v>
      </c>
      <c r="Q5955">
        <v>0.18580540000000001</v>
      </c>
      <c r="R5955">
        <v>-0.97539439999999999</v>
      </c>
      <c r="S5955">
        <v>0.81484990000000002</v>
      </c>
      <c r="T5955">
        <v>-8.4969160000000002E-2</v>
      </c>
      <c r="U5955">
        <v>-2.9930729999999999</v>
      </c>
      <c r="V5955">
        <v>-0.1088601</v>
      </c>
      <c r="W5955">
        <v>0.19671</v>
      </c>
      <c r="X5955">
        <v>0.97439960000000003</v>
      </c>
      <c r="Y5955">
        <v>-0.25288850000000002</v>
      </c>
      <c r="Z5955">
        <v>1.6257029999999999E-2</v>
      </c>
      <c r="AA5955">
        <v>0.96735879999999996</v>
      </c>
      <c r="AB5955">
        <v>29</v>
      </c>
      <c r="AC5955">
        <v>10.648399999999899</v>
      </c>
      <c r="AD5955">
        <v>-1.11067664186</v>
      </c>
      <c r="AE5955">
        <v>-38.838009999999997</v>
      </c>
      <c r="AF5955">
        <v>-10.2498447236131</v>
      </c>
      <c r="AG5955">
        <v>-1.11067664186</v>
      </c>
      <c r="AH5955">
        <v>38.913438982112503</v>
      </c>
      <c r="AI5955">
        <v>91.581009023157804</v>
      </c>
      <c r="AJ5955">
        <v>104.756597068038</v>
      </c>
      <c r="AK5955">
        <v>40.256038713161402</v>
      </c>
      <c r="AL5955">
        <v>78.655365199704804</v>
      </c>
      <c r="AM5955">
        <v>96.374661015449306</v>
      </c>
      <c r="AN5955">
        <v>0.99999996297608396</v>
      </c>
    </row>
    <row r="5956" spans="1:40" x14ac:dyDescent="0.25">
      <c r="A5956" t="str">
        <f>"20190304154916792"</f>
        <v>20190304154916792</v>
      </c>
      <c r="B5956" t="str">
        <f>"1551685756783267"</f>
        <v>1551685756783267</v>
      </c>
      <c r="C5956" t="s">
        <v>40</v>
      </c>
      <c r="D5956">
        <v>4.1562599999999996</v>
      </c>
      <c r="E5956">
        <v>0.43721100000000002</v>
      </c>
      <c r="F5956" t="s">
        <v>68</v>
      </c>
      <c r="G5956">
        <v>-409.79410000000001</v>
      </c>
      <c r="H5956" s="1">
        <v>-2.138056E-6</v>
      </c>
      <c r="I5956">
        <v>12.903169999999999</v>
      </c>
      <c r="J5956">
        <v>-422.23169999999999</v>
      </c>
      <c r="K5956">
        <v>1.1106750000000001</v>
      </c>
      <c r="L5956">
        <v>56.619140000000002</v>
      </c>
      <c r="M5956">
        <v>1.006784E-2</v>
      </c>
      <c r="N5956">
        <v>-1.1226989999999999E-2</v>
      </c>
      <c r="O5956">
        <v>-0.99988650000000001</v>
      </c>
      <c r="P5956">
        <v>0.1193705</v>
      </c>
      <c r="Q5956">
        <v>0.18598819999999999</v>
      </c>
      <c r="R5956">
        <v>-0.97527379999999997</v>
      </c>
      <c r="S5956">
        <v>0.84451290000000001</v>
      </c>
      <c r="T5956">
        <v>-7.5396539999999998E-2</v>
      </c>
      <c r="U5956">
        <v>-2.9873050000000001</v>
      </c>
      <c r="V5956">
        <v>-0.109544</v>
      </c>
      <c r="W5956">
        <v>0.19693949999999999</v>
      </c>
      <c r="X5956">
        <v>0.97427660000000005</v>
      </c>
      <c r="Y5956">
        <v>-0.26226179999999999</v>
      </c>
      <c r="Z5956">
        <v>1.3101939999999999E-2</v>
      </c>
      <c r="AA5956">
        <v>0.96490779999999998</v>
      </c>
      <c r="AB5956">
        <v>29</v>
      </c>
      <c r="AC5956">
        <v>12.4375999999999</v>
      </c>
      <c r="AD5956">
        <v>-1.1106771380560001</v>
      </c>
      <c r="AE5956">
        <v>-43.715969999999999</v>
      </c>
      <c r="AF5956">
        <v>-11.989656760680401</v>
      </c>
      <c r="AG5956">
        <v>-1.1106771380560001</v>
      </c>
      <c r="AH5956">
        <v>43.812818425372001</v>
      </c>
      <c r="AI5956">
        <v>91.400687251948</v>
      </c>
      <c r="AJ5956">
        <v>105.30465486586399</v>
      </c>
      <c r="AK5956">
        <v>45.437303301566502</v>
      </c>
      <c r="AL5956">
        <v>78.641953592973195</v>
      </c>
      <c r="AM5956">
        <v>96.415179321464194</v>
      </c>
      <c r="AN5956">
        <v>0.99999997395190399</v>
      </c>
    </row>
    <row r="5957" spans="1:40" x14ac:dyDescent="0.25">
      <c r="A5957" t="str">
        <f>"20190304154916814"</f>
        <v>20190304154916814</v>
      </c>
      <c r="B5957" t="str">
        <f>"1551685756802790"</f>
        <v>1551685756802790</v>
      </c>
      <c r="C5957" t="s">
        <v>40</v>
      </c>
      <c r="D5957">
        <v>4.1694789999999999</v>
      </c>
      <c r="E5957">
        <v>0.436637</v>
      </c>
      <c r="F5957" t="s">
        <v>68</v>
      </c>
      <c r="G5957">
        <v>-408.78739999999999</v>
      </c>
      <c r="H5957" s="1">
        <v>-2.0144539999999999E-6</v>
      </c>
      <c r="I5957">
        <v>9.6673179999999999</v>
      </c>
      <c r="J5957">
        <v>-422.22879999999998</v>
      </c>
      <c r="K5957">
        <v>1.1106910000000001</v>
      </c>
      <c r="L5957">
        <v>56.326259999999998</v>
      </c>
      <c r="M5957">
        <v>1.010401E-2</v>
      </c>
      <c r="N5957">
        <v>-1.1277560000000001E-2</v>
      </c>
      <c r="O5957">
        <v>-0.99988560000000004</v>
      </c>
      <c r="P5957">
        <v>0.119740899999999</v>
      </c>
      <c r="Q5957">
        <v>0.18631220000000001</v>
      </c>
      <c r="R5957">
        <v>-0.97516689999999995</v>
      </c>
      <c r="S5957">
        <v>0.85470579999999996</v>
      </c>
      <c r="T5957">
        <v>-7.0609690000000003E-2</v>
      </c>
      <c r="U5957">
        <v>-2.9848940000000002</v>
      </c>
      <c r="V5957">
        <v>-0.109885</v>
      </c>
      <c r="W5957">
        <v>0.19730839999999999</v>
      </c>
      <c r="X5957">
        <v>0.97416360000000002</v>
      </c>
      <c r="Y5957">
        <v>-0.2654842</v>
      </c>
      <c r="Z5957">
        <v>1.150575E-2</v>
      </c>
      <c r="AA5957">
        <v>0.96404650000000003</v>
      </c>
      <c r="AB5957">
        <v>29</v>
      </c>
      <c r="AC5957">
        <v>13.4413999999999</v>
      </c>
      <c r="AD5957">
        <v>-1.1106930144539999</v>
      </c>
      <c r="AE5957">
        <v>-46.658942000000003</v>
      </c>
      <c r="AF5957">
        <v>-12.9624591137261</v>
      </c>
      <c r="AG5957">
        <v>-1.1106930144539999</v>
      </c>
      <c r="AH5957">
        <v>46.767910081465097</v>
      </c>
      <c r="AI5957">
        <v>91.311055819300606</v>
      </c>
      <c r="AJ5957">
        <v>105.491546909749</v>
      </c>
      <c r="AK5957">
        <v>48.543757566090697</v>
      </c>
      <c r="AL5957">
        <v>78.6203946688249</v>
      </c>
      <c r="AM5957">
        <v>96.435722085268694</v>
      </c>
      <c r="AN5957">
        <v>1.00000001875026</v>
      </c>
    </row>
    <row r="5958" spans="1:40" x14ac:dyDescent="0.25">
      <c r="A5958" t="str">
        <f>"20190304154916836"</f>
        <v>20190304154916836</v>
      </c>
      <c r="B5958" t="str">
        <f>"1551685756833043"</f>
        <v>1551685756833043</v>
      </c>
      <c r="C5958" t="s">
        <v>40</v>
      </c>
      <c r="D5958">
        <v>4.1399530000000002</v>
      </c>
      <c r="E5958">
        <v>0.43623719999999999</v>
      </c>
      <c r="F5958" t="s">
        <v>68</v>
      </c>
      <c r="G5958">
        <v>-408.76499999999999</v>
      </c>
      <c r="H5958">
        <v>4.9523640000000001E-2</v>
      </c>
      <c r="I5958">
        <v>9.6162489999999998</v>
      </c>
      <c r="J5958">
        <v>-422.22579999999999</v>
      </c>
      <c r="K5958">
        <v>1.1107039999999999</v>
      </c>
      <c r="L5958">
        <v>56.03781</v>
      </c>
      <c r="M5958">
        <v>1.015394E-2</v>
      </c>
      <c r="N5958">
        <v>-1.1324330000000001E-2</v>
      </c>
      <c r="O5958">
        <v>-0.99988440000000001</v>
      </c>
      <c r="P5958">
        <v>0.1203446</v>
      </c>
      <c r="Q5958">
        <v>0.18600269999999999</v>
      </c>
      <c r="R5958">
        <v>-0.97515149999999995</v>
      </c>
      <c r="S5958">
        <v>0.86004639999999999</v>
      </c>
      <c r="T5958">
        <v>-6.7785739999999997E-2</v>
      </c>
      <c r="U5958">
        <v>-2.983765</v>
      </c>
      <c r="V5958">
        <v>-0.11044569999999999</v>
      </c>
      <c r="W5958">
        <v>0.19704140000000001</v>
      </c>
      <c r="X5958">
        <v>0.97415419999999997</v>
      </c>
      <c r="Y5958">
        <v>-0.26712979999999997</v>
      </c>
      <c r="Z5958">
        <v>1.054659E-2</v>
      </c>
      <c r="AA5958">
        <v>0.96360279999999998</v>
      </c>
      <c r="AB5958">
        <v>29</v>
      </c>
      <c r="AC5958">
        <v>13.460800000000001</v>
      </c>
      <c r="AD5958">
        <v>-1.06118036</v>
      </c>
      <c r="AE5958">
        <v>-46.421560999999997</v>
      </c>
      <c r="AF5958">
        <v>-12.982456063760299</v>
      </c>
      <c r="AG5958">
        <v>-1.06118036</v>
      </c>
      <c r="AH5958">
        <v>46.533425800903302</v>
      </c>
      <c r="AI5958">
        <v>91.258347291514497</v>
      </c>
      <c r="AJ5958">
        <v>105.58867994363899</v>
      </c>
      <c r="AK5958">
        <v>48.322147985908998</v>
      </c>
      <c r="AL5958">
        <v>78.635998599502798</v>
      </c>
      <c r="AM5958">
        <v>96.468345323703403</v>
      </c>
      <c r="AN5958">
        <v>0.999999985670044</v>
      </c>
    </row>
    <row r="5959" spans="1:40" x14ac:dyDescent="0.25">
      <c r="A5959" t="str">
        <f>"20190304154916859"</f>
        <v>20190304154916859</v>
      </c>
      <c r="B5959" t="str">
        <f>"1551685756853539"</f>
        <v>1551685756853539</v>
      </c>
      <c r="C5959" t="s">
        <v>40</v>
      </c>
      <c r="D5959">
        <v>4.1545610000000002</v>
      </c>
      <c r="E5959">
        <v>0.43597900000000001</v>
      </c>
      <c r="F5959" t="s">
        <v>68</v>
      </c>
      <c r="G5959">
        <v>-408.76389999999998</v>
      </c>
      <c r="H5959">
        <v>6.4173160000000007E-2</v>
      </c>
      <c r="I5959">
        <v>9.6020640000000004</v>
      </c>
      <c r="J5959">
        <v>-422.22269999999997</v>
      </c>
      <c r="K5959">
        <v>1.1107229999999999</v>
      </c>
      <c r="L5959">
        <v>55.742310000000003</v>
      </c>
      <c r="M5959">
        <v>1.022521E-2</v>
      </c>
      <c r="N5959">
        <v>-1.1374499999999999E-2</v>
      </c>
      <c r="O5959">
        <v>-0.99988290000000002</v>
      </c>
      <c r="P5959">
        <v>0.1209718</v>
      </c>
      <c r="Q5959">
        <v>0.1857142</v>
      </c>
      <c r="R5959">
        <v>-0.97512869999999996</v>
      </c>
      <c r="S5959">
        <v>0.86465449999999999</v>
      </c>
      <c r="T5959">
        <v>-6.7218780000000006E-2</v>
      </c>
      <c r="U5959">
        <v>-2.9825740000000001</v>
      </c>
      <c r="V5959">
        <v>-0.11101</v>
      </c>
      <c r="W5959">
        <v>0.19679840000000001</v>
      </c>
      <c r="X5959">
        <v>0.97413919999999998</v>
      </c>
      <c r="Y5959">
        <v>-0.26853749999999998</v>
      </c>
      <c r="Z5959">
        <v>1.0313370000000001E-2</v>
      </c>
      <c r="AA5959">
        <v>0.96321400000000001</v>
      </c>
      <c r="AB5959">
        <v>29</v>
      </c>
      <c r="AC5959">
        <v>13.458799999999901</v>
      </c>
      <c r="AD5959">
        <v>-1.04654984</v>
      </c>
      <c r="AE5959">
        <v>-46.140245999999998</v>
      </c>
      <c r="AF5959">
        <v>-12.9801177643745</v>
      </c>
      <c r="AG5959">
        <v>-1.04654984</v>
      </c>
      <c r="AH5959">
        <v>46.253531378436797</v>
      </c>
      <c r="AI5959">
        <v>91.247980910483193</v>
      </c>
      <c r="AJ5959">
        <v>105.675700765408</v>
      </c>
      <c r="AK5959">
        <v>48.0517209756391</v>
      </c>
      <c r="AL5959">
        <v>78.650199764333905</v>
      </c>
      <c r="AM5959">
        <v>96.501211058374196</v>
      </c>
      <c r="AN5959">
        <v>1.0000000056595999</v>
      </c>
    </row>
    <row r="5960" spans="1:40" x14ac:dyDescent="0.25">
      <c r="A5960" t="str">
        <f>"20190304154916881"</f>
        <v>20190304154916881</v>
      </c>
      <c r="B5960" t="str">
        <f>"1551685756873059"</f>
        <v>1551685756873059</v>
      </c>
      <c r="C5960" t="s">
        <v>40</v>
      </c>
      <c r="D5960">
        <v>4.1518420000000003</v>
      </c>
      <c r="E5960">
        <v>0.43576419999999999</v>
      </c>
      <c r="F5960" t="s">
        <v>68</v>
      </c>
      <c r="G5960">
        <v>-408.7758</v>
      </c>
      <c r="H5960">
        <v>7.3019909999999993E-2</v>
      </c>
      <c r="I5960">
        <v>9.593216</v>
      </c>
      <c r="J5960">
        <v>-422.21949999999998</v>
      </c>
      <c r="K5960">
        <v>1.1107469999999999</v>
      </c>
      <c r="L5960">
        <v>55.449010000000001</v>
      </c>
      <c r="M5960">
        <v>1.032432E-2</v>
      </c>
      <c r="N5960">
        <v>-1.1432879999999999E-2</v>
      </c>
      <c r="O5960">
        <v>-0.99988149999999998</v>
      </c>
      <c r="P5960">
        <v>0.1210734</v>
      </c>
      <c r="Q5960">
        <v>0.18534870000000001</v>
      </c>
      <c r="R5960">
        <v>-0.97518579999999999</v>
      </c>
      <c r="S5960">
        <v>0.86874390000000001</v>
      </c>
      <c r="T5960">
        <v>-6.7041749999999997E-2</v>
      </c>
      <c r="U5960">
        <v>-2.981506</v>
      </c>
      <c r="V5960">
        <v>-0.1110231</v>
      </c>
      <c r="W5960">
        <v>0.19648560000000001</v>
      </c>
      <c r="X5960">
        <v>0.97420079999999998</v>
      </c>
      <c r="Y5960">
        <v>-0.26975209999999999</v>
      </c>
      <c r="Z5960">
        <v>1.0197879999999999E-2</v>
      </c>
      <c r="AA5960">
        <v>0.96287579999999995</v>
      </c>
      <c r="AB5960">
        <v>29</v>
      </c>
      <c r="AC5960">
        <v>13.4436999999999</v>
      </c>
      <c r="AD5960">
        <v>-1.03772709</v>
      </c>
      <c r="AE5960">
        <v>-45.855794000000003</v>
      </c>
      <c r="AF5960">
        <v>-12.963409175305699</v>
      </c>
      <c r="AG5960">
        <v>-1.03772709</v>
      </c>
      <c r="AH5960">
        <v>45.970476429717003</v>
      </c>
      <c r="AI5960">
        <v>91.244637737567302</v>
      </c>
      <c r="AJ5960">
        <v>105.748145742416</v>
      </c>
      <c r="AK5960">
        <v>47.774591135193297</v>
      </c>
      <c r="AL5960">
        <v>78.668478242249193</v>
      </c>
      <c r="AM5960">
        <v>96.501564072090005</v>
      </c>
      <c r="AN5960">
        <v>0.99999995923080398</v>
      </c>
    </row>
    <row r="5961" spans="1:40" x14ac:dyDescent="0.25">
      <c r="A5961" t="str">
        <f>"20190304154916903"</f>
        <v>20190304154916903</v>
      </c>
      <c r="B5961" t="str">
        <f>"1551685756893555"</f>
        <v>1551685756893555</v>
      </c>
      <c r="C5961" t="s">
        <v>40</v>
      </c>
      <c r="D5961">
        <v>4.1730900000000002</v>
      </c>
      <c r="E5961">
        <v>0.43548949999999997</v>
      </c>
      <c r="F5961" t="s">
        <v>68</v>
      </c>
      <c r="G5961">
        <v>-408.82859999999999</v>
      </c>
      <c r="H5961">
        <v>6.4893350000000002E-2</v>
      </c>
      <c r="I5961">
        <v>9.6013409999999997</v>
      </c>
      <c r="J5961">
        <v>-422.2165</v>
      </c>
      <c r="K5961">
        <v>1.1107860000000001</v>
      </c>
      <c r="L5961">
        <v>55.164219999999901</v>
      </c>
      <c r="M5961">
        <v>1.0455259999999999E-2</v>
      </c>
      <c r="N5961">
        <v>-1.1506580000000001E-2</v>
      </c>
      <c r="O5961">
        <v>-0.99987910000000002</v>
      </c>
      <c r="P5961">
        <v>0.1221241</v>
      </c>
      <c r="Q5961">
        <v>0.18539700000000001</v>
      </c>
      <c r="R5961">
        <v>-0.97504559999999996</v>
      </c>
      <c r="S5961">
        <v>0.87072749999999999</v>
      </c>
      <c r="T5961">
        <v>-6.8004969999999998E-2</v>
      </c>
      <c r="U5961">
        <v>-2.9811709999999998</v>
      </c>
      <c r="V5961">
        <v>-0.1119589</v>
      </c>
      <c r="W5961">
        <v>0.19659779999999999</v>
      </c>
      <c r="X5961">
        <v>0.97407109999999997</v>
      </c>
      <c r="Y5961">
        <v>-0.27024389999999998</v>
      </c>
      <c r="Z5961">
        <v>1.043375E-2</v>
      </c>
      <c r="AA5961">
        <v>0.96273540000000002</v>
      </c>
      <c r="AB5961">
        <v>29</v>
      </c>
      <c r="AC5961">
        <v>13.3879</v>
      </c>
      <c r="AD5961">
        <v>-1.0458926500000001</v>
      </c>
      <c r="AE5961">
        <v>-45.562879000000002</v>
      </c>
      <c r="AF5961">
        <v>-12.9045055124698</v>
      </c>
      <c r="AG5961">
        <v>-1.0458926500000001</v>
      </c>
      <c r="AH5961">
        <v>45.678215316880497</v>
      </c>
      <c r="AI5961">
        <v>91.2622820514502</v>
      </c>
      <c r="AJ5961">
        <v>105.775461857042</v>
      </c>
      <c r="AK5961">
        <v>47.477568477039597</v>
      </c>
      <c r="AL5961">
        <v>78.661922232184097</v>
      </c>
      <c r="AM5961">
        <v>96.556755186984205</v>
      </c>
      <c r="AN5961">
        <v>0.999999999054629</v>
      </c>
    </row>
    <row r="5962" spans="1:40" x14ac:dyDescent="0.25">
      <c r="A5962" t="str">
        <f>"20190304154916918"</f>
        <v>20190304154916918</v>
      </c>
      <c r="B5962" t="str">
        <f>"1551685756913075"</f>
        <v>1551685756913075</v>
      </c>
      <c r="C5962" t="s">
        <v>40</v>
      </c>
      <c r="D5962">
        <v>4.1891540000000003</v>
      </c>
      <c r="E5962">
        <v>0.43522230000000001</v>
      </c>
      <c r="F5962" t="s">
        <v>68</v>
      </c>
      <c r="G5962">
        <v>-408.70960000000002</v>
      </c>
      <c r="H5962">
        <v>7.9986570000000007E-2</v>
      </c>
      <c r="I5962">
        <v>9.228313</v>
      </c>
      <c r="J5962">
        <v>-422.21440000000001</v>
      </c>
      <c r="K5962">
        <v>1.1108180000000001</v>
      </c>
      <c r="L5962">
        <v>54.96893</v>
      </c>
      <c r="M5962">
        <v>1.0564759999999999E-2</v>
      </c>
      <c r="N5962">
        <v>-1.157088E-2</v>
      </c>
      <c r="O5962">
        <v>-0.99987720000000002</v>
      </c>
      <c r="P5962">
        <v>0.12291000000000001</v>
      </c>
      <c r="Q5962">
        <v>0.18524499999999999</v>
      </c>
      <c r="R5962">
        <v>-0.97497560000000005</v>
      </c>
      <c r="S5962">
        <v>0.87615969999999999</v>
      </c>
      <c r="T5962">
        <v>-6.6865800000000003E-2</v>
      </c>
      <c r="U5962">
        <v>-2.9797669999999998</v>
      </c>
      <c r="V5962">
        <v>-0.112648499999999</v>
      </c>
      <c r="W5962">
        <v>0.1965015</v>
      </c>
      <c r="X5962">
        <v>0.97401099999999996</v>
      </c>
      <c r="Y5962">
        <v>-0.27187729999999999</v>
      </c>
      <c r="Z5962">
        <v>1.0001970000000001E-2</v>
      </c>
      <c r="AA5962">
        <v>0.96227989999999997</v>
      </c>
      <c r="AB5962">
        <v>29</v>
      </c>
      <c r="AC5962">
        <v>13.5047999999999</v>
      </c>
      <c r="AD5962">
        <v>-1.0308314300000001</v>
      </c>
      <c r="AE5962">
        <v>-45.740617</v>
      </c>
      <c r="AF5962">
        <v>-13.0146951472266</v>
      </c>
      <c r="AG5962">
        <v>-1.0308314300000001</v>
      </c>
      <c r="AH5962">
        <v>45.859324441842801</v>
      </c>
      <c r="AI5962">
        <v>91.238780864614696</v>
      </c>
      <c r="AJ5962">
        <v>105.84373255473599</v>
      </c>
      <c r="AK5962">
        <v>47.681469581741297</v>
      </c>
      <c r="AL5962">
        <v>78.6675493198711</v>
      </c>
      <c r="AM5962">
        <v>96.597189454652394</v>
      </c>
      <c r="AN5962">
        <v>0.99999997608774904</v>
      </c>
    </row>
    <row r="5963" spans="1:40" x14ac:dyDescent="0.25">
      <c r="A5963" t="str">
        <f>"20190304154916933"</f>
        <v>20190304154916933</v>
      </c>
      <c r="B5963" t="str">
        <f>"1551685756922835"</f>
        <v>1551685756922835</v>
      </c>
      <c r="C5963" t="s">
        <v>40</v>
      </c>
      <c r="D5963">
        <v>4.1972750000000003</v>
      </c>
      <c r="E5963">
        <v>0.43516700000000003</v>
      </c>
      <c r="F5963" t="s">
        <v>68</v>
      </c>
      <c r="G5963">
        <v>-408.6062</v>
      </c>
      <c r="H5963">
        <v>7.9986570000000007E-2</v>
      </c>
      <c r="I5963">
        <v>8.9496439999999993</v>
      </c>
      <c r="J5963">
        <v>-422.2122</v>
      </c>
      <c r="K5963">
        <v>1.110852</v>
      </c>
      <c r="L5963">
        <v>54.773130000000002</v>
      </c>
      <c r="M5963">
        <v>1.0688619999999999E-2</v>
      </c>
      <c r="N5963">
        <v>-1.1646470000000001E-2</v>
      </c>
      <c r="O5963">
        <v>-0.99987530000000002</v>
      </c>
      <c r="P5963">
        <v>0.1237023</v>
      </c>
      <c r="Q5963">
        <v>0.1845357</v>
      </c>
      <c r="R5963">
        <v>-0.97501009999999999</v>
      </c>
      <c r="S5963">
        <v>0.88079830000000003</v>
      </c>
      <c r="T5963">
        <v>-6.6721440000000007E-2</v>
      </c>
      <c r="U5963">
        <v>-2.9786380000000001</v>
      </c>
      <c r="V5963">
        <v>-0.11333070000000001</v>
      </c>
      <c r="W5963">
        <v>0.19586039999999999</v>
      </c>
      <c r="X5963">
        <v>0.97406099999999995</v>
      </c>
      <c r="Y5963">
        <v>-0.27323500000000001</v>
      </c>
      <c r="Z5963">
        <v>9.8791980000000005E-3</v>
      </c>
      <c r="AA5963">
        <v>0.96189659999999999</v>
      </c>
      <c r="AB5963">
        <v>29</v>
      </c>
      <c r="AC5963">
        <v>13.6059999999999</v>
      </c>
      <c r="AD5963">
        <v>-1.03086543</v>
      </c>
      <c r="AE5963">
        <v>-45.823485999999903</v>
      </c>
      <c r="AF5963">
        <v>-13.1093027644502</v>
      </c>
      <c r="AG5963">
        <v>-1.03086543</v>
      </c>
      <c r="AH5963">
        <v>45.9449387958404</v>
      </c>
      <c r="AI5963">
        <v>91.236016118402006</v>
      </c>
      <c r="AJ5963">
        <v>105.92484547386201</v>
      </c>
      <c r="AK5963">
        <v>47.7896840694549</v>
      </c>
      <c r="AL5963">
        <v>78.705009718338303</v>
      </c>
      <c r="AM5963">
        <v>96.6364490769583</v>
      </c>
      <c r="AN5963">
        <v>0.999999987785824</v>
      </c>
    </row>
    <row r="5964" spans="1:40" x14ac:dyDescent="0.25">
      <c r="A5964" t="str">
        <f>"20190304154916949"</f>
        <v>20190304154916949</v>
      </c>
      <c r="B5964" t="str">
        <f>"1551685756943331"</f>
        <v>1551685756943331</v>
      </c>
      <c r="C5964" t="s">
        <v>40</v>
      </c>
      <c r="D5964">
        <v>4.1597759999999999</v>
      </c>
      <c r="E5964">
        <v>0.43495030000000001</v>
      </c>
      <c r="F5964" t="s">
        <v>68</v>
      </c>
      <c r="G5964">
        <v>-408.81459999999998</v>
      </c>
      <c r="H5964">
        <v>6.3817940000000004E-2</v>
      </c>
      <c r="I5964">
        <v>9.6024189999999994</v>
      </c>
      <c r="J5964">
        <v>-422.20979999999997</v>
      </c>
      <c r="K5964">
        <v>1.1108960000000001</v>
      </c>
      <c r="L5964">
        <v>54.566160000000004</v>
      </c>
      <c r="M5964">
        <v>1.084355E-2</v>
      </c>
      <c r="N5964">
        <v>-1.174209E-2</v>
      </c>
      <c r="O5964">
        <v>-0.99987250000000005</v>
      </c>
      <c r="P5964">
        <v>0.1245251</v>
      </c>
      <c r="Q5964">
        <v>0.184029</v>
      </c>
      <c r="R5964">
        <v>-0.97500120000000001</v>
      </c>
      <c r="S5964">
        <v>0.88323969999999896</v>
      </c>
      <c r="T5964">
        <v>-6.902635E-2</v>
      </c>
      <c r="U5964">
        <v>-2.9779049999999998</v>
      </c>
      <c r="V5964">
        <v>-0.1140148</v>
      </c>
      <c r="W5964">
        <v>0.1954391</v>
      </c>
      <c r="X5964">
        <v>0.97406579999999998</v>
      </c>
      <c r="Y5964">
        <v>-0.27387139999999999</v>
      </c>
      <c r="Z5964">
        <v>1.0527359999999999E-2</v>
      </c>
      <c r="AA5964">
        <v>0.96170869999999997</v>
      </c>
      <c r="AB5964">
        <v>29</v>
      </c>
      <c r="AC5964">
        <v>13.3951999999999</v>
      </c>
      <c r="AD5964">
        <v>-1.04707805999999</v>
      </c>
      <c r="AE5964">
        <v>-44.963740999999999</v>
      </c>
      <c r="AF5964">
        <v>-12.9003867674961</v>
      </c>
      <c r="AG5964">
        <v>-1.04707805999999</v>
      </c>
      <c r="AH5964">
        <v>45.083902906179702</v>
      </c>
      <c r="AI5964">
        <v>91.279142888209407</v>
      </c>
      <c r="AJ5964">
        <v>105.968036671882</v>
      </c>
      <c r="AK5964">
        <v>46.904953389472198</v>
      </c>
      <c r="AL5964">
        <v>78.729624267592698</v>
      </c>
      <c r="AM5964">
        <v>96.676115640261102</v>
      </c>
      <c r="AN5964">
        <v>0.99999999957874497</v>
      </c>
    </row>
    <row r="5965" spans="1:40" x14ac:dyDescent="0.25">
      <c r="A5965" t="str">
        <f>"20190304154916962"</f>
        <v>20190304154916962</v>
      </c>
      <c r="B5965" t="str">
        <f>"1551685756953091"</f>
        <v>1551685756953091</v>
      </c>
      <c r="C5965" t="s">
        <v>40</v>
      </c>
      <c r="D5965">
        <v>4.180822</v>
      </c>
      <c r="E5965">
        <v>0.43486229999999998</v>
      </c>
      <c r="F5965" t="s">
        <v>68</v>
      </c>
      <c r="G5965">
        <v>-408.81270000000001</v>
      </c>
      <c r="H5965">
        <v>5.1209730000000002E-2</v>
      </c>
      <c r="I5965">
        <v>9.6150249999999993</v>
      </c>
      <c r="J5965">
        <v>-422.20769999999999</v>
      </c>
      <c r="K5965">
        <v>1.110938</v>
      </c>
      <c r="L5965">
        <v>54.390749999999997</v>
      </c>
      <c r="M5965">
        <v>1.100196E-2</v>
      </c>
      <c r="N5965">
        <v>-1.183216E-2</v>
      </c>
      <c r="O5965">
        <v>-0.99986960000000003</v>
      </c>
      <c r="P5965">
        <v>0.1258416</v>
      </c>
      <c r="Q5965">
        <v>0.1837907</v>
      </c>
      <c r="R5965">
        <v>-0.9748772</v>
      </c>
      <c r="S5965">
        <v>0.88720699999999997</v>
      </c>
      <c r="T5965">
        <v>-7.0176479999999999E-2</v>
      </c>
      <c r="U5965">
        <v>-2.9768370000000002</v>
      </c>
      <c r="V5965">
        <v>-0.115188899999999</v>
      </c>
      <c r="W5965">
        <v>0.1952806</v>
      </c>
      <c r="X5965">
        <v>0.97395940000000003</v>
      </c>
      <c r="Y5965">
        <v>-0.27498820000000002</v>
      </c>
      <c r="Z5965">
        <v>1.080824E-2</v>
      </c>
      <c r="AA5965">
        <v>0.96138690000000004</v>
      </c>
      <c r="AB5965">
        <v>29</v>
      </c>
      <c r="AC5965">
        <v>13.3949999999999</v>
      </c>
      <c r="AD5965">
        <v>-1.0597282699999999</v>
      </c>
      <c r="AE5965">
        <v>-44.775725000000001</v>
      </c>
      <c r="AF5965">
        <v>-12.894904276586701</v>
      </c>
      <c r="AG5965">
        <v>-1.0597282699999999</v>
      </c>
      <c r="AH5965">
        <v>44.897312847619503</v>
      </c>
      <c r="AI5965">
        <v>91.299602648093497</v>
      </c>
      <c r="AJ5965">
        <v>106.02453247424801</v>
      </c>
      <c r="AK5965">
        <v>46.724407767735201</v>
      </c>
      <c r="AL5965">
        <v>78.738883551511805</v>
      </c>
      <c r="AM5965">
        <v>96.744964739059895</v>
      </c>
      <c r="AN5965">
        <v>0.99999995413396303</v>
      </c>
    </row>
    <row r="5966" spans="1:40" x14ac:dyDescent="0.25">
      <c r="A5966" t="str">
        <f>"20190304154916982"</f>
        <v>20190304154916982</v>
      </c>
      <c r="B5966" t="str">
        <f>"1551685756973587"</f>
        <v>1551685756973587</v>
      </c>
      <c r="C5966" t="s">
        <v>40</v>
      </c>
      <c r="D5966">
        <v>4.1967150000000002</v>
      </c>
      <c r="E5966">
        <v>0.4346507</v>
      </c>
      <c r="F5966" t="s">
        <v>68</v>
      </c>
      <c r="G5966">
        <v>-408.78120000000001</v>
      </c>
      <c r="H5966">
        <v>4.2368990000000002E-2</v>
      </c>
      <c r="I5966">
        <v>9.6162489999999998</v>
      </c>
      <c r="J5966">
        <v>-422.20460000000003</v>
      </c>
      <c r="K5966">
        <v>1.1110009999999999</v>
      </c>
      <c r="L5966">
        <v>54.137360000000001</v>
      </c>
      <c r="M5966">
        <v>1.127296E-2</v>
      </c>
      <c r="N5966">
        <v>-1.1978809999999999E-2</v>
      </c>
      <c r="O5966">
        <v>-0.99986489999999995</v>
      </c>
      <c r="P5966">
        <v>0.12712390000000001</v>
      </c>
      <c r="Q5966">
        <v>0.1837348</v>
      </c>
      <c r="R5966">
        <v>-0.97472130000000001</v>
      </c>
      <c r="S5966">
        <v>0.89227289999999904</v>
      </c>
      <c r="T5966">
        <v>-7.1012619999999999E-2</v>
      </c>
      <c r="U5966">
        <v>-2.9755250000000002</v>
      </c>
      <c r="V5966">
        <v>-0.1162255</v>
      </c>
      <c r="W5966">
        <v>0.1953559</v>
      </c>
      <c r="X5966">
        <v>0.97382120000000005</v>
      </c>
      <c r="Y5966">
        <v>-0.27634379999999997</v>
      </c>
      <c r="Z5966">
        <v>1.0931389999999999E-2</v>
      </c>
      <c r="AA5966">
        <v>0.96099670000000004</v>
      </c>
      <c r="AB5966">
        <v>29</v>
      </c>
      <c r="AC5966">
        <v>13.423400000000001</v>
      </c>
      <c r="AD5966">
        <v>-1.06863201</v>
      </c>
      <c r="AE5966">
        <v>-44.521110999999998</v>
      </c>
      <c r="AF5966">
        <v>-12.913806204641901</v>
      </c>
      <c r="AG5966">
        <v>-1.06863201</v>
      </c>
      <c r="AH5966">
        <v>44.646035219728397</v>
      </c>
      <c r="AI5966">
        <v>91.317176321602602</v>
      </c>
      <c r="AJ5966">
        <v>106.13244236825101</v>
      </c>
      <c r="AK5966">
        <v>46.488459061417302</v>
      </c>
      <c r="AL5966">
        <v>78.7344851129848</v>
      </c>
      <c r="AM5966">
        <v>96.806053519970803</v>
      </c>
      <c r="AN5966">
        <v>1.0000000120422501</v>
      </c>
    </row>
    <row r="5967" spans="1:40" x14ac:dyDescent="0.25">
      <c r="A5967" t="str">
        <f>"20190304154916997"</f>
        <v>20190304154916997</v>
      </c>
      <c r="B5967" t="str">
        <f>"1551685756993108"</f>
        <v>1551685756993108</v>
      </c>
      <c r="C5967" t="s">
        <v>40</v>
      </c>
      <c r="D5967">
        <v>4.176056</v>
      </c>
      <c r="E5967">
        <v>0.43451780000000001</v>
      </c>
      <c r="F5967" t="s">
        <v>68</v>
      </c>
      <c r="G5967">
        <v>-408.7749</v>
      </c>
      <c r="H5967">
        <v>4.7945870000000002E-2</v>
      </c>
      <c r="I5967">
        <v>9.6162469999999995</v>
      </c>
      <c r="J5967">
        <v>-422.20209999999997</v>
      </c>
      <c r="K5967">
        <v>1.111054</v>
      </c>
      <c r="L5967">
        <v>53.938870000000001</v>
      </c>
      <c r="M5967">
        <v>1.152599E-2</v>
      </c>
      <c r="N5967">
        <v>-1.210751E-2</v>
      </c>
      <c r="O5967">
        <v>-0.99986019999999998</v>
      </c>
      <c r="P5967">
        <v>0.12808079999999999</v>
      </c>
      <c r="Q5967">
        <v>0.1835051</v>
      </c>
      <c r="R5967">
        <v>-0.97463889999999997</v>
      </c>
      <c r="S5967">
        <v>0.89715579999999995</v>
      </c>
      <c r="T5967">
        <v>-7.1016190000000007E-2</v>
      </c>
      <c r="U5967">
        <v>-2.9741819999999999</v>
      </c>
      <c r="V5967">
        <v>-0.11695120000000001</v>
      </c>
      <c r="W5967">
        <v>0.19524130000000001</v>
      </c>
      <c r="X5967">
        <v>0.97375730000000005</v>
      </c>
      <c r="Y5967">
        <v>-0.27766580000000002</v>
      </c>
      <c r="Z5967">
        <v>1.0804660000000001E-2</v>
      </c>
      <c r="AA5967">
        <v>0.9606169</v>
      </c>
      <c r="AB5967">
        <v>29</v>
      </c>
      <c r="AC5967">
        <v>13.4271999999999</v>
      </c>
      <c r="AD5967">
        <v>-1.06310813</v>
      </c>
      <c r="AE5967">
        <v>-44.322622999999901</v>
      </c>
      <c r="AF5967">
        <v>-12.9086061366799</v>
      </c>
      <c r="AG5967">
        <v>-1.06310813</v>
      </c>
      <c r="AH5967">
        <v>44.451027937313398</v>
      </c>
      <c r="AI5967">
        <v>91.315711511736794</v>
      </c>
      <c r="AJ5967">
        <v>106.193329993597</v>
      </c>
      <c r="AK5967">
        <v>46.299634944260802</v>
      </c>
      <c r="AL5967">
        <v>78.741180150307301</v>
      </c>
      <c r="AM5967">
        <v>96.848592598248501</v>
      </c>
      <c r="AN5967">
        <v>1.0000000138552001</v>
      </c>
    </row>
    <row r="5968" spans="1:40" x14ac:dyDescent="0.25">
      <c r="A5968" t="str">
        <f>"20190304154917012"</f>
        <v>20190304154917012</v>
      </c>
      <c r="B5968" t="str">
        <f>"1551685757002867"</f>
        <v>1551685757002867</v>
      </c>
      <c r="C5968" t="s">
        <v>40</v>
      </c>
      <c r="D5968">
        <v>4.2095219999999998</v>
      </c>
      <c r="E5968">
        <v>0.43442809999999998</v>
      </c>
      <c r="F5968" t="s">
        <v>68</v>
      </c>
      <c r="G5968">
        <v>-408.76440000000002</v>
      </c>
      <c r="H5968">
        <v>3.98219E-2</v>
      </c>
      <c r="I5968">
        <v>9.6162489999999998</v>
      </c>
      <c r="J5968">
        <v>-422.19959999999998</v>
      </c>
      <c r="K5968">
        <v>1.1111139999999999</v>
      </c>
      <c r="L5968">
        <v>53.740569999999998</v>
      </c>
      <c r="M5968">
        <v>1.181255E-2</v>
      </c>
      <c r="N5968">
        <v>-1.224395E-2</v>
      </c>
      <c r="O5968">
        <v>-0.99985550000000001</v>
      </c>
      <c r="P5968">
        <v>0.12901509999999999</v>
      </c>
      <c r="Q5968">
        <v>0.1832183</v>
      </c>
      <c r="R5968">
        <v>-0.97457009999999999</v>
      </c>
      <c r="S5968">
        <v>0.90139769999999997</v>
      </c>
      <c r="T5968">
        <v>-7.1857809999999994E-2</v>
      </c>
      <c r="U5968">
        <v>-2.9731450000000001</v>
      </c>
      <c r="V5968">
        <v>-0.1176242</v>
      </c>
      <c r="W5968">
        <v>0.19507569999999999</v>
      </c>
      <c r="X5968">
        <v>0.97370939999999995</v>
      </c>
      <c r="Y5968">
        <v>-0.2787367</v>
      </c>
      <c r="Z5968">
        <v>1.0939539999999999E-2</v>
      </c>
      <c r="AA5968">
        <v>0.96030530000000003</v>
      </c>
      <c r="AB5968">
        <v>29</v>
      </c>
      <c r="AC5968">
        <v>13.435199999999901</v>
      </c>
      <c r="AD5968">
        <v>-1.0712921</v>
      </c>
      <c r="AE5968">
        <v>-44.124321000000002</v>
      </c>
      <c r="AF5968">
        <v>-12.9060405652003</v>
      </c>
      <c r="AG5968">
        <v>-1.0712921</v>
      </c>
      <c r="AH5968">
        <v>44.256083673979802</v>
      </c>
      <c r="AI5968">
        <v>91.331238474829306</v>
      </c>
      <c r="AJ5968">
        <v>106.257837677392</v>
      </c>
      <c r="AK5968">
        <v>46.111977749738998</v>
      </c>
      <c r="AL5968">
        <v>78.750854059454994</v>
      </c>
      <c r="AM5968">
        <v>96.8879611328572</v>
      </c>
      <c r="AN5968">
        <v>0.99999998840224402</v>
      </c>
    </row>
    <row r="5969" spans="1:40" x14ac:dyDescent="0.25">
      <c r="A5969" t="str">
        <f>"20190304154917026"</f>
        <v>20190304154917026</v>
      </c>
      <c r="B5969" t="str">
        <f>"1551685757023364"</f>
        <v>1551685757023364</v>
      </c>
      <c r="C5969" t="s">
        <v>40</v>
      </c>
      <c r="D5969">
        <v>4.2065089999999996</v>
      </c>
      <c r="E5969">
        <v>0.43426969999999998</v>
      </c>
      <c r="F5969" t="s">
        <v>68</v>
      </c>
      <c r="G5969">
        <v>-408.77260000000001</v>
      </c>
      <c r="H5969">
        <v>2.9854080000000002E-2</v>
      </c>
      <c r="I5969">
        <v>9.6162489999999998</v>
      </c>
      <c r="J5969">
        <v>-422.19720000000001</v>
      </c>
      <c r="K5969">
        <v>1.1111709999999999</v>
      </c>
      <c r="L5969">
        <v>53.562809999999999</v>
      </c>
      <c r="M5969">
        <v>1.211404E-2</v>
      </c>
      <c r="N5969">
        <v>-1.236801E-2</v>
      </c>
      <c r="O5969">
        <v>-0.99985029999999997</v>
      </c>
      <c r="P5969">
        <v>0.13062550000000001</v>
      </c>
      <c r="Q5969">
        <v>0.18323110000000001</v>
      </c>
      <c r="R5969">
        <v>-0.97435280000000002</v>
      </c>
      <c r="S5969">
        <v>0.90444950000000002</v>
      </c>
      <c r="T5969">
        <v>-7.2834010000000005E-2</v>
      </c>
      <c r="U5969">
        <v>-2.972229</v>
      </c>
      <c r="V5969">
        <v>-0.1189612</v>
      </c>
      <c r="W5969">
        <v>0.19519600000000001</v>
      </c>
      <c r="X5969">
        <v>0.97352280000000002</v>
      </c>
      <c r="Y5969">
        <v>-0.2794297</v>
      </c>
      <c r="Z5969">
        <v>1.1131810000000001E-2</v>
      </c>
      <c r="AA5969">
        <v>0.9601016</v>
      </c>
      <c r="AB5969">
        <v>29</v>
      </c>
      <c r="AC5969">
        <v>13.4245999999999</v>
      </c>
      <c r="AD5969">
        <v>-1.0813169199999999</v>
      </c>
      <c r="AE5969">
        <v>-43.946560999999903</v>
      </c>
      <c r="AF5969">
        <v>-12.8840692493474</v>
      </c>
      <c r="AG5969">
        <v>-1.0813169199999999</v>
      </c>
      <c r="AH5969">
        <v>44.081564365001597</v>
      </c>
      <c r="AI5969">
        <v>91.348770970517506</v>
      </c>
      <c r="AJ5969">
        <v>106.292477459854</v>
      </c>
      <c r="AK5969">
        <v>45.938576420795101</v>
      </c>
      <c r="AL5969">
        <v>78.743825768186497</v>
      </c>
      <c r="AM5969">
        <v>96.966811680137994</v>
      </c>
      <c r="AN5969">
        <v>0.99999994382063795</v>
      </c>
    </row>
    <row r="5970" spans="1:40" x14ac:dyDescent="0.25">
      <c r="A5970" t="str">
        <f>"20190304154917042"</f>
        <v>20190304154917042</v>
      </c>
      <c r="B5970" t="str">
        <f>"1551685757033124"</f>
        <v>1551685757033124</v>
      </c>
      <c r="C5970" t="s">
        <v>40</v>
      </c>
      <c r="D5970">
        <v>4.201632</v>
      </c>
      <c r="E5970">
        <v>0.43423079999999997</v>
      </c>
      <c r="F5970" t="s">
        <v>68</v>
      </c>
      <c r="G5970">
        <v>-408.72250000000003</v>
      </c>
      <c r="H5970">
        <v>3.1359329999999998E-2</v>
      </c>
      <c r="I5970">
        <v>9.6162469999999995</v>
      </c>
      <c r="J5970">
        <v>-422.19409999999999</v>
      </c>
      <c r="K5970">
        <v>1.1112439999999999</v>
      </c>
      <c r="L5970">
        <v>53.3429</v>
      </c>
      <c r="M5970">
        <v>1.252693E-2</v>
      </c>
      <c r="N5970">
        <v>-1.2518120000000001E-2</v>
      </c>
      <c r="O5970">
        <v>-0.99984340000000005</v>
      </c>
      <c r="P5970">
        <v>0.13164890000000001</v>
      </c>
      <c r="Q5970">
        <v>0.1829519</v>
      </c>
      <c r="R5970">
        <v>-0.97426760000000001</v>
      </c>
      <c r="S5970">
        <v>0.91082759999999996</v>
      </c>
      <c r="T5970">
        <v>-7.2990180000000002E-2</v>
      </c>
      <c r="U5970">
        <v>-2.9705810000000001</v>
      </c>
      <c r="V5970">
        <v>-0.1196063</v>
      </c>
      <c r="W5970">
        <v>0.1950472</v>
      </c>
      <c r="X5970">
        <v>0.97347360000000005</v>
      </c>
      <c r="Y5970">
        <v>-0.28106530000000002</v>
      </c>
      <c r="Z5970">
        <v>1.103257E-2</v>
      </c>
      <c r="AA5970">
        <v>0.95962519999999996</v>
      </c>
      <c r="AB5970">
        <v>29</v>
      </c>
      <c r="AC5970">
        <v>13.471599999999899</v>
      </c>
      <c r="AD5970">
        <v>-1.07988467</v>
      </c>
      <c r="AE5970">
        <v>-43.726652999999999</v>
      </c>
      <c r="AF5970">
        <v>-12.915544879723599</v>
      </c>
      <c r="AG5970">
        <v>-1.07988467</v>
      </c>
      <c r="AH5970">
        <v>43.867556748791799</v>
      </c>
      <c r="AI5970">
        <v>91.352770833711403</v>
      </c>
      <c r="AJ5970">
        <v>106.405554011975</v>
      </c>
      <c r="AK5970">
        <v>45.742102985642497</v>
      </c>
      <c r="AL5970">
        <v>78.752518687394996</v>
      </c>
      <c r="AM5970">
        <v>97.004567353133396</v>
      </c>
      <c r="AN5970">
        <v>0.99999996356224397</v>
      </c>
    </row>
    <row r="5971" spans="1:40" x14ac:dyDescent="0.25">
      <c r="A5971" t="str">
        <f>"20190304154917058"</f>
        <v>20190304154917058</v>
      </c>
      <c r="B5971" t="str">
        <f>"1551685757053620"</f>
        <v>1551685757053620</v>
      </c>
      <c r="C5971" t="s">
        <v>40</v>
      </c>
      <c r="D5971">
        <v>4.1951580000000002</v>
      </c>
      <c r="E5971">
        <v>0.43409959999999997</v>
      </c>
      <c r="F5971" t="s">
        <v>68</v>
      </c>
      <c r="G5971">
        <v>-408.73579999999998</v>
      </c>
      <c r="H5971">
        <v>2.2343950000000001E-2</v>
      </c>
      <c r="I5971">
        <v>9.6162489999999998</v>
      </c>
      <c r="J5971">
        <v>-422.19130000000001</v>
      </c>
      <c r="K5971">
        <v>1.111308</v>
      </c>
      <c r="L5971">
        <v>53.152369999999998</v>
      </c>
      <c r="M5971">
        <v>1.2928459999999999E-2</v>
      </c>
      <c r="N5971">
        <v>-1.2643700000000001E-2</v>
      </c>
      <c r="O5971">
        <v>-0.99983659999999996</v>
      </c>
      <c r="P5971">
        <v>0.13268779999999999</v>
      </c>
      <c r="Q5971">
        <v>0.18265110000000001</v>
      </c>
      <c r="R5971">
        <v>-0.97418329999999997</v>
      </c>
      <c r="S5971">
        <v>0.91400150000000002</v>
      </c>
      <c r="T5971">
        <v>-7.3951130000000004E-2</v>
      </c>
      <c r="U5971">
        <v>-2.9696349999999998</v>
      </c>
      <c r="V5971">
        <v>-0.1202771</v>
      </c>
      <c r="W5971">
        <v>0.19485359999999999</v>
      </c>
      <c r="X5971">
        <v>0.97342969999999895</v>
      </c>
      <c r="Y5971">
        <v>-0.28170060000000002</v>
      </c>
      <c r="Z5971">
        <v>1.1218830000000001E-2</v>
      </c>
      <c r="AA5971">
        <v>0.95943679999999998</v>
      </c>
      <c r="AB5971">
        <v>29</v>
      </c>
      <c r="AC5971">
        <v>13.455500000000001</v>
      </c>
      <c r="AD5971">
        <v>-1.08896405</v>
      </c>
      <c r="AE5971">
        <v>-43.536121000000001</v>
      </c>
      <c r="AF5971">
        <v>-12.884117306580199</v>
      </c>
      <c r="AG5971">
        <v>-1.08896405</v>
      </c>
      <c r="AH5971">
        <v>43.681508421021903</v>
      </c>
      <c r="AI5971">
        <v>91.369749764611896</v>
      </c>
      <c r="AJ5971">
        <v>106.43373314231999</v>
      </c>
      <c r="AK5971">
        <v>45.555027158456703</v>
      </c>
      <c r="AL5971">
        <v>78.763827916119794</v>
      </c>
      <c r="AM5971">
        <v>97.043772722911598</v>
      </c>
      <c r="AN5971">
        <v>0.99999994352972799</v>
      </c>
    </row>
    <row r="5972" spans="1:40" x14ac:dyDescent="0.25">
      <c r="A5972" t="str">
        <f>"20190304154917072"</f>
        <v>20190304154917072</v>
      </c>
      <c r="B5972" t="str">
        <f>"1551685757063379"</f>
        <v>1551685757063379</v>
      </c>
      <c r="C5972" t="s">
        <v>40</v>
      </c>
      <c r="D5972">
        <v>4.211068</v>
      </c>
      <c r="E5972">
        <v>0.43403049999999999</v>
      </c>
      <c r="F5972" t="s">
        <v>68</v>
      </c>
      <c r="G5972">
        <v>-408.72890000000001</v>
      </c>
      <c r="H5972">
        <v>1.089798E-2</v>
      </c>
      <c r="I5972">
        <v>9.6162469999999995</v>
      </c>
      <c r="J5972">
        <v>-422.18849999999998</v>
      </c>
      <c r="K5972">
        <v>1.1113690000000001</v>
      </c>
      <c r="L5972">
        <v>52.9696</v>
      </c>
      <c r="M5972">
        <v>1.335122E-2</v>
      </c>
      <c r="N5972">
        <v>-1.275987E-2</v>
      </c>
      <c r="O5972">
        <v>-0.99982939999999998</v>
      </c>
      <c r="P5972">
        <v>0.13444200000000001</v>
      </c>
      <c r="Q5972">
        <v>0.18260290000000001</v>
      </c>
      <c r="R5972">
        <v>-0.97395160000000003</v>
      </c>
      <c r="S5972">
        <v>0.91793820000000004</v>
      </c>
      <c r="T5972">
        <v>-7.5032109999999999E-2</v>
      </c>
      <c r="U5972">
        <v>-2.9685359999999998</v>
      </c>
      <c r="V5972">
        <v>-0.12164560000000001</v>
      </c>
      <c r="W5972">
        <v>0.1949003</v>
      </c>
      <c r="X5972">
        <v>0.97325030000000001</v>
      </c>
      <c r="Y5972">
        <v>-0.28255390000000002</v>
      </c>
      <c r="Z5972">
        <v>1.1452739999999999E-2</v>
      </c>
      <c r="AA5972">
        <v>0.95918300000000001</v>
      </c>
      <c r="AB5972">
        <v>29</v>
      </c>
      <c r="AC5972">
        <v>13.459599999999901</v>
      </c>
      <c r="AD5972">
        <v>-1.1004710200000001</v>
      </c>
      <c r="AE5972">
        <v>-43.353352999999998</v>
      </c>
      <c r="AF5972">
        <v>-12.871968100883199</v>
      </c>
      <c r="AG5972">
        <v>-1.1004710200000001</v>
      </c>
      <c r="AH5972">
        <v>43.503638310480099</v>
      </c>
      <c r="AI5972">
        <v>91.389525726678102</v>
      </c>
      <c r="AJ5972">
        <v>106.482567027191</v>
      </c>
      <c r="AK5972">
        <v>45.381330362882601</v>
      </c>
      <c r="AL5972">
        <v>78.761100118925597</v>
      </c>
      <c r="AM5972">
        <v>97.124396848748503</v>
      </c>
      <c r="AN5972">
        <v>0.99999996269476898</v>
      </c>
    </row>
    <row r="5973" spans="1:40" x14ac:dyDescent="0.25">
      <c r="A5973" t="str">
        <f>"20190304154917087"</f>
        <v>20190304154917087</v>
      </c>
      <c r="B5973" t="str">
        <f>"1551685757082899"</f>
        <v>1551685757082899</v>
      </c>
      <c r="C5973" t="s">
        <v>40</v>
      </c>
      <c r="D5973">
        <v>4.2116069999999999</v>
      </c>
      <c r="E5973">
        <v>0.43390210000000001</v>
      </c>
      <c r="F5973" t="s">
        <v>68</v>
      </c>
      <c r="G5973">
        <v>-408.7002</v>
      </c>
      <c r="H5973">
        <v>9.3889190000000008E-3</v>
      </c>
      <c r="I5973">
        <v>9.6162489999999998</v>
      </c>
      <c r="J5973">
        <v>-422.18529999999998</v>
      </c>
      <c r="K5973">
        <v>1.111442</v>
      </c>
      <c r="L5973">
        <v>52.767180000000003</v>
      </c>
      <c r="M5973">
        <v>1.389319E-2</v>
      </c>
      <c r="N5973">
        <v>-1.287957E-2</v>
      </c>
      <c r="O5973">
        <v>-0.99982070000000001</v>
      </c>
      <c r="P5973">
        <v>0.1356687</v>
      </c>
      <c r="Q5973">
        <v>0.18246299999999999</v>
      </c>
      <c r="R5973">
        <v>-0.9738078</v>
      </c>
      <c r="S5973">
        <v>0.92309569999999996</v>
      </c>
      <c r="T5973">
        <v>-7.5415609999999994E-2</v>
      </c>
      <c r="U5973">
        <v>-2.9669490000000001</v>
      </c>
      <c r="V5973">
        <v>-0.12237480000000001</v>
      </c>
      <c r="W5973">
        <v>0.19485640000000001</v>
      </c>
      <c r="X5973">
        <v>0.97316769999999997</v>
      </c>
      <c r="Y5973">
        <v>-0.28369820000000001</v>
      </c>
      <c r="Z5973">
        <v>1.145989E-2</v>
      </c>
      <c r="AA5973">
        <v>0.95884510000000001</v>
      </c>
      <c r="AB5973">
        <v>29</v>
      </c>
      <c r="AC5973">
        <v>13.4850999999999</v>
      </c>
      <c r="AD5973">
        <v>-1.102053081</v>
      </c>
      <c r="AE5973">
        <v>-43.150931</v>
      </c>
      <c r="AF5973">
        <v>-12.8765928773021</v>
      </c>
      <c r="AG5973">
        <v>-1.102053081</v>
      </c>
      <c r="AH5973">
        <v>43.308396939495204</v>
      </c>
      <c r="AI5973">
        <v>91.397244617071905</v>
      </c>
      <c r="AJ5973">
        <v>106.558437040827</v>
      </c>
      <c r="AK5973">
        <v>45.195557420945697</v>
      </c>
      <c r="AL5973">
        <v>78.763664885233595</v>
      </c>
      <c r="AM5973">
        <v>97.167262988028099</v>
      </c>
      <c r="AN5973">
        <v>0.99999999030964504</v>
      </c>
    </row>
    <row r="5974" spans="1:40" x14ac:dyDescent="0.25">
      <c r="A5974" t="str">
        <f>"20190304154917105"</f>
        <v>20190304154917105</v>
      </c>
      <c r="B5974" t="str">
        <f>"1551685757093635"</f>
        <v>1551685757093635</v>
      </c>
      <c r="C5974" t="s">
        <v>40</v>
      </c>
      <c r="D5974">
        <v>4.213006</v>
      </c>
      <c r="E5974">
        <v>0.43385010000000002</v>
      </c>
      <c r="F5974" t="s">
        <v>68</v>
      </c>
      <c r="G5974">
        <v>-408.67880000000002</v>
      </c>
      <c r="H5974">
        <v>1.333575E-2</v>
      </c>
      <c r="I5974">
        <v>9.6162469999999995</v>
      </c>
      <c r="J5974">
        <v>-422.1816</v>
      </c>
      <c r="K5974">
        <v>1.111524</v>
      </c>
      <c r="L5974">
        <v>52.547240000000002</v>
      </c>
      <c r="M5974">
        <v>1.454453E-2</v>
      </c>
      <c r="N5974">
        <v>-1.3001550000000001E-2</v>
      </c>
      <c r="O5974">
        <v>-0.99980990000000003</v>
      </c>
      <c r="P5974">
        <v>0.13752310000000001</v>
      </c>
      <c r="Q5974">
        <v>0.18221689999999999</v>
      </c>
      <c r="R5974">
        <v>-0.97359390000000001</v>
      </c>
      <c r="S5974">
        <v>0.92822269999999896</v>
      </c>
      <c r="T5974">
        <v>-7.5466510000000001E-2</v>
      </c>
      <c r="U5974">
        <v>-2.9655149999999999</v>
      </c>
      <c r="V5974">
        <v>-0.12363</v>
      </c>
      <c r="W5974">
        <v>0.19470489999999999</v>
      </c>
      <c r="X5974">
        <v>0.9730394</v>
      </c>
      <c r="Y5974">
        <v>-0.28471459999999998</v>
      </c>
      <c r="Z5974">
        <v>1.1357040000000001E-2</v>
      </c>
      <c r="AA5974">
        <v>0.95854499999999998</v>
      </c>
      <c r="AB5974">
        <v>29</v>
      </c>
      <c r="AC5974">
        <v>13.502799999999899</v>
      </c>
      <c r="AD5974">
        <v>-1.09818825</v>
      </c>
      <c r="AE5974">
        <v>-42.930993000000001</v>
      </c>
      <c r="AF5974">
        <v>-12.8692447399069</v>
      </c>
      <c r="AG5974">
        <v>-1.09818825</v>
      </c>
      <c r="AH5974">
        <v>43.097197419526601</v>
      </c>
      <c r="AI5974">
        <v>91.398674697616798</v>
      </c>
      <c r="AJ5974">
        <v>106.626139599097</v>
      </c>
      <c r="AK5974">
        <v>44.9910202487753</v>
      </c>
      <c r="AL5974">
        <v>78.772515086418693</v>
      </c>
      <c r="AM5974">
        <v>97.240946034227093</v>
      </c>
      <c r="AN5974">
        <v>1.0000000244681799</v>
      </c>
    </row>
    <row r="5975" spans="1:40" x14ac:dyDescent="0.25">
      <c r="A5975" t="str">
        <f>"20190304154917119"</f>
        <v>20190304154917119</v>
      </c>
      <c r="B5975" t="str">
        <f>"1551685757113156"</f>
        <v>1551685757113156</v>
      </c>
      <c r="C5975" t="s">
        <v>40</v>
      </c>
      <c r="D5975">
        <v>4.2041950000000003</v>
      </c>
      <c r="E5975">
        <v>0.43375069999999999</v>
      </c>
      <c r="F5975" t="s">
        <v>68</v>
      </c>
      <c r="G5975">
        <v>-408.65050000000002</v>
      </c>
      <c r="H5975">
        <v>5.1805239999999997E-3</v>
      </c>
      <c r="I5975">
        <v>9.6162469999999995</v>
      </c>
      <c r="J5975">
        <v>-422.17809999999997</v>
      </c>
      <c r="K5975">
        <v>1.11159599999999</v>
      </c>
      <c r="L5975">
        <v>52.353389999999997</v>
      </c>
      <c r="M5975">
        <v>1.5181470000000001E-2</v>
      </c>
      <c r="N5975">
        <v>-1.31018E-2</v>
      </c>
      <c r="O5975">
        <v>-0.99979899999999999</v>
      </c>
      <c r="P5975">
        <v>0.13855100000000001</v>
      </c>
      <c r="Q5975">
        <v>0.18198149999999999</v>
      </c>
      <c r="R5975">
        <v>-0.97349200000000002</v>
      </c>
      <c r="S5975">
        <v>0.93411250000000001</v>
      </c>
      <c r="T5975">
        <v>-7.6375719999999994E-2</v>
      </c>
      <c r="U5975">
        <v>-2.9637150000000001</v>
      </c>
      <c r="V5975">
        <v>-0.1240692</v>
      </c>
      <c r="W5975">
        <v>0.19454630000000001</v>
      </c>
      <c r="X5975">
        <v>0.97301519999999997</v>
      </c>
      <c r="Y5975">
        <v>-0.28600130000000001</v>
      </c>
      <c r="Z5975">
        <v>1.15533999999999E-2</v>
      </c>
      <c r="AA5975">
        <v>0.9581596</v>
      </c>
      <c r="AB5975">
        <v>29</v>
      </c>
      <c r="AC5975">
        <v>13.5275999999999</v>
      </c>
      <c r="AD5975">
        <v>-1.10641547599999</v>
      </c>
      <c r="AE5975">
        <v>-42.737142999999897</v>
      </c>
      <c r="AF5975">
        <v>-12.869332500937301</v>
      </c>
      <c r="AG5975">
        <v>-1.10641547599999</v>
      </c>
      <c r="AH5975">
        <v>42.911461867062002</v>
      </c>
      <c r="AI5975">
        <v>91.414742749873497</v>
      </c>
      <c r="AJ5975">
        <v>106.69421433266299</v>
      </c>
      <c r="AK5975">
        <v>44.813362223711003</v>
      </c>
      <c r="AL5975">
        <v>78.7817791229444</v>
      </c>
      <c r="AM5975">
        <v>97.266574084288493</v>
      </c>
      <c r="AN5975">
        <v>1.0000000043316799</v>
      </c>
    </row>
    <row r="5976" spans="1:40" x14ac:dyDescent="0.25">
      <c r="A5976" t="str">
        <f>"20190304154917134"</f>
        <v>20190304154917134</v>
      </c>
      <c r="B5976" t="str">
        <f>"1551685757122915"</f>
        <v>1551685757122915</v>
      </c>
      <c r="C5976" t="s">
        <v>40</v>
      </c>
      <c r="D5976">
        <v>4.1935589999999996</v>
      </c>
      <c r="E5976">
        <v>0.43370239999999999</v>
      </c>
      <c r="F5976" t="s">
        <v>68</v>
      </c>
      <c r="G5976">
        <v>-408.6703</v>
      </c>
      <c r="H5976" s="1">
        <v>-2.090871E-6</v>
      </c>
      <c r="I5976">
        <v>9.6995369999999994</v>
      </c>
      <c r="J5976">
        <v>-422.1746</v>
      </c>
      <c r="K5976">
        <v>1.11168</v>
      </c>
      <c r="L5976">
        <v>52.166690000000003</v>
      </c>
      <c r="M5976">
        <v>1.5848830000000001E-2</v>
      </c>
      <c r="N5976">
        <v>-1.3192590000000001E-2</v>
      </c>
      <c r="O5976">
        <v>-0.9997876</v>
      </c>
      <c r="P5976">
        <v>0.13980419999999999</v>
      </c>
      <c r="Q5976">
        <v>0.18176500000000001</v>
      </c>
      <c r="R5976">
        <v>-0.97335329999999998</v>
      </c>
      <c r="S5976">
        <v>0.93820190000000003</v>
      </c>
      <c r="T5976">
        <v>-7.7207680000000001E-2</v>
      </c>
      <c r="U5976">
        <v>-2.9625849999999998</v>
      </c>
      <c r="V5976">
        <v>-0.12470489999999999</v>
      </c>
      <c r="W5976">
        <v>0.1943966</v>
      </c>
      <c r="X5976">
        <v>0.97296389999999999</v>
      </c>
      <c r="Y5976">
        <v>-0.286666799999999</v>
      </c>
      <c r="Z5976">
        <v>1.1733499999999999E-2</v>
      </c>
      <c r="AA5976">
        <v>0.95795850000000005</v>
      </c>
      <c r="AB5976">
        <v>29</v>
      </c>
      <c r="AC5976">
        <v>13.504300000000001</v>
      </c>
      <c r="AD5976">
        <v>-1.1116820908709999</v>
      </c>
      <c r="AE5976">
        <v>-42.467153000000003</v>
      </c>
      <c r="AF5976">
        <v>-12.8215112492339</v>
      </c>
      <c r="AG5976">
        <v>-1.1116820908709999</v>
      </c>
      <c r="AH5976">
        <v>42.6493221861545</v>
      </c>
      <c r="AI5976">
        <v>91.429923302109202</v>
      </c>
      <c r="AJ5976">
        <v>106.73216406951801</v>
      </c>
      <c r="AK5976">
        <v>44.548756107480799</v>
      </c>
      <c r="AL5976">
        <v>78.7905237658114</v>
      </c>
      <c r="AM5976">
        <v>97.303786148380397</v>
      </c>
      <c r="AN5976">
        <v>1.00000005043938</v>
      </c>
    </row>
    <row r="5977" spans="1:40" x14ac:dyDescent="0.25">
      <c r="A5977" t="str">
        <f>"20190304154917150"</f>
        <v>20190304154917150</v>
      </c>
      <c r="B5977" t="str">
        <f>"1551685757143411"</f>
        <v>1551685757143411</v>
      </c>
      <c r="C5977" t="s">
        <v>40</v>
      </c>
      <c r="D5977">
        <v>4.2011079999999996</v>
      </c>
      <c r="E5977">
        <v>0.43364409999999998</v>
      </c>
      <c r="F5977" t="s">
        <v>68</v>
      </c>
      <c r="G5977">
        <v>-408.7559</v>
      </c>
      <c r="H5977" s="1">
        <v>-2.102568E-6</v>
      </c>
      <c r="I5977">
        <v>9.9799179999999996</v>
      </c>
      <c r="J5977">
        <v>-422.1705</v>
      </c>
      <c r="K5977">
        <v>1.1117680000000001</v>
      </c>
      <c r="L5977">
        <v>51.957639999999998</v>
      </c>
      <c r="M5977">
        <v>1.6677270000000001E-2</v>
      </c>
      <c r="N5977">
        <v>-1.3286040000000001E-2</v>
      </c>
      <c r="O5977">
        <v>-0.99977280000000002</v>
      </c>
      <c r="P5977">
        <v>0.14163889999999901</v>
      </c>
      <c r="Q5977">
        <v>0.1818042</v>
      </c>
      <c r="R5977">
        <v>-0.97308079999999997</v>
      </c>
      <c r="S5977">
        <v>0.9419556</v>
      </c>
      <c r="T5977">
        <v>-7.8037019999999999E-2</v>
      </c>
      <c r="U5977">
        <v>-2.961395</v>
      </c>
      <c r="V5977">
        <v>-0.12577389999999999</v>
      </c>
      <c r="W5977">
        <v>0.19449859999999999</v>
      </c>
      <c r="X5977">
        <v>0.9728059</v>
      </c>
      <c r="Y5977">
        <v>-0.28708499999999998</v>
      </c>
      <c r="Z5977">
        <v>1.191219E-2</v>
      </c>
      <c r="AA5977">
        <v>0.95783099999999999</v>
      </c>
      <c r="AB5977">
        <v>29</v>
      </c>
      <c r="AC5977">
        <v>13.4146</v>
      </c>
      <c r="AD5977">
        <v>-1.111770102568</v>
      </c>
      <c r="AE5977">
        <v>-41.977722</v>
      </c>
      <c r="AF5977">
        <v>-12.704512778750299</v>
      </c>
      <c r="AG5977">
        <v>-1.111770102568</v>
      </c>
      <c r="AH5977">
        <v>42.168783300107798</v>
      </c>
      <c r="AI5977">
        <v>91.446065899404999</v>
      </c>
      <c r="AJ5977">
        <v>106.766381234503</v>
      </c>
      <c r="AK5977">
        <v>44.055044690907401</v>
      </c>
      <c r="AL5977">
        <v>78.784565863749805</v>
      </c>
      <c r="AM5977">
        <v>97.366894440102897</v>
      </c>
      <c r="AN5977">
        <v>1.00000004919898</v>
      </c>
    </row>
    <row r="5978" spans="1:40" x14ac:dyDescent="0.25">
      <c r="A5978" t="str">
        <f>"20190304154917173"</f>
        <v>20190304154917173</v>
      </c>
      <c r="B5978" t="str">
        <f>"1551685757162931"</f>
        <v>1551685757162931</v>
      </c>
      <c r="C5978" t="s">
        <v>40</v>
      </c>
      <c r="D5978">
        <v>4.2065619999999999</v>
      </c>
      <c r="E5978">
        <v>0.43355110000000002</v>
      </c>
      <c r="F5978" t="s">
        <v>68</v>
      </c>
      <c r="G5978">
        <v>-408.642</v>
      </c>
      <c r="H5978" s="1">
        <v>-2.1122639999999999E-6</v>
      </c>
      <c r="I5978">
        <v>9.7202549999999999</v>
      </c>
      <c r="J5978">
        <v>-422.16449999999998</v>
      </c>
      <c r="K5978">
        <v>1.111891</v>
      </c>
      <c r="L5978">
        <v>51.672910000000002</v>
      </c>
      <c r="M5978">
        <v>1.7931490000000001E-2</v>
      </c>
      <c r="N5978">
        <v>-1.340074E-2</v>
      </c>
      <c r="O5978">
        <v>-0.99974949999999996</v>
      </c>
      <c r="P5978">
        <v>0.14426340000000001</v>
      </c>
      <c r="Q5978">
        <v>0.1821518</v>
      </c>
      <c r="R5978">
        <v>-0.97263010000000005</v>
      </c>
      <c r="S5978">
        <v>0.94793700000000003</v>
      </c>
      <c r="T5978">
        <v>-7.7901479999999995E-2</v>
      </c>
      <c r="U5978">
        <v>-2.9595639999999999</v>
      </c>
      <c r="V5978">
        <v>-0.1272353</v>
      </c>
      <c r="W5978">
        <v>0.1949176</v>
      </c>
      <c r="X5978">
        <v>0.9725319</v>
      </c>
      <c r="Y5978">
        <v>-0.28781060000000003</v>
      </c>
      <c r="Z5978">
        <v>1.176059E-2</v>
      </c>
      <c r="AA5978">
        <v>0.95761510000000005</v>
      </c>
      <c r="AB5978">
        <v>29</v>
      </c>
      <c r="AC5978">
        <v>13.5224999999999</v>
      </c>
      <c r="AD5978">
        <v>-1.1118931122639999</v>
      </c>
      <c r="AE5978">
        <v>-41.952654999999901</v>
      </c>
      <c r="AF5978">
        <v>-12.759864904544701</v>
      </c>
      <c r="AG5978">
        <v>-1.1118931122639999</v>
      </c>
      <c r="AH5978">
        <v>42.161580389137498</v>
      </c>
      <c r="AI5978">
        <v>91.445927020904605</v>
      </c>
      <c r="AJ5978">
        <v>106.838019476292</v>
      </c>
      <c r="AK5978">
        <v>44.064150049502103</v>
      </c>
      <c r="AL5978">
        <v>78.760089881393</v>
      </c>
      <c r="AM5978">
        <v>97.453611591706803</v>
      </c>
      <c r="AN5978">
        <v>0.99999999443672904</v>
      </c>
    </row>
    <row r="5979" spans="1:40" x14ac:dyDescent="0.25">
      <c r="A5979" t="str">
        <f>"20190304154917194"</f>
        <v>20190304154917194</v>
      </c>
      <c r="B5979" t="str">
        <f>"1551685757183428"</f>
        <v>1551685757183428</v>
      </c>
      <c r="C5979" t="s">
        <v>40</v>
      </c>
      <c r="D5979">
        <v>4.1965529999999998</v>
      </c>
      <c r="E5979">
        <v>0.43345220000000001</v>
      </c>
      <c r="F5979" t="s">
        <v>68</v>
      </c>
      <c r="G5979">
        <v>-408.54750000000001</v>
      </c>
      <c r="H5979">
        <v>2.1267230000000002E-2</v>
      </c>
      <c r="I5979">
        <v>9.6162449999999993</v>
      </c>
      <c r="J5979">
        <v>-422.15789999999998</v>
      </c>
      <c r="K5979">
        <v>1.112007</v>
      </c>
      <c r="L5979">
        <v>51.390470000000001</v>
      </c>
      <c r="M5979">
        <v>1.933553E-2</v>
      </c>
      <c r="N5979">
        <v>-1.350092E-2</v>
      </c>
      <c r="O5979">
        <v>-0.999722</v>
      </c>
      <c r="P5979">
        <v>0.1465631</v>
      </c>
      <c r="Q5979">
        <v>0.18216740000000001</v>
      </c>
      <c r="R5979">
        <v>-0.97228309999999996</v>
      </c>
      <c r="S5979">
        <v>0.95733639999999998</v>
      </c>
      <c r="T5979">
        <v>-7.6676129999999995E-2</v>
      </c>
      <c r="U5979">
        <v>-2.9567869999999998</v>
      </c>
      <c r="V5979">
        <v>-0.1282258</v>
      </c>
      <c r="W5979">
        <v>0.1949911</v>
      </c>
      <c r="X5979">
        <v>0.97238709999999995</v>
      </c>
      <c r="Y5979">
        <v>-0.28948570000000001</v>
      </c>
      <c r="Z5979">
        <v>1.1272040000000001E-2</v>
      </c>
      <c r="AA5979">
        <v>0.95711590000000002</v>
      </c>
      <c r="AB5979">
        <v>29</v>
      </c>
      <c r="AC5979">
        <v>13.610399999999901</v>
      </c>
      <c r="AD5979">
        <v>-1.0907397700000001</v>
      </c>
      <c r="AE5979">
        <v>-41.774225000000001</v>
      </c>
      <c r="AF5979">
        <v>-12.792170613595299</v>
      </c>
      <c r="AG5979">
        <v>-1.0907397700000001</v>
      </c>
      <c r="AH5979">
        <v>42.003714180551199</v>
      </c>
      <c r="AI5979">
        <v>91.423004930846801</v>
      </c>
      <c r="AJ5979">
        <v>106.938038597454</v>
      </c>
      <c r="AK5979">
        <v>43.921991612569599</v>
      </c>
      <c r="AL5979">
        <v>78.755796645509605</v>
      </c>
      <c r="AM5979">
        <v>97.512082114150502</v>
      </c>
      <c r="AN5979">
        <v>1.0000000285556201</v>
      </c>
    </row>
    <row r="5980" spans="1:40" x14ac:dyDescent="0.25">
      <c r="A5980" t="str">
        <f>"20190304154917217"</f>
        <v>20190304154917217</v>
      </c>
      <c r="B5980" t="str">
        <f>"1551685757213684"</f>
        <v>1551685757213684</v>
      </c>
      <c r="C5980" t="s">
        <v>40</v>
      </c>
      <c r="D5980">
        <v>4.2034099999999999</v>
      </c>
      <c r="E5980">
        <v>0.43334489999999998</v>
      </c>
      <c r="F5980" t="s">
        <v>68</v>
      </c>
      <c r="G5980">
        <v>-408.52050000000003</v>
      </c>
      <c r="H5980">
        <v>2.7646159999999999E-2</v>
      </c>
      <c r="I5980">
        <v>9.6162449999999993</v>
      </c>
      <c r="J5980">
        <v>-422.1508</v>
      </c>
      <c r="K5980">
        <v>1.1121209999999999</v>
      </c>
      <c r="L5980">
        <v>51.106990000000003</v>
      </c>
      <c r="M5980">
        <v>2.087545E-2</v>
      </c>
      <c r="N5980">
        <v>-1.3589449999999999E-2</v>
      </c>
      <c r="O5980">
        <v>-0.99968990000000002</v>
      </c>
      <c r="P5980">
        <v>0.14951410000000001</v>
      </c>
      <c r="Q5980">
        <v>0.1821931</v>
      </c>
      <c r="R5980">
        <v>-0.9718291</v>
      </c>
      <c r="S5980">
        <v>0.96450809999999998</v>
      </c>
      <c r="T5980">
        <v>-7.6691869999999995E-2</v>
      </c>
      <c r="U5980">
        <v>-2.9544980000000001</v>
      </c>
      <c r="V5980">
        <v>-0.1297343</v>
      </c>
      <c r="W5980">
        <v>0.19506309999999999</v>
      </c>
      <c r="X5980">
        <v>0.97217249999999999</v>
      </c>
      <c r="Y5980">
        <v>-0.2903289</v>
      </c>
      <c r="Z5980">
        <v>1.1197260000000001E-2</v>
      </c>
      <c r="AA5980">
        <v>0.95686139999999997</v>
      </c>
      <c r="AB5980">
        <v>29</v>
      </c>
      <c r="AC5980">
        <v>13.630299999999901</v>
      </c>
      <c r="AD5980">
        <v>-1.0844748399999999</v>
      </c>
      <c r="AE5980">
        <v>-41.490744999999997</v>
      </c>
      <c r="AF5980">
        <v>-12.7532472999196</v>
      </c>
      <c r="AG5980">
        <v>-1.0844748399999999</v>
      </c>
      <c r="AH5980">
        <v>41.740528081838903</v>
      </c>
      <c r="AI5980">
        <v>91.423359915468794</v>
      </c>
      <c r="AJ5980">
        <v>106.989815225385</v>
      </c>
      <c r="AK5980">
        <v>43.658825991112998</v>
      </c>
      <c r="AL5980">
        <v>78.751590095378603</v>
      </c>
      <c r="AM5980">
        <v>97.601088250813206</v>
      </c>
      <c r="AN5980">
        <v>0.99999998566717496</v>
      </c>
    </row>
    <row r="5981" spans="1:40" x14ac:dyDescent="0.25">
      <c r="A5981" t="str">
        <f>"20190304154917234"</f>
        <v>20190304154917234</v>
      </c>
      <c r="B5981" t="str">
        <f>"1551685757223443"</f>
        <v>1551685757223443</v>
      </c>
      <c r="C5981" t="s">
        <v>40</v>
      </c>
      <c r="D5981">
        <v>4.2318889999999998</v>
      </c>
      <c r="E5981">
        <v>0.4333186</v>
      </c>
      <c r="F5981" t="s">
        <v>68</v>
      </c>
      <c r="G5981">
        <v>-408.46859999999998</v>
      </c>
      <c r="H5981">
        <v>2.7060750000000001E-2</v>
      </c>
      <c r="I5981">
        <v>9.6162469999999995</v>
      </c>
      <c r="J5981">
        <v>-422.14490000000001</v>
      </c>
      <c r="K5981">
        <v>1.1122050000000001</v>
      </c>
      <c r="L5981">
        <v>50.888060000000003</v>
      </c>
      <c r="M5981">
        <v>2.214644E-2</v>
      </c>
      <c r="N5981">
        <v>-1.365071E-2</v>
      </c>
      <c r="O5981">
        <v>-0.99966180000000004</v>
      </c>
      <c r="P5981">
        <v>0.1511952</v>
      </c>
      <c r="Q5981">
        <v>0.18251899999999999</v>
      </c>
      <c r="R5981">
        <v>-0.97150800000000004</v>
      </c>
      <c r="S5981">
        <v>0.97335819999999995</v>
      </c>
      <c r="T5981">
        <v>-7.7192189999999994E-2</v>
      </c>
      <c r="U5981">
        <v>-2.9516909999999998</v>
      </c>
      <c r="V5981">
        <v>-0.13021940000000001</v>
      </c>
      <c r="W5981">
        <v>0.1954214</v>
      </c>
      <c r="X5981">
        <v>0.97203569999999995</v>
      </c>
      <c r="Y5981">
        <v>-0.29196860000000002</v>
      </c>
      <c r="Z5981">
        <v>1.130451E-2</v>
      </c>
      <c r="AA5981">
        <v>0.95636109999999996</v>
      </c>
      <c r="AB5981">
        <v>29</v>
      </c>
      <c r="AC5981">
        <v>13.676299999999999</v>
      </c>
      <c r="AD5981">
        <v>-1.0851442499999999</v>
      </c>
      <c r="AE5981">
        <v>-41.271813000000002</v>
      </c>
      <c r="AF5981">
        <v>-12.7508938595305</v>
      </c>
      <c r="AG5981">
        <v>-1.0851442499999999</v>
      </c>
      <c r="AH5981">
        <v>41.538723600309503</v>
      </c>
      <c r="AI5981">
        <v>91.430582802044995</v>
      </c>
      <c r="AJ5981">
        <v>107.06460260038099</v>
      </c>
      <c r="AK5981">
        <v>43.465254981458898</v>
      </c>
      <c r="AL5981">
        <v>78.730658448686299</v>
      </c>
      <c r="AM5981">
        <v>97.630236995409106</v>
      </c>
      <c r="AN5981">
        <v>1.0000000088944001</v>
      </c>
    </row>
    <row r="5982" spans="1:40" x14ac:dyDescent="0.25">
      <c r="A5982" t="str">
        <f>"20190304154917248"</f>
        <v>20190304154917248</v>
      </c>
      <c r="B5982" t="str">
        <f>"1551685757242963"</f>
        <v>1551685757242963</v>
      </c>
      <c r="C5982" t="s">
        <v>40</v>
      </c>
      <c r="D5982">
        <v>4.4891050000000003</v>
      </c>
      <c r="E5982">
        <v>0.43328260000000002</v>
      </c>
      <c r="F5982" t="s">
        <v>68</v>
      </c>
      <c r="G5982">
        <v>-408.45209999999997</v>
      </c>
      <c r="H5982">
        <v>4.3472129999999998E-2</v>
      </c>
      <c r="I5982">
        <v>9.6162469999999995</v>
      </c>
      <c r="J5982">
        <v>-422.13940000000002</v>
      </c>
      <c r="K5982">
        <v>1.112274</v>
      </c>
      <c r="L5982">
        <v>50.696010000000001</v>
      </c>
      <c r="M5982">
        <v>2.333385E-2</v>
      </c>
      <c r="N5982">
        <v>-1.3698810000000001E-2</v>
      </c>
      <c r="O5982">
        <v>-0.99963409999999997</v>
      </c>
      <c r="P5982">
        <v>0.15260889999999999</v>
      </c>
      <c r="Q5982">
        <v>0.18297759999999999</v>
      </c>
      <c r="R5982">
        <v>-0.97120030000000002</v>
      </c>
      <c r="S5982">
        <v>0.97872919999999997</v>
      </c>
      <c r="T5982">
        <v>-7.63905E-2</v>
      </c>
      <c r="U5982">
        <v>-2.9500120000000001</v>
      </c>
      <c r="V5982">
        <v>-0.13051489999999999</v>
      </c>
      <c r="W5982">
        <v>0.19590440000000001</v>
      </c>
      <c r="X5982">
        <v>0.97189890000000001</v>
      </c>
      <c r="Y5982">
        <v>-0.29256490000000002</v>
      </c>
      <c r="Z5982">
        <v>1.100406E-2</v>
      </c>
      <c r="AA5982">
        <v>0.95618239999999999</v>
      </c>
      <c r="AB5982">
        <v>29</v>
      </c>
      <c r="AC5982">
        <v>13.6873</v>
      </c>
      <c r="AD5982">
        <v>-1.0688018699999999</v>
      </c>
      <c r="AE5982">
        <v>-41.079763</v>
      </c>
      <c r="AF5982">
        <v>-12.7171855223788</v>
      </c>
      <c r="AG5982">
        <v>-1.0688018699999999</v>
      </c>
      <c r="AH5982">
        <v>41.362781739931002</v>
      </c>
      <c r="AI5982">
        <v>91.414843112001904</v>
      </c>
      <c r="AJ5982">
        <v>107.090296540054</v>
      </c>
      <c r="AK5982">
        <v>43.286820838600299</v>
      </c>
      <c r="AL5982">
        <v>78.702439869557907</v>
      </c>
      <c r="AM5982">
        <v>97.648410873388997</v>
      </c>
      <c r="AN5982">
        <v>1.0000000724412801</v>
      </c>
    </row>
    <row r="5983" spans="1:40" x14ac:dyDescent="0.25">
      <c r="A5983" t="str">
        <f>"20190304154917262"</f>
        <v>20190304154917262</v>
      </c>
      <c r="B5983" t="str">
        <f>"1551685757252723"</f>
        <v>1551685757252723</v>
      </c>
      <c r="C5983" t="s">
        <v>40</v>
      </c>
      <c r="D5983">
        <v>4.5157489999999996</v>
      </c>
      <c r="E5983">
        <v>0.4670784</v>
      </c>
      <c r="F5983" t="s">
        <v>68</v>
      </c>
      <c r="G5983">
        <v>-408.4314</v>
      </c>
      <c r="H5983">
        <v>6.7647929999999995E-2</v>
      </c>
      <c r="I5983">
        <v>9.5985870000000002</v>
      </c>
      <c r="J5983">
        <v>-422.13420000000002</v>
      </c>
      <c r="K5983">
        <v>1.1123350000000001</v>
      </c>
      <c r="L5983">
        <v>50.520969999999998</v>
      </c>
      <c r="M5983">
        <v>2.4475259999999999E-2</v>
      </c>
      <c r="N5983">
        <v>-1.3738810000000001E-2</v>
      </c>
      <c r="O5983">
        <v>-0.99960610000000005</v>
      </c>
      <c r="P5983">
        <v>0.15421860000000001</v>
      </c>
      <c r="Q5983">
        <v>0.18277160000000001</v>
      </c>
      <c r="R5983">
        <v>-0.97098490000000004</v>
      </c>
      <c r="S5983">
        <v>0.98348999999999998</v>
      </c>
      <c r="T5983">
        <v>-7.4947E-2</v>
      </c>
      <c r="U5983">
        <v>-2.948547</v>
      </c>
      <c r="V5983">
        <v>-0.13104449999999901</v>
      </c>
      <c r="W5983">
        <v>0.1957159</v>
      </c>
      <c r="X5983">
        <v>0.97186550000000005</v>
      </c>
      <c r="Y5983">
        <v>-0.29300700000000002</v>
      </c>
      <c r="Z5983">
        <v>1.0504100000000001E-2</v>
      </c>
      <c r="AA5983">
        <v>0.95605260000000003</v>
      </c>
      <c r="AB5983">
        <v>29</v>
      </c>
      <c r="AC5983">
        <v>13.7028</v>
      </c>
      <c r="AD5983">
        <v>-1.0446870699999999</v>
      </c>
      <c r="AE5983">
        <v>-40.922383000000004</v>
      </c>
      <c r="AF5983">
        <v>-12.689577837531401</v>
      </c>
      <c r="AG5983">
        <v>-1.0446870699999999</v>
      </c>
      <c r="AH5983">
        <v>41.221377312356204</v>
      </c>
      <c r="AI5983">
        <v>91.387525365279899</v>
      </c>
      <c r="AJ5983">
        <v>107.110445024763</v>
      </c>
      <c r="AK5983">
        <v>43.143002958725901</v>
      </c>
      <c r="AL5983">
        <v>78.713452064049903</v>
      </c>
      <c r="AM5983">
        <v>97.679337566449306</v>
      </c>
      <c r="AN5983">
        <v>0.999999962291654</v>
      </c>
    </row>
    <row r="5984" spans="1:40" x14ac:dyDescent="0.25">
      <c r="A5984" t="str">
        <f>"20190304154917282"</f>
        <v>20190304154917282</v>
      </c>
      <c r="B5984" t="str">
        <f>"1551685757273220"</f>
        <v>1551685757273220</v>
      </c>
      <c r="C5984" t="s">
        <v>40</v>
      </c>
      <c r="D5984">
        <v>4.3053629999999998</v>
      </c>
      <c r="E5984">
        <v>0.48566969999999998</v>
      </c>
      <c r="F5984" t="s">
        <v>68</v>
      </c>
      <c r="G5984">
        <v>-417.84140000000002</v>
      </c>
      <c r="H5984" s="1">
        <v>-4.6570909999999901E-6</v>
      </c>
      <c r="I5984">
        <v>32.631619999999998</v>
      </c>
      <c r="J5984">
        <v>-422.12569999999999</v>
      </c>
      <c r="K5984">
        <v>1.1124320000000001</v>
      </c>
      <c r="L5984">
        <v>50.255769999999998</v>
      </c>
      <c r="M5984">
        <v>2.629534E-2</v>
      </c>
      <c r="N5984">
        <v>-1.3794290000000001E-2</v>
      </c>
      <c r="O5984">
        <v>-0.99955939999999999</v>
      </c>
      <c r="P5984">
        <v>0.1567035</v>
      </c>
      <c r="Q5984">
        <v>0.18258250000000001</v>
      </c>
      <c r="R5984">
        <v>-0.97062269999999995</v>
      </c>
      <c r="S5984">
        <v>0.72232059999999998</v>
      </c>
      <c r="T5984">
        <v>-0.18716859999999999</v>
      </c>
      <c r="U5984">
        <v>-3.0101619999999998</v>
      </c>
      <c r="V5984">
        <v>-0.13180710000000001</v>
      </c>
      <c r="W5984">
        <v>0.195548</v>
      </c>
      <c r="X5984">
        <v>0.9717962</v>
      </c>
      <c r="Y5984">
        <v>-0.20732449999999999</v>
      </c>
      <c r="Z5984">
        <v>4.6766179999999997E-2</v>
      </c>
      <c r="AA5984">
        <v>0.97715379999999996</v>
      </c>
      <c r="AB5984">
        <v>29</v>
      </c>
      <c r="AC5984">
        <v>4.2842999999999698</v>
      </c>
      <c r="AD5984">
        <v>-1.11243665709099</v>
      </c>
      <c r="AE5984">
        <v>-17.62415</v>
      </c>
      <c r="AF5984">
        <v>-3.8050274526299201</v>
      </c>
      <c r="AG5984">
        <v>-1.11243665709099</v>
      </c>
      <c r="AH5984">
        <v>17.664272456773599</v>
      </c>
      <c r="AI5984">
        <v>93.522941090129606</v>
      </c>
      <c r="AJ5984">
        <v>102.156227869031</v>
      </c>
      <c r="AK5984">
        <v>18.103653516857801</v>
      </c>
      <c r="AL5984">
        <v>78.723261923368597</v>
      </c>
      <c r="AM5984">
        <v>97.724032932208203</v>
      </c>
      <c r="AN5984">
        <v>0.999999993124424</v>
      </c>
    </row>
    <row r="5985" spans="1:40" x14ac:dyDescent="0.25">
      <c r="A5985" t="str">
        <f>"20190304154917299"</f>
        <v>20190304154917299</v>
      </c>
      <c r="B5985" t="str">
        <f>"1551685757292740"</f>
        <v>1551685757292740</v>
      </c>
      <c r="C5985" t="s">
        <v>40</v>
      </c>
      <c r="D5985">
        <v>4.2965249999999999</v>
      </c>
      <c r="E5985">
        <v>0.49289470000000002</v>
      </c>
      <c r="F5985" t="s">
        <v>68</v>
      </c>
      <c r="G5985">
        <v>-418.0068</v>
      </c>
      <c r="H5985" s="1">
        <v>-7.8876000000000005E-6</v>
      </c>
      <c r="I5985">
        <v>28.86825</v>
      </c>
      <c r="J5985">
        <v>-422.1189</v>
      </c>
      <c r="K5985">
        <v>1.112509</v>
      </c>
      <c r="L5985">
        <v>50.053100000000001</v>
      </c>
      <c r="M5985">
        <v>2.7766039999999999E-2</v>
      </c>
      <c r="N5985">
        <v>-1.383246E-2</v>
      </c>
      <c r="O5985">
        <v>-0.99951889999999999</v>
      </c>
      <c r="P5985">
        <v>0.1585878</v>
      </c>
      <c r="Q5985">
        <v>0.1826605</v>
      </c>
      <c r="R5985">
        <v>-0.9703022</v>
      </c>
      <c r="S5985">
        <v>0.58282469999999997</v>
      </c>
      <c r="T5985">
        <v>-0.15740879999999999</v>
      </c>
      <c r="U5985">
        <v>-3.0263059999999999</v>
      </c>
      <c r="V5985">
        <v>-0.132301</v>
      </c>
      <c r="W5985">
        <v>0.1956369</v>
      </c>
      <c r="X5985">
        <v>0.9717112</v>
      </c>
      <c r="Y5985">
        <v>-0.16156699999999999</v>
      </c>
      <c r="Z5985">
        <v>3.7321460000000001E-2</v>
      </c>
      <c r="AA5985">
        <v>0.98615569999999997</v>
      </c>
      <c r="AB5985">
        <v>29</v>
      </c>
      <c r="AC5985">
        <v>4.1120999999999901</v>
      </c>
      <c r="AD5985">
        <v>-1.1125168876</v>
      </c>
      <c r="AE5985">
        <v>-21.184850000000001</v>
      </c>
      <c r="AF5985">
        <v>-3.5129025752171201</v>
      </c>
      <c r="AG5985">
        <v>-1.1125168876</v>
      </c>
      <c r="AH5985">
        <v>21.234434229651999</v>
      </c>
      <c r="AI5985">
        <v>92.958959989679499</v>
      </c>
      <c r="AJ5985">
        <v>99.393604343662204</v>
      </c>
      <c r="AK5985">
        <v>21.551783577736199</v>
      </c>
      <c r="AL5985">
        <v>78.718068130626804</v>
      </c>
      <c r="AM5985">
        <v>97.753294561046104</v>
      </c>
      <c r="AN5985">
        <v>1.00000000372402</v>
      </c>
    </row>
    <row r="5986" spans="1:40" x14ac:dyDescent="0.25">
      <c r="A5986" t="str">
        <f>"20190304154917313"</f>
        <v>20190304154917313</v>
      </c>
      <c r="B5986" t="str">
        <f>"1551685757303476"</f>
        <v>1551685757303476</v>
      </c>
      <c r="C5986" t="s">
        <v>40</v>
      </c>
      <c r="D5986">
        <v>4.3008110000000004</v>
      </c>
      <c r="E5986">
        <v>0.49506070000000002</v>
      </c>
      <c r="F5986" t="s">
        <v>68</v>
      </c>
      <c r="G5986">
        <v>-418.14830000000001</v>
      </c>
      <c r="H5986" s="1">
        <v>-7.6709960000000006E-6</v>
      </c>
      <c r="I5986">
        <v>27.3841</v>
      </c>
      <c r="J5986">
        <v>-422.11250000000001</v>
      </c>
      <c r="K5986">
        <v>1.112579</v>
      </c>
      <c r="L5986">
        <v>49.871920000000003</v>
      </c>
      <c r="M5986">
        <v>2.9128680000000001E-2</v>
      </c>
      <c r="N5986">
        <v>-1.3864019999999999E-2</v>
      </c>
      <c r="O5986">
        <v>-0.99947940000000002</v>
      </c>
      <c r="P5986">
        <v>0.16036110000000001</v>
      </c>
      <c r="Q5986">
        <v>0.18215709999999999</v>
      </c>
      <c r="R5986">
        <v>-0.970105</v>
      </c>
      <c r="S5986">
        <v>0.53125</v>
      </c>
      <c r="T5986">
        <v>-0.14885019999999999</v>
      </c>
      <c r="U5986">
        <v>-3.03302</v>
      </c>
      <c r="V5986">
        <v>-0.13278039999999999</v>
      </c>
      <c r="W5986">
        <v>0.1951417</v>
      </c>
      <c r="X5986">
        <v>0.97174539999999998</v>
      </c>
      <c r="Y5986">
        <v>-0.14359669999999999</v>
      </c>
      <c r="Z5986">
        <v>3.4548000000000002E-2</v>
      </c>
      <c r="AA5986">
        <v>0.9890331</v>
      </c>
      <c r="AB5986">
        <v>29</v>
      </c>
      <c r="AC5986">
        <v>3.9641999999999999</v>
      </c>
      <c r="AD5986">
        <v>-1.1125866709959999</v>
      </c>
      <c r="AE5986">
        <v>-22.487819999999999</v>
      </c>
      <c r="AF5986">
        <v>-3.2995807560271602</v>
      </c>
      <c r="AG5986">
        <v>-1.1125866709959999</v>
      </c>
      <c r="AH5986">
        <v>22.5402481530679</v>
      </c>
      <c r="AI5986">
        <v>92.796074688948707</v>
      </c>
      <c r="AJ5986">
        <v>98.328158499907403</v>
      </c>
      <c r="AK5986">
        <v>22.807627431802299</v>
      </c>
      <c r="AL5986">
        <v>78.746998800124501</v>
      </c>
      <c r="AM5986">
        <v>97.780775009170895</v>
      </c>
      <c r="AN5986">
        <v>1.0000000200621</v>
      </c>
    </row>
    <row r="5987" spans="1:40" x14ac:dyDescent="0.25">
      <c r="A5987" t="str">
        <f>"20190304154917326"</f>
        <v>20190304154917326</v>
      </c>
      <c r="B5987" t="str">
        <f>"1551685757322995"</f>
        <v>1551685757322995</v>
      </c>
      <c r="C5987" t="s">
        <v>40</v>
      </c>
      <c r="D5987">
        <v>4.3204409999999998</v>
      </c>
      <c r="E5987">
        <v>0.49773689999999998</v>
      </c>
      <c r="F5987" t="s">
        <v>68</v>
      </c>
      <c r="G5987">
        <v>-418.20679999999999</v>
      </c>
      <c r="H5987" s="1">
        <v>-7.6132729999999999E-6</v>
      </c>
      <c r="I5987">
        <v>27.05368</v>
      </c>
      <c r="J5987">
        <v>-422.1062</v>
      </c>
      <c r="K5987">
        <v>1.1126400000000001</v>
      </c>
      <c r="L5987">
        <v>49.702480000000001</v>
      </c>
      <c r="M5987">
        <v>3.0459719999999999E-2</v>
      </c>
      <c r="N5987">
        <v>-1.389055E-2</v>
      </c>
      <c r="O5987">
        <v>-0.99943970000000004</v>
      </c>
      <c r="P5987">
        <v>0.1619004</v>
      </c>
      <c r="Q5987">
        <v>0.1821159</v>
      </c>
      <c r="R5987">
        <v>-0.96985699999999997</v>
      </c>
      <c r="S5987">
        <v>0.51937869999999997</v>
      </c>
      <c r="T5987">
        <v>-0.1479529</v>
      </c>
      <c r="U5987">
        <v>-3.0343930000000001</v>
      </c>
      <c r="V5987">
        <v>-0.13305710000000001</v>
      </c>
      <c r="W5987">
        <v>0.19510569999999999</v>
      </c>
      <c r="X5987">
        <v>0.97171470000000004</v>
      </c>
      <c r="Y5987">
        <v>-0.13844809999999999</v>
      </c>
      <c r="Z5987">
        <v>3.4240640000000003E-2</v>
      </c>
      <c r="AA5987">
        <v>0.98977760000000004</v>
      </c>
      <c r="AB5987">
        <v>29</v>
      </c>
      <c r="AC5987">
        <v>3.8994000000000102</v>
      </c>
      <c r="AD5987">
        <v>-1.1126476132729901</v>
      </c>
      <c r="AE5987">
        <v>-22.648800000000001</v>
      </c>
      <c r="AF5987">
        <v>-3.2001469791574699</v>
      </c>
      <c r="AG5987">
        <v>-1.1126476132729901</v>
      </c>
      <c r="AH5987">
        <v>22.7038593567917</v>
      </c>
      <c r="AI5987">
        <v>92.778229872686197</v>
      </c>
      <c r="AJ5987">
        <v>98.023082103703004</v>
      </c>
      <c r="AK5987">
        <v>22.955264213084401</v>
      </c>
      <c r="AL5987">
        <v>78.749100983616202</v>
      </c>
      <c r="AM5987">
        <v>97.797033378259698</v>
      </c>
      <c r="AN5987">
        <v>0.99999994211449295</v>
      </c>
    </row>
    <row r="5988" spans="1:40" x14ac:dyDescent="0.25">
      <c r="A5988" t="str">
        <f>"20190304154917340"</f>
        <v>20190304154917340</v>
      </c>
      <c r="B5988" t="str">
        <f>"1551685757332755"</f>
        <v>1551685757332755</v>
      </c>
      <c r="C5988" t="s">
        <v>40</v>
      </c>
      <c r="D5988">
        <v>4.3241899999999998</v>
      </c>
      <c r="E5988">
        <v>0.49866250000000001</v>
      </c>
      <c r="F5988" t="s">
        <v>68</v>
      </c>
      <c r="G5988">
        <v>-418.2663</v>
      </c>
      <c r="H5988" s="1">
        <v>-7.5309579999999997E-6</v>
      </c>
      <c r="I5988">
        <v>26.507300000000001</v>
      </c>
      <c r="J5988">
        <v>-422.0994</v>
      </c>
      <c r="K5988">
        <v>1.1126990000000001</v>
      </c>
      <c r="L5988">
        <v>49.525449999999999</v>
      </c>
      <c r="M5988">
        <v>3.1891629999999997E-2</v>
      </c>
      <c r="N5988">
        <v>-1.3916100000000001E-2</v>
      </c>
      <c r="O5988">
        <v>-0.99939440000000002</v>
      </c>
      <c r="P5988">
        <v>0.16394790000000001</v>
      </c>
      <c r="Q5988">
        <v>0.18204870000000001</v>
      </c>
      <c r="R5988">
        <v>-0.96952539999999998</v>
      </c>
      <c r="S5988">
        <v>0.5027161</v>
      </c>
      <c r="T5988">
        <v>-0.1456664</v>
      </c>
      <c r="U5988">
        <v>-3.0366819999999999</v>
      </c>
      <c r="V5988">
        <v>-0.13374549999999999</v>
      </c>
      <c r="W5988">
        <v>0.1950402</v>
      </c>
      <c r="X5988">
        <v>0.97163339999999998</v>
      </c>
      <c r="Y5988">
        <v>-0.1316281</v>
      </c>
      <c r="Z5988">
        <v>3.347895E-2</v>
      </c>
      <c r="AA5988">
        <v>0.99073370000000005</v>
      </c>
      <c r="AB5988">
        <v>29</v>
      </c>
      <c r="AC5988">
        <v>3.8331</v>
      </c>
      <c r="AD5988">
        <v>-1.112706530958</v>
      </c>
      <c r="AE5988">
        <v>-23.018149999999999</v>
      </c>
      <c r="AF5988">
        <v>-3.08996661204774</v>
      </c>
      <c r="AG5988">
        <v>-1.112706530958</v>
      </c>
      <c r="AH5988">
        <v>23.076225420481101</v>
      </c>
      <c r="AI5988">
        <v>92.736208767879106</v>
      </c>
      <c r="AJ5988">
        <v>97.626687904349197</v>
      </c>
      <c r="AK5988">
        <v>23.308757777806701</v>
      </c>
      <c r="AL5988">
        <v>78.752928040169294</v>
      </c>
      <c r="AM5988">
        <v>97.837520637578194</v>
      </c>
      <c r="AN5988">
        <v>1.00000000119092</v>
      </c>
    </row>
    <row r="5989" spans="1:40" x14ac:dyDescent="0.25">
      <c r="A5989" t="str">
        <f>"20190304154917363"</f>
        <v>20190304154917363</v>
      </c>
      <c r="B5989" t="str">
        <f>"1551685757353251"</f>
        <v>1551685757353251</v>
      </c>
      <c r="C5989" t="s">
        <v>40</v>
      </c>
      <c r="D5989">
        <v>4.3125830000000001</v>
      </c>
      <c r="E5989">
        <v>0.49959369999999997</v>
      </c>
      <c r="F5989" t="s">
        <v>68</v>
      </c>
      <c r="G5989">
        <v>-418.25009999999997</v>
      </c>
      <c r="H5989" s="1">
        <v>-7.5075209999999996E-6</v>
      </c>
      <c r="I5989">
        <v>26.248270000000002</v>
      </c>
      <c r="J5989">
        <v>-422.08800000000002</v>
      </c>
      <c r="K5989">
        <v>1.112787</v>
      </c>
      <c r="L5989">
        <v>49.249020000000002</v>
      </c>
      <c r="M5989">
        <v>3.4214439999999999E-2</v>
      </c>
      <c r="N5989">
        <v>-1.395179E-2</v>
      </c>
      <c r="O5989">
        <v>-0.99931729999999996</v>
      </c>
      <c r="P5989">
        <v>0.16678200000000001</v>
      </c>
      <c r="Q5989">
        <v>0.1817319</v>
      </c>
      <c r="R5989">
        <v>-0.96910130000000005</v>
      </c>
      <c r="S5989">
        <v>0.50216669999999997</v>
      </c>
      <c r="T5989">
        <v>-0.14515939999999999</v>
      </c>
      <c r="U5989">
        <v>-3.0366520000000001</v>
      </c>
      <c r="V5989">
        <v>-0.1343675</v>
      </c>
      <c r="W5989">
        <v>0.19472729999999999</v>
      </c>
      <c r="X5989">
        <v>0.97161039999999999</v>
      </c>
      <c r="Y5989">
        <v>-0.12915289999999999</v>
      </c>
      <c r="Z5989">
        <v>3.3284899999999999E-2</v>
      </c>
      <c r="AA5989">
        <v>0.99106590000000006</v>
      </c>
      <c r="AB5989">
        <v>29</v>
      </c>
      <c r="AC5989">
        <v>3.8379000000000398</v>
      </c>
      <c r="AD5989">
        <v>-1.112794507521</v>
      </c>
      <c r="AE5989">
        <v>-23.00075</v>
      </c>
      <c r="AF5989">
        <v>-3.04169144941203</v>
      </c>
      <c r="AG5989">
        <v>-1.112794507521</v>
      </c>
      <c r="AH5989">
        <v>23.066076850192701</v>
      </c>
      <c r="AI5989">
        <v>92.738353012650705</v>
      </c>
      <c r="AJ5989">
        <v>97.512170924827899</v>
      </c>
      <c r="AK5989">
        <v>23.292361403438498</v>
      </c>
      <c r="AL5989">
        <v>78.771206996743004</v>
      </c>
      <c r="AM5989">
        <v>97.873697937738697</v>
      </c>
      <c r="AN5989">
        <v>1.00000005790484</v>
      </c>
    </row>
    <row r="5990" spans="1:40" x14ac:dyDescent="0.25">
      <c r="A5990" t="str">
        <f>"20190304154917383"</f>
        <v>20190304154917383</v>
      </c>
      <c r="B5990" t="str">
        <f>"1551685757372771"</f>
        <v>1551685757372771</v>
      </c>
      <c r="C5990" t="s">
        <v>40</v>
      </c>
      <c r="D5990">
        <v>4.3162849999999997</v>
      </c>
      <c r="E5990">
        <v>0.50099020000000005</v>
      </c>
      <c r="F5990" t="s">
        <v>68</v>
      </c>
      <c r="G5990">
        <v>-418.37349999999998</v>
      </c>
      <c r="H5990" s="1">
        <v>-7.5278710000000002E-6</v>
      </c>
      <c r="I5990">
        <v>26.814309999999999</v>
      </c>
      <c r="J5990">
        <v>-422.07619999999997</v>
      </c>
      <c r="K5990">
        <v>1.11287</v>
      </c>
      <c r="L5990">
        <v>48.978000000000002</v>
      </c>
      <c r="M5990">
        <v>3.6597480000000002E-2</v>
      </c>
      <c r="N5990">
        <v>-1.3982299999999901E-2</v>
      </c>
      <c r="O5990">
        <v>-0.99923240000000002</v>
      </c>
      <c r="P5990">
        <v>0.16988439999999999</v>
      </c>
      <c r="Q5990">
        <v>0.181842</v>
      </c>
      <c r="R5990">
        <v>-0.96854169999999995</v>
      </c>
      <c r="S5990">
        <v>0.50289919999999999</v>
      </c>
      <c r="T5990">
        <v>-0.15065719999999999</v>
      </c>
      <c r="U5990">
        <v>-3.0373540000000001</v>
      </c>
      <c r="V5990">
        <v>-0.13520160000000001</v>
      </c>
      <c r="W5990">
        <v>0.19483629999999999</v>
      </c>
      <c r="X5990">
        <v>0.97147280000000003</v>
      </c>
      <c r="Y5990">
        <v>-0.126973</v>
      </c>
      <c r="Z5990">
        <v>3.5029820000000003E-2</v>
      </c>
      <c r="AA5990">
        <v>0.99128740000000004</v>
      </c>
      <c r="AB5990">
        <v>29</v>
      </c>
      <c r="AC5990">
        <v>3.7026999999999899</v>
      </c>
      <c r="AD5990">
        <v>-1.1128775278709999</v>
      </c>
      <c r="AE5990">
        <v>-22.163689999999999</v>
      </c>
      <c r="AF5990">
        <v>-2.88193592971033</v>
      </c>
      <c r="AG5990">
        <v>-1.1128775278709999</v>
      </c>
      <c r="AH5990">
        <v>22.229837555044899</v>
      </c>
      <c r="AI5990">
        <v>92.842221803338205</v>
      </c>
      <c r="AJ5990">
        <v>97.386779064274094</v>
      </c>
      <c r="AK5990">
        <v>22.443478536507701</v>
      </c>
      <c r="AL5990">
        <v>78.764839472378796</v>
      </c>
      <c r="AM5990">
        <v>97.923063879756697</v>
      </c>
      <c r="AN5990">
        <v>1.0000000287900399</v>
      </c>
    </row>
    <row r="5991" spans="1:40" x14ac:dyDescent="0.25">
      <c r="A5991" t="str">
        <f>"20190304154917400"</f>
        <v>20190304154917400</v>
      </c>
      <c r="B5991" t="str">
        <f>"1551685757393268"</f>
        <v>1551685757393268</v>
      </c>
      <c r="C5991" t="s">
        <v>40</v>
      </c>
      <c r="D5991">
        <v>4.3271160000000002</v>
      </c>
      <c r="E5991">
        <v>0.50193350000000003</v>
      </c>
      <c r="F5991" t="s">
        <v>68</v>
      </c>
      <c r="G5991">
        <v>-418.32499999999999</v>
      </c>
      <c r="H5991" s="1">
        <v>-7.4845540000000003E-6</v>
      </c>
      <c r="I5991">
        <v>26.278089999999999</v>
      </c>
      <c r="J5991">
        <v>-422.06700000000001</v>
      </c>
      <c r="K5991">
        <v>1.112922</v>
      </c>
      <c r="L5991">
        <v>48.777650000000001</v>
      </c>
      <c r="M5991">
        <v>3.8422350000000001E-2</v>
      </c>
      <c r="N5991">
        <v>-1.40024E-2</v>
      </c>
      <c r="O5991">
        <v>-0.99916360000000004</v>
      </c>
      <c r="P5991">
        <v>0.17227400000000001</v>
      </c>
      <c r="Q5991">
        <v>0.18191650000000001</v>
      </c>
      <c r="R5991">
        <v>-0.96810560000000001</v>
      </c>
      <c r="S5991">
        <v>0.5019226</v>
      </c>
      <c r="T5991">
        <v>-0.14890809999999999</v>
      </c>
      <c r="U5991">
        <v>-3.0373540000000001</v>
      </c>
      <c r="V5991">
        <v>-0.13585320000000001</v>
      </c>
      <c r="W5991">
        <v>0.19490779999999999</v>
      </c>
      <c r="X5991">
        <v>0.97136750000000005</v>
      </c>
      <c r="Y5991">
        <v>-0.1248556</v>
      </c>
      <c r="Z5991">
        <v>3.444726E-2</v>
      </c>
      <c r="AA5991">
        <v>0.99157669999999998</v>
      </c>
      <c r="AB5991">
        <v>28</v>
      </c>
      <c r="AC5991">
        <v>3.74199999999996</v>
      </c>
      <c r="AD5991">
        <v>-1.1129294845540001</v>
      </c>
      <c r="AE5991">
        <v>-22.499559999999999</v>
      </c>
      <c r="AF5991">
        <v>-2.8678377204280601</v>
      </c>
      <c r="AG5991">
        <v>-1.1129294845540001</v>
      </c>
      <c r="AH5991">
        <v>22.5729897419019</v>
      </c>
      <c r="AI5991">
        <v>92.800130371652003</v>
      </c>
      <c r="AJ5991">
        <v>97.240484907460299</v>
      </c>
      <c r="AK5991">
        <v>22.7816367084612</v>
      </c>
      <c r="AL5991">
        <v>78.760662209732203</v>
      </c>
      <c r="AM5991">
        <v>97.961612367406403</v>
      </c>
      <c r="AN5991">
        <v>0.99999998125366396</v>
      </c>
    </row>
    <row r="5992" spans="1:40" x14ac:dyDescent="0.25">
      <c r="A5992" t="str">
        <f>"20190304154917412"</f>
        <v>20190304154917412</v>
      </c>
      <c r="B5992" t="str">
        <f>"1551685757403028"</f>
        <v>1551685757403028</v>
      </c>
      <c r="C5992" t="s">
        <v>40</v>
      </c>
      <c r="D5992">
        <v>4.3344579999999997</v>
      </c>
      <c r="E5992">
        <v>0.5023069</v>
      </c>
      <c r="F5992" t="s">
        <v>68</v>
      </c>
      <c r="G5992">
        <v>-418.38650000000001</v>
      </c>
      <c r="H5992" s="1">
        <v>-7.48767799999999E-6</v>
      </c>
      <c r="I5992">
        <v>26.49776</v>
      </c>
      <c r="J5992">
        <v>-422.05869999999999</v>
      </c>
      <c r="K5992">
        <v>1.1129690000000001</v>
      </c>
      <c r="L5992">
        <v>48.603700000000003</v>
      </c>
      <c r="M5992">
        <v>4.0042550000000003E-2</v>
      </c>
      <c r="N5992">
        <v>-1.401849E-2</v>
      </c>
      <c r="O5992">
        <v>-0.99909959999999998</v>
      </c>
      <c r="P5992">
        <v>0.17417869999999999</v>
      </c>
      <c r="Q5992">
        <v>0.18214079999999999</v>
      </c>
      <c r="R5992">
        <v>-0.96772239999999998</v>
      </c>
      <c r="S5992">
        <v>0.50186160000000002</v>
      </c>
      <c r="T5992">
        <v>-0.15175759999999999</v>
      </c>
      <c r="U5992">
        <v>-3.0380549999999999</v>
      </c>
      <c r="V5992">
        <v>-0.1362148</v>
      </c>
      <c r="W5992">
        <v>0.19513</v>
      </c>
      <c r="X5992">
        <v>0.97127229999999998</v>
      </c>
      <c r="Y5992">
        <v>-0.12318510000000001</v>
      </c>
      <c r="Z5992">
        <v>3.534673E-2</v>
      </c>
      <c r="AA5992">
        <v>0.99175409999999997</v>
      </c>
      <c r="AB5992">
        <v>28</v>
      </c>
      <c r="AC5992">
        <v>3.6721999999999699</v>
      </c>
      <c r="AD5992">
        <v>-1.1129764876779999</v>
      </c>
      <c r="AE5992">
        <v>-22.10594</v>
      </c>
      <c r="AF5992">
        <v>-2.7771383870046402</v>
      </c>
      <c r="AG5992">
        <v>-1.1129764876779999</v>
      </c>
      <c r="AH5992">
        <v>22.180550986771799</v>
      </c>
      <c r="AI5992">
        <v>92.850362506241396</v>
      </c>
      <c r="AJ5992">
        <v>97.136638215381197</v>
      </c>
      <c r="AK5992">
        <v>22.381422125492499</v>
      </c>
      <c r="AL5992">
        <v>78.747682466966495</v>
      </c>
      <c r="AM5992">
        <v>97.983303285415204</v>
      </c>
      <c r="AN5992">
        <v>1.0000000346931599</v>
      </c>
    </row>
    <row r="5993" spans="1:40" x14ac:dyDescent="0.25">
      <c r="A5993" t="str">
        <f>"20190304154917426"</f>
        <v>20190304154917426</v>
      </c>
      <c r="B5993" t="str">
        <f>"1551685757423523"</f>
        <v>1551685757423523</v>
      </c>
      <c r="C5993" t="s">
        <v>40</v>
      </c>
      <c r="D5993">
        <v>4.350752</v>
      </c>
      <c r="E5993">
        <v>0.50320299999999996</v>
      </c>
      <c r="F5993" t="s">
        <v>68</v>
      </c>
      <c r="G5993">
        <v>-418.3245</v>
      </c>
      <c r="H5993" s="1">
        <v>-7.4688189999999999E-6</v>
      </c>
      <c r="I5993">
        <v>26.13645</v>
      </c>
      <c r="J5993">
        <v>-422.05020000000002</v>
      </c>
      <c r="K5993">
        <v>1.113016</v>
      </c>
      <c r="L5993">
        <v>48.434539999999998</v>
      </c>
      <c r="M5993">
        <v>4.1664060000000003E-2</v>
      </c>
      <c r="N5993">
        <v>-1.403254E-2</v>
      </c>
      <c r="O5993">
        <v>-0.99903299999999995</v>
      </c>
      <c r="P5993">
        <v>0.1762252</v>
      </c>
      <c r="Q5993">
        <v>0.1820196</v>
      </c>
      <c r="R5993">
        <v>-0.96737470000000003</v>
      </c>
      <c r="S5993">
        <v>0.50485230000000003</v>
      </c>
      <c r="T5993">
        <v>-0.1504711</v>
      </c>
      <c r="U5993">
        <v>-3.037506</v>
      </c>
      <c r="V5993">
        <v>-0.13671340000000001</v>
      </c>
      <c r="W5993">
        <v>0.19500509999999999</v>
      </c>
      <c r="X5993">
        <v>0.97122730000000002</v>
      </c>
      <c r="Y5993">
        <v>-0.1225566</v>
      </c>
      <c r="Z5993">
        <v>3.4919480000000003E-2</v>
      </c>
      <c r="AA5993">
        <v>0.99184700000000003</v>
      </c>
      <c r="AB5993">
        <v>28</v>
      </c>
      <c r="AC5993">
        <v>3.72570000000001</v>
      </c>
      <c r="AD5993">
        <v>-1.1130234688189999</v>
      </c>
      <c r="AE5993">
        <v>-22.298089999999998</v>
      </c>
      <c r="AF5993">
        <v>-2.78658926760939</v>
      </c>
      <c r="AG5993">
        <v>-1.1130234688189999</v>
      </c>
      <c r="AH5993">
        <v>22.379721071167701</v>
      </c>
      <c r="AI5993">
        <v>92.825395786718701</v>
      </c>
      <c r="AJ5993">
        <v>97.097599067889703</v>
      </c>
      <c r="AK5993">
        <v>22.579987072887398</v>
      </c>
      <c r="AL5993">
        <v>78.754978542577604</v>
      </c>
      <c r="AM5993">
        <v>98.012512948715596</v>
      </c>
      <c r="AN5993">
        <v>1.0000000055154299</v>
      </c>
    </row>
    <row r="5994" spans="1:40" x14ac:dyDescent="0.25">
      <c r="A5994" t="str">
        <f>"20190304154917440"</f>
        <v>20190304154917440</v>
      </c>
      <c r="B5994" t="str">
        <f>"1551685757433284"</f>
        <v>1551685757433284</v>
      </c>
      <c r="C5994" t="s">
        <v>40</v>
      </c>
      <c r="D5994">
        <v>4.2555420000000002</v>
      </c>
      <c r="E5994">
        <v>0.50385720000000001</v>
      </c>
      <c r="F5994" t="s">
        <v>68</v>
      </c>
      <c r="G5994">
        <v>-418.28640000000001</v>
      </c>
      <c r="H5994" s="1">
        <v>-7.4390329999999997E-6</v>
      </c>
      <c r="I5994">
        <v>25.75273</v>
      </c>
      <c r="J5994">
        <v>-422.04129999999998</v>
      </c>
      <c r="K5994">
        <v>1.1130610000000001</v>
      </c>
      <c r="L5994">
        <v>48.26343</v>
      </c>
      <c r="M5994">
        <v>4.3337069999999998E-2</v>
      </c>
      <c r="N5994">
        <v>-1.404562E-2</v>
      </c>
      <c r="O5994">
        <v>-0.99896169999999995</v>
      </c>
      <c r="P5994">
        <v>0.1789452</v>
      </c>
      <c r="Q5994">
        <v>0.18222540000000001</v>
      </c>
      <c r="R5994">
        <v>-0.96683640000000004</v>
      </c>
      <c r="S5994">
        <v>0.50402829999999998</v>
      </c>
      <c r="T5994">
        <v>-0.1490495</v>
      </c>
      <c r="U5994">
        <v>-3.0374150000000002</v>
      </c>
      <c r="V5994">
        <v>-0.1378443</v>
      </c>
      <c r="W5994">
        <v>0.19520109999999999</v>
      </c>
      <c r="X5994">
        <v>0.971028</v>
      </c>
      <c r="Y5994">
        <v>-0.1206412</v>
      </c>
      <c r="Z5994">
        <v>3.4450269999999998E-2</v>
      </c>
      <c r="AA5994">
        <v>0.99209820000000004</v>
      </c>
      <c r="AB5994">
        <v>28</v>
      </c>
      <c r="AC5994">
        <v>3.7548999999999602</v>
      </c>
      <c r="AD5994">
        <v>-1.1130684390329999</v>
      </c>
      <c r="AE5994">
        <v>-22.5107</v>
      </c>
      <c r="AF5994">
        <v>-2.7691404460978699</v>
      </c>
      <c r="AG5994">
        <v>-1.1130684390329999</v>
      </c>
      <c r="AH5994">
        <v>22.598533586222199</v>
      </c>
      <c r="AI5994">
        <v>92.798867513296798</v>
      </c>
      <c r="AJ5994">
        <v>96.985985926844705</v>
      </c>
      <c r="AK5994">
        <v>22.794753352642299</v>
      </c>
      <c r="AL5994">
        <v>78.743527883337293</v>
      </c>
      <c r="AM5994">
        <v>98.079557621408995</v>
      </c>
      <c r="AN5994">
        <v>0.999999948633848</v>
      </c>
    </row>
    <row r="5995" spans="1:40" x14ac:dyDescent="0.25">
      <c r="A5995" t="str">
        <f>"20190304154917456"</f>
        <v>20190304154917456</v>
      </c>
      <c r="B5995" t="str">
        <f>"1551685757453780"</f>
        <v>1551685757453780</v>
      </c>
      <c r="C5995" t="s">
        <v>40</v>
      </c>
      <c r="D5995">
        <v>4.3711209999999996</v>
      </c>
      <c r="E5995">
        <v>0.50511839999999997</v>
      </c>
      <c r="F5995" t="s">
        <v>68</v>
      </c>
      <c r="G5995">
        <v>-418.1574</v>
      </c>
      <c r="H5995" s="1">
        <v>-7.4030799999999998E-6</v>
      </c>
      <c r="I5995">
        <v>25.030719999999999</v>
      </c>
      <c r="J5995">
        <v>-422.03070000000002</v>
      </c>
      <c r="K5995">
        <v>1.113113</v>
      </c>
      <c r="L5995">
        <v>48.065770000000001</v>
      </c>
      <c r="M5995">
        <v>4.5308029999999999E-2</v>
      </c>
      <c r="N5995">
        <v>-1.4059530000000001E-2</v>
      </c>
      <c r="O5995">
        <v>-0.99887420000000005</v>
      </c>
      <c r="P5995">
        <v>0.18128079999999999</v>
      </c>
      <c r="Q5995">
        <v>0.18235029999999999</v>
      </c>
      <c r="R5995">
        <v>-0.96637770000000001</v>
      </c>
      <c r="S5995">
        <v>0.50759889999999996</v>
      </c>
      <c r="T5995">
        <v>-0.1454713</v>
      </c>
      <c r="U5995">
        <v>-3.0363769999999999</v>
      </c>
      <c r="V5995">
        <v>-0.13830120000000001</v>
      </c>
      <c r="W5995">
        <v>0.19531989999999999</v>
      </c>
      <c r="X5995">
        <v>0.9709392</v>
      </c>
      <c r="Y5995">
        <v>-0.1198801</v>
      </c>
      <c r="Z5995">
        <v>3.3285679999999998E-2</v>
      </c>
      <c r="AA5995">
        <v>0.99223019999999995</v>
      </c>
      <c r="AB5995">
        <v>28</v>
      </c>
      <c r="AC5995">
        <v>3.8733000000000199</v>
      </c>
      <c r="AD5995">
        <v>-1.1131204030799999</v>
      </c>
      <c r="AE5995">
        <v>-23.035049999999998</v>
      </c>
      <c r="AF5995">
        <v>-2.81914377829241</v>
      </c>
      <c r="AG5995">
        <v>-1.1131204030799999</v>
      </c>
      <c r="AH5995">
        <v>23.134362999051401</v>
      </c>
      <c r="AI5995">
        <v>92.734490627465803</v>
      </c>
      <c r="AJ5995">
        <v>96.947783844426695</v>
      </c>
      <c r="AK5995">
        <v>23.332067204735999</v>
      </c>
      <c r="AL5995">
        <v>78.736588226546999</v>
      </c>
      <c r="AM5995">
        <v>98.106714352266295</v>
      </c>
      <c r="AN5995">
        <v>1.0000000076770399</v>
      </c>
    </row>
    <row r="5996" spans="1:40" x14ac:dyDescent="0.25">
      <c r="A5996" t="str">
        <f>"20190304154917470"</f>
        <v>20190304154917470</v>
      </c>
      <c r="B5996" t="str">
        <f>"1551685757463541"</f>
        <v>1551685757463541</v>
      </c>
      <c r="C5996" t="s">
        <v>40</v>
      </c>
      <c r="D5996">
        <v>4.3486649999999996</v>
      </c>
      <c r="E5996">
        <v>0.50571199999999905</v>
      </c>
      <c r="F5996" t="s">
        <v>68</v>
      </c>
      <c r="G5996">
        <v>-417.98700000000002</v>
      </c>
      <c r="H5996" s="1">
        <v>-7.3197659999999899E-6</v>
      </c>
      <c r="I5996">
        <v>23.758009999999999</v>
      </c>
      <c r="J5996">
        <v>-422.02050000000003</v>
      </c>
      <c r="K5996">
        <v>1.1131679999999999</v>
      </c>
      <c r="L5996">
        <v>47.882170000000002</v>
      </c>
      <c r="M5996">
        <v>4.7182000000000002E-2</v>
      </c>
      <c r="N5996">
        <v>-1.407135E-2</v>
      </c>
      <c r="O5996">
        <v>-0.99878730000000004</v>
      </c>
      <c r="P5996">
        <v>0.1834924</v>
      </c>
      <c r="Q5996">
        <v>0.18283340000000001</v>
      </c>
      <c r="R5996">
        <v>-0.96586899999999998</v>
      </c>
      <c r="S5996">
        <v>0.50503540000000002</v>
      </c>
      <c r="T5996">
        <v>-0.13902039999999999</v>
      </c>
      <c r="U5996">
        <v>-3.0358580000000002</v>
      </c>
      <c r="V5996">
        <v>-0.13873269999999999</v>
      </c>
      <c r="W5996">
        <v>0.195794</v>
      </c>
      <c r="X5996">
        <v>0.97078209999999998</v>
      </c>
      <c r="Y5996">
        <v>-0.11724329999999999</v>
      </c>
      <c r="Z5996">
        <v>3.1194360000000001E-2</v>
      </c>
      <c r="AA5996">
        <v>0.99261319999999997</v>
      </c>
      <c r="AB5996">
        <v>28</v>
      </c>
      <c r="AC5996">
        <v>4.0335000000000596</v>
      </c>
      <c r="AD5996">
        <v>-1.1131753197659999</v>
      </c>
      <c r="AE5996">
        <v>-24.12416</v>
      </c>
      <c r="AF5996">
        <v>-2.8846931992749201</v>
      </c>
      <c r="AG5996">
        <v>-1.1131753197659999</v>
      </c>
      <c r="AH5996">
        <v>24.2374116484661</v>
      </c>
      <c r="AI5996">
        <v>92.611227760859904</v>
      </c>
      <c r="AJ5996">
        <v>96.787312751261496</v>
      </c>
      <c r="AK5996">
        <v>24.4338441012396</v>
      </c>
      <c r="AL5996">
        <v>78.708889058496197</v>
      </c>
      <c r="AM5996">
        <v>98.132967883721506</v>
      </c>
      <c r="AN5996">
        <v>0.99999996908284905</v>
      </c>
    </row>
    <row r="5997" spans="1:40" x14ac:dyDescent="0.25">
      <c r="A5997" t="str">
        <f>"20190304154917484"</f>
        <v>20190304154917484</v>
      </c>
      <c r="B5997" t="str">
        <f>"1551685757473300"</f>
        <v>1551685757473300</v>
      </c>
      <c r="C5997" t="s">
        <v>40</v>
      </c>
      <c r="D5997">
        <v>4.3830989999999996</v>
      </c>
      <c r="E5997">
        <v>0.50627120000000003</v>
      </c>
      <c r="F5997" t="s">
        <v>68</v>
      </c>
      <c r="G5997">
        <v>-417.86860000000001</v>
      </c>
      <c r="H5997" s="1">
        <v>-7.2806489999999899E-6</v>
      </c>
      <c r="I5997">
        <v>23.040790000000001</v>
      </c>
      <c r="J5997">
        <v>-422.01069999999999</v>
      </c>
      <c r="K5997">
        <v>1.113218</v>
      </c>
      <c r="L5997">
        <v>47.713230000000003</v>
      </c>
      <c r="M5997">
        <v>4.8956920000000001E-2</v>
      </c>
      <c r="N5997">
        <v>-1.4081349999999999E-2</v>
      </c>
      <c r="O5997">
        <v>-0.99870179999999997</v>
      </c>
      <c r="P5997">
        <v>0.18655910000000001</v>
      </c>
      <c r="Q5997">
        <v>0.18380150000000001</v>
      </c>
      <c r="R5997">
        <v>-0.96509750000000005</v>
      </c>
      <c r="S5997">
        <v>0.5073242</v>
      </c>
      <c r="T5997">
        <v>-0.1360189</v>
      </c>
      <c r="U5997">
        <v>-3.0353699999999999</v>
      </c>
      <c r="V5997">
        <v>-0.140129799999999</v>
      </c>
      <c r="W5997">
        <v>0.19674410000000001</v>
      </c>
      <c r="X5997">
        <v>0.97038930000000001</v>
      </c>
      <c r="Y5997">
        <v>-0.1162386</v>
      </c>
      <c r="Z5997">
        <v>3.0213460000000001E-2</v>
      </c>
      <c r="AA5997">
        <v>0.99276169999999997</v>
      </c>
      <c r="AB5997">
        <v>28</v>
      </c>
      <c r="AC5997">
        <v>4.1420999999999699</v>
      </c>
      <c r="AD5997">
        <v>-1.1132252806489999</v>
      </c>
      <c r="AE5997">
        <v>-24.672440000000002</v>
      </c>
      <c r="AF5997">
        <v>-2.9233376748066902</v>
      </c>
      <c r="AG5997">
        <v>-1.1132252806489999</v>
      </c>
      <c r="AH5997">
        <v>24.796555924673999</v>
      </c>
      <c r="AI5997">
        <v>92.552874770681498</v>
      </c>
      <c r="AJ5997">
        <v>96.723729291473205</v>
      </c>
      <c r="AK5997">
        <v>24.993086232234401</v>
      </c>
      <c r="AL5997">
        <v>78.653372870840101</v>
      </c>
      <c r="AM5997">
        <v>98.217037828732899</v>
      </c>
      <c r="AN5997">
        <v>0.99999999764366998</v>
      </c>
    </row>
    <row r="5998" spans="1:40" x14ac:dyDescent="0.25">
      <c r="A5998" t="str">
        <f>"20190304154917499"</f>
        <v>20190304154917499</v>
      </c>
      <c r="B5998" t="str">
        <f>"1551685757493796"</f>
        <v>1551685757493796</v>
      </c>
      <c r="C5998" t="s">
        <v>40</v>
      </c>
      <c r="D5998">
        <v>4.3843719999999999</v>
      </c>
      <c r="E5998">
        <v>0.50705489999999998</v>
      </c>
      <c r="F5998" t="s">
        <v>68</v>
      </c>
      <c r="G5998">
        <v>-417.67880000000002</v>
      </c>
      <c r="H5998" s="1">
        <v>-7.2347029999999901E-6</v>
      </c>
      <c r="I5998">
        <v>22.040150000000001</v>
      </c>
      <c r="J5998">
        <v>-421.99880000000002</v>
      </c>
      <c r="K5998">
        <v>1.1132740000000001</v>
      </c>
      <c r="L5998">
        <v>47.516910000000003</v>
      </c>
      <c r="M5998">
        <v>5.1059729999999998E-2</v>
      </c>
      <c r="N5998">
        <v>-1.40923E-2</v>
      </c>
      <c r="O5998">
        <v>-0.99859620000000004</v>
      </c>
      <c r="P5998">
        <v>0.1890269</v>
      </c>
      <c r="Q5998">
        <v>0.18408649999999999</v>
      </c>
      <c r="R5998">
        <v>-0.9645627</v>
      </c>
      <c r="S5998">
        <v>0.51202389999999998</v>
      </c>
      <c r="T5998">
        <v>-0.13158399999999901</v>
      </c>
      <c r="U5998">
        <v>-3.0345759999999999</v>
      </c>
      <c r="V5998">
        <v>-0.1405989</v>
      </c>
      <c r="W5998">
        <v>0.1970171</v>
      </c>
      <c r="X5998">
        <v>0.97026599999999996</v>
      </c>
      <c r="Y5998">
        <v>-0.1156932</v>
      </c>
      <c r="Z5998">
        <v>2.8765659999999998E-2</v>
      </c>
      <c r="AA5998">
        <v>0.99286839999999998</v>
      </c>
      <c r="AB5998">
        <v>28</v>
      </c>
      <c r="AC5998">
        <v>4.3199999999999896</v>
      </c>
      <c r="AD5998">
        <v>-1.1132812347029999</v>
      </c>
      <c r="AE5998">
        <v>-25.476759999999899</v>
      </c>
      <c r="AF5998">
        <v>-3.0078153200610598</v>
      </c>
      <c r="AG5998">
        <v>-1.1132812347029999</v>
      </c>
      <c r="AH5998">
        <v>25.616573566918898</v>
      </c>
      <c r="AI5998">
        <v>92.471517578366004</v>
      </c>
      <c r="AJ5998">
        <v>96.696821998646797</v>
      </c>
      <c r="AK5998">
        <v>25.816568118487499</v>
      </c>
      <c r="AL5998">
        <v>78.6374183091025</v>
      </c>
      <c r="AM5998">
        <v>98.245201040237902</v>
      </c>
      <c r="AN5998">
        <v>0.99999994956480798</v>
      </c>
    </row>
    <row r="5999" spans="1:40" x14ac:dyDescent="0.25">
      <c r="A5999" t="str">
        <f>"20190304154917514"</f>
        <v>20190304154917514</v>
      </c>
      <c r="B5999" t="str">
        <f>"1551685757503556"</f>
        <v>1551685757503556</v>
      </c>
      <c r="C5999" t="s">
        <v>40</v>
      </c>
      <c r="D5999">
        <v>4.3585209999999996</v>
      </c>
      <c r="E5999">
        <v>0.50731709999999997</v>
      </c>
      <c r="F5999" t="s">
        <v>68</v>
      </c>
      <c r="G5999">
        <v>-417.57709999999997</v>
      </c>
      <c r="H5999" s="1">
        <v>-7.2063589999999997E-6</v>
      </c>
      <c r="I5999">
        <v>21.404440000000001</v>
      </c>
      <c r="J5999">
        <v>-421.98779999999999</v>
      </c>
      <c r="K5999">
        <v>1.1133230000000001</v>
      </c>
      <c r="L5999">
        <v>47.338619999999999</v>
      </c>
      <c r="M5999">
        <v>5.3009969999999997E-2</v>
      </c>
      <c r="N5999">
        <v>-1.410162E-2</v>
      </c>
      <c r="O5999">
        <v>-0.99849469999999996</v>
      </c>
      <c r="P5999">
        <v>0.1911011</v>
      </c>
      <c r="Q5999">
        <v>0.1844432</v>
      </c>
      <c r="R5999">
        <v>-0.96408590000000005</v>
      </c>
      <c r="S5999">
        <v>0.51379390000000003</v>
      </c>
      <c r="T5999">
        <v>-0.1293608</v>
      </c>
      <c r="U5999">
        <v>-3.0342099999999999</v>
      </c>
      <c r="V5999">
        <v>-0.14082120000000001</v>
      </c>
      <c r="W5999">
        <v>0.19736400000000001</v>
      </c>
      <c r="X5999">
        <v>0.97016329999999995</v>
      </c>
      <c r="Y5999">
        <v>-0.1143405</v>
      </c>
      <c r="Z5999">
        <v>2.8036720000000001E-2</v>
      </c>
      <c r="AA5999">
        <v>0.99304590000000004</v>
      </c>
      <c r="AB5999">
        <v>28</v>
      </c>
      <c r="AC5999">
        <v>4.4107000000000198</v>
      </c>
      <c r="AD5999">
        <v>-1.113330206359</v>
      </c>
      <c r="AE5999">
        <v>-25.934180000000001</v>
      </c>
      <c r="AF5999">
        <v>-3.0241742416738</v>
      </c>
      <c r="AG5999">
        <v>-1.113330206359</v>
      </c>
      <c r="AH5999">
        <v>26.084822655548301</v>
      </c>
      <c r="AI5999">
        <v>92.427724742469195</v>
      </c>
      <c r="AJ5999">
        <v>96.613128823253902</v>
      </c>
      <c r="AK5999">
        <v>26.283133507323601</v>
      </c>
      <c r="AL5999">
        <v>78.617144835893797</v>
      </c>
      <c r="AM5999">
        <v>98.258919946119903</v>
      </c>
      <c r="AN5999">
        <v>0.999999993766164</v>
      </c>
    </row>
    <row r="6000" spans="1:40" x14ac:dyDescent="0.25">
      <c r="A6000" t="str">
        <f>"20190304154917527"</f>
        <v>20190304154917527</v>
      </c>
      <c r="B6000" t="str">
        <f>"1551685757523076"</f>
        <v>1551685757523076</v>
      </c>
      <c r="C6000" t="s">
        <v>40</v>
      </c>
      <c r="D6000">
        <v>4.3908610000000001</v>
      </c>
      <c r="E6000">
        <v>0.50830350000000002</v>
      </c>
      <c r="F6000" t="s">
        <v>68</v>
      </c>
      <c r="G6000">
        <v>-417.48090000000002</v>
      </c>
      <c r="H6000" s="1">
        <v>-7.1965779999999997E-6</v>
      </c>
      <c r="I6000">
        <v>20.956340000000001</v>
      </c>
      <c r="J6000">
        <v>-421.97660000000002</v>
      </c>
      <c r="K6000">
        <v>1.1133740000000001</v>
      </c>
      <c r="L6000">
        <v>47.165990000000001</v>
      </c>
      <c r="M6000">
        <v>5.4946790000000002E-2</v>
      </c>
      <c r="N6000">
        <v>-1.4109969999999999E-2</v>
      </c>
      <c r="O6000">
        <v>-0.99838979999999999</v>
      </c>
      <c r="P6000">
        <v>0.1932209</v>
      </c>
      <c r="Q6000">
        <v>0.18452160000000001</v>
      </c>
      <c r="R6000">
        <v>-0.96364830000000001</v>
      </c>
      <c r="S6000">
        <v>0.51821899999999999</v>
      </c>
      <c r="T6000">
        <v>-0.1280152</v>
      </c>
      <c r="U6000">
        <v>-3.0335390000000002</v>
      </c>
      <c r="V6000">
        <v>-0.14109820000000001</v>
      </c>
      <c r="W6000">
        <v>0.1974313</v>
      </c>
      <c r="X6000">
        <v>0.97010929999999995</v>
      </c>
      <c r="Y6000">
        <v>-0.1138599</v>
      </c>
      <c r="Z6000">
        <v>2.7592849999999999E-2</v>
      </c>
      <c r="AA6000">
        <v>0.99311360000000004</v>
      </c>
      <c r="AB6000">
        <v>28</v>
      </c>
      <c r="AC6000">
        <v>4.4956999999999896</v>
      </c>
      <c r="AD6000">
        <v>-1.1133811965780001</v>
      </c>
      <c r="AE6000">
        <v>-26.20965</v>
      </c>
      <c r="AF6000">
        <v>-3.0432929515812499</v>
      </c>
      <c r="AG6000">
        <v>-1.1133811965780001</v>
      </c>
      <c r="AH6000">
        <v>26.3708685492321</v>
      </c>
      <c r="AI6000">
        <v>92.401677786260507</v>
      </c>
      <c r="AJ6000">
        <v>96.583017640624604</v>
      </c>
      <c r="AK6000">
        <v>26.569229528138699</v>
      </c>
      <c r="AL6000">
        <v>78.613210780514507</v>
      </c>
      <c r="AM6000">
        <v>98.275395003398401</v>
      </c>
      <c r="AN6000">
        <v>0.99999993710470803</v>
      </c>
    </row>
    <row r="6001" spans="1:40" x14ac:dyDescent="0.25">
      <c r="A6001" t="str">
        <f>"20190304154917541"</f>
        <v>20190304154917541</v>
      </c>
      <c r="B6001" t="str">
        <f>"1551685757532836"</f>
        <v>1551685757532836</v>
      </c>
      <c r="C6001" t="s">
        <v>40</v>
      </c>
      <c r="D6001">
        <v>4.3711390000000003</v>
      </c>
      <c r="E6001">
        <v>0.50868150000000001</v>
      </c>
      <c r="F6001" t="s">
        <v>68</v>
      </c>
      <c r="G6001">
        <v>-417.39819999999997</v>
      </c>
      <c r="H6001" s="1">
        <v>-7.1602380000000003E-6</v>
      </c>
      <c r="I6001">
        <v>20.291589999999999</v>
      </c>
      <c r="J6001">
        <v>-421.96519999999998</v>
      </c>
      <c r="K6001">
        <v>1.1134200000000001</v>
      </c>
      <c r="L6001">
        <v>46.997070000000001</v>
      </c>
      <c r="M6001">
        <v>5.6879859999999997E-2</v>
      </c>
      <c r="N6001">
        <v>-1.411752E-2</v>
      </c>
      <c r="O6001">
        <v>-0.99828130000000004</v>
      </c>
      <c r="P6001">
        <v>0.1961899</v>
      </c>
      <c r="Q6001">
        <v>0.1847298</v>
      </c>
      <c r="R6001">
        <v>-0.96300810000000003</v>
      </c>
      <c r="S6001">
        <v>0.51681520000000003</v>
      </c>
      <c r="T6001">
        <v>-0.1256806</v>
      </c>
      <c r="U6001">
        <v>-3.03363</v>
      </c>
      <c r="V6001">
        <v>-0.14223740000000001</v>
      </c>
      <c r="W6001">
        <v>0.19762250000000001</v>
      </c>
      <c r="X6001">
        <v>0.96990410000000005</v>
      </c>
      <c r="Y6001">
        <v>-0.1114893</v>
      </c>
      <c r="Z6001">
        <v>2.6828419999999999E-2</v>
      </c>
      <c r="AA6001">
        <v>0.99340340000000005</v>
      </c>
      <c r="AB6001">
        <v>28</v>
      </c>
      <c r="AC6001">
        <v>4.5670000000000002</v>
      </c>
      <c r="AD6001">
        <v>-1.1134271602379999</v>
      </c>
      <c r="AE6001">
        <v>-26.705479999999898</v>
      </c>
      <c r="AF6001">
        <v>-3.0353231115627799</v>
      </c>
      <c r="AG6001">
        <v>-1.1134271602379999</v>
      </c>
      <c r="AH6001">
        <v>26.876640261188498</v>
      </c>
      <c r="AI6001">
        <v>92.3572858901112</v>
      </c>
      <c r="AJ6001">
        <v>96.443418215747101</v>
      </c>
      <c r="AK6001">
        <v>27.070402622829299</v>
      </c>
      <c r="AL6001">
        <v>78.602036915742701</v>
      </c>
      <c r="AM6001">
        <v>98.343012493907395</v>
      </c>
      <c r="AN6001">
        <v>1.0000000468309</v>
      </c>
    </row>
    <row r="6002" spans="1:40" x14ac:dyDescent="0.25">
      <c r="A6002" t="str">
        <f>"20190304154917574"</f>
        <v>20190304154917574</v>
      </c>
      <c r="B6002" t="str">
        <f>"1551685757563515"</f>
        <v>1551685757563515</v>
      </c>
      <c r="C6002" t="s">
        <v>40</v>
      </c>
      <c r="D6002">
        <v>4.6291650000000004</v>
      </c>
      <c r="E6002">
        <v>0.52554060000000002</v>
      </c>
      <c r="F6002" t="s">
        <v>68</v>
      </c>
      <c r="G6002">
        <v>-417.28289999999998</v>
      </c>
      <c r="H6002" s="1">
        <v>-7.1521230000000001E-6</v>
      </c>
      <c r="I6002">
        <v>19.790679999999998</v>
      </c>
      <c r="J6002">
        <v>-421.9366</v>
      </c>
      <c r="K6002">
        <v>1.1135360000000001</v>
      </c>
      <c r="L6002">
        <v>46.590699999999998</v>
      </c>
      <c r="M6002">
        <v>6.1667819999999998E-2</v>
      </c>
      <c r="N6002">
        <v>-1.413348E-2</v>
      </c>
      <c r="O6002">
        <v>-0.99799680000000002</v>
      </c>
      <c r="P6002">
        <v>0.20107559999999999</v>
      </c>
      <c r="Q6002">
        <v>0.18525130000000001</v>
      </c>
      <c r="R6002">
        <v>-0.96189959999999997</v>
      </c>
      <c r="S6002">
        <v>0.52194209999999996</v>
      </c>
      <c r="T6002">
        <v>-0.1241145</v>
      </c>
      <c r="U6002">
        <v>-3.032715</v>
      </c>
      <c r="V6002">
        <v>-0.14256869999999999</v>
      </c>
      <c r="W6002">
        <v>0.1981194</v>
      </c>
      <c r="X6002">
        <v>0.969754</v>
      </c>
      <c r="Y6002">
        <v>-0.1084069</v>
      </c>
      <c r="Z6002">
        <v>2.630627E-2</v>
      </c>
      <c r="AA6002">
        <v>0.99375849999999999</v>
      </c>
      <c r="AB6002">
        <v>28</v>
      </c>
      <c r="AC6002">
        <v>4.6537000000000104</v>
      </c>
      <c r="AD6002">
        <v>-1.1135431521229999</v>
      </c>
      <c r="AE6002">
        <v>-26.80002</v>
      </c>
      <c r="AF6002">
        <v>-2.98697151615487</v>
      </c>
      <c r="AG6002">
        <v>-1.1135431521229999</v>
      </c>
      <c r="AH6002">
        <v>26.990781026174101</v>
      </c>
      <c r="AI6002">
        <v>92.348160233124503</v>
      </c>
      <c r="AJ6002">
        <v>96.315018973075098</v>
      </c>
      <c r="AK6002">
        <v>27.1783781266072</v>
      </c>
      <c r="AL6002">
        <v>78.572991553828999</v>
      </c>
      <c r="AM6002">
        <v>98.363446614556693</v>
      </c>
      <c r="AN6002">
        <v>0.99999997569602395</v>
      </c>
    </row>
    <row r="6003" spans="1:40" x14ac:dyDescent="0.25">
      <c r="A6003" t="str">
        <f>"20190304154917596"</f>
        <v>20190304154917596</v>
      </c>
      <c r="B6003" t="str">
        <f>"1551685757592795"</f>
        <v>1551685757592795</v>
      </c>
      <c r="C6003" t="s">
        <v>40</v>
      </c>
      <c r="D6003">
        <v>4.5062300000000004</v>
      </c>
      <c r="E6003">
        <v>0.52676330000000005</v>
      </c>
      <c r="F6003" t="s">
        <v>45</v>
      </c>
      <c r="G6003">
        <v>-415.52440000000001</v>
      </c>
      <c r="H6003">
        <v>-0.05</v>
      </c>
      <c r="I6003">
        <v>-1.75062599999999</v>
      </c>
      <c r="J6003">
        <v>-421.91520000000003</v>
      </c>
      <c r="K6003">
        <v>1.113604</v>
      </c>
      <c r="L6003">
        <v>46.305689999999998</v>
      </c>
      <c r="M6003">
        <v>6.5155539999999998E-2</v>
      </c>
      <c r="N6003">
        <v>-1.4143029999999999E-2</v>
      </c>
      <c r="O6003">
        <v>-0.99777499999999997</v>
      </c>
      <c r="P6003">
        <v>0.20485</v>
      </c>
      <c r="Q6003">
        <v>0.18586800000000001</v>
      </c>
      <c r="R6003">
        <v>-0.96098399999999995</v>
      </c>
      <c r="S6003">
        <v>0.40435789999999999</v>
      </c>
      <c r="T6003">
        <v>-7.33732E-2</v>
      </c>
      <c r="U6003">
        <v>-3.0484309999999999</v>
      </c>
      <c r="V6003">
        <v>-0.14303060000000001</v>
      </c>
      <c r="W6003">
        <v>0.19871710000000001</v>
      </c>
      <c r="X6003">
        <v>0.96956370000000003</v>
      </c>
      <c r="Y6003">
        <v>-6.6593020000000003E-2</v>
      </c>
      <c r="Z6003">
        <v>9.7739100000000002E-3</v>
      </c>
      <c r="AA6003">
        <v>0.99773230000000002</v>
      </c>
      <c r="AB6003">
        <v>28</v>
      </c>
      <c r="AC6003">
        <v>6.3908000000000103</v>
      </c>
      <c r="AD6003">
        <v>-1.1636040000000001</v>
      </c>
      <c r="AE6003">
        <v>-48.056315999999903</v>
      </c>
      <c r="AF6003">
        <v>-3.2439007240840199</v>
      </c>
      <c r="AG6003">
        <v>-1.1636040000000001</v>
      </c>
      <c r="AH6003">
        <v>48.342769158934303</v>
      </c>
      <c r="AI6003">
        <v>91.375742924767806</v>
      </c>
      <c r="AJ6003">
        <v>93.838911500264004</v>
      </c>
      <c r="AK6003">
        <v>48.465453635868698</v>
      </c>
      <c r="AL6003">
        <v>78.538051481937998</v>
      </c>
      <c r="AM6003">
        <v>98.391781085774696</v>
      </c>
      <c r="AN6003">
        <v>1.0000000033632299</v>
      </c>
    </row>
    <row r="6004" spans="1:40" x14ac:dyDescent="0.25">
      <c r="A6004" t="str">
        <f>"20190304154917619"</f>
        <v>20190304154917619</v>
      </c>
      <c r="B6004" t="str">
        <f>"1551685757613291"</f>
        <v>1551685757613291</v>
      </c>
      <c r="C6004" t="s">
        <v>40</v>
      </c>
      <c r="D6004">
        <v>4.5888299999999997</v>
      </c>
      <c r="E6004">
        <v>0.52756219999999998</v>
      </c>
      <c r="F6004" t="s">
        <v>45</v>
      </c>
      <c r="G6004">
        <v>-415.12060000000002</v>
      </c>
      <c r="H6004">
        <v>-0.05</v>
      </c>
      <c r="I6004">
        <v>-4.566071</v>
      </c>
      <c r="J6004">
        <v>-421.89299999999997</v>
      </c>
      <c r="K6004">
        <v>1.113659</v>
      </c>
      <c r="L6004">
        <v>46.02563</v>
      </c>
      <c r="M6004">
        <v>6.8660250000000006E-2</v>
      </c>
      <c r="N6004">
        <v>-1.4151159999999999E-2</v>
      </c>
      <c r="O6004">
        <v>-0.99753970000000003</v>
      </c>
      <c r="P6004">
        <v>0.2086037</v>
      </c>
      <c r="Q6004">
        <v>0.18582109999999999</v>
      </c>
      <c r="R6004">
        <v>-0.96018510000000001</v>
      </c>
      <c r="S6004">
        <v>0.40716550000000001</v>
      </c>
      <c r="T6004">
        <v>-6.9728970000000001E-2</v>
      </c>
      <c r="U6004">
        <v>-3.048492</v>
      </c>
      <c r="V6004">
        <v>-0.1434406</v>
      </c>
      <c r="W6004">
        <v>0.19865540000000001</v>
      </c>
      <c r="X6004">
        <v>0.96951569999999998</v>
      </c>
      <c r="Y6004">
        <v>-6.3990610000000003E-2</v>
      </c>
      <c r="Z6004">
        <v>8.5772019999999904E-3</v>
      </c>
      <c r="AA6004">
        <v>0.99791370000000001</v>
      </c>
      <c r="AB6004">
        <v>28</v>
      </c>
      <c r="AC6004">
        <v>6.7724000000000002</v>
      </c>
      <c r="AD6004">
        <v>-1.163659</v>
      </c>
      <c r="AE6004">
        <v>-50.591701</v>
      </c>
      <c r="AF6004">
        <v>-3.2807227086292499</v>
      </c>
      <c r="AG6004">
        <v>-1.163659</v>
      </c>
      <c r="AH6004">
        <v>50.910866970172599</v>
      </c>
      <c r="AI6004">
        <v>91.306660365293197</v>
      </c>
      <c r="AJ6004">
        <v>93.687071807348801</v>
      </c>
      <c r="AK6004">
        <v>51.029732699807496</v>
      </c>
      <c r="AL6004">
        <v>78.541657729136304</v>
      </c>
      <c r="AM6004">
        <v>98.415902973775104</v>
      </c>
      <c r="AN6004">
        <v>0.99999993311200197</v>
      </c>
    </row>
    <row r="6005" spans="1:40" x14ac:dyDescent="0.25">
      <c r="A6005" t="str">
        <f>"20190304154917641"</f>
        <v>20190304154917641</v>
      </c>
      <c r="B6005" t="str">
        <f>"1551685757633789"</f>
        <v>1551685757633789</v>
      </c>
      <c r="C6005" t="s">
        <v>40</v>
      </c>
      <c r="D6005">
        <v>4.3565269999999998</v>
      </c>
      <c r="E6005">
        <v>0.52775280000000002</v>
      </c>
      <c r="F6005" t="s">
        <v>85</v>
      </c>
      <c r="G6005">
        <v>-415.8304</v>
      </c>
      <c r="H6005">
        <v>0.1348096</v>
      </c>
      <c r="I6005">
        <v>1.278095</v>
      </c>
      <c r="J6005">
        <v>-421.87</v>
      </c>
      <c r="K6005">
        <v>1.1137090000000001</v>
      </c>
      <c r="L6005">
        <v>45.747219999999999</v>
      </c>
      <c r="M6005">
        <v>7.2224449999999996E-2</v>
      </c>
      <c r="N6005">
        <v>-1.415805E-2</v>
      </c>
      <c r="O6005">
        <v>-0.99728799999999995</v>
      </c>
      <c r="P6005">
        <v>0.2126797</v>
      </c>
      <c r="Q6005">
        <v>0.1849093</v>
      </c>
      <c r="R6005">
        <v>-0.95946679999999995</v>
      </c>
      <c r="S6005">
        <v>0.41290280000000001</v>
      </c>
      <c r="T6005">
        <v>-6.6667909999999997E-2</v>
      </c>
      <c r="U6005">
        <v>-3.0476070000000002</v>
      </c>
      <c r="V6005">
        <v>-0.14410149999999999</v>
      </c>
      <c r="W6005">
        <v>0.19772960000000001</v>
      </c>
      <c r="X6005">
        <v>0.96960710000000006</v>
      </c>
      <c r="Y6005">
        <v>-6.2309610000000001E-2</v>
      </c>
      <c r="Z6005">
        <v>7.5765529999999998E-3</v>
      </c>
      <c r="AA6005">
        <v>0.99802809999999997</v>
      </c>
      <c r="AB6005">
        <v>28</v>
      </c>
      <c r="AC6005">
        <v>6.0396000000000001</v>
      </c>
      <c r="AD6005">
        <v>-0.97889939999999998</v>
      </c>
      <c r="AE6005">
        <v>-44.469124999999998</v>
      </c>
      <c r="AF6005">
        <v>-2.8104069022057501</v>
      </c>
      <c r="AG6005">
        <v>-0.97889939999999998</v>
      </c>
      <c r="AH6005">
        <v>44.767916394651799</v>
      </c>
      <c r="AI6005">
        <v>91.250174945949794</v>
      </c>
      <c r="AJ6005">
        <v>93.592157829942394</v>
      </c>
      <c r="AK6005">
        <v>44.866724521741297</v>
      </c>
      <c r="AL6005">
        <v>78.595777428409207</v>
      </c>
      <c r="AM6005">
        <v>98.453334571297503</v>
      </c>
      <c r="AN6005">
        <v>1.0000000826944</v>
      </c>
    </row>
    <row r="6006" spans="1:40" x14ac:dyDescent="0.25">
      <c r="A6006" t="str">
        <f>"20190304154917664"</f>
        <v>20190304154917664</v>
      </c>
      <c r="B6006" t="str">
        <f>"1551685757653308"</f>
        <v>1551685757653308</v>
      </c>
      <c r="C6006" t="s">
        <v>40</v>
      </c>
      <c r="D6006">
        <v>4.3516539999999999</v>
      </c>
      <c r="E6006">
        <v>0.52633909999999995</v>
      </c>
      <c r="F6006" t="s">
        <v>85</v>
      </c>
      <c r="G6006">
        <v>-415.67809999999997</v>
      </c>
      <c r="H6006">
        <v>0.1205736</v>
      </c>
      <c r="I6006">
        <v>1.2786959999999901</v>
      </c>
      <c r="J6006">
        <v>-421.84589999999997</v>
      </c>
      <c r="K6006">
        <v>1.1137680000000001</v>
      </c>
      <c r="L6006">
        <v>45.469329999999999</v>
      </c>
      <c r="M6006">
        <v>7.5862040000000006E-2</v>
      </c>
      <c r="N6006">
        <v>-1.416428E-2</v>
      </c>
      <c r="O6006">
        <v>-0.99701790000000001</v>
      </c>
      <c r="P6006">
        <v>0.21714839999999999</v>
      </c>
      <c r="Q6006">
        <v>0.18489710000000001</v>
      </c>
      <c r="R6006">
        <v>-0.95846770000000003</v>
      </c>
      <c r="S6006">
        <v>0.4241028</v>
      </c>
      <c r="T6006">
        <v>-6.8025829999999995E-2</v>
      </c>
      <c r="U6006">
        <v>-3.0458370000000001</v>
      </c>
      <c r="V6006">
        <v>-0.14511079999999901</v>
      </c>
      <c r="W6006">
        <v>0.19769639999999999</v>
      </c>
      <c r="X6006">
        <v>0.96946330000000003</v>
      </c>
      <c r="Y6006">
        <v>-6.2347079999999999E-2</v>
      </c>
      <c r="Z6006">
        <v>8.0151679999999996E-3</v>
      </c>
      <c r="AA6006">
        <v>0.99802230000000003</v>
      </c>
      <c r="AB6006">
        <v>28</v>
      </c>
      <c r="AC6006">
        <v>6.1677999999999997</v>
      </c>
      <c r="AD6006">
        <v>-0.99319439999999903</v>
      </c>
      <c r="AE6006">
        <v>-44.190634000000003</v>
      </c>
      <c r="AF6006">
        <v>-2.79591013671403</v>
      </c>
      <c r="AG6006">
        <v>-0.99319439999999903</v>
      </c>
      <c r="AH6006">
        <v>44.509160537530498</v>
      </c>
      <c r="AI6006">
        <v>91.275793980519495</v>
      </c>
      <c r="AJ6006">
        <v>93.594398153819299</v>
      </c>
      <c r="AK6006">
        <v>44.607946829734601</v>
      </c>
      <c r="AL6006">
        <v>78.597717581589706</v>
      </c>
      <c r="AM6006">
        <v>98.512922201745695</v>
      </c>
      <c r="AN6006">
        <v>1.00000005044824</v>
      </c>
    </row>
    <row r="6007" spans="1:40" x14ac:dyDescent="0.25">
      <c r="A6007" t="str">
        <f>"20190304154917685"</f>
        <v>20190304154917685</v>
      </c>
      <c r="B6007" t="str">
        <f>"1551685757672828"</f>
        <v>1551685757672828</v>
      </c>
      <c r="C6007" t="s">
        <v>40</v>
      </c>
      <c r="D6007">
        <v>4.3329199999999997</v>
      </c>
      <c r="E6007">
        <v>0.525532</v>
      </c>
      <c r="F6007" t="s">
        <v>68</v>
      </c>
      <c r="G6007">
        <v>-415.99599999999998</v>
      </c>
      <c r="H6007">
        <v>7.9986559999999998E-2</v>
      </c>
      <c r="I6007">
        <v>5.8182910000000003</v>
      </c>
      <c r="J6007">
        <v>-421.8218</v>
      </c>
      <c r="K6007">
        <v>1.1138209999999999</v>
      </c>
      <c r="L6007">
        <v>45.204250000000002</v>
      </c>
      <c r="M6007">
        <v>7.9402979999999998E-2</v>
      </c>
      <c r="N6007">
        <v>-1.4169869999999999E-2</v>
      </c>
      <c r="O6007">
        <v>-0.99674200000000002</v>
      </c>
      <c r="P6007">
        <v>0.22102910000000001</v>
      </c>
      <c r="Q6007">
        <v>0.1851652</v>
      </c>
      <c r="R6007">
        <v>-0.9575283</v>
      </c>
      <c r="S6007">
        <v>0.44903559999999998</v>
      </c>
      <c r="T6007">
        <v>-7.9352969999999995E-2</v>
      </c>
      <c r="U6007">
        <v>-3.0436100000000001</v>
      </c>
      <c r="V6007">
        <v>-0.14562559999999999</v>
      </c>
      <c r="W6007">
        <v>0.19794690000000001</v>
      </c>
      <c r="X6007">
        <v>0.96933499999999995</v>
      </c>
      <c r="Y6007">
        <v>-6.6903690000000002E-2</v>
      </c>
      <c r="Z6007">
        <v>1.168607E-2</v>
      </c>
      <c r="AA6007">
        <v>0.99769099999999999</v>
      </c>
      <c r="AB6007">
        <v>28</v>
      </c>
      <c r="AC6007">
        <v>5.8258000000000099</v>
      </c>
      <c r="AD6007">
        <v>-1.0338344399999999</v>
      </c>
      <c r="AE6007">
        <v>-39.385959</v>
      </c>
      <c r="AF6007">
        <v>-2.67792017251629</v>
      </c>
      <c r="AG6007">
        <v>-1.0338344399999999</v>
      </c>
      <c r="AH6007">
        <v>39.697443094423903</v>
      </c>
      <c r="AI6007">
        <v>91.488426763971304</v>
      </c>
      <c r="AJ6007">
        <v>93.859226343266997</v>
      </c>
      <c r="AK6007">
        <v>39.801093682645501</v>
      </c>
      <c r="AL6007">
        <v>78.583075820518502</v>
      </c>
      <c r="AM6007">
        <v>98.543792122591199</v>
      </c>
      <c r="AN6007">
        <v>1.00000006640998</v>
      </c>
    </row>
    <row r="6008" spans="1:40" x14ac:dyDescent="0.25">
      <c r="A6008" t="str">
        <f>"20190304154917707"</f>
        <v>20190304154917707</v>
      </c>
      <c r="B6008" t="str">
        <f>"1551685757703083"</f>
        <v>1551685757703083</v>
      </c>
      <c r="C6008" t="s">
        <v>40</v>
      </c>
      <c r="D6008">
        <v>4.4593780000000001</v>
      </c>
      <c r="E6008">
        <v>0.47603139999999999</v>
      </c>
      <c r="F6008" t="s">
        <v>68</v>
      </c>
      <c r="G6008">
        <v>-416.12380000000002</v>
      </c>
      <c r="H6008">
        <v>7.9986559999999998E-2</v>
      </c>
      <c r="I6008">
        <v>8.1576190000000004</v>
      </c>
      <c r="J6008">
        <v>-421.79570000000001</v>
      </c>
      <c r="K6008">
        <v>1.1138709999999901</v>
      </c>
      <c r="L6008">
        <v>44.926639999999999</v>
      </c>
      <c r="M6008">
        <v>8.318035E-2</v>
      </c>
      <c r="N6008">
        <v>-1.4175129999999999E-2</v>
      </c>
      <c r="O6008">
        <v>-0.99643380000000004</v>
      </c>
      <c r="P6008">
        <v>0.2256322</v>
      </c>
      <c r="Q6008">
        <v>0.18536530000000001</v>
      </c>
      <c r="R6008">
        <v>-0.95641529999999997</v>
      </c>
      <c r="S6008">
        <v>0.467804</v>
      </c>
      <c r="T6008">
        <v>-8.4877129999999995E-2</v>
      </c>
      <c r="U6008">
        <v>-3.0415040000000002</v>
      </c>
      <c r="V6008">
        <v>-0.14664630000000001</v>
      </c>
      <c r="W6008">
        <v>0.19812450000000001</v>
      </c>
      <c r="X6008">
        <v>0.96914480000000003</v>
      </c>
      <c r="Y6008">
        <v>-6.9236190000000003E-2</v>
      </c>
      <c r="Z6008">
        <v>1.3472929999999999E-2</v>
      </c>
      <c r="AA6008">
        <v>0.99750930000000004</v>
      </c>
      <c r="AB6008">
        <v>28</v>
      </c>
      <c r="AC6008">
        <v>5.6718999999999902</v>
      </c>
      <c r="AD6008">
        <v>-1.03388443999999</v>
      </c>
      <c r="AE6008">
        <v>-36.769021000000002</v>
      </c>
      <c r="AF6008">
        <v>-2.5914718128601999</v>
      </c>
      <c r="AG6008">
        <v>-1.03388443999999</v>
      </c>
      <c r="AH6008">
        <v>37.084771383913001</v>
      </c>
      <c r="AI6008">
        <v>91.593049634618296</v>
      </c>
      <c r="AJ6008">
        <v>93.997312448206003</v>
      </c>
      <c r="AK6008">
        <v>37.189580688537198</v>
      </c>
      <c r="AL6008">
        <v>78.572694285810002</v>
      </c>
      <c r="AM6008">
        <v>98.604446306744705</v>
      </c>
      <c r="AN6008">
        <v>1.0000000490854799</v>
      </c>
    </row>
    <row r="6009" spans="1:40" x14ac:dyDescent="0.25">
      <c r="A6009" t="str">
        <f>"20190304154917730"</f>
        <v>20190304154917730</v>
      </c>
      <c r="B6009" t="str">
        <f>"1551685757723582"</f>
        <v>1551685757723582</v>
      </c>
      <c r="C6009" t="s">
        <v>40</v>
      </c>
      <c r="D6009">
        <v>4.2471189999999996</v>
      </c>
      <c r="E6009">
        <v>0.4527735</v>
      </c>
      <c r="F6009" t="s">
        <v>68</v>
      </c>
      <c r="G6009">
        <v>-415.63400000000001</v>
      </c>
      <c r="H6009" s="1">
        <v>-8.1604849999999998E-6</v>
      </c>
      <c r="I6009">
        <v>23.883150000000001</v>
      </c>
      <c r="J6009">
        <v>-421.76839999999999</v>
      </c>
      <c r="K6009">
        <v>1.1139190000000001</v>
      </c>
      <c r="L6009">
        <v>44.650179999999999</v>
      </c>
      <c r="M6009">
        <v>8.7008189999999999E-2</v>
      </c>
      <c r="N6009">
        <v>-1.417967E-2</v>
      </c>
      <c r="O6009">
        <v>-0.99610690000000002</v>
      </c>
      <c r="P6009">
        <v>0.23010910000000001</v>
      </c>
      <c r="Q6009">
        <v>0.18481120000000001</v>
      </c>
      <c r="R6009">
        <v>-0.95545550000000001</v>
      </c>
      <c r="S6009">
        <v>0.86743159999999897</v>
      </c>
      <c r="T6009">
        <v>-0.1568098</v>
      </c>
      <c r="U6009">
        <v>-2.9624630000000001</v>
      </c>
      <c r="V6009">
        <v>-0.14747370000000001</v>
      </c>
      <c r="W6009">
        <v>0.19755200000000001</v>
      </c>
      <c r="X6009">
        <v>0.96913609999999994</v>
      </c>
      <c r="Y6009">
        <v>-0.19615160000000001</v>
      </c>
      <c r="Z6009">
        <v>3.6988689999999998E-2</v>
      </c>
      <c r="AA6009">
        <v>0.97987570000000002</v>
      </c>
      <c r="AB6009">
        <v>28</v>
      </c>
      <c r="AC6009">
        <v>6.1343999999999701</v>
      </c>
      <c r="AD6009">
        <v>-1.1139271604850001</v>
      </c>
      <c r="AE6009">
        <v>-20.767029999999998</v>
      </c>
      <c r="AF6009">
        <v>-4.2926886505696196</v>
      </c>
      <c r="AG6009">
        <v>-1.1139271604850001</v>
      </c>
      <c r="AH6009">
        <v>21.166042879265198</v>
      </c>
      <c r="AI6009">
        <v>92.952583521237202</v>
      </c>
      <c r="AJ6009">
        <v>101.46466636074901</v>
      </c>
      <c r="AK6009">
        <v>21.625664862299399</v>
      </c>
      <c r="AL6009">
        <v>78.606157339939898</v>
      </c>
      <c r="AM6009">
        <v>98.652337668372994</v>
      </c>
      <c r="AN6009">
        <v>1.00000003260944</v>
      </c>
    </row>
    <row r="6010" spans="1:40" x14ac:dyDescent="0.25">
      <c r="A6010" t="str">
        <f>"20190304154917753"</f>
        <v>20190304154917753</v>
      </c>
      <c r="B6010" t="str">
        <f>"1551685757743099"</f>
        <v>1551685757743099</v>
      </c>
      <c r="C6010" t="s">
        <v>40</v>
      </c>
      <c r="D6010">
        <v>4.3401949999999996</v>
      </c>
      <c r="E6010">
        <v>0.44575009999999998</v>
      </c>
      <c r="F6010" t="s">
        <v>68</v>
      </c>
      <c r="G6010">
        <v>-413.12079999999997</v>
      </c>
      <c r="H6010" s="1">
        <v>-8.7782020000000006E-6</v>
      </c>
      <c r="I6010">
        <v>20.91948</v>
      </c>
      <c r="J6010">
        <v>-421.7398</v>
      </c>
      <c r="K6010">
        <v>1.1139600000000001</v>
      </c>
      <c r="L6010">
        <v>44.371699999999997</v>
      </c>
      <c r="M6010">
        <v>9.0932719999999995E-2</v>
      </c>
      <c r="N6010">
        <v>-1.418348E-2</v>
      </c>
      <c r="O6010">
        <v>-0.99575610000000003</v>
      </c>
      <c r="P6010">
        <v>0.234544</v>
      </c>
      <c r="Q6010">
        <v>0.1845897</v>
      </c>
      <c r="R6010">
        <v>-0.95441880000000001</v>
      </c>
      <c r="S6010">
        <v>1.06073</v>
      </c>
      <c r="T6010">
        <v>-0.13663529999999999</v>
      </c>
      <c r="U6010">
        <v>-2.910828</v>
      </c>
      <c r="V6010">
        <v>-0.1481732</v>
      </c>
      <c r="W6010">
        <v>0.1973126</v>
      </c>
      <c r="X6010">
        <v>0.96907810000000005</v>
      </c>
      <c r="Y6010">
        <v>-0.25525879999999901</v>
      </c>
      <c r="Z6010">
        <v>3.045051E-2</v>
      </c>
      <c r="AA6010">
        <v>0.9663931</v>
      </c>
      <c r="AB6010">
        <v>28</v>
      </c>
      <c r="AC6010">
        <v>8.6190000000000193</v>
      </c>
      <c r="AD6010">
        <v>-1.113968778202</v>
      </c>
      <c r="AE6010">
        <v>-23.452220000000001</v>
      </c>
      <c r="AF6010">
        <v>-6.4376996766354502</v>
      </c>
      <c r="AG6010">
        <v>-1.113968778202</v>
      </c>
      <c r="AH6010">
        <v>24.0909803502229</v>
      </c>
      <c r="AI6010">
        <v>92.557848982361804</v>
      </c>
      <c r="AJ6010">
        <v>104.96125148829999</v>
      </c>
      <c r="AK6010">
        <v>24.961174607782102</v>
      </c>
      <c r="AL6010">
        <v>78.620148541958599</v>
      </c>
      <c r="AM6010">
        <v>98.693264479875893</v>
      </c>
      <c r="AN6010">
        <v>0.99999996160830396</v>
      </c>
    </row>
    <row r="6011" spans="1:40" x14ac:dyDescent="0.25">
      <c r="A6011" t="str">
        <f>"20190304154917775"</f>
        <v>20190304154917775</v>
      </c>
      <c r="B6011" t="str">
        <f>"1551685757763595"</f>
        <v>1551685757763595</v>
      </c>
      <c r="C6011" t="s">
        <v>40</v>
      </c>
      <c r="D6011">
        <v>4.2704420000000001</v>
      </c>
      <c r="E6011">
        <v>0.4422777</v>
      </c>
      <c r="F6011" t="s">
        <v>68</v>
      </c>
      <c r="G6011">
        <v>-412.43389999999999</v>
      </c>
      <c r="H6011" s="1">
        <v>-8.9882139999999997E-6</v>
      </c>
      <c r="I6011">
        <v>20.521660000000001</v>
      </c>
      <c r="J6011">
        <v>-421.71039999999999</v>
      </c>
      <c r="K6011">
        <v>1.1139950000000001</v>
      </c>
      <c r="L6011">
        <v>44.098909999999997</v>
      </c>
      <c r="M6011">
        <v>9.4838580000000006E-2</v>
      </c>
      <c r="N6011">
        <v>-1.4186789999999999E-2</v>
      </c>
      <c r="O6011">
        <v>-0.99539149999999998</v>
      </c>
      <c r="P6011">
        <v>0.23917240000000001</v>
      </c>
      <c r="Q6011">
        <v>0.18421029999999999</v>
      </c>
      <c r="R6011">
        <v>-0.95334319999999895</v>
      </c>
      <c r="S6011">
        <v>1.1284479999999999</v>
      </c>
      <c r="T6011">
        <v>-0.13508139999999999</v>
      </c>
      <c r="U6011">
        <v>-2.89209</v>
      </c>
      <c r="V6011">
        <v>-0.14908399999999999</v>
      </c>
      <c r="W6011">
        <v>0.19691620000000001</v>
      </c>
      <c r="X6011">
        <v>0.96901910000000002</v>
      </c>
      <c r="Y6011">
        <v>-0.27322529999999901</v>
      </c>
      <c r="Z6011">
        <v>2.992357E-2</v>
      </c>
      <c r="AA6011">
        <v>0.96148460000000002</v>
      </c>
      <c r="AB6011">
        <v>28</v>
      </c>
      <c r="AC6011">
        <v>9.2765000000000004</v>
      </c>
      <c r="AD6011">
        <v>-1.114003988214</v>
      </c>
      <c r="AE6011">
        <v>-23.577249999999999</v>
      </c>
      <c r="AF6011">
        <v>-6.9849178250363799</v>
      </c>
      <c r="AG6011">
        <v>-1.114003988214</v>
      </c>
      <c r="AH6011">
        <v>24.3038322467625</v>
      </c>
      <c r="AI6011">
        <v>92.522436055427093</v>
      </c>
      <c r="AJ6011">
        <v>106.03464325860899</v>
      </c>
      <c r="AK6011">
        <v>25.312177776458501</v>
      </c>
      <c r="AL6011">
        <v>78.643315807565898</v>
      </c>
      <c r="AM6011">
        <v>98.746401301983298</v>
      </c>
      <c r="AN6011">
        <v>1.0000000225216199</v>
      </c>
    </row>
    <row r="6012" spans="1:40" x14ac:dyDescent="0.25">
      <c r="A6012" t="str">
        <f>"20190304154917796"</f>
        <v>20190304154917796</v>
      </c>
      <c r="B6012" t="str">
        <f>"1551685757783115"</f>
        <v>1551685757783115</v>
      </c>
      <c r="C6012" t="s">
        <v>40</v>
      </c>
      <c r="D6012">
        <v>4.2880739999999999</v>
      </c>
      <c r="E6012">
        <v>0.44031629999999999</v>
      </c>
      <c r="F6012" t="s">
        <v>68</v>
      </c>
      <c r="G6012">
        <v>-412.13350000000003</v>
      </c>
      <c r="H6012" s="1">
        <v>-9.0962180000000003E-6</v>
      </c>
      <c r="I6012">
        <v>20.509640000000001</v>
      </c>
      <c r="J6012">
        <v>-421.6807</v>
      </c>
      <c r="K6012">
        <v>1.114028</v>
      </c>
      <c r="L6012">
        <v>43.83182</v>
      </c>
      <c r="M6012">
        <v>9.870669E-2</v>
      </c>
      <c r="N6012">
        <v>-1.4189429999999999E-2</v>
      </c>
      <c r="O6012">
        <v>-0.9950156</v>
      </c>
      <c r="P6012">
        <v>0.2439798</v>
      </c>
      <c r="Q6012">
        <v>0.1844132</v>
      </c>
      <c r="R6012">
        <v>-0.95208510000000002</v>
      </c>
      <c r="S6012">
        <v>1.1691590000000001</v>
      </c>
      <c r="T6012">
        <v>-0.13599820000000001</v>
      </c>
      <c r="U6012">
        <v>-2.879791</v>
      </c>
      <c r="V6012">
        <v>-0.15022920000000001</v>
      </c>
      <c r="W6012">
        <v>0.19710040000000001</v>
      </c>
      <c r="X6012">
        <v>0.96880469999999996</v>
      </c>
      <c r="Y6012">
        <v>-0.28258169999999999</v>
      </c>
      <c r="Z6012">
        <v>3.0215240000000001E-2</v>
      </c>
      <c r="AA6012">
        <v>0.95876719999999904</v>
      </c>
      <c r="AB6012">
        <v>28</v>
      </c>
      <c r="AC6012">
        <v>9.5471999999999699</v>
      </c>
      <c r="AD6012">
        <v>-1.114037096218</v>
      </c>
      <c r="AE6012">
        <v>-23.322179999999999</v>
      </c>
      <c r="AF6012">
        <v>-7.1842413539887904</v>
      </c>
      <c r="AG6012">
        <v>-1.114037096218</v>
      </c>
      <c r="AH6012">
        <v>24.1036280215611</v>
      </c>
      <c r="AI6012">
        <v>92.536147669495804</v>
      </c>
      <c r="AJ6012">
        <v>106.597026109918</v>
      </c>
      <c r="AK6012">
        <v>25.1761650432686</v>
      </c>
      <c r="AL6012">
        <v>78.632550273541995</v>
      </c>
      <c r="AM6012">
        <v>98.814456382049897</v>
      </c>
      <c r="AN6012">
        <v>0.99999996347744402</v>
      </c>
    </row>
    <row r="6013" spans="1:40" x14ac:dyDescent="0.25">
      <c r="A6013" t="str">
        <f>"20190304154917821"</f>
        <v>20190304154917821</v>
      </c>
      <c r="B6013" t="str">
        <f>"1551685757813371"</f>
        <v>1551685757813371</v>
      </c>
      <c r="C6013" t="s">
        <v>40</v>
      </c>
      <c r="D6013">
        <v>4.2779170000000004</v>
      </c>
      <c r="E6013">
        <v>0.43874269999999999</v>
      </c>
      <c r="F6013" t="s">
        <v>68</v>
      </c>
      <c r="G6013">
        <v>-411.81599999999997</v>
      </c>
      <c r="H6013" s="1">
        <v>-9.1818719999999994E-6</v>
      </c>
      <c r="I6013">
        <v>20.211449999999999</v>
      </c>
      <c r="J6013">
        <v>-421.64760000000001</v>
      </c>
      <c r="K6013">
        <v>1.1140540000000001</v>
      </c>
      <c r="L6013">
        <v>43.545140000000004</v>
      </c>
      <c r="M6013">
        <v>0.1029007</v>
      </c>
      <c r="N6013">
        <v>-1.4191530000000001E-2</v>
      </c>
      <c r="O6013">
        <v>-0.99459059999999999</v>
      </c>
      <c r="P6013">
        <v>0.24918270000000001</v>
      </c>
      <c r="Q6013">
        <v>0.18423819999999999</v>
      </c>
      <c r="R6013">
        <v>-0.95077060000000002</v>
      </c>
      <c r="S6013">
        <v>1.198639</v>
      </c>
      <c r="T6013">
        <v>-0.13536409999999999</v>
      </c>
      <c r="U6013">
        <v>-2.8700559999999999</v>
      </c>
      <c r="V6013">
        <v>-0.1514529</v>
      </c>
      <c r="W6013">
        <v>0.19690730000000001</v>
      </c>
      <c r="X6013">
        <v>0.9686534</v>
      </c>
      <c r="Y6013">
        <v>-0.28808279999999997</v>
      </c>
      <c r="Z6013">
        <v>3.0016210000000002E-2</v>
      </c>
      <c r="AA6013">
        <v>0.95713499999999996</v>
      </c>
      <c r="AB6013">
        <v>28</v>
      </c>
      <c r="AC6013">
        <v>9.8316000000000301</v>
      </c>
      <c r="AD6013">
        <v>-1.1140631818719999</v>
      </c>
      <c r="AE6013">
        <v>-23.333690000000001</v>
      </c>
      <c r="AF6013">
        <v>-7.3638498281241596</v>
      </c>
      <c r="AG6013">
        <v>-1.1140631818719999</v>
      </c>
      <c r="AH6013">
        <v>24.1747818866823</v>
      </c>
      <c r="AI6013">
        <v>92.524184728410106</v>
      </c>
      <c r="AJ6013">
        <v>106.94119396226699</v>
      </c>
      <c r="AK6013">
        <v>25.2959977137299</v>
      </c>
      <c r="AL6013">
        <v>78.6438349451075</v>
      </c>
      <c r="AM6013">
        <v>98.886479636639393</v>
      </c>
      <c r="AN6013">
        <v>0.99999993752162797</v>
      </c>
    </row>
    <row r="6014" spans="1:40" x14ac:dyDescent="0.25">
      <c r="A6014" t="str">
        <f>"20190304154917841"</f>
        <v>20190304154917841</v>
      </c>
      <c r="B6014" t="str">
        <f>"1551685757832892"</f>
        <v>1551685757832892</v>
      </c>
      <c r="C6014" t="s">
        <v>40</v>
      </c>
      <c r="D6014">
        <v>4.3094109999999999</v>
      </c>
      <c r="E6014">
        <v>0.4380868</v>
      </c>
      <c r="F6014" t="s">
        <v>68</v>
      </c>
      <c r="G6014">
        <v>-411.77330000000001</v>
      </c>
      <c r="H6014" s="1">
        <v>-9.2264950000000002E-6</v>
      </c>
      <c r="I6014">
        <v>20.5029</v>
      </c>
      <c r="J6014">
        <v>-421.61590000000001</v>
      </c>
      <c r="K6014">
        <v>1.1140760000000001</v>
      </c>
      <c r="L6014">
        <v>43.28098</v>
      </c>
      <c r="M6014">
        <v>0.10680389999999999</v>
      </c>
      <c r="N6014">
        <v>-1.4193000000000001E-2</v>
      </c>
      <c r="O6014">
        <v>-0.99417880000000003</v>
      </c>
      <c r="P6014">
        <v>0.25426120000000002</v>
      </c>
      <c r="Q6014">
        <v>0.1838273</v>
      </c>
      <c r="R6014">
        <v>-0.94950469999999998</v>
      </c>
      <c r="S6014">
        <v>1.2259519999999999</v>
      </c>
      <c r="T6014">
        <v>-0.1383181</v>
      </c>
      <c r="U6014">
        <v>-2.86084</v>
      </c>
      <c r="V6014">
        <v>-0.1528301</v>
      </c>
      <c r="W6014">
        <v>0.19647809999999999</v>
      </c>
      <c r="X6014">
        <v>0.9685243</v>
      </c>
      <c r="Y6014">
        <v>-0.29314759999999901</v>
      </c>
      <c r="Z6014">
        <v>3.0978800000000001E-2</v>
      </c>
      <c r="AA6014">
        <v>0.9555652</v>
      </c>
      <c r="AB6014">
        <v>28</v>
      </c>
      <c r="AC6014">
        <v>9.8425999999999991</v>
      </c>
      <c r="AD6014">
        <v>-1.1140852264950001</v>
      </c>
      <c r="AE6014">
        <v>-22.778079999999999</v>
      </c>
      <c r="AF6014">
        <v>-7.3384639981717701</v>
      </c>
      <c r="AG6014">
        <v>-1.1140852264950001</v>
      </c>
      <c r="AH6014">
        <v>23.6514220199895</v>
      </c>
      <c r="AI6014">
        <v>92.575918210198694</v>
      </c>
      <c r="AJ6014">
        <v>107.237852037365</v>
      </c>
      <c r="AK6014">
        <v>24.788787854834698</v>
      </c>
      <c r="AL6014">
        <v>78.668916988369105</v>
      </c>
      <c r="AM6014">
        <v>98.967155394026904</v>
      </c>
      <c r="AN6014">
        <v>1.0000000014680499</v>
      </c>
    </row>
    <row r="6015" spans="1:40" x14ac:dyDescent="0.25">
      <c r="A6015" t="str">
        <f>"20190304154917864"</f>
        <v>20190304154917864</v>
      </c>
      <c r="B6015" t="str">
        <f>"1551685757853387"</f>
        <v>1551685757853387</v>
      </c>
      <c r="C6015" t="s">
        <v>40</v>
      </c>
      <c r="D6015">
        <v>4.2658719999999999</v>
      </c>
      <c r="E6015">
        <v>0.43762180000000001</v>
      </c>
      <c r="F6015" t="s">
        <v>68</v>
      </c>
      <c r="G6015">
        <v>-411.82150000000001</v>
      </c>
      <c r="H6015" s="1">
        <v>-9.2428170000000005E-6</v>
      </c>
      <c r="I6015">
        <v>20.841460000000001</v>
      </c>
      <c r="J6015">
        <v>-421.58260000000001</v>
      </c>
      <c r="K6015">
        <v>1.1141019999999999</v>
      </c>
      <c r="L6015">
        <v>43.01193</v>
      </c>
      <c r="M6015">
        <v>0.1108194</v>
      </c>
      <c r="N6015">
        <v>-1.419431E-2</v>
      </c>
      <c r="O6015">
        <v>-0.99373920000000004</v>
      </c>
      <c r="P6015">
        <v>0.2591059</v>
      </c>
      <c r="Q6015">
        <v>0.183364</v>
      </c>
      <c r="R6015">
        <v>-0.94828389999999996</v>
      </c>
      <c r="S6015">
        <v>1.2454829999999999</v>
      </c>
      <c r="T6015">
        <v>-0.1416693</v>
      </c>
      <c r="U6015">
        <v>-2.8534549999999999</v>
      </c>
      <c r="V6015">
        <v>-0.1538629</v>
      </c>
      <c r="W6015">
        <v>0.19599929999999999</v>
      </c>
      <c r="X6015">
        <v>0.96845780000000004</v>
      </c>
      <c r="Y6015">
        <v>-0.29567019999999999</v>
      </c>
      <c r="Z6015">
        <v>3.2079379999999998E-2</v>
      </c>
      <c r="AA6015">
        <v>0.95475129999999997</v>
      </c>
      <c r="AB6015">
        <v>28</v>
      </c>
      <c r="AC6015">
        <v>9.7611000000000008</v>
      </c>
      <c r="AD6015">
        <v>-1.1141112428169999</v>
      </c>
      <c r="AE6015">
        <v>-22.170470000000002</v>
      </c>
      <c r="AF6015">
        <v>-7.2285091762426701</v>
      </c>
      <c r="AG6015">
        <v>-1.1141112428169999</v>
      </c>
      <c r="AH6015">
        <v>23.066920796722801</v>
      </c>
      <c r="AI6015">
        <v>92.638841569629406</v>
      </c>
      <c r="AJ6015">
        <v>107.399489690235</v>
      </c>
      <c r="AK6015">
        <v>24.198665744513299</v>
      </c>
      <c r="AL6015">
        <v>78.696894335675907</v>
      </c>
      <c r="AM6015">
        <v>99.027369024495499</v>
      </c>
      <c r="AN6015">
        <v>1.0000000139888601</v>
      </c>
    </row>
    <row r="6016" spans="1:40" x14ac:dyDescent="0.25">
      <c r="A6016" t="str">
        <f>"20190304154917886"</f>
        <v>20190304154917886</v>
      </c>
      <c r="B6016" t="str">
        <f>"1551685757883643"</f>
        <v>1551685757883643</v>
      </c>
      <c r="C6016" t="s">
        <v>40</v>
      </c>
      <c r="D6016">
        <v>4.2473340000000004</v>
      </c>
      <c r="E6016">
        <v>0.43710130000000003</v>
      </c>
      <c r="F6016" t="s">
        <v>68</v>
      </c>
      <c r="G6016">
        <v>-411.80149999999998</v>
      </c>
      <c r="H6016" s="1">
        <v>-9.2627130000000008E-6</v>
      </c>
      <c r="I6016">
        <v>20.967770000000002</v>
      </c>
      <c r="J6016">
        <v>-421.54809999999998</v>
      </c>
      <c r="K6016">
        <v>1.1141299999999901</v>
      </c>
      <c r="L6016">
        <v>42.742710000000002</v>
      </c>
      <c r="M6016">
        <v>0.11488370000000001</v>
      </c>
      <c r="N6016">
        <v>-1.419571E-2</v>
      </c>
      <c r="O6016">
        <v>-0.99327750000000004</v>
      </c>
      <c r="P6016">
        <v>0.26360699999999998</v>
      </c>
      <c r="Q6016">
        <v>0.18366279999999999</v>
      </c>
      <c r="R6016">
        <v>-0.94698450000000001</v>
      </c>
      <c r="S6016">
        <v>1.262939</v>
      </c>
      <c r="T6016">
        <v>-0.14385410000000001</v>
      </c>
      <c r="U6016">
        <v>-2.8463440000000002</v>
      </c>
      <c r="V6016">
        <v>-0.15452449999999901</v>
      </c>
      <c r="W6016">
        <v>0.1962817</v>
      </c>
      <c r="X6016">
        <v>0.96829520000000002</v>
      </c>
      <c r="Y6016">
        <v>-0.2975276</v>
      </c>
      <c r="Z6016">
        <v>3.280682E-2</v>
      </c>
      <c r="AA6016">
        <v>0.95414940000000004</v>
      </c>
      <c r="AB6016">
        <v>28</v>
      </c>
      <c r="AC6016">
        <v>9.7466000000000008</v>
      </c>
      <c r="AD6016">
        <v>-1.11413926271299</v>
      </c>
      <c r="AE6016">
        <v>-21.774939999999901</v>
      </c>
      <c r="AF6016">
        <v>-7.1645904001216998</v>
      </c>
      <c r="AG6016">
        <v>-1.11413926271299</v>
      </c>
      <c r="AH6016">
        <v>22.701065034474301</v>
      </c>
      <c r="AI6016">
        <v>92.679663751271804</v>
      </c>
      <c r="AJ6016">
        <v>107.51600442335</v>
      </c>
      <c r="AK6016">
        <v>23.830883651213298</v>
      </c>
      <c r="AL6016">
        <v>78.680392879728402</v>
      </c>
      <c r="AM6016">
        <v>99.067039863101002</v>
      </c>
      <c r="AN6016">
        <v>0.99999996059908902</v>
      </c>
    </row>
    <row r="6017" spans="1:40" x14ac:dyDescent="0.25">
      <c r="A6017" t="str">
        <f>"20190304154917909"</f>
        <v>20190304154917909</v>
      </c>
      <c r="B6017" t="str">
        <f>"1551685757903163"</f>
        <v>1551685757903163</v>
      </c>
      <c r="C6017" t="s">
        <v>40</v>
      </c>
      <c r="D6017">
        <v>4.265714</v>
      </c>
      <c r="E6017">
        <v>0.43682300000000002</v>
      </c>
      <c r="F6017" t="s">
        <v>68</v>
      </c>
      <c r="G6017">
        <v>-411.56110000000001</v>
      </c>
      <c r="H6017" s="1">
        <v>-9.3135149999999992E-6</v>
      </c>
      <c r="I6017">
        <v>20.60134</v>
      </c>
      <c r="J6017">
        <v>-421.51139999999998</v>
      </c>
      <c r="K6017">
        <v>1.114163</v>
      </c>
      <c r="L6017">
        <v>42.465940000000003</v>
      </c>
      <c r="M6017">
        <v>0.11911720000000001</v>
      </c>
      <c r="N6017">
        <v>-1.4197319999999999E-2</v>
      </c>
      <c r="O6017">
        <v>-0.99277879999999996</v>
      </c>
      <c r="P6017">
        <v>0.26810899999999999</v>
      </c>
      <c r="Q6017">
        <v>0.1834789</v>
      </c>
      <c r="R6017">
        <v>-0.94575560000000003</v>
      </c>
      <c r="S6017">
        <v>1.28064</v>
      </c>
      <c r="T6017">
        <v>-0.14286679999999999</v>
      </c>
      <c r="U6017">
        <v>-2.8392029999999999</v>
      </c>
      <c r="V6017">
        <v>-0.15501509999999999</v>
      </c>
      <c r="W6017">
        <v>0.19608249999999999</v>
      </c>
      <c r="X6017">
        <v>0.96825720000000004</v>
      </c>
      <c r="Y6017">
        <v>-0.29930489999999998</v>
      </c>
      <c r="Z6017">
        <v>3.2504770000000002E-2</v>
      </c>
      <c r="AA6017">
        <v>0.95360370000000005</v>
      </c>
      <c r="AB6017">
        <v>28</v>
      </c>
      <c r="AC6017">
        <v>9.9502999999999702</v>
      </c>
      <c r="AD6017">
        <v>-1.1141723135149999</v>
      </c>
      <c r="AE6017">
        <v>-21.864599999999999</v>
      </c>
      <c r="AF6017">
        <v>-7.2591137086794699</v>
      </c>
      <c r="AG6017">
        <v>-1.1141723135149999</v>
      </c>
      <c r="AH6017">
        <v>22.845124204211999</v>
      </c>
      <c r="AI6017">
        <v>92.661226406133096</v>
      </c>
      <c r="AJ6017">
        <v>107.627826565432</v>
      </c>
      <c r="AK6017">
        <v>23.996579166323102</v>
      </c>
      <c r="AL6017">
        <v>78.692033027074402</v>
      </c>
      <c r="AM6017">
        <v>99.095697364661604</v>
      </c>
      <c r="AN6017">
        <v>1.0000000166930401</v>
      </c>
    </row>
    <row r="6018" spans="1:40" x14ac:dyDescent="0.25">
      <c r="A6018" t="str">
        <f>"20190304154917931"</f>
        <v>20190304154917931</v>
      </c>
      <c r="B6018" t="str">
        <f>"1551685757923663"</f>
        <v>1551685757923663</v>
      </c>
      <c r="C6018" t="s">
        <v>40</v>
      </c>
      <c r="D6018">
        <v>4.2611429999999997</v>
      </c>
      <c r="E6018">
        <v>0.43653350000000002</v>
      </c>
      <c r="F6018" t="s">
        <v>68</v>
      </c>
      <c r="G6018">
        <v>-411.4171</v>
      </c>
      <c r="H6018" s="1">
        <v>-9.3468589999999997E-6</v>
      </c>
      <c r="I6018">
        <v>20.410920000000001</v>
      </c>
      <c r="J6018">
        <v>-421.47480000000002</v>
      </c>
      <c r="K6018">
        <v>1.114201</v>
      </c>
      <c r="L6018">
        <v>42.19876</v>
      </c>
      <c r="M6018">
        <v>0.123264899999999</v>
      </c>
      <c r="N6018">
        <v>-1.419905E-2</v>
      </c>
      <c r="O6018">
        <v>-0.9922723</v>
      </c>
      <c r="P6018">
        <v>0.27238410000000002</v>
      </c>
      <c r="Q6018">
        <v>0.1839327</v>
      </c>
      <c r="R6018">
        <v>-0.94444459999999997</v>
      </c>
      <c r="S6018">
        <v>1.2963260000000001</v>
      </c>
      <c r="T6018">
        <v>-0.14308360000000001</v>
      </c>
      <c r="U6018">
        <v>-2.8323360000000002</v>
      </c>
      <c r="V6018">
        <v>-0.15538260000000001</v>
      </c>
      <c r="W6018">
        <v>0.19651879999999999</v>
      </c>
      <c r="X6018">
        <v>0.96810980000000002</v>
      </c>
      <c r="Y6018">
        <v>-0.30055749999999998</v>
      </c>
      <c r="Z6018">
        <v>3.259687E-2</v>
      </c>
      <c r="AA6018">
        <v>0.95320649999999996</v>
      </c>
      <c r="AB6018">
        <v>28</v>
      </c>
      <c r="AC6018">
        <v>10.057700000000001</v>
      </c>
      <c r="AD6018">
        <v>-1.1142103468589999</v>
      </c>
      <c r="AE6018">
        <v>-21.787839999999999</v>
      </c>
      <c r="AF6018">
        <v>-7.2793430779318502</v>
      </c>
      <c r="AG6018">
        <v>-1.1142103468589999</v>
      </c>
      <c r="AH6018">
        <v>22.8123550343118</v>
      </c>
      <c r="AI6018">
        <v>92.6641012227131</v>
      </c>
      <c r="AJ6018">
        <v>107.697702080933</v>
      </c>
      <c r="AK6018">
        <v>23.9715214901927</v>
      </c>
      <c r="AL6018">
        <v>78.666538528320203</v>
      </c>
      <c r="AM6018">
        <v>99.118263925347804</v>
      </c>
      <c r="AN6018">
        <v>0.999999987996119</v>
      </c>
    </row>
    <row r="6019" spans="1:40" x14ac:dyDescent="0.25">
      <c r="A6019" t="str">
        <f>"20190304154917954"</f>
        <v>20190304154917954</v>
      </c>
      <c r="B6019" t="str">
        <f>"1551685757943179"</f>
        <v>1551685757943179</v>
      </c>
      <c r="C6019" t="s">
        <v>40</v>
      </c>
      <c r="D6019">
        <v>4.2201599999999999</v>
      </c>
      <c r="E6019">
        <v>0.43640980000000001</v>
      </c>
      <c r="F6019" t="s">
        <v>68</v>
      </c>
      <c r="G6019">
        <v>-411.10250000000002</v>
      </c>
      <c r="H6019" s="1">
        <v>-9.4064089999999999E-6</v>
      </c>
      <c r="I6019">
        <v>19.862279999999998</v>
      </c>
      <c r="J6019">
        <v>-421.4359</v>
      </c>
      <c r="K6019">
        <v>1.114244</v>
      </c>
      <c r="L6019">
        <v>41.92557</v>
      </c>
      <c r="M6019">
        <v>0.12758349999999999</v>
      </c>
      <c r="N6019">
        <v>-1.4200999999999899E-2</v>
      </c>
      <c r="O6019">
        <v>-0.99172629999999995</v>
      </c>
      <c r="P6019">
        <v>0.2770339</v>
      </c>
      <c r="Q6019">
        <v>0.18378839999999999</v>
      </c>
      <c r="R6019">
        <v>-0.9431195</v>
      </c>
      <c r="S6019">
        <v>1.312073</v>
      </c>
      <c r="T6019">
        <v>-0.14094590000000001</v>
      </c>
      <c r="U6019">
        <v>-2.8255309999999998</v>
      </c>
      <c r="V6019">
        <v>-0.1559557</v>
      </c>
      <c r="W6019">
        <v>0.19635420000000001</v>
      </c>
      <c r="X6019">
        <v>0.96805110000000005</v>
      </c>
      <c r="Y6019">
        <v>-0.30166340000000003</v>
      </c>
      <c r="Z6019">
        <v>3.1923670000000001E-2</v>
      </c>
      <c r="AA6019">
        <v>0.9528799</v>
      </c>
      <c r="AB6019">
        <v>28</v>
      </c>
      <c r="AC6019">
        <v>10.3333999999999</v>
      </c>
      <c r="AD6019">
        <v>-1.1142534064089999</v>
      </c>
      <c r="AE6019">
        <v>-22.063289999999999</v>
      </c>
      <c r="AF6019">
        <v>-7.4182247571863904</v>
      </c>
      <c r="AG6019">
        <v>-1.1142534064089999</v>
      </c>
      <c r="AH6019">
        <v>23.153023788280102</v>
      </c>
      <c r="AI6019">
        <v>92.624067836581801</v>
      </c>
      <c r="AJ6019">
        <v>107.76544955861699</v>
      </c>
      <c r="AK6019">
        <v>24.3379154765253</v>
      </c>
      <c r="AL6019">
        <v>78.676157433201098</v>
      </c>
      <c r="AM6019">
        <v>99.151872438490599</v>
      </c>
      <c r="AN6019">
        <v>1.0000000422156601</v>
      </c>
    </row>
    <row r="6020" spans="1:40" x14ac:dyDescent="0.25">
      <c r="A6020" t="str">
        <f>"20190304154917977"</f>
        <v>20190304154917977</v>
      </c>
      <c r="B6020" t="str">
        <f>"1551685757973436"</f>
        <v>1551685757973436</v>
      </c>
      <c r="C6020" t="s">
        <v>40</v>
      </c>
      <c r="D6020">
        <v>4.2329359999999996</v>
      </c>
      <c r="E6020">
        <v>0.43579430000000002</v>
      </c>
      <c r="F6020" t="s">
        <v>68</v>
      </c>
      <c r="G6020">
        <v>-410.9907</v>
      </c>
      <c r="H6020" s="1">
        <v>-9.4337810000000007E-6</v>
      </c>
      <c r="I6020">
        <v>19.729240000000001</v>
      </c>
      <c r="J6020">
        <v>-421.3956</v>
      </c>
      <c r="K6020">
        <v>1.1142909999999999</v>
      </c>
      <c r="L6020">
        <v>41.650239999999997</v>
      </c>
      <c r="M6020">
        <v>0.1320134</v>
      </c>
      <c r="N6020">
        <v>-1.420312E-2</v>
      </c>
      <c r="O6020">
        <v>-0.99114610000000003</v>
      </c>
      <c r="P6020">
        <v>0.28218310000000002</v>
      </c>
      <c r="Q6020">
        <v>0.18378620000000001</v>
      </c>
      <c r="R6020">
        <v>-0.94159199999999998</v>
      </c>
      <c r="S6020">
        <v>1.326508</v>
      </c>
      <c r="T6020">
        <v>-0.14150579999999999</v>
      </c>
      <c r="U6020">
        <v>-2.818848</v>
      </c>
      <c r="V6020">
        <v>-0.1569448</v>
      </c>
      <c r="W6020">
        <v>0.19632620000000001</v>
      </c>
      <c r="X6020">
        <v>0.96789689999999995</v>
      </c>
      <c r="Y6020">
        <v>-0.30226560000000002</v>
      </c>
      <c r="Z6020">
        <v>3.2127370000000002E-2</v>
      </c>
      <c r="AA6020">
        <v>0.95268220000000003</v>
      </c>
      <c r="AB6020">
        <v>27</v>
      </c>
      <c r="AC6020">
        <v>10.4048999999999</v>
      </c>
      <c r="AD6020">
        <v>-1.1143004337810001</v>
      </c>
      <c r="AE6020">
        <v>-21.920999999999999</v>
      </c>
      <c r="AF6020">
        <v>-7.4040453495195804</v>
      </c>
      <c r="AG6020">
        <v>-1.1143004337810001</v>
      </c>
      <c r="AH6020">
        <v>23.054214363782702</v>
      </c>
      <c r="AI6020">
        <v>92.634829464541298</v>
      </c>
      <c r="AJ6020">
        <v>107.804836833766</v>
      </c>
      <c r="AK6020">
        <v>24.2396029861405</v>
      </c>
      <c r="AL6020">
        <v>78.677793398208607</v>
      </c>
      <c r="AM6020">
        <v>99.210365876732496</v>
      </c>
      <c r="AN6020">
        <v>1.00000002804154</v>
      </c>
    </row>
    <row r="6021" spans="1:40" x14ac:dyDescent="0.25">
      <c r="A6021" t="str">
        <f>"20190304154917998"</f>
        <v>20190304154917998</v>
      </c>
      <c r="B6021" t="str">
        <f>"1551685757992955"</f>
        <v>1551685757992955</v>
      </c>
      <c r="C6021" t="s">
        <v>40</v>
      </c>
      <c r="D6021">
        <v>4.2081730000000004</v>
      </c>
      <c r="E6021">
        <v>0.43514799999999998</v>
      </c>
      <c r="F6021" t="s">
        <v>68</v>
      </c>
      <c r="G6021">
        <v>-410.64120000000003</v>
      </c>
      <c r="H6021" s="1">
        <v>-1.0101730000000001E-5</v>
      </c>
      <c r="I6021">
        <v>19.200030000000002</v>
      </c>
      <c r="J6021">
        <v>-421.35550000000001</v>
      </c>
      <c r="K6021">
        <v>1.1143400000000001</v>
      </c>
      <c r="L6021">
        <v>41.385890000000003</v>
      </c>
      <c r="M6021">
        <v>0.1363308</v>
      </c>
      <c r="N6021">
        <v>-1.42051E-2</v>
      </c>
      <c r="O6021">
        <v>-0.99056169999999999</v>
      </c>
      <c r="P6021">
        <v>0.28672419999999998</v>
      </c>
      <c r="Q6021">
        <v>0.18398729999999999</v>
      </c>
      <c r="R6021">
        <v>-0.94017980000000001</v>
      </c>
      <c r="S6021">
        <v>1.346039</v>
      </c>
      <c r="T6021">
        <v>-0.139467799999999</v>
      </c>
      <c r="U6021">
        <v>-2.8099059999999998</v>
      </c>
      <c r="V6021">
        <v>-0.15742719999999999</v>
      </c>
      <c r="W6021">
        <v>0.1965085</v>
      </c>
      <c r="X6021">
        <v>0.96778149999999996</v>
      </c>
      <c r="Y6021">
        <v>-0.30468859999999998</v>
      </c>
      <c r="Z6021">
        <v>3.1492930000000002E-2</v>
      </c>
      <c r="AA6021">
        <v>0.95193119999999998</v>
      </c>
      <c r="AB6021">
        <v>27</v>
      </c>
      <c r="AC6021">
        <v>10.7142999999999</v>
      </c>
      <c r="AD6021">
        <v>-1.1143501017299999</v>
      </c>
      <c r="AE6021">
        <v>-22.185860000000002</v>
      </c>
      <c r="AF6021">
        <v>-7.5738295668904696</v>
      </c>
      <c r="AG6021">
        <v>-1.1143501017299999</v>
      </c>
      <c r="AH6021">
        <v>23.391660097292402</v>
      </c>
      <c r="AI6021">
        <v>92.594999676149996</v>
      </c>
      <c r="AJ6021">
        <v>107.941088637684</v>
      </c>
      <c r="AK6021">
        <v>24.612485298416999</v>
      </c>
      <c r="AL6021">
        <v>78.667140236496905</v>
      </c>
      <c r="AM6021">
        <v>99.239270907139201</v>
      </c>
      <c r="AN6021">
        <v>0.99999997280716901</v>
      </c>
    </row>
    <row r="6022" spans="1:40" x14ac:dyDescent="0.25">
      <c r="A6022" t="str">
        <f>"20190304154918031"</f>
        <v>20190304154918031</v>
      </c>
      <c r="B6022" t="str">
        <f>"1551685758023211"</f>
        <v>1551685758023211</v>
      </c>
      <c r="C6022" t="s">
        <v>40</v>
      </c>
      <c r="D6022">
        <v>4.1679529999999998</v>
      </c>
      <c r="E6022">
        <v>0.43433539999999998</v>
      </c>
      <c r="F6022" t="s">
        <v>68</v>
      </c>
      <c r="G6022">
        <v>-410.15320000000003</v>
      </c>
      <c r="H6022" s="1">
        <v>-1.00963E-5</v>
      </c>
      <c r="I6022">
        <v>18.38841</v>
      </c>
      <c r="J6022">
        <v>-421.29259999999999</v>
      </c>
      <c r="K6022">
        <v>1.114401</v>
      </c>
      <c r="L6022">
        <v>40.985869999999998</v>
      </c>
      <c r="M6022">
        <v>0.1429849</v>
      </c>
      <c r="N6022">
        <v>-1.420766E-2</v>
      </c>
      <c r="O6022">
        <v>-0.98962300000000003</v>
      </c>
      <c r="P6022">
        <v>0.29376020000000003</v>
      </c>
      <c r="Q6022">
        <v>0.18255669999999999</v>
      </c>
      <c r="R6022">
        <v>-0.93828449999999997</v>
      </c>
      <c r="S6022">
        <v>1.3645320000000001</v>
      </c>
      <c r="T6022">
        <v>-0.13573789999999999</v>
      </c>
      <c r="U6022">
        <v>-2.8012999999999999</v>
      </c>
      <c r="V6022">
        <v>-0.15815190000000001</v>
      </c>
      <c r="W6022">
        <v>0.1950547</v>
      </c>
      <c r="X6022">
        <v>0.96795750000000003</v>
      </c>
      <c r="Y6022">
        <v>-0.30453780000000003</v>
      </c>
      <c r="Z6022">
        <v>3.030948E-2</v>
      </c>
      <c r="AA6022">
        <v>0.95201789999999997</v>
      </c>
      <c r="AB6022">
        <v>27</v>
      </c>
      <c r="AC6022">
        <v>11.139399999999901</v>
      </c>
      <c r="AD6022">
        <v>-1.1144110963</v>
      </c>
      <c r="AE6022">
        <v>-22.597460000000002</v>
      </c>
      <c r="AF6022">
        <v>-7.7782777169524397</v>
      </c>
      <c r="AG6022">
        <v>-1.1144110963</v>
      </c>
      <c r="AH6022">
        <v>23.911362846372299</v>
      </c>
      <c r="AI6022">
        <v>92.537685815558902</v>
      </c>
      <c r="AJ6022">
        <v>108.019514834484</v>
      </c>
      <c r="AK6022">
        <v>25.169362119538601</v>
      </c>
      <c r="AL6022">
        <v>78.752081432080303</v>
      </c>
      <c r="AM6022">
        <v>99.279406301647995</v>
      </c>
      <c r="AN6022">
        <v>1.0000000406359699</v>
      </c>
    </row>
    <row r="6023" spans="1:40" x14ac:dyDescent="0.25">
      <c r="A6023" t="str">
        <f>"20190304154918054"</f>
        <v>20190304154918054</v>
      </c>
      <c r="B6023" t="str">
        <f>"1551685758043708"</f>
        <v>1551685758043708</v>
      </c>
      <c r="C6023" t="s">
        <v>40</v>
      </c>
      <c r="D6023">
        <v>4.1902239999999997</v>
      </c>
      <c r="E6023">
        <v>0.43386920000000001</v>
      </c>
      <c r="F6023" t="s">
        <v>68</v>
      </c>
      <c r="G6023">
        <v>-409.96019999999999</v>
      </c>
      <c r="H6023" s="1">
        <v>-1.0055040000000001E-5</v>
      </c>
      <c r="I6023">
        <v>18.257159999999999</v>
      </c>
      <c r="J6023">
        <v>-421.24950000000001</v>
      </c>
      <c r="K6023">
        <v>1.11443799999999</v>
      </c>
      <c r="L6023">
        <v>40.722200000000001</v>
      </c>
      <c r="M6023">
        <v>0.1474676</v>
      </c>
      <c r="N6023">
        <v>-1.4209609999999999E-2</v>
      </c>
      <c r="O6023">
        <v>-0.98896479999999998</v>
      </c>
      <c r="P6023">
        <v>0.29893180000000003</v>
      </c>
      <c r="Q6023">
        <v>0.1818224</v>
      </c>
      <c r="R6023">
        <v>-0.93679270000000003</v>
      </c>
      <c r="S6023">
        <v>1.3903810000000001</v>
      </c>
      <c r="T6023">
        <v>-0.13672799999999999</v>
      </c>
      <c r="U6023">
        <v>-2.788605</v>
      </c>
      <c r="V6023">
        <v>-0.15910009999999999</v>
      </c>
      <c r="W6023">
        <v>0.19429879999999999</v>
      </c>
      <c r="X6023">
        <v>0.96795410000000004</v>
      </c>
      <c r="Y6023">
        <v>-0.30901000000000001</v>
      </c>
      <c r="Z6023">
        <v>3.0669620000000002E-2</v>
      </c>
      <c r="AA6023">
        <v>0.95056410000000002</v>
      </c>
      <c r="AB6023">
        <v>27</v>
      </c>
      <c r="AC6023">
        <v>11.289300000000001</v>
      </c>
      <c r="AD6023">
        <v>-1.11444805503999</v>
      </c>
      <c r="AE6023">
        <v>-22.465039999999998</v>
      </c>
      <c r="AF6023">
        <v>-7.8372491353352798</v>
      </c>
      <c r="AG6023">
        <v>-1.11444805503999</v>
      </c>
      <c r="AH6023">
        <v>23.837515713370902</v>
      </c>
      <c r="AI6023">
        <v>92.5430077265367</v>
      </c>
      <c r="AJ6023">
        <v>108.199723968896</v>
      </c>
      <c r="AK6023">
        <v>25.117556088558899</v>
      </c>
      <c r="AL6023">
        <v>78.796235670814198</v>
      </c>
      <c r="AM6023">
        <v>99.334096903466104</v>
      </c>
      <c r="AN6023">
        <v>1.00000000260413</v>
      </c>
    </row>
    <row r="6024" spans="1:40" x14ac:dyDescent="0.25">
      <c r="A6024" t="str">
        <f>"20190304154918076"</f>
        <v>20190304154918076</v>
      </c>
      <c r="B6024" t="str">
        <f>"1551685758072987"</f>
        <v>1551685758072987</v>
      </c>
      <c r="C6024" t="s">
        <v>40</v>
      </c>
      <c r="D6024">
        <v>4.1718209999999996</v>
      </c>
      <c r="E6024">
        <v>0.43335230000000002</v>
      </c>
      <c r="F6024" t="s">
        <v>68</v>
      </c>
      <c r="G6024">
        <v>-409.83359999999999</v>
      </c>
      <c r="H6024" s="1">
        <v>-3.2894019999999999E-6</v>
      </c>
      <c r="I6024">
        <v>18.185860000000002</v>
      </c>
      <c r="J6024">
        <v>-421.20479999999998</v>
      </c>
      <c r="K6024">
        <v>1.114474</v>
      </c>
      <c r="L6024">
        <v>40.45731</v>
      </c>
      <c r="M6024">
        <v>0.15203259999999999</v>
      </c>
      <c r="N6024">
        <v>-1.421178E-2</v>
      </c>
      <c r="O6024">
        <v>-0.98827330000000002</v>
      </c>
      <c r="P6024">
        <v>0.30378060000000001</v>
      </c>
      <c r="Q6024">
        <v>0.18134069999999999</v>
      </c>
      <c r="R6024">
        <v>-0.93532499999999996</v>
      </c>
      <c r="S6024">
        <v>1.408112</v>
      </c>
      <c r="T6024">
        <v>-0.13746129999999901</v>
      </c>
      <c r="U6024">
        <v>-2.7797550000000002</v>
      </c>
      <c r="V6024">
        <v>-0.15964690000000001</v>
      </c>
      <c r="W6024">
        <v>0.19379979999999999</v>
      </c>
      <c r="X6024">
        <v>0.96796409999999999</v>
      </c>
      <c r="Y6024">
        <v>-0.31065870000000001</v>
      </c>
      <c r="Z6024">
        <v>3.0933829999999999E-2</v>
      </c>
      <c r="AA6024">
        <v>0.95001800000000003</v>
      </c>
      <c r="AB6024">
        <v>27</v>
      </c>
      <c r="AC6024">
        <v>11.3711999999999</v>
      </c>
      <c r="AD6024">
        <v>-1.1144772894020001</v>
      </c>
      <c r="AE6024">
        <v>-22.271450000000002</v>
      </c>
      <c r="AF6024">
        <v>-7.8370933447660898</v>
      </c>
      <c r="AG6024">
        <v>-1.1144772894020001</v>
      </c>
      <c r="AH6024">
        <v>23.694406615214501</v>
      </c>
      <c r="AI6024">
        <v>92.556910045393394</v>
      </c>
      <c r="AJ6024">
        <v>108.30200001737499</v>
      </c>
      <c r="AK6024">
        <v>24.9817332579285</v>
      </c>
      <c r="AL6024">
        <v>78.825380188556096</v>
      </c>
      <c r="AM6024">
        <v>99.365514124621896</v>
      </c>
      <c r="AN6024">
        <v>0.99999999702422904</v>
      </c>
    </row>
    <row r="6025" spans="1:40" x14ac:dyDescent="0.25">
      <c r="A6025" t="str">
        <f>"20190304154918099"</f>
        <v>20190304154918099</v>
      </c>
      <c r="B6025" t="str">
        <f>"1551685758093499"</f>
        <v>1551685758093499</v>
      </c>
      <c r="C6025" t="s">
        <v>40</v>
      </c>
      <c r="D6025">
        <v>4.1570780000000003</v>
      </c>
      <c r="E6025">
        <v>0.4330909</v>
      </c>
      <c r="F6025" t="s">
        <v>68</v>
      </c>
      <c r="G6025">
        <v>-409.59300000000002</v>
      </c>
      <c r="H6025" s="1">
        <v>-3.366435E-6</v>
      </c>
      <c r="I6025">
        <v>17.89198</v>
      </c>
      <c r="J6025">
        <v>-421.15690000000001</v>
      </c>
      <c r="K6025">
        <v>1.1145179999999999</v>
      </c>
      <c r="L6025">
        <v>40.181429999999999</v>
      </c>
      <c r="M6025">
        <v>0.15686269999999999</v>
      </c>
      <c r="N6025">
        <v>-1.4214050000000001E-2</v>
      </c>
      <c r="O6025">
        <v>-0.98751809999999995</v>
      </c>
      <c r="P6025">
        <v>0.3092183</v>
      </c>
      <c r="Q6025">
        <v>0.18139140000000001</v>
      </c>
      <c r="R6025">
        <v>-0.93353160000000002</v>
      </c>
      <c r="S6025">
        <v>1.4258729999999999</v>
      </c>
      <c r="T6025">
        <v>-0.136852</v>
      </c>
      <c r="U6025">
        <v>-2.770905</v>
      </c>
      <c r="V6025">
        <v>-0.16057289999999999</v>
      </c>
      <c r="W6025">
        <v>0.19382550000000001</v>
      </c>
      <c r="X6025">
        <v>0.96780580000000005</v>
      </c>
      <c r="Y6025">
        <v>-0.31206319999999999</v>
      </c>
      <c r="Z6025">
        <v>3.0760570000000001E-2</v>
      </c>
      <c r="AA6025">
        <v>0.9495633</v>
      </c>
      <c r="AB6025">
        <v>27</v>
      </c>
      <c r="AC6025">
        <v>11.563899999999901</v>
      </c>
      <c r="AD6025">
        <v>-1.114521366435</v>
      </c>
      <c r="AE6025">
        <v>-22.289449999999999</v>
      </c>
      <c r="AF6025">
        <v>-7.9083986009478604</v>
      </c>
      <c r="AG6025">
        <v>-1.114521366435</v>
      </c>
      <c r="AH6025">
        <v>23.780740151904599</v>
      </c>
      <c r="AI6025">
        <v>92.546374037725698</v>
      </c>
      <c r="AJ6025">
        <v>108.394791959874</v>
      </c>
      <c r="AK6025">
        <v>25.086022571944799</v>
      </c>
      <c r="AL6025">
        <v>78.823879527335095</v>
      </c>
      <c r="AM6025">
        <v>99.420379231929601</v>
      </c>
      <c r="AN6025">
        <v>1.00000002358914</v>
      </c>
    </row>
    <row r="6026" spans="1:40" x14ac:dyDescent="0.25">
      <c r="A6026" t="str">
        <f>"20190304154918121"</f>
        <v>20190304154918121</v>
      </c>
      <c r="B6026" t="str">
        <f>"1551685758113003"</f>
        <v>1551685758113003</v>
      </c>
      <c r="C6026" t="s">
        <v>40</v>
      </c>
      <c r="D6026">
        <v>4.1827209999999999</v>
      </c>
      <c r="E6026">
        <v>0.43288850000000001</v>
      </c>
      <c r="F6026" t="s">
        <v>68</v>
      </c>
      <c r="G6026">
        <v>-409.2439</v>
      </c>
      <c r="H6026" s="1">
        <v>-3.4626429999999998E-6</v>
      </c>
      <c r="I6026">
        <v>17.39526</v>
      </c>
      <c r="J6026">
        <v>-421.11</v>
      </c>
      <c r="K6026">
        <v>1.1145700000000001</v>
      </c>
      <c r="L6026">
        <v>39.919310000000003</v>
      </c>
      <c r="M6026">
        <v>0.1615347</v>
      </c>
      <c r="N6026">
        <v>-1.4216589999999999E-2</v>
      </c>
      <c r="O6026">
        <v>-0.9867648</v>
      </c>
      <c r="P6026">
        <v>0.3141698</v>
      </c>
      <c r="Q6026">
        <v>0.1818237</v>
      </c>
      <c r="R6026">
        <v>-0.93179290000000004</v>
      </c>
      <c r="S6026">
        <v>1.4438169999999999</v>
      </c>
      <c r="T6026">
        <v>-0.135075799999999</v>
      </c>
      <c r="U6026">
        <v>-2.7615970000000001</v>
      </c>
      <c r="V6026">
        <v>-0.16117200000000001</v>
      </c>
      <c r="W6026">
        <v>0.1942334</v>
      </c>
      <c r="X6026">
        <v>0.96762440000000005</v>
      </c>
      <c r="Y6026">
        <v>-0.31373469999999998</v>
      </c>
      <c r="Z6026">
        <v>3.0211720000000001E-2</v>
      </c>
      <c r="AA6026">
        <v>0.94902989999999998</v>
      </c>
      <c r="AB6026">
        <v>27</v>
      </c>
      <c r="AC6026">
        <v>11.866099999999999</v>
      </c>
      <c r="AD6026">
        <v>-1.1145734626429999</v>
      </c>
      <c r="AE6026">
        <v>-22.5240499999999</v>
      </c>
      <c r="AF6026">
        <v>-8.0560076441046498</v>
      </c>
      <c r="AG6026">
        <v>-1.1145734626429999</v>
      </c>
      <c r="AH6026">
        <v>24.098972496179201</v>
      </c>
      <c r="AI6026">
        <v>92.511604070476594</v>
      </c>
      <c r="AJ6026">
        <v>108.484185332777</v>
      </c>
      <c r="AK6026">
        <v>25.4342683900501</v>
      </c>
      <c r="AL6026">
        <v>78.800055597200199</v>
      </c>
      <c r="AM6026">
        <v>99.4566338413685</v>
      </c>
      <c r="AN6026">
        <v>1.0000000033674601</v>
      </c>
    </row>
    <row r="6027" spans="1:40" x14ac:dyDescent="0.25">
      <c r="A6027" t="str">
        <f>"20190304154918143"</f>
        <v>20190304154918143</v>
      </c>
      <c r="B6027" t="str">
        <f>"1551685758133499"</f>
        <v>1551685758133499</v>
      </c>
      <c r="C6027" t="s">
        <v>40</v>
      </c>
      <c r="D6027">
        <v>4.1655199999999999</v>
      </c>
      <c r="E6027">
        <v>0.43272349999999998</v>
      </c>
      <c r="F6027" t="s">
        <v>68</v>
      </c>
      <c r="G6027">
        <v>-408.8</v>
      </c>
      <c r="H6027" s="1">
        <v>-3.5735690000000002E-6</v>
      </c>
      <c r="I6027">
        <v>16.71256</v>
      </c>
      <c r="J6027">
        <v>-421.0616</v>
      </c>
      <c r="K6027">
        <v>1.114628</v>
      </c>
      <c r="L6027">
        <v>39.656399999999998</v>
      </c>
      <c r="M6027">
        <v>0.1663094</v>
      </c>
      <c r="N6027">
        <v>-1.4219799999999901E-2</v>
      </c>
      <c r="O6027">
        <v>-0.98597129999999999</v>
      </c>
      <c r="P6027">
        <v>0.31999169999999999</v>
      </c>
      <c r="Q6027">
        <v>0.18149999999999999</v>
      </c>
      <c r="R6027">
        <v>-0.9298729</v>
      </c>
      <c r="S6027">
        <v>1.4603269999999999</v>
      </c>
      <c r="T6027">
        <v>-0.13222059999999999</v>
      </c>
      <c r="U6027">
        <v>-2.7529910000000002</v>
      </c>
      <c r="V6027">
        <v>-0.16255710000000001</v>
      </c>
      <c r="W6027">
        <v>0.19387650000000001</v>
      </c>
      <c r="X6027">
        <v>0.96746430000000005</v>
      </c>
      <c r="Y6027">
        <v>-0.31482259999999901</v>
      </c>
      <c r="Z6027">
        <v>2.9308290000000001E-2</v>
      </c>
      <c r="AA6027">
        <v>0.94869789999999998</v>
      </c>
      <c r="AB6027">
        <v>27</v>
      </c>
      <c r="AC6027">
        <v>12.2615999999999</v>
      </c>
      <c r="AD6027">
        <v>-1.114631573569</v>
      </c>
      <c r="AE6027">
        <v>-22.943840000000002</v>
      </c>
      <c r="AF6027">
        <v>-8.2594815952404002</v>
      </c>
      <c r="AG6027">
        <v>-1.114631573569</v>
      </c>
      <c r="AH6027">
        <v>24.618481083765801</v>
      </c>
      <c r="AI6027">
        <v>92.457901798375701</v>
      </c>
      <c r="AJ6027">
        <v>108.54656353146299</v>
      </c>
      <c r="AK6027">
        <v>25.9909801784897</v>
      </c>
      <c r="AL6027">
        <v>78.820901126429504</v>
      </c>
      <c r="AM6027">
        <v>99.537966105994897</v>
      </c>
      <c r="AN6027">
        <v>1.00000003989357</v>
      </c>
    </row>
    <row r="6028" spans="1:40" x14ac:dyDescent="0.25">
      <c r="A6028" t="str">
        <f>"20190304154918157"</f>
        <v>20190304154918157</v>
      </c>
      <c r="B6028" t="str">
        <f>"1551685758152870"</f>
        <v>1551685758152870</v>
      </c>
      <c r="C6028" t="s">
        <v>40</v>
      </c>
      <c r="D6028">
        <v>4.1692739999999997</v>
      </c>
      <c r="E6028">
        <v>0.43260169999999998</v>
      </c>
      <c r="F6028" t="s">
        <v>68</v>
      </c>
      <c r="G6028">
        <v>-408.58969999999999</v>
      </c>
      <c r="H6028" s="1">
        <v>-3.653658E-6</v>
      </c>
      <c r="I6028">
        <v>16.512999999999899</v>
      </c>
      <c r="J6028">
        <v>-421.03109999999998</v>
      </c>
      <c r="K6028">
        <v>1.1146659999999999</v>
      </c>
      <c r="L6028">
        <v>39.494259999999997</v>
      </c>
      <c r="M6028">
        <v>0.1693006</v>
      </c>
      <c r="N6028">
        <v>-1.422204E-2</v>
      </c>
      <c r="O6028">
        <v>-0.9854619</v>
      </c>
      <c r="P6028">
        <v>0.32358019999999998</v>
      </c>
      <c r="Q6028">
        <v>0.1816335</v>
      </c>
      <c r="R6028">
        <v>-0.92860419999999999</v>
      </c>
      <c r="S6028">
        <v>1.4783630000000001</v>
      </c>
      <c r="T6028">
        <v>-0.13212349999999901</v>
      </c>
      <c r="U6028">
        <v>-2.7433169999999998</v>
      </c>
      <c r="V6028">
        <v>-0.1633829</v>
      </c>
      <c r="W6028">
        <v>0.19398779999999999</v>
      </c>
      <c r="X6028">
        <v>0.96730289999999997</v>
      </c>
      <c r="Y6028">
        <v>-0.31817010000000001</v>
      </c>
      <c r="Z6028">
        <v>2.9305399999999999E-2</v>
      </c>
      <c r="AA6028">
        <v>0.9475806</v>
      </c>
      <c r="AB6028">
        <v>27</v>
      </c>
      <c r="AC6028">
        <v>12.4413999999999</v>
      </c>
      <c r="AD6028">
        <v>-1.1146696536580001</v>
      </c>
      <c r="AE6028">
        <v>-22.981259999999999</v>
      </c>
      <c r="AF6028">
        <v>-8.3554291628722996</v>
      </c>
      <c r="AG6028">
        <v>-1.1146696536580001</v>
      </c>
      <c r="AH6028">
        <v>24.711036743925401</v>
      </c>
      <c r="AI6028">
        <v>92.446848271286001</v>
      </c>
      <c r="AJ6028">
        <v>108.6817011918</v>
      </c>
      <c r="AK6028">
        <v>26.1092133526117</v>
      </c>
      <c r="AL6028">
        <v>78.814401030311799</v>
      </c>
      <c r="AM6028">
        <v>99.587092417262198</v>
      </c>
      <c r="AN6028">
        <v>1.0000000694548199</v>
      </c>
    </row>
    <row r="6029" spans="1:40" x14ac:dyDescent="0.25">
      <c r="A6029" t="str">
        <f>"20190304154918173"</f>
        <v>20190304154918173</v>
      </c>
      <c r="B6029" t="str">
        <f>"1551685758163606"</f>
        <v>1551685758163606</v>
      </c>
      <c r="C6029" t="s">
        <v>40</v>
      </c>
      <c r="D6029">
        <v>4.1675909999999998</v>
      </c>
      <c r="E6029">
        <v>0.43255389999999999</v>
      </c>
      <c r="F6029" t="s">
        <v>68</v>
      </c>
      <c r="G6029">
        <v>-408.3177</v>
      </c>
      <c r="H6029" s="1">
        <v>-3.7302220000000001E-6</v>
      </c>
      <c r="I6029">
        <v>16.13334</v>
      </c>
      <c r="J6029">
        <v>-420.99639999999999</v>
      </c>
      <c r="K6029">
        <v>1.1147069999999999</v>
      </c>
      <c r="L6029">
        <v>39.313290000000002</v>
      </c>
      <c r="M6029">
        <v>0.17267950000000001</v>
      </c>
      <c r="N6029">
        <v>-1.422468E-2</v>
      </c>
      <c r="O6029">
        <v>-0.98487539999999996</v>
      </c>
      <c r="P6029">
        <v>0.32711790000000002</v>
      </c>
      <c r="Q6029">
        <v>0.18164230000000001</v>
      </c>
      <c r="R6029">
        <v>-0.92736209999999997</v>
      </c>
      <c r="S6029">
        <v>1.4895940000000001</v>
      </c>
      <c r="T6029">
        <v>-0.13060359999999999</v>
      </c>
      <c r="U6029">
        <v>-2.737152</v>
      </c>
      <c r="V6029">
        <v>-0.16377529999999901</v>
      </c>
      <c r="W6029">
        <v>0.19397710000000001</v>
      </c>
      <c r="X6029">
        <v>0.96723870000000001</v>
      </c>
      <c r="Y6029">
        <v>-0.31882159999999998</v>
      </c>
      <c r="Z6029">
        <v>2.8828900000000001E-2</v>
      </c>
      <c r="AA6029">
        <v>0.9473762</v>
      </c>
      <c r="AB6029">
        <v>27</v>
      </c>
      <c r="AC6029">
        <v>12.6786999999999</v>
      </c>
      <c r="AD6029">
        <v>-1.1147107302219901</v>
      </c>
      <c r="AE6029">
        <v>-23.179950000000002</v>
      </c>
      <c r="AF6029">
        <v>-8.4700185539672503</v>
      </c>
      <c r="AG6029">
        <v>-1.1147107302219901</v>
      </c>
      <c r="AH6029">
        <v>24.976784444943501</v>
      </c>
      <c r="AI6029">
        <v>92.420207261906</v>
      </c>
      <c r="AJ6029">
        <v>108.732602037514</v>
      </c>
      <c r="AK6029">
        <v>26.397415697863199</v>
      </c>
      <c r="AL6029">
        <v>78.815026124834503</v>
      </c>
      <c r="AM6029">
        <v>99.610314986100903</v>
      </c>
      <c r="AN6029">
        <v>1.00000008349609</v>
      </c>
    </row>
    <row r="6030" spans="1:40" x14ac:dyDescent="0.25">
      <c r="A6030" t="str">
        <f>"20190304154918188"</f>
        <v>20190304154918188</v>
      </c>
      <c r="B6030" t="str">
        <f>"1551685758183126"</f>
        <v>1551685758183126</v>
      </c>
      <c r="C6030" t="s">
        <v>40</v>
      </c>
      <c r="D6030">
        <v>4.1912640000000003</v>
      </c>
      <c r="E6030">
        <v>0.4324923</v>
      </c>
      <c r="F6030" t="s">
        <v>68</v>
      </c>
      <c r="G6030">
        <v>-408.16789999999997</v>
      </c>
      <c r="H6030" s="1">
        <v>-3.7791660000000001E-6</v>
      </c>
      <c r="I6030">
        <v>15.954499999999999</v>
      </c>
      <c r="J6030">
        <v>-420.95859999999999</v>
      </c>
      <c r="K6030">
        <v>1.11476</v>
      </c>
      <c r="L6030">
        <v>39.120510000000003</v>
      </c>
      <c r="M6030">
        <v>0.176345899999999</v>
      </c>
      <c r="N6030">
        <v>-1.422786E-2</v>
      </c>
      <c r="O6030">
        <v>-0.98422540000000003</v>
      </c>
      <c r="P6030">
        <v>0.33162960000000002</v>
      </c>
      <c r="Q6030">
        <v>0.1816055</v>
      </c>
      <c r="R6030">
        <v>-0.92576530000000001</v>
      </c>
      <c r="S6030">
        <v>1.5000610000000001</v>
      </c>
      <c r="T6030">
        <v>-0.13034509999999999</v>
      </c>
      <c r="U6030">
        <v>-2.7313839999999998</v>
      </c>
      <c r="V6030">
        <v>-0.16490869999999999</v>
      </c>
      <c r="W6030">
        <v>0.19391069999999999</v>
      </c>
      <c r="X6030">
        <v>0.96705940000000001</v>
      </c>
      <c r="Y6030">
        <v>-0.31892670000000001</v>
      </c>
      <c r="Z6030">
        <v>2.8758820000000001E-2</v>
      </c>
      <c r="AA6030">
        <v>0.94734289999999999</v>
      </c>
      <c r="AB6030">
        <v>27</v>
      </c>
      <c r="AC6030">
        <v>12.790699999999999</v>
      </c>
      <c r="AD6030">
        <v>-1.1147637791659999</v>
      </c>
      <c r="AE6030">
        <v>-23.16601</v>
      </c>
      <c r="AF6030">
        <v>-8.4894964744272592</v>
      </c>
      <c r="AG6030">
        <v>-1.1147637791659999</v>
      </c>
      <c r="AH6030">
        <v>25.0143094876642</v>
      </c>
      <c r="AI6030">
        <v>92.416497545259205</v>
      </c>
      <c r="AJ6030">
        <v>108.74647260594099</v>
      </c>
      <c r="AK6030">
        <v>26.439174113752198</v>
      </c>
      <c r="AL6030">
        <v>78.818903944166294</v>
      </c>
      <c r="AM6030">
        <v>99.677329734512696</v>
      </c>
      <c r="AN6030">
        <v>1.0000000610192601</v>
      </c>
    </row>
    <row r="6031" spans="1:40" x14ac:dyDescent="0.25">
      <c r="A6031" t="str">
        <f>"20190304154918204"</f>
        <v>20190304154918204</v>
      </c>
      <c r="B6031" t="str">
        <f>"1551685758192886"</f>
        <v>1551685758192886</v>
      </c>
      <c r="C6031" t="s">
        <v>40</v>
      </c>
      <c r="D6031">
        <v>4.1772269999999896</v>
      </c>
      <c r="E6031">
        <v>0.43248370000000003</v>
      </c>
      <c r="F6031" t="s">
        <v>68</v>
      </c>
      <c r="G6031">
        <v>-407.93959999999998</v>
      </c>
      <c r="H6031" s="1">
        <v>-3.8524060000000003E-6</v>
      </c>
      <c r="I6031">
        <v>15.70013</v>
      </c>
      <c r="J6031">
        <v>-420.92270000000002</v>
      </c>
      <c r="K6031">
        <v>1.114811</v>
      </c>
      <c r="L6031">
        <v>38.941560000000003</v>
      </c>
      <c r="M6031">
        <v>0.17980550000000001</v>
      </c>
      <c r="N6031">
        <v>-1.423109E-2</v>
      </c>
      <c r="O6031">
        <v>-0.98359940000000001</v>
      </c>
      <c r="P6031">
        <v>0.33532070000000003</v>
      </c>
      <c r="Q6031">
        <v>0.1817694</v>
      </c>
      <c r="R6031">
        <v>-0.92440270000000002</v>
      </c>
      <c r="S6031">
        <v>1.514038</v>
      </c>
      <c r="T6031">
        <v>-0.129640899999999</v>
      </c>
      <c r="U6031">
        <v>-2.7236630000000002</v>
      </c>
      <c r="V6031">
        <v>-0.1653983</v>
      </c>
      <c r="W6031">
        <v>0.1940528</v>
      </c>
      <c r="X6031">
        <v>0.96694720000000001</v>
      </c>
      <c r="Y6031">
        <v>-0.32045119999999999</v>
      </c>
      <c r="Z6031">
        <v>2.8550039999999999E-2</v>
      </c>
      <c r="AA6031">
        <v>0.94683470000000003</v>
      </c>
      <c r="AB6031">
        <v>27</v>
      </c>
      <c r="AC6031">
        <v>12.9831</v>
      </c>
      <c r="AD6031">
        <v>-1.114814852406</v>
      </c>
      <c r="AE6031">
        <v>-23.241429999999902</v>
      </c>
      <c r="AF6031">
        <v>-8.5770605069072108</v>
      </c>
      <c r="AG6031">
        <v>-1.114814852406</v>
      </c>
      <c r="AH6031">
        <v>25.153128745673801</v>
      </c>
      <c r="AI6031">
        <v>92.402109872839205</v>
      </c>
      <c r="AJ6031">
        <v>108.82905713289701</v>
      </c>
      <c r="AK6031">
        <v>26.598659078809501</v>
      </c>
      <c r="AL6031">
        <v>78.810603732366502</v>
      </c>
      <c r="AM6031">
        <v>99.706619988413493</v>
      </c>
      <c r="AN6031">
        <v>0.99999998720928496</v>
      </c>
    </row>
    <row r="6032" spans="1:40" x14ac:dyDescent="0.25">
      <c r="A6032" t="str">
        <f>"20190304154918222"</f>
        <v>20190304154918222</v>
      </c>
      <c r="B6032" t="str">
        <f>"1551685758213383"</f>
        <v>1551685758213383</v>
      </c>
      <c r="C6032" t="s">
        <v>40</v>
      </c>
      <c r="D6032">
        <v>4.1910669999999897</v>
      </c>
      <c r="E6032">
        <v>0.43249090000000001</v>
      </c>
      <c r="F6032" t="s">
        <v>68</v>
      </c>
      <c r="G6032">
        <v>-407.73540000000003</v>
      </c>
      <c r="H6032" s="1">
        <v>-3.9076149999999999E-6</v>
      </c>
      <c r="I6032">
        <v>15.433009999999999</v>
      </c>
      <c r="J6032">
        <v>-420.87869999999998</v>
      </c>
      <c r="K6032">
        <v>1.1148769999999999</v>
      </c>
      <c r="L6032">
        <v>38.726900000000001</v>
      </c>
      <c r="M6032">
        <v>0.18402750000000001</v>
      </c>
      <c r="N6032">
        <v>-1.423525E-2</v>
      </c>
      <c r="O6032">
        <v>-0.98281830000000003</v>
      </c>
      <c r="P6032">
        <v>0.34010380000000001</v>
      </c>
      <c r="Q6032">
        <v>0.18221950000000001</v>
      </c>
      <c r="R6032">
        <v>-0.92256499999999997</v>
      </c>
      <c r="S6032">
        <v>1.5245059999999999</v>
      </c>
      <c r="T6032">
        <v>-0.12887699999999999</v>
      </c>
      <c r="U6032">
        <v>-2.7176819999999999</v>
      </c>
      <c r="V6032">
        <v>-0.16630590000000001</v>
      </c>
      <c r="W6032">
        <v>0.194471</v>
      </c>
      <c r="X6032">
        <v>0.96670750000000005</v>
      </c>
      <c r="Y6032">
        <v>-0.32005090000000003</v>
      </c>
      <c r="Z6032">
        <v>2.8315010000000002E-2</v>
      </c>
      <c r="AA6032">
        <v>0.94697710000000002</v>
      </c>
      <c r="AB6032">
        <v>27</v>
      </c>
      <c r="AC6032">
        <v>13.143299999999901</v>
      </c>
      <c r="AD6032">
        <v>-1.1148809076149999</v>
      </c>
      <c r="AE6032">
        <v>-23.293890000000001</v>
      </c>
      <c r="AF6032">
        <v>-8.6166596753377007</v>
      </c>
      <c r="AG6032">
        <v>-1.1148809076149999</v>
      </c>
      <c r="AH6032">
        <v>25.271038117196799</v>
      </c>
      <c r="AI6032">
        <v>92.391074199495193</v>
      </c>
      <c r="AJ6032">
        <v>108.827823862183</v>
      </c>
      <c r="AK6032">
        <v>26.722933052334799</v>
      </c>
      <c r="AL6032">
        <v>78.786177523941305</v>
      </c>
      <c r="AM6032">
        <v>99.761235456953798</v>
      </c>
      <c r="AN6032">
        <v>1.0000000063860299</v>
      </c>
    </row>
    <row r="6033" spans="1:40" x14ac:dyDescent="0.25">
      <c r="A6033" t="str">
        <f>"20190304154918244"</f>
        <v>20190304154918244</v>
      </c>
      <c r="B6033" t="str">
        <f>"1551685758232904"</f>
        <v>1551685758232904</v>
      </c>
      <c r="C6033" t="s">
        <v>40</v>
      </c>
      <c r="D6033">
        <v>4.1905950000000001</v>
      </c>
      <c r="E6033">
        <v>0.43250189999999999</v>
      </c>
      <c r="F6033" t="s">
        <v>68</v>
      </c>
      <c r="G6033">
        <v>-407.39249999999998</v>
      </c>
      <c r="H6033" s="1">
        <v>-3.9976940000000001E-6</v>
      </c>
      <c r="I6033">
        <v>14.969989999999999</v>
      </c>
      <c r="J6033">
        <v>-420.82400000000001</v>
      </c>
      <c r="K6033">
        <v>1.1149579999999999</v>
      </c>
      <c r="L6033">
        <v>38.466250000000002</v>
      </c>
      <c r="M6033">
        <v>0.1892723</v>
      </c>
      <c r="N6033">
        <v>-1.424108E-2</v>
      </c>
      <c r="O6033">
        <v>-0.98182139999999996</v>
      </c>
      <c r="P6033">
        <v>0.34579369999999998</v>
      </c>
      <c r="Q6033">
        <v>0.18333820000000001</v>
      </c>
      <c r="R6033">
        <v>-0.92022499999999996</v>
      </c>
      <c r="S6033">
        <v>1.5383</v>
      </c>
      <c r="T6033">
        <v>-0.12716930000000001</v>
      </c>
      <c r="U6033">
        <v>-2.7098390000000001</v>
      </c>
      <c r="V6033">
        <v>-0.16720639999999901</v>
      </c>
      <c r="W6033">
        <v>0.19554849999999999</v>
      </c>
      <c r="X6033">
        <v>0.96633469999999999</v>
      </c>
      <c r="Y6033">
        <v>-0.31982369999999999</v>
      </c>
      <c r="Z6033">
        <v>2.7775689999999999E-2</v>
      </c>
      <c r="AA6033">
        <v>0.94706979999999996</v>
      </c>
      <c r="AB6033">
        <v>27</v>
      </c>
      <c r="AC6033">
        <v>13.4315</v>
      </c>
      <c r="AD6033">
        <v>-1.114961997694</v>
      </c>
      <c r="AE6033">
        <v>-23.496259999999999</v>
      </c>
      <c r="AF6033">
        <v>-8.7262192080853591</v>
      </c>
      <c r="AG6033">
        <v>-1.114961997694</v>
      </c>
      <c r="AH6033">
        <v>25.570540847164899</v>
      </c>
      <c r="AI6033">
        <v>92.363061827866403</v>
      </c>
      <c r="AJ6033">
        <v>108.842753323802</v>
      </c>
      <c r="AK6033">
        <v>27.041497760671199</v>
      </c>
      <c r="AL6033">
        <v>78.723232495753393</v>
      </c>
      <c r="AM6033">
        <v>99.816777064384098</v>
      </c>
      <c r="AN6033">
        <v>0.99999997423864895</v>
      </c>
    </row>
    <row r="6034" spans="1:40" x14ac:dyDescent="0.25">
      <c r="A6034" t="str">
        <f>"20190304154918261"</f>
        <v>20190304154918261</v>
      </c>
      <c r="B6034" t="str">
        <f>"1551685758253398"</f>
        <v>1551685758253398</v>
      </c>
      <c r="C6034" t="s">
        <v>40</v>
      </c>
      <c r="D6034">
        <v>4.2084910000000004</v>
      </c>
      <c r="E6034">
        <v>0.43253130000000001</v>
      </c>
      <c r="F6034" t="s">
        <v>68</v>
      </c>
      <c r="G6034">
        <v>-406.73930000000001</v>
      </c>
      <c r="H6034" s="1">
        <v>-4.1555939999999999E-6</v>
      </c>
      <c r="I6034">
        <v>14.0102799999999</v>
      </c>
      <c r="J6034">
        <v>-420.78370000000001</v>
      </c>
      <c r="K6034">
        <v>1.1150230000000001</v>
      </c>
      <c r="L6034">
        <v>38.27899</v>
      </c>
      <c r="M6034">
        <v>0.19312560000000001</v>
      </c>
      <c r="N6034">
        <v>-1.424595E-2</v>
      </c>
      <c r="O6034">
        <v>-0.98107060000000001</v>
      </c>
      <c r="P6034">
        <v>0.34975590000000001</v>
      </c>
      <c r="Q6034">
        <v>0.18386240000000001</v>
      </c>
      <c r="R6034">
        <v>-0.91862160000000004</v>
      </c>
      <c r="S6034">
        <v>1.555115</v>
      </c>
      <c r="T6034">
        <v>-0.1231049</v>
      </c>
      <c r="U6034">
        <v>-2.7002259999999998</v>
      </c>
      <c r="V6034">
        <v>-0.16763259999999999</v>
      </c>
      <c r="W6034">
        <v>0.1960461</v>
      </c>
      <c r="X6034">
        <v>0.96616009999999997</v>
      </c>
      <c r="Y6034">
        <v>-0.32200980000000001</v>
      </c>
      <c r="Z6034">
        <v>2.6479619999999999E-2</v>
      </c>
      <c r="AA6034">
        <v>0.94636600000000004</v>
      </c>
      <c r="AB6034">
        <v>27</v>
      </c>
      <c r="AC6034">
        <v>14.0443999999999</v>
      </c>
      <c r="AD6034">
        <v>-1.1150271555939999</v>
      </c>
      <c r="AE6034">
        <v>-24.268709999999999</v>
      </c>
      <c r="AF6034">
        <v>-9.0782057436725907</v>
      </c>
      <c r="AG6034">
        <v>-1.1150271555939999</v>
      </c>
      <c r="AH6034">
        <v>26.48246498344</v>
      </c>
      <c r="AI6034">
        <v>92.280835835749002</v>
      </c>
      <c r="AJ6034">
        <v>108.921747128039</v>
      </c>
      <c r="AK6034">
        <v>28.017459854192499</v>
      </c>
      <c r="AL6034">
        <v>78.6941602590488</v>
      </c>
      <c r="AM6034">
        <v>99.843054534101896</v>
      </c>
      <c r="AN6034">
        <v>1.00000005036998</v>
      </c>
    </row>
    <row r="6035" spans="1:40" x14ac:dyDescent="0.25">
      <c r="A6035" t="str">
        <f>"20190304154918278"</f>
        <v>20190304154918278</v>
      </c>
      <c r="B6035" t="str">
        <f>"1551685758272918"</f>
        <v>1551685758272918</v>
      </c>
      <c r="C6035" t="s">
        <v>40</v>
      </c>
      <c r="D6035">
        <v>4.2252839999999896</v>
      </c>
      <c r="E6035">
        <v>0.43257879999999899</v>
      </c>
      <c r="F6035" t="s">
        <v>68</v>
      </c>
      <c r="G6035">
        <v>-406.3057</v>
      </c>
      <c r="H6035" s="1">
        <v>-4.2625960000000004E-6</v>
      </c>
      <c r="I6035">
        <v>13.38561</v>
      </c>
      <c r="J6035">
        <v>-420.73829999999998</v>
      </c>
      <c r="K6035">
        <v>1.1150979999999999</v>
      </c>
      <c r="L6035">
        <v>38.073120000000003</v>
      </c>
      <c r="M6035">
        <v>0.1974419</v>
      </c>
      <c r="N6035">
        <v>-1.4251730000000001E-2</v>
      </c>
      <c r="O6035">
        <v>-0.98021100000000005</v>
      </c>
      <c r="P6035">
        <v>0.35469990000000001</v>
      </c>
      <c r="Q6035">
        <v>0.184672</v>
      </c>
      <c r="R6035">
        <v>-0.91656090000000001</v>
      </c>
      <c r="S6035">
        <v>1.5665279999999999</v>
      </c>
      <c r="T6035">
        <v>-0.120646699999999</v>
      </c>
      <c r="U6035">
        <v>-2.6934809999999998</v>
      </c>
      <c r="V6035">
        <v>-0.1686619</v>
      </c>
      <c r="W6035">
        <v>0.19681799999999999</v>
      </c>
      <c r="X6035">
        <v>0.96582389999999996</v>
      </c>
      <c r="Y6035">
        <v>-0.32188129999999998</v>
      </c>
      <c r="Z6035">
        <v>2.5693899999999999E-2</v>
      </c>
      <c r="AA6035">
        <v>0.94643129999999998</v>
      </c>
      <c r="AB6035">
        <v>27</v>
      </c>
      <c r="AC6035">
        <v>14.4325999999999</v>
      </c>
      <c r="AD6035">
        <v>-1.1151022625960001</v>
      </c>
      <c r="AE6035">
        <v>-24.68751</v>
      </c>
      <c r="AF6035">
        <v>-9.25950673036618</v>
      </c>
      <c r="AG6035">
        <v>-1.1151022625960001</v>
      </c>
      <c r="AH6035">
        <v>27.010245878633601</v>
      </c>
      <c r="AI6035">
        <v>92.236454852594605</v>
      </c>
      <c r="AJ6035">
        <v>108.92246343333299</v>
      </c>
      <c r="AK6035">
        <v>28.575081808631602</v>
      </c>
      <c r="AL6035">
        <v>78.649054113052799</v>
      </c>
      <c r="AM6035">
        <v>99.905678882215597</v>
      </c>
      <c r="AN6035">
        <v>0.99999998372340904</v>
      </c>
    </row>
    <row r="6036" spans="1:40" x14ac:dyDescent="0.25">
      <c r="A6036" t="str">
        <f>"20190304154918295"</f>
        <v>20190304154918295</v>
      </c>
      <c r="B6036" t="str">
        <f>"1551685758283659"</f>
        <v>1551685758283659</v>
      </c>
      <c r="C6036" t="s">
        <v>40</v>
      </c>
      <c r="D6036">
        <v>4.2848889999999997</v>
      </c>
      <c r="E6036">
        <v>0.4325328</v>
      </c>
      <c r="F6036" t="s">
        <v>68</v>
      </c>
      <c r="G6036">
        <v>-405.73630000000003</v>
      </c>
      <c r="H6036" s="1">
        <v>-4.4090980000000002E-6</v>
      </c>
      <c r="I6036">
        <v>12.59895</v>
      </c>
      <c r="J6036">
        <v>-420.6943</v>
      </c>
      <c r="K6036">
        <v>1.115165</v>
      </c>
      <c r="L6036">
        <v>37.876950000000001</v>
      </c>
      <c r="M6036">
        <v>0.20163500000000001</v>
      </c>
      <c r="N6036">
        <v>-1.425746E-2</v>
      </c>
      <c r="O6036">
        <v>-0.97935700000000003</v>
      </c>
      <c r="P6036">
        <v>0.35904779999999997</v>
      </c>
      <c r="Q6036">
        <v>0.18499499999999999</v>
      </c>
      <c r="R6036">
        <v>-0.91480130000000004</v>
      </c>
      <c r="S6036">
        <v>1.5811770000000001</v>
      </c>
      <c r="T6036">
        <v>-0.1175287</v>
      </c>
      <c r="U6036">
        <v>-2.6849059999999998</v>
      </c>
      <c r="V6036">
        <v>-0.1691656</v>
      </c>
      <c r="W6036">
        <v>0.19711110000000001</v>
      </c>
      <c r="X6036">
        <v>0.96567599999999998</v>
      </c>
      <c r="Y6036">
        <v>-0.3229998</v>
      </c>
      <c r="Z6036">
        <v>2.4698939999999999E-2</v>
      </c>
      <c r="AA6036">
        <v>0.94607669999999999</v>
      </c>
      <c r="AB6036">
        <v>27</v>
      </c>
      <c r="AC6036">
        <v>14.957999999999901</v>
      </c>
      <c r="AD6036">
        <v>-1.115169409098</v>
      </c>
      <c r="AE6036">
        <v>-25.277999999999999</v>
      </c>
      <c r="AF6036">
        <v>-9.5395119725014403</v>
      </c>
      <c r="AG6036">
        <v>-1.115169409098</v>
      </c>
      <c r="AH6036">
        <v>27.7350846639808</v>
      </c>
      <c r="AI6036">
        <v>92.177435099742297</v>
      </c>
      <c r="AJ6036">
        <v>108.980710050594</v>
      </c>
      <c r="AK6036">
        <v>29.3509933869821</v>
      </c>
      <c r="AL6036">
        <v>78.631924917940793</v>
      </c>
      <c r="AM6036">
        <v>99.936164386675202</v>
      </c>
      <c r="AN6036">
        <v>0.999999961471284</v>
      </c>
    </row>
    <row r="6037" spans="1:40" x14ac:dyDescent="0.25">
      <c r="A6037" t="str">
        <f>"20190304154918311"</f>
        <v>20190304154918311</v>
      </c>
      <c r="B6037" t="str">
        <f>"1551685758303174"</f>
        <v>1551685758303174</v>
      </c>
      <c r="C6037" t="s">
        <v>40</v>
      </c>
      <c r="D6037">
        <v>4.2833629999999996</v>
      </c>
      <c r="E6037">
        <v>0.43249749999999998</v>
      </c>
      <c r="F6037" t="s">
        <v>68</v>
      </c>
      <c r="G6037">
        <v>-405.37810000000002</v>
      </c>
      <c r="H6037" s="1">
        <v>-4.511748E-6</v>
      </c>
      <c r="I6037">
        <v>12.163029999999999</v>
      </c>
      <c r="J6037">
        <v>-420.65030000000002</v>
      </c>
      <c r="K6037">
        <v>1.1152359999999999</v>
      </c>
      <c r="L6037">
        <v>37.68573</v>
      </c>
      <c r="M6037">
        <v>0.20579729999999999</v>
      </c>
      <c r="N6037">
        <v>-1.426324E-2</v>
      </c>
      <c r="O6037">
        <v>-0.97849079999999999</v>
      </c>
      <c r="P6037">
        <v>0.36433280000000001</v>
      </c>
      <c r="Q6037">
        <v>0.1851689</v>
      </c>
      <c r="R6037">
        <v>-0.9126744</v>
      </c>
      <c r="S6037">
        <v>1.594543</v>
      </c>
      <c r="T6037">
        <v>-0.1160984</v>
      </c>
      <c r="U6037">
        <v>-2.6770320000000001</v>
      </c>
      <c r="V6037">
        <v>-0.1706905</v>
      </c>
      <c r="W6037">
        <v>0.19724249999999999</v>
      </c>
      <c r="X6037">
        <v>0.96538080000000004</v>
      </c>
      <c r="Y6037">
        <v>-0.32369249999999999</v>
      </c>
      <c r="Z6037">
        <v>2.4248499999999999E-2</v>
      </c>
      <c r="AA6037">
        <v>0.94585160000000001</v>
      </c>
      <c r="AB6037">
        <v>27</v>
      </c>
      <c r="AC6037">
        <v>15.2721999999999</v>
      </c>
      <c r="AD6037">
        <v>-1.115240511748</v>
      </c>
      <c r="AE6037">
        <v>-25.5227</v>
      </c>
      <c r="AF6037">
        <v>-9.6785818537682999</v>
      </c>
      <c r="AG6037">
        <v>-1.115240511748</v>
      </c>
      <c r="AH6037">
        <v>28.0800832401256</v>
      </c>
      <c r="AI6037">
        <v>92.150364233177001</v>
      </c>
      <c r="AJ6037">
        <v>109.017936569585</v>
      </c>
      <c r="AK6037">
        <v>29.722210262218301</v>
      </c>
      <c r="AL6037">
        <v>78.624245585285706</v>
      </c>
      <c r="AM6037">
        <v>100.026925766849</v>
      </c>
      <c r="AN6037">
        <v>0.999999969802569</v>
      </c>
    </row>
    <row r="6038" spans="1:40" x14ac:dyDescent="0.25">
      <c r="A6038" t="str">
        <f>"20190304154918325"</f>
        <v>20190304154918325</v>
      </c>
      <c r="B6038" t="str">
        <f>"1551685758323670"</f>
        <v>1551685758323670</v>
      </c>
      <c r="C6038" t="s">
        <v>40</v>
      </c>
      <c r="D6038">
        <v>4.2927080000000002</v>
      </c>
      <c r="E6038">
        <v>0.43255450000000001</v>
      </c>
      <c r="F6038" t="s">
        <v>68</v>
      </c>
      <c r="G6038">
        <v>-405.08859999999999</v>
      </c>
      <c r="H6038" s="1">
        <v>-4.6105750000000003E-6</v>
      </c>
      <c r="I6038">
        <v>11.89981</v>
      </c>
      <c r="J6038">
        <v>-420.61070000000001</v>
      </c>
      <c r="K6038">
        <v>1.1153</v>
      </c>
      <c r="L6038">
        <v>37.517119999999998</v>
      </c>
      <c r="M6038">
        <v>0.20955070000000001</v>
      </c>
      <c r="N6038">
        <v>-1.426885E-2</v>
      </c>
      <c r="O6038">
        <v>-0.9776937</v>
      </c>
      <c r="P6038">
        <v>0.36868440000000002</v>
      </c>
      <c r="Q6038">
        <v>0.18530360000000001</v>
      </c>
      <c r="R6038">
        <v>-0.91089790000000004</v>
      </c>
      <c r="S6038">
        <v>1.609985</v>
      </c>
      <c r="T6038">
        <v>-0.11538030000000001</v>
      </c>
      <c r="U6038">
        <v>-2.6677550000000001</v>
      </c>
      <c r="V6038">
        <v>-0.17163229999999999</v>
      </c>
      <c r="W6038">
        <v>0.19734579999999999</v>
      </c>
      <c r="X6038">
        <v>0.96519270000000001</v>
      </c>
      <c r="Y6038">
        <v>-0.32553209999999999</v>
      </c>
      <c r="Z6038">
        <v>2.4035000000000001E-2</v>
      </c>
      <c r="AA6038">
        <v>0.94522550000000005</v>
      </c>
      <c r="AB6038">
        <v>27</v>
      </c>
      <c r="AC6038">
        <v>15.5221</v>
      </c>
      <c r="AD6038">
        <v>-1.115304610575</v>
      </c>
      <c r="AE6038">
        <v>-25.61731</v>
      </c>
      <c r="AF6038">
        <v>-9.7951518342461394</v>
      </c>
      <c r="AG6038">
        <v>-1.115304610575</v>
      </c>
      <c r="AH6038">
        <v>28.262245419514102</v>
      </c>
      <c r="AI6038">
        <v>92.135385959623804</v>
      </c>
      <c r="AJ6038">
        <v>109.115334608501</v>
      </c>
      <c r="AK6038">
        <v>29.932313976422702</v>
      </c>
      <c r="AL6038">
        <v>78.618208377169907</v>
      </c>
      <c r="AM6038">
        <v>100.083042794405</v>
      </c>
      <c r="AN6038">
        <v>0.99999997965710896</v>
      </c>
    </row>
    <row r="6039" spans="1:40" x14ac:dyDescent="0.25">
      <c r="A6039" t="str">
        <f>"20190304154918340"</f>
        <v>20190304154918340</v>
      </c>
      <c r="B6039" t="str">
        <f>"1551685758333430"</f>
        <v>1551685758333430</v>
      </c>
      <c r="C6039" t="s">
        <v>40</v>
      </c>
      <c r="D6039">
        <v>4.2601149999999999</v>
      </c>
      <c r="E6039">
        <v>0.4325445</v>
      </c>
      <c r="F6039" t="s">
        <v>68</v>
      </c>
      <c r="G6039">
        <v>-404.9153</v>
      </c>
      <c r="H6039" s="1">
        <v>-4.6746689999999997E-6</v>
      </c>
      <c r="I6039">
        <v>11.778829999999999</v>
      </c>
      <c r="J6039">
        <v>-420.57279999999997</v>
      </c>
      <c r="K6039">
        <v>1.1153569999999999</v>
      </c>
      <c r="L6039">
        <v>37.35886</v>
      </c>
      <c r="M6039">
        <v>0.21312229999999999</v>
      </c>
      <c r="N6039">
        <v>-1.4274149999999999E-2</v>
      </c>
      <c r="O6039">
        <v>-0.97692129999999999</v>
      </c>
      <c r="P6039">
        <v>0.37284210000000001</v>
      </c>
      <c r="Q6039">
        <v>0.18535109999999999</v>
      </c>
      <c r="R6039">
        <v>-0.90919430000000001</v>
      </c>
      <c r="S6039">
        <v>1.6222840000000001</v>
      </c>
      <c r="T6039">
        <v>-0.1152779</v>
      </c>
      <c r="U6039">
        <v>-2.6603089999999998</v>
      </c>
      <c r="V6039">
        <v>-0.17254659999999999</v>
      </c>
      <c r="W6039">
        <v>0.1973626</v>
      </c>
      <c r="X6039">
        <v>0.9650263</v>
      </c>
      <c r="Y6039">
        <v>-0.32643800000000001</v>
      </c>
      <c r="Z6039">
        <v>2.4015109999999999E-2</v>
      </c>
      <c r="AA6039">
        <v>0.94491349999999996</v>
      </c>
      <c r="AB6039">
        <v>27</v>
      </c>
      <c r="AC6039">
        <v>15.657499999999899</v>
      </c>
      <c r="AD6039">
        <v>-1.1153616746689901</v>
      </c>
      <c r="AE6039">
        <v>-25.580029999999901</v>
      </c>
      <c r="AF6039">
        <v>-9.8318752283965694</v>
      </c>
      <c r="AG6039">
        <v>-1.1153616746689901</v>
      </c>
      <c r="AH6039">
        <v>28.290396945297299</v>
      </c>
      <c r="AI6039">
        <v>92.132742853479499</v>
      </c>
      <c r="AJ6039">
        <v>109.16407825162401</v>
      </c>
      <c r="AK6039">
        <v>29.970925269243299</v>
      </c>
      <c r="AL6039">
        <v>78.617227220073602</v>
      </c>
      <c r="AM6039">
        <v>100.137356735034</v>
      </c>
      <c r="AN6039">
        <v>1.000000042371</v>
      </c>
    </row>
    <row r="6040" spans="1:40" x14ac:dyDescent="0.25">
      <c r="A6040" t="str">
        <f>"20190304154918353"</f>
        <v>20190304154918353</v>
      </c>
      <c r="B6040" t="str">
        <f>"1551685758343191"</f>
        <v>1551685758343191</v>
      </c>
      <c r="C6040" t="s">
        <v>40</v>
      </c>
      <c r="D6040">
        <v>4.2932550000000003</v>
      </c>
      <c r="E6040">
        <v>0.43253219999999998</v>
      </c>
      <c r="F6040" t="s">
        <v>68</v>
      </c>
      <c r="G6040">
        <v>-404.71539999999999</v>
      </c>
      <c r="H6040" s="1">
        <v>-4.7406E-6</v>
      </c>
      <c r="I6040">
        <v>11.626239999999999</v>
      </c>
      <c r="J6040">
        <v>-420.53469999999999</v>
      </c>
      <c r="K6040">
        <v>1.1154139999999999</v>
      </c>
      <c r="L6040">
        <v>37.201349999999998</v>
      </c>
      <c r="M6040">
        <v>0.21671960000000001</v>
      </c>
      <c r="N6040">
        <v>-1.4279450000000001E-2</v>
      </c>
      <c r="O6040">
        <v>-0.97612960000000004</v>
      </c>
      <c r="P6040">
        <v>0.37714789999999998</v>
      </c>
      <c r="Q6040">
        <v>0.1854489</v>
      </c>
      <c r="R6040">
        <v>-0.90739669999999895</v>
      </c>
      <c r="S6040">
        <v>1.6347050000000001</v>
      </c>
      <c r="T6040">
        <v>-0.1149797</v>
      </c>
      <c r="U6040">
        <v>-2.6527099999999999</v>
      </c>
      <c r="V6040">
        <v>-0.17360210000000001</v>
      </c>
      <c r="W6040">
        <v>0.1974281</v>
      </c>
      <c r="X6040">
        <v>0.96482349999999995</v>
      </c>
      <c r="Y6040">
        <v>-0.32737240000000001</v>
      </c>
      <c r="Z6040">
        <v>2.3931850000000001E-2</v>
      </c>
      <c r="AA6040">
        <v>0.94459219999999999</v>
      </c>
      <c r="AB6040">
        <v>27</v>
      </c>
      <c r="AC6040">
        <v>15.819299999999901</v>
      </c>
      <c r="AD6040">
        <v>-1.1154187406</v>
      </c>
      <c r="AE6040">
        <v>-25.575109999999999</v>
      </c>
      <c r="AF6040">
        <v>-9.8864658418447302</v>
      </c>
      <c r="AG6040">
        <v>-1.1154187406</v>
      </c>
      <c r="AH6040">
        <v>28.356852872851199</v>
      </c>
      <c r="AI6040">
        <v>92.127125064318193</v>
      </c>
      <c r="AJ6040">
        <v>109.220837295365</v>
      </c>
      <c r="AK6040">
        <v>30.051580169125401</v>
      </c>
      <c r="AL6040">
        <v>78.613398129851007</v>
      </c>
      <c r="AM6040">
        <v>100.200169809607</v>
      </c>
      <c r="AN6040">
        <v>0.99999996497313404</v>
      </c>
    </row>
    <row r="6041" spans="1:40" x14ac:dyDescent="0.25">
      <c r="A6041" t="str">
        <f>"20190304154918366"</f>
        <v>20190304154918366</v>
      </c>
      <c r="B6041" t="str">
        <f>"1551685758363686"</f>
        <v>1551685758363686</v>
      </c>
      <c r="C6041" t="s">
        <v>40</v>
      </c>
      <c r="D6041">
        <v>4.3248620000000004</v>
      </c>
      <c r="E6041">
        <v>0.4324905</v>
      </c>
      <c r="F6041" t="s">
        <v>68</v>
      </c>
      <c r="G6041">
        <v>-404.4821</v>
      </c>
      <c r="H6041" s="1">
        <v>-4.813738E-6</v>
      </c>
      <c r="I6041">
        <v>11.426550000000001</v>
      </c>
      <c r="J6041">
        <v>-420.49709999999999</v>
      </c>
      <c r="K6041">
        <v>1.1154770000000001</v>
      </c>
      <c r="L6041">
        <v>37.049799999999998</v>
      </c>
      <c r="M6041">
        <v>0.22025500000000001</v>
      </c>
      <c r="N6041">
        <v>-1.4285010000000001E-2</v>
      </c>
      <c r="O6041">
        <v>-0.97533769999999997</v>
      </c>
      <c r="P6041">
        <v>0.38255440000000002</v>
      </c>
      <c r="Q6041">
        <v>0.18576819999999999</v>
      </c>
      <c r="R6041">
        <v>-0.90506470000000006</v>
      </c>
      <c r="S6041">
        <v>1.6472469999999999</v>
      </c>
      <c r="T6041">
        <v>-0.1144594</v>
      </c>
      <c r="U6041">
        <v>-2.6448969999999998</v>
      </c>
      <c r="V6041">
        <v>-0.17591379999999901</v>
      </c>
      <c r="W6041">
        <v>0.19769729999999999</v>
      </c>
      <c r="X6041">
        <v>0.96434960000000003</v>
      </c>
      <c r="Y6041">
        <v>-0.32843040000000001</v>
      </c>
      <c r="Z6041">
        <v>2.3777280000000001E-2</v>
      </c>
      <c r="AA6041">
        <v>0.94422879999999998</v>
      </c>
      <c r="AB6041">
        <v>27</v>
      </c>
      <c r="AC6041">
        <v>16.014999999999901</v>
      </c>
      <c r="AD6041">
        <v>-1.115481813738</v>
      </c>
      <c r="AE6041">
        <v>-25.623249999999999</v>
      </c>
      <c r="AF6041">
        <v>-9.9638236862941092</v>
      </c>
      <c r="AG6041">
        <v>-1.115481813738</v>
      </c>
      <c r="AH6041">
        <v>28.4827994026022</v>
      </c>
      <c r="AI6041">
        <v>92.117074197782699</v>
      </c>
      <c r="AJ6041">
        <v>109.28080562618401</v>
      </c>
      <c r="AK6041">
        <v>30.1958928322581</v>
      </c>
      <c r="AL6041">
        <v>78.597664616515601</v>
      </c>
      <c r="AM6041">
        <v>100.338057051009</v>
      </c>
      <c r="AN6041">
        <v>1.00000001923894</v>
      </c>
    </row>
    <row r="6042" spans="1:40" x14ac:dyDescent="0.25">
      <c r="A6042" t="str">
        <f>"20190304154918391"</f>
        <v>20190304154918391</v>
      </c>
      <c r="B6042" t="str">
        <f>"1551685758383207"</f>
        <v>1551685758383207</v>
      </c>
      <c r="C6042" t="s">
        <v>40</v>
      </c>
      <c r="D6042">
        <v>4.037706</v>
      </c>
      <c r="E6042">
        <v>0.4321527</v>
      </c>
      <c r="F6042" t="s">
        <v>68</v>
      </c>
      <c r="G6042">
        <v>-404.10320000000002</v>
      </c>
      <c r="H6042" s="1">
        <v>-4.9272489999999999E-6</v>
      </c>
      <c r="I6042">
        <v>11.07273</v>
      </c>
      <c r="J6042">
        <v>-420.42860000000002</v>
      </c>
      <c r="K6042">
        <v>1.1155820000000001</v>
      </c>
      <c r="L6042">
        <v>36.779049999999998</v>
      </c>
      <c r="M6042">
        <v>0.2266908</v>
      </c>
      <c r="N6042">
        <v>-1.4295749999999999E-2</v>
      </c>
      <c r="O6042">
        <v>-0.97386209999999995</v>
      </c>
      <c r="P6042">
        <v>0.39083839999999997</v>
      </c>
      <c r="Q6042">
        <v>0.1854413</v>
      </c>
      <c r="R6042">
        <v>-0.9015862</v>
      </c>
      <c r="S6042">
        <v>1.662933</v>
      </c>
      <c r="T6042">
        <v>-0.11315</v>
      </c>
      <c r="U6042">
        <v>-2.6350099999999999</v>
      </c>
      <c r="V6042">
        <v>-0.17842829999999901</v>
      </c>
      <c r="W6042">
        <v>0.19730230000000001</v>
      </c>
      <c r="X6042">
        <v>0.96396850000000001</v>
      </c>
      <c r="Y6042">
        <v>-0.32781880000000002</v>
      </c>
      <c r="Z6042">
        <v>2.3361570000000002E-2</v>
      </c>
      <c r="AA6042">
        <v>0.94445170000000001</v>
      </c>
      <c r="AB6042">
        <v>27</v>
      </c>
      <c r="AC6042">
        <v>16.325399999999998</v>
      </c>
      <c r="AD6042">
        <v>-1.115586927249</v>
      </c>
      <c r="AE6042">
        <v>-25.706320000000002</v>
      </c>
      <c r="AF6042">
        <v>-10.0588294453622</v>
      </c>
      <c r="AG6042">
        <v>-1.115586927249</v>
      </c>
      <c r="AH6042">
        <v>28.699642099894</v>
      </c>
      <c r="AI6042">
        <v>92.100853765063405</v>
      </c>
      <c r="AJ6042">
        <v>109.31486124690601</v>
      </c>
      <c r="AK6042">
        <v>30.431793254179802</v>
      </c>
      <c r="AL6042">
        <v>78.620751684810003</v>
      </c>
      <c r="AM6042">
        <v>100.486627601411</v>
      </c>
      <c r="AN6042">
        <v>1.00000006240921</v>
      </c>
    </row>
    <row r="6043" spans="1:40" x14ac:dyDescent="0.25">
      <c r="A6043" t="str">
        <f>"20190304154918405"</f>
        <v>20190304154918405</v>
      </c>
      <c r="B6043" t="str">
        <f>"1551685758392967"</f>
        <v>1551685758392967</v>
      </c>
      <c r="C6043" t="s">
        <v>40</v>
      </c>
      <c r="D6043">
        <v>4.0193820000000002</v>
      </c>
      <c r="E6043">
        <v>0.43188460000000001</v>
      </c>
      <c r="F6043" t="s">
        <v>68</v>
      </c>
      <c r="G6043">
        <v>-403.8005</v>
      </c>
      <c r="H6043" s="1">
        <v>-5.0572259999999999E-6</v>
      </c>
      <c r="I6043">
        <v>11.01075</v>
      </c>
      <c r="J6043">
        <v>-420.38409999999999</v>
      </c>
      <c r="K6043">
        <v>1.1156539999999999</v>
      </c>
      <c r="L6043">
        <v>36.607970000000002</v>
      </c>
      <c r="M6043">
        <v>0.23087079999999999</v>
      </c>
      <c r="N6043">
        <v>-1.430355E-2</v>
      </c>
      <c r="O6043">
        <v>-0.97287939999999995</v>
      </c>
      <c r="P6043">
        <v>0.39549600000000001</v>
      </c>
      <c r="Q6043">
        <v>0.1856391</v>
      </c>
      <c r="R6043">
        <v>-0.89951159999999997</v>
      </c>
      <c r="S6043">
        <v>1.6896059999999999</v>
      </c>
      <c r="T6043">
        <v>-0.1133561</v>
      </c>
      <c r="U6043">
        <v>-2.618347</v>
      </c>
      <c r="V6043">
        <v>-0.1793236</v>
      </c>
      <c r="W6043">
        <v>0.19746359999999999</v>
      </c>
      <c r="X6043">
        <v>0.96376930000000005</v>
      </c>
      <c r="Y6043">
        <v>-0.33328479999999999</v>
      </c>
      <c r="Z6043">
        <v>2.3466480000000001E-2</v>
      </c>
      <c r="AA6043">
        <v>0.94253410000000004</v>
      </c>
      <c r="AB6043">
        <v>27</v>
      </c>
      <c r="AC6043">
        <v>16.583599999999901</v>
      </c>
      <c r="AD6043">
        <v>-1.1156590572259999</v>
      </c>
      <c r="AE6043">
        <v>-25.59722</v>
      </c>
      <c r="AF6043">
        <v>-10.211573404451499</v>
      </c>
      <c r="AG6043">
        <v>-1.1156590572259999</v>
      </c>
      <c r="AH6043">
        <v>28.696216240279899</v>
      </c>
      <c r="AI6043">
        <v>92.097706669580305</v>
      </c>
      <c r="AJ6043">
        <v>109.588145518635</v>
      </c>
      <c r="AK6043">
        <v>30.479398829953599</v>
      </c>
      <c r="AL6043">
        <v>78.6113242100338</v>
      </c>
      <c r="AM6043">
        <v>100.54019984559901</v>
      </c>
      <c r="AN6043">
        <v>1.0000000452322</v>
      </c>
    </row>
    <row r="6044" spans="1:40" x14ac:dyDescent="0.25">
      <c r="A6044" t="str">
        <f>"20190304154918423"</f>
        <v>20190304154918423</v>
      </c>
      <c r="B6044" t="str">
        <f>"1551685758413462"</f>
        <v>1551685758413462</v>
      </c>
      <c r="C6044" t="s">
        <v>40</v>
      </c>
      <c r="D6044">
        <v>4.0117919999999998</v>
      </c>
      <c r="E6044">
        <v>0.43140319999999999</v>
      </c>
      <c r="F6044" t="s">
        <v>68</v>
      </c>
      <c r="G6044">
        <v>-403.26310000000001</v>
      </c>
      <c r="H6044" s="1">
        <v>-5.2022139999999999E-6</v>
      </c>
      <c r="I6044">
        <v>10.41906</v>
      </c>
      <c r="J6044">
        <v>-420.33030000000002</v>
      </c>
      <c r="K6044">
        <v>1.115748</v>
      </c>
      <c r="L6044">
        <v>36.405119999999997</v>
      </c>
      <c r="M6044">
        <v>0.23591699999999999</v>
      </c>
      <c r="N6044">
        <v>-1.431325E-2</v>
      </c>
      <c r="O6044">
        <v>-0.97166790000000003</v>
      </c>
      <c r="P6044">
        <v>0.40217560000000002</v>
      </c>
      <c r="Q6044">
        <v>0.18539900000000001</v>
      </c>
      <c r="R6044">
        <v>-0.89659480000000003</v>
      </c>
      <c r="S6044">
        <v>1.7052</v>
      </c>
      <c r="T6044">
        <v>-0.1111163</v>
      </c>
      <c r="U6044">
        <v>-2.6083370000000001</v>
      </c>
      <c r="V6044">
        <v>-0.18152409999999999</v>
      </c>
      <c r="W6044">
        <v>0.1971639</v>
      </c>
      <c r="X6044">
        <v>0.96341860000000001</v>
      </c>
      <c r="Y6044">
        <v>-0.33400669999999999</v>
      </c>
      <c r="Z6044">
        <v>2.2751589999999999E-2</v>
      </c>
      <c r="AA6044">
        <v>0.94229609999999997</v>
      </c>
      <c r="AB6044">
        <v>27</v>
      </c>
      <c r="AC6044">
        <v>17.0672</v>
      </c>
      <c r="AD6044">
        <v>-1.115753202214</v>
      </c>
      <c r="AE6044">
        <v>-25.986059999999998</v>
      </c>
      <c r="AF6044">
        <v>-10.440719579501</v>
      </c>
      <c r="AG6044">
        <v>-1.115753202214</v>
      </c>
      <c r="AH6044">
        <v>29.241597021362502</v>
      </c>
      <c r="AI6044">
        <v>92.058010063778198</v>
      </c>
      <c r="AJ6044">
        <v>109.649118239109</v>
      </c>
      <c r="AK6044">
        <v>31.069672140300799</v>
      </c>
      <c r="AL6044">
        <v>78.628839595688902</v>
      </c>
      <c r="AM6044">
        <v>100.670383016139</v>
      </c>
      <c r="AN6044">
        <v>1.0000000005849801</v>
      </c>
    </row>
    <row r="6045" spans="1:40" x14ac:dyDescent="0.25">
      <c r="A6045" t="str">
        <f>"20190304154918435"</f>
        <v>20190304154918435</v>
      </c>
      <c r="B6045" t="str">
        <f>"1551685758432983"</f>
        <v>1551685758432983</v>
      </c>
      <c r="C6045" t="s">
        <v>40</v>
      </c>
      <c r="D6045">
        <v>4.0299339999999999</v>
      </c>
      <c r="E6045">
        <v>0.43097809999999998</v>
      </c>
      <c r="F6045" t="s">
        <v>68</v>
      </c>
      <c r="G6045">
        <v>-402.66669999999999</v>
      </c>
      <c r="H6045" s="1">
        <v>-5.38673E-6</v>
      </c>
      <c r="I6045">
        <v>9.8949700000000007</v>
      </c>
      <c r="J6045">
        <v>-420.2912</v>
      </c>
      <c r="K6045">
        <v>1.1158129999999999</v>
      </c>
      <c r="L6045">
        <v>36.260350000000003</v>
      </c>
      <c r="M6045">
        <v>0.23957790000000001</v>
      </c>
      <c r="N6045">
        <v>-1.432044E-2</v>
      </c>
      <c r="O6045">
        <v>-0.97077159999999996</v>
      </c>
      <c r="P6045">
        <v>0.40646409999999999</v>
      </c>
      <c r="Q6045">
        <v>0.18529119999999999</v>
      </c>
      <c r="R6045">
        <v>-0.89468130000000001</v>
      </c>
      <c r="S6045">
        <v>1.727997</v>
      </c>
      <c r="T6045">
        <v>-0.10915229999999999</v>
      </c>
      <c r="U6045">
        <v>-2.593445</v>
      </c>
      <c r="V6045">
        <v>-0.18253320000000001</v>
      </c>
      <c r="W6045">
        <v>0.1970209</v>
      </c>
      <c r="X6045">
        <v>0.96325720000000004</v>
      </c>
      <c r="Y6045">
        <v>-0.33869080000000001</v>
      </c>
      <c r="Z6045">
        <v>2.2149149999999999E-2</v>
      </c>
      <c r="AA6045">
        <v>0.94063699999999995</v>
      </c>
      <c r="AB6045">
        <v>27</v>
      </c>
      <c r="AC6045">
        <v>17.624500000000001</v>
      </c>
      <c r="AD6045">
        <v>-1.11581838673</v>
      </c>
      <c r="AE6045">
        <v>-26.365379999999998</v>
      </c>
      <c r="AF6045">
        <v>-10.780562222147299</v>
      </c>
      <c r="AG6045">
        <v>-1.11581838673</v>
      </c>
      <c r="AH6045">
        <v>29.7833889247316</v>
      </c>
      <c r="AI6045">
        <v>92.017564878678996</v>
      </c>
      <c r="AJ6045">
        <v>109.898513329972</v>
      </c>
      <c r="AK6045">
        <v>31.694097689310802</v>
      </c>
      <c r="AL6045">
        <v>78.637197028907707</v>
      </c>
      <c r="AM6045">
        <v>100.730082880871</v>
      </c>
      <c r="AN6045">
        <v>1.0000000187454401</v>
      </c>
    </row>
    <row r="6046" spans="1:40" x14ac:dyDescent="0.25">
      <c r="A6046" t="str">
        <f>"20190304154918448"</f>
        <v>20190304154918448</v>
      </c>
      <c r="B6046" t="str">
        <f>"1551685758443718"</f>
        <v>1551685758443718</v>
      </c>
      <c r="C6046" t="s">
        <v>40</v>
      </c>
      <c r="D6046">
        <v>4.0425149999999999</v>
      </c>
      <c r="E6046">
        <v>0.4307819</v>
      </c>
      <c r="F6046" t="s">
        <v>68</v>
      </c>
      <c r="G6046">
        <v>-402.3057</v>
      </c>
      <c r="H6046">
        <v>8.2071369999999998E-3</v>
      </c>
      <c r="I6046">
        <v>9.6162240000000008</v>
      </c>
      <c r="J6046">
        <v>-420.25009999999997</v>
      </c>
      <c r="K6046">
        <v>1.115882</v>
      </c>
      <c r="L6046">
        <v>36.110840000000003</v>
      </c>
      <c r="M6046">
        <v>0.24341740000000001</v>
      </c>
      <c r="N6046">
        <v>-1.432816E-2</v>
      </c>
      <c r="O6046">
        <v>-0.96981600000000001</v>
      </c>
      <c r="P6046">
        <v>0.41054869999999999</v>
      </c>
      <c r="Q6046">
        <v>0.18526419999999999</v>
      </c>
      <c r="R6046">
        <v>-0.89282019999999995</v>
      </c>
      <c r="S6046">
        <v>1.743744</v>
      </c>
      <c r="T6046">
        <v>-0.10738549999999999</v>
      </c>
      <c r="U6046">
        <v>-2.583221</v>
      </c>
      <c r="V6046">
        <v>-0.18315580000000001</v>
      </c>
      <c r="W6046">
        <v>0.1969629</v>
      </c>
      <c r="X6046">
        <v>0.96315090000000003</v>
      </c>
      <c r="Y6046">
        <v>-0.34064060000000002</v>
      </c>
      <c r="Z6046">
        <v>2.1591659999999999E-2</v>
      </c>
      <c r="AA6046">
        <v>0.93994560000000005</v>
      </c>
      <c r="AB6046">
        <v>27</v>
      </c>
      <c r="AC6046">
        <v>17.944399999999899</v>
      </c>
      <c r="AD6046">
        <v>-1.107674863</v>
      </c>
      <c r="AE6046">
        <v>-26.494615999999901</v>
      </c>
      <c r="AF6046">
        <v>-10.941527594813399</v>
      </c>
      <c r="AG6046">
        <v>-1.107674863</v>
      </c>
      <c r="AH6046">
        <v>30.029979328482799</v>
      </c>
      <c r="AI6046">
        <v>91.984899003865905</v>
      </c>
      <c r="AJ6046">
        <v>110.019387539549</v>
      </c>
      <c r="AK6046">
        <v>31.980363165219</v>
      </c>
      <c r="AL6046">
        <v>78.640586888565494</v>
      </c>
      <c r="AM6046">
        <v>100.766988406027</v>
      </c>
      <c r="AN6046">
        <v>1.0000000436104199</v>
      </c>
    </row>
    <row r="6047" spans="1:40" x14ac:dyDescent="0.25">
      <c r="A6047" t="str">
        <f>"20190304154918462"</f>
        <v>20190304154918462</v>
      </c>
      <c r="B6047" t="str">
        <f>"1551685758453479"</f>
        <v>1551685758453479</v>
      </c>
      <c r="C6047" t="s">
        <v>40</v>
      </c>
      <c r="D6047">
        <v>4.0379690000000004</v>
      </c>
      <c r="E6047">
        <v>0.43058960000000002</v>
      </c>
      <c r="F6047" t="s">
        <v>68</v>
      </c>
      <c r="G6047">
        <v>-402.17419999999998</v>
      </c>
      <c r="H6047">
        <v>1.844115E-2</v>
      </c>
      <c r="I6047">
        <v>9.6162240000000008</v>
      </c>
      <c r="J6047">
        <v>-420.20920000000001</v>
      </c>
      <c r="K6047">
        <v>1.1159380000000001</v>
      </c>
      <c r="L6047">
        <v>35.965420000000002</v>
      </c>
      <c r="M6047">
        <v>0.2472181</v>
      </c>
      <c r="N6047">
        <v>-1.4335840000000001E-2</v>
      </c>
      <c r="O6047">
        <v>-0.96885399999999999</v>
      </c>
      <c r="P6047">
        <v>0.41473700000000002</v>
      </c>
      <c r="Q6047">
        <v>0.18539310000000001</v>
      </c>
      <c r="R6047">
        <v>-0.89085509999999901</v>
      </c>
      <c r="S6047">
        <v>1.7565</v>
      </c>
      <c r="T6047">
        <v>-0.1066426</v>
      </c>
      <c r="U6047">
        <v>-2.5745849999999999</v>
      </c>
      <c r="V6047">
        <v>-0.18394340000000001</v>
      </c>
      <c r="W6047">
        <v>0.19706019999999999</v>
      </c>
      <c r="X6047">
        <v>0.96298090000000003</v>
      </c>
      <c r="Y6047">
        <v>-0.34160309999999999</v>
      </c>
      <c r="Z6047">
        <v>2.1362909999999999E-2</v>
      </c>
      <c r="AA6047">
        <v>0.93960149999999998</v>
      </c>
      <c r="AB6047">
        <v>27</v>
      </c>
      <c r="AC6047">
        <v>18.035</v>
      </c>
      <c r="AD6047">
        <v>-1.09749685</v>
      </c>
      <c r="AE6047">
        <v>-26.349195999999999</v>
      </c>
      <c r="AF6047">
        <v>-10.947474484674</v>
      </c>
      <c r="AG6047">
        <v>-1.09749685</v>
      </c>
      <c r="AH6047">
        <v>29.954789615365701</v>
      </c>
      <c r="AI6047">
        <v>91.970901528982196</v>
      </c>
      <c r="AJ6047">
        <v>110.075668801693</v>
      </c>
      <c r="AK6047">
        <v>31.911457469522901</v>
      </c>
      <c r="AL6047">
        <v>78.634900698728899</v>
      </c>
      <c r="AM6047">
        <v>100.814062818637</v>
      </c>
      <c r="AN6047">
        <v>1.0000000552962001</v>
      </c>
    </row>
    <row r="6048" spans="1:40" x14ac:dyDescent="0.25">
      <c r="A6048" t="str">
        <f>"20190304154918473"</f>
        <v>20190304154918473</v>
      </c>
      <c r="B6048" t="str">
        <f>"1551685758463239"</f>
        <v>1551685758463239</v>
      </c>
      <c r="C6048" t="s">
        <v>40</v>
      </c>
      <c r="D6048">
        <v>4.0277010000000004</v>
      </c>
      <c r="E6048">
        <v>0.43041380000000001</v>
      </c>
      <c r="F6048" t="s">
        <v>68</v>
      </c>
      <c r="G6048">
        <v>-402.02539999999999</v>
      </c>
      <c r="H6048">
        <v>3.6050649999999997E-2</v>
      </c>
      <c r="I6048">
        <v>9.6162240000000008</v>
      </c>
      <c r="J6048">
        <v>-420.16980000000001</v>
      </c>
      <c r="K6048">
        <v>1.115996</v>
      </c>
      <c r="L6048">
        <v>35.826079999999997</v>
      </c>
      <c r="M6048">
        <v>0.25089349999999999</v>
      </c>
      <c r="N6048">
        <v>-1.434301E-2</v>
      </c>
      <c r="O6048">
        <v>-0.96790849999999995</v>
      </c>
      <c r="P6048">
        <v>0.41877130000000001</v>
      </c>
      <c r="Q6048">
        <v>0.18527650000000001</v>
      </c>
      <c r="R6048">
        <v>-0.88899030000000001</v>
      </c>
      <c r="S6048">
        <v>1.7703249999999999</v>
      </c>
      <c r="T6048">
        <v>-0.10513450000000001</v>
      </c>
      <c r="U6048">
        <v>-2.565277</v>
      </c>
      <c r="V6048">
        <v>-0.1846767</v>
      </c>
      <c r="W6048">
        <v>0.1969138</v>
      </c>
      <c r="X6048">
        <v>0.96287040000000002</v>
      </c>
      <c r="Y6048">
        <v>-0.34306589999999998</v>
      </c>
      <c r="Z6048">
        <v>2.0887860000000001E-2</v>
      </c>
      <c r="AA6048">
        <v>0.939079</v>
      </c>
      <c r="AB6048">
        <v>27</v>
      </c>
      <c r="AC6048">
        <v>18.144400000000001</v>
      </c>
      <c r="AD6048">
        <v>-1.07994535</v>
      </c>
      <c r="AE6048">
        <v>-26.209855999999899</v>
      </c>
      <c r="AF6048">
        <v>-10.9747700434195</v>
      </c>
      <c r="AG6048">
        <v>-1.07994535</v>
      </c>
      <c r="AH6048">
        <v>29.8898255435588</v>
      </c>
      <c r="AI6048">
        <v>91.942547736976906</v>
      </c>
      <c r="AJ6048">
        <v>110.161927863774</v>
      </c>
      <c r="AK6048">
        <v>31.859276992570098</v>
      </c>
      <c r="AL6048">
        <v>78.6434554324088</v>
      </c>
      <c r="AM6048">
        <v>100.857367425812</v>
      </c>
      <c r="AN6048">
        <v>0.99999996767474397</v>
      </c>
    </row>
    <row r="6049" spans="1:40" x14ac:dyDescent="0.25">
      <c r="A6049" t="str">
        <f>"20190304154918485"</f>
        <v>20190304154918485</v>
      </c>
      <c r="B6049" t="str">
        <f>"1551685758483734"</f>
        <v>1551685758483734</v>
      </c>
      <c r="C6049" t="s">
        <v>40</v>
      </c>
      <c r="D6049">
        <v>3.996686</v>
      </c>
      <c r="E6049">
        <v>0.43000660000000002</v>
      </c>
      <c r="F6049" t="s">
        <v>68</v>
      </c>
      <c r="G6049">
        <v>-401.89019999999999</v>
      </c>
      <c r="H6049">
        <v>4.2605209999999998E-2</v>
      </c>
      <c r="I6049">
        <v>9.6162240000000008</v>
      </c>
      <c r="J6049">
        <v>-420.13099999999997</v>
      </c>
      <c r="K6049">
        <v>1.11605</v>
      </c>
      <c r="L6049">
        <v>35.692019999999999</v>
      </c>
      <c r="M6049">
        <v>0.25449300000000002</v>
      </c>
      <c r="N6049">
        <v>-1.435004E-2</v>
      </c>
      <c r="O6049">
        <v>-0.96696819999999895</v>
      </c>
      <c r="P6049">
        <v>0.42270960000000002</v>
      </c>
      <c r="Q6049">
        <v>0.18503439999999999</v>
      </c>
      <c r="R6049">
        <v>-0.88717489999999999</v>
      </c>
      <c r="S6049">
        <v>1.78302</v>
      </c>
      <c r="T6049">
        <v>-0.10470019999999999</v>
      </c>
      <c r="U6049">
        <v>-2.556549</v>
      </c>
      <c r="V6049">
        <v>-0.1853765</v>
      </c>
      <c r="W6049">
        <v>0.19664409999999999</v>
      </c>
      <c r="X6049">
        <v>0.96279110000000001</v>
      </c>
      <c r="Y6049">
        <v>-0.34421420000000003</v>
      </c>
      <c r="Z6049">
        <v>2.0759929999999999E-2</v>
      </c>
      <c r="AA6049">
        <v>0.93866159999999998</v>
      </c>
      <c r="AB6049">
        <v>27</v>
      </c>
      <c r="AC6049">
        <v>18.240799999999901</v>
      </c>
      <c r="AD6049">
        <v>-1.0734447899999999</v>
      </c>
      <c r="AE6049">
        <v>-26.075796</v>
      </c>
      <c r="AF6049">
        <v>-10.9907923502288</v>
      </c>
      <c r="AG6049">
        <v>-1.0734447899999999</v>
      </c>
      <c r="AH6049">
        <v>29.825756741710901</v>
      </c>
      <c r="AI6049">
        <v>91.934177835613895</v>
      </c>
      <c r="AJ6049">
        <v>110.22884376054</v>
      </c>
      <c r="AK6049">
        <v>31.804489705366102</v>
      </c>
      <c r="AL6049">
        <v>78.659216927168103</v>
      </c>
      <c r="AM6049">
        <v>100.898402323973</v>
      </c>
      <c r="AN6049">
        <v>1.0000000255281301</v>
      </c>
    </row>
    <row r="6050" spans="1:40" x14ac:dyDescent="0.25">
      <c r="A6050" t="str">
        <f>"20190304154918498"</f>
        <v>20190304154918498</v>
      </c>
      <c r="B6050" t="str">
        <f>"1551685758493025"</f>
        <v>1551685758493025</v>
      </c>
      <c r="C6050" t="s">
        <v>40</v>
      </c>
      <c r="D6050">
        <v>3.9892650000000001</v>
      </c>
      <c r="E6050">
        <v>0.42980580000000002</v>
      </c>
      <c r="F6050" t="s">
        <v>68</v>
      </c>
      <c r="G6050">
        <v>-401.7319</v>
      </c>
      <c r="H6050">
        <v>5.4941629999999998E-2</v>
      </c>
      <c r="I6050">
        <v>9.6112669999999998</v>
      </c>
      <c r="J6050">
        <v>-420.08839999999998</v>
      </c>
      <c r="K6050">
        <v>1.1161080000000001</v>
      </c>
      <c r="L6050">
        <v>35.546939999999999</v>
      </c>
      <c r="M6050">
        <v>0.25843500000000003</v>
      </c>
      <c r="N6050">
        <v>-1.435763E-2</v>
      </c>
      <c r="O6050">
        <v>-0.96592210000000001</v>
      </c>
      <c r="P6050">
        <v>0.4264426</v>
      </c>
      <c r="Q6050">
        <v>0.18480260000000001</v>
      </c>
      <c r="R6050">
        <v>-0.88543490000000002</v>
      </c>
      <c r="S6050">
        <v>1.7968139999999999</v>
      </c>
      <c r="T6050">
        <v>-0.10362590000000001</v>
      </c>
      <c r="U6050">
        <v>-2.5469970000000002</v>
      </c>
      <c r="V6050">
        <v>-0.18551780000000001</v>
      </c>
      <c r="W6050">
        <v>0.19639209999999999</v>
      </c>
      <c r="X6050">
        <v>0.96281530000000004</v>
      </c>
      <c r="Y6050">
        <v>-0.34544160000000002</v>
      </c>
      <c r="Z6050">
        <v>2.0425249999999999E-2</v>
      </c>
      <c r="AA6050">
        <v>0.93821790000000005</v>
      </c>
      <c r="AB6050">
        <v>27</v>
      </c>
      <c r="AC6050">
        <v>18.356499999999901</v>
      </c>
      <c r="AD6050">
        <v>-1.06116637</v>
      </c>
      <c r="AE6050">
        <v>-25.935673000000001</v>
      </c>
      <c r="AF6050">
        <v>-11.017110751830501</v>
      </c>
      <c r="AG6050">
        <v>-1.06116637</v>
      </c>
      <c r="AH6050">
        <v>29.765670008421001</v>
      </c>
      <c r="AI6050">
        <v>91.914914829883799</v>
      </c>
      <c r="AJ6050">
        <v>110.3109290061</v>
      </c>
      <c r="AK6050">
        <v>31.756856179935902</v>
      </c>
      <c r="AL6050">
        <v>78.673942392685404</v>
      </c>
      <c r="AM6050">
        <v>100.906242734655</v>
      </c>
      <c r="AN6050">
        <v>1.0000000064866701</v>
      </c>
    </row>
    <row r="6051" spans="1:40" x14ac:dyDescent="0.25">
      <c r="A6051" t="str">
        <f>"20190304154918512"</f>
        <v>20190304154918512</v>
      </c>
      <c r="B6051" t="str">
        <f>"1551685758503762"</f>
        <v>1551685758503762</v>
      </c>
      <c r="C6051" t="s">
        <v>40</v>
      </c>
      <c r="D6051">
        <v>3.9959250000000002</v>
      </c>
      <c r="E6051">
        <v>0.4296451</v>
      </c>
      <c r="F6051" t="s">
        <v>68</v>
      </c>
      <c r="G6051">
        <v>-401.59859999999998</v>
      </c>
      <c r="H6051">
        <v>6.0423409999999997E-2</v>
      </c>
      <c r="I6051">
        <v>9.6057830000000006</v>
      </c>
      <c r="J6051">
        <v>-420.04349999999999</v>
      </c>
      <c r="K6051">
        <v>1.1161669999999999</v>
      </c>
      <c r="L6051">
        <v>35.395690000000002</v>
      </c>
      <c r="M6051">
        <v>0.26258389999999998</v>
      </c>
      <c r="N6051">
        <v>-1.436544E-2</v>
      </c>
      <c r="O6051">
        <v>-0.96480239999999995</v>
      </c>
      <c r="P6051">
        <v>0.43080819999999997</v>
      </c>
      <c r="Q6051">
        <v>0.18485190000000001</v>
      </c>
      <c r="R6051">
        <v>-0.88330900000000001</v>
      </c>
      <c r="S6051">
        <v>1.8092349999999999</v>
      </c>
      <c r="T6051">
        <v>-0.1032995</v>
      </c>
      <c r="U6051">
        <v>-2.5383610000000001</v>
      </c>
      <c r="V6051">
        <v>-0.1861662</v>
      </c>
      <c r="W6051">
        <v>0.19641220000000001</v>
      </c>
      <c r="X6051">
        <v>0.96268609999999999</v>
      </c>
      <c r="Y6051">
        <v>-0.34596290000000002</v>
      </c>
      <c r="Z6051">
        <v>2.03284E-2</v>
      </c>
      <c r="AA6051">
        <v>0.93802790000000003</v>
      </c>
      <c r="AB6051">
        <v>27</v>
      </c>
      <c r="AC6051">
        <v>18.444900000000001</v>
      </c>
      <c r="AD6051">
        <v>-1.0557435899999901</v>
      </c>
      <c r="AE6051">
        <v>-25.789906999999999</v>
      </c>
      <c r="AF6051">
        <v>-11.0125957170016</v>
      </c>
      <c r="AG6051">
        <v>-1.0557435899999901</v>
      </c>
      <c r="AH6051">
        <v>29.695637513183701</v>
      </c>
      <c r="AI6051">
        <v>91.909178034575703</v>
      </c>
      <c r="AJ6051">
        <v>110.347245526902</v>
      </c>
      <c r="AK6051">
        <v>31.6894737455255</v>
      </c>
      <c r="AL6051">
        <v>78.672768563334998</v>
      </c>
      <c r="AM6051">
        <v>100.944875410878</v>
      </c>
      <c r="AN6051">
        <v>1.00000006673224</v>
      </c>
    </row>
    <row r="6052" spans="1:40" x14ac:dyDescent="0.25">
      <c r="A6052" t="str">
        <f>"20190304154918525"</f>
        <v>20190304154918525</v>
      </c>
      <c r="B6052" t="str">
        <f>"1551685758513521"</f>
        <v>1551685758513521</v>
      </c>
      <c r="C6052" t="s">
        <v>40</v>
      </c>
      <c r="D6052">
        <v>4.0222579999999999</v>
      </c>
      <c r="E6052">
        <v>0.42947999999999997</v>
      </c>
      <c r="F6052" t="s">
        <v>68</v>
      </c>
      <c r="G6052">
        <v>-401.44330000000002</v>
      </c>
      <c r="H6052">
        <v>7.2579469999999993E-2</v>
      </c>
      <c r="I6052">
        <v>9.5936280000000007</v>
      </c>
      <c r="J6052">
        <v>-419.99950000000001</v>
      </c>
      <c r="K6052">
        <v>1.1162289999999999</v>
      </c>
      <c r="L6052">
        <v>35.251220000000004</v>
      </c>
      <c r="M6052">
        <v>0.26662370000000002</v>
      </c>
      <c r="N6052">
        <v>-1.437336E-2</v>
      </c>
      <c r="O6052">
        <v>-0.96369369999999999</v>
      </c>
      <c r="P6052">
        <v>0.43450220000000001</v>
      </c>
      <c r="Q6052">
        <v>0.18493080000000001</v>
      </c>
      <c r="R6052">
        <v>-0.88148110000000002</v>
      </c>
      <c r="S6052">
        <v>1.8228759999999999</v>
      </c>
      <c r="T6052">
        <v>-0.102275</v>
      </c>
      <c r="U6052">
        <v>-2.5286870000000001</v>
      </c>
      <c r="V6052">
        <v>-0.18619459999999999</v>
      </c>
      <c r="W6052">
        <v>0.19647390000000001</v>
      </c>
      <c r="X6052">
        <v>0.96266790000000002</v>
      </c>
      <c r="Y6052">
        <v>-0.34706859999999901</v>
      </c>
      <c r="Z6052">
        <v>2.0009369999999999E-2</v>
      </c>
      <c r="AA6052">
        <v>0.93762619999999997</v>
      </c>
      <c r="AB6052">
        <v>27</v>
      </c>
      <c r="AC6052">
        <v>18.556199999999901</v>
      </c>
      <c r="AD6052">
        <v>-1.0436495299999999</v>
      </c>
      <c r="AE6052">
        <v>-25.657592000000001</v>
      </c>
      <c r="AF6052">
        <v>-11.030726765232</v>
      </c>
      <c r="AG6052">
        <v>-1.0436495299999999</v>
      </c>
      <c r="AH6052">
        <v>29.6444394212897</v>
      </c>
      <c r="AI6052">
        <v>91.889808549177701</v>
      </c>
      <c r="AJ6052">
        <v>110.410286342117</v>
      </c>
      <c r="AK6052">
        <v>31.647415785703501</v>
      </c>
      <c r="AL6052">
        <v>78.6691618701621</v>
      </c>
      <c r="AM6052">
        <v>100.94670669375201</v>
      </c>
      <c r="AN6052">
        <v>0.999999954070389</v>
      </c>
    </row>
    <row r="6053" spans="1:40" x14ac:dyDescent="0.25">
      <c r="A6053" t="str">
        <f>"20190304154918537"</f>
        <v>20190304154918537</v>
      </c>
      <c r="B6053" t="str">
        <f>"1551685758533041"</f>
        <v>1551685758533041</v>
      </c>
      <c r="C6053" t="s">
        <v>40</v>
      </c>
      <c r="D6053">
        <v>3.992229</v>
      </c>
      <c r="E6053">
        <v>0.42910740000000003</v>
      </c>
      <c r="F6053" t="s">
        <v>68</v>
      </c>
      <c r="G6053">
        <v>-401.23680000000002</v>
      </c>
      <c r="H6053">
        <v>7.9987119999999995E-2</v>
      </c>
      <c r="I6053">
        <v>9.4738690000000005</v>
      </c>
      <c r="J6053">
        <v>-419.95859999999999</v>
      </c>
      <c r="K6053">
        <v>1.116279</v>
      </c>
      <c r="L6053">
        <v>35.118589999999998</v>
      </c>
      <c r="M6053">
        <v>0.2703643</v>
      </c>
      <c r="N6053">
        <v>-1.4380520000000001E-2</v>
      </c>
      <c r="O6053">
        <v>-0.96265080000000003</v>
      </c>
      <c r="P6053">
        <v>0.43792930000000002</v>
      </c>
      <c r="Q6053">
        <v>0.1848832</v>
      </c>
      <c r="R6053">
        <v>-0.87979359999999995</v>
      </c>
      <c r="S6053">
        <v>1.834503</v>
      </c>
      <c r="T6053">
        <v>-0.1013175</v>
      </c>
      <c r="U6053">
        <v>-2.5203549999999999</v>
      </c>
      <c r="V6053">
        <v>-0.18622320000000001</v>
      </c>
      <c r="W6053">
        <v>0.1964108</v>
      </c>
      <c r="X6053">
        <v>0.96267530000000001</v>
      </c>
      <c r="Y6053">
        <v>-0.34773280000000001</v>
      </c>
      <c r="Z6053">
        <v>1.970885E-2</v>
      </c>
      <c r="AA6053">
        <v>0.93738650000000001</v>
      </c>
      <c r="AB6053">
        <v>27</v>
      </c>
      <c r="AC6053">
        <v>18.721799999999899</v>
      </c>
      <c r="AD6053">
        <v>-1.0362918800000001</v>
      </c>
      <c r="AE6053">
        <v>-25.644721000000001</v>
      </c>
      <c r="AF6053">
        <v>-11.0784833676835</v>
      </c>
      <c r="AG6053">
        <v>-1.0362918800000001</v>
      </c>
      <c r="AH6053">
        <v>29.720032669654501</v>
      </c>
      <c r="AI6053">
        <v>91.871321638714306</v>
      </c>
      <c r="AJ6053">
        <v>110.443517406797</v>
      </c>
      <c r="AK6053">
        <v>31.734634651653501</v>
      </c>
      <c r="AL6053">
        <v>78.672849695712102</v>
      </c>
      <c r="AM6053">
        <v>100.948265383296</v>
      </c>
      <c r="AN6053">
        <v>1.00000000790248</v>
      </c>
    </row>
    <row r="6054" spans="1:40" x14ac:dyDescent="0.25">
      <c r="A6054" t="str">
        <f>"20190304154918550"</f>
        <v>20190304154918550</v>
      </c>
      <c r="B6054" t="str">
        <f>"1551685758543776"</f>
        <v>1551685758543776</v>
      </c>
      <c r="C6054" t="s">
        <v>40</v>
      </c>
      <c r="D6054">
        <v>3.9986090000000001</v>
      </c>
      <c r="E6054">
        <v>0.4289231</v>
      </c>
      <c r="F6054" t="s">
        <v>68</v>
      </c>
      <c r="G6054">
        <v>-400.79079999999999</v>
      </c>
      <c r="H6054">
        <v>7.9987180000000005E-2</v>
      </c>
      <c r="I6054">
        <v>9.0520460000000007</v>
      </c>
      <c r="J6054">
        <v>-419.9119</v>
      </c>
      <c r="K6054">
        <v>1.1163320000000001</v>
      </c>
      <c r="L6054">
        <v>34.968629999999997</v>
      </c>
      <c r="M6054">
        <v>0.27463179999999998</v>
      </c>
      <c r="N6054">
        <v>-1.438854E-2</v>
      </c>
      <c r="O6054">
        <v>-0.96144209999999997</v>
      </c>
      <c r="P6054">
        <v>0.44210120000000003</v>
      </c>
      <c r="Q6054">
        <v>0.18506400000000001</v>
      </c>
      <c r="R6054">
        <v>-0.87766650000000002</v>
      </c>
      <c r="S6054">
        <v>1.8468629999999999</v>
      </c>
      <c r="T6054">
        <v>-9.9848870000000006E-2</v>
      </c>
      <c r="U6054">
        <v>-2.5115660000000002</v>
      </c>
      <c r="V6054">
        <v>-0.1865628</v>
      </c>
      <c r="W6054">
        <v>0.19656970000000001</v>
      </c>
      <c r="X6054">
        <v>0.96257709999999996</v>
      </c>
      <c r="Y6054">
        <v>-0.34814020000000001</v>
      </c>
      <c r="Z6054">
        <v>1.92406E-2</v>
      </c>
      <c r="AA6054">
        <v>0.93724499999999999</v>
      </c>
      <c r="AB6054">
        <v>26</v>
      </c>
      <c r="AC6054">
        <v>19.121099999999998</v>
      </c>
      <c r="AD6054">
        <v>-1.0363448199999901</v>
      </c>
      <c r="AE6054">
        <v>-25.916584</v>
      </c>
      <c r="AF6054">
        <v>-11.2558213114213</v>
      </c>
      <c r="AG6054">
        <v>-1.0363448199999901</v>
      </c>
      <c r="AH6054">
        <v>30.140464302656</v>
      </c>
      <c r="AI6054">
        <v>91.8449177258139</v>
      </c>
      <c r="AJ6054">
        <v>110.477920743719</v>
      </c>
      <c r="AK6054">
        <v>32.190295313343597</v>
      </c>
      <c r="AL6054">
        <v>78.663564288563407</v>
      </c>
      <c r="AM6054">
        <v>100.968838863847</v>
      </c>
      <c r="AN6054">
        <v>0.99999999937316997</v>
      </c>
    </row>
    <row r="6055" spans="1:40" x14ac:dyDescent="0.25">
      <c r="A6055" t="str">
        <f>"20190304154918562"</f>
        <v>20190304154918562</v>
      </c>
      <c r="B6055" t="str">
        <f>"1551685758553538"</f>
        <v>1551685758553538</v>
      </c>
      <c r="C6055" t="s">
        <v>40</v>
      </c>
      <c r="D6055">
        <v>4.0047550000000003</v>
      </c>
      <c r="E6055">
        <v>0.42876809999999999</v>
      </c>
      <c r="F6055" t="s">
        <v>68</v>
      </c>
      <c r="G6055">
        <v>-400.37029999999999</v>
      </c>
      <c r="H6055">
        <v>7.9987240000000001E-2</v>
      </c>
      <c r="I6055">
        <v>8.6814309999999999</v>
      </c>
      <c r="J6055">
        <v>-419.8698</v>
      </c>
      <c r="K6055">
        <v>1.1163730000000001</v>
      </c>
      <c r="L6055">
        <v>34.836910000000003</v>
      </c>
      <c r="M6055">
        <v>0.27844269999999999</v>
      </c>
      <c r="N6055">
        <v>-1.4395730000000001E-2</v>
      </c>
      <c r="O6055">
        <v>-0.96034509999999995</v>
      </c>
      <c r="P6055">
        <v>0.44530130000000001</v>
      </c>
      <c r="Q6055">
        <v>0.18502840000000001</v>
      </c>
      <c r="R6055">
        <v>-0.87605429999999995</v>
      </c>
      <c r="S6055">
        <v>1.859985</v>
      </c>
      <c r="T6055">
        <v>-9.8640439999999996E-2</v>
      </c>
      <c r="U6055">
        <v>-2.5020449999999999</v>
      </c>
      <c r="V6055">
        <v>-0.1862771</v>
      </c>
      <c r="W6055">
        <v>0.1965248</v>
      </c>
      <c r="X6055">
        <v>0.96264159999999999</v>
      </c>
      <c r="Y6055">
        <v>-0.34930099999999997</v>
      </c>
      <c r="Z6055">
        <v>1.8861960000000001E-2</v>
      </c>
      <c r="AA6055">
        <v>0.93682069999999995</v>
      </c>
      <c r="AB6055">
        <v>26</v>
      </c>
      <c r="AC6055">
        <v>19.499500000000001</v>
      </c>
      <c r="AD6055">
        <v>-1.0363857599999999</v>
      </c>
      <c r="AE6055">
        <v>-26.155479</v>
      </c>
      <c r="AF6055">
        <v>-11.4330934986882</v>
      </c>
      <c r="AG6055">
        <v>-1.0363857599999999</v>
      </c>
      <c r="AH6055">
        <v>30.520141080683501</v>
      </c>
      <c r="AI6055">
        <v>91.821359579966</v>
      </c>
      <c r="AJ6055">
        <v>110.536359160887</v>
      </c>
      <c r="AK6055">
        <v>32.607801734831803</v>
      </c>
      <c r="AL6055">
        <v>78.666188083367302</v>
      </c>
      <c r="AM6055">
        <v>100.95173173002399</v>
      </c>
      <c r="AN6055">
        <v>1.000000002525</v>
      </c>
    </row>
    <row r="6056" spans="1:40" x14ac:dyDescent="0.25">
      <c r="A6056" t="str">
        <f>"20190304154918575"</f>
        <v>20190304154918575</v>
      </c>
      <c r="B6056" t="str">
        <f>"1551685758573058"</f>
        <v>1551685758573058</v>
      </c>
      <c r="C6056" t="s">
        <v>40</v>
      </c>
      <c r="D6056">
        <v>3.9817550000000002</v>
      </c>
      <c r="E6056">
        <v>0.42846210000000001</v>
      </c>
      <c r="F6056" t="s">
        <v>68</v>
      </c>
      <c r="G6056">
        <v>-400.13630000000001</v>
      </c>
      <c r="H6056">
        <v>7.9987290000000003E-2</v>
      </c>
      <c r="I6056">
        <v>8.5138590000000001</v>
      </c>
      <c r="J6056">
        <v>-419.82440000000003</v>
      </c>
      <c r="K6056">
        <v>1.11642</v>
      </c>
      <c r="L6056">
        <v>34.695920000000001</v>
      </c>
      <c r="M6056">
        <v>0.28254810000000002</v>
      </c>
      <c r="N6056">
        <v>-1.44032E-2</v>
      </c>
      <c r="O6056">
        <v>-0.95914489999999997</v>
      </c>
      <c r="P6056">
        <v>0.44914310000000002</v>
      </c>
      <c r="Q6056">
        <v>0.1852452</v>
      </c>
      <c r="R6056">
        <v>-0.87404519999999997</v>
      </c>
      <c r="S6056">
        <v>1.870117</v>
      </c>
      <c r="T6056">
        <v>-9.8216769999999995E-2</v>
      </c>
      <c r="U6056">
        <v>-2.4945979999999999</v>
      </c>
      <c r="V6056">
        <v>-0.1864247</v>
      </c>
      <c r="W6056">
        <v>0.19672400000000001</v>
      </c>
      <c r="X6056">
        <v>0.96257230000000005</v>
      </c>
      <c r="Y6056">
        <v>-0.34907290000000002</v>
      </c>
      <c r="Z6056">
        <v>1.872886E-2</v>
      </c>
      <c r="AA6056">
        <v>0.93690839999999997</v>
      </c>
      <c r="AB6056">
        <v>26</v>
      </c>
      <c r="AC6056">
        <v>19.688099999999999</v>
      </c>
      <c r="AD6056">
        <v>-1.0364327099999999</v>
      </c>
      <c r="AE6056">
        <v>-26.182060999999901</v>
      </c>
      <c r="AF6056">
        <v>-11.475754528065799</v>
      </c>
      <c r="AG6056">
        <v>-1.0364327099999999</v>
      </c>
      <c r="AH6056">
        <v>30.6477322782549</v>
      </c>
      <c r="AI6056">
        <v>91.813963938931096</v>
      </c>
      <c r="AJ6056">
        <v>110.52793911417101</v>
      </c>
      <c r="AK6056">
        <v>32.742184236094701</v>
      </c>
      <c r="AL6056">
        <v>78.654547117197794</v>
      </c>
      <c r="AM6056">
        <v>100.960969424166</v>
      </c>
      <c r="AN6056">
        <v>0.99999996683668901</v>
      </c>
    </row>
    <row r="6057" spans="1:40" x14ac:dyDescent="0.25">
      <c r="A6057" t="str">
        <f>"20190304154918589"</f>
        <v>20190304154918589</v>
      </c>
      <c r="B6057" t="str">
        <f>"1551685758583793"</f>
        <v>1551685758583793</v>
      </c>
      <c r="C6057" t="s">
        <v>40</v>
      </c>
      <c r="D6057">
        <v>4.0097500000000004</v>
      </c>
      <c r="E6057">
        <v>0.42830819999999997</v>
      </c>
      <c r="F6057" t="s">
        <v>44</v>
      </c>
      <c r="G6057">
        <v>-399.56150000000002</v>
      </c>
      <c r="H6057">
        <v>7.9985539999999994E-2</v>
      </c>
      <c r="I6057">
        <v>7.9552719999999999</v>
      </c>
      <c r="J6057">
        <v>-419.77089999999998</v>
      </c>
      <c r="K6057">
        <v>1.1164750000000001</v>
      </c>
      <c r="L6057">
        <v>34.532649999999997</v>
      </c>
      <c r="M6057">
        <v>0.28736030000000001</v>
      </c>
      <c r="N6057">
        <v>-1.4411780000000001E-2</v>
      </c>
      <c r="O6057">
        <v>-0.95771410000000001</v>
      </c>
      <c r="P6057">
        <v>0.45325650000000001</v>
      </c>
      <c r="Q6057">
        <v>0.18507940000000001</v>
      </c>
      <c r="R6057">
        <v>-0.87195419999999901</v>
      </c>
      <c r="S6057">
        <v>1.883087</v>
      </c>
      <c r="T6057">
        <v>-9.6318479999999998E-2</v>
      </c>
      <c r="U6057">
        <v>-2.485077</v>
      </c>
      <c r="V6057">
        <v>-0.18614230000000001</v>
      </c>
      <c r="W6057">
        <v>0.19654540000000001</v>
      </c>
      <c r="X6057">
        <v>0.96266350000000001</v>
      </c>
      <c r="Y6057">
        <v>-0.34921089999999999</v>
      </c>
      <c r="Z6057">
        <v>1.8121350000000001E-2</v>
      </c>
      <c r="AA6057">
        <v>0.9368689</v>
      </c>
      <c r="AB6057">
        <v>26</v>
      </c>
      <c r="AC6057">
        <v>20.209399999999899</v>
      </c>
      <c r="AD6057">
        <v>-1.0364894600000001</v>
      </c>
      <c r="AE6057">
        <v>-26.577378</v>
      </c>
      <c r="AF6057">
        <v>-11.7074789324733</v>
      </c>
      <c r="AG6057">
        <v>-1.0364894600000001</v>
      </c>
      <c r="AH6057">
        <v>31.234056539483799</v>
      </c>
      <c r="AI6057">
        <v>91.779803906313504</v>
      </c>
      <c r="AJ6057">
        <v>110.547533495764</v>
      </c>
      <c r="AK6057">
        <v>33.372228892698601</v>
      </c>
      <c r="AL6057">
        <v>78.664984653419793</v>
      </c>
      <c r="AM6057">
        <v>100.94375494784001</v>
      </c>
      <c r="AN6057">
        <v>1.00000003217134</v>
      </c>
    </row>
    <row r="6058" spans="1:40" x14ac:dyDescent="0.25">
      <c r="A6058" t="str">
        <f>"20190304154918603"</f>
        <v>20190304154918603</v>
      </c>
      <c r="B6058" t="str">
        <f>"1551685758593553"</f>
        <v>1551685758593553</v>
      </c>
      <c r="C6058" t="s">
        <v>40</v>
      </c>
      <c r="D6058">
        <v>3.970513</v>
      </c>
      <c r="E6058">
        <v>0.42815199999999998</v>
      </c>
      <c r="F6058" t="s">
        <v>44</v>
      </c>
      <c r="G6058">
        <v>-399.33030000000002</v>
      </c>
      <c r="H6058">
        <v>7.9985589999999995E-2</v>
      </c>
      <c r="I6058">
        <v>7.8443429999999896</v>
      </c>
      <c r="J6058">
        <v>-419.72250000000003</v>
      </c>
      <c r="K6058">
        <v>1.1165309999999999</v>
      </c>
      <c r="L6058">
        <v>34.388030000000001</v>
      </c>
      <c r="M6058">
        <v>0.29168670000000002</v>
      </c>
      <c r="N6058">
        <v>-1.441987E-2</v>
      </c>
      <c r="O6058">
        <v>-0.95640519999999996</v>
      </c>
      <c r="P6058">
        <v>0.45700750000000001</v>
      </c>
      <c r="Q6058">
        <v>0.18449779999999999</v>
      </c>
      <c r="R6058">
        <v>-0.87011749999999899</v>
      </c>
      <c r="S6058">
        <v>1.8959349999999999</v>
      </c>
      <c r="T6058">
        <v>-9.6138000000000001E-2</v>
      </c>
      <c r="U6058">
        <v>-2.4754330000000002</v>
      </c>
      <c r="V6058">
        <v>-0.18591550000000001</v>
      </c>
      <c r="W6058">
        <v>0.19595489999999999</v>
      </c>
      <c r="X6058">
        <v>0.96282769999999995</v>
      </c>
      <c r="Y6058">
        <v>-0.34980209999999901</v>
      </c>
      <c r="Z6058">
        <v>1.8072629999999999E-2</v>
      </c>
      <c r="AA6058">
        <v>0.93664930000000002</v>
      </c>
      <c r="AB6058">
        <v>26</v>
      </c>
      <c r="AC6058">
        <v>20.392199999999999</v>
      </c>
      <c r="AD6058">
        <v>-1.03654541</v>
      </c>
      <c r="AE6058">
        <v>-26.543686999999998</v>
      </c>
      <c r="AF6058">
        <v>-11.7507202836697</v>
      </c>
      <c r="AG6058">
        <v>-1.03654541</v>
      </c>
      <c r="AH6058">
        <v>31.307889540496401</v>
      </c>
      <c r="AI6058">
        <v>91.7754149912586</v>
      </c>
      <c r="AJ6058">
        <v>110.57250783041999</v>
      </c>
      <c r="AK6058">
        <v>33.456506109454502</v>
      </c>
      <c r="AL6058">
        <v>78.699488848622593</v>
      </c>
      <c r="AM6058">
        <v>100.92892297966701</v>
      </c>
      <c r="AN6058">
        <v>1.0000000379307701</v>
      </c>
    </row>
    <row r="6059" spans="1:40" x14ac:dyDescent="0.25">
      <c r="A6059" t="str">
        <f>"20190304154918617"</f>
        <v>20190304154918617</v>
      </c>
      <c r="B6059" t="str">
        <f>"1551685758613073"</f>
        <v>1551685758613073</v>
      </c>
      <c r="C6059" t="s">
        <v>40</v>
      </c>
      <c r="D6059">
        <v>3.9608859999999999</v>
      </c>
      <c r="E6059">
        <v>0.42787370000000002</v>
      </c>
      <c r="F6059" t="s">
        <v>44</v>
      </c>
      <c r="G6059">
        <v>-399.43970000000002</v>
      </c>
      <c r="H6059">
        <v>7.9985550000000002E-2</v>
      </c>
      <c r="I6059">
        <v>8.1585179999999902</v>
      </c>
      <c r="J6059">
        <v>-419.66730000000001</v>
      </c>
      <c r="K6059">
        <v>1.1165860000000001</v>
      </c>
      <c r="L6059">
        <v>34.225559999999902</v>
      </c>
      <c r="M6059">
        <v>0.29658959999999901</v>
      </c>
      <c r="N6059">
        <v>-1.442889E-2</v>
      </c>
      <c r="O6059">
        <v>-0.95489619999999997</v>
      </c>
      <c r="P6059">
        <v>0.4615475</v>
      </c>
      <c r="Q6059">
        <v>0.184504</v>
      </c>
      <c r="R6059">
        <v>-0.86771690000000001</v>
      </c>
      <c r="S6059">
        <v>1.90741</v>
      </c>
      <c r="T6059">
        <v>-9.7477560000000005E-2</v>
      </c>
      <c r="U6059">
        <v>-2.4666440000000001</v>
      </c>
      <c r="V6059">
        <v>-0.1860339</v>
      </c>
      <c r="W6059">
        <v>0.19594320000000001</v>
      </c>
      <c r="X6059">
        <v>0.96280719999999997</v>
      </c>
      <c r="Y6059">
        <v>-0.34933180000000003</v>
      </c>
      <c r="Z6059">
        <v>1.8508819999999999E-2</v>
      </c>
      <c r="AA6059">
        <v>0.93681630000000005</v>
      </c>
      <c r="AB6059">
        <v>26</v>
      </c>
      <c r="AC6059">
        <v>20.227599999999899</v>
      </c>
      <c r="AD6059">
        <v>-1.0366004499999999</v>
      </c>
      <c r="AE6059">
        <v>-26.067041999999901</v>
      </c>
      <c r="AF6059">
        <v>-11.5738250529784</v>
      </c>
      <c r="AG6059">
        <v>-1.0366004499999999</v>
      </c>
      <c r="AH6059">
        <v>30.863362595745102</v>
      </c>
      <c r="AI6059">
        <v>91.801258050420003</v>
      </c>
      <c r="AJ6059">
        <v>110.556149512742</v>
      </c>
      <c r="AK6059">
        <v>32.9784038056169</v>
      </c>
      <c r="AL6059">
        <v>78.700172336241707</v>
      </c>
      <c r="AM6059">
        <v>100.93594252141401</v>
      </c>
      <c r="AN6059">
        <v>1.00000002697364</v>
      </c>
    </row>
    <row r="6060" spans="1:40" x14ac:dyDescent="0.25">
      <c r="A6060" t="str">
        <f>"20190304154918632"</f>
        <v>20190304154918632</v>
      </c>
      <c r="B6060" t="str">
        <f>"1551685758623809"</f>
        <v>1551685758623809</v>
      </c>
      <c r="C6060" t="s">
        <v>40</v>
      </c>
      <c r="D6060">
        <v>3.958056</v>
      </c>
      <c r="E6060">
        <v>0.4277261</v>
      </c>
      <c r="F6060" t="s">
        <v>44</v>
      </c>
      <c r="G6060">
        <v>-398.96710000000002</v>
      </c>
      <c r="H6060">
        <v>7.9985689999999998E-2</v>
      </c>
      <c r="I6060">
        <v>7.7840210000000001</v>
      </c>
      <c r="J6060">
        <v>-419.61180000000002</v>
      </c>
      <c r="K6060">
        <v>1.1166430000000001</v>
      </c>
      <c r="L6060">
        <v>34.064729999999997</v>
      </c>
      <c r="M6060">
        <v>0.30149160000000003</v>
      </c>
      <c r="N6060">
        <v>-1.4437739999999999E-2</v>
      </c>
      <c r="O6060">
        <v>-0.95335950000000003</v>
      </c>
      <c r="P6060">
        <v>0.4657538</v>
      </c>
      <c r="Q6060">
        <v>0.1840764</v>
      </c>
      <c r="R6060">
        <v>-0.86555740000000003</v>
      </c>
      <c r="S6060">
        <v>1.9222410000000001</v>
      </c>
      <c r="T6060">
        <v>-9.6259590000000006E-2</v>
      </c>
      <c r="U6060">
        <v>-2.4553829999999999</v>
      </c>
      <c r="V6060">
        <v>-0.1857529</v>
      </c>
      <c r="W6060">
        <v>0.1955055</v>
      </c>
      <c r="X6060">
        <v>0.96295039999999998</v>
      </c>
      <c r="Y6060">
        <v>-0.35011730000000002</v>
      </c>
      <c r="Z6060">
        <v>1.8125869999999999E-2</v>
      </c>
      <c r="AA6060">
        <v>0.93653050000000004</v>
      </c>
      <c r="AB6060">
        <v>26</v>
      </c>
      <c r="AC6060">
        <v>20.6447</v>
      </c>
      <c r="AD6060">
        <v>-1.0366573100000001</v>
      </c>
      <c r="AE6060">
        <v>-26.280708999999899</v>
      </c>
      <c r="AF6060">
        <v>-11.748329533388899</v>
      </c>
      <c r="AG6060">
        <v>-1.0366573100000001</v>
      </c>
      <c r="AH6060">
        <v>31.252357321910399</v>
      </c>
      <c r="AI6060">
        <v>91.778414125033095</v>
      </c>
      <c r="AJ6060">
        <v>110.60215363075</v>
      </c>
      <c r="AK6060">
        <v>33.403708527345302</v>
      </c>
      <c r="AL6060">
        <v>78.725745074097105</v>
      </c>
      <c r="AM6060">
        <v>100.918236572548</v>
      </c>
      <c r="AN6060">
        <v>1.0000000066244099</v>
      </c>
    </row>
    <row r="6061" spans="1:40" x14ac:dyDescent="0.25">
      <c r="A6061" t="str">
        <f>"20190304154918646"</f>
        <v>20190304154918646</v>
      </c>
      <c r="B6061" t="str">
        <f>"1551685758643329"</f>
        <v>1551685758643329</v>
      </c>
      <c r="C6061" t="s">
        <v>40</v>
      </c>
      <c r="D6061">
        <v>3.9590160000000001</v>
      </c>
      <c r="E6061">
        <v>0.42743019999999998</v>
      </c>
      <c r="F6061" t="s">
        <v>44</v>
      </c>
      <c r="G6061">
        <v>-398.91860000000003</v>
      </c>
      <c r="H6061">
        <v>7.9985699999999896E-2</v>
      </c>
      <c r="I6061">
        <v>7.916531</v>
      </c>
      <c r="J6061">
        <v>-419.55829999999997</v>
      </c>
      <c r="K6061">
        <v>1.1166929999999999</v>
      </c>
      <c r="L6061">
        <v>33.912840000000003</v>
      </c>
      <c r="M6061">
        <v>0.30618830000000002</v>
      </c>
      <c r="N6061">
        <v>-1.4446240000000001E-2</v>
      </c>
      <c r="O6061">
        <v>-0.95186139999999997</v>
      </c>
      <c r="P6061">
        <v>0.46974870000000002</v>
      </c>
      <c r="Q6061">
        <v>0.1837655</v>
      </c>
      <c r="R6061">
        <v>-0.8634619</v>
      </c>
      <c r="S6061">
        <v>1.9351499999999999</v>
      </c>
      <c r="T6061">
        <v>-9.6944329999999995E-2</v>
      </c>
      <c r="U6061">
        <v>-2.4452820000000002</v>
      </c>
      <c r="V6061">
        <v>-0.18545310000000001</v>
      </c>
      <c r="W6061">
        <v>0.19518659999999999</v>
      </c>
      <c r="X6061">
        <v>0.96307279999999995</v>
      </c>
      <c r="Y6061">
        <v>-0.35041870000000003</v>
      </c>
      <c r="Z6061">
        <v>1.835494E-2</v>
      </c>
      <c r="AA6061">
        <v>0.9364133</v>
      </c>
      <c r="AB6061">
        <v>26</v>
      </c>
      <c r="AC6061">
        <v>20.639699999999898</v>
      </c>
      <c r="AD6061">
        <v>-1.0367073</v>
      </c>
      <c r="AE6061">
        <v>-25.996309</v>
      </c>
      <c r="AF6061">
        <v>-11.6761975472998</v>
      </c>
      <c r="AG6061">
        <v>-1.0367073</v>
      </c>
      <c r="AH6061">
        <v>31.037482590572498</v>
      </c>
      <c r="AI6061">
        <v>91.790640331111703</v>
      </c>
      <c r="AJ6061">
        <v>110.616132506529</v>
      </c>
      <c r="AK6061">
        <v>33.177306653035302</v>
      </c>
      <c r="AL6061">
        <v>78.744374863189194</v>
      </c>
      <c r="AM6061">
        <v>100.89968509563801</v>
      </c>
      <c r="AN6061">
        <v>0.99999993960950295</v>
      </c>
    </row>
    <row r="6062" spans="1:40" x14ac:dyDescent="0.25">
      <c r="A6062" t="str">
        <f>"20190304154918658"</f>
        <v>20190304154918658</v>
      </c>
      <c r="B6062" t="str">
        <f>"1551685758653089"</f>
        <v>1551685758653089</v>
      </c>
      <c r="C6062" t="s">
        <v>40</v>
      </c>
      <c r="D6062">
        <v>3.9352559999999999</v>
      </c>
      <c r="E6062">
        <v>0.42728100000000002</v>
      </c>
      <c r="F6062" t="s">
        <v>44</v>
      </c>
      <c r="G6062">
        <v>-398.69959999999998</v>
      </c>
      <c r="H6062">
        <v>7.9985749999999994E-2</v>
      </c>
      <c r="I6062">
        <v>7.84335</v>
      </c>
      <c r="J6062">
        <v>-419.51080000000002</v>
      </c>
      <c r="K6062">
        <v>1.1167339999999999</v>
      </c>
      <c r="L6062">
        <v>33.780119999999997</v>
      </c>
      <c r="M6062">
        <v>0.31032470000000001</v>
      </c>
      <c r="N6062">
        <v>-1.445345E-2</v>
      </c>
      <c r="O6062">
        <v>-0.9505207</v>
      </c>
      <c r="P6062">
        <v>0.4734932</v>
      </c>
      <c r="Q6062">
        <v>0.1836989</v>
      </c>
      <c r="R6062">
        <v>-0.86142859999999999</v>
      </c>
      <c r="S6062">
        <v>1.948334</v>
      </c>
      <c r="T6062">
        <v>-9.683514E-2</v>
      </c>
      <c r="U6062">
        <v>-2.4350589999999999</v>
      </c>
      <c r="V6062">
        <v>-0.18546070000000001</v>
      </c>
      <c r="W6062">
        <v>0.19510939999999999</v>
      </c>
      <c r="X6062">
        <v>0.96308700000000003</v>
      </c>
      <c r="Y6062">
        <v>-0.35135490000000003</v>
      </c>
      <c r="Z6062">
        <v>1.8330249999999999E-2</v>
      </c>
      <c r="AA6062">
        <v>0.93606290000000003</v>
      </c>
      <c r="AB6062">
        <v>26</v>
      </c>
      <c r="AC6062">
        <v>20.811199999999999</v>
      </c>
      <c r="AD6062">
        <v>-1.03674825</v>
      </c>
      <c r="AE6062">
        <v>-25.936769999999999</v>
      </c>
      <c r="AF6062">
        <v>-11.722488026990501</v>
      </c>
      <c r="AG6062">
        <v>-1.03674825</v>
      </c>
      <c r="AH6062">
        <v>31.084703540865899</v>
      </c>
      <c r="AI6062">
        <v>91.787451696797405</v>
      </c>
      <c r="AJ6062">
        <v>110.66217958702801</v>
      </c>
      <c r="AK6062">
        <v>33.237785225558198</v>
      </c>
      <c r="AL6062">
        <v>78.748885032165006</v>
      </c>
      <c r="AM6062">
        <v>100.899964208444</v>
      </c>
      <c r="AN6062">
        <v>0.99999995939092401</v>
      </c>
    </row>
    <row r="6063" spans="1:40" x14ac:dyDescent="0.25">
      <c r="A6063" t="str">
        <f>"20190304154918669"</f>
        <v>20190304154918669</v>
      </c>
      <c r="B6063" t="str">
        <f>"1551685758663825"</f>
        <v>1551685758663825</v>
      </c>
      <c r="C6063" t="s">
        <v>40</v>
      </c>
      <c r="D6063">
        <v>3.9364569999999999</v>
      </c>
      <c r="E6063">
        <v>0.42712610000000001</v>
      </c>
      <c r="F6063" t="s">
        <v>44</v>
      </c>
      <c r="G6063">
        <v>-398.45</v>
      </c>
      <c r="H6063">
        <v>7.9985819999999999E-2</v>
      </c>
      <c r="I6063">
        <v>7.7112669999999897</v>
      </c>
      <c r="J6063">
        <v>-419.46710000000002</v>
      </c>
      <c r="K6063">
        <v>1.1167689999999999</v>
      </c>
      <c r="L6063">
        <v>33.659149999999997</v>
      </c>
      <c r="M6063">
        <v>0.3141139</v>
      </c>
      <c r="N6063">
        <v>-1.445985E-2</v>
      </c>
      <c r="O6063">
        <v>-0.94927510000000004</v>
      </c>
      <c r="P6063">
        <v>0.47695389999999999</v>
      </c>
      <c r="Q6063">
        <v>0.1838323</v>
      </c>
      <c r="R6063">
        <v>-0.85948849999999999</v>
      </c>
      <c r="S6063">
        <v>1.9598690000000001</v>
      </c>
      <c r="T6063">
        <v>-9.6477270000000004E-2</v>
      </c>
      <c r="U6063">
        <v>-2.4259029999999999</v>
      </c>
      <c r="V6063">
        <v>-0.18551989999999999</v>
      </c>
      <c r="W6063">
        <v>0.19523190000000001</v>
      </c>
      <c r="X6063">
        <v>0.96305079999999998</v>
      </c>
      <c r="Y6063">
        <v>-0.35204170000000001</v>
      </c>
      <c r="Z6063">
        <v>1.8224290000000001E-2</v>
      </c>
      <c r="AA6063">
        <v>0.9358069</v>
      </c>
      <c r="AB6063">
        <v>26</v>
      </c>
      <c r="AC6063">
        <v>21.017099999999999</v>
      </c>
      <c r="AD6063">
        <v>-1.03678318</v>
      </c>
      <c r="AE6063">
        <v>-25.947883000000001</v>
      </c>
      <c r="AF6063">
        <v>-11.790287394438099</v>
      </c>
      <c r="AG6063">
        <v>-1.03678318</v>
      </c>
      <c r="AH6063">
        <v>31.206626120742602</v>
      </c>
      <c r="AI6063">
        <v>91.780121649093005</v>
      </c>
      <c r="AJ6063">
        <v>110.697246253934</v>
      </c>
      <c r="AK6063">
        <v>33.375729356009501</v>
      </c>
      <c r="AL6063">
        <v>78.741728977523906</v>
      </c>
      <c r="AM6063">
        <v>100.903760172909</v>
      </c>
      <c r="AN6063">
        <v>0.99999998572713</v>
      </c>
    </row>
    <row r="6064" spans="1:40" x14ac:dyDescent="0.25">
      <c r="A6064" t="str">
        <f>"20190304154918682"</f>
        <v>20190304154918682</v>
      </c>
      <c r="B6064" t="str">
        <f>"1551685758673585"</f>
        <v>1551685758673585</v>
      </c>
      <c r="C6064" t="s">
        <v>40</v>
      </c>
      <c r="D6064">
        <v>3.9283709999999998</v>
      </c>
      <c r="E6064">
        <v>0.42696719999999999</v>
      </c>
      <c r="F6064" t="s">
        <v>44</v>
      </c>
      <c r="G6064">
        <v>-398.00259999999997</v>
      </c>
      <c r="H6064">
        <v>7.998595E-2</v>
      </c>
      <c r="I6064">
        <v>7.3368080000000004</v>
      </c>
      <c r="J6064">
        <v>-419.4169</v>
      </c>
      <c r="K6064">
        <v>1.1168070000000001</v>
      </c>
      <c r="L6064">
        <v>33.522979999999997</v>
      </c>
      <c r="M6064">
        <v>0.3184341</v>
      </c>
      <c r="N6064">
        <v>-1.4466899999999901E-2</v>
      </c>
      <c r="O6064">
        <v>-0.94783470000000003</v>
      </c>
      <c r="P6064">
        <v>0.48070610000000003</v>
      </c>
      <c r="Q6064">
        <v>0.18405479999999999</v>
      </c>
      <c r="R6064">
        <v>-0.85734859999999902</v>
      </c>
      <c r="S6064">
        <v>1.9709779999999999</v>
      </c>
      <c r="T6064">
        <v>-9.5202800000000004E-2</v>
      </c>
      <c r="U6064">
        <v>-2.4170530000000001</v>
      </c>
      <c r="V6064">
        <v>-0.18537960000000001</v>
      </c>
      <c r="W6064">
        <v>0.1954457</v>
      </c>
      <c r="X6064">
        <v>0.96303450000000002</v>
      </c>
      <c r="Y6064">
        <v>-0.35204629999999998</v>
      </c>
      <c r="Z6064">
        <v>1.7818110000000002E-2</v>
      </c>
      <c r="AA6064">
        <v>0.93581300000000001</v>
      </c>
      <c r="AB6064">
        <v>26</v>
      </c>
      <c r="AC6064">
        <v>21.414300000000001</v>
      </c>
      <c r="AD6064">
        <v>-1.0368210499999999</v>
      </c>
      <c r="AE6064">
        <v>-26.186171999999999</v>
      </c>
      <c r="AF6064">
        <v>-11.9486718630274</v>
      </c>
      <c r="AG6064">
        <v>-1.0368210499999999</v>
      </c>
      <c r="AH6064">
        <v>31.612815745425099</v>
      </c>
      <c r="AI6064">
        <v>91.757237252018101</v>
      </c>
      <c r="AJ6064">
        <v>110.70504991711501</v>
      </c>
      <c r="AK6064">
        <v>33.811475515484801</v>
      </c>
      <c r="AL6064">
        <v>78.729239060696997</v>
      </c>
      <c r="AM6064">
        <v>100.895891613225</v>
      </c>
      <c r="AN6064">
        <v>1.0000000329674399</v>
      </c>
    </row>
    <row r="6065" spans="1:40" x14ac:dyDescent="0.25">
      <c r="A6065" t="str">
        <f>"20190304154918696"</f>
        <v>20190304154918696</v>
      </c>
      <c r="B6065" t="str">
        <f>"1551685758693106"</f>
        <v>1551685758693106</v>
      </c>
      <c r="C6065" t="s">
        <v>40</v>
      </c>
      <c r="D6065">
        <v>3.9142459999999999</v>
      </c>
      <c r="E6065">
        <v>0.42666219999999999</v>
      </c>
      <c r="F6065" t="s">
        <v>44</v>
      </c>
      <c r="G6065">
        <v>-397.48590000000002</v>
      </c>
      <c r="H6065">
        <v>7.9986100000000004E-2</v>
      </c>
      <c r="I6065">
        <v>6.8918350000000004</v>
      </c>
      <c r="J6065">
        <v>-419.3614</v>
      </c>
      <c r="K6065">
        <v>1.116841</v>
      </c>
      <c r="L6065">
        <v>33.373989999999999</v>
      </c>
      <c r="M6065">
        <v>0.32319059999999999</v>
      </c>
      <c r="N6065">
        <v>-1.447446E-2</v>
      </c>
      <c r="O6065">
        <v>-0.94622329999999999</v>
      </c>
      <c r="P6065">
        <v>0.48501880000000003</v>
      </c>
      <c r="Q6065">
        <v>0.18394199999999999</v>
      </c>
      <c r="R6065">
        <v>-0.85494020000000004</v>
      </c>
      <c r="S6065">
        <v>1.9826969999999999</v>
      </c>
      <c r="T6065">
        <v>-9.3735100000000002E-2</v>
      </c>
      <c r="U6065">
        <v>-2.4076230000000001</v>
      </c>
      <c r="V6065">
        <v>-0.1854045</v>
      </c>
      <c r="W6065">
        <v>0.1953212</v>
      </c>
      <c r="X6065">
        <v>0.96305499999999999</v>
      </c>
      <c r="Y6065">
        <v>-0.35186489999999998</v>
      </c>
      <c r="Z6065">
        <v>1.734919E-2</v>
      </c>
      <c r="AA6065">
        <v>0.93589</v>
      </c>
      <c r="AB6065">
        <v>26</v>
      </c>
      <c r="AC6065">
        <v>21.875499999999899</v>
      </c>
      <c r="AD6065">
        <v>-1.0368549</v>
      </c>
      <c r="AE6065">
        <v>-26.482154999999999</v>
      </c>
      <c r="AF6065">
        <v>-12.1305416270114</v>
      </c>
      <c r="AG6065">
        <v>-1.0368549</v>
      </c>
      <c r="AH6065">
        <v>32.102099504408301</v>
      </c>
      <c r="AI6065">
        <v>91.730581809999407</v>
      </c>
      <c r="AJ6065">
        <v>110.700264040829</v>
      </c>
      <c r="AK6065">
        <v>34.333218620444597</v>
      </c>
      <c r="AL6065">
        <v>78.736512949411306</v>
      </c>
      <c r="AM6065">
        <v>100.89709368942</v>
      </c>
      <c r="AN6065">
        <v>1.0000000664073401</v>
      </c>
    </row>
    <row r="6066" spans="1:40" x14ac:dyDescent="0.25">
      <c r="A6066" t="str">
        <f>"20190304154918709"</f>
        <v>20190304154918709</v>
      </c>
      <c r="B6066" t="str">
        <f>"1551685758703842"</f>
        <v>1551685758703842</v>
      </c>
      <c r="C6066" t="s">
        <v>40</v>
      </c>
      <c r="D6066">
        <v>3.967028</v>
      </c>
      <c r="E6066">
        <v>0.42650909999999898</v>
      </c>
      <c r="F6066" t="s">
        <v>44</v>
      </c>
      <c r="G6066">
        <v>-397.03390000000002</v>
      </c>
      <c r="H6066">
        <v>7.998624E-2</v>
      </c>
      <c r="I6066">
        <v>6.5877290000000004</v>
      </c>
      <c r="J6066">
        <v>-419.30560000000003</v>
      </c>
      <c r="K6066">
        <v>1.116879</v>
      </c>
      <c r="L6066">
        <v>33.226840000000003</v>
      </c>
      <c r="M6066">
        <v>0.32793470000000002</v>
      </c>
      <c r="N6066">
        <v>-1.448201E-2</v>
      </c>
      <c r="O6066">
        <v>-0.94458940000000002</v>
      </c>
      <c r="P6066">
        <v>0.48938369999999998</v>
      </c>
      <c r="Q6066">
        <v>0.1843535</v>
      </c>
      <c r="R6066">
        <v>-0.85235969999999905</v>
      </c>
      <c r="S6066">
        <v>1.9971620000000001</v>
      </c>
      <c r="T6066">
        <v>-9.2745300000000003E-2</v>
      </c>
      <c r="U6066">
        <v>-2.3959959999999998</v>
      </c>
      <c r="V6066">
        <v>-0.18555070000000001</v>
      </c>
      <c r="W6066">
        <v>0.19571830000000001</v>
      </c>
      <c r="X6066">
        <v>0.96294619999999997</v>
      </c>
      <c r="Y6066">
        <v>-0.35273979999999999</v>
      </c>
      <c r="Z6066">
        <v>1.7041420000000002E-2</v>
      </c>
      <c r="AA6066">
        <v>0.93556620000000001</v>
      </c>
      <c r="AB6066">
        <v>26</v>
      </c>
      <c r="AC6066">
        <v>22.271699999999999</v>
      </c>
      <c r="AD6066">
        <v>-1.03689276</v>
      </c>
      <c r="AE6066">
        <v>-26.639111</v>
      </c>
      <c r="AF6066">
        <v>-12.2920515607598</v>
      </c>
      <c r="AG6066">
        <v>-1.03689276</v>
      </c>
      <c r="AH6066">
        <v>32.441160642593601</v>
      </c>
      <c r="AI6066">
        <v>91.711984883731404</v>
      </c>
      <c r="AJ6066">
        <v>110.75184601203701</v>
      </c>
      <c r="AK6066">
        <v>34.707327497326602</v>
      </c>
      <c r="AL6066">
        <v>78.713312841396203</v>
      </c>
      <c r="AM6066">
        <v>100.906683215816</v>
      </c>
      <c r="AN6066">
        <v>1.0000000496599</v>
      </c>
    </row>
    <row r="6067" spans="1:40" x14ac:dyDescent="0.25">
      <c r="A6067" t="str">
        <f>"20190304154918722"</f>
        <v>20190304154918722</v>
      </c>
      <c r="B6067" t="str">
        <f>"1551685758713602"</f>
        <v>1551685758713602</v>
      </c>
      <c r="C6067" t="s">
        <v>40</v>
      </c>
      <c r="D6067">
        <v>3.8677280000000001</v>
      </c>
      <c r="E6067">
        <v>0.4263689</v>
      </c>
      <c r="F6067" t="s">
        <v>44</v>
      </c>
      <c r="G6067">
        <v>-396.37439999999998</v>
      </c>
      <c r="H6067">
        <v>7.9986420000000003E-2</v>
      </c>
      <c r="I6067">
        <v>6.0247359999999999</v>
      </c>
      <c r="J6067">
        <v>-419.25409999999999</v>
      </c>
      <c r="K6067">
        <v>1.1169150000000001</v>
      </c>
      <c r="L6067">
        <v>33.09348</v>
      </c>
      <c r="M6067">
        <v>0.33228419999999997</v>
      </c>
      <c r="N6067">
        <v>-1.448925E-2</v>
      </c>
      <c r="O6067">
        <v>-0.94306800000000002</v>
      </c>
      <c r="P6067">
        <v>0.4937763</v>
      </c>
      <c r="Q6067">
        <v>0.18428530000000001</v>
      </c>
      <c r="R6067">
        <v>-0.84983770000000003</v>
      </c>
      <c r="S6067">
        <v>2.010529</v>
      </c>
      <c r="T6067">
        <v>-9.0910909999999998E-2</v>
      </c>
      <c r="U6067">
        <v>-2.384979</v>
      </c>
      <c r="V6067">
        <v>-0.1860967</v>
      </c>
      <c r="W6067">
        <v>0.19563079999999999</v>
      </c>
      <c r="X6067">
        <v>0.96285860000000001</v>
      </c>
      <c r="Y6067">
        <v>-0.35363020000000001</v>
      </c>
      <c r="Z6067">
        <v>1.6462930000000001E-2</v>
      </c>
      <c r="AA6067">
        <v>0.93524039999999997</v>
      </c>
      <c r="AB6067">
        <v>26</v>
      </c>
      <c r="AC6067">
        <v>22.8797</v>
      </c>
      <c r="AD6067">
        <v>-1.0369285800000001</v>
      </c>
      <c r="AE6067">
        <v>-27.068743999999999</v>
      </c>
      <c r="AF6067">
        <v>-12.5731563112014</v>
      </c>
      <c r="AG6067">
        <v>-1.0369285800000001</v>
      </c>
      <c r="AH6067">
        <v>33.105371622214697</v>
      </c>
      <c r="AI6067">
        <v>91.677219854627197</v>
      </c>
      <c r="AJ6067">
        <v>110.796378051028</v>
      </c>
      <c r="AK6067">
        <v>35.427744928951697</v>
      </c>
      <c r="AL6067">
        <v>78.718424908913207</v>
      </c>
      <c r="AM6067">
        <v>100.93897525193699</v>
      </c>
      <c r="AN6067">
        <v>1.0000000376267399</v>
      </c>
    </row>
    <row r="6068" spans="1:40" x14ac:dyDescent="0.25">
      <c r="A6068" t="str">
        <f>"20190304154918734"</f>
        <v>20190304154918734</v>
      </c>
      <c r="B6068" t="str">
        <f>"1551685758723361"</f>
        <v>1551685758723361</v>
      </c>
      <c r="C6068" t="s">
        <v>40</v>
      </c>
      <c r="D6068">
        <v>3.864627</v>
      </c>
      <c r="E6068">
        <v>0.42622389999999999</v>
      </c>
      <c r="F6068" t="s">
        <v>44</v>
      </c>
      <c r="G6068">
        <v>-396.11309999999997</v>
      </c>
      <c r="H6068">
        <v>7.9986479999999999E-2</v>
      </c>
      <c r="I6068">
        <v>5.947279</v>
      </c>
      <c r="J6068">
        <v>-419.202</v>
      </c>
      <c r="K6068">
        <v>1.1169560000000001</v>
      </c>
      <c r="L6068">
        <v>32.959780000000002</v>
      </c>
      <c r="M6068">
        <v>0.33666299999999999</v>
      </c>
      <c r="N6068">
        <v>-1.4496439999999999E-2</v>
      </c>
      <c r="O6068">
        <v>-0.94151370000000001</v>
      </c>
      <c r="P6068">
        <v>0.49820999999999999</v>
      </c>
      <c r="Q6068">
        <v>0.18389810000000001</v>
      </c>
      <c r="R6068">
        <v>-0.84733029999999998</v>
      </c>
      <c r="S6068">
        <v>2.023682</v>
      </c>
      <c r="T6068">
        <v>-9.0679289999999996E-2</v>
      </c>
      <c r="U6068">
        <v>-2.3739319999999999</v>
      </c>
      <c r="V6068">
        <v>-0.18663859999999999</v>
      </c>
      <c r="W6068">
        <v>0.19522629999999999</v>
      </c>
      <c r="X6068">
        <v>0.96283569999999996</v>
      </c>
      <c r="Y6068">
        <v>-0.35443400000000003</v>
      </c>
      <c r="Z6068">
        <v>1.6400120000000001E-2</v>
      </c>
      <c r="AA6068">
        <v>0.93493720000000002</v>
      </c>
      <c r="AB6068">
        <v>26</v>
      </c>
      <c r="AC6068">
        <v>23.088899999999999</v>
      </c>
      <c r="AD6068">
        <v>-1.03696952</v>
      </c>
      <c r="AE6068">
        <v>-27.012501</v>
      </c>
      <c r="AF6068">
        <v>-12.6349745399566</v>
      </c>
      <c r="AG6068">
        <v>-1.03696952</v>
      </c>
      <c r="AH6068">
        <v>33.181049775170202</v>
      </c>
      <c r="AI6068">
        <v>91.672908889348705</v>
      </c>
      <c r="AJ6068">
        <v>110.846276537291</v>
      </c>
      <c r="AK6068">
        <v>35.520415982827203</v>
      </c>
      <c r="AL6068">
        <v>78.742055495852696</v>
      </c>
      <c r="AM6068">
        <v>100.97031163244699</v>
      </c>
      <c r="AN6068">
        <v>0.99999993020806699</v>
      </c>
    </row>
    <row r="6069" spans="1:40" x14ac:dyDescent="0.25">
      <c r="A6069" t="str">
        <f>"20190304154918746"</f>
        <v>20190304154918746</v>
      </c>
      <c r="B6069" t="str">
        <f>"1551685758742881"</f>
        <v>1551685758742881</v>
      </c>
      <c r="C6069" t="s">
        <v>40</v>
      </c>
      <c r="D6069">
        <v>3.9243839999999999</v>
      </c>
      <c r="E6069">
        <v>0.4260197</v>
      </c>
      <c r="F6069" t="s">
        <v>44</v>
      </c>
      <c r="G6069">
        <v>-396.15010000000001</v>
      </c>
      <c r="H6069">
        <v>7.9986479999999999E-2</v>
      </c>
      <c r="I6069">
        <v>6.2149970000000003</v>
      </c>
      <c r="J6069">
        <v>-419.15019999999998</v>
      </c>
      <c r="K6069">
        <v>1.1169899999999999</v>
      </c>
      <c r="L6069">
        <v>32.829279999999997</v>
      </c>
      <c r="M6069">
        <v>0.34098489999999998</v>
      </c>
      <c r="N6069">
        <v>-1.450364E-2</v>
      </c>
      <c r="O6069">
        <v>-0.93995700000000004</v>
      </c>
      <c r="P6069">
        <v>0.50302879999999905</v>
      </c>
      <c r="Q6069">
        <v>0.1839143</v>
      </c>
      <c r="R6069">
        <v>-0.84447490000000003</v>
      </c>
      <c r="S6069">
        <v>2.0366520000000001</v>
      </c>
      <c r="T6069">
        <v>-9.1616749999999997E-2</v>
      </c>
      <c r="U6069">
        <v>-2.3629150000000001</v>
      </c>
      <c r="V6069">
        <v>-0.187722</v>
      </c>
      <c r="W6069">
        <v>0.1952142</v>
      </c>
      <c r="X6069">
        <v>0.96262760000000003</v>
      </c>
      <c r="Y6069">
        <v>-0.35523379999999999</v>
      </c>
      <c r="Z6069">
        <v>1.6712520000000002E-2</v>
      </c>
      <c r="AA6069">
        <v>0.93462809999999996</v>
      </c>
      <c r="AB6069">
        <v>26</v>
      </c>
      <c r="AC6069">
        <v>23.0000999999999</v>
      </c>
      <c r="AD6069">
        <v>-1.0370035199999901</v>
      </c>
      <c r="AE6069">
        <v>-26.614283</v>
      </c>
      <c r="AF6069">
        <v>-12.534460677275201</v>
      </c>
      <c r="AG6069">
        <v>-1.0370035199999901</v>
      </c>
      <c r="AH6069">
        <v>32.833884984439202</v>
      </c>
      <c r="AI6069">
        <v>91.690099712476695</v>
      </c>
      <c r="AJ6069">
        <v>110.89454645314601</v>
      </c>
      <c r="AK6069">
        <v>35.160376618318999</v>
      </c>
      <c r="AL6069">
        <v>78.742763339453404</v>
      </c>
      <c r="AM6069">
        <v>101.034760496838</v>
      </c>
      <c r="AN6069">
        <v>1.0000000147237</v>
      </c>
    </row>
    <row r="6070" spans="1:40" x14ac:dyDescent="0.25">
      <c r="A6070" t="str">
        <f>"20190304154918759"</f>
        <v>20190304154918759</v>
      </c>
      <c r="B6070" t="str">
        <f>"1551685758753618"</f>
        <v>1551685758753618</v>
      </c>
      <c r="C6070" t="s">
        <v>40</v>
      </c>
      <c r="D6070">
        <v>3.92482</v>
      </c>
      <c r="E6070">
        <v>0.4259271</v>
      </c>
      <c r="F6070" t="s">
        <v>44</v>
      </c>
      <c r="G6070">
        <v>-395.84309999999999</v>
      </c>
      <c r="H6070">
        <v>7.9986559999999998E-2</v>
      </c>
      <c r="I6070">
        <v>6.1169929999999999</v>
      </c>
      <c r="J6070">
        <v>-419.09739999999999</v>
      </c>
      <c r="K6070">
        <v>1.11703</v>
      </c>
      <c r="L6070">
        <v>32.698090000000001</v>
      </c>
      <c r="M6070">
        <v>0.34536129999999998</v>
      </c>
      <c r="N6070">
        <v>-1.4510810000000001E-2</v>
      </c>
      <c r="O6070">
        <v>-0.93835760000000001</v>
      </c>
      <c r="P6070">
        <v>0.5073609</v>
      </c>
      <c r="Q6070">
        <v>0.18374850000000001</v>
      </c>
      <c r="R6070">
        <v>-0.84191539999999998</v>
      </c>
      <c r="S6070">
        <v>2.0509949999999999</v>
      </c>
      <c r="T6070">
        <v>-9.1254950000000001E-2</v>
      </c>
      <c r="U6070">
        <v>-2.3506469999999999</v>
      </c>
      <c r="V6070">
        <v>-0.1881862</v>
      </c>
      <c r="W6070">
        <v>0.1950308</v>
      </c>
      <c r="X6070">
        <v>0.96257409999999999</v>
      </c>
      <c r="Y6070">
        <v>-0.35653319999999999</v>
      </c>
      <c r="Z6070">
        <v>1.6611299999999999E-2</v>
      </c>
      <c r="AA6070">
        <v>0.93413500000000005</v>
      </c>
      <c r="AB6070">
        <v>26</v>
      </c>
      <c r="AC6070">
        <v>23.254300000000001</v>
      </c>
      <c r="AD6070">
        <v>-1.0370434399999999</v>
      </c>
      <c r="AE6070">
        <v>-26.5810969999999</v>
      </c>
      <c r="AF6070">
        <v>-12.6312072711728</v>
      </c>
      <c r="AG6070">
        <v>-1.0370434399999999</v>
      </c>
      <c r="AH6070">
        <v>32.948773111278797</v>
      </c>
      <c r="AI6070">
        <v>91.683373304092299</v>
      </c>
      <c r="AJ6070">
        <v>110.974773409251</v>
      </c>
      <c r="AK6070">
        <v>35.302188399054003</v>
      </c>
      <c r="AL6070">
        <v>78.753476906198202</v>
      </c>
      <c r="AM6070">
        <v>101.061974768607</v>
      </c>
      <c r="AN6070">
        <v>0.99999997840494403</v>
      </c>
    </row>
    <row r="6071" spans="1:40" x14ac:dyDescent="0.25">
      <c r="A6071" t="str">
        <f>"20190304154918771"</f>
        <v>20190304154918771</v>
      </c>
      <c r="B6071" t="str">
        <f>"1551685758763377"</f>
        <v>1551685758763377</v>
      </c>
      <c r="C6071" t="s">
        <v>40</v>
      </c>
      <c r="D6071">
        <v>3.9351180000000001</v>
      </c>
      <c r="E6071">
        <v>0.42583389999999999</v>
      </c>
      <c r="F6071" t="s">
        <v>44</v>
      </c>
      <c r="G6071">
        <v>-395.66370000000001</v>
      </c>
      <c r="H6071">
        <v>7.9986600000000005E-2</v>
      </c>
      <c r="I6071">
        <v>6.1339769999999998</v>
      </c>
      <c r="J6071">
        <v>-419.04500000000002</v>
      </c>
      <c r="K6071">
        <v>1.117065</v>
      </c>
      <c r="L6071">
        <v>32.569090000000003</v>
      </c>
      <c r="M6071">
        <v>0.34968549999999998</v>
      </c>
      <c r="N6071">
        <v>-1.451771E-2</v>
      </c>
      <c r="O6071">
        <v>-0.93675459999999999</v>
      </c>
      <c r="P6071">
        <v>0.51142759999999998</v>
      </c>
      <c r="Q6071">
        <v>0.1830842</v>
      </c>
      <c r="R6071">
        <v>-0.83959629999999996</v>
      </c>
      <c r="S6071">
        <v>2.063812</v>
      </c>
      <c r="T6071">
        <v>-9.1332670000000005E-2</v>
      </c>
      <c r="U6071">
        <v>-2.3395079999999999</v>
      </c>
      <c r="V6071">
        <v>-0.1883601</v>
      </c>
      <c r="W6071">
        <v>0.1943559</v>
      </c>
      <c r="X6071">
        <v>0.96267659999999999</v>
      </c>
      <c r="Y6071">
        <v>-0.35730800000000001</v>
      </c>
      <c r="Z6071">
        <v>1.6647309999999998E-2</v>
      </c>
      <c r="AA6071">
        <v>0.93383819999999995</v>
      </c>
      <c r="AB6071">
        <v>26</v>
      </c>
      <c r="AC6071">
        <v>23.3813</v>
      </c>
      <c r="AD6071">
        <v>-1.0370784</v>
      </c>
      <c r="AE6071">
        <v>-26.435113000000001</v>
      </c>
      <c r="AF6071">
        <v>-12.648976673741901</v>
      </c>
      <c r="AG6071">
        <v>-1.0370784</v>
      </c>
      <c r="AH6071">
        <v>32.914366133548803</v>
      </c>
      <c r="AI6071">
        <v>91.684658879358807</v>
      </c>
      <c r="AJ6071">
        <v>111.02174620437199</v>
      </c>
      <c r="AK6071">
        <v>35.276445972828903</v>
      </c>
      <c r="AL6071">
        <v>78.792900355702201</v>
      </c>
      <c r="AM6071">
        <v>101.070794746771</v>
      </c>
      <c r="AN6071">
        <v>0.99999998966218995</v>
      </c>
    </row>
    <row r="6072" spans="1:40" x14ac:dyDescent="0.25">
      <c r="A6072" t="str">
        <f>"20190304154918784"</f>
        <v>20190304154918784</v>
      </c>
      <c r="B6072" t="str">
        <f>"1551685758773138"</f>
        <v>1551685758773138</v>
      </c>
      <c r="C6072" t="s">
        <v>40</v>
      </c>
      <c r="D6072">
        <v>3.926291</v>
      </c>
      <c r="E6072">
        <v>0.4257666</v>
      </c>
      <c r="F6072" t="s">
        <v>44</v>
      </c>
      <c r="G6072">
        <v>-395.92110000000002</v>
      </c>
      <c r="H6072">
        <v>7.9986520000000005E-2</v>
      </c>
      <c r="I6072">
        <v>6.6190610000000003</v>
      </c>
      <c r="J6072">
        <v>-418.9873</v>
      </c>
      <c r="K6072">
        <v>1.117105</v>
      </c>
      <c r="L6072">
        <v>32.430149999999998</v>
      </c>
      <c r="M6072">
        <v>0.3544062</v>
      </c>
      <c r="N6072">
        <v>-1.4525400000000001E-2</v>
      </c>
      <c r="O6072">
        <v>-0.93497889999999995</v>
      </c>
      <c r="P6072">
        <v>0.51603659999999996</v>
      </c>
      <c r="Q6072">
        <v>0.1824122</v>
      </c>
      <c r="R6072">
        <v>-0.83691849999999901</v>
      </c>
      <c r="S6072">
        <v>2.0755309999999998</v>
      </c>
      <c r="T6072">
        <v>-9.3084929999999996E-2</v>
      </c>
      <c r="U6072">
        <v>-2.3291930000000001</v>
      </c>
      <c r="V6072">
        <v>-0.18875539999999999</v>
      </c>
      <c r="W6072">
        <v>0.19366829999999999</v>
      </c>
      <c r="X6072">
        <v>0.96273770000000003</v>
      </c>
      <c r="Y6072">
        <v>-0.35726219999999997</v>
      </c>
      <c r="Z6072">
        <v>1.7213160000000002E-2</v>
      </c>
      <c r="AA6072">
        <v>0.9338455</v>
      </c>
      <c r="AB6072">
        <v>26</v>
      </c>
      <c r="AC6072">
        <v>23.066199999999899</v>
      </c>
      <c r="AD6072">
        <v>-1.03711848</v>
      </c>
      <c r="AE6072">
        <v>-25.811088999999999</v>
      </c>
      <c r="AF6072">
        <v>-12.4089700127538</v>
      </c>
      <c r="AG6072">
        <v>-1.03711848</v>
      </c>
      <c r="AH6072">
        <v>32.282054219730099</v>
      </c>
      <c r="AI6072">
        <v>91.717649976669406</v>
      </c>
      <c r="AJ6072">
        <v>111.026370798381</v>
      </c>
      <c r="AK6072">
        <v>34.600421618306598</v>
      </c>
      <c r="AL6072">
        <v>78.833059500434501</v>
      </c>
      <c r="AM6072">
        <v>101.092766043767</v>
      </c>
      <c r="AN6072">
        <v>0.999999945227668</v>
      </c>
    </row>
    <row r="6073" spans="1:40" x14ac:dyDescent="0.25">
      <c r="A6073" t="str">
        <f>"20190304154918798"</f>
        <v>20190304154918798</v>
      </c>
      <c r="B6073" t="str">
        <f>"1551685758793633"</f>
        <v>1551685758793633</v>
      </c>
      <c r="C6073" t="s">
        <v>40</v>
      </c>
      <c r="D6073">
        <v>3.9001359999999998</v>
      </c>
      <c r="E6073">
        <v>0.42560340000000002</v>
      </c>
      <c r="F6073" t="s">
        <v>44</v>
      </c>
      <c r="G6073">
        <v>-396.20659999999998</v>
      </c>
      <c r="H6073">
        <v>7.9986420000000003E-2</v>
      </c>
      <c r="I6073">
        <v>7.1512119999999904</v>
      </c>
      <c r="J6073">
        <v>-418.92399999999998</v>
      </c>
      <c r="K6073">
        <v>1.117143</v>
      </c>
      <c r="L6073">
        <v>32.279240000000001</v>
      </c>
      <c r="M6073">
        <v>0.35956680000000002</v>
      </c>
      <c r="N6073">
        <v>-1.453372E-2</v>
      </c>
      <c r="O6073">
        <v>-0.93300629999999996</v>
      </c>
      <c r="P6073">
        <v>0.52116179999999901</v>
      </c>
      <c r="Q6073">
        <v>0.1819018</v>
      </c>
      <c r="R6073">
        <v>-0.83384789999999998</v>
      </c>
      <c r="S6073">
        <v>2.0885310000000001</v>
      </c>
      <c r="T6073">
        <v>-9.5082760000000002E-2</v>
      </c>
      <c r="U6073">
        <v>-2.3175659999999998</v>
      </c>
      <c r="V6073">
        <v>-0.18931770000000001</v>
      </c>
      <c r="W6073">
        <v>0.1931378</v>
      </c>
      <c r="X6073">
        <v>0.96273390000000003</v>
      </c>
      <c r="Y6073">
        <v>-0.35731289999999999</v>
      </c>
      <c r="Z6073">
        <v>1.785782E-2</v>
      </c>
      <c r="AA6073">
        <v>0.93381400000000003</v>
      </c>
      <c r="AB6073">
        <v>26</v>
      </c>
      <c r="AC6073">
        <v>22.717400000000001</v>
      </c>
      <c r="AD6073">
        <v>-1.03715658</v>
      </c>
      <c r="AE6073">
        <v>-25.128028</v>
      </c>
      <c r="AF6073">
        <v>-12.1501656995191</v>
      </c>
      <c r="AG6073">
        <v>-1.03715658</v>
      </c>
      <c r="AH6073">
        <v>31.586756104913299</v>
      </c>
      <c r="AI6073">
        <v>91.755343045749697</v>
      </c>
      <c r="AJ6073">
        <v>111.039744321203</v>
      </c>
      <c r="AK6073">
        <v>33.858904021372098</v>
      </c>
      <c r="AL6073">
        <v>78.864040253385994</v>
      </c>
      <c r="AM6073">
        <v>101.125030928157</v>
      </c>
      <c r="AN6073">
        <v>0.99999998176566995</v>
      </c>
    </row>
    <row r="6074" spans="1:40" x14ac:dyDescent="0.25">
      <c r="A6074" t="str">
        <f>"20190304154918813"</f>
        <v>20190304154918813</v>
      </c>
      <c r="B6074" t="str">
        <f>"1551685758803252"</f>
        <v>1551685758803252</v>
      </c>
      <c r="C6074" t="s">
        <v>40</v>
      </c>
      <c r="D6074">
        <v>3.9236900000000001</v>
      </c>
      <c r="E6074">
        <v>0.42555310000000002</v>
      </c>
      <c r="F6074" t="s">
        <v>44</v>
      </c>
      <c r="G6074">
        <v>-396.20960000000002</v>
      </c>
      <c r="H6074">
        <v>7.9986409999999994E-2</v>
      </c>
      <c r="I6074">
        <v>7.406142</v>
      </c>
      <c r="J6074">
        <v>-418.85669999999999</v>
      </c>
      <c r="K6074">
        <v>1.1171869999999999</v>
      </c>
      <c r="L6074">
        <v>32.121490000000001</v>
      </c>
      <c r="M6074">
        <v>0.36500680000000002</v>
      </c>
      <c r="N6074">
        <v>-1.454249E-2</v>
      </c>
      <c r="O6074">
        <v>-0.93089160000000004</v>
      </c>
      <c r="P6074">
        <v>0.52622780000000002</v>
      </c>
      <c r="Q6074">
        <v>0.18174390000000001</v>
      </c>
      <c r="R6074">
        <v>-0.83069490000000001</v>
      </c>
      <c r="S6074">
        <v>2.1038510000000001</v>
      </c>
      <c r="T6074">
        <v>-9.6063850000000006E-2</v>
      </c>
      <c r="U6074">
        <v>-2.3038020000000001</v>
      </c>
      <c r="V6074">
        <v>-0.18956619999999999</v>
      </c>
      <c r="W6074">
        <v>0.1929633</v>
      </c>
      <c r="X6074">
        <v>0.96272000000000002</v>
      </c>
      <c r="Y6074">
        <v>-0.35802030000000001</v>
      </c>
      <c r="Z6074">
        <v>1.8180979999999999E-2</v>
      </c>
      <c r="AA6074">
        <v>0.93353680000000006</v>
      </c>
      <c r="AB6074">
        <v>26</v>
      </c>
      <c r="AC6074">
        <v>22.647099999999899</v>
      </c>
      <c r="AD6074">
        <v>-1.0372005900000001</v>
      </c>
      <c r="AE6074">
        <v>-24.715347999999999</v>
      </c>
      <c r="AF6074">
        <v>-12.050460644676701</v>
      </c>
      <c r="AG6074">
        <v>-1.0372005900000001</v>
      </c>
      <c r="AH6074">
        <v>31.247039523550502</v>
      </c>
      <c r="AI6074">
        <v>91.773900757347207</v>
      </c>
      <c r="AJ6074">
        <v>111.089196766867</v>
      </c>
      <c r="AK6074">
        <v>33.506221299918799</v>
      </c>
      <c r="AL6074">
        <v>78.874230129269193</v>
      </c>
      <c r="AM6074">
        <v>101.13942557723099</v>
      </c>
      <c r="AN6074">
        <v>0.99999998886466401</v>
      </c>
    </row>
    <row r="6075" spans="1:40" x14ac:dyDescent="0.25">
      <c r="A6075" t="str">
        <f>"20190304154918828"</f>
        <v>20190304154918828</v>
      </c>
      <c r="B6075" t="str">
        <f>"1551685758823748"</f>
        <v>1551685758823748</v>
      </c>
      <c r="C6075" t="s">
        <v>40</v>
      </c>
      <c r="D6075">
        <v>3.9176350000000002</v>
      </c>
      <c r="E6075">
        <v>0.42543330000000001</v>
      </c>
      <c r="F6075" t="s">
        <v>44</v>
      </c>
      <c r="G6075">
        <v>-396.01749999999998</v>
      </c>
      <c r="H6075">
        <v>7.9986459999999995E-2</v>
      </c>
      <c r="I6075">
        <v>7.4266629999999996</v>
      </c>
      <c r="J6075">
        <v>-418.78429999999997</v>
      </c>
      <c r="K6075">
        <v>1.117238</v>
      </c>
      <c r="L6075">
        <v>31.955200000000001</v>
      </c>
      <c r="M6075">
        <v>0.37081419999999998</v>
      </c>
      <c r="N6075">
        <v>-1.455233E-2</v>
      </c>
      <c r="O6075">
        <v>-0.92859329999999995</v>
      </c>
      <c r="P6075">
        <v>0.53206769999999903</v>
      </c>
      <c r="Q6075">
        <v>0.18133270000000001</v>
      </c>
      <c r="R6075">
        <v>-0.82705659999999903</v>
      </c>
      <c r="S6075">
        <v>2.1184080000000001</v>
      </c>
      <c r="T6075">
        <v>-9.6203800000000006E-2</v>
      </c>
      <c r="U6075">
        <v>-2.290527</v>
      </c>
      <c r="V6075">
        <v>-0.1903224</v>
      </c>
      <c r="W6075">
        <v>0.19252630000000001</v>
      </c>
      <c r="X6075">
        <v>0.96265829999999997</v>
      </c>
      <c r="Y6075">
        <v>-0.35808230000000002</v>
      </c>
      <c r="Z6075">
        <v>1.8228479999999998E-2</v>
      </c>
      <c r="AA6075">
        <v>0.93351209999999996</v>
      </c>
      <c r="AB6075">
        <v>26</v>
      </c>
      <c r="AC6075">
        <v>22.7667999999999</v>
      </c>
      <c r="AD6075">
        <v>-1.03725154</v>
      </c>
      <c r="AE6075">
        <v>-24.528537</v>
      </c>
      <c r="AF6075">
        <v>-12.035279471969901</v>
      </c>
      <c r="AG6075">
        <v>-1.03725154</v>
      </c>
      <c r="AH6075">
        <v>31.192622088763802</v>
      </c>
      <c r="AI6075">
        <v>91.776969714218197</v>
      </c>
      <c r="AJ6075">
        <v>111.098478467951</v>
      </c>
      <c r="AK6075">
        <v>33.450015179340198</v>
      </c>
      <c r="AL6075">
        <v>78.899746946892506</v>
      </c>
      <c r="AM6075">
        <v>101.18344283</v>
      </c>
      <c r="AN6075">
        <v>0.99999999734616896</v>
      </c>
    </row>
    <row r="6076" spans="1:40" x14ac:dyDescent="0.25">
      <c r="A6076" t="str">
        <f>"20190304154918842"</f>
        <v>20190304154918842</v>
      </c>
      <c r="B6076" t="str">
        <f>"1551685758833508"</f>
        <v>1551685758833508</v>
      </c>
      <c r="C6076" t="s">
        <v>40</v>
      </c>
      <c r="D6076">
        <v>3.8742860000000001</v>
      </c>
      <c r="E6076">
        <v>0.42535699999999999</v>
      </c>
      <c r="F6076" t="s">
        <v>44</v>
      </c>
      <c r="G6076">
        <v>-395.9735</v>
      </c>
      <c r="H6076">
        <v>7.9986450000000001E-2</v>
      </c>
      <c r="I6076">
        <v>7.6484969999999999</v>
      </c>
      <c r="J6076">
        <v>-418.72070000000002</v>
      </c>
      <c r="K6076">
        <v>1.1172799999999901</v>
      </c>
      <c r="L6076">
        <v>31.81165</v>
      </c>
      <c r="M6076">
        <v>0.37588110000000002</v>
      </c>
      <c r="N6076">
        <v>-1.4561030000000001E-2</v>
      </c>
      <c r="O6076">
        <v>-0.92655359999999998</v>
      </c>
      <c r="P6076">
        <v>0.53679379999999999</v>
      </c>
      <c r="Q6076">
        <v>0.18127370000000001</v>
      </c>
      <c r="R6076">
        <v>-0.82401029999999997</v>
      </c>
      <c r="S6076">
        <v>2.13504</v>
      </c>
      <c r="T6076">
        <v>-9.7084519999999994E-2</v>
      </c>
      <c r="U6076">
        <v>-2.275055</v>
      </c>
      <c r="V6076">
        <v>-0.1905896</v>
      </c>
      <c r="W6076">
        <v>0.19245139999999999</v>
      </c>
      <c r="X6076">
        <v>0.96262040000000004</v>
      </c>
      <c r="Y6076">
        <v>-0.35977310000000001</v>
      </c>
      <c r="Z6076">
        <v>1.8527289999999998E-2</v>
      </c>
      <c r="AA6076">
        <v>0.93285580000000001</v>
      </c>
      <c r="AB6076">
        <v>26</v>
      </c>
      <c r="AC6076">
        <v>22.747199999999999</v>
      </c>
      <c r="AD6076">
        <v>-1.03729354999999</v>
      </c>
      <c r="AE6076">
        <v>-24.163153000000001</v>
      </c>
      <c r="AF6076">
        <v>-11.9835899140568</v>
      </c>
      <c r="AG6076">
        <v>-1.03729354999999</v>
      </c>
      <c r="AH6076">
        <v>30.911775059450299</v>
      </c>
      <c r="AI6076">
        <v>91.792071393045404</v>
      </c>
      <c r="AJ6076">
        <v>111.189853249001</v>
      </c>
      <c r="AK6076">
        <v>33.169568017434401</v>
      </c>
      <c r="AL6076">
        <v>78.904120053615799</v>
      </c>
      <c r="AM6076">
        <v>101.199176845618</v>
      </c>
      <c r="AN6076">
        <v>0.99999998574313997</v>
      </c>
    </row>
    <row r="6077" spans="1:40" x14ac:dyDescent="0.25">
      <c r="A6077" t="str">
        <f>"20190304154918854"</f>
        <v>20190304154918854</v>
      </c>
      <c r="B6077" t="str">
        <f>"1551685758843268"</f>
        <v>1551685758843268</v>
      </c>
      <c r="C6077" t="s">
        <v>40</v>
      </c>
      <c r="D6077">
        <v>3.8688400000000001</v>
      </c>
      <c r="E6077">
        <v>0.425284</v>
      </c>
      <c r="F6077" t="s">
        <v>44</v>
      </c>
      <c r="G6077">
        <v>-395.71929999999998</v>
      </c>
      <c r="H6077">
        <v>7.9986509999999997E-2</v>
      </c>
      <c r="I6077">
        <v>7.5960169999999998</v>
      </c>
      <c r="J6077">
        <v>-418.6644</v>
      </c>
      <c r="K6077">
        <v>1.117318</v>
      </c>
      <c r="L6077">
        <v>31.686039999999998</v>
      </c>
      <c r="M6077">
        <v>0.38034030000000002</v>
      </c>
      <c r="N6077">
        <v>-1.456853E-2</v>
      </c>
      <c r="O6077">
        <v>-0.924732</v>
      </c>
      <c r="P6077">
        <v>0.54085629999999996</v>
      </c>
      <c r="Q6077">
        <v>0.1810127</v>
      </c>
      <c r="R6077">
        <v>-0.821407</v>
      </c>
      <c r="S6077">
        <v>2.1488040000000002</v>
      </c>
      <c r="T6077">
        <v>-9.6904519999999994E-2</v>
      </c>
      <c r="U6077">
        <v>-2.262238</v>
      </c>
      <c r="V6077">
        <v>-0.19069820000000001</v>
      </c>
      <c r="W6077">
        <v>0.19217999999999999</v>
      </c>
      <c r="X6077">
        <v>0.96265319999999999</v>
      </c>
      <c r="Y6077">
        <v>-0.36090159999999999</v>
      </c>
      <c r="Z6077">
        <v>1.8480880000000002E-2</v>
      </c>
      <c r="AA6077">
        <v>0.93242080000000005</v>
      </c>
      <c r="AB6077">
        <v>26</v>
      </c>
      <c r="AC6077">
        <v>22.9451</v>
      </c>
      <c r="AD6077">
        <v>-1.0373314899999999</v>
      </c>
      <c r="AE6077">
        <v>-24.090022999999999</v>
      </c>
      <c r="AF6077">
        <v>-12.045229068719401</v>
      </c>
      <c r="AG6077">
        <v>-1.0373314899999999</v>
      </c>
      <c r="AH6077">
        <v>30.9769317397819</v>
      </c>
      <c r="AI6077">
        <v>91.787661746162001</v>
      </c>
      <c r="AJ6077">
        <v>111.248327670431</v>
      </c>
      <c r="AK6077">
        <v>33.252577342954503</v>
      </c>
      <c r="AL6077">
        <v>78.9199668633009</v>
      </c>
      <c r="AM6077">
        <v>101.205024688226</v>
      </c>
      <c r="AN6077">
        <v>1.0000000696767299</v>
      </c>
    </row>
    <row r="6078" spans="1:40" x14ac:dyDescent="0.25">
      <c r="A6078" t="str">
        <f>"20190304154918866"</f>
        <v>20190304154918866</v>
      </c>
      <c r="B6078" t="str">
        <f>"1551685758863764"</f>
        <v>1551685758863764</v>
      </c>
      <c r="C6078" t="s">
        <v>40</v>
      </c>
      <c r="D6078">
        <v>3.8915799999999998</v>
      </c>
      <c r="E6078">
        <v>0.42512179999999999</v>
      </c>
      <c r="F6078" t="s">
        <v>44</v>
      </c>
      <c r="G6078">
        <v>-395.63409999999999</v>
      </c>
      <c r="H6078">
        <v>7.9986539999999995E-2</v>
      </c>
      <c r="I6078">
        <v>7.6925330000000001</v>
      </c>
      <c r="J6078">
        <v>-418.6078</v>
      </c>
      <c r="K6078">
        <v>1.117361</v>
      </c>
      <c r="L6078">
        <v>31.56155</v>
      </c>
      <c r="M6078">
        <v>0.38480550000000002</v>
      </c>
      <c r="N6078">
        <v>-1.4576E-2</v>
      </c>
      <c r="O6078">
        <v>-0.92288269999999994</v>
      </c>
      <c r="P6078">
        <v>0.5449986</v>
      </c>
      <c r="Q6078">
        <v>0.18107139999999999</v>
      </c>
      <c r="R6078">
        <v>-0.81865159999999904</v>
      </c>
      <c r="S6078">
        <v>2.1606450000000001</v>
      </c>
      <c r="T6078">
        <v>-9.7319719999999998E-2</v>
      </c>
      <c r="U6078">
        <v>-2.251007</v>
      </c>
      <c r="V6078">
        <v>-0.1909325</v>
      </c>
      <c r="W6078">
        <v>0.19222349999999999</v>
      </c>
      <c r="X6078">
        <v>0.96259799999999995</v>
      </c>
      <c r="Y6078">
        <v>-0.3612686</v>
      </c>
      <c r="Z6078">
        <v>1.8617390000000001E-2</v>
      </c>
      <c r="AA6078">
        <v>0.93227590000000005</v>
      </c>
      <c r="AB6078">
        <v>26</v>
      </c>
      <c r="AC6078">
        <v>22.973700000000001</v>
      </c>
      <c r="AD6078">
        <v>-1.0373744600000001</v>
      </c>
      <c r="AE6078">
        <v>-23.869016999999999</v>
      </c>
      <c r="AF6078">
        <v>-12.0066040111485</v>
      </c>
      <c r="AG6078">
        <v>-1.0373744600000001</v>
      </c>
      <c r="AH6078">
        <v>30.841744345005502</v>
      </c>
      <c r="AI6078">
        <v>91.795292661325902</v>
      </c>
      <c r="AJ6078">
        <v>111.270822796521</v>
      </c>
      <c r="AK6078">
        <v>33.112654377042404</v>
      </c>
      <c r="AL6078">
        <v>78.917426380619702</v>
      </c>
      <c r="AM6078">
        <v>101.219069700432</v>
      </c>
      <c r="AN6078">
        <v>1.00000000155624</v>
      </c>
    </row>
    <row r="6079" spans="1:40" x14ac:dyDescent="0.25">
      <c r="A6079" t="str">
        <f>"20190304154918882"</f>
        <v>20190304154918882</v>
      </c>
      <c r="B6079" t="str">
        <f>"1551685758873524"</f>
        <v>1551685758873524</v>
      </c>
      <c r="C6079" t="s">
        <v>40</v>
      </c>
      <c r="D6079">
        <v>3.903314</v>
      </c>
      <c r="E6079">
        <v>0.4250468</v>
      </c>
      <c r="F6079" t="s">
        <v>44</v>
      </c>
      <c r="G6079">
        <v>-395.21780000000001</v>
      </c>
      <c r="H6079">
        <v>7.9986650000000006E-2</v>
      </c>
      <c r="I6079">
        <v>7.4667759999999896</v>
      </c>
      <c r="J6079">
        <v>-418.53699999999998</v>
      </c>
      <c r="K6079">
        <v>1.1174090000000001</v>
      </c>
      <c r="L6079">
        <v>31.408390000000001</v>
      </c>
      <c r="M6079">
        <v>0.39035229999999999</v>
      </c>
      <c r="N6079">
        <v>-1.4585529999999999E-2</v>
      </c>
      <c r="O6079">
        <v>-0.92055010000000004</v>
      </c>
      <c r="P6079">
        <v>0.54962860000000002</v>
      </c>
      <c r="Q6079">
        <v>0.18097969999999999</v>
      </c>
      <c r="R6079">
        <v>-0.81557049999999998</v>
      </c>
      <c r="S6079">
        <v>2.1734619999999998</v>
      </c>
      <c r="T6079">
        <v>-9.6395610000000007E-2</v>
      </c>
      <c r="U6079">
        <v>-2.238953</v>
      </c>
      <c r="V6079">
        <v>-0.1906062</v>
      </c>
      <c r="W6079">
        <v>0.1921252</v>
      </c>
      <c r="X6079">
        <v>0.96268229999999999</v>
      </c>
      <c r="Y6079">
        <v>-0.36091879999999998</v>
      </c>
      <c r="Z6079">
        <v>1.831837E-2</v>
      </c>
      <c r="AA6079">
        <v>0.9324173</v>
      </c>
      <c r="AB6079">
        <v>26</v>
      </c>
      <c r="AC6079">
        <v>23.319199999999899</v>
      </c>
      <c r="AD6079">
        <v>-1.0374223499999999</v>
      </c>
      <c r="AE6079">
        <v>-23.941614000000001</v>
      </c>
      <c r="AF6079">
        <v>-12.110447689733199</v>
      </c>
      <c r="AG6079">
        <v>-1.0374223499999999</v>
      </c>
      <c r="AH6079">
        <v>31.115488796315301</v>
      </c>
      <c r="AI6079">
        <v>91.779643164917204</v>
      </c>
      <c r="AJ6079">
        <v>111.266466430958</v>
      </c>
      <c r="AK6079">
        <v>33.405281489783398</v>
      </c>
      <c r="AL6079">
        <v>78.923165661088703</v>
      </c>
      <c r="AM6079">
        <v>101.19942565644099</v>
      </c>
      <c r="AN6079">
        <v>1.00000001334338</v>
      </c>
    </row>
    <row r="6080" spans="1:40" x14ac:dyDescent="0.25">
      <c r="A6080" t="str">
        <f>"20190304154918896"</f>
        <v>20190304154918896</v>
      </c>
      <c r="B6080" t="str">
        <f>"1551685758893044"</f>
        <v>1551685758893044</v>
      </c>
      <c r="C6080" t="s">
        <v>40</v>
      </c>
      <c r="D6080">
        <v>3.8882029999999999</v>
      </c>
      <c r="E6080">
        <v>0.42487439999999999</v>
      </c>
      <c r="F6080" t="s">
        <v>44</v>
      </c>
      <c r="G6080">
        <v>-394.84019999999998</v>
      </c>
      <c r="H6080">
        <v>7.9985280000000006E-2</v>
      </c>
      <c r="I6080">
        <v>7.2927220000000004</v>
      </c>
      <c r="J6080">
        <v>-418.46589999999998</v>
      </c>
      <c r="K6080">
        <v>1.1174580000000001</v>
      </c>
      <c r="L6080">
        <v>31.256959999999999</v>
      </c>
      <c r="M6080">
        <v>0.3958873</v>
      </c>
      <c r="N6080">
        <v>-1.4595199999999999E-2</v>
      </c>
      <c r="O6080">
        <v>-0.91818330000000004</v>
      </c>
      <c r="P6080">
        <v>0.55442809999999998</v>
      </c>
      <c r="Q6080">
        <v>0.18110390000000001</v>
      </c>
      <c r="R6080">
        <v>-0.81228750000000005</v>
      </c>
      <c r="S6080">
        <v>2.1870729999999998</v>
      </c>
      <c r="T6080">
        <v>-9.5748310000000003E-2</v>
      </c>
      <c r="U6080">
        <v>-2.2257389999999999</v>
      </c>
      <c r="V6080">
        <v>-0.19052250000000001</v>
      </c>
      <c r="W6080">
        <v>0.19223799999999999</v>
      </c>
      <c r="X6080">
        <v>0.96267630000000004</v>
      </c>
      <c r="Y6080">
        <v>-0.36097600000000002</v>
      </c>
      <c r="Z6080">
        <v>1.811304E-2</v>
      </c>
      <c r="AA6080">
        <v>0.93239919999999998</v>
      </c>
      <c r="AB6080">
        <v>26</v>
      </c>
      <c r="AC6080">
        <v>23.625699999999899</v>
      </c>
      <c r="AD6080">
        <v>-1.03747272</v>
      </c>
      <c r="AE6080">
        <v>-23.964238000000002</v>
      </c>
      <c r="AF6080">
        <v>-12.1952927555317</v>
      </c>
      <c r="AG6080">
        <v>-1.03747272</v>
      </c>
      <c r="AH6080">
        <v>31.330234660880699</v>
      </c>
      <c r="AI6080">
        <v>91.767514448752394</v>
      </c>
      <c r="AJ6080">
        <v>111.268473724027</v>
      </c>
      <c r="AK6080">
        <v>33.636068720106401</v>
      </c>
      <c r="AL6080">
        <v>78.916579393938406</v>
      </c>
      <c r="AM6080">
        <v>101.19469994988999</v>
      </c>
      <c r="AN6080">
        <v>0.999999965115969</v>
      </c>
    </row>
    <row r="6081" spans="1:40" x14ac:dyDescent="0.25">
      <c r="A6081" t="str">
        <f>"20190304154918911"</f>
        <v>20190304154918911</v>
      </c>
      <c r="B6081" t="str">
        <f>"1551685758903781"</f>
        <v>1551685758903781</v>
      </c>
      <c r="C6081" t="s">
        <v>40</v>
      </c>
      <c r="D6081">
        <v>3.898803</v>
      </c>
      <c r="E6081">
        <v>0.42480240000000002</v>
      </c>
      <c r="F6081" t="s">
        <v>44</v>
      </c>
      <c r="G6081">
        <v>-394.26940000000002</v>
      </c>
      <c r="H6081">
        <v>7.998545E-2</v>
      </c>
      <c r="I6081">
        <v>6.9578350000000002</v>
      </c>
      <c r="J6081">
        <v>-418.39240000000001</v>
      </c>
      <c r="K6081">
        <v>1.1175120000000001</v>
      </c>
      <c r="L6081">
        <v>31.102599999999999</v>
      </c>
      <c r="M6081">
        <v>0.40157860000000001</v>
      </c>
      <c r="N6081">
        <v>-1.4605369999999999E-2</v>
      </c>
      <c r="O6081">
        <v>-0.91570819999999997</v>
      </c>
      <c r="P6081">
        <v>0.55906119999999904</v>
      </c>
      <c r="Q6081">
        <v>0.18148839999999999</v>
      </c>
      <c r="R6081">
        <v>-0.80901999999999996</v>
      </c>
      <c r="S6081">
        <v>2.2019959999999998</v>
      </c>
      <c r="T6081">
        <v>-9.4414830000000005E-2</v>
      </c>
      <c r="U6081">
        <v>-2.2113339999999999</v>
      </c>
      <c r="V6081">
        <v>-0.1901129</v>
      </c>
      <c r="W6081">
        <v>0.1926147</v>
      </c>
      <c r="X6081">
        <v>0.96268200000000004</v>
      </c>
      <c r="Y6081">
        <v>-0.36139090000000001</v>
      </c>
      <c r="Z6081">
        <v>1.7691539999999999E-2</v>
      </c>
      <c r="AA6081">
        <v>0.93224660000000004</v>
      </c>
      <c r="AB6081">
        <v>26</v>
      </c>
      <c r="AC6081">
        <v>24.122999999999902</v>
      </c>
      <c r="AD6081">
        <v>-1.0375265499999999</v>
      </c>
      <c r="AE6081">
        <v>-24.144765</v>
      </c>
      <c r="AF6081">
        <v>-12.383485412501001</v>
      </c>
      <c r="AG6081">
        <v>-1.0375265499999999</v>
      </c>
      <c r="AH6081">
        <v>31.770869563585801</v>
      </c>
      <c r="AI6081">
        <v>91.742796936226895</v>
      </c>
      <c r="AJ6081">
        <v>111.294584901956</v>
      </c>
      <c r="AK6081">
        <v>34.114737652955299</v>
      </c>
      <c r="AL6081">
        <v>78.894585255977404</v>
      </c>
      <c r="AM6081">
        <v>101.17117419014799</v>
      </c>
      <c r="AN6081">
        <v>0.99999998526324896</v>
      </c>
    </row>
    <row r="6082" spans="1:40" x14ac:dyDescent="0.25">
      <c r="A6082" t="str">
        <f>"20190304154918926"</f>
        <v>20190304154918926</v>
      </c>
      <c r="B6082" t="str">
        <f>"1551685758913540"</f>
        <v>1551685758913540</v>
      </c>
      <c r="C6082" t="s">
        <v>40</v>
      </c>
      <c r="D6082">
        <v>3.8842599999999998</v>
      </c>
      <c r="E6082">
        <v>0.42471890000000001</v>
      </c>
      <c r="F6082" t="s">
        <v>44</v>
      </c>
      <c r="G6082">
        <v>-393.58969999999999</v>
      </c>
      <c r="H6082">
        <v>7.9985630000000002E-2</v>
      </c>
      <c r="I6082">
        <v>6.498672</v>
      </c>
      <c r="J6082">
        <v>-418.32240000000002</v>
      </c>
      <c r="K6082">
        <v>1.1175660000000001</v>
      </c>
      <c r="L6082">
        <v>30.958739999999999</v>
      </c>
      <c r="M6082">
        <v>0.40696310000000002</v>
      </c>
      <c r="N6082">
        <v>-1.461553E-2</v>
      </c>
      <c r="O6082">
        <v>-0.91332760000000002</v>
      </c>
      <c r="P6082">
        <v>0.56352619999999998</v>
      </c>
      <c r="Q6082">
        <v>0.18207809999999999</v>
      </c>
      <c r="R6082">
        <v>-0.80578269999999996</v>
      </c>
      <c r="S6082">
        <v>2.2156370000000001</v>
      </c>
      <c r="T6082">
        <v>-9.2682479999999998E-2</v>
      </c>
      <c r="U6082">
        <v>-2.1978759999999999</v>
      </c>
      <c r="V6082">
        <v>-0.18985350000000001</v>
      </c>
      <c r="W6082">
        <v>0.1931958</v>
      </c>
      <c r="X6082">
        <v>0.96261669999999999</v>
      </c>
      <c r="Y6082">
        <v>-0.3616336</v>
      </c>
      <c r="Z6082">
        <v>1.7143229999999999E-2</v>
      </c>
      <c r="AA6082">
        <v>0.93216270000000001</v>
      </c>
      <c r="AB6082">
        <v>26</v>
      </c>
      <c r="AC6082">
        <v>24.732700000000001</v>
      </c>
      <c r="AD6082">
        <v>-1.0375803699999999</v>
      </c>
      <c r="AE6082">
        <v>-24.460068</v>
      </c>
      <c r="AF6082">
        <v>-12.6248301855367</v>
      </c>
      <c r="AG6082">
        <v>-1.0375803699999999</v>
      </c>
      <c r="AH6082">
        <v>32.3800056016265</v>
      </c>
      <c r="AI6082">
        <v>91.710049565960503</v>
      </c>
      <c r="AJ6082">
        <v>111.300604470148</v>
      </c>
      <c r="AK6082">
        <v>34.769637228467197</v>
      </c>
      <c r="AL6082">
        <v>78.860652835375703</v>
      </c>
      <c r="AM6082">
        <v>101.157052075023</v>
      </c>
      <c r="AN6082">
        <v>0.99999993985938795</v>
      </c>
    </row>
    <row r="6083" spans="1:40" x14ac:dyDescent="0.25">
      <c r="A6083" t="str">
        <f>"20190304154918938"</f>
        <v>20190304154918938</v>
      </c>
      <c r="B6083" t="str">
        <f>"1551685758933060"</f>
        <v>1551685758933060</v>
      </c>
      <c r="C6083" t="s">
        <v>40</v>
      </c>
      <c r="D6083">
        <v>3.8858700000000002</v>
      </c>
      <c r="E6083">
        <v>0.42458289999999999</v>
      </c>
      <c r="F6083" t="s">
        <v>44</v>
      </c>
      <c r="G6083">
        <v>-392.71850000000001</v>
      </c>
      <c r="H6083">
        <v>7.9985870000000001E-2</v>
      </c>
      <c r="I6083">
        <v>5.8597190000000001</v>
      </c>
      <c r="J6083">
        <v>-418.25810000000001</v>
      </c>
      <c r="K6083">
        <v>1.1176200000000001</v>
      </c>
      <c r="L6083">
        <v>30.828340000000001</v>
      </c>
      <c r="M6083">
        <v>0.41187879999999899</v>
      </c>
      <c r="N6083">
        <v>-1.4624720000000001E-2</v>
      </c>
      <c r="O6083">
        <v>-0.91112130000000002</v>
      </c>
      <c r="P6083">
        <v>0.56741709999999901</v>
      </c>
      <c r="Q6083">
        <v>0.18353430000000001</v>
      </c>
      <c r="R6083">
        <v>-0.80271610000000004</v>
      </c>
      <c r="S6083">
        <v>2.2287599999999999</v>
      </c>
      <c r="T6083">
        <v>-9.0319040000000003E-2</v>
      </c>
      <c r="U6083">
        <v>-2.1848139999999998</v>
      </c>
      <c r="V6083">
        <v>-0.18950120000000001</v>
      </c>
      <c r="W6083">
        <v>0.19464310000000001</v>
      </c>
      <c r="X6083">
        <v>0.96239459999999999</v>
      </c>
      <c r="Y6083">
        <v>-0.36215059999999999</v>
      </c>
      <c r="Z6083">
        <v>1.6398860000000001E-2</v>
      </c>
      <c r="AA6083">
        <v>0.93197540000000001</v>
      </c>
      <c r="AB6083">
        <v>26</v>
      </c>
      <c r="AC6083">
        <v>25.5396</v>
      </c>
      <c r="AD6083">
        <v>-1.03763413</v>
      </c>
      <c r="AE6083">
        <v>-24.968620999999999</v>
      </c>
      <c r="AF6083">
        <v>-12.9760647766352</v>
      </c>
      <c r="AG6083">
        <v>-1.03763413</v>
      </c>
      <c r="AH6083">
        <v>33.244161887720402</v>
      </c>
      <c r="AI6083">
        <v>91.665467270997496</v>
      </c>
      <c r="AJ6083">
        <v>111.322000378715</v>
      </c>
      <c r="AK6083">
        <v>35.701950104891203</v>
      </c>
      <c r="AL6083">
        <v>78.776124794198495</v>
      </c>
      <c r="AM6083">
        <v>101.139372477316</v>
      </c>
      <c r="AN6083">
        <v>1.0000000036440999</v>
      </c>
    </row>
    <row r="6084" spans="1:40" x14ac:dyDescent="0.25">
      <c r="A6084" t="str">
        <f>"20190304154918952"</f>
        <v>20190304154918952</v>
      </c>
      <c r="B6084" t="str">
        <f>"1551685758943796"</f>
        <v>1551685758943796</v>
      </c>
      <c r="C6084" t="s">
        <v>40</v>
      </c>
      <c r="D6084">
        <v>3.9083220000000001</v>
      </c>
      <c r="E6084">
        <v>0.42450939999999998</v>
      </c>
      <c r="F6084" t="s">
        <v>45</v>
      </c>
      <c r="G6084">
        <v>-387.61470000000003</v>
      </c>
      <c r="H6084">
        <v>-0.05</v>
      </c>
      <c r="I6084">
        <v>1.118484</v>
      </c>
      <c r="J6084">
        <v>-418.18669999999997</v>
      </c>
      <c r="K6084">
        <v>1.117672</v>
      </c>
      <c r="L6084">
        <v>30.685300000000002</v>
      </c>
      <c r="M6084">
        <v>0.41730919999999999</v>
      </c>
      <c r="N6084">
        <v>-1.463476E-2</v>
      </c>
      <c r="O6084">
        <v>-0.90864670000000003</v>
      </c>
      <c r="P6084">
        <v>0.57214100000000001</v>
      </c>
      <c r="Q6084">
        <v>0.1840244</v>
      </c>
      <c r="R6084">
        <v>-0.7992435</v>
      </c>
      <c r="S6084">
        <v>2.2409970000000001</v>
      </c>
      <c r="T6084">
        <v>-8.5389969999999996E-2</v>
      </c>
      <c r="U6084">
        <v>-2.1727289999999999</v>
      </c>
      <c r="V6084">
        <v>-0.1895114</v>
      </c>
      <c r="W6084">
        <v>0.19511919999999999</v>
      </c>
      <c r="X6084">
        <v>0.96229620000000005</v>
      </c>
      <c r="Y6084">
        <v>-0.36174450000000002</v>
      </c>
      <c r="Z6084">
        <v>1.483522E-2</v>
      </c>
      <c r="AA6084">
        <v>0.93215919999999997</v>
      </c>
      <c r="AB6084">
        <v>26</v>
      </c>
      <c r="AC6084">
        <v>30.5719999999999</v>
      </c>
      <c r="AD6084">
        <v>-1.167672</v>
      </c>
      <c r="AE6084">
        <v>-29.566815999999999</v>
      </c>
      <c r="AF6084">
        <v>-15.4306653657317</v>
      </c>
      <c r="AG6084">
        <v>-1.167672</v>
      </c>
      <c r="AH6084">
        <v>39.598163127443001</v>
      </c>
      <c r="AI6084">
        <v>91.573841360193697</v>
      </c>
      <c r="AJ6084">
        <v>111.289934557509</v>
      </c>
      <c r="AK6084">
        <v>42.514508283600797</v>
      </c>
      <c r="AL6084">
        <v>78.748313275156605</v>
      </c>
      <c r="AM6084">
        <v>101.14106768865599</v>
      </c>
      <c r="AN6084">
        <v>1.00000002473651</v>
      </c>
    </row>
    <row r="6085" spans="1:40" x14ac:dyDescent="0.25">
      <c r="A6085" t="str">
        <f>"20190304154918964"</f>
        <v>20190304154918964</v>
      </c>
      <c r="B6085" t="str">
        <f>"1551685758953556"</f>
        <v>1551685758953556</v>
      </c>
      <c r="C6085" t="s">
        <v>40</v>
      </c>
      <c r="D6085">
        <v>3.890863</v>
      </c>
      <c r="E6085">
        <v>0.42445450000000001</v>
      </c>
      <c r="F6085" t="s">
        <v>45</v>
      </c>
      <c r="G6085">
        <v>-386.69529999999997</v>
      </c>
      <c r="H6085">
        <v>-0.05</v>
      </c>
      <c r="I6085">
        <v>0.52601619999999905</v>
      </c>
      <c r="J6085">
        <v>-418.12509999999997</v>
      </c>
      <c r="K6085">
        <v>1.117715</v>
      </c>
      <c r="L6085">
        <v>30.56427</v>
      </c>
      <c r="M6085">
        <v>0.42196889999999998</v>
      </c>
      <c r="N6085">
        <v>-1.4643689999999999E-2</v>
      </c>
      <c r="O6085">
        <v>-0.90649199999999996</v>
      </c>
      <c r="P6085">
        <v>0.57617940000000001</v>
      </c>
      <c r="Q6085">
        <v>0.18392049999999999</v>
      </c>
      <c r="R6085">
        <v>-0.79636090000000004</v>
      </c>
      <c r="S6085">
        <v>2.2543639999999998</v>
      </c>
      <c r="T6085">
        <v>-8.3589549999999999E-2</v>
      </c>
      <c r="U6085">
        <v>-2.1589969999999998</v>
      </c>
      <c r="V6085">
        <v>-0.18945010000000001</v>
      </c>
      <c r="W6085">
        <v>0.1950056</v>
      </c>
      <c r="X6085">
        <v>0.9623313</v>
      </c>
      <c r="Y6085">
        <v>-0.36268800000000001</v>
      </c>
      <c r="Z6085">
        <v>1.427733E-2</v>
      </c>
      <c r="AA6085">
        <v>0.93180130000000005</v>
      </c>
      <c r="AB6085">
        <v>26</v>
      </c>
      <c r="AC6085">
        <v>31.4298</v>
      </c>
      <c r="AD6085">
        <v>-1.1677150000000001</v>
      </c>
      <c r="AE6085">
        <v>-30.0382538</v>
      </c>
      <c r="AF6085">
        <v>-15.8059472889503</v>
      </c>
      <c r="AG6085">
        <v>-1.1677150000000001</v>
      </c>
      <c r="AH6085">
        <v>40.466985077569802</v>
      </c>
      <c r="AI6085">
        <v>91.539651413840105</v>
      </c>
      <c r="AJ6085">
        <v>111.335055015628</v>
      </c>
      <c r="AK6085">
        <v>43.4599632914083</v>
      </c>
      <c r="AL6085">
        <v>78.754949586557899</v>
      </c>
      <c r="AM6085">
        <v>101.137157997936</v>
      </c>
      <c r="AN6085">
        <v>1.0000000276905201</v>
      </c>
    </row>
    <row r="6086" spans="1:40" x14ac:dyDescent="0.25">
      <c r="A6086" t="str">
        <f>"20190304154918976"</f>
        <v>20190304154918976</v>
      </c>
      <c r="B6086" t="str">
        <f>"1551685758973076"</f>
        <v>1551685758973076</v>
      </c>
      <c r="C6086" t="s">
        <v>40</v>
      </c>
      <c r="D6086">
        <v>3.8925230000000002</v>
      </c>
      <c r="E6086">
        <v>0.424344</v>
      </c>
      <c r="F6086" t="s">
        <v>45</v>
      </c>
      <c r="G6086">
        <v>-386.70850000000002</v>
      </c>
      <c r="H6086">
        <v>-0.05</v>
      </c>
      <c r="I6086">
        <v>0.78259279999999998</v>
      </c>
      <c r="J6086">
        <v>-418.06610000000001</v>
      </c>
      <c r="K6086">
        <v>1.1177520000000001</v>
      </c>
      <c r="L6086">
        <v>30.449490000000001</v>
      </c>
      <c r="M6086">
        <v>0.42640709999999998</v>
      </c>
      <c r="N6086">
        <v>-1.465209E-2</v>
      </c>
      <c r="O6086">
        <v>-0.90441260000000001</v>
      </c>
      <c r="P6086">
        <v>0.58016590000000001</v>
      </c>
      <c r="Q6086">
        <v>0.18430540000000001</v>
      </c>
      <c r="R6086">
        <v>-0.79337209999999903</v>
      </c>
      <c r="S6086">
        <v>2.2654109999999998</v>
      </c>
      <c r="T6086">
        <v>-8.4202529999999998E-2</v>
      </c>
      <c r="U6086">
        <v>-2.1475219999999999</v>
      </c>
      <c r="V6086">
        <v>-0.1896226</v>
      </c>
      <c r="W6086">
        <v>0.19537640000000001</v>
      </c>
      <c r="X6086">
        <v>0.96222209999999997</v>
      </c>
      <c r="Y6086">
        <v>-0.36287219999999998</v>
      </c>
      <c r="Z6086">
        <v>1.4474030000000001E-2</v>
      </c>
      <c r="AA6086">
        <v>0.93172650000000001</v>
      </c>
      <c r="AB6086">
        <v>26</v>
      </c>
      <c r="AC6086">
        <v>31.357599999999898</v>
      </c>
      <c r="AD6086">
        <v>-1.1677519999999999</v>
      </c>
      <c r="AE6086">
        <v>-29.666897200000001</v>
      </c>
      <c r="AF6086">
        <v>-15.700231386770801</v>
      </c>
      <c r="AG6086">
        <v>-1.1677519999999999</v>
      </c>
      <c r="AH6086">
        <v>40.177136570169303</v>
      </c>
      <c r="AI6086">
        <v>91.550704560350695</v>
      </c>
      <c r="AJ6086">
        <v>111.34432891062301</v>
      </c>
      <c r="AK6086">
        <v>43.151630482632797</v>
      </c>
      <c r="AL6086">
        <v>78.7332875498969</v>
      </c>
      <c r="AM6086">
        <v>101.148278228222</v>
      </c>
      <c r="AN6086">
        <v>1.00000001891806</v>
      </c>
    </row>
    <row r="6087" spans="1:40" x14ac:dyDescent="0.25">
      <c r="A6087" t="str">
        <f>"20190304154918988"</f>
        <v>20190304154918988</v>
      </c>
      <c r="B6087" t="str">
        <f>"1551685758983813"</f>
        <v>1551685758983813</v>
      </c>
      <c r="C6087" t="s">
        <v>40</v>
      </c>
      <c r="D6087">
        <v>3.8914780000000002</v>
      </c>
      <c r="E6087">
        <v>0.42430390000000001</v>
      </c>
      <c r="F6087" t="s">
        <v>45</v>
      </c>
      <c r="G6087">
        <v>-386.0752</v>
      </c>
      <c r="H6087">
        <v>-0.05</v>
      </c>
      <c r="I6087">
        <v>0.44218439999999998</v>
      </c>
      <c r="J6087">
        <v>-417.99869999999999</v>
      </c>
      <c r="K6087">
        <v>1.117794</v>
      </c>
      <c r="L6087">
        <v>30.320250000000001</v>
      </c>
      <c r="M6087">
        <v>0.43144759999999999</v>
      </c>
      <c r="N6087">
        <v>-1.4661759999999999E-2</v>
      </c>
      <c r="O6087">
        <v>-0.90201900000000002</v>
      </c>
      <c r="P6087">
        <v>0.58473809999999904</v>
      </c>
      <c r="Q6087">
        <v>0.1837675</v>
      </c>
      <c r="R6087">
        <v>-0.79013350000000004</v>
      </c>
      <c r="S6087">
        <v>2.2768250000000001</v>
      </c>
      <c r="T6087">
        <v>-8.3110089999999998E-2</v>
      </c>
      <c r="U6087">
        <v>-2.1356510000000002</v>
      </c>
      <c r="V6087">
        <v>-0.18976860000000001</v>
      </c>
      <c r="W6087">
        <v>0.1948269</v>
      </c>
      <c r="X6087">
        <v>0.96230470000000001</v>
      </c>
      <c r="Y6087">
        <v>-0.36259200000000003</v>
      </c>
      <c r="Z6087">
        <v>1.4128079999999999E-2</v>
      </c>
      <c r="AA6087">
        <v>0.93184089999999997</v>
      </c>
      <c r="AB6087">
        <v>26</v>
      </c>
      <c r="AC6087">
        <v>31.923499999999901</v>
      </c>
      <c r="AD6087">
        <v>-1.167794</v>
      </c>
      <c r="AE6087">
        <v>-29.878065599999999</v>
      </c>
      <c r="AF6087">
        <v>-15.895153015405</v>
      </c>
      <c r="AG6087">
        <v>-1.167794</v>
      </c>
      <c r="AH6087">
        <v>40.699240740072099</v>
      </c>
      <c r="AI6087">
        <v>91.530992148054196</v>
      </c>
      <c r="AJ6087">
        <v>111.33320974494001</v>
      </c>
      <c r="AK6087">
        <v>43.708669952629698</v>
      </c>
      <c r="AL6087">
        <v>78.765388123328705</v>
      </c>
      <c r="AM6087">
        <v>101.15571298094</v>
      </c>
      <c r="AN6087">
        <v>0.99999998907582999</v>
      </c>
    </row>
    <row r="6088" spans="1:40" x14ac:dyDescent="0.25">
      <c r="A6088" t="str">
        <f>"20190304154919004"</f>
        <v>20190304154919004</v>
      </c>
      <c r="B6088" t="str">
        <f>"1551685758993573"</f>
        <v>1551685758993573</v>
      </c>
      <c r="C6088" t="s">
        <v>40</v>
      </c>
      <c r="D6088">
        <v>3.8921770000000002</v>
      </c>
      <c r="E6088">
        <v>0.42426170000000002</v>
      </c>
      <c r="F6088" t="s">
        <v>45</v>
      </c>
      <c r="G6088">
        <v>-386.6404</v>
      </c>
      <c r="H6088">
        <v>-0.05</v>
      </c>
      <c r="I6088">
        <v>1.238113</v>
      </c>
      <c r="J6088">
        <v>-417.91879999999998</v>
      </c>
      <c r="K6088">
        <v>1.1178440000000001</v>
      </c>
      <c r="L6088">
        <v>30.16949</v>
      </c>
      <c r="M6088">
        <v>0.43739929999999999</v>
      </c>
      <c r="N6088">
        <v>-1.467329E-2</v>
      </c>
      <c r="O6088">
        <v>-0.89914760000000005</v>
      </c>
      <c r="P6088">
        <v>0.58978809999999904</v>
      </c>
      <c r="Q6088">
        <v>0.18274750000000001</v>
      </c>
      <c r="R6088">
        <v>-0.78660859999999899</v>
      </c>
      <c r="S6088">
        <v>2.2888790000000001</v>
      </c>
      <c r="T6088">
        <v>-8.5238700000000001E-2</v>
      </c>
      <c r="U6088">
        <v>-2.1227420000000001</v>
      </c>
      <c r="V6088">
        <v>-0.1894779</v>
      </c>
      <c r="W6088">
        <v>0.19380259999999999</v>
      </c>
      <c r="X6088">
        <v>0.9625688</v>
      </c>
      <c r="Y6088">
        <v>-0.36169610000000002</v>
      </c>
      <c r="Z6088">
        <v>1.478991E-2</v>
      </c>
      <c r="AA6088">
        <v>0.93217870000000003</v>
      </c>
      <c r="AB6088">
        <v>26</v>
      </c>
      <c r="AC6088">
        <v>31.278399999999898</v>
      </c>
      <c r="AD6088">
        <v>-1.1678440000000001</v>
      </c>
      <c r="AE6088">
        <v>-28.931377000000001</v>
      </c>
      <c r="AF6088">
        <v>-15.459386469421901</v>
      </c>
      <c r="AG6088">
        <v>-1.1678440000000001</v>
      </c>
      <c r="AH6088">
        <v>39.6692022017657</v>
      </c>
      <c r="AI6088">
        <v>91.571241749113895</v>
      </c>
      <c r="AJ6088">
        <v>111.29123675268001</v>
      </c>
      <c r="AK6088">
        <v>42.5911034483007</v>
      </c>
      <c r="AL6088">
        <v>78.825216790398002</v>
      </c>
      <c r="AM6088">
        <v>101.13607178013299</v>
      </c>
      <c r="AN6088">
        <v>1.0000000085442999</v>
      </c>
    </row>
    <row r="6089" spans="1:40" x14ac:dyDescent="0.25">
      <c r="A6089" t="str">
        <f>"20190304154919026"</f>
        <v>20190304154919026</v>
      </c>
      <c r="B6089" t="str">
        <f>"1551685759023828"</f>
        <v>1551685759023828</v>
      </c>
      <c r="C6089" t="s">
        <v>40</v>
      </c>
      <c r="D6089">
        <v>3.9336760000000002</v>
      </c>
      <c r="E6089">
        <v>0.4241724</v>
      </c>
      <c r="F6089" t="s">
        <v>44</v>
      </c>
      <c r="G6089">
        <v>-390.86189999999999</v>
      </c>
      <c r="H6089">
        <v>7.9986349999999998E-2</v>
      </c>
      <c r="I6089">
        <v>5.3970979999999997</v>
      </c>
      <c r="J6089">
        <v>-417.79790000000003</v>
      </c>
      <c r="K6089">
        <v>1.1179269999999999</v>
      </c>
      <c r="L6089">
        <v>29.94604</v>
      </c>
      <c r="M6089">
        <v>0.44633139999999999</v>
      </c>
      <c r="N6089">
        <v>-1.4690999999999999E-2</v>
      </c>
      <c r="O6089">
        <v>-0.89474730000000002</v>
      </c>
      <c r="P6089">
        <v>0.5973752</v>
      </c>
      <c r="Q6089">
        <v>0.18177199999999999</v>
      </c>
      <c r="R6089">
        <v>-0.78109069999999903</v>
      </c>
      <c r="S6089">
        <v>2.3024290000000001</v>
      </c>
      <c r="T6089">
        <v>-8.8317510000000002E-2</v>
      </c>
      <c r="U6089">
        <v>-2.1080320000000001</v>
      </c>
      <c r="V6089">
        <v>-0.1891311</v>
      </c>
      <c r="W6089">
        <v>0.19281590000000001</v>
      </c>
      <c r="X6089">
        <v>0.96283510000000005</v>
      </c>
      <c r="Y6089">
        <v>-0.35836899999999999</v>
      </c>
      <c r="Z6089">
        <v>1.5719029999999998E-2</v>
      </c>
      <c r="AA6089">
        <v>0.93344769999999999</v>
      </c>
      <c r="AB6089">
        <v>26</v>
      </c>
      <c r="AC6089">
        <v>26.936</v>
      </c>
      <c r="AD6089">
        <v>-1.0379406499999999</v>
      </c>
      <c r="AE6089">
        <v>-24.548942</v>
      </c>
      <c r="AF6089">
        <v>-13.1347126909832</v>
      </c>
      <c r="AG6089">
        <v>-1.0379406499999999</v>
      </c>
      <c r="AH6089">
        <v>33.963597408360698</v>
      </c>
      <c r="AI6089">
        <v>91.632669147460703</v>
      </c>
      <c r="AJ6089">
        <v>111.142938454473</v>
      </c>
      <c r="AK6089">
        <v>36.429712422482901</v>
      </c>
      <c r="AL6089">
        <v>78.882837142780105</v>
      </c>
      <c r="AM6089">
        <v>101.113199636301</v>
      </c>
      <c r="AN6089">
        <v>0.999999987036014</v>
      </c>
    </row>
    <row r="6090" spans="1:40" x14ac:dyDescent="0.25">
      <c r="A6090" t="str">
        <f>"20190304154919050"</f>
        <v>20190304154919050</v>
      </c>
      <c r="B6090" t="str">
        <f>"1551685759043348"</f>
        <v>1551685759043348</v>
      </c>
      <c r="C6090" t="s">
        <v>40</v>
      </c>
      <c r="D6090">
        <v>3.8979279999999998</v>
      </c>
      <c r="E6090">
        <v>0.42408190000000001</v>
      </c>
      <c r="F6090" t="s">
        <v>44</v>
      </c>
      <c r="G6090">
        <v>-391.58019999999999</v>
      </c>
      <c r="H6090">
        <v>7.9986130000000003E-2</v>
      </c>
      <c r="I6090">
        <v>6.4023949999999896</v>
      </c>
      <c r="J6090">
        <v>-417.67219999999998</v>
      </c>
      <c r="K6090">
        <v>1.1180099999999999</v>
      </c>
      <c r="L6090">
        <v>29.719329999999999</v>
      </c>
      <c r="M6090">
        <v>0.45555129999999999</v>
      </c>
      <c r="N6090">
        <v>-1.471072E-2</v>
      </c>
      <c r="O6090">
        <v>-0.89008809999999905</v>
      </c>
      <c r="P6090">
        <v>0.60530099999999998</v>
      </c>
      <c r="Q6090">
        <v>0.18051030000000001</v>
      </c>
      <c r="R6090">
        <v>-0.77525959999999905</v>
      </c>
      <c r="S6090">
        <v>2.3227229999999999</v>
      </c>
      <c r="T6090">
        <v>-9.1954830000000001E-2</v>
      </c>
      <c r="U6090">
        <v>-2.0858150000000002</v>
      </c>
      <c r="V6090">
        <v>-0.18887889999999999</v>
      </c>
      <c r="W6090">
        <v>0.19154019999999999</v>
      </c>
      <c r="X6090">
        <v>0.96313919999999997</v>
      </c>
      <c r="Y6090">
        <v>-0.35770410000000002</v>
      </c>
      <c r="Z6090">
        <v>1.68395E-2</v>
      </c>
      <c r="AA6090">
        <v>0.93368320000000005</v>
      </c>
      <c r="AB6090">
        <v>26</v>
      </c>
      <c r="AC6090">
        <v>26.091999999999899</v>
      </c>
      <c r="AD6090">
        <v>-1.03802387</v>
      </c>
      <c r="AE6090">
        <v>-23.316935000000001</v>
      </c>
      <c r="AF6090">
        <v>-12.592400200927599</v>
      </c>
      <c r="AG6090">
        <v>-1.03802387</v>
      </c>
      <c r="AH6090">
        <v>32.615199416891599</v>
      </c>
      <c r="AI6090">
        <v>91.700630603478999</v>
      </c>
      <c r="AJ6090">
        <v>111.111072813424</v>
      </c>
      <c r="AK6090">
        <v>34.977096354308998</v>
      </c>
      <c r="AL6090">
        <v>78.957317863765894</v>
      </c>
      <c r="AM6090">
        <v>101.09533139451899</v>
      </c>
      <c r="AN6090">
        <v>1.00000000282894</v>
      </c>
    </row>
    <row r="6091" spans="1:40" x14ac:dyDescent="0.25">
      <c r="A6091" t="str">
        <f>"20190304154919060"</f>
        <v>20190304154919060</v>
      </c>
      <c r="B6091" t="str">
        <f>"1551685759053108"</f>
        <v>1551685759053108</v>
      </c>
      <c r="C6091" t="s">
        <v>40</v>
      </c>
      <c r="D6091">
        <v>3.9455710000000002</v>
      </c>
      <c r="E6091">
        <v>0.42405969999999998</v>
      </c>
      <c r="F6091" t="s">
        <v>44</v>
      </c>
      <c r="G6091">
        <v>-392.31970000000001</v>
      </c>
      <c r="H6091">
        <v>7.9985890000000004E-2</v>
      </c>
      <c r="I6091">
        <v>7.4147239999999996</v>
      </c>
      <c r="J6091">
        <v>-417.6105</v>
      </c>
      <c r="K6091">
        <v>1.1180490000000001</v>
      </c>
      <c r="L6091">
        <v>29.610690000000002</v>
      </c>
      <c r="M6091">
        <v>0.46004319999999999</v>
      </c>
      <c r="N6091">
        <v>-1.4721069999999999E-2</v>
      </c>
      <c r="O6091">
        <v>-0.88777459999999997</v>
      </c>
      <c r="P6091">
        <v>0.60934140000000003</v>
      </c>
      <c r="Q6091">
        <v>0.18004510000000001</v>
      </c>
      <c r="R6091">
        <v>-0.77219609999999905</v>
      </c>
      <c r="S6091">
        <v>2.3438110000000001</v>
      </c>
      <c r="T6091">
        <v>-9.5964430000000003E-2</v>
      </c>
      <c r="U6091">
        <v>-2.0620419999999999</v>
      </c>
      <c r="V6091">
        <v>-0.18900610000000001</v>
      </c>
      <c r="W6091">
        <v>0.19106380000000001</v>
      </c>
      <c r="X6091">
        <v>0.96320890000000003</v>
      </c>
      <c r="Y6091">
        <v>-0.36246230000000002</v>
      </c>
      <c r="Z6091">
        <v>1.8137859999999999E-2</v>
      </c>
      <c r="AA6091">
        <v>0.93182189999999998</v>
      </c>
      <c r="AB6091">
        <v>26</v>
      </c>
      <c r="AC6091">
        <v>25.290799999999901</v>
      </c>
      <c r="AD6091">
        <v>-1.03806311</v>
      </c>
      <c r="AE6091">
        <v>-22.195965999999999</v>
      </c>
      <c r="AF6091">
        <v>-12.231111939933999</v>
      </c>
      <c r="AG6091">
        <v>-1.03806311</v>
      </c>
      <c r="AH6091">
        <v>31.313468262241202</v>
      </c>
      <c r="AI6091">
        <v>91.768656769787498</v>
      </c>
      <c r="AJ6091">
        <v>111.33572960854301</v>
      </c>
      <c r="AK6091">
        <v>33.633479881182801</v>
      </c>
      <c r="AL6091">
        <v>78.985127516846404</v>
      </c>
      <c r="AM6091">
        <v>101.101834474274</v>
      </c>
      <c r="AN6091">
        <v>1.00000003327342</v>
      </c>
    </row>
    <row r="6092" spans="1:40" x14ac:dyDescent="0.25">
      <c r="A6092" t="str">
        <f>"20190304154919072"</f>
        <v>20190304154919072</v>
      </c>
      <c r="B6092" t="str">
        <f>"1551685759062868"</f>
        <v>1551685759062868</v>
      </c>
      <c r="C6092" t="s">
        <v>40</v>
      </c>
      <c r="D6092">
        <v>3.9238400000000002</v>
      </c>
      <c r="E6092">
        <v>0.42403669999999999</v>
      </c>
      <c r="F6092" t="s">
        <v>44</v>
      </c>
      <c r="G6092">
        <v>-392.6551</v>
      </c>
      <c r="H6092">
        <v>7.9985799999999996E-2</v>
      </c>
      <c r="I6092">
        <v>7.8815970000000002</v>
      </c>
      <c r="J6092">
        <v>-417.54270000000002</v>
      </c>
      <c r="K6092">
        <v>1.118098</v>
      </c>
      <c r="L6092">
        <v>29.491910000000001</v>
      </c>
      <c r="M6092">
        <v>0.46496779999999999</v>
      </c>
      <c r="N6092">
        <v>-1.4732220000000001E-2</v>
      </c>
      <c r="O6092">
        <v>-0.88520529999999997</v>
      </c>
      <c r="P6092">
        <v>0.61369969999999996</v>
      </c>
      <c r="Q6092">
        <v>0.17932619999999999</v>
      </c>
      <c r="R6092">
        <v>-0.76890550000000002</v>
      </c>
      <c r="S6092">
        <v>2.3544010000000002</v>
      </c>
      <c r="T6092">
        <v>-9.7935439999999999E-2</v>
      </c>
      <c r="U6092">
        <v>-2.0500180000000001</v>
      </c>
      <c r="V6092">
        <v>-0.18903710000000001</v>
      </c>
      <c r="W6092">
        <v>0.19033449999999999</v>
      </c>
      <c r="X6092">
        <v>0.96334710000000001</v>
      </c>
      <c r="Y6092">
        <v>-0.36205690000000001</v>
      </c>
      <c r="Z6092">
        <v>1.873797E-2</v>
      </c>
      <c r="AA6092">
        <v>0.93196760000000001</v>
      </c>
      <c r="AB6092">
        <v>26</v>
      </c>
      <c r="AC6092">
        <v>24.887599999999999</v>
      </c>
      <c r="AD6092">
        <v>-1.0381122</v>
      </c>
      <c r="AE6092">
        <v>-21.610313000000001</v>
      </c>
      <c r="AF6092">
        <v>-11.971957332668699</v>
      </c>
      <c r="AG6092">
        <v>-1.0381122</v>
      </c>
      <c r="AH6092">
        <v>30.674392386867499</v>
      </c>
      <c r="AI6092">
        <v>91.805756409592902</v>
      </c>
      <c r="AJ6092">
        <v>111.320283352546</v>
      </c>
      <c r="AK6092">
        <v>32.944252725149902</v>
      </c>
      <c r="AL6092">
        <v>79.027693470938999</v>
      </c>
      <c r="AM6092">
        <v>101.10205677799</v>
      </c>
      <c r="AN6092">
        <v>0.99999994107253298</v>
      </c>
    </row>
    <row r="6093" spans="1:40" x14ac:dyDescent="0.25">
      <c r="A6093" t="str">
        <f>"20190304154919083"</f>
        <v>20190304154919083</v>
      </c>
      <c r="B6093" t="str">
        <f>"1551685759073606"</f>
        <v>1551685759073606</v>
      </c>
      <c r="C6093" t="s">
        <v>40</v>
      </c>
      <c r="D6093">
        <v>3.953478</v>
      </c>
      <c r="E6093">
        <v>0.424016</v>
      </c>
      <c r="F6093" t="s">
        <v>44</v>
      </c>
      <c r="G6093">
        <v>-393.10359999999997</v>
      </c>
      <c r="H6093">
        <v>7.998566E-2</v>
      </c>
      <c r="I6093">
        <v>8.446574</v>
      </c>
      <c r="J6093">
        <v>-417.4794</v>
      </c>
      <c r="K6093">
        <v>1.118144</v>
      </c>
      <c r="L6093">
        <v>29.383389999999999</v>
      </c>
      <c r="M6093">
        <v>0.46953719999999999</v>
      </c>
      <c r="N6093">
        <v>-1.4743010000000001E-2</v>
      </c>
      <c r="O6093">
        <v>-0.88278969999999901</v>
      </c>
      <c r="P6093">
        <v>0.61784869999999903</v>
      </c>
      <c r="Q6093">
        <v>0.17855270000000001</v>
      </c>
      <c r="R6093">
        <v>-0.76575609999999905</v>
      </c>
      <c r="S6093">
        <v>2.3655400000000002</v>
      </c>
      <c r="T6093">
        <v>-0.1004823</v>
      </c>
      <c r="U6093">
        <v>-2.037048</v>
      </c>
      <c r="V6093">
        <v>-0.1891922</v>
      </c>
      <c r="W6093">
        <v>0.18954840000000001</v>
      </c>
      <c r="X6093">
        <v>0.96347169999999904</v>
      </c>
      <c r="Y6093">
        <v>-0.36232799999999998</v>
      </c>
      <c r="Z6093">
        <v>1.9524E-2</v>
      </c>
      <c r="AA6093">
        <v>0.93184619999999996</v>
      </c>
      <c r="AB6093">
        <v>26</v>
      </c>
      <c r="AC6093">
        <v>24.375800000000002</v>
      </c>
      <c r="AD6093">
        <v>-1.0381583400000001</v>
      </c>
      <c r="AE6093">
        <v>-20.936816</v>
      </c>
      <c r="AF6093">
        <v>-11.677171691371401</v>
      </c>
      <c r="AG6093">
        <v>-1.0381583400000001</v>
      </c>
      <c r="AH6093">
        <v>29.900190233061501</v>
      </c>
      <c r="AI6093">
        <v>91.852407991765901</v>
      </c>
      <c r="AJ6093">
        <v>111.332552964871</v>
      </c>
      <c r="AK6093">
        <v>32.116280722118802</v>
      </c>
      <c r="AL6093">
        <v>79.073569487295103</v>
      </c>
      <c r="AM6093">
        <v>101.109537995781</v>
      </c>
      <c r="AN6093">
        <v>1.0000000005921399</v>
      </c>
    </row>
    <row r="6094" spans="1:40" x14ac:dyDescent="0.25">
      <c r="A6094" t="str">
        <f>"20190304154919095"</f>
        <v>20190304154919095</v>
      </c>
      <c r="B6094" t="str">
        <f>"1551685759083365"</f>
        <v>1551685759083365</v>
      </c>
      <c r="C6094" t="s">
        <v>40</v>
      </c>
      <c r="D6094">
        <v>3.9284970000000001</v>
      </c>
      <c r="E6094">
        <v>0.42399940000000003</v>
      </c>
      <c r="F6094" t="s">
        <v>44</v>
      </c>
      <c r="G6094">
        <v>-393.51119999999997</v>
      </c>
      <c r="H6094">
        <v>7.9985539999999994E-2</v>
      </c>
      <c r="I6094">
        <v>8.9691149999999897</v>
      </c>
      <c r="J6094">
        <v>-417.41539999999998</v>
      </c>
      <c r="K6094">
        <v>1.1181810000000001</v>
      </c>
      <c r="L6094">
        <v>29.274380000000001</v>
      </c>
      <c r="M6094">
        <v>0.47414640000000002</v>
      </c>
      <c r="N6094">
        <v>-1.475371E-2</v>
      </c>
      <c r="O6094">
        <v>-0.88032259999999996</v>
      </c>
      <c r="P6094">
        <v>0.62198920000000002</v>
      </c>
      <c r="Q6094">
        <v>0.1775244</v>
      </c>
      <c r="R6094">
        <v>-0.76263669999999995</v>
      </c>
      <c r="S6094">
        <v>2.3765559999999999</v>
      </c>
      <c r="T6094">
        <v>-0.10293819999999999</v>
      </c>
      <c r="U6094">
        <v>-2.0241699999999998</v>
      </c>
      <c r="V6094">
        <v>-0.18926660000000001</v>
      </c>
      <c r="W6094">
        <v>0.18850990000000001</v>
      </c>
      <c r="X6094">
        <v>0.96366079999999998</v>
      </c>
      <c r="Y6094">
        <v>-0.36249920000000002</v>
      </c>
      <c r="Z6094">
        <v>2.0277110000000001E-2</v>
      </c>
      <c r="AA6094">
        <v>0.93176349999999997</v>
      </c>
      <c r="AB6094">
        <v>26</v>
      </c>
      <c r="AC6094">
        <v>23.904199999999999</v>
      </c>
      <c r="AD6094">
        <v>-1.0381954599999901</v>
      </c>
      <c r="AE6094">
        <v>-20.305264999999999</v>
      </c>
      <c r="AF6094">
        <v>-11.404483960073</v>
      </c>
      <c r="AG6094">
        <v>-1.0381954599999901</v>
      </c>
      <c r="AH6094">
        <v>29.180475461325301</v>
      </c>
      <c r="AI6094">
        <v>91.897946255307204</v>
      </c>
      <c r="AJ6094">
        <v>111.346842694442</v>
      </c>
      <c r="AK6094">
        <v>31.3470932042787</v>
      </c>
      <c r="AL6094">
        <v>79.134163384421697</v>
      </c>
      <c r="AM6094">
        <v>101.111671495792</v>
      </c>
      <c r="AN6094">
        <v>0.99999998286510405</v>
      </c>
    </row>
    <row r="6095" spans="1:40" x14ac:dyDescent="0.25">
      <c r="A6095" t="str">
        <f>"20190304154919105"</f>
        <v>20190304154919105</v>
      </c>
      <c r="B6095" t="str">
        <f>"1551685759102884"</f>
        <v>1551685759102884</v>
      </c>
      <c r="C6095" t="s">
        <v>40</v>
      </c>
      <c r="D6095">
        <v>4.1844720000000004</v>
      </c>
      <c r="E6095">
        <v>0.4240969</v>
      </c>
      <c r="F6095" t="s">
        <v>44</v>
      </c>
      <c r="G6095">
        <v>-394.04919999999998</v>
      </c>
      <c r="H6095">
        <v>7.9889109999999999E-2</v>
      </c>
      <c r="I6095">
        <v>9.5864320000000003</v>
      </c>
      <c r="J6095">
        <v>-417.35059999999999</v>
      </c>
      <c r="K6095">
        <v>1.1182240000000001</v>
      </c>
      <c r="L6095">
        <v>29.165859999999999</v>
      </c>
      <c r="M6095">
        <v>0.47878290000000001</v>
      </c>
      <c r="N6095">
        <v>-1.4764680000000001E-2</v>
      </c>
      <c r="O6095">
        <v>-0.87780930000000001</v>
      </c>
      <c r="P6095">
        <v>0.62611969999999995</v>
      </c>
      <c r="Q6095">
        <v>0.1768846</v>
      </c>
      <c r="R6095">
        <v>-0.75939869999999898</v>
      </c>
      <c r="S6095">
        <v>2.387238</v>
      </c>
      <c r="T6095">
        <v>-0.1060784</v>
      </c>
      <c r="U6095">
        <v>-2.011444</v>
      </c>
      <c r="V6095">
        <v>-0.18935360000000001</v>
      </c>
      <c r="W6095">
        <v>0.1878599</v>
      </c>
      <c r="X6095">
        <v>0.96377069999999998</v>
      </c>
      <c r="Y6095">
        <v>-0.3625235</v>
      </c>
      <c r="Z6095">
        <v>2.1237720000000002E-2</v>
      </c>
      <c r="AA6095">
        <v>0.93173269999999997</v>
      </c>
      <c r="AB6095">
        <v>25</v>
      </c>
      <c r="AC6095">
        <v>23.301400000000001</v>
      </c>
      <c r="AD6095">
        <v>-1.03833488999999</v>
      </c>
      <c r="AE6095">
        <v>-19.579428</v>
      </c>
      <c r="AF6095">
        <v>-11.068214531250399</v>
      </c>
      <c r="AG6095">
        <v>-1.03833488999999</v>
      </c>
      <c r="AH6095">
        <v>28.313448216409299</v>
      </c>
      <c r="AI6095">
        <v>91.956223474222298</v>
      </c>
      <c r="AJ6095">
        <v>111.351384385942</v>
      </c>
      <c r="AK6095">
        <v>30.4176735165079</v>
      </c>
      <c r="AL6095">
        <v>79.172083812339693</v>
      </c>
      <c r="AM6095">
        <v>101.115415915867</v>
      </c>
      <c r="AN6095">
        <v>1.00000004501972</v>
      </c>
    </row>
    <row r="6096" spans="1:40" x14ac:dyDescent="0.25">
      <c r="A6096" t="str">
        <f>"20190304154919117"</f>
        <v>20190304154919117</v>
      </c>
      <c r="B6096" t="str">
        <f>"1551685759113621"</f>
        <v>1551685759113621</v>
      </c>
      <c r="C6096" t="s">
        <v>40</v>
      </c>
      <c r="D6096">
        <v>4.1594300000000004</v>
      </c>
      <c r="E6096">
        <v>0.42414930000000001</v>
      </c>
      <c r="F6096" t="s">
        <v>44</v>
      </c>
      <c r="G6096">
        <v>-393.89850000000001</v>
      </c>
      <c r="H6096">
        <v>5.3048169999999999E-2</v>
      </c>
      <c r="I6096">
        <v>9.6132729999999995</v>
      </c>
      <c r="J6096">
        <v>-417.2876</v>
      </c>
      <c r="K6096">
        <v>1.1182639999999999</v>
      </c>
      <c r="L6096">
        <v>29.061430000000001</v>
      </c>
      <c r="M6096">
        <v>0.4832806</v>
      </c>
      <c r="N6096">
        <v>-1.477529E-2</v>
      </c>
      <c r="O6096">
        <v>-0.87534089999999998</v>
      </c>
      <c r="P6096">
        <v>0.63016380000000005</v>
      </c>
      <c r="Q6096">
        <v>0.1763275</v>
      </c>
      <c r="R6096">
        <v>-0.75617590000000001</v>
      </c>
      <c r="S6096">
        <v>2.397675</v>
      </c>
      <c r="T6096">
        <v>-0.1089001</v>
      </c>
      <c r="U6096">
        <v>-1.998993</v>
      </c>
      <c r="V6096">
        <v>-0.18950130000000001</v>
      </c>
      <c r="W6096">
        <v>0.18729129999999999</v>
      </c>
      <c r="X6096">
        <v>0.9638523</v>
      </c>
      <c r="Y6096">
        <v>-0.36257270000000003</v>
      </c>
      <c r="Z6096">
        <v>2.2096049999999999E-2</v>
      </c>
      <c r="AA6096">
        <v>0.93169349999999995</v>
      </c>
      <c r="AB6096">
        <v>25</v>
      </c>
      <c r="AC6096">
        <v>23.3890999999999</v>
      </c>
      <c r="AD6096">
        <v>-1.0652158300000001</v>
      </c>
      <c r="AE6096">
        <v>-19.448156999999998</v>
      </c>
      <c r="AF6096">
        <v>-11.062161441536899</v>
      </c>
      <c r="AG6096">
        <v>-1.0652158300000001</v>
      </c>
      <c r="AH6096">
        <v>28.295656766422699</v>
      </c>
      <c r="AI6096">
        <v>92.008065403121606</v>
      </c>
      <c r="AJ6096">
        <v>111.352968526807</v>
      </c>
      <c r="AK6096">
        <v>30.399840334553001</v>
      </c>
      <c r="AL6096">
        <v>79.205250573697299</v>
      </c>
      <c r="AM6096">
        <v>101.12295176332699</v>
      </c>
      <c r="AN6096">
        <v>1.00000001498633</v>
      </c>
    </row>
    <row r="6097" spans="1:40" x14ac:dyDescent="0.25">
      <c r="A6097" t="str">
        <f>"20190304154919129"</f>
        <v>20190304154919129</v>
      </c>
      <c r="B6097" t="str">
        <f>"1551685759123381"</f>
        <v>1551685759123381</v>
      </c>
      <c r="C6097" t="s">
        <v>40</v>
      </c>
      <c r="D6097">
        <v>4.2058140000000002</v>
      </c>
      <c r="E6097">
        <v>0.42420770000000002</v>
      </c>
      <c r="F6097" t="s">
        <v>44</v>
      </c>
      <c r="G6097">
        <v>-393.72210000000001</v>
      </c>
      <c r="H6097">
        <v>3.0299199999999998E-2</v>
      </c>
      <c r="I6097">
        <v>9.6163360000000004</v>
      </c>
      <c r="J6097">
        <v>-417.22140000000002</v>
      </c>
      <c r="K6097">
        <v>1.1183129999999999</v>
      </c>
      <c r="L6097">
        <v>28.952850000000002</v>
      </c>
      <c r="M6097">
        <v>0.48798859999999999</v>
      </c>
      <c r="N6097">
        <v>-1.4786270000000001E-2</v>
      </c>
      <c r="O6097">
        <v>-0.87272479999999997</v>
      </c>
      <c r="P6097">
        <v>0.63429590000000002</v>
      </c>
      <c r="Q6097">
        <v>0.1757252</v>
      </c>
      <c r="R6097">
        <v>-0.75285419999999903</v>
      </c>
      <c r="S6097">
        <v>2.407715</v>
      </c>
      <c r="T6097">
        <v>-0.11115849999999999</v>
      </c>
      <c r="U6097">
        <v>-1.9867250000000001</v>
      </c>
      <c r="V6097">
        <v>-0.18953120000000001</v>
      </c>
      <c r="W6097">
        <v>0.18667909999999999</v>
      </c>
      <c r="X6097">
        <v>0.96396519999999997</v>
      </c>
      <c r="Y6097">
        <v>-0.36226940000000002</v>
      </c>
      <c r="Z6097">
        <v>2.277264E-2</v>
      </c>
      <c r="AA6097">
        <v>0.93179520000000005</v>
      </c>
      <c r="AB6097">
        <v>25</v>
      </c>
      <c r="AC6097">
        <v>23.499300000000002</v>
      </c>
      <c r="AD6097">
        <v>-1.0880137999999999</v>
      </c>
      <c r="AE6097">
        <v>-19.336514000000001</v>
      </c>
      <c r="AF6097">
        <v>-11.059497262114199</v>
      </c>
      <c r="AG6097">
        <v>-1.0880137999999999</v>
      </c>
      <c r="AH6097">
        <v>28.3097576469385</v>
      </c>
      <c r="AI6097">
        <v>92.050185974962702</v>
      </c>
      <c r="AJ6097">
        <v>111.33861202841901</v>
      </c>
      <c r="AK6097">
        <v>30.412803746910502</v>
      </c>
      <c r="AL6097">
        <v>79.2409570227491</v>
      </c>
      <c r="AM6097">
        <v>101.123392567148</v>
      </c>
      <c r="AN6097">
        <v>1.0000000344806399</v>
      </c>
    </row>
    <row r="6098" spans="1:40" x14ac:dyDescent="0.25">
      <c r="A6098" t="str">
        <f>"20190304154919140"</f>
        <v>20190304154919140</v>
      </c>
      <c r="B6098" t="str">
        <f>"1551685759133141"</f>
        <v>1551685759133141</v>
      </c>
      <c r="C6098" t="s">
        <v>40</v>
      </c>
      <c r="D6098">
        <v>4.1880930000000003</v>
      </c>
      <c r="E6098">
        <v>0.42425819999999997</v>
      </c>
      <c r="F6098" t="s">
        <v>44</v>
      </c>
      <c r="G6098">
        <v>-393.53050000000002</v>
      </c>
      <c r="H6098">
        <v>7.819955E-3</v>
      </c>
      <c r="I6098">
        <v>9.6163360000000004</v>
      </c>
      <c r="J6098">
        <v>-417.15469999999999</v>
      </c>
      <c r="K6098">
        <v>1.11836</v>
      </c>
      <c r="L6098">
        <v>28.845400000000001</v>
      </c>
      <c r="M6098">
        <v>0.49270900000000001</v>
      </c>
      <c r="N6098">
        <v>-1.479769E-2</v>
      </c>
      <c r="O6098">
        <v>-0.87006839999999996</v>
      </c>
      <c r="P6098">
        <v>0.63841519999999996</v>
      </c>
      <c r="Q6098">
        <v>0.1749125</v>
      </c>
      <c r="R6098">
        <v>-0.74955430000000001</v>
      </c>
      <c r="S6098">
        <v>2.418304</v>
      </c>
      <c r="T6098">
        <v>-0.113356</v>
      </c>
      <c r="U6098">
        <v>-1.973816</v>
      </c>
      <c r="V6098">
        <v>-0.18950919999999999</v>
      </c>
      <c r="W6098">
        <v>0.1858582</v>
      </c>
      <c r="X6098">
        <v>0.96412810000000004</v>
      </c>
      <c r="Y6098">
        <v>-0.3621896</v>
      </c>
      <c r="Z6098">
        <v>2.342876E-2</v>
      </c>
      <c r="AA6098">
        <v>0.93181000000000003</v>
      </c>
      <c r="AB6098">
        <v>25</v>
      </c>
      <c r="AC6098">
        <v>23.624199999999899</v>
      </c>
      <c r="AD6098">
        <v>-1.110540045</v>
      </c>
      <c r="AE6098">
        <v>-19.229064000000001</v>
      </c>
      <c r="AF6098">
        <v>-11.0668396025542</v>
      </c>
      <c r="AG6098">
        <v>-1.110540045</v>
      </c>
      <c r="AH6098">
        <v>28.335897726016899</v>
      </c>
      <c r="AI6098">
        <v>92.090738652729797</v>
      </c>
      <c r="AJ6098">
        <v>111.33357783532</v>
      </c>
      <c r="AK6098">
        <v>30.4406198675307</v>
      </c>
      <c r="AL6098">
        <v>79.288828571193207</v>
      </c>
      <c r="AM6098">
        <v>101.120301238775</v>
      </c>
      <c r="AN6098">
        <v>1.0000000003007401</v>
      </c>
    </row>
    <row r="6099" spans="1:40" x14ac:dyDescent="0.25">
      <c r="A6099" t="str">
        <f>"20190304154919151"</f>
        <v>20190304154919151</v>
      </c>
      <c r="B6099" t="str">
        <f>"1551685759142901"</f>
        <v>1551685759142901</v>
      </c>
      <c r="C6099" t="s">
        <v>40</v>
      </c>
      <c r="D6099">
        <v>4.2087159999999999</v>
      </c>
      <c r="E6099">
        <v>0.42431849999999999</v>
      </c>
      <c r="F6099" t="s">
        <v>44</v>
      </c>
      <c r="G6099">
        <v>-393.76240000000001</v>
      </c>
      <c r="H6099" s="1">
        <v>-4.9490800000000001E-6</v>
      </c>
      <c r="I6099">
        <v>9.9591049999999992</v>
      </c>
      <c r="J6099">
        <v>-417.0856</v>
      </c>
      <c r="K6099">
        <v>1.1184050000000001</v>
      </c>
      <c r="L6099">
        <v>28.73462</v>
      </c>
      <c r="M6099">
        <v>0.4975889</v>
      </c>
      <c r="N6099">
        <v>-1.4809249999999999E-2</v>
      </c>
      <c r="O6099">
        <v>-0.86728649999999996</v>
      </c>
      <c r="P6099">
        <v>0.64286940000000004</v>
      </c>
      <c r="Q6099">
        <v>0.17424990000000001</v>
      </c>
      <c r="R6099">
        <v>-0.74589259999999902</v>
      </c>
      <c r="S6099">
        <v>2.4287109999999998</v>
      </c>
      <c r="T6099">
        <v>-0.1161146</v>
      </c>
      <c r="U6099">
        <v>-1.9608760000000001</v>
      </c>
      <c r="V6099">
        <v>-0.18977069999999999</v>
      </c>
      <c r="W6099">
        <v>0.18518119999999999</v>
      </c>
      <c r="X6099">
        <v>0.96420689999999998</v>
      </c>
      <c r="Y6099">
        <v>-0.36189090000000002</v>
      </c>
      <c r="Z6099">
        <v>2.4251160000000001E-2</v>
      </c>
      <c r="AA6099">
        <v>0.93190499999999998</v>
      </c>
      <c r="AB6099">
        <v>25</v>
      </c>
      <c r="AC6099">
        <v>23.3231999999999</v>
      </c>
      <c r="AD6099">
        <v>-1.1184099490799999</v>
      </c>
      <c r="AE6099">
        <v>-18.775514999999999</v>
      </c>
      <c r="AF6099">
        <v>-10.871434539487799</v>
      </c>
      <c r="AG6099">
        <v>-1.1184099490799999</v>
      </c>
      <c r="AH6099">
        <v>27.853313576836001</v>
      </c>
      <c r="AI6099">
        <v>92.142168568341901</v>
      </c>
      <c r="AJ6099">
        <v>111.32121257288701</v>
      </c>
      <c r="AK6099">
        <v>29.9206618738644</v>
      </c>
      <c r="AL6099">
        <v>79.328302751062296</v>
      </c>
      <c r="AM6099">
        <v>101.13437540621899</v>
      </c>
      <c r="AN6099">
        <v>0.99999997070976898</v>
      </c>
    </row>
    <row r="6100" spans="1:40" x14ac:dyDescent="0.25">
      <c r="A6100" t="str">
        <f>"20190304154919164"</f>
        <v>20190304154919164</v>
      </c>
      <c r="B6100" t="str">
        <f>"1551685759153637"</f>
        <v>1551685759153637</v>
      </c>
      <c r="C6100" t="s">
        <v>40</v>
      </c>
      <c r="D6100">
        <v>4.2102440000000003</v>
      </c>
      <c r="E6100">
        <v>0.424373</v>
      </c>
      <c r="F6100" t="s">
        <v>44</v>
      </c>
      <c r="G6100">
        <v>-394.08069999999998</v>
      </c>
      <c r="H6100" s="1">
        <v>-4.7147559999999998E-6</v>
      </c>
      <c r="I6100">
        <v>10.380470000000001</v>
      </c>
      <c r="J6100">
        <v>-417.01220000000001</v>
      </c>
      <c r="K6100">
        <v>1.1184559999999999</v>
      </c>
      <c r="L6100">
        <v>28.619689999999999</v>
      </c>
      <c r="M6100">
        <v>0.50273919999999905</v>
      </c>
      <c r="N6100">
        <v>-1.4822429999999999E-2</v>
      </c>
      <c r="O6100">
        <v>-0.86431119999999995</v>
      </c>
      <c r="P6100">
        <v>0.64738019999999996</v>
      </c>
      <c r="Q6100">
        <v>0.1734531</v>
      </c>
      <c r="R6100">
        <v>-0.74216780000000004</v>
      </c>
      <c r="S6100">
        <v>2.4400330000000001</v>
      </c>
      <c r="T6100">
        <v>-0.11862490000000001</v>
      </c>
      <c r="U6100">
        <v>-1.946747</v>
      </c>
      <c r="V6100">
        <v>-0.1897972</v>
      </c>
      <c r="W6100">
        <v>0.18437519999999999</v>
      </c>
      <c r="X6100">
        <v>0.9643562</v>
      </c>
      <c r="Y6100">
        <v>-0.36173329999999998</v>
      </c>
      <c r="Z6100">
        <v>2.499229E-2</v>
      </c>
      <c r="AA6100">
        <v>0.93194659999999996</v>
      </c>
      <c r="AB6100">
        <v>25</v>
      </c>
      <c r="AC6100">
        <v>22.9315</v>
      </c>
      <c r="AD6100">
        <v>-1.118460714756</v>
      </c>
      <c r="AE6100">
        <v>-18.23922</v>
      </c>
      <c r="AF6100">
        <v>-10.6360523961973</v>
      </c>
      <c r="AG6100">
        <v>-1.118460714756</v>
      </c>
      <c r="AH6100">
        <v>27.256206207732198</v>
      </c>
      <c r="AI6100">
        <v>92.189214784451394</v>
      </c>
      <c r="AJ6100">
        <v>111.316971151597</v>
      </c>
      <c r="AK6100">
        <v>29.279298860859502</v>
      </c>
      <c r="AL6100">
        <v>79.375293002199101</v>
      </c>
      <c r="AM6100">
        <v>101.13421041721701</v>
      </c>
      <c r="AN6100">
        <v>1.00000003599065</v>
      </c>
    </row>
    <row r="6101" spans="1:40" x14ac:dyDescent="0.25">
      <c r="A6101" t="str">
        <f>"20190304154919177"</f>
        <v>20190304154919177</v>
      </c>
      <c r="B6101" t="str">
        <f>"1551685759173157"</f>
        <v>1551685759173157</v>
      </c>
      <c r="C6101" t="s">
        <v>40</v>
      </c>
      <c r="D6101">
        <v>4.2592150000000002</v>
      </c>
      <c r="E6101">
        <v>0.42448999999999998</v>
      </c>
      <c r="F6101" t="s">
        <v>44</v>
      </c>
      <c r="G6101">
        <v>-394.43849999999998</v>
      </c>
      <c r="H6101" s="1">
        <v>-4.4589550000000002E-6</v>
      </c>
      <c r="I6101">
        <v>10.82545</v>
      </c>
      <c r="J6101">
        <v>-416.9391</v>
      </c>
      <c r="K6101">
        <v>1.1185039999999999</v>
      </c>
      <c r="L6101">
        <v>28.506129999999999</v>
      </c>
      <c r="M6101">
        <v>0.50785230000000003</v>
      </c>
      <c r="N6101">
        <v>-1.483545E-2</v>
      </c>
      <c r="O6101">
        <v>-0.86131669999999905</v>
      </c>
      <c r="P6101">
        <v>0.65178139999999996</v>
      </c>
      <c r="Q6101">
        <v>0.17279420000000001</v>
      </c>
      <c r="R6101">
        <v>-0.73846060000000002</v>
      </c>
      <c r="S6101">
        <v>2.4513240000000001</v>
      </c>
      <c r="T6101">
        <v>-0.12145590000000001</v>
      </c>
      <c r="U6101">
        <v>-1.932312</v>
      </c>
      <c r="V6101">
        <v>-0.18974959999999999</v>
      </c>
      <c r="W6101">
        <v>0.18370819999999999</v>
      </c>
      <c r="X6101">
        <v>0.96449280000000004</v>
      </c>
      <c r="Y6101">
        <v>-0.36165920000000001</v>
      </c>
      <c r="Z6101">
        <v>2.5830059999999998E-2</v>
      </c>
      <c r="AA6101">
        <v>0.93195249999999996</v>
      </c>
      <c r="AB6101">
        <v>25</v>
      </c>
      <c r="AC6101">
        <v>22.500599999999999</v>
      </c>
      <c r="AD6101">
        <v>-1.1185084589550001</v>
      </c>
      <c r="AE6101">
        <v>-17.680679999999999</v>
      </c>
      <c r="AF6101">
        <v>-10.3862429313617</v>
      </c>
      <c r="AG6101">
        <v>-1.1185084589550001</v>
      </c>
      <c r="AH6101">
        <v>26.617907569355101</v>
      </c>
      <c r="AI6101">
        <v>92.241775699806695</v>
      </c>
      <c r="AJ6101">
        <v>111.31560858157</v>
      </c>
      <c r="AK6101">
        <v>28.594371942267699</v>
      </c>
      <c r="AL6101">
        <v>79.414172904088403</v>
      </c>
      <c r="AM6101">
        <v>101.129950594946</v>
      </c>
      <c r="AN6101">
        <v>0.99999998734962003</v>
      </c>
    </row>
    <row r="6102" spans="1:40" x14ac:dyDescent="0.25">
      <c r="A6102" t="str">
        <f>"20190304154919189"</f>
        <v>20190304154919189</v>
      </c>
      <c r="B6102" t="str">
        <f>"1551685759182916"</f>
        <v>1551685759182916</v>
      </c>
      <c r="C6102" t="s">
        <v>40</v>
      </c>
      <c r="D6102">
        <v>4.2347780000000004</v>
      </c>
      <c r="E6102">
        <v>0.42448999999999998</v>
      </c>
      <c r="F6102" t="s">
        <v>44</v>
      </c>
      <c r="G6102">
        <v>-394.80900000000003</v>
      </c>
      <c r="H6102" s="1">
        <v>-4.200989E-6</v>
      </c>
      <c r="I6102">
        <v>11.26023</v>
      </c>
      <c r="J6102">
        <v>-416.85759999999999</v>
      </c>
      <c r="K6102">
        <v>1.1185579999999999</v>
      </c>
      <c r="L6102">
        <v>28.381409999999999</v>
      </c>
      <c r="M6102">
        <v>0.51351800000000003</v>
      </c>
      <c r="N6102">
        <v>-1.4850199999999999E-2</v>
      </c>
      <c r="O6102">
        <v>-0.85795030000000005</v>
      </c>
      <c r="P6102">
        <v>0.65674030000000005</v>
      </c>
      <c r="Q6102">
        <v>0.17210329999999999</v>
      </c>
      <c r="R6102">
        <v>-0.73421559999999997</v>
      </c>
      <c r="S6102">
        <v>2.4619749999999998</v>
      </c>
      <c r="T6102">
        <v>-0.124434199999999</v>
      </c>
      <c r="U6102">
        <v>-1.9186099999999999</v>
      </c>
      <c r="V6102">
        <v>-0.1898185</v>
      </c>
      <c r="W6102">
        <v>0.18300649999999999</v>
      </c>
      <c r="X6102">
        <v>0.96461269999999999</v>
      </c>
      <c r="Y6102">
        <v>-0.36067369999999999</v>
      </c>
      <c r="Z6102">
        <v>2.6689379999999999E-2</v>
      </c>
      <c r="AA6102">
        <v>0.93231010000000003</v>
      </c>
      <c r="AB6102">
        <v>25</v>
      </c>
      <c r="AC6102">
        <v>22.048599999999901</v>
      </c>
      <c r="AD6102">
        <v>-1.1185622009889999</v>
      </c>
      <c r="AE6102">
        <v>-17.121179999999999</v>
      </c>
      <c r="AF6102">
        <v>-10.109454091440099</v>
      </c>
      <c r="AG6102">
        <v>-1.1185622009889999</v>
      </c>
      <c r="AH6102">
        <v>25.972642442240598</v>
      </c>
      <c r="AI6102">
        <v>92.298269525867198</v>
      </c>
      <c r="AJ6102">
        <v>111.267714936022</v>
      </c>
      <c r="AK6102">
        <v>27.893196282550601</v>
      </c>
      <c r="AL6102">
        <v>79.455071406380796</v>
      </c>
      <c r="AM6102">
        <v>101.13254168047899</v>
      </c>
      <c r="AN6102">
        <v>1.00000005149289</v>
      </c>
    </row>
    <row r="6103" spans="1:40" x14ac:dyDescent="0.25">
      <c r="A6103" t="str">
        <f>"20190304154919203"</f>
        <v>20190304154919203</v>
      </c>
      <c r="B6103" t="str">
        <f>"1551685759193652"</f>
        <v>1551685759193652</v>
      </c>
      <c r="C6103" t="s">
        <v>40</v>
      </c>
      <c r="D6103">
        <v>4.2212310000000004</v>
      </c>
      <c r="E6103">
        <v>0.43303510000000001</v>
      </c>
      <c r="F6103" t="s">
        <v>44</v>
      </c>
      <c r="G6103">
        <v>-394.99189999999999</v>
      </c>
      <c r="H6103" s="1">
        <v>-4.0469430000000003E-6</v>
      </c>
      <c r="I6103">
        <v>11.57526</v>
      </c>
      <c r="J6103">
        <v>-416.77379999999999</v>
      </c>
      <c r="K6103">
        <v>1.118614</v>
      </c>
      <c r="L6103">
        <v>28.255680000000002</v>
      </c>
      <c r="M6103">
        <v>0.51931329999999998</v>
      </c>
      <c r="N6103">
        <v>-1.48655E-2</v>
      </c>
      <c r="O6103">
        <v>-0.85445479999999996</v>
      </c>
      <c r="P6103">
        <v>0.6617767</v>
      </c>
      <c r="Q6103">
        <v>0.17190529999999901</v>
      </c>
      <c r="R6103">
        <v>-0.7297264</v>
      </c>
      <c r="S6103">
        <v>2.474701</v>
      </c>
      <c r="T6103">
        <v>-0.1265955</v>
      </c>
      <c r="U6103">
        <v>-1.902069</v>
      </c>
      <c r="V6103">
        <v>-0.1899245</v>
      </c>
      <c r="W6103">
        <v>0.1827955</v>
      </c>
      <c r="X6103">
        <v>0.96463180000000004</v>
      </c>
      <c r="Y6103">
        <v>-0.3605776</v>
      </c>
      <c r="Z6103">
        <v>2.73066E-2</v>
      </c>
      <c r="AA6103">
        <v>0.93232939999999997</v>
      </c>
      <c r="AB6103">
        <v>25</v>
      </c>
      <c r="AC6103">
        <v>21.7819</v>
      </c>
      <c r="AD6103">
        <v>-1.118618046943</v>
      </c>
      <c r="AE6103">
        <v>-16.680419999999899</v>
      </c>
      <c r="AF6103">
        <v>-9.9338685229141692</v>
      </c>
      <c r="AG6103">
        <v>-1.118618046943</v>
      </c>
      <c r="AH6103">
        <v>25.5246831398251</v>
      </c>
      <c r="AI6103">
        <v>92.338714360287895</v>
      </c>
      <c r="AJ6103">
        <v>111.26532835298001</v>
      </c>
      <c r="AK6103">
        <v>27.412451542209102</v>
      </c>
      <c r="AL6103">
        <v>79.467367804970493</v>
      </c>
      <c r="AM6103">
        <v>101.138387959787</v>
      </c>
      <c r="AN6103">
        <v>1.0000000100458699</v>
      </c>
    </row>
    <row r="6104" spans="1:40" x14ac:dyDescent="0.25">
      <c r="A6104" t="str">
        <f>"20190304154919218"</f>
        <v>20190304154919218</v>
      </c>
      <c r="B6104" t="str">
        <f>"1551685759213173"</f>
        <v>1551685759213173</v>
      </c>
      <c r="C6104" t="s">
        <v>40</v>
      </c>
      <c r="D6104">
        <v>4.226172</v>
      </c>
      <c r="E6104">
        <v>0.43312929999999999</v>
      </c>
      <c r="F6104" t="s">
        <v>68</v>
      </c>
      <c r="G6104">
        <v>-403.53579999999999</v>
      </c>
      <c r="H6104" s="1">
        <v>-6.3137360000000004E-6</v>
      </c>
      <c r="I6104">
        <v>17.728850000000001</v>
      </c>
      <c r="J6104">
        <v>-416.68560000000002</v>
      </c>
      <c r="K6104">
        <v>1.1186750000000001</v>
      </c>
      <c r="L6104">
        <v>28.125</v>
      </c>
      <c r="M6104">
        <v>0.52538249999999997</v>
      </c>
      <c r="N6104">
        <v>-1.488135E-2</v>
      </c>
      <c r="O6104">
        <v>-0.85073600000000005</v>
      </c>
      <c r="P6104">
        <v>0.66689560000000003</v>
      </c>
      <c r="Q6104">
        <v>0.1719716</v>
      </c>
      <c r="R6104">
        <v>-0.72503530000000005</v>
      </c>
      <c r="S6104">
        <v>2.4439389999999999</v>
      </c>
      <c r="T6104">
        <v>-0.20651520000000001</v>
      </c>
      <c r="U6104">
        <v>-1.9434199999999999</v>
      </c>
      <c r="V6104">
        <v>-0.18988260000000001</v>
      </c>
      <c r="W6104">
        <v>0.18284990000000001</v>
      </c>
      <c r="X6104">
        <v>0.96462969999999904</v>
      </c>
      <c r="Y6104">
        <v>-0.3375745</v>
      </c>
      <c r="Z6104">
        <v>5.092021E-2</v>
      </c>
      <c r="AA6104">
        <v>0.93992050000000005</v>
      </c>
      <c r="AB6104">
        <v>25</v>
      </c>
      <c r="AC6104">
        <v>13.149800000000001</v>
      </c>
      <c r="AD6104">
        <v>-1.1186813137360001</v>
      </c>
      <c r="AE6104">
        <v>-10.39615</v>
      </c>
      <c r="AF6104">
        <v>-5.7003002589781904</v>
      </c>
      <c r="AG6104">
        <v>-1.1186813137360001</v>
      </c>
      <c r="AH6104">
        <v>15.6849442985495</v>
      </c>
      <c r="AI6104">
        <v>93.834941124212804</v>
      </c>
      <c r="AJ6104">
        <v>109.97240787733701</v>
      </c>
      <c r="AK6104">
        <v>16.726097828627299</v>
      </c>
      <c r="AL6104">
        <v>79.464197086002699</v>
      </c>
      <c r="AM6104">
        <v>101.136015737211</v>
      </c>
      <c r="AN6104">
        <v>0.99999997291742904</v>
      </c>
    </row>
    <row r="6105" spans="1:40" x14ac:dyDescent="0.25">
      <c r="A6105" t="str">
        <f>"20190304154919232"</f>
        <v>20190304154919232</v>
      </c>
      <c r="B6105" t="str">
        <f>"1551685759222934"</f>
        <v>1551685759222934</v>
      </c>
      <c r="C6105" t="s">
        <v>40</v>
      </c>
      <c r="D6105">
        <v>4.2387449999999998</v>
      </c>
      <c r="E6105">
        <v>0.43317480000000003</v>
      </c>
      <c r="F6105" t="s">
        <v>68</v>
      </c>
      <c r="G6105">
        <v>-403.35770000000002</v>
      </c>
      <c r="H6105" s="1">
        <v>-6.3669699999999998E-6</v>
      </c>
      <c r="I6105">
        <v>17.671939999999999</v>
      </c>
      <c r="J6105">
        <v>-416.59339999999997</v>
      </c>
      <c r="K6105">
        <v>1.118736</v>
      </c>
      <c r="L6105">
        <v>27.990169999999999</v>
      </c>
      <c r="M6105">
        <v>0.531703699999999</v>
      </c>
      <c r="N6105">
        <v>-1.48977999999999E-2</v>
      </c>
      <c r="O6105">
        <v>-0.84679950000000004</v>
      </c>
      <c r="P6105">
        <v>0.67230259999999997</v>
      </c>
      <c r="Q6105">
        <v>0.17186960000000001</v>
      </c>
      <c r="R6105">
        <v>-0.72004869999999899</v>
      </c>
      <c r="S6105">
        <v>2.4567869999999998</v>
      </c>
      <c r="T6105">
        <v>-0.20621039999999999</v>
      </c>
      <c r="U6105">
        <v>-1.926849</v>
      </c>
      <c r="V6105">
        <v>-0.1899313</v>
      </c>
      <c r="W6105">
        <v>0.18273410000000001</v>
      </c>
      <c r="X6105">
        <v>0.964642</v>
      </c>
      <c r="Y6105">
        <v>-0.3368853</v>
      </c>
      <c r="Z6105">
        <v>5.0691989999999999E-2</v>
      </c>
      <c r="AA6105">
        <v>0.94018009999999996</v>
      </c>
      <c r="AB6105">
        <v>25</v>
      </c>
      <c r="AC6105">
        <v>13.2356999999999</v>
      </c>
      <c r="AD6105">
        <v>-1.1187423669699901</v>
      </c>
      <c r="AE6105">
        <v>-10.31823</v>
      </c>
      <c r="AF6105">
        <v>-5.6970612734557404</v>
      </c>
      <c r="AG6105">
        <v>-1.1187423669699901</v>
      </c>
      <c r="AH6105">
        <v>15.706894525221699</v>
      </c>
      <c r="AI6105">
        <v>93.830680955953</v>
      </c>
      <c r="AJ6105">
        <v>109.936258310415</v>
      </c>
      <c r="AK6105">
        <v>16.7455853066892</v>
      </c>
      <c r="AL6105">
        <v>79.470945066553199</v>
      </c>
      <c r="AM6105">
        <v>101.138661948186</v>
      </c>
      <c r="AN6105">
        <v>0.99999991909324604</v>
      </c>
    </row>
    <row r="6106" spans="1:40" x14ac:dyDescent="0.25">
      <c r="A6106" t="str">
        <f>"20190304154919246"</f>
        <v>20190304154919246</v>
      </c>
      <c r="B6106" t="str">
        <f>"1551685759233669"</f>
        <v>1551685759233669</v>
      </c>
      <c r="C6106" t="s">
        <v>40</v>
      </c>
      <c r="D6106">
        <v>4.2660530000000003</v>
      </c>
      <c r="E6106">
        <v>0.4332143</v>
      </c>
      <c r="F6106" t="s">
        <v>68</v>
      </c>
      <c r="G6106">
        <v>-403.24779999999998</v>
      </c>
      <c r="H6106" s="1">
        <v>-6.4044879999999999E-6</v>
      </c>
      <c r="I6106">
        <v>17.678599999999999</v>
      </c>
      <c r="J6106">
        <v>-416.5016</v>
      </c>
      <c r="K6106">
        <v>1.1188</v>
      </c>
      <c r="L6106">
        <v>27.859069999999999</v>
      </c>
      <c r="M6106">
        <v>0.53794790000000003</v>
      </c>
      <c r="N6106">
        <v>-1.4914999999999999E-2</v>
      </c>
      <c r="O6106">
        <v>-0.84284619999999999</v>
      </c>
      <c r="P6106">
        <v>0.6775563</v>
      </c>
      <c r="Q6106">
        <v>0.17181779999999999</v>
      </c>
      <c r="R6106">
        <v>-0.71511979999999997</v>
      </c>
      <c r="S6106">
        <v>2.4706730000000001</v>
      </c>
      <c r="T6106">
        <v>-0.2071142</v>
      </c>
      <c r="U6106">
        <v>-1.9089970000000001</v>
      </c>
      <c r="V6106">
        <v>-0.18988479999999999</v>
      </c>
      <c r="W6106">
        <v>0.18267079999999999</v>
      </c>
      <c r="X6106">
        <v>0.96466320000000005</v>
      </c>
      <c r="Y6106">
        <v>-0.33672790000000002</v>
      </c>
      <c r="Z6106">
        <v>5.0831500000000002E-2</v>
      </c>
      <c r="AA6106">
        <v>0.94022890000000003</v>
      </c>
      <c r="AB6106">
        <v>25</v>
      </c>
      <c r="AC6106">
        <v>13.2538</v>
      </c>
      <c r="AD6106">
        <v>-1.118806404488</v>
      </c>
      <c r="AE6106">
        <v>-10.18047</v>
      </c>
      <c r="AF6106">
        <v>-5.6695770072910197</v>
      </c>
      <c r="AG6106">
        <v>-1.118806404488</v>
      </c>
      <c r="AH6106">
        <v>15.642070004349501</v>
      </c>
      <c r="AI6106">
        <v>93.847040251286103</v>
      </c>
      <c r="AJ6106">
        <v>109.92340059476901</v>
      </c>
      <c r="AK6106">
        <v>16.675436582989299</v>
      </c>
      <c r="AL6106">
        <v>79.474634564419802</v>
      </c>
      <c r="AM6106">
        <v>101.135764474654</v>
      </c>
      <c r="AN6106">
        <v>0.99999997393895901</v>
      </c>
    </row>
    <row r="6107" spans="1:40" x14ac:dyDescent="0.25">
      <c r="A6107" t="str">
        <f>"20190304154919261"</f>
        <v>20190304154919261</v>
      </c>
      <c r="B6107" t="str">
        <f>"1551685759253188"</f>
        <v>1551685759253188</v>
      </c>
      <c r="C6107" t="s">
        <v>40</v>
      </c>
      <c r="D6107">
        <v>4.27196</v>
      </c>
      <c r="E6107">
        <v>0.43319350000000001</v>
      </c>
      <c r="F6107" t="s">
        <v>68</v>
      </c>
      <c r="G6107">
        <v>-403.12259999999998</v>
      </c>
      <c r="H6107" s="1">
        <v>-6.4458709999999901E-6</v>
      </c>
      <c r="I6107">
        <v>17.673729999999999</v>
      </c>
      <c r="J6107">
        <v>-416.40769999999998</v>
      </c>
      <c r="K6107">
        <v>1.11887</v>
      </c>
      <c r="L6107">
        <v>27.726990000000001</v>
      </c>
      <c r="M6107">
        <v>0.54430230000000002</v>
      </c>
      <c r="N6107">
        <v>-1.493271E-2</v>
      </c>
      <c r="O6107">
        <v>-0.83875630000000001</v>
      </c>
      <c r="P6107">
        <v>0.68299969999999999</v>
      </c>
      <c r="Q6107">
        <v>0.17078689999999999</v>
      </c>
      <c r="R6107">
        <v>-0.7101712</v>
      </c>
      <c r="S6107">
        <v>2.4842529999999998</v>
      </c>
      <c r="T6107">
        <v>-0.20774229999999999</v>
      </c>
      <c r="U6107">
        <v>-1.891235</v>
      </c>
      <c r="V6107">
        <v>-0.18983829999999999</v>
      </c>
      <c r="W6107">
        <v>0.18163180000000001</v>
      </c>
      <c r="X6107">
        <v>0.96486850000000002</v>
      </c>
      <c r="Y6107">
        <v>-0.33634029999999998</v>
      </c>
      <c r="Z6107">
        <v>5.0876400000000002E-2</v>
      </c>
      <c r="AA6107">
        <v>0.94036529999999996</v>
      </c>
      <c r="AB6107">
        <v>25</v>
      </c>
      <c r="AC6107">
        <v>13.2851</v>
      </c>
      <c r="AD6107">
        <v>-1.1188764458710001</v>
      </c>
      <c r="AE6107">
        <v>-10.05326</v>
      </c>
      <c r="AF6107">
        <v>-5.64611523176014</v>
      </c>
      <c r="AG6107">
        <v>-1.1188764458710001</v>
      </c>
      <c r="AH6107">
        <v>15.5947545736538</v>
      </c>
      <c r="AI6107">
        <v>93.859416722258402</v>
      </c>
      <c r="AJ6107">
        <v>109.90290036942</v>
      </c>
      <c r="AK6107">
        <v>16.623082503673501</v>
      </c>
      <c r="AL6107">
        <v>79.535177556759294</v>
      </c>
      <c r="AM6107">
        <v>101.130795932182</v>
      </c>
      <c r="AN6107">
        <v>0.99999995660518903</v>
      </c>
    </row>
    <row r="6108" spans="1:40" x14ac:dyDescent="0.25">
      <c r="A6108" t="str">
        <f>"20190304154919274"</f>
        <v>20190304154919274</v>
      </c>
      <c r="B6108" t="str">
        <f>"1551685759262949"</f>
        <v>1551685759262949</v>
      </c>
      <c r="C6108" t="s">
        <v>40</v>
      </c>
      <c r="D6108">
        <v>4.2482949999999997</v>
      </c>
      <c r="E6108">
        <v>0.4333033</v>
      </c>
      <c r="F6108" t="s">
        <v>68</v>
      </c>
      <c r="G6108">
        <v>-403.14679999999998</v>
      </c>
      <c r="H6108" s="1">
        <v>-6.4505929999999997E-6</v>
      </c>
      <c r="I6108">
        <v>17.787700000000001</v>
      </c>
      <c r="J6108">
        <v>-416.32690000000002</v>
      </c>
      <c r="K6108">
        <v>1.118922</v>
      </c>
      <c r="L6108">
        <v>27.61459</v>
      </c>
      <c r="M6108">
        <v>0.54974630000000002</v>
      </c>
      <c r="N6108">
        <v>-1.494784E-2</v>
      </c>
      <c r="O6108">
        <v>-0.83519809999999906</v>
      </c>
      <c r="P6108">
        <v>0.68761240000000001</v>
      </c>
      <c r="Q6108">
        <v>0.1706686</v>
      </c>
      <c r="R6108">
        <v>-0.7057348</v>
      </c>
      <c r="S6108">
        <v>2.4981990000000001</v>
      </c>
      <c r="T6108">
        <v>-0.2107821</v>
      </c>
      <c r="U6108">
        <v>-1.8724369999999999</v>
      </c>
      <c r="V6108">
        <v>-0.1898553</v>
      </c>
      <c r="W6108">
        <v>0.18150330000000001</v>
      </c>
      <c r="X6108">
        <v>0.96488940000000001</v>
      </c>
      <c r="Y6108">
        <v>-0.33722170000000001</v>
      </c>
      <c r="Z6108">
        <v>5.1686629999999997E-2</v>
      </c>
      <c r="AA6108">
        <v>0.94000530000000004</v>
      </c>
      <c r="AB6108">
        <v>25</v>
      </c>
      <c r="AC6108">
        <v>13.180099999999999</v>
      </c>
      <c r="AD6108">
        <v>-1.1189284505929999</v>
      </c>
      <c r="AE6108">
        <v>-9.8268900000000006</v>
      </c>
      <c r="AF6108">
        <v>-5.5804737843346297</v>
      </c>
      <c r="AG6108">
        <v>-1.1189284505929999</v>
      </c>
      <c r="AH6108">
        <v>15.383575830818399</v>
      </c>
      <c r="AI6108">
        <v>93.911536553898799</v>
      </c>
      <c r="AJ6108">
        <v>109.93850869184</v>
      </c>
      <c r="AK6108">
        <v>16.402685569068701</v>
      </c>
      <c r="AL6108">
        <v>79.542665164302406</v>
      </c>
      <c r="AM6108">
        <v>101.131532702412</v>
      </c>
      <c r="AN6108">
        <v>1.0000000185406599</v>
      </c>
    </row>
    <row r="6109" spans="1:40" x14ac:dyDescent="0.25">
      <c r="A6109" t="str">
        <f>"20190304154919286"</f>
        <v>20190304154919286</v>
      </c>
      <c r="B6109" t="str">
        <f>"1551685759273684"</f>
        <v>1551685759273684</v>
      </c>
      <c r="C6109" t="s">
        <v>40</v>
      </c>
      <c r="D6109">
        <v>4.2686960000000003</v>
      </c>
      <c r="E6109">
        <v>0.43339339999999998</v>
      </c>
      <c r="F6109" t="s">
        <v>68</v>
      </c>
      <c r="G6109">
        <v>-403.04570000000001</v>
      </c>
      <c r="H6109" s="1">
        <v>-6.4845649999999998E-6</v>
      </c>
      <c r="I6109">
        <v>17.788900000000002</v>
      </c>
      <c r="J6109">
        <v>-416.24590000000001</v>
      </c>
      <c r="K6109">
        <v>1.118976</v>
      </c>
      <c r="L6109">
        <v>27.50421</v>
      </c>
      <c r="M6109">
        <v>0.55516709999999903</v>
      </c>
      <c r="N6109">
        <v>-1.4963239999999999E-2</v>
      </c>
      <c r="O6109">
        <v>-0.83160419999999902</v>
      </c>
      <c r="P6109">
        <v>0.69237479999999996</v>
      </c>
      <c r="Q6109">
        <v>0.17029859999999999</v>
      </c>
      <c r="R6109">
        <v>-0.70115319999999903</v>
      </c>
      <c r="S6109">
        <v>2.509735</v>
      </c>
      <c r="T6109">
        <v>-0.21144260000000001</v>
      </c>
      <c r="U6109">
        <v>-1.8567499999999999</v>
      </c>
      <c r="V6109">
        <v>-0.19007969999999999</v>
      </c>
      <c r="W6109">
        <v>0.18111930000000001</v>
      </c>
      <c r="X6109">
        <v>0.96491740000000004</v>
      </c>
      <c r="Y6109">
        <v>-0.33695520000000001</v>
      </c>
      <c r="Z6109">
        <v>5.1755759999999998E-2</v>
      </c>
      <c r="AA6109">
        <v>0.94009710000000002</v>
      </c>
      <c r="AB6109">
        <v>25</v>
      </c>
      <c r="AC6109">
        <v>13.200199999999899</v>
      </c>
      <c r="AD6109">
        <v>-1.118982484565</v>
      </c>
      <c r="AE6109">
        <v>-9.7153099999999899</v>
      </c>
      <c r="AF6109">
        <v>-5.5584382026607404</v>
      </c>
      <c r="AG6109">
        <v>-1.118982484565</v>
      </c>
      <c r="AH6109">
        <v>15.3378437264079</v>
      </c>
      <c r="AI6109">
        <v>93.923796928173502</v>
      </c>
      <c r="AJ6109">
        <v>109.920528381618</v>
      </c>
      <c r="AK6109">
        <v>16.352302811202801</v>
      </c>
      <c r="AL6109">
        <v>79.565037785811597</v>
      </c>
      <c r="AM6109">
        <v>101.144045204035</v>
      </c>
      <c r="AN6109">
        <v>1.00000004100366</v>
      </c>
    </row>
    <row r="6110" spans="1:40" x14ac:dyDescent="0.25">
      <c r="A6110" t="str">
        <f>"20190304154919298"</f>
        <v>20190304154919298</v>
      </c>
      <c r="B6110" t="str">
        <f>"1551685759293204"</f>
        <v>1551685759293204</v>
      </c>
      <c r="C6110" t="s">
        <v>40</v>
      </c>
      <c r="D6110">
        <v>4.2420809999999998</v>
      </c>
      <c r="E6110">
        <v>0.43361519999999998</v>
      </c>
      <c r="F6110" t="s">
        <v>68</v>
      </c>
      <c r="G6110">
        <v>-403.00060000000002</v>
      </c>
      <c r="H6110" s="1">
        <v>-6.5048429999999899E-6</v>
      </c>
      <c r="I6110">
        <v>17.834910000000001</v>
      </c>
      <c r="J6110">
        <v>-416.17250000000001</v>
      </c>
      <c r="K6110">
        <v>1.1190199999999999</v>
      </c>
      <c r="L6110">
        <v>27.4054</v>
      </c>
      <c r="M6110">
        <v>0.56006210000000001</v>
      </c>
      <c r="N6110">
        <v>-1.4977249999999999E-2</v>
      </c>
      <c r="O6110">
        <v>-0.82831529999999998</v>
      </c>
      <c r="P6110">
        <v>0.69669029999999998</v>
      </c>
      <c r="Q6110">
        <v>0.16990520000000001</v>
      </c>
      <c r="R6110">
        <v>-0.69696119999999995</v>
      </c>
      <c r="S6110">
        <v>2.5213320000000001</v>
      </c>
      <c r="T6110">
        <v>-0.21300469999999999</v>
      </c>
      <c r="U6110">
        <v>-1.8406070000000001</v>
      </c>
      <c r="V6110">
        <v>-0.19030759999999999</v>
      </c>
      <c r="W6110">
        <v>0.1807127</v>
      </c>
      <c r="X6110">
        <v>0.96494869999999999</v>
      </c>
      <c r="Y6110">
        <v>-0.33736699999999997</v>
      </c>
      <c r="Z6110">
        <v>5.2118619999999997E-2</v>
      </c>
      <c r="AA6110">
        <v>0.93992940000000003</v>
      </c>
      <c r="AB6110">
        <v>25</v>
      </c>
      <c r="AC6110">
        <v>13.1718999999999</v>
      </c>
      <c r="AD6110">
        <v>-1.1190265048429999</v>
      </c>
      <c r="AE6110">
        <v>-9.5704899999999995</v>
      </c>
      <c r="AF6110">
        <v>-5.5249417455525798</v>
      </c>
      <c r="AG6110">
        <v>-1.1190265048429999</v>
      </c>
      <c r="AH6110">
        <v>15.2342194005486</v>
      </c>
      <c r="AI6110">
        <v>93.950221565464403</v>
      </c>
      <c r="AJ6110">
        <v>109.934014347123</v>
      </c>
      <c r="AK6110">
        <v>16.24372624598</v>
      </c>
      <c r="AL6110">
        <v>79.588724988461394</v>
      </c>
      <c r="AM6110">
        <v>101.156718745284</v>
      </c>
      <c r="AN6110">
        <v>1.00000002809536</v>
      </c>
    </row>
    <row r="6111" spans="1:40" x14ac:dyDescent="0.25">
      <c r="A6111" t="str">
        <f>"20190304154919308"</f>
        <v>20190304154919308</v>
      </c>
      <c r="B6111" t="str">
        <f>"1551685759302965"</f>
        <v>1551685759302965</v>
      </c>
      <c r="C6111" t="s">
        <v>40</v>
      </c>
      <c r="D6111">
        <v>4.2392459999999996</v>
      </c>
      <c r="E6111">
        <v>0.43365700000000001</v>
      </c>
      <c r="F6111" t="s">
        <v>68</v>
      </c>
      <c r="G6111">
        <v>-403.02910000000003</v>
      </c>
      <c r="H6111" s="1">
        <v>-6.5045080000000004E-6</v>
      </c>
      <c r="I6111">
        <v>17.916799999999999</v>
      </c>
      <c r="J6111">
        <v>-416.09679999999997</v>
      </c>
      <c r="K6111">
        <v>1.1190690000000001</v>
      </c>
      <c r="L6111">
        <v>27.304349999999999</v>
      </c>
      <c r="M6111">
        <v>0.56509619999999905</v>
      </c>
      <c r="N6111">
        <v>-1.499165E-2</v>
      </c>
      <c r="O6111">
        <v>-0.82488879999999998</v>
      </c>
      <c r="P6111">
        <v>0.70117050000000003</v>
      </c>
      <c r="Q6111">
        <v>0.1697273</v>
      </c>
      <c r="R6111">
        <v>-0.69249749999999999</v>
      </c>
      <c r="S6111">
        <v>2.530853</v>
      </c>
      <c r="T6111">
        <v>-0.21547530000000001</v>
      </c>
      <c r="U6111">
        <v>-1.8270869999999999</v>
      </c>
      <c r="V6111">
        <v>-0.1906495</v>
      </c>
      <c r="W6111">
        <v>0.1805186</v>
      </c>
      <c r="X6111">
        <v>0.96491749999999998</v>
      </c>
      <c r="Y6111">
        <v>-0.33657920000000002</v>
      </c>
      <c r="Z6111">
        <v>5.271054E-2</v>
      </c>
      <c r="AA6111">
        <v>0.94017879999999998</v>
      </c>
      <c r="AB6111">
        <v>25</v>
      </c>
      <c r="AC6111">
        <v>13.067699999999901</v>
      </c>
      <c r="AD6111">
        <v>-1.1190755045080001</v>
      </c>
      <c r="AE6111">
        <v>-9.3875499999999992</v>
      </c>
      <c r="AF6111">
        <v>-5.4487884857234397</v>
      </c>
      <c r="AG6111">
        <v>-1.1190755045080001</v>
      </c>
      <c r="AH6111">
        <v>15.057057464741099</v>
      </c>
      <c r="AI6111">
        <v>93.997733340756099</v>
      </c>
      <c r="AJ6111">
        <v>109.893976780882</v>
      </c>
      <c r="AK6111">
        <v>16.051685439338101</v>
      </c>
      <c r="AL6111">
        <v>79.600031649857996</v>
      </c>
      <c r="AM6111">
        <v>101.176610650917</v>
      </c>
      <c r="AN6111">
        <v>0.99999998930123002</v>
      </c>
    </row>
    <row r="6112" spans="1:40" x14ac:dyDescent="0.25">
      <c r="A6112" t="str">
        <f>"20190304154919319"</f>
        <v>20190304154919319</v>
      </c>
      <c r="B6112" t="str">
        <f>"1551685759313701"</f>
        <v>1551685759313701</v>
      </c>
      <c r="C6112" t="s">
        <v>40</v>
      </c>
      <c r="D6112">
        <v>4.1240350000000001</v>
      </c>
      <c r="E6112">
        <v>0.43365700000000001</v>
      </c>
      <c r="F6112" t="s">
        <v>68</v>
      </c>
      <c r="G6112">
        <v>-402.95229999999998</v>
      </c>
      <c r="H6112" s="1">
        <v>-6.5324199999999899E-6</v>
      </c>
      <c r="I6112">
        <v>17.93655</v>
      </c>
      <c r="J6112">
        <v>-416.0292</v>
      </c>
      <c r="K6112">
        <v>1.1191150000000001</v>
      </c>
      <c r="L6112">
        <v>27.21594</v>
      </c>
      <c r="M6112">
        <v>0.56956430000000002</v>
      </c>
      <c r="N6112">
        <v>-1.5005040000000001E-2</v>
      </c>
      <c r="O6112">
        <v>-0.82181000000000004</v>
      </c>
      <c r="P6112">
        <v>0.70501930000000002</v>
      </c>
      <c r="Q6112">
        <v>0.1693711</v>
      </c>
      <c r="R6112">
        <v>-0.68866669999999996</v>
      </c>
      <c r="S6112">
        <v>2.5418400000000001</v>
      </c>
      <c r="T6112">
        <v>-0.21640419999999999</v>
      </c>
      <c r="U6112">
        <v>-1.811523</v>
      </c>
      <c r="V6112">
        <v>-0.19075500000000001</v>
      </c>
      <c r="W6112">
        <v>0.18015220000000001</v>
      </c>
      <c r="X6112">
        <v>0.96496510000000002</v>
      </c>
      <c r="Y6112">
        <v>-0.33719519999999997</v>
      </c>
      <c r="Z6112">
        <v>5.2891880000000002E-2</v>
      </c>
      <c r="AA6112">
        <v>0.9399478</v>
      </c>
      <c r="AB6112">
        <v>25</v>
      </c>
      <c r="AC6112">
        <v>13.0769</v>
      </c>
      <c r="AD6112">
        <v>-1.1191215324199999</v>
      </c>
      <c r="AE6112">
        <v>-9.2793899999999994</v>
      </c>
      <c r="AF6112">
        <v>-5.4356540990300104</v>
      </c>
      <c r="AG6112">
        <v>-1.1191215324199999</v>
      </c>
      <c r="AH6112">
        <v>15.0026456034934</v>
      </c>
      <c r="AI6112">
        <v>94.011790194210604</v>
      </c>
      <c r="AJ6112">
        <v>109.91611208382</v>
      </c>
      <c r="AK6112">
        <v>15.9961915340073</v>
      </c>
      <c r="AL6112">
        <v>79.621374481915197</v>
      </c>
      <c r="AM6112">
        <v>101.182101919106</v>
      </c>
      <c r="AN6112">
        <v>0.99999996470392405</v>
      </c>
    </row>
    <row r="6113" spans="1:40" x14ac:dyDescent="0.25">
      <c r="A6113" t="str">
        <f>"20190304154919330"</f>
        <v>20190304154919330</v>
      </c>
      <c r="B6113" t="str">
        <f>"1551685759323461"</f>
        <v>1551685759323461</v>
      </c>
      <c r="C6113" t="s">
        <v>40</v>
      </c>
      <c r="D6113">
        <v>4.1216520000000001</v>
      </c>
      <c r="E6113">
        <v>0.41707440000000001</v>
      </c>
      <c r="F6113" t="s">
        <v>68</v>
      </c>
      <c r="G6113">
        <v>-402.91019999999997</v>
      </c>
      <c r="H6113" s="1">
        <v>-6.5506649999999999E-6</v>
      </c>
      <c r="I6113">
        <v>17.973179999999999</v>
      </c>
      <c r="J6113">
        <v>-415.95519999999999</v>
      </c>
      <c r="K6113">
        <v>1.1191660000000001</v>
      </c>
      <c r="L6113">
        <v>27.119599999999998</v>
      </c>
      <c r="M6113">
        <v>0.57444079999999997</v>
      </c>
      <c r="N6113">
        <v>-1.501942E-2</v>
      </c>
      <c r="O6113">
        <v>-0.81840840000000004</v>
      </c>
      <c r="P6113">
        <v>0.7093798</v>
      </c>
      <c r="Q6113">
        <v>0.1689194</v>
      </c>
      <c r="R6113">
        <v>-0.68428580000000006</v>
      </c>
      <c r="S6113">
        <v>2.5515439999999998</v>
      </c>
      <c r="T6113">
        <v>-0.21765950000000001</v>
      </c>
      <c r="U6113">
        <v>-1.7976380000000001</v>
      </c>
      <c r="V6113">
        <v>-0.1910974</v>
      </c>
      <c r="W6113">
        <v>0.1796846</v>
      </c>
      <c r="X6113">
        <v>0.96498459999999997</v>
      </c>
      <c r="Y6113">
        <v>-0.33668379999999998</v>
      </c>
      <c r="Z6113">
        <v>5.3124959999999999E-2</v>
      </c>
      <c r="AA6113">
        <v>0.94011800000000001</v>
      </c>
      <c r="AB6113">
        <v>25</v>
      </c>
      <c r="AC6113">
        <v>13.045</v>
      </c>
      <c r="AD6113">
        <v>-1.1191725506650001</v>
      </c>
      <c r="AE6113">
        <v>-9.1464200000000009</v>
      </c>
      <c r="AF6113">
        <v>-5.3960447079051699</v>
      </c>
      <c r="AG6113">
        <v>-1.1191725506650001</v>
      </c>
      <c r="AH6113">
        <v>14.9072147691535</v>
      </c>
      <c r="AI6113">
        <v>94.0380061286711</v>
      </c>
      <c r="AJ6113">
        <v>109.89900872521299</v>
      </c>
      <c r="AK6113">
        <v>15.8932343423717</v>
      </c>
      <c r="AL6113">
        <v>79.648611069612897</v>
      </c>
      <c r="AM6113">
        <v>101.201445725204</v>
      </c>
      <c r="AN6113">
        <v>1.0000000250005301</v>
      </c>
    </row>
    <row r="6114" spans="1:40" x14ac:dyDescent="0.25">
      <c r="A6114" t="str">
        <f>"20190304154919340"</f>
        <v>20190304154919340</v>
      </c>
      <c r="B6114" t="str">
        <f>"1551685759333221"</f>
        <v>1551685759333221</v>
      </c>
      <c r="C6114" t="s">
        <v>40</v>
      </c>
      <c r="D6114">
        <v>4.1395920000000004</v>
      </c>
      <c r="E6114">
        <v>0.41707440000000001</v>
      </c>
      <c r="F6114" t="s">
        <v>44</v>
      </c>
      <c r="G6114">
        <v>-391.86290000000002</v>
      </c>
      <c r="H6114" s="1">
        <v>-5.1965210000000001E-6</v>
      </c>
      <c r="I6114">
        <v>11.89508</v>
      </c>
      <c r="J6114">
        <v>-415.89049999999997</v>
      </c>
      <c r="K6114">
        <v>1.11921</v>
      </c>
      <c r="L6114">
        <v>27.037230000000001</v>
      </c>
      <c r="M6114">
        <v>0.57868109999999995</v>
      </c>
      <c r="N6114">
        <v>-1.503287E-2</v>
      </c>
      <c r="O6114">
        <v>-0.81541519999999901</v>
      </c>
      <c r="P6114">
        <v>0.7132307</v>
      </c>
      <c r="Q6114">
        <v>0.16869010000000001</v>
      </c>
      <c r="R6114">
        <v>-0.68032780000000004</v>
      </c>
      <c r="S6114">
        <v>2.6456300000000001</v>
      </c>
      <c r="T6114">
        <v>-0.1228992</v>
      </c>
      <c r="U6114">
        <v>-1.6718440000000001</v>
      </c>
      <c r="V6114">
        <v>-0.19151889999999999</v>
      </c>
      <c r="W6114">
        <v>0.179438299999999</v>
      </c>
      <c r="X6114">
        <v>0.96494690000000005</v>
      </c>
      <c r="Y6114">
        <v>-0.37976549999999998</v>
      </c>
      <c r="Z6114">
        <v>2.594774E-2</v>
      </c>
      <c r="AA6114">
        <v>0.92471879999999995</v>
      </c>
      <c r="AB6114">
        <v>25</v>
      </c>
      <c r="AC6114">
        <v>24.0275999999999</v>
      </c>
      <c r="AD6114">
        <v>-1.119215196521</v>
      </c>
      <c r="AE6114">
        <v>-15.1421499999999</v>
      </c>
      <c r="AF6114">
        <v>-10.8144250244732</v>
      </c>
      <c r="AG6114">
        <v>-1.119215196521</v>
      </c>
      <c r="AH6114">
        <v>26.213718132958</v>
      </c>
      <c r="AI6114">
        <v>92.260231477477305</v>
      </c>
      <c r="AJ6114">
        <v>112.41851273189199</v>
      </c>
      <c r="AK6114">
        <v>28.378926153402102</v>
      </c>
      <c r="AL6114">
        <v>79.662956500196998</v>
      </c>
      <c r="AM6114">
        <v>101.22595322615599</v>
      </c>
      <c r="AN6114">
        <v>1.0000000561918501</v>
      </c>
    </row>
    <row r="6115" spans="1:40" x14ac:dyDescent="0.25">
      <c r="A6115" t="str">
        <f>"20190304154919350"</f>
        <v>20190304154919350</v>
      </c>
      <c r="B6115" t="str">
        <f>"1551685759342980"</f>
        <v>1551685759342980</v>
      </c>
      <c r="C6115" t="s">
        <v>40</v>
      </c>
      <c r="D6115">
        <v>4.1465069999999997</v>
      </c>
      <c r="E6115">
        <v>0.4201607</v>
      </c>
      <c r="F6115" t="s">
        <v>44</v>
      </c>
      <c r="G6115">
        <v>-391.88510000000002</v>
      </c>
      <c r="H6115" s="1">
        <v>-5.1576039999999997E-6</v>
      </c>
      <c r="I6115">
        <v>12.05541</v>
      </c>
      <c r="J6115">
        <v>-415.81720000000001</v>
      </c>
      <c r="K6115">
        <v>1.1192599999999999</v>
      </c>
      <c r="L6115">
        <v>26.944030000000001</v>
      </c>
      <c r="M6115">
        <v>0.58347550000000004</v>
      </c>
      <c r="N6115">
        <v>-1.5047700000000001E-2</v>
      </c>
      <c r="O6115">
        <v>-0.81199140000000003</v>
      </c>
      <c r="P6115">
        <v>0.71721610000000002</v>
      </c>
      <c r="Q6115">
        <v>0.16863129999999901</v>
      </c>
      <c r="R6115">
        <v>-0.67613979999999996</v>
      </c>
      <c r="S6115">
        <v>2.654938</v>
      </c>
      <c r="T6115">
        <v>-0.1237824</v>
      </c>
      <c r="U6115">
        <v>-1.656952</v>
      </c>
      <c r="V6115">
        <v>-0.19151670000000001</v>
      </c>
      <c r="W6115">
        <v>0.1793708</v>
      </c>
      <c r="X6115">
        <v>0.96495989999999998</v>
      </c>
      <c r="Y6115">
        <v>-0.37949739999999998</v>
      </c>
      <c r="Z6115">
        <v>2.61628E-2</v>
      </c>
      <c r="AA6115">
        <v>0.92482279999999994</v>
      </c>
      <c r="AB6115">
        <v>25</v>
      </c>
      <c r="AC6115">
        <v>23.932099999999899</v>
      </c>
      <c r="AD6115">
        <v>-1.119265157604</v>
      </c>
      <c r="AE6115">
        <v>-14.8886199999999</v>
      </c>
      <c r="AF6115">
        <v>-10.7298101176559</v>
      </c>
      <c r="AG6115">
        <v>-1.119265157604</v>
      </c>
      <c r="AH6115">
        <v>26.015149354213101</v>
      </c>
      <c r="AI6115">
        <v>92.277649970430801</v>
      </c>
      <c r="AJ6115">
        <v>112.413439040803</v>
      </c>
      <c r="AK6115">
        <v>28.163266422345099</v>
      </c>
      <c r="AL6115">
        <v>79.666887886471002</v>
      </c>
      <c r="AM6115">
        <v>101.225680152889</v>
      </c>
      <c r="AN6115">
        <v>1.0000000694397599</v>
      </c>
    </row>
    <row r="6116" spans="1:40" x14ac:dyDescent="0.25">
      <c r="A6116" t="str">
        <f>"20190304154919362"</f>
        <v>20190304154919362</v>
      </c>
      <c r="B6116" t="str">
        <f>"1551685759353716"</f>
        <v>1551685759353716</v>
      </c>
      <c r="C6116" t="s">
        <v>40</v>
      </c>
      <c r="D6116">
        <v>4.1252380000000004</v>
      </c>
      <c r="E6116">
        <v>0.42001250000000001</v>
      </c>
      <c r="F6116" t="s">
        <v>44</v>
      </c>
      <c r="G6116">
        <v>-394.62970000000001</v>
      </c>
      <c r="H6116" s="1">
        <v>-3.63353E-6</v>
      </c>
      <c r="I6116">
        <v>13.65174</v>
      </c>
      <c r="J6116">
        <v>-415.73939999999999</v>
      </c>
      <c r="K6116">
        <v>1.1193150000000001</v>
      </c>
      <c r="L6116">
        <v>26.847380000000001</v>
      </c>
      <c r="M6116">
        <v>0.58853719999999998</v>
      </c>
      <c r="N6116">
        <v>-1.506438E-2</v>
      </c>
      <c r="O6116">
        <v>-0.80832990000000005</v>
      </c>
      <c r="P6116">
        <v>0.72131699999999999</v>
      </c>
      <c r="Q6116">
        <v>0.16860910000000001</v>
      </c>
      <c r="R6116">
        <v>-0.67176859999999905</v>
      </c>
      <c r="S6116">
        <v>2.6490170000000002</v>
      </c>
      <c r="T6116">
        <v>-0.13993810000000001</v>
      </c>
      <c r="U6116">
        <v>-1.66189599999999</v>
      </c>
      <c r="V6116">
        <v>-0.1913801</v>
      </c>
      <c r="W6116">
        <v>0.17934220000000001</v>
      </c>
      <c r="X6116">
        <v>0.96499219999999997</v>
      </c>
      <c r="Y6116">
        <v>-0.37139349999999999</v>
      </c>
      <c r="Z6116">
        <v>3.0752140000000001E-2</v>
      </c>
      <c r="AA6116">
        <v>0.92796610000000002</v>
      </c>
      <c r="AB6116">
        <v>25</v>
      </c>
      <c r="AC6116">
        <v>21.109699999999901</v>
      </c>
      <c r="AD6116">
        <v>-1.1193186335299901</v>
      </c>
      <c r="AE6116">
        <v>-13.1956399999999</v>
      </c>
      <c r="AF6116">
        <v>-9.2797709220693196</v>
      </c>
      <c r="AG6116">
        <v>-1.1193186335299901</v>
      </c>
      <c r="AH6116">
        <v>23.046301879535701</v>
      </c>
      <c r="AI6116">
        <v>92.579607187749701</v>
      </c>
      <c r="AJ6116">
        <v>111.932560639147</v>
      </c>
      <c r="AK6116">
        <v>24.869641189453102</v>
      </c>
      <c r="AL6116">
        <v>79.668552378541406</v>
      </c>
      <c r="AM6116">
        <v>101.21751055778</v>
      </c>
      <c r="AN6116">
        <v>0.99999995671884401</v>
      </c>
    </row>
    <row r="6117" spans="1:40" x14ac:dyDescent="0.25">
      <c r="A6117" t="str">
        <f>"20190304154919373"</f>
        <v>20190304154919373</v>
      </c>
      <c r="B6117" t="str">
        <f>"1551685759363477"</f>
        <v>1551685759363477</v>
      </c>
      <c r="C6117" t="s">
        <v>40</v>
      </c>
      <c r="D6117">
        <v>4.1180849999999998</v>
      </c>
      <c r="E6117">
        <v>0.42032439999999999</v>
      </c>
      <c r="F6117" t="s">
        <v>44</v>
      </c>
      <c r="G6117">
        <v>-394.226</v>
      </c>
      <c r="H6117" s="1">
        <v>-3.816299E-6</v>
      </c>
      <c r="I6117">
        <v>13.547420000000001</v>
      </c>
      <c r="J6117">
        <v>-415.66460000000001</v>
      </c>
      <c r="K6117">
        <v>1.119362</v>
      </c>
      <c r="L6117">
        <v>26.754729999999999</v>
      </c>
      <c r="M6117">
        <v>0.59338939999999996</v>
      </c>
      <c r="N6117">
        <v>-1.507997E-2</v>
      </c>
      <c r="O6117">
        <v>-0.804774199999999</v>
      </c>
      <c r="P6117">
        <v>0.72535119999999997</v>
      </c>
      <c r="Q6117">
        <v>0.16851429999999901</v>
      </c>
      <c r="R6117">
        <v>-0.66743430000000004</v>
      </c>
      <c r="S6117">
        <v>2.6599729999999999</v>
      </c>
      <c r="T6117">
        <v>-0.1383953</v>
      </c>
      <c r="U6117">
        <v>-1.6444399999999999</v>
      </c>
      <c r="V6117">
        <v>-0.19139529999999999</v>
      </c>
      <c r="W6117">
        <v>0.1792385</v>
      </c>
      <c r="X6117">
        <v>0.96500850000000005</v>
      </c>
      <c r="Y6117">
        <v>-0.37193929999999997</v>
      </c>
      <c r="Z6117">
        <v>3.0249100000000001E-2</v>
      </c>
      <c r="AA6117">
        <v>0.92776409999999998</v>
      </c>
      <c r="AB6117">
        <v>25</v>
      </c>
      <c r="AC6117">
        <v>21.438600000000001</v>
      </c>
      <c r="AD6117">
        <v>-1.1193658162989999</v>
      </c>
      <c r="AE6117">
        <v>-13.2073099999999</v>
      </c>
      <c r="AF6117">
        <v>-9.3986524359427897</v>
      </c>
      <c r="AG6117">
        <v>-1.1193658162989999</v>
      </c>
      <c r="AH6117">
        <v>23.306938642345202</v>
      </c>
      <c r="AI6117">
        <v>92.550377726441496</v>
      </c>
      <c r="AJ6117">
        <v>111.96203000966401</v>
      </c>
      <c r="AK6117">
        <v>25.155536891912998</v>
      </c>
      <c r="AL6117">
        <v>79.674592295065807</v>
      </c>
      <c r="AM6117">
        <v>101.218194207518</v>
      </c>
      <c r="AN6117">
        <v>1.0000000029082901</v>
      </c>
    </row>
    <row r="6118" spans="1:40" x14ac:dyDescent="0.25">
      <c r="A6118" t="str">
        <f>"20190304154919383"</f>
        <v>20190304154919383</v>
      </c>
      <c r="B6118" t="str">
        <f>"1551685759373237"</f>
        <v>1551685759373237</v>
      </c>
      <c r="C6118" t="s">
        <v>40</v>
      </c>
      <c r="D6118">
        <v>4.1503519999999998</v>
      </c>
      <c r="E6118">
        <v>0.42047879999999899</v>
      </c>
      <c r="F6118" t="s">
        <v>44</v>
      </c>
      <c r="G6118">
        <v>-394.37889999999999</v>
      </c>
      <c r="H6118" s="1">
        <v>-3.703954E-6</v>
      </c>
      <c r="I6118">
        <v>13.749029999999999</v>
      </c>
      <c r="J6118">
        <v>-415.58499999999998</v>
      </c>
      <c r="K6118">
        <v>1.1194139999999999</v>
      </c>
      <c r="L6118">
        <v>26.658359999999998</v>
      </c>
      <c r="M6118">
        <v>0.59852090000000002</v>
      </c>
      <c r="N6118">
        <v>-1.5097019999999999E-2</v>
      </c>
      <c r="O6118">
        <v>-0.80096499999999904</v>
      </c>
      <c r="P6118">
        <v>0.729761199999999</v>
      </c>
      <c r="Q6118">
        <v>0.16784859999999999</v>
      </c>
      <c r="R6118">
        <v>-0.66277849999999905</v>
      </c>
      <c r="S6118">
        <v>2.6683349999999999</v>
      </c>
      <c r="T6118">
        <v>-0.14032159999999999</v>
      </c>
      <c r="U6118">
        <v>-1.630371</v>
      </c>
      <c r="V6118">
        <v>-0.19153700000000001</v>
      </c>
      <c r="W6118">
        <v>0.17856240000000001</v>
      </c>
      <c r="X6118">
        <v>0.96510569999999896</v>
      </c>
      <c r="Y6118">
        <v>-0.37084410000000001</v>
      </c>
      <c r="Z6118">
        <v>3.0729889999999999E-2</v>
      </c>
      <c r="AA6118">
        <v>0.92818659999999997</v>
      </c>
      <c r="AB6118">
        <v>25</v>
      </c>
      <c r="AC6118">
        <v>21.2060999999999</v>
      </c>
      <c r="AD6118">
        <v>-1.1194177039540001</v>
      </c>
      <c r="AE6118">
        <v>-12.909330000000001</v>
      </c>
      <c r="AF6118">
        <v>-9.2411068110446895</v>
      </c>
      <c r="AG6118">
        <v>-1.1194177039540001</v>
      </c>
      <c r="AH6118">
        <v>22.988102433457399</v>
      </c>
      <c r="AI6118">
        <v>92.586950356822996</v>
      </c>
      <c r="AJ6118">
        <v>111.899890323045</v>
      </c>
      <c r="AK6118">
        <v>24.801290381352999</v>
      </c>
      <c r="AL6118">
        <v>79.713964956779904</v>
      </c>
      <c r="AM6118">
        <v>101.22518682320499</v>
      </c>
      <c r="AN6118">
        <v>0.99999998261762402</v>
      </c>
    </row>
    <row r="6119" spans="1:40" x14ac:dyDescent="0.25">
      <c r="A6119" t="str">
        <f>"20190304154919394"</f>
        <v>20190304154919394</v>
      </c>
      <c r="B6119" t="str">
        <f>"1551685759382996"</f>
        <v>1551685759382996</v>
      </c>
      <c r="C6119" t="s">
        <v>40</v>
      </c>
      <c r="D6119">
        <v>4.1572889999999996</v>
      </c>
      <c r="E6119">
        <v>0.4205412</v>
      </c>
      <c r="F6119" t="s">
        <v>44</v>
      </c>
      <c r="G6119">
        <v>-394.54590000000002</v>
      </c>
      <c r="H6119" s="1">
        <v>-3.5778630000000001E-6</v>
      </c>
      <c r="I6119">
        <v>13.98188</v>
      </c>
      <c r="J6119">
        <v>-415.5129</v>
      </c>
      <c r="K6119">
        <v>1.119462</v>
      </c>
      <c r="L6119">
        <v>26.57169</v>
      </c>
      <c r="M6119">
        <v>0.60314639999999997</v>
      </c>
      <c r="N6119">
        <v>-1.511202E-2</v>
      </c>
      <c r="O6119">
        <v>-0.79748759999999996</v>
      </c>
      <c r="P6119">
        <v>0.73362959999999899</v>
      </c>
      <c r="Q6119">
        <v>0.16763649999999999</v>
      </c>
      <c r="R6119">
        <v>-0.65854840000000003</v>
      </c>
      <c r="S6119">
        <v>2.6781619999999999</v>
      </c>
      <c r="T6119">
        <v>-0.14249589999999901</v>
      </c>
      <c r="U6119">
        <v>-1.6136469999999901</v>
      </c>
      <c r="V6119">
        <v>-0.19158710000000001</v>
      </c>
      <c r="W6119">
        <v>0.1783419</v>
      </c>
      <c r="X6119">
        <v>0.96513649999999995</v>
      </c>
      <c r="Y6119">
        <v>-0.37120550000000002</v>
      </c>
      <c r="Z6119">
        <v>3.1314630000000003E-2</v>
      </c>
      <c r="AA6119">
        <v>0.92802260000000003</v>
      </c>
      <c r="AB6119">
        <v>25</v>
      </c>
      <c r="AC6119">
        <v>20.966999999999899</v>
      </c>
      <c r="AD6119">
        <v>-1.119465577863</v>
      </c>
      <c r="AE6119">
        <v>-12.58981</v>
      </c>
      <c r="AF6119">
        <v>-9.1093780407641791</v>
      </c>
      <c r="AG6119">
        <v>-1.119465577863</v>
      </c>
      <c r="AH6119">
        <v>22.641534522459398</v>
      </c>
      <c r="AI6119">
        <v>92.626300892282899</v>
      </c>
      <c r="AJ6119">
        <v>111.916423025092</v>
      </c>
      <c r="AK6119">
        <v>24.430985592097901</v>
      </c>
      <c r="AL6119">
        <v>79.726804506570105</v>
      </c>
      <c r="AM6119">
        <v>101.227699176257</v>
      </c>
      <c r="AN6119">
        <v>0.99999995690713395</v>
      </c>
    </row>
    <row r="6120" spans="1:40" x14ac:dyDescent="0.25">
      <c r="A6120" t="str">
        <f>"20190304154919408"</f>
        <v>20190304154919408</v>
      </c>
      <c r="B6120" t="str">
        <f>"1551685759403492"</f>
        <v>1551685759403492</v>
      </c>
      <c r="C6120" t="s">
        <v>40</v>
      </c>
      <c r="D6120">
        <v>4.1902480000000004</v>
      </c>
      <c r="E6120">
        <v>0.42124430000000002</v>
      </c>
      <c r="F6120" t="s">
        <v>44</v>
      </c>
      <c r="G6120">
        <v>-394.47539999999998</v>
      </c>
      <c r="H6120" s="1">
        <v>-3.5843670000000001E-6</v>
      </c>
      <c r="I6120">
        <v>14.05922</v>
      </c>
      <c r="J6120">
        <v>-415.42430000000002</v>
      </c>
      <c r="K6120">
        <v>1.119518</v>
      </c>
      <c r="L6120">
        <v>26.46707</v>
      </c>
      <c r="M6120">
        <v>0.6087958</v>
      </c>
      <c r="N6120">
        <v>-1.513043E-2</v>
      </c>
      <c r="O6120">
        <v>-0.79318269999999902</v>
      </c>
      <c r="P6120">
        <v>0.73847309999999999</v>
      </c>
      <c r="Q6120">
        <v>0.16676769999999999</v>
      </c>
      <c r="R6120">
        <v>-0.65333469999999905</v>
      </c>
      <c r="S6120">
        <v>2.6872560000000001</v>
      </c>
      <c r="T6120">
        <v>-0.1429964</v>
      </c>
      <c r="U6120">
        <v>-1.5982970000000001</v>
      </c>
      <c r="V6120">
        <v>-0.19173119999999999</v>
      </c>
      <c r="W6120">
        <v>0.1774645</v>
      </c>
      <c r="X6120">
        <v>0.96526959999999995</v>
      </c>
      <c r="Y6120">
        <v>-0.36990260000000003</v>
      </c>
      <c r="Z6120">
        <v>3.135686E-2</v>
      </c>
      <c r="AA6120">
        <v>0.92854119999999996</v>
      </c>
      <c r="AB6120">
        <v>25</v>
      </c>
      <c r="AC6120">
        <v>20.948899999999998</v>
      </c>
      <c r="AD6120">
        <v>-1.1195215843669999</v>
      </c>
      <c r="AE6120">
        <v>-12.4078499999999</v>
      </c>
      <c r="AF6120">
        <v>-9.0443736499599101</v>
      </c>
      <c r="AG6120">
        <v>-1.1195215843669999</v>
      </c>
      <c r="AH6120">
        <v>22.5502046113671</v>
      </c>
      <c r="AI6120">
        <v>92.638196048610595</v>
      </c>
      <c r="AJ6120">
        <v>111.854597348243</v>
      </c>
      <c r="AK6120">
        <v>24.3221247285774</v>
      </c>
      <c r="AL6120">
        <v>79.777890697354096</v>
      </c>
      <c r="AM6120">
        <v>101.234419288021</v>
      </c>
      <c r="AN6120">
        <v>0.99999995124892305</v>
      </c>
    </row>
    <row r="6121" spans="1:40" x14ac:dyDescent="0.25">
      <c r="A6121" t="str">
        <f>"20190304154919421"</f>
        <v>20190304154919421</v>
      </c>
      <c r="B6121" t="str">
        <f>"1551685759413252"</f>
        <v>1551685759413252</v>
      </c>
      <c r="C6121" t="s">
        <v>40</v>
      </c>
      <c r="D6121">
        <v>4.4788199999999998</v>
      </c>
      <c r="E6121">
        <v>0.42124430000000002</v>
      </c>
      <c r="F6121" t="s">
        <v>44</v>
      </c>
      <c r="G6121">
        <v>-395.12459999999999</v>
      </c>
      <c r="H6121" s="1">
        <v>-3.206678E-6</v>
      </c>
      <c r="I6121">
        <v>14.54161</v>
      </c>
      <c r="J6121">
        <v>-415.33190000000002</v>
      </c>
      <c r="K6121">
        <v>1.11957</v>
      </c>
      <c r="L6121">
        <v>26.359559999999998</v>
      </c>
      <c r="M6121">
        <v>0.61465360000000002</v>
      </c>
      <c r="N6121">
        <v>-1.5148989999999999E-2</v>
      </c>
      <c r="O6121">
        <v>-0.78865180000000001</v>
      </c>
      <c r="P6121">
        <v>0.74337690000000001</v>
      </c>
      <c r="Q6121">
        <v>0.16649749999999999</v>
      </c>
      <c r="R6121">
        <v>-0.64781919999999904</v>
      </c>
      <c r="S6121">
        <v>2.6951900000000002</v>
      </c>
      <c r="T6121">
        <v>-0.14863879999999999</v>
      </c>
      <c r="U6121">
        <v>-1.5833440000000001</v>
      </c>
      <c r="V6121">
        <v>-0.191834</v>
      </c>
      <c r="W6121">
        <v>0.1771857</v>
      </c>
      <c r="X6121">
        <v>0.96530039999999995</v>
      </c>
      <c r="Y6121">
        <v>-0.36798740000000002</v>
      </c>
      <c r="Z6121">
        <v>3.2876629999999997E-2</v>
      </c>
      <c r="AA6121">
        <v>0.9292494</v>
      </c>
      <c r="AB6121">
        <v>25</v>
      </c>
      <c r="AC6121">
        <v>20.2073</v>
      </c>
      <c r="AD6121">
        <v>-1.119573206678</v>
      </c>
      <c r="AE6121">
        <v>-11.8179499999999</v>
      </c>
      <c r="AF6121">
        <v>-8.6537785599880905</v>
      </c>
      <c r="AG6121">
        <v>-1.119573206678</v>
      </c>
      <c r="AH6121">
        <v>21.6936100889661</v>
      </c>
      <c r="AI6121">
        <v>92.744386054455703</v>
      </c>
      <c r="AJ6121">
        <v>111.74750668682699</v>
      </c>
      <c r="AK6121">
        <v>23.3827724237848</v>
      </c>
      <c r="AL6121">
        <v>79.794122070077606</v>
      </c>
      <c r="AM6121">
        <v>101.239939976107</v>
      </c>
      <c r="AN6121">
        <v>0.99999995904032402</v>
      </c>
    </row>
    <row r="6122" spans="1:40" x14ac:dyDescent="0.25">
      <c r="A6122" t="str">
        <f>"20190304154919433"</f>
        <v>20190304154919433</v>
      </c>
      <c r="B6122" t="str">
        <f>"1551685759423519"</f>
        <v>1551685759423519</v>
      </c>
      <c r="C6122" t="s">
        <v>40</v>
      </c>
      <c r="D6122">
        <v>4.2228789999999998</v>
      </c>
      <c r="E6122">
        <v>0.42217519999999997</v>
      </c>
      <c r="F6122" t="s">
        <v>44</v>
      </c>
      <c r="G6122">
        <v>-395.04</v>
      </c>
      <c r="H6122" s="1">
        <v>-3.2123659999999998E-6</v>
      </c>
      <c r="I6122">
        <v>14.64235</v>
      </c>
      <c r="J6122">
        <v>-415.23950000000002</v>
      </c>
      <c r="K6122">
        <v>1.1196200000000001</v>
      </c>
      <c r="L6122">
        <v>26.253360000000001</v>
      </c>
      <c r="M6122">
        <v>0.62046659999999998</v>
      </c>
      <c r="N6122">
        <v>-1.5166799999999999E-2</v>
      </c>
      <c r="O6122">
        <v>-0.78408619999999996</v>
      </c>
      <c r="P6122">
        <v>0.74830980000000002</v>
      </c>
      <c r="Q6122">
        <v>0.16601669999999999</v>
      </c>
      <c r="R6122">
        <v>-0.64223920000000001</v>
      </c>
      <c r="S6122">
        <v>2.7069399999999999</v>
      </c>
      <c r="T6122">
        <v>-0.1493515</v>
      </c>
      <c r="U6122">
        <v>-1.56308</v>
      </c>
      <c r="V6122">
        <v>-0.19201650000000001</v>
      </c>
      <c r="W6122">
        <v>0.1766953</v>
      </c>
      <c r="X6122">
        <v>0.96535409999999999</v>
      </c>
      <c r="Y6122">
        <v>-0.36807129999999999</v>
      </c>
      <c r="Z6122">
        <v>3.299436E-2</v>
      </c>
      <c r="AA6122">
        <v>0.92921200000000004</v>
      </c>
      <c r="AB6122">
        <v>25</v>
      </c>
      <c r="AC6122">
        <v>20.1995</v>
      </c>
      <c r="AD6122">
        <v>-1.1196232123659999</v>
      </c>
      <c r="AE6122">
        <v>-11.611009999999901</v>
      </c>
      <c r="AF6122">
        <v>-8.6150040824056404</v>
      </c>
      <c r="AG6122">
        <v>-1.1196232123659999</v>
      </c>
      <c r="AH6122">
        <v>21.5897800732196</v>
      </c>
      <c r="AI6122">
        <v>92.757570997682294</v>
      </c>
      <c r="AJ6122">
        <v>111.753560497644</v>
      </c>
      <c r="AK6122">
        <v>23.272096061324699</v>
      </c>
      <c r="AL6122">
        <v>79.822671324399096</v>
      </c>
      <c r="AM6122">
        <v>101.249750537587</v>
      </c>
      <c r="AN6122">
        <v>1.0000000518505701</v>
      </c>
    </row>
    <row r="6123" spans="1:40" x14ac:dyDescent="0.25">
      <c r="A6123" t="str">
        <f>"20190304154919445"</f>
        <v>20190304154919445</v>
      </c>
      <c r="B6123" t="str">
        <f>"1551685759443039"</f>
        <v>1551685759443039</v>
      </c>
      <c r="C6123" t="s">
        <v>40</v>
      </c>
      <c r="D6123">
        <v>4.2294890000000001</v>
      </c>
      <c r="E6123">
        <v>0.42580849999999998</v>
      </c>
      <c r="F6123" t="s">
        <v>86</v>
      </c>
      <c r="G6123">
        <v>-386.8107</v>
      </c>
      <c r="H6123" s="1">
        <v>-3.7628920000000002E-6</v>
      </c>
      <c r="I6123">
        <v>10.07874</v>
      </c>
      <c r="J6123">
        <v>-415.1465</v>
      </c>
      <c r="K6123">
        <v>1.1196630000000001</v>
      </c>
      <c r="L6123">
        <v>26.148710000000001</v>
      </c>
      <c r="M6123">
        <v>0.626274199999999</v>
      </c>
      <c r="N6123">
        <v>-1.518423E-2</v>
      </c>
      <c r="O6123">
        <v>-0.77945500000000001</v>
      </c>
      <c r="P6123">
        <v>0.7531293</v>
      </c>
      <c r="Q6123">
        <v>0.165440899999999</v>
      </c>
      <c r="R6123">
        <v>-0.63673059999999904</v>
      </c>
      <c r="S6123">
        <v>2.7095950000000002</v>
      </c>
      <c r="T6123">
        <v>-0.1067129</v>
      </c>
      <c r="U6123">
        <v>-1.5416259999999999</v>
      </c>
      <c r="V6123">
        <v>-0.19203529999999999</v>
      </c>
      <c r="W6123">
        <v>0.17611650000000001</v>
      </c>
      <c r="X6123">
        <v>0.96545610000000004</v>
      </c>
      <c r="Y6123">
        <v>-0.36747960000000002</v>
      </c>
      <c r="Z6123">
        <v>2.0729919999999999E-2</v>
      </c>
      <c r="AA6123">
        <v>0.92980050000000003</v>
      </c>
      <c r="AB6123">
        <v>25</v>
      </c>
      <c r="AC6123">
        <v>28.335799999999999</v>
      </c>
      <c r="AD6123">
        <v>-1.1196667628919901</v>
      </c>
      <c r="AE6123">
        <v>-16.069970000000001</v>
      </c>
      <c r="AF6123">
        <v>-12.0094714056836</v>
      </c>
      <c r="AG6123">
        <v>-1.1196667628919901</v>
      </c>
      <c r="AH6123">
        <v>30.239563867206499</v>
      </c>
      <c r="AI6123">
        <v>91.970888735298104</v>
      </c>
      <c r="AJ6123">
        <v>111.66022100190401</v>
      </c>
      <c r="AK6123">
        <v>32.5562940148709</v>
      </c>
      <c r="AL6123">
        <v>79.856362252719904</v>
      </c>
      <c r="AM6123">
        <v>101.24966555757</v>
      </c>
      <c r="AN6123">
        <v>1.00000002952277</v>
      </c>
    </row>
    <row r="6124" spans="1:40" x14ac:dyDescent="0.25">
      <c r="A6124" t="str">
        <f>"20190304154919457"</f>
        <v>20190304154919457</v>
      </c>
      <c r="B6124" t="str">
        <f>"1551685759453777"</f>
        <v>1551685759453777</v>
      </c>
      <c r="C6124" t="s">
        <v>40</v>
      </c>
      <c r="D6124">
        <v>4.2529649999999997</v>
      </c>
      <c r="E6124">
        <v>0.42595820000000001</v>
      </c>
      <c r="F6124" t="s">
        <v>44</v>
      </c>
      <c r="G6124">
        <v>-396.07780000000002</v>
      </c>
      <c r="H6124" s="1">
        <v>-2.6568519999999999E-6</v>
      </c>
      <c r="I6124">
        <v>15.23244</v>
      </c>
      <c r="J6124">
        <v>-415.06279999999998</v>
      </c>
      <c r="K6124">
        <v>1.1196980000000001</v>
      </c>
      <c r="L6124">
        <v>26.05566</v>
      </c>
      <c r="M6124">
        <v>0.63146689999999905</v>
      </c>
      <c r="N6124">
        <v>-1.519935E-2</v>
      </c>
      <c r="O6124">
        <v>-0.77525409999999995</v>
      </c>
      <c r="P6124">
        <v>0.75740529999999995</v>
      </c>
      <c r="Q6124">
        <v>0.1647556</v>
      </c>
      <c r="R6124">
        <v>-0.63181719999999997</v>
      </c>
      <c r="S6124">
        <v>2.7077640000000001</v>
      </c>
      <c r="T6124">
        <v>-0.15899240000000001</v>
      </c>
      <c r="U6124">
        <v>-1.5501100000000001</v>
      </c>
      <c r="V6124">
        <v>-0.1919855</v>
      </c>
      <c r="W6124">
        <v>0.17543069999999999</v>
      </c>
      <c r="X6124">
        <v>0.96559079999999997</v>
      </c>
      <c r="Y6124">
        <v>-0.35830410000000001</v>
      </c>
      <c r="Z6124">
        <v>3.543118E-2</v>
      </c>
      <c r="AA6124">
        <v>0.9329324</v>
      </c>
      <c r="AB6124">
        <v>25</v>
      </c>
      <c r="AC6124">
        <v>18.9849999999999</v>
      </c>
      <c r="AD6124">
        <v>-1.1197006568519901</v>
      </c>
      <c r="AE6124">
        <v>-10.823219999999999</v>
      </c>
      <c r="AF6124">
        <v>-7.8639586160556298</v>
      </c>
      <c r="AG6124">
        <v>-1.1197006568519901</v>
      </c>
      <c r="AH6124">
        <v>20.328129560005799</v>
      </c>
      <c r="AI6124">
        <v>92.940776472173994</v>
      </c>
      <c r="AJ6124">
        <v>111.149015430023</v>
      </c>
      <c r="AK6124">
        <v>21.824949623867901</v>
      </c>
      <c r="AL6124">
        <v>79.896276620967299</v>
      </c>
      <c r="AM6124">
        <v>101.24529363714601</v>
      </c>
      <c r="AN6124">
        <v>0.99999997787868899</v>
      </c>
    </row>
    <row r="6125" spans="1:40" x14ac:dyDescent="0.25">
      <c r="A6125" t="str">
        <f>"20190304154919469"</f>
        <v>20190304154919469</v>
      </c>
      <c r="B6125" t="str">
        <f>"1551685759463535"</f>
        <v>1551685759463535</v>
      </c>
      <c r="C6125" t="s">
        <v>40</v>
      </c>
      <c r="D6125">
        <v>4.210966</v>
      </c>
      <c r="E6125">
        <v>0.42618679999999898</v>
      </c>
      <c r="F6125" t="s">
        <v>44</v>
      </c>
      <c r="G6125">
        <v>-396.00290000000001</v>
      </c>
      <c r="H6125" s="1">
        <v>-2.665802E-6</v>
      </c>
      <c r="I6125">
        <v>15.306850000000001</v>
      </c>
      <c r="J6125">
        <v>-414.97449999999998</v>
      </c>
      <c r="K6125">
        <v>1.1197319999999999</v>
      </c>
      <c r="L6125">
        <v>25.95871</v>
      </c>
      <c r="M6125">
        <v>0.63690219999999997</v>
      </c>
      <c r="N6125">
        <v>-1.5214770000000001E-2</v>
      </c>
      <c r="O6125">
        <v>-0.77079469999999894</v>
      </c>
      <c r="P6125">
        <v>0.76218019999999997</v>
      </c>
      <c r="Q6125">
        <v>0.16364519999999999</v>
      </c>
      <c r="R6125">
        <v>-0.62634019999999901</v>
      </c>
      <c r="S6125">
        <v>2.717285</v>
      </c>
      <c r="T6125">
        <v>-0.15963069999999999</v>
      </c>
      <c r="U6125">
        <v>-1.53241</v>
      </c>
      <c r="V6125">
        <v>-0.1923356</v>
      </c>
      <c r="W6125">
        <v>0.17431240000000001</v>
      </c>
      <c r="X6125">
        <v>0.96572369999999996</v>
      </c>
      <c r="Y6125">
        <v>-0.35774349999999999</v>
      </c>
      <c r="Z6125">
        <v>3.5503630000000001E-2</v>
      </c>
      <c r="AA6125">
        <v>0.93314470000000005</v>
      </c>
      <c r="AB6125">
        <v>25</v>
      </c>
      <c r="AC6125">
        <v>18.971599999999899</v>
      </c>
      <c r="AD6125">
        <v>-1.119734665802</v>
      </c>
      <c r="AE6125">
        <v>-10.651859999999999</v>
      </c>
      <c r="AF6125">
        <v>-7.81921169843391</v>
      </c>
      <c r="AG6125">
        <v>-1.119734665802</v>
      </c>
      <c r="AH6125">
        <v>20.242182995589999</v>
      </c>
      <c r="AI6125">
        <v>92.953893493528597</v>
      </c>
      <c r="AJ6125">
        <v>111.12070030217301</v>
      </c>
      <c r="AK6125">
        <v>21.728779296906598</v>
      </c>
      <c r="AL6125">
        <v>79.961353776991501</v>
      </c>
      <c r="AM6125">
        <v>101.263765653851</v>
      </c>
      <c r="AN6125">
        <v>1.0000000302814001</v>
      </c>
    </row>
    <row r="6126" spans="1:40" x14ac:dyDescent="0.25">
      <c r="A6126" t="str">
        <f>"20190304154919481"</f>
        <v>20190304154919481</v>
      </c>
      <c r="B6126" t="str">
        <f>"1551685759473295"</f>
        <v>1551685759473295</v>
      </c>
      <c r="C6126" t="s">
        <v>40</v>
      </c>
      <c r="D6126">
        <v>4.2258829999999996</v>
      </c>
      <c r="E6126">
        <v>0.42643920000000002</v>
      </c>
      <c r="F6126" t="s">
        <v>44</v>
      </c>
      <c r="G6126">
        <v>-396.1189</v>
      </c>
      <c r="H6126" s="1">
        <v>-2.5706559999999999E-6</v>
      </c>
      <c r="I6126">
        <v>15.496980000000001</v>
      </c>
      <c r="J6126">
        <v>-414.89339999999999</v>
      </c>
      <c r="K6126">
        <v>1.1197600000000001</v>
      </c>
      <c r="L6126">
        <v>25.87143</v>
      </c>
      <c r="M6126">
        <v>0.64185209999999904</v>
      </c>
      <c r="N6126">
        <v>-1.5228520000000001E-2</v>
      </c>
      <c r="O6126">
        <v>-0.76667719999999995</v>
      </c>
      <c r="P6126">
        <v>0.76651769999999997</v>
      </c>
      <c r="Q6126">
        <v>0.16262739999999901</v>
      </c>
      <c r="R6126">
        <v>-0.62129129999999999</v>
      </c>
      <c r="S6126">
        <v>2.727325</v>
      </c>
      <c r="T6126">
        <v>-0.16196169999999999</v>
      </c>
      <c r="U6126">
        <v>-1.5132139999999901</v>
      </c>
      <c r="V6126">
        <v>-0.19265460000000001</v>
      </c>
      <c r="W6126">
        <v>0.17328869999999999</v>
      </c>
      <c r="X6126">
        <v>0.96584429999999999</v>
      </c>
      <c r="Y6126">
        <v>-0.3581821</v>
      </c>
      <c r="Z6126">
        <v>3.6087199999999903E-2</v>
      </c>
      <c r="AA6126">
        <v>0.93295410000000001</v>
      </c>
      <c r="AB6126">
        <v>25</v>
      </c>
      <c r="AC6126">
        <v>18.7744999999999</v>
      </c>
      <c r="AD6126">
        <v>-1.1197625706559999</v>
      </c>
      <c r="AE6126">
        <v>-10.37445</v>
      </c>
      <c r="AF6126">
        <v>-7.7149913686662499</v>
      </c>
      <c r="AG6126">
        <v>-1.1197625706559999</v>
      </c>
      <c r="AH6126">
        <v>19.952254223341999</v>
      </c>
      <c r="AI6126">
        <v>92.996421869496501</v>
      </c>
      <c r="AJ6126">
        <v>111.14012392494</v>
      </c>
      <c r="AK6126">
        <v>21.4211906444554</v>
      </c>
      <c r="AL6126">
        <v>80.020913516281993</v>
      </c>
      <c r="AM6126">
        <v>101.28059590297499</v>
      </c>
      <c r="AN6126">
        <v>0.99999999014566998</v>
      </c>
    </row>
    <row r="6127" spans="1:40" x14ac:dyDescent="0.25">
      <c r="A6127" t="str">
        <f>"20190304154919491"</f>
        <v>20190304154919491</v>
      </c>
      <c r="B6127" t="str">
        <f>"1551685759483055"</f>
        <v>1551685759483055</v>
      </c>
      <c r="C6127" t="s">
        <v>40</v>
      </c>
      <c r="D6127">
        <v>4.2310930000000004</v>
      </c>
      <c r="E6127">
        <v>0.42676310000000001</v>
      </c>
      <c r="F6127" t="s">
        <v>44</v>
      </c>
      <c r="G6127">
        <v>-396.17860000000002</v>
      </c>
      <c r="H6127" s="1">
        <v>-2.5100990000000001E-6</v>
      </c>
      <c r="I6127">
        <v>15.638500000000001</v>
      </c>
      <c r="J6127">
        <v>-414.81299999999999</v>
      </c>
      <c r="K6127">
        <v>1.1197859999999999</v>
      </c>
      <c r="L6127">
        <v>25.785219999999999</v>
      </c>
      <c r="M6127">
        <v>0.64673139999999996</v>
      </c>
      <c r="N6127">
        <v>-1.524173E-2</v>
      </c>
      <c r="O6127">
        <v>-0.76256559999999995</v>
      </c>
      <c r="P6127">
        <v>0.77086619999999995</v>
      </c>
      <c r="Q6127">
        <v>0.161750799999999</v>
      </c>
      <c r="R6127">
        <v>-0.61611879999999997</v>
      </c>
      <c r="S6127">
        <v>2.7359619999999998</v>
      </c>
      <c r="T6127">
        <v>-0.16370019999999999</v>
      </c>
      <c r="U6127">
        <v>-1.4959720000000001</v>
      </c>
      <c r="V6127">
        <v>-0.19312670000000001</v>
      </c>
      <c r="W6127">
        <v>0.172402</v>
      </c>
      <c r="X6127">
        <v>0.96590869999999995</v>
      </c>
      <c r="Y6127">
        <v>-0.35796999999999901</v>
      </c>
      <c r="Z6127">
        <v>3.6485480000000001E-2</v>
      </c>
      <c r="AA6127">
        <v>0.93301999999999996</v>
      </c>
      <c r="AB6127">
        <v>25</v>
      </c>
      <c r="AC6127">
        <v>18.634399999999999</v>
      </c>
      <c r="AD6127">
        <v>-1.1197885100989999</v>
      </c>
      <c r="AE6127">
        <v>-10.14672</v>
      </c>
      <c r="AF6127">
        <v>-7.62739358758013</v>
      </c>
      <c r="AG6127">
        <v>-1.1197885100989999</v>
      </c>
      <c r="AH6127">
        <v>19.736317878821101</v>
      </c>
      <c r="AI6127">
        <v>93.029426537103802</v>
      </c>
      <c r="AJ6127">
        <v>111.129766014631</v>
      </c>
      <c r="AK6127">
        <v>21.1885181799267</v>
      </c>
      <c r="AL6127">
        <v>80.072494067485593</v>
      </c>
      <c r="AM6127">
        <v>101.306793148148</v>
      </c>
      <c r="AN6127">
        <v>0.99999999429629005</v>
      </c>
    </row>
    <row r="6128" spans="1:40" x14ac:dyDescent="0.25">
      <c r="A6128" t="str">
        <f>"20190304154919502"</f>
        <v>20190304154919502</v>
      </c>
      <c r="B6128" t="str">
        <f>"1551685759493791"</f>
        <v>1551685759493791</v>
      </c>
      <c r="C6128" t="s">
        <v>40</v>
      </c>
      <c r="D6128">
        <v>4.2266180000000002</v>
      </c>
      <c r="E6128">
        <v>0.42694900000000002</v>
      </c>
      <c r="F6128" t="s">
        <v>44</v>
      </c>
      <c r="G6128">
        <v>-396.22309999999999</v>
      </c>
      <c r="H6128" s="1">
        <v>-2.4585630000000001E-6</v>
      </c>
      <c r="I6128">
        <v>15.76797</v>
      </c>
      <c r="J6128">
        <v>-414.7276</v>
      </c>
      <c r="K6128">
        <v>1.1198060000000001</v>
      </c>
      <c r="L6128">
        <v>25.69595</v>
      </c>
      <c r="M6128">
        <v>0.65186140000000004</v>
      </c>
      <c r="N6128">
        <v>-1.5255090000000001E-2</v>
      </c>
      <c r="O6128">
        <v>-0.75818490000000005</v>
      </c>
      <c r="P6128">
        <v>0.77556230000000004</v>
      </c>
      <c r="Q6128">
        <v>0.16100510000000001</v>
      </c>
      <c r="R6128">
        <v>-0.61039390000000004</v>
      </c>
      <c r="S6128">
        <v>2.7444459999999999</v>
      </c>
      <c r="T6128">
        <v>-0.16531479999999901</v>
      </c>
      <c r="U6128">
        <v>-1.4788509999999999</v>
      </c>
      <c r="V6128">
        <v>-0.1938773</v>
      </c>
      <c r="W6128">
        <v>0.17164009999999999</v>
      </c>
      <c r="X6128">
        <v>0.96589400000000003</v>
      </c>
      <c r="Y6128">
        <v>-0.3573675</v>
      </c>
      <c r="Z6128">
        <v>3.6828090000000001E-2</v>
      </c>
      <c r="AA6128">
        <v>0.93323750000000005</v>
      </c>
      <c r="AB6128">
        <v>25</v>
      </c>
      <c r="AC6128">
        <v>18.5045</v>
      </c>
      <c r="AD6128">
        <v>-1.1198084585629999</v>
      </c>
      <c r="AE6128">
        <v>-9.9279799999999891</v>
      </c>
      <c r="AF6128">
        <v>-7.5376099599262796</v>
      </c>
      <c r="AG6128">
        <v>-1.1198084585629999</v>
      </c>
      <c r="AH6128">
        <v>19.536336867129901</v>
      </c>
      <c r="AI6128">
        <v>93.061089341880304</v>
      </c>
      <c r="AJ6128">
        <v>111.097868351016</v>
      </c>
      <c r="AK6128">
        <v>20.969930688436399</v>
      </c>
      <c r="AL6128">
        <v>80.116808113985897</v>
      </c>
      <c r="AM6128">
        <v>101.349767561215</v>
      </c>
      <c r="AN6128">
        <v>0.99999997530964901</v>
      </c>
    </row>
    <row r="6129" spans="1:40" x14ac:dyDescent="0.25">
      <c r="A6129" t="str">
        <f>"20190304154919513"</f>
        <v>20190304154919513</v>
      </c>
      <c r="B6129" t="str">
        <f>"1551685759503552"</f>
        <v>1551685759503552</v>
      </c>
      <c r="C6129" t="s">
        <v>40</v>
      </c>
      <c r="D6129">
        <v>4.1974559999999999</v>
      </c>
      <c r="E6129">
        <v>0.42713390000000001</v>
      </c>
      <c r="F6129" t="s">
        <v>44</v>
      </c>
      <c r="G6129">
        <v>-396.14120000000003</v>
      </c>
      <c r="H6129" s="1">
        <v>-2.4725320000000001E-6</v>
      </c>
      <c r="I6129">
        <v>15.85061</v>
      </c>
      <c r="J6129">
        <v>-414.65</v>
      </c>
      <c r="K6129">
        <v>1.1198269999999999</v>
      </c>
      <c r="L6129">
        <v>25.615020000000001</v>
      </c>
      <c r="M6129">
        <v>0.65649930000000001</v>
      </c>
      <c r="N6129">
        <v>-1.5266800000000001E-2</v>
      </c>
      <c r="O6129">
        <v>-0.75417230000000002</v>
      </c>
      <c r="P6129">
        <v>0.77964619999999996</v>
      </c>
      <c r="Q6129">
        <v>0.16017970000000001</v>
      </c>
      <c r="R6129">
        <v>-0.60538769999999997</v>
      </c>
      <c r="S6129">
        <v>2.7543329999999999</v>
      </c>
      <c r="T6129">
        <v>-0.165944799999999</v>
      </c>
      <c r="U6129">
        <v>-1.4589840000000001</v>
      </c>
      <c r="V6129">
        <v>-0.1942933</v>
      </c>
      <c r="W6129">
        <v>0.17080670000000001</v>
      </c>
      <c r="X6129">
        <v>0.96595819999999999</v>
      </c>
      <c r="Y6129">
        <v>-0.35827320000000001</v>
      </c>
      <c r="Z6129">
        <v>3.693656E-2</v>
      </c>
      <c r="AA6129">
        <v>0.93288579999999999</v>
      </c>
      <c r="AB6129">
        <v>25</v>
      </c>
      <c r="AC6129">
        <v>18.508799999999901</v>
      </c>
      <c r="AD6129">
        <v>-1.1198294725319999</v>
      </c>
      <c r="AE6129">
        <v>-9.7644099999999998</v>
      </c>
      <c r="AF6129">
        <v>-7.5278182515436196</v>
      </c>
      <c r="AG6129">
        <v>-1.1198294725319999</v>
      </c>
      <c r="AH6129">
        <v>19.461603950589801</v>
      </c>
      <c r="AI6129">
        <v>93.071870474235197</v>
      </c>
      <c r="AJ6129">
        <v>111.146649186358</v>
      </c>
      <c r="AK6129">
        <v>20.8967962617584</v>
      </c>
      <c r="AL6129">
        <v>80.165274694652894</v>
      </c>
      <c r="AM6129">
        <v>101.372750332358</v>
      </c>
      <c r="AN6129">
        <v>1.0000000296685001</v>
      </c>
    </row>
    <row r="6130" spans="1:40" x14ac:dyDescent="0.25">
      <c r="A6130" t="str">
        <f>"20190304154919524"</f>
        <v>20190304154919524</v>
      </c>
      <c r="B6130" t="str">
        <f>"1551685759513312"</f>
        <v>1551685759513312</v>
      </c>
      <c r="C6130" t="s">
        <v>40</v>
      </c>
      <c r="D6130">
        <v>4.179081</v>
      </c>
      <c r="E6130">
        <v>0.42713390000000001</v>
      </c>
      <c r="F6130" t="s">
        <v>44</v>
      </c>
      <c r="G6130">
        <v>-396.13240000000002</v>
      </c>
      <c r="H6130" s="1">
        <v>-2.458182E-6</v>
      </c>
      <c r="I6130">
        <v>15.95477</v>
      </c>
      <c r="J6130">
        <v>-414.5652</v>
      </c>
      <c r="K6130">
        <v>1.119845</v>
      </c>
      <c r="L6130">
        <v>25.528500000000001</v>
      </c>
      <c r="M6130">
        <v>0.66150949999999997</v>
      </c>
      <c r="N6130">
        <v>-1.5278899999999899E-2</v>
      </c>
      <c r="O6130">
        <v>-0.74978140000000004</v>
      </c>
      <c r="P6130">
        <v>0.78376880000000004</v>
      </c>
      <c r="Q6130">
        <v>0.15951370000000001</v>
      </c>
      <c r="R6130">
        <v>-0.60021829999999998</v>
      </c>
      <c r="S6130">
        <v>2.7629999999999999</v>
      </c>
      <c r="T6130">
        <v>-0.16708990000000001</v>
      </c>
      <c r="U6130">
        <v>-1.441406</v>
      </c>
      <c r="V6130">
        <v>-0.19434219999999999</v>
      </c>
      <c r="W6130">
        <v>0.17014279999999901</v>
      </c>
      <c r="X6130">
        <v>0.96606550000000002</v>
      </c>
      <c r="Y6130">
        <v>-0.357906</v>
      </c>
      <c r="Z6130">
        <v>3.7144179999999999E-2</v>
      </c>
      <c r="AA6130">
        <v>0.93301860000000003</v>
      </c>
      <c r="AB6130">
        <v>25</v>
      </c>
      <c r="AC6130">
        <v>18.432799999999901</v>
      </c>
      <c r="AD6130">
        <v>-1.1198474581819999</v>
      </c>
      <c r="AE6130">
        <v>-9.5737299999999994</v>
      </c>
      <c r="AF6130">
        <v>-7.4666259303431604</v>
      </c>
      <c r="AG6130">
        <v>-1.1198474581819999</v>
      </c>
      <c r="AH6130">
        <v>19.317781863238999</v>
      </c>
      <c r="AI6130">
        <v>93.095045178728199</v>
      </c>
      <c r="AJ6130">
        <v>111.132299577059</v>
      </c>
      <c r="AK6130">
        <v>20.7408113927338</v>
      </c>
      <c r="AL6130">
        <v>80.203878214910205</v>
      </c>
      <c r="AM6130">
        <v>101.374307488984</v>
      </c>
      <c r="AN6130">
        <v>1.0000000066914601</v>
      </c>
    </row>
    <row r="6131" spans="1:40" x14ac:dyDescent="0.25">
      <c r="A6131" t="str">
        <f>"20190304154919535"</f>
        <v>20190304154919535</v>
      </c>
      <c r="B6131" t="str">
        <f>"1551685759533808"</f>
        <v>1551685759533808</v>
      </c>
      <c r="C6131" t="s">
        <v>40</v>
      </c>
      <c r="D6131">
        <v>4.183033</v>
      </c>
      <c r="E6131">
        <v>0.43397170000000002</v>
      </c>
      <c r="F6131" t="s">
        <v>44</v>
      </c>
      <c r="G6131">
        <v>-396.12580000000003</v>
      </c>
      <c r="H6131" s="1">
        <v>-2.4404439999999999E-6</v>
      </c>
      <c r="I6131">
        <v>16.072589999999899</v>
      </c>
      <c r="J6131">
        <v>-414.48230000000001</v>
      </c>
      <c r="K6131">
        <v>1.1198629999999901</v>
      </c>
      <c r="L6131">
        <v>25.44473</v>
      </c>
      <c r="M6131">
        <v>0.66636340000000005</v>
      </c>
      <c r="N6131">
        <v>-1.5290140000000001E-2</v>
      </c>
      <c r="O6131">
        <v>-0.74547030000000003</v>
      </c>
      <c r="P6131">
        <v>0.78793530000000001</v>
      </c>
      <c r="Q6131">
        <v>0.1584438</v>
      </c>
      <c r="R6131">
        <v>-0.595024199999999</v>
      </c>
      <c r="S6131">
        <v>2.7729490000000001</v>
      </c>
      <c r="T6131">
        <v>-0.16840469999999999</v>
      </c>
      <c r="U6131">
        <v>-1.421997</v>
      </c>
      <c r="V6131">
        <v>-0.19460250000000001</v>
      </c>
      <c r="W6131">
        <v>0.1690709</v>
      </c>
      <c r="X6131">
        <v>0.96620130000000004</v>
      </c>
      <c r="Y6131">
        <v>-0.35835889999999998</v>
      </c>
      <c r="Z6131">
        <v>3.7412569999999999E-2</v>
      </c>
      <c r="AA6131">
        <v>0.93283400000000005</v>
      </c>
      <c r="AB6131">
        <v>25</v>
      </c>
      <c r="AC6131">
        <v>18.356499999999901</v>
      </c>
      <c r="AD6131">
        <v>-1.1198654404439901</v>
      </c>
      <c r="AE6131">
        <v>-9.3721399999999999</v>
      </c>
      <c r="AF6131">
        <v>-7.4179450186729703</v>
      </c>
      <c r="AG6131">
        <v>-1.1198654404439901</v>
      </c>
      <c r="AH6131">
        <v>19.164421684337999</v>
      </c>
      <c r="AI6131">
        <v>93.119234918539107</v>
      </c>
      <c r="AJ6131">
        <v>111.159853689945</v>
      </c>
      <c r="AK6131">
        <v>20.5804534789659</v>
      </c>
      <c r="AL6131">
        <v>80.266196643866706</v>
      </c>
      <c r="AM6131">
        <v>101.38758530663701</v>
      </c>
      <c r="AN6131">
        <v>1.0000000271773699</v>
      </c>
    </row>
    <row r="6132" spans="1:40" x14ac:dyDescent="0.25">
      <c r="A6132" t="str">
        <f>"20190304154919546"</f>
        <v>20190304154919546</v>
      </c>
      <c r="B6132" t="str">
        <f>"1551685759543567"</f>
        <v>1551685759543567</v>
      </c>
      <c r="C6132" t="s">
        <v>40</v>
      </c>
      <c r="D6132">
        <v>4.1770339999999999</v>
      </c>
      <c r="E6132">
        <v>0.43420789999999998</v>
      </c>
      <c r="F6132" t="s">
        <v>44</v>
      </c>
      <c r="G6132">
        <v>-399.06720000000001</v>
      </c>
      <c r="H6132" s="1">
        <v>-9.5130929999999996E-7</v>
      </c>
      <c r="I6132">
        <v>17.327909999999999</v>
      </c>
      <c r="J6132">
        <v>-414.39789999999999</v>
      </c>
      <c r="K6132">
        <v>1.1198790000000001</v>
      </c>
      <c r="L6132">
        <v>25.360690000000002</v>
      </c>
      <c r="M6132">
        <v>0.67126390000000002</v>
      </c>
      <c r="N6132">
        <v>-1.5300869999999999E-2</v>
      </c>
      <c r="O6132">
        <v>-0.74106059999999996</v>
      </c>
      <c r="P6132">
        <v>0.7916493</v>
      </c>
      <c r="Q6132">
        <v>0.15881600000000001</v>
      </c>
      <c r="R6132">
        <v>-0.58997409999999995</v>
      </c>
      <c r="S6132">
        <v>2.7529910000000002</v>
      </c>
      <c r="T6132">
        <v>-0.1999967</v>
      </c>
      <c r="U6132">
        <v>-1.4495849999999999</v>
      </c>
      <c r="V6132">
        <v>-0.1943694</v>
      </c>
      <c r="W6132">
        <v>0.16945009999999999</v>
      </c>
      <c r="X6132">
        <v>0.96618179999999998</v>
      </c>
      <c r="Y6132">
        <v>-0.34164489999999997</v>
      </c>
      <c r="Z6132">
        <v>4.5641420000000002E-2</v>
      </c>
      <c r="AA6132">
        <v>0.9387202</v>
      </c>
      <c r="AB6132">
        <v>25</v>
      </c>
      <c r="AC6132">
        <v>15.330699999999901</v>
      </c>
      <c r="AD6132">
        <v>-1.1198799513093001</v>
      </c>
      <c r="AE6132">
        <v>-8.03277999999999</v>
      </c>
      <c r="AF6132">
        <v>-5.9446727096260599</v>
      </c>
      <c r="AG6132">
        <v>-1.1198799513093001</v>
      </c>
      <c r="AH6132">
        <v>16.177891873698599</v>
      </c>
      <c r="AI6132">
        <v>93.717573296318804</v>
      </c>
      <c r="AJ6132">
        <v>110.176187930349</v>
      </c>
      <c r="AK6132">
        <v>17.271868752598799</v>
      </c>
      <c r="AL6132">
        <v>80.244152090904095</v>
      </c>
      <c r="AM6132">
        <v>101.37452430093001</v>
      </c>
      <c r="AN6132">
        <v>1.0000000353488001</v>
      </c>
    </row>
    <row r="6133" spans="1:40" x14ac:dyDescent="0.25">
      <c r="A6133" t="str">
        <f>"20190304154919557"</f>
        <v>20190304154919557</v>
      </c>
      <c r="B6133" t="str">
        <f>"1551685759553327"</f>
        <v>1551685759553327</v>
      </c>
      <c r="C6133" t="s">
        <v>40</v>
      </c>
      <c r="D6133">
        <v>4.1828500000000002</v>
      </c>
      <c r="E6133">
        <v>0.43442900000000001</v>
      </c>
      <c r="F6133" t="s">
        <v>44</v>
      </c>
      <c r="G6133">
        <v>-398.70690000000002</v>
      </c>
      <c r="H6133" s="1">
        <v>-1.1191809999999999E-6</v>
      </c>
      <c r="I6133">
        <v>17.21706</v>
      </c>
      <c r="J6133">
        <v>-414.31619999999998</v>
      </c>
      <c r="K6133">
        <v>1.1198900000000001</v>
      </c>
      <c r="L6133">
        <v>25.280429999999999</v>
      </c>
      <c r="M6133">
        <v>0.67595919999999998</v>
      </c>
      <c r="N6133">
        <v>-1.531046E-2</v>
      </c>
      <c r="O6133">
        <v>-0.73677999999999999</v>
      </c>
      <c r="P6133">
        <v>0.79532969999999903</v>
      </c>
      <c r="Q6133">
        <v>0.15854560000000001</v>
      </c>
      <c r="R6133">
        <v>-0.58507629999999999</v>
      </c>
      <c r="S6133">
        <v>2.7611690000000002</v>
      </c>
      <c r="T6133">
        <v>-0.19706679999999999</v>
      </c>
      <c r="U6133">
        <v>-1.433044</v>
      </c>
      <c r="V6133">
        <v>-0.19423309999999999</v>
      </c>
      <c r="W6133">
        <v>0.16918739999999999</v>
      </c>
      <c r="X6133">
        <v>0.96625519999999998</v>
      </c>
      <c r="Y6133">
        <v>-0.34128809999999998</v>
      </c>
      <c r="Z6133">
        <v>4.4686030000000002E-2</v>
      </c>
      <c r="AA6133">
        <v>0.93889590000000001</v>
      </c>
      <c r="AB6133">
        <v>25</v>
      </c>
      <c r="AC6133">
        <v>15.6092999999999</v>
      </c>
      <c r="AD6133">
        <v>-1.1198911191809999</v>
      </c>
      <c r="AE6133">
        <v>-8.0633699999999902</v>
      </c>
      <c r="AF6133">
        <v>-6.0263343669049299</v>
      </c>
      <c r="AG6133">
        <v>-1.1198911191809999</v>
      </c>
      <c r="AH6133">
        <v>16.427366467892099</v>
      </c>
      <c r="AI6133">
        <v>93.662027320756906</v>
      </c>
      <c r="AJ6133">
        <v>110.14542383425299</v>
      </c>
      <c r="AK6133">
        <v>17.5336599456869</v>
      </c>
      <c r="AL6133">
        <v>80.259423778902004</v>
      </c>
      <c r="AM6133">
        <v>101.36591473790899</v>
      </c>
      <c r="AN6133">
        <v>0.99999999249070404</v>
      </c>
    </row>
    <row r="6134" spans="1:40" x14ac:dyDescent="0.25">
      <c r="A6134" t="str">
        <f>"20190304154919567"</f>
        <v>20190304154919567</v>
      </c>
      <c r="B6134" t="str">
        <f>"1551685759563087"</f>
        <v>1551685759563087</v>
      </c>
      <c r="C6134" t="s">
        <v>40</v>
      </c>
      <c r="D6134">
        <v>4.2445240000000002</v>
      </c>
      <c r="E6134">
        <v>0.43442900000000001</v>
      </c>
      <c r="F6134" t="s">
        <v>44</v>
      </c>
      <c r="G6134">
        <v>-398.54270000000002</v>
      </c>
      <c r="H6134" s="1">
        <v>-1.184291E-6</v>
      </c>
      <c r="I6134">
        <v>17.209229999999899</v>
      </c>
      <c r="J6134">
        <v>-414.2328</v>
      </c>
      <c r="K6134">
        <v>1.119902</v>
      </c>
      <c r="L6134">
        <v>25.199310000000001</v>
      </c>
      <c r="M6134">
        <v>0.68071499999999996</v>
      </c>
      <c r="N6134">
        <v>-1.5319599999999999E-2</v>
      </c>
      <c r="O6134">
        <v>-0.73238809999999999</v>
      </c>
      <c r="P6134">
        <v>0.7993036</v>
      </c>
      <c r="Q6134">
        <v>0.15812200000000001</v>
      </c>
      <c r="R6134">
        <v>-0.57975080000000001</v>
      </c>
      <c r="S6134">
        <v>2.7689210000000002</v>
      </c>
      <c r="T6134">
        <v>-0.19658890000000001</v>
      </c>
      <c r="U6134">
        <v>-1.4168400000000001</v>
      </c>
      <c r="V6134">
        <v>-0.1944881</v>
      </c>
      <c r="W6134">
        <v>0.16876160000000001</v>
      </c>
      <c r="X6134">
        <v>0.96627839999999998</v>
      </c>
      <c r="Y6134">
        <v>-0.34063450000000001</v>
      </c>
      <c r="Z6134">
        <v>4.4395459999999998E-2</v>
      </c>
      <c r="AA6134">
        <v>0.93914710000000001</v>
      </c>
      <c r="AB6134">
        <v>25</v>
      </c>
      <c r="AC6134">
        <v>15.6900999999999</v>
      </c>
      <c r="AD6134">
        <v>-1.1199031842910001</v>
      </c>
      <c r="AE6134">
        <v>-7.9900799999999998</v>
      </c>
      <c r="AF6134">
        <v>-6.0285971734855099</v>
      </c>
      <c r="AG6134">
        <v>-1.1199031842910001</v>
      </c>
      <c r="AH6134">
        <v>16.4676472482073</v>
      </c>
      <c r="AI6134">
        <v>93.654027908030201</v>
      </c>
      <c r="AJ6134">
        <v>110.10703870805</v>
      </c>
      <c r="AK6134">
        <v>17.572181791505901</v>
      </c>
      <c r="AL6134">
        <v>80.284176546617104</v>
      </c>
      <c r="AM6134">
        <v>101.380181293928</v>
      </c>
      <c r="AN6134">
        <v>1.0000000224913601</v>
      </c>
    </row>
    <row r="6135" spans="1:40" x14ac:dyDescent="0.25">
      <c r="A6135" t="str">
        <f>"20190304154919578"</f>
        <v>20190304154919578</v>
      </c>
      <c r="B6135" t="str">
        <f>"1551685759573824"</f>
        <v>1551685759573824</v>
      </c>
      <c r="C6135" t="s">
        <v>40</v>
      </c>
      <c r="D6135">
        <v>4.198963</v>
      </c>
      <c r="E6135">
        <v>0.43790829999999997</v>
      </c>
      <c r="F6135" t="s">
        <v>44</v>
      </c>
      <c r="G6135">
        <v>-398.49310000000003</v>
      </c>
      <c r="H6135" s="1">
        <v>-1.1842949999999999E-6</v>
      </c>
      <c r="I6135">
        <v>17.280829999999899</v>
      </c>
      <c r="J6135">
        <v>-414.1533</v>
      </c>
      <c r="K6135">
        <v>1.1199110000000001</v>
      </c>
      <c r="L6135">
        <v>25.123349999999999</v>
      </c>
      <c r="M6135">
        <v>0.6851931</v>
      </c>
      <c r="N6135">
        <v>-1.5327479999999999E-2</v>
      </c>
      <c r="O6135">
        <v>-0.72820010000000002</v>
      </c>
      <c r="P6135">
        <v>0.80281819999999904</v>
      </c>
      <c r="Q6135">
        <v>0.15806600000000001</v>
      </c>
      <c r="R6135">
        <v>-0.57488980000000001</v>
      </c>
      <c r="S6135">
        <v>2.778473</v>
      </c>
      <c r="T6135">
        <v>-0.19769320000000001</v>
      </c>
      <c r="U6135">
        <v>-1.3978269999999999</v>
      </c>
      <c r="V6135">
        <v>-0.19443679999999999</v>
      </c>
      <c r="W6135">
        <v>0.16871129999999901</v>
      </c>
      <c r="X6135">
        <v>0.96629750000000003</v>
      </c>
      <c r="Y6135">
        <v>-0.34128049999999999</v>
      </c>
      <c r="Z6135">
        <v>4.4573189999999999E-2</v>
      </c>
      <c r="AA6135">
        <v>0.93890410000000002</v>
      </c>
      <c r="AB6135">
        <v>25</v>
      </c>
      <c r="AC6135">
        <v>15.6601999999999</v>
      </c>
      <c r="AD6135">
        <v>-1.1199121842949999</v>
      </c>
      <c r="AE6135">
        <v>-7.8425199999999897</v>
      </c>
      <c r="AF6135">
        <v>-6.0062694010072999</v>
      </c>
      <c r="AG6135">
        <v>-1.1199121842949999</v>
      </c>
      <c r="AH6135">
        <v>16.3761596870849</v>
      </c>
      <c r="AI6135">
        <v>93.673608325599801</v>
      </c>
      <c r="AJ6135">
        <v>110.141476869954</v>
      </c>
      <c r="AK6135">
        <v>17.478789475101301</v>
      </c>
      <c r="AL6135">
        <v>80.287100378234896</v>
      </c>
      <c r="AM6135">
        <v>101.377038827349</v>
      </c>
      <c r="AN6135">
        <v>1.00000001522408</v>
      </c>
    </row>
    <row r="6136" spans="1:40" x14ac:dyDescent="0.25">
      <c r="A6136" t="str">
        <f>"20190304154919588"</f>
        <v>20190304154919588</v>
      </c>
      <c r="B6136" t="str">
        <f>"1551685759583583"</f>
        <v>1551685759583583</v>
      </c>
      <c r="C6136" t="s">
        <v>40</v>
      </c>
      <c r="D6136">
        <v>4.2535280000000002</v>
      </c>
      <c r="E6136">
        <v>0.43881150000000002</v>
      </c>
      <c r="F6136" t="s">
        <v>44</v>
      </c>
      <c r="G6136">
        <v>-398.46179999999998</v>
      </c>
      <c r="H6136" s="1">
        <v>-1.2241770000000001E-6</v>
      </c>
      <c r="I6136">
        <v>17.176100000000002</v>
      </c>
      <c r="J6136">
        <v>-414.06760000000003</v>
      </c>
      <c r="K6136">
        <v>1.119918</v>
      </c>
      <c r="L6136">
        <v>25.042179999999998</v>
      </c>
      <c r="M6136">
        <v>0.68997679999999995</v>
      </c>
      <c r="N6136">
        <v>-1.533551E-2</v>
      </c>
      <c r="O6136">
        <v>-0.72366919999999901</v>
      </c>
      <c r="P6136">
        <v>0.80655900000000003</v>
      </c>
      <c r="Q6136">
        <v>0.157892</v>
      </c>
      <c r="R6136">
        <v>-0.56967809999999997</v>
      </c>
      <c r="S6136">
        <v>2.7708439999999999</v>
      </c>
      <c r="T6136">
        <v>-0.19775770000000001</v>
      </c>
      <c r="U6136">
        <v>-1.403351</v>
      </c>
      <c r="V6136">
        <v>-0.19435160000000001</v>
      </c>
      <c r="W6136">
        <v>0.168544</v>
      </c>
      <c r="X6136">
        <v>0.96634379999999998</v>
      </c>
      <c r="Y6136">
        <v>-0.33255849999999998</v>
      </c>
      <c r="Z6136">
        <v>4.4248580000000003E-2</v>
      </c>
      <c r="AA6136">
        <v>0.94204399999999999</v>
      </c>
      <c r="AB6136">
        <v>25</v>
      </c>
      <c r="AC6136">
        <v>15.6058</v>
      </c>
      <c r="AD6136">
        <v>-1.119919224177</v>
      </c>
      <c r="AE6136">
        <v>-7.8660799999999904</v>
      </c>
      <c r="AF6136">
        <v>-5.8427195412021797</v>
      </c>
      <c r="AG6136">
        <v>-1.119919224177</v>
      </c>
      <c r="AH6136">
        <v>16.394687125668401</v>
      </c>
      <c r="AI6136">
        <v>93.681669494701694</v>
      </c>
      <c r="AJ6136">
        <v>109.614991506891</v>
      </c>
      <c r="AK6136">
        <v>17.440681083443501</v>
      </c>
      <c r="AL6136">
        <v>80.296824898776705</v>
      </c>
      <c r="AM6136">
        <v>101.371652794751</v>
      </c>
      <c r="AN6136">
        <v>0.99999998207849905</v>
      </c>
    </row>
    <row r="6137" spans="1:40" x14ac:dyDescent="0.25">
      <c r="A6137" t="str">
        <f>"20190304154919600"</f>
        <v>20190304154919600</v>
      </c>
      <c r="B6137" t="str">
        <f>"1551685759593343"</f>
        <v>1551685759593343</v>
      </c>
      <c r="C6137" t="s">
        <v>40</v>
      </c>
      <c r="D6137">
        <v>4.2327219999999999</v>
      </c>
      <c r="E6137">
        <v>0.43971130000000003</v>
      </c>
      <c r="F6137" t="s">
        <v>44</v>
      </c>
      <c r="G6137">
        <v>-398.51679999999999</v>
      </c>
      <c r="H6137" s="1">
        <v>-1.183991E-6</v>
      </c>
      <c r="I6137">
        <v>17.247789999999998</v>
      </c>
      <c r="J6137">
        <v>-413.98599999999999</v>
      </c>
      <c r="K6137">
        <v>1.119918</v>
      </c>
      <c r="L6137">
        <v>24.966339999999999</v>
      </c>
      <c r="M6137">
        <v>0.69447599999999998</v>
      </c>
      <c r="N6137">
        <v>-1.5342140000000001E-2</v>
      </c>
      <c r="O6137">
        <v>-0.7193524</v>
      </c>
      <c r="P6137">
        <v>0.81002989999999997</v>
      </c>
      <c r="Q6137">
        <v>0.1580561</v>
      </c>
      <c r="R6137">
        <v>-0.56468600000000002</v>
      </c>
      <c r="S6137">
        <v>2.7759399999999999</v>
      </c>
      <c r="T6137">
        <v>-0.19991410000000001</v>
      </c>
      <c r="U6137">
        <v>-1.391357</v>
      </c>
      <c r="V6137">
        <v>-0.19427530000000001</v>
      </c>
      <c r="W6137">
        <v>0.16871559999999999</v>
      </c>
      <c r="X6137">
        <v>0.9663292</v>
      </c>
      <c r="Y6137">
        <v>-0.33059650000000002</v>
      </c>
      <c r="Z6137">
        <v>4.4632570000000003E-2</v>
      </c>
      <c r="AA6137">
        <v>0.9427162</v>
      </c>
      <c r="AB6137">
        <v>25</v>
      </c>
      <c r="AC6137">
        <v>15.469200000000001</v>
      </c>
      <c r="AD6137">
        <v>-1.1199191839910001</v>
      </c>
      <c r="AE6137">
        <v>-7.7185499999999996</v>
      </c>
      <c r="AF6137">
        <v>-5.74403195050124</v>
      </c>
      <c r="AG6137">
        <v>-1.1199191839910001</v>
      </c>
      <c r="AH6137">
        <v>16.229156597363001</v>
      </c>
      <c r="AI6137">
        <v>93.721977933322407</v>
      </c>
      <c r="AJ6137">
        <v>109.49054498860301</v>
      </c>
      <c r="AK6137">
        <v>17.252062076423801</v>
      </c>
      <c r="AL6137">
        <v>80.286850120263296</v>
      </c>
      <c r="AM6137">
        <v>101.367471952546</v>
      </c>
      <c r="AN6137">
        <v>0.99999998432304404</v>
      </c>
    </row>
    <row r="6138" spans="1:40" x14ac:dyDescent="0.25">
      <c r="A6138" t="str">
        <f>"20190304154919611"</f>
        <v>20190304154919611</v>
      </c>
      <c r="B6138" t="str">
        <f>"1551685759603103"</f>
        <v>1551685759603103</v>
      </c>
      <c r="C6138" t="s">
        <v>40</v>
      </c>
      <c r="D6138">
        <v>4.2534599999999996</v>
      </c>
      <c r="E6138">
        <v>0.43984319999999999</v>
      </c>
      <c r="F6138" t="s">
        <v>44</v>
      </c>
      <c r="G6138">
        <v>-398.51940000000002</v>
      </c>
      <c r="H6138" s="1">
        <v>-1.1715830000000001E-6</v>
      </c>
      <c r="I6138">
        <v>17.290589999999899</v>
      </c>
      <c r="J6138">
        <v>-413.89060000000001</v>
      </c>
      <c r="K6138">
        <v>1.11992</v>
      </c>
      <c r="L6138">
        <v>24.878139999999998</v>
      </c>
      <c r="M6138">
        <v>0.69969219999999999</v>
      </c>
      <c r="N6138">
        <v>-1.534954E-2</v>
      </c>
      <c r="O6138">
        <v>-0.71427969999999996</v>
      </c>
      <c r="P6138">
        <v>0.81400380000000006</v>
      </c>
      <c r="Q6138">
        <v>0.15781889999999901</v>
      </c>
      <c r="R6138">
        <v>-0.55900930000000004</v>
      </c>
      <c r="S6138">
        <v>2.7808229999999998</v>
      </c>
      <c r="T6138">
        <v>-0.2013566</v>
      </c>
      <c r="U6138">
        <v>-1.380066</v>
      </c>
      <c r="V6138">
        <v>-0.1940258</v>
      </c>
      <c r="W6138">
        <v>0.1684919</v>
      </c>
      <c r="X6138">
        <v>0.96641840000000001</v>
      </c>
      <c r="Y6138">
        <v>-0.3274455</v>
      </c>
      <c r="Z6138">
        <v>4.4751770000000003E-2</v>
      </c>
      <c r="AA6138">
        <v>0.94380969999999997</v>
      </c>
      <c r="AB6138">
        <v>25</v>
      </c>
      <c r="AC6138">
        <v>15.3711999999999</v>
      </c>
      <c r="AD6138">
        <v>-1.119921171583</v>
      </c>
      <c r="AE6138">
        <v>-7.5875500000000002</v>
      </c>
      <c r="AF6138">
        <v>-5.6469509143388299</v>
      </c>
      <c r="AG6138">
        <v>-1.119921171583</v>
      </c>
      <c r="AH6138">
        <v>16.107891616237499</v>
      </c>
      <c r="AI6138">
        <v>93.753867047650601</v>
      </c>
      <c r="AJ6138">
        <v>109.319158846707</v>
      </c>
      <c r="AK6138">
        <v>17.1057431987028</v>
      </c>
      <c r="AL6138">
        <v>80.299853765921</v>
      </c>
      <c r="AM6138">
        <v>101.352231856823</v>
      </c>
      <c r="AN6138">
        <v>1.0000000276448999</v>
      </c>
    </row>
    <row r="6139" spans="1:40" x14ac:dyDescent="0.25">
      <c r="A6139" t="str">
        <f>"20190304154919624"</f>
        <v>20190304154919624</v>
      </c>
      <c r="B6139" t="str">
        <f>"1551685759613839"</f>
        <v>1551685759613839</v>
      </c>
      <c r="C6139" t="s">
        <v>40</v>
      </c>
      <c r="D6139">
        <v>4.2206130000000002</v>
      </c>
      <c r="E6139">
        <v>0.44054219999999999</v>
      </c>
      <c r="F6139" t="s">
        <v>44</v>
      </c>
      <c r="G6139">
        <v>-398.54219999999998</v>
      </c>
      <c r="H6139" s="1">
        <v>-1.1360959999999999E-6</v>
      </c>
      <c r="I6139">
        <v>17.391120000000001</v>
      </c>
      <c r="J6139">
        <v>-413.78960000000001</v>
      </c>
      <c r="K6139">
        <v>1.119915</v>
      </c>
      <c r="L6139">
        <v>24.786930000000002</v>
      </c>
      <c r="M6139">
        <v>0.70513139999999996</v>
      </c>
      <c r="N6139">
        <v>-1.5355529999999999E-2</v>
      </c>
      <c r="O6139">
        <v>-0.70891059999999995</v>
      </c>
      <c r="P6139">
        <v>0.81815559999999998</v>
      </c>
      <c r="Q6139">
        <v>0.15784690000000001</v>
      </c>
      <c r="R6139">
        <v>-0.55290719999999904</v>
      </c>
      <c r="S6139">
        <v>2.790222</v>
      </c>
      <c r="T6139">
        <v>-0.203593</v>
      </c>
      <c r="U6139">
        <v>-1.361084</v>
      </c>
      <c r="V6139">
        <v>-0.1938599</v>
      </c>
      <c r="W6139">
        <v>0.16853180000000001</v>
      </c>
      <c r="X6139">
        <v>0.96644470000000005</v>
      </c>
      <c r="Y6139">
        <v>-0.32663639999999999</v>
      </c>
      <c r="Z6139">
        <v>4.5124499999999998E-2</v>
      </c>
      <c r="AA6139">
        <v>0.94407229999999998</v>
      </c>
      <c r="AB6139">
        <v>24</v>
      </c>
      <c r="AC6139">
        <v>15.247400000000001</v>
      </c>
      <c r="AD6139">
        <v>-1.1199161360959999</v>
      </c>
      <c r="AE6139">
        <v>-7.3958099999999902</v>
      </c>
      <c r="AF6139">
        <v>-5.5703568229701004</v>
      </c>
      <c r="AG6139">
        <v>-1.1199161360959999</v>
      </c>
      <c r="AH6139">
        <v>15.9267149891035</v>
      </c>
      <c r="AI6139">
        <v>93.797398206803194</v>
      </c>
      <c r="AJ6139">
        <v>109.277246826591</v>
      </c>
      <c r="AK6139">
        <v>16.909859184251999</v>
      </c>
      <c r="AL6139">
        <v>80.297534161523402</v>
      </c>
      <c r="AM6139">
        <v>101.34247629805699</v>
      </c>
      <c r="AN6139">
        <v>0.99999999329866995</v>
      </c>
    </row>
    <row r="6140" spans="1:40" x14ac:dyDescent="0.25">
      <c r="A6140" t="str">
        <f>"20190304154919638"</f>
        <v>20190304154919638</v>
      </c>
      <c r="B6140" t="str">
        <f>"1551685759633359"</f>
        <v>1551685759633359</v>
      </c>
      <c r="C6140" t="s">
        <v>40</v>
      </c>
      <c r="D6140">
        <v>4.2529849999999998</v>
      </c>
      <c r="E6140">
        <v>0.44085930000000001</v>
      </c>
      <c r="F6140" t="s">
        <v>44</v>
      </c>
      <c r="G6140">
        <v>-398.39600000000002</v>
      </c>
      <c r="H6140" s="1">
        <v>-1.192928E-6</v>
      </c>
      <c r="I6140">
        <v>17.388549999999999</v>
      </c>
      <c r="J6140">
        <v>-413.6859</v>
      </c>
      <c r="K6140">
        <v>1.1199049999999999</v>
      </c>
      <c r="L6140">
        <v>24.694369999999999</v>
      </c>
      <c r="M6140">
        <v>0.71064479999999997</v>
      </c>
      <c r="N6140">
        <v>-1.536086E-2</v>
      </c>
      <c r="O6140">
        <v>-0.70338339999999999</v>
      </c>
      <c r="P6140">
        <v>0.82224319999999895</v>
      </c>
      <c r="Q6140">
        <v>0.15828510000000001</v>
      </c>
      <c r="R6140">
        <v>-0.54668289999999997</v>
      </c>
      <c r="S6140">
        <v>2.7974239999999999</v>
      </c>
      <c r="T6140">
        <v>-0.20351859999999999</v>
      </c>
      <c r="U6140">
        <v>-1.344482</v>
      </c>
      <c r="V6140">
        <v>-0.1935945</v>
      </c>
      <c r="W6140">
        <v>0.16898440000000001</v>
      </c>
      <c r="X6140">
        <v>0.96641889999999997</v>
      </c>
      <c r="Y6140">
        <v>-0.32476549999999998</v>
      </c>
      <c r="Z6140">
        <v>4.4854369999999998E-2</v>
      </c>
      <c r="AA6140">
        <v>0.94473039999999997</v>
      </c>
      <c r="AB6140">
        <v>24</v>
      </c>
      <c r="AC6140">
        <v>15.289899999999999</v>
      </c>
      <c r="AD6140">
        <v>-1.1199061929280001</v>
      </c>
      <c r="AE6140">
        <v>-7.3058199999999998</v>
      </c>
      <c r="AF6140">
        <v>-5.5392812162064002</v>
      </c>
      <c r="AG6140">
        <v>-1.1199061929280001</v>
      </c>
      <c r="AH6140">
        <v>15.9367615919963</v>
      </c>
      <c r="AI6140">
        <v>93.797531638053897</v>
      </c>
      <c r="AJ6140">
        <v>109.166370097268</v>
      </c>
      <c r="AK6140">
        <v>16.909115775619501</v>
      </c>
      <c r="AL6140">
        <v>80.271225050815303</v>
      </c>
      <c r="AM6140">
        <v>101.32764441763899</v>
      </c>
      <c r="AN6140">
        <v>1.0000000240753999</v>
      </c>
    </row>
    <row r="6141" spans="1:40" x14ac:dyDescent="0.25">
      <c r="A6141" t="str">
        <f>"20190304154919652"</f>
        <v>20190304154919652</v>
      </c>
      <c r="B6141" t="str">
        <f>"1551685759643120"</f>
        <v>1551685759643120</v>
      </c>
      <c r="C6141" t="s">
        <v>40</v>
      </c>
      <c r="D6141">
        <v>4.2393859999999997</v>
      </c>
      <c r="E6141">
        <v>0.44119009999999997</v>
      </c>
      <c r="F6141" t="s">
        <v>44</v>
      </c>
      <c r="G6141">
        <v>-398.20859999999999</v>
      </c>
      <c r="H6141" s="1">
        <v>-1.2655960000000001E-6</v>
      </c>
      <c r="I6141">
        <v>17.385850000000001</v>
      </c>
      <c r="J6141">
        <v>-413.56290000000001</v>
      </c>
      <c r="K6141">
        <v>1.1198939999999999</v>
      </c>
      <c r="L6141">
        <v>24.586269999999999</v>
      </c>
      <c r="M6141">
        <v>0.71708700000000003</v>
      </c>
      <c r="N6141">
        <v>-1.536596E-2</v>
      </c>
      <c r="O6141">
        <v>-0.69681439999999994</v>
      </c>
      <c r="P6141">
        <v>0.82707140000000001</v>
      </c>
      <c r="Q6141">
        <v>0.15907560000000001</v>
      </c>
      <c r="R6141">
        <v>-0.53911790000000004</v>
      </c>
      <c r="S6141">
        <v>2.8064879999999999</v>
      </c>
      <c r="T6141">
        <v>-0.2030729</v>
      </c>
      <c r="U6141">
        <v>-1.325256</v>
      </c>
      <c r="V6141">
        <v>-0.19347339999999999</v>
      </c>
      <c r="W6141">
        <v>0.1697862</v>
      </c>
      <c r="X6141">
        <v>0.96630260000000001</v>
      </c>
      <c r="Y6141">
        <v>-0.3225499</v>
      </c>
      <c r="Z6141">
        <v>4.4424459999999999E-2</v>
      </c>
      <c r="AA6141">
        <v>0.94550940000000006</v>
      </c>
      <c r="AB6141">
        <v>24</v>
      </c>
      <c r="AC6141">
        <v>15.3543</v>
      </c>
      <c r="AD6141">
        <v>-1.1198952655959999</v>
      </c>
      <c r="AE6141">
        <v>-7.2004200000000003</v>
      </c>
      <c r="AF6141">
        <v>-5.5123845525840398</v>
      </c>
      <c r="AG6141">
        <v>-1.1198952655959999</v>
      </c>
      <c r="AH6141">
        <v>15.960018012799299</v>
      </c>
      <c r="AI6141">
        <v>93.794541595329505</v>
      </c>
      <c r="AJ6141">
        <v>109.054252787018</v>
      </c>
      <c r="AK6141">
        <v>16.922255282034701</v>
      </c>
      <c r="AL6141">
        <v>80.224611613389996</v>
      </c>
      <c r="AM6141">
        <v>101.322068950011</v>
      </c>
      <c r="AN6141">
        <v>1.00000001249238</v>
      </c>
    </row>
    <row r="6142" spans="1:40" x14ac:dyDescent="0.25">
      <c r="A6142" t="str">
        <f>"20190304154919664"</f>
        <v>20190304154919664</v>
      </c>
      <c r="B6142" t="str">
        <f>"1551685759653856"</f>
        <v>1551685759653856</v>
      </c>
      <c r="C6142" t="s">
        <v>40</v>
      </c>
      <c r="D6142">
        <v>4.2304839999999997</v>
      </c>
      <c r="E6142">
        <v>0.44145600000000002</v>
      </c>
      <c r="F6142" t="s">
        <v>44</v>
      </c>
      <c r="G6142">
        <v>-397.80619999999999</v>
      </c>
      <c r="H6142" s="1">
        <v>-1.4411249999999999E-6</v>
      </c>
      <c r="I6142">
        <v>17.306940000000001</v>
      </c>
      <c r="J6142">
        <v>-413.4667</v>
      </c>
      <c r="K6142">
        <v>1.119882</v>
      </c>
      <c r="L6142">
        <v>24.503599999999999</v>
      </c>
      <c r="M6142">
        <v>0.72203830000000002</v>
      </c>
      <c r="N6142">
        <v>-1.5368679999999999E-2</v>
      </c>
      <c r="O6142">
        <v>-0.69168260000000004</v>
      </c>
      <c r="P6142">
        <v>0.83086000000000004</v>
      </c>
      <c r="Q6142">
        <v>0.15919029999999901</v>
      </c>
      <c r="R6142">
        <v>-0.53322669999999905</v>
      </c>
      <c r="S6142">
        <v>2.8173520000000001</v>
      </c>
      <c r="T6142">
        <v>-0.2002418</v>
      </c>
      <c r="U6142">
        <v>-1.3015749999999999</v>
      </c>
      <c r="V6142">
        <v>-0.19343089999999999</v>
      </c>
      <c r="W6142">
        <v>0.16991020000000001</v>
      </c>
      <c r="X6142">
        <v>0.96628930000000002</v>
      </c>
      <c r="Y6142">
        <v>-0.32378279999999998</v>
      </c>
      <c r="Z6142">
        <v>4.3537199999999998E-2</v>
      </c>
      <c r="AA6142">
        <v>0.9451292</v>
      </c>
      <c r="AB6142">
        <v>24</v>
      </c>
      <c r="AC6142">
        <v>15.660500000000001</v>
      </c>
      <c r="AD6142">
        <v>-1.119883441125</v>
      </c>
      <c r="AE6142">
        <v>-7.1966599999999898</v>
      </c>
      <c r="AF6142">
        <v>-5.6127983341204102</v>
      </c>
      <c r="AG6142">
        <v>-1.119883441125</v>
      </c>
      <c r="AH6142">
        <v>16.2187295642346</v>
      </c>
      <c r="AI6142">
        <v>93.733362704199493</v>
      </c>
      <c r="AJ6142">
        <v>109.089146982255</v>
      </c>
      <c r="AK6142">
        <v>17.198977665518001</v>
      </c>
      <c r="AL6142">
        <v>80.217402064273102</v>
      </c>
      <c r="AM6142">
        <v>101.31979785062499</v>
      </c>
      <c r="AN6142">
        <v>1.00000000021667</v>
      </c>
    </row>
    <row r="6143" spans="1:40" x14ac:dyDescent="0.25">
      <c r="A6143" t="str">
        <f>"20190304154919676"</f>
        <v>20190304154919676</v>
      </c>
      <c r="B6143" t="str">
        <f>"1551685759673375"</f>
        <v>1551685759673375</v>
      </c>
      <c r="C6143" t="s">
        <v>40</v>
      </c>
      <c r="D6143">
        <v>4.2317729999999996</v>
      </c>
      <c r="E6143">
        <v>0.44221909999999998</v>
      </c>
      <c r="F6143" t="s">
        <v>44</v>
      </c>
      <c r="G6143">
        <v>-397.68509999999998</v>
      </c>
      <c r="H6143" s="1">
        <v>-1.479985E-6</v>
      </c>
      <c r="I6143">
        <v>17.335750000000001</v>
      </c>
      <c r="J6143">
        <v>-413.37720000000002</v>
      </c>
      <c r="K6143">
        <v>1.119866</v>
      </c>
      <c r="L6143">
        <v>24.427430000000001</v>
      </c>
      <c r="M6143">
        <v>0.72659280000000004</v>
      </c>
      <c r="N6143">
        <v>-1.537087E-2</v>
      </c>
      <c r="O6143">
        <v>-0.68689630000000002</v>
      </c>
      <c r="P6143">
        <v>0.83424169999999997</v>
      </c>
      <c r="Q6143">
        <v>0.15943499999999999</v>
      </c>
      <c r="R6143">
        <v>-0.52784600000000004</v>
      </c>
      <c r="S6143">
        <v>2.8255309999999998</v>
      </c>
      <c r="T6143">
        <v>-0.20050299999999999</v>
      </c>
      <c r="U6143">
        <v>-1.283325</v>
      </c>
      <c r="V6143">
        <v>-0.19325819999999999</v>
      </c>
      <c r="W6143">
        <v>0.17016629999999899</v>
      </c>
      <c r="X6143">
        <v>0.96627879999999999</v>
      </c>
      <c r="Y6143">
        <v>-0.32362279999999999</v>
      </c>
      <c r="Z6143">
        <v>4.3427300000000002E-2</v>
      </c>
      <c r="AA6143">
        <v>0.9451891</v>
      </c>
      <c r="AB6143">
        <v>24</v>
      </c>
      <c r="AC6143">
        <v>15.6921</v>
      </c>
      <c r="AD6143">
        <v>-1.1198674799849999</v>
      </c>
      <c r="AE6143">
        <v>-7.0916799999999904</v>
      </c>
      <c r="AF6143">
        <v>-5.6030503983028002</v>
      </c>
      <c r="AG6143">
        <v>-1.1198674799849999</v>
      </c>
      <c r="AH6143">
        <v>16.2063990402497</v>
      </c>
      <c r="AI6143">
        <v>93.736531320711407</v>
      </c>
      <c r="AJ6143">
        <v>109.07184112646701</v>
      </c>
      <c r="AK6143">
        <v>17.184168492844101</v>
      </c>
      <c r="AL6143">
        <v>80.202511875719793</v>
      </c>
      <c r="AM6143">
        <v>101.31007158982</v>
      </c>
      <c r="AN6143">
        <v>1.0000000104261799</v>
      </c>
    </row>
    <row r="6144" spans="1:40" x14ac:dyDescent="0.25">
      <c r="A6144" t="str">
        <f>"20190304154919687"</f>
        <v>20190304154919687</v>
      </c>
      <c r="B6144" t="str">
        <f>"1551685759683135"</f>
        <v>1551685759683135</v>
      </c>
      <c r="C6144" t="s">
        <v>40</v>
      </c>
      <c r="D6144">
        <v>4.4470109999999998</v>
      </c>
      <c r="E6144">
        <v>0.44221909999999998</v>
      </c>
      <c r="F6144" t="s">
        <v>44</v>
      </c>
      <c r="G6144">
        <v>-397.5634</v>
      </c>
      <c r="H6144" s="1">
        <v>-1.5371289999999901E-6</v>
      </c>
      <c r="I6144">
        <v>17.333919999999999</v>
      </c>
      <c r="J6144">
        <v>-413.28460000000001</v>
      </c>
      <c r="K6144">
        <v>1.119853</v>
      </c>
      <c r="L6144">
        <v>24.349730000000001</v>
      </c>
      <c r="M6144">
        <v>0.73124869999999897</v>
      </c>
      <c r="N6144">
        <v>-1.5372480000000001E-2</v>
      </c>
      <c r="O6144">
        <v>-0.68193789999999999</v>
      </c>
      <c r="P6144">
        <v>0.83780779999999999</v>
      </c>
      <c r="Q6144">
        <v>0.15909860000000001</v>
      </c>
      <c r="R6144">
        <v>-0.52227029999999997</v>
      </c>
      <c r="S6144">
        <v>2.8309630000000001</v>
      </c>
      <c r="T6144">
        <v>-0.2004766</v>
      </c>
      <c r="U6144">
        <v>-1.2698670000000001</v>
      </c>
      <c r="V6144">
        <v>-0.19316</v>
      </c>
      <c r="W6144">
        <v>0.16984160000000001</v>
      </c>
      <c r="X6144">
        <v>0.96635559999999998</v>
      </c>
      <c r="Y6144">
        <v>-0.32161200000000001</v>
      </c>
      <c r="Z6144">
        <v>4.3183920000000001E-2</v>
      </c>
      <c r="AA6144">
        <v>0.94588629999999996</v>
      </c>
      <c r="AB6144">
        <v>24</v>
      </c>
      <c r="AC6144">
        <v>15.7212</v>
      </c>
      <c r="AD6144">
        <v>-1.1198545371290001</v>
      </c>
      <c r="AE6144">
        <v>-7.0158099999999903</v>
      </c>
      <c r="AF6144">
        <v>-5.5676813472894002</v>
      </c>
      <c r="AG6144">
        <v>-1.1198545371290001</v>
      </c>
      <c r="AH6144">
        <v>16.213769621403799</v>
      </c>
      <c r="AI6144">
        <v>93.737477920583999</v>
      </c>
      <c r="AJ6144">
        <v>108.952069654973</v>
      </c>
      <c r="AK6144">
        <v>17.179623834800299</v>
      </c>
      <c r="AL6144">
        <v>80.221391018462896</v>
      </c>
      <c r="AM6144">
        <v>101.303597364021</v>
      </c>
      <c r="AN6144">
        <v>1.0000000501709501</v>
      </c>
    </row>
    <row r="6145" spans="1:40" x14ac:dyDescent="0.25">
      <c r="A6145" t="str">
        <f>"20190304154919697"</f>
        <v>20190304154919697</v>
      </c>
      <c r="B6145" t="str">
        <f>"1551685759693872"</f>
        <v>1551685759693872</v>
      </c>
      <c r="C6145" t="s">
        <v>40</v>
      </c>
      <c r="D6145">
        <v>4.2936059999999996</v>
      </c>
      <c r="E6145">
        <v>0.44689800000000002</v>
      </c>
      <c r="F6145" t="s">
        <v>44</v>
      </c>
      <c r="G6145">
        <v>-397.46230000000003</v>
      </c>
      <c r="H6145" s="1">
        <v>-1.5760349999999999E-6</v>
      </c>
      <c r="I6145">
        <v>17.383949999999999</v>
      </c>
      <c r="J6145">
        <v>-413.19920000000002</v>
      </c>
      <c r="K6145">
        <v>1.1198429999999999</v>
      </c>
      <c r="L6145">
        <v>24.279170000000001</v>
      </c>
      <c r="M6145">
        <v>0.73548159999999996</v>
      </c>
      <c r="N6145">
        <v>-1.537353E-2</v>
      </c>
      <c r="O6145">
        <v>-0.67737029999999998</v>
      </c>
      <c r="P6145">
        <v>0.84092909999999899</v>
      </c>
      <c r="Q6145">
        <v>0.158885</v>
      </c>
      <c r="R6145">
        <v>-0.51729510000000001</v>
      </c>
      <c r="S6145">
        <v>2.8396300000000001</v>
      </c>
      <c r="T6145">
        <v>-0.20098089999999999</v>
      </c>
      <c r="U6145">
        <v>-1.2501530000000001</v>
      </c>
      <c r="V6145">
        <v>-0.1928861</v>
      </c>
      <c r="W6145">
        <v>0.16964189999999901</v>
      </c>
      <c r="X6145">
        <v>0.96644529999999995</v>
      </c>
      <c r="Y6145">
        <v>-0.32227630000000002</v>
      </c>
      <c r="Z6145">
        <v>4.3166999999999997E-2</v>
      </c>
      <c r="AA6145">
        <v>0.94566090000000003</v>
      </c>
      <c r="AB6145">
        <v>24</v>
      </c>
      <c r="AC6145">
        <v>15.736899999999901</v>
      </c>
      <c r="AD6145">
        <v>-1.119844576035</v>
      </c>
      <c r="AE6145">
        <v>-6.8952200000000001</v>
      </c>
      <c r="AF6145">
        <v>-5.5654184338508204</v>
      </c>
      <c r="AG6145">
        <v>-1.119844576035</v>
      </c>
      <c r="AH6145">
        <v>16.178009358710302</v>
      </c>
      <c r="AI6145">
        <v>93.744971814244096</v>
      </c>
      <c r="AJ6145">
        <v>108.983797266896</v>
      </c>
      <c r="AK6145">
        <v>17.1451427823988</v>
      </c>
      <c r="AL6145">
        <v>80.233000677028301</v>
      </c>
      <c r="AM6145">
        <v>101.286959947916</v>
      </c>
      <c r="AN6145">
        <v>0.99999996985045403</v>
      </c>
    </row>
    <row r="6146" spans="1:40" x14ac:dyDescent="0.25">
      <c r="A6146" t="str">
        <f>"20190304154919708"</f>
        <v>20190304154919708</v>
      </c>
      <c r="B6146" t="str">
        <f>"1551685759703632"</f>
        <v>1551685759703632</v>
      </c>
      <c r="C6146" t="s">
        <v>40</v>
      </c>
      <c r="D6146">
        <v>4.2550699999999999</v>
      </c>
      <c r="E6146">
        <v>0.44780150000000002</v>
      </c>
      <c r="F6146" t="s">
        <v>44</v>
      </c>
      <c r="G6146">
        <v>-399.33530000000002</v>
      </c>
      <c r="H6146" s="1">
        <v>-6.4952500000000004E-7</v>
      </c>
      <c r="I6146">
        <v>18.075230000000001</v>
      </c>
      <c r="J6146">
        <v>-413.10640000000001</v>
      </c>
      <c r="K6146">
        <v>1.119831</v>
      </c>
      <c r="L6146">
        <v>24.203130000000002</v>
      </c>
      <c r="M6146">
        <v>0.74003909999999995</v>
      </c>
      <c r="N6146">
        <v>-1.537437E-2</v>
      </c>
      <c r="O6146">
        <v>-0.67238830000000005</v>
      </c>
      <c r="P6146">
        <v>0.84428289999999995</v>
      </c>
      <c r="Q6146">
        <v>0.15860199999999999</v>
      </c>
      <c r="R6146">
        <v>-0.51189110000000004</v>
      </c>
      <c r="S6146">
        <v>2.831299</v>
      </c>
      <c r="T6146">
        <v>-0.22869439999999999</v>
      </c>
      <c r="U6146">
        <v>-1.2669680000000001</v>
      </c>
      <c r="V6146">
        <v>-0.19258130000000001</v>
      </c>
      <c r="W6146">
        <v>0.169375</v>
      </c>
      <c r="X6146">
        <v>0.96655290000000005</v>
      </c>
      <c r="Y6146">
        <v>-0.30972939999999999</v>
      </c>
      <c r="Z6146">
        <v>4.9620030000000002E-2</v>
      </c>
      <c r="AA6146">
        <v>0.94952910000000001</v>
      </c>
      <c r="AB6146">
        <v>24</v>
      </c>
      <c r="AC6146">
        <v>13.771099999999899</v>
      </c>
      <c r="AD6146">
        <v>-1.119831649525</v>
      </c>
      <c r="AE6146">
        <v>-6.1279000000000003</v>
      </c>
      <c r="AF6146">
        <v>-4.69926071103884</v>
      </c>
      <c r="AG6146">
        <v>-1.119831649525</v>
      </c>
      <c r="AH6146">
        <v>14.2346011500497</v>
      </c>
      <c r="AI6146">
        <v>94.272294704436703</v>
      </c>
      <c r="AJ6146">
        <v>108.269577014205</v>
      </c>
      <c r="AK6146">
        <v>15.031997340825599</v>
      </c>
      <c r="AL6146">
        <v>80.248517550121406</v>
      </c>
      <c r="AM6146">
        <v>101.268358560091</v>
      </c>
      <c r="AN6146">
        <v>0.99999997811654895</v>
      </c>
    </row>
    <row r="6147" spans="1:40" x14ac:dyDescent="0.25">
      <c r="A6147" t="str">
        <f>"20190304154919720"</f>
        <v>20190304154919720</v>
      </c>
      <c r="B6147" t="str">
        <f>"1551685759713392"</f>
        <v>1551685759713392</v>
      </c>
      <c r="C6147" t="s">
        <v>40</v>
      </c>
      <c r="D6147">
        <v>4.2978189999999996</v>
      </c>
      <c r="E6147">
        <v>0.4486328</v>
      </c>
      <c r="F6147" t="s">
        <v>44</v>
      </c>
      <c r="G6147">
        <v>-399.13679999999999</v>
      </c>
      <c r="H6147" s="1">
        <v>-7.3898609999999896E-7</v>
      </c>
      <c r="I6147">
        <v>18.02544</v>
      </c>
      <c r="J6147">
        <v>-413.01280000000003</v>
      </c>
      <c r="K6147">
        <v>1.119818</v>
      </c>
      <c r="L6147">
        <v>24.127929999999999</v>
      </c>
      <c r="M6147">
        <v>0.74456309999999903</v>
      </c>
      <c r="N6147">
        <v>-1.537459E-2</v>
      </c>
      <c r="O6147">
        <v>-0.66737500000000005</v>
      </c>
      <c r="P6147">
        <v>0.84760199999999997</v>
      </c>
      <c r="Q6147">
        <v>0.15863329999999901</v>
      </c>
      <c r="R6147">
        <v>-0.50636619999999999</v>
      </c>
      <c r="S6147">
        <v>2.8357239999999999</v>
      </c>
      <c r="T6147">
        <v>-0.2273184</v>
      </c>
      <c r="U6147">
        <v>-1.2540279999999999</v>
      </c>
      <c r="V6147">
        <v>-0.19235579999999999</v>
      </c>
      <c r="W6147">
        <v>0.1694186</v>
      </c>
      <c r="X6147">
        <v>0.96659019999999995</v>
      </c>
      <c r="Y6147">
        <v>-0.30751279999999998</v>
      </c>
      <c r="Z6147">
        <v>4.8989049999999999E-2</v>
      </c>
      <c r="AA6147">
        <v>0.95028199999999996</v>
      </c>
      <c r="AB6147">
        <v>24</v>
      </c>
      <c r="AC6147">
        <v>13.875999999999999</v>
      </c>
      <c r="AD6147">
        <v>-1.1198187389861001</v>
      </c>
      <c r="AE6147">
        <v>-6.1024900000000004</v>
      </c>
      <c r="AF6147">
        <v>-4.6917600103722696</v>
      </c>
      <c r="AG6147">
        <v>-1.1198187389861001</v>
      </c>
      <c r="AH6147">
        <v>14.327719357949</v>
      </c>
      <c r="AI6147">
        <v>94.247931981573402</v>
      </c>
      <c r="AJ6147">
        <v>108.131569741839</v>
      </c>
      <c r="AK6147">
        <v>15.117875115347999</v>
      </c>
      <c r="AL6147">
        <v>80.245983188026798</v>
      </c>
      <c r="AM6147">
        <v>101.25507783904099</v>
      </c>
      <c r="AN6147">
        <v>1.0000000152778099</v>
      </c>
    </row>
    <row r="6148" spans="1:40" x14ac:dyDescent="0.25">
      <c r="A6148" t="str">
        <f>"20190304154919731"</f>
        <v>20190304154919731</v>
      </c>
      <c r="B6148" t="str">
        <f>"1551685759723273"</f>
        <v>1551685759723273</v>
      </c>
      <c r="C6148" t="s">
        <v>40</v>
      </c>
      <c r="D6148">
        <v>4.2768040000000003</v>
      </c>
      <c r="E6148">
        <v>0.44931779999999999</v>
      </c>
      <c r="F6148" t="s">
        <v>44</v>
      </c>
      <c r="G6148">
        <v>-398.77659999999997</v>
      </c>
      <c r="H6148" s="1">
        <v>-9.0789980000000004E-7</v>
      </c>
      <c r="I6148">
        <v>17.910499999999999</v>
      </c>
      <c r="J6148">
        <v>-412.91910000000001</v>
      </c>
      <c r="K6148">
        <v>1.1198049999999999</v>
      </c>
      <c r="L6148">
        <v>24.053129999999999</v>
      </c>
      <c r="M6148">
        <v>0.74904309999999996</v>
      </c>
      <c r="N6148">
        <v>-1.5374779999999999E-2</v>
      </c>
      <c r="O6148">
        <v>-0.66234289999999996</v>
      </c>
      <c r="P6148">
        <v>0.85094709999999996</v>
      </c>
      <c r="Q6148">
        <v>0.1587992</v>
      </c>
      <c r="R6148">
        <v>-0.50067129999999904</v>
      </c>
      <c r="S6148">
        <v>2.8402099999999999</v>
      </c>
      <c r="T6148">
        <v>-0.2234112</v>
      </c>
      <c r="U6148">
        <v>-1.2404170000000001</v>
      </c>
      <c r="V6148">
        <v>-0.1923002</v>
      </c>
      <c r="W6148">
        <v>0.16959299999999999</v>
      </c>
      <c r="X6148">
        <v>0.9665707</v>
      </c>
      <c r="Y6148">
        <v>-0.30554969999999998</v>
      </c>
      <c r="Z6148">
        <v>4.7737500000000002E-2</v>
      </c>
      <c r="AA6148">
        <v>0.95097869999999995</v>
      </c>
      <c r="AB6148">
        <v>24</v>
      </c>
      <c r="AC6148">
        <v>14.1425</v>
      </c>
      <c r="AD6148">
        <v>-1.1198059078997999</v>
      </c>
      <c r="AE6148">
        <v>-6.1426299999999996</v>
      </c>
      <c r="AF6148">
        <v>-4.7416434218395302</v>
      </c>
      <c r="AG6148">
        <v>-1.1198059078997999</v>
      </c>
      <c r="AH6148">
        <v>14.586665145987499</v>
      </c>
      <c r="AI6148">
        <v>94.175678341462401</v>
      </c>
      <c r="AJ6148">
        <v>108.007633413318</v>
      </c>
      <c r="AK6148">
        <v>15.3788148988278</v>
      </c>
      <c r="AL6148">
        <v>80.235844280907102</v>
      </c>
      <c r="AM6148">
        <v>101.25212880627301</v>
      </c>
      <c r="AN6148">
        <v>1.0000000353337599</v>
      </c>
    </row>
    <row r="6149" spans="1:40" x14ac:dyDescent="0.25">
      <c r="A6149" t="str">
        <f>"20190304154919742"</f>
        <v>20190304154919742</v>
      </c>
      <c r="B6149" t="str">
        <f>"1551685759733033"</f>
        <v>1551685759733033</v>
      </c>
      <c r="C6149" t="s">
        <v>40</v>
      </c>
      <c r="D6149">
        <v>4.2741989999999896</v>
      </c>
      <c r="E6149">
        <v>0.45017160000000001</v>
      </c>
      <c r="F6149" t="s">
        <v>44</v>
      </c>
      <c r="G6149">
        <v>-398.75069999999999</v>
      </c>
      <c r="H6149" s="1">
        <v>-9.0744870000000004E-7</v>
      </c>
      <c r="I6149">
        <v>17.949549999999999</v>
      </c>
      <c r="J6149">
        <v>-412.82679999999999</v>
      </c>
      <c r="K6149">
        <v>1.119791</v>
      </c>
      <c r="L6149">
        <v>23.981259999999999</v>
      </c>
      <c r="M6149">
        <v>0.75338130000000003</v>
      </c>
      <c r="N6149">
        <v>-1.5374179999999999E-2</v>
      </c>
      <c r="O6149">
        <v>-0.65740419999999999</v>
      </c>
      <c r="P6149">
        <v>0.85419639999999997</v>
      </c>
      <c r="Q6149">
        <v>0.15906719999999999</v>
      </c>
      <c r="R6149">
        <v>-0.4950213</v>
      </c>
      <c r="S6149">
        <v>2.8460390000000002</v>
      </c>
      <c r="T6149">
        <v>-0.22493850000000001</v>
      </c>
      <c r="U6149">
        <v>-1.2260439999999999</v>
      </c>
      <c r="V6149">
        <v>-0.19231819999999999</v>
      </c>
      <c r="W6149">
        <v>0.16986599999999999</v>
      </c>
      <c r="X6149">
        <v>0.96651909999999996</v>
      </c>
      <c r="Y6149">
        <v>-0.30403289999999999</v>
      </c>
      <c r="Z6149">
        <v>4.7851030000000003E-2</v>
      </c>
      <c r="AA6149">
        <v>0.9514591</v>
      </c>
      <c r="AB6149">
        <v>24</v>
      </c>
      <c r="AC6149">
        <v>14.076099999999901</v>
      </c>
      <c r="AD6149">
        <v>-1.1197919074486999</v>
      </c>
      <c r="AE6149">
        <v>-6.0317099999999897</v>
      </c>
      <c r="AF6149">
        <v>-4.6850162537748901</v>
      </c>
      <c r="AG6149">
        <v>-1.1197919074486999</v>
      </c>
      <c r="AH6149">
        <v>14.4941658250307</v>
      </c>
      <c r="AI6149">
        <v>94.204430434919999</v>
      </c>
      <c r="AJ6149">
        <v>107.912628787115</v>
      </c>
      <c r="AK6149">
        <v>15.273642465948001</v>
      </c>
      <c r="AL6149">
        <v>80.219971490680805</v>
      </c>
      <c r="AM6149">
        <v>101.253740615344</v>
      </c>
      <c r="AN6149">
        <v>0.99999995933602404</v>
      </c>
    </row>
    <row r="6150" spans="1:40" x14ac:dyDescent="0.25">
      <c r="A6150" t="str">
        <f>"20190304154919753"</f>
        <v>20190304154919753</v>
      </c>
      <c r="B6150" t="str">
        <f>"1551685759743769"</f>
        <v>1551685759743769</v>
      </c>
      <c r="C6150" t="s">
        <v>40</v>
      </c>
      <c r="D6150">
        <v>4.2747320000000002</v>
      </c>
      <c r="E6150">
        <v>0.45077879999999998</v>
      </c>
      <c r="F6150" t="s">
        <v>44</v>
      </c>
      <c r="G6150">
        <v>-398.6875</v>
      </c>
      <c r="H6150" s="1">
        <v>-9.277558E-7</v>
      </c>
      <c r="I6150">
        <v>17.964410000000001</v>
      </c>
      <c r="J6150">
        <v>-412.73509999999999</v>
      </c>
      <c r="K6150">
        <v>1.1197790000000001</v>
      </c>
      <c r="L6150">
        <v>23.9101</v>
      </c>
      <c r="M6150">
        <v>0.75765479999999996</v>
      </c>
      <c r="N6150">
        <v>-1.5373680000000001E-2</v>
      </c>
      <c r="O6150">
        <v>-0.65247460000000002</v>
      </c>
      <c r="P6150">
        <v>0.85730110000000004</v>
      </c>
      <c r="Q6150">
        <v>0.1593512</v>
      </c>
      <c r="R6150">
        <v>-0.489533</v>
      </c>
      <c r="S6150">
        <v>2.851013</v>
      </c>
      <c r="T6150">
        <v>-0.2257924</v>
      </c>
      <c r="U6150">
        <v>-1.2132259999999999</v>
      </c>
      <c r="V6150">
        <v>-0.19217509999999999</v>
      </c>
      <c r="W6150">
        <v>0.1701597</v>
      </c>
      <c r="X6150">
        <v>0.96649589999999996</v>
      </c>
      <c r="Y6150">
        <v>-0.302033</v>
      </c>
      <c r="Z6150">
        <v>4.7776649999999997E-2</v>
      </c>
      <c r="AA6150">
        <v>0.95209949999999999</v>
      </c>
      <c r="AB6150">
        <v>24</v>
      </c>
      <c r="AC6150">
        <v>14.0475999999999</v>
      </c>
      <c r="AD6150">
        <v>-1.1197799277558</v>
      </c>
      <c r="AE6150">
        <v>-5.9456899999999901</v>
      </c>
      <c r="AF6150">
        <v>-4.6364867007416102</v>
      </c>
      <c r="AG6150">
        <v>-1.1197799277558</v>
      </c>
      <c r="AH6150">
        <v>14.4465081884789</v>
      </c>
      <c r="AI6150">
        <v>94.221018697837593</v>
      </c>
      <c r="AJ6150">
        <v>107.79360114191</v>
      </c>
      <c r="AK6150">
        <v>15.2135635159073</v>
      </c>
      <c r="AL6150">
        <v>80.2028951121262</v>
      </c>
      <c r="AM6150">
        <v>101.245843478754</v>
      </c>
      <c r="AN6150">
        <v>0.99999995864045399</v>
      </c>
    </row>
    <row r="6151" spans="1:40" x14ac:dyDescent="0.25">
      <c r="A6151" t="str">
        <f>"20190304154919764"</f>
        <v>20190304154919764</v>
      </c>
      <c r="B6151" t="str">
        <f>"1551685759753530"</f>
        <v>1551685759753530</v>
      </c>
      <c r="C6151" t="s">
        <v>40</v>
      </c>
      <c r="D6151">
        <v>4.2758629999999904</v>
      </c>
      <c r="E6151">
        <v>0.45158670000000001</v>
      </c>
      <c r="F6151" t="s">
        <v>44</v>
      </c>
      <c r="G6151">
        <v>-398.56360000000001</v>
      </c>
      <c r="H6151" s="1">
        <v>-9.7678060000000005E-7</v>
      </c>
      <c r="I6151">
        <v>17.959039999999899</v>
      </c>
      <c r="J6151">
        <v>-412.64010000000002</v>
      </c>
      <c r="K6151">
        <v>1.1197629999999901</v>
      </c>
      <c r="L6151">
        <v>23.837859999999999</v>
      </c>
      <c r="M6151">
        <v>0.76201580000000002</v>
      </c>
      <c r="N6151">
        <v>-1.5372729999999999E-2</v>
      </c>
      <c r="O6151">
        <v>-0.64737609999999901</v>
      </c>
      <c r="P6151">
        <v>0.86051109999999897</v>
      </c>
      <c r="Q6151">
        <v>0.1596754</v>
      </c>
      <c r="R6151">
        <v>-0.4837611</v>
      </c>
      <c r="S6151">
        <v>2.8564150000000001</v>
      </c>
      <c r="T6151">
        <v>-0.2257025</v>
      </c>
      <c r="U6151">
        <v>-1.1994929999999999</v>
      </c>
      <c r="V6151">
        <v>-0.1921465</v>
      </c>
      <c r="W6151">
        <v>0.17048949999999999</v>
      </c>
      <c r="X6151">
        <v>0.96644350000000001</v>
      </c>
      <c r="Y6151">
        <v>-0.30018280000000003</v>
      </c>
      <c r="Z6151">
        <v>4.746218E-2</v>
      </c>
      <c r="AA6151">
        <v>0.9527002</v>
      </c>
      <c r="AB6151">
        <v>24</v>
      </c>
      <c r="AC6151">
        <v>14.076499999999999</v>
      </c>
      <c r="AD6151">
        <v>-1.11976397678059</v>
      </c>
      <c r="AE6151">
        <v>-5.8788200000000002</v>
      </c>
      <c r="AF6151">
        <v>-4.6087502747345503</v>
      </c>
      <c r="AG6151">
        <v>-1.11976397678059</v>
      </c>
      <c r="AH6151">
        <v>14.4561467405552</v>
      </c>
      <c r="AI6151">
        <v>94.220756464137096</v>
      </c>
      <c r="AJ6151">
        <v>107.68275171179999</v>
      </c>
      <c r="AK6151">
        <v>15.214290290481101</v>
      </c>
      <c r="AL6151">
        <v>80.183719097913695</v>
      </c>
      <c r="AM6151">
        <v>101.244806608163</v>
      </c>
      <c r="AN6151">
        <v>0.99999999288237496</v>
      </c>
    </row>
    <row r="6152" spans="1:40" x14ac:dyDescent="0.25">
      <c r="A6152" t="str">
        <f>"20190304154919775"</f>
        <v>20190304154919775</v>
      </c>
      <c r="B6152" t="str">
        <f>"1551685759763289"</f>
        <v>1551685759763289</v>
      </c>
      <c r="C6152" t="s">
        <v>40</v>
      </c>
      <c r="D6152">
        <v>4.2935339999999904</v>
      </c>
      <c r="E6152">
        <v>0.45158670000000001</v>
      </c>
      <c r="F6152" t="s">
        <v>44</v>
      </c>
      <c r="G6152">
        <v>-398.44130000000001</v>
      </c>
      <c r="H6152" s="1">
        <v>-1.025715E-6</v>
      </c>
      <c r="I6152">
        <v>17.95166</v>
      </c>
      <c r="J6152">
        <v>-412.54950000000002</v>
      </c>
      <c r="K6152">
        <v>1.119748</v>
      </c>
      <c r="L6152">
        <v>23.769590000000001</v>
      </c>
      <c r="M6152">
        <v>0.76612749999999996</v>
      </c>
      <c r="N6152">
        <v>-1.537176E-2</v>
      </c>
      <c r="O6152">
        <v>-0.64250490000000005</v>
      </c>
      <c r="P6152">
        <v>0.86344920000000003</v>
      </c>
      <c r="Q6152">
        <v>0.15992210000000001</v>
      </c>
      <c r="R6152">
        <v>-0.47841470000000003</v>
      </c>
      <c r="S6152">
        <v>2.8613590000000002</v>
      </c>
      <c r="T6152">
        <v>-0.2256551</v>
      </c>
      <c r="U6152">
        <v>-1.186188</v>
      </c>
      <c r="V6152">
        <v>-0.19194839999999999</v>
      </c>
      <c r="W6152">
        <v>0.17074610000000001</v>
      </c>
      <c r="X6152">
        <v>0.96643760000000001</v>
      </c>
      <c r="Y6152">
        <v>-0.29847489999999999</v>
      </c>
      <c r="Z6152">
        <v>4.7175759999999997E-2</v>
      </c>
      <c r="AA6152">
        <v>0.95325079999999995</v>
      </c>
      <c r="AB6152">
        <v>24</v>
      </c>
      <c r="AC6152">
        <v>14.1082</v>
      </c>
      <c r="AD6152">
        <v>-1.119749025715</v>
      </c>
      <c r="AE6152">
        <v>-5.8179299999999996</v>
      </c>
      <c r="AF6152">
        <v>-4.5831804104213001</v>
      </c>
      <c r="AG6152">
        <v>-1.119749025715</v>
      </c>
      <c r="AH6152">
        <v>14.470539217133901</v>
      </c>
      <c r="AI6152">
        <v>94.219045469783495</v>
      </c>
      <c r="AJ6152">
        <v>107.574292331227</v>
      </c>
      <c r="AK6152">
        <v>15.2202459175163</v>
      </c>
      <c r="AL6152">
        <v>80.168798557037405</v>
      </c>
      <c r="AM6152">
        <v>101.233575193156</v>
      </c>
      <c r="AN6152">
        <v>1.0000000268107601</v>
      </c>
    </row>
    <row r="6153" spans="1:40" x14ac:dyDescent="0.25">
      <c r="A6153" t="str">
        <f>"20190304154919785"</f>
        <v>20190304154919785</v>
      </c>
      <c r="B6153" t="str">
        <f>"1551685759783785"</f>
        <v>1551685759783785</v>
      </c>
      <c r="C6153" t="s">
        <v>40</v>
      </c>
      <c r="D6153">
        <v>4.2749160000000002</v>
      </c>
      <c r="E6153">
        <v>0.46006360000000002</v>
      </c>
      <c r="F6153" t="s">
        <v>44</v>
      </c>
      <c r="G6153">
        <v>-398.26940000000002</v>
      </c>
      <c r="H6153" s="1">
        <v>-1.093807E-6</v>
      </c>
      <c r="I6153">
        <v>17.951789999999999</v>
      </c>
      <c r="J6153">
        <v>-412.4581</v>
      </c>
      <c r="K6153">
        <v>1.1197349999999999</v>
      </c>
      <c r="L6153">
        <v>23.70187</v>
      </c>
      <c r="M6153">
        <v>0.7702175</v>
      </c>
      <c r="N6153">
        <v>-1.5370409999999999E-2</v>
      </c>
      <c r="O6153">
        <v>-0.63759619999999995</v>
      </c>
      <c r="P6153">
        <v>0.86634509999999898</v>
      </c>
      <c r="Q6153">
        <v>0.1600569</v>
      </c>
      <c r="R6153">
        <v>-0.473105</v>
      </c>
      <c r="S6153">
        <v>2.8685610000000001</v>
      </c>
      <c r="T6153">
        <v>-0.2249333</v>
      </c>
      <c r="U6153">
        <v>-1.168671</v>
      </c>
      <c r="V6153">
        <v>-0.1916863</v>
      </c>
      <c r="W6153">
        <v>0.17089270000000001</v>
      </c>
      <c r="X6153">
        <v>0.96646370000000004</v>
      </c>
      <c r="Y6153">
        <v>-0.29822500000000002</v>
      </c>
      <c r="Z6153">
        <v>4.6765920000000002E-2</v>
      </c>
      <c r="AA6153">
        <v>0.95334920000000001</v>
      </c>
      <c r="AB6153">
        <v>24</v>
      </c>
      <c r="AC6153">
        <v>14.1886999999999</v>
      </c>
      <c r="AD6153">
        <v>-1.119736093807</v>
      </c>
      <c r="AE6153">
        <v>-5.7500799999999996</v>
      </c>
      <c r="AF6153">
        <v>-4.59381993825283</v>
      </c>
      <c r="AG6153">
        <v>-1.119736093807</v>
      </c>
      <c r="AH6153">
        <v>14.5186709820365</v>
      </c>
      <c r="AI6153">
        <v>94.205442913975702</v>
      </c>
      <c r="AJ6153">
        <v>107.557774679839</v>
      </c>
      <c r="AK6153">
        <v>15.269210772973601</v>
      </c>
      <c r="AL6153">
        <v>80.160273612816994</v>
      </c>
      <c r="AM6153">
        <v>101.218330099735</v>
      </c>
      <c r="AN6153">
        <v>1.00000001796933</v>
      </c>
    </row>
    <row r="6154" spans="1:40" x14ac:dyDescent="0.25">
      <c r="A6154" t="str">
        <f>"20190304154919797"</f>
        <v>20190304154919797</v>
      </c>
      <c r="B6154" t="str">
        <f>"1551685759793545"</f>
        <v>1551685759793545</v>
      </c>
      <c r="C6154" t="s">
        <v>40</v>
      </c>
      <c r="D6154">
        <v>4.2823769999999897</v>
      </c>
      <c r="E6154">
        <v>0.46062370000000002</v>
      </c>
      <c r="F6154" t="s">
        <v>44</v>
      </c>
      <c r="G6154">
        <v>-399.23790000000002</v>
      </c>
      <c r="H6154" s="1">
        <v>-6.877493E-7</v>
      </c>
      <c r="I6154">
        <v>18.072109999999999</v>
      </c>
      <c r="J6154">
        <v>-412.36020000000002</v>
      </c>
      <c r="K6154">
        <v>1.11972</v>
      </c>
      <c r="L6154">
        <v>23.63025</v>
      </c>
      <c r="M6154">
        <v>0.77454469999999997</v>
      </c>
      <c r="N6154">
        <v>-1.5368710000000001E-2</v>
      </c>
      <c r="O6154">
        <v>-0.63233240000000002</v>
      </c>
      <c r="P6154">
        <v>0.86945149999999904</v>
      </c>
      <c r="Q6154">
        <v>0.1601553</v>
      </c>
      <c r="R6154">
        <v>-0.46733750000000002</v>
      </c>
      <c r="S6154">
        <v>2.845612</v>
      </c>
      <c r="T6154">
        <v>-0.24102000000000001</v>
      </c>
      <c r="U6154">
        <v>-1.211792</v>
      </c>
      <c r="V6154">
        <v>-0.19150610000000001</v>
      </c>
      <c r="W6154">
        <v>0.17100070000000001</v>
      </c>
      <c r="X6154">
        <v>0.96648029999999996</v>
      </c>
      <c r="Y6154">
        <v>-0.27645570000000003</v>
      </c>
      <c r="Z6154">
        <v>4.9651319999999999E-2</v>
      </c>
      <c r="AA6154">
        <v>0.95974320000000002</v>
      </c>
      <c r="AB6154">
        <v>24</v>
      </c>
      <c r="AC6154">
        <v>13.1222999999999</v>
      </c>
      <c r="AD6154">
        <v>-1.1197206877493</v>
      </c>
      <c r="AE6154">
        <v>-5.5581399999999901</v>
      </c>
      <c r="AF6154">
        <v>-3.9685988814003799</v>
      </c>
      <c r="AG6154">
        <v>-1.1197206877493</v>
      </c>
      <c r="AH6154">
        <v>13.596079681976001</v>
      </c>
      <c r="AI6154">
        <v>94.520235975828498</v>
      </c>
      <c r="AJ6154">
        <v>106.27214900550101</v>
      </c>
      <c r="AK6154">
        <v>14.2076364754545</v>
      </c>
      <c r="AL6154">
        <v>80.153993024700796</v>
      </c>
      <c r="AM6154">
        <v>101.207863473977</v>
      </c>
      <c r="AN6154">
        <v>0.99999999801289396</v>
      </c>
    </row>
    <row r="6155" spans="1:40" x14ac:dyDescent="0.25">
      <c r="A6155" t="str">
        <f>"20190304154919809"</f>
        <v>20190304154919809</v>
      </c>
      <c r="B6155" t="str">
        <f>"1551685759803305"</f>
        <v>1551685759803305</v>
      </c>
      <c r="C6155" t="s">
        <v>40</v>
      </c>
      <c r="D6155">
        <v>4.3199620000000003</v>
      </c>
      <c r="E6155">
        <v>0.46142369999999999</v>
      </c>
      <c r="F6155" t="s">
        <v>44</v>
      </c>
      <c r="G6155">
        <v>-398.97089999999997</v>
      </c>
      <c r="H6155" s="1">
        <v>-8.0604709999999996E-7</v>
      </c>
      <c r="I6155">
        <v>18.012879999999999</v>
      </c>
      <c r="J6155">
        <v>-412.25630000000001</v>
      </c>
      <c r="K6155">
        <v>1.1197090000000001</v>
      </c>
      <c r="L6155">
        <v>23.555109999999999</v>
      </c>
      <c r="M6155">
        <v>0.77907850000000001</v>
      </c>
      <c r="N6155">
        <v>-1.53667E-2</v>
      </c>
      <c r="O6155">
        <v>-0.62673780000000001</v>
      </c>
      <c r="P6155">
        <v>0.87272739999999904</v>
      </c>
      <c r="Q6155">
        <v>0.16025539999999999</v>
      </c>
      <c r="R6155">
        <v>-0.46115610000000001</v>
      </c>
      <c r="S6155">
        <v>2.8513489999999999</v>
      </c>
      <c r="T6155">
        <v>-0.23845240000000001</v>
      </c>
      <c r="U6155">
        <v>-1.196259</v>
      </c>
      <c r="V6155">
        <v>-0.1913869</v>
      </c>
      <c r="W6155">
        <v>0.17110880000000001</v>
      </c>
      <c r="X6155">
        <v>0.96648480000000003</v>
      </c>
      <c r="Y6155">
        <v>-0.27472529999999901</v>
      </c>
      <c r="Z6155">
        <v>4.870265E-2</v>
      </c>
      <c r="AA6155">
        <v>0.96028849999999999</v>
      </c>
      <c r="AB6155">
        <v>24</v>
      </c>
      <c r="AC6155">
        <v>13.285399999999999</v>
      </c>
      <c r="AD6155">
        <v>-1.1197098060471</v>
      </c>
      <c r="AE6155">
        <v>-5.54223</v>
      </c>
      <c r="AF6155">
        <v>-3.9849933282108698</v>
      </c>
      <c r="AG6155">
        <v>-1.1197098060471</v>
      </c>
      <c r="AH6155">
        <v>13.7423822323134</v>
      </c>
      <c r="AI6155">
        <v>94.4745540926274</v>
      </c>
      <c r="AJ6155">
        <v>106.171014797932</v>
      </c>
      <c r="AK6155">
        <v>14.352246907527899</v>
      </c>
      <c r="AL6155">
        <v>80.147706896774906</v>
      </c>
      <c r="AM6155">
        <v>101.201012923737</v>
      </c>
      <c r="AN6155">
        <v>1.0000000177800401</v>
      </c>
    </row>
    <row r="6156" spans="1:40" x14ac:dyDescent="0.25">
      <c r="A6156" t="str">
        <f>"20190304154919823"</f>
        <v>20190304154919823</v>
      </c>
      <c r="B6156" t="str">
        <f>"1551685759813065"</f>
        <v>1551685759813065</v>
      </c>
      <c r="C6156" t="s">
        <v>40</v>
      </c>
      <c r="D6156">
        <v>4.2882530000000001</v>
      </c>
      <c r="E6156">
        <v>0.46142369999999999</v>
      </c>
      <c r="F6156" t="s">
        <v>44</v>
      </c>
      <c r="G6156">
        <v>-398.8109</v>
      </c>
      <c r="H6156" s="1">
        <v>-8.7270859999999999E-7</v>
      </c>
      <c r="I6156">
        <v>17.993300000000001</v>
      </c>
      <c r="J6156">
        <v>-412.14</v>
      </c>
      <c r="K6156">
        <v>1.1196919999999999</v>
      </c>
      <c r="L6156">
        <v>23.47287</v>
      </c>
      <c r="M6156">
        <v>0.78406690000000001</v>
      </c>
      <c r="N6156">
        <v>-1.536412E-2</v>
      </c>
      <c r="O6156">
        <v>-0.62048639999999999</v>
      </c>
      <c r="P6156">
        <v>0.87627239999999995</v>
      </c>
      <c r="Q6156">
        <v>0.16023270000000001</v>
      </c>
      <c r="R6156">
        <v>-0.45439259999999898</v>
      </c>
      <c r="S6156">
        <v>2.8567809999999998</v>
      </c>
      <c r="T6156">
        <v>-0.23790729999999999</v>
      </c>
      <c r="U6156">
        <v>-1.181732</v>
      </c>
      <c r="V6156">
        <v>-0.19112489999999999</v>
      </c>
      <c r="W6156">
        <v>0.1710989</v>
      </c>
      <c r="X6156">
        <v>0.96653840000000002</v>
      </c>
      <c r="Y6156">
        <v>-0.27187420000000001</v>
      </c>
      <c r="Z6156">
        <v>4.8156690000000002E-2</v>
      </c>
      <c r="AA6156">
        <v>0.96112710000000001</v>
      </c>
      <c r="AB6156">
        <v>24</v>
      </c>
      <c r="AC6156">
        <v>13.329099999999899</v>
      </c>
      <c r="AD6156">
        <v>-1.1196928727086</v>
      </c>
      <c r="AE6156">
        <v>-5.4795699999999901</v>
      </c>
      <c r="AF6156">
        <v>-3.9507955512640098</v>
      </c>
      <c r="AG6156">
        <v>-1.1196928727086</v>
      </c>
      <c r="AH6156">
        <v>13.7694192674655</v>
      </c>
      <c r="AI6156">
        <v>94.469353751551395</v>
      </c>
      <c r="AJ6156">
        <v>106.009527752225</v>
      </c>
      <c r="AK6156">
        <v>14.368695298472</v>
      </c>
      <c r="AL6156">
        <v>80.148282635476306</v>
      </c>
      <c r="AM6156">
        <v>101.185461491746</v>
      </c>
      <c r="AN6156">
        <v>1.00000001982788</v>
      </c>
    </row>
    <row r="6157" spans="1:40" x14ac:dyDescent="0.25">
      <c r="A6157" t="str">
        <f>"20190304154919838"</f>
        <v>20190304154919838</v>
      </c>
      <c r="B6157" t="str">
        <f>"1551685759833561"</f>
        <v>1551685759833561</v>
      </c>
      <c r="C6157" t="s">
        <v>40</v>
      </c>
      <c r="D6157">
        <v>4.2947189999999997</v>
      </c>
      <c r="E6157">
        <v>0.46616340000000001</v>
      </c>
      <c r="F6157" t="s">
        <v>44</v>
      </c>
      <c r="G6157">
        <v>-398.64819999999997</v>
      </c>
      <c r="H6157" s="1">
        <v>-9.2921050000000001E-7</v>
      </c>
      <c r="I6157">
        <v>18.01576</v>
      </c>
      <c r="J6157">
        <v>-412.01420000000002</v>
      </c>
      <c r="K6157">
        <v>1.1196729999999999</v>
      </c>
      <c r="L6157">
        <v>23.385100000000001</v>
      </c>
      <c r="M6157">
        <v>0.78938299999999995</v>
      </c>
      <c r="N6157">
        <v>-1.5361110000000001E-2</v>
      </c>
      <c r="O6157">
        <v>-0.61370899999999995</v>
      </c>
      <c r="P6157">
        <v>0.88004859999999896</v>
      </c>
      <c r="Q6157">
        <v>0.1602577</v>
      </c>
      <c r="R6157">
        <v>-0.44702570000000003</v>
      </c>
      <c r="S6157">
        <v>2.8659669999999999</v>
      </c>
      <c r="T6157">
        <v>-0.23784739999999999</v>
      </c>
      <c r="U6157">
        <v>-1.1592100000000001</v>
      </c>
      <c r="V6157">
        <v>-0.19089510000000001</v>
      </c>
      <c r="W6157">
        <v>0.17113610000000001</v>
      </c>
      <c r="X6157">
        <v>0.96657720000000003</v>
      </c>
      <c r="Y6157">
        <v>-0.27116089999999998</v>
      </c>
      <c r="Z6157">
        <v>4.7769119999999998E-2</v>
      </c>
      <c r="AA6157">
        <v>0.96134790000000003</v>
      </c>
      <c r="AB6157">
        <v>24</v>
      </c>
      <c r="AC6157">
        <v>13.366</v>
      </c>
      <c r="AD6157">
        <v>-1.1196739292105</v>
      </c>
      <c r="AE6157">
        <v>-5.3693400000000002</v>
      </c>
      <c r="AF6157">
        <v>-3.9410230220460698</v>
      </c>
      <c r="AG6157">
        <v>-1.1196739292105</v>
      </c>
      <c r="AH6157">
        <v>13.764567187439001</v>
      </c>
      <c r="AI6157">
        <v>94.471565591031194</v>
      </c>
      <c r="AJ6157">
        <v>105.977292294573</v>
      </c>
      <c r="AK6157">
        <v>14.3613593376663</v>
      </c>
      <c r="AL6157">
        <v>80.146119065456304</v>
      </c>
      <c r="AM6157">
        <v>101.17191392186101</v>
      </c>
      <c r="AN6157">
        <v>0.99999999374352999</v>
      </c>
    </row>
    <row r="6158" spans="1:40" x14ac:dyDescent="0.25">
      <c r="A6158" t="str">
        <f>"20190304154919852"</f>
        <v>20190304154919852</v>
      </c>
      <c r="B6158" t="str">
        <f>"1551685759843321"</f>
        <v>1551685759843321</v>
      </c>
      <c r="C6158" t="s">
        <v>40</v>
      </c>
      <c r="D6158">
        <v>4.328201</v>
      </c>
      <c r="E6158">
        <v>0.47210220000000003</v>
      </c>
      <c r="F6158" t="s">
        <v>44</v>
      </c>
      <c r="G6158">
        <v>-398.3193</v>
      </c>
      <c r="H6158" s="1">
        <v>-1.1164940000000001E-6</v>
      </c>
      <c r="I6158">
        <v>17.786470000000001</v>
      </c>
      <c r="J6158">
        <v>-411.89030000000002</v>
      </c>
      <c r="K6158">
        <v>1.1196539999999999</v>
      </c>
      <c r="L6158">
        <v>23.299990000000001</v>
      </c>
      <c r="M6158">
        <v>0.79453189999999996</v>
      </c>
      <c r="N6158">
        <v>-1.5357880000000001E-2</v>
      </c>
      <c r="O6158">
        <v>-0.60702819999999902</v>
      </c>
      <c r="P6158">
        <v>0.88382919999999998</v>
      </c>
      <c r="Q6158">
        <v>0.16021009999999999</v>
      </c>
      <c r="R6158">
        <v>-0.43952180000000002</v>
      </c>
      <c r="S6158">
        <v>2.8579409999999998</v>
      </c>
      <c r="T6158">
        <v>-0.23366210000000001</v>
      </c>
      <c r="U6158">
        <v>-1.1683650000000001</v>
      </c>
      <c r="V6158">
        <v>-0.19096060000000001</v>
      </c>
      <c r="W6158">
        <v>0.17109379999999999</v>
      </c>
      <c r="X6158">
        <v>0.96657170000000003</v>
      </c>
      <c r="Y6158">
        <v>-0.25954860000000002</v>
      </c>
      <c r="Z6158">
        <v>4.6086710000000003E-2</v>
      </c>
      <c r="AA6158">
        <v>0.96462979999999998</v>
      </c>
      <c r="AB6158">
        <v>24</v>
      </c>
      <c r="AC6158">
        <v>13.571</v>
      </c>
      <c r="AD6158">
        <v>-1.1196551164940001</v>
      </c>
      <c r="AE6158">
        <v>-5.5135199999999998</v>
      </c>
      <c r="AF6158">
        <v>-3.8353590565011602</v>
      </c>
      <c r="AG6158">
        <v>-1.1196551164940001</v>
      </c>
      <c r="AH6158">
        <v>14.049039558391399</v>
      </c>
      <c r="AI6158">
        <v>94.396407165143302</v>
      </c>
      <c r="AJ6158">
        <v>105.269552918076</v>
      </c>
      <c r="AK6158">
        <v>14.606132930568</v>
      </c>
      <c r="AL6158">
        <v>80.148578474687497</v>
      </c>
      <c r="AM6158">
        <v>101.17571275123601</v>
      </c>
      <c r="AN6158">
        <v>0.99999994519584301</v>
      </c>
    </row>
    <row r="6159" spans="1:40" x14ac:dyDescent="0.25">
      <c r="A6159" t="str">
        <f>"20190304154919863"</f>
        <v>20190304154919863</v>
      </c>
      <c r="B6159" t="str">
        <f>"1551685759853082"</f>
        <v>1551685759853082</v>
      </c>
      <c r="C6159" t="s">
        <v>40</v>
      </c>
      <c r="D6159">
        <v>4.2733990000000004</v>
      </c>
      <c r="E6159">
        <v>0.47155269999999999</v>
      </c>
      <c r="F6159" t="s">
        <v>44</v>
      </c>
      <c r="G6159">
        <v>-397.233</v>
      </c>
      <c r="H6159" s="1">
        <v>-1.71857E-6</v>
      </c>
      <c r="I6159">
        <v>17.19144</v>
      </c>
      <c r="J6159">
        <v>-411.78250000000003</v>
      </c>
      <c r="K6159">
        <v>1.119634</v>
      </c>
      <c r="L6159">
        <v>23.22775</v>
      </c>
      <c r="M6159">
        <v>0.7989271</v>
      </c>
      <c r="N6159">
        <v>-1.5354380000000001E-2</v>
      </c>
      <c r="O6159">
        <v>-0.60123209999999905</v>
      </c>
      <c r="P6159">
        <v>0.88715769999999905</v>
      </c>
      <c r="Q6159">
        <v>0.1595345</v>
      </c>
      <c r="R6159">
        <v>-0.43301339999999999</v>
      </c>
      <c r="S6159">
        <v>2.8442379999999998</v>
      </c>
      <c r="T6159">
        <v>-0.2172693</v>
      </c>
      <c r="U6159">
        <v>-1.1853640000000001</v>
      </c>
      <c r="V6159">
        <v>-0.19108410000000001</v>
      </c>
      <c r="W6159">
        <v>0.1704224</v>
      </c>
      <c r="X6159">
        <v>0.96666600000000003</v>
      </c>
      <c r="Y6159">
        <v>-0.2462358</v>
      </c>
      <c r="Z6159">
        <v>4.1676579999999998E-2</v>
      </c>
      <c r="AA6159">
        <v>0.96831350000000005</v>
      </c>
      <c r="AB6159">
        <v>24</v>
      </c>
      <c r="AC6159">
        <v>14.5495</v>
      </c>
      <c r="AD6159">
        <v>-1.1196357185700001</v>
      </c>
      <c r="AE6159">
        <v>-6.0363100000000003</v>
      </c>
      <c r="AF6159">
        <v>-3.9057840427355601</v>
      </c>
      <c r="AG6159">
        <v>-1.1196357185700001</v>
      </c>
      <c r="AH6159">
        <v>15.178324821470801</v>
      </c>
      <c r="AI6159">
        <v>94.086162095579198</v>
      </c>
      <c r="AJ6159">
        <v>104.43063795891</v>
      </c>
      <c r="AK6159">
        <v>15.712742520542401</v>
      </c>
      <c r="AL6159">
        <v>80.187621227196502</v>
      </c>
      <c r="AM6159">
        <v>101.18169491242401</v>
      </c>
      <c r="AN6159">
        <v>1.0000000416252799</v>
      </c>
    </row>
    <row r="6160" spans="1:40" x14ac:dyDescent="0.25">
      <c r="A6160" t="str">
        <f>"20190304154919888"</f>
        <v>20190304154919888</v>
      </c>
      <c r="B6160" t="str">
        <f>"1551685759883337"</f>
        <v>1551685759883337</v>
      </c>
      <c r="C6160" t="s">
        <v>40</v>
      </c>
      <c r="D6160">
        <v>4.2351539999999996</v>
      </c>
      <c r="E6160">
        <v>0.43479600000000002</v>
      </c>
      <c r="F6160" t="s">
        <v>44</v>
      </c>
      <c r="G6160">
        <v>-397.58659999999998</v>
      </c>
      <c r="H6160" s="1">
        <v>-1.5046069999999999E-6</v>
      </c>
      <c r="I6160">
        <v>17.455349999999999</v>
      </c>
      <c r="J6160">
        <v>-411.58120000000002</v>
      </c>
      <c r="K6160">
        <v>1.1195949999999999</v>
      </c>
      <c r="L6160">
        <v>23.095210000000002</v>
      </c>
      <c r="M6160">
        <v>0.80697159999999901</v>
      </c>
      <c r="N6160">
        <v>-1.534729E-2</v>
      </c>
      <c r="O6160">
        <v>-0.59039090000000005</v>
      </c>
      <c r="P6160">
        <v>0.89314899999999997</v>
      </c>
      <c r="Q6160">
        <v>0.15932760000000001</v>
      </c>
      <c r="R6160">
        <v>-0.42059439999999998</v>
      </c>
      <c r="S6160">
        <v>2.8553769999999998</v>
      </c>
      <c r="T6160">
        <v>-0.2252054</v>
      </c>
      <c r="U6160">
        <v>-1.1610720000000001</v>
      </c>
      <c r="V6160">
        <v>-0.191521</v>
      </c>
      <c r="W6160">
        <v>0.17021700000000001</v>
      </c>
      <c r="X6160">
        <v>0.96661569999999997</v>
      </c>
      <c r="Y6160">
        <v>-0.2414482</v>
      </c>
      <c r="Z6160">
        <v>4.2747019999999997E-2</v>
      </c>
      <c r="AA6160">
        <v>0.96947179999999999</v>
      </c>
      <c r="AB6160">
        <v>24</v>
      </c>
      <c r="AC6160">
        <v>13.9946</v>
      </c>
      <c r="AD6160">
        <v>-1.119596504607</v>
      </c>
      <c r="AE6160">
        <v>-5.6398599999999997</v>
      </c>
      <c r="AF6160">
        <v>-3.6911905704088901</v>
      </c>
      <c r="AG6160">
        <v>-1.119596504607</v>
      </c>
      <c r="AH6160">
        <v>14.544604637536301</v>
      </c>
      <c r="AI6160">
        <v>94.267018781642705</v>
      </c>
      <c r="AJ6160">
        <v>104.24012467508</v>
      </c>
      <c r="AK6160">
        <v>15.0473887509576</v>
      </c>
      <c r="AL6160">
        <v>80.199564027964101</v>
      </c>
      <c r="AM6160">
        <v>101.20718308533399</v>
      </c>
      <c r="AN6160">
        <v>1.0000000160082401</v>
      </c>
    </row>
    <row r="6161" spans="1:40" x14ac:dyDescent="0.25">
      <c r="A6161" t="str">
        <f>"20190304154919898"</f>
        <v>20190304154919898</v>
      </c>
      <c r="B6161" t="str">
        <f>"1551685759893097"</f>
        <v>1551685759893097</v>
      </c>
      <c r="C6161" t="s">
        <v>40</v>
      </c>
      <c r="D6161">
        <v>4.29474</v>
      </c>
      <c r="E6161">
        <v>0.42753459999999899</v>
      </c>
      <c r="F6161" t="s">
        <v>86</v>
      </c>
      <c r="G6161">
        <v>-389.25290000000001</v>
      </c>
      <c r="H6161" s="1">
        <v>-1.0502849999999999E-6</v>
      </c>
      <c r="I6161">
        <v>16.74887</v>
      </c>
      <c r="J6161">
        <v>-411.4778</v>
      </c>
      <c r="K6161">
        <v>1.1195679999999999</v>
      </c>
      <c r="L6161">
        <v>23.028749999999999</v>
      </c>
      <c r="M6161">
        <v>0.81101210000000001</v>
      </c>
      <c r="N6161">
        <v>-1.5342939999999999E-2</v>
      </c>
      <c r="O6161">
        <v>-0.58482809999999996</v>
      </c>
      <c r="P6161">
        <v>0.89627710000000005</v>
      </c>
      <c r="Q6161">
        <v>0.159444</v>
      </c>
      <c r="R6161">
        <v>-0.41384189999999998</v>
      </c>
      <c r="S6161">
        <v>2.9859619999999998</v>
      </c>
      <c r="T6161">
        <v>-0.1497233</v>
      </c>
      <c r="U6161">
        <v>-0.84869380000000005</v>
      </c>
      <c r="V6161">
        <v>-0.19215109999999999</v>
      </c>
      <c r="W6161">
        <v>0.17032559999999999</v>
      </c>
      <c r="X6161">
        <v>0.96647150000000004</v>
      </c>
      <c r="Y6161">
        <v>-0.34012009999999998</v>
      </c>
      <c r="Z6161">
        <v>2.8254899999999999E-2</v>
      </c>
      <c r="AA6161">
        <v>0.93995740000000005</v>
      </c>
      <c r="AB6161">
        <v>24</v>
      </c>
      <c r="AC6161">
        <v>22.224899999999899</v>
      </c>
      <c r="AD6161">
        <v>-1.119569050285</v>
      </c>
      <c r="AE6161">
        <v>-6.2798799999999897</v>
      </c>
      <c r="AF6161">
        <v>-7.8870837647693604</v>
      </c>
      <c r="AG6161">
        <v>-1.119569050285</v>
      </c>
      <c r="AH6161">
        <v>21.648993551573</v>
      </c>
      <c r="AI6161">
        <v>92.781838027289098</v>
      </c>
      <c r="AJ6161">
        <v>110.017512634225</v>
      </c>
      <c r="AK6161">
        <v>23.068126212739799</v>
      </c>
      <c r="AL6161">
        <v>80.193249415212193</v>
      </c>
      <c r="AM6161">
        <v>101.244751466187</v>
      </c>
      <c r="AN6161">
        <v>1.00000000777941</v>
      </c>
    </row>
    <row r="6162" spans="1:40" x14ac:dyDescent="0.25">
      <c r="A6162" t="str">
        <f>"20190304154919910"</f>
        <v>20190304154919910</v>
      </c>
      <c r="B6162" t="str">
        <f>"1551685759903834"</f>
        <v>1551685759903834</v>
      </c>
      <c r="C6162" t="s">
        <v>40</v>
      </c>
      <c r="D6162">
        <v>4.1659810000000004</v>
      </c>
      <c r="E6162">
        <v>0.42628729999999998</v>
      </c>
      <c r="F6162" t="s">
        <v>86</v>
      </c>
      <c r="G6162">
        <v>-382.43630000000002</v>
      </c>
      <c r="H6162" s="1">
        <v>-4.2881240000000003E-6</v>
      </c>
      <c r="I6162">
        <v>15.600809999999999</v>
      </c>
      <c r="J6162">
        <v>-411.36970000000002</v>
      </c>
      <c r="K6162">
        <v>1.119545</v>
      </c>
      <c r="L6162">
        <v>22.959900000000001</v>
      </c>
      <c r="M6162">
        <v>0.81518020000000002</v>
      </c>
      <c r="N6162">
        <v>-1.5338279999999999E-2</v>
      </c>
      <c r="O6162">
        <v>-0.57900450000000003</v>
      </c>
      <c r="P6162">
        <v>0.89962019999999998</v>
      </c>
      <c r="Q6162">
        <v>0.15967790000000001</v>
      </c>
      <c r="R6162">
        <v>-0.4064316</v>
      </c>
      <c r="S6162">
        <v>3.012146</v>
      </c>
      <c r="T6162">
        <v>-0.11612069999999999</v>
      </c>
      <c r="U6162">
        <v>-0.77041630000000005</v>
      </c>
      <c r="V6162">
        <v>-0.19317690000000001</v>
      </c>
      <c r="W6162">
        <v>0.17054169999999999</v>
      </c>
      <c r="X6162">
        <v>0.9662288</v>
      </c>
      <c r="Y6162">
        <v>-0.35855730000000002</v>
      </c>
      <c r="Z6162">
        <v>2.0701799999999999E-2</v>
      </c>
      <c r="AA6162">
        <v>0.9332781</v>
      </c>
      <c r="AB6162">
        <v>24</v>
      </c>
      <c r="AC6162">
        <v>28.933399999999999</v>
      </c>
      <c r="AD6162">
        <v>-1.1195492881239999</v>
      </c>
      <c r="AE6162">
        <v>-7.3590899999999904</v>
      </c>
      <c r="AF6162">
        <v>-10.739745471825501</v>
      </c>
      <c r="AG6162">
        <v>-1.1195492881239999</v>
      </c>
      <c r="AH6162">
        <v>27.8110446590671</v>
      </c>
      <c r="AI6162">
        <v>92.150605231701604</v>
      </c>
      <c r="AJ6162">
        <v>111.114983183853</v>
      </c>
      <c r="AK6162">
        <v>29.833701219204499</v>
      </c>
      <c r="AL6162">
        <v>80.180683282277499</v>
      </c>
      <c r="AM6162">
        <v>101.306006184826</v>
      </c>
      <c r="AN6162">
        <v>0.99999994004096804</v>
      </c>
    </row>
    <row r="6163" spans="1:40" x14ac:dyDescent="0.25">
      <c r="A6163" t="str">
        <f>"20190304154919923"</f>
        <v>20190304154919923</v>
      </c>
      <c r="B6163" t="str">
        <f>"1551685759913593"</f>
        <v>1551685759913593</v>
      </c>
      <c r="C6163" t="s">
        <v>40</v>
      </c>
      <c r="D6163">
        <v>4.2694479999999997</v>
      </c>
      <c r="E6163">
        <v>0.42527239999999999</v>
      </c>
      <c r="F6163" t="s">
        <v>86</v>
      </c>
      <c r="G6163">
        <v>-381.38510000000002</v>
      </c>
      <c r="H6163" s="1">
        <v>-4.7761449999999997E-6</v>
      </c>
      <c r="I6163">
        <v>15.6509</v>
      </c>
      <c r="J6163">
        <v>-411.26990000000001</v>
      </c>
      <c r="K6163">
        <v>1.119516</v>
      </c>
      <c r="L6163">
        <v>22.89798</v>
      </c>
      <c r="M6163">
        <v>0.81894919999999904</v>
      </c>
      <c r="N6163">
        <v>-1.5332729999999999E-2</v>
      </c>
      <c r="O6163">
        <v>-0.57366130000000004</v>
      </c>
      <c r="P6163">
        <v>0.90262339999999996</v>
      </c>
      <c r="Q6163">
        <v>0.16011929999999999</v>
      </c>
      <c r="R6163">
        <v>-0.39954079999999997</v>
      </c>
      <c r="S6163">
        <v>3.021973</v>
      </c>
      <c r="T6163">
        <v>-0.11283310000000001</v>
      </c>
      <c r="U6163">
        <v>-0.73663330000000005</v>
      </c>
      <c r="V6163">
        <v>-0.19420119999999999</v>
      </c>
      <c r="W6163">
        <v>0.17096549999999999</v>
      </c>
      <c r="X6163">
        <v>0.96594860000000005</v>
      </c>
      <c r="Y6163">
        <v>-0.36302420000000002</v>
      </c>
      <c r="Z6163">
        <v>1.995034E-2</v>
      </c>
      <c r="AA6163">
        <v>0.93156609999999995</v>
      </c>
      <c r="AB6163">
        <v>24</v>
      </c>
      <c r="AC6163">
        <v>29.884799999999899</v>
      </c>
      <c r="AD6163">
        <v>-1.1195207761449999</v>
      </c>
      <c r="AE6163">
        <v>-7.2470800000000004</v>
      </c>
      <c r="AF6163">
        <v>-11.195241492733</v>
      </c>
      <c r="AG6163">
        <v>-1.1195207761449999</v>
      </c>
      <c r="AH6163">
        <v>28.596963626151801</v>
      </c>
      <c r="AI6163">
        <v>92.087752912619393</v>
      </c>
      <c r="AJ6163">
        <v>111.379526997696</v>
      </c>
      <c r="AK6163">
        <v>30.730653873360399</v>
      </c>
      <c r="AL6163">
        <v>80.156040029828105</v>
      </c>
      <c r="AM6163">
        <v>101.367609782106</v>
      </c>
      <c r="AN6163">
        <v>1.0000000030568199</v>
      </c>
    </row>
    <row r="6164" spans="1:40" x14ac:dyDescent="0.25">
      <c r="A6164" t="str">
        <f>"20190304154919934"</f>
        <v>20190304154919934</v>
      </c>
      <c r="B6164" t="str">
        <f>"1551685759923353"</f>
        <v>1551685759923353</v>
      </c>
      <c r="C6164" t="s">
        <v>40</v>
      </c>
      <c r="D6164">
        <v>4.1650450000000001</v>
      </c>
      <c r="E6164">
        <v>0.42519269999999998</v>
      </c>
      <c r="F6164" t="s">
        <v>86</v>
      </c>
      <c r="G6164">
        <v>-381.4692</v>
      </c>
      <c r="H6164" s="1">
        <v>-4.6835320000000002E-6</v>
      </c>
      <c r="I6164">
        <v>15.948880000000001</v>
      </c>
      <c r="J6164">
        <v>-411.16289999999998</v>
      </c>
      <c r="K6164">
        <v>1.1194869999999999</v>
      </c>
      <c r="L6164">
        <v>22.831939999999999</v>
      </c>
      <c r="M6164">
        <v>0.82294140000000005</v>
      </c>
      <c r="N6164">
        <v>-1.5326630000000001E-2</v>
      </c>
      <c r="O6164">
        <v>-0.56791950000000002</v>
      </c>
      <c r="P6164">
        <v>0.90577450000000004</v>
      </c>
      <c r="Q6164">
        <v>0.16025629999999999</v>
      </c>
      <c r="R6164">
        <v>-0.3922892</v>
      </c>
      <c r="S6164">
        <v>3.0310060000000001</v>
      </c>
      <c r="T6164">
        <v>-0.1138656</v>
      </c>
      <c r="U6164">
        <v>-0.7067871</v>
      </c>
      <c r="V6164">
        <v>-0.19517010000000001</v>
      </c>
      <c r="W6164">
        <v>0.17108860000000001</v>
      </c>
      <c r="X6164">
        <v>0.96573149999999996</v>
      </c>
      <c r="Y6164">
        <v>-0.36581639999999999</v>
      </c>
      <c r="Z6164">
        <v>2.0161599999999998E-2</v>
      </c>
      <c r="AA6164">
        <v>0.93046859999999998</v>
      </c>
      <c r="AB6164">
        <v>24</v>
      </c>
      <c r="AC6164">
        <v>29.6936999999999</v>
      </c>
      <c r="AD6164">
        <v>-1.1194916835319999</v>
      </c>
      <c r="AE6164">
        <v>-6.8830600000000004</v>
      </c>
      <c r="AF6164">
        <v>-11.1855035420358</v>
      </c>
      <c r="AG6164">
        <v>-1.1194916835319999</v>
      </c>
      <c r="AH6164">
        <v>28.310340591552599</v>
      </c>
      <c r="AI6164">
        <v>92.106220365009094</v>
      </c>
      <c r="AJ6164">
        <v>111.55913003168401</v>
      </c>
      <c r="AK6164">
        <v>30.460534065050499</v>
      </c>
      <c r="AL6164">
        <v>80.148881452007799</v>
      </c>
      <c r="AM6164">
        <v>101.425337550588</v>
      </c>
      <c r="AN6164">
        <v>1.0000000035381</v>
      </c>
    </row>
    <row r="6165" spans="1:40" x14ac:dyDescent="0.25">
      <c r="A6165" t="str">
        <f>"20190304154919944"</f>
        <v>20190304154919944</v>
      </c>
      <c r="B6165" t="str">
        <f>"1551685759933114"</f>
        <v>1551685759933114</v>
      </c>
      <c r="C6165" t="s">
        <v>40</v>
      </c>
      <c r="D6165">
        <v>4.1892940000000003</v>
      </c>
      <c r="E6165">
        <v>0.42521910000000002</v>
      </c>
      <c r="F6165" t="s">
        <v>86</v>
      </c>
      <c r="G6165">
        <v>-382.63799999999998</v>
      </c>
      <c r="H6165" s="1">
        <v>-4.0469320000000002E-6</v>
      </c>
      <c r="I6165">
        <v>16.423110000000001</v>
      </c>
      <c r="J6165">
        <v>-411.06490000000002</v>
      </c>
      <c r="K6165">
        <v>1.119451</v>
      </c>
      <c r="L6165">
        <v>22.77271</v>
      </c>
      <c r="M6165">
        <v>0.82652739999999902</v>
      </c>
      <c r="N6165">
        <v>-1.531981E-2</v>
      </c>
      <c r="O6165">
        <v>-0.56268819999999997</v>
      </c>
      <c r="P6165">
        <v>0.90856210000000004</v>
      </c>
      <c r="Q6165">
        <v>0.159918</v>
      </c>
      <c r="R6165">
        <v>-0.38592919999999997</v>
      </c>
      <c r="S6165">
        <v>3.0375670000000001</v>
      </c>
      <c r="T6165">
        <v>-0.1192126</v>
      </c>
      <c r="U6165">
        <v>-0.68246459999999998</v>
      </c>
      <c r="V6165">
        <v>-0.19582849999999999</v>
      </c>
      <c r="W6165">
        <v>0.1707447</v>
      </c>
      <c r="X6165">
        <v>0.96565909999999999</v>
      </c>
      <c r="Y6165">
        <v>-0.36739260000000001</v>
      </c>
      <c r="Z6165">
        <v>2.1353509999999999E-2</v>
      </c>
      <c r="AA6165">
        <v>0.9298208</v>
      </c>
      <c r="AB6165">
        <v>24</v>
      </c>
      <c r="AC6165">
        <v>28.4268999999999</v>
      </c>
      <c r="AD6165">
        <v>-1.1194550469319999</v>
      </c>
      <c r="AE6165">
        <v>-6.3495999999999899</v>
      </c>
      <c r="AF6165">
        <v>-10.7327695153362</v>
      </c>
      <c r="AG6165">
        <v>-1.1194550469319999</v>
      </c>
      <c r="AH6165">
        <v>27.031701858930901</v>
      </c>
      <c r="AI6165">
        <v>92.204215769481394</v>
      </c>
      <c r="AJ6165">
        <v>111.65524527241401</v>
      </c>
      <c r="AK6165">
        <v>29.1059860932689</v>
      </c>
      <c r="AL6165">
        <v>80.168879955598399</v>
      </c>
      <c r="AM6165">
        <v>101.463698594994</v>
      </c>
      <c r="AN6165">
        <v>1.00000002570157</v>
      </c>
    </row>
    <row r="6166" spans="1:40" x14ac:dyDescent="0.25">
      <c r="A6166" t="str">
        <f>"20190304154919956"</f>
        <v>20190304154919956</v>
      </c>
      <c r="B6166" t="str">
        <f>"1551685759953609"</f>
        <v>1551685759953609</v>
      </c>
      <c r="C6166" t="s">
        <v>40</v>
      </c>
      <c r="D6166">
        <v>4.2064810000000001</v>
      </c>
      <c r="E6166">
        <v>0.42596129999999999</v>
      </c>
      <c r="F6166" t="s">
        <v>86</v>
      </c>
      <c r="G6166">
        <v>-383.74169999999998</v>
      </c>
      <c r="H6166" s="1">
        <v>-3.4528359999999999E-6</v>
      </c>
      <c r="I6166">
        <v>16.831129999999899</v>
      </c>
      <c r="J6166">
        <v>-410.96379999999999</v>
      </c>
      <c r="K6166">
        <v>1.11941</v>
      </c>
      <c r="L6166">
        <v>22.712219999999999</v>
      </c>
      <c r="M6166">
        <v>0.83017619999999903</v>
      </c>
      <c r="N6166">
        <v>-1.531213E-2</v>
      </c>
      <c r="O6166">
        <v>-0.55729069999999903</v>
      </c>
      <c r="P6166">
        <v>0.9113405</v>
      </c>
      <c r="Q6166">
        <v>0.15919829999999999</v>
      </c>
      <c r="R6166">
        <v>-0.37962380000000001</v>
      </c>
      <c r="S6166">
        <v>3.0428470000000001</v>
      </c>
      <c r="T6166">
        <v>-0.1246676</v>
      </c>
      <c r="U6166">
        <v>-0.66168209999999905</v>
      </c>
      <c r="V6166">
        <v>-0.19626850000000001</v>
      </c>
      <c r="W6166">
        <v>0.1700267</v>
      </c>
      <c r="X6166">
        <v>0.96569640000000001</v>
      </c>
      <c r="Y6166">
        <v>-0.36768590000000001</v>
      </c>
      <c r="Z6166">
        <v>2.2523430000000001E-2</v>
      </c>
      <c r="AA6166">
        <v>0.92967719999999998</v>
      </c>
      <c r="AB6166">
        <v>24</v>
      </c>
      <c r="AC6166">
        <v>27.222100000000001</v>
      </c>
      <c r="AD6166">
        <v>-1.119413452836</v>
      </c>
      <c r="AE6166">
        <v>-5.8810900000000004</v>
      </c>
      <c r="AF6166">
        <v>-10.2728923973175</v>
      </c>
      <c r="AG6166">
        <v>-1.119413452836</v>
      </c>
      <c r="AH6166">
        <v>25.837908528646398</v>
      </c>
      <c r="AI6166">
        <v>92.305432801188303</v>
      </c>
      <c r="AJ6166">
        <v>111.682270562521</v>
      </c>
      <c r="AK6166">
        <v>27.827736555817001</v>
      </c>
      <c r="AL6166">
        <v>80.210628248126994</v>
      </c>
      <c r="AM6166">
        <v>101.488339859337</v>
      </c>
      <c r="AN6166">
        <v>0.99999996988904905</v>
      </c>
    </row>
    <row r="6167" spans="1:40" x14ac:dyDescent="0.25">
      <c r="A6167" t="str">
        <f>"20190304154919967"</f>
        <v>20190304154919967</v>
      </c>
      <c r="B6167" t="str">
        <f>"1551685759963370"</f>
        <v>1551685759963370</v>
      </c>
      <c r="C6167" t="s">
        <v>40</v>
      </c>
      <c r="D6167">
        <v>4.2086420000000002</v>
      </c>
      <c r="E6167">
        <v>0.42627300000000001</v>
      </c>
      <c r="F6167" t="s">
        <v>86</v>
      </c>
      <c r="G6167">
        <v>-385.9282</v>
      </c>
      <c r="H6167" s="1">
        <v>-2.3184769999999999E-6</v>
      </c>
      <c r="I6167">
        <v>17.39922</v>
      </c>
      <c r="J6167">
        <v>-410.86059999999998</v>
      </c>
      <c r="K6167">
        <v>1.119362</v>
      </c>
      <c r="L6167">
        <v>22.651399999999999</v>
      </c>
      <c r="M6167">
        <v>0.83383750000000001</v>
      </c>
      <c r="N6167">
        <v>-1.530335E-2</v>
      </c>
      <c r="O6167">
        <v>-0.55179789999999995</v>
      </c>
      <c r="P6167">
        <v>0.91399620000000004</v>
      </c>
      <c r="Q6167">
        <v>0.1586612</v>
      </c>
      <c r="R6167">
        <v>-0.37341400000000002</v>
      </c>
      <c r="S6167">
        <v>3.0463260000000001</v>
      </c>
      <c r="T6167">
        <v>-0.13620979999999999</v>
      </c>
      <c r="U6167">
        <v>-0.64648439999999996</v>
      </c>
      <c r="V6167">
        <v>-0.19648750000000001</v>
      </c>
      <c r="W6167">
        <v>0.1694967</v>
      </c>
      <c r="X6167">
        <v>0.96574510000000002</v>
      </c>
      <c r="Y6167">
        <v>-0.36609350000000002</v>
      </c>
      <c r="Z6167">
        <v>2.5015180000000001E-2</v>
      </c>
      <c r="AA6167">
        <v>0.93024180000000001</v>
      </c>
      <c r="AB6167">
        <v>24</v>
      </c>
      <c r="AC6167">
        <v>24.932399999999902</v>
      </c>
      <c r="AD6167">
        <v>-1.1193643184769999</v>
      </c>
      <c r="AE6167">
        <v>-5.2521799999999903</v>
      </c>
      <c r="AF6167">
        <v>-9.3612120782168997</v>
      </c>
      <c r="AG6167">
        <v>-1.1193643184769999</v>
      </c>
      <c r="AH6167">
        <v>23.644850519746399</v>
      </c>
      <c r="AI6167">
        <v>92.520337164461907</v>
      </c>
      <c r="AJ6167">
        <v>111.599064651059</v>
      </c>
      <c r="AK6167">
        <v>25.455141408995999</v>
      </c>
      <c r="AL6167">
        <v>80.241442901333997</v>
      </c>
      <c r="AM6167">
        <v>101.50025287483599</v>
      </c>
      <c r="AN6167">
        <v>1.0000000335705701</v>
      </c>
    </row>
    <row r="6168" spans="1:40" x14ac:dyDescent="0.25">
      <c r="A6168" t="str">
        <f>"20190304154919979"</f>
        <v>20190304154919979</v>
      </c>
      <c r="B6168" t="str">
        <f>"1551685759973130"</f>
        <v>1551685759973130</v>
      </c>
      <c r="C6168" t="s">
        <v>40</v>
      </c>
      <c r="D6168">
        <v>4.1863089999999996</v>
      </c>
      <c r="E6168">
        <v>0.42670649999999899</v>
      </c>
      <c r="F6168" t="s">
        <v>86</v>
      </c>
      <c r="G6168">
        <v>-386.1789</v>
      </c>
      <c r="H6168" s="1">
        <v>-2.1693569999999998E-6</v>
      </c>
      <c r="I6168">
        <v>17.571909999999999</v>
      </c>
      <c r="J6168">
        <v>-410.75880000000001</v>
      </c>
      <c r="K6168">
        <v>1.119313</v>
      </c>
      <c r="L6168">
        <v>22.59244</v>
      </c>
      <c r="M6168">
        <v>0.83738140000000005</v>
      </c>
      <c r="N6168">
        <v>-1.529375E-2</v>
      </c>
      <c r="O6168">
        <v>-0.54640509999999998</v>
      </c>
      <c r="P6168">
        <v>0.91645339999999997</v>
      </c>
      <c r="Q6168">
        <v>0.15817310000000001</v>
      </c>
      <c r="R6168">
        <v>-0.36755189999999999</v>
      </c>
      <c r="S6168">
        <v>3.0498349999999999</v>
      </c>
      <c r="T6168">
        <v>-0.13831589999999999</v>
      </c>
      <c r="U6168">
        <v>-0.62765499999999996</v>
      </c>
      <c r="V6168">
        <v>-0.1964581</v>
      </c>
      <c r="W6168">
        <v>0.16902249999999999</v>
      </c>
      <c r="X6168">
        <v>0.96583410000000003</v>
      </c>
      <c r="Y6168">
        <v>-0.36578939999999999</v>
      </c>
      <c r="Z6168">
        <v>2.5377429999999999E-2</v>
      </c>
      <c r="AA6168">
        <v>0.93035159999999995</v>
      </c>
      <c r="AB6168">
        <v>24</v>
      </c>
      <c r="AC6168">
        <v>24.579899999999999</v>
      </c>
      <c r="AD6168">
        <v>-1.119315169357</v>
      </c>
      <c r="AE6168">
        <v>-5.0205299999999999</v>
      </c>
      <c r="AF6168">
        <v>-9.2092310008568194</v>
      </c>
      <c r="AG6168">
        <v>-1.119315169357</v>
      </c>
      <c r="AH6168">
        <v>23.282375291059601</v>
      </c>
      <c r="AI6168">
        <v>92.559729715910805</v>
      </c>
      <c r="AJ6168">
        <v>111.581034816228</v>
      </c>
      <c r="AK6168">
        <v>25.0625577559282</v>
      </c>
      <c r="AL6168">
        <v>80.269009491027404</v>
      </c>
      <c r="AM6168">
        <v>101.497546595771</v>
      </c>
      <c r="AN6168">
        <v>0.99999994964233296</v>
      </c>
    </row>
    <row r="6169" spans="1:40" x14ac:dyDescent="0.25">
      <c r="A6169" t="str">
        <f>"20190304154919990"</f>
        <v>20190304154919990</v>
      </c>
      <c r="B6169" t="str">
        <f>"1551685759983865"</f>
        <v>1551685759983865</v>
      </c>
      <c r="C6169" t="s">
        <v>40</v>
      </c>
      <c r="D6169">
        <v>4.2087659999999998</v>
      </c>
      <c r="E6169">
        <v>0.42705179999999998</v>
      </c>
      <c r="F6169" t="s">
        <v>86</v>
      </c>
      <c r="G6169">
        <v>-386.60059999999999</v>
      </c>
      <c r="H6169" s="1">
        <v>-1.9368619999999998E-6</v>
      </c>
      <c r="I6169">
        <v>17.75881</v>
      </c>
      <c r="J6169">
        <v>-410.65219999999999</v>
      </c>
      <c r="K6169">
        <v>1.1192610000000001</v>
      </c>
      <c r="L6169">
        <v>22.53116</v>
      </c>
      <c r="M6169">
        <v>0.84104109999999999</v>
      </c>
      <c r="N6169">
        <v>-1.5283679999999999E-2</v>
      </c>
      <c r="O6169">
        <v>-0.54075530000000005</v>
      </c>
      <c r="P6169">
        <v>0.91889050000000005</v>
      </c>
      <c r="Q6169">
        <v>0.1579728</v>
      </c>
      <c r="R6169">
        <v>-0.36150409999999999</v>
      </c>
      <c r="S6169">
        <v>3.0529480000000002</v>
      </c>
      <c r="T6169">
        <v>-0.1414512</v>
      </c>
      <c r="U6169">
        <v>-0.61083980000000004</v>
      </c>
      <c r="V6169">
        <v>-0.19631570000000001</v>
      </c>
      <c r="W6169">
        <v>0.16883870000000001</v>
      </c>
      <c r="X6169">
        <v>0.96589519999999995</v>
      </c>
      <c r="Y6169">
        <v>-0.36460379999999998</v>
      </c>
      <c r="Z6169">
        <v>2.5931610000000001E-2</v>
      </c>
      <c r="AA6169">
        <v>0.93080160000000001</v>
      </c>
      <c r="AB6169">
        <v>24</v>
      </c>
      <c r="AC6169">
        <v>24.051600000000001</v>
      </c>
      <c r="AD6169">
        <v>-1.119262936862</v>
      </c>
      <c r="AE6169">
        <v>-4.7723499999999897</v>
      </c>
      <c r="AF6169">
        <v>-8.97463885947829</v>
      </c>
      <c r="AG6169">
        <v>-1.119262936862</v>
      </c>
      <c r="AH6169">
        <v>22.764291208254299</v>
      </c>
      <c r="AI6169">
        <v>92.618947594861297</v>
      </c>
      <c r="AJ6169">
        <v>111.51643980863901</v>
      </c>
      <c r="AK6169">
        <v>24.495098415685</v>
      </c>
      <c r="AL6169">
        <v>80.279694008412505</v>
      </c>
      <c r="AM6169">
        <v>101.48872698754199</v>
      </c>
      <c r="AN6169">
        <v>0.999999949033608</v>
      </c>
    </row>
    <row r="6170" spans="1:40" x14ac:dyDescent="0.25">
      <c r="A6170" t="str">
        <f>"20190304154920002"</f>
        <v>20190304154920002</v>
      </c>
      <c r="B6170" t="str">
        <f>"1551685759993625"</f>
        <v>1551685759993625</v>
      </c>
      <c r="C6170" t="s">
        <v>40</v>
      </c>
      <c r="D6170">
        <v>4.192704</v>
      </c>
      <c r="E6170">
        <v>0.42755169999999998</v>
      </c>
      <c r="F6170" t="s">
        <v>86</v>
      </c>
      <c r="G6170">
        <v>-386.49</v>
      </c>
      <c r="H6170" s="1">
        <v>-1.9736960000000002E-6</v>
      </c>
      <c r="I6170">
        <v>17.8459</v>
      </c>
      <c r="J6170">
        <v>-410.5557</v>
      </c>
      <c r="K6170">
        <v>1.1192169999999999</v>
      </c>
      <c r="L6170">
        <v>22.477080000000001</v>
      </c>
      <c r="M6170">
        <v>0.84427109999999905</v>
      </c>
      <c r="N6170">
        <v>-1.5272900000000001E-2</v>
      </c>
      <c r="O6170">
        <v>-0.53569849999999997</v>
      </c>
      <c r="P6170">
        <v>0.92097099999999998</v>
      </c>
      <c r="Q6170">
        <v>0.15770609999999999</v>
      </c>
      <c r="R6170">
        <v>-0.35628799999999999</v>
      </c>
      <c r="S6170">
        <v>3.0560299999999998</v>
      </c>
      <c r="T6170">
        <v>-0.1415641</v>
      </c>
      <c r="U6170">
        <v>-0.59259030000000001</v>
      </c>
      <c r="V6170">
        <v>-0.19599330000000001</v>
      </c>
      <c r="W6170">
        <v>0.16859289999999999</v>
      </c>
      <c r="X6170">
        <v>0.96600370000000002</v>
      </c>
      <c r="Y6170">
        <v>-0.36454839999999999</v>
      </c>
      <c r="Z6170">
        <v>2.58491E-2</v>
      </c>
      <c r="AA6170">
        <v>0.93082560000000003</v>
      </c>
      <c r="AB6170">
        <v>24</v>
      </c>
      <c r="AC6170">
        <v>24.0657</v>
      </c>
      <c r="AD6170">
        <v>-1.1192189736960001</v>
      </c>
      <c r="AE6170">
        <v>-4.6311799999999899</v>
      </c>
      <c r="AF6170">
        <v>-8.9643400184585609</v>
      </c>
      <c r="AG6170">
        <v>-1.1192189736960001</v>
      </c>
      <c r="AH6170">
        <v>22.754095598724099</v>
      </c>
      <c r="AI6170">
        <v>92.620262990140006</v>
      </c>
      <c r="AJ6170">
        <v>111.50275391896</v>
      </c>
      <c r="AK6170">
        <v>24.481848573861701</v>
      </c>
      <c r="AL6170">
        <v>80.293983066433796</v>
      </c>
      <c r="AM6170">
        <v>101.469105887037</v>
      </c>
      <c r="AN6170">
        <v>1.0000000439944901</v>
      </c>
    </row>
    <row r="6171" spans="1:40" x14ac:dyDescent="0.25">
      <c r="A6171" t="str">
        <f>"20190304154920013"</f>
        <v>20190304154920013</v>
      </c>
      <c r="B6171" t="str">
        <f>"1551685760003386"</f>
        <v>1551685760003386</v>
      </c>
      <c r="C6171" t="s">
        <v>40</v>
      </c>
      <c r="D6171">
        <v>4.2498909999999999</v>
      </c>
      <c r="E6171">
        <v>0.42778519999999998</v>
      </c>
      <c r="F6171" t="s">
        <v>86</v>
      </c>
      <c r="G6171">
        <v>-386.64339999999999</v>
      </c>
      <c r="H6171" s="1">
        <v>-1.881948E-6</v>
      </c>
      <c r="I6171">
        <v>17.9542</v>
      </c>
      <c r="J6171">
        <v>-410.45760000000001</v>
      </c>
      <c r="K6171">
        <v>1.119165</v>
      </c>
      <c r="L6171">
        <v>22.422239999999999</v>
      </c>
      <c r="M6171">
        <v>0.84752079999999996</v>
      </c>
      <c r="N6171">
        <v>-1.5262319999999999E-2</v>
      </c>
      <c r="O6171">
        <v>-0.53054299999999999</v>
      </c>
      <c r="P6171">
        <v>0.92299960000000003</v>
      </c>
      <c r="Q6171">
        <v>0.1574786</v>
      </c>
      <c r="R6171">
        <v>-0.35110190000000002</v>
      </c>
      <c r="S6171">
        <v>3.0581360000000002</v>
      </c>
      <c r="T6171">
        <v>-0.1431365</v>
      </c>
      <c r="U6171">
        <v>-0.57843020000000001</v>
      </c>
      <c r="V6171">
        <v>-0.1955336</v>
      </c>
      <c r="W6171">
        <v>0.16838979999999901</v>
      </c>
      <c r="X6171">
        <v>0.9661322</v>
      </c>
      <c r="Y6171">
        <v>-0.3631373</v>
      </c>
      <c r="Z6171">
        <v>2.6048390000000001E-2</v>
      </c>
      <c r="AA6171">
        <v>0.93137150000000002</v>
      </c>
      <c r="AB6171">
        <v>24</v>
      </c>
      <c r="AC6171">
        <v>23.8142</v>
      </c>
      <c r="AD6171">
        <v>-1.1191668819480001</v>
      </c>
      <c r="AE6171">
        <v>-4.4680399999999896</v>
      </c>
      <c r="AF6171">
        <v>-8.8298909470891207</v>
      </c>
      <c r="AG6171">
        <v>-1.1191668819480001</v>
      </c>
      <c r="AH6171">
        <v>22.5081197355494</v>
      </c>
      <c r="AI6171">
        <v>92.650237022736704</v>
      </c>
      <c r="AJ6171">
        <v>111.41997916169301</v>
      </c>
      <c r="AK6171">
        <v>24.204027819290001</v>
      </c>
      <c r="AL6171">
        <v>80.305787903566795</v>
      </c>
      <c r="AM6171">
        <v>101.441433847396</v>
      </c>
      <c r="AN6171">
        <v>0.99999997067491897</v>
      </c>
    </row>
    <row r="6172" spans="1:40" x14ac:dyDescent="0.25">
      <c r="A6172" t="str">
        <f>"20190304154920025"</f>
        <v>20190304154920025</v>
      </c>
      <c r="B6172" t="str">
        <f>"1551685760013145"</f>
        <v>1551685760013145</v>
      </c>
      <c r="C6172" t="s">
        <v>40</v>
      </c>
      <c r="D6172">
        <v>4.231827</v>
      </c>
      <c r="E6172">
        <v>0.42830639999999998</v>
      </c>
      <c r="F6172" t="s">
        <v>86</v>
      </c>
      <c r="G6172">
        <v>-386.38830000000002</v>
      </c>
      <c r="H6172" s="1">
        <v>-1.9941699999999999E-6</v>
      </c>
      <c r="I6172">
        <v>18.0014</v>
      </c>
      <c r="J6172">
        <v>-410.3356</v>
      </c>
      <c r="K6172">
        <v>1.119095</v>
      </c>
      <c r="L6172">
        <v>22.35568</v>
      </c>
      <c r="M6172">
        <v>0.85145530000000003</v>
      </c>
      <c r="N6172">
        <v>-1.524701E-2</v>
      </c>
      <c r="O6172">
        <v>-0.52420549999999999</v>
      </c>
      <c r="P6172">
        <v>0.92533180000000004</v>
      </c>
      <c r="Q6172">
        <v>0.15761939999999999</v>
      </c>
      <c r="R6172">
        <v>-0.34484369999999998</v>
      </c>
      <c r="S6172">
        <v>3.0606990000000001</v>
      </c>
      <c r="T6172">
        <v>-0.14231569999999999</v>
      </c>
      <c r="U6172">
        <v>-0.56216429999999995</v>
      </c>
      <c r="V6172">
        <v>-0.19482740000000001</v>
      </c>
      <c r="W6172">
        <v>0.1685642</v>
      </c>
      <c r="X6172">
        <v>0.96624449999999995</v>
      </c>
      <c r="Y6172">
        <v>-0.36112559999999999</v>
      </c>
      <c r="Z6172">
        <v>2.5671159999999998E-2</v>
      </c>
      <c r="AA6172">
        <v>0.93216379999999999</v>
      </c>
      <c r="AB6172">
        <v>24</v>
      </c>
      <c r="AC6172">
        <v>23.947299999999899</v>
      </c>
      <c r="AD6172">
        <v>-1.11909699417</v>
      </c>
      <c r="AE6172">
        <v>-4.3542799999999904</v>
      </c>
      <c r="AF6172">
        <v>-8.8281975077590804</v>
      </c>
      <c r="AG6172">
        <v>-1.11909699417</v>
      </c>
      <c r="AH6172">
        <v>22.627395437886399</v>
      </c>
      <c r="AI6172">
        <v>92.638036725690696</v>
      </c>
      <c r="AJ6172">
        <v>111.313504886904</v>
      </c>
      <c r="AK6172">
        <v>24.314367637692001</v>
      </c>
      <c r="AL6172">
        <v>80.2956510915146</v>
      </c>
      <c r="AM6172">
        <v>101.39990503241199</v>
      </c>
      <c r="AN6172">
        <v>1.0000000195463199</v>
      </c>
    </row>
    <row r="6173" spans="1:40" x14ac:dyDescent="0.25">
      <c r="A6173" t="str">
        <f>"20190304154920038"</f>
        <v>20190304154920038</v>
      </c>
      <c r="B6173" t="str">
        <f>"1551685760033641"</f>
        <v>1551685760033641</v>
      </c>
      <c r="C6173" t="s">
        <v>40</v>
      </c>
      <c r="D6173">
        <v>4.1929449999999999</v>
      </c>
      <c r="E6173">
        <v>0.42949270000000001</v>
      </c>
      <c r="F6173" t="s">
        <v>86</v>
      </c>
      <c r="G6173">
        <v>-386.2441</v>
      </c>
      <c r="H6173" s="1">
        <v>-2.0494810000000001E-6</v>
      </c>
      <c r="I6173">
        <v>18.073869999999999</v>
      </c>
      <c r="J6173">
        <v>-410.22399999999999</v>
      </c>
      <c r="K6173">
        <v>1.1190340000000001</v>
      </c>
      <c r="L6173">
        <v>22.295559999999998</v>
      </c>
      <c r="M6173">
        <v>0.85498430000000003</v>
      </c>
      <c r="N6173">
        <v>-1.52322999999999E-2</v>
      </c>
      <c r="O6173">
        <v>-0.51843019999999995</v>
      </c>
      <c r="P6173">
        <v>0.92740730000000005</v>
      </c>
      <c r="Q6173">
        <v>0.15800999999999901</v>
      </c>
      <c r="R6173">
        <v>-0.33904060000000003</v>
      </c>
      <c r="S6173">
        <v>3.0634160000000001</v>
      </c>
      <c r="T6173">
        <v>-0.1423016</v>
      </c>
      <c r="U6173">
        <v>-0.54446410000000001</v>
      </c>
      <c r="V6173">
        <v>-0.19428429999999999</v>
      </c>
      <c r="W6173">
        <v>0.16898250000000001</v>
      </c>
      <c r="X6173">
        <v>0.96628080000000005</v>
      </c>
      <c r="Y6173">
        <v>-0.36017969999999999</v>
      </c>
      <c r="Z6173">
        <v>2.5515050000000001E-2</v>
      </c>
      <c r="AA6173">
        <v>0.93253399999999997</v>
      </c>
      <c r="AB6173">
        <v>24</v>
      </c>
      <c r="AC6173">
        <v>23.979899999999901</v>
      </c>
      <c r="AD6173">
        <v>-1.1190360494810001</v>
      </c>
      <c r="AE6173">
        <v>-4.2216899999999997</v>
      </c>
      <c r="AF6173">
        <v>-8.8048514475032107</v>
      </c>
      <c r="AG6173">
        <v>-1.1190360494810001</v>
      </c>
      <c r="AH6173">
        <v>22.645889048578798</v>
      </c>
      <c r="AI6173">
        <v>92.636943578860794</v>
      </c>
      <c r="AJ6173">
        <v>111.246366710907</v>
      </c>
      <c r="AK6173">
        <v>24.323115373923201</v>
      </c>
      <c r="AL6173">
        <v>80.2713355543885</v>
      </c>
      <c r="AM6173">
        <v>101.368539433591</v>
      </c>
      <c r="AN6173">
        <v>1.0000000294906799</v>
      </c>
    </row>
    <row r="6174" spans="1:40" x14ac:dyDescent="0.25">
      <c r="A6174" t="str">
        <f>"20190304154920056"</f>
        <v>20190304154920056</v>
      </c>
      <c r="B6174" t="str">
        <f>"1551685760043401"</f>
        <v>1551685760043401</v>
      </c>
      <c r="C6174" t="s">
        <v>40</v>
      </c>
      <c r="D6174">
        <v>4.211614</v>
      </c>
      <c r="E6174">
        <v>0.42999589999999999</v>
      </c>
      <c r="F6174" t="s">
        <v>86</v>
      </c>
      <c r="G6174">
        <v>-386.0548</v>
      </c>
      <c r="H6174" s="1">
        <v>-2.136379E-6</v>
      </c>
      <c r="I6174">
        <v>18.088429999999999</v>
      </c>
      <c r="J6174">
        <v>-410.0643</v>
      </c>
      <c r="K6174">
        <v>1.118941</v>
      </c>
      <c r="L6174">
        <v>22.211030000000001</v>
      </c>
      <c r="M6174">
        <v>0.85990829999999996</v>
      </c>
      <c r="N6174">
        <v>-1.5209840000000001E-2</v>
      </c>
      <c r="O6174">
        <v>-0.51022209999999901</v>
      </c>
      <c r="P6174">
        <v>0.93045990000000001</v>
      </c>
      <c r="Q6174">
        <v>0.15840650000000001</v>
      </c>
      <c r="R6174">
        <v>-0.33038230000000002</v>
      </c>
      <c r="S6174">
        <v>3.0640260000000001</v>
      </c>
      <c r="T6174">
        <v>-0.14186489999999999</v>
      </c>
      <c r="U6174">
        <v>-0.53335569999999999</v>
      </c>
      <c r="V6174">
        <v>-0.1939727</v>
      </c>
      <c r="W6174">
        <v>0.1694088</v>
      </c>
      <c r="X6174">
        <v>0.96626869999999998</v>
      </c>
      <c r="Y6174">
        <v>-0.35456910000000003</v>
      </c>
      <c r="Z6174">
        <v>2.508525E-2</v>
      </c>
      <c r="AA6174">
        <v>0.93469329999999995</v>
      </c>
      <c r="AB6174">
        <v>24</v>
      </c>
      <c r="AC6174">
        <v>24.009499999999999</v>
      </c>
      <c r="AD6174">
        <v>-1.1189431363789999</v>
      </c>
      <c r="AE6174">
        <v>-4.1225999999999896</v>
      </c>
      <c r="AF6174">
        <v>-8.6877966511645397</v>
      </c>
      <c r="AG6174">
        <v>-1.1189431363789999</v>
      </c>
      <c r="AH6174">
        <v>22.704139381746401</v>
      </c>
      <c r="AI6174">
        <v>92.635401201092506</v>
      </c>
      <c r="AJ6174">
        <v>110.939476659672</v>
      </c>
      <c r="AK6174">
        <v>24.335319793670301</v>
      </c>
      <c r="AL6174">
        <v>80.246552527739496</v>
      </c>
      <c r="AM6174">
        <v>101.35091831946001</v>
      </c>
      <c r="AN6174">
        <v>0.99999997523120898</v>
      </c>
    </row>
    <row r="6175" spans="1:40" x14ac:dyDescent="0.25">
      <c r="A6175" t="str">
        <f>"20190304154920067"</f>
        <v>20190304154920067</v>
      </c>
      <c r="B6175" t="str">
        <f>"1551685760063898"</f>
        <v>1551685760063898</v>
      </c>
      <c r="C6175" t="s">
        <v>40</v>
      </c>
      <c r="D6175">
        <v>4.4636449999999996</v>
      </c>
      <c r="E6175">
        <v>0.43104039999999999</v>
      </c>
      <c r="F6175" t="s">
        <v>86</v>
      </c>
      <c r="G6175">
        <v>-385.96730000000002</v>
      </c>
      <c r="H6175" s="1">
        <v>-2.1548359999999998E-6</v>
      </c>
      <c r="I6175">
        <v>18.21763</v>
      </c>
      <c r="J6175">
        <v>-409.9502</v>
      </c>
      <c r="K6175">
        <v>1.118873</v>
      </c>
      <c r="L6175">
        <v>22.151859999999999</v>
      </c>
      <c r="M6175">
        <v>0.86332929999999997</v>
      </c>
      <c r="N6175">
        <v>-1.519275E-2</v>
      </c>
      <c r="O6175">
        <v>-0.50441210000000003</v>
      </c>
      <c r="P6175">
        <v>0.93228330000000004</v>
      </c>
      <c r="Q6175">
        <v>0.16044510000000001</v>
      </c>
      <c r="R6175">
        <v>-0.32419920000000002</v>
      </c>
      <c r="S6175">
        <v>3.0679319999999999</v>
      </c>
      <c r="T6175">
        <v>-0.14245929999999901</v>
      </c>
      <c r="U6175">
        <v>-0.50842290000000001</v>
      </c>
      <c r="V6175">
        <v>-0.19370280000000001</v>
      </c>
      <c r="W6175">
        <v>0.1714658</v>
      </c>
      <c r="X6175">
        <v>0.96596000000000004</v>
      </c>
      <c r="Y6175">
        <v>-0.35584300000000002</v>
      </c>
      <c r="Z6175">
        <v>2.5119570000000001E-2</v>
      </c>
      <c r="AA6175">
        <v>0.93420809999999999</v>
      </c>
      <c r="AB6175">
        <v>24</v>
      </c>
      <c r="AC6175">
        <v>23.982899999999901</v>
      </c>
      <c r="AD6175">
        <v>-1.1188751548360001</v>
      </c>
      <c r="AE6175">
        <v>-3.9342299999999999</v>
      </c>
      <c r="AF6175">
        <v>-8.6833297623431207</v>
      </c>
      <c r="AG6175">
        <v>-1.1188751548360001</v>
      </c>
      <c r="AH6175">
        <v>22.644240253565702</v>
      </c>
      <c r="AI6175">
        <v>92.641484097535098</v>
      </c>
      <c r="AJ6175">
        <v>110.980194472283</v>
      </c>
      <c r="AK6175">
        <v>24.277844097755199</v>
      </c>
      <c r="AL6175">
        <v>80.126945380161203</v>
      </c>
      <c r="AM6175">
        <v>101.33906222951001</v>
      </c>
      <c r="AN6175">
        <v>1.0000000084487399</v>
      </c>
    </row>
    <row r="6176" spans="1:40" x14ac:dyDescent="0.25">
      <c r="A6176" t="str">
        <f>"20190304154920081"</f>
        <v>20190304154920081</v>
      </c>
      <c r="B6176" t="str">
        <f>"1551685760073658"</f>
        <v>1551685760073658</v>
      </c>
      <c r="C6176" t="s">
        <v>40</v>
      </c>
      <c r="D6176">
        <v>4.1688359999999998</v>
      </c>
      <c r="E6176">
        <v>0.43151790000000001</v>
      </c>
      <c r="F6176" t="s">
        <v>86</v>
      </c>
      <c r="G6176">
        <v>-384.73230000000001</v>
      </c>
      <c r="H6176" s="1">
        <v>-2.7630909999999998E-6</v>
      </c>
      <c r="I6176">
        <v>18.079730000000001</v>
      </c>
      <c r="J6176">
        <v>-409.82580000000002</v>
      </c>
      <c r="K6176">
        <v>1.118792</v>
      </c>
      <c r="L6176">
        <v>22.088470000000001</v>
      </c>
      <c r="M6176">
        <v>0.86696790000000001</v>
      </c>
      <c r="N6176">
        <v>-1.517307E-2</v>
      </c>
      <c r="O6176">
        <v>-0.49813289999999999</v>
      </c>
      <c r="P6176">
        <v>0.93451010000000001</v>
      </c>
      <c r="Q6176">
        <v>0.1613619</v>
      </c>
      <c r="R6176">
        <v>-0.31725900000000001</v>
      </c>
      <c r="S6176">
        <v>3.069</v>
      </c>
      <c r="T6176">
        <v>-0.13616619999999999</v>
      </c>
      <c r="U6176">
        <v>-0.49557499999999999</v>
      </c>
      <c r="V6176">
        <v>-0.19377810000000001</v>
      </c>
      <c r="W6176">
        <v>0.17239779999999999</v>
      </c>
      <c r="X6176">
        <v>0.96577900000000005</v>
      </c>
      <c r="Y6176">
        <v>-0.35298849999999998</v>
      </c>
      <c r="Z6176">
        <v>2.3574700000000001E-2</v>
      </c>
      <c r="AA6176">
        <v>0.93533060000000001</v>
      </c>
      <c r="AB6176">
        <v>24</v>
      </c>
      <c r="AC6176">
        <v>25.093499999999999</v>
      </c>
      <c r="AD6176">
        <v>-1.118794763091</v>
      </c>
      <c r="AE6176">
        <v>-4.0087400000000004</v>
      </c>
      <c r="AF6176">
        <v>-9.0080274762763501</v>
      </c>
      <c r="AG6176">
        <v>-1.118794763091</v>
      </c>
      <c r="AH6176">
        <v>23.708923133519001</v>
      </c>
      <c r="AI6176">
        <v>92.525801042736006</v>
      </c>
      <c r="AJ6176">
        <v>110.80391204172599</v>
      </c>
      <c r="AK6176">
        <v>25.3871876521678</v>
      </c>
      <c r="AL6176">
        <v>80.072738576901699</v>
      </c>
      <c r="AM6176">
        <v>101.345426680312</v>
      </c>
      <c r="AN6176">
        <v>1.00000001516272</v>
      </c>
    </row>
    <row r="6177" spans="1:40" x14ac:dyDescent="0.25">
      <c r="A6177" t="str">
        <f>"20190304154920095"</f>
        <v>20190304154920095</v>
      </c>
      <c r="B6177" t="str">
        <f>"1551685760083418"</f>
        <v>1551685760083418</v>
      </c>
      <c r="C6177" t="s">
        <v>40</v>
      </c>
      <c r="D6177">
        <v>4.1980420000000001</v>
      </c>
      <c r="E6177">
        <v>0.43208489999999999</v>
      </c>
      <c r="F6177" t="s">
        <v>86</v>
      </c>
      <c r="G6177">
        <v>-384.2647</v>
      </c>
      <c r="H6177" s="1">
        <v>-2.9763409999999999E-6</v>
      </c>
      <c r="I6177">
        <v>18.123539999999998</v>
      </c>
      <c r="J6177">
        <v>-409.69420000000002</v>
      </c>
      <c r="K6177">
        <v>1.118706</v>
      </c>
      <c r="L6177">
        <v>22.022310000000001</v>
      </c>
      <c r="M6177">
        <v>0.870726</v>
      </c>
      <c r="N6177">
        <v>-1.515177E-2</v>
      </c>
      <c r="O6177">
        <v>-0.49153520000000001</v>
      </c>
      <c r="P6177">
        <v>0.93685499999999999</v>
      </c>
      <c r="Q6177">
        <v>0.1623841</v>
      </c>
      <c r="R6177">
        <v>-0.30973260000000002</v>
      </c>
      <c r="S6177">
        <v>3.0717159999999999</v>
      </c>
      <c r="T6177">
        <v>-0.13444710000000001</v>
      </c>
      <c r="U6177">
        <v>-0.47647089999999998</v>
      </c>
      <c r="V6177">
        <v>-0.194107</v>
      </c>
      <c r="W6177">
        <v>0.173431</v>
      </c>
      <c r="X6177">
        <v>0.96552789999999999</v>
      </c>
      <c r="Y6177">
        <v>-0.35170879999999999</v>
      </c>
      <c r="Z6177">
        <v>2.304111E-2</v>
      </c>
      <c r="AA6177">
        <v>0.93582589999999999</v>
      </c>
      <c r="AB6177">
        <v>24</v>
      </c>
      <c r="AC6177">
        <v>25.429500000000001</v>
      </c>
      <c r="AD6177">
        <v>-1.1187089763410001</v>
      </c>
      <c r="AE6177">
        <v>-3.8987699999999998</v>
      </c>
      <c r="AF6177">
        <v>-9.0885927580168602</v>
      </c>
      <c r="AG6177">
        <v>-1.1187089763410001</v>
      </c>
      <c r="AH6177">
        <v>24.015857708416199</v>
      </c>
      <c r="AI6177">
        <v>92.494609736674803</v>
      </c>
      <c r="AJ6177">
        <v>110.728713159001</v>
      </c>
      <c r="AK6177">
        <v>25.702440537149698</v>
      </c>
      <c r="AL6177">
        <v>80.012634899977897</v>
      </c>
      <c r="AM6177">
        <v>101.367061124884</v>
      </c>
      <c r="AN6177">
        <v>0.99999998244420396</v>
      </c>
    </row>
    <row r="6178" spans="1:40" x14ac:dyDescent="0.25">
      <c r="A6178" t="str">
        <f>"20190304154920112"</f>
        <v>20190304154920112</v>
      </c>
      <c r="B6178" t="str">
        <f>"1551685760103913"</f>
        <v>1551685760103913</v>
      </c>
      <c r="C6178" t="s">
        <v>40</v>
      </c>
      <c r="D6178">
        <v>4.1867839999999896</v>
      </c>
      <c r="E6178">
        <v>0.43260199999999999</v>
      </c>
      <c r="F6178" t="s">
        <v>86</v>
      </c>
      <c r="G6178">
        <v>-383.7808</v>
      </c>
      <c r="H6178" s="1">
        <v>-3.1961510000000001E-6</v>
      </c>
      <c r="I6178">
        <v>18.174009999999999</v>
      </c>
      <c r="J6178">
        <v>-409.52839999999998</v>
      </c>
      <c r="K6178">
        <v>1.118598</v>
      </c>
      <c r="L6178">
        <v>21.940639999999998</v>
      </c>
      <c r="M6178">
        <v>0.87531440000000005</v>
      </c>
      <c r="N6178">
        <v>-1.512318E-2</v>
      </c>
      <c r="O6178">
        <v>-0.48331780000000002</v>
      </c>
      <c r="P6178">
        <v>0.93974440000000004</v>
      </c>
      <c r="Q6178">
        <v>0.16465739999999901</v>
      </c>
      <c r="R6178">
        <v>-0.2996142</v>
      </c>
      <c r="S6178">
        <v>3.074249</v>
      </c>
      <c r="T6178">
        <v>-0.13271830000000001</v>
      </c>
      <c r="U6178">
        <v>-0.45654299999999998</v>
      </c>
      <c r="V6178">
        <v>-0.1952305</v>
      </c>
      <c r="W6178">
        <v>0.17570350000000001</v>
      </c>
      <c r="X6178">
        <v>0.96489029999999998</v>
      </c>
      <c r="Y6178">
        <v>-0.34896490000000002</v>
      </c>
      <c r="Z6178">
        <v>2.2439239999999999E-2</v>
      </c>
      <c r="AA6178">
        <v>0.93686709999999995</v>
      </c>
      <c r="AB6178">
        <v>24</v>
      </c>
      <c r="AC6178">
        <v>25.747599999999899</v>
      </c>
      <c r="AD6178">
        <v>-1.1186011961510001</v>
      </c>
      <c r="AE6178">
        <v>-3.7666299999999899</v>
      </c>
      <c r="AF6178">
        <v>-9.1314595325406493</v>
      </c>
      <c r="AG6178">
        <v>-1.1186011961510001</v>
      </c>
      <c r="AH6178">
        <v>24.315576005802601</v>
      </c>
      <c r="AI6178">
        <v>92.466019726277693</v>
      </c>
      <c r="AJ6178">
        <v>110.58314110276601</v>
      </c>
      <c r="AK6178">
        <v>25.997731791916401</v>
      </c>
      <c r="AL6178">
        <v>79.880399740440097</v>
      </c>
      <c r="AM6178">
        <v>101.438481542528</v>
      </c>
      <c r="AN6178">
        <v>0.999999979538294</v>
      </c>
    </row>
    <row r="6179" spans="1:40" x14ac:dyDescent="0.25">
      <c r="A6179" t="str">
        <f>"20190304154920125"</f>
        <v>20190304154920125</v>
      </c>
      <c r="B6179" t="str">
        <f>"1551685760113673"</f>
        <v>1551685760113673</v>
      </c>
      <c r="C6179" t="s">
        <v>40</v>
      </c>
      <c r="D6179">
        <v>4.1787349999999996</v>
      </c>
      <c r="E6179">
        <v>0.44682870000000002</v>
      </c>
      <c r="F6179" t="s">
        <v>86</v>
      </c>
      <c r="G6179">
        <v>-382.50510000000003</v>
      </c>
      <c r="H6179" s="1">
        <v>-3.7981959999999998E-6</v>
      </c>
      <c r="I6179">
        <v>18.179539999999999</v>
      </c>
      <c r="J6179">
        <v>-409.41210000000001</v>
      </c>
      <c r="K6179">
        <v>1.118512</v>
      </c>
      <c r="L6179">
        <v>21.884640000000001</v>
      </c>
      <c r="M6179">
        <v>0.87842169999999897</v>
      </c>
      <c r="N6179">
        <v>-1.5101120000000001E-2</v>
      </c>
      <c r="O6179">
        <v>-0.47764800000000002</v>
      </c>
      <c r="P6179">
        <v>0.94168410000000002</v>
      </c>
      <c r="Q6179">
        <v>0.1654456</v>
      </c>
      <c r="R6179">
        <v>-0.29301709999999997</v>
      </c>
      <c r="S6179">
        <v>3.0780639999999999</v>
      </c>
      <c r="T6179">
        <v>-0.12741350000000001</v>
      </c>
      <c r="U6179">
        <v>-0.4284058</v>
      </c>
      <c r="V6179">
        <v>-0.1956677</v>
      </c>
      <c r="W6179">
        <v>0.1765014</v>
      </c>
      <c r="X6179">
        <v>0.96465610000000002</v>
      </c>
      <c r="Y6179">
        <v>-0.3515105</v>
      </c>
      <c r="Z6179">
        <v>2.130932E-2</v>
      </c>
      <c r="AA6179">
        <v>0.93594140000000003</v>
      </c>
      <c r="AB6179">
        <v>24</v>
      </c>
      <c r="AC6179">
        <v>26.906999999999901</v>
      </c>
      <c r="AD6179">
        <v>-1.1185157981960001</v>
      </c>
      <c r="AE6179">
        <v>-3.7050999999999998</v>
      </c>
      <c r="AF6179">
        <v>-9.5822769502967997</v>
      </c>
      <c r="AG6179">
        <v>-1.1185157981960001</v>
      </c>
      <c r="AH6179">
        <v>25.365302658535001</v>
      </c>
      <c r="AI6179">
        <v>92.362165666634397</v>
      </c>
      <c r="AJ6179">
        <v>110.695113266978</v>
      </c>
      <c r="AK6179">
        <v>27.1379750184513</v>
      </c>
      <c r="AL6179">
        <v>79.833957760631094</v>
      </c>
      <c r="AM6179">
        <v>101.466128912062</v>
      </c>
      <c r="AN6179">
        <v>0.99999999214622903</v>
      </c>
    </row>
    <row r="6180" spans="1:40" x14ac:dyDescent="0.25">
      <c r="A6180" t="str">
        <f>"20190304154920139"</f>
        <v>20190304154920139</v>
      </c>
      <c r="B6180" t="str">
        <f>"1551685760133194"</f>
        <v>1551685760133194</v>
      </c>
      <c r="C6180" t="s">
        <v>40</v>
      </c>
      <c r="D6180">
        <v>4.168596</v>
      </c>
      <c r="E6180">
        <v>0.44827739999999999</v>
      </c>
      <c r="F6180" t="s">
        <v>86</v>
      </c>
      <c r="G6180">
        <v>-388.51069999999999</v>
      </c>
      <c r="H6180" s="1">
        <v>-9.3096780000000004E-7</v>
      </c>
      <c r="I6180">
        <v>18.339110000000002</v>
      </c>
      <c r="J6180">
        <v>-409.29169999999999</v>
      </c>
      <c r="K6180">
        <v>1.11842</v>
      </c>
      <c r="L6180">
        <v>21.827449999999999</v>
      </c>
      <c r="M6180">
        <v>0.88156290000000004</v>
      </c>
      <c r="N6180">
        <v>-1.507786E-2</v>
      </c>
      <c r="O6180">
        <v>-0.47182590000000002</v>
      </c>
      <c r="P6180">
        <v>0.94367140000000005</v>
      </c>
      <c r="Q6180">
        <v>0.16568250000000001</v>
      </c>
      <c r="R6180">
        <v>-0.28641539999999999</v>
      </c>
      <c r="S6180">
        <v>3.0533450000000002</v>
      </c>
      <c r="T6180">
        <v>-0.1633964</v>
      </c>
      <c r="U6180">
        <v>-0.51794430000000002</v>
      </c>
      <c r="V6180">
        <v>-0.19598489999999999</v>
      </c>
      <c r="W6180">
        <v>0.17675299999999999</v>
      </c>
      <c r="X6180">
        <v>0.96454569999999995</v>
      </c>
      <c r="Y6180">
        <v>-0.316941799999999</v>
      </c>
      <c r="Z6180">
        <v>2.7489679999999999E-2</v>
      </c>
      <c r="AA6180">
        <v>0.94804650000000001</v>
      </c>
      <c r="AB6180">
        <v>24</v>
      </c>
      <c r="AC6180">
        <v>20.780999999999999</v>
      </c>
      <c r="AD6180">
        <v>-1.1184209309677999</v>
      </c>
      <c r="AE6180">
        <v>-3.4883399999999898</v>
      </c>
      <c r="AF6180">
        <v>-6.7116796609590796</v>
      </c>
      <c r="AG6180">
        <v>-1.1184209309677999</v>
      </c>
      <c r="AH6180">
        <v>19.911821472993299</v>
      </c>
      <c r="AI6180">
        <v>93.046768987194696</v>
      </c>
      <c r="AJ6180">
        <v>108.627423206846</v>
      </c>
      <c r="AK6180">
        <v>21.0422941625317</v>
      </c>
      <c r="AL6180">
        <v>79.819312531217605</v>
      </c>
      <c r="AM6180">
        <v>101.485502885364</v>
      </c>
      <c r="AN6180">
        <v>1.00000005571274</v>
      </c>
    </row>
    <row r="6181" spans="1:40" x14ac:dyDescent="0.25">
      <c r="A6181" t="str">
        <f>"20190304154920149"</f>
        <v>20190304154920149</v>
      </c>
      <c r="B6181" t="str">
        <f>"1551685760143930"</f>
        <v>1551685760143930</v>
      </c>
      <c r="C6181" t="s">
        <v>40</v>
      </c>
      <c r="D6181">
        <v>4.2086680000000003</v>
      </c>
      <c r="E6181">
        <v>0.44903759999999998</v>
      </c>
      <c r="F6181" t="s">
        <v>86</v>
      </c>
      <c r="G6181">
        <v>-388.58</v>
      </c>
      <c r="H6181" s="1">
        <v>-8.9062299999999904E-7</v>
      </c>
      <c r="I6181">
        <v>18.38212</v>
      </c>
      <c r="J6181">
        <v>-409.18579999999997</v>
      </c>
      <c r="K6181">
        <v>1.1183369999999999</v>
      </c>
      <c r="L6181">
        <v>21.777709999999999</v>
      </c>
      <c r="M6181">
        <v>0.88426729999999998</v>
      </c>
      <c r="N6181">
        <v>-1.505719E-2</v>
      </c>
      <c r="O6181">
        <v>-0.46673829999999999</v>
      </c>
      <c r="P6181">
        <v>0.94532709999999998</v>
      </c>
      <c r="Q6181">
        <v>0.1657699</v>
      </c>
      <c r="R6181">
        <v>-0.28085060000000001</v>
      </c>
      <c r="S6181">
        <v>3.053833</v>
      </c>
      <c r="T6181">
        <v>-0.1649052</v>
      </c>
      <c r="U6181">
        <v>-0.50799559999999999</v>
      </c>
      <c r="V6181">
        <v>-0.19606750000000001</v>
      </c>
      <c r="W6181">
        <v>0.1768586</v>
      </c>
      <c r="X6181">
        <v>0.96450950000000002</v>
      </c>
      <c r="Y6181">
        <v>-0.31449450000000001</v>
      </c>
      <c r="Z6181">
        <v>2.7563890000000001E-2</v>
      </c>
      <c r="AA6181">
        <v>0.94885900000000001</v>
      </c>
      <c r="AB6181">
        <v>24</v>
      </c>
      <c r="AC6181">
        <v>20.605799999999899</v>
      </c>
      <c r="AD6181">
        <v>-1.1183378906229999</v>
      </c>
      <c r="AE6181">
        <v>-3.3955899999999901</v>
      </c>
      <c r="AF6181">
        <v>-6.5967394377575497</v>
      </c>
      <c r="AG6181">
        <v>-1.1183378906229999</v>
      </c>
      <c r="AH6181">
        <v>19.751491418794199</v>
      </c>
      <c r="AI6181">
        <v>93.0740774843363</v>
      </c>
      <c r="AJ6181">
        <v>108.468644289216</v>
      </c>
      <c r="AK6181">
        <v>20.853993960725401</v>
      </c>
      <c r="AL6181">
        <v>79.813164701284094</v>
      </c>
      <c r="AM6181">
        <v>101.490634638123</v>
      </c>
      <c r="AN6181">
        <v>1.00000000227023</v>
      </c>
    </row>
    <row r="6182" spans="1:40" x14ac:dyDescent="0.25">
      <c r="A6182" t="str">
        <f>"20190304154920161"</f>
        <v>20190304154920161</v>
      </c>
      <c r="B6182" t="str">
        <f>"1551685760153690"</f>
        <v>1551685760153690</v>
      </c>
      <c r="C6182" t="s">
        <v>40</v>
      </c>
      <c r="D6182">
        <v>4.1997150000000003</v>
      </c>
      <c r="E6182">
        <v>0.44984550000000001</v>
      </c>
      <c r="F6182" t="s">
        <v>86</v>
      </c>
      <c r="G6182">
        <v>-388.77809999999999</v>
      </c>
      <c r="H6182" s="1">
        <v>-7.8278859999999999E-7</v>
      </c>
      <c r="I6182">
        <v>18.46191</v>
      </c>
      <c r="J6182">
        <v>-409.0727</v>
      </c>
      <c r="K6182">
        <v>1.118239</v>
      </c>
      <c r="L6182">
        <v>21.725650000000002</v>
      </c>
      <c r="M6182">
        <v>0.88706319999999905</v>
      </c>
      <c r="N6182">
        <v>-1.5033410000000001E-2</v>
      </c>
      <c r="O6182">
        <v>-0.46140340000000002</v>
      </c>
      <c r="P6182">
        <v>0.94711210000000001</v>
      </c>
      <c r="Q6182">
        <v>0.16546549999999999</v>
      </c>
      <c r="R6182">
        <v>-0.2749548</v>
      </c>
      <c r="S6182">
        <v>3.0553590000000002</v>
      </c>
      <c r="T6182">
        <v>-0.16743339999999901</v>
      </c>
      <c r="U6182">
        <v>-0.49642940000000002</v>
      </c>
      <c r="V6182">
        <v>-0.19624420000000001</v>
      </c>
      <c r="W6182">
        <v>0.17657509999999901</v>
      </c>
      <c r="X6182">
        <v>0.96452550000000004</v>
      </c>
      <c r="Y6182">
        <v>-0.31232870000000001</v>
      </c>
      <c r="Z6182">
        <v>2.7823580000000001E-2</v>
      </c>
      <c r="AA6182">
        <v>0.94956649999999998</v>
      </c>
      <c r="AB6182">
        <v>24</v>
      </c>
      <c r="AC6182">
        <v>20.294599999999999</v>
      </c>
      <c r="AD6182">
        <v>-1.1182397827885999</v>
      </c>
      <c r="AE6182">
        <v>-3.2637399999999999</v>
      </c>
      <c r="AF6182">
        <v>-6.4504938932147802</v>
      </c>
      <c r="AG6182">
        <v>-1.1182397827885999</v>
      </c>
      <c r="AH6182">
        <v>19.453124547387102</v>
      </c>
      <c r="AI6182">
        <v>93.123097090235703</v>
      </c>
      <c r="AJ6182">
        <v>108.345090553093</v>
      </c>
      <c r="AK6182">
        <v>20.5251890693939</v>
      </c>
      <c r="AL6182">
        <v>79.829667720956394</v>
      </c>
      <c r="AM6182">
        <v>101.500528730626</v>
      </c>
      <c r="AN6182">
        <v>0.99999999606195</v>
      </c>
    </row>
    <row r="6183" spans="1:40" x14ac:dyDescent="0.25">
      <c r="A6183" t="str">
        <f>"20190304154920178"</f>
        <v>20190304154920178</v>
      </c>
      <c r="B6183" t="str">
        <f>"1551685760173110"</f>
        <v>1551685760173110</v>
      </c>
      <c r="C6183" t="s">
        <v>40</v>
      </c>
      <c r="D6183">
        <v>4.2119030000000004</v>
      </c>
      <c r="E6183">
        <v>0.4510112</v>
      </c>
      <c r="F6183" t="s">
        <v>86</v>
      </c>
      <c r="G6183">
        <v>-388.99369999999999</v>
      </c>
      <c r="H6183" s="1">
        <v>-6.7141699999999998E-7</v>
      </c>
      <c r="I6183">
        <v>18.546959999999999</v>
      </c>
      <c r="J6183">
        <v>-408.91469999999998</v>
      </c>
      <c r="K6183">
        <v>1.1180939999999999</v>
      </c>
      <c r="L6183">
        <v>21.6539</v>
      </c>
      <c r="M6183">
        <v>0.89085530000000002</v>
      </c>
      <c r="N6183">
        <v>-1.4999439999999999E-2</v>
      </c>
      <c r="O6183">
        <v>-0.45403949999999998</v>
      </c>
      <c r="P6183">
        <v>0.94926869999999997</v>
      </c>
      <c r="Q6183">
        <v>0.16576659999999999</v>
      </c>
      <c r="R6183">
        <v>-0.26722780000000002</v>
      </c>
      <c r="S6183">
        <v>3.0567929999999999</v>
      </c>
      <c r="T6183">
        <v>-0.17023849999999999</v>
      </c>
      <c r="U6183">
        <v>-0.48391719999999999</v>
      </c>
      <c r="V6183">
        <v>-0.1960315</v>
      </c>
      <c r="W6183">
        <v>0.1769154</v>
      </c>
      <c r="X6183">
        <v>0.96450639999999999</v>
      </c>
      <c r="Y6183">
        <v>-0.30829719999999999</v>
      </c>
      <c r="Z6183">
        <v>2.7998970000000001E-2</v>
      </c>
      <c r="AA6183">
        <v>0.950878</v>
      </c>
      <c r="AB6183">
        <v>24</v>
      </c>
      <c r="AC6183">
        <v>19.9209999999999</v>
      </c>
      <c r="AD6183">
        <v>-1.1180946714169999</v>
      </c>
      <c r="AE6183">
        <v>-3.10693999999999</v>
      </c>
      <c r="AF6183">
        <v>-6.2585457591033897</v>
      </c>
      <c r="AG6183">
        <v>-1.1180946714169999</v>
      </c>
      <c r="AH6183">
        <v>19.1008151012261</v>
      </c>
      <c r="AI6183">
        <v>93.183886064280898</v>
      </c>
      <c r="AJ6183">
        <v>108.141826358274</v>
      </c>
      <c r="AK6183">
        <v>20.1310871103443</v>
      </c>
      <c r="AL6183">
        <v>79.809858154805198</v>
      </c>
      <c r="AM6183">
        <v>101.48861688591199</v>
      </c>
      <c r="AN6183">
        <v>1.00000000169518</v>
      </c>
    </row>
    <row r="6184" spans="1:40" x14ac:dyDescent="0.25">
      <c r="A6184" t="str">
        <f>"20190304154920189"</f>
        <v>20190304154920189</v>
      </c>
      <c r="B6184" t="str">
        <f>"1551685760183846"</f>
        <v>1551685760183846</v>
      </c>
      <c r="C6184" t="s">
        <v>40</v>
      </c>
      <c r="D6184">
        <v>4.2025769999999998</v>
      </c>
      <c r="E6184">
        <v>0.4510112</v>
      </c>
      <c r="F6184" t="s">
        <v>86</v>
      </c>
      <c r="G6184">
        <v>-389.24489999999997</v>
      </c>
      <c r="H6184" s="1">
        <v>-5.5006279999999998E-7</v>
      </c>
      <c r="I6184">
        <v>18.6404</v>
      </c>
      <c r="J6184">
        <v>-408.80500000000001</v>
      </c>
      <c r="K6184">
        <v>1.1179859999999999</v>
      </c>
      <c r="L6184">
        <v>21.60474</v>
      </c>
      <c r="M6184">
        <v>0.89340919999999902</v>
      </c>
      <c r="N6184">
        <v>-1.4975250000000001E-2</v>
      </c>
      <c r="O6184">
        <v>-0.44899430000000001</v>
      </c>
      <c r="P6184">
        <v>0.95067049999999997</v>
      </c>
      <c r="Q6184">
        <v>0.166300799999999</v>
      </c>
      <c r="R6184">
        <v>-0.26185819999999999</v>
      </c>
      <c r="S6184">
        <v>3.0588380000000002</v>
      </c>
      <c r="T6184">
        <v>-0.17387439999999901</v>
      </c>
      <c r="U6184">
        <v>-0.46862789999999999</v>
      </c>
      <c r="V6184">
        <v>-0.19594790000000001</v>
      </c>
      <c r="W6184">
        <v>0.17747760000000001</v>
      </c>
      <c r="X6184">
        <v>0.9644201</v>
      </c>
      <c r="Y6184">
        <v>-0.30761899999999998</v>
      </c>
      <c r="Z6184">
        <v>2.8505300000000001E-2</v>
      </c>
      <c r="AA6184">
        <v>0.95108250000000005</v>
      </c>
      <c r="AB6184">
        <v>24</v>
      </c>
      <c r="AC6184">
        <v>19.560099999999998</v>
      </c>
      <c r="AD6184">
        <v>-1.1179865500627999</v>
      </c>
      <c r="AE6184">
        <v>-2.96434</v>
      </c>
      <c r="AF6184">
        <v>-6.1151633956688096</v>
      </c>
      <c r="AG6184">
        <v>-1.1179865500627999</v>
      </c>
      <c r="AH6184">
        <v>18.748379565256599</v>
      </c>
      <c r="AI6184">
        <v>93.244720686247604</v>
      </c>
      <c r="AJ6184">
        <v>108.06478480763001</v>
      </c>
      <c r="AK6184">
        <v>19.752135418854898</v>
      </c>
      <c r="AL6184">
        <v>79.777128557262699</v>
      </c>
      <c r="AM6184">
        <v>101.48484793276</v>
      </c>
      <c r="AN6184">
        <v>1.00000000365009</v>
      </c>
    </row>
    <row r="6185" spans="1:40" x14ac:dyDescent="0.25">
      <c r="A6185" t="str">
        <f>"20190304154920203"</f>
        <v>20190304154920203</v>
      </c>
      <c r="B6185" t="str">
        <f>"1551685760193606"</f>
        <v>1551685760193606</v>
      </c>
      <c r="C6185" t="s">
        <v>40</v>
      </c>
      <c r="D6185">
        <v>4.2056570000000004</v>
      </c>
      <c r="E6185">
        <v>0.45905299999999999</v>
      </c>
      <c r="F6185" t="s">
        <v>86</v>
      </c>
      <c r="G6185">
        <v>-388.96589999999998</v>
      </c>
      <c r="H6185" s="1">
        <v>-6.5613759999999997E-7</v>
      </c>
      <c r="I6185">
        <v>18.67559</v>
      </c>
      <c r="J6185">
        <v>-408.68169999999998</v>
      </c>
      <c r="K6185">
        <v>1.117853</v>
      </c>
      <c r="L6185">
        <v>21.550660000000001</v>
      </c>
      <c r="M6185">
        <v>0.8961732</v>
      </c>
      <c r="N6185">
        <v>-1.494553E-2</v>
      </c>
      <c r="O6185">
        <v>-0.44345279999999998</v>
      </c>
      <c r="P6185">
        <v>0.95222530000000005</v>
      </c>
      <c r="Q6185">
        <v>0.16658319999999999</v>
      </c>
      <c r="R6185">
        <v>-0.25596269999999999</v>
      </c>
      <c r="S6185">
        <v>3.0613709999999998</v>
      </c>
      <c r="T6185">
        <v>-0.17251629999999901</v>
      </c>
      <c r="U6185">
        <v>-0.4519958</v>
      </c>
      <c r="V6185">
        <v>-0.19587769999999999</v>
      </c>
      <c r="W6185">
        <v>0.17779149999999999</v>
      </c>
      <c r="X6185">
        <v>0.96437649999999997</v>
      </c>
      <c r="Y6185">
        <v>-0.30691829999999998</v>
      </c>
      <c r="Z6185">
        <v>2.80369E-2</v>
      </c>
      <c r="AA6185">
        <v>0.95132280000000002</v>
      </c>
      <c r="AB6185">
        <v>24</v>
      </c>
      <c r="AC6185">
        <v>19.715800000000002</v>
      </c>
      <c r="AD6185">
        <v>-1.1178536561376</v>
      </c>
      <c r="AE6185">
        <v>-2.87507</v>
      </c>
      <c r="AF6185">
        <v>-6.1478025046394098</v>
      </c>
      <c r="AG6185">
        <v>-1.1178536561376</v>
      </c>
      <c r="AH6185">
        <v>18.886394015341999</v>
      </c>
      <c r="AI6185">
        <v>93.221298037497306</v>
      </c>
      <c r="AJ6185">
        <v>108.03084032721399</v>
      </c>
      <c r="AK6185">
        <v>19.8932388347231</v>
      </c>
      <c r="AL6185">
        <v>79.758852335255895</v>
      </c>
      <c r="AM6185">
        <v>101.481347934612</v>
      </c>
      <c r="AN6185">
        <v>0.99999996229089405</v>
      </c>
    </row>
    <row r="6186" spans="1:40" x14ac:dyDescent="0.25">
      <c r="A6186" t="str">
        <f>"20190304154920224"</f>
        <v>20190304154920224</v>
      </c>
      <c r="B6186" t="str">
        <f>"1551685760213126"</f>
        <v>1551685760213126</v>
      </c>
      <c r="C6186" t="s">
        <v>40</v>
      </c>
      <c r="D6186">
        <v>4.1740539999999999</v>
      </c>
      <c r="E6186">
        <v>0.45934059999999999</v>
      </c>
      <c r="F6186" t="s">
        <v>44</v>
      </c>
      <c r="G6186">
        <v>-391.74959999999999</v>
      </c>
      <c r="H6186" s="1">
        <v>-4.02687E-6</v>
      </c>
      <c r="I6186">
        <v>18.791170000000001</v>
      </c>
      <c r="J6186">
        <v>-408.48110000000003</v>
      </c>
      <c r="K6186">
        <v>1.1176349999999999</v>
      </c>
      <c r="L6186">
        <v>21.46396</v>
      </c>
      <c r="M6186">
        <v>0.90050180000000002</v>
      </c>
      <c r="N6186">
        <v>-1.4896090000000001E-2</v>
      </c>
      <c r="O6186">
        <v>-0.43459730000000002</v>
      </c>
      <c r="P6186">
        <v>0.95456770000000002</v>
      </c>
      <c r="Q6186">
        <v>0.16622729999999999</v>
      </c>
      <c r="R6186">
        <v>-0.24732470000000001</v>
      </c>
      <c r="S6186">
        <v>3.052063</v>
      </c>
      <c r="T6186">
        <v>-0.20149700000000001</v>
      </c>
      <c r="U6186">
        <v>-0.49740600000000001</v>
      </c>
      <c r="V6186">
        <v>-0.19503290000000001</v>
      </c>
      <c r="W6186">
        <v>0.17750759999999999</v>
      </c>
      <c r="X6186">
        <v>0.96460000000000001</v>
      </c>
      <c r="Y6186">
        <v>-0.282910099999999</v>
      </c>
      <c r="Z6186">
        <v>3.2222220000000003E-2</v>
      </c>
      <c r="AA6186">
        <v>0.95860509999999999</v>
      </c>
      <c r="AB6186">
        <v>24</v>
      </c>
      <c r="AC6186">
        <v>16.7315</v>
      </c>
      <c r="AD6186">
        <v>-1.1176390268699901</v>
      </c>
      <c r="AE6186">
        <v>-2.6727899999999898</v>
      </c>
      <c r="AF6186">
        <v>-4.8440752354290701</v>
      </c>
      <c r="AG6186">
        <v>-1.1176390268699901</v>
      </c>
      <c r="AH6186">
        <v>16.159820866274899</v>
      </c>
      <c r="AI6186">
        <v>93.790258781340796</v>
      </c>
      <c r="AJ6186">
        <v>106.686651670942</v>
      </c>
      <c r="AK6186">
        <v>16.9072171663753</v>
      </c>
      <c r="AL6186">
        <v>79.775381604479307</v>
      </c>
      <c r="AM6186">
        <v>101.430557503874</v>
      </c>
      <c r="AN6186">
        <v>0.99999997007008401</v>
      </c>
    </row>
    <row r="6187" spans="1:40" x14ac:dyDescent="0.25">
      <c r="A6187" t="str">
        <f>"20190304154920243"</f>
        <v>20190304154920243</v>
      </c>
      <c r="B6187" t="str">
        <f>"1551685760233622"</f>
        <v>1551685760233622</v>
      </c>
      <c r="C6187" t="s">
        <v>40</v>
      </c>
      <c r="D6187">
        <v>4.1917299999999997</v>
      </c>
      <c r="E6187">
        <v>0.46450540000000001</v>
      </c>
      <c r="F6187" t="s">
        <v>44</v>
      </c>
      <c r="G6187">
        <v>-391.70839999999998</v>
      </c>
      <c r="H6187" s="1">
        <v>-4.0324940000000002E-6</v>
      </c>
      <c r="I6187">
        <v>18.869129999999998</v>
      </c>
      <c r="J6187">
        <v>-408.30829999999997</v>
      </c>
      <c r="K6187">
        <v>1.11744</v>
      </c>
      <c r="L6187">
        <v>21.390930000000001</v>
      </c>
      <c r="M6187">
        <v>0.90404229999999997</v>
      </c>
      <c r="N6187">
        <v>-1.485217E-2</v>
      </c>
      <c r="O6187">
        <v>-0.42718479999999998</v>
      </c>
      <c r="P6187">
        <v>0.95639549999999995</v>
      </c>
      <c r="Q6187">
        <v>0.16610539999999999</v>
      </c>
      <c r="R6187">
        <v>-0.2402434</v>
      </c>
      <c r="S6187">
        <v>3.0557859999999999</v>
      </c>
      <c r="T6187">
        <v>-0.2036211</v>
      </c>
      <c r="U6187">
        <v>-0.4727478</v>
      </c>
      <c r="V6187">
        <v>-0.1941775</v>
      </c>
      <c r="W6187">
        <v>0.17744989999999999</v>
      </c>
      <c r="X6187">
        <v>0.96478319999999995</v>
      </c>
      <c r="Y6187">
        <v>-0.28274270000000001</v>
      </c>
      <c r="Z6187">
        <v>3.2281980000000002E-2</v>
      </c>
      <c r="AA6187">
        <v>0.95865239999999996</v>
      </c>
      <c r="AB6187">
        <v>24</v>
      </c>
      <c r="AC6187">
        <v>16.599899999999899</v>
      </c>
      <c r="AD6187">
        <v>-1.117444032494</v>
      </c>
      <c r="AE6187">
        <v>-2.52179999999999</v>
      </c>
      <c r="AF6187">
        <v>-4.7907226588714504</v>
      </c>
      <c r="AG6187">
        <v>-1.117444032494</v>
      </c>
      <c r="AH6187">
        <v>16.015126102915101</v>
      </c>
      <c r="AI6187">
        <v>93.824389731200696</v>
      </c>
      <c r="AJ6187">
        <v>106.65388924136001</v>
      </c>
      <c r="AK6187">
        <v>16.753625543513099</v>
      </c>
      <c r="AL6187">
        <v>79.778741166524</v>
      </c>
      <c r="AM6187">
        <v>101.379630349192</v>
      </c>
      <c r="AN6187">
        <v>0.99999999575924903</v>
      </c>
    </row>
    <row r="6188" spans="1:40" x14ac:dyDescent="0.25">
      <c r="A6188" t="str">
        <f>"20190304154920258"</f>
        <v>20190304154920258</v>
      </c>
      <c r="B6188" t="str">
        <f>"1551685760253142"</f>
        <v>1551685760253142</v>
      </c>
      <c r="C6188" t="s">
        <v>40</v>
      </c>
      <c r="D6188">
        <v>4.2183519999999897</v>
      </c>
      <c r="E6188">
        <v>0.46576109999999998</v>
      </c>
      <c r="F6188" t="s">
        <v>44</v>
      </c>
      <c r="G6188">
        <v>-392.08339999999998</v>
      </c>
      <c r="H6188" s="1">
        <v>-3.8707710000000001E-6</v>
      </c>
      <c r="I6188">
        <v>18.781639999999999</v>
      </c>
      <c r="J6188">
        <v>-408.1533</v>
      </c>
      <c r="K6188">
        <v>1.117265</v>
      </c>
      <c r="L6188">
        <v>21.32657</v>
      </c>
      <c r="M6188">
        <v>0.90708310000000003</v>
      </c>
      <c r="N6188">
        <v>-1.4812560000000001E-2</v>
      </c>
      <c r="O6188">
        <v>-0.42069109999999998</v>
      </c>
      <c r="P6188">
        <v>0.95783300000000005</v>
      </c>
      <c r="Q6188">
        <v>0.16555220000000001</v>
      </c>
      <c r="R6188">
        <v>-0.23483709999999999</v>
      </c>
      <c r="S6188">
        <v>3.050049</v>
      </c>
      <c r="T6188">
        <v>-0.21006330000000001</v>
      </c>
      <c r="U6188">
        <v>-0.49050899999999997</v>
      </c>
      <c r="V6188">
        <v>-0.1926609</v>
      </c>
      <c r="W6188">
        <v>0.1769684</v>
      </c>
      <c r="X6188">
        <v>0.96517560000000002</v>
      </c>
      <c r="Y6188">
        <v>-0.27007560000000003</v>
      </c>
      <c r="Z6188">
        <v>3.2674109999999999E-2</v>
      </c>
      <c r="AA6188">
        <v>0.96228460000000005</v>
      </c>
      <c r="AB6188">
        <v>23</v>
      </c>
      <c r="AC6188">
        <v>16.069900000000001</v>
      </c>
      <c r="AD6188">
        <v>-1.1172688707709999</v>
      </c>
      <c r="AE6188">
        <v>-2.5449299999999999</v>
      </c>
      <c r="AF6188">
        <v>-4.4315916972435998</v>
      </c>
      <c r="AG6188">
        <v>-1.1172688707709999</v>
      </c>
      <c r="AH6188">
        <v>15.5756322177544</v>
      </c>
      <c r="AI6188">
        <v>93.946787486700003</v>
      </c>
      <c r="AJ6188">
        <v>105.882156396338</v>
      </c>
      <c r="AK6188">
        <v>16.2323015522575</v>
      </c>
      <c r="AL6188">
        <v>79.806772653529407</v>
      </c>
      <c r="AM6188">
        <v>101.28857045407401</v>
      </c>
      <c r="AN6188">
        <v>0.99999998791136402</v>
      </c>
    </row>
    <row r="6189" spans="1:40" x14ac:dyDescent="0.25">
      <c r="A6189" t="str">
        <f>"20190304154920280"</f>
        <v>20190304154920280</v>
      </c>
      <c r="B6189" t="str">
        <f>"1551685760273168"</f>
        <v>1551685760273168</v>
      </c>
      <c r="C6189" t="s">
        <v>40</v>
      </c>
      <c r="D6189">
        <v>4.2177850000000001</v>
      </c>
      <c r="E6189">
        <v>0.46693750000000001</v>
      </c>
      <c r="F6189" t="s">
        <v>44</v>
      </c>
      <c r="G6189">
        <v>-391.98270000000002</v>
      </c>
      <c r="H6189" s="1">
        <v>-3.9212230000000003E-6</v>
      </c>
      <c r="I6189">
        <v>18.765470000000001</v>
      </c>
      <c r="J6189">
        <v>-407.95710000000003</v>
      </c>
      <c r="K6189">
        <v>1.117046</v>
      </c>
      <c r="L6189">
        <v>21.246700000000001</v>
      </c>
      <c r="M6189">
        <v>0.91074549999999999</v>
      </c>
      <c r="N6189">
        <v>-1.4762569999999999E-2</v>
      </c>
      <c r="O6189">
        <v>-0.41270440000000003</v>
      </c>
      <c r="P6189">
        <v>0.9595574</v>
      </c>
      <c r="Q6189">
        <v>0.1650993</v>
      </c>
      <c r="R6189">
        <v>-0.22801740000000001</v>
      </c>
      <c r="S6189">
        <v>3.0500180000000001</v>
      </c>
      <c r="T6189">
        <v>-0.21073449999999999</v>
      </c>
      <c r="U6189">
        <v>-0.48306270000000001</v>
      </c>
      <c r="V6189">
        <v>-0.19097249999999999</v>
      </c>
      <c r="W6189">
        <v>0.17659810000000001</v>
      </c>
      <c r="X6189">
        <v>0.96557890000000002</v>
      </c>
      <c r="Y6189">
        <v>-0.26391629999999999</v>
      </c>
      <c r="Z6189">
        <v>3.219089E-2</v>
      </c>
      <c r="AA6189">
        <v>0.96400830000000004</v>
      </c>
      <c r="AB6189">
        <v>23</v>
      </c>
      <c r="AC6189">
        <v>15.974399999999999</v>
      </c>
      <c r="AD6189">
        <v>-1.1170499212230001</v>
      </c>
      <c r="AE6189">
        <v>-2.48123</v>
      </c>
      <c r="AF6189">
        <v>-4.3128156158306199</v>
      </c>
      <c r="AG6189">
        <v>-1.1170499212230001</v>
      </c>
      <c r="AH6189">
        <v>15.500314140410399</v>
      </c>
      <c r="AI6189">
        <v>93.971607087070893</v>
      </c>
      <c r="AJ6189">
        <v>105.548722522047</v>
      </c>
      <c r="AK6189">
        <v>16.1278615294794</v>
      </c>
      <c r="AL6189">
        <v>79.828328902313899</v>
      </c>
      <c r="AM6189">
        <v>101.18759339660301</v>
      </c>
      <c r="AN6189">
        <v>0.99999999840253495</v>
      </c>
    </row>
    <row r="6190" spans="1:40" x14ac:dyDescent="0.25">
      <c r="A6190" t="str">
        <f>"20190304154920293"</f>
        <v>20190304154920293</v>
      </c>
      <c r="B6190" t="str">
        <f>"1551685760283904"</f>
        <v>1551685760283904</v>
      </c>
      <c r="C6190" t="s">
        <v>40</v>
      </c>
      <c r="D6190">
        <v>4.2246329999999999</v>
      </c>
      <c r="E6190">
        <v>0.46693750000000001</v>
      </c>
      <c r="F6190" t="s">
        <v>44</v>
      </c>
      <c r="G6190">
        <v>-391.85890000000001</v>
      </c>
      <c r="H6190" s="1">
        <v>-3.9802140000000004E-6</v>
      </c>
      <c r="I6190">
        <v>18.762810000000002</v>
      </c>
      <c r="J6190">
        <v>-407.81819999999999</v>
      </c>
      <c r="K6190">
        <v>1.1168960000000001</v>
      </c>
      <c r="L6190">
        <v>21.191130000000001</v>
      </c>
      <c r="M6190">
        <v>0.91322809999999999</v>
      </c>
      <c r="N6190">
        <v>-1.472766E-2</v>
      </c>
      <c r="O6190">
        <v>-0.4071825</v>
      </c>
      <c r="P6190">
        <v>0.96079820000000005</v>
      </c>
      <c r="Q6190">
        <v>0.16506709999999999</v>
      </c>
      <c r="R6190">
        <v>-0.22275519999999999</v>
      </c>
      <c r="S6190">
        <v>3.0510250000000001</v>
      </c>
      <c r="T6190">
        <v>-0.21171029999999999</v>
      </c>
      <c r="U6190">
        <v>-0.47076420000000002</v>
      </c>
      <c r="V6190">
        <v>-0.1903532</v>
      </c>
      <c r="W6190">
        <v>0.176611299999999</v>
      </c>
      <c r="X6190">
        <v>0.96569879999999997</v>
      </c>
      <c r="Y6190">
        <v>-0.26191750000000003</v>
      </c>
      <c r="Z6190">
        <v>3.203102E-2</v>
      </c>
      <c r="AA6190">
        <v>0.96455849999999999</v>
      </c>
      <c r="AB6190">
        <v>23</v>
      </c>
      <c r="AC6190">
        <v>15.959299999999899</v>
      </c>
      <c r="AD6190">
        <v>-1.1168999802139901</v>
      </c>
      <c r="AE6190">
        <v>-2.42831999999999</v>
      </c>
      <c r="AF6190">
        <v>-4.2608054711112997</v>
      </c>
      <c r="AG6190">
        <v>-1.1168999802139901</v>
      </c>
      <c r="AH6190">
        <v>15.4907843959278</v>
      </c>
      <c r="AI6190">
        <v>93.976755295474405</v>
      </c>
      <c r="AJ6190">
        <v>105.37913885960199</v>
      </c>
      <c r="AK6190">
        <v>16.1048542380729</v>
      </c>
      <c r="AL6190">
        <v>79.827560867742307</v>
      </c>
      <c r="AM6190">
        <v>101.15087431698301</v>
      </c>
      <c r="AN6190">
        <v>1.00000003217968</v>
      </c>
    </row>
    <row r="6191" spans="1:40" x14ac:dyDescent="0.25">
      <c r="A6191" t="str">
        <f>"20190304154920305"</f>
        <v>20190304154920305</v>
      </c>
      <c r="B6191" t="str">
        <f>"1551685760293666"</f>
        <v>1551685760293666</v>
      </c>
      <c r="C6191" t="s">
        <v>40</v>
      </c>
      <c r="D6191">
        <v>4.245234</v>
      </c>
      <c r="E6191">
        <v>0.47083999999999998</v>
      </c>
      <c r="F6191" t="s">
        <v>44</v>
      </c>
      <c r="G6191">
        <v>-391.72379999999998</v>
      </c>
      <c r="H6191" s="1">
        <v>-4.0380790000000004E-6</v>
      </c>
      <c r="I6191">
        <v>18.796679999999999</v>
      </c>
      <c r="J6191">
        <v>-407.70670000000001</v>
      </c>
      <c r="K6191">
        <v>1.1167830000000001</v>
      </c>
      <c r="L6191">
        <v>21.147189999999998</v>
      </c>
      <c r="M6191">
        <v>0.91514240000000002</v>
      </c>
      <c r="N6191">
        <v>-1.4699449999999999E-2</v>
      </c>
      <c r="O6191">
        <v>-0.40286280000000002</v>
      </c>
      <c r="P6191">
        <v>0.96178450000000004</v>
      </c>
      <c r="Q6191">
        <v>0.1646261</v>
      </c>
      <c r="R6191">
        <v>-0.21879000000000001</v>
      </c>
      <c r="S6191">
        <v>3.0534970000000001</v>
      </c>
      <c r="T6191">
        <v>-0.21190249999999999</v>
      </c>
      <c r="U6191">
        <v>-0.45428469999999999</v>
      </c>
      <c r="V6191">
        <v>-0.1897469</v>
      </c>
      <c r="W6191">
        <v>0.17620669999999999</v>
      </c>
      <c r="X6191">
        <v>0.96589199999999997</v>
      </c>
      <c r="Y6191">
        <v>-0.26256550000000001</v>
      </c>
      <c r="Z6191">
        <v>3.1886900000000003E-2</v>
      </c>
      <c r="AA6191">
        <v>0.96438710000000005</v>
      </c>
      <c r="AB6191">
        <v>23</v>
      </c>
      <c r="AC6191">
        <v>15.982900000000001</v>
      </c>
      <c r="AD6191">
        <v>-1.1167870380789999</v>
      </c>
      <c r="AE6191">
        <v>-2.3505099999999999</v>
      </c>
      <c r="AF6191">
        <v>-4.2679311109566402</v>
      </c>
      <c r="AG6191">
        <v>-1.1167870380789999</v>
      </c>
      <c r="AH6191">
        <v>15.5011643160126</v>
      </c>
      <c r="AI6191">
        <v>93.973421176802006</v>
      </c>
      <c r="AJ6191">
        <v>105.393812693143</v>
      </c>
      <c r="AK6191">
        <v>16.116716303525202</v>
      </c>
      <c r="AL6191">
        <v>79.851111984218093</v>
      </c>
      <c r="AM6191">
        <v>101.11407513489399</v>
      </c>
      <c r="AN6191">
        <v>1.0000000214242399</v>
      </c>
    </row>
    <row r="6192" spans="1:40" x14ac:dyDescent="0.25">
      <c r="A6192" t="str">
        <f>"20190304154920317"</f>
        <v>20190304154920317</v>
      </c>
      <c r="B6192" t="str">
        <f>"1551685760313184"</f>
        <v>1551685760313184</v>
      </c>
      <c r="C6192" t="s">
        <v>40</v>
      </c>
      <c r="D6192">
        <v>4.2815289999999999</v>
      </c>
      <c r="E6192">
        <v>0.47180859999999902</v>
      </c>
      <c r="F6192" t="s">
        <v>44</v>
      </c>
      <c r="G6192">
        <v>-391.58550000000002</v>
      </c>
      <c r="H6192" s="1">
        <v>-4.1292290000000004E-6</v>
      </c>
      <c r="I6192">
        <v>18.651319999999998</v>
      </c>
      <c r="J6192">
        <v>-407.60070000000002</v>
      </c>
      <c r="K6192">
        <v>1.1166739999999999</v>
      </c>
      <c r="L6192">
        <v>21.105830000000001</v>
      </c>
      <c r="M6192">
        <v>0.91691579999999995</v>
      </c>
      <c r="N6192">
        <v>-1.467305E-2</v>
      </c>
      <c r="O6192">
        <v>-0.39881119999999998</v>
      </c>
      <c r="P6192">
        <v>0.96263719999999997</v>
      </c>
      <c r="Q6192">
        <v>0.1644207</v>
      </c>
      <c r="R6192">
        <v>-0.21516399999999999</v>
      </c>
      <c r="S6192">
        <v>3.048035</v>
      </c>
      <c r="T6192">
        <v>-0.21115100000000001</v>
      </c>
      <c r="U6192">
        <v>-0.47189330000000002</v>
      </c>
      <c r="V6192">
        <v>-0.189078</v>
      </c>
      <c r="W6192">
        <v>0.17603579999999999</v>
      </c>
      <c r="X6192">
        <v>0.96605430000000003</v>
      </c>
      <c r="Y6192">
        <v>-0.25262620000000002</v>
      </c>
      <c r="Z6192">
        <v>3.1202299999999902E-2</v>
      </c>
      <c r="AA6192">
        <v>0.9670607</v>
      </c>
      <c r="AB6192">
        <v>23</v>
      </c>
      <c r="AC6192">
        <v>16.015199999999901</v>
      </c>
      <c r="AD6192">
        <v>-1.116678129229</v>
      </c>
      <c r="AE6192">
        <v>-2.4545099999999902</v>
      </c>
      <c r="AF6192">
        <v>-4.1173488994080998</v>
      </c>
      <c r="AG6192">
        <v>-1.116678129229</v>
      </c>
      <c r="AH6192">
        <v>15.5911002294895</v>
      </c>
      <c r="AI6192">
        <v>93.961338909962905</v>
      </c>
      <c r="AJ6192">
        <v>104.793138263283</v>
      </c>
      <c r="AK6192">
        <v>16.1642178397145</v>
      </c>
      <c r="AL6192">
        <v>79.861059123270095</v>
      </c>
      <c r="AM6192">
        <v>101.07405121340101</v>
      </c>
      <c r="AN6192">
        <v>1.0000000017570601</v>
      </c>
    </row>
    <row r="6193" spans="1:40" x14ac:dyDescent="0.25">
      <c r="A6193" t="str">
        <f>"20190304154920328"</f>
        <v>20190304154920328</v>
      </c>
      <c r="B6193" t="str">
        <f>"1551685760323921"</f>
        <v>1551685760323921</v>
      </c>
      <c r="C6193" t="s">
        <v>40</v>
      </c>
      <c r="D6193">
        <v>4.2235769999999997</v>
      </c>
      <c r="E6193">
        <v>0.47187839999999998</v>
      </c>
      <c r="F6193" t="s">
        <v>44</v>
      </c>
      <c r="G6193">
        <v>-391.22820000000002</v>
      </c>
      <c r="H6193" s="1">
        <v>-4.3085460000000003E-6</v>
      </c>
      <c r="I6193">
        <v>18.592559999999999</v>
      </c>
      <c r="J6193">
        <v>-407.4871</v>
      </c>
      <c r="K6193">
        <v>1.1165620000000001</v>
      </c>
      <c r="L6193">
        <v>21.061979999999998</v>
      </c>
      <c r="M6193">
        <v>0.91876100000000005</v>
      </c>
      <c r="N6193">
        <v>-1.464501E-2</v>
      </c>
      <c r="O6193">
        <v>-0.39454240000000002</v>
      </c>
      <c r="P6193">
        <v>0.96358180000000004</v>
      </c>
      <c r="Q6193">
        <v>0.16425399999999901</v>
      </c>
      <c r="R6193">
        <v>-0.21102319999999999</v>
      </c>
      <c r="S6193">
        <v>3.0474549999999998</v>
      </c>
      <c r="T6193">
        <v>-0.20785090000000001</v>
      </c>
      <c r="U6193">
        <v>-0.467804</v>
      </c>
      <c r="V6193">
        <v>-0.18869749999999999</v>
      </c>
      <c r="W6193">
        <v>0.17589969999999999</v>
      </c>
      <c r="X6193">
        <v>0.9661535</v>
      </c>
      <c r="Y6193">
        <v>-0.24941849999999999</v>
      </c>
      <c r="Z6193">
        <v>3.034034E-2</v>
      </c>
      <c r="AA6193">
        <v>0.96792040000000001</v>
      </c>
      <c r="AB6193">
        <v>23</v>
      </c>
      <c r="AC6193">
        <v>16.258899999999901</v>
      </c>
      <c r="AD6193">
        <v>-1.116566308546</v>
      </c>
      <c r="AE6193">
        <v>-2.4694199999999902</v>
      </c>
      <c r="AF6193">
        <v>-4.1274367450858103</v>
      </c>
      <c r="AG6193">
        <v>-1.116566308546</v>
      </c>
      <c r="AH6193">
        <v>15.8410171913004</v>
      </c>
      <c r="AI6193">
        <v>93.902015847898696</v>
      </c>
      <c r="AJ6193">
        <v>104.60393180816</v>
      </c>
      <c r="AK6193">
        <v>16.407933448827102</v>
      </c>
      <c r="AL6193">
        <v>79.868980856481102</v>
      </c>
      <c r="AM6193">
        <v>101.051208225202</v>
      </c>
      <c r="AN6193">
        <v>1.0000000182642901</v>
      </c>
    </row>
    <row r="6194" spans="1:40" x14ac:dyDescent="0.25">
      <c r="A6194" t="str">
        <f>"20190304154920348"</f>
        <v>20190304154920348</v>
      </c>
      <c r="B6194" t="str">
        <f>"1551685760343441"</f>
        <v>1551685760343441</v>
      </c>
      <c r="C6194" t="s">
        <v>40</v>
      </c>
      <c r="D6194">
        <v>4.2612199999999998</v>
      </c>
      <c r="E6194">
        <v>0.48036649999999997</v>
      </c>
      <c r="F6194" t="s">
        <v>44</v>
      </c>
      <c r="G6194">
        <v>-391.1216</v>
      </c>
      <c r="H6194" s="1">
        <v>-4.3542959999999999E-6</v>
      </c>
      <c r="I6194">
        <v>18.618829999999999</v>
      </c>
      <c r="J6194">
        <v>-407.30259999999998</v>
      </c>
      <c r="K6194">
        <v>1.116382</v>
      </c>
      <c r="L6194">
        <v>20.991969999999998</v>
      </c>
      <c r="M6194">
        <v>0.9216259</v>
      </c>
      <c r="N6194">
        <v>-1.4599890000000001E-2</v>
      </c>
      <c r="O6194">
        <v>-0.38780510000000001</v>
      </c>
      <c r="P6194">
        <v>0.96505180000000002</v>
      </c>
      <c r="Q6194">
        <v>0.16418569999999999</v>
      </c>
      <c r="R6194">
        <v>-0.2042506</v>
      </c>
      <c r="S6194">
        <v>3.0491640000000002</v>
      </c>
      <c r="T6194">
        <v>-0.20803530000000001</v>
      </c>
      <c r="U6194">
        <v>-0.4552002</v>
      </c>
      <c r="V6194">
        <v>-0.1883329</v>
      </c>
      <c r="W6194">
        <v>0.1758767</v>
      </c>
      <c r="X6194">
        <v>0.9662288</v>
      </c>
      <c r="Y6194">
        <v>-0.24633430000000001</v>
      </c>
      <c r="Z6194">
        <v>2.993736E-2</v>
      </c>
      <c r="AA6194">
        <v>0.96872250000000004</v>
      </c>
      <c r="AB6194">
        <v>23</v>
      </c>
      <c r="AC6194">
        <v>16.180999999999901</v>
      </c>
      <c r="AD6194">
        <v>-1.116386354296</v>
      </c>
      <c r="AE6194">
        <v>-2.3731399999999998</v>
      </c>
      <c r="AF6194">
        <v>-4.0693993152646897</v>
      </c>
      <c r="AG6194">
        <v>-1.116386354296</v>
      </c>
      <c r="AH6194">
        <v>15.7613838919263</v>
      </c>
      <c r="AI6194">
        <v>93.923287072904301</v>
      </c>
      <c r="AJ6194">
        <v>104.47692428222101</v>
      </c>
      <c r="AK6194">
        <v>16.316480976847</v>
      </c>
      <c r="AL6194">
        <v>79.870319284674295</v>
      </c>
      <c r="AM6194">
        <v>101.029540809857</v>
      </c>
      <c r="AN6194">
        <v>0.99999999438736997</v>
      </c>
    </row>
    <row r="6195" spans="1:40" x14ac:dyDescent="0.25">
      <c r="A6195" t="str">
        <f>"20190304154920359"</f>
        <v>20190304154920359</v>
      </c>
      <c r="B6195" t="str">
        <f>"1551685760353201"</f>
        <v>1551685760353201</v>
      </c>
      <c r="C6195" t="s">
        <v>40</v>
      </c>
      <c r="D6195">
        <v>4.2757189999999996</v>
      </c>
      <c r="E6195">
        <v>0.48158830000000002</v>
      </c>
      <c r="F6195" t="s">
        <v>44</v>
      </c>
      <c r="G6195">
        <v>-390.85570000000001</v>
      </c>
      <c r="H6195" s="1">
        <v>-4.5398759999999997E-6</v>
      </c>
      <c r="I6195">
        <v>18.281099999999999</v>
      </c>
      <c r="J6195">
        <v>-407.19389999999999</v>
      </c>
      <c r="K6195">
        <v>1.1162719999999999</v>
      </c>
      <c r="L6195">
        <v>20.951350000000001</v>
      </c>
      <c r="M6195">
        <v>0.92323869999999997</v>
      </c>
      <c r="N6195">
        <v>-1.457312E-2</v>
      </c>
      <c r="O6195">
        <v>-0.38395040000000003</v>
      </c>
      <c r="P6195">
        <v>0.96585390000000004</v>
      </c>
      <c r="Q6195">
        <v>0.16451209999999999</v>
      </c>
      <c r="R6195">
        <v>-0.20015479999999999</v>
      </c>
      <c r="S6195">
        <v>3.03775</v>
      </c>
      <c r="T6195">
        <v>-0.2061982</v>
      </c>
      <c r="U6195">
        <v>-0.50070190000000003</v>
      </c>
      <c r="V6195">
        <v>-0.18832879999999999</v>
      </c>
      <c r="W6195">
        <v>0.17622689999999999</v>
      </c>
      <c r="X6195">
        <v>0.96616579999999996</v>
      </c>
      <c r="Y6195">
        <v>-0.22762009999999999</v>
      </c>
      <c r="Z6195">
        <v>2.877097E-2</v>
      </c>
      <c r="AA6195">
        <v>0.97332490000000005</v>
      </c>
      <c r="AB6195">
        <v>23</v>
      </c>
      <c r="AC6195">
        <v>16.338199999999901</v>
      </c>
      <c r="AD6195">
        <v>-1.116276539876</v>
      </c>
      <c r="AE6195">
        <v>-2.6702499999999998</v>
      </c>
      <c r="AF6195">
        <v>-3.79094879336545</v>
      </c>
      <c r="AG6195">
        <v>-1.116276539876</v>
      </c>
      <c r="AH6195">
        <v>16.038094296538599</v>
      </c>
      <c r="AI6195">
        <v>93.875013896880404</v>
      </c>
      <c r="AJ6195">
        <v>103.29899835396</v>
      </c>
      <c r="AK6195">
        <v>16.517803568636499</v>
      </c>
      <c r="AL6195">
        <v>79.849936043234194</v>
      </c>
      <c r="AM6195">
        <v>101.030008127472</v>
      </c>
      <c r="AN6195">
        <v>1.00000000514134</v>
      </c>
    </row>
    <row r="6196" spans="1:40" x14ac:dyDescent="0.25">
      <c r="A6196" t="str">
        <f>"20190304154920369"</f>
        <v>20190304154920369</v>
      </c>
      <c r="B6196" t="str">
        <f>"1551685760362962"</f>
        <v>1551685760362962</v>
      </c>
      <c r="C6196" t="s">
        <v>40</v>
      </c>
      <c r="D6196">
        <v>4.2389570000000001</v>
      </c>
      <c r="E6196">
        <v>0.4813423</v>
      </c>
      <c r="F6196" t="s">
        <v>44</v>
      </c>
      <c r="G6196">
        <v>-390.3852</v>
      </c>
      <c r="H6196" s="1">
        <v>-4.7775649999999999E-6</v>
      </c>
      <c r="I6196">
        <v>18.195</v>
      </c>
      <c r="J6196">
        <v>-407.08409999999998</v>
      </c>
      <c r="K6196">
        <v>1.11616</v>
      </c>
      <c r="L6196">
        <v>20.91058</v>
      </c>
      <c r="M6196">
        <v>0.92482920000000002</v>
      </c>
      <c r="N6196">
        <v>-1.4546430000000001E-2</v>
      </c>
      <c r="O6196">
        <v>-0.38010430000000001</v>
      </c>
      <c r="P6196">
        <v>0.9666981</v>
      </c>
      <c r="Q6196">
        <v>0.16445989999999999</v>
      </c>
      <c r="R6196">
        <v>-0.19608059999999999</v>
      </c>
      <c r="S6196">
        <v>3.0371700000000001</v>
      </c>
      <c r="T6196">
        <v>-0.20170060000000001</v>
      </c>
      <c r="U6196">
        <v>-0.49804690000000001</v>
      </c>
      <c r="V6196">
        <v>-0.18833430000000001</v>
      </c>
      <c r="W6196">
        <v>0.17620060000000001</v>
      </c>
      <c r="X6196">
        <v>0.96616950000000001</v>
      </c>
      <c r="Y6196">
        <v>-0.22442719999999999</v>
      </c>
      <c r="Z6196">
        <v>2.7770469999999998E-2</v>
      </c>
      <c r="AA6196">
        <v>0.97409509999999999</v>
      </c>
      <c r="AB6196">
        <v>23</v>
      </c>
      <c r="AC6196">
        <v>16.698899999999899</v>
      </c>
      <c r="AD6196">
        <v>-1.1161647775650001</v>
      </c>
      <c r="AE6196">
        <v>-2.7155799999999899</v>
      </c>
      <c r="AF6196">
        <v>-3.8196567578892302</v>
      </c>
      <c r="AG6196">
        <v>-1.1161647775650001</v>
      </c>
      <c r="AH6196">
        <v>16.406169091538398</v>
      </c>
      <c r="AI6196">
        <v>93.790940492762303</v>
      </c>
      <c r="AJ6196">
        <v>103.10603473584899</v>
      </c>
      <c r="AK6196">
        <v>16.8818833611335</v>
      </c>
      <c r="AL6196">
        <v>79.851466632959301</v>
      </c>
      <c r="AM6196">
        <v>101.030281145101</v>
      </c>
      <c r="AN6196">
        <v>0.99999998136354895</v>
      </c>
    </row>
    <row r="6197" spans="1:40" x14ac:dyDescent="0.25">
      <c r="A6197" t="str">
        <f>"20190304154920381"</f>
        <v>20190304154920381</v>
      </c>
      <c r="B6197" t="str">
        <f>"1551685760373697"</f>
        <v>1551685760373697</v>
      </c>
      <c r="C6197" t="s">
        <v>40</v>
      </c>
      <c r="D6197">
        <v>4.2588200000000001</v>
      </c>
      <c r="E6197">
        <v>0.48161290000000001</v>
      </c>
      <c r="F6197" t="s">
        <v>44</v>
      </c>
      <c r="G6197">
        <v>-390.57049999999998</v>
      </c>
      <c r="H6197" s="1">
        <v>-4.6746250000000002E-6</v>
      </c>
      <c r="I6197">
        <v>18.281510000000001</v>
      </c>
      <c r="J6197">
        <v>-406.98309999999998</v>
      </c>
      <c r="K6197">
        <v>1.1160490000000001</v>
      </c>
      <c r="L6197">
        <v>20.873629999999999</v>
      </c>
      <c r="M6197">
        <v>0.92623100000000003</v>
      </c>
      <c r="N6197">
        <v>-1.452119E-2</v>
      </c>
      <c r="O6197">
        <v>-0.37667719999999999</v>
      </c>
      <c r="P6197">
        <v>0.96737059999999997</v>
      </c>
      <c r="Q6197">
        <v>0.1643712</v>
      </c>
      <c r="R6197">
        <v>-0.19281139999999999</v>
      </c>
      <c r="S6197">
        <v>3.0401310000000001</v>
      </c>
      <c r="T6197">
        <v>-0.20548449999999999</v>
      </c>
      <c r="U6197">
        <v>-0.48400880000000002</v>
      </c>
      <c r="V6197">
        <v>-0.1879797</v>
      </c>
      <c r="W6197">
        <v>0.1761424</v>
      </c>
      <c r="X6197">
        <v>0.96624920000000003</v>
      </c>
      <c r="Y6197">
        <v>-0.22531380000000001</v>
      </c>
      <c r="Z6197">
        <v>2.8233919999999999E-2</v>
      </c>
      <c r="AA6197">
        <v>0.97387710000000005</v>
      </c>
      <c r="AB6197">
        <v>23</v>
      </c>
      <c r="AC6197">
        <v>16.412599999999902</v>
      </c>
      <c r="AD6197">
        <v>-1.116053674625</v>
      </c>
      <c r="AE6197">
        <v>-2.5921199999999902</v>
      </c>
      <c r="AF6197">
        <v>-3.7647636963551601</v>
      </c>
      <c r="AG6197">
        <v>-1.116053674625</v>
      </c>
      <c r="AH6197">
        <v>16.1072866974352</v>
      </c>
      <c r="AI6197">
        <v>93.859913483575994</v>
      </c>
      <c r="AJ6197">
        <v>103.15559980750101</v>
      </c>
      <c r="AK6197">
        <v>16.579014031220701</v>
      </c>
      <c r="AL6197">
        <v>79.854854571868799</v>
      </c>
      <c r="AM6197">
        <v>101.009135076813</v>
      </c>
      <c r="AN6197">
        <v>1.0000000145952399</v>
      </c>
    </row>
    <row r="6198" spans="1:40" x14ac:dyDescent="0.25">
      <c r="A6198" t="str">
        <f>"20190304154920394"</f>
        <v>20190304154920394</v>
      </c>
      <c r="B6198" t="str">
        <f>"1551685760383457"</f>
        <v>1551685760383457</v>
      </c>
      <c r="C6198" t="s">
        <v>40</v>
      </c>
      <c r="D6198">
        <v>4.2476890000000003</v>
      </c>
      <c r="E6198">
        <v>0.48180030000000001</v>
      </c>
      <c r="F6198" t="s">
        <v>44</v>
      </c>
      <c r="G6198">
        <v>-390.55700000000002</v>
      </c>
      <c r="H6198" s="1">
        <v>-4.6774719999999998E-6</v>
      </c>
      <c r="I6198">
        <v>18.30143</v>
      </c>
      <c r="J6198">
        <v>-406.8562</v>
      </c>
      <c r="K6198">
        <v>1.1159110000000001</v>
      </c>
      <c r="L6198">
        <v>20.827549999999999</v>
      </c>
      <c r="M6198">
        <v>0.92795099999999997</v>
      </c>
      <c r="N6198">
        <v>-1.4490289999999999E-2</v>
      </c>
      <c r="O6198">
        <v>-0.37242059999999999</v>
      </c>
      <c r="P6198">
        <v>0.96820819999999996</v>
      </c>
      <c r="Q6198">
        <v>0.1641841</v>
      </c>
      <c r="R6198">
        <v>-0.18872320000000001</v>
      </c>
      <c r="S6198">
        <v>3.041382</v>
      </c>
      <c r="T6198">
        <v>-0.20664379999999999</v>
      </c>
      <c r="U6198">
        <v>-0.47625729999999999</v>
      </c>
      <c r="V6198">
        <v>-0.1875742</v>
      </c>
      <c r="W6198">
        <v>0.17599400000000001</v>
      </c>
      <c r="X6198">
        <v>0.96635499999999996</v>
      </c>
      <c r="Y6198">
        <v>-0.22332150000000001</v>
      </c>
      <c r="Z6198">
        <v>2.813705E-2</v>
      </c>
      <c r="AA6198">
        <v>0.9743387</v>
      </c>
      <c r="AB6198">
        <v>23</v>
      </c>
      <c r="AC6198">
        <v>16.299199999999999</v>
      </c>
      <c r="AD6198">
        <v>-1.115915677472</v>
      </c>
      <c r="AE6198">
        <v>-2.5261200000000001</v>
      </c>
      <c r="AF6198">
        <v>-3.70945349540608</v>
      </c>
      <c r="AG6198">
        <v>-1.115915677472</v>
      </c>
      <c r="AH6198">
        <v>15.9941119998924</v>
      </c>
      <c r="AI6198">
        <v>93.888208053423099</v>
      </c>
      <c r="AJ6198">
        <v>103.057538137874</v>
      </c>
      <c r="AK6198">
        <v>16.456516390138901</v>
      </c>
      <c r="AL6198">
        <v>79.863491820544596</v>
      </c>
      <c r="AM6198">
        <v>100.98479162408999</v>
      </c>
      <c r="AN6198">
        <v>0.99999997728331902</v>
      </c>
    </row>
    <row r="6199" spans="1:40" x14ac:dyDescent="0.25">
      <c r="A6199" t="str">
        <f>"20190304154920404"</f>
        <v>20190304154920404</v>
      </c>
      <c r="B6199" t="str">
        <f>"1551685760393217"</f>
        <v>1551685760393217</v>
      </c>
      <c r="C6199" t="s">
        <v>40</v>
      </c>
      <c r="D6199">
        <v>4.2587299999999999</v>
      </c>
      <c r="E6199">
        <v>0.48196329999999998</v>
      </c>
      <c r="F6199" t="s">
        <v>44</v>
      </c>
      <c r="G6199">
        <v>-390.57870000000003</v>
      </c>
      <c r="H6199" s="1">
        <v>-4.6603309999999999E-6</v>
      </c>
      <c r="I6199">
        <v>18.340219999999999</v>
      </c>
      <c r="J6199">
        <v>-406.74700000000001</v>
      </c>
      <c r="K6199">
        <v>1.115791</v>
      </c>
      <c r="L6199">
        <v>20.788360000000001</v>
      </c>
      <c r="M6199">
        <v>0.92936890000000005</v>
      </c>
      <c r="N6199">
        <v>-1.4463699999999999E-2</v>
      </c>
      <c r="O6199">
        <v>-0.36886960000000002</v>
      </c>
      <c r="P6199">
        <v>0.96892880000000003</v>
      </c>
      <c r="Q6199">
        <v>0.1635655</v>
      </c>
      <c r="R6199">
        <v>-0.18553700000000001</v>
      </c>
      <c r="S6199">
        <v>3.0432130000000002</v>
      </c>
      <c r="T6199">
        <v>-0.20863010000000001</v>
      </c>
      <c r="U6199">
        <v>-0.46502690000000002</v>
      </c>
      <c r="V6199">
        <v>-0.18703629999999999</v>
      </c>
      <c r="W6199">
        <v>0.1754134</v>
      </c>
      <c r="X6199">
        <v>0.9665648</v>
      </c>
      <c r="Y6199">
        <v>-0.22317819999999999</v>
      </c>
      <c r="Z6199">
        <v>2.8268740000000001E-2</v>
      </c>
      <c r="AA6199">
        <v>0.97436769999999995</v>
      </c>
      <c r="AB6199">
        <v>23</v>
      </c>
      <c r="AC6199">
        <v>16.168299999999899</v>
      </c>
      <c r="AD6199">
        <v>-1.115795660331</v>
      </c>
      <c r="AE6199">
        <v>-2.4481399999999902</v>
      </c>
      <c r="AF6199">
        <v>-3.6720576607976501</v>
      </c>
      <c r="AG6199">
        <v>-1.115795660331</v>
      </c>
      <c r="AH6199">
        <v>15.8571936083015</v>
      </c>
      <c r="AI6199">
        <v>93.921561723883201</v>
      </c>
      <c r="AJ6199">
        <v>103.038195189677</v>
      </c>
      <c r="AK6199">
        <v>16.315011386787099</v>
      </c>
      <c r="AL6199">
        <v>79.897283426355699</v>
      </c>
      <c r="AM6199">
        <v>100.951733818394</v>
      </c>
      <c r="AN6199">
        <v>0.99999997550814401</v>
      </c>
    </row>
    <row r="6200" spans="1:40" x14ac:dyDescent="0.25">
      <c r="A6200" t="str">
        <f>"20190304154920416"</f>
        <v>20190304154920416</v>
      </c>
      <c r="B6200" t="str">
        <f>"1551685760413713"</f>
        <v>1551685760413713</v>
      </c>
      <c r="C6200" t="s">
        <v>40</v>
      </c>
      <c r="D6200">
        <v>4.2724039999999999</v>
      </c>
      <c r="E6200">
        <v>0.48293239999999998</v>
      </c>
      <c r="F6200" t="s">
        <v>44</v>
      </c>
      <c r="G6200">
        <v>-390.68759999999997</v>
      </c>
      <c r="H6200" s="1">
        <v>-4.6016080000000003E-6</v>
      </c>
      <c r="I6200">
        <v>18.381270000000001</v>
      </c>
      <c r="J6200">
        <v>-406.64030000000002</v>
      </c>
      <c r="K6200">
        <v>1.115677</v>
      </c>
      <c r="L6200">
        <v>20.750430000000001</v>
      </c>
      <c r="M6200">
        <v>0.93071720000000002</v>
      </c>
      <c r="N6200">
        <v>-1.4438589999999999E-2</v>
      </c>
      <c r="O6200">
        <v>-0.36545460000000002</v>
      </c>
      <c r="P6200">
        <v>0.96957660000000001</v>
      </c>
      <c r="Q6200">
        <v>0.16320560000000001</v>
      </c>
      <c r="R6200">
        <v>-0.1824422</v>
      </c>
      <c r="S6200">
        <v>3.044495</v>
      </c>
      <c r="T6200">
        <v>-0.21152899999999999</v>
      </c>
      <c r="U6200">
        <v>-0.45632929999999999</v>
      </c>
      <c r="V6200">
        <v>-0.18654029999999999</v>
      </c>
      <c r="W6200">
        <v>0.17508899999999999</v>
      </c>
      <c r="X6200">
        <v>0.96671949999999995</v>
      </c>
      <c r="Y6200">
        <v>-0.2223551</v>
      </c>
      <c r="Z6200">
        <v>2.851511E-2</v>
      </c>
      <c r="AA6200">
        <v>0.97454859999999999</v>
      </c>
      <c r="AB6200">
        <v>23</v>
      </c>
      <c r="AC6200">
        <v>15.9527</v>
      </c>
      <c r="AD6200">
        <v>-1.115681601608</v>
      </c>
      <c r="AE6200">
        <v>-2.3691599999999902</v>
      </c>
      <c r="AF6200">
        <v>-3.60808059123534</v>
      </c>
      <c r="AG6200">
        <v>-1.115681601608</v>
      </c>
      <c r="AH6200">
        <v>15.640063210551</v>
      </c>
      <c r="AI6200">
        <v>93.9761875507523</v>
      </c>
      <c r="AJ6200">
        <v>102.990565474737</v>
      </c>
      <c r="AK6200">
        <v>16.089579491678698</v>
      </c>
      <c r="AL6200">
        <v>79.916162771066496</v>
      </c>
      <c r="AM6200">
        <v>100.92168456669501</v>
      </c>
      <c r="AN6200">
        <v>1.0000000165626599</v>
      </c>
    </row>
    <row r="6201" spans="1:40" x14ac:dyDescent="0.25">
      <c r="A6201" t="str">
        <f>"20190304154920428"</f>
        <v>20190304154920428</v>
      </c>
      <c r="B6201" t="str">
        <f>"1551685760423473"</f>
        <v>1551685760423473</v>
      </c>
      <c r="C6201" t="s">
        <v>40</v>
      </c>
      <c r="D6201">
        <v>4.2710589999999904</v>
      </c>
      <c r="E6201">
        <v>0.48328120000000002</v>
      </c>
      <c r="F6201" t="s">
        <v>44</v>
      </c>
      <c r="G6201">
        <v>-390.58940000000001</v>
      </c>
      <c r="H6201" s="1">
        <v>-4.6525790000000002E-6</v>
      </c>
      <c r="I6201">
        <v>18.355540000000001</v>
      </c>
      <c r="J6201">
        <v>-406.524</v>
      </c>
      <c r="K6201">
        <v>1.115559</v>
      </c>
      <c r="L6201">
        <v>20.709440000000001</v>
      </c>
      <c r="M6201">
        <v>0.93214300000000005</v>
      </c>
      <c r="N6201">
        <v>-1.441199E-2</v>
      </c>
      <c r="O6201">
        <v>-0.3618034</v>
      </c>
      <c r="P6201">
        <v>0.97028910000000002</v>
      </c>
      <c r="Q6201">
        <v>0.16277</v>
      </c>
      <c r="R6201">
        <v>-0.17901199999999901</v>
      </c>
      <c r="S6201">
        <v>3.0442809999999998</v>
      </c>
      <c r="T6201">
        <v>-0.2116045</v>
      </c>
      <c r="U6201">
        <v>-0.45422360000000001</v>
      </c>
      <c r="V6201">
        <v>-0.18613879999999999</v>
      </c>
      <c r="W6201">
        <v>0.1746885</v>
      </c>
      <c r="X6201">
        <v>0.96686930000000004</v>
      </c>
      <c r="Y6201">
        <v>-0.21919369999999999</v>
      </c>
      <c r="Z6201">
        <v>2.8227120000000001E-2</v>
      </c>
      <c r="AA6201">
        <v>0.97527299999999995</v>
      </c>
      <c r="AB6201">
        <v>23</v>
      </c>
      <c r="AC6201">
        <v>15.9345999999999</v>
      </c>
      <c r="AD6201">
        <v>-1.115563652579</v>
      </c>
      <c r="AE6201">
        <v>-2.3538999999999999</v>
      </c>
      <c r="AF6201">
        <v>-3.5543433361909198</v>
      </c>
      <c r="AG6201">
        <v>-1.115563652579</v>
      </c>
      <c r="AH6201">
        <v>15.631628040651201</v>
      </c>
      <c r="AI6201">
        <v>93.980767076259696</v>
      </c>
      <c r="AJ6201">
        <v>102.810193105585</v>
      </c>
      <c r="AK6201">
        <v>16.0694005493595</v>
      </c>
      <c r="AL6201">
        <v>79.939468590143306</v>
      </c>
      <c r="AM6201">
        <v>100.897092674948</v>
      </c>
      <c r="AN6201">
        <v>0.99999998409009005</v>
      </c>
    </row>
    <row r="6202" spans="1:40" x14ac:dyDescent="0.25">
      <c r="A6202" t="str">
        <f>"20190304154920442"</f>
        <v>20190304154920442</v>
      </c>
      <c r="B6202" t="str">
        <f>"1551685760433232"</f>
        <v>1551685760433232</v>
      </c>
      <c r="C6202" t="s">
        <v>40</v>
      </c>
      <c r="D6202">
        <v>4.2394420000000004</v>
      </c>
      <c r="E6202">
        <v>0.4837033</v>
      </c>
      <c r="F6202" t="s">
        <v>44</v>
      </c>
      <c r="G6202">
        <v>-390.6277</v>
      </c>
      <c r="H6202" s="1">
        <v>-4.6299959999999996E-6</v>
      </c>
      <c r="I6202">
        <v>18.38072</v>
      </c>
      <c r="J6202">
        <v>-406.39429999999999</v>
      </c>
      <c r="K6202">
        <v>1.115432</v>
      </c>
      <c r="L6202">
        <v>20.664280000000002</v>
      </c>
      <c r="M6202">
        <v>0.93367</v>
      </c>
      <c r="N6202">
        <v>-1.438334E-2</v>
      </c>
      <c r="O6202">
        <v>-0.35784589999999999</v>
      </c>
      <c r="P6202">
        <v>0.97097860000000003</v>
      </c>
      <c r="Q6202">
        <v>0.16296469999999999</v>
      </c>
      <c r="R6202">
        <v>-0.1750526</v>
      </c>
      <c r="S6202">
        <v>3.04541</v>
      </c>
      <c r="T6202">
        <v>-0.21371970000000001</v>
      </c>
      <c r="U6202">
        <v>-0.44613649999999999</v>
      </c>
      <c r="V6202">
        <v>-0.18591640000000001</v>
      </c>
      <c r="W6202">
        <v>0.17491479999999901</v>
      </c>
      <c r="X6202">
        <v>0.96687120000000004</v>
      </c>
      <c r="Y6202">
        <v>-0.2176276</v>
      </c>
      <c r="Z6202">
        <v>2.8287010000000001E-2</v>
      </c>
      <c r="AA6202">
        <v>0.97562190000000004</v>
      </c>
      <c r="AB6202">
        <v>23</v>
      </c>
      <c r="AC6202">
        <v>15.766599999999899</v>
      </c>
      <c r="AD6202">
        <v>-1.1154366299959999</v>
      </c>
      <c r="AE6202">
        <v>-2.2835599999999898</v>
      </c>
      <c r="AF6202">
        <v>-3.4931599787496799</v>
      </c>
      <c r="AG6202">
        <v>-1.1154366299959999</v>
      </c>
      <c r="AH6202">
        <v>15.463762051450701</v>
      </c>
      <c r="AI6202">
        <v>94.024668923648093</v>
      </c>
      <c r="AJ6202">
        <v>102.729089309226</v>
      </c>
      <c r="AK6202">
        <v>15.8925863941827</v>
      </c>
      <c r="AL6202">
        <v>79.926300029235506</v>
      </c>
      <c r="AM6202">
        <v>100.884363038494</v>
      </c>
      <c r="AN6202">
        <v>1.00000000621872</v>
      </c>
    </row>
    <row r="6203" spans="1:40" x14ac:dyDescent="0.25">
      <c r="A6203" t="str">
        <f>"20190304154920459"</f>
        <v>20190304154920459</v>
      </c>
      <c r="B6203" t="str">
        <f>"1551685760453728"</f>
        <v>1551685760453728</v>
      </c>
      <c r="C6203" t="s">
        <v>40</v>
      </c>
      <c r="D6203">
        <v>4.2440949999999997</v>
      </c>
      <c r="E6203">
        <v>0.48403750000000001</v>
      </c>
      <c r="F6203" t="s">
        <v>44</v>
      </c>
      <c r="G6203">
        <v>-390.43360000000001</v>
      </c>
      <c r="H6203" s="1">
        <v>-4.7229939999999998E-6</v>
      </c>
      <c r="I6203">
        <v>18.373719999999999</v>
      </c>
      <c r="J6203">
        <v>-406.22550000000001</v>
      </c>
      <c r="K6203">
        <v>1.11527</v>
      </c>
      <c r="L6203">
        <v>20.606169999999999</v>
      </c>
      <c r="M6203">
        <v>0.93557789999999996</v>
      </c>
      <c r="N6203">
        <v>-1.4347489999999999E-2</v>
      </c>
      <c r="O6203">
        <v>-0.35282920000000001</v>
      </c>
      <c r="P6203">
        <v>0.97177959999999997</v>
      </c>
      <c r="Q6203">
        <v>0.16311579999999901</v>
      </c>
      <c r="R6203">
        <v>-0.1704049</v>
      </c>
      <c r="S6203">
        <v>3.0466000000000002</v>
      </c>
      <c r="T6203">
        <v>-0.21291660000000001</v>
      </c>
      <c r="U6203">
        <v>-0.43722529999999998</v>
      </c>
      <c r="V6203">
        <v>-0.18527589999999999</v>
      </c>
      <c r="W6203">
        <v>0.17511009999999999</v>
      </c>
      <c r="X6203">
        <v>0.96695880000000001</v>
      </c>
      <c r="Y6203">
        <v>-0.21526020000000001</v>
      </c>
      <c r="Z6203">
        <v>2.7824450000000001E-2</v>
      </c>
      <c r="AA6203">
        <v>0.97616029999999998</v>
      </c>
      <c r="AB6203">
        <v>23</v>
      </c>
      <c r="AC6203">
        <v>15.791899999999901</v>
      </c>
      <c r="AD6203">
        <v>-1.1152747229940001</v>
      </c>
      <c r="AE6203">
        <v>-2.23245</v>
      </c>
      <c r="AF6203">
        <v>-3.4666191263039199</v>
      </c>
      <c r="AG6203">
        <v>-1.1152747229940001</v>
      </c>
      <c r="AH6203">
        <v>15.488090378406801</v>
      </c>
      <c r="AI6203">
        <v>94.019559776031699</v>
      </c>
      <c r="AJ6203">
        <v>102.61627930535801</v>
      </c>
      <c r="AK6203">
        <v>15.9104440366793</v>
      </c>
      <c r="AL6203">
        <v>79.914934829316095</v>
      </c>
      <c r="AM6203">
        <v>100.84679709270399</v>
      </c>
      <c r="AN6203">
        <v>1.0000000135701299</v>
      </c>
    </row>
    <row r="6204" spans="1:40" x14ac:dyDescent="0.25">
      <c r="A6204" t="str">
        <f>"20190304154920474"</f>
        <v>20190304154920474</v>
      </c>
      <c r="B6204" t="str">
        <f>"1551685760463488"</f>
        <v>1551685760463488</v>
      </c>
      <c r="C6204" t="s">
        <v>40</v>
      </c>
      <c r="D6204">
        <v>4.2572020000000004</v>
      </c>
      <c r="E6204">
        <v>0.49125390000000002</v>
      </c>
      <c r="F6204" t="s">
        <v>44</v>
      </c>
      <c r="G6204">
        <v>-390.1909</v>
      </c>
      <c r="H6204" s="1">
        <v>-4.8393039999999997E-6</v>
      </c>
      <c r="I6204">
        <v>18.364820000000002</v>
      </c>
      <c r="J6204">
        <v>-406.08420000000001</v>
      </c>
      <c r="K6204">
        <v>1.1151439999999999</v>
      </c>
      <c r="L6204">
        <v>20.558109999999999</v>
      </c>
      <c r="M6204">
        <v>0.93710850000000001</v>
      </c>
      <c r="N6204">
        <v>-1.4318539999999999E-2</v>
      </c>
      <c r="O6204">
        <v>-0.34874460000000002</v>
      </c>
      <c r="P6204">
        <v>0.97250190000000003</v>
      </c>
      <c r="Q6204">
        <v>0.16277</v>
      </c>
      <c r="R6204">
        <v>-0.166572</v>
      </c>
      <c r="S6204">
        <v>3.0480040000000002</v>
      </c>
      <c r="T6204">
        <v>-0.21200160000000001</v>
      </c>
      <c r="U6204">
        <v>-0.42605589999999999</v>
      </c>
      <c r="V6204">
        <v>-0.1848321</v>
      </c>
      <c r="W6204">
        <v>0.17479829999999999</v>
      </c>
      <c r="X6204">
        <v>0.96710010000000002</v>
      </c>
      <c r="Y6204">
        <v>-0.2145878</v>
      </c>
      <c r="Z6204">
        <v>2.7462960000000002E-2</v>
      </c>
      <c r="AA6204">
        <v>0.97631849999999998</v>
      </c>
      <c r="AB6204">
        <v>23</v>
      </c>
      <c r="AC6204">
        <v>15.8933</v>
      </c>
      <c r="AD6204">
        <v>-1.1151488393039899</v>
      </c>
      <c r="AE6204">
        <v>-2.19328999999999</v>
      </c>
      <c r="AF6204">
        <v>-3.4709407176833502</v>
      </c>
      <c r="AG6204">
        <v>-1.1151488393039899</v>
      </c>
      <c r="AH6204">
        <v>15.5849565402515</v>
      </c>
      <c r="AI6204">
        <v>93.995151658527206</v>
      </c>
      <c r="AJ6204">
        <v>102.55549008556</v>
      </c>
      <c r="AK6204">
        <v>16.005682014865901</v>
      </c>
      <c r="AL6204">
        <v>79.933079135810104</v>
      </c>
      <c r="AM6204">
        <v>100.81988568663</v>
      </c>
      <c r="AN6204">
        <v>0.99999997714665401</v>
      </c>
    </row>
    <row r="6205" spans="1:40" x14ac:dyDescent="0.25">
      <c r="A6205" t="str">
        <f>"20190304154920485"</f>
        <v>20190304154920485</v>
      </c>
      <c r="B6205" t="str">
        <f>"1551685760483009"</f>
        <v>1551685760483009</v>
      </c>
      <c r="C6205" t="s">
        <v>40</v>
      </c>
      <c r="D6205">
        <v>4.3059519999999996</v>
      </c>
      <c r="E6205">
        <v>0.49241269999999998</v>
      </c>
      <c r="F6205" t="s">
        <v>86</v>
      </c>
      <c r="G6205">
        <v>-389.03980000000001</v>
      </c>
      <c r="H6205" s="1">
        <v>-8.2081349999999999E-7</v>
      </c>
      <c r="I6205">
        <v>17.91891</v>
      </c>
      <c r="J6205">
        <v>-405.96339999999998</v>
      </c>
      <c r="K6205">
        <v>1.1150450000000001</v>
      </c>
      <c r="L6205">
        <v>20.517579999999999</v>
      </c>
      <c r="M6205">
        <v>0.93835990000000002</v>
      </c>
      <c r="N6205">
        <v>-1.42942999999999E-2</v>
      </c>
      <c r="O6205">
        <v>-0.34536450000000002</v>
      </c>
      <c r="P6205">
        <v>0.97311789999999998</v>
      </c>
      <c r="Q6205">
        <v>0.16197259999999999</v>
      </c>
      <c r="R6205">
        <v>-0.16372900000000001</v>
      </c>
      <c r="S6205">
        <v>3.0375369999999999</v>
      </c>
      <c r="T6205">
        <v>-0.19873289999999999</v>
      </c>
      <c r="U6205">
        <v>-0.4703369</v>
      </c>
      <c r="V6205">
        <v>-0.1841671</v>
      </c>
      <c r="W6205">
        <v>0.1740321</v>
      </c>
      <c r="X6205">
        <v>0.96736509999999998</v>
      </c>
      <c r="Y6205">
        <v>-0.19682759999999999</v>
      </c>
      <c r="Z6205">
        <v>2.4730849999999999E-2</v>
      </c>
      <c r="AA6205">
        <v>0.9801261</v>
      </c>
      <c r="AB6205">
        <v>23</v>
      </c>
      <c r="AC6205">
        <v>16.923599999999901</v>
      </c>
      <c r="AD6205">
        <v>-1.1150458208134999</v>
      </c>
      <c r="AE6205">
        <v>-2.59866999999999</v>
      </c>
      <c r="AF6205">
        <v>-3.3922835099002699</v>
      </c>
      <c r="AG6205">
        <v>-1.1150458208134999</v>
      </c>
      <c r="AH6205">
        <v>16.708764502592999</v>
      </c>
      <c r="AI6205">
        <v>93.741812025136497</v>
      </c>
      <c r="AJ6205">
        <v>101.47644456176999</v>
      </c>
      <c r="AK6205">
        <v>17.086068178406901</v>
      </c>
      <c r="AL6205">
        <v>79.977662402955204</v>
      </c>
      <c r="AM6205">
        <v>100.778986981027</v>
      </c>
      <c r="AN6205">
        <v>0.99999996462541396</v>
      </c>
    </row>
    <row r="6206" spans="1:40" x14ac:dyDescent="0.25">
      <c r="A6206" t="str">
        <f>"20190304154920503"</f>
        <v>20190304154920503</v>
      </c>
      <c r="B6206" t="str">
        <f>"1551685760493748"</f>
        <v>1551685760493748</v>
      </c>
      <c r="C6206" t="s">
        <v>40</v>
      </c>
      <c r="D6206">
        <v>4.2764189999999997</v>
      </c>
      <c r="E6206">
        <v>0.4773133</v>
      </c>
      <c r="F6206" t="s">
        <v>86</v>
      </c>
      <c r="G6206">
        <v>-389.03210000000001</v>
      </c>
      <c r="H6206" s="1">
        <v>-8.302725E-7</v>
      </c>
      <c r="I6206">
        <v>17.894410000000001</v>
      </c>
      <c r="J6206">
        <v>-405.7996</v>
      </c>
      <c r="K6206">
        <v>1.1149150000000001</v>
      </c>
      <c r="L6206">
        <v>20.46313</v>
      </c>
      <c r="M6206">
        <v>0.93999820000000001</v>
      </c>
      <c r="N6206">
        <v>-1.426273E-2</v>
      </c>
      <c r="O6206">
        <v>-0.34088099999999999</v>
      </c>
      <c r="P6206">
        <v>0.97381320000000005</v>
      </c>
      <c r="Q6206">
        <v>0.1607692</v>
      </c>
      <c r="R6206">
        <v>-0.16075110000000001</v>
      </c>
      <c r="S6206">
        <v>3.0369869999999999</v>
      </c>
      <c r="T6206">
        <v>-0.20000680000000001</v>
      </c>
      <c r="U6206">
        <v>-0.47051999999999999</v>
      </c>
      <c r="V6206">
        <v>-0.182507</v>
      </c>
      <c r="W6206">
        <v>0.17287729999999901</v>
      </c>
      <c r="X6206">
        <v>0.96788669999999999</v>
      </c>
      <c r="Y6206">
        <v>-0.1920644</v>
      </c>
      <c r="Z6206">
        <v>2.4527480000000001E-2</v>
      </c>
      <c r="AA6206">
        <v>0.98107580000000005</v>
      </c>
      <c r="AB6206">
        <v>23</v>
      </c>
      <c r="AC6206">
        <v>16.767499999999899</v>
      </c>
      <c r="AD6206">
        <v>-1.1149158302725</v>
      </c>
      <c r="AE6206">
        <v>-2.5687199999999901</v>
      </c>
      <c r="AF6206">
        <v>-3.28726535043617</v>
      </c>
      <c r="AG6206">
        <v>-1.1149158302725</v>
      </c>
      <c r="AH6206">
        <v>16.567172590847999</v>
      </c>
      <c r="AI6206">
        <v>93.776604404712998</v>
      </c>
      <c r="AJ6206">
        <v>101.22288374852801</v>
      </c>
      <c r="AK6206">
        <v>16.9269122537962</v>
      </c>
      <c r="AL6206">
        <v>80.044846460422605</v>
      </c>
      <c r="AM6206">
        <v>100.678445425782</v>
      </c>
      <c r="AN6206">
        <v>1.0000000149705801</v>
      </c>
    </row>
    <row r="6207" spans="1:40" x14ac:dyDescent="0.25">
      <c r="A6207" t="str">
        <f>"20190304154920515"</f>
        <v>20190304154920515</v>
      </c>
      <c r="B6207" t="str">
        <f>"1551685760513265"</f>
        <v>1551685760513265</v>
      </c>
      <c r="C6207" t="s">
        <v>40</v>
      </c>
      <c r="D6207">
        <v>4.2598240000000001</v>
      </c>
      <c r="E6207">
        <v>0.4721938</v>
      </c>
      <c r="F6207" t="s">
        <v>86</v>
      </c>
      <c r="G6207">
        <v>-388.63830000000002</v>
      </c>
      <c r="H6207" s="1">
        <v>-8.3401849999999996E-7</v>
      </c>
      <c r="I6207">
        <v>18.545629999999999</v>
      </c>
      <c r="J6207">
        <v>-405.67989999999998</v>
      </c>
      <c r="K6207">
        <v>1.114825</v>
      </c>
      <c r="L6207">
        <v>20.423770000000001</v>
      </c>
      <c r="M6207">
        <v>0.94115590000000005</v>
      </c>
      <c r="N6207">
        <v>-1.424066E-2</v>
      </c>
      <c r="O6207">
        <v>-0.337673</v>
      </c>
      <c r="P6207">
        <v>0.97435930000000004</v>
      </c>
      <c r="Q6207">
        <v>0.15993389999999999</v>
      </c>
      <c r="R6207">
        <v>-0.15825649999999999</v>
      </c>
      <c r="S6207">
        <v>3.0570979999999999</v>
      </c>
      <c r="T6207">
        <v>-0.19861039999999999</v>
      </c>
      <c r="U6207">
        <v>-0.34158329999999998</v>
      </c>
      <c r="V6207">
        <v>-0.18168419999999999</v>
      </c>
      <c r="W6207">
        <v>0.17207039999999901</v>
      </c>
      <c r="X6207">
        <v>0.96818519999999997</v>
      </c>
      <c r="Y6207">
        <v>-0.2301193</v>
      </c>
      <c r="Z6207">
        <v>2.5618720000000001E-2</v>
      </c>
      <c r="AA6207">
        <v>0.97282519999999995</v>
      </c>
      <c r="AB6207">
        <v>23</v>
      </c>
      <c r="AC6207">
        <v>17.041599999999899</v>
      </c>
      <c r="AD6207">
        <v>-1.1148258340185</v>
      </c>
      <c r="AE6207">
        <v>-1.8781399999999999</v>
      </c>
      <c r="AF6207">
        <v>-3.970481638131</v>
      </c>
      <c r="AG6207">
        <v>-1.1148258340185</v>
      </c>
      <c r="AH6207">
        <v>16.604481894468599</v>
      </c>
      <c r="AI6207">
        <v>93.736060925205507</v>
      </c>
      <c r="AJ6207">
        <v>103.44810803554</v>
      </c>
      <c r="AK6207">
        <v>17.1089561359735</v>
      </c>
      <c r="AL6207">
        <v>80.091781406872897</v>
      </c>
      <c r="AM6207">
        <v>100.62820032792899</v>
      </c>
      <c r="AN6207">
        <v>0.99999997629241899</v>
      </c>
    </row>
    <row r="6208" spans="1:40" x14ac:dyDescent="0.25">
      <c r="A6208" t="str">
        <f>"20190304154920526"</f>
        <v>20190304154920526</v>
      </c>
      <c r="B6208" t="str">
        <f>"1551685760523025"</f>
        <v>1551685760523025</v>
      </c>
      <c r="C6208" t="s">
        <v>40</v>
      </c>
      <c r="D6208">
        <v>4.2800940000000001</v>
      </c>
      <c r="E6208">
        <v>0.47104699999999999</v>
      </c>
      <c r="F6208" t="s">
        <v>86</v>
      </c>
      <c r="G6208">
        <v>-385.42090000000002</v>
      </c>
      <c r="H6208" s="1">
        <v>-2.3636780000000002E-6</v>
      </c>
      <c r="I6208">
        <v>18.49644</v>
      </c>
      <c r="J6208">
        <v>-405.56240000000003</v>
      </c>
      <c r="K6208">
        <v>1.114744</v>
      </c>
      <c r="L6208">
        <v>20.385560000000002</v>
      </c>
      <c r="M6208">
        <v>0.94225380000000003</v>
      </c>
      <c r="N6208">
        <v>-1.421995E-2</v>
      </c>
      <c r="O6208">
        <v>-0.33459800000000001</v>
      </c>
      <c r="P6208">
        <v>0.9748637</v>
      </c>
      <c r="Q6208">
        <v>0.15908259999999999</v>
      </c>
      <c r="R6208">
        <v>-0.1559934</v>
      </c>
      <c r="S6208">
        <v>3.059326</v>
      </c>
      <c r="T6208">
        <v>-0.16835049999999999</v>
      </c>
      <c r="U6208">
        <v>-0.29104609999999997</v>
      </c>
      <c r="V6208">
        <v>-0.18077370000000001</v>
      </c>
      <c r="W6208">
        <v>0.17124739999999999</v>
      </c>
      <c r="X6208">
        <v>0.96850150000000002</v>
      </c>
      <c r="Y6208">
        <v>-0.2431693</v>
      </c>
      <c r="Z6208">
        <v>2.1583160000000001E-2</v>
      </c>
      <c r="AA6208">
        <v>0.96974369999999999</v>
      </c>
      <c r="AB6208">
        <v>23</v>
      </c>
      <c r="AC6208">
        <v>20.141500000000001</v>
      </c>
      <c r="AD6208">
        <v>-1.114746363678</v>
      </c>
      <c r="AE6208">
        <v>-1.8891199999999999</v>
      </c>
      <c r="AF6208">
        <v>-4.9447614967944498</v>
      </c>
      <c r="AG6208">
        <v>-1.114746363678</v>
      </c>
      <c r="AH6208">
        <v>19.553109358379</v>
      </c>
      <c r="AI6208">
        <v>93.163588902864504</v>
      </c>
      <c r="AJ6208">
        <v>104.191914697602</v>
      </c>
      <c r="AK6208">
        <v>20.199440865930999</v>
      </c>
      <c r="AL6208">
        <v>80.139646349096395</v>
      </c>
      <c r="AM6208">
        <v>100.572766141255</v>
      </c>
      <c r="AN6208">
        <v>0.99999997906034899</v>
      </c>
    </row>
    <row r="6209" spans="1:40" x14ac:dyDescent="0.25">
      <c r="A6209" t="str">
        <f>"20190304154920538"</f>
        <v>20190304154920538</v>
      </c>
      <c r="B6209" t="str">
        <f>"1551685760533762"</f>
        <v>1551685760533762</v>
      </c>
      <c r="C6209" t="s">
        <v>40</v>
      </c>
      <c r="D6209">
        <v>4.2637879999999999</v>
      </c>
      <c r="E6209">
        <v>0.47025</v>
      </c>
      <c r="F6209" t="s">
        <v>86</v>
      </c>
      <c r="G6209">
        <v>-385.07979999999998</v>
      </c>
      <c r="H6209" s="1">
        <v>-2.5154300000000001E-6</v>
      </c>
      <c r="I6209">
        <v>18.54974</v>
      </c>
      <c r="J6209">
        <v>-405.45490000000001</v>
      </c>
      <c r="K6209">
        <v>1.1146720000000001</v>
      </c>
      <c r="L6209">
        <v>20.35089</v>
      </c>
      <c r="M6209">
        <v>0.94322989999999995</v>
      </c>
      <c r="N6209">
        <v>-1.4201750000000001E-2</v>
      </c>
      <c r="O6209">
        <v>-0.3318372</v>
      </c>
      <c r="P6209">
        <v>0.97529889999999997</v>
      </c>
      <c r="Q6209">
        <v>0.1585317</v>
      </c>
      <c r="R6209">
        <v>-0.15381839999999999</v>
      </c>
      <c r="S6209">
        <v>3.0606689999999999</v>
      </c>
      <c r="T6209">
        <v>-0.166574</v>
      </c>
      <c r="U6209">
        <v>-0.27432250000000002</v>
      </c>
      <c r="V6209">
        <v>-0.1800908</v>
      </c>
      <c r="W6209">
        <v>0.170718799999999</v>
      </c>
      <c r="X6209">
        <v>0.96872199999999997</v>
      </c>
      <c r="Y6209">
        <v>-0.2456354</v>
      </c>
      <c r="Z6209">
        <v>2.1309789999999999E-2</v>
      </c>
      <c r="AA6209">
        <v>0.96912799999999999</v>
      </c>
      <c r="AB6209">
        <v>23</v>
      </c>
      <c r="AC6209">
        <v>20.3751</v>
      </c>
      <c r="AD6209">
        <v>-1.11467451543</v>
      </c>
      <c r="AE6209">
        <v>-1.80114999999999</v>
      </c>
      <c r="AF6209">
        <v>-5.0478368428289597</v>
      </c>
      <c r="AG6209">
        <v>-1.11467451543</v>
      </c>
      <c r="AH6209">
        <v>19.759408188486098</v>
      </c>
      <c r="AI6209">
        <v>93.128502967725098</v>
      </c>
      <c r="AJ6209">
        <v>104.330563932808</v>
      </c>
      <c r="AK6209">
        <v>20.424430665905501</v>
      </c>
      <c r="AL6209">
        <v>80.170385367944306</v>
      </c>
      <c r="AM6209">
        <v>100.531377443274</v>
      </c>
      <c r="AN6209">
        <v>0.999999959101039</v>
      </c>
    </row>
    <row r="6210" spans="1:40" x14ac:dyDescent="0.25">
      <c r="A6210" t="str">
        <f>"20190304154920550"</f>
        <v>20190304154920550</v>
      </c>
      <c r="B6210" t="str">
        <f>"1551685760543521"</f>
        <v>1551685760543521</v>
      </c>
      <c r="C6210" t="s">
        <v>40</v>
      </c>
      <c r="D6210">
        <v>4.2225929999999998</v>
      </c>
      <c r="E6210">
        <v>0.46955390000000002</v>
      </c>
      <c r="F6210" t="s">
        <v>86</v>
      </c>
      <c r="G6210">
        <v>-384.76530000000002</v>
      </c>
      <c r="H6210" s="1">
        <v>-2.6572600000000001E-6</v>
      </c>
      <c r="I6210">
        <v>18.588460000000001</v>
      </c>
      <c r="J6210">
        <v>-405.33339999999998</v>
      </c>
      <c r="K6210">
        <v>1.1145959999999999</v>
      </c>
      <c r="L6210">
        <v>20.311920000000001</v>
      </c>
      <c r="M6210">
        <v>0.94430970000000003</v>
      </c>
      <c r="N6210">
        <v>-1.4181920000000001E-2</v>
      </c>
      <c r="O6210">
        <v>-0.3287525</v>
      </c>
      <c r="P6210">
        <v>0.97579510000000003</v>
      </c>
      <c r="Q6210">
        <v>0.1578609</v>
      </c>
      <c r="R6210">
        <v>-0.151341</v>
      </c>
      <c r="S6210">
        <v>3.0616460000000001</v>
      </c>
      <c r="T6210">
        <v>-0.16494890000000001</v>
      </c>
      <c r="U6210">
        <v>-0.26080320000000001</v>
      </c>
      <c r="V6210">
        <v>-0.1793804</v>
      </c>
      <c r="W6210">
        <v>0.17007229999999901</v>
      </c>
      <c r="X6210">
        <v>0.96896760000000004</v>
      </c>
      <c r="Y6210">
        <v>-0.246756</v>
      </c>
      <c r="Z6210">
        <v>2.1003419999999998E-2</v>
      </c>
      <c r="AA6210">
        <v>0.96884999999999999</v>
      </c>
      <c r="AB6210">
        <v>23</v>
      </c>
      <c r="AC6210">
        <v>20.568099999999902</v>
      </c>
      <c r="AD6210">
        <v>-1.11459865726</v>
      </c>
      <c r="AE6210">
        <v>-1.72345999999999</v>
      </c>
      <c r="AF6210">
        <v>-5.11991987674201</v>
      </c>
      <c r="AG6210">
        <v>-1.11459865726</v>
      </c>
      <c r="AH6210">
        <v>19.933129168963699</v>
      </c>
      <c r="AI6210">
        <v>93.100046433067206</v>
      </c>
      <c r="AJ6210">
        <v>104.405291144893</v>
      </c>
      <c r="AK6210">
        <v>20.610326251120199</v>
      </c>
      <c r="AL6210">
        <v>80.207977861351907</v>
      </c>
      <c r="AM6210">
        <v>100.488158565408</v>
      </c>
      <c r="AN6210">
        <v>1.0000000624906</v>
      </c>
    </row>
    <row r="6211" spans="1:40" x14ac:dyDescent="0.25">
      <c r="A6211" t="str">
        <f>"20190304154920563"</f>
        <v>20190304154920563</v>
      </c>
      <c r="B6211" t="str">
        <f>"1551685760553281"</f>
        <v>1551685760553281</v>
      </c>
      <c r="C6211" t="s">
        <v>40</v>
      </c>
      <c r="D6211">
        <v>4.2469299999999999</v>
      </c>
      <c r="E6211">
        <v>0.46906989999999998</v>
      </c>
      <c r="F6211" t="s">
        <v>86</v>
      </c>
      <c r="G6211">
        <v>-384.55130000000003</v>
      </c>
      <c r="H6211" s="1">
        <v>-2.7505319999999998E-6</v>
      </c>
      <c r="I6211">
        <v>18.63288</v>
      </c>
      <c r="J6211">
        <v>-405.21800000000002</v>
      </c>
      <c r="K6211">
        <v>1.11453</v>
      </c>
      <c r="L6211">
        <v>20.275449999999999</v>
      </c>
      <c r="M6211">
        <v>0.94529759999999996</v>
      </c>
      <c r="N6211">
        <v>-1.416388E-2</v>
      </c>
      <c r="O6211">
        <v>-0.32590150000000001</v>
      </c>
      <c r="P6211">
        <v>0.97624049999999996</v>
      </c>
      <c r="Q6211">
        <v>0.15738170000000001</v>
      </c>
      <c r="R6211">
        <v>-0.14894830000000001</v>
      </c>
      <c r="S6211">
        <v>3.0626220000000002</v>
      </c>
      <c r="T6211">
        <v>-0.1642565</v>
      </c>
      <c r="U6211">
        <v>-0.2474365</v>
      </c>
      <c r="V6211">
        <v>-0.17882310000000001</v>
      </c>
      <c r="W6211">
        <v>0.16961270000000001</v>
      </c>
      <c r="X6211">
        <v>0.96915110000000004</v>
      </c>
      <c r="Y6211">
        <v>-0.24806320000000001</v>
      </c>
      <c r="Z6211">
        <v>2.0847930000000001E-2</v>
      </c>
      <c r="AA6211">
        <v>0.96851949999999998</v>
      </c>
      <c r="AB6211">
        <v>23</v>
      </c>
      <c r="AC6211">
        <v>20.666699999999899</v>
      </c>
      <c r="AD6211">
        <v>-1.114532750532</v>
      </c>
      <c r="AE6211">
        <v>-1.6425699999999901</v>
      </c>
      <c r="AF6211">
        <v>-5.1681747024957501</v>
      </c>
      <c r="AG6211">
        <v>-1.114532750532</v>
      </c>
      <c r="AH6211">
        <v>20.015665301945202</v>
      </c>
      <c r="AI6211">
        <v>93.086100057208498</v>
      </c>
      <c r="AJ6211">
        <v>104.477920484501</v>
      </c>
      <c r="AK6211">
        <v>20.702151349244399</v>
      </c>
      <c r="AL6211">
        <v>80.234698729821105</v>
      </c>
      <c r="AM6211">
        <v>100.454357513384</v>
      </c>
      <c r="AN6211">
        <v>1.0000000118630501</v>
      </c>
    </row>
    <row r="6212" spans="1:40" x14ac:dyDescent="0.25">
      <c r="A6212" t="str">
        <f>"20190304154920575"</f>
        <v>20190304154920575</v>
      </c>
      <c r="B6212" t="str">
        <f>"1551685760573777"</f>
        <v>1551685760573777</v>
      </c>
      <c r="C6212" t="s">
        <v>40</v>
      </c>
      <c r="D6212">
        <v>4.2275299999999998</v>
      </c>
      <c r="E6212">
        <v>0.46876230000000002</v>
      </c>
      <c r="F6212" t="s">
        <v>86</v>
      </c>
      <c r="G6212">
        <v>-384.23009999999999</v>
      </c>
      <c r="H6212" s="1">
        <v>-2.8978040000000001E-6</v>
      </c>
      <c r="I6212">
        <v>18.658539999999999</v>
      </c>
      <c r="J6212">
        <v>-405.09449999999998</v>
      </c>
      <c r="K6212">
        <v>1.1144609999999999</v>
      </c>
      <c r="L6212">
        <v>20.236660000000001</v>
      </c>
      <c r="M6212">
        <v>0.94633429999999996</v>
      </c>
      <c r="N6212">
        <v>-1.4145349999999999E-2</v>
      </c>
      <c r="O6212">
        <v>-0.32288</v>
      </c>
      <c r="P6212">
        <v>0.97671589999999997</v>
      </c>
      <c r="Q6212">
        <v>0.15674569999999999</v>
      </c>
      <c r="R6212">
        <v>-0.1464819</v>
      </c>
      <c r="S6212">
        <v>3.0632320000000002</v>
      </c>
      <c r="T6212">
        <v>-0.16266889999999901</v>
      </c>
      <c r="U6212">
        <v>-0.23599239999999999</v>
      </c>
      <c r="V6212">
        <v>-0.1781721</v>
      </c>
      <c r="W6212">
        <v>0.16899710000000001</v>
      </c>
      <c r="X6212">
        <v>0.96937850000000003</v>
      </c>
      <c r="Y6212">
        <v>-0.24859490000000001</v>
      </c>
      <c r="Z6212">
        <v>2.053381E-2</v>
      </c>
      <c r="AA6212">
        <v>0.96838990000000003</v>
      </c>
      <c r="AB6212">
        <v>23</v>
      </c>
      <c r="AC6212">
        <v>20.8643999999999</v>
      </c>
      <c r="AD6212">
        <v>-1.114463897804</v>
      </c>
      <c r="AE6212">
        <v>-1.57812</v>
      </c>
      <c r="AF6212">
        <v>-5.2289585376211196</v>
      </c>
      <c r="AG6212">
        <v>-1.114463897804</v>
      </c>
      <c r="AH6212">
        <v>20.1989631866624</v>
      </c>
      <c r="AI6212">
        <v>93.057467040945099</v>
      </c>
      <c r="AJ6212">
        <v>104.51369560453401</v>
      </c>
      <c r="AK6212">
        <v>20.8945483555834</v>
      </c>
      <c r="AL6212">
        <v>80.270486506817207</v>
      </c>
      <c r="AM6212">
        <v>100.414743196755</v>
      </c>
      <c r="AN6212">
        <v>0.99999999664453498</v>
      </c>
    </row>
    <row r="6213" spans="1:40" x14ac:dyDescent="0.25">
      <c r="A6213" t="str">
        <f>"20190304154920592"</f>
        <v>20190304154920592</v>
      </c>
      <c r="B6213" t="str">
        <f>"1551685760583540"</f>
        <v>1551685760583540</v>
      </c>
      <c r="C6213" t="s">
        <v>40</v>
      </c>
      <c r="D6213">
        <v>4.2209669999999999</v>
      </c>
      <c r="E6213">
        <v>0.46873029999999999</v>
      </c>
      <c r="F6213" t="s">
        <v>86</v>
      </c>
      <c r="G6213">
        <v>-383.8603</v>
      </c>
      <c r="H6213" s="1">
        <v>-3.0700529999999998E-6</v>
      </c>
      <c r="I6213">
        <v>18.673030000000001</v>
      </c>
      <c r="J6213">
        <v>-404.93099999999998</v>
      </c>
      <c r="K6213">
        <v>1.114377</v>
      </c>
      <c r="L6213">
        <v>20.185849999999999</v>
      </c>
      <c r="M6213">
        <v>0.94766600000000001</v>
      </c>
      <c r="N6213">
        <v>-1.412221E-2</v>
      </c>
      <c r="O6213">
        <v>-0.31895079999999998</v>
      </c>
      <c r="P6213">
        <v>0.97719909999999999</v>
      </c>
      <c r="Q6213">
        <v>0.1559828</v>
      </c>
      <c r="R6213">
        <v>-0.1440535</v>
      </c>
      <c r="S6213">
        <v>3.0634769999999998</v>
      </c>
      <c r="T6213">
        <v>-0.1607846</v>
      </c>
      <c r="U6213">
        <v>-0.22558590000000001</v>
      </c>
      <c r="V6213">
        <v>-0.17655379999999901</v>
      </c>
      <c r="W6213">
        <v>0.16826759999999999</v>
      </c>
      <c r="X6213">
        <v>0.96980140000000004</v>
      </c>
      <c r="Y6213">
        <v>-0.24787300000000001</v>
      </c>
      <c r="Z6213">
        <v>2.0109019999999998E-2</v>
      </c>
      <c r="AA6213">
        <v>0.96858379999999999</v>
      </c>
      <c r="AB6213">
        <v>23</v>
      </c>
      <c r="AC6213">
        <v>21.070699999999899</v>
      </c>
      <c r="AD6213">
        <v>-1.114380070053</v>
      </c>
      <c r="AE6213">
        <v>-1.5128200000000001</v>
      </c>
      <c r="AF6213">
        <v>-5.2727233679873304</v>
      </c>
      <c r="AG6213">
        <v>-1.114380070053</v>
      </c>
      <c r="AH6213">
        <v>20.395785205926199</v>
      </c>
      <c r="AI6213">
        <v>93.028048142988794</v>
      </c>
      <c r="AJ6213">
        <v>104.494772319997</v>
      </c>
      <c r="AK6213">
        <v>21.095769927218299</v>
      </c>
      <c r="AL6213">
        <v>80.312891013023304</v>
      </c>
      <c r="AM6213">
        <v>100.317786328048</v>
      </c>
      <c r="AN6213">
        <v>0.99999999247307902</v>
      </c>
    </row>
    <row r="6214" spans="1:40" x14ac:dyDescent="0.25">
      <c r="A6214" t="str">
        <f>"20190304154920603"</f>
        <v>20190304154920603</v>
      </c>
      <c r="B6214" t="str">
        <f>"1551685760593297"</f>
        <v>1551685760593297</v>
      </c>
      <c r="C6214" t="s">
        <v>40</v>
      </c>
      <c r="D6214">
        <v>4.2470129999999999</v>
      </c>
      <c r="E6214">
        <v>0.4688735</v>
      </c>
      <c r="F6214" t="s">
        <v>86</v>
      </c>
      <c r="G6214">
        <v>-383.85719999999998</v>
      </c>
      <c r="H6214" s="1">
        <v>-3.0680390000000001E-6</v>
      </c>
      <c r="I6214">
        <v>18.69257</v>
      </c>
      <c r="J6214">
        <v>-404.82170000000002</v>
      </c>
      <c r="K6214">
        <v>1.114333</v>
      </c>
      <c r="L6214">
        <v>20.152370000000001</v>
      </c>
      <c r="M6214">
        <v>0.94852939999999997</v>
      </c>
      <c r="N6214">
        <v>-1.41081E-2</v>
      </c>
      <c r="O6214">
        <v>-0.31637510000000002</v>
      </c>
      <c r="P6214">
        <v>0.97747459999999997</v>
      </c>
      <c r="Q6214">
        <v>0.1558987</v>
      </c>
      <c r="R6214">
        <v>-0.1422648</v>
      </c>
      <c r="S6214">
        <v>3.0638429999999999</v>
      </c>
      <c r="T6214">
        <v>-0.1620154</v>
      </c>
      <c r="U6214">
        <v>-0.21710209999999999</v>
      </c>
      <c r="V6214">
        <v>-0.1756762</v>
      </c>
      <c r="W6214">
        <v>0.1681986</v>
      </c>
      <c r="X6214">
        <v>0.96997270000000002</v>
      </c>
      <c r="Y6214">
        <v>-0.24790870000000001</v>
      </c>
      <c r="Z6214">
        <v>2.0198009999999999E-2</v>
      </c>
      <c r="AA6214">
        <v>0.96857280000000001</v>
      </c>
      <c r="AB6214">
        <v>23</v>
      </c>
      <c r="AC6214">
        <v>20.964500000000001</v>
      </c>
      <c r="AD6214">
        <v>-1.114336068039</v>
      </c>
      <c r="AE6214">
        <v>-1.4598</v>
      </c>
      <c r="AF6214">
        <v>-5.23378859215416</v>
      </c>
      <c r="AG6214">
        <v>-1.114336068039</v>
      </c>
      <c r="AH6214">
        <v>20.2922566137964</v>
      </c>
      <c r="AI6214">
        <v>93.043789018899105</v>
      </c>
      <c r="AJ6214">
        <v>104.462556525289</v>
      </c>
      <c r="AK6214">
        <v>20.985946878329301</v>
      </c>
      <c r="AL6214">
        <v>80.316901339553297</v>
      </c>
      <c r="AM6214">
        <v>100.265818360965</v>
      </c>
      <c r="AN6214">
        <v>0.99999996751684395</v>
      </c>
    </row>
    <row r="6215" spans="1:40" x14ac:dyDescent="0.25">
      <c r="A6215" t="str">
        <f>"20190304154920615"</f>
        <v>20190304154920615</v>
      </c>
      <c r="B6215" t="str">
        <f>"1551685760613793"</f>
        <v>1551685760613793</v>
      </c>
      <c r="C6215" t="s">
        <v>40</v>
      </c>
      <c r="D6215">
        <v>4.2676990000000004</v>
      </c>
      <c r="E6215">
        <v>0.46933829999999999</v>
      </c>
      <c r="F6215" t="s">
        <v>86</v>
      </c>
      <c r="G6215">
        <v>-383.7371</v>
      </c>
      <c r="H6215" s="1">
        <v>-3.12495E-6</v>
      </c>
      <c r="I6215">
        <v>18.69183</v>
      </c>
      <c r="J6215">
        <v>-404.7079</v>
      </c>
      <c r="K6215">
        <v>1.1142920000000001</v>
      </c>
      <c r="L6215">
        <v>20.11768</v>
      </c>
      <c r="M6215">
        <v>0.94941589999999998</v>
      </c>
      <c r="N6215">
        <v>-1.409409E-2</v>
      </c>
      <c r="O6215">
        <v>-0.31370479999999901</v>
      </c>
      <c r="P6215">
        <v>0.97776779999999996</v>
      </c>
      <c r="Q6215">
        <v>0.15591629999999901</v>
      </c>
      <c r="R6215">
        <v>-0.1402147</v>
      </c>
      <c r="S6215">
        <v>3.0640559999999999</v>
      </c>
      <c r="T6215">
        <v>-0.16193759999999999</v>
      </c>
      <c r="U6215">
        <v>-0.21224979999999999</v>
      </c>
      <c r="V6215">
        <v>-0.1749607</v>
      </c>
      <c r="W6215">
        <v>0.16822809999999999</v>
      </c>
      <c r="X6215">
        <v>0.97009690000000004</v>
      </c>
      <c r="Y6215">
        <v>-0.2467182</v>
      </c>
      <c r="Z6215">
        <v>2.00555E-2</v>
      </c>
      <c r="AA6215">
        <v>0.96887970000000001</v>
      </c>
      <c r="AB6215">
        <v>23</v>
      </c>
      <c r="AC6215">
        <v>20.970800000000001</v>
      </c>
      <c r="AD6215">
        <v>-1.1142951249499999</v>
      </c>
      <c r="AE6215">
        <v>-1.4258500000000001</v>
      </c>
      <c r="AF6215">
        <v>-5.2107908741402698</v>
      </c>
      <c r="AG6215">
        <v>-1.1142951249499999</v>
      </c>
      <c r="AH6215">
        <v>20.302272818545202</v>
      </c>
      <c r="AI6215">
        <v>93.0431020138614</v>
      </c>
      <c r="AJ6215">
        <v>104.39484553490399</v>
      </c>
      <c r="AK6215">
        <v>20.989908926866502</v>
      </c>
      <c r="AL6215">
        <v>80.315186683759705</v>
      </c>
      <c r="AM6215">
        <v>100.223609737796</v>
      </c>
      <c r="AN6215">
        <v>0.99999996778185396</v>
      </c>
    </row>
    <row r="6216" spans="1:40" x14ac:dyDescent="0.25">
      <c r="A6216" t="str">
        <f>"20190304154920627"</f>
        <v>20190304154920627</v>
      </c>
      <c r="B6216" t="str">
        <f>"1551685760623553"</f>
        <v>1551685760623553</v>
      </c>
      <c r="C6216" t="s">
        <v>40</v>
      </c>
      <c r="D6216">
        <v>4.2563829999999996</v>
      </c>
      <c r="E6216">
        <v>0.46967799999999998</v>
      </c>
      <c r="F6216" t="s">
        <v>86</v>
      </c>
      <c r="G6216">
        <v>-383.25299999999999</v>
      </c>
      <c r="H6216" s="1">
        <v>-3.3603490000000001E-6</v>
      </c>
      <c r="I6216">
        <v>18.654779999999999</v>
      </c>
      <c r="J6216">
        <v>-404.58850000000001</v>
      </c>
      <c r="K6216">
        <v>1.1142559999999999</v>
      </c>
      <c r="L6216">
        <v>20.081669999999999</v>
      </c>
      <c r="M6216">
        <v>0.95032799999999995</v>
      </c>
      <c r="N6216">
        <v>-1.408045E-2</v>
      </c>
      <c r="O6216">
        <v>-0.31093169999999998</v>
      </c>
      <c r="P6216">
        <v>0.97805929999999996</v>
      </c>
      <c r="Q6216">
        <v>0.15600899999999901</v>
      </c>
      <c r="R6216">
        <v>-0.13806360000000001</v>
      </c>
      <c r="S6216">
        <v>3.0636290000000002</v>
      </c>
      <c r="T6216">
        <v>-0.1591147</v>
      </c>
      <c r="U6216">
        <v>-0.20889279999999999</v>
      </c>
      <c r="V6216">
        <v>-0.17424239999999999</v>
      </c>
      <c r="W6216">
        <v>0.16833010000000001</v>
      </c>
      <c r="X6216">
        <v>0.97020850000000003</v>
      </c>
      <c r="Y6216">
        <v>-0.2449645</v>
      </c>
      <c r="Z6216">
        <v>1.9511400000000002E-2</v>
      </c>
      <c r="AA6216">
        <v>0.96933570000000002</v>
      </c>
      <c r="AB6216">
        <v>23</v>
      </c>
      <c r="AC6216">
        <v>21.3354999999999</v>
      </c>
      <c r="AD6216">
        <v>-1.1142593603490001</v>
      </c>
      <c r="AE6216">
        <v>-1.42689</v>
      </c>
      <c r="AF6216">
        <v>-5.26409883387017</v>
      </c>
      <c r="AG6216">
        <v>-1.1142593603490001</v>
      </c>
      <c r="AH6216">
        <v>20.665327687781001</v>
      </c>
      <c r="AI6216">
        <v>92.991024206164099</v>
      </c>
      <c r="AJ6216">
        <v>104.291077401308</v>
      </c>
      <c r="AK6216">
        <v>21.354345667761599</v>
      </c>
      <c r="AL6216">
        <v>80.309258135379395</v>
      </c>
      <c r="AM6216">
        <v>100.181369977616</v>
      </c>
      <c r="AN6216">
        <v>0.99999998499801002</v>
      </c>
    </row>
    <row r="6217" spans="1:40" x14ac:dyDescent="0.25">
      <c r="A6217" t="str">
        <f>"20190304154920641"</f>
        <v>20190304154920641</v>
      </c>
      <c r="B6217" t="str">
        <f>"1551685760633313"</f>
        <v>1551685760633313</v>
      </c>
      <c r="C6217" t="s">
        <v>40</v>
      </c>
      <c r="D6217">
        <v>4.2385330000000003</v>
      </c>
      <c r="E6217">
        <v>0.47005160000000001</v>
      </c>
      <c r="F6217" t="s">
        <v>86</v>
      </c>
      <c r="G6217">
        <v>-382.93619999999999</v>
      </c>
      <c r="H6217" s="1">
        <v>-3.5131330000000001E-6</v>
      </c>
      <c r="I6217">
        <v>18.637650000000001</v>
      </c>
      <c r="J6217">
        <v>-404.46789999999999</v>
      </c>
      <c r="K6217">
        <v>1.1142299999999901</v>
      </c>
      <c r="L6217">
        <v>20.045680000000001</v>
      </c>
      <c r="M6217">
        <v>0.95123369999999996</v>
      </c>
      <c r="N6217">
        <v>-1.40679E-2</v>
      </c>
      <c r="O6217">
        <v>-0.3081506</v>
      </c>
      <c r="P6217">
        <v>0.97840990000000005</v>
      </c>
      <c r="Q6217">
        <v>0.15567800000000001</v>
      </c>
      <c r="R6217">
        <v>-0.1359368</v>
      </c>
      <c r="S6217">
        <v>3.063599</v>
      </c>
      <c r="T6217">
        <v>-0.15765770000000001</v>
      </c>
      <c r="U6217">
        <v>-0.2043152</v>
      </c>
      <c r="V6217">
        <v>-0.17351510000000001</v>
      </c>
      <c r="W6217">
        <v>0.1680063</v>
      </c>
      <c r="X6217">
        <v>0.97039500000000001</v>
      </c>
      <c r="Y6217">
        <v>-0.24358560000000001</v>
      </c>
      <c r="Z6217">
        <v>1.9171830000000001E-2</v>
      </c>
      <c r="AA6217">
        <v>0.96968989999999999</v>
      </c>
      <c r="AB6217">
        <v>23</v>
      </c>
      <c r="AC6217">
        <v>21.531700000000001</v>
      </c>
      <c r="AD6217">
        <v>-1.1142335131329999</v>
      </c>
      <c r="AE6217">
        <v>-1.4080299999999899</v>
      </c>
      <c r="AF6217">
        <v>-5.2820794247306999</v>
      </c>
      <c r="AG6217">
        <v>-1.1142335131329999</v>
      </c>
      <c r="AH6217">
        <v>20.862002636805101</v>
      </c>
      <c r="AI6217">
        <v>92.963894932266101</v>
      </c>
      <c r="AJ6217">
        <v>104.208210872287</v>
      </c>
      <c r="AK6217">
        <v>21.549130687547802</v>
      </c>
      <c r="AL6217">
        <v>80.328078996550602</v>
      </c>
      <c r="AM6217">
        <v>100.13784746492</v>
      </c>
      <c r="AN6217">
        <v>1.00000003139634</v>
      </c>
    </row>
    <row r="6218" spans="1:40" x14ac:dyDescent="0.25">
      <c r="A6218" t="str">
        <f>"20190304154920654"</f>
        <v>20190304154920654</v>
      </c>
      <c r="B6218" t="str">
        <f>"1551685760643073"</f>
        <v>1551685760643073</v>
      </c>
      <c r="C6218" t="s">
        <v>40</v>
      </c>
      <c r="D6218">
        <v>4.2561429999999998</v>
      </c>
      <c r="E6218">
        <v>0.47033130000000001</v>
      </c>
      <c r="F6218" t="s">
        <v>86</v>
      </c>
      <c r="G6218">
        <v>-382.71409999999997</v>
      </c>
      <c r="H6218" s="1">
        <v>-3.6200009999999999E-6</v>
      </c>
      <c r="I6218">
        <v>18.627120000000001</v>
      </c>
      <c r="J6218">
        <v>-404.33319999999998</v>
      </c>
      <c r="K6218">
        <v>1.114209</v>
      </c>
      <c r="L6218">
        <v>20.005800000000001</v>
      </c>
      <c r="M6218">
        <v>0.95222969999999896</v>
      </c>
      <c r="N6218">
        <v>-1.4054840000000001E-2</v>
      </c>
      <c r="O6218">
        <v>-0.30505919999999997</v>
      </c>
      <c r="P6218">
        <v>0.97881439999999997</v>
      </c>
      <c r="Q6218">
        <v>0.15515509999999999</v>
      </c>
      <c r="R6218">
        <v>-0.133601</v>
      </c>
      <c r="S6218">
        <v>3.0634459999999999</v>
      </c>
      <c r="T6218">
        <v>-0.15691050000000001</v>
      </c>
      <c r="U6218">
        <v>-0.1997681</v>
      </c>
      <c r="V6218">
        <v>-0.17268919999999999</v>
      </c>
      <c r="W6218">
        <v>0.1674892</v>
      </c>
      <c r="X6218">
        <v>0.97063169999999999</v>
      </c>
      <c r="Y6218">
        <v>-0.24187549999999999</v>
      </c>
      <c r="Z6218">
        <v>1.8912109999999999E-2</v>
      </c>
      <c r="AA6218">
        <v>0.97012290000000001</v>
      </c>
      <c r="AB6218">
        <v>23</v>
      </c>
      <c r="AC6218">
        <v>21.6191</v>
      </c>
      <c r="AD6218">
        <v>-1.1142126200010001</v>
      </c>
      <c r="AE6218">
        <v>-1.3786799999999899</v>
      </c>
      <c r="AF6218">
        <v>-5.2688684773060697</v>
      </c>
      <c r="AG6218">
        <v>-1.1142126200010001</v>
      </c>
      <c r="AH6218">
        <v>20.953571219917698</v>
      </c>
      <c r="AI6218">
        <v>92.952124199834998</v>
      </c>
      <c r="AJ6218">
        <v>104.114647801245</v>
      </c>
      <c r="AK6218">
        <v>21.634569366222301</v>
      </c>
      <c r="AL6218">
        <v>80.358132630556</v>
      </c>
      <c r="AM6218">
        <v>100.088176909339</v>
      </c>
      <c r="AN6218">
        <v>1.00000004447908</v>
      </c>
    </row>
    <row r="6219" spans="1:40" x14ac:dyDescent="0.25">
      <c r="A6219" t="str">
        <f>"20190304154920672"</f>
        <v>20190304154920672</v>
      </c>
      <c r="B6219" t="str">
        <f>"1551685760663569"</f>
        <v>1551685760663569</v>
      </c>
      <c r="C6219" t="s">
        <v>40</v>
      </c>
      <c r="D6219">
        <v>4.2198640000000003</v>
      </c>
      <c r="E6219">
        <v>0.47069159999999999</v>
      </c>
      <c r="F6219" t="s">
        <v>86</v>
      </c>
      <c r="G6219">
        <v>-382.55840000000001</v>
      </c>
      <c r="H6219" s="1">
        <v>-3.6932110000000002E-6</v>
      </c>
      <c r="I6219">
        <v>18.62921</v>
      </c>
      <c r="J6219">
        <v>-404.15800000000002</v>
      </c>
      <c r="K6219">
        <v>1.1141890000000001</v>
      </c>
      <c r="L6219">
        <v>19.95468</v>
      </c>
      <c r="M6219">
        <v>0.95350279999999998</v>
      </c>
      <c r="N6219">
        <v>-1.403972E-2</v>
      </c>
      <c r="O6219">
        <v>-0.30105730000000003</v>
      </c>
      <c r="P6219">
        <v>0.97936869999999998</v>
      </c>
      <c r="Q6219">
        <v>0.15408150000000001</v>
      </c>
      <c r="R6219">
        <v>-0.13075290000000001</v>
      </c>
      <c r="S6219">
        <v>3.0633539999999999</v>
      </c>
      <c r="T6219">
        <v>-0.15675149999999999</v>
      </c>
      <c r="U6219">
        <v>-0.19366459999999999</v>
      </c>
      <c r="V6219">
        <v>-0.17146989999999901</v>
      </c>
      <c r="W6219">
        <v>0.1664225</v>
      </c>
      <c r="X6219">
        <v>0.97103119999999998</v>
      </c>
      <c r="Y6219">
        <v>-0.2397302</v>
      </c>
      <c r="Z6219">
        <v>1.8689000000000001E-2</v>
      </c>
      <c r="AA6219">
        <v>0.97065970000000001</v>
      </c>
      <c r="AB6219">
        <v>23</v>
      </c>
      <c r="AC6219">
        <v>21.599599999999999</v>
      </c>
      <c r="AD6219">
        <v>-1.11419269321099</v>
      </c>
      <c r="AE6219">
        <v>-1.3254699999999899</v>
      </c>
      <c r="AF6219">
        <v>-5.2255412785977198</v>
      </c>
      <c r="AG6219">
        <v>-1.11419269321099</v>
      </c>
      <c r="AH6219">
        <v>20.940876211216299</v>
      </c>
      <c r="AI6219">
        <v>92.955190308250806</v>
      </c>
      <c r="AJ6219">
        <v>104.01131925056301</v>
      </c>
      <c r="AK6219">
        <v>21.6117561411704</v>
      </c>
      <c r="AL6219">
        <v>80.420119479461704</v>
      </c>
      <c r="AM6219">
        <v>100.01435735372699</v>
      </c>
      <c r="AN6219">
        <v>0.999999983242849</v>
      </c>
    </row>
    <row r="6220" spans="1:40" x14ac:dyDescent="0.25">
      <c r="A6220" t="str">
        <f>"20190304154920686"</f>
        <v>20190304154920686</v>
      </c>
      <c r="B6220" t="str">
        <f>"1551685760683089"</f>
        <v>1551685760683089</v>
      </c>
      <c r="C6220" t="s">
        <v>40</v>
      </c>
      <c r="D6220">
        <v>4.1542659999999998</v>
      </c>
      <c r="E6220">
        <v>0.48700959999999899</v>
      </c>
      <c r="F6220" t="s">
        <v>86</v>
      </c>
      <c r="G6220">
        <v>-382.41039999999998</v>
      </c>
      <c r="H6220" s="1">
        <v>-3.7618480000000002E-6</v>
      </c>
      <c r="I6220">
        <v>18.636890000000001</v>
      </c>
      <c r="J6220">
        <v>-404.01639999999998</v>
      </c>
      <c r="K6220">
        <v>1.1141859999999999</v>
      </c>
      <c r="L6220">
        <v>19.91403</v>
      </c>
      <c r="M6220">
        <v>0.95451549999999996</v>
      </c>
      <c r="N6220">
        <v>-1.4029120000000001E-2</v>
      </c>
      <c r="O6220">
        <v>-0.29783130000000002</v>
      </c>
      <c r="P6220">
        <v>0.97976269999999999</v>
      </c>
      <c r="Q6220">
        <v>0.15357579999999901</v>
      </c>
      <c r="R6220">
        <v>-0.12837390000000001</v>
      </c>
      <c r="S6220">
        <v>3.06311</v>
      </c>
      <c r="T6220">
        <v>-0.15693190000000001</v>
      </c>
      <c r="U6220">
        <v>-0.18560789999999999</v>
      </c>
      <c r="V6220">
        <v>-0.170561299999999</v>
      </c>
      <c r="W6220">
        <v>0.1659175</v>
      </c>
      <c r="X6220">
        <v>0.97127770000000002</v>
      </c>
      <c r="Y6220">
        <v>-0.23898739999999999</v>
      </c>
      <c r="Z6220">
        <v>1.858485E-2</v>
      </c>
      <c r="AA6220">
        <v>0.97084479999999995</v>
      </c>
      <c r="AB6220">
        <v>23</v>
      </c>
      <c r="AC6220">
        <v>21.605999999999899</v>
      </c>
      <c r="AD6220">
        <v>-1.1141897618479999</v>
      </c>
      <c r="AE6220">
        <v>-1.2771399999999899</v>
      </c>
      <c r="AF6220">
        <v>-5.2026189179013196</v>
      </c>
      <c r="AG6220">
        <v>-1.1141897618479999</v>
      </c>
      <c r="AH6220">
        <v>20.9501808118284</v>
      </c>
      <c r="AI6220">
        <v>92.954705361670904</v>
      </c>
      <c r="AJ6220">
        <v>103.94630854927701</v>
      </c>
      <c r="AK6220">
        <v>21.615243197304402</v>
      </c>
      <c r="AL6220">
        <v>80.449462649041905</v>
      </c>
      <c r="AM6220">
        <v>99.959880505073201</v>
      </c>
      <c r="AN6220">
        <v>1.0000000721906099</v>
      </c>
    </row>
    <row r="6221" spans="1:40" x14ac:dyDescent="0.25">
      <c r="A6221" t="str">
        <f>"20190304154920760"</f>
        <v>20190304154920760</v>
      </c>
      <c r="B6221" t="str">
        <f>"1551685760753361"</f>
        <v>1551685760753361</v>
      </c>
      <c r="C6221" t="s">
        <v>40</v>
      </c>
      <c r="D6221">
        <v>3.9462280000000001</v>
      </c>
      <c r="E6221">
        <v>0.4879558</v>
      </c>
      <c r="F6221" t="s">
        <v>44</v>
      </c>
      <c r="G6221">
        <v>-349.27719999999999</v>
      </c>
      <c r="H6221" s="1">
        <v>-1.6066260000000001E-6</v>
      </c>
      <c r="I6221">
        <v>14.45007</v>
      </c>
      <c r="J6221">
        <v>-403.29759999999999</v>
      </c>
      <c r="K6221">
        <v>1.114214</v>
      </c>
      <c r="L6221">
        <v>19.71536</v>
      </c>
      <c r="M6221">
        <v>0.95949989999999996</v>
      </c>
      <c r="N6221">
        <v>-1.3988489999999999E-2</v>
      </c>
      <c r="O6221">
        <v>-0.281362</v>
      </c>
      <c r="P6221">
        <v>0.98127500000000001</v>
      </c>
      <c r="Q6221">
        <v>0.1535311</v>
      </c>
      <c r="R6221">
        <v>-0.1163092</v>
      </c>
      <c r="S6221">
        <v>3.0319820000000002</v>
      </c>
      <c r="T6221">
        <v>-6.1714409999999997E-2</v>
      </c>
      <c r="U6221">
        <v>-0.30264279999999999</v>
      </c>
      <c r="V6221">
        <v>-0.16579479999999999</v>
      </c>
      <c r="W6221">
        <v>0.1658723</v>
      </c>
      <c r="X6221">
        <v>0.97211029999999998</v>
      </c>
      <c r="Y6221">
        <v>-0.18462020000000001</v>
      </c>
      <c r="Z6221">
        <v>4.8217570000000003E-3</v>
      </c>
      <c r="AA6221">
        <v>0.98279810000000001</v>
      </c>
      <c r="AB6221">
        <v>23</v>
      </c>
      <c r="AC6221">
        <v>54.020400000000002</v>
      </c>
      <c r="AD6221">
        <v>-1.1142156066260001</v>
      </c>
      <c r="AE6221">
        <v>-5.2652899999999896</v>
      </c>
      <c r="AF6221">
        <v>-10.1439590383607</v>
      </c>
      <c r="AG6221">
        <v>-1.1142156066260001</v>
      </c>
      <c r="AH6221">
        <v>53.296769187339201</v>
      </c>
      <c r="AI6221">
        <v>91.176529502971505</v>
      </c>
      <c r="AJ6221">
        <v>100.776199203809</v>
      </c>
      <c r="AK6221">
        <v>54.2649701667522</v>
      </c>
      <c r="AL6221">
        <v>80.452087972053903</v>
      </c>
      <c r="AM6221">
        <v>99.678749587937105</v>
      </c>
      <c r="AN6221">
        <v>0.99999998549020996</v>
      </c>
    </row>
    <row r="6222" spans="1:40" x14ac:dyDescent="0.25">
      <c r="A6222" t="str">
        <f>"20190304154920771"</f>
        <v>20190304154920771</v>
      </c>
      <c r="B6222" t="str">
        <f>"1551685760763121"</f>
        <v>1551685760763121</v>
      </c>
      <c r="C6222" t="s">
        <v>40</v>
      </c>
      <c r="D6222">
        <v>4.2574069999999997</v>
      </c>
      <c r="E6222">
        <v>0.4879558</v>
      </c>
      <c r="F6222" t="s">
        <v>44</v>
      </c>
      <c r="G6222">
        <v>-397.5301</v>
      </c>
      <c r="H6222" s="1">
        <v>-1.2259059999999999E-6</v>
      </c>
      <c r="I6222">
        <v>19.177230000000002</v>
      </c>
      <c r="J6222">
        <v>-403.18329999999997</v>
      </c>
      <c r="K6222">
        <v>1.1142190000000001</v>
      </c>
      <c r="L6222">
        <v>19.684909999999999</v>
      </c>
      <c r="M6222">
        <v>0.96026909999999999</v>
      </c>
      <c r="N6222">
        <v>-1.398363E-2</v>
      </c>
      <c r="O6222">
        <v>-0.27872550000000001</v>
      </c>
      <c r="P6222">
        <v>0.98152119999999998</v>
      </c>
      <c r="Q6222">
        <v>0.15362709999999999</v>
      </c>
      <c r="R6222">
        <v>-0.1140825</v>
      </c>
      <c r="S6222">
        <v>3.117035</v>
      </c>
      <c r="T6222">
        <v>-0.6021725</v>
      </c>
      <c r="U6222">
        <v>-0.29083249999999999</v>
      </c>
      <c r="V6222">
        <v>-0.16532769999999999</v>
      </c>
      <c r="W6222">
        <v>0.16596639999999999</v>
      </c>
      <c r="X6222">
        <v>0.97217379999999998</v>
      </c>
      <c r="Y6222">
        <v>-0.18054029999999999</v>
      </c>
      <c r="Z6222">
        <v>6.7139679999999993E-2</v>
      </c>
      <c r="AA6222">
        <v>0.98127339999999996</v>
      </c>
      <c r="AB6222">
        <v>23</v>
      </c>
      <c r="AC6222">
        <v>5.6531999999999698</v>
      </c>
      <c r="AD6222">
        <v>-1.1142202259059999</v>
      </c>
      <c r="AE6222">
        <v>-0.50768000000000402</v>
      </c>
      <c r="AF6222">
        <v>-1.0479059382921401</v>
      </c>
      <c r="AG6222">
        <v>-1.1142202259059999</v>
      </c>
      <c r="AH6222">
        <v>5.3639369123041298</v>
      </c>
      <c r="AI6222">
        <v>101.522995900213</v>
      </c>
      <c r="AJ6222">
        <v>101.05415286710399</v>
      </c>
      <c r="AK6222">
        <v>5.5777605511983701</v>
      </c>
      <c r="AL6222">
        <v>80.446620758472903</v>
      </c>
      <c r="AM6222">
        <v>99.651376363798406</v>
      </c>
      <c r="AN6222">
        <v>0.99999999586134503</v>
      </c>
    </row>
    <row r="6223" spans="1:40" x14ac:dyDescent="0.25">
      <c r="A6223" t="str">
        <f>"20190304154920783"</f>
        <v>20190304154920783</v>
      </c>
      <c r="B6223" t="str">
        <f>"1551685760773857"</f>
        <v>1551685760773857</v>
      </c>
      <c r="C6223" t="s">
        <v>40</v>
      </c>
      <c r="D6223">
        <v>4.6595469999999999</v>
      </c>
      <c r="E6223">
        <v>0.47699979999999997</v>
      </c>
      <c r="F6223" t="s">
        <v>44</v>
      </c>
      <c r="G6223">
        <v>-397.4119</v>
      </c>
      <c r="H6223" s="1">
        <v>-1.2850040000000001E-6</v>
      </c>
      <c r="I6223">
        <v>19.158950000000001</v>
      </c>
      <c r="J6223">
        <v>-403.06760000000003</v>
      </c>
      <c r="K6223">
        <v>1.114223</v>
      </c>
      <c r="L6223">
        <v>19.65457</v>
      </c>
      <c r="M6223">
        <v>0.96104319999999999</v>
      </c>
      <c r="N6223">
        <v>-1.3979139999999999E-2</v>
      </c>
      <c r="O6223">
        <v>-0.27604459999999997</v>
      </c>
      <c r="P6223">
        <v>0.98165720000000001</v>
      </c>
      <c r="Q6223">
        <v>0.15391729999999901</v>
      </c>
      <c r="R6223">
        <v>-0.1125111</v>
      </c>
      <c r="S6223">
        <v>3.1176759999999999</v>
      </c>
      <c r="T6223">
        <v>-0.60189219999999999</v>
      </c>
      <c r="U6223">
        <v>-0.2841187</v>
      </c>
      <c r="V6223">
        <v>-0.164159</v>
      </c>
      <c r="W6223">
        <v>0.1662621</v>
      </c>
      <c r="X6223">
        <v>0.97232130000000005</v>
      </c>
      <c r="Y6223">
        <v>-0.17997099999999999</v>
      </c>
      <c r="Z6223">
        <v>6.6592369999999998E-2</v>
      </c>
      <c r="AA6223">
        <v>0.98141529999999999</v>
      </c>
      <c r="AB6223">
        <v>23</v>
      </c>
      <c r="AC6223">
        <v>5.6557000000000199</v>
      </c>
      <c r="AD6223">
        <v>-1.1142242850040001</v>
      </c>
      <c r="AE6223">
        <v>-0.49561999999999801</v>
      </c>
      <c r="AF6223">
        <v>-1.0447777066992801</v>
      </c>
      <c r="AG6223">
        <v>-1.1142242850040001</v>
      </c>
      <c r="AH6223">
        <v>5.3660466621958998</v>
      </c>
      <c r="AI6223">
        <v>101.520017182654</v>
      </c>
      <c r="AJ6223">
        <v>101.01773563217399</v>
      </c>
      <c r="AK6223">
        <v>5.57920361651842</v>
      </c>
      <c r="AL6223">
        <v>80.429439603922205</v>
      </c>
      <c r="AM6223">
        <v>99.582993906817805</v>
      </c>
      <c r="AN6223">
        <v>0.99999998680554902</v>
      </c>
    </row>
    <row r="6224" spans="1:40" x14ac:dyDescent="0.25">
      <c r="A6224" t="str">
        <f>"20190304154920796"</f>
        <v>20190304154920796</v>
      </c>
      <c r="B6224" t="str">
        <f>"1551685760793377"</f>
        <v>1551685760793377</v>
      </c>
      <c r="C6224" t="s">
        <v>40</v>
      </c>
      <c r="D6224">
        <v>4.1615460000000004</v>
      </c>
      <c r="E6224">
        <v>0.47954069999999999</v>
      </c>
      <c r="F6224" t="s">
        <v>87</v>
      </c>
      <c r="G6224">
        <v>-274.99380000000002</v>
      </c>
      <c r="H6224">
        <v>11.137280000000001</v>
      </c>
      <c r="I6224">
        <v>12.692130000000001</v>
      </c>
      <c r="J6224">
        <v>-402.95179999999999</v>
      </c>
      <c r="K6224">
        <v>1.114231</v>
      </c>
      <c r="L6224">
        <v>19.624510000000001</v>
      </c>
      <c r="M6224">
        <v>0.96180960000000004</v>
      </c>
      <c r="N6224">
        <v>-1.3974820000000001E-2</v>
      </c>
      <c r="O6224">
        <v>-0.27336290000000002</v>
      </c>
      <c r="P6224">
        <v>0.98176839999999999</v>
      </c>
      <c r="Q6224">
        <v>0.15445529999999999</v>
      </c>
      <c r="R6224">
        <v>-0.1107915</v>
      </c>
      <c r="S6224">
        <v>3.0005190000000002</v>
      </c>
      <c r="T6224">
        <v>0.23482069999999999</v>
      </c>
      <c r="U6224">
        <v>-0.1631165</v>
      </c>
      <c r="V6224">
        <v>-0.1631302</v>
      </c>
      <c r="W6224">
        <v>0.16680420000000001</v>
      </c>
      <c r="X6224">
        <v>0.97240159999999998</v>
      </c>
      <c r="Y6224">
        <v>-0.21908540000000001</v>
      </c>
      <c r="Z6224">
        <v>-3.1972479999999998E-2</v>
      </c>
      <c r="AA6224">
        <v>0.97518170000000004</v>
      </c>
      <c r="AB6224">
        <v>23</v>
      </c>
      <c r="AC6224">
        <v>127.957999999999</v>
      </c>
      <c r="AD6224">
        <v>10.023049</v>
      </c>
      <c r="AE6224">
        <v>-6.9323800000000002</v>
      </c>
      <c r="AF6224">
        <v>-28.1419359162322</v>
      </c>
      <c r="AG6224">
        <v>10.023049</v>
      </c>
      <c r="AH6224">
        <v>124.218537052339</v>
      </c>
      <c r="AI6224">
        <v>85.500406079600793</v>
      </c>
      <c r="AJ6224">
        <v>102.764983855502</v>
      </c>
      <c r="AK6224">
        <v>127.76022470156001</v>
      </c>
      <c r="AL6224">
        <v>80.3979396982986</v>
      </c>
      <c r="AM6224">
        <v>99.523267867297804</v>
      </c>
      <c r="AN6224">
        <v>0.99999998748611996</v>
      </c>
    </row>
    <row r="6225" spans="1:40" x14ac:dyDescent="0.25">
      <c r="A6225" t="str">
        <f>"20190304154920807"</f>
        <v>20190304154920807</v>
      </c>
      <c r="B6225" t="str">
        <f>"1551685760803138"</f>
        <v>1551685760803138</v>
      </c>
      <c r="C6225" t="s">
        <v>40</v>
      </c>
      <c r="D6225">
        <v>4.1321349999999999</v>
      </c>
      <c r="E6225">
        <v>0.47961690000000001</v>
      </c>
      <c r="F6225" t="s">
        <v>88</v>
      </c>
      <c r="G6225">
        <v>-241.6901</v>
      </c>
      <c r="H6225">
        <v>5.1071770000000001</v>
      </c>
      <c r="I6225">
        <v>9.8525989999999997</v>
      </c>
      <c r="J6225">
        <v>-402.8399</v>
      </c>
      <c r="K6225">
        <v>1.1142379999999901</v>
      </c>
      <c r="L6225">
        <v>19.595759999999999</v>
      </c>
      <c r="M6225">
        <v>0.96254410000000001</v>
      </c>
      <c r="N6225">
        <v>-1.3970959999999999E-2</v>
      </c>
      <c r="O6225">
        <v>-0.27076499999999998</v>
      </c>
      <c r="P6225">
        <v>0.98181430000000003</v>
      </c>
      <c r="Q6225">
        <v>0.15520510000000001</v>
      </c>
      <c r="R6225">
        <v>-0.1093264</v>
      </c>
      <c r="S6225">
        <v>3.0232239999999999</v>
      </c>
      <c r="T6225">
        <v>7.4856880000000001E-2</v>
      </c>
      <c r="U6225">
        <v>-0.183197</v>
      </c>
      <c r="V6225">
        <v>-0.1619276</v>
      </c>
      <c r="W6225">
        <v>0.16755970000000001</v>
      </c>
      <c r="X6225">
        <v>0.97247269999999997</v>
      </c>
      <c r="Y6225">
        <v>-0.21184059999999999</v>
      </c>
      <c r="Z6225">
        <v>-1.158067E-2</v>
      </c>
      <c r="AA6225">
        <v>0.97723559999999998</v>
      </c>
      <c r="AB6225">
        <v>23</v>
      </c>
      <c r="AC6225">
        <v>161.1498</v>
      </c>
      <c r="AD6225">
        <v>3.9929389999999998</v>
      </c>
      <c r="AE6225">
        <v>-9.7431610000000006</v>
      </c>
      <c r="AF6225">
        <v>-34.237903324561501</v>
      </c>
      <c r="AG6225">
        <v>3.9929389999999998</v>
      </c>
      <c r="AH6225">
        <v>157.67084484108199</v>
      </c>
      <c r="AI6225">
        <v>88.582346302471294</v>
      </c>
      <c r="AJ6225">
        <v>102.251459982897</v>
      </c>
      <c r="AK6225">
        <v>161.394773455711</v>
      </c>
      <c r="AL6225">
        <v>80.354034713327096</v>
      </c>
      <c r="AM6225">
        <v>99.453655366553505</v>
      </c>
      <c r="AN6225">
        <v>0.99999997647556904</v>
      </c>
    </row>
    <row r="6226" spans="1:40" x14ac:dyDescent="0.25">
      <c r="A6226" t="str">
        <f>"20190304154920819"</f>
        <v>20190304154920819</v>
      </c>
      <c r="B6226" t="str">
        <f>"1551685760813872"</f>
        <v>1551685760813872</v>
      </c>
      <c r="C6226" t="s">
        <v>40</v>
      </c>
      <c r="D6226">
        <v>4.140746</v>
      </c>
      <c r="E6226">
        <v>0.48015560000000002</v>
      </c>
      <c r="F6226" t="s">
        <v>88</v>
      </c>
      <c r="G6226">
        <v>-241.07</v>
      </c>
      <c r="H6226">
        <v>3.4518779999999998</v>
      </c>
      <c r="I6226">
        <v>9.9782480000000007</v>
      </c>
      <c r="J6226">
        <v>-402.72129999999999</v>
      </c>
      <c r="K6226">
        <v>1.114242</v>
      </c>
      <c r="L6226">
        <v>19.5657</v>
      </c>
      <c r="M6226">
        <v>0.96331449999999996</v>
      </c>
      <c r="N6226">
        <v>-1.396705E-2</v>
      </c>
      <c r="O6226">
        <v>-0.26801130000000001</v>
      </c>
      <c r="P6226">
        <v>0.98194269999999995</v>
      </c>
      <c r="Q6226">
        <v>0.1557327</v>
      </c>
      <c r="R6226">
        <v>-0.107405</v>
      </c>
      <c r="S6226">
        <v>3.0285639999999998</v>
      </c>
      <c r="T6226">
        <v>4.3763879999999998E-2</v>
      </c>
      <c r="U6226">
        <v>-0.18005370000000001</v>
      </c>
      <c r="V6226">
        <v>-0.16102939999999999</v>
      </c>
      <c r="W6226">
        <v>0.1680904</v>
      </c>
      <c r="X6226">
        <v>0.97253029999999996</v>
      </c>
      <c r="Y6226">
        <v>-0.2102811</v>
      </c>
      <c r="Z6226">
        <v>-7.6557149999999996E-3</v>
      </c>
      <c r="AA6226">
        <v>0.97761100000000001</v>
      </c>
      <c r="AB6226">
        <v>23</v>
      </c>
      <c r="AC6226">
        <v>161.65129999999999</v>
      </c>
      <c r="AD6226">
        <v>2.3376359999999998</v>
      </c>
      <c r="AE6226">
        <v>-9.5874520000000008</v>
      </c>
      <c r="AF6226">
        <v>-34.084866817437799</v>
      </c>
      <c r="AG6226">
        <v>2.3376359999999998</v>
      </c>
      <c r="AH6226">
        <v>158.27304954637799</v>
      </c>
      <c r="AI6226">
        <v>89.172785510257796</v>
      </c>
      <c r="AJ6226">
        <v>102.153311163513</v>
      </c>
      <c r="AK6226">
        <v>161.91850079821401</v>
      </c>
      <c r="AL6226">
        <v>80.323190769470301</v>
      </c>
      <c r="AM6226">
        <v>99.401608616551599</v>
      </c>
      <c r="AN6226">
        <v>1.0000000173273</v>
      </c>
    </row>
    <row r="6227" spans="1:40" x14ac:dyDescent="0.25">
      <c r="A6227" t="str">
        <f>"20190304154920838"</f>
        <v>20190304154920838</v>
      </c>
      <c r="B6227" t="str">
        <f>"1551685760833393"</f>
        <v>1551685760833393</v>
      </c>
      <c r="C6227" t="s">
        <v>40</v>
      </c>
      <c r="D6227">
        <v>4.103046</v>
      </c>
      <c r="E6227">
        <v>0.48161989999999999</v>
      </c>
      <c r="F6227" t="s">
        <v>87</v>
      </c>
      <c r="G6227">
        <v>-274.49669999999998</v>
      </c>
      <c r="H6227">
        <v>2.5499049999999999</v>
      </c>
      <c r="I6227">
        <v>12.006220000000001</v>
      </c>
      <c r="J6227">
        <v>-402.54750000000001</v>
      </c>
      <c r="K6227">
        <v>1.11425</v>
      </c>
      <c r="L6227">
        <v>19.522220000000001</v>
      </c>
      <c r="M6227">
        <v>0.9644296</v>
      </c>
      <c r="N6227">
        <v>-1.3961589999999999E-2</v>
      </c>
      <c r="O6227">
        <v>-0.26397130000000002</v>
      </c>
      <c r="P6227">
        <v>0.98204179999999996</v>
      </c>
      <c r="Q6227">
        <v>0.1565626</v>
      </c>
      <c r="R6227">
        <v>-0.1052722</v>
      </c>
      <c r="S6227">
        <v>3.0302730000000002</v>
      </c>
      <c r="T6227">
        <v>3.3928390000000003E-2</v>
      </c>
      <c r="U6227">
        <v>-0.1786499</v>
      </c>
      <c r="V6227">
        <v>-0.15903220000000001</v>
      </c>
      <c r="W6227">
        <v>0.16893269999999999</v>
      </c>
      <c r="X6227">
        <v>0.97271300000000005</v>
      </c>
      <c r="Y6227">
        <v>-0.20669419999999999</v>
      </c>
      <c r="Z6227">
        <v>-6.3550280000000004E-3</v>
      </c>
      <c r="AA6227">
        <v>0.97838499999999995</v>
      </c>
      <c r="AB6227">
        <v>23</v>
      </c>
      <c r="AC6227">
        <v>128.05080000000001</v>
      </c>
      <c r="AD6227">
        <v>1.4356549999999999</v>
      </c>
      <c r="AE6227">
        <v>-7.516</v>
      </c>
      <c r="AF6227">
        <v>-26.552342408317202</v>
      </c>
      <c r="AG6227">
        <v>1.4356549999999999</v>
      </c>
      <c r="AH6227">
        <v>125.47648908524199</v>
      </c>
      <c r="AI6227">
        <v>89.358672495785598</v>
      </c>
      <c r="AJ6227">
        <v>101.94821517209</v>
      </c>
      <c r="AK6227">
        <v>128.263156462822</v>
      </c>
      <c r="AL6227">
        <v>80.274230597931293</v>
      </c>
      <c r="AM6227">
        <v>99.285333367257394</v>
      </c>
      <c r="AN6227">
        <v>1.0000000390675601</v>
      </c>
    </row>
    <row r="6228" spans="1:40" x14ac:dyDescent="0.25">
      <c r="A6228" t="str">
        <f>"20190304154920849"</f>
        <v>20190304154920849</v>
      </c>
      <c r="B6228" t="str">
        <f>"1551685760843153"</f>
        <v>1551685760843153</v>
      </c>
      <c r="C6228" t="s">
        <v>40</v>
      </c>
      <c r="D6228">
        <v>4.0847369999999996</v>
      </c>
      <c r="E6228">
        <v>0.480518</v>
      </c>
      <c r="F6228" t="s">
        <v>88</v>
      </c>
      <c r="G6228">
        <v>-241.07</v>
      </c>
      <c r="H6228">
        <v>2.2844989999999998</v>
      </c>
      <c r="I6228">
        <v>9.7319110000000002</v>
      </c>
      <c r="J6228">
        <v>-402.42680000000001</v>
      </c>
      <c r="K6228">
        <v>1.114255</v>
      </c>
      <c r="L6228">
        <v>19.492460000000001</v>
      </c>
      <c r="M6228">
        <v>0.96519350000000004</v>
      </c>
      <c r="N6228">
        <v>-1.3958E-2</v>
      </c>
      <c r="O6228">
        <v>-0.26116430000000002</v>
      </c>
      <c r="P6228">
        <v>0.98221700000000001</v>
      </c>
      <c r="Q6228">
        <v>0.15691169999999999</v>
      </c>
      <c r="R6228">
        <v>-0.1030958</v>
      </c>
      <c r="S6228">
        <v>3.031647</v>
      </c>
      <c r="T6228">
        <v>2.1970630000000001E-2</v>
      </c>
      <c r="U6228">
        <v>-0.18380740000000001</v>
      </c>
      <c r="V6228">
        <v>-0.15834429999999999</v>
      </c>
      <c r="W6228">
        <v>0.1692842</v>
      </c>
      <c r="X6228">
        <v>0.97276410000000002</v>
      </c>
      <c r="Y6228">
        <v>-0.20223940000000001</v>
      </c>
      <c r="Z6228">
        <v>-4.8712989999999999E-3</v>
      </c>
      <c r="AA6228">
        <v>0.97932399999999997</v>
      </c>
      <c r="AB6228">
        <v>23</v>
      </c>
      <c r="AC6228">
        <v>161.35679999999999</v>
      </c>
      <c r="AD6228">
        <v>1.1702440000000001</v>
      </c>
      <c r="AE6228">
        <v>-9.7605489999999993</v>
      </c>
      <c r="AF6228">
        <v>-32.721288436132902</v>
      </c>
      <c r="AG6228">
        <v>1.1702440000000001</v>
      </c>
      <c r="AH6228">
        <v>158.29675858765199</v>
      </c>
      <c r="AI6228">
        <v>89.585204684872707</v>
      </c>
      <c r="AJ6228">
        <v>101.67903751694899</v>
      </c>
      <c r="AK6228">
        <v>161.647505292527</v>
      </c>
      <c r="AL6228">
        <v>80.253796705009094</v>
      </c>
      <c r="AM6228">
        <v>99.245387095154797</v>
      </c>
      <c r="AN6228">
        <v>1.00000002598046</v>
      </c>
    </row>
    <row r="6229" spans="1:40" x14ac:dyDescent="0.25">
      <c r="A6229" t="str">
        <f>"20190304154920864"</f>
        <v>20190304154920864</v>
      </c>
      <c r="B6229" t="str">
        <f>"1551685760853890"</f>
        <v>1551685760853890</v>
      </c>
      <c r="C6229" t="s">
        <v>40</v>
      </c>
      <c r="D6229">
        <v>4.1433720000000003</v>
      </c>
      <c r="E6229">
        <v>0.48070639999999998</v>
      </c>
      <c r="F6229" t="s">
        <v>87</v>
      </c>
      <c r="G6229">
        <v>-274.49669999999998</v>
      </c>
      <c r="H6229">
        <v>1.682275</v>
      </c>
      <c r="I6229">
        <v>12.398250000000001</v>
      </c>
      <c r="J6229">
        <v>-402.28859999999997</v>
      </c>
      <c r="K6229">
        <v>1.1142559999999999</v>
      </c>
      <c r="L6229">
        <v>19.45898</v>
      </c>
      <c r="M6229">
        <v>0.96605719999999995</v>
      </c>
      <c r="N6229">
        <v>-1.3953999999999999E-2</v>
      </c>
      <c r="O6229">
        <v>-0.2579514</v>
      </c>
      <c r="P6229">
        <v>0.98238150000000002</v>
      </c>
      <c r="Q6229">
        <v>0.15756889999999901</v>
      </c>
      <c r="R6229">
        <v>-0.1004922</v>
      </c>
      <c r="S6229">
        <v>3.0344850000000001</v>
      </c>
      <c r="T6229">
        <v>1.347339E-2</v>
      </c>
      <c r="U6229">
        <v>-0.1682739</v>
      </c>
      <c r="V6229">
        <v>-0.15766140000000001</v>
      </c>
      <c r="W6229">
        <v>0.16994310000000001</v>
      </c>
      <c r="X6229">
        <v>0.97276010000000002</v>
      </c>
      <c r="Y6229">
        <v>-0.20404659999999999</v>
      </c>
      <c r="Z6229">
        <v>-3.7946299999999998E-3</v>
      </c>
      <c r="AA6229">
        <v>0.97895379999999999</v>
      </c>
      <c r="AB6229">
        <v>23</v>
      </c>
      <c r="AC6229">
        <v>127.7919</v>
      </c>
      <c r="AD6229">
        <v>0.56801899999999905</v>
      </c>
      <c r="AE6229">
        <v>-7.0607300000000004</v>
      </c>
      <c r="AF6229">
        <v>-26.145059072000599</v>
      </c>
      <c r="AG6229">
        <v>0.56801899999999905</v>
      </c>
      <c r="AH6229">
        <v>125.28533125534</v>
      </c>
      <c r="AI6229">
        <v>89.745711931958994</v>
      </c>
      <c r="AJ6229">
        <v>101.78755011655601</v>
      </c>
      <c r="AK6229">
        <v>127.985549915696</v>
      </c>
      <c r="AL6229">
        <v>80.2154891448629</v>
      </c>
      <c r="AM6229">
        <v>99.206235410758595</v>
      </c>
      <c r="AN6229">
        <v>0.99999999321978905</v>
      </c>
    </row>
    <row r="6230" spans="1:40" x14ac:dyDescent="0.25">
      <c r="A6230" t="str">
        <f>"20190304154920878"</f>
        <v>20190304154920878</v>
      </c>
      <c r="B6230" t="str">
        <f>"1551685760873409"</f>
        <v>1551685760873409</v>
      </c>
      <c r="C6230" t="s">
        <v>40</v>
      </c>
      <c r="D6230">
        <v>4.1472519999999999</v>
      </c>
      <c r="E6230">
        <v>0.48186820000000002</v>
      </c>
      <c r="F6230" t="s">
        <v>87</v>
      </c>
      <c r="G6230">
        <v>-274.49669999999998</v>
      </c>
      <c r="H6230">
        <v>1.586551</v>
      </c>
      <c r="I6230">
        <v>12.656079999999999</v>
      </c>
      <c r="J6230">
        <v>-402.161</v>
      </c>
      <c r="K6230">
        <v>1.1142570000000001</v>
      </c>
      <c r="L6230">
        <v>19.428439999999998</v>
      </c>
      <c r="M6230">
        <v>0.96684530000000002</v>
      </c>
      <c r="N6230">
        <v>-1.395046E-2</v>
      </c>
      <c r="O6230">
        <v>-0.25498169999999998</v>
      </c>
      <c r="P6230">
        <v>0.98259240000000003</v>
      </c>
      <c r="Q6230">
        <v>0.15794530000000001</v>
      </c>
      <c r="R6230">
        <v>-9.780382E-2</v>
      </c>
      <c r="S6230">
        <v>3.0354610000000002</v>
      </c>
      <c r="T6230">
        <v>1.1218550000000001E-2</v>
      </c>
      <c r="U6230">
        <v>-0.1615906</v>
      </c>
      <c r="V6230">
        <v>-0.1573203</v>
      </c>
      <c r="W6230">
        <v>0.17031949999999901</v>
      </c>
      <c r="X6230">
        <v>0.97274950000000004</v>
      </c>
      <c r="Y6230">
        <v>-0.20320840000000001</v>
      </c>
      <c r="Z6230">
        <v>-3.4795970000000001E-3</v>
      </c>
      <c r="AA6230">
        <v>0.97912929999999998</v>
      </c>
      <c r="AB6230">
        <v>23</v>
      </c>
      <c r="AC6230">
        <v>127.6643</v>
      </c>
      <c r="AD6230">
        <v>0.47229399999999899</v>
      </c>
      <c r="AE6230">
        <v>-6.7723599999999902</v>
      </c>
      <c r="AF6230">
        <v>-26.006410136618999</v>
      </c>
      <c r="AG6230">
        <v>0.47229399999999899</v>
      </c>
      <c r="AH6230">
        <v>125.16892135092201</v>
      </c>
      <c r="AI6230">
        <v>89.788329992222103</v>
      </c>
      <c r="AJ6230">
        <v>101.73737925153399</v>
      </c>
      <c r="AK6230">
        <v>127.842932154929</v>
      </c>
      <c r="AL6230">
        <v>80.193604018156606</v>
      </c>
      <c r="AM6230">
        <v>99.186756116362901</v>
      </c>
      <c r="AN6230">
        <v>0.99999999931129502</v>
      </c>
    </row>
    <row r="6231" spans="1:40" x14ac:dyDescent="0.25">
      <c r="A6231" t="str">
        <f>"20190304154920896"</f>
        <v>20190304154920896</v>
      </c>
      <c r="B6231" t="str">
        <f>"1551685760893905"</f>
        <v>1551685760893905</v>
      </c>
      <c r="C6231" t="s">
        <v>40</v>
      </c>
      <c r="D6231">
        <v>4.1997540000000004</v>
      </c>
      <c r="E6231">
        <v>0.48258689999999999</v>
      </c>
      <c r="F6231" t="s">
        <v>87</v>
      </c>
      <c r="G6231">
        <v>-274.49669999999998</v>
      </c>
      <c r="H6231">
        <v>1.4066970000000001</v>
      </c>
      <c r="I6231">
        <v>12.59478</v>
      </c>
      <c r="J6231">
        <v>-401.9778</v>
      </c>
      <c r="K6231">
        <v>1.114249</v>
      </c>
      <c r="L6231">
        <v>19.385280000000002</v>
      </c>
      <c r="M6231">
        <v>0.96795920000000002</v>
      </c>
      <c r="N6231">
        <v>-1.394574E-2</v>
      </c>
      <c r="O6231">
        <v>-0.2507201</v>
      </c>
      <c r="P6231">
        <v>0.98279320000000003</v>
      </c>
      <c r="Q6231">
        <v>0.15876609999999999</v>
      </c>
      <c r="R6231">
        <v>-9.4397090000000003E-2</v>
      </c>
      <c r="S6231">
        <v>3.0358890000000001</v>
      </c>
      <c r="T6231">
        <v>6.9543119999999998E-3</v>
      </c>
      <c r="U6231">
        <v>-0.16250609999999999</v>
      </c>
      <c r="V6231">
        <v>-0.15637590000000001</v>
      </c>
      <c r="W6231">
        <v>0.17114499999999999</v>
      </c>
      <c r="X6231">
        <v>0.97275690000000004</v>
      </c>
      <c r="Y6231">
        <v>-0.19861119999999999</v>
      </c>
      <c r="Z6231">
        <v>-2.9380320000000001E-3</v>
      </c>
      <c r="AA6231">
        <v>0.98007390000000005</v>
      </c>
      <c r="AB6231">
        <v>23</v>
      </c>
      <c r="AC6231">
        <v>127.4811</v>
      </c>
      <c r="AD6231">
        <v>0.29244799999999899</v>
      </c>
      <c r="AE6231">
        <v>-6.79049999999999</v>
      </c>
      <c r="AF6231">
        <v>-25.391482364775101</v>
      </c>
      <c r="AG6231">
        <v>0.29244799999999899</v>
      </c>
      <c r="AH6231">
        <v>125.110524419252</v>
      </c>
      <c r="AI6231">
        <v>89.868746239114301</v>
      </c>
      <c r="AJ6231">
        <v>101.472494157659</v>
      </c>
      <c r="AK6231">
        <v>127.66149075964</v>
      </c>
      <c r="AL6231">
        <v>80.145601657058094</v>
      </c>
      <c r="AM6231">
        <v>99.132471419328098</v>
      </c>
      <c r="AN6231">
        <v>1.0000000098117099</v>
      </c>
    </row>
    <row r="6232" spans="1:40" x14ac:dyDescent="0.25">
      <c r="A6232" t="str">
        <f>"20190304154920916"</f>
        <v>20190304154920916</v>
      </c>
      <c r="B6232" t="str">
        <f>"1551685760913425"</f>
        <v>1551685760913425</v>
      </c>
      <c r="C6232" t="s">
        <v>40</v>
      </c>
      <c r="D6232">
        <v>4.2086759999999996</v>
      </c>
      <c r="E6232">
        <v>0.48363080000000003</v>
      </c>
      <c r="F6232" t="s">
        <v>87</v>
      </c>
      <c r="G6232">
        <v>-274.49669999999998</v>
      </c>
      <c r="H6232">
        <v>1.3825959999999999</v>
      </c>
      <c r="I6232">
        <v>12.782909999999999</v>
      </c>
      <c r="J6232">
        <v>-401.78629999999998</v>
      </c>
      <c r="K6232">
        <v>1.114241</v>
      </c>
      <c r="L6232">
        <v>19.341090000000001</v>
      </c>
      <c r="M6232">
        <v>0.96910260000000004</v>
      </c>
      <c r="N6232">
        <v>-1.3941149999999999E-2</v>
      </c>
      <c r="O6232">
        <v>-0.2462637</v>
      </c>
      <c r="P6232">
        <v>0.98327399999999998</v>
      </c>
      <c r="Q6232">
        <v>0.15828490000000001</v>
      </c>
      <c r="R6232">
        <v>-9.0101029999999999E-2</v>
      </c>
      <c r="S6232">
        <v>3.0363769999999999</v>
      </c>
      <c r="T6232">
        <v>6.3915250000000003E-3</v>
      </c>
      <c r="U6232">
        <v>-0.15725710000000001</v>
      </c>
      <c r="V6232">
        <v>-0.1561641</v>
      </c>
      <c r="W6232">
        <v>0.17066429999999999</v>
      </c>
      <c r="X6232">
        <v>0.97287539999999995</v>
      </c>
      <c r="Y6232">
        <v>-0.1958</v>
      </c>
      <c r="Z6232">
        <v>-2.8166519999999998E-3</v>
      </c>
      <c r="AA6232">
        <v>0.98063979999999995</v>
      </c>
      <c r="AB6232">
        <v>23</v>
      </c>
      <c r="AC6232">
        <v>127.28959999999999</v>
      </c>
      <c r="AD6232">
        <v>0.26835499999999901</v>
      </c>
      <c r="AE6232">
        <v>-6.5581799999999904</v>
      </c>
      <c r="AF6232">
        <v>-24.9935765494786</v>
      </c>
      <c r="AG6232">
        <v>0.26835499999999901</v>
      </c>
      <c r="AH6232">
        <v>124.98331527241299</v>
      </c>
      <c r="AI6232">
        <v>89.879367303846493</v>
      </c>
      <c r="AJ6232">
        <v>101.30857194972801</v>
      </c>
      <c r="AK6232">
        <v>127.458149914487</v>
      </c>
      <c r="AL6232">
        <v>80.173555266398907</v>
      </c>
      <c r="AM6232">
        <v>99.119217939742995</v>
      </c>
      <c r="AN6232">
        <v>1.0000000366742201</v>
      </c>
    </row>
    <row r="6233" spans="1:40" x14ac:dyDescent="0.25">
      <c r="A6233" t="str">
        <f>"20190304154920928"</f>
        <v>20190304154920928</v>
      </c>
      <c r="B6233" t="str">
        <f>"1551685760923186"</f>
        <v>1551685760923186</v>
      </c>
      <c r="C6233" t="s">
        <v>40</v>
      </c>
      <c r="D6233">
        <v>4.1663030000000001</v>
      </c>
      <c r="E6233">
        <v>0.48399589999999998</v>
      </c>
      <c r="F6233" t="s">
        <v>89</v>
      </c>
      <c r="G6233">
        <v>-279.68</v>
      </c>
      <c r="H6233">
        <v>1.202054</v>
      </c>
      <c r="I6233">
        <v>13.21407</v>
      </c>
      <c r="J6233">
        <v>-401.6662</v>
      </c>
      <c r="K6233">
        <v>1.1142299999999901</v>
      </c>
      <c r="L6233">
        <v>19.313870000000001</v>
      </c>
      <c r="M6233">
        <v>0.96980809999999995</v>
      </c>
      <c r="N6233">
        <v>-1.393836E-2</v>
      </c>
      <c r="O6233">
        <v>-0.24347079999999999</v>
      </c>
      <c r="P6233">
        <v>0.98358959999999995</v>
      </c>
      <c r="Q6233">
        <v>0.1580656</v>
      </c>
      <c r="R6233">
        <v>-8.6987350000000005E-2</v>
      </c>
      <c r="S6233">
        <v>3.0366819999999999</v>
      </c>
      <c r="T6233">
        <v>2.183557E-3</v>
      </c>
      <c r="U6233">
        <v>-0.15237429999999999</v>
      </c>
      <c r="V6233">
        <v>-0.1564477</v>
      </c>
      <c r="W6233">
        <v>0.1704416</v>
      </c>
      <c r="X6233">
        <v>0.97286890000000004</v>
      </c>
      <c r="Y6233">
        <v>-0.1945566</v>
      </c>
      <c r="Z6233">
        <v>-2.3091600000000002E-3</v>
      </c>
      <c r="AA6233">
        <v>0.98088850000000005</v>
      </c>
      <c r="AB6233">
        <v>23</v>
      </c>
      <c r="AC6233">
        <v>121.9862</v>
      </c>
      <c r="AD6233">
        <v>8.7824000000000305E-2</v>
      </c>
      <c r="AE6233">
        <v>-6.0998000000000001</v>
      </c>
      <c r="AF6233">
        <v>-23.786739984467701</v>
      </c>
      <c r="AG6233">
        <v>8.7824000000000305E-2</v>
      </c>
      <c r="AH6233">
        <v>119.79990035594</v>
      </c>
      <c r="AI6233">
        <v>89.958801347170393</v>
      </c>
      <c r="AJ6233">
        <v>101.23024285705699</v>
      </c>
      <c r="AK6233">
        <v>122.138580462673</v>
      </c>
      <c r="AL6233">
        <v>80.186504988874404</v>
      </c>
      <c r="AM6233">
        <v>99.135559787546597</v>
      </c>
      <c r="AN6233">
        <v>1.0000000592165199</v>
      </c>
    </row>
    <row r="6234" spans="1:40" x14ac:dyDescent="0.25">
      <c r="A6234" t="str">
        <f>"20190304154920940"</f>
        <v>20190304154920940</v>
      </c>
      <c r="B6234" t="str">
        <f>"1551685760933922"</f>
        <v>1551685760933922</v>
      </c>
      <c r="C6234" t="s">
        <v>40</v>
      </c>
      <c r="D6234">
        <v>4.1790240000000001</v>
      </c>
      <c r="E6234">
        <v>0.48446860000000003</v>
      </c>
      <c r="F6234" t="s">
        <v>89</v>
      </c>
      <c r="G6234">
        <v>-279.68</v>
      </c>
      <c r="H6234">
        <v>1.148898</v>
      </c>
      <c r="I6234">
        <v>13.45219</v>
      </c>
      <c r="J6234">
        <v>-401.55270000000002</v>
      </c>
      <c r="K6234">
        <v>1.114225</v>
      </c>
      <c r="L6234">
        <v>19.288509999999999</v>
      </c>
      <c r="M6234">
        <v>0.97046670000000002</v>
      </c>
      <c r="N6234">
        <v>-1.393582E-2</v>
      </c>
      <c r="O6234">
        <v>-0.2408322</v>
      </c>
      <c r="P6234">
        <v>0.98387139999999995</v>
      </c>
      <c r="Q6234">
        <v>0.1577199</v>
      </c>
      <c r="R6234">
        <v>-8.4391649999999999E-2</v>
      </c>
      <c r="S6234">
        <v>3.0370180000000002</v>
      </c>
      <c r="T6234">
        <v>8.6283679999999904E-4</v>
      </c>
      <c r="U6234">
        <v>-0.14593510000000001</v>
      </c>
      <c r="V6234">
        <v>-0.15637779999999901</v>
      </c>
      <c r="W6234">
        <v>0.17009630000000001</v>
      </c>
      <c r="X6234">
        <v>0.97294049999999999</v>
      </c>
      <c r="Y6234">
        <v>-0.19397010000000001</v>
      </c>
      <c r="Z6234">
        <v>-2.1272439999999999E-3</v>
      </c>
      <c r="AA6234">
        <v>0.98100509999999996</v>
      </c>
      <c r="AB6234">
        <v>23</v>
      </c>
      <c r="AC6234">
        <v>121.87269999999999</v>
      </c>
      <c r="AD6234">
        <v>3.4672999999999898E-2</v>
      </c>
      <c r="AE6234">
        <v>-5.8363199999999997</v>
      </c>
      <c r="AF6234">
        <v>-23.689215094121199</v>
      </c>
      <c r="AG6234">
        <v>3.4672999999999898E-2</v>
      </c>
      <c r="AH6234">
        <v>119.690585762721</v>
      </c>
      <c r="AI6234">
        <v>89.983717907264904</v>
      </c>
      <c r="AJ6234">
        <v>101.195320254145</v>
      </c>
      <c r="AK6234">
        <v>122.012361809022</v>
      </c>
      <c r="AL6234">
        <v>80.206581734210303</v>
      </c>
      <c r="AM6234">
        <v>99.130886169170395</v>
      </c>
      <c r="AN6234">
        <v>0.99999999207338996</v>
      </c>
    </row>
    <row r="6235" spans="1:40" x14ac:dyDescent="0.25">
      <c r="A6235" t="str">
        <f>"20190304154920951"</f>
        <v>20190304154920951</v>
      </c>
      <c r="B6235" t="str">
        <f>"1551685760943682"</f>
        <v>1551685760943682</v>
      </c>
      <c r="C6235" t="s">
        <v>40</v>
      </c>
      <c r="D6235">
        <v>4.2064059999999897</v>
      </c>
      <c r="E6235">
        <v>0.48428470000000001</v>
      </c>
      <c r="F6235" t="s">
        <v>89</v>
      </c>
      <c r="G6235">
        <v>-279.68</v>
      </c>
      <c r="H6235">
        <v>1.0662860000000001</v>
      </c>
      <c r="I6235">
        <v>13.594279999999999</v>
      </c>
      <c r="J6235">
        <v>-401.43619999999999</v>
      </c>
      <c r="K6235">
        <v>1.1142219999999901</v>
      </c>
      <c r="L6235">
        <v>19.26266</v>
      </c>
      <c r="M6235">
        <v>0.97113579999999999</v>
      </c>
      <c r="N6235">
        <v>-1.3933269999999999E-2</v>
      </c>
      <c r="O6235">
        <v>-0.2381199</v>
      </c>
      <c r="P6235">
        <v>0.98413519999999999</v>
      </c>
      <c r="Q6235">
        <v>0.15755239999999901</v>
      </c>
      <c r="R6235">
        <v>-8.1579579999999999E-2</v>
      </c>
      <c r="S6235">
        <v>3.037201</v>
      </c>
      <c r="T6235">
        <v>-1.194954E-3</v>
      </c>
      <c r="U6235">
        <v>-0.1419067</v>
      </c>
      <c r="V6235">
        <v>-0.1564432</v>
      </c>
      <c r="W6235">
        <v>0.169928</v>
      </c>
      <c r="X6235">
        <v>0.97295940000000003</v>
      </c>
      <c r="Y6235">
        <v>-0.1925318</v>
      </c>
      <c r="Z6235">
        <v>-1.872199E-3</v>
      </c>
      <c r="AA6235">
        <v>0.98128899999999997</v>
      </c>
      <c r="AB6235">
        <v>22</v>
      </c>
      <c r="AC6235">
        <v>121.756199999999</v>
      </c>
      <c r="AD6235">
        <v>-4.7935999999999701E-2</v>
      </c>
      <c r="AE6235">
        <v>-5.66838</v>
      </c>
      <c r="AF6235">
        <v>-23.4900844490091</v>
      </c>
      <c r="AG6235">
        <v>-4.7935999999999701E-2</v>
      </c>
      <c r="AH6235">
        <v>119.603152580204</v>
      </c>
      <c r="AI6235">
        <v>90.022533219719804</v>
      </c>
      <c r="AJ6235">
        <v>101.111475983386</v>
      </c>
      <c r="AK6235">
        <v>121.888065340316</v>
      </c>
      <c r="AL6235">
        <v>80.216367118194896</v>
      </c>
      <c r="AM6235">
        <v>99.134466050750603</v>
      </c>
      <c r="AN6235">
        <v>0.99999999702929998</v>
      </c>
    </row>
    <row r="6236" spans="1:40" x14ac:dyDescent="0.25">
      <c r="A6236" t="str">
        <f>"20190304154920963"</f>
        <v>20190304154920963</v>
      </c>
      <c r="B6236" t="str">
        <f>"1551685760953442"</f>
        <v>1551685760953442</v>
      </c>
      <c r="C6236" t="s">
        <v>40</v>
      </c>
      <c r="D6236">
        <v>4.1842489999999897</v>
      </c>
      <c r="E6236">
        <v>0.48417260000000001</v>
      </c>
      <c r="F6236" t="s">
        <v>90</v>
      </c>
      <c r="G6236">
        <v>-279.68</v>
      </c>
      <c r="H6236">
        <v>0.90080709999999997</v>
      </c>
      <c r="I6236">
        <v>13.973330000000001</v>
      </c>
      <c r="J6236">
        <v>-401.32040000000001</v>
      </c>
      <c r="K6236">
        <v>1.1142129999999999</v>
      </c>
      <c r="L6236">
        <v>19.237549999999999</v>
      </c>
      <c r="M6236">
        <v>0.97179150000000003</v>
      </c>
      <c r="N6236">
        <v>-1.393086E-2</v>
      </c>
      <c r="O6236">
        <v>-0.2354299</v>
      </c>
      <c r="P6236">
        <v>0.98436820000000003</v>
      </c>
      <c r="Q6236">
        <v>0.157502799999999</v>
      </c>
      <c r="R6236">
        <v>-7.8816670000000005E-2</v>
      </c>
      <c r="S6236">
        <v>3.0382690000000001</v>
      </c>
      <c r="T6236">
        <v>-5.3254369999999997E-3</v>
      </c>
      <c r="U6236">
        <v>-0.13198850000000001</v>
      </c>
      <c r="V6236">
        <v>-0.15647990000000001</v>
      </c>
      <c r="W6236">
        <v>0.169877799999999</v>
      </c>
      <c r="X6236">
        <v>0.97296229999999995</v>
      </c>
      <c r="Y6236">
        <v>-0.1930298</v>
      </c>
      <c r="Z6236">
        <v>-1.382613E-3</v>
      </c>
      <c r="AA6236">
        <v>0.98119190000000001</v>
      </c>
      <c r="AB6236">
        <v>22</v>
      </c>
      <c r="AC6236">
        <v>121.6404</v>
      </c>
      <c r="AD6236">
        <v>-0.21340589999999901</v>
      </c>
      <c r="AE6236">
        <v>-5.2642199999999999</v>
      </c>
      <c r="AF6236">
        <v>-23.524273162023999</v>
      </c>
      <c r="AG6236">
        <v>-0.21340589999999901</v>
      </c>
      <c r="AH6236">
        <v>119.45968530357899</v>
      </c>
      <c r="AI6236">
        <v>90.100425913710097</v>
      </c>
      <c r="AJ6236">
        <v>101.14027430819399</v>
      </c>
      <c r="AK6236">
        <v>121.754069265507</v>
      </c>
      <c r="AL6236">
        <v>80.219286143370198</v>
      </c>
      <c r="AM6236">
        <v>99.136545993486905</v>
      </c>
      <c r="AN6236">
        <v>1.00000003162906</v>
      </c>
    </row>
    <row r="6237" spans="1:40" x14ac:dyDescent="0.25">
      <c r="A6237" t="str">
        <f>"20190304154920974"</f>
        <v>20190304154920974</v>
      </c>
      <c r="B6237" t="str">
        <f>"1551685760963202"</f>
        <v>1551685760963202</v>
      </c>
      <c r="C6237" t="s">
        <v>40</v>
      </c>
      <c r="D6237">
        <v>4.1263629999999996</v>
      </c>
      <c r="E6237">
        <v>0.48388560000000003</v>
      </c>
      <c r="F6237" t="s">
        <v>90</v>
      </c>
      <c r="G6237">
        <v>-279.68</v>
      </c>
      <c r="H6237">
        <v>0.75585449999999998</v>
      </c>
      <c r="I6237">
        <v>14.33236</v>
      </c>
      <c r="J6237">
        <v>-401.21129999999999</v>
      </c>
      <c r="K6237">
        <v>1.1142080000000001</v>
      </c>
      <c r="L6237">
        <v>19.214020000000001</v>
      </c>
      <c r="M6237">
        <v>0.97240260000000001</v>
      </c>
      <c r="N6237">
        <v>-1.3928599999999999E-2</v>
      </c>
      <c r="O6237">
        <v>-0.23289319999999999</v>
      </c>
      <c r="P6237">
        <v>0.98451440000000001</v>
      </c>
      <c r="Q6237">
        <v>0.157804799999999</v>
      </c>
      <c r="R6237">
        <v>-7.6350630000000003E-2</v>
      </c>
      <c r="S6237">
        <v>3.0392459999999999</v>
      </c>
      <c r="T6237">
        <v>-8.9536909999999997E-3</v>
      </c>
      <c r="U6237">
        <v>-0.1225586</v>
      </c>
      <c r="V6237">
        <v>-0.15636720000000001</v>
      </c>
      <c r="W6237">
        <v>0.17017950000000001</v>
      </c>
      <c r="X6237">
        <v>0.97292769999999995</v>
      </c>
      <c r="Y6237">
        <v>-0.19352330000000001</v>
      </c>
      <c r="Z6237">
        <v>-9.5559099999999999E-4</v>
      </c>
      <c r="AA6237">
        <v>0.98109519999999995</v>
      </c>
      <c r="AB6237">
        <v>22</v>
      </c>
      <c r="AC6237">
        <v>121.5313</v>
      </c>
      <c r="AD6237">
        <v>-0.35835349999999999</v>
      </c>
      <c r="AE6237">
        <v>-4.8816600000000001</v>
      </c>
      <c r="AF6237">
        <v>-23.5589546294628</v>
      </c>
      <c r="AG6237">
        <v>-0.35835349999999999</v>
      </c>
      <c r="AH6237">
        <v>119.32479335701601</v>
      </c>
      <c r="AI6237">
        <v>90.168810157930196</v>
      </c>
      <c r="AJ6237">
        <v>101.168581398862</v>
      </c>
      <c r="AK6237">
        <v>121.62877566661101</v>
      </c>
      <c r="AL6237">
        <v>80.201744634289497</v>
      </c>
      <c r="AM6237">
        <v>99.130395757494796</v>
      </c>
      <c r="AN6237">
        <v>1.0000000364416799</v>
      </c>
    </row>
    <row r="6238" spans="1:40" x14ac:dyDescent="0.25">
      <c r="A6238" t="str">
        <f>"20190304154920987"</f>
        <v>20190304154920987</v>
      </c>
      <c r="B6238" t="str">
        <f>"1551685760983697"</f>
        <v>1551685760983697</v>
      </c>
      <c r="C6238" t="s">
        <v>40</v>
      </c>
      <c r="D6238">
        <v>4.2395529999999999</v>
      </c>
      <c r="E6238">
        <v>0.48345260000000001</v>
      </c>
      <c r="F6238" t="s">
        <v>90</v>
      </c>
      <c r="G6238">
        <v>-279.68</v>
      </c>
      <c r="H6238">
        <v>0.63782079999999997</v>
      </c>
      <c r="I6238">
        <v>14.718819999999999</v>
      </c>
      <c r="J6238">
        <v>-401.09550000000002</v>
      </c>
      <c r="K6238">
        <v>1.1142049999999999</v>
      </c>
      <c r="L6238">
        <v>19.189450000000001</v>
      </c>
      <c r="M6238">
        <v>0.97304400000000002</v>
      </c>
      <c r="N6238">
        <v>-1.3926259999999999E-2</v>
      </c>
      <c r="O6238">
        <v>-0.23019899999999999</v>
      </c>
      <c r="P6238">
        <v>0.98470559999999996</v>
      </c>
      <c r="Q6238">
        <v>0.15791329999999901</v>
      </c>
      <c r="R6238">
        <v>-7.361007E-2</v>
      </c>
      <c r="S6238">
        <v>3.040375</v>
      </c>
      <c r="T6238">
        <v>-1.1917830000000001E-2</v>
      </c>
      <c r="U6238">
        <v>-0.1124573</v>
      </c>
      <c r="V6238">
        <v>-0.1563754</v>
      </c>
      <c r="W6238">
        <v>0.17028699999999999</v>
      </c>
      <c r="X6238">
        <v>0.97290750000000004</v>
      </c>
      <c r="Y6238">
        <v>-0.19407579999999999</v>
      </c>
      <c r="Z6238">
        <v>-6.0302830000000002E-4</v>
      </c>
      <c r="AA6238">
        <v>0.98098640000000004</v>
      </c>
      <c r="AB6238">
        <v>22</v>
      </c>
      <c r="AC6238">
        <v>121.41549999999999</v>
      </c>
      <c r="AD6238">
        <v>-0.47638419999999898</v>
      </c>
      <c r="AE6238">
        <v>-4.4706299999999999</v>
      </c>
      <c r="AF6238">
        <v>-23.601531213238399</v>
      </c>
      <c r="AG6238">
        <v>-0.47638419999999898</v>
      </c>
      <c r="AH6238">
        <v>119.181475170816</v>
      </c>
      <c r="AI6238">
        <v>90.224655003353902</v>
      </c>
      <c r="AJ6238">
        <v>101.20137099999501</v>
      </c>
      <c r="AK6238">
        <v>121.496844573871</v>
      </c>
      <c r="AL6238">
        <v>80.195493405007795</v>
      </c>
      <c r="AM6238">
        <v>99.131052882132806</v>
      </c>
      <c r="AN6238">
        <v>0.99999996582520401</v>
      </c>
    </row>
    <row r="6239" spans="1:40" x14ac:dyDescent="0.25">
      <c r="A6239" t="str">
        <f>"20190304154920999"</f>
        <v>20190304154920999</v>
      </c>
      <c r="B6239" t="str">
        <f>"1551685760993458"</f>
        <v>1551685760993458</v>
      </c>
      <c r="C6239" t="s">
        <v>40</v>
      </c>
      <c r="D6239">
        <v>4.1833689999999999</v>
      </c>
      <c r="E6239">
        <v>0.48336519999999999</v>
      </c>
      <c r="F6239" t="s">
        <v>90</v>
      </c>
      <c r="G6239">
        <v>-279.68</v>
      </c>
      <c r="H6239">
        <v>0.33301140000000001</v>
      </c>
      <c r="I6239">
        <v>15.173769999999999</v>
      </c>
      <c r="J6239">
        <v>-400.97669999999999</v>
      </c>
      <c r="K6239">
        <v>1.114204</v>
      </c>
      <c r="L6239">
        <v>19.16461</v>
      </c>
      <c r="M6239">
        <v>0.97369349999999999</v>
      </c>
      <c r="N6239">
        <v>-1.3924010000000001E-2</v>
      </c>
      <c r="O6239">
        <v>-0.22743679999999999</v>
      </c>
      <c r="P6239">
        <v>0.9848789</v>
      </c>
      <c r="Q6239">
        <v>0.15814439999999999</v>
      </c>
      <c r="R6239">
        <v>-7.0740319999999995E-2</v>
      </c>
      <c r="S6239">
        <v>3.0421749999999999</v>
      </c>
      <c r="T6239">
        <v>-1.9573449999999999E-2</v>
      </c>
      <c r="U6239">
        <v>-0.1006165</v>
      </c>
      <c r="V6239">
        <v>-0.15644050000000001</v>
      </c>
      <c r="W6239">
        <v>0.1705168</v>
      </c>
      <c r="X6239">
        <v>0.97285679999999997</v>
      </c>
      <c r="Y6239">
        <v>-0.1951261</v>
      </c>
      <c r="Z6239">
        <v>2.4816790000000002E-4</v>
      </c>
      <c r="AA6239">
        <v>0.98077820000000004</v>
      </c>
      <c r="AB6239">
        <v>22</v>
      </c>
      <c r="AC6239">
        <v>121.2967</v>
      </c>
      <c r="AD6239">
        <v>-0.78119260000000001</v>
      </c>
      <c r="AE6239">
        <v>-3.9908399999999902</v>
      </c>
      <c r="AF6239">
        <v>-23.702789344784801</v>
      </c>
      <c r="AG6239">
        <v>-0.78119260000000001</v>
      </c>
      <c r="AH6239">
        <v>119.020055302318</v>
      </c>
      <c r="AI6239">
        <v>90.368815212977296</v>
      </c>
      <c r="AJ6239">
        <v>101.263071233907</v>
      </c>
      <c r="AK6239">
        <v>121.35982056994099</v>
      </c>
      <c r="AL6239">
        <v>80.182131563061304</v>
      </c>
      <c r="AM6239">
        <v>99.135258145553607</v>
      </c>
      <c r="AN6239">
        <v>0.99999998121436395</v>
      </c>
    </row>
    <row r="6240" spans="1:40" x14ac:dyDescent="0.25">
      <c r="A6240" t="str">
        <f>"20190304154921016"</f>
        <v>20190304154921016</v>
      </c>
      <c r="B6240" t="str">
        <f>"1551685761013954"</f>
        <v>1551685761013954</v>
      </c>
      <c r="C6240" t="s">
        <v>40</v>
      </c>
      <c r="D6240">
        <v>4.2308649999999997</v>
      </c>
      <c r="E6240">
        <v>0.48344330000000002</v>
      </c>
      <c r="F6240" t="s">
        <v>90</v>
      </c>
      <c r="G6240">
        <v>-279.68</v>
      </c>
      <c r="H6240">
        <v>0.2597447</v>
      </c>
      <c r="I6240">
        <v>15.537089999999999</v>
      </c>
      <c r="J6240">
        <v>-400.80829999999997</v>
      </c>
      <c r="K6240">
        <v>1.1142000000000001</v>
      </c>
      <c r="L6240">
        <v>19.129940000000001</v>
      </c>
      <c r="M6240">
        <v>0.97460009999999997</v>
      </c>
      <c r="N6240">
        <v>-1.392093E-2</v>
      </c>
      <c r="O6240">
        <v>-0.223519</v>
      </c>
      <c r="P6240">
        <v>0.98523620000000001</v>
      </c>
      <c r="Q6240">
        <v>0.15800129999999901</v>
      </c>
      <c r="R6240">
        <v>-6.5919619999999998E-2</v>
      </c>
      <c r="S6240">
        <v>3.0429689999999998</v>
      </c>
      <c r="T6240">
        <v>-2.1435739999999998E-2</v>
      </c>
      <c r="U6240">
        <v>-9.1003420000000002E-2</v>
      </c>
      <c r="V6240">
        <v>-0.15729219999999999</v>
      </c>
      <c r="W6240">
        <v>0.17036499999999999</v>
      </c>
      <c r="X6240">
        <v>0.97274609999999995</v>
      </c>
      <c r="Y6240">
        <v>-0.19428490000000001</v>
      </c>
      <c r="Z6240">
        <v>4.660283E-4</v>
      </c>
      <c r="AA6240">
        <v>0.98094510000000001</v>
      </c>
      <c r="AB6240">
        <v>22</v>
      </c>
      <c r="AC6240">
        <v>121.128299999999</v>
      </c>
      <c r="AD6240">
        <v>-0.85445530000000003</v>
      </c>
      <c r="AE6240">
        <v>-3.5928499999999901</v>
      </c>
      <c r="AF6240">
        <v>-23.573998232125799</v>
      </c>
      <c r="AG6240">
        <v>-0.85445530000000003</v>
      </c>
      <c r="AH6240">
        <v>118.86033888783901</v>
      </c>
      <c r="AI6240">
        <v>90.404007835708995</v>
      </c>
      <c r="AJ6240">
        <v>101.21809734099701</v>
      </c>
      <c r="AK6240">
        <v>121.178561004164</v>
      </c>
      <c r="AL6240">
        <v>80.190958621373596</v>
      </c>
      <c r="AM6240">
        <v>99.185174739497199</v>
      </c>
      <c r="AN6240">
        <v>1.0000000222355201</v>
      </c>
    </row>
    <row r="6241" spans="1:40" x14ac:dyDescent="0.25">
      <c r="A6241" t="str">
        <f>"20190304154921029"</f>
        <v>20190304154921029</v>
      </c>
      <c r="B6241" t="str">
        <f>"1551685761023714"</f>
        <v>1551685761023714</v>
      </c>
      <c r="C6241" t="s">
        <v>40</v>
      </c>
      <c r="D6241">
        <v>4.2595939999999999</v>
      </c>
      <c r="E6241">
        <v>0.48358970000000001</v>
      </c>
      <c r="F6241" t="s">
        <v>90</v>
      </c>
      <c r="G6241">
        <v>-279.68</v>
      </c>
      <c r="H6241">
        <v>0.10485120000000001</v>
      </c>
      <c r="I6241">
        <v>16.06354</v>
      </c>
      <c r="J6241">
        <v>-400.67970000000003</v>
      </c>
      <c r="K6241">
        <v>1.114198</v>
      </c>
      <c r="L6241">
        <v>19.103909999999999</v>
      </c>
      <c r="M6241">
        <v>0.97528139999999997</v>
      </c>
      <c r="N6241">
        <v>-1.391858E-2</v>
      </c>
      <c r="O6241">
        <v>-0.22052830000000001</v>
      </c>
      <c r="P6241">
        <v>0.98545919999999998</v>
      </c>
      <c r="Q6241">
        <v>0.15795020000000001</v>
      </c>
      <c r="R6241">
        <v>-6.2626890000000004E-2</v>
      </c>
      <c r="S6241">
        <v>3.0438839999999998</v>
      </c>
      <c r="T6241">
        <v>-2.5364279999999999E-2</v>
      </c>
      <c r="U6241">
        <v>-7.7056879999999994E-2</v>
      </c>
      <c r="V6241">
        <v>-0.15755849999999999</v>
      </c>
      <c r="W6241">
        <v>0.1703115</v>
      </c>
      <c r="X6241">
        <v>0.97271229999999997</v>
      </c>
      <c r="Y6241">
        <v>-0.19577359999999999</v>
      </c>
      <c r="Z6241">
        <v>9.1249400000000002E-4</v>
      </c>
      <c r="AA6241">
        <v>0.98064870000000004</v>
      </c>
      <c r="AB6241">
        <v>22</v>
      </c>
      <c r="AC6241">
        <v>120.9997</v>
      </c>
      <c r="AD6241">
        <v>-1.0093468000000001</v>
      </c>
      <c r="AE6241">
        <v>-3.0403699999999998</v>
      </c>
      <c r="AF6241">
        <v>-23.719287012900601</v>
      </c>
      <c r="AG6241">
        <v>-1.0093468000000001</v>
      </c>
      <c r="AH6241">
        <v>118.682472690879</v>
      </c>
      <c r="AI6241">
        <v>90.477817249665506</v>
      </c>
      <c r="AJ6241">
        <v>101.30194456279401</v>
      </c>
      <c r="AK6241">
        <v>121.03368407755001</v>
      </c>
      <c r="AL6241">
        <v>80.194068724601905</v>
      </c>
      <c r="AM6241">
        <v>99.200773995746303</v>
      </c>
      <c r="AN6241">
        <v>0.99999995326289304</v>
      </c>
    </row>
    <row r="6242" spans="1:40" x14ac:dyDescent="0.25">
      <c r="A6242" t="str">
        <f>"20190304154921041"</f>
        <v>20190304154921041</v>
      </c>
      <c r="B6242" t="str">
        <f>"1551685761033473"</f>
        <v>1551685761033473</v>
      </c>
      <c r="C6242" t="s">
        <v>40</v>
      </c>
      <c r="D6242">
        <v>4.2724520000000004</v>
      </c>
      <c r="E6242">
        <v>0.48378500000000002</v>
      </c>
      <c r="F6242" t="s">
        <v>90</v>
      </c>
      <c r="G6242">
        <v>-279.68</v>
      </c>
      <c r="H6242">
        <v>1.8040299999999999E-2</v>
      </c>
      <c r="I6242">
        <v>16.397860000000001</v>
      </c>
      <c r="J6242">
        <v>-400.57069999999999</v>
      </c>
      <c r="K6242">
        <v>1.1141939999999999</v>
      </c>
      <c r="L6242">
        <v>19.082280000000001</v>
      </c>
      <c r="M6242">
        <v>0.97585169999999999</v>
      </c>
      <c r="N6242">
        <v>-1.391657E-2</v>
      </c>
      <c r="O6242">
        <v>-0.21799160000000001</v>
      </c>
      <c r="P6242">
        <v>0.98561100000000001</v>
      </c>
      <c r="Q6242">
        <v>0.15803970000000001</v>
      </c>
      <c r="R6242">
        <v>-5.9955689999999999E-2</v>
      </c>
      <c r="S6242">
        <v>3.0443730000000002</v>
      </c>
      <c r="T6242">
        <v>-2.7579429999999999E-2</v>
      </c>
      <c r="U6242">
        <v>-6.8084720000000001E-2</v>
      </c>
      <c r="V6242">
        <v>-0.15766179999999999</v>
      </c>
      <c r="W6242">
        <v>0.17039939999999901</v>
      </c>
      <c r="X6242">
        <v>0.97268019999999999</v>
      </c>
      <c r="Y6242">
        <v>-0.1961147</v>
      </c>
      <c r="Z6242">
        <v>1.1606190000000001E-3</v>
      </c>
      <c r="AA6242">
        <v>0.98058029999999996</v>
      </c>
      <c r="AB6242">
        <v>22</v>
      </c>
      <c r="AC6242">
        <v>120.890699999999</v>
      </c>
      <c r="AD6242">
        <v>-1.0961536999999999</v>
      </c>
      <c r="AE6242">
        <v>-2.68441999999999</v>
      </c>
      <c r="AF6242">
        <v>-23.733903016854399</v>
      </c>
      <c r="AG6242">
        <v>-1.0961536999999999</v>
      </c>
      <c r="AH6242">
        <v>118.558283114793</v>
      </c>
      <c r="AI6242">
        <v>90.519419128821596</v>
      </c>
      <c r="AJ6242">
        <v>101.320269636399</v>
      </c>
      <c r="AK6242">
        <v>120.915533329986</v>
      </c>
      <c r="AL6242">
        <v>80.188958031381205</v>
      </c>
      <c r="AM6242">
        <v>99.207001657290405</v>
      </c>
      <c r="AN6242">
        <v>0.999999985085819</v>
      </c>
    </row>
    <row r="6243" spans="1:40" x14ac:dyDescent="0.25">
      <c r="A6243" t="str">
        <f>"20190304154921053"</f>
        <v>20190304154921053</v>
      </c>
      <c r="B6243" t="str">
        <f>"1551685761043234"</f>
        <v>1551685761043234</v>
      </c>
      <c r="C6243" t="s">
        <v>40</v>
      </c>
      <c r="D6243">
        <v>4.3124880000000001</v>
      </c>
      <c r="E6243">
        <v>0.48385400000000001</v>
      </c>
      <c r="F6243" t="s">
        <v>90</v>
      </c>
      <c r="G6243">
        <v>-279.68</v>
      </c>
      <c r="H6243">
        <v>-4.1491840000000002E-2</v>
      </c>
      <c r="I6243">
        <v>16.647960000000001</v>
      </c>
      <c r="J6243">
        <v>-400.44639999999998</v>
      </c>
      <c r="K6243">
        <v>1.114188</v>
      </c>
      <c r="L6243">
        <v>19.057829999999999</v>
      </c>
      <c r="M6243">
        <v>0.9764929</v>
      </c>
      <c r="N6243">
        <v>-1.3914289999999999E-2</v>
      </c>
      <c r="O6243">
        <v>-0.21509990000000001</v>
      </c>
      <c r="P6243">
        <v>0.98578650000000001</v>
      </c>
      <c r="Q6243">
        <v>0.15811069999999999</v>
      </c>
      <c r="R6243">
        <v>-5.6801749999999998E-2</v>
      </c>
      <c r="S6243">
        <v>3.044708</v>
      </c>
      <c r="T6243">
        <v>-2.910662E-2</v>
      </c>
      <c r="U6243">
        <v>-6.1309809999999999E-2</v>
      </c>
      <c r="V6243">
        <v>-0.15788949999999999</v>
      </c>
      <c r="W6243">
        <v>0.17046789999999901</v>
      </c>
      <c r="X6243">
        <v>0.97263129999999998</v>
      </c>
      <c r="Y6243">
        <v>-0.19539229999999999</v>
      </c>
      <c r="Z6243">
        <v>1.3240610000000001E-3</v>
      </c>
      <c r="AA6243">
        <v>0.98072429999999999</v>
      </c>
      <c r="AB6243">
        <v>22</v>
      </c>
      <c r="AC6243">
        <v>120.766399999999</v>
      </c>
      <c r="AD6243">
        <v>-1.1556798399999999</v>
      </c>
      <c r="AE6243">
        <v>-2.40986999999999</v>
      </c>
      <c r="AF6243">
        <v>-23.623744786287901</v>
      </c>
      <c r="AG6243">
        <v>-1.1556798399999999</v>
      </c>
      <c r="AH6243">
        <v>118.446522530633</v>
      </c>
      <c r="AI6243">
        <v>90.548219020884702</v>
      </c>
      <c r="AJ6243">
        <v>101.279435956019</v>
      </c>
      <c r="AK6243">
        <v>120.784914675716</v>
      </c>
      <c r="AL6243">
        <v>80.184975365500406</v>
      </c>
      <c r="AM6243">
        <v>99.220526068586906</v>
      </c>
      <c r="AN6243">
        <v>1.0000000224401699</v>
      </c>
    </row>
    <row r="6244" spans="1:40" x14ac:dyDescent="0.25">
      <c r="A6244" t="str">
        <f>"20190304154921068"</f>
        <v>20190304154921068</v>
      </c>
      <c r="B6244" t="str">
        <f>"1551685761063730"</f>
        <v>1551685761063730</v>
      </c>
      <c r="C6244" t="s">
        <v>40</v>
      </c>
      <c r="D6244">
        <v>4.2838960000000004</v>
      </c>
      <c r="E6244">
        <v>0.4841551</v>
      </c>
      <c r="F6244" t="s">
        <v>45</v>
      </c>
      <c r="G6244">
        <v>-287.92</v>
      </c>
      <c r="H6244">
        <v>-0.05</v>
      </c>
      <c r="I6244">
        <v>17.137450000000001</v>
      </c>
      <c r="J6244">
        <v>-400.3066</v>
      </c>
      <c r="K6244">
        <v>1.114182</v>
      </c>
      <c r="L6244">
        <v>19.03088</v>
      </c>
      <c r="M6244">
        <v>0.97720359999999995</v>
      </c>
      <c r="N6244">
        <v>-1.3911700000000001E-2</v>
      </c>
      <c r="O6244">
        <v>-0.2118485</v>
      </c>
      <c r="P6244">
        <v>0.98594990000000005</v>
      </c>
      <c r="Q6244">
        <v>0.1582192</v>
      </c>
      <c r="R6244">
        <v>-5.3568909999999997E-2</v>
      </c>
      <c r="S6244">
        <v>3.0452880000000002</v>
      </c>
      <c r="T6244">
        <v>-3.1506300000000001E-2</v>
      </c>
      <c r="U6244">
        <v>-5.1971440000000001E-2</v>
      </c>
      <c r="V6244">
        <v>-0.15783549999999999</v>
      </c>
      <c r="W6244">
        <v>0.17057600000000001</v>
      </c>
      <c r="X6244">
        <v>0.97262110000000002</v>
      </c>
      <c r="Y6244">
        <v>-0.19513620000000001</v>
      </c>
      <c r="Z6244">
        <v>1.579521E-3</v>
      </c>
      <c r="AA6244">
        <v>0.98077490000000001</v>
      </c>
      <c r="AB6244">
        <v>22</v>
      </c>
      <c r="AC6244">
        <v>112.3866</v>
      </c>
      <c r="AD6244">
        <v>-1.1641820000000001</v>
      </c>
      <c r="AE6244">
        <v>-1.89342999999999</v>
      </c>
      <c r="AF6244">
        <v>-21.958433497341399</v>
      </c>
      <c r="AG6244">
        <v>-1.1641820000000001</v>
      </c>
      <c r="AH6244">
        <v>110.224543236584</v>
      </c>
      <c r="AI6244">
        <v>90.593469504427802</v>
      </c>
      <c r="AJ6244">
        <v>101.26670421403399</v>
      </c>
      <c r="AK6244">
        <v>112.396521534699</v>
      </c>
      <c r="AL6244">
        <v>80.178689511805004</v>
      </c>
      <c r="AM6244">
        <v>99.217521687270704</v>
      </c>
      <c r="AN6244">
        <v>1.0000000105007301</v>
      </c>
    </row>
    <row r="6245" spans="1:40" x14ac:dyDescent="0.25">
      <c r="A6245" t="str">
        <f>"20190304154921086"</f>
        <v>20190304154921086</v>
      </c>
      <c r="B6245" t="str">
        <f>"1551685761083250"</f>
        <v>1551685761083250</v>
      </c>
      <c r="C6245" t="s">
        <v>40</v>
      </c>
      <c r="D6245">
        <v>4.3049410000000004</v>
      </c>
      <c r="E6245">
        <v>0.48468660000000002</v>
      </c>
      <c r="F6245" t="s">
        <v>45</v>
      </c>
      <c r="G6245">
        <v>-296.11200000000002</v>
      </c>
      <c r="H6245">
        <v>-0.05</v>
      </c>
      <c r="I6245">
        <v>17.517109999999999</v>
      </c>
      <c r="J6245">
        <v>-400.13929999999999</v>
      </c>
      <c r="K6245">
        <v>1.1141760000000001</v>
      </c>
      <c r="L6245">
        <v>18.999269999999999</v>
      </c>
      <c r="M6245">
        <v>0.97803989999999996</v>
      </c>
      <c r="N6245">
        <v>-1.3908759999999999E-2</v>
      </c>
      <c r="O6245">
        <v>-0.20795369999999999</v>
      </c>
      <c r="P6245">
        <v>0.98613669999999998</v>
      </c>
      <c r="Q6245">
        <v>0.1583398</v>
      </c>
      <c r="R6245">
        <v>-4.962975E-2</v>
      </c>
      <c r="S6245">
        <v>3.045776</v>
      </c>
      <c r="T6245">
        <v>-3.4030909999999998E-2</v>
      </c>
      <c r="U6245">
        <v>-4.4250490000000003E-2</v>
      </c>
      <c r="V6245">
        <v>-0.15784000000000001</v>
      </c>
      <c r="W6245">
        <v>0.1706963</v>
      </c>
      <c r="X6245">
        <v>0.97259930000000006</v>
      </c>
      <c r="Y6245">
        <v>-0.1937149</v>
      </c>
      <c r="Z6245">
        <v>1.829631E-3</v>
      </c>
      <c r="AA6245">
        <v>0.98105620000000004</v>
      </c>
      <c r="AB6245">
        <v>22</v>
      </c>
      <c r="AC6245">
        <v>104.027299999999</v>
      </c>
      <c r="AD6245">
        <v>-1.1641760000000001</v>
      </c>
      <c r="AE6245">
        <v>-1.4821599999999999</v>
      </c>
      <c r="AF6245">
        <v>-20.1826732677116</v>
      </c>
      <c r="AG6245">
        <v>-1.1641760000000001</v>
      </c>
      <c r="AH6245">
        <v>102.048153049592</v>
      </c>
      <c r="AI6245">
        <v>90.641189080406804</v>
      </c>
      <c r="AJ6245">
        <v>101.187354199246</v>
      </c>
      <c r="AK6245">
        <v>104.03134694323199</v>
      </c>
      <c r="AL6245">
        <v>80.171694584040196</v>
      </c>
      <c r="AM6245">
        <v>99.217983036195903</v>
      </c>
      <c r="AN6245">
        <v>1.0000000453970801</v>
      </c>
    </row>
    <row r="6246" spans="1:40" x14ac:dyDescent="0.25">
      <c r="A6246" t="str">
        <f>"20190304154921100"</f>
        <v>20190304154921100</v>
      </c>
      <c r="B6246" t="str">
        <f>"1551685761093985"</f>
        <v>1551685761093985</v>
      </c>
      <c r="C6246" t="s">
        <v>40</v>
      </c>
      <c r="D6246">
        <v>4.3313220000000001</v>
      </c>
      <c r="E6246">
        <v>0.48476730000000001</v>
      </c>
      <c r="F6246" t="s">
        <v>45</v>
      </c>
      <c r="G6246">
        <v>-301.2799</v>
      </c>
      <c r="H6246">
        <v>-0.05</v>
      </c>
      <c r="I6246">
        <v>17.818680000000001</v>
      </c>
      <c r="J6246">
        <v>-399.99599999999998</v>
      </c>
      <c r="K6246">
        <v>1.1141669999999999</v>
      </c>
      <c r="L6246">
        <v>18.972719999999999</v>
      </c>
      <c r="M6246">
        <v>0.97874269999999997</v>
      </c>
      <c r="N6246">
        <v>-1.390622E-2</v>
      </c>
      <c r="O6246">
        <v>-0.20461989999999999</v>
      </c>
      <c r="P6246">
        <v>0.98630859999999998</v>
      </c>
      <c r="Q6246">
        <v>0.1583127</v>
      </c>
      <c r="R6246">
        <v>-4.6176639999999998E-2</v>
      </c>
      <c r="S6246">
        <v>3.0461119999999999</v>
      </c>
      <c r="T6246">
        <v>-3.5871269999999997E-2</v>
      </c>
      <c r="U6246">
        <v>-3.6376949999999998E-2</v>
      </c>
      <c r="V6246">
        <v>-0.15792890000000001</v>
      </c>
      <c r="W6246">
        <v>0.17066899999999999</v>
      </c>
      <c r="X6246">
        <v>0.97258960000000005</v>
      </c>
      <c r="Y6246">
        <v>-0.1929072</v>
      </c>
      <c r="Z6246">
        <v>2.0114899999999999E-3</v>
      </c>
      <c r="AA6246">
        <v>0.9812149</v>
      </c>
      <c r="AB6246">
        <v>22</v>
      </c>
      <c r="AC6246">
        <v>98.716099999999898</v>
      </c>
      <c r="AD6246">
        <v>-1.164167</v>
      </c>
      <c r="AE6246">
        <v>-1.15404</v>
      </c>
      <c r="AF6246">
        <v>-19.0689631380633</v>
      </c>
      <c r="AG6246">
        <v>-1.164167</v>
      </c>
      <c r="AH6246">
        <v>96.849702364265497</v>
      </c>
      <c r="AI6246">
        <v>90.675710247622703</v>
      </c>
      <c r="AJ6246">
        <v>101.138622312113</v>
      </c>
      <c r="AK6246">
        <v>98.715983954026001</v>
      </c>
      <c r="AL6246">
        <v>80.173281478820996</v>
      </c>
      <c r="AM6246">
        <v>99.223176071815402</v>
      </c>
      <c r="AN6246">
        <v>0.999999987522185</v>
      </c>
    </row>
    <row r="6247" spans="1:40" x14ac:dyDescent="0.25">
      <c r="A6247" t="str">
        <f>"20190304154921117"</f>
        <v>20190304154921117</v>
      </c>
      <c r="B6247" t="str">
        <f>"1551685761113506"</f>
        <v>1551685761113506</v>
      </c>
      <c r="C6247" t="s">
        <v>40</v>
      </c>
      <c r="D6247">
        <v>4.3482799999999999</v>
      </c>
      <c r="E6247">
        <v>0.48542210000000002</v>
      </c>
      <c r="F6247" t="s">
        <v>45</v>
      </c>
      <c r="G6247">
        <v>-306.78309999999999</v>
      </c>
      <c r="H6247">
        <v>-0.05</v>
      </c>
      <c r="I6247">
        <v>18.16037</v>
      </c>
      <c r="J6247">
        <v>-399.8347</v>
      </c>
      <c r="K6247">
        <v>1.114158</v>
      </c>
      <c r="L6247">
        <v>18.943449999999999</v>
      </c>
      <c r="M6247">
        <v>0.97951860000000002</v>
      </c>
      <c r="N6247">
        <v>-1.390329E-2</v>
      </c>
      <c r="O6247">
        <v>-0.2008731</v>
      </c>
      <c r="P6247">
        <v>0.98644940000000003</v>
      </c>
      <c r="Q6247">
        <v>0.15848519999999999</v>
      </c>
      <c r="R6247">
        <v>-4.2425659999999997E-2</v>
      </c>
      <c r="S6247">
        <v>3.0465089999999999</v>
      </c>
      <c r="T6247">
        <v>-3.8048859999999997E-2</v>
      </c>
      <c r="U6247">
        <v>-2.6550290000000001E-2</v>
      </c>
      <c r="V6247">
        <v>-0.1578977</v>
      </c>
      <c r="W6247">
        <v>0.17084240000000001</v>
      </c>
      <c r="X6247">
        <v>0.97256419999999999</v>
      </c>
      <c r="Y6247">
        <v>-0.1923163</v>
      </c>
      <c r="Z6247">
        <v>2.2252740000000002E-3</v>
      </c>
      <c r="AA6247">
        <v>0.98133049999999999</v>
      </c>
      <c r="AB6247">
        <v>22</v>
      </c>
      <c r="AC6247">
        <v>93.051599999999993</v>
      </c>
      <c r="AD6247">
        <v>-1.164158</v>
      </c>
      <c r="AE6247">
        <v>-0.783079999999998</v>
      </c>
      <c r="AF6247">
        <v>-17.923449451624201</v>
      </c>
      <c r="AG6247">
        <v>-1.164158</v>
      </c>
      <c r="AH6247">
        <v>91.297609744793704</v>
      </c>
      <c r="AI6247">
        <v>90.716870385761794</v>
      </c>
      <c r="AJ6247">
        <v>101.10699203879101</v>
      </c>
      <c r="AK6247">
        <v>93.047616031828298</v>
      </c>
      <c r="AL6247">
        <v>80.1631980912085</v>
      </c>
      <c r="AM6247">
        <v>99.221621965086001</v>
      </c>
      <c r="AN6247">
        <v>0.99999996621234399</v>
      </c>
    </row>
    <row r="6248" spans="1:40" x14ac:dyDescent="0.25">
      <c r="A6248" t="str">
        <f>"20190304154921130"</f>
        <v>20190304154921130</v>
      </c>
      <c r="B6248" t="str">
        <f>"1551685761123266"</f>
        <v>1551685761123266</v>
      </c>
      <c r="C6248" t="s">
        <v>40</v>
      </c>
      <c r="D6248">
        <v>4.3187989999999896</v>
      </c>
      <c r="E6248">
        <v>0.4857535</v>
      </c>
      <c r="F6248" t="s">
        <v>45</v>
      </c>
      <c r="G6248">
        <v>-307.94409999999999</v>
      </c>
      <c r="H6248">
        <v>-0.05</v>
      </c>
      <c r="I6248">
        <v>18.328579999999999</v>
      </c>
      <c r="J6248">
        <v>-399.71300000000002</v>
      </c>
      <c r="K6248">
        <v>1.1141509999999999</v>
      </c>
      <c r="L6248">
        <v>18.921690000000002</v>
      </c>
      <c r="M6248">
        <v>0.98009409999999997</v>
      </c>
      <c r="N6248">
        <v>-1.39009999999999E-2</v>
      </c>
      <c r="O6248">
        <v>-0.19804659999999999</v>
      </c>
      <c r="P6248">
        <v>0.98658219999999996</v>
      </c>
      <c r="Q6248">
        <v>0.15836169999999999</v>
      </c>
      <c r="R6248">
        <v>-3.9717679999999998E-2</v>
      </c>
      <c r="S6248">
        <v>3.04657</v>
      </c>
      <c r="T6248">
        <v>-3.8596869999999998E-2</v>
      </c>
      <c r="U6248">
        <v>-2.0385739999999999E-2</v>
      </c>
      <c r="V6248">
        <v>-0.15776089999999901</v>
      </c>
      <c r="W6248">
        <v>0.1707217</v>
      </c>
      <c r="X6248">
        <v>0.97260760000000002</v>
      </c>
      <c r="Y6248">
        <v>-0.19147049999999999</v>
      </c>
      <c r="Z6248">
        <v>2.2723750000000001E-3</v>
      </c>
      <c r="AA6248">
        <v>0.98149569999999997</v>
      </c>
      <c r="AB6248">
        <v>22</v>
      </c>
      <c r="AC6248">
        <v>91.768900000000002</v>
      </c>
      <c r="AD6248">
        <v>-1.1641509999999999</v>
      </c>
      <c r="AE6248">
        <v>-0.59310999999999903</v>
      </c>
      <c r="AF6248">
        <v>-17.592082970355701</v>
      </c>
      <c r="AG6248">
        <v>-1.1641509999999999</v>
      </c>
      <c r="AH6248">
        <v>90.053825917962499</v>
      </c>
      <c r="AI6248">
        <v>90.726898765249501</v>
      </c>
      <c r="AJ6248">
        <v>101.05356837453</v>
      </c>
      <c r="AK6248">
        <v>91.763436036633806</v>
      </c>
      <c r="AL6248">
        <v>80.170216862601293</v>
      </c>
      <c r="AM6248">
        <v>99.213365498868498</v>
      </c>
      <c r="AN6248">
        <v>0.99999997199872903</v>
      </c>
    </row>
    <row r="6249" spans="1:40" x14ac:dyDescent="0.25">
      <c r="A6249" t="str">
        <f>"20190304154921142"</f>
        <v>20190304154921142</v>
      </c>
      <c r="B6249" t="str">
        <f>"1551685761133026"</f>
        <v>1551685761133026</v>
      </c>
      <c r="C6249" t="s">
        <v>40</v>
      </c>
      <c r="D6249">
        <v>4.3139640000000004</v>
      </c>
      <c r="E6249">
        <v>0.4862686</v>
      </c>
      <c r="F6249" t="s">
        <v>45</v>
      </c>
      <c r="G6249">
        <v>-310.03629999999998</v>
      </c>
      <c r="H6249">
        <v>-0.05</v>
      </c>
      <c r="I6249">
        <v>18.482420000000001</v>
      </c>
      <c r="J6249">
        <v>-399.59370000000001</v>
      </c>
      <c r="K6249">
        <v>1.114139</v>
      </c>
      <c r="L6249">
        <v>18.900880000000001</v>
      </c>
      <c r="M6249">
        <v>0.98064790000000002</v>
      </c>
      <c r="N6249">
        <v>-1.389863E-2</v>
      </c>
      <c r="O6249">
        <v>-0.19528599999999999</v>
      </c>
      <c r="P6249">
        <v>0.98666370000000003</v>
      </c>
      <c r="Q6249">
        <v>0.1585346</v>
      </c>
      <c r="R6249">
        <v>-3.6899099999999997E-2</v>
      </c>
      <c r="S6249">
        <v>3.0465390000000001</v>
      </c>
      <c r="T6249">
        <v>-3.9549109999999998E-2</v>
      </c>
      <c r="U6249">
        <v>-1.49231E-2</v>
      </c>
      <c r="V6249">
        <v>-0.157792299999999</v>
      </c>
      <c r="W6249">
        <v>0.17089550000000001</v>
      </c>
      <c r="X6249">
        <v>0.97257199999999999</v>
      </c>
      <c r="Y6249">
        <v>-0.19046560000000001</v>
      </c>
      <c r="Z6249">
        <v>2.3545509999999999E-3</v>
      </c>
      <c r="AA6249">
        <v>0.98169110000000004</v>
      </c>
      <c r="AB6249">
        <v>22</v>
      </c>
      <c r="AC6249">
        <v>89.557400000000001</v>
      </c>
      <c r="AD6249">
        <v>-1.164139</v>
      </c>
      <c r="AE6249">
        <v>-0.418459999999996</v>
      </c>
      <c r="AF6249">
        <v>-17.077707950508799</v>
      </c>
      <c r="AG6249">
        <v>-1.164139</v>
      </c>
      <c r="AH6249">
        <v>87.899631070136905</v>
      </c>
      <c r="AI6249">
        <v>90.744852296974798</v>
      </c>
      <c r="AJ6249">
        <v>100.99481839241901</v>
      </c>
      <c r="AK6249">
        <v>89.550815019855406</v>
      </c>
      <c r="AL6249">
        <v>80.160110496764204</v>
      </c>
      <c r="AM6249">
        <v>99.215499351096199</v>
      </c>
      <c r="AN6249">
        <v>0.99999998852176897</v>
      </c>
    </row>
    <row r="6250" spans="1:40" x14ac:dyDescent="0.25">
      <c r="A6250" t="str">
        <f>"20190304154921154"</f>
        <v>20190304154921154</v>
      </c>
      <c r="B6250" t="str">
        <f>"1551685761143761"</f>
        <v>1551685761143761</v>
      </c>
      <c r="C6250" t="s">
        <v>40</v>
      </c>
      <c r="D6250">
        <v>4.3493979999999999</v>
      </c>
      <c r="E6250">
        <v>0.48674060000000002</v>
      </c>
      <c r="F6250" t="s">
        <v>45</v>
      </c>
      <c r="G6250">
        <v>-307.8612</v>
      </c>
      <c r="H6250">
        <v>-0.05</v>
      </c>
      <c r="I6250">
        <v>18.583850000000002</v>
      </c>
      <c r="J6250">
        <v>-399.47379999999998</v>
      </c>
      <c r="K6250">
        <v>1.1141289999999999</v>
      </c>
      <c r="L6250">
        <v>18.880189999999999</v>
      </c>
      <c r="M6250">
        <v>0.98119590000000001</v>
      </c>
      <c r="N6250">
        <v>-1.3896169999999999E-2</v>
      </c>
      <c r="O6250">
        <v>-0.19251380000000001</v>
      </c>
      <c r="P6250">
        <v>0.98677820000000005</v>
      </c>
      <c r="Q6250">
        <v>0.15842970000000001</v>
      </c>
      <c r="R6250">
        <v>-3.4187479999999999E-2</v>
      </c>
      <c r="S6250">
        <v>3.0463559999999998</v>
      </c>
      <c r="T6250">
        <v>-3.8660050000000001E-2</v>
      </c>
      <c r="U6250">
        <v>-1.0528559999999999E-2</v>
      </c>
      <c r="V6250">
        <v>-0.15771350000000001</v>
      </c>
      <c r="W6250">
        <v>0.170794</v>
      </c>
      <c r="X6250">
        <v>0.97260259999999998</v>
      </c>
      <c r="Y6250">
        <v>-0.1891081</v>
      </c>
      <c r="Z6250">
        <v>2.257092E-3</v>
      </c>
      <c r="AA6250">
        <v>0.98195370000000004</v>
      </c>
      <c r="AB6250">
        <v>22</v>
      </c>
      <c r="AC6250">
        <v>91.6126</v>
      </c>
      <c r="AD6250">
        <v>-1.164129</v>
      </c>
      <c r="AE6250">
        <v>-0.29633999999999699</v>
      </c>
      <c r="AF6250">
        <v>-17.344796019944599</v>
      </c>
      <c r="AG6250">
        <v>-1.164129</v>
      </c>
      <c r="AH6250">
        <v>89.9411174649684</v>
      </c>
      <c r="AI6250">
        <v>90.728136828933501</v>
      </c>
      <c r="AJ6250">
        <v>100.915273815121</v>
      </c>
      <c r="AK6250">
        <v>91.605686265369798</v>
      </c>
      <c r="AL6250">
        <v>80.166012689990495</v>
      </c>
      <c r="AM6250">
        <v>99.210691291589796</v>
      </c>
      <c r="AN6250">
        <v>0.99999997802250395</v>
      </c>
    </row>
    <row r="6251" spans="1:40" x14ac:dyDescent="0.25">
      <c r="A6251" t="str">
        <f>"20190304154921174"</f>
        <v>20190304154921174</v>
      </c>
      <c r="B6251" t="str">
        <f>"1551685761163285"</f>
        <v>1551685761163285</v>
      </c>
      <c r="C6251" t="s">
        <v>40</v>
      </c>
      <c r="D6251">
        <v>4.3533049999999998</v>
      </c>
      <c r="E6251">
        <v>0.48723610000000001</v>
      </c>
      <c r="F6251" t="s">
        <v>45</v>
      </c>
      <c r="G6251">
        <v>-307.98390000000001</v>
      </c>
      <c r="H6251">
        <v>-0.05</v>
      </c>
      <c r="I6251">
        <v>18.701460000000001</v>
      </c>
      <c r="J6251">
        <v>-399.28250000000003</v>
      </c>
      <c r="K6251">
        <v>1.1141000000000001</v>
      </c>
      <c r="L6251">
        <v>18.847899999999999</v>
      </c>
      <c r="M6251">
        <v>0.98204829999999999</v>
      </c>
      <c r="N6251">
        <v>-1.38917E-2</v>
      </c>
      <c r="O6251">
        <v>-0.18811749999999999</v>
      </c>
      <c r="P6251">
        <v>0.98687400000000003</v>
      </c>
      <c r="Q6251">
        <v>0.1587325</v>
      </c>
      <c r="R6251">
        <v>-2.9724850000000001E-2</v>
      </c>
      <c r="S6251">
        <v>3.0462039999999999</v>
      </c>
      <c r="T6251">
        <v>-3.8760299999999998E-2</v>
      </c>
      <c r="U6251">
        <v>-5.9509280000000003E-3</v>
      </c>
      <c r="V6251">
        <v>-0.15773789999999999</v>
      </c>
      <c r="W6251">
        <v>0.1711017</v>
      </c>
      <c r="X6251">
        <v>0.97254459999999998</v>
      </c>
      <c r="Y6251">
        <v>-0.1861853</v>
      </c>
      <c r="Z6251">
        <v>2.2352090000000002E-3</v>
      </c>
      <c r="AA6251">
        <v>0.9825121</v>
      </c>
      <c r="AB6251">
        <v>22</v>
      </c>
      <c r="AC6251">
        <v>91.298599999999993</v>
      </c>
      <c r="AD6251">
        <v>-1.1640999999999999</v>
      </c>
      <c r="AE6251">
        <v>-0.14643999999999799</v>
      </c>
      <c r="AF6251">
        <v>-17.029927854260599</v>
      </c>
      <c r="AG6251">
        <v>-1.1640999999999999</v>
      </c>
      <c r="AH6251">
        <v>89.681256498085304</v>
      </c>
      <c r="AI6251">
        <v>90.730626303420706</v>
      </c>
      <c r="AJ6251">
        <v>100.75210235278</v>
      </c>
      <c r="AK6251">
        <v>91.291299358737902</v>
      </c>
      <c r="AL6251">
        <v>80.148119787111995</v>
      </c>
      <c r="AM6251">
        <v>99.212631821505397</v>
      </c>
      <c r="AN6251">
        <v>1.0000000179142201</v>
      </c>
    </row>
    <row r="6252" spans="1:40" x14ac:dyDescent="0.25">
      <c r="A6252" t="str">
        <f>"20190304154921186"</f>
        <v>20190304154921186</v>
      </c>
      <c r="B6252" t="str">
        <f>"1551685761183777"</f>
        <v>1551685761183777</v>
      </c>
      <c r="C6252" t="s">
        <v>40</v>
      </c>
      <c r="D6252">
        <v>4.3732499999999996</v>
      </c>
      <c r="E6252">
        <v>0.48780240000000002</v>
      </c>
      <c r="F6252" t="s">
        <v>45</v>
      </c>
      <c r="G6252">
        <v>-310.5188</v>
      </c>
      <c r="H6252">
        <v>-0.05</v>
      </c>
      <c r="I6252">
        <v>18.954609999999999</v>
      </c>
      <c r="J6252">
        <v>-399.15609999999998</v>
      </c>
      <c r="K6252">
        <v>1.1140810000000001</v>
      </c>
      <c r="L6252">
        <v>18.827089999999998</v>
      </c>
      <c r="M6252">
        <v>0.9825971</v>
      </c>
      <c r="N6252">
        <v>-1.388842E-2</v>
      </c>
      <c r="O6252">
        <v>-0.1852299</v>
      </c>
      <c r="P6252">
        <v>0.98693140000000001</v>
      </c>
      <c r="Q6252">
        <v>0.15889610000000001</v>
      </c>
      <c r="R6252">
        <v>-2.68001E-2</v>
      </c>
      <c r="S6252">
        <v>3.0464479999999998</v>
      </c>
      <c r="T6252">
        <v>-3.9952870000000001E-2</v>
      </c>
      <c r="U6252">
        <v>3.6621090000000002E-3</v>
      </c>
      <c r="V6252">
        <v>-0.15774850000000001</v>
      </c>
      <c r="W6252">
        <v>0.17126949999999999</v>
      </c>
      <c r="X6252">
        <v>0.97251330000000002</v>
      </c>
      <c r="Y6252">
        <v>-0.18639610000000001</v>
      </c>
      <c r="Z6252">
        <v>2.3514859999999999E-3</v>
      </c>
      <c r="AA6252">
        <v>0.98247189999999995</v>
      </c>
      <c r="AB6252">
        <v>22</v>
      </c>
      <c r="AC6252">
        <v>88.637299999999897</v>
      </c>
      <c r="AD6252">
        <v>-1.1640809999999999</v>
      </c>
      <c r="AE6252">
        <v>0.12751999999999999</v>
      </c>
      <c r="AF6252">
        <v>-16.5423210429386</v>
      </c>
      <c r="AG6252">
        <v>-1.1640809999999999</v>
      </c>
      <c r="AH6252">
        <v>87.0645126271734</v>
      </c>
      <c r="AI6252">
        <v>90.752555942463303</v>
      </c>
      <c r="AJ6252">
        <v>100.758007512052</v>
      </c>
      <c r="AK6252">
        <v>88.629751376552093</v>
      </c>
      <c r="AL6252">
        <v>80.138361081976697</v>
      </c>
      <c r="AM6252">
        <v>99.213531734156902</v>
      </c>
      <c r="AN6252">
        <v>0.99999997477969405</v>
      </c>
    </row>
    <row r="6253" spans="1:40" x14ac:dyDescent="0.25">
      <c r="A6253" t="str">
        <f>"20190304154921200"</f>
        <v>20190304154921200</v>
      </c>
      <c r="B6253" t="str">
        <f>"1551685761193538"</f>
        <v>1551685761193538</v>
      </c>
      <c r="C6253" t="s">
        <v>40</v>
      </c>
      <c r="D6253">
        <v>4.3490289999999998</v>
      </c>
      <c r="E6253">
        <v>0.48831259999999999</v>
      </c>
      <c r="F6253" t="s">
        <v>45</v>
      </c>
      <c r="G6253">
        <v>-313.70280000000002</v>
      </c>
      <c r="H6253">
        <v>-0.05</v>
      </c>
      <c r="I6253">
        <v>19.04964</v>
      </c>
      <c r="J6253">
        <v>-399.03339999999997</v>
      </c>
      <c r="K6253">
        <v>1.114061</v>
      </c>
      <c r="L6253">
        <v>18.807189999999999</v>
      </c>
      <c r="M6253">
        <v>0.98311839999999995</v>
      </c>
      <c r="N6253">
        <v>-1.3885110000000001E-2</v>
      </c>
      <c r="O6253">
        <v>-0.18244360000000001</v>
      </c>
      <c r="P6253">
        <v>0.98693450000000005</v>
      </c>
      <c r="Q6253">
        <v>0.15928310000000001</v>
      </c>
      <c r="R6253">
        <v>-2.4277389999999999E-2</v>
      </c>
      <c r="S6253">
        <v>3.0466310000000001</v>
      </c>
      <c r="T6253">
        <v>-4.1502480000000001E-2</v>
      </c>
      <c r="U6253">
        <v>7.9345700000000002E-3</v>
      </c>
      <c r="V6253">
        <v>-0.15745789999999901</v>
      </c>
      <c r="W6253">
        <v>0.17166409999999999</v>
      </c>
      <c r="X6253">
        <v>0.97249079999999999</v>
      </c>
      <c r="Y6253">
        <v>-0.18498680000000001</v>
      </c>
      <c r="Z6253">
        <v>2.4752820000000001E-3</v>
      </c>
      <c r="AA6253">
        <v>0.98273790000000005</v>
      </c>
      <c r="AB6253">
        <v>22</v>
      </c>
      <c r="AC6253">
        <v>85.330599999999905</v>
      </c>
      <c r="AD6253">
        <v>-1.164061</v>
      </c>
      <c r="AE6253">
        <v>0.242450000000001</v>
      </c>
      <c r="AF6253">
        <v>-15.804959596096101</v>
      </c>
      <c r="AG6253">
        <v>-1.164061</v>
      </c>
      <c r="AH6253">
        <v>83.8383206584014</v>
      </c>
      <c r="AI6253">
        <v>90.781710029809602</v>
      </c>
      <c r="AJ6253">
        <v>100.67594291757</v>
      </c>
      <c r="AK6253">
        <v>85.323008600651704</v>
      </c>
      <c r="AL6253">
        <v>80.1154120931905</v>
      </c>
      <c r="AM6253">
        <v>99.197058264382093</v>
      </c>
      <c r="AN6253">
        <v>0.99999995479292803</v>
      </c>
    </row>
    <row r="6254" spans="1:40" x14ac:dyDescent="0.25">
      <c r="A6254" t="str">
        <f>"20190304154921218"</f>
        <v>20190304154921218</v>
      </c>
      <c r="B6254" t="str">
        <f>"1551685761213058"</f>
        <v>1551685761213058</v>
      </c>
      <c r="C6254" t="s">
        <v>40</v>
      </c>
      <c r="D6254">
        <v>4.341075</v>
      </c>
      <c r="E6254">
        <v>0.48866520000000002</v>
      </c>
      <c r="F6254" t="s">
        <v>45</v>
      </c>
      <c r="G6254">
        <v>-309.42129999999997</v>
      </c>
      <c r="H6254">
        <v>-0.05</v>
      </c>
      <c r="I6254">
        <v>19.145610000000001</v>
      </c>
      <c r="J6254">
        <v>-398.8492</v>
      </c>
      <c r="K6254">
        <v>1.11402</v>
      </c>
      <c r="L6254">
        <v>18.777950000000001</v>
      </c>
      <c r="M6254">
        <v>0.98387899999999995</v>
      </c>
      <c r="N6254">
        <v>-1.38797E-2</v>
      </c>
      <c r="O6254">
        <v>-0.1782956</v>
      </c>
      <c r="P6254">
        <v>0.98691960000000001</v>
      </c>
      <c r="Q6254">
        <v>0.1598598</v>
      </c>
      <c r="R6254">
        <v>-2.084737E-2</v>
      </c>
      <c r="S6254">
        <v>3.0464169999999999</v>
      </c>
      <c r="T6254">
        <v>-3.9572950000000003E-2</v>
      </c>
      <c r="U6254">
        <v>1.1505130000000001E-2</v>
      </c>
      <c r="V6254">
        <v>-0.1567046</v>
      </c>
      <c r="W6254">
        <v>0.17225689999999999</v>
      </c>
      <c r="X6254">
        <v>0.97250769999999997</v>
      </c>
      <c r="Y6254">
        <v>-0.18199589999999999</v>
      </c>
      <c r="Z6254">
        <v>2.267411E-3</v>
      </c>
      <c r="AA6254">
        <v>0.98329670000000002</v>
      </c>
      <c r="AB6254">
        <v>22</v>
      </c>
      <c r="AC6254">
        <v>89.427899999999994</v>
      </c>
      <c r="AD6254">
        <v>-1.1640200000000001</v>
      </c>
      <c r="AE6254">
        <v>0.36765999999999999</v>
      </c>
      <c r="AF6254">
        <v>-16.3051437009041</v>
      </c>
      <c r="AG6254">
        <v>-1.1640200000000001</v>
      </c>
      <c r="AH6254">
        <v>87.914262577636805</v>
      </c>
      <c r="AI6254">
        <v>90.745856728079303</v>
      </c>
      <c r="AJ6254">
        <v>100.507055622791</v>
      </c>
      <c r="AK6254">
        <v>89.421083745597798</v>
      </c>
      <c r="AL6254">
        <v>80.0809339973422</v>
      </c>
      <c r="AM6254">
        <v>99.153648556421203</v>
      </c>
      <c r="AN6254">
        <v>0.99999999890903002</v>
      </c>
    </row>
    <row r="6255" spans="1:40" x14ac:dyDescent="0.25">
      <c r="A6255" t="str">
        <f>"20190304154921232"</f>
        <v>20190304154921232</v>
      </c>
      <c r="B6255" t="str">
        <f>"1551685761223794"</f>
        <v>1551685761223794</v>
      </c>
      <c r="C6255" t="s">
        <v>40</v>
      </c>
      <c r="D6255">
        <v>4.3687940000000003</v>
      </c>
      <c r="E6255">
        <v>0.48888779999999998</v>
      </c>
      <c r="F6255" t="s">
        <v>45</v>
      </c>
      <c r="G6255">
        <v>-310.34339999999997</v>
      </c>
      <c r="H6255">
        <v>-0.05</v>
      </c>
      <c r="I6255">
        <v>19.338239999999999</v>
      </c>
      <c r="J6255">
        <v>-398.72190000000001</v>
      </c>
      <c r="K6255">
        <v>1.1139889999999999</v>
      </c>
      <c r="L6255">
        <v>18.758120000000002</v>
      </c>
      <c r="M6255">
        <v>0.98438939999999997</v>
      </c>
      <c r="N6255">
        <v>-1.387565E-2</v>
      </c>
      <c r="O6255">
        <v>-0.17545629999999901</v>
      </c>
      <c r="P6255">
        <v>0.98689729999999998</v>
      </c>
      <c r="Q6255">
        <v>0.16026840000000001</v>
      </c>
      <c r="R6255">
        <v>-1.8648129999999999E-2</v>
      </c>
      <c r="S6255">
        <v>3.0466920000000002</v>
      </c>
      <c r="T6255">
        <v>-4.0069819999999999E-2</v>
      </c>
      <c r="U6255">
        <v>1.928711E-2</v>
      </c>
      <c r="V6255">
        <v>-0.15604129999999899</v>
      </c>
      <c r="W6255">
        <v>0.1726791</v>
      </c>
      <c r="X6255">
        <v>0.9725395</v>
      </c>
      <c r="Y6255">
        <v>-0.18166969999999999</v>
      </c>
      <c r="Z6255">
        <v>2.3100820000000002E-3</v>
      </c>
      <c r="AA6255">
        <v>0.98335689999999998</v>
      </c>
      <c r="AB6255">
        <v>22</v>
      </c>
      <c r="AC6255">
        <v>88.378500000000003</v>
      </c>
      <c r="AD6255">
        <v>-1.1639889999999999</v>
      </c>
      <c r="AE6255">
        <v>0.58011999999999697</v>
      </c>
      <c r="AF6255">
        <v>-16.076388531767901</v>
      </c>
      <c r="AG6255">
        <v>-1.1639889999999999</v>
      </c>
      <c r="AH6255">
        <v>86.890370567274203</v>
      </c>
      <c r="AI6255">
        <v>90.7546850263154</v>
      </c>
      <c r="AJ6255">
        <v>100.482282887396</v>
      </c>
      <c r="AK6255">
        <v>88.372742607292196</v>
      </c>
      <c r="AL6255">
        <v>80.056375917654407</v>
      </c>
      <c r="AM6255">
        <v>99.115261746873003</v>
      </c>
      <c r="AN6255">
        <v>1.00000001897137</v>
      </c>
    </row>
    <row r="6256" spans="1:40" x14ac:dyDescent="0.25">
      <c r="A6256" t="str">
        <f>"20190304154921245"</f>
        <v>20190304154921245</v>
      </c>
      <c r="B6256" t="str">
        <f>"1551685761243314"</f>
        <v>1551685761243314</v>
      </c>
      <c r="C6256" t="s">
        <v>40</v>
      </c>
      <c r="D6256">
        <v>4.3439489999999896</v>
      </c>
      <c r="E6256">
        <v>0.48932019999999998</v>
      </c>
      <c r="F6256" t="s">
        <v>45</v>
      </c>
      <c r="G6256">
        <v>-309.90539999999999</v>
      </c>
      <c r="H6256">
        <v>-0.05</v>
      </c>
      <c r="I6256">
        <v>19.466259999999998</v>
      </c>
      <c r="J6256">
        <v>-398.58890000000002</v>
      </c>
      <c r="K6256">
        <v>1.11395</v>
      </c>
      <c r="L6256">
        <v>18.737919999999999</v>
      </c>
      <c r="M6256">
        <v>0.98490489999999997</v>
      </c>
      <c r="N6256">
        <v>-1.3870840000000001E-2</v>
      </c>
      <c r="O6256">
        <v>-0.17253940000000001</v>
      </c>
      <c r="P6256">
        <v>0.98692990000000003</v>
      </c>
      <c r="Q6256">
        <v>0.16032829999999901</v>
      </c>
      <c r="R6256">
        <v>-1.6253759999999999E-2</v>
      </c>
      <c r="S6256">
        <v>3.046783</v>
      </c>
      <c r="T6256">
        <v>-3.992975E-2</v>
      </c>
      <c r="U6256">
        <v>2.4291989999999999E-2</v>
      </c>
      <c r="V6256">
        <v>-0.15550079999999999</v>
      </c>
      <c r="W6256">
        <v>0.1727552</v>
      </c>
      <c r="X6256">
        <v>0.97261260000000005</v>
      </c>
      <c r="Y6256">
        <v>-0.18037210000000001</v>
      </c>
      <c r="Z6256">
        <v>2.2839679999999999E-3</v>
      </c>
      <c r="AA6256">
        <v>0.98359580000000002</v>
      </c>
      <c r="AB6256">
        <v>22</v>
      </c>
      <c r="AC6256">
        <v>88.683499999999995</v>
      </c>
      <c r="AD6256">
        <v>-1.16395</v>
      </c>
      <c r="AE6256">
        <v>0.72833999999999899</v>
      </c>
      <c r="AF6256">
        <v>-16.017526504760902</v>
      </c>
      <c r="AG6256">
        <v>-1.16395</v>
      </c>
      <c r="AH6256">
        <v>87.212519954319504</v>
      </c>
      <c r="AI6256">
        <v>90.752054551338901</v>
      </c>
      <c r="AJ6256">
        <v>100.40701247924601</v>
      </c>
      <c r="AK6256">
        <v>88.678856396075602</v>
      </c>
      <c r="AL6256">
        <v>80.051949632083193</v>
      </c>
      <c r="AM6256">
        <v>99.083544057642499</v>
      </c>
      <c r="AN6256">
        <v>1.00000006380321</v>
      </c>
    </row>
    <row r="6257" spans="1:40" x14ac:dyDescent="0.25">
      <c r="A6257" t="str">
        <f>"20190304154921264"</f>
        <v>20190304154921264</v>
      </c>
      <c r="B6257" t="str">
        <f>"1551685761253073"</f>
        <v>1551685761253073</v>
      </c>
      <c r="C6257" t="s">
        <v>40</v>
      </c>
      <c r="D6257">
        <v>4.3144859999999996</v>
      </c>
      <c r="E6257">
        <v>0.48954140000000002</v>
      </c>
      <c r="F6257" t="s">
        <v>45</v>
      </c>
      <c r="G6257">
        <v>-313.96019999999999</v>
      </c>
      <c r="H6257">
        <v>-0.05</v>
      </c>
      <c r="I6257">
        <v>19.52196</v>
      </c>
      <c r="J6257">
        <v>-398.41149999999999</v>
      </c>
      <c r="K6257">
        <v>1.1138920000000001</v>
      </c>
      <c r="L6257">
        <v>18.71143</v>
      </c>
      <c r="M6257">
        <v>0.98557030000000001</v>
      </c>
      <c r="N6257">
        <v>-1.386398E-2</v>
      </c>
      <c r="O6257">
        <v>-0.16869819999999999</v>
      </c>
      <c r="P6257">
        <v>0.98682289999999995</v>
      </c>
      <c r="Q6257">
        <v>0.16124669999999999</v>
      </c>
      <c r="R6257">
        <v>-1.343017E-2</v>
      </c>
      <c r="S6257">
        <v>3.0469970000000002</v>
      </c>
      <c r="T6257">
        <v>-4.1907189999999997E-2</v>
      </c>
      <c r="U6257">
        <v>2.8228759999999999E-2</v>
      </c>
      <c r="V6257">
        <v>-0.15444369999999999</v>
      </c>
      <c r="W6257">
        <v>0.17369679999999901</v>
      </c>
      <c r="X6257">
        <v>0.97261330000000001</v>
      </c>
      <c r="Y6257">
        <v>-0.17780489999999999</v>
      </c>
      <c r="Z6257">
        <v>2.4206409999999999E-3</v>
      </c>
      <c r="AA6257">
        <v>0.98406280000000002</v>
      </c>
      <c r="AB6257">
        <v>22</v>
      </c>
      <c r="AC6257">
        <v>84.451300000000003</v>
      </c>
      <c r="AD6257">
        <v>-1.1638919999999999</v>
      </c>
      <c r="AE6257">
        <v>0.81052999999999997</v>
      </c>
      <c r="AF6257">
        <v>-15.0442047323096</v>
      </c>
      <c r="AG6257">
        <v>-1.1638919999999999</v>
      </c>
      <c r="AH6257">
        <v>83.088160510378003</v>
      </c>
      <c r="AI6257">
        <v>90.789703288584505</v>
      </c>
      <c r="AJ6257">
        <v>100.262965540991</v>
      </c>
      <c r="AK6257">
        <v>84.447173769248494</v>
      </c>
      <c r="AL6257">
        <v>79.997171491094207</v>
      </c>
      <c r="AM6257">
        <v>99.022806653449507</v>
      </c>
      <c r="AN6257">
        <v>1.0000000330684</v>
      </c>
    </row>
    <row r="6258" spans="1:40" x14ac:dyDescent="0.25">
      <c r="A6258" t="str">
        <f>"20190304154921281"</f>
        <v>20190304154921281</v>
      </c>
      <c r="B6258" t="str">
        <f>"1551685761273569"</f>
        <v>1551685761273569</v>
      </c>
      <c r="C6258" t="s">
        <v>40</v>
      </c>
      <c r="D6258">
        <v>4.3518829999999999</v>
      </c>
      <c r="E6258">
        <v>0.48999150000000002</v>
      </c>
      <c r="F6258" t="s">
        <v>45</v>
      </c>
      <c r="G6258">
        <v>-309.6986</v>
      </c>
      <c r="H6258">
        <v>-0.05</v>
      </c>
      <c r="I6258">
        <v>19.735890000000001</v>
      </c>
      <c r="J6258">
        <v>-398.2552</v>
      </c>
      <c r="K6258">
        <v>1.1138300000000001</v>
      </c>
      <c r="L6258">
        <v>18.688600000000001</v>
      </c>
      <c r="M6258">
        <v>0.98613249999999997</v>
      </c>
      <c r="N6258">
        <v>-1.3857390000000001E-2</v>
      </c>
      <c r="O6258">
        <v>-0.16538059999999999</v>
      </c>
      <c r="P6258">
        <v>0.98680619999999997</v>
      </c>
      <c r="Q6258">
        <v>0.16155410000000001</v>
      </c>
      <c r="R6258">
        <v>-1.069236E-2</v>
      </c>
      <c r="S6258">
        <v>3.0469970000000002</v>
      </c>
      <c r="T6258">
        <v>-3.9975879999999998E-2</v>
      </c>
      <c r="U6258">
        <v>3.5186769999999999E-2</v>
      </c>
      <c r="V6258">
        <v>-0.15383540000000001</v>
      </c>
      <c r="W6258">
        <v>0.1740255</v>
      </c>
      <c r="X6258">
        <v>0.97265089999999998</v>
      </c>
      <c r="Y6258">
        <v>-0.1767426</v>
      </c>
      <c r="Z6258">
        <v>2.2475300000000002E-3</v>
      </c>
      <c r="AA6258">
        <v>0.98425450000000003</v>
      </c>
      <c r="AB6258">
        <v>22</v>
      </c>
      <c r="AC6258">
        <v>88.556600000000003</v>
      </c>
      <c r="AD6258">
        <v>-1.1638299999999999</v>
      </c>
      <c r="AE6258">
        <v>1.0472899999999901</v>
      </c>
      <c r="AF6258">
        <v>-15.6771079493857</v>
      </c>
      <c r="AG6258">
        <v>-1.1638299999999999</v>
      </c>
      <c r="AH6258">
        <v>87.148655797373294</v>
      </c>
      <c r="AI6258">
        <v>90.753027548949007</v>
      </c>
      <c r="AJ6258">
        <v>100.197828269082</v>
      </c>
      <c r="AK6258">
        <v>88.555149038407905</v>
      </c>
      <c r="AL6258">
        <v>79.978046662807799</v>
      </c>
      <c r="AM6258">
        <v>98.987508432276499</v>
      </c>
      <c r="AN6258">
        <v>0.99999998910710897</v>
      </c>
    </row>
    <row r="6259" spans="1:40" x14ac:dyDescent="0.25">
      <c r="A6259" t="str">
        <f>"20190304154921296"</f>
        <v>20190304154921296</v>
      </c>
      <c r="B6259" t="str">
        <f>"1551685761293089"</f>
        <v>1551685761293089</v>
      </c>
      <c r="C6259" t="s">
        <v>40</v>
      </c>
      <c r="D6259">
        <v>4.3002699999999896</v>
      </c>
      <c r="E6259">
        <v>0.4904713</v>
      </c>
      <c r="F6259" t="s">
        <v>45</v>
      </c>
      <c r="G6259">
        <v>-311.57409999999999</v>
      </c>
      <c r="H6259">
        <v>-0.05</v>
      </c>
      <c r="I6259">
        <v>19.818850000000001</v>
      </c>
      <c r="J6259">
        <v>-398.09930000000003</v>
      </c>
      <c r="K6259">
        <v>1.1137619999999999</v>
      </c>
      <c r="L6259">
        <v>18.66629</v>
      </c>
      <c r="M6259">
        <v>0.98667020000000005</v>
      </c>
      <c r="N6259">
        <v>-1.385028E-2</v>
      </c>
      <c r="O6259">
        <v>-0.16214229999999999</v>
      </c>
      <c r="P6259">
        <v>0.98686119999999999</v>
      </c>
      <c r="Q6259">
        <v>0.1613609</v>
      </c>
      <c r="R6259">
        <v>-8.2310609999999996E-3</v>
      </c>
      <c r="S6259">
        <v>3.047272</v>
      </c>
      <c r="T6259">
        <v>-4.091442E-2</v>
      </c>
      <c r="U6259">
        <v>3.9733890000000001E-2</v>
      </c>
      <c r="V6259">
        <v>-0.15304079999999901</v>
      </c>
      <c r="W6259">
        <v>0.17385789999999901</v>
      </c>
      <c r="X6259">
        <v>0.97280619999999995</v>
      </c>
      <c r="Y6259">
        <v>-0.17497770000000001</v>
      </c>
      <c r="Z6259">
        <v>2.3040700000000001E-3</v>
      </c>
      <c r="AA6259">
        <v>0.98456969999999999</v>
      </c>
      <c r="AB6259">
        <v>22</v>
      </c>
      <c r="AC6259">
        <v>86.525199999999998</v>
      </c>
      <c r="AD6259">
        <v>-1.163762</v>
      </c>
      <c r="AE6259">
        <v>1.15256</v>
      </c>
      <c r="AF6259">
        <v>-15.165303213239399</v>
      </c>
      <c r="AG6259">
        <v>-1.163762</v>
      </c>
      <c r="AH6259">
        <v>85.177721610526504</v>
      </c>
      <c r="AI6259">
        <v>90.770651484092795</v>
      </c>
      <c r="AJ6259">
        <v>100.095331862796</v>
      </c>
      <c r="AK6259">
        <v>86.525054303955699</v>
      </c>
      <c r="AL6259">
        <v>79.9877979876251</v>
      </c>
      <c r="AM6259">
        <v>98.940433200053505</v>
      </c>
      <c r="AN6259">
        <v>0.99999997930774398</v>
      </c>
    </row>
    <row r="6260" spans="1:40" x14ac:dyDescent="0.25">
      <c r="A6260" t="str">
        <f>"20190304154921309"</f>
        <v>20190304154921309</v>
      </c>
      <c r="B6260" t="str">
        <f>"1551685761303826"</f>
        <v>1551685761303826</v>
      </c>
      <c r="C6260" t="s">
        <v>40</v>
      </c>
      <c r="D6260">
        <v>4.3314459999999997</v>
      </c>
      <c r="E6260">
        <v>0.49070629999999998</v>
      </c>
      <c r="F6260" t="s">
        <v>45</v>
      </c>
      <c r="G6260">
        <v>-315.72629999999998</v>
      </c>
      <c r="H6260">
        <v>-0.05</v>
      </c>
      <c r="I6260">
        <v>19.827770000000001</v>
      </c>
      <c r="J6260">
        <v>-397.97289999999998</v>
      </c>
      <c r="K6260">
        <v>1.1137010000000001</v>
      </c>
      <c r="L6260">
        <v>18.64847</v>
      </c>
      <c r="M6260">
        <v>0.98708980000000002</v>
      </c>
      <c r="N6260">
        <v>-1.3844E-2</v>
      </c>
      <c r="O6260">
        <v>-0.15956870000000001</v>
      </c>
      <c r="P6260">
        <v>0.98687720000000001</v>
      </c>
      <c r="Q6260">
        <v>0.16136310000000001</v>
      </c>
      <c r="R6260">
        <v>-5.9495299999999997E-3</v>
      </c>
      <c r="S6260">
        <v>3.0473330000000001</v>
      </c>
      <c r="T6260">
        <v>-4.3052550000000002E-2</v>
      </c>
      <c r="U6260">
        <v>4.296875E-2</v>
      </c>
      <c r="V6260">
        <v>-0.15272620000000001</v>
      </c>
      <c r="W6260">
        <v>0.17387949999999999</v>
      </c>
      <c r="X6260">
        <v>0.97285180000000004</v>
      </c>
      <c r="Y6260">
        <v>-0.17345250000000001</v>
      </c>
      <c r="Z6260">
        <v>2.4579699999999999E-3</v>
      </c>
      <c r="AA6260">
        <v>0.98483920000000003</v>
      </c>
      <c r="AB6260">
        <v>22</v>
      </c>
      <c r="AC6260">
        <v>82.246600000000001</v>
      </c>
      <c r="AD6260">
        <v>-1.1637010000000001</v>
      </c>
      <c r="AE6260">
        <v>1.1793</v>
      </c>
      <c r="AF6260">
        <v>-14.2865672561124</v>
      </c>
      <c r="AG6260">
        <v>-1.1637010000000001</v>
      </c>
      <c r="AH6260">
        <v>80.988149558858495</v>
      </c>
      <c r="AI6260">
        <v>90.8106985165238</v>
      </c>
      <c r="AJ6260">
        <v>100.00423428499801</v>
      </c>
      <c r="AK6260">
        <v>82.246827129980304</v>
      </c>
      <c r="AL6260">
        <v>79.986541453742603</v>
      </c>
      <c r="AM6260">
        <v>98.921939194618901</v>
      </c>
      <c r="AN6260">
        <v>0.99999999872496503</v>
      </c>
    </row>
    <row r="6261" spans="1:40" x14ac:dyDescent="0.25">
      <c r="A6261" t="str">
        <f>"20190304154921322"</f>
        <v>20190304154921322</v>
      </c>
      <c r="B6261" t="str">
        <f>"1551685761313586"</f>
        <v>1551685761313586</v>
      </c>
      <c r="C6261" t="s">
        <v>40</v>
      </c>
      <c r="D6261">
        <v>4.3335229999999996</v>
      </c>
      <c r="E6261">
        <v>0.49095630000000001</v>
      </c>
      <c r="F6261" t="s">
        <v>44</v>
      </c>
      <c r="G6261">
        <v>-320.19740000000002</v>
      </c>
      <c r="H6261" s="1">
        <v>-4.6800199999999998E-6</v>
      </c>
      <c r="I6261">
        <v>19.867450000000002</v>
      </c>
      <c r="J6261">
        <v>-397.85329999999999</v>
      </c>
      <c r="K6261">
        <v>1.113639</v>
      </c>
      <c r="L6261">
        <v>18.631989999999998</v>
      </c>
      <c r="M6261">
        <v>0.98746990000000001</v>
      </c>
      <c r="N6261">
        <v>-1.383763E-2</v>
      </c>
      <c r="O6261">
        <v>-0.15720029999999999</v>
      </c>
      <c r="P6261">
        <v>0.98690060000000002</v>
      </c>
      <c r="Q6261">
        <v>0.1612854</v>
      </c>
      <c r="R6261">
        <v>-3.8001789999999999E-3</v>
      </c>
      <c r="S6261">
        <v>3.047272</v>
      </c>
      <c r="T6261">
        <v>-4.363537E-2</v>
      </c>
      <c r="U6261">
        <v>4.7760009999999999E-2</v>
      </c>
      <c r="V6261">
        <v>-0.15248610000000001</v>
      </c>
      <c r="W6261">
        <v>0.17382030000000001</v>
      </c>
      <c r="X6261">
        <v>0.97289999999999999</v>
      </c>
      <c r="Y6261">
        <v>-0.17263770000000001</v>
      </c>
      <c r="Z6261">
        <v>2.4936469999999999E-3</v>
      </c>
      <c r="AA6261">
        <v>0.98498229999999998</v>
      </c>
      <c r="AB6261">
        <v>22</v>
      </c>
      <c r="AC6261">
        <v>77.655899999999903</v>
      </c>
      <c r="AD6261">
        <v>-1.11364368002</v>
      </c>
      <c r="AE6261">
        <v>1.23546</v>
      </c>
      <c r="AF6261">
        <v>-13.4260341518729</v>
      </c>
      <c r="AG6261">
        <v>-1.11364368002</v>
      </c>
      <c r="AH6261">
        <v>76.480240150302507</v>
      </c>
      <c r="AI6261">
        <v>90.8216729438751</v>
      </c>
      <c r="AJ6261">
        <v>99.956766597135001</v>
      </c>
      <c r="AK6261">
        <v>77.6577473838976</v>
      </c>
      <c r="AL6261">
        <v>79.989985409201907</v>
      </c>
      <c r="AM6261">
        <v>98.907703926248104</v>
      </c>
      <c r="AN6261">
        <v>0.99999995869264902</v>
      </c>
    </row>
    <row r="6262" spans="1:40" x14ac:dyDescent="0.25">
      <c r="A6262" t="str">
        <f>"20190304154921335"</f>
        <v>20190304154921335</v>
      </c>
      <c r="B6262" t="str">
        <f>"1551685761323346"</f>
        <v>1551685761323346</v>
      </c>
      <c r="C6262" t="s">
        <v>40</v>
      </c>
      <c r="D6262">
        <v>4.3125859999999996</v>
      </c>
      <c r="E6262">
        <v>0.49121340000000002</v>
      </c>
      <c r="F6262" t="s">
        <v>44</v>
      </c>
      <c r="G6262">
        <v>-321.5401</v>
      </c>
      <c r="H6262" s="1">
        <v>-4.0643259999999997E-6</v>
      </c>
      <c r="I6262">
        <v>19.935089999999999</v>
      </c>
      <c r="J6262">
        <v>-397.73719999999997</v>
      </c>
      <c r="K6262">
        <v>1.113578</v>
      </c>
      <c r="L6262">
        <v>18.61609</v>
      </c>
      <c r="M6262">
        <v>0.98782840000000005</v>
      </c>
      <c r="N6262">
        <v>-1.383147E-2</v>
      </c>
      <c r="O6262">
        <v>-0.15493199999999999</v>
      </c>
      <c r="P6262">
        <v>0.98692800000000003</v>
      </c>
      <c r="Q6262">
        <v>0.16115160000000001</v>
      </c>
      <c r="R6262">
        <v>-1.8890230000000001E-3</v>
      </c>
      <c r="S6262">
        <v>3.0472109999999999</v>
      </c>
      <c r="T6262">
        <v>-4.446816E-2</v>
      </c>
      <c r="U6262">
        <v>5.2032469999999997E-2</v>
      </c>
      <c r="V6262">
        <v>-0.1521111</v>
      </c>
      <c r="W6262">
        <v>0.17370720000000001</v>
      </c>
      <c r="X6262">
        <v>0.97297889999999998</v>
      </c>
      <c r="Y6262">
        <v>-0.17175550000000001</v>
      </c>
      <c r="Z6262">
        <v>2.5469960000000002E-3</v>
      </c>
      <c r="AA6262">
        <v>0.98513629999999996</v>
      </c>
      <c r="AB6262">
        <v>22</v>
      </c>
      <c r="AC6262">
        <v>76.197099999999907</v>
      </c>
      <c r="AD6262">
        <v>-1.1135820643259999</v>
      </c>
      <c r="AE6262">
        <v>1.31899999999999</v>
      </c>
      <c r="AF6262">
        <v>-13.106769066109401</v>
      </c>
      <c r="AG6262">
        <v>-1.1135820643259999</v>
      </c>
      <c r="AH6262">
        <v>75.056452608271002</v>
      </c>
      <c r="AI6262">
        <v>90.837342546569303</v>
      </c>
      <c r="AJ6262">
        <v>99.905423406130694</v>
      </c>
      <c r="AK6262">
        <v>76.200384109950093</v>
      </c>
      <c r="AL6262">
        <v>79.996565667863706</v>
      </c>
      <c r="AM6262">
        <v>98.885438666832798</v>
      </c>
      <c r="AN6262">
        <v>0.99999995896012905</v>
      </c>
    </row>
    <row r="6263" spans="1:40" x14ac:dyDescent="0.25">
      <c r="A6263" t="str">
        <f>"20190304154921353"</f>
        <v>20190304154921353</v>
      </c>
      <c r="B6263" t="str">
        <f>"1551685761343841"</f>
        <v>1551685761343841</v>
      </c>
      <c r="C6263" t="s">
        <v>40</v>
      </c>
      <c r="D6263">
        <v>4.3233249999999996</v>
      </c>
      <c r="E6263">
        <v>0.49147420000000003</v>
      </c>
      <c r="F6263" t="s">
        <v>44</v>
      </c>
      <c r="G6263">
        <v>-323.22539999999998</v>
      </c>
      <c r="H6263" s="1">
        <v>-3.2771170000000002E-6</v>
      </c>
      <c r="I6263">
        <v>19.970469999999999</v>
      </c>
      <c r="J6263">
        <v>-397.55549999999999</v>
      </c>
      <c r="K6263">
        <v>1.113475</v>
      </c>
      <c r="L6263">
        <v>18.591740000000001</v>
      </c>
      <c r="M6263">
        <v>0.98836080000000004</v>
      </c>
      <c r="N6263">
        <v>-1.382132E-2</v>
      </c>
      <c r="O6263">
        <v>-0.15149969999999999</v>
      </c>
      <c r="P6263">
        <v>0.9868903</v>
      </c>
      <c r="Q6263">
        <v>0.16139049999999999</v>
      </c>
      <c r="R6263">
        <v>9.6192350000000001E-4</v>
      </c>
      <c r="S6263">
        <v>3.047272</v>
      </c>
      <c r="T6263">
        <v>-4.5541520000000002E-2</v>
      </c>
      <c r="U6263">
        <v>5.5389399999999998E-2</v>
      </c>
      <c r="V6263">
        <v>-0.15149170000000001</v>
      </c>
      <c r="W6263">
        <v>0.17397860000000001</v>
      </c>
      <c r="X6263">
        <v>0.97302710000000003</v>
      </c>
      <c r="Y6263">
        <v>-0.1694167</v>
      </c>
      <c r="Z6263">
        <v>2.5957110000000001E-3</v>
      </c>
      <c r="AA6263">
        <v>0.98554109999999995</v>
      </c>
      <c r="AB6263">
        <v>22</v>
      </c>
      <c r="AC6263">
        <v>74.330100000000002</v>
      </c>
      <c r="AD6263">
        <v>-1.113478277117</v>
      </c>
      <c r="AE6263">
        <v>1.37873</v>
      </c>
      <c r="AF6263">
        <v>-12.6220433319417</v>
      </c>
      <c r="AG6263">
        <v>-1.113478277117</v>
      </c>
      <c r="AH6263">
        <v>73.246637130610907</v>
      </c>
      <c r="AI6263">
        <v>90.858281780793007</v>
      </c>
      <c r="AJ6263">
        <v>99.777327022551006</v>
      </c>
      <c r="AK6263">
        <v>74.334552280150405</v>
      </c>
      <c r="AL6263">
        <v>79.9807757025863</v>
      </c>
      <c r="AM6263">
        <v>98.849399374115507</v>
      </c>
      <c r="AN6263">
        <v>1.0000000128806299</v>
      </c>
    </row>
    <row r="6264" spans="1:40" x14ac:dyDescent="0.25">
      <c r="A6264" t="str">
        <f>"20190304154921366"</f>
        <v>20190304154921366</v>
      </c>
      <c r="B6264" t="str">
        <f>"1551685761363362"</f>
        <v>1551685761363362</v>
      </c>
      <c r="C6264" t="s">
        <v>40</v>
      </c>
      <c r="D6264">
        <v>4.3722279999999998</v>
      </c>
      <c r="E6264">
        <v>0.49201329999999999</v>
      </c>
      <c r="F6264" t="s">
        <v>44</v>
      </c>
      <c r="G6264">
        <v>-322.79199999999997</v>
      </c>
      <c r="H6264" s="1">
        <v>-3.515583E-6</v>
      </c>
      <c r="I6264">
        <v>20.096710000000002</v>
      </c>
      <c r="J6264">
        <v>-397.4255</v>
      </c>
      <c r="K6264">
        <v>1.1133930000000001</v>
      </c>
      <c r="L6264">
        <v>18.574649999999998</v>
      </c>
      <c r="M6264">
        <v>0.98872070000000001</v>
      </c>
      <c r="N6264">
        <v>-1.381374E-2</v>
      </c>
      <c r="O6264">
        <v>-0.14913390000000001</v>
      </c>
      <c r="P6264">
        <v>0.98688350000000002</v>
      </c>
      <c r="Q6264">
        <v>0.1614091</v>
      </c>
      <c r="R6264">
        <v>2.9184710000000002E-3</v>
      </c>
      <c r="S6264">
        <v>3.0472410000000001</v>
      </c>
      <c r="T6264">
        <v>-4.5383569999999998E-2</v>
      </c>
      <c r="U6264">
        <v>6.1340329999999998E-2</v>
      </c>
      <c r="V6264">
        <v>-0.15105859999999999</v>
      </c>
      <c r="W6264">
        <v>0.17402129999999999</v>
      </c>
      <c r="X6264">
        <v>0.97308680000000003</v>
      </c>
      <c r="Y6264">
        <v>-0.16898250000000001</v>
      </c>
      <c r="Z6264">
        <v>2.575941E-3</v>
      </c>
      <c r="AA6264">
        <v>0.98561569999999998</v>
      </c>
      <c r="AB6264">
        <v>22</v>
      </c>
      <c r="AC6264">
        <v>74.633499999999898</v>
      </c>
      <c r="AD6264">
        <v>-1.1133965155829999</v>
      </c>
      <c r="AE6264">
        <v>1.52206</v>
      </c>
      <c r="AF6264">
        <v>-12.6336700828323</v>
      </c>
      <c r="AG6264">
        <v>-1.1133965155829999</v>
      </c>
      <c r="AH6264">
        <v>73.555338980950907</v>
      </c>
      <c r="AI6264">
        <v>90.854698169941798</v>
      </c>
      <c r="AJ6264">
        <v>99.745877368084706</v>
      </c>
      <c r="AK6264">
        <v>74.640720549612595</v>
      </c>
      <c r="AL6264">
        <v>79.978291315333905</v>
      </c>
      <c r="AM6264">
        <v>98.823965682977203</v>
      </c>
      <c r="AN6264">
        <v>1.00000001691094</v>
      </c>
    </row>
    <row r="6265" spans="1:40" x14ac:dyDescent="0.25">
      <c r="A6265" t="str">
        <f>"20190304154921378"</f>
        <v>20190304154921378</v>
      </c>
      <c r="B6265" t="str">
        <f>"1551685761373122"</f>
        <v>1551685761373122</v>
      </c>
      <c r="C6265" t="s">
        <v>40</v>
      </c>
      <c r="D6265">
        <v>4.4062669999999997</v>
      </c>
      <c r="E6265">
        <v>0.51946700000000001</v>
      </c>
      <c r="F6265" t="s">
        <v>44</v>
      </c>
      <c r="G6265">
        <v>-324.25450000000001</v>
      </c>
      <c r="H6265" s="1">
        <v>-2.8196940000000001E-6</v>
      </c>
      <c r="I6265">
        <v>20.07977</v>
      </c>
      <c r="J6265">
        <v>-397.3039</v>
      </c>
      <c r="K6265">
        <v>1.113324</v>
      </c>
      <c r="L6265">
        <v>18.558869999999999</v>
      </c>
      <c r="M6265">
        <v>0.98904440000000005</v>
      </c>
      <c r="N6265">
        <v>-1.380666E-2</v>
      </c>
      <c r="O6265">
        <v>-0.1469723</v>
      </c>
      <c r="P6265">
        <v>0.98690020000000001</v>
      </c>
      <c r="Q6265">
        <v>0.1612644</v>
      </c>
      <c r="R6265">
        <v>4.6999279999999999E-3</v>
      </c>
      <c r="S6265">
        <v>3.0473020000000002</v>
      </c>
      <c r="T6265">
        <v>-4.6368840000000001E-2</v>
      </c>
      <c r="U6265">
        <v>6.268311E-2</v>
      </c>
      <c r="V6265">
        <v>-0.1506605</v>
      </c>
      <c r="W6265">
        <v>0.17389830000000001</v>
      </c>
      <c r="X6265">
        <v>0.97317050000000005</v>
      </c>
      <c r="Y6265">
        <v>-0.16726070000000001</v>
      </c>
      <c r="Z6265">
        <v>2.6242180000000002E-3</v>
      </c>
      <c r="AA6265">
        <v>0.98590919999999904</v>
      </c>
      <c r="AB6265">
        <v>22</v>
      </c>
      <c r="AC6265">
        <v>73.049399999999906</v>
      </c>
      <c r="AD6265">
        <v>-1.113326819694</v>
      </c>
      <c r="AE6265">
        <v>1.5208999999999899</v>
      </c>
      <c r="AF6265">
        <v>-12.238799318505199</v>
      </c>
      <c r="AG6265">
        <v>-1.113326819694</v>
      </c>
      <c r="AH6265">
        <v>72.015704108800193</v>
      </c>
      <c r="AI6265">
        <v>90.873175901032695</v>
      </c>
      <c r="AJ6265">
        <v>99.645052502173499</v>
      </c>
      <c r="AK6265">
        <v>73.056754264423404</v>
      </c>
      <c r="AL6265">
        <v>79.985447778830803</v>
      </c>
      <c r="AM6265">
        <v>98.8003304329999</v>
      </c>
      <c r="AN6265">
        <v>1.00000001353669</v>
      </c>
    </row>
    <row r="6266" spans="1:40" x14ac:dyDescent="0.25">
      <c r="A6266" t="str">
        <f>"20190304154921397"</f>
        <v>20190304154921397</v>
      </c>
      <c r="B6266" t="str">
        <f>"1551685761393618"</f>
        <v>1551685761393618</v>
      </c>
      <c r="C6266" t="s">
        <v>40</v>
      </c>
      <c r="D6266">
        <v>4.333342</v>
      </c>
      <c r="E6266">
        <v>0.52957339999999997</v>
      </c>
      <c r="F6266" t="s">
        <v>91</v>
      </c>
      <c r="G6266">
        <v>-360.36840000000001</v>
      </c>
      <c r="H6266" s="1">
        <v>-5.0664539999999997E-6</v>
      </c>
      <c r="I6266">
        <v>16.72364</v>
      </c>
      <c r="J6266">
        <v>-397.1361</v>
      </c>
      <c r="K6266">
        <v>1.1132249999999999</v>
      </c>
      <c r="L6266">
        <v>18.537410000000001</v>
      </c>
      <c r="M6266">
        <v>0.98947079999999998</v>
      </c>
      <c r="N6266">
        <v>-1.3796900000000001E-2</v>
      </c>
      <c r="O6266">
        <v>-0.1440746</v>
      </c>
      <c r="P6266">
        <v>0.98691709999999999</v>
      </c>
      <c r="Q6266">
        <v>0.16109970000000001</v>
      </c>
      <c r="R6266">
        <v>6.4671310000000001E-3</v>
      </c>
      <c r="S6266">
        <v>3.0556030000000001</v>
      </c>
      <c r="T6266">
        <v>-9.2103599999999994E-2</v>
      </c>
      <c r="U6266">
        <v>-0.15182499999999999</v>
      </c>
      <c r="V6266">
        <v>-0.14951310000000001</v>
      </c>
      <c r="W6266">
        <v>0.1737668</v>
      </c>
      <c r="X6266">
        <v>0.97337090000000004</v>
      </c>
      <c r="Y6266">
        <v>-9.4721169999999993E-2</v>
      </c>
      <c r="Z6266">
        <v>4.4109020000000004E-3</v>
      </c>
      <c r="AA6266">
        <v>0.99549410000000005</v>
      </c>
      <c r="AB6266">
        <v>22</v>
      </c>
      <c r="AC6266">
        <v>36.767699999999898</v>
      </c>
      <c r="AD6266">
        <v>-1.11323006645399</v>
      </c>
      <c r="AE6266">
        <v>-1.8137700000000001</v>
      </c>
      <c r="AF6266">
        <v>-3.4997515881265402</v>
      </c>
      <c r="AG6266">
        <v>-1.11323006645399</v>
      </c>
      <c r="AH6266">
        <v>36.6118846438033</v>
      </c>
      <c r="AI6266">
        <v>91.733715023467795</v>
      </c>
      <c r="AJ6266">
        <v>95.460346182927907</v>
      </c>
      <c r="AK6266">
        <v>36.795619841641603</v>
      </c>
      <c r="AL6266">
        <v>79.993098402602399</v>
      </c>
      <c r="AM6266">
        <v>98.732575753639594</v>
      </c>
      <c r="AN6266">
        <v>0.999999988410329</v>
      </c>
    </row>
    <row r="6267" spans="1:40" x14ac:dyDescent="0.25">
      <c r="A6267" t="str">
        <f>"20190304154921410"</f>
        <v>20190304154921410</v>
      </c>
      <c r="B6267" t="str">
        <f>"1551685761403377"</f>
        <v>1551685761403377</v>
      </c>
      <c r="C6267" t="s">
        <v>40</v>
      </c>
      <c r="D6267">
        <v>4.3387029999999998</v>
      </c>
      <c r="E6267">
        <v>0.53276709999999905</v>
      </c>
      <c r="F6267" t="s">
        <v>44</v>
      </c>
      <c r="G6267">
        <v>-354.67529999999999</v>
      </c>
      <c r="H6267" s="1">
        <v>-3.0184690000000002E-6</v>
      </c>
      <c r="I6267">
        <v>15.377509999999999</v>
      </c>
      <c r="J6267">
        <v>-397.00869999999998</v>
      </c>
      <c r="K6267">
        <v>1.1131549999999999</v>
      </c>
      <c r="L6267">
        <v>18.521329999999999</v>
      </c>
      <c r="M6267">
        <v>0.98977879999999996</v>
      </c>
      <c r="N6267">
        <v>-1.3789559999999999E-2</v>
      </c>
      <c r="O6267">
        <v>-0.14194379999999901</v>
      </c>
      <c r="P6267">
        <v>0.9869329</v>
      </c>
      <c r="Q6267">
        <v>0.16092960000000001</v>
      </c>
      <c r="R6267">
        <v>8.1027679999999998E-3</v>
      </c>
      <c r="S6267">
        <v>3.0543209999999998</v>
      </c>
      <c r="T6267">
        <v>-8.0077529999999994E-2</v>
      </c>
      <c r="U6267">
        <v>-0.22729489999999999</v>
      </c>
      <c r="V6267">
        <v>-0.14900279999999999</v>
      </c>
      <c r="W6267">
        <v>0.1736193</v>
      </c>
      <c r="X6267">
        <v>0.97347550000000005</v>
      </c>
      <c r="Y6267">
        <v>-6.8059090000000003E-2</v>
      </c>
      <c r="Z6267">
        <v>3.1000369999999999E-3</v>
      </c>
      <c r="AA6267">
        <v>0.99767649999999997</v>
      </c>
      <c r="AB6267">
        <v>22</v>
      </c>
      <c r="AC6267">
        <v>42.333399999999898</v>
      </c>
      <c r="AD6267">
        <v>-1.113158018469</v>
      </c>
      <c r="AE6267">
        <v>-3.1438199999999901</v>
      </c>
      <c r="AF6267">
        <v>-2.89556129649691</v>
      </c>
      <c r="AG6267">
        <v>-1.113158018469</v>
      </c>
      <c r="AH6267">
        <v>42.321866651105204</v>
      </c>
      <c r="AI6267">
        <v>91.503145067274303</v>
      </c>
      <c r="AJ6267">
        <v>93.913941333397801</v>
      </c>
      <c r="AK6267">
        <v>42.435407301330102</v>
      </c>
      <c r="AL6267">
        <v>80.001680314947905</v>
      </c>
      <c r="AM6267">
        <v>98.702307061496299</v>
      </c>
      <c r="AN6267">
        <v>1.0000000224202801</v>
      </c>
    </row>
    <row r="6268" spans="1:40" x14ac:dyDescent="0.25">
      <c r="A6268" t="str">
        <f>"20190304154921421"</f>
        <v>20190304154921421</v>
      </c>
      <c r="B6268" t="str">
        <f>"1551685761413137"</f>
        <v>1551685761413137</v>
      </c>
      <c r="C6268" t="s">
        <v>40</v>
      </c>
      <c r="D6268">
        <v>4.2852360000000003</v>
      </c>
      <c r="E6268">
        <v>0.53502729999999998</v>
      </c>
      <c r="F6268" t="s">
        <v>44</v>
      </c>
      <c r="G6268">
        <v>-352.16390000000001</v>
      </c>
      <c r="H6268" s="1">
        <v>-4.1843349999999998E-6</v>
      </c>
      <c r="I6268">
        <v>14.87861</v>
      </c>
      <c r="J6268">
        <v>-396.89370000000002</v>
      </c>
      <c r="K6268">
        <v>1.113089</v>
      </c>
      <c r="L6268">
        <v>18.507079999999998</v>
      </c>
      <c r="M6268">
        <v>0.99004259999999999</v>
      </c>
      <c r="N6268">
        <v>-1.3782869999999999E-2</v>
      </c>
      <c r="O6268">
        <v>-0.14009269999999999</v>
      </c>
      <c r="P6268">
        <v>0.98692199999999997</v>
      </c>
      <c r="Q6268">
        <v>0.160932399999999</v>
      </c>
      <c r="R6268">
        <v>9.2909299999999993E-3</v>
      </c>
      <c r="S6268">
        <v>3.0541079999999998</v>
      </c>
      <c r="T6268">
        <v>-7.5810550000000004E-2</v>
      </c>
      <c r="U6268">
        <v>-0.2480774</v>
      </c>
      <c r="V6268">
        <v>-0.14832629999999999</v>
      </c>
      <c r="W6268">
        <v>0.17364189999999999</v>
      </c>
      <c r="X6268">
        <v>0.97357479999999996</v>
      </c>
      <c r="Y6268">
        <v>-5.9447270000000003E-2</v>
      </c>
      <c r="Z6268">
        <v>2.6694420000000002E-3</v>
      </c>
      <c r="AA6268">
        <v>0.99822789999999995</v>
      </c>
      <c r="AB6268">
        <v>22</v>
      </c>
      <c r="AC6268">
        <v>44.729799999999997</v>
      </c>
      <c r="AD6268">
        <v>-1.113093184335</v>
      </c>
      <c r="AE6268">
        <v>-3.6284699999999899</v>
      </c>
      <c r="AF6268">
        <v>-2.6725880307698699</v>
      </c>
      <c r="AG6268">
        <v>-1.113093184335</v>
      </c>
      <c r="AH6268">
        <v>44.769436089011798</v>
      </c>
      <c r="AI6268">
        <v>91.421709660286496</v>
      </c>
      <c r="AJ6268">
        <v>93.416315130014496</v>
      </c>
      <c r="AK6268">
        <v>44.862948085779401</v>
      </c>
      <c r="AL6268">
        <v>80.000365696535496</v>
      </c>
      <c r="AM6268">
        <v>98.662527568929406</v>
      </c>
      <c r="AN6268">
        <v>1.00000004595116</v>
      </c>
    </row>
    <row r="6269" spans="1:40" x14ac:dyDescent="0.25">
      <c r="A6269" t="str">
        <f>"20190304154921433"</f>
        <v>20190304154921433</v>
      </c>
      <c r="B6269" t="str">
        <f>"1551685761423874"</f>
        <v>1551685761423874</v>
      </c>
      <c r="C6269" t="s">
        <v>40</v>
      </c>
      <c r="D6269">
        <v>4.2969910000000002</v>
      </c>
      <c r="E6269">
        <v>0.53697869999999903</v>
      </c>
      <c r="F6269" t="s">
        <v>44</v>
      </c>
      <c r="G6269">
        <v>-350.476</v>
      </c>
      <c r="H6269" s="1">
        <v>-4.9728570000000002E-6</v>
      </c>
      <c r="I6269">
        <v>14.515409999999999</v>
      </c>
      <c r="J6269">
        <v>-396.78039999999999</v>
      </c>
      <c r="K6269">
        <v>1.1130370000000001</v>
      </c>
      <c r="L6269">
        <v>18.493099999999998</v>
      </c>
      <c r="M6269">
        <v>0.99029540000000005</v>
      </c>
      <c r="N6269">
        <v>-1.3776399999999999E-2</v>
      </c>
      <c r="O6269">
        <v>-0.13829430000000001</v>
      </c>
      <c r="P6269">
        <v>0.98692340000000001</v>
      </c>
      <c r="Q6269">
        <v>0.16085279999999999</v>
      </c>
      <c r="R6269">
        <v>1.0417320000000001E-2</v>
      </c>
      <c r="S6269">
        <v>3.054138</v>
      </c>
      <c r="T6269">
        <v>-7.3238129999999999E-2</v>
      </c>
      <c r="U6269">
        <v>-0.26263429999999999</v>
      </c>
      <c r="V6269">
        <v>-0.147644</v>
      </c>
      <c r="W6269">
        <v>0.17358270000000001</v>
      </c>
      <c r="X6269">
        <v>0.97368900000000003</v>
      </c>
      <c r="Y6269">
        <v>-5.2914870000000003E-2</v>
      </c>
      <c r="Z6269">
        <v>2.3861770000000002E-3</v>
      </c>
      <c r="AA6269">
        <v>0.99859620000000004</v>
      </c>
      <c r="AB6269">
        <v>22</v>
      </c>
      <c r="AC6269">
        <v>46.304400000000001</v>
      </c>
      <c r="AD6269">
        <v>-1.113041972857</v>
      </c>
      <c r="AE6269">
        <v>-3.9776899999999902</v>
      </c>
      <c r="AF6269">
        <v>-2.4633673691434401</v>
      </c>
      <c r="AG6269">
        <v>-1.113041972857</v>
      </c>
      <c r="AH6269">
        <v>46.382924697818602</v>
      </c>
      <c r="AI6269">
        <v>91.372717951440606</v>
      </c>
      <c r="AJ6269">
        <v>93.040085940087494</v>
      </c>
      <c r="AK6269">
        <v>46.461626583151499</v>
      </c>
      <c r="AL6269">
        <v>80.003809310680793</v>
      </c>
      <c r="AM6269">
        <v>98.6222841840722</v>
      </c>
      <c r="AN6269">
        <v>0.99999998659814504</v>
      </c>
    </row>
    <row r="6270" spans="1:40" x14ac:dyDescent="0.25">
      <c r="A6270" t="str">
        <f>"20190304154921447"</f>
        <v>20190304154921447</v>
      </c>
      <c r="B6270" t="str">
        <f>"1551685761443393"</f>
        <v>1551685761443393</v>
      </c>
      <c r="C6270" t="s">
        <v>40</v>
      </c>
      <c r="D6270">
        <v>4.2539069999999999</v>
      </c>
      <c r="E6270">
        <v>0.53998519999999905</v>
      </c>
      <c r="F6270" t="s">
        <v>44</v>
      </c>
      <c r="G6270">
        <v>-347.38909999999998</v>
      </c>
      <c r="H6270" s="1">
        <v>-2.3564279999999999E-6</v>
      </c>
      <c r="I6270">
        <v>14.04687</v>
      </c>
      <c r="J6270">
        <v>-396.64670000000001</v>
      </c>
      <c r="K6270">
        <v>1.1129690000000001</v>
      </c>
      <c r="L6270">
        <v>18.476900000000001</v>
      </c>
      <c r="M6270">
        <v>0.99057790000000001</v>
      </c>
      <c r="N6270">
        <v>-1.3768610000000001E-2</v>
      </c>
      <c r="O6270">
        <v>-0.1362565</v>
      </c>
      <c r="P6270">
        <v>0.98696349999999999</v>
      </c>
      <c r="Q6270">
        <v>0.1605219</v>
      </c>
      <c r="R6270">
        <v>1.166333E-2</v>
      </c>
      <c r="S6270">
        <v>3.053833</v>
      </c>
      <c r="T6270">
        <v>-6.8818569999999996E-2</v>
      </c>
      <c r="U6270">
        <v>-0.27490229999999999</v>
      </c>
      <c r="V6270">
        <v>-0.14684459999999999</v>
      </c>
      <c r="W6270">
        <v>0.1732746</v>
      </c>
      <c r="X6270">
        <v>0.97386470000000003</v>
      </c>
      <c r="Y6270">
        <v>-4.6876630000000002E-2</v>
      </c>
      <c r="Z6270">
        <v>2.0230780000000002E-3</v>
      </c>
      <c r="AA6270">
        <v>0.99889859999999997</v>
      </c>
      <c r="AB6270">
        <v>22</v>
      </c>
      <c r="AC6270">
        <v>49.257599999999996</v>
      </c>
      <c r="AD6270">
        <v>-1.1129713564279999</v>
      </c>
      <c r="AE6270">
        <v>-4.4300299999999897</v>
      </c>
      <c r="AF6270">
        <v>-2.3224224826792801</v>
      </c>
      <c r="AG6270">
        <v>-1.1129713564279999</v>
      </c>
      <c r="AH6270">
        <v>49.376787538170603</v>
      </c>
      <c r="AI6270">
        <v>91.289824316787303</v>
      </c>
      <c r="AJ6270">
        <v>92.692905274653697</v>
      </c>
      <c r="AK6270">
        <v>49.443902546400203</v>
      </c>
      <c r="AL6270">
        <v>80.021733277425497</v>
      </c>
      <c r="AM6270">
        <v>98.574771660299803</v>
      </c>
      <c r="AN6270">
        <v>0.99999993873020299</v>
      </c>
    </row>
    <row r="6271" spans="1:40" x14ac:dyDescent="0.25">
      <c r="A6271" t="str">
        <f>"20190304154921464"</f>
        <v>20190304154921464</v>
      </c>
      <c r="B6271" t="str">
        <f>"1551685761453153"</f>
        <v>1551685761453153</v>
      </c>
      <c r="C6271" t="s">
        <v>40</v>
      </c>
      <c r="D6271">
        <v>4.2492340000000004</v>
      </c>
      <c r="E6271">
        <v>0.54103780000000001</v>
      </c>
      <c r="F6271" t="s">
        <v>44</v>
      </c>
      <c r="G6271">
        <v>-343.95080000000002</v>
      </c>
      <c r="H6271" s="1">
        <v>-3.7027999999999999E-6</v>
      </c>
      <c r="I6271">
        <v>13.384219999999999</v>
      </c>
      <c r="J6271">
        <v>-396.48489999999998</v>
      </c>
      <c r="K6271">
        <v>1.1128910000000001</v>
      </c>
      <c r="L6271">
        <v>18.457550000000001</v>
      </c>
      <c r="M6271">
        <v>0.9909036</v>
      </c>
      <c r="N6271">
        <v>-1.375931E-2</v>
      </c>
      <c r="O6271">
        <v>-0.13386890000000001</v>
      </c>
      <c r="P6271">
        <v>0.98688549999999997</v>
      </c>
      <c r="Q6271">
        <v>0.16091720000000001</v>
      </c>
      <c r="R6271">
        <v>1.2758200000000001E-2</v>
      </c>
      <c r="S6271">
        <v>3.0536189999999999</v>
      </c>
      <c r="T6271">
        <v>-6.4494490000000002E-2</v>
      </c>
      <c r="U6271">
        <v>-0.29510500000000001</v>
      </c>
      <c r="V6271">
        <v>-0.14553369999999999</v>
      </c>
      <c r="W6271">
        <v>0.17369780000000001</v>
      </c>
      <c r="X6271">
        <v>0.97398609999999997</v>
      </c>
      <c r="Y6271">
        <v>-3.7916499999999999E-2</v>
      </c>
      <c r="Z6271">
        <v>1.6257379999999901E-3</v>
      </c>
      <c r="AA6271">
        <v>0.99927960000000005</v>
      </c>
      <c r="AB6271">
        <v>22</v>
      </c>
      <c r="AC6271">
        <v>52.534099999999903</v>
      </c>
      <c r="AD6271">
        <v>-1.1128947028</v>
      </c>
      <c r="AE6271">
        <v>-5.0733300000000003</v>
      </c>
      <c r="AF6271">
        <v>-2.0047995545861599</v>
      </c>
      <c r="AG6271">
        <v>-1.1128947028</v>
      </c>
      <c r="AH6271">
        <v>52.716939409243501</v>
      </c>
      <c r="AI6271">
        <v>91.208504542860098</v>
      </c>
      <c r="AJ6271">
        <v>92.177881104612894</v>
      </c>
      <c r="AK6271">
        <v>52.766783647967699</v>
      </c>
      <c r="AL6271">
        <v>79.997112504570296</v>
      </c>
      <c r="AM6271">
        <v>98.498302655198401</v>
      </c>
      <c r="AN6271">
        <v>0.99999995327686797</v>
      </c>
    </row>
    <row r="6272" spans="1:40" x14ac:dyDescent="0.25">
      <c r="A6272" t="str">
        <f>"20190304154921479"</f>
        <v>20190304154921479</v>
      </c>
      <c r="B6272" t="str">
        <f>"1551685761473650"</f>
        <v>1551685761473650</v>
      </c>
      <c r="C6272" t="s">
        <v>40</v>
      </c>
      <c r="D6272">
        <v>4.2844660000000001</v>
      </c>
      <c r="E6272">
        <v>0.54299319999999995</v>
      </c>
      <c r="F6272" t="s">
        <v>44</v>
      </c>
      <c r="G6272">
        <v>-340.55160000000001</v>
      </c>
      <c r="H6272" s="1">
        <v>-5.2165559999999998E-6</v>
      </c>
      <c r="I6272">
        <v>12.958769999999999</v>
      </c>
      <c r="J6272">
        <v>-396.34820000000002</v>
      </c>
      <c r="K6272">
        <v>1.1128260000000001</v>
      </c>
      <c r="L6272">
        <v>18.44144</v>
      </c>
      <c r="M6272">
        <v>0.99116579999999999</v>
      </c>
      <c r="N6272">
        <v>-1.3751680000000001E-2</v>
      </c>
      <c r="O6272">
        <v>-0.13191459999999999</v>
      </c>
      <c r="P6272">
        <v>0.98684890000000003</v>
      </c>
      <c r="Q6272">
        <v>0.1610441</v>
      </c>
      <c r="R6272">
        <v>1.393985E-2</v>
      </c>
      <c r="S6272">
        <v>3.0536799999999999</v>
      </c>
      <c r="T6272">
        <v>-6.0758590000000001E-2</v>
      </c>
      <c r="U6272">
        <v>-0.30020140000000001</v>
      </c>
      <c r="V6272">
        <v>-0.14474779999999901</v>
      </c>
      <c r="W6272">
        <v>0.17384430000000001</v>
      </c>
      <c r="X6272">
        <v>0.97407710000000003</v>
      </c>
      <c r="Y6272">
        <v>-3.4299089999999997E-2</v>
      </c>
      <c r="Z6272">
        <v>1.368331E-3</v>
      </c>
      <c r="AA6272">
        <v>0.99941069999999999</v>
      </c>
      <c r="AB6272">
        <v>22</v>
      </c>
      <c r="AC6272">
        <v>55.796599999999998</v>
      </c>
      <c r="AD6272">
        <v>-1.1128312165559999</v>
      </c>
      <c r="AE6272">
        <v>-5.4826699999999997</v>
      </c>
      <c r="AF6272">
        <v>-1.92557448933225</v>
      </c>
      <c r="AG6272">
        <v>-1.1128312165559999</v>
      </c>
      <c r="AH6272">
        <v>56.010151589384002</v>
      </c>
      <c r="AI6272">
        <v>91.1375529379618</v>
      </c>
      <c r="AJ6272">
        <v>91.968997639313102</v>
      </c>
      <c r="AK6272">
        <v>56.054288966111002</v>
      </c>
      <c r="AL6272">
        <v>79.988589281906201</v>
      </c>
      <c r="AM6272">
        <v>98.452297271064097</v>
      </c>
      <c r="AN6272">
        <v>0.99999998149586899</v>
      </c>
    </row>
    <row r="6273" spans="1:40" x14ac:dyDescent="0.25">
      <c r="A6273" t="str">
        <f>"20190304154921498"</f>
        <v>20190304154921498</v>
      </c>
      <c r="B6273" t="str">
        <f>"1551685761493170"</f>
        <v>1551685761493170</v>
      </c>
      <c r="C6273" t="s">
        <v>40</v>
      </c>
      <c r="D6273">
        <v>4.2607410000000003</v>
      </c>
      <c r="E6273">
        <v>0.54447789999999996</v>
      </c>
      <c r="F6273" t="s">
        <v>44</v>
      </c>
      <c r="G6273">
        <v>-334.98259999999999</v>
      </c>
      <c r="H6273" s="1">
        <v>-3.675708E-6</v>
      </c>
      <c r="I6273">
        <v>12.16642</v>
      </c>
      <c r="J6273">
        <v>-396.16629999999998</v>
      </c>
      <c r="K6273">
        <v>1.112746</v>
      </c>
      <c r="L6273">
        <v>18.420259999999999</v>
      </c>
      <c r="M6273">
        <v>0.99149750000000003</v>
      </c>
      <c r="N6273">
        <v>-1.3741929999999999E-2</v>
      </c>
      <c r="O6273">
        <v>-0.12939800000000001</v>
      </c>
      <c r="P6273">
        <v>0.98674980000000001</v>
      </c>
      <c r="Q6273">
        <v>0.16151779999999999</v>
      </c>
      <c r="R6273">
        <v>1.5398820000000001E-2</v>
      </c>
      <c r="S6273">
        <v>3.0534059999999998</v>
      </c>
      <c r="T6273">
        <v>-5.5371759999999999E-2</v>
      </c>
      <c r="U6273">
        <v>-0.31222529999999998</v>
      </c>
      <c r="V6273">
        <v>-0.14367070000000001</v>
      </c>
      <c r="W6273">
        <v>0.174342</v>
      </c>
      <c r="X6273">
        <v>0.9741476</v>
      </c>
      <c r="Y6273">
        <v>-2.7860860000000001E-2</v>
      </c>
      <c r="Z6273">
        <v>9.9508689999999993E-4</v>
      </c>
      <c r="AA6273">
        <v>0.99961129999999998</v>
      </c>
      <c r="AB6273">
        <v>22</v>
      </c>
      <c r="AC6273">
        <v>61.183699999999902</v>
      </c>
      <c r="AD6273">
        <v>-1.112749675708</v>
      </c>
      <c r="AE6273">
        <v>-6.2538399999999896</v>
      </c>
      <c r="AF6273">
        <v>-1.71598206924066</v>
      </c>
      <c r="AG6273">
        <v>-1.112749675708</v>
      </c>
      <c r="AH6273">
        <v>61.458407543149598</v>
      </c>
      <c r="AI6273">
        <v>91.036864903584998</v>
      </c>
      <c r="AJ6273">
        <v>91.5993416845387</v>
      </c>
      <c r="AK6273">
        <v>61.492427696771003</v>
      </c>
      <c r="AL6273">
        <v>79.959630886427107</v>
      </c>
      <c r="AM6273">
        <v>98.389701900857304</v>
      </c>
      <c r="AN6273">
        <v>0.99999997479412395</v>
      </c>
    </row>
    <row r="6274" spans="1:40" x14ac:dyDescent="0.25">
      <c r="A6274" t="str">
        <f>"20190304154921512"</f>
        <v>20190304154921512</v>
      </c>
      <c r="B6274" t="str">
        <f>"1551685761503906"</f>
        <v>1551685761503906</v>
      </c>
      <c r="C6274" t="s">
        <v>40</v>
      </c>
      <c r="D6274">
        <v>4.3013729999999999</v>
      </c>
      <c r="E6274">
        <v>0.54447789999999996</v>
      </c>
      <c r="F6274" t="s">
        <v>44</v>
      </c>
      <c r="G6274">
        <v>-330.29759999999999</v>
      </c>
      <c r="H6274" s="1">
        <v>-5.5805850000000002E-6</v>
      </c>
      <c r="I6274">
        <v>11.52083</v>
      </c>
      <c r="J6274">
        <v>-396.02210000000002</v>
      </c>
      <c r="K6274">
        <v>1.112689</v>
      </c>
      <c r="L6274">
        <v>18.40372</v>
      </c>
      <c r="M6274">
        <v>0.99174819999999997</v>
      </c>
      <c r="N6274">
        <v>-1.373458E-2</v>
      </c>
      <c r="O6274">
        <v>-0.12746279999999999</v>
      </c>
      <c r="P6274">
        <v>0.9867129</v>
      </c>
      <c r="Q6274">
        <v>0.1615933</v>
      </c>
      <c r="R6274">
        <v>1.688183E-2</v>
      </c>
      <c r="S6274">
        <v>3.0536799999999999</v>
      </c>
      <c r="T6274">
        <v>-5.1587340000000002E-2</v>
      </c>
      <c r="U6274">
        <v>-0.31985469999999999</v>
      </c>
      <c r="V6274">
        <v>-0.14320620000000001</v>
      </c>
      <c r="W6274">
        <v>0.17443310000000001</v>
      </c>
      <c r="X6274">
        <v>0.9741997</v>
      </c>
      <c r="Y6274">
        <v>-2.345042E-2</v>
      </c>
      <c r="Z6274">
        <v>7.4590149999999896E-4</v>
      </c>
      <c r="AA6274">
        <v>0.99972470000000002</v>
      </c>
      <c r="AB6274">
        <v>22</v>
      </c>
      <c r="AC6274">
        <v>65.724500000000006</v>
      </c>
      <c r="AD6274">
        <v>-1.1126945805849999</v>
      </c>
      <c r="AE6274">
        <v>-6.8828899999999997</v>
      </c>
      <c r="AF6274">
        <v>-1.55104172463788</v>
      </c>
      <c r="AG6274">
        <v>-1.1126945805849999</v>
      </c>
      <c r="AH6274">
        <v>66.046977362525496</v>
      </c>
      <c r="AI6274">
        <v>90.964905709207997</v>
      </c>
      <c r="AJ6274">
        <v>91.345282053204002</v>
      </c>
      <c r="AK6274">
        <v>66.074556664325698</v>
      </c>
      <c r="AL6274">
        <v>79.954330158071897</v>
      </c>
      <c r="AM6274">
        <v>98.362520556967397</v>
      </c>
      <c r="AN6274">
        <v>0.99999998878706997</v>
      </c>
    </row>
    <row r="6275" spans="1:40" x14ac:dyDescent="0.25">
      <c r="A6275" t="str">
        <f>"20190304154921531"</f>
        <v>20190304154921531</v>
      </c>
      <c r="B6275" t="str">
        <f>"1551685761523429"</f>
        <v>1551685761523429</v>
      </c>
      <c r="C6275" t="s">
        <v>40</v>
      </c>
      <c r="D6275">
        <v>4.2277950000000004</v>
      </c>
      <c r="E6275">
        <v>0.5552203</v>
      </c>
      <c r="F6275" t="s">
        <v>44</v>
      </c>
      <c r="G6275">
        <v>-329.9117</v>
      </c>
      <c r="H6275" s="1">
        <v>-2.1560350000000001E-6</v>
      </c>
      <c r="I6275">
        <v>11.581239999999999</v>
      </c>
      <c r="J6275">
        <v>-395.8476</v>
      </c>
      <c r="K6275">
        <v>1.112633</v>
      </c>
      <c r="L6275">
        <v>18.384</v>
      </c>
      <c r="M6275">
        <v>0.99203710000000001</v>
      </c>
      <c r="N6275">
        <v>-1.3726199999999999E-2</v>
      </c>
      <c r="O6275">
        <v>-0.12519649999999999</v>
      </c>
      <c r="P6275">
        <v>0.98679640000000002</v>
      </c>
      <c r="Q6275">
        <v>0.1609894</v>
      </c>
      <c r="R6275">
        <v>1.7757220000000001E-2</v>
      </c>
      <c r="S6275">
        <v>3.0541689999999999</v>
      </c>
      <c r="T6275">
        <v>-5.1404119999999998E-2</v>
      </c>
      <c r="U6275">
        <v>-0.31518550000000001</v>
      </c>
      <c r="V6275">
        <v>-0.14182539999999999</v>
      </c>
      <c r="W6275">
        <v>0.17385129999999999</v>
      </c>
      <c r="X6275">
        <v>0.97450570000000003</v>
      </c>
      <c r="Y6275">
        <v>-2.2695070000000001E-2</v>
      </c>
      <c r="Z6275">
        <v>7.2042310000000002E-4</v>
      </c>
      <c r="AA6275">
        <v>0.99974220000000003</v>
      </c>
      <c r="AB6275">
        <v>22</v>
      </c>
      <c r="AC6275">
        <v>65.935900000000004</v>
      </c>
      <c r="AD6275">
        <v>-1.1126351560349901</v>
      </c>
      <c r="AE6275">
        <v>-6.8027600000000001</v>
      </c>
      <c r="AF6275">
        <v>-1.5060710565329101</v>
      </c>
      <c r="AG6275">
        <v>-1.1126351560349901</v>
      </c>
      <c r="AH6275">
        <v>66.250111957701293</v>
      </c>
      <c r="AI6275">
        <v>90.9619130068602</v>
      </c>
      <c r="AJ6275">
        <v>91.302286928388497</v>
      </c>
      <c r="AK6275">
        <v>66.276568570089097</v>
      </c>
      <c r="AL6275">
        <v>79.988182591013896</v>
      </c>
      <c r="AM6275">
        <v>98.280448022505595</v>
      </c>
      <c r="AN6275">
        <v>1.0000000389646599</v>
      </c>
    </row>
    <row r="6276" spans="1:40" x14ac:dyDescent="0.25">
      <c r="A6276" t="str">
        <f>"20190304154921541"</f>
        <v>20190304154921541</v>
      </c>
      <c r="B6276" t="str">
        <f>"1551685761533186"</f>
        <v>1551685761533186</v>
      </c>
      <c r="C6276" t="s">
        <v>40</v>
      </c>
      <c r="D6276">
        <v>4.2214349999999996</v>
      </c>
      <c r="E6276">
        <v>0.55530749999999995</v>
      </c>
      <c r="F6276" t="s">
        <v>45</v>
      </c>
      <c r="G6276">
        <v>-277.28640000000001</v>
      </c>
      <c r="H6276">
        <v>-0.05</v>
      </c>
      <c r="I6276">
        <v>2.9461210000000002</v>
      </c>
      <c r="J6276">
        <v>-395.74160000000001</v>
      </c>
      <c r="K6276">
        <v>1.1126020000000001</v>
      </c>
      <c r="L6276">
        <v>18.372250000000001</v>
      </c>
      <c r="M6276">
        <v>0.99220459999999999</v>
      </c>
      <c r="N6276">
        <v>-1.372049E-2</v>
      </c>
      <c r="O6276">
        <v>-0.12386320000000001</v>
      </c>
      <c r="P6276">
        <v>0.98683739999999998</v>
      </c>
      <c r="Q6276">
        <v>0.16065119999999999</v>
      </c>
      <c r="R6276">
        <v>1.853105E-2</v>
      </c>
      <c r="S6276">
        <v>3.052216</v>
      </c>
      <c r="T6276">
        <v>-2.993059E-2</v>
      </c>
      <c r="U6276">
        <v>-0.39743040000000002</v>
      </c>
      <c r="V6276">
        <v>-0.14127190000000001</v>
      </c>
      <c r="W6276">
        <v>0.1735217</v>
      </c>
      <c r="X6276">
        <v>0.97464479999999998</v>
      </c>
      <c r="Y6276">
        <v>5.2884639999999997E-3</v>
      </c>
      <c r="Z6276">
        <v>-5.5664929999999998E-4</v>
      </c>
      <c r="AA6276">
        <v>0.99998589999999998</v>
      </c>
      <c r="AB6276">
        <v>22</v>
      </c>
      <c r="AC6276">
        <v>118.4552</v>
      </c>
      <c r="AD6276">
        <v>-1.1626019999999999</v>
      </c>
      <c r="AE6276">
        <v>-15.426129</v>
      </c>
      <c r="AF6276">
        <v>0.63363555718755205</v>
      </c>
      <c r="AG6276">
        <v>-1.1626019999999999</v>
      </c>
      <c r="AH6276">
        <v>119.442435784634</v>
      </c>
      <c r="AI6276">
        <v>90.557667353825195</v>
      </c>
      <c r="AJ6276">
        <v>89.6960518899633</v>
      </c>
      <c r="AK6276">
        <v>119.44977439742701</v>
      </c>
      <c r="AL6276">
        <v>80.007358426383504</v>
      </c>
      <c r="AM6276">
        <v>98.247416526245601</v>
      </c>
      <c r="AN6276">
        <v>1.0000000081337601</v>
      </c>
    </row>
    <row r="6277" spans="1:40" x14ac:dyDescent="0.25">
      <c r="A6277" t="str">
        <f>"20190304154921554"</f>
        <v>20190304154921554</v>
      </c>
      <c r="B6277" t="str">
        <f>"1551685761543921"</f>
        <v>1551685761543921</v>
      </c>
      <c r="C6277" t="s">
        <v>40</v>
      </c>
      <c r="D6277">
        <v>4.2333959999999999</v>
      </c>
      <c r="E6277">
        <v>0.55523219999999995</v>
      </c>
      <c r="F6277" t="s">
        <v>45</v>
      </c>
      <c r="G6277">
        <v>-292.5351</v>
      </c>
      <c r="H6277">
        <v>-0.05</v>
      </c>
      <c r="I6277">
        <v>4.9859159999999996</v>
      </c>
      <c r="J6277">
        <v>-395.62430000000001</v>
      </c>
      <c r="K6277">
        <v>1.112568</v>
      </c>
      <c r="L6277">
        <v>18.359279999999998</v>
      </c>
      <c r="M6277">
        <v>0.9923862</v>
      </c>
      <c r="N6277">
        <v>-1.3713980000000001E-2</v>
      </c>
      <c r="O6277">
        <v>-0.12239999999999999</v>
      </c>
      <c r="P6277">
        <v>0.98685560000000005</v>
      </c>
      <c r="Q6277">
        <v>0.1603947</v>
      </c>
      <c r="R6277">
        <v>1.9739329999999999E-2</v>
      </c>
      <c r="S6277">
        <v>3.05307</v>
      </c>
      <c r="T6277">
        <v>-3.4392239999999998E-2</v>
      </c>
      <c r="U6277">
        <v>-0.39599610000000002</v>
      </c>
      <c r="V6277">
        <v>-0.14101749999999999</v>
      </c>
      <c r="W6277">
        <v>0.17327279999999901</v>
      </c>
      <c r="X6277">
        <v>0.97472590000000003</v>
      </c>
      <c r="Y6277">
        <v>6.264365E-3</v>
      </c>
      <c r="Z6277">
        <v>-3.8872940000000001E-4</v>
      </c>
      <c r="AA6277">
        <v>0.99998030000000004</v>
      </c>
      <c r="AB6277">
        <v>22</v>
      </c>
      <c r="AC6277">
        <v>103.08920000000001</v>
      </c>
      <c r="AD6277">
        <v>-1.162568</v>
      </c>
      <c r="AE6277">
        <v>-13.373364</v>
      </c>
      <c r="AF6277">
        <v>0.65340346627256596</v>
      </c>
      <c r="AG6277">
        <v>-1.162568</v>
      </c>
      <c r="AH6277">
        <v>103.937964495964</v>
      </c>
      <c r="AI6277">
        <v>90.640825962640207</v>
      </c>
      <c r="AJ6277">
        <v>89.639816231160793</v>
      </c>
      <c r="AK6277">
        <v>103.94651973014101</v>
      </c>
      <c r="AL6277">
        <v>80.021838503849807</v>
      </c>
      <c r="AM6277">
        <v>98.232092881646693</v>
      </c>
      <c r="AN6277">
        <v>0.99999998932844902</v>
      </c>
    </row>
    <row r="6278" spans="1:40" x14ac:dyDescent="0.25">
      <c r="A6278" t="str">
        <f>"20190304154921566"</f>
        <v>20190304154921566</v>
      </c>
      <c r="B6278" t="str">
        <f>"1551685761563442"</f>
        <v>1551685761563442</v>
      </c>
      <c r="C6278" t="s">
        <v>40</v>
      </c>
      <c r="D6278">
        <v>4.3463719999999997</v>
      </c>
      <c r="E6278">
        <v>0.55663109999999905</v>
      </c>
      <c r="F6278" t="s">
        <v>45</v>
      </c>
      <c r="G6278">
        <v>-291.76819999999998</v>
      </c>
      <c r="H6278">
        <v>-0.05</v>
      </c>
      <c r="I6278">
        <v>5.0352329999999998</v>
      </c>
      <c r="J6278">
        <v>-395.50779999999997</v>
      </c>
      <c r="K6278">
        <v>1.1125320000000001</v>
      </c>
      <c r="L6278">
        <v>18.346620000000001</v>
      </c>
      <c r="M6278">
        <v>0.99255959999999999</v>
      </c>
      <c r="N6278">
        <v>-1.370683E-2</v>
      </c>
      <c r="O6278">
        <v>-0.1209861</v>
      </c>
      <c r="P6278">
        <v>0.98682879999999995</v>
      </c>
      <c r="Q6278">
        <v>0.16043389999999999</v>
      </c>
      <c r="R6278">
        <v>2.0745199999999998E-2</v>
      </c>
      <c r="S6278">
        <v>3.0533450000000002</v>
      </c>
      <c r="T6278">
        <v>-3.4179210000000002E-2</v>
      </c>
      <c r="U6278">
        <v>-0.39172360000000001</v>
      </c>
      <c r="V6278">
        <v>-0.1406077</v>
      </c>
      <c r="W6278">
        <v>0.17331779999999999</v>
      </c>
      <c r="X6278">
        <v>0.97477709999999995</v>
      </c>
      <c r="Y6278">
        <v>6.3011669999999999E-3</v>
      </c>
      <c r="Z6278">
        <v>-3.9275129999999999E-4</v>
      </c>
      <c r="AA6278">
        <v>0.99998010000000004</v>
      </c>
      <c r="AB6278">
        <v>22</v>
      </c>
      <c r="AC6278">
        <v>103.7396</v>
      </c>
      <c r="AD6278">
        <v>-1.1625319999999999</v>
      </c>
      <c r="AE6278">
        <v>-13.311387</v>
      </c>
      <c r="AF6278">
        <v>0.66127574441956005</v>
      </c>
      <c r="AG6278">
        <v>-1.1625319999999999</v>
      </c>
      <c r="AH6278">
        <v>104.57513034148501</v>
      </c>
      <c r="AI6278">
        <v>90.636901926849902</v>
      </c>
      <c r="AJ6278">
        <v>89.637697757230498</v>
      </c>
      <c r="AK6278">
        <v>104.58368253317499</v>
      </c>
      <c r="AL6278">
        <v>80.019220590049898</v>
      </c>
      <c r="AM6278">
        <v>98.208071425434994</v>
      </c>
      <c r="AN6278">
        <v>0.99999998989026995</v>
      </c>
    </row>
    <row r="6279" spans="1:40" x14ac:dyDescent="0.25">
      <c r="A6279" t="str">
        <f>"20190304154921579"</f>
        <v>20190304154921579</v>
      </c>
      <c r="B6279" t="str">
        <f>"1551685761573201"</f>
        <v>1551685761573201</v>
      </c>
      <c r="C6279" t="s">
        <v>40</v>
      </c>
      <c r="D6279">
        <v>4.2711750000000004</v>
      </c>
      <c r="E6279">
        <v>0.55693139999999997</v>
      </c>
      <c r="F6279" t="s">
        <v>45</v>
      </c>
      <c r="G6279">
        <v>-272.89800000000002</v>
      </c>
      <c r="H6279">
        <v>-0.05</v>
      </c>
      <c r="I6279">
        <v>2.2993619999999999</v>
      </c>
      <c r="J6279">
        <v>-395.39120000000003</v>
      </c>
      <c r="K6279">
        <v>1.1124989999999999</v>
      </c>
      <c r="L6279">
        <v>18.334050000000001</v>
      </c>
      <c r="M6279">
        <v>0.9927281</v>
      </c>
      <c r="N6279">
        <v>-1.369797E-2</v>
      </c>
      <c r="O6279">
        <v>-0.1195968</v>
      </c>
      <c r="P6279">
        <v>0.98682429999999999</v>
      </c>
      <c r="Q6279">
        <v>0.16030720000000001</v>
      </c>
      <c r="R6279">
        <v>2.1904259999999998E-2</v>
      </c>
      <c r="S6279">
        <v>3.053131</v>
      </c>
      <c r="T6279">
        <v>-2.8948430000000001E-2</v>
      </c>
      <c r="U6279">
        <v>-0.39959719999999999</v>
      </c>
      <c r="V6279">
        <v>-0.140377</v>
      </c>
      <c r="W6279">
        <v>0.17319389999999901</v>
      </c>
      <c r="X6279">
        <v>0.97483240000000004</v>
      </c>
      <c r="Y6279">
        <v>1.0246109999999999E-2</v>
      </c>
      <c r="Z6279">
        <v>-6.3147609999999999E-4</v>
      </c>
      <c r="AA6279">
        <v>0.99994729999999998</v>
      </c>
      <c r="AB6279">
        <v>22</v>
      </c>
      <c r="AC6279">
        <v>122.4932</v>
      </c>
      <c r="AD6279">
        <v>-1.1624989999999999</v>
      </c>
      <c r="AE6279">
        <v>-16.034687999999999</v>
      </c>
      <c r="AF6279">
        <v>1.26829723920982</v>
      </c>
      <c r="AG6279">
        <v>-1.1624989999999999</v>
      </c>
      <c r="AH6279">
        <v>123.520784642558</v>
      </c>
      <c r="AI6279">
        <v>90.539187065708603</v>
      </c>
      <c r="AJ6279">
        <v>89.411714185907897</v>
      </c>
      <c r="AK6279">
        <v>123.53276577704101</v>
      </c>
      <c r="AL6279">
        <v>80.026428833525998</v>
      </c>
      <c r="AM6279">
        <v>98.194328654512205</v>
      </c>
      <c r="AN6279">
        <v>1.00000001860798</v>
      </c>
    </row>
    <row r="6280" spans="1:40" x14ac:dyDescent="0.25">
      <c r="A6280" t="str">
        <f>"20190304154921592"</f>
        <v>20190304154921592</v>
      </c>
      <c r="B6280" t="str">
        <f>"1551685761583938"</f>
        <v>1551685761583938</v>
      </c>
      <c r="C6280" t="s">
        <v>40</v>
      </c>
      <c r="D6280">
        <v>4.2284600000000001</v>
      </c>
      <c r="E6280">
        <v>0.55719569999999996</v>
      </c>
      <c r="F6280" t="s">
        <v>92</v>
      </c>
      <c r="G6280">
        <v>-279.02</v>
      </c>
      <c r="H6280">
        <v>0.24478179999999999</v>
      </c>
      <c r="I6280">
        <v>3.1425529999999999</v>
      </c>
      <c r="J6280">
        <v>-395.26310000000001</v>
      </c>
      <c r="K6280">
        <v>1.112466</v>
      </c>
      <c r="L6280">
        <v>18.320340000000002</v>
      </c>
      <c r="M6280">
        <v>0.99290849999999997</v>
      </c>
      <c r="N6280">
        <v>-1.368687E-2</v>
      </c>
      <c r="O6280">
        <v>-0.1180915</v>
      </c>
      <c r="P6280">
        <v>0.98686470000000004</v>
      </c>
      <c r="Q6280">
        <v>0.159909</v>
      </c>
      <c r="R6280">
        <v>2.2967999999999999E-2</v>
      </c>
      <c r="S6280">
        <v>3.0526119999999999</v>
      </c>
      <c r="T6280">
        <v>-2.2761699999999999E-2</v>
      </c>
      <c r="U6280">
        <v>-0.39849849999999998</v>
      </c>
      <c r="V6280">
        <v>-0.13994200000000001</v>
      </c>
      <c r="W6280">
        <v>0.17279890000000001</v>
      </c>
      <c r="X6280">
        <v>0.97496499999999997</v>
      </c>
      <c r="Y6280">
        <v>1.1431759999999999E-2</v>
      </c>
      <c r="Z6280">
        <v>-8.6293280000000001E-4</v>
      </c>
      <c r="AA6280">
        <v>0.99993430000000005</v>
      </c>
      <c r="AB6280">
        <v>22</v>
      </c>
      <c r="AC6280">
        <v>116.2431</v>
      </c>
      <c r="AD6280">
        <v>-0.86768419999999902</v>
      </c>
      <c r="AE6280">
        <v>-15.177787</v>
      </c>
      <c r="AF6280">
        <v>1.3428837574466299</v>
      </c>
      <c r="AG6280">
        <v>-0.86768419999999902</v>
      </c>
      <c r="AH6280">
        <v>117.21567536394301</v>
      </c>
      <c r="AI6280">
        <v>90.424094067239096</v>
      </c>
      <c r="AJ6280">
        <v>89.343618458340302</v>
      </c>
      <c r="AK6280">
        <v>117.226578742545</v>
      </c>
      <c r="AL6280">
        <v>80.049406806754007</v>
      </c>
      <c r="AM6280">
        <v>98.168183282057399</v>
      </c>
      <c r="AN6280">
        <v>0.99999998721510497</v>
      </c>
    </row>
    <row r="6281" spans="1:40" x14ac:dyDescent="0.25">
      <c r="A6281" t="str">
        <f>"20190304154921609"</f>
        <v>20190304154921609</v>
      </c>
      <c r="B6281" t="str">
        <f>"1551685761603459"</f>
        <v>1551685761603459</v>
      </c>
      <c r="C6281" t="s">
        <v>40</v>
      </c>
      <c r="D6281">
        <v>4.2229739999999998</v>
      </c>
      <c r="E6281">
        <v>0.55806389999999995</v>
      </c>
      <c r="F6281" t="s">
        <v>92</v>
      </c>
      <c r="G6281">
        <v>-279.02</v>
      </c>
      <c r="H6281">
        <v>0.18756059999999999</v>
      </c>
      <c r="I6281">
        <v>3.1863459999999999</v>
      </c>
      <c r="J6281">
        <v>-395.09690000000001</v>
      </c>
      <c r="K6281">
        <v>1.1124229999999999</v>
      </c>
      <c r="L6281">
        <v>18.302890000000001</v>
      </c>
      <c r="M6281">
        <v>0.99313269999999998</v>
      </c>
      <c r="N6281">
        <v>-1.3669489999999999E-2</v>
      </c>
      <c r="O6281">
        <v>-0.1161919</v>
      </c>
      <c r="P6281">
        <v>0.98686249999999998</v>
      </c>
      <c r="Q6281">
        <v>0.15969439999999999</v>
      </c>
      <c r="R6281">
        <v>2.449438E-2</v>
      </c>
      <c r="S6281">
        <v>3.0531009999999998</v>
      </c>
      <c r="T6281">
        <v>-2.429247E-2</v>
      </c>
      <c r="U6281">
        <v>-0.3974915</v>
      </c>
      <c r="V6281">
        <v>-0.13957079999999999</v>
      </c>
      <c r="W6281">
        <v>0.17258280000000001</v>
      </c>
      <c r="X6281">
        <v>0.97505649999999999</v>
      </c>
      <c r="Y6281">
        <v>1.2999119999999999E-2</v>
      </c>
      <c r="Z6281">
        <v>-8.1082080000000002E-4</v>
      </c>
      <c r="AA6281">
        <v>0.9999152</v>
      </c>
      <c r="AB6281">
        <v>22</v>
      </c>
      <c r="AC6281">
        <v>116.07689999999999</v>
      </c>
      <c r="AD6281">
        <v>-0.92486239999999997</v>
      </c>
      <c r="AE6281">
        <v>-15.1165439999999</v>
      </c>
      <c r="AF6281">
        <v>1.5255859337488999</v>
      </c>
      <c r="AG6281">
        <v>-0.92486239999999997</v>
      </c>
      <c r="AH6281">
        <v>117.039816399937</v>
      </c>
      <c r="AI6281">
        <v>90.452710111898398</v>
      </c>
      <c r="AJ6281">
        <v>89.253205549721699</v>
      </c>
      <c r="AK6281">
        <v>117.05341261933</v>
      </c>
      <c r="AL6281">
        <v>80.061977457603305</v>
      </c>
      <c r="AM6281">
        <v>98.146053937896298</v>
      </c>
      <c r="AN6281">
        <v>1.0000000046303601</v>
      </c>
    </row>
    <row r="6282" spans="1:40" x14ac:dyDescent="0.25">
      <c r="A6282" t="str">
        <f>"20190304154921622"</f>
        <v>20190304154921622</v>
      </c>
      <c r="B6282" t="str">
        <f>"1551685761613218"</f>
        <v>1551685761613218</v>
      </c>
      <c r="C6282" t="s">
        <v>40</v>
      </c>
      <c r="D6282">
        <v>4.2049120000000002</v>
      </c>
      <c r="E6282">
        <v>0.55851980000000001</v>
      </c>
      <c r="F6282" t="s">
        <v>92</v>
      </c>
      <c r="G6282">
        <v>-279.02</v>
      </c>
      <c r="H6282">
        <v>0.21474869999999999</v>
      </c>
      <c r="I6282">
        <v>3.1101800000000002</v>
      </c>
      <c r="J6282">
        <v>-394.98500000000001</v>
      </c>
      <c r="K6282">
        <v>1.1123940000000001</v>
      </c>
      <c r="L6282">
        <v>18.29129</v>
      </c>
      <c r="M6282">
        <v>0.99327860000000001</v>
      </c>
      <c r="N6282">
        <v>-1.365798E-2</v>
      </c>
      <c r="O6282">
        <v>-0.1149413</v>
      </c>
      <c r="P6282">
        <v>0.98683430000000005</v>
      </c>
      <c r="Q6282">
        <v>0.1596658</v>
      </c>
      <c r="R6282">
        <v>2.5787839999999999E-2</v>
      </c>
      <c r="S6282">
        <v>3.053741</v>
      </c>
      <c r="T6282">
        <v>-2.3615959999999998E-2</v>
      </c>
      <c r="U6282">
        <v>-0.39968870000000001</v>
      </c>
      <c r="V6282">
        <v>-0.13961109999999999</v>
      </c>
      <c r="W6282">
        <v>0.17255129999999999</v>
      </c>
      <c r="X6282">
        <v>0.97505629999999999</v>
      </c>
      <c r="Y6282">
        <v>1.4938699999999999E-2</v>
      </c>
      <c r="Z6282">
        <v>-8.4684699999999996E-4</v>
      </c>
      <c r="AA6282">
        <v>0.99988809999999995</v>
      </c>
      <c r="AB6282">
        <v>22</v>
      </c>
      <c r="AC6282">
        <v>115.965</v>
      </c>
      <c r="AD6282">
        <v>-0.89764529999999998</v>
      </c>
      <c r="AE6282">
        <v>-15.18111</v>
      </c>
      <c r="AF6282">
        <v>1.74996361458579</v>
      </c>
      <c r="AG6282">
        <v>-0.89764529999999998</v>
      </c>
      <c r="AH6282">
        <v>116.934484055808</v>
      </c>
      <c r="AI6282">
        <v>90.439772060282195</v>
      </c>
      <c r="AJ6282">
        <v>89.142613523841305</v>
      </c>
      <c r="AK6282">
        <v>116.951022659638</v>
      </c>
      <c r="AL6282">
        <v>80.063809709536201</v>
      </c>
      <c r="AM6282">
        <v>98.148376115142497</v>
      </c>
      <c r="AN6282">
        <v>0.99999999927229399</v>
      </c>
    </row>
    <row r="6283" spans="1:40" x14ac:dyDescent="0.25">
      <c r="A6283" t="str">
        <f>"20190304154921632"</f>
        <v>20190304154921632</v>
      </c>
      <c r="B6283" t="str">
        <f>"1551685761623954"</f>
        <v>1551685761623954</v>
      </c>
      <c r="C6283" t="s">
        <v>40</v>
      </c>
      <c r="D6283">
        <v>4.2117199999999997</v>
      </c>
      <c r="E6283">
        <v>0.55895469999999903</v>
      </c>
      <c r="F6283" t="s">
        <v>92</v>
      </c>
      <c r="G6283">
        <v>-279.02</v>
      </c>
      <c r="H6283">
        <v>0.25054929999999997</v>
      </c>
      <c r="I6283">
        <v>3.1314139999999999</v>
      </c>
      <c r="J6283">
        <v>-394.87360000000001</v>
      </c>
      <c r="K6283">
        <v>1.112366</v>
      </c>
      <c r="L6283">
        <v>18.279789999999998</v>
      </c>
      <c r="M6283">
        <v>0.99342090000000005</v>
      </c>
      <c r="N6283">
        <v>-1.364634E-2</v>
      </c>
      <c r="O6283">
        <v>-0.1137059</v>
      </c>
      <c r="P6283">
        <v>0.98687599999999998</v>
      </c>
      <c r="Q6283">
        <v>0.15921850000000001</v>
      </c>
      <c r="R6283">
        <v>2.6936459999999999E-2</v>
      </c>
      <c r="S6283">
        <v>3.054138</v>
      </c>
      <c r="T6283">
        <v>-2.2698159999999998E-2</v>
      </c>
      <c r="U6283">
        <v>-0.39926149999999999</v>
      </c>
      <c r="V6283">
        <v>-0.13952970000000001</v>
      </c>
      <c r="W6283">
        <v>0.17210230000000001</v>
      </c>
      <c r="X6283">
        <v>0.97514730000000005</v>
      </c>
      <c r="Y6283">
        <v>1.602818E-2</v>
      </c>
      <c r="Z6283">
        <v>-8.8119339999999998E-4</v>
      </c>
      <c r="AA6283">
        <v>0.99987110000000001</v>
      </c>
      <c r="AB6283">
        <v>22</v>
      </c>
      <c r="AC6283">
        <v>115.8536</v>
      </c>
      <c r="AD6283">
        <v>-0.86181669999999999</v>
      </c>
      <c r="AE6283">
        <v>-15.148376000000001</v>
      </c>
      <c r="AF6283">
        <v>1.8755477562798999</v>
      </c>
      <c r="AG6283">
        <v>-0.86181669999999999</v>
      </c>
      <c r="AH6283">
        <v>116.818350074723</v>
      </c>
      <c r="AI6283">
        <v>90.422632242305696</v>
      </c>
      <c r="AJ6283">
        <v>89.080180993592094</v>
      </c>
      <c r="AK6283">
        <v>116.836583832253</v>
      </c>
      <c r="AL6283">
        <v>80.089926207157205</v>
      </c>
      <c r="AM6283">
        <v>98.1429391945166</v>
      </c>
      <c r="AN6283">
        <v>0.99999999777233495</v>
      </c>
    </row>
    <row r="6284" spans="1:40" x14ac:dyDescent="0.25">
      <c r="A6284" t="str">
        <f>"20190304154921644"</f>
        <v>20190304154921644</v>
      </c>
      <c r="B6284" t="str">
        <f>"1551685761633714"</f>
        <v>1551685761633714</v>
      </c>
      <c r="C6284" t="s">
        <v>40</v>
      </c>
      <c r="D6284">
        <v>4.2337429999999996</v>
      </c>
      <c r="E6284">
        <v>0.55941759999999996</v>
      </c>
      <c r="F6284" t="s">
        <v>92</v>
      </c>
      <c r="G6284">
        <v>-279.02</v>
      </c>
      <c r="H6284">
        <v>0.24833810000000001</v>
      </c>
      <c r="I6284">
        <v>3.1419329999999999</v>
      </c>
      <c r="J6284">
        <v>-394.75940000000003</v>
      </c>
      <c r="K6284">
        <v>1.112339</v>
      </c>
      <c r="L6284">
        <v>18.268190000000001</v>
      </c>
      <c r="M6284">
        <v>0.99356160000000004</v>
      </c>
      <c r="N6284">
        <v>-1.363292E-2</v>
      </c>
      <c r="O6284">
        <v>-0.1124705</v>
      </c>
      <c r="P6284">
        <v>0.98686490000000004</v>
      </c>
      <c r="Q6284">
        <v>0.15909089999999901</v>
      </c>
      <c r="R6284">
        <v>2.8069480000000001E-2</v>
      </c>
      <c r="S6284">
        <v>3.0544739999999999</v>
      </c>
      <c r="T6284">
        <v>-2.2780060000000001E-2</v>
      </c>
      <c r="U6284">
        <v>-0.39910889999999999</v>
      </c>
      <c r="V6284">
        <v>-0.13942839999999901</v>
      </c>
      <c r="W6284">
        <v>0.1719704</v>
      </c>
      <c r="X6284">
        <v>0.97518510000000003</v>
      </c>
      <c r="Y6284">
        <v>1.7208060000000001E-2</v>
      </c>
      <c r="Z6284">
        <v>-8.8147409999999996E-4</v>
      </c>
      <c r="AA6284">
        <v>0.9998515</v>
      </c>
      <c r="AB6284">
        <v>22</v>
      </c>
      <c r="AC6284">
        <v>115.7394</v>
      </c>
      <c r="AD6284">
        <v>-0.86400089999999996</v>
      </c>
      <c r="AE6284">
        <v>-15.126257000000001</v>
      </c>
      <c r="AF6284">
        <v>2.0116765340207898</v>
      </c>
      <c r="AG6284">
        <v>-0.86400089999999996</v>
      </c>
      <c r="AH6284">
        <v>116.69992565677801</v>
      </c>
      <c r="AI6284">
        <v>90.424124928806506</v>
      </c>
      <c r="AJ6284">
        <v>89.012431584793703</v>
      </c>
      <c r="AK6284">
        <v>116.720460881245</v>
      </c>
      <c r="AL6284">
        <v>80.097598305521203</v>
      </c>
      <c r="AM6284">
        <v>98.136795351884302</v>
      </c>
      <c r="AN6284">
        <v>1.0000000382323599</v>
      </c>
    </row>
    <row r="6285" spans="1:40" x14ac:dyDescent="0.25">
      <c r="A6285" t="str">
        <f>"20190304154921657"</f>
        <v>20190304154921657</v>
      </c>
      <c r="B6285" t="str">
        <f>"1551685761653235"</f>
        <v>1551685761653235</v>
      </c>
      <c r="C6285" t="s">
        <v>40</v>
      </c>
      <c r="D6285">
        <v>4.1726239999999999</v>
      </c>
      <c r="E6285">
        <v>0.5601389</v>
      </c>
      <c r="F6285" t="s">
        <v>92</v>
      </c>
      <c r="G6285">
        <v>-279.02</v>
      </c>
      <c r="H6285">
        <v>0.27464569999999999</v>
      </c>
      <c r="I6285">
        <v>3.1398220000000001</v>
      </c>
      <c r="J6285">
        <v>-394.64830000000001</v>
      </c>
      <c r="K6285">
        <v>1.112314</v>
      </c>
      <c r="L6285">
        <v>18.256989999999998</v>
      </c>
      <c r="M6285">
        <v>0.99369540000000001</v>
      </c>
      <c r="N6285">
        <v>-1.3617799999999999E-2</v>
      </c>
      <c r="O6285">
        <v>-0.1112838</v>
      </c>
      <c r="P6285">
        <v>0.98689380000000004</v>
      </c>
      <c r="Q6285">
        <v>0.15871669999999999</v>
      </c>
      <c r="R6285">
        <v>2.9151369999999999E-2</v>
      </c>
      <c r="S6285">
        <v>3.0547789999999999</v>
      </c>
      <c r="T6285">
        <v>-2.2109750000000001E-2</v>
      </c>
      <c r="U6285">
        <v>-0.39929199999999998</v>
      </c>
      <c r="V6285">
        <v>-0.13932849999999999</v>
      </c>
      <c r="W6285">
        <v>0.17159079999999999</v>
      </c>
      <c r="X6285">
        <v>0.97526619999999997</v>
      </c>
      <c r="Y6285">
        <v>1.8448369999999999E-2</v>
      </c>
      <c r="Z6285">
        <v>-9.0753419999999995E-4</v>
      </c>
      <c r="AA6285">
        <v>0.99982939999999998</v>
      </c>
      <c r="AB6285">
        <v>22</v>
      </c>
      <c r="AC6285">
        <v>115.6283</v>
      </c>
      <c r="AD6285">
        <v>-0.83766830000000003</v>
      </c>
      <c r="AE6285">
        <v>-15.1171679999999</v>
      </c>
      <c r="AF6285">
        <v>2.1543922201265602</v>
      </c>
      <c r="AG6285">
        <v>-0.83766830000000003</v>
      </c>
      <c r="AH6285">
        <v>116.586396529122</v>
      </c>
      <c r="AI6285">
        <v>90.411590390321805</v>
      </c>
      <c r="AJ6285">
        <v>88.941355612107401</v>
      </c>
      <c r="AK6285">
        <v>116.609309018039</v>
      </c>
      <c r="AL6285">
        <v>80.119675552570101</v>
      </c>
      <c r="AM6285">
        <v>98.1303762411641</v>
      </c>
      <c r="AN6285">
        <v>0.99999999720966404</v>
      </c>
    </row>
    <row r="6286" spans="1:40" x14ac:dyDescent="0.25">
      <c r="A6286" t="str">
        <f>"20190304154921669"</f>
        <v>20190304154921669</v>
      </c>
      <c r="B6286" t="str">
        <f>"1551685761662995"</f>
        <v>1551685761662995</v>
      </c>
      <c r="C6286" t="s">
        <v>40</v>
      </c>
      <c r="D6286">
        <v>4.3709059999999997</v>
      </c>
      <c r="E6286">
        <v>0.5601389</v>
      </c>
      <c r="F6286" t="s">
        <v>92</v>
      </c>
      <c r="G6286">
        <v>-279.02</v>
      </c>
      <c r="H6286">
        <v>0.33463789999999999</v>
      </c>
      <c r="I6286">
        <v>3.053102</v>
      </c>
      <c r="J6286">
        <v>-394.52269999999999</v>
      </c>
      <c r="K6286">
        <v>1.1122840000000001</v>
      </c>
      <c r="L6286">
        <v>18.244450000000001</v>
      </c>
      <c r="M6286">
        <v>0.99384289999999997</v>
      </c>
      <c r="N6286">
        <v>-1.359785E-2</v>
      </c>
      <c r="O6286">
        <v>-0.1099628</v>
      </c>
      <c r="P6286">
        <v>0.98686119999999999</v>
      </c>
      <c r="Q6286">
        <v>0.15865770000000001</v>
      </c>
      <c r="R6286">
        <v>3.0543870000000001E-2</v>
      </c>
      <c r="S6286">
        <v>3.0550229999999998</v>
      </c>
      <c r="T6286">
        <v>-2.0547030000000001E-2</v>
      </c>
      <c r="U6286">
        <v>-0.40170289999999997</v>
      </c>
      <c r="V6286">
        <v>-0.13939860000000001</v>
      </c>
      <c r="W6286">
        <v>0.17152039999999999</v>
      </c>
      <c r="X6286">
        <v>0.97526860000000004</v>
      </c>
      <c r="Y6286">
        <v>2.0543220000000001E-2</v>
      </c>
      <c r="Z6286">
        <v>-9.6902719999999998E-4</v>
      </c>
      <c r="AA6286">
        <v>0.99978849999999997</v>
      </c>
      <c r="AB6286">
        <v>21</v>
      </c>
      <c r="AC6286">
        <v>115.5027</v>
      </c>
      <c r="AD6286">
        <v>-0.77764609999999901</v>
      </c>
      <c r="AE6286">
        <v>-15.191348</v>
      </c>
      <c r="AF6286">
        <v>2.39692735191678</v>
      </c>
      <c r="AG6286">
        <v>-0.77764609999999901</v>
      </c>
      <c r="AH6286">
        <v>116.467575378456</v>
      </c>
      <c r="AI6286">
        <v>90.382473361788001</v>
      </c>
      <c r="AJ6286">
        <v>88.821007164259797</v>
      </c>
      <c r="AK6286">
        <v>116.494832970066</v>
      </c>
      <c r="AL6286">
        <v>80.123770200419997</v>
      </c>
      <c r="AM6286">
        <v>98.134392374609604</v>
      </c>
      <c r="AN6286">
        <v>1.0000000297220299</v>
      </c>
    </row>
    <row r="6287" spans="1:40" x14ac:dyDescent="0.25">
      <c r="A6287" t="str">
        <f>"20190304154921688"</f>
        <v>20190304154921688</v>
      </c>
      <c r="B6287" t="str">
        <f>"1551685761683490"</f>
        <v>1551685761683490</v>
      </c>
      <c r="C6287" t="s">
        <v>40</v>
      </c>
      <c r="D6287">
        <v>4.2284360000000003</v>
      </c>
      <c r="E6287">
        <v>0.529748</v>
      </c>
      <c r="F6287" t="s">
        <v>92</v>
      </c>
      <c r="G6287">
        <v>-279.02</v>
      </c>
      <c r="H6287">
        <v>0.32950449999999998</v>
      </c>
      <c r="I6287">
        <v>3.222467</v>
      </c>
      <c r="J6287">
        <v>-394.3546</v>
      </c>
      <c r="K6287">
        <v>1.1122479999999999</v>
      </c>
      <c r="L6287">
        <v>18.227910000000001</v>
      </c>
      <c r="M6287">
        <v>0.99403229999999998</v>
      </c>
      <c r="N6287">
        <v>-1.3563520000000001E-2</v>
      </c>
      <c r="O6287">
        <v>-0.1082404</v>
      </c>
      <c r="P6287">
        <v>0.98674470000000003</v>
      </c>
      <c r="Q6287">
        <v>0.15898889999999999</v>
      </c>
      <c r="R6287">
        <v>3.2523330000000003E-2</v>
      </c>
      <c r="S6287">
        <v>3.0555729999999999</v>
      </c>
      <c r="T6287">
        <v>-2.070808E-2</v>
      </c>
      <c r="U6287">
        <v>-0.39739989999999997</v>
      </c>
      <c r="V6287">
        <v>-0.1396472</v>
      </c>
      <c r="W6287">
        <v>0.1718266</v>
      </c>
      <c r="X6287">
        <v>0.97517909999999997</v>
      </c>
      <c r="Y6287">
        <v>2.0868129999999999E-2</v>
      </c>
      <c r="Z6287">
        <v>-9.512139E-4</v>
      </c>
      <c r="AA6287">
        <v>0.99978180000000005</v>
      </c>
      <c r="AB6287">
        <v>21</v>
      </c>
      <c r="AC6287">
        <v>115.33459999999999</v>
      </c>
      <c r="AD6287">
        <v>-0.78274349999999904</v>
      </c>
      <c r="AE6287">
        <v>-15.005443</v>
      </c>
      <c r="AF6287">
        <v>2.4321451585155098</v>
      </c>
      <c r="AG6287">
        <v>-0.78274349999999904</v>
      </c>
      <c r="AH6287">
        <v>116.275933258721</v>
      </c>
      <c r="AI6287">
        <v>90.385612164125902</v>
      </c>
      <c r="AJ6287">
        <v>88.8017181968453</v>
      </c>
      <c r="AK6287">
        <v>116.304001103339</v>
      </c>
      <c r="AL6287">
        <v>80.105961541684707</v>
      </c>
      <c r="AM6287">
        <v>98.149442216032597</v>
      </c>
      <c r="AN6287">
        <v>0.99999999900610403</v>
      </c>
    </row>
    <row r="6288" spans="1:40" x14ac:dyDescent="0.25">
      <c r="A6288" t="str">
        <f>"20190304154921702"</f>
        <v>20190304154921702</v>
      </c>
      <c r="B6288" t="str">
        <f>"1551685761693250"</f>
        <v>1551685761693250</v>
      </c>
      <c r="C6288" t="s">
        <v>40</v>
      </c>
      <c r="D6288">
        <v>4.2458099999999996</v>
      </c>
      <c r="E6288">
        <v>0.52389750000000002</v>
      </c>
      <c r="F6288" t="s">
        <v>87</v>
      </c>
      <c r="G6288">
        <v>-274.49669999999998</v>
      </c>
      <c r="H6288">
        <v>1.6232070000000001</v>
      </c>
      <c r="I6288">
        <v>12.388629999999999</v>
      </c>
      <c r="J6288">
        <v>-394.21910000000003</v>
      </c>
      <c r="K6288">
        <v>1.112222</v>
      </c>
      <c r="L6288">
        <v>18.214749999999999</v>
      </c>
      <c r="M6288">
        <v>0.99417900000000003</v>
      </c>
      <c r="N6288">
        <v>-1.3528490000000001E-2</v>
      </c>
      <c r="O6288">
        <v>-0.1068889</v>
      </c>
      <c r="P6288">
        <v>0.98662499999999997</v>
      </c>
      <c r="Q6288">
        <v>0.15948019999999999</v>
      </c>
      <c r="R6288">
        <v>3.3720239999999999E-2</v>
      </c>
      <c r="S6288">
        <v>3.043091</v>
      </c>
      <c r="T6288">
        <v>1.2972829999999999E-2</v>
      </c>
      <c r="U6288">
        <v>-0.14825439999999901</v>
      </c>
      <c r="V6288">
        <v>-0.13948550000000001</v>
      </c>
      <c r="W6288">
        <v>0.17229259999999999</v>
      </c>
      <c r="X6288">
        <v>0.97511999999999999</v>
      </c>
      <c r="Y6288">
        <v>-5.8374490000000001E-2</v>
      </c>
      <c r="Z6288">
        <v>-1.631941E-3</v>
      </c>
      <c r="AA6288">
        <v>0.9982934</v>
      </c>
      <c r="AB6288">
        <v>21</v>
      </c>
      <c r="AC6288">
        <v>119.72239999999999</v>
      </c>
      <c r="AD6288">
        <v>0.51098500000000002</v>
      </c>
      <c r="AE6288">
        <v>-5.8261199999999898</v>
      </c>
      <c r="AF6288">
        <v>-7.0053027774838696</v>
      </c>
      <c r="AG6288">
        <v>0.51098500000000002</v>
      </c>
      <c r="AH6288">
        <v>119.657010960097</v>
      </c>
      <c r="AI6288">
        <v>89.755743008612399</v>
      </c>
      <c r="AJ6288">
        <v>93.350548795353802</v>
      </c>
      <c r="AK6288">
        <v>119.86298696670001</v>
      </c>
      <c r="AL6288">
        <v>80.078857298170902</v>
      </c>
      <c r="AM6288">
        <v>98.140619113679193</v>
      </c>
      <c r="AN6288">
        <v>0.99999997956250397</v>
      </c>
    </row>
    <row r="6289" spans="1:40" x14ac:dyDescent="0.25">
      <c r="A6289" t="str">
        <f>"20190304154921716"</f>
        <v>20190304154921716</v>
      </c>
      <c r="B6289" t="str">
        <f>"1551685761713746"</f>
        <v>1551685761713746</v>
      </c>
      <c r="C6289" t="s">
        <v>40</v>
      </c>
      <c r="D6289">
        <v>4.2105499999999996</v>
      </c>
      <c r="E6289">
        <v>0.51825589999999999</v>
      </c>
      <c r="F6289" t="s">
        <v>87</v>
      </c>
      <c r="G6289">
        <v>-273.40989999999999</v>
      </c>
      <c r="H6289">
        <v>1.733298</v>
      </c>
      <c r="I6289">
        <v>14.333399999999999</v>
      </c>
      <c r="J6289">
        <v>-394.08499999999998</v>
      </c>
      <c r="K6289">
        <v>1.1121939999999999</v>
      </c>
      <c r="L6289">
        <v>18.20187</v>
      </c>
      <c r="M6289">
        <v>0.99431990000000003</v>
      </c>
      <c r="N6289">
        <v>-1.348892E-2</v>
      </c>
      <c r="O6289">
        <v>-0.1055748</v>
      </c>
      <c r="P6289">
        <v>0.98648150000000001</v>
      </c>
      <c r="Q6289">
        <v>0.1601012</v>
      </c>
      <c r="R6289">
        <v>3.4953709999999999E-2</v>
      </c>
      <c r="S6289">
        <v>3.0415040000000002</v>
      </c>
      <c r="T6289">
        <v>1.5636319999999999E-2</v>
      </c>
      <c r="U6289">
        <v>-9.7717289999999998E-2</v>
      </c>
      <c r="V6289">
        <v>-0.13939599999999999</v>
      </c>
      <c r="W6289">
        <v>0.17288249999999999</v>
      </c>
      <c r="X6289">
        <v>0.97502840000000002</v>
      </c>
      <c r="Y6289">
        <v>-7.3581350000000004E-2</v>
      </c>
      <c r="Z6289">
        <v>-1.6606570000000001E-3</v>
      </c>
      <c r="AA6289">
        <v>0.99728779999999995</v>
      </c>
      <c r="AB6289">
        <v>21</v>
      </c>
      <c r="AC6289">
        <v>120.6751</v>
      </c>
      <c r="AD6289">
        <v>0.62110399999999899</v>
      </c>
      <c r="AE6289">
        <v>-3.8684699999999999</v>
      </c>
      <c r="AF6289">
        <v>-8.8943264575392096</v>
      </c>
      <c r="AG6289">
        <v>0.62110399999999899</v>
      </c>
      <c r="AH6289">
        <v>120.40583153354901</v>
      </c>
      <c r="AI6289">
        <v>89.7052499298307</v>
      </c>
      <c r="AJ6289">
        <v>94.224741087341997</v>
      </c>
      <c r="AK6289">
        <v>120.735492215824</v>
      </c>
      <c r="AL6289">
        <v>80.044543738858493</v>
      </c>
      <c r="AM6289">
        <v>98.136219743998097</v>
      </c>
      <c r="AN6289">
        <v>0.99999999221440505</v>
      </c>
    </row>
    <row r="6290" spans="1:40" x14ac:dyDescent="0.25">
      <c r="A6290" t="str">
        <f>"20190304154921733"</f>
        <v>20190304154921733</v>
      </c>
      <c r="B6290" t="str">
        <f>"1551685761723506"</f>
        <v>1551685761723506</v>
      </c>
      <c r="C6290" t="s">
        <v>40</v>
      </c>
      <c r="D6290">
        <v>4.2188689999999998</v>
      </c>
      <c r="E6290">
        <v>0.51703290000000002</v>
      </c>
      <c r="F6290" t="s">
        <v>93</v>
      </c>
      <c r="G6290">
        <v>-276.20319999999998</v>
      </c>
      <c r="H6290">
        <v>1.704245</v>
      </c>
      <c r="I6290">
        <v>16.306270000000001</v>
      </c>
      <c r="J6290">
        <v>-393.92410000000001</v>
      </c>
      <c r="K6290">
        <v>1.1121559999999999</v>
      </c>
      <c r="L6290">
        <v>18.186579999999999</v>
      </c>
      <c r="M6290">
        <v>0.99448309999999995</v>
      </c>
      <c r="N6290">
        <v>-1.343486E-2</v>
      </c>
      <c r="O6290">
        <v>-0.104035</v>
      </c>
      <c r="P6290">
        <v>0.98625419999999997</v>
      </c>
      <c r="Q6290">
        <v>0.1612006</v>
      </c>
      <c r="R6290">
        <v>3.6293680000000002E-2</v>
      </c>
      <c r="S6290">
        <v>3.040375</v>
      </c>
      <c r="T6290">
        <v>1.5269990000000001E-2</v>
      </c>
      <c r="U6290">
        <v>-4.8889160000000001E-2</v>
      </c>
      <c r="V6290">
        <v>-0.1391819</v>
      </c>
      <c r="W6290">
        <v>0.1739377</v>
      </c>
      <c r="X6290">
        <v>0.9748713</v>
      </c>
      <c r="Y6290">
        <v>-8.8024370000000005E-2</v>
      </c>
      <c r="Z6290">
        <v>-1.55115299999999E-3</v>
      </c>
      <c r="AA6290">
        <v>0.99611709999999998</v>
      </c>
      <c r="AB6290">
        <v>21</v>
      </c>
      <c r="AC6290">
        <v>117.7209</v>
      </c>
      <c r="AD6290">
        <v>0.59208899999999998</v>
      </c>
      <c r="AE6290">
        <v>-1.8803099999999899</v>
      </c>
      <c r="AF6290">
        <v>-10.377829352966</v>
      </c>
      <c r="AG6290">
        <v>0.59208899999999998</v>
      </c>
      <c r="AH6290">
        <v>117.27465799675601</v>
      </c>
      <c r="AI6290">
        <v>89.711857061389793</v>
      </c>
      <c r="AJ6290">
        <v>95.057026042519198</v>
      </c>
      <c r="AK6290">
        <v>117.73442707942</v>
      </c>
      <c r="AL6290">
        <v>79.983155132698798</v>
      </c>
      <c r="AM6290">
        <v>98.125181846702006</v>
      </c>
      <c r="AN6290">
        <v>0.99999998816629398</v>
      </c>
    </row>
    <row r="6291" spans="1:40" x14ac:dyDescent="0.25">
      <c r="A6291" t="str">
        <f>"20190304154921744"</f>
        <v>20190304154921744</v>
      </c>
      <c r="B6291" t="str">
        <f>"1551685761733266"</f>
        <v>1551685761733266</v>
      </c>
      <c r="C6291" t="s">
        <v>40</v>
      </c>
      <c r="D6291">
        <v>4.1964800000000002</v>
      </c>
      <c r="E6291">
        <v>0.51620820000000001</v>
      </c>
      <c r="F6291" t="s">
        <v>93</v>
      </c>
      <c r="G6291">
        <v>-276.23070000000001</v>
      </c>
      <c r="H6291">
        <v>1.8724890000000001</v>
      </c>
      <c r="I6291">
        <v>16.831289999999999</v>
      </c>
      <c r="J6291">
        <v>-393.8073</v>
      </c>
      <c r="K6291">
        <v>1.1121299999999901</v>
      </c>
      <c r="L6291">
        <v>18.175689999999999</v>
      </c>
      <c r="M6291">
        <v>0.99459679999999995</v>
      </c>
      <c r="N6291">
        <v>-1.3391899999999899E-2</v>
      </c>
      <c r="O6291">
        <v>-0.1029467</v>
      </c>
      <c r="P6291">
        <v>0.98617410000000005</v>
      </c>
      <c r="Q6291">
        <v>0.1614372</v>
      </c>
      <c r="R6291">
        <v>3.7400009999999997E-2</v>
      </c>
      <c r="S6291">
        <v>3.0398559999999999</v>
      </c>
      <c r="T6291">
        <v>1.9638300000000001E-2</v>
      </c>
      <c r="U6291">
        <v>-3.5003659999999999E-2</v>
      </c>
      <c r="V6291">
        <v>-0.13919690000000001</v>
      </c>
      <c r="W6291">
        <v>0.17413870000000001</v>
      </c>
      <c r="X6291">
        <v>0.97483330000000001</v>
      </c>
      <c r="Y6291">
        <v>-9.1477890000000006E-2</v>
      </c>
      <c r="Z6291">
        <v>-1.727616E-3</v>
      </c>
      <c r="AA6291">
        <v>0.99580559999999996</v>
      </c>
      <c r="AB6291">
        <v>21</v>
      </c>
      <c r="AC6291">
        <v>117.576599999999</v>
      </c>
      <c r="AD6291">
        <v>0.76035900000000001</v>
      </c>
      <c r="AE6291">
        <v>-1.3444</v>
      </c>
      <c r="AF6291">
        <v>-10.767501536148799</v>
      </c>
      <c r="AG6291">
        <v>0.76035900000000001</v>
      </c>
      <c r="AH6291">
        <v>117.085306381688</v>
      </c>
      <c r="AI6291">
        <v>89.629486408709795</v>
      </c>
      <c r="AJ6291">
        <v>95.254305749642</v>
      </c>
      <c r="AK6291">
        <v>117.581827701535</v>
      </c>
      <c r="AL6291">
        <v>79.971460458031999</v>
      </c>
      <c r="AM6291">
        <v>98.1263583548279</v>
      </c>
      <c r="AN6291">
        <v>1.00000001329809</v>
      </c>
    </row>
    <row r="6292" spans="1:40" x14ac:dyDescent="0.25">
      <c r="A6292" t="str">
        <f>"20190304154921756"</f>
        <v>20190304154921756</v>
      </c>
      <c r="B6292" t="str">
        <f>"1551685761753762"</f>
        <v>1551685761753762</v>
      </c>
      <c r="C6292" t="s">
        <v>40</v>
      </c>
      <c r="D6292">
        <v>4.208799</v>
      </c>
      <c r="E6292">
        <v>0.51540149999999996</v>
      </c>
      <c r="F6292" t="s">
        <v>93</v>
      </c>
      <c r="G6292">
        <v>-276.2543</v>
      </c>
      <c r="H6292">
        <v>1.9205859999999999</v>
      </c>
      <c r="I6292">
        <v>17.205469999999998</v>
      </c>
      <c r="J6292">
        <v>-393.6979</v>
      </c>
      <c r="K6292">
        <v>1.1121049999999999</v>
      </c>
      <c r="L6292">
        <v>18.16553</v>
      </c>
      <c r="M6292">
        <v>0.99470130000000001</v>
      </c>
      <c r="N6292">
        <v>-1.3349349999999999E-2</v>
      </c>
      <c r="O6292">
        <v>-0.1019393</v>
      </c>
      <c r="P6292">
        <v>0.98609780000000002</v>
      </c>
      <c r="Q6292">
        <v>0.16166520000000001</v>
      </c>
      <c r="R6292">
        <v>3.8417699999999999E-2</v>
      </c>
      <c r="S6292">
        <v>3.0395810000000001</v>
      </c>
      <c r="T6292">
        <v>2.0904300000000001E-2</v>
      </c>
      <c r="U6292">
        <v>-2.5085449999999999E-2</v>
      </c>
      <c r="V6292">
        <v>-0.1392042</v>
      </c>
      <c r="W6292">
        <v>0.17433119999999999</v>
      </c>
      <c r="X6292">
        <v>0.97479780000000005</v>
      </c>
      <c r="Y6292">
        <v>-9.371649E-2</v>
      </c>
      <c r="Z6292">
        <v>-1.759491E-3</v>
      </c>
      <c r="AA6292">
        <v>0.99559739999999997</v>
      </c>
      <c r="AB6292">
        <v>21</v>
      </c>
      <c r="AC6292">
        <v>117.4436</v>
      </c>
      <c r="AD6292">
        <v>0.80848100000000001</v>
      </c>
      <c r="AE6292">
        <v>-0.96005999999999803</v>
      </c>
      <c r="AF6292">
        <v>-11.017602380862</v>
      </c>
      <c r="AG6292">
        <v>0.80848100000000001</v>
      </c>
      <c r="AH6292">
        <v>116.924018677947</v>
      </c>
      <c r="AI6292">
        <v>89.605576934975005</v>
      </c>
      <c r="AJ6292">
        <v>95.383014351736094</v>
      </c>
      <c r="AK6292">
        <v>117.444741676888</v>
      </c>
      <c r="AL6292">
        <v>79.960259192229401</v>
      </c>
      <c r="AM6292">
        <v>98.127070843972405</v>
      </c>
      <c r="AN6292">
        <v>0.99999996373795896</v>
      </c>
    </row>
    <row r="6293" spans="1:40" x14ac:dyDescent="0.25">
      <c r="A6293" t="str">
        <f>"20190304154921776"</f>
        <v>20190304154921776</v>
      </c>
      <c r="B6293" t="str">
        <f>"1551685761773282"</f>
        <v>1551685761773282</v>
      </c>
      <c r="C6293" t="s">
        <v>40</v>
      </c>
      <c r="D6293">
        <v>4.1892310000000004</v>
      </c>
      <c r="E6293">
        <v>0.51507950000000002</v>
      </c>
      <c r="F6293" t="s">
        <v>87</v>
      </c>
      <c r="G6293">
        <v>-273.40989999999999</v>
      </c>
      <c r="H6293">
        <v>2.0194999999999999</v>
      </c>
      <c r="I6293">
        <v>17.548310000000001</v>
      </c>
      <c r="J6293">
        <v>-393.51650000000001</v>
      </c>
      <c r="K6293">
        <v>1.1120680000000001</v>
      </c>
      <c r="L6293">
        <v>18.148859999999999</v>
      </c>
      <c r="M6293">
        <v>0.99486850000000004</v>
      </c>
      <c r="N6293">
        <v>-1.3272259999999999E-2</v>
      </c>
      <c r="O6293">
        <v>-0.1003028</v>
      </c>
      <c r="P6293">
        <v>0.9860352</v>
      </c>
      <c r="Q6293">
        <v>0.16179830000000001</v>
      </c>
      <c r="R6293">
        <v>3.9448730000000001E-2</v>
      </c>
      <c r="S6293">
        <v>3.0391539999999999</v>
      </c>
      <c r="T6293">
        <v>2.292597E-2</v>
      </c>
      <c r="U6293">
        <v>-1.5594480000000001E-2</v>
      </c>
      <c r="V6293">
        <v>-0.1386037</v>
      </c>
      <c r="W6293">
        <v>0.17440069999999999</v>
      </c>
      <c r="X6293">
        <v>0.97487100000000004</v>
      </c>
      <c r="Y6293">
        <v>-9.5185350000000002E-2</v>
      </c>
      <c r="Z6293">
        <v>-1.8159490000000001E-3</v>
      </c>
      <c r="AA6293">
        <v>0.99545790000000001</v>
      </c>
      <c r="AB6293">
        <v>21</v>
      </c>
      <c r="AC6293">
        <v>120.1066</v>
      </c>
      <c r="AD6293">
        <v>0.90743199999999902</v>
      </c>
      <c r="AE6293">
        <v>-0.60054999999999803</v>
      </c>
      <c r="AF6293">
        <v>-11.4499142263168</v>
      </c>
      <c r="AG6293">
        <v>0.90743199999999902</v>
      </c>
      <c r="AH6293">
        <v>119.554208472127</v>
      </c>
      <c r="AI6293">
        <v>89.567106618803507</v>
      </c>
      <c r="AJ6293">
        <v>95.470631094876296</v>
      </c>
      <c r="AK6293">
        <v>120.10467406400799</v>
      </c>
      <c r="AL6293">
        <v>79.956215839371893</v>
      </c>
      <c r="AM6293">
        <v>98.091878021759797</v>
      </c>
      <c r="AN6293">
        <v>1.0000000282275801</v>
      </c>
    </row>
    <row r="6294" spans="1:40" x14ac:dyDescent="0.25">
      <c r="A6294" t="str">
        <f>"20190304154921787"</f>
        <v>20190304154921787</v>
      </c>
      <c r="B6294" t="str">
        <f>"1551685761784019"</f>
        <v>1551685761784019</v>
      </c>
      <c r="C6294" t="s">
        <v>40</v>
      </c>
      <c r="D6294">
        <v>4.1972579999999997</v>
      </c>
      <c r="E6294">
        <v>0.51487959999999899</v>
      </c>
      <c r="F6294" t="s">
        <v>87</v>
      </c>
      <c r="G6294">
        <v>-273.40989999999999</v>
      </c>
      <c r="H6294">
        <v>2.0371169999999998</v>
      </c>
      <c r="I6294">
        <v>17.76774</v>
      </c>
      <c r="J6294">
        <v>-393.40440000000001</v>
      </c>
      <c r="K6294">
        <v>1.112044</v>
      </c>
      <c r="L6294">
        <v>18.1387</v>
      </c>
      <c r="M6294">
        <v>0.99496850000000003</v>
      </c>
      <c r="N6294">
        <v>-1.322041E-2</v>
      </c>
      <c r="O6294">
        <v>-9.9312510000000007E-2</v>
      </c>
      <c r="P6294">
        <v>0.98597299999999999</v>
      </c>
      <c r="Q6294">
        <v>0.1620132</v>
      </c>
      <c r="R6294">
        <v>4.0115240000000003E-2</v>
      </c>
      <c r="S6294">
        <v>3.0390320000000002</v>
      </c>
      <c r="T6294">
        <v>2.3406389999999999E-2</v>
      </c>
      <c r="U6294">
        <v>-9.6435549999999998E-3</v>
      </c>
      <c r="V6294">
        <v>-0.1382815</v>
      </c>
      <c r="W6294">
        <v>0.17457210000000001</v>
      </c>
      <c r="X6294">
        <v>0.97488609999999998</v>
      </c>
      <c r="Y6294">
        <v>-9.6143450000000005E-2</v>
      </c>
      <c r="Z6294">
        <v>-1.8132249999999999E-3</v>
      </c>
      <c r="AA6294">
        <v>0.99536590000000003</v>
      </c>
      <c r="AB6294">
        <v>21</v>
      </c>
      <c r="AC6294">
        <v>119.9945</v>
      </c>
      <c r="AD6294">
        <v>0.92507299999999903</v>
      </c>
      <c r="AE6294">
        <v>-0.37096000000000001</v>
      </c>
      <c r="AF6294">
        <v>-11.5481840190953</v>
      </c>
      <c r="AG6294">
        <v>0.92507299999999903</v>
      </c>
      <c r="AH6294">
        <v>119.43092447055</v>
      </c>
      <c r="AI6294">
        <v>89.558274543682401</v>
      </c>
      <c r="AJ6294">
        <v>95.522954824818001</v>
      </c>
      <c r="AK6294">
        <v>119.99150817488901</v>
      </c>
      <c r="AL6294">
        <v>79.946242563173996</v>
      </c>
      <c r="AM6294">
        <v>98.0731924135208</v>
      </c>
      <c r="AN6294">
        <v>1.0000000496569299</v>
      </c>
    </row>
    <row r="6295" spans="1:40" x14ac:dyDescent="0.25">
      <c r="A6295" t="str">
        <f>"20190304154921799"</f>
        <v>20190304154921799</v>
      </c>
      <c r="B6295" t="str">
        <f>"1551685761793777"</f>
        <v>1551685761793777</v>
      </c>
      <c r="C6295" t="s">
        <v>40</v>
      </c>
      <c r="D6295">
        <v>4.2169840000000001</v>
      </c>
      <c r="E6295">
        <v>0.5147467</v>
      </c>
      <c r="F6295" t="s">
        <v>87</v>
      </c>
      <c r="G6295">
        <v>-273.40989999999999</v>
      </c>
      <c r="H6295">
        <v>2.0559479999999999</v>
      </c>
      <c r="I6295">
        <v>17.90494</v>
      </c>
      <c r="J6295">
        <v>-393.29259999999999</v>
      </c>
      <c r="K6295">
        <v>1.112015</v>
      </c>
      <c r="L6295">
        <v>18.128720000000001</v>
      </c>
      <c r="M6295">
        <v>0.99506550000000005</v>
      </c>
      <c r="N6295">
        <v>-1.316646E-2</v>
      </c>
      <c r="O6295">
        <v>-9.8343319999999998E-2</v>
      </c>
      <c r="P6295">
        <v>0.98587329999999995</v>
      </c>
      <c r="Q6295">
        <v>0.1624767</v>
      </c>
      <c r="R6295">
        <v>4.0686119999999999E-2</v>
      </c>
      <c r="S6295">
        <v>3.0390009999999998</v>
      </c>
      <c r="T6295">
        <v>2.390552E-2</v>
      </c>
      <c r="U6295">
        <v>-5.9204100000000001E-3</v>
      </c>
      <c r="V6295">
        <v>-0.137882</v>
      </c>
      <c r="W6295">
        <v>0.17498900000000001</v>
      </c>
      <c r="X6295">
        <v>0.97486790000000001</v>
      </c>
      <c r="Y6295">
        <v>-9.6393209999999993E-2</v>
      </c>
      <c r="Z6295">
        <v>-1.81358E-3</v>
      </c>
      <c r="AA6295">
        <v>0.9953417</v>
      </c>
      <c r="AB6295">
        <v>21</v>
      </c>
      <c r="AC6295">
        <v>119.8827</v>
      </c>
      <c r="AD6295">
        <v>0.94393300000000002</v>
      </c>
      <c r="AE6295">
        <v>-0.22378000000000101</v>
      </c>
      <c r="AF6295">
        <v>-11.5672719144555</v>
      </c>
      <c r="AG6295">
        <v>0.94393300000000002</v>
      </c>
      <c r="AH6295">
        <v>119.31608526901699</v>
      </c>
      <c r="AI6295">
        <v>89.548846347537605</v>
      </c>
      <c r="AJ6295">
        <v>95.537318469555501</v>
      </c>
      <c r="AK6295">
        <v>119.879193328011</v>
      </c>
      <c r="AL6295">
        <v>79.921982117559807</v>
      </c>
      <c r="AM6295">
        <v>98.050323180837495</v>
      </c>
      <c r="AN6295">
        <v>1.0000000092476999</v>
      </c>
    </row>
    <row r="6296" spans="1:40" x14ac:dyDescent="0.25">
      <c r="A6296" t="str">
        <f>"20190304154921812"</f>
        <v>20190304154921812</v>
      </c>
      <c r="B6296" t="str">
        <f>"1551685761803538"</f>
        <v>1551685761803538</v>
      </c>
      <c r="C6296" t="s">
        <v>40</v>
      </c>
      <c r="D6296">
        <v>4.1881550000000001</v>
      </c>
      <c r="E6296">
        <v>0.5146271</v>
      </c>
      <c r="F6296" t="s">
        <v>87</v>
      </c>
      <c r="G6296">
        <v>-273.40989999999999</v>
      </c>
      <c r="H6296">
        <v>2.1303489999999998</v>
      </c>
      <c r="I6296">
        <v>18.008329999999901</v>
      </c>
      <c r="J6296">
        <v>-393.1746</v>
      </c>
      <c r="K6296">
        <v>1.1119889999999999</v>
      </c>
      <c r="L6296">
        <v>18.11816</v>
      </c>
      <c r="M6296">
        <v>0.99516590000000005</v>
      </c>
      <c r="N6296">
        <v>-1.310821E-2</v>
      </c>
      <c r="O6296">
        <v>-9.7330260000000002E-2</v>
      </c>
      <c r="P6296">
        <v>0.98579479999999997</v>
      </c>
      <c r="Q6296">
        <v>0.16283789999999901</v>
      </c>
      <c r="R6296">
        <v>4.1141560000000001E-2</v>
      </c>
      <c r="S6296">
        <v>3.0388790000000001</v>
      </c>
      <c r="T6296">
        <v>2.5813579999999999E-2</v>
      </c>
      <c r="U6296">
        <v>-3.0517579999999999E-3</v>
      </c>
      <c r="V6296">
        <v>-0.1373267</v>
      </c>
      <c r="W6296">
        <v>0.17530029999999999</v>
      </c>
      <c r="X6296">
        <v>0.97489040000000005</v>
      </c>
      <c r="Y6296">
        <v>-9.6318269999999997E-2</v>
      </c>
      <c r="Z6296">
        <v>-1.880888E-3</v>
      </c>
      <c r="AA6296">
        <v>0.99534880000000003</v>
      </c>
      <c r="AB6296">
        <v>21</v>
      </c>
      <c r="AC6296">
        <v>119.7647</v>
      </c>
      <c r="AD6296">
        <v>1.0183599999999999</v>
      </c>
      <c r="AE6296">
        <v>-0.109830000000002</v>
      </c>
      <c r="AF6296">
        <v>-11.547586613487001</v>
      </c>
      <c r="AG6296">
        <v>1.0183599999999999</v>
      </c>
      <c r="AH6296">
        <v>119.198048569861</v>
      </c>
      <c r="AI6296">
        <v>89.512790349352898</v>
      </c>
      <c r="AJ6296">
        <v>95.533393561473702</v>
      </c>
      <c r="AK6296">
        <v>119.760421661534</v>
      </c>
      <c r="AL6296">
        <v>79.903866379470699</v>
      </c>
      <c r="AM6296">
        <v>98.018141500478905</v>
      </c>
      <c r="AN6296">
        <v>1.0000000548625601</v>
      </c>
    </row>
    <row r="6297" spans="1:40" x14ac:dyDescent="0.25">
      <c r="A6297" t="str">
        <f>"20190304154921824"</f>
        <v>20190304154921824</v>
      </c>
      <c r="B6297" t="str">
        <f>"1551685761813298"</f>
        <v>1551685761813298</v>
      </c>
      <c r="C6297" t="s">
        <v>40</v>
      </c>
      <c r="D6297">
        <v>4.196148</v>
      </c>
      <c r="E6297">
        <v>0.51459390000000005</v>
      </c>
      <c r="F6297" t="s">
        <v>94</v>
      </c>
      <c r="G6297">
        <v>-276.13240000000002</v>
      </c>
      <c r="H6297">
        <v>2.1482990000000002</v>
      </c>
      <c r="I6297">
        <v>18.087599999999998</v>
      </c>
      <c r="J6297">
        <v>-393.05669999999998</v>
      </c>
      <c r="K6297">
        <v>1.111964</v>
      </c>
      <c r="L6297">
        <v>18.10782</v>
      </c>
      <c r="M6297">
        <v>0.99526230000000004</v>
      </c>
      <c r="N6297">
        <v>-1.3045360000000001E-2</v>
      </c>
      <c r="O6297">
        <v>-9.6347820000000001E-2</v>
      </c>
      <c r="P6297">
        <v>0.98574019999999996</v>
      </c>
      <c r="Q6297">
        <v>0.16305919999999999</v>
      </c>
      <c r="R6297">
        <v>4.1571249999999997E-2</v>
      </c>
      <c r="S6297">
        <v>3.0388489999999999</v>
      </c>
      <c r="T6297">
        <v>2.6906490000000002E-2</v>
      </c>
      <c r="U6297">
        <v>-7.9345700000000002E-4</v>
      </c>
      <c r="V6297">
        <v>-0.13677719999999999</v>
      </c>
      <c r="W6297">
        <v>0.17546829999999999</v>
      </c>
      <c r="X6297">
        <v>0.97493739999999995</v>
      </c>
      <c r="Y6297">
        <v>-9.6074800000000002E-2</v>
      </c>
      <c r="Z6297">
        <v>-1.909057E-3</v>
      </c>
      <c r="AA6297">
        <v>0.99537229999999999</v>
      </c>
      <c r="AB6297">
        <v>21</v>
      </c>
      <c r="AC6297">
        <v>116.92429999999899</v>
      </c>
      <c r="AD6297">
        <v>1.036335</v>
      </c>
      <c r="AE6297">
        <v>-2.02200000000019E-2</v>
      </c>
      <c r="AF6297">
        <v>-11.245350055076999</v>
      </c>
      <c r="AG6297">
        <v>1.036335</v>
      </c>
      <c r="AH6297">
        <v>116.37304977570101</v>
      </c>
      <c r="AI6297">
        <v>89.492143804086197</v>
      </c>
      <c r="AJ6297">
        <v>95.519463425690702</v>
      </c>
      <c r="AK6297">
        <v>116.919710067171</v>
      </c>
      <c r="AL6297">
        <v>79.894088891842898</v>
      </c>
      <c r="AM6297">
        <v>97.9860923952875</v>
      </c>
      <c r="AN6297">
        <v>1.00000003033174</v>
      </c>
    </row>
    <row r="6298" spans="1:40" x14ac:dyDescent="0.25">
      <c r="A6298" t="str">
        <f>"20190304154921837"</f>
        <v>20190304154921837</v>
      </c>
      <c r="B6298" t="str">
        <f>"1551685761833794"</f>
        <v>1551685761833794</v>
      </c>
      <c r="C6298" t="s">
        <v>40</v>
      </c>
      <c r="D6298">
        <v>4.1834160000000002</v>
      </c>
      <c r="E6298">
        <v>0.51445620000000003</v>
      </c>
      <c r="F6298" t="s">
        <v>94</v>
      </c>
      <c r="G6298">
        <v>-276.28570000000002</v>
      </c>
      <c r="H6298">
        <v>2.18215</v>
      </c>
      <c r="I6298">
        <v>18.137139999999999</v>
      </c>
      <c r="J6298">
        <v>-392.93869999999998</v>
      </c>
      <c r="K6298">
        <v>1.1119399999999999</v>
      </c>
      <c r="L6298">
        <v>18.097529999999999</v>
      </c>
      <c r="M6298">
        <v>0.99535669999999998</v>
      </c>
      <c r="N6298">
        <v>-1.298068E-2</v>
      </c>
      <c r="O6298">
        <v>-9.5375630000000003E-2</v>
      </c>
      <c r="P6298">
        <v>0.98566240000000005</v>
      </c>
      <c r="Q6298">
        <v>0.163459299999999</v>
      </c>
      <c r="R6298">
        <v>4.1846090000000002E-2</v>
      </c>
      <c r="S6298">
        <v>3.0387879999999998</v>
      </c>
      <c r="T6298">
        <v>2.7849909999999999E-2</v>
      </c>
      <c r="U6298">
        <v>7.6293949999999998E-4</v>
      </c>
      <c r="V6298">
        <v>-0.13608199999999901</v>
      </c>
      <c r="W6298">
        <v>0.17581329999999901</v>
      </c>
      <c r="X6298">
        <v>0.97497250000000002</v>
      </c>
      <c r="Y6298">
        <v>-9.5611870000000002E-2</v>
      </c>
      <c r="Z6298">
        <v>-1.9300750000000001E-3</v>
      </c>
      <c r="AA6298">
        <v>0.99541679999999999</v>
      </c>
      <c r="AB6298">
        <v>21</v>
      </c>
      <c r="AC6298">
        <v>116.652999999999</v>
      </c>
      <c r="AD6298">
        <v>1.0702100000000001</v>
      </c>
      <c r="AE6298">
        <v>3.9609999999999701E-2</v>
      </c>
      <c r="AF6298">
        <v>-11.165280643266099</v>
      </c>
      <c r="AG6298">
        <v>1.0702100000000001</v>
      </c>
      <c r="AH6298">
        <v>116.107579754266</v>
      </c>
      <c r="AI6298">
        <v>89.474321680473494</v>
      </c>
      <c r="AJ6298">
        <v>95.492857651105098</v>
      </c>
      <c r="AK6298">
        <v>116.648098645799</v>
      </c>
      <c r="AL6298">
        <v>79.874009408449396</v>
      </c>
      <c r="AM6298">
        <v>97.945738690831504</v>
      </c>
      <c r="AN6298">
        <v>1.0000000014685699</v>
      </c>
    </row>
    <row r="6299" spans="1:40" x14ac:dyDescent="0.25">
      <c r="A6299" t="str">
        <f>"20190304154921855"</f>
        <v>20190304154921855</v>
      </c>
      <c r="B6299" t="str">
        <f>"1551685761843554"</f>
        <v>1551685761843554</v>
      </c>
      <c r="C6299" t="s">
        <v>40</v>
      </c>
      <c r="D6299">
        <v>4.1972659999999999</v>
      </c>
      <c r="E6299">
        <v>0.51439369999999995</v>
      </c>
      <c r="F6299" t="s">
        <v>94</v>
      </c>
      <c r="G6299">
        <v>-276.27440000000001</v>
      </c>
      <c r="H6299">
        <v>2.2157619999999998</v>
      </c>
      <c r="I6299">
        <v>18.20299</v>
      </c>
      <c r="J6299">
        <v>-392.76819999999998</v>
      </c>
      <c r="K6299">
        <v>1.1118969999999999</v>
      </c>
      <c r="L6299">
        <v>18.082789999999999</v>
      </c>
      <c r="M6299">
        <v>0.99548879999999995</v>
      </c>
      <c r="N6299">
        <v>-1.2883230000000001E-2</v>
      </c>
      <c r="O6299">
        <v>-9.4000589999999995E-2</v>
      </c>
      <c r="P6299">
        <v>0.98568180000000005</v>
      </c>
      <c r="Q6299">
        <v>0.16323570000000001</v>
      </c>
      <c r="R6299">
        <v>4.2253069999999997E-2</v>
      </c>
      <c r="S6299">
        <v>3.0387270000000002</v>
      </c>
      <c r="T6299">
        <v>2.8751019999999999E-2</v>
      </c>
      <c r="U6299">
        <v>2.746582E-3</v>
      </c>
      <c r="V6299">
        <v>-0.13512669999999999</v>
      </c>
      <c r="W6299">
        <v>0.1755072</v>
      </c>
      <c r="X6299">
        <v>0.97516049999999999</v>
      </c>
      <c r="Y6299">
        <v>-9.4886269999999995E-2</v>
      </c>
      <c r="Z6299">
        <v>-1.9383740000000001E-3</v>
      </c>
      <c r="AA6299">
        <v>0.99548630000000005</v>
      </c>
      <c r="AB6299">
        <v>21</v>
      </c>
      <c r="AC6299">
        <v>116.493799999999</v>
      </c>
      <c r="AD6299">
        <v>1.1038650000000001</v>
      </c>
      <c r="AE6299">
        <v>0.1202</v>
      </c>
      <c r="AF6299">
        <v>-11.0700683024755</v>
      </c>
      <c r="AG6299">
        <v>1.1038650000000001</v>
      </c>
      <c r="AH6299">
        <v>115.95618468444501</v>
      </c>
      <c r="AI6299">
        <v>89.457047864264695</v>
      </c>
      <c r="AJ6299">
        <v>95.453367926552801</v>
      </c>
      <c r="AK6299">
        <v>116.48863333704701</v>
      </c>
      <c r="AL6299">
        <v>79.891824659254397</v>
      </c>
      <c r="AM6299">
        <v>97.889162322368307</v>
      </c>
      <c r="AN6299">
        <v>1.0000000015324899</v>
      </c>
    </row>
    <row r="6300" spans="1:40" x14ac:dyDescent="0.25">
      <c r="A6300" t="str">
        <f>"20190304154921866"</f>
        <v>20190304154921866</v>
      </c>
      <c r="B6300" t="str">
        <f>"1551685761864050"</f>
        <v>1551685761864050</v>
      </c>
      <c r="C6300" t="s">
        <v>40</v>
      </c>
      <c r="D6300">
        <v>4.2134510000000001</v>
      </c>
      <c r="E6300">
        <v>0.51430489999999995</v>
      </c>
      <c r="F6300" t="s">
        <v>94</v>
      </c>
      <c r="G6300">
        <v>-276.26949999999999</v>
      </c>
      <c r="H6300">
        <v>2.178515</v>
      </c>
      <c r="I6300">
        <v>18.248930000000001</v>
      </c>
      <c r="J6300">
        <v>-392.64980000000003</v>
      </c>
      <c r="K6300">
        <v>1.1118729999999999</v>
      </c>
      <c r="L6300">
        <v>18.07272</v>
      </c>
      <c r="M6300">
        <v>0.99557700000000005</v>
      </c>
      <c r="N6300">
        <v>-1.2814000000000001E-2</v>
      </c>
      <c r="O6300">
        <v>-9.3070230000000004E-2</v>
      </c>
      <c r="P6300">
        <v>0.98568520000000004</v>
      </c>
      <c r="Q6300">
        <v>0.16308139999999999</v>
      </c>
      <c r="R6300">
        <v>4.2770870000000002E-2</v>
      </c>
      <c r="S6300">
        <v>3.0387879999999998</v>
      </c>
      <c r="T6300">
        <v>2.7822019999999999E-2</v>
      </c>
      <c r="U6300">
        <v>4.333496E-3</v>
      </c>
      <c r="V6300">
        <v>-0.13472029999999999</v>
      </c>
      <c r="W6300">
        <v>0.17529410000000001</v>
      </c>
      <c r="X6300">
        <v>0.97525510000000004</v>
      </c>
      <c r="Y6300">
        <v>-9.4476770000000002E-2</v>
      </c>
      <c r="Z6300">
        <v>-1.8722089999999999E-3</v>
      </c>
      <c r="AA6300">
        <v>0.99552529999999995</v>
      </c>
      <c r="AB6300">
        <v>21</v>
      </c>
      <c r="AC6300">
        <v>116.38030000000001</v>
      </c>
      <c r="AD6300">
        <v>1.0666420000000001</v>
      </c>
      <c r="AE6300">
        <v>0.17620999999999701</v>
      </c>
      <c r="AF6300">
        <v>-11.0069520476282</v>
      </c>
      <c r="AG6300">
        <v>1.0666420000000001</v>
      </c>
      <c r="AH6300">
        <v>115.848940957767</v>
      </c>
      <c r="AI6300">
        <v>89.474847230795902</v>
      </c>
      <c r="AJ6300">
        <v>95.427450994506302</v>
      </c>
      <c r="AK6300">
        <v>116.37554657045099</v>
      </c>
      <c r="AL6300">
        <v>79.904227103874504</v>
      </c>
      <c r="AM6300">
        <v>97.864979294216198</v>
      </c>
      <c r="AN6300">
        <v>1.0000000454014499</v>
      </c>
    </row>
    <row r="6301" spans="1:40" x14ac:dyDescent="0.25">
      <c r="A6301" t="str">
        <f>"20190304154921879"</f>
        <v>20190304154921879</v>
      </c>
      <c r="B6301" t="str">
        <f>"1551685761873395"</f>
        <v>1551685761873395</v>
      </c>
      <c r="C6301" t="s">
        <v>40</v>
      </c>
      <c r="D6301">
        <v>4.1872790000000002</v>
      </c>
      <c r="E6301">
        <v>0.51420109999999997</v>
      </c>
      <c r="F6301" t="s">
        <v>94</v>
      </c>
      <c r="G6301">
        <v>-276.26150000000001</v>
      </c>
      <c r="H6301">
        <v>2.1259570000000001</v>
      </c>
      <c r="I6301">
        <v>18.321670000000001</v>
      </c>
      <c r="J6301">
        <v>-392.5351</v>
      </c>
      <c r="K6301">
        <v>1.111845</v>
      </c>
      <c r="L6301">
        <v>18.063020000000002</v>
      </c>
      <c r="M6301">
        <v>0.99566049999999995</v>
      </c>
      <c r="N6301">
        <v>-1.27484E-2</v>
      </c>
      <c r="O6301">
        <v>-9.2184820000000001E-2</v>
      </c>
      <c r="P6301">
        <v>0.98570290000000005</v>
      </c>
      <c r="Q6301">
        <v>0.16283529999999999</v>
      </c>
      <c r="R6301">
        <v>4.3299030000000002E-2</v>
      </c>
      <c r="S6301">
        <v>3.0389400000000002</v>
      </c>
      <c r="T6301">
        <v>2.647805E-2</v>
      </c>
      <c r="U6301">
        <v>6.5002439999999996E-3</v>
      </c>
      <c r="V6301">
        <v>-0.1343705</v>
      </c>
      <c r="W6301">
        <v>0.17499129999999999</v>
      </c>
      <c r="X6301">
        <v>0.97535769999999999</v>
      </c>
      <c r="Y6301">
        <v>-9.430239E-2</v>
      </c>
      <c r="Z6301">
        <v>-1.7884649999999999E-3</v>
      </c>
      <c r="AA6301">
        <v>0.99554200000000004</v>
      </c>
      <c r="AB6301">
        <v>21</v>
      </c>
      <c r="AC6301">
        <v>116.2736</v>
      </c>
      <c r="AD6301">
        <v>1.0141119999999999</v>
      </c>
      <c r="AE6301">
        <v>0.25864999999999899</v>
      </c>
      <c r="AF6301">
        <v>-10.976243404010001</v>
      </c>
      <c r="AG6301">
        <v>1.0141119999999999</v>
      </c>
      <c r="AH6301">
        <v>115.745766341109</v>
      </c>
      <c r="AI6301">
        <v>89.500255086786893</v>
      </c>
      <c r="AJ6301">
        <v>95.417194692141805</v>
      </c>
      <c r="AK6301">
        <v>116.269466190842</v>
      </c>
      <c r="AL6301">
        <v>79.921848327046106</v>
      </c>
      <c r="AM6301">
        <v>97.843997597257996</v>
      </c>
      <c r="AN6301">
        <v>1.00000001464761</v>
      </c>
    </row>
    <row r="6302" spans="1:40" x14ac:dyDescent="0.25">
      <c r="A6302" t="str">
        <f>"20190304154921894"</f>
        <v>20190304154921894</v>
      </c>
      <c r="B6302" t="str">
        <f>"1551685761883155"</f>
        <v>1551685761883155</v>
      </c>
      <c r="C6302" t="s">
        <v>40</v>
      </c>
      <c r="D6302">
        <v>4.182347</v>
      </c>
      <c r="E6302">
        <v>0.51416700000000004</v>
      </c>
      <c r="F6302" t="s">
        <v>94</v>
      </c>
      <c r="G6302">
        <v>-276.25170000000003</v>
      </c>
      <c r="H6302">
        <v>2.0844279999999999</v>
      </c>
      <c r="I6302">
        <v>18.402840000000001</v>
      </c>
      <c r="J6302">
        <v>-392.39159999999998</v>
      </c>
      <c r="K6302">
        <v>1.1118110000000001</v>
      </c>
      <c r="L6302">
        <v>18.050989999999999</v>
      </c>
      <c r="M6302">
        <v>0.99576160000000002</v>
      </c>
      <c r="N6302">
        <v>-1.2667380000000001E-2</v>
      </c>
      <c r="O6302">
        <v>-9.1096750000000004E-2</v>
      </c>
      <c r="P6302">
        <v>0.98566869999999995</v>
      </c>
      <c r="Q6302">
        <v>0.16284309999999999</v>
      </c>
      <c r="R6302">
        <v>4.4039830000000002E-2</v>
      </c>
      <c r="S6302">
        <v>3.03891</v>
      </c>
      <c r="T6302">
        <v>2.5417209999999999E-2</v>
      </c>
      <c r="U6302">
        <v>8.8806149999999997E-3</v>
      </c>
      <c r="V6302">
        <v>-0.13402639999999999</v>
      </c>
      <c r="W6302">
        <v>0.1749289</v>
      </c>
      <c r="X6302">
        <v>0.97541619999999996</v>
      </c>
      <c r="Y6302">
        <v>-9.399536E-2</v>
      </c>
      <c r="Z6302">
        <v>-1.713977E-3</v>
      </c>
      <c r="AA6302">
        <v>0.99557110000000004</v>
      </c>
      <c r="AB6302">
        <v>21</v>
      </c>
      <c r="AC6302">
        <v>116.139899999999</v>
      </c>
      <c r="AD6302">
        <v>0.97261699999999895</v>
      </c>
      <c r="AE6302">
        <v>0.351849999999998</v>
      </c>
      <c r="AF6302">
        <v>-10.930435303227901</v>
      </c>
      <c r="AG6302">
        <v>0.97261699999999895</v>
      </c>
      <c r="AH6302">
        <v>115.616754780048</v>
      </c>
      <c r="AI6302">
        <v>89.520154583272898</v>
      </c>
      <c r="AJ6302">
        <v>95.400704458640703</v>
      </c>
      <c r="AK6302">
        <v>116.136361169173</v>
      </c>
      <c r="AL6302">
        <v>79.925479237121394</v>
      </c>
      <c r="AM6302">
        <v>97.823696121003493</v>
      </c>
      <c r="AN6302">
        <v>0.99999997958730402</v>
      </c>
    </row>
    <row r="6303" spans="1:40" x14ac:dyDescent="0.25">
      <c r="A6303" t="str">
        <f>"20190304154921913"</f>
        <v>20190304154921913</v>
      </c>
      <c r="B6303" t="str">
        <f>"1551685761903651"</f>
        <v>1551685761903651</v>
      </c>
      <c r="C6303" t="s">
        <v>40</v>
      </c>
      <c r="D6303">
        <v>4.2026669999999999</v>
      </c>
      <c r="E6303">
        <v>0.51409490000000002</v>
      </c>
      <c r="F6303" t="s">
        <v>94</v>
      </c>
      <c r="G6303">
        <v>-276.2405</v>
      </c>
      <c r="H6303">
        <v>2.061782</v>
      </c>
      <c r="I6303">
        <v>18.48723</v>
      </c>
      <c r="J6303">
        <v>-392.21870000000001</v>
      </c>
      <c r="K6303">
        <v>1.111774</v>
      </c>
      <c r="L6303">
        <v>18.03668</v>
      </c>
      <c r="M6303">
        <v>0.99587820000000005</v>
      </c>
      <c r="N6303">
        <v>-1.256904E-2</v>
      </c>
      <c r="O6303">
        <v>-8.9826530000000002E-2</v>
      </c>
      <c r="P6303">
        <v>0.98564350000000001</v>
      </c>
      <c r="Q6303">
        <v>0.16282759999999999</v>
      </c>
      <c r="R6303">
        <v>4.4657860000000001E-2</v>
      </c>
      <c r="S6303">
        <v>3.0390009999999998</v>
      </c>
      <c r="T6303">
        <v>2.4855260000000001E-2</v>
      </c>
      <c r="U6303">
        <v>1.141357E-2</v>
      </c>
      <c r="V6303">
        <v>-0.13338</v>
      </c>
      <c r="W6303">
        <v>0.17482979999999901</v>
      </c>
      <c r="X6303">
        <v>0.97552260000000002</v>
      </c>
      <c r="Y6303">
        <v>-9.3555830000000006E-2</v>
      </c>
      <c r="Z6303">
        <v>-1.6586680000000001E-3</v>
      </c>
      <c r="AA6303">
        <v>0.99561270000000002</v>
      </c>
      <c r="AB6303">
        <v>21</v>
      </c>
      <c r="AC6303">
        <v>115.9782</v>
      </c>
      <c r="AD6303">
        <v>0.95000799999999996</v>
      </c>
      <c r="AE6303">
        <v>0.45054999999999901</v>
      </c>
      <c r="AF6303">
        <v>-10.8667405780007</v>
      </c>
      <c r="AG6303">
        <v>0.95000799999999996</v>
      </c>
      <c r="AH6303">
        <v>115.461053914302</v>
      </c>
      <c r="AI6303">
        <v>89.530657720897395</v>
      </c>
      <c r="AJ6303">
        <v>95.376615835811904</v>
      </c>
      <c r="AK6303">
        <v>115.975185005203</v>
      </c>
      <c r="AL6303">
        <v>79.931246459731298</v>
      </c>
      <c r="AM6303">
        <v>97.785588100730095</v>
      </c>
      <c r="AN6303">
        <v>1.0000000132394</v>
      </c>
    </row>
    <row r="6304" spans="1:40" x14ac:dyDescent="0.25">
      <c r="A6304" t="str">
        <f>"20190304154921927"</f>
        <v>20190304154921927</v>
      </c>
      <c r="B6304" t="str">
        <f>"1551685761923171"</f>
        <v>1551685761923171</v>
      </c>
      <c r="C6304" t="s">
        <v>40</v>
      </c>
      <c r="D6304">
        <v>4.2023529999999996</v>
      </c>
      <c r="E6304">
        <v>0.51410869999999997</v>
      </c>
      <c r="F6304" t="s">
        <v>94</v>
      </c>
      <c r="G6304">
        <v>-276.22980000000001</v>
      </c>
      <c r="H6304">
        <v>2.0409160000000002</v>
      </c>
      <c r="I6304">
        <v>18.567799999999998</v>
      </c>
      <c r="J6304">
        <v>-392.084</v>
      </c>
      <c r="K6304">
        <v>1.11174</v>
      </c>
      <c r="L6304">
        <v>18.025670000000002</v>
      </c>
      <c r="M6304">
        <v>0.99596459999999998</v>
      </c>
      <c r="N6304">
        <v>-1.2492430000000001E-2</v>
      </c>
      <c r="O6304">
        <v>-8.887246E-2</v>
      </c>
      <c r="P6304">
        <v>0.98558780000000001</v>
      </c>
      <c r="Q6304">
        <v>0.16295029999999999</v>
      </c>
      <c r="R6304">
        <v>4.54315E-2</v>
      </c>
      <c r="S6304">
        <v>3.0390320000000002</v>
      </c>
      <c r="T6304">
        <v>2.4344439999999998E-2</v>
      </c>
      <c r="U6304">
        <v>1.3916019999999999E-2</v>
      </c>
      <c r="V6304">
        <v>-0.1331995</v>
      </c>
      <c r="W6304">
        <v>0.17488619999999999</v>
      </c>
      <c r="X6304">
        <v>0.97553710000000005</v>
      </c>
      <c r="Y6304">
        <v>-9.3422409999999997E-2</v>
      </c>
      <c r="Z6304">
        <v>-1.613125E-3</v>
      </c>
      <c r="AA6304">
        <v>0.99562530000000005</v>
      </c>
      <c r="AB6304">
        <v>21</v>
      </c>
      <c r="AC6304">
        <v>115.85420000000001</v>
      </c>
      <c r="AD6304">
        <v>0.929176</v>
      </c>
      <c r="AE6304">
        <v>0.542129999999996</v>
      </c>
      <c r="AF6304">
        <v>-10.836339436712899</v>
      </c>
      <c r="AG6304">
        <v>0.929176</v>
      </c>
      <c r="AH6304">
        <v>115.340091645095</v>
      </c>
      <c r="AI6304">
        <v>89.540460655820794</v>
      </c>
      <c r="AJ6304">
        <v>95.367252016776405</v>
      </c>
      <c r="AK6304">
        <v>115.851743021525</v>
      </c>
      <c r="AL6304">
        <v>79.927963888097196</v>
      </c>
      <c r="AM6304">
        <v>97.775066853621993</v>
      </c>
      <c r="AN6304">
        <v>0.99999996161354898</v>
      </c>
    </row>
    <row r="6305" spans="1:40" x14ac:dyDescent="0.25">
      <c r="A6305" t="str">
        <f>"20190304154921944"</f>
        <v>20190304154921944</v>
      </c>
      <c r="B6305" t="str">
        <f>"1551685761933911"</f>
        <v>1551685761933911</v>
      </c>
      <c r="C6305" t="s">
        <v>40</v>
      </c>
      <c r="D6305">
        <v>4.2050809999999998</v>
      </c>
      <c r="E6305">
        <v>0.51409970000000005</v>
      </c>
      <c r="F6305" t="s">
        <v>94</v>
      </c>
      <c r="G6305">
        <v>-276.21890000000002</v>
      </c>
      <c r="H6305">
        <v>2.0471810000000001</v>
      </c>
      <c r="I6305">
        <v>18.64</v>
      </c>
      <c r="J6305">
        <v>-391.91770000000002</v>
      </c>
      <c r="K6305">
        <v>1.111699</v>
      </c>
      <c r="L6305">
        <v>18.012179999999901</v>
      </c>
      <c r="M6305">
        <v>0.99606749999999999</v>
      </c>
      <c r="N6305">
        <v>-1.24016E-2</v>
      </c>
      <c r="O6305">
        <v>-8.7725639999999994E-2</v>
      </c>
      <c r="P6305">
        <v>0.9855604</v>
      </c>
      <c r="Q6305">
        <v>0.16288849999999999</v>
      </c>
      <c r="R6305">
        <v>4.624234E-2</v>
      </c>
      <c r="S6305">
        <v>3.0390630000000001</v>
      </c>
      <c r="T6305">
        <v>2.453601E-2</v>
      </c>
      <c r="U6305">
        <v>1.6113280000000001E-2</v>
      </c>
      <c r="V6305">
        <v>-0.1328666</v>
      </c>
      <c r="W6305">
        <v>0.17474529999999999</v>
      </c>
      <c r="X6305">
        <v>0.97560780000000002</v>
      </c>
      <c r="Y6305">
        <v>-9.2995930000000004E-2</v>
      </c>
      <c r="Z6305">
        <v>-1.5952379999999999E-3</v>
      </c>
      <c r="AA6305">
        <v>0.99566520000000003</v>
      </c>
      <c r="AB6305">
        <v>21</v>
      </c>
      <c r="AC6305">
        <v>115.69880000000001</v>
      </c>
      <c r="AD6305">
        <v>0.93548200000000004</v>
      </c>
      <c r="AE6305">
        <v>0.62782000000000304</v>
      </c>
      <c r="AF6305">
        <v>-10.7752263812471</v>
      </c>
      <c r="AG6305">
        <v>0.93548200000000004</v>
      </c>
      <c r="AH6305">
        <v>115.190064216907</v>
      </c>
      <c r="AI6305">
        <v>89.536721927416906</v>
      </c>
      <c r="AJ6305">
        <v>95.344069009431607</v>
      </c>
      <c r="AK6305">
        <v>115.696722185353</v>
      </c>
      <c r="AL6305">
        <v>79.936163678952596</v>
      </c>
      <c r="AM6305">
        <v>97.755316540877999</v>
      </c>
      <c r="AN6305">
        <v>1.00000001634424</v>
      </c>
    </row>
    <row r="6306" spans="1:40" x14ac:dyDescent="0.25">
      <c r="A6306" t="str">
        <f>"20190304154921956"</f>
        <v>20190304154921956</v>
      </c>
      <c r="B6306" t="str">
        <f>"1551685761953428"</f>
        <v>1551685761953428</v>
      </c>
      <c r="C6306" t="s">
        <v>40</v>
      </c>
      <c r="D6306">
        <v>4.203303</v>
      </c>
      <c r="E6306">
        <v>0.51417869999999999</v>
      </c>
      <c r="F6306" t="s">
        <v>94</v>
      </c>
      <c r="G6306">
        <v>-276.20839999999998</v>
      </c>
      <c r="H6306">
        <v>2.0298319999999999</v>
      </c>
      <c r="I6306">
        <v>18.717459999999999</v>
      </c>
      <c r="J6306">
        <v>-391.80470000000003</v>
      </c>
      <c r="K6306">
        <v>1.1116740000000001</v>
      </c>
      <c r="L6306">
        <v>18.003079999999901</v>
      </c>
      <c r="M6306">
        <v>0.99613459999999998</v>
      </c>
      <c r="N6306">
        <v>-1.234213E-2</v>
      </c>
      <c r="O6306">
        <v>-8.6969009999999999E-2</v>
      </c>
      <c r="P6306">
        <v>0.9855486</v>
      </c>
      <c r="Q6306">
        <v>0.16278419999999999</v>
      </c>
      <c r="R6306">
        <v>4.6853400000000003E-2</v>
      </c>
      <c r="S6306">
        <v>3.0390929999999998</v>
      </c>
      <c r="T6306">
        <v>2.4114610000000002E-2</v>
      </c>
      <c r="U6306">
        <v>1.852417E-2</v>
      </c>
      <c r="V6306">
        <v>-0.132722799999999</v>
      </c>
      <c r="W6306">
        <v>0.17459040000000001</v>
      </c>
      <c r="X6306">
        <v>0.9756551</v>
      </c>
      <c r="Y6306">
        <v>-9.3029849999999997E-2</v>
      </c>
      <c r="Z6306">
        <v>-1.558736E-3</v>
      </c>
      <c r="AA6306">
        <v>0.99566209999999999</v>
      </c>
      <c r="AB6306">
        <v>21</v>
      </c>
      <c r="AC6306">
        <v>115.5963</v>
      </c>
      <c r="AD6306">
        <v>0.91815799999999903</v>
      </c>
      <c r="AE6306">
        <v>0.71438000000000201</v>
      </c>
      <c r="AF6306">
        <v>-10.7650548586259</v>
      </c>
      <c r="AG6306">
        <v>0.91815799999999903</v>
      </c>
      <c r="AH6306">
        <v>115.088846712755</v>
      </c>
      <c r="AI6306">
        <v>89.544900779237196</v>
      </c>
      <c r="AJ6306">
        <v>95.343721900208905</v>
      </c>
      <c r="AK6306">
        <v>115.594861727908</v>
      </c>
      <c r="AL6306">
        <v>79.945177312306797</v>
      </c>
      <c r="AM6306">
        <v>97.746654014235602</v>
      </c>
      <c r="AN6306">
        <v>1.000000011784</v>
      </c>
    </row>
    <row r="6307" spans="1:40" x14ac:dyDescent="0.25">
      <c r="A6307" t="str">
        <f>"20190304154921967"</f>
        <v>20190304154921967</v>
      </c>
      <c r="B6307" t="str">
        <f>"1551685761963188"</f>
        <v>1551685761963188</v>
      </c>
      <c r="C6307" t="s">
        <v>40</v>
      </c>
      <c r="D6307">
        <v>4.2104999999999997</v>
      </c>
      <c r="E6307">
        <v>0.51426459999999996</v>
      </c>
      <c r="F6307" t="s">
        <v>94</v>
      </c>
      <c r="G6307">
        <v>-276.20479999999998</v>
      </c>
      <c r="H6307">
        <v>2.0014630000000002</v>
      </c>
      <c r="I6307">
        <v>18.751809999999999</v>
      </c>
      <c r="J6307">
        <v>-391.69409999999999</v>
      </c>
      <c r="K6307">
        <v>1.1116490000000001</v>
      </c>
      <c r="L6307">
        <v>17.994289999999999</v>
      </c>
      <c r="M6307">
        <v>0.99619800000000003</v>
      </c>
      <c r="N6307">
        <v>-1.228575E-2</v>
      </c>
      <c r="O6307">
        <v>-8.6248989999999998E-2</v>
      </c>
      <c r="P6307">
        <v>0.98555119999999896</v>
      </c>
      <c r="Q6307">
        <v>0.16262409999999999</v>
      </c>
      <c r="R6307">
        <v>4.7355010000000003E-2</v>
      </c>
      <c r="S6307">
        <v>3.0391539999999999</v>
      </c>
      <c r="T6307">
        <v>2.3392920000000001E-2</v>
      </c>
      <c r="U6307">
        <v>1.9683840000000001E-2</v>
      </c>
      <c r="V6307">
        <v>-0.13250680000000001</v>
      </c>
      <c r="W6307">
        <v>0.17438290000000001</v>
      </c>
      <c r="X6307">
        <v>0.97572159999999997</v>
      </c>
      <c r="Y6307">
        <v>-9.2690590000000003E-2</v>
      </c>
      <c r="Z6307">
        <v>-1.511131E-3</v>
      </c>
      <c r="AA6307">
        <v>0.99569379999999996</v>
      </c>
      <c r="AB6307">
        <v>21</v>
      </c>
      <c r="AC6307">
        <v>115.4893</v>
      </c>
      <c r="AD6307">
        <v>0.88981399999999999</v>
      </c>
      <c r="AE6307">
        <v>0.75751999999999897</v>
      </c>
      <c r="AF6307">
        <v>-10.7156465748121</v>
      </c>
      <c r="AG6307">
        <v>0.88981399999999999</v>
      </c>
      <c r="AH6307">
        <v>114.986711287012</v>
      </c>
      <c r="AI6307">
        <v>89.558543454329595</v>
      </c>
      <c r="AJ6307">
        <v>95.324034564956406</v>
      </c>
      <c r="AK6307">
        <v>115.488357088814</v>
      </c>
      <c r="AL6307">
        <v>79.957251738390895</v>
      </c>
      <c r="AM6307">
        <v>97.733678677973003</v>
      </c>
      <c r="AN6307">
        <v>1.0000000442826</v>
      </c>
    </row>
    <row r="6308" spans="1:40" x14ac:dyDescent="0.25">
      <c r="A6308" t="str">
        <f>"20190304154921980"</f>
        <v>20190304154921980</v>
      </c>
      <c r="B6308" t="str">
        <f>"1551685761973564"</f>
        <v>1551685761973564</v>
      </c>
      <c r="C6308" t="s">
        <v>40</v>
      </c>
      <c r="D6308">
        <v>4.1914709999999999</v>
      </c>
      <c r="E6308">
        <v>0.51433479999999998</v>
      </c>
      <c r="F6308" t="s">
        <v>94</v>
      </c>
      <c r="G6308">
        <v>-276.20310000000001</v>
      </c>
      <c r="H6308">
        <v>1.9826649999999999</v>
      </c>
      <c r="I6308">
        <v>18.770119999999999</v>
      </c>
      <c r="J6308">
        <v>-391.57639999999998</v>
      </c>
      <c r="K6308">
        <v>1.111621</v>
      </c>
      <c r="L6308">
        <v>17.984950000000001</v>
      </c>
      <c r="M6308">
        <v>0.99626230000000005</v>
      </c>
      <c r="N6308">
        <v>-1.222586E-2</v>
      </c>
      <c r="O6308">
        <v>-8.5509810000000006E-2</v>
      </c>
      <c r="P6308">
        <v>0.98553930000000001</v>
      </c>
      <c r="Q6308">
        <v>0.162474799999999</v>
      </c>
      <c r="R6308">
        <v>4.8106400000000001E-2</v>
      </c>
      <c r="S6308">
        <v>3.039215</v>
      </c>
      <c r="T6308">
        <v>2.2921319999999999E-2</v>
      </c>
      <c r="U6308">
        <v>2.0416259999999999E-2</v>
      </c>
      <c r="V6308">
        <v>-0.132518</v>
      </c>
      <c r="W6308">
        <v>0.1741828</v>
      </c>
      <c r="X6308">
        <v>0.97575579999999995</v>
      </c>
      <c r="Y6308">
        <v>-9.2192049999999998E-2</v>
      </c>
      <c r="Z6308">
        <v>-1.4746990000000001E-3</v>
      </c>
      <c r="AA6308">
        <v>0.99574019999999996</v>
      </c>
      <c r="AB6308">
        <v>21</v>
      </c>
      <c r="AC6308">
        <v>115.37329999999901</v>
      </c>
      <c r="AD6308">
        <v>0.87104400000000004</v>
      </c>
      <c r="AE6308">
        <v>0.78517000000000003</v>
      </c>
      <c r="AF6308">
        <v>-10.647973354930601</v>
      </c>
      <c r="AG6308">
        <v>0.87104400000000004</v>
      </c>
      <c r="AH6308">
        <v>114.87696985329499</v>
      </c>
      <c r="AI6308">
        <v>89.5674225710315</v>
      </c>
      <c r="AJ6308">
        <v>95.295628108835203</v>
      </c>
      <c r="AK6308">
        <v>115.372684188642</v>
      </c>
      <c r="AL6308">
        <v>79.968894614667505</v>
      </c>
      <c r="AM6308">
        <v>97.734056642254004</v>
      </c>
      <c r="AN6308">
        <v>1.00000002468673</v>
      </c>
    </row>
    <row r="6309" spans="1:40" x14ac:dyDescent="0.25">
      <c r="A6309" t="str">
        <f>"20190304154921992"</f>
        <v>20190304154921992</v>
      </c>
      <c r="B6309" t="str">
        <f>"1551685761983324"</f>
        <v>1551685761983324</v>
      </c>
      <c r="C6309" t="s">
        <v>40</v>
      </c>
      <c r="D6309">
        <v>4.1958699999999904</v>
      </c>
      <c r="E6309">
        <v>0.51436910000000002</v>
      </c>
      <c r="F6309" t="s">
        <v>94</v>
      </c>
      <c r="G6309">
        <v>-276.1968</v>
      </c>
      <c r="H6309">
        <v>1.962521</v>
      </c>
      <c r="I6309">
        <v>18.820260000000001</v>
      </c>
      <c r="J6309">
        <v>-391.45940000000002</v>
      </c>
      <c r="K6309">
        <v>1.1115900000000001</v>
      </c>
      <c r="L6309">
        <v>17.975739999999998</v>
      </c>
      <c r="M6309">
        <v>0.99632469999999995</v>
      </c>
      <c r="N6309">
        <v>-1.2166400000000001E-2</v>
      </c>
      <c r="O6309">
        <v>-8.4788760000000005E-2</v>
      </c>
      <c r="P6309">
        <v>0.98547569999999995</v>
      </c>
      <c r="Q6309">
        <v>0.16272010000000001</v>
      </c>
      <c r="R6309">
        <v>4.8576080000000001E-2</v>
      </c>
      <c r="S6309">
        <v>3.0392459999999999</v>
      </c>
      <c r="T6309">
        <v>2.241373E-2</v>
      </c>
      <c r="U6309">
        <v>2.2003169999999999E-2</v>
      </c>
      <c r="V6309">
        <v>-0.13226350000000001</v>
      </c>
      <c r="W6309">
        <v>0.17437820000000001</v>
      </c>
      <c r="X6309">
        <v>0.97575540000000005</v>
      </c>
      <c r="Y6309">
        <v>-9.1991669999999998E-2</v>
      </c>
      <c r="Z6309">
        <v>-1.4367500000000001E-3</v>
      </c>
      <c r="AA6309">
        <v>0.9957587</v>
      </c>
      <c r="AB6309">
        <v>21</v>
      </c>
      <c r="AC6309">
        <v>115.26260000000001</v>
      </c>
      <c r="AD6309">
        <v>0.85093099999999999</v>
      </c>
      <c r="AE6309">
        <v>0.84452000000000205</v>
      </c>
      <c r="AF6309">
        <v>-10.614595910012101</v>
      </c>
      <c r="AG6309">
        <v>0.85093099999999999</v>
      </c>
      <c r="AH6309">
        <v>114.76960607103599</v>
      </c>
      <c r="AI6309">
        <v>89.577007480597999</v>
      </c>
      <c r="AJ6309">
        <v>95.284032746378898</v>
      </c>
      <c r="AK6309">
        <v>115.262553362315</v>
      </c>
      <c r="AL6309">
        <v>79.957524722199906</v>
      </c>
      <c r="AM6309">
        <v>97.719385819887506</v>
      </c>
      <c r="AN6309">
        <v>0.99999999534832495</v>
      </c>
    </row>
    <row r="6310" spans="1:40" x14ac:dyDescent="0.25">
      <c r="A6310" t="str">
        <f>"20190304154922010"</f>
        <v>20190304154922010</v>
      </c>
      <c r="B6310" t="str">
        <f>"1551685762003819"</f>
        <v>1551685762003819</v>
      </c>
      <c r="C6310" t="s">
        <v>40</v>
      </c>
      <c r="D6310">
        <v>4.1893599999999998</v>
      </c>
      <c r="E6310">
        <v>0.5145052</v>
      </c>
      <c r="F6310" t="s">
        <v>94</v>
      </c>
      <c r="G6310">
        <v>-276.19150000000002</v>
      </c>
      <c r="H6310">
        <v>1.9789300000000001</v>
      </c>
      <c r="I6310">
        <v>18.850739999999998</v>
      </c>
      <c r="J6310">
        <v>-391.27789999999999</v>
      </c>
      <c r="K6310">
        <v>1.1115379999999999</v>
      </c>
      <c r="L6310">
        <v>17.961579999999898</v>
      </c>
      <c r="M6310">
        <v>0.99641550000000001</v>
      </c>
      <c r="N6310">
        <v>-1.2076379999999999E-2</v>
      </c>
      <c r="O6310">
        <v>-8.3728979999999995E-2</v>
      </c>
      <c r="P6310">
        <v>0.9854155</v>
      </c>
      <c r="Q6310">
        <v>0.16288440000000001</v>
      </c>
      <c r="R6310">
        <v>4.9245789999999998E-2</v>
      </c>
      <c r="S6310">
        <v>3.039307</v>
      </c>
      <c r="T6310">
        <v>2.2869469999999999E-2</v>
      </c>
      <c r="U6310">
        <v>2.3071290000000001E-2</v>
      </c>
      <c r="V6310">
        <v>-0.13186870000000001</v>
      </c>
      <c r="W6310">
        <v>0.17446879999999901</v>
      </c>
      <c r="X6310">
        <v>0.97579260000000001</v>
      </c>
      <c r="Y6310">
        <v>-9.1282260000000004E-2</v>
      </c>
      <c r="Z6310">
        <v>-1.4336570000000001E-3</v>
      </c>
      <c r="AA6310">
        <v>0.99582400000000004</v>
      </c>
      <c r="AB6310">
        <v>21</v>
      </c>
      <c r="AC6310">
        <v>115.086399999999</v>
      </c>
      <c r="AD6310">
        <v>0.86739199999999905</v>
      </c>
      <c r="AE6310">
        <v>0.88915999999999995</v>
      </c>
      <c r="AF6310">
        <v>-10.522208153571199</v>
      </c>
      <c r="AG6310">
        <v>0.86739199999999905</v>
      </c>
      <c r="AH6310">
        <v>114.601259139992</v>
      </c>
      <c r="AI6310">
        <v>89.568165314690006</v>
      </c>
      <c r="AJ6310">
        <v>95.245950385887497</v>
      </c>
      <c r="AK6310">
        <v>115.08656667822</v>
      </c>
      <c r="AL6310">
        <v>79.9522525243882</v>
      </c>
      <c r="AM6310">
        <v>97.696330535721401</v>
      </c>
      <c r="AN6310">
        <v>0.99999995721394397</v>
      </c>
    </row>
    <row r="6311" spans="1:40" x14ac:dyDescent="0.25">
      <c r="A6311" t="str">
        <f>"20190304154922025"</f>
        <v>20190304154922025</v>
      </c>
      <c r="B6311" t="str">
        <f>"1551685762013580"</f>
        <v>1551685762013580</v>
      </c>
      <c r="C6311" t="s">
        <v>40</v>
      </c>
      <c r="D6311">
        <v>4.2053929999999999</v>
      </c>
      <c r="E6311">
        <v>0.51451420000000003</v>
      </c>
      <c r="F6311" t="s">
        <v>94</v>
      </c>
      <c r="G6311">
        <v>-276.18799999999999</v>
      </c>
      <c r="H6311">
        <v>1.9810810000000001</v>
      </c>
      <c r="I6311">
        <v>18.873329999999999</v>
      </c>
      <c r="J6311">
        <v>-391.15089999999998</v>
      </c>
      <c r="K6311">
        <v>1.1115029999999999</v>
      </c>
      <c r="L6311">
        <v>17.951750000000001</v>
      </c>
      <c r="M6311">
        <v>0.99647490000000005</v>
      </c>
      <c r="N6311">
        <v>-1.201845E-2</v>
      </c>
      <c r="O6311">
        <v>-8.3026580000000003E-2</v>
      </c>
      <c r="P6311">
        <v>0.98536299999999999</v>
      </c>
      <c r="Q6311">
        <v>0.16300819999999999</v>
      </c>
      <c r="R6311">
        <v>4.9879890000000003E-2</v>
      </c>
      <c r="S6311">
        <v>3.0393979999999998</v>
      </c>
      <c r="T6311">
        <v>2.296364E-2</v>
      </c>
      <c r="U6311">
        <v>2.4078370000000002E-2</v>
      </c>
      <c r="V6311">
        <v>-0.13179569999999999</v>
      </c>
      <c r="W6311">
        <v>0.1745448</v>
      </c>
      <c r="X6311">
        <v>0.97578889999999996</v>
      </c>
      <c r="Y6311">
        <v>-9.0910080000000004E-2</v>
      </c>
      <c r="Z6311">
        <v>-1.4224929999999999E-3</v>
      </c>
      <c r="AA6311">
        <v>0.99585809999999997</v>
      </c>
      <c r="AB6311">
        <v>21</v>
      </c>
      <c r="AC6311">
        <v>114.9629</v>
      </c>
      <c r="AD6311">
        <v>0.86957799999999996</v>
      </c>
      <c r="AE6311">
        <v>0.92157999999999796</v>
      </c>
      <c r="AF6311">
        <v>-10.4634644618358</v>
      </c>
      <c r="AG6311">
        <v>0.86957799999999996</v>
      </c>
      <c r="AH6311">
        <v>114.482843236606</v>
      </c>
      <c r="AI6311">
        <v>89.566612805944501</v>
      </c>
      <c r="AJ6311">
        <v>95.222191417292507</v>
      </c>
      <c r="AK6311">
        <v>114.963305667415</v>
      </c>
      <c r="AL6311">
        <v>79.947830476333706</v>
      </c>
      <c r="AM6311">
        <v>97.692149835374295</v>
      </c>
      <c r="AN6311">
        <v>0.99999998555436898</v>
      </c>
    </row>
    <row r="6312" spans="1:40" x14ac:dyDescent="0.25">
      <c r="A6312" t="str">
        <f>"20190304154922037"</f>
        <v>20190304154922037</v>
      </c>
      <c r="B6312" t="str">
        <f>"1551685762033100"</f>
        <v>1551685762033100</v>
      </c>
      <c r="C6312" t="s">
        <v>40</v>
      </c>
      <c r="D6312">
        <v>4.2025899999999998</v>
      </c>
      <c r="E6312">
        <v>0.51454869999999997</v>
      </c>
      <c r="F6312" t="s">
        <v>94</v>
      </c>
      <c r="G6312">
        <v>-276.19290000000001</v>
      </c>
      <c r="H6312">
        <v>1.9815</v>
      </c>
      <c r="I6312">
        <v>18.935179999999999</v>
      </c>
      <c r="J6312">
        <v>-391.03199999999998</v>
      </c>
      <c r="K6312">
        <v>1.1114729999999999</v>
      </c>
      <c r="L6312">
        <v>17.942599999999999</v>
      </c>
      <c r="M6312">
        <v>0.99652870000000005</v>
      </c>
      <c r="N6312">
        <v>-1.196564E-2</v>
      </c>
      <c r="O6312">
        <v>-8.2387719999999998E-2</v>
      </c>
      <c r="P6312">
        <v>0.98537759999999996</v>
      </c>
      <c r="Q6312">
        <v>0.1627972</v>
      </c>
      <c r="R6312">
        <v>5.028316E-2</v>
      </c>
      <c r="S6312">
        <v>3.0394290000000002</v>
      </c>
      <c r="T6312">
        <v>2.3002269999999998E-2</v>
      </c>
      <c r="U6312">
        <v>2.600098E-2</v>
      </c>
      <c r="V6312">
        <v>-0.13155929999999999</v>
      </c>
      <c r="W6312">
        <v>0.17429169999999999</v>
      </c>
      <c r="X6312">
        <v>0.97586609999999996</v>
      </c>
      <c r="Y6312">
        <v>-9.0901560000000006E-2</v>
      </c>
      <c r="Z6312">
        <v>-1.409651E-3</v>
      </c>
      <c r="AA6312">
        <v>0.99585889999999999</v>
      </c>
      <c r="AB6312">
        <v>21</v>
      </c>
      <c r="AC6312">
        <v>114.83909999999899</v>
      </c>
      <c r="AD6312">
        <v>0.87002699999999999</v>
      </c>
      <c r="AE6312">
        <v>0.99258000000000002</v>
      </c>
      <c r="AF6312">
        <v>-10.450612603084499</v>
      </c>
      <c r="AG6312">
        <v>0.87002699999999999</v>
      </c>
      <c r="AH6312">
        <v>114.36028609812</v>
      </c>
      <c r="AI6312">
        <v>89.565923797992696</v>
      </c>
      <c r="AJ6312">
        <v>95.221371386245394</v>
      </c>
      <c r="AK6312">
        <v>114.840094423526</v>
      </c>
      <c r="AL6312">
        <v>79.962558392712907</v>
      </c>
      <c r="AM6312">
        <v>97.677917098104999</v>
      </c>
      <c r="AN6312">
        <v>1.0000000456172899</v>
      </c>
    </row>
    <row r="6313" spans="1:40" x14ac:dyDescent="0.25">
      <c r="A6313" t="str">
        <f>"20190304154922049"</f>
        <v>20190304154922049</v>
      </c>
      <c r="B6313" t="str">
        <f>"1551685762043835"</f>
        <v>1551685762043835</v>
      </c>
      <c r="C6313" t="s">
        <v>40</v>
      </c>
      <c r="D6313">
        <v>4.2078959999999999</v>
      </c>
      <c r="E6313">
        <v>0.51463840000000005</v>
      </c>
      <c r="F6313" t="s">
        <v>94</v>
      </c>
      <c r="G6313">
        <v>-276.18979999999999</v>
      </c>
      <c r="H6313">
        <v>1.950286</v>
      </c>
      <c r="I6313">
        <v>18.958449999999999</v>
      </c>
      <c r="J6313">
        <v>-390.9067</v>
      </c>
      <c r="K6313">
        <v>1.11144</v>
      </c>
      <c r="L6313">
        <v>17.932980000000001</v>
      </c>
      <c r="M6313">
        <v>0.99658279999999999</v>
      </c>
      <c r="N6313">
        <v>-1.19118E-2</v>
      </c>
      <c r="O6313">
        <v>-8.1737920000000006E-2</v>
      </c>
      <c r="P6313">
        <v>0.98535340000000005</v>
      </c>
      <c r="Q6313">
        <v>0.16276959999999999</v>
      </c>
      <c r="R6313">
        <v>5.0839280000000001E-2</v>
      </c>
      <c r="S6313">
        <v>3.0394899999999998</v>
      </c>
      <c r="T6313">
        <v>2.2200580000000001E-2</v>
      </c>
      <c r="U6313">
        <v>2.6885989999999999E-2</v>
      </c>
      <c r="V6313">
        <v>-0.131462299999999</v>
      </c>
      <c r="W6313">
        <v>0.17422079999999901</v>
      </c>
      <c r="X6313">
        <v>0.97589179999999998</v>
      </c>
      <c r="Y6313">
        <v>-9.0542549999999999E-2</v>
      </c>
      <c r="Z6313">
        <v>-1.3622720000000001E-3</v>
      </c>
      <c r="AA6313">
        <v>0.99589159999999999</v>
      </c>
      <c r="AB6313">
        <v>21</v>
      </c>
      <c r="AC6313">
        <v>114.7169</v>
      </c>
      <c r="AD6313">
        <v>0.83884599999999898</v>
      </c>
      <c r="AE6313">
        <v>1.0254699999999899</v>
      </c>
      <c r="AF6313">
        <v>-10.3988670645741</v>
      </c>
      <c r="AG6313">
        <v>0.83884599999999898</v>
      </c>
      <c r="AH6313">
        <v>114.243052680406</v>
      </c>
      <c r="AI6313">
        <v>89.581037072698294</v>
      </c>
      <c r="AJ6313">
        <v>95.200962379757797</v>
      </c>
      <c r="AK6313">
        <v>114.718416937196</v>
      </c>
      <c r="AL6313">
        <v>79.966683463768703</v>
      </c>
      <c r="AM6313">
        <v>97.672123903554294</v>
      </c>
      <c r="AN6313">
        <v>1.0000000143905801</v>
      </c>
    </row>
    <row r="6314" spans="1:40" x14ac:dyDescent="0.25">
      <c r="A6314" t="str">
        <f>"20190304154922066"</f>
        <v>20190304154922066</v>
      </c>
      <c r="B6314" t="str">
        <f>"1551685762063355"</f>
        <v>1551685762063355</v>
      </c>
      <c r="C6314" t="s">
        <v>40</v>
      </c>
      <c r="D6314">
        <v>4.196491</v>
      </c>
      <c r="E6314">
        <v>0.51478459999999904</v>
      </c>
      <c r="F6314" t="s">
        <v>94</v>
      </c>
      <c r="G6314">
        <v>-276.1943</v>
      </c>
      <c r="H6314">
        <v>1.947036</v>
      </c>
      <c r="I6314">
        <v>18.98798</v>
      </c>
      <c r="J6314">
        <v>-390.75490000000002</v>
      </c>
      <c r="K6314">
        <v>1.111399</v>
      </c>
      <c r="L6314">
        <v>17.921420000000001</v>
      </c>
      <c r="M6314">
        <v>0.99664410000000003</v>
      </c>
      <c r="N6314">
        <v>-1.184911E-2</v>
      </c>
      <c r="O6314">
        <v>-8.0996330000000005E-2</v>
      </c>
      <c r="P6314">
        <v>0.98536250000000003</v>
      </c>
      <c r="Q6314">
        <v>0.16246759999999999</v>
      </c>
      <c r="R6314">
        <v>5.1625089999999998E-2</v>
      </c>
      <c r="S6314">
        <v>3.0394899999999998</v>
      </c>
      <c r="T6314">
        <v>2.21405E-2</v>
      </c>
      <c r="U6314">
        <v>2.7954099999999999E-2</v>
      </c>
      <c r="V6314">
        <v>-0.1315036</v>
      </c>
      <c r="W6314">
        <v>0.17386869999999999</v>
      </c>
      <c r="X6314">
        <v>0.97594899999999996</v>
      </c>
      <c r="Y6314">
        <v>-9.0151640000000005E-2</v>
      </c>
      <c r="Z6314">
        <v>-1.3441639999999999E-3</v>
      </c>
      <c r="AA6314">
        <v>0.99592720000000001</v>
      </c>
      <c r="AB6314">
        <v>21</v>
      </c>
      <c r="AC6314">
        <v>114.56059999999999</v>
      </c>
      <c r="AD6314">
        <v>0.83563699999999996</v>
      </c>
      <c r="AE6314">
        <v>1.06655999999999</v>
      </c>
      <c r="AF6314">
        <v>-10.3421433711889</v>
      </c>
      <c r="AG6314">
        <v>0.83563699999999996</v>
      </c>
      <c r="AH6314">
        <v>114.091683422302</v>
      </c>
      <c r="AI6314">
        <v>89.582071877718505</v>
      </c>
      <c r="AJ6314">
        <v>95.179572071106904</v>
      </c>
      <c r="AK6314">
        <v>114.562517626145</v>
      </c>
      <c r="AL6314">
        <v>79.987169692055303</v>
      </c>
      <c r="AM6314">
        <v>97.674061005735894</v>
      </c>
      <c r="AN6314">
        <v>0.99999998612682395</v>
      </c>
    </row>
    <row r="6315" spans="1:40" x14ac:dyDescent="0.25">
      <c r="A6315" t="str">
        <f>"20190304154922089"</f>
        <v>20190304154922089</v>
      </c>
      <c r="B6315" t="str">
        <f>"1551685762083729"</f>
        <v>1551685762083729</v>
      </c>
      <c r="C6315" t="s">
        <v>40</v>
      </c>
      <c r="D6315">
        <v>4.2203839999999904</v>
      </c>
      <c r="E6315">
        <v>0.5148857</v>
      </c>
      <c r="F6315" t="s">
        <v>94</v>
      </c>
      <c r="G6315">
        <v>-276.19299999999998</v>
      </c>
      <c r="H6315">
        <v>1.918277</v>
      </c>
      <c r="I6315">
        <v>19.017589999999998</v>
      </c>
      <c r="J6315">
        <v>-390.53190000000001</v>
      </c>
      <c r="K6315">
        <v>1.111348</v>
      </c>
      <c r="L6315">
        <v>17.904540000000001</v>
      </c>
      <c r="M6315">
        <v>0.9967279</v>
      </c>
      <c r="N6315">
        <v>-1.1762440000000001E-2</v>
      </c>
      <c r="O6315">
        <v>-7.996955E-2</v>
      </c>
      <c r="P6315">
        <v>0.98523470000000002</v>
      </c>
      <c r="Q6315">
        <v>0.1630094</v>
      </c>
      <c r="R6315">
        <v>5.2350699999999903E-2</v>
      </c>
      <c r="S6315">
        <v>3.03952</v>
      </c>
      <c r="T6315">
        <v>2.1407840000000001E-2</v>
      </c>
      <c r="U6315">
        <v>2.9083250000000001E-2</v>
      </c>
      <c r="V6315">
        <v>-0.13119049999999999</v>
      </c>
      <c r="W6315">
        <v>0.1743401</v>
      </c>
      <c r="X6315">
        <v>0.97590699999999997</v>
      </c>
      <c r="Y6315">
        <v>-8.9496060000000002E-2</v>
      </c>
      <c r="Z6315">
        <v>-1.2928869999999999E-3</v>
      </c>
      <c r="AA6315">
        <v>0.99598629999999999</v>
      </c>
      <c r="AB6315">
        <v>21</v>
      </c>
      <c r="AC6315">
        <v>114.3389</v>
      </c>
      <c r="AD6315">
        <v>0.80692900000000001</v>
      </c>
      <c r="AE6315">
        <v>1.1130499999999901</v>
      </c>
      <c r="AF6315">
        <v>-10.2532371456613</v>
      </c>
      <c r="AG6315">
        <v>0.80692900000000001</v>
      </c>
      <c r="AH6315">
        <v>113.87796929169799</v>
      </c>
      <c r="AI6315">
        <v>89.595649683302</v>
      </c>
      <c r="AJ6315">
        <v>95.144870667613702</v>
      </c>
      <c r="AK6315">
        <v>114.34147058865901</v>
      </c>
      <c r="AL6315">
        <v>79.959741141350804</v>
      </c>
      <c r="AM6315">
        <v>97.656332204714204</v>
      </c>
      <c r="AN6315">
        <v>0.999999945203628</v>
      </c>
    </row>
    <row r="6316" spans="1:40" x14ac:dyDescent="0.25">
      <c r="A6316" t="str">
        <f>"20190304154922103"</f>
        <v>20190304154922103</v>
      </c>
      <c r="B6316" t="str">
        <f>"1551685762093489"</f>
        <v>1551685762093489</v>
      </c>
      <c r="C6316" t="s">
        <v>40</v>
      </c>
      <c r="D6316">
        <v>4.1909239999999999</v>
      </c>
      <c r="E6316">
        <v>0.51500919999999994</v>
      </c>
      <c r="F6316" t="s">
        <v>94</v>
      </c>
      <c r="G6316">
        <v>-276.20929999999998</v>
      </c>
      <c r="H6316">
        <v>1.9587019999999999</v>
      </c>
      <c r="I6316">
        <v>19.056930000000001</v>
      </c>
      <c r="J6316">
        <v>-390.40699999999998</v>
      </c>
      <c r="K6316">
        <v>1.1113219999999999</v>
      </c>
      <c r="L6316">
        <v>17.89517</v>
      </c>
      <c r="M6316">
        <v>0.99677119999999997</v>
      </c>
      <c r="N6316">
        <v>-1.1718839999999999E-2</v>
      </c>
      <c r="O6316">
        <v>-7.9436320000000005E-2</v>
      </c>
      <c r="P6316">
        <v>0.98514789999999997</v>
      </c>
      <c r="Q6316">
        <v>0.1633501</v>
      </c>
      <c r="R6316">
        <v>5.2921009999999997E-2</v>
      </c>
      <c r="S6316">
        <v>3.039612</v>
      </c>
      <c r="T6316">
        <v>2.2529480000000001E-2</v>
      </c>
      <c r="U6316">
        <v>3.0639650000000001E-2</v>
      </c>
      <c r="V6316">
        <v>-0.13121869999999999</v>
      </c>
      <c r="W6316">
        <v>0.1746453</v>
      </c>
      <c r="X6316">
        <v>0.97584870000000001</v>
      </c>
      <c r="Y6316">
        <v>-8.9472380000000004E-2</v>
      </c>
      <c r="Z6316">
        <v>-1.3271559999999999E-3</v>
      </c>
      <c r="AA6316">
        <v>0.9959884</v>
      </c>
      <c r="AB6316">
        <v>22</v>
      </c>
      <c r="AC6316">
        <v>114.1977</v>
      </c>
      <c r="AD6316">
        <v>0.84737999999999902</v>
      </c>
      <c r="AE6316">
        <v>1.1617599999999899</v>
      </c>
      <c r="AF6316">
        <v>-10.229591784105001</v>
      </c>
      <c r="AG6316">
        <v>0.84737999999999902</v>
      </c>
      <c r="AH6316">
        <v>113.73822504495899</v>
      </c>
      <c r="AI6316">
        <v>89.574855122106499</v>
      </c>
      <c r="AJ6316">
        <v>95.1393423336756</v>
      </c>
      <c r="AK6316">
        <v>114.200466011797</v>
      </c>
      <c r="AL6316">
        <v>79.941982640809201</v>
      </c>
      <c r="AM6316">
        <v>97.658410519090793</v>
      </c>
      <c r="AN6316">
        <v>1.0000000066667301</v>
      </c>
    </row>
    <row r="6317" spans="1:40" x14ac:dyDescent="0.25">
      <c r="A6317" t="str">
        <f>"20190304154922115"</f>
        <v>20190304154922115</v>
      </c>
      <c r="B6317" t="str">
        <f>"1551685762113986"</f>
        <v>1551685762113986</v>
      </c>
      <c r="C6317" t="s">
        <v>40</v>
      </c>
      <c r="D6317">
        <v>4.1943849999999996</v>
      </c>
      <c r="E6317">
        <v>0.51520840000000001</v>
      </c>
      <c r="F6317" t="s">
        <v>94</v>
      </c>
      <c r="G6317">
        <v>-276.63780000000003</v>
      </c>
      <c r="H6317">
        <v>1.998127</v>
      </c>
      <c r="I6317">
        <v>19.07396</v>
      </c>
      <c r="J6317">
        <v>-390.27980000000002</v>
      </c>
      <c r="K6317">
        <v>1.1112930000000001</v>
      </c>
      <c r="L6317">
        <v>17.885649999999998</v>
      </c>
      <c r="M6317">
        <v>0.99681330000000001</v>
      </c>
      <c r="N6317">
        <v>-1.1675899999999999E-2</v>
      </c>
      <c r="O6317">
        <v>-7.8911090000000003E-2</v>
      </c>
      <c r="P6317">
        <v>0.98513110000000004</v>
      </c>
      <c r="Q6317">
        <v>0.16328219999999999</v>
      </c>
      <c r="R6317">
        <v>5.3439420000000001E-2</v>
      </c>
      <c r="S6317">
        <v>3.039612</v>
      </c>
      <c r="T6317">
        <v>2.369332E-2</v>
      </c>
      <c r="U6317">
        <v>3.1494139999999997E-2</v>
      </c>
      <c r="V6317">
        <v>-0.13120899999999999</v>
      </c>
      <c r="W6317">
        <v>0.17454339999999999</v>
      </c>
      <c r="X6317">
        <v>0.97586819999999996</v>
      </c>
      <c r="Y6317">
        <v>-8.9227000000000001E-2</v>
      </c>
      <c r="Z6317">
        <v>-1.3634229999999999E-3</v>
      </c>
      <c r="AA6317">
        <v>0.99601039999999996</v>
      </c>
      <c r="AB6317">
        <v>22</v>
      </c>
      <c r="AC6317">
        <v>113.642</v>
      </c>
      <c r="AD6317">
        <v>0.88683399999999901</v>
      </c>
      <c r="AE6317">
        <v>1.18831</v>
      </c>
      <c r="AF6317">
        <v>-10.1522109768063</v>
      </c>
      <c r="AG6317">
        <v>0.88683399999999901</v>
      </c>
      <c r="AH6317">
        <v>113.186907597608</v>
      </c>
      <c r="AI6317">
        <v>89.552884232252495</v>
      </c>
      <c r="AJ6317">
        <v>95.125384743399906</v>
      </c>
      <c r="AK6317">
        <v>113.64475312908399</v>
      </c>
      <c r="AL6317">
        <v>79.9479118029695</v>
      </c>
      <c r="AM6317">
        <v>97.657699904340106</v>
      </c>
      <c r="AN6317">
        <v>0.99999997196789903</v>
      </c>
    </row>
    <row r="6318" spans="1:40" x14ac:dyDescent="0.25">
      <c r="A6318" t="str">
        <f>"20190304154922135"</f>
        <v>20190304154922135</v>
      </c>
      <c r="B6318" t="str">
        <f>"1551685762123745"</f>
        <v>1551685762123745</v>
      </c>
      <c r="C6318" t="s">
        <v>40</v>
      </c>
      <c r="D6318">
        <v>4.186833</v>
      </c>
      <c r="E6318">
        <v>0.51526459999999996</v>
      </c>
      <c r="F6318" t="s">
        <v>94</v>
      </c>
      <c r="G6318">
        <v>-276.63659999999999</v>
      </c>
      <c r="H6318">
        <v>1.9833879999999999</v>
      </c>
      <c r="I6318">
        <v>19.071079999999998</v>
      </c>
      <c r="J6318">
        <v>-390.09190000000001</v>
      </c>
      <c r="K6318">
        <v>1.111254</v>
      </c>
      <c r="L6318">
        <v>17.871639999999999</v>
      </c>
      <c r="M6318">
        <v>0.99687139999999996</v>
      </c>
      <c r="N6318">
        <v>-1.1614640000000001E-2</v>
      </c>
      <c r="O6318">
        <v>-7.8182269999999998E-2</v>
      </c>
      <c r="P6318">
        <v>0.98509690000000005</v>
      </c>
      <c r="Q6318">
        <v>0.16322429999999999</v>
      </c>
      <c r="R6318">
        <v>5.4239540000000003E-2</v>
      </c>
      <c r="S6318">
        <v>3.0397029999999998</v>
      </c>
      <c r="T6318">
        <v>2.3326639999999999E-2</v>
      </c>
      <c r="U6318">
        <v>3.1707760000000001E-2</v>
      </c>
      <c r="V6318">
        <v>-0.131274799999999</v>
      </c>
      <c r="W6318">
        <v>0.17443639999999999</v>
      </c>
      <c r="X6318">
        <v>0.97587849999999998</v>
      </c>
      <c r="Y6318">
        <v>-8.8568800000000003E-2</v>
      </c>
      <c r="Z6318">
        <v>-1.333629E-3</v>
      </c>
      <c r="AA6318">
        <v>0.99606919999999999</v>
      </c>
      <c r="AB6318">
        <v>22</v>
      </c>
      <c r="AC6318">
        <v>113.45529999999999</v>
      </c>
      <c r="AD6318">
        <v>0.87213399999999996</v>
      </c>
      <c r="AE6318">
        <v>1.1994399999999901</v>
      </c>
      <c r="AF6318">
        <v>-10.0659648306658</v>
      </c>
      <c r="AG6318">
        <v>0.87213399999999996</v>
      </c>
      <c r="AH6318">
        <v>113.007517474783</v>
      </c>
      <c r="AI6318">
        <v>89.559573037313001</v>
      </c>
      <c r="AJ6318">
        <v>95.090097037332498</v>
      </c>
      <c r="AK6318">
        <v>113.458288685752</v>
      </c>
      <c r="AL6318">
        <v>79.954138137824799</v>
      </c>
      <c r="AM6318">
        <v>97.661414657948995</v>
      </c>
      <c r="AN6318">
        <v>0.99999998876112395</v>
      </c>
    </row>
    <row r="6319" spans="1:40" x14ac:dyDescent="0.25">
      <c r="A6319" t="str">
        <f>"20190304154922149"</f>
        <v>20190304154922149</v>
      </c>
      <c r="B6319" t="str">
        <f>"1551685762143264"</f>
        <v>1551685762143264</v>
      </c>
      <c r="C6319" t="s">
        <v>40</v>
      </c>
      <c r="D6319">
        <v>4.4203159999999997</v>
      </c>
      <c r="E6319">
        <v>0.49396839999999997</v>
      </c>
      <c r="F6319" t="s">
        <v>94</v>
      </c>
      <c r="G6319">
        <v>-276.5804</v>
      </c>
      <c r="H6319">
        <v>1.9776849999999999</v>
      </c>
      <c r="I6319">
        <v>19.134350000000001</v>
      </c>
      <c r="J6319">
        <v>-389.95569999999998</v>
      </c>
      <c r="K6319">
        <v>1.1112249999999999</v>
      </c>
      <c r="L6319">
        <v>17.861539999999898</v>
      </c>
      <c r="M6319">
        <v>0.99691110000000005</v>
      </c>
      <c r="N6319">
        <v>-1.1571100000000001E-2</v>
      </c>
      <c r="O6319">
        <v>-7.7682879999999996E-2</v>
      </c>
      <c r="P6319">
        <v>0.98513379999999995</v>
      </c>
      <c r="Q6319">
        <v>0.16280449999999999</v>
      </c>
      <c r="R6319">
        <v>5.4831230000000002E-2</v>
      </c>
      <c r="S6319">
        <v>3.0396730000000001</v>
      </c>
      <c r="T6319">
        <v>2.3201940000000001E-2</v>
      </c>
      <c r="U6319">
        <v>3.381348E-2</v>
      </c>
      <c r="V6319">
        <v>-0.1313674</v>
      </c>
      <c r="W6319">
        <v>0.17398179999999999</v>
      </c>
      <c r="X6319">
        <v>0.97594720000000001</v>
      </c>
      <c r="Y6319">
        <v>-8.8760019999999995E-2</v>
      </c>
      <c r="Z6319">
        <v>-1.3171579999999999E-3</v>
      </c>
      <c r="AA6319">
        <v>0.9960521</v>
      </c>
      <c r="AB6319">
        <v>22</v>
      </c>
      <c r="AC6319">
        <v>113.375299999999</v>
      </c>
      <c r="AD6319">
        <v>0.86646000000000001</v>
      </c>
      <c r="AE6319">
        <v>1.27281</v>
      </c>
      <c r="AF6319">
        <v>-10.076283100085501</v>
      </c>
      <c r="AG6319">
        <v>0.86646000000000001</v>
      </c>
      <c r="AH6319">
        <v>112.927170512367</v>
      </c>
      <c r="AI6319">
        <v>89.562132973563493</v>
      </c>
      <c r="AJ6319">
        <v>95.098893427331902</v>
      </c>
      <c r="AK6319">
        <v>113.379134208962</v>
      </c>
      <c r="AL6319">
        <v>79.980589374579907</v>
      </c>
      <c r="AM6319">
        <v>97.666221421755097</v>
      </c>
      <c r="AN6319">
        <v>0.99999999885091995</v>
      </c>
    </row>
    <row r="6320" spans="1:40" x14ac:dyDescent="0.25">
      <c r="A6320" t="str">
        <f>"20190304154922160"</f>
        <v>20190304154922160</v>
      </c>
      <c r="B6320" t="str">
        <f>"1551685762154002"</f>
        <v>1551685762154002</v>
      </c>
      <c r="C6320" t="s">
        <v>40</v>
      </c>
      <c r="D6320">
        <v>4.2220199999999997</v>
      </c>
      <c r="E6320">
        <v>0.4831589</v>
      </c>
      <c r="F6320" t="s">
        <v>44</v>
      </c>
      <c r="G6320">
        <v>-320.09570000000002</v>
      </c>
      <c r="H6320" s="1">
        <v>-5.19536399999999E-6</v>
      </c>
      <c r="I6320">
        <v>22.552420000000001</v>
      </c>
      <c r="J6320">
        <v>-389.84289999999999</v>
      </c>
      <c r="K6320">
        <v>1.111202</v>
      </c>
      <c r="L6320">
        <v>17.85324</v>
      </c>
      <c r="M6320">
        <v>0.99694199999999999</v>
      </c>
      <c r="N6320">
        <v>-1.1537220000000001E-2</v>
      </c>
      <c r="O6320">
        <v>-7.7289659999999996E-2</v>
      </c>
      <c r="P6320">
        <v>0.98518269999999997</v>
      </c>
      <c r="Q6320">
        <v>0.16233539999999999</v>
      </c>
      <c r="R6320">
        <v>5.5341660000000001E-2</v>
      </c>
      <c r="S6320">
        <v>3.0419010000000002</v>
      </c>
      <c r="T6320">
        <v>-4.8386100000000001E-2</v>
      </c>
      <c r="U6320">
        <v>0.2042542</v>
      </c>
      <c r="V6320">
        <v>-0.1314871</v>
      </c>
      <c r="W6320">
        <v>0.17348549999999999</v>
      </c>
      <c r="X6320">
        <v>0.97601939999999998</v>
      </c>
      <c r="Y6320">
        <v>-0.1438847</v>
      </c>
      <c r="Z6320">
        <v>2.3110800000000001E-3</v>
      </c>
      <c r="AA6320">
        <v>0.98959180000000002</v>
      </c>
      <c r="AB6320">
        <v>22</v>
      </c>
      <c r="AC6320">
        <v>69.747199999999907</v>
      </c>
      <c r="AD6320">
        <v>-1.1112071953639999</v>
      </c>
      <c r="AE6320">
        <v>4.6991800000000001</v>
      </c>
      <c r="AF6320">
        <v>-10.0736717481358</v>
      </c>
      <c r="AG6320">
        <v>-1.1112071953639999</v>
      </c>
      <c r="AH6320">
        <v>69.157839113558694</v>
      </c>
      <c r="AI6320">
        <v>90.910920675750106</v>
      </c>
      <c r="AJ6320">
        <v>98.287534583932796</v>
      </c>
      <c r="AK6320">
        <v>69.896497442840996</v>
      </c>
      <c r="AL6320">
        <v>80.0094641176658</v>
      </c>
      <c r="AM6320">
        <v>97.672562733170594</v>
      </c>
      <c r="AN6320">
        <v>0.99999997267650897</v>
      </c>
    </row>
    <row r="6321" spans="1:40" x14ac:dyDescent="0.25">
      <c r="A6321" t="str">
        <f>"20190304154922179"</f>
        <v>20190304154922179</v>
      </c>
      <c r="B6321" t="str">
        <f>"1551685762173318"</f>
        <v>1551685762173318</v>
      </c>
      <c r="C6321" t="s">
        <v>40</v>
      </c>
      <c r="D6321">
        <v>4.2061029999999997</v>
      </c>
      <c r="E6321">
        <v>0.4749736</v>
      </c>
      <c r="F6321" t="s">
        <v>44</v>
      </c>
      <c r="G6321">
        <v>-333.63220000000001</v>
      </c>
      <c r="H6321" s="1">
        <v>-3.6816809999999999E-6</v>
      </c>
      <c r="I6321">
        <v>23.252929999999999</v>
      </c>
      <c r="J6321">
        <v>-389.67290000000003</v>
      </c>
      <c r="K6321">
        <v>1.1111679999999999</v>
      </c>
      <c r="L6321">
        <v>17.84076</v>
      </c>
      <c r="M6321">
        <v>0.9969865</v>
      </c>
      <c r="N6321">
        <v>-1.148941E-2</v>
      </c>
      <c r="O6321">
        <v>-7.6721849999999994E-2</v>
      </c>
      <c r="P6321">
        <v>0.98522690000000002</v>
      </c>
      <c r="Q6321">
        <v>0.161885</v>
      </c>
      <c r="R6321">
        <v>5.5869799999999997E-2</v>
      </c>
      <c r="S6321">
        <v>3.0386350000000002</v>
      </c>
      <c r="T6321">
        <v>-6.0069560000000001E-2</v>
      </c>
      <c r="U6321">
        <v>0.29190060000000001</v>
      </c>
      <c r="V6321">
        <v>-0.1314487</v>
      </c>
      <c r="W6321">
        <v>0.17299709999999999</v>
      </c>
      <c r="X6321">
        <v>0.97611130000000002</v>
      </c>
      <c r="Y6321">
        <v>-0.17166099999999901</v>
      </c>
      <c r="Z6321">
        <v>3.3153119999999999E-3</v>
      </c>
      <c r="AA6321">
        <v>0.98515050000000004</v>
      </c>
      <c r="AB6321">
        <v>22</v>
      </c>
      <c r="AC6321">
        <v>56.040700000000001</v>
      </c>
      <c r="AD6321">
        <v>-1.111171681681</v>
      </c>
      <c r="AE6321">
        <v>5.4121699999999997</v>
      </c>
      <c r="AF6321">
        <v>-9.6922697193516498</v>
      </c>
      <c r="AG6321">
        <v>-1.111171681681</v>
      </c>
      <c r="AH6321">
        <v>55.438647037312698</v>
      </c>
      <c r="AI6321">
        <v>91.131089674175399</v>
      </c>
      <c r="AJ6321">
        <v>99.916725245262697</v>
      </c>
      <c r="AK6321">
        <v>56.290482145266601</v>
      </c>
      <c r="AL6321">
        <v>80.037877409470795</v>
      </c>
      <c r="AM6321">
        <v>97.669635128258605</v>
      </c>
      <c r="AN6321">
        <v>1.00000001366389</v>
      </c>
    </row>
    <row r="6322" spans="1:40" x14ac:dyDescent="0.25">
      <c r="A6322" t="str">
        <f>"20190304154922192"</f>
        <v>20190304154922192</v>
      </c>
      <c r="B6322" t="str">
        <f>"1551685762184056"</f>
        <v>1551685762184056</v>
      </c>
      <c r="C6322" t="s">
        <v>40</v>
      </c>
      <c r="D6322">
        <v>4.1455679999999999</v>
      </c>
      <c r="E6322">
        <v>0.47280299999999997</v>
      </c>
      <c r="F6322" t="s">
        <v>44</v>
      </c>
      <c r="G6322">
        <v>-340.22519999999997</v>
      </c>
      <c r="H6322" s="1">
        <v>-4.9211689999999998E-6</v>
      </c>
      <c r="I6322">
        <v>23.68525</v>
      </c>
      <c r="J6322">
        <v>-389.54450000000003</v>
      </c>
      <c r="K6322">
        <v>1.111145</v>
      </c>
      <c r="L6322">
        <v>17.83136</v>
      </c>
      <c r="M6322">
        <v>0.99701819999999997</v>
      </c>
      <c r="N6322">
        <v>-1.145616E-2</v>
      </c>
      <c r="O6322">
        <v>-7.6313179999999994E-2</v>
      </c>
      <c r="P6322">
        <v>0.98522750000000003</v>
      </c>
      <c r="Q6322">
        <v>0.1618126</v>
      </c>
      <c r="R6322">
        <v>5.6069510000000003E-2</v>
      </c>
      <c r="S6322">
        <v>3.035828</v>
      </c>
      <c r="T6322">
        <v>-6.8220139999999999E-2</v>
      </c>
      <c r="U6322">
        <v>0.35882570000000003</v>
      </c>
      <c r="V6322">
        <v>-0.13123969999999999</v>
      </c>
      <c r="W6322">
        <v>0.17289889999999999</v>
      </c>
      <c r="X6322">
        <v>0.97615680000000005</v>
      </c>
      <c r="Y6322">
        <v>-0.1927508</v>
      </c>
      <c r="Z6322">
        <v>4.104651E-3</v>
      </c>
      <c r="AA6322">
        <v>0.98123910000000003</v>
      </c>
      <c r="AB6322">
        <v>22</v>
      </c>
      <c r="AC6322">
        <v>49.319299999999998</v>
      </c>
      <c r="AD6322">
        <v>-1.1111499211689999</v>
      </c>
      <c r="AE6322">
        <v>5.8538899999999998</v>
      </c>
      <c r="AF6322">
        <v>-9.5959732610445805</v>
      </c>
      <c r="AG6322">
        <v>-1.1111499211689999</v>
      </c>
      <c r="AH6322">
        <v>48.704324471578502</v>
      </c>
      <c r="AI6322">
        <v>91.282287279486297</v>
      </c>
      <c r="AJ6322">
        <v>101.145944340672</v>
      </c>
      <c r="AK6322">
        <v>49.6530822729747</v>
      </c>
      <c r="AL6322">
        <v>80.043589732774095</v>
      </c>
      <c r="AM6322">
        <v>97.657232723435001</v>
      </c>
      <c r="AN6322">
        <v>0.99999999333177003</v>
      </c>
    </row>
    <row r="6323" spans="1:40" x14ac:dyDescent="0.25">
      <c r="A6323" t="str">
        <f>"20190304154922205"</f>
        <v>20190304154922205</v>
      </c>
      <c r="B6323" t="str">
        <f>"1551685762193815"</f>
        <v>1551685762193815</v>
      </c>
      <c r="C6323" t="s">
        <v>40</v>
      </c>
      <c r="D6323">
        <v>4.131545</v>
      </c>
      <c r="E6323">
        <v>0.47127999999999998</v>
      </c>
      <c r="F6323" t="s">
        <v>44</v>
      </c>
      <c r="G6323">
        <v>-344.27749999999997</v>
      </c>
      <c r="H6323" s="1">
        <v>-3.4577279999999999E-6</v>
      </c>
      <c r="I6323">
        <v>23.451640000000001</v>
      </c>
      <c r="J6323">
        <v>-389.41919999999999</v>
      </c>
      <c r="K6323">
        <v>1.1111230000000001</v>
      </c>
      <c r="L6323">
        <v>17.822199999999999</v>
      </c>
      <c r="M6323">
        <v>0.99704660000000001</v>
      </c>
      <c r="N6323">
        <v>-1.142731E-2</v>
      </c>
      <c r="O6323">
        <v>-7.5943140000000006E-2</v>
      </c>
      <c r="P6323">
        <v>0.98521749999999997</v>
      </c>
      <c r="Q6323">
        <v>0.1618057</v>
      </c>
      <c r="R6323">
        <v>5.6262810000000003E-2</v>
      </c>
      <c r="S6323">
        <v>3.0357669999999999</v>
      </c>
      <c r="T6323">
        <v>-7.4517730000000004E-2</v>
      </c>
      <c r="U6323">
        <v>0.3769226</v>
      </c>
      <c r="V6323">
        <v>-0.13106019999999999</v>
      </c>
      <c r="W6323">
        <v>0.1728703</v>
      </c>
      <c r="X6323">
        <v>0.976186</v>
      </c>
      <c r="Y6323">
        <v>-0.19813500000000001</v>
      </c>
      <c r="Z6323">
        <v>4.5523079999999997E-3</v>
      </c>
      <c r="AA6323">
        <v>0.98016420000000004</v>
      </c>
      <c r="AB6323">
        <v>22</v>
      </c>
      <c r="AC6323">
        <v>45.1417</v>
      </c>
      <c r="AD6323">
        <v>-1.11112645772799</v>
      </c>
      <c r="AE6323">
        <v>5.6294399999999998</v>
      </c>
      <c r="AF6323">
        <v>-9.0362165876115803</v>
      </c>
      <c r="AG6323">
        <v>-1.11112645772799</v>
      </c>
      <c r="AH6323">
        <v>44.557193215439099</v>
      </c>
      <c r="AI6323">
        <v>91.400005647273005</v>
      </c>
      <c r="AJ6323">
        <v>101.464128941658</v>
      </c>
      <c r="AK6323">
        <v>45.477810847283102</v>
      </c>
      <c r="AL6323">
        <v>80.045253628019196</v>
      </c>
      <c r="AM6323">
        <v>97.6466577020432</v>
      </c>
      <c r="AN6323">
        <v>1.0000000116210599</v>
      </c>
    </row>
    <row r="6324" spans="1:40" x14ac:dyDescent="0.25">
      <c r="A6324" t="str">
        <f>"20190304154922225"</f>
        <v>20190304154922225</v>
      </c>
      <c r="B6324" t="str">
        <f>"1551685762213334"</f>
        <v>1551685762213334</v>
      </c>
      <c r="C6324" t="s">
        <v>40</v>
      </c>
      <c r="D6324">
        <v>4.1118709999999998</v>
      </c>
      <c r="E6324">
        <v>0.46948129999999999</v>
      </c>
      <c r="F6324" t="s">
        <v>44</v>
      </c>
      <c r="G6324">
        <v>-346.03640000000001</v>
      </c>
      <c r="H6324" s="1">
        <v>-2.6886380000000002E-6</v>
      </c>
      <c r="I6324">
        <v>23.39697</v>
      </c>
      <c r="J6324">
        <v>-389.23020000000002</v>
      </c>
      <c r="K6324">
        <v>1.111089</v>
      </c>
      <c r="L6324">
        <v>17.80847</v>
      </c>
      <c r="M6324">
        <v>0.99708750000000002</v>
      </c>
      <c r="N6324">
        <v>-1.1386800000000001E-2</v>
      </c>
      <c r="O6324">
        <v>-7.5413430000000004E-2</v>
      </c>
      <c r="P6324">
        <v>0.98524780000000001</v>
      </c>
      <c r="Q6324">
        <v>0.16147729999999999</v>
      </c>
      <c r="R6324">
        <v>5.6676940000000002E-2</v>
      </c>
      <c r="S6324">
        <v>3.0355219999999998</v>
      </c>
      <c r="T6324">
        <v>-7.774615E-2</v>
      </c>
      <c r="U6324">
        <v>0.39007570000000003</v>
      </c>
      <c r="V6324">
        <v>-0.1309438</v>
      </c>
      <c r="W6324">
        <v>0.1725119</v>
      </c>
      <c r="X6324">
        <v>0.97626500000000005</v>
      </c>
      <c r="Y6324">
        <v>-0.2017938</v>
      </c>
      <c r="Z6324">
        <v>4.7965940000000004E-3</v>
      </c>
      <c r="AA6324">
        <v>0.97941630000000002</v>
      </c>
      <c r="AB6324">
        <v>22</v>
      </c>
      <c r="AC6324">
        <v>43.193800000000003</v>
      </c>
      <c r="AD6324">
        <v>-1.111091688638</v>
      </c>
      <c r="AE6324">
        <v>5.5884999999999998</v>
      </c>
      <c r="AF6324">
        <v>-8.82444419387609</v>
      </c>
      <c r="AG6324">
        <v>-1.111091688638</v>
      </c>
      <c r="AH6324">
        <v>42.621570056397502</v>
      </c>
      <c r="AI6324">
        <v>91.462293216063998</v>
      </c>
      <c r="AJ6324">
        <v>101.69734636386799</v>
      </c>
      <c r="AK6324">
        <v>43.5396781584774</v>
      </c>
      <c r="AL6324">
        <v>80.066101461611893</v>
      </c>
      <c r="AM6324">
        <v>97.639335709529007</v>
      </c>
      <c r="AN6324">
        <v>0.99999999231252501</v>
      </c>
    </row>
    <row r="6325" spans="1:40" x14ac:dyDescent="0.25">
      <c r="A6325" t="str">
        <f>"20190304154922239"</f>
        <v>20190304154922239</v>
      </c>
      <c r="B6325" t="str">
        <f>"1551685762233830"</f>
        <v>1551685762233830</v>
      </c>
      <c r="C6325" t="s">
        <v>40</v>
      </c>
      <c r="D6325">
        <v>4.1315429999999997</v>
      </c>
      <c r="E6325">
        <v>0.46831919999999999</v>
      </c>
      <c r="F6325" t="s">
        <v>44</v>
      </c>
      <c r="G6325">
        <v>-348.87909999999999</v>
      </c>
      <c r="H6325" s="1">
        <v>-1.418044E-6</v>
      </c>
      <c r="I6325">
        <v>23.204979999999999</v>
      </c>
      <c r="J6325">
        <v>-389.09530000000001</v>
      </c>
      <c r="K6325">
        <v>1.1110679999999999</v>
      </c>
      <c r="L6325">
        <v>17.798679999999901</v>
      </c>
      <c r="M6325">
        <v>0.99711430000000001</v>
      </c>
      <c r="N6325">
        <v>-1.136038E-2</v>
      </c>
      <c r="O6325">
        <v>-7.5061779999999995E-2</v>
      </c>
      <c r="P6325">
        <v>0.98523090000000002</v>
      </c>
      <c r="Q6325">
        <v>0.16142339999999999</v>
      </c>
      <c r="R6325">
        <v>5.7118259999999997E-2</v>
      </c>
      <c r="S6325">
        <v>3.0353089999999998</v>
      </c>
      <c r="T6325">
        <v>-8.3578940000000004E-2</v>
      </c>
      <c r="U6325">
        <v>0.40594479999999999</v>
      </c>
      <c r="V6325">
        <v>-0.13102929999999999</v>
      </c>
      <c r="W6325">
        <v>0.1724387</v>
      </c>
      <c r="X6325">
        <v>0.97626639999999998</v>
      </c>
      <c r="Y6325">
        <v>-0.20647180000000001</v>
      </c>
      <c r="Z6325">
        <v>5.2179039999999998E-3</v>
      </c>
      <c r="AA6325">
        <v>0.97843860000000005</v>
      </c>
      <c r="AB6325">
        <v>22</v>
      </c>
      <c r="AC6325">
        <v>40.216200000000001</v>
      </c>
      <c r="AD6325">
        <v>-1.1110694180439999</v>
      </c>
      <c r="AE6325">
        <v>5.4062999999999999</v>
      </c>
      <c r="AF6325">
        <v>-8.4036398040292202</v>
      </c>
      <c r="AG6325">
        <v>-1.1110694180439999</v>
      </c>
      <c r="AH6325">
        <v>39.667158751900999</v>
      </c>
      <c r="AI6325">
        <v>91.569605228908998</v>
      </c>
      <c r="AJ6325">
        <v>101.961471835381</v>
      </c>
      <c r="AK6325">
        <v>40.562779991712802</v>
      </c>
      <c r="AL6325">
        <v>80.070358729178693</v>
      </c>
      <c r="AM6325">
        <v>97.644254031672801</v>
      </c>
      <c r="AN6325">
        <v>0.99999993324256697</v>
      </c>
    </row>
    <row r="6326" spans="1:40" x14ac:dyDescent="0.25">
      <c r="A6326" t="str">
        <f>"20190304154922258"</f>
        <v>20190304154922258</v>
      </c>
      <c r="B6326" t="str">
        <f>"1551685762253351"</f>
        <v>1551685762253351</v>
      </c>
      <c r="C6326" t="s">
        <v>40</v>
      </c>
      <c r="D6326">
        <v>4.1275969999999997</v>
      </c>
      <c r="E6326">
        <v>0.46757070000000001</v>
      </c>
      <c r="F6326" t="s">
        <v>44</v>
      </c>
      <c r="G6326">
        <v>-349.87970000000001</v>
      </c>
      <c r="H6326" s="1">
        <v>-9.8260740000000008E-7</v>
      </c>
      <c r="I6326">
        <v>23.181640000000002</v>
      </c>
      <c r="J6326">
        <v>-388.91390000000001</v>
      </c>
      <c r="K6326">
        <v>1.1110370000000001</v>
      </c>
      <c r="L6326">
        <v>17.785520000000002</v>
      </c>
      <c r="M6326">
        <v>0.99714740000000002</v>
      </c>
      <c r="N6326">
        <v>-1.132641E-2</v>
      </c>
      <c r="O6326">
        <v>-7.4623899999999896E-2</v>
      </c>
      <c r="P6326">
        <v>0.98518099999999997</v>
      </c>
      <c r="Q6326">
        <v>0.16161970000000001</v>
      </c>
      <c r="R6326">
        <v>5.742709E-2</v>
      </c>
      <c r="S6326">
        <v>3.0349119999999998</v>
      </c>
      <c r="T6326">
        <v>-8.5985899999999907E-2</v>
      </c>
      <c r="U6326">
        <v>0.41659550000000001</v>
      </c>
      <c r="V6326">
        <v>-0.1308927</v>
      </c>
      <c r="W6326">
        <v>0.1726106</v>
      </c>
      <c r="X6326">
        <v>0.97625439999999997</v>
      </c>
      <c r="Y6326">
        <v>-0.20942189999999999</v>
      </c>
      <c r="Z6326">
        <v>5.4086569999999999E-3</v>
      </c>
      <c r="AA6326">
        <v>0.97781039999999997</v>
      </c>
      <c r="AB6326">
        <v>22</v>
      </c>
      <c r="AC6326">
        <v>39.034199999999998</v>
      </c>
      <c r="AD6326">
        <v>-1.1110379826073999</v>
      </c>
      <c r="AE6326">
        <v>5.39611999999999</v>
      </c>
      <c r="AF6326">
        <v>-8.2875552168158695</v>
      </c>
      <c r="AG6326">
        <v>-1.1110379826073999</v>
      </c>
      <c r="AH6326">
        <v>38.4920438431257</v>
      </c>
      <c r="AI6326">
        <v>91.616313113651401</v>
      </c>
      <c r="AJ6326">
        <v>102.150618819079</v>
      </c>
      <c r="AK6326">
        <v>39.389788220954898</v>
      </c>
      <c r="AL6326">
        <v>80.060360177832095</v>
      </c>
      <c r="AM6326">
        <v>97.636471628749007</v>
      </c>
      <c r="AN6326">
        <v>0.99999998583250405</v>
      </c>
    </row>
    <row r="6327" spans="1:40" x14ac:dyDescent="0.25">
      <c r="A6327" t="str">
        <f>"20190304154922270"</f>
        <v>20190304154922270</v>
      </c>
      <c r="B6327" t="str">
        <f>"1551685762263110"</f>
        <v>1551685762263110</v>
      </c>
      <c r="C6327" t="s">
        <v>40</v>
      </c>
      <c r="D6327">
        <v>4.0958649999999999</v>
      </c>
      <c r="E6327">
        <v>0.46727760000000002</v>
      </c>
      <c r="F6327" t="s">
        <v>44</v>
      </c>
      <c r="G6327">
        <v>-350.0052</v>
      </c>
      <c r="H6327" s="1">
        <v>-4.9128650000000001E-6</v>
      </c>
      <c r="I6327">
        <v>23.216380000000001</v>
      </c>
      <c r="J6327">
        <v>-388.78590000000003</v>
      </c>
      <c r="K6327">
        <v>1.1110120000000001</v>
      </c>
      <c r="L6327">
        <v>17.77628</v>
      </c>
      <c r="M6327">
        <v>0.99716939999999998</v>
      </c>
      <c r="N6327">
        <v>-1.1302110000000001E-2</v>
      </c>
      <c r="O6327">
        <v>-7.433592E-2</v>
      </c>
      <c r="P6327">
        <v>0.9850949</v>
      </c>
      <c r="Q6327">
        <v>0.16206870000000001</v>
      </c>
      <c r="R6327">
        <v>5.763828E-2</v>
      </c>
      <c r="S6327">
        <v>3.0346679999999999</v>
      </c>
      <c r="T6327">
        <v>-8.6655259999999998E-2</v>
      </c>
      <c r="U6327">
        <v>0.42358400000000002</v>
      </c>
      <c r="V6327">
        <v>-0.1308058</v>
      </c>
      <c r="W6327">
        <v>0.17304129999999901</v>
      </c>
      <c r="X6327">
        <v>0.97618990000000005</v>
      </c>
      <c r="Y6327">
        <v>-0.2113563</v>
      </c>
      <c r="Z6327">
        <v>5.4807689999999999E-3</v>
      </c>
      <c r="AA6327">
        <v>0.97739370000000003</v>
      </c>
      <c r="AB6327">
        <v>22</v>
      </c>
      <c r="AC6327">
        <v>38.780700000000003</v>
      </c>
      <c r="AD6327">
        <v>-1.111016912865</v>
      </c>
      <c r="AE6327">
        <v>5.4400999999999904</v>
      </c>
      <c r="AF6327">
        <v>-8.3013475001982595</v>
      </c>
      <c r="AG6327">
        <v>-1.111016912865</v>
      </c>
      <c r="AH6327">
        <v>38.238191255134701</v>
      </c>
      <c r="AI6327">
        <v>91.626405659829899</v>
      </c>
      <c r="AJ6327">
        <v>102.248601016816</v>
      </c>
      <c r="AK6327">
        <v>39.144680345661001</v>
      </c>
      <c r="AL6327">
        <v>80.035306874085506</v>
      </c>
      <c r="AM6327">
        <v>97.631959816722798</v>
      </c>
      <c r="AN6327">
        <v>1.0000000848406601</v>
      </c>
    </row>
    <row r="6328" spans="1:40" x14ac:dyDescent="0.25">
      <c r="A6328" t="str">
        <f>"20190304154922283"</f>
        <v>20190304154922283</v>
      </c>
      <c r="B6328" t="str">
        <f>"1551685762273377"</f>
        <v>1551685762273377</v>
      </c>
      <c r="C6328" t="s">
        <v>40</v>
      </c>
      <c r="D6328">
        <v>4.1400969999999999</v>
      </c>
      <c r="E6328">
        <v>0.4669874</v>
      </c>
      <c r="F6328" t="s">
        <v>44</v>
      </c>
      <c r="G6328">
        <v>-349.17489999999998</v>
      </c>
      <c r="H6328" s="1">
        <v>-1.3296900000000001E-6</v>
      </c>
      <c r="I6328">
        <v>23.349830000000001</v>
      </c>
      <c r="J6328">
        <v>-388.66669999999999</v>
      </c>
      <c r="K6328">
        <v>1.110995</v>
      </c>
      <c r="L6328">
        <v>17.767700000000001</v>
      </c>
      <c r="M6328">
        <v>0.9971875</v>
      </c>
      <c r="N6328">
        <v>-1.1278989999999999E-2</v>
      </c>
      <c r="O6328">
        <v>-7.4094049999999995E-2</v>
      </c>
      <c r="P6328">
        <v>0.98513819999999996</v>
      </c>
      <c r="Q6328">
        <v>0.16175539999999999</v>
      </c>
      <c r="R6328">
        <v>5.777587E-2</v>
      </c>
      <c r="S6328">
        <v>3.034424</v>
      </c>
      <c r="T6328">
        <v>-8.5109829999999997E-2</v>
      </c>
      <c r="U6328">
        <v>0.4269714</v>
      </c>
      <c r="V6328">
        <v>-0.13070129999999999</v>
      </c>
      <c r="W6328">
        <v>0.17271249999999999</v>
      </c>
      <c r="X6328">
        <v>0.97626199999999996</v>
      </c>
      <c r="Y6328">
        <v>-0.2122038</v>
      </c>
      <c r="Z6328">
        <v>5.4015979999999996E-3</v>
      </c>
      <c r="AA6328">
        <v>0.97721049999999998</v>
      </c>
      <c r="AB6328">
        <v>22</v>
      </c>
      <c r="AC6328">
        <v>39.491799999999998</v>
      </c>
      <c r="AD6328">
        <v>-1.1109963296900001</v>
      </c>
      <c r="AE6328">
        <v>5.5821299999999896</v>
      </c>
      <c r="AF6328">
        <v>-8.4864927924311306</v>
      </c>
      <c r="AG6328">
        <v>-1.1109963296900001</v>
      </c>
      <c r="AH6328">
        <v>38.939390431872901</v>
      </c>
      <c r="AI6328">
        <v>91.596823731630707</v>
      </c>
      <c r="AJ6328">
        <v>102.29484862718201</v>
      </c>
      <c r="AK6328">
        <v>39.868922733959202</v>
      </c>
      <c r="AL6328">
        <v>80.054432505815001</v>
      </c>
      <c r="AM6328">
        <v>97.625377896525194</v>
      </c>
      <c r="AN6328">
        <v>0.999999965060969</v>
      </c>
    </row>
    <row r="6329" spans="1:40" x14ac:dyDescent="0.25">
      <c r="A6329" t="str">
        <f>"20190304154922302"</f>
        <v>20190304154922302</v>
      </c>
      <c r="B6329" t="str">
        <f>"1551685762293889"</f>
        <v>1551685762293889</v>
      </c>
      <c r="C6329" t="s">
        <v>40</v>
      </c>
      <c r="D6329">
        <v>4.111637</v>
      </c>
      <c r="E6329">
        <v>0.46651209999999999</v>
      </c>
      <c r="F6329" t="s">
        <v>44</v>
      </c>
      <c r="G6329">
        <v>-349.47660000000002</v>
      </c>
      <c r="H6329" s="1">
        <v>-1.1931529999999901E-6</v>
      </c>
      <c r="I6329">
        <v>23.323129999999999</v>
      </c>
      <c r="J6329">
        <v>-388.48200000000003</v>
      </c>
      <c r="K6329">
        <v>1.1109629999999999</v>
      </c>
      <c r="L6329">
        <v>17.754390000000001</v>
      </c>
      <c r="M6329">
        <v>0.99721369999999998</v>
      </c>
      <c r="N6329">
        <v>-1.1242159999999999E-2</v>
      </c>
      <c r="O6329">
        <v>-7.3747590000000002E-2</v>
      </c>
      <c r="P6329">
        <v>0.9851917</v>
      </c>
      <c r="Q6329">
        <v>0.161515299999999</v>
      </c>
      <c r="R6329">
        <v>5.753718E-2</v>
      </c>
      <c r="S6329">
        <v>3.0341490000000002</v>
      </c>
      <c r="T6329">
        <v>-8.6014750000000001E-2</v>
      </c>
      <c r="U6329">
        <v>0.43011470000000002</v>
      </c>
      <c r="V6329">
        <v>-0.1301148</v>
      </c>
      <c r="W6329">
        <v>0.17244709999999999</v>
      </c>
      <c r="X6329">
        <v>0.97638729999999996</v>
      </c>
      <c r="Y6329">
        <v>-0.21286630000000001</v>
      </c>
      <c r="Z6329">
        <v>5.4612929999999999E-3</v>
      </c>
      <c r="AA6329">
        <v>0.97706610000000005</v>
      </c>
      <c r="AB6329">
        <v>22</v>
      </c>
      <c r="AC6329">
        <v>39.005399999999902</v>
      </c>
      <c r="AD6329">
        <v>-1.1109641931530001</v>
      </c>
      <c r="AE6329">
        <v>5.5687399999999903</v>
      </c>
      <c r="AF6329">
        <v>-8.4236126525160504</v>
      </c>
      <c r="AG6329">
        <v>-1.1109641931530001</v>
      </c>
      <c r="AH6329">
        <v>38.457889984209103</v>
      </c>
      <c r="AI6329">
        <v>91.616390518081303</v>
      </c>
      <c r="AJ6329">
        <v>102.354653912283</v>
      </c>
      <c r="AK6329">
        <v>39.385286511534098</v>
      </c>
      <c r="AL6329">
        <v>80.069870910448302</v>
      </c>
      <c r="AM6329">
        <v>97.590597388501706</v>
      </c>
      <c r="AN6329">
        <v>1.0000000115393699</v>
      </c>
    </row>
    <row r="6330" spans="1:40" x14ac:dyDescent="0.25">
      <c r="A6330" t="str">
        <f>"20190304154922316"</f>
        <v>20190304154922316</v>
      </c>
      <c r="B6330" t="str">
        <f>"1551685762313394"</f>
        <v>1551685762313394</v>
      </c>
      <c r="C6330" t="s">
        <v>40</v>
      </c>
      <c r="D6330">
        <v>4.1132860000000004</v>
      </c>
      <c r="E6330">
        <v>0.46624870000000002</v>
      </c>
      <c r="F6330" t="s">
        <v>44</v>
      </c>
      <c r="G6330">
        <v>-349.63350000000003</v>
      </c>
      <c r="H6330" s="1">
        <v>-1.1218659999999999E-6</v>
      </c>
      <c r="I6330">
        <v>23.308160000000001</v>
      </c>
      <c r="J6330">
        <v>-388.35140000000001</v>
      </c>
      <c r="K6330">
        <v>1.1109389999999999</v>
      </c>
      <c r="L6330">
        <v>17.74503</v>
      </c>
      <c r="M6330">
        <v>0.99723010000000001</v>
      </c>
      <c r="N6330">
        <v>-1.1215640000000001E-2</v>
      </c>
      <c r="O6330">
        <v>-7.3527190000000006E-2</v>
      </c>
      <c r="P6330">
        <v>0.98513589999999995</v>
      </c>
      <c r="Q6330">
        <v>0.1618388</v>
      </c>
      <c r="R6330">
        <v>5.7580369999999999E-2</v>
      </c>
      <c r="S6330">
        <v>3.0339969999999998</v>
      </c>
      <c r="T6330">
        <v>-8.6764339999999995E-2</v>
      </c>
      <c r="U6330">
        <v>0.43374629999999997</v>
      </c>
      <c r="V6330">
        <v>-0.1299295</v>
      </c>
      <c r="W6330">
        <v>0.1727505</v>
      </c>
      <c r="X6330">
        <v>0.97635839999999996</v>
      </c>
      <c r="Y6330">
        <v>-0.21380080000000001</v>
      </c>
      <c r="Z6330">
        <v>5.5194579999999997E-3</v>
      </c>
      <c r="AA6330">
        <v>0.97686170000000005</v>
      </c>
      <c r="AB6330">
        <v>22</v>
      </c>
      <c r="AC6330">
        <v>38.717899999999901</v>
      </c>
      <c r="AD6330">
        <v>-1.110940121866</v>
      </c>
      <c r="AE6330">
        <v>5.5631300000000001</v>
      </c>
      <c r="AF6330">
        <v>-8.3883010881945008</v>
      </c>
      <c r="AG6330">
        <v>-1.110940121866</v>
      </c>
      <c r="AH6330">
        <v>38.1732263268566</v>
      </c>
      <c r="AI6330">
        <v>91.628161173209193</v>
      </c>
      <c r="AJ6330">
        <v>102.39337514317801</v>
      </c>
      <c r="AK6330">
        <v>39.099782496863</v>
      </c>
      <c r="AL6330">
        <v>80.052223072268205</v>
      </c>
      <c r="AM6330">
        <v>97.580134945477397</v>
      </c>
      <c r="AN6330">
        <v>1.0000000677355201</v>
      </c>
    </row>
    <row r="6331" spans="1:40" x14ac:dyDescent="0.25">
      <c r="A6331" t="str">
        <f>"20190304154922330"</f>
        <v>20190304154922330</v>
      </c>
      <c r="B6331" t="str">
        <f>"1551685762323153"</f>
        <v>1551685762323153</v>
      </c>
      <c r="C6331" t="s">
        <v>40</v>
      </c>
      <c r="D6331">
        <v>4.0696539999999999</v>
      </c>
      <c r="E6331">
        <v>0.46615859999999898</v>
      </c>
      <c r="F6331" t="s">
        <v>44</v>
      </c>
      <c r="G6331">
        <v>-349.416</v>
      </c>
      <c r="H6331" s="1">
        <v>-1.2238189999999999E-6</v>
      </c>
      <c r="I6331">
        <v>23.34055</v>
      </c>
      <c r="J6331">
        <v>-388.21179999999998</v>
      </c>
      <c r="K6331">
        <v>1.1109150000000001</v>
      </c>
      <c r="L6331">
        <v>17.734950000000001</v>
      </c>
      <c r="M6331">
        <v>0.99724619999999997</v>
      </c>
      <c r="N6331">
        <v>-1.118734E-2</v>
      </c>
      <c r="O6331">
        <v>-7.3313829999999997E-2</v>
      </c>
      <c r="P6331">
        <v>0.98513050000000002</v>
      </c>
      <c r="Q6331">
        <v>0.16192809999999999</v>
      </c>
      <c r="R6331">
        <v>5.7423389999999998E-2</v>
      </c>
      <c r="S6331">
        <v>3.034027</v>
      </c>
      <c r="T6331">
        <v>-8.6569430000000003E-2</v>
      </c>
      <c r="U6331">
        <v>0.43603520000000001</v>
      </c>
      <c r="V6331">
        <v>-0.12955449999999999</v>
      </c>
      <c r="W6331">
        <v>0.17281959999999999</v>
      </c>
      <c r="X6331">
        <v>0.97639600000000004</v>
      </c>
      <c r="Y6331">
        <v>-0.2143129</v>
      </c>
      <c r="Z6331">
        <v>5.5132180000000003E-3</v>
      </c>
      <c r="AA6331">
        <v>0.97674950000000005</v>
      </c>
      <c r="AB6331">
        <v>22</v>
      </c>
      <c r="AC6331">
        <v>38.7957999999999</v>
      </c>
      <c r="AD6331">
        <v>-1.11091622381899</v>
      </c>
      <c r="AE6331">
        <v>5.6055999999999901</v>
      </c>
      <c r="AF6331">
        <v>-8.4281901442677096</v>
      </c>
      <c r="AG6331">
        <v>-1.11091622381899</v>
      </c>
      <c r="AH6331">
        <v>38.249668766428002</v>
      </c>
      <c r="AI6331">
        <v>91.624668325160101</v>
      </c>
      <c r="AJ6331">
        <v>102.426367191994</v>
      </c>
      <c r="AK6331">
        <v>39.182976976050902</v>
      </c>
      <c r="AL6331">
        <v>80.048203457380794</v>
      </c>
      <c r="AM6331">
        <v>97.5582229053053</v>
      </c>
      <c r="AN6331">
        <v>1.0000000657151999</v>
      </c>
    </row>
    <row r="6332" spans="1:40" x14ac:dyDescent="0.25">
      <c r="A6332" t="str">
        <f>"20190304154922347"</f>
        <v>20190304154922347</v>
      </c>
      <c r="B6332" t="str">
        <f>"1551685762343650"</f>
        <v>1551685762343650</v>
      </c>
      <c r="C6332" t="s">
        <v>40</v>
      </c>
      <c r="D6332">
        <v>4.1311299999999997</v>
      </c>
      <c r="E6332">
        <v>0.4658583</v>
      </c>
      <c r="F6332" t="s">
        <v>44</v>
      </c>
      <c r="G6332">
        <v>-349.15179999999998</v>
      </c>
      <c r="H6332" s="1">
        <v>-1.3403849999999999E-6</v>
      </c>
      <c r="I6332">
        <v>23.35275</v>
      </c>
      <c r="J6332">
        <v>-388.05369999999999</v>
      </c>
      <c r="K6332">
        <v>1.110886</v>
      </c>
      <c r="L6332">
        <v>17.723600000000001</v>
      </c>
      <c r="M6332">
        <v>0.99726190000000003</v>
      </c>
      <c r="N6332">
        <v>-1.1153969999999999E-2</v>
      </c>
      <c r="O6332">
        <v>-7.3105589999999998E-2</v>
      </c>
      <c r="P6332">
        <v>0.98506749999999998</v>
      </c>
      <c r="Q6332">
        <v>0.162414</v>
      </c>
      <c r="R6332">
        <v>5.7131410000000001E-2</v>
      </c>
      <c r="S6332">
        <v>3.0339969999999998</v>
      </c>
      <c r="T6332">
        <v>-8.6290720000000001E-2</v>
      </c>
      <c r="U6332">
        <v>0.4363708</v>
      </c>
      <c r="V6332">
        <v>-0.12904479999999999</v>
      </c>
      <c r="W6332">
        <v>0.17327979999999901</v>
      </c>
      <c r="X6332">
        <v>0.97638190000000002</v>
      </c>
      <c r="Y6332">
        <v>-0.21421699999999999</v>
      </c>
      <c r="Z6332">
        <v>5.4901139999999999E-3</v>
      </c>
      <c r="AA6332">
        <v>0.97677060000000004</v>
      </c>
      <c r="AB6332">
        <v>22</v>
      </c>
      <c r="AC6332">
        <v>38.901899999999998</v>
      </c>
      <c r="AD6332">
        <v>-1.1108873403849999</v>
      </c>
      <c r="AE6332">
        <v>5.6291499999999903</v>
      </c>
      <c r="AF6332">
        <v>-8.4514583508309595</v>
      </c>
      <c r="AG6332">
        <v>-1.1108873403849999</v>
      </c>
      <c r="AH6332">
        <v>38.3556099889528</v>
      </c>
      <c r="AI6332">
        <v>91.620141827026401</v>
      </c>
      <c r="AJ6332">
        <v>102.426259493346</v>
      </c>
      <c r="AK6332">
        <v>39.291399015096303</v>
      </c>
      <c r="AL6332">
        <v>80.021431704193503</v>
      </c>
      <c r="AM6332">
        <v>97.528936207620802</v>
      </c>
      <c r="AN6332">
        <v>1.00000003207134</v>
      </c>
    </row>
    <row r="6333" spans="1:40" x14ac:dyDescent="0.25">
      <c r="A6333" t="str">
        <f>"20190304154922361"</f>
        <v>20190304154922361</v>
      </c>
      <c r="B6333" t="str">
        <f>"1551685762353410"</f>
        <v>1551685762353410</v>
      </c>
      <c r="C6333" t="s">
        <v>40</v>
      </c>
      <c r="D6333">
        <v>4.1430400000000001</v>
      </c>
      <c r="E6333">
        <v>0.46577540000000001</v>
      </c>
      <c r="F6333" t="s">
        <v>44</v>
      </c>
      <c r="G6333">
        <v>-348.589</v>
      </c>
      <c r="H6333" s="1">
        <v>-1.6011819999999999E-6</v>
      </c>
      <c r="I6333">
        <v>23.425509999999999</v>
      </c>
      <c r="J6333">
        <v>-387.9212</v>
      </c>
      <c r="K6333">
        <v>1.1108629999999999</v>
      </c>
      <c r="L6333">
        <v>17.714079999999999</v>
      </c>
      <c r="M6333">
        <v>0.99727350000000003</v>
      </c>
      <c r="N6333">
        <v>-1.112587E-2</v>
      </c>
      <c r="O6333">
        <v>-7.2952989999999995E-2</v>
      </c>
      <c r="P6333">
        <v>0.98506300000000002</v>
      </c>
      <c r="Q6333">
        <v>0.16241700000000001</v>
      </c>
      <c r="R6333">
        <v>5.7200389999999997E-2</v>
      </c>
      <c r="S6333">
        <v>3.0341490000000002</v>
      </c>
      <c r="T6333">
        <v>-8.540797E-2</v>
      </c>
      <c r="U6333">
        <v>0.43838500000000002</v>
      </c>
      <c r="V6333">
        <v>-0.12895580000000001</v>
      </c>
      <c r="W6333">
        <v>0.173261</v>
      </c>
      <c r="X6333">
        <v>0.97639699999999996</v>
      </c>
      <c r="Y6333">
        <v>-0.2146981</v>
      </c>
      <c r="Z6333">
        <v>5.4434330000000001E-3</v>
      </c>
      <c r="AA6333">
        <v>0.97666529999999996</v>
      </c>
      <c r="AB6333">
        <v>22</v>
      </c>
      <c r="AC6333">
        <v>39.3322</v>
      </c>
      <c r="AD6333">
        <v>-1.110864601182</v>
      </c>
      <c r="AE6333">
        <v>5.71143</v>
      </c>
      <c r="AF6333">
        <v>-8.5591016330637597</v>
      </c>
      <c r="AG6333">
        <v>-1.110864601182</v>
      </c>
      <c r="AH6333">
        <v>38.780394756164398</v>
      </c>
      <c r="AI6333">
        <v>91.602250002102494</v>
      </c>
      <c r="AJ6333">
        <v>102.446046665924</v>
      </c>
      <c r="AK6333">
        <v>39.7292242357086</v>
      </c>
      <c r="AL6333">
        <v>80.022525457956604</v>
      </c>
      <c r="AM6333">
        <v>97.523688113137098</v>
      </c>
      <c r="AN6333">
        <v>1.0000000370418101</v>
      </c>
    </row>
    <row r="6334" spans="1:40" x14ac:dyDescent="0.25">
      <c r="A6334" t="str">
        <f>"20190304154922374"</f>
        <v>20190304154922374</v>
      </c>
      <c r="B6334" t="str">
        <f>"1551685762363170"</f>
        <v>1551685762363170</v>
      </c>
      <c r="C6334" t="s">
        <v>40</v>
      </c>
      <c r="D6334">
        <v>4.1221509999999997</v>
      </c>
      <c r="E6334">
        <v>0.46572059999999998</v>
      </c>
      <c r="F6334" t="s">
        <v>44</v>
      </c>
      <c r="G6334">
        <v>-348.75110000000001</v>
      </c>
      <c r="H6334" s="1">
        <v>-1.5213499999999901E-6</v>
      </c>
      <c r="I6334">
        <v>23.386780000000002</v>
      </c>
      <c r="J6334">
        <v>-387.7921</v>
      </c>
      <c r="K6334">
        <v>1.1108370000000001</v>
      </c>
      <c r="L6334">
        <v>17.704799999999999</v>
      </c>
      <c r="M6334">
        <v>0.99728340000000004</v>
      </c>
      <c r="N6334">
        <v>-1.1098749999999999E-2</v>
      </c>
      <c r="O6334">
        <v>-7.281899E-2</v>
      </c>
      <c r="P6334">
        <v>0.9850352</v>
      </c>
      <c r="Q6334">
        <v>0.16252549999999999</v>
      </c>
      <c r="R6334">
        <v>5.7370259999999999E-2</v>
      </c>
      <c r="S6334">
        <v>3.0341800000000001</v>
      </c>
      <c r="T6334">
        <v>-8.6049319999999999E-2</v>
      </c>
      <c r="U6334">
        <v>0.4394226</v>
      </c>
      <c r="V6334">
        <v>-0.1289845</v>
      </c>
      <c r="W6334">
        <v>0.173348799999999</v>
      </c>
      <c r="X6334">
        <v>0.97637759999999996</v>
      </c>
      <c r="Y6334">
        <v>-0.21489079999999999</v>
      </c>
      <c r="Z6334">
        <v>5.4817529999999998E-3</v>
      </c>
      <c r="AA6334">
        <v>0.97662269999999896</v>
      </c>
      <c r="AB6334">
        <v>22</v>
      </c>
      <c r="AC6334">
        <v>39.040999999999997</v>
      </c>
      <c r="AD6334">
        <v>-1.1108385213500001</v>
      </c>
      <c r="AE6334">
        <v>5.6819799999999896</v>
      </c>
      <c r="AF6334">
        <v>-8.5032535394835502</v>
      </c>
      <c r="AG6334">
        <v>-1.1108385213500001</v>
      </c>
      <c r="AH6334">
        <v>38.493041763864298</v>
      </c>
      <c r="AI6334">
        <v>91.614099897214999</v>
      </c>
      <c r="AJ6334">
        <v>102.45679440710499</v>
      </c>
      <c r="AK6334">
        <v>39.436703046931399</v>
      </c>
      <c r="AL6334">
        <v>80.017417352627703</v>
      </c>
      <c r="AM6334">
        <v>97.525491183166693</v>
      </c>
      <c r="AN6334">
        <v>1.0000000127417199</v>
      </c>
    </row>
    <row r="6335" spans="1:40" x14ac:dyDescent="0.25">
      <c r="A6335" t="str">
        <f>"20190304154922391"</f>
        <v>20190304154922391</v>
      </c>
      <c r="B6335" t="str">
        <f>"1551685762383196"</f>
        <v>1551685762383196</v>
      </c>
      <c r="C6335" t="s">
        <v>40</v>
      </c>
      <c r="D6335">
        <v>4.1468730000000003</v>
      </c>
      <c r="E6335">
        <v>0.46565980000000001</v>
      </c>
      <c r="F6335" t="s">
        <v>44</v>
      </c>
      <c r="G6335">
        <v>-348.56450000000001</v>
      </c>
      <c r="H6335" s="1">
        <v>-1.6046489999999999E-6</v>
      </c>
      <c r="I6335">
        <v>23.399010000000001</v>
      </c>
      <c r="J6335">
        <v>-387.62220000000002</v>
      </c>
      <c r="K6335">
        <v>1.110811</v>
      </c>
      <c r="L6335">
        <v>17.69257</v>
      </c>
      <c r="M6335">
        <v>0.99729440000000003</v>
      </c>
      <c r="N6335">
        <v>-1.106481E-2</v>
      </c>
      <c r="O6335">
        <v>-7.2673080000000001E-2</v>
      </c>
      <c r="P6335">
        <v>0.98497520000000005</v>
      </c>
      <c r="Q6335">
        <v>0.16288469999999999</v>
      </c>
      <c r="R6335">
        <v>5.7380479999999998E-2</v>
      </c>
      <c r="S6335">
        <v>3.0340880000000001</v>
      </c>
      <c r="T6335">
        <v>-8.5918659999999994E-2</v>
      </c>
      <c r="U6335">
        <v>0.44042969999999998</v>
      </c>
      <c r="V6335">
        <v>-0.12883720000000001</v>
      </c>
      <c r="W6335">
        <v>0.17368129999999901</v>
      </c>
      <c r="X6335">
        <v>0.97633800000000004</v>
      </c>
      <c r="Y6335">
        <v>-0.21506990000000001</v>
      </c>
      <c r="Z6335">
        <v>5.4739219999999896E-3</v>
      </c>
      <c r="AA6335">
        <v>0.97658330000000004</v>
      </c>
      <c r="AB6335">
        <v>22</v>
      </c>
      <c r="AC6335">
        <v>39.057699999999997</v>
      </c>
      <c r="AD6335">
        <v>-1.1108126046489999</v>
      </c>
      <c r="AE6335">
        <v>5.7064399999999997</v>
      </c>
      <c r="AF6335">
        <v>-8.5232165785928604</v>
      </c>
      <c r="AG6335">
        <v>-1.1108126046489999</v>
      </c>
      <c r="AH6335">
        <v>38.509184425230103</v>
      </c>
      <c r="AI6335">
        <v>91.613241280462205</v>
      </c>
      <c r="AJ6335">
        <v>102.480053537077</v>
      </c>
      <c r="AK6335">
        <v>39.4567663472899</v>
      </c>
      <c r="AL6335">
        <v>79.998073495495603</v>
      </c>
      <c r="AM6335">
        <v>97.517296823478404</v>
      </c>
      <c r="AN6335">
        <v>1.0000000541587599</v>
      </c>
    </row>
    <row r="6336" spans="1:40" x14ac:dyDescent="0.25">
      <c r="A6336" t="str">
        <f>"20190304154922402"</f>
        <v>20190304154922402</v>
      </c>
      <c r="B6336" t="str">
        <f>"1551685762393932"</f>
        <v>1551685762393932</v>
      </c>
      <c r="C6336" t="s">
        <v>40</v>
      </c>
      <c r="D6336">
        <v>4.1397089999999999</v>
      </c>
      <c r="E6336">
        <v>0.4656284</v>
      </c>
      <c r="F6336" t="s">
        <v>44</v>
      </c>
      <c r="G6336">
        <v>-347.94819999999999</v>
      </c>
      <c r="H6336" s="1">
        <v>-1.8857570000000001E-6</v>
      </c>
      <c r="I6336">
        <v>23.461839999999999</v>
      </c>
      <c r="J6336">
        <v>-387.51609999999999</v>
      </c>
      <c r="K6336">
        <v>1.1107940000000001</v>
      </c>
      <c r="L6336">
        <v>17.684940000000001</v>
      </c>
      <c r="M6336">
        <v>0.99730010000000002</v>
      </c>
      <c r="N6336">
        <v>-1.1043239999999999E-2</v>
      </c>
      <c r="O6336">
        <v>-7.2601250000000006E-2</v>
      </c>
      <c r="P6336">
        <v>0.98496430000000001</v>
      </c>
      <c r="Q6336">
        <v>0.16298319999999999</v>
      </c>
      <c r="R6336">
        <v>5.7288239999999997E-2</v>
      </c>
      <c r="S6336">
        <v>3.0341490000000002</v>
      </c>
      <c r="T6336">
        <v>-8.4951639999999995E-2</v>
      </c>
      <c r="U6336">
        <v>0.44122309999999998</v>
      </c>
      <c r="V6336">
        <v>-0.12866910000000001</v>
      </c>
      <c r="W6336">
        <v>0.17376259999999999</v>
      </c>
      <c r="X6336">
        <v>0.97634569999999998</v>
      </c>
      <c r="Y6336">
        <v>-0.21524950000000001</v>
      </c>
      <c r="Z6336">
        <v>5.4181539999999997E-3</v>
      </c>
      <c r="AA6336">
        <v>0.97654410000000003</v>
      </c>
      <c r="AB6336">
        <v>22</v>
      </c>
      <c r="AC6336">
        <v>39.567900000000002</v>
      </c>
      <c r="AD6336">
        <v>-1.1107958857569999</v>
      </c>
      <c r="AE6336">
        <v>5.7768999999999897</v>
      </c>
      <c r="AF6336">
        <v>-8.6278490964038195</v>
      </c>
      <c r="AG6336">
        <v>-1.1107958857569999</v>
      </c>
      <c r="AH6336">
        <v>39.013928569284502</v>
      </c>
      <c r="AI6336">
        <v>91.59241771053</v>
      </c>
      <c r="AJ6336">
        <v>102.47013792924101</v>
      </c>
      <c r="AK6336">
        <v>39.971993569740299</v>
      </c>
      <c r="AL6336">
        <v>79.993343406973906</v>
      </c>
      <c r="AM6336">
        <v>97.5075420707511</v>
      </c>
      <c r="AN6336">
        <v>1.0000000521810199</v>
      </c>
    </row>
    <row r="6337" spans="1:40" x14ac:dyDescent="0.25">
      <c r="A6337" t="str">
        <f>"20190304154922414"</f>
        <v>20190304154922414</v>
      </c>
      <c r="B6337" t="str">
        <f>"1551685762403693"</f>
        <v>1551685762403693</v>
      </c>
      <c r="C6337" t="s">
        <v>40</v>
      </c>
      <c r="D6337">
        <v>4.161778</v>
      </c>
      <c r="E6337">
        <v>0.46557850000000001</v>
      </c>
      <c r="F6337" t="s">
        <v>44</v>
      </c>
      <c r="G6337">
        <v>-347.6574</v>
      </c>
      <c r="H6337" s="1">
        <v>-2.015815E-6</v>
      </c>
      <c r="I6337">
        <v>23.481870000000001</v>
      </c>
      <c r="J6337">
        <v>-387.4008</v>
      </c>
      <c r="K6337">
        <v>1.1107750000000001</v>
      </c>
      <c r="L6337">
        <v>17.676639999999999</v>
      </c>
      <c r="M6337">
        <v>0.99730560000000001</v>
      </c>
      <c r="N6337">
        <v>-1.1019620000000001E-2</v>
      </c>
      <c r="O6337">
        <v>-7.252728E-2</v>
      </c>
      <c r="P6337">
        <v>0.98491099999999998</v>
      </c>
      <c r="Q6337">
        <v>0.16335089999999999</v>
      </c>
      <c r="R6337">
        <v>5.7156190000000003E-2</v>
      </c>
      <c r="S6337">
        <v>3.0341490000000002</v>
      </c>
      <c r="T6337">
        <v>-8.4556699999999999E-2</v>
      </c>
      <c r="U6337">
        <v>0.44128420000000002</v>
      </c>
      <c r="V6337">
        <v>-0.12845529999999999</v>
      </c>
      <c r="W6337">
        <v>0.17411099999999999</v>
      </c>
      <c r="X6337">
        <v>0.9763117</v>
      </c>
      <c r="Y6337">
        <v>-0.21519740000000001</v>
      </c>
      <c r="Z6337">
        <v>5.391715E-3</v>
      </c>
      <c r="AA6337">
        <v>0.97655570000000003</v>
      </c>
      <c r="AB6337">
        <v>22</v>
      </c>
      <c r="AC6337">
        <v>39.743400000000001</v>
      </c>
      <c r="AD6337">
        <v>-1.1107770158149901</v>
      </c>
      <c r="AE6337">
        <v>5.8052299999999999</v>
      </c>
      <c r="AF6337">
        <v>-8.6659674006465401</v>
      </c>
      <c r="AG6337">
        <v>-1.1107770158149901</v>
      </c>
      <c r="AH6337">
        <v>39.187685882417398</v>
      </c>
      <c r="AI6337">
        <v>91.585336283412104</v>
      </c>
      <c r="AJ6337">
        <v>102.469708931849</v>
      </c>
      <c r="AK6337">
        <v>40.149813715470003</v>
      </c>
      <c r="AL6337">
        <v>79.973071733565405</v>
      </c>
      <c r="AM6337">
        <v>97.495467339861094</v>
      </c>
      <c r="AN6337">
        <v>0.99999996998798901</v>
      </c>
    </row>
    <row r="6338" spans="1:40" x14ac:dyDescent="0.25">
      <c r="A6338" t="str">
        <f>"20190304154922426"</f>
        <v>20190304154922426</v>
      </c>
      <c r="B6338" t="str">
        <f>"1551685762423213"</f>
        <v>1551685762423213</v>
      </c>
      <c r="C6338" t="s">
        <v>40</v>
      </c>
      <c r="D6338">
        <v>4.1237089999999998</v>
      </c>
      <c r="E6338">
        <v>0.4655185</v>
      </c>
      <c r="F6338" t="s">
        <v>44</v>
      </c>
      <c r="G6338">
        <v>-346.94420000000002</v>
      </c>
      <c r="H6338" s="1">
        <v>-2.3432860000000001E-6</v>
      </c>
      <c r="I6338">
        <v>23.562570000000001</v>
      </c>
      <c r="J6338">
        <v>-387.28269999999998</v>
      </c>
      <c r="K6338">
        <v>1.11076</v>
      </c>
      <c r="L6338">
        <v>17.668119999999998</v>
      </c>
      <c r="M6338">
        <v>0.99731029999999998</v>
      </c>
      <c r="N6338">
        <v>-1.0995E-2</v>
      </c>
      <c r="O6338">
        <v>-7.2467599999999993E-2</v>
      </c>
      <c r="P6338">
        <v>0.9849057</v>
      </c>
      <c r="Q6338">
        <v>0.1633821</v>
      </c>
      <c r="R6338">
        <v>5.716127E-2</v>
      </c>
      <c r="S6338">
        <v>3.0341490000000002</v>
      </c>
      <c r="T6338">
        <v>-8.3305599999999994E-2</v>
      </c>
      <c r="U6338">
        <v>0.44143680000000002</v>
      </c>
      <c r="V6338">
        <v>-0.12839589999999901</v>
      </c>
      <c r="W6338">
        <v>0.17412179999999999</v>
      </c>
      <c r="X6338">
        <v>0.97631760000000001</v>
      </c>
      <c r="Y6338">
        <v>-0.21519050000000001</v>
      </c>
      <c r="Z6338">
        <v>5.3158299999999997E-3</v>
      </c>
      <c r="AA6338">
        <v>0.97655760000000003</v>
      </c>
      <c r="AB6338">
        <v>22</v>
      </c>
      <c r="AC6338">
        <v>40.338499999999897</v>
      </c>
      <c r="AD6338">
        <v>-1.1107623432860001</v>
      </c>
      <c r="AE6338">
        <v>5.8944499999999902</v>
      </c>
      <c r="AF6338">
        <v>-8.7958309708105098</v>
      </c>
      <c r="AG6338">
        <v>-1.1107623432860001</v>
      </c>
      <c r="AH6338">
        <v>39.775716709281703</v>
      </c>
      <c r="AI6338">
        <v>91.561891716274204</v>
      </c>
      <c r="AJ6338">
        <v>102.469470517643</v>
      </c>
      <c r="AK6338">
        <v>40.751786159472303</v>
      </c>
      <c r="AL6338">
        <v>79.972443464406197</v>
      </c>
      <c r="AM6338">
        <v>97.491995925533899</v>
      </c>
      <c r="AN6338">
        <v>0.99999998222090403</v>
      </c>
    </row>
    <row r="6339" spans="1:40" x14ac:dyDescent="0.25">
      <c r="A6339" t="str">
        <f>"20190304154922446"</f>
        <v>20190304154922446</v>
      </c>
      <c r="B6339" t="str">
        <f>"1551685762443709"</f>
        <v>1551685762443709</v>
      </c>
      <c r="C6339" t="s">
        <v>40</v>
      </c>
      <c r="D6339">
        <v>4.1100890000000003</v>
      </c>
      <c r="E6339">
        <v>0.46539570000000002</v>
      </c>
      <c r="F6339" t="s">
        <v>44</v>
      </c>
      <c r="G6339">
        <v>-346.64830000000001</v>
      </c>
      <c r="H6339" s="1">
        <v>-2.4764530000000001E-6</v>
      </c>
      <c r="I6339">
        <v>23.58615</v>
      </c>
      <c r="J6339">
        <v>-387.09059999999999</v>
      </c>
      <c r="K6339">
        <v>1.110741</v>
      </c>
      <c r="L6339">
        <v>17.654299999999999</v>
      </c>
      <c r="M6339">
        <v>0.99731639999999999</v>
      </c>
      <c r="N6339">
        <v>-1.095644E-2</v>
      </c>
      <c r="O6339">
        <v>-7.2389780000000001E-2</v>
      </c>
      <c r="P6339">
        <v>0.9848247</v>
      </c>
      <c r="Q6339">
        <v>0.1638773</v>
      </c>
      <c r="R6339">
        <v>5.7139420000000003E-2</v>
      </c>
      <c r="S6339">
        <v>3.0340880000000001</v>
      </c>
      <c r="T6339">
        <v>-8.293855E-2</v>
      </c>
      <c r="U6339">
        <v>0.44189450000000002</v>
      </c>
      <c r="V6339">
        <v>-0.12828519999999999</v>
      </c>
      <c r="W6339">
        <v>0.17458379999999901</v>
      </c>
      <c r="X6339">
        <v>0.97624960000000005</v>
      </c>
      <c r="Y6339">
        <v>-0.21526229999999999</v>
      </c>
      <c r="Z6339">
        <v>5.2929450000000003E-3</v>
      </c>
      <c r="AA6339">
        <v>0.97654189999999996</v>
      </c>
      <c r="AB6339">
        <v>22</v>
      </c>
      <c r="AC6339">
        <v>40.442299999999904</v>
      </c>
      <c r="AD6339">
        <v>-1.110743476453</v>
      </c>
      <c r="AE6339">
        <v>5.9318499999999998</v>
      </c>
      <c r="AF6339">
        <v>-8.8375439557265594</v>
      </c>
      <c r="AG6339">
        <v>-1.110743476453</v>
      </c>
      <c r="AH6339">
        <v>39.877305812272603</v>
      </c>
      <c r="AI6339">
        <v>91.557729642451903</v>
      </c>
      <c r="AJ6339">
        <v>102.495834067079</v>
      </c>
      <c r="AK6339">
        <v>40.859949254562103</v>
      </c>
      <c r="AL6339">
        <v>79.9455606196383</v>
      </c>
      <c r="AM6339">
        <v>97.4861252745483</v>
      </c>
      <c r="AN6339">
        <v>0.99999993863081804</v>
      </c>
    </row>
    <row r="6340" spans="1:40" x14ac:dyDescent="0.25">
      <c r="A6340" t="str">
        <f>"20190304154922458"</f>
        <v>20190304154922458</v>
      </c>
      <c r="B6340" t="str">
        <f>"1551685762453469"</f>
        <v>1551685762453469</v>
      </c>
      <c r="C6340" t="s">
        <v>40</v>
      </c>
      <c r="D6340">
        <v>4.155138</v>
      </c>
      <c r="E6340">
        <v>0.465364</v>
      </c>
      <c r="F6340" t="s">
        <v>44</v>
      </c>
      <c r="G6340">
        <v>-345.78890000000001</v>
      </c>
      <c r="H6340" s="1">
        <v>-2.869961E-6</v>
      </c>
      <c r="I6340">
        <v>23.67942</v>
      </c>
      <c r="J6340">
        <v>-386.97840000000002</v>
      </c>
      <c r="K6340">
        <v>1.1107290000000001</v>
      </c>
      <c r="L6340">
        <v>17.64621</v>
      </c>
      <c r="M6340">
        <v>0.99731910000000001</v>
      </c>
      <c r="N6340">
        <v>-1.0934050000000001E-2</v>
      </c>
      <c r="O6340">
        <v>-7.2354959999999996E-2</v>
      </c>
      <c r="P6340">
        <v>0.98477300000000001</v>
      </c>
      <c r="Q6340">
        <v>0.1642226</v>
      </c>
      <c r="R6340">
        <v>5.7037060000000001E-2</v>
      </c>
      <c r="S6340">
        <v>3.034119</v>
      </c>
      <c r="T6340">
        <v>-8.1597920000000004E-2</v>
      </c>
      <c r="U6340">
        <v>0.44262699999999999</v>
      </c>
      <c r="V6340">
        <v>-0.1281417</v>
      </c>
      <c r="W6340">
        <v>0.1749096</v>
      </c>
      <c r="X6340">
        <v>0.97621020000000003</v>
      </c>
      <c r="Y6340">
        <v>-0.21546119999999999</v>
      </c>
      <c r="Z6340">
        <v>5.2161229999999996E-3</v>
      </c>
      <c r="AA6340">
        <v>0.97649850000000005</v>
      </c>
      <c r="AB6340">
        <v>22</v>
      </c>
      <c r="AC6340">
        <v>41.189500000000002</v>
      </c>
      <c r="AD6340">
        <v>-1.110731869961</v>
      </c>
      <c r="AE6340">
        <v>6.0332099999999897</v>
      </c>
      <c r="AF6340">
        <v>-8.9914361447173405</v>
      </c>
      <c r="AG6340">
        <v>-1.110731869961</v>
      </c>
      <c r="AH6340">
        <v>40.616053366226197</v>
      </c>
      <c r="AI6340">
        <v>91.529472490159407</v>
      </c>
      <c r="AJ6340">
        <v>102.482618598816</v>
      </c>
      <c r="AK6340">
        <v>41.614221610882197</v>
      </c>
      <c r="AL6340">
        <v>79.9266026606916</v>
      </c>
      <c r="AM6340">
        <v>97.478144497618899</v>
      </c>
      <c r="AN6340">
        <v>1.00000000901754</v>
      </c>
    </row>
    <row r="6341" spans="1:40" x14ac:dyDescent="0.25">
      <c r="A6341" t="str">
        <f>"20190304154922469"</f>
        <v>20190304154922469</v>
      </c>
      <c r="B6341" t="str">
        <f>"1551685762463228"</f>
        <v>1551685762463228</v>
      </c>
      <c r="C6341" t="s">
        <v>40</v>
      </c>
      <c r="D6341">
        <v>4.1535190000000002</v>
      </c>
      <c r="E6341">
        <v>0.46530569999999999</v>
      </c>
      <c r="F6341" t="s">
        <v>44</v>
      </c>
      <c r="G6341">
        <v>-345.10509999999999</v>
      </c>
      <c r="H6341" s="1">
        <v>-3.182721E-6</v>
      </c>
      <c r="I6341">
        <v>23.75243</v>
      </c>
      <c r="J6341">
        <v>-386.86099999999999</v>
      </c>
      <c r="K6341">
        <v>1.1107180000000001</v>
      </c>
      <c r="L6341">
        <v>17.637729999999902</v>
      </c>
      <c r="M6341">
        <v>0.99732160000000003</v>
      </c>
      <c r="N6341">
        <v>-1.091044E-2</v>
      </c>
      <c r="O6341">
        <v>-7.2324899999999998E-2</v>
      </c>
      <c r="P6341">
        <v>0.98480749999999995</v>
      </c>
      <c r="Q6341">
        <v>0.1641273</v>
      </c>
      <c r="R6341">
        <v>5.6716839999999998E-2</v>
      </c>
      <c r="S6341">
        <v>3.0342099999999999</v>
      </c>
      <c r="T6341">
        <v>-8.0485699999999993E-2</v>
      </c>
      <c r="U6341">
        <v>0.44247439999999999</v>
      </c>
      <c r="V6341">
        <v>-0.1277925</v>
      </c>
      <c r="W6341">
        <v>0.1747937</v>
      </c>
      <c r="X6341">
        <v>0.97627679999999994</v>
      </c>
      <c r="Y6341">
        <v>-0.2153824</v>
      </c>
      <c r="Z6341">
        <v>5.1475319999999998E-3</v>
      </c>
      <c r="AA6341">
        <v>0.97651619999999995</v>
      </c>
      <c r="AB6341">
        <v>22</v>
      </c>
      <c r="AC6341">
        <v>41.755899999999997</v>
      </c>
      <c r="AD6341">
        <v>-1.110721182721</v>
      </c>
      <c r="AE6341">
        <v>6.1147</v>
      </c>
      <c r="AF6341">
        <v>-9.1125425905198103</v>
      </c>
      <c r="AG6341">
        <v>-1.110721182721</v>
      </c>
      <c r="AH6341">
        <v>41.175738813275998</v>
      </c>
      <c r="AI6341">
        <v>91.508699740229801</v>
      </c>
      <c r="AJ6341">
        <v>102.47891140229299</v>
      </c>
      <c r="AK6341">
        <v>42.186651927225803</v>
      </c>
      <c r="AL6341">
        <v>79.933347817009704</v>
      </c>
      <c r="AM6341">
        <v>97.457492417632196</v>
      </c>
      <c r="AN6341">
        <v>1.0000000754170799</v>
      </c>
    </row>
    <row r="6342" spans="1:40" x14ac:dyDescent="0.25">
      <c r="A6342" t="str">
        <f>"20190304154922481"</f>
        <v>20190304154922481</v>
      </c>
      <c r="B6342" t="str">
        <f>"1551685762473965"</f>
        <v>1551685762473965</v>
      </c>
      <c r="C6342" t="s">
        <v>40</v>
      </c>
      <c r="D6342">
        <v>4.1407470000000002</v>
      </c>
      <c r="E6342">
        <v>0.46532849999999998</v>
      </c>
      <c r="F6342" t="s">
        <v>44</v>
      </c>
      <c r="G6342">
        <v>-345.17939999999999</v>
      </c>
      <c r="H6342" s="1">
        <v>-3.1390389999999999E-6</v>
      </c>
      <c r="I6342">
        <v>23.707909999999998</v>
      </c>
      <c r="J6342">
        <v>-386.74880000000002</v>
      </c>
      <c r="K6342">
        <v>1.110711</v>
      </c>
      <c r="L6342">
        <v>17.62961</v>
      </c>
      <c r="M6342">
        <v>0.99732330000000002</v>
      </c>
      <c r="N6342">
        <v>-1.0887610000000001E-2</v>
      </c>
      <c r="O6342">
        <v>-7.2303030000000004E-2</v>
      </c>
      <c r="P6342">
        <v>0.98483379999999998</v>
      </c>
      <c r="Q6342">
        <v>0.16405229999999901</v>
      </c>
      <c r="R6342">
        <v>5.6473059999999999E-2</v>
      </c>
      <c r="S6342">
        <v>3.0342709999999999</v>
      </c>
      <c r="T6342">
        <v>-8.0856440000000002E-2</v>
      </c>
      <c r="U6342">
        <v>0.44189450000000002</v>
      </c>
      <c r="V6342">
        <v>-0.1275279</v>
      </c>
      <c r="W6342">
        <v>0.17469879999999999</v>
      </c>
      <c r="X6342">
        <v>0.97632830000000004</v>
      </c>
      <c r="Y6342">
        <v>-0.21517459999999999</v>
      </c>
      <c r="Z6342">
        <v>5.1642820000000001E-3</v>
      </c>
      <c r="AA6342">
        <v>0.97656189999999998</v>
      </c>
      <c r="AB6342">
        <v>22</v>
      </c>
      <c r="AC6342">
        <v>41.569400000000002</v>
      </c>
      <c r="AD6342">
        <v>-1.1107141390390001</v>
      </c>
      <c r="AE6342">
        <v>6.0782999999999996</v>
      </c>
      <c r="AF6342">
        <v>-9.06182702060668</v>
      </c>
      <c r="AG6342">
        <v>-1.1107141390390001</v>
      </c>
      <c r="AH6342">
        <v>40.992429192306297</v>
      </c>
      <c r="AI6342">
        <v>91.515512657845704</v>
      </c>
      <c r="AJ6342">
        <v>102.465389486951</v>
      </c>
      <c r="AK6342">
        <v>41.996781375913898</v>
      </c>
      <c r="AL6342">
        <v>79.938869314529697</v>
      </c>
      <c r="AM6342">
        <v>97.441836453963305</v>
      </c>
      <c r="AN6342">
        <v>0.99999999269036999</v>
      </c>
    </row>
    <row r="6343" spans="1:40" x14ac:dyDescent="0.25">
      <c r="A6343" t="str">
        <f>"20190304154922493"</f>
        <v>20190304154922493</v>
      </c>
      <c r="B6343" t="str">
        <f>"1551685762483725"</f>
        <v>1551685762483725</v>
      </c>
      <c r="C6343" t="s">
        <v>40</v>
      </c>
      <c r="D6343">
        <v>4.2779819999999997</v>
      </c>
      <c r="E6343">
        <v>0.46532849999999998</v>
      </c>
      <c r="F6343" t="s">
        <v>44</v>
      </c>
      <c r="G6343">
        <v>-345.25029999999998</v>
      </c>
      <c r="H6343" s="1">
        <v>-3.0950060000000002E-6</v>
      </c>
      <c r="I6343">
        <v>23.656849999999999</v>
      </c>
      <c r="J6343">
        <v>-386.6327</v>
      </c>
      <c r="K6343">
        <v>1.110706</v>
      </c>
      <c r="L6343">
        <v>17.621220000000001</v>
      </c>
      <c r="M6343">
        <v>0.99732509999999996</v>
      </c>
      <c r="N6343">
        <v>-1.086376E-2</v>
      </c>
      <c r="O6343">
        <v>-7.2282700000000005E-2</v>
      </c>
      <c r="P6343">
        <v>0.98481629999999998</v>
      </c>
      <c r="Q6343">
        <v>0.1643066</v>
      </c>
      <c r="R6343">
        <v>5.6041180000000003E-2</v>
      </c>
      <c r="S6343">
        <v>3.0344850000000001</v>
      </c>
      <c r="T6343">
        <v>-8.1218479999999996E-2</v>
      </c>
      <c r="U6343">
        <v>0.44073489999999999</v>
      </c>
      <c r="V6343">
        <v>-0.1270742</v>
      </c>
      <c r="W6343">
        <v>0.17493120000000001</v>
      </c>
      <c r="X6343">
        <v>0.97634580000000004</v>
      </c>
      <c r="Y6343">
        <v>-0.21477869999999999</v>
      </c>
      <c r="Z6343">
        <v>5.1767439999999996E-3</v>
      </c>
      <c r="AA6343">
        <v>0.97664899999999999</v>
      </c>
      <c r="AB6343">
        <v>22</v>
      </c>
      <c r="AC6343">
        <v>41.382399999999997</v>
      </c>
      <c r="AD6343">
        <v>-1.1107090950059999</v>
      </c>
      <c r="AE6343">
        <v>6.0356299999999896</v>
      </c>
      <c r="AF6343">
        <v>-9.0048959879357504</v>
      </c>
      <c r="AG6343">
        <v>-1.1107090950059999</v>
      </c>
      <c r="AH6343">
        <v>40.809054954983601</v>
      </c>
      <c r="AI6343">
        <v>91.522441191226093</v>
      </c>
      <c r="AJ6343">
        <v>102.443442711502</v>
      </c>
      <c r="AK6343">
        <v>41.805511511834602</v>
      </c>
      <c r="AL6343">
        <v>79.925345082796895</v>
      </c>
      <c r="AM6343">
        <v>97.415524741492504</v>
      </c>
      <c r="AN6343">
        <v>0.99999994910835799</v>
      </c>
    </row>
    <row r="6344" spans="1:40" x14ac:dyDescent="0.25">
      <c r="A6344" t="str">
        <f>"20190304154922504"</f>
        <v>20190304154922504</v>
      </c>
      <c r="B6344" t="str">
        <f>"1551685762493485"</f>
        <v>1551685762493485</v>
      </c>
      <c r="C6344" t="s">
        <v>40</v>
      </c>
      <c r="D6344">
        <v>4.2881869999999997</v>
      </c>
      <c r="E6344">
        <v>0.49954969999999999</v>
      </c>
      <c r="F6344" t="s">
        <v>44</v>
      </c>
      <c r="G6344">
        <v>-344.68950000000001</v>
      </c>
      <c r="H6344" s="1">
        <v>-3.3463020000000001E-6</v>
      </c>
      <c r="I6344">
        <v>23.69707</v>
      </c>
      <c r="J6344">
        <v>-386.51960000000003</v>
      </c>
      <c r="K6344">
        <v>1.1107009999999999</v>
      </c>
      <c r="L6344">
        <v>17.613039999999899</v>
      </c>
      <c r="M6344">
        <v>0.99732659999999995</v>
      </c>
      <c r="N6344">
        <v>-1.0839329999999999E-2</v>
      </c>
      <c r="O6344">
        <v>-7.226747E-2</v>
      </c>
      <c r="P6344">
        <v>0.9847707</v>
      </c>
      <c r="Q6344">
        <v>0.1647035</v>
      </c>
      <c r="R6344">
        <v>5.5676099999999999E-2</v>
      </c>
      <c r="S6344">
        <v>3.0346679999999999</v>
      </c>
      <c r="T6344">
        <v>-8.0361840000000004E-2</v>
      </c>
      <c r="U6344">
        <v>0.43960569999999999</v>
      </c>
      <c r="V6344">
        <v>-0.1266909</v>
      </c>
      <c r="W6344">
        <v>0.1753045</v>
      </c>
      <c r="X6344">
        <v>0.97632870000000005</v>
      </c>
      <c r="Y6344">
        <v>-0.21440190000000001</v>
      </c>
      <c r="Z6344">
        <v>5.1179390000000002E-3</v>
      </c>
      <c r="AA6344">
        <v>0.97673209999999999</v>
      </c>
      <c r="AB6344">
        <v>22</v>
      </c>
      <c r="AC6344">
        <v>41.830100000000002</v>
      </c>
      <c r="AD6344">
        <v>-1.1107043463020001</v>
      </c>
      <c r="AE6344">
        <v>6.0840300000000003</v>
      </c>
      <c r="AF6344">
        <v>-9.0849799455855091</v>
      </c>
      <c r="AG6344">
        <v>-1.1107043463020001</v>
      </c>
      <c r="AH6344">
        <v>41.252527814937899</v>
      </c>
      <c r="AI6344">
        <v>91.506212138426704</v>
      </c>
      <c r="AJ6344">
        <v>102.419902462484</v>
      </c>
      <c r="AK6344">
        <v>42.255669156680099</v>
      </c>
      <c r="AL6344">
        <v>79.9036213021908</v>
      </c>
      <c r="AM6344">
        <v>97.393532840158798</v>
      </c>
      <c r="AN6344">
        <v>0.99999999115337501</v>
      </c>
    </row>
    <row r="6345" spans="1:40" x14ac:dyDescent="0.25">
      <c r="A6345" t="str">
        <f>"20190304154922517"</f>
        <v>20190304154922517</v>
      </c>
      <c r="B6345" t="str">
        <f>"1551685762513980"</f>
        <v>1551685762513980</v>
      </c>
      <c r="C6345" t="s">
        <v>40</v>
      </c>
      <c r="D6345">
        <v>4.1784049999999997</v>
      </c>
      <c r="E6345">
        <v>0.51614759999999904</v>
      </c>
      <c r="F6345" t="s">
        <v>95</v>
      </c>
      <c r="G6345">
        <v>-279.68</v>
      </c>
      <c r="H6345">
        <v>8.0885620000000005E-2</v>
      </c>
      <c r="I6345">
        <v>23.45139</v>
      </c>
      <c r="J6345">
        <v>-386.39429999999999</v>
      </c>
      <c r="K6345">
        <v>1.1106959999999999</v>
      </c>
      <c r="L6345">
        <v>17.60397</v>
      </c>
      <c r="M6345">
        <v>0.99732790000000004</v>
      </c>
      <c r="N6345">
        <v>-1.0810719999999999E-2</v>
      </c>
      <c r="O6345">
        <v>-7.2251480000000007E-2</v>
      </c>
      <c r="P6345">
        <v>0.98474220000000001</v>
      </c>
      <c r="Q6345">
        <v>0.16493179999999999</v>
      </c>
      <c r="R6345">
        <v>5.550012E-2</v>
      </c>
      <c r="S6345">
        <v>3.0419309999999999</v>
      </c>
      <c r="T6345">
        <v>-2.9320720000000002E-2</v>
      </c>
      <c r="U6345">
        <v>0.16622919999999999</v>
      </c>
      <c r="V6345">
        <v>-0.12649679999999999</v>
      </c>
      <c r="W6345">
        <v>0.17550489999999999</v>
      </c>
      <c r="X6345">
        <v>0.97631789999999996</v>
      </c>
      <c r="Y6345">
        <v>-0.12655749999999999</v>
      </c>
      <c r="Z6345">
        <v>1.2092330000000001E-3</v>
      </c>
      <c r="AA6345">
        <v>0.99195860000000002</v>
      </c>
      <c r="AB6345">
        <v>22</v>
      </c>
      <c r="AC6345">
        <v>106.714299999999</v>
      </c>
      <c r="AD6345">
        <v>-1.02981037999999</v>
      </c>
      <c r="AE6345">
        <v>5.8474199999999996</v>
      </c>
      <c r="AF6345">
        <v>-13.541594740529</v>
      </c>
      <c r="AG6345">
        <v>-1.02981037999999</v>
      </c>
      <c r="AH6345">
        <v>106.003012379604</v>
      </c>
      <c r="AI6345">
        <v>90.552119577943998</v>
      </c>
      <c r="AJ6345">
        <v>97.279948541145103</v>
      </c>
      <c r="AK6345">
        <v>106.869424678371</v>
      </c>
      <c r="AL6345">
        <v>79.891958768154495</v>
      </c>
      <c r="AM6345">
        <v>97.382411198717193</v>
      </c>
      <c r="AN6345">
        <v>1.0000000260973201</v>
      </c>
    </row>
    <row r="6346" spans="1:40" x14ac:dyDescent="0.25">
      <c r="A6346" t="str">
        <f>"20190304154922532"</f>
        <v>20190304154922532</v>
      </c>
      <c r="B6346" t="str">
        <f>"1551685762523741"</f>
        <v>1551685762523741</v>
      </c>
      <c r="C6346" t="s">
        <v>40</v>
      </c>
      <c r="D6346">
        <v>4.184806</v>
      </c>
      <c r="E6346">
        <v>0.52076670000000003</v>
      </c>
      <c r="F6346" t="s">
        <v>45</v>
      </c>
      <c r="G6346">
        <v>-307.90890000000002</v>
      </c>
      <c r="H6346">
        <v>-0.05</v>
      </c>
      <c r="I6346">
        <v>18.460920000000002</v>
      </c>
      <c r="J6346">
        <v>-386.25119999999998</v>
      </c>
      <c r="K6346">
        <v>1.110695</v>
      </c>
      <c r="L6346">
        <v>17.593629999999902</v>
      </c>
      <c r="M6346">
        <v>0.99732949999999998</v>
      </c>
      <c r="N6346">
        <v>-1.077587E-2</v>
      </c>
      <c r="O6346">
        <v>-7.2234480000000004E-2</v>
      </c>
      <c r="P6346">
        <v>0.9847378</v>
      </c>
      <c r="Q6346">
        <v>0.16503509999999999</v>
      </c>
      <c r="R6346">
        <v>5.5268409999999997E-2</v>
      </c>
      <c r="S6346">
        <v>3.0521240000000001</v>
      </c>
      <c r="T6346">
        <v>-4.5136929999999999E-2</v>
      </c>
      <c r="U6346">
        <v>3.3325199999999902E-2</v>
      </c>
      <c r="V6346">
        <v>-0.12624939999999901</v>
      </c>
      <c r="W6346">
        <v>0.1755739</v>
      </c>
      <c r="X6346">
        <v>0.97633749999999997</v>
      </c>
      <c r="Y6346">
        <v>-8.3107609999999998E-2</v>
      </c>
      <c r="Z6346">
        <v>1.351082E-3</v>
      </c>
      <c r="AA6346">
        <v>0.99653970000000003</v>
      </c>
      <c r="AB6346">
        <v>22</v>
      </c>
      <c r="AC6346">
        <v>78.342299999999895</v>
      </c>
      <c r="AD6346">
        <v>-1.160695</v>
      </c>
      <c r="AE6346">
        <v>0.867290000000004</v>
      </c>
      <c r="AF6346">
        <v>-6.52293614761009</v>
      </c>
      <c r="AG6346">
        <v>-1.160695</v>
      </c>
      <c r="AH6346">
        <v>78.057837058633794</v>
      </c>
      <c r="AI6346">
        <v>90.848948491975094</v>
      </c>
      <c r="AJ6346">
        <v>94.776847468558103</v>
      </c>
      <c r="AK6346">
        <v>78.338507996649</v>
      </c>
      <c r="AL6346">
        <v>79.887942836095704</v>
      </c>
      <c r="AM6346">
        <v>97.3679853413106</v>
      </c>
      <c r="AN6346">
        <v>1.0000000096339099</v>
      </c>
    </row>
    <row r="6347" spans="1:40" x14ac:dyDescent="0.25">
      <c r="A6347" t="str">
        <f>"20190304154922548"</f>
        <v>20190304154922548</v>
      </c>
      <c r="B6347" t="str">
        <f>"1551685762543260"</f>
        <v>1551685762543260</v>
      </c>
      <c r="C6347" t="s">
        <v>40</v>
      </c>
      <c r="D6347">
        <v>4.1781739999999896</v>
      </c>
      <c r="E6347">
        <v>0.52562430000000004</v>
      </c>
      <c r="F6347" t="s">
        <v>45</v>
      </c>
      <c r="G6347">
        <v>-309.07330000000002</v>
      </c>
      <c r="H6347">
        <v>-0.05</v>
      </c>
      <c r="I6347">
        <v>17.48875</v>
      </c>
      <c r="J6347">
        <v>-386.09179999999998</v>
      </c>
      <c r="K6347">
        <v>1.1106959999999999</v>
      </c>
      <c r="L6347">
        <v>17.582090000000001</v>
      </c>
      <c r="M6347">
        <v>0.99733139999999998</v>
      </c>
      <c r="N6347">
        <v>-1.073235E-2</v>
      </c>
      <c r="O6347">
        <v>-7.2215390000000004E-2</v>
      </c>
      <c r="P6347">
        <v>0.9846821</v>
      </c>
      <c r="Q6347">
        <v>0.16550770000000001</v>
      </c>
      <c r="R6347">
        <v>5.4850120000000002E-2</v>
      </c>
      <c r="S6347">
        <v>3.0544129999999998</v>
      </c>
      <c r="T6347">
        <v>-4.5935990000000003E-2</v>
      </c>
      <c r="U6347">
        <v>-4.1503909999999998E-3</v>
      </c>
      <c r="V6347">
        <v>-0.12581039999999999</v>
      </c>
      <c r="W6347">
        <v>0.17600289999999999</v>
      </c>
      <c r="X6347">
        <v>0.97631690000000004</v>
      </c>
      <c r="Y6347">
        <v>-7.0849830000000003E-2</v>
      </c>
      <c r="Z6347">
        <v>1.222685E-3</v>
      </c>
      <c r="AA6347">
        <v>0.99748619999999999</v>
      </c>
      <c r="AB6347">
        <v>22</v>
      </c>
      <c r="AC6347">
        <v>77.018499999999904</v>
      </c>
      <c r="AD6347">
        <v>-1.1606959999999999</v>
      </c>
      <c r="AE6347">
        <v>-9.3340000000001297E-2</v>
      </c>
      <c r="AF6347">
        <v>-5.4679027866055696</v>
      </c>
      <c r="AG6347">
        <v>-1.1606959999999999</v>
      </c>
      <c r="AH6347">
        <v>76.806683178967504</v>
      </c>
      <c r="AI6347">
        <v>90.863597703592106</v>
      </c>
      <c r="AJ6347">
        <v>94.072042785825104</v>
      </c>
      <c r="AK6347">
        <v>77.009815978500299</v>
      </c>
      <c r="AL6347">
        <v>79.862973864625005</v>
      </c>
      <c r="AM6347">
        <v>97.342798365565301</v>
      </c>
      <c r="AN6347">
        <v>0.99999998339108997</v>
      </c>
    </row>
    <row r="6348" spans="1:40" x14ac:dyDescent="0.25">
      <c r="A6348" t="str">
        <f>"20190304154922560"</f>
        <v>20190304154922560</v>
      </c>
      <c r="B6348" t="str">
        <f>"1551685762553997"</f>
        <v>1551685762553997</v>
      </c>
      <c r="C6348" t="s">
        <v>40</v>
      </c>
      <c r="D6348">
        <v>4.1615169999999999</v>
      </c>
      <c r="E6348">
        <v>0.52746190000000004</v>
      </c>
      <c r="F6348" t="s">
        <v>45</v>
      </c>
      <c r="G6348">
        <v>-305.98680000000002</v>
      </c>
      <c r="H6348">
        <v>-0.05</v>
      </c>
      <c r="I6348">
        <v>16.423999999999999</v>
      </c>
      <c r="J6348">
        <v>-385.97379999999998</v>
      </c>
      <c r="K6348">
        <v>1.1106879999999999</v>
      </c>
      <c r="L6348">
        <v>17.57358</v>
      </c>
      <c r="M6348">
        <v>0.99733280000000002</v>
      </c>
      <c r="N6348">
        <v>-1.0699719999999999E-2</v>
      </c>
      <c r="O6348">
        <v>-7.2200039999999993E-2</v>
      </c>
      <c r="P6348">
        <v>0.98464229999999997</v>
      </c>
      <c r="Q6348">
        <v>0.16581199999999999</v>
      </c>
      <c r="R6348">
        <v>5.4645949999999999E-2</v>
      </c>
      <c r="S6348">
        <v>3.056549</v>
      </c>
      <c r="T6348">
        <v>-4.4288399999999999E-2</v>
      </c>
      <c r="U6348">
        <v>-4.4189449999999998E-2</v>
      </c>
      <c r="V6348">
        <v>-0.12559010000000001</v>
      </c>
      <c r="W6348">
        <v>0.17627379999999901</v>
      </c>
      <c r="X6348">
        <v>0.97629639999999995</v>
      </c>
      <c r="Y6348">
        <v>-5.7767529999999997E-2</v>
      </c>
      <c r="Z6348">
        <v>9.9970250000000005E-4</v>
      </c>
      <c r="AA6348">
        <v>0.99832960000000004</v>
      </c>
      <c r="AB6348">
        <v>22</v>
      </c>
      <c r="AC6348">
        <v>79.986999999999895</v>
      </c>
      <c r="AD6348">
        <v>-1.1606879999999999</v>
      </c>
      <c r="AE6348">
        <v>-1.14958</v>
      </c>
      <c r="AF6348">
        <v>-4.6278413546785604</v>
      </c>
      <c r="AG6348">
        <v>-1.1606879999999999</v>
      </c>
      <c r="AH6348">
        <v>79.844418996697698</v>
      </c>
      <c r="AI6348">
        <v>90.831447445228704</v>
      </c>
      <c r="AJ6348">
        <v>93.317194272101403</v>
      </c>
      <c r="AK6348">
        <v>79.986844900631198</v>
      </c>
      <c r="AL6348">
        <v>79.847206013171601</v>
      </c>
      <c r="AM6348">
        <v>97.330232973504707</v>
      </c>
      <c r="AN6348">
        <v>0.99999999321870403</v>
      </c>
    </row>
    <row r="6349" spans="1:40" x14ac:dyDescent="0.25">
      <c r="A6349" t="str">
        <f>"20190304154922572"</f>
        <v>20190304154922572</v>
      </c>
      <c r="B6349" t="str">
        <f>"1551685762563757"</f>
        <v>1551685762563757</v>
      </c>
      <c r="C6349" t="s">
        <v>40</v>
      </c>
      <c r="D6349">
        <v>4.1791309999999999</v>
      </c>
      <c r="E6349">
        <v>0.52883590000000003</v>
      </c>
      <c r="F6349" t="s">
        <v>45</v>
      </c>
      <c r="G6349">
        <v>-304.39400000000001</v>
      </c>
      <c r="H6349">
        <v>-0.05</v>
      </c>
      <c r="I6349">
        <v>15.988950000000001</v>
      </c>
      <c r="J6349">
        <v>-385.8519</v>
      </c>
      <c r="K6349">
        <v>1.1106860000000001</v>
      </c>
      <c r="L6349">
        <v>17.564789999999999</v>
      </c>
      <c r="M6349">
        <v>0.99733439999999995</v>
      </c>
      <c r="N6349">
        <v>-1.0665529999999999E-2</v>
      </c>
      <c r="O6349">
        <v>-7.2183140000000007E-2</v>
      </c>
      <c r="P6349">
        <v>0.98461220000000005</v>
      </c>
      <c r="Q6349">
        <v>0.16602749999999999</v>
      </c>
      <c r="R6349">
        <v>5.4534729999999997E-2</v>
      </c>
      <c r="S6349">
        <v>3.057404</v>
      </c>
      <c r="T6349">
        <v>-4.3499589999999998E-2</v>
      </c>
      <c r="U6349">
        <v>-5.9387210000000003E-2</v>
      </c>
      <c r="V6349">
        <v>-0.12546209999999999</v>
      </c>
      <c r="W6349">
        <v>0.176455</v>
      </c>
      <c r="X6349">
        <v>0.97628020000000004</v>
      </c>
      <c r="Y6349">
        <v>-5.2794109999999998E-2</v>
      </c>
      <c r="Z6349">
        <v>9.1265759999999997E-4</v>
      </c>
      <c r="AA6349">
        <v>0.99860499999999996</v>
      </c>
      <c r="AB6349">
        <v>22</v>
      </c>
      <c r="AC6349">
        <v>81.457899999999995</v>
      </c>
      <c r="AD6349">
        <v>-1.1606860000000001</v>
      </c>
      <c r="AE6349">
        <v>-1.5758399999999899</v>
      </c>
      <c r="AF6349">
        <v>-4.3076182254084898</v>
      </c>
      <c r="AG6349">
        <v>-1.1606860000000001</v>
      </c>
      <c r="AH6349">
        <v>81.342630922513294</v>
      </c>
      <c r="AI6349">
        <v>90.816359894163995</v>
      </c>
      <c r="AJ6349">
        <v>93.031350391749896</v>
      </c>
      <c r="AK6349">
        <v>81.464878151033105</v>
      </c>
      <c r="AL6349">
        <v>79.836659448198603</v>
      </c>
      <c r="AM6349">
        <v>97.3229634091945</v>
      </c>
      <c r="AN6349">
        <v>1.00000006723672</v>
      </c>
    </row>
    <row r="6350" spans="1:40" x14ac:dyDescent="0.25">
      <c r="A6350" t="str">
        <f>"20190304154922586"</f>
        <v>20190304154922586</v>
      </c>
      <c r="B6350" t="str">
        <f>"1551685762583276"</f>
        <v>1551685762583276</v>
      </c>
      <c r="C6350" t="s">
        <v>40</v>
      </c>
      <c r="D6350">
        <v>4.2764579999999999</v>
      </c>
      <c r="E6350">
        <v>0.53127029999999997</v>
      </c>
      <c r="F6350" t="s">
        <v>45</v>
      </c>
      <c r="G6350">
        <v>-301.14339999999999</v>
      </c>
      <c r="H6350">
        <v>-0.05</v>
      </c>
      <c r="I6350">
        <v>15.60263</v>
      </c>
      <c r="J6350">
        <v>-385.72480000000002</v>
      </c>
      <c r="K6350">
        <v>1.110681</v>
      </c>
      <c r="L6350">
        <v>17.555629999999901</v>
      </c>
      <c r="M6350">
        <v>0.99733629999999995</v>
      </c>
      <c r="N6350">
        <v>-1.062709E-2</v>
      </c>
      <c r="O6350">
        <v>-7.2163229999999995E-2</v>
      </c>
      <c r="P6350">
        <v>0.98460579999999998</v>
      </c>
      <c r="Q6350">
        <v>0.16613049999999999</v>
      </c>
      <c r="R6350">
        <v>5.4334939999999998E-2</v>
      </c>
      <c r="S6350">
        <v>3.0578609999999999</v>
      </c>
      <c r="T6350">
        <v>-4.1899199999999998E-2</v>
      </c>
      <c r="U6350">
        <v>-7.08313E-2</v>
      </c>
      <c r="V6350">
        <v>-0.12524460000000001</v>
      </c>
      <c r="W6350">
        <v>0.17651929999999999</v>
      </c>
      <c r="X6350">
        <v>0.97629639999999995</v>
      </c>
      <c r="Y6350">
        <v>-4.9042370000000002E-2</v>
      </c>
      <c r="Z6350">
        <v>8.1688690000000005E-4</v>
      </c>
      <c r="AA6350">
        <v>0.99879629999999997</v>
      </c>
      <c r="AB6350">
        <v>22</v>
      </c>
      <c r="AC6350">
        <v>84.581400000000002</v>
      </c>
      <c r="AD6350">
        <v>-1.1606809999999901</v>
      </c>
      <c r="AE6350">
        <v>-1.9529999999999901</v>
      </c>
      <c r="AF6350">
        <v>-4.1553215062764099</v>
      </c>
      <c r="AG6350">
        <v>-1.1606809999999901</v>
      </c>
      <c r="AH6350">
        <v>84.4858990473723</v>
      </c>
      <c r="AI6350">
        <v>90.786139055350006</v>
      </c>
      <c r="AJ6350">
        <v>92.8157442806896</v>
      </c>
      <c r="AK6350">
        <v>84.595986991387903</v>
      </c>
      <c r="AL6350">
        <v>79.832915546576004</v>
      </c>
      <c r="AM6350">
        <v>97.310285839443196</v>
      </c>
      <c r="AN6350">
        <v>0.99999996687730397</v>
      </c>
    </row>
    <row r="6351" spans="1:40" x14ac:dyDescent="0.25">
      <c r="A6351" t="str">
        <f>"20190304154922603"</f>
        <v>20190304154922603</v>
      </c>
      <c r="B6351" t="str">
        <f>"1551685762594012"</f>
        <v>1551685762594012</v>
      </c>
      <c r="C6351" t="s">
        <v>40</v>
      </c>
      <c r="D6351">
        <v>4.1523019999999997</v>
      </c>
      <c r="E6351">
        <v>0.53193550000000001</v>
      </c>
      <c r="F6351" t="s">
        <v>45</v>
      </c>
      <c r="G6351">
        <v>-307.11689999999999</v>
      </c>
      <c r="H6351">
        <v>-0.05</v>
      </c>
      <c r="I6351">
        <v>15.21439</v>
      </c>
      <c r="J6351">
        <v>-385.55270000000002</v>
      </c>
      <c r="K6351">
        <v>1.110676</v>
      </c>
      <c r="L6351">
        <v>17.54318</v>
      </c>
      <c r="M6351">
        <v>0.99733890000000003</v>
      </c>
      <c r="N6351">
        <v>-1.0573020000000001E-2</v>
      </c>
      <c r="O6351">
        <v>-7.2133219999999998E-2</v>
      </c>
      <c r="P6351">
        <v>0.98468180000000005</v>
      </c>
      <c r="Q6351">
        <v>0.1658318</v>
      </c>
      <c r="R6351">
        <v>5.3866160000000003E-2</v>
      </c>
      <c r="S6351">
        <v>3.0595699999999999</v>
      </c>
      <c r="T6351">
        <v>-4.517591E-2</v>
      </c>
      <c r="U6351">
        <v>-9.1125490000000003E-2</v>
      </c>
      <c r="V6351">
        <v>-0.1247554</v>
      </c>
      <c r="W6351">
        <v>0.17616770000000001</v>
      </c>
      <c r="X6351">
        <v>0.97642249999999997</v>
      </c>
      <c r="Y6351">
        <v>-4.2403749999999997E-2</v>
      </c>
      <c r="Z6351">
        <v>8.3780929999999903E-4</v>
      </c>
      <c r="AA6351">
        <v>0.99910019999999999</v>
      </c>
      <c r="AB6351">
        <v>22</v>
      </c>
      <c r="AC6351">
        <v>78.4358</v>
      </c>
      <c r="AD6351">
        <v>-1.160676</v>
      </c>
      <c r="AE6351">
        <v>-2.3287900000000001</v>
      </c>
      <c r="AF6351">
        <v>-3.3346910420550602</v>
      </c>
      <c r="AG6351">
        <v>-1.160676</v>
      </c>
      <c r="AH6351">
        <v>78.382296257211706</v>
      </c>
      <c r="AI6351">
        <v>90.847600674364301</v>
      </c>
      <c r="AJ6351">
        <v>92.436118646749193</v>
      </c>
      <c r="AK6351">
        <v>78.461784963612999</v>
      </c>
      <c r="AL6351">
        <v>79.8533811283327</v>
      </c>
      <c r="AM6351">
        <v>97.281108922045107</v>
      </c>
      <c r="AN6351">
        <v>0.99999993342934701</v>
      </c>
    </row>
    <row r="6352" spans="1:40" x14ac:dyDescent="0.25">
      <c r="A6352" t="str">
        <f>"20190304154922616"</f>
        <v>20190304154922616</v>
      </c>
      <c r="B6352" t="str">
        <f>"1551685762613533"</f>
        <v>1551685762613533</v>
      </c>
      <c r="C6352" t="s">
        <v>40</v>
      </c>
      <c r="D6352">
        <v>4.1557740000000001</v>
      </c>
      <c r="E6352">
        <v>0.53295150000000002</v>
      </c>
      <c r="F6352" t="s">
        <v>45</v>
      </c>
      <c r="G6352">
        <v>-307.52010000000001</v>
      </c>
      <c r="H6352">
        <v>-0.05</v>
      </c>
      <c r="I6352">
        <v>15.0379</v>
      </c>
      <c r="J6352">
        <v>-385.4316</v>
      </c>
      <c r="K6352">
        <v>1.11067</v>
      </c>
      <c r="L6352">
        <v>17.53445</v>
      </c>
      <c r="M6352">
        <v>0.99734109999999998</v>
      </c>
      <c r="N6352">
        <v>-1.053378E-2</v>
      </c>
      <c r="O6352">
        <v>-7.211033E-2</v>
      </c>
      <c r="P6352">
        <v>0.98471739999999996</v>
      </c>
      <c r="Q6352">
        <v>0.1657554</v>
      </c>
      <c r="R6352">
        <v>5.3448379999999997E-2</v>
      </c>
      <c r="S6352">
        <v>3.0597840000000001</v>
      </c>
      <c r="T6352">
        <v>-4.5511959999999997E-2</v>
      </c>
      <c r="U6352">
        <v>-9.8236080000000003E-2</v>
      </c>
      <c r="V6352">
        <v>-0.124319899999999</v>
      </c>
      <c r="W6352">
        <v>0.17605270000000001</v>
      </c>
      <c r="X6352">
        <v>0.9764988</v>
      </c>
      <c r="Y6352">
        <v>-4.0063479999999999E-2</v>
      </c>
      <c r="Z6352">
        <v>8.2007339999999997E-4</v>
      </c>
      <c r="AA6352">
        <v>0.9991968</v>
      </c>
      <c r="AB6352">
        <v>22</v>
      </c>
      <c r="AC6352">
        <v>77.911499999999904</v>
      </c>
      <c r="AD6352">
        <v>-1.1606700000000001</v>
      </c>
      <c r="AE6352">
        <v>-2.4965499999999898</v>
      </c>
      <c r="AF6352">
        <v>-3.1277919870162298</v>
      </c>
      <c r="AG6352">
        <v>-1.1606700000000001</v>
      </c>
      <c r="AH6352">
        <v>77.871420286743998</v>
      </c>
      <c r="AI6352">
        <v>90.8532398786774</v>
      </c>
      <c r="AJ6352">
        <v>92.300112144085801</v>
      </c>
      <c r="AK6352">
        <v>77.942853008070401</v>
      </c>
      <c r="AL6352">
        <v>79.860074916882496</v>
      </c>
      <c r="AM6352">
        <v>97.255402242464598</v>
      </c>
      <c r="AN6352">
        <v>0.99999994855736796</v>
      </c>
    </row>
    <row r="6353" spans="1:40" x14ac:dyDescent="0.25">
      <c r="A6353" t="str">
        <f>"20190304154922627"</f>
        <v>20190304154922627</v>
      </c>
      <c r="B6353" t="str">
        <f>"1551685762623293"</f>
        <v>1551685762623293</v>
      </c>
      <c r="C6353" t="s">
        <v>40</v>
      </c>
      <c r="D6353">
        <v>4.2088000000000001</v>
      </c>
      <c r="E6353">
        <v>0.53365830000000003</v>
      </c>
      <c r="F6353" t="s">
        <v>45</v>
      </c>
      <c r="G6353">
        <v>-306.738</v>
      </c>
      <c r="H6353">
        <v>-0.05</v>
      </c>
      <c r="I6353">
        <v>14.76247</v>
      </c>
      <c r="J6353">
        <v>-385.31299999999999</v>
      </c>
      <c r="K6353">
        <v>1.1106640000000001</v>
      </c>
      <c r="L6353">
        <v>17.52591</v>
      </c>
      <c r="M6353">
        <v>0.99734319999999999</v>
      </c>
      <c r="N6353">
        <v>-1.0494379999999999E-2</v>
      </c>
      <c r="O6353">
        <v>-7.2086140000000007E-2</v>
      </c>
      <c r="P6353">
        <v>0.98474220000000001</v>
      </c>
      <c r="Q6353">
        <v>0.16568740000000001</v>
      </c>
      <c r="R6353">
        <v>5.3204799999999997E-2</v>
      </c>
      <c r="S6353">
        <v>3.0599669999999999</v>
      </c>
      <c r="T6353">
        <v>-4.5132159999999998E-2</v>
      </c>
      <c r="U6353">
        <v>-0.1077881</v>
      </c>
      <c r="V6353">
        <v>-0.124056399999999</v>
      </c>
      <c r="W6353">
        <v>0.17594570000000001</v>
      </c>
      <c r="X6353">
        <v>0.97655170000000002</v>
      </c>
      <c r="Y6353">
        <v>-3.6926100000000003E-2</v>
      </c>
      <c r="Z6353">
        <v>7.708503E-4</v>
      </c>
      <c r="AA6353">
        <v>0.99931769999999998</v>
      </c>
      <c r="AB6353">
        <v>22</v>
      </c>
      <c r="AC6353">
        <v>78.575000000000003</v>
      </c>
      <c r="AD6353">
        <v>-1.1606639999999999</v>
      </c>
      <c r="AE6353">
        <v>-2.7634399999999899</v>
      </c>
      <c r="AF6353">
        <v>-2.9075968652122501</v>
      </c>
      <c r="AG6353">
        <v>-1.1606639999999999</v>
      </c>
      <c r="AH6353">
        <v>78.552655618592198</v>
      </c>
      <c r="AI6353">
        <v>90.845939706571002</v>
      </c>
      <c r="AJ6353">
        <v>92.119813875446695</v>
      </c>
      <c r="AK6353">
        <v>78.615017427872104</v>
      </c>
      <c r="AL6353">
        <v>79.866303832301099</v>
      </c>
      <c r="AM6353">
        <v>97.239799499051699</v>
      </c>
      <c r="AN6353">
        <v>1.00000005125116</v>
      </c>
    </row>
    <row r="6354" spans="1:40" x14ac:dyDescent="0.25">
      <c r="A6354" t="str">
        <f>"20190304154922640"</f>
        <v>20190304154922640</v>
      </c>
      <c r="B6354" t="str">
        <f>"1551685762634030"</f>
        <v>1551685762634030</v>
      </c>
      <c r="C6354" t="s">
        <v>40</v>
      </c>
      <c r="D6354">
        <v>4.181044</v>
      </c>
      <c r="E6354">
        <v>0.53399189999999996</v>
      </c>
      <c r="F6354" t="s">
        <v>45</v>
      </c>
      <c r="G6354">
        <v>-310.35890000000001</v>
      </c>
      <c r="H6354">
        <v>-0.05</v>
      </c>
      <c r="I6354">
        <v>14.727040000000001</v>
      </c>
      <c r="J6354">
        <v>-385.18810000000002</v>
      </c>
      <c r="K6354">
        <v>1.110663</v>
      </c>
      <c r="L6354">
        <v>17.51688</v>
      </c>
      <c r="M6354">
        <v>0.99734560000000005</v>
      </c>
      <c r="N6354">
        <v>-1.045161E-2</v>
      </c>
      <c r="O6354">
        <v>-7.2059200000000004E-2</v>
      </c>
      <c r="P6354">
        <v>0.98477539999999997</v>
      </c>
      <c r="Q6354">
        <v>0.1655712</v>
      </c>
      <c r="R6354">
        <v>5.2950480000000001E-2</v>
      </c>
      <c r="S6354">
        <v>3.060638</v>
      </c>
      <c r="T6354">
        <v>-4.7394039999999998E-2</v>
      </c>
      <c r="U6354">
        <v>-0.1142883</v>
      </c>
      <c r="V6354">
        <v>-0.1237796</v>
      </c>
      <c r="W6354">
        <v>0.17578750000000001</v>
      </c>
      <c r="X6354">
        <v>0.97661529999999996</v>
      </c>
      <c r="Y6354">
        <v>-3.478676E-2</v>
      </c>
      <c r="Z6354">
        <v>8.1176190000000002E-4</v>
      </c>
      <c r="AA6354">
        <v>0.99939440000000002</v>
      </c>
      <c r="AB6354">
        <v>22</v>
      </c>
      <c r="AC6354">
        <v>74.8292</v>
      </c>
      <c r="AD6354">
        <v>-1.160663</v>
      </c>
      <c r="AE6354">
        <v>-2.7898399999999999</v>
      </c>
      <c r="AF6354">
        <v>-2.6092133063982899</v>
      </c>
      <c r="AG6354">
        <v>-1.160663</v>
      </c>
      <c r="AH6354">
        <v>74.817719019193902</v>
      </c>
      <c r="AI6354">
        <v>90.888230288643101</v>
      </c>
      <c r="AJ6354">
        <v>91.997338995013806</v>
      </c>
      <c r="AK6354">
        <v>74.872199192443205</v>
      </c>
      <c r="AL6354">
        <v>79.8755114137102</v>
      </c>
      <c r="AM6354">
        <v>97.223351109907497</v>
      </c>
      <c r="AN6354">
        <v>1.00000003936324</v>
      </c>
    </row>
    <row r="6355" spans="1:40" x14ac:dyDescent="0.25">
      <c r="A6355" t="str">
        <f>"20190304154922652"</f>
        <v>20190304154922652</v>
      </c>
      <c r="B6355" t="str">
        <f>"1551685762643789"</f>
        <v>1551685762643789</v>
      </c>
      <c r="C6355" t="s">
        <v>40</v>
      </c>
      <c r="D6355">
        <v>4.1602980000000001</v>
      </c>
      <c r="E6355">
        <v>0.53429119999999997</v>
      </c>
      <c r="F6355" t="s">
        <v>45</v>
      </c>
      <c r="G6355">
        <v>-310.27879999999999</v>
      </c>
      <c r="H6355">
        <v>-0.05</v>
      </c>
      <c r="I6355">
        <v>14.633089999999999</v>
      </c>
      <c r="J6355">
        <v>-385.06479999999999</v>
      </c>
      <c r="K6355">
        <v>1.110657</v>
      </c>
      <c r="L6355">
        <v>17.508029999999899</v>
      </c>
      <c r="M6355">
        <v>0.99734800000000001</v>
      </c>
      <c r="N6355">
        <v>-1.0408570000000001E-2</v>
      </c>
      <c r="O6355">
        <v>-7.2031899999999996E-2</v>
      </c>
      <c r="P6355">
        <v>0.98485979999999995</v>
      </c>
      <c r="Q6355">
        <v>0.16512979999999899</v>
      </c>
      <c r="R6355">
        <v>5.2756820000000003E-2</v>
      </c>
      <c r="S6355">
        <v>3.0606990000000001</v>
      </c>
      <c r="T6355">
        <v>-4.7423239999999998E-2</v>
      </c>
      <c r="U6355">
        <v>-0.1178284</v>
      </c>
      <c r="V6355">
        <v>-0.12356689999999999</v>
      </c>
      <c r="W6355">
        <v>0.1753045</v>
      </c>
      <c r="X6355">
        <v>0.97672899999999996</v>
      </c>
      <c r="Y6355">
        <v>-3.360606E-2</v>
      </c>
      <c r="Z6355">
        <v>7.9948460000000003E-4</v>
      </c>
      <c r="AA6355">
        <v>0.99943479999999996</v>
      </c>
      <c r="AB6355">
        <v>22</v>
      </c>
      <c r="AC6355">
        <v>74.786000000000001</v>
      </c>
      <c r="AD6355">
        <v>-1.160657</v>
      </c>
      <c r="AE6355">
        <v>-2.8749399999999898</v>
      </c>
      <c r="AF6355">
        <v>-2.51919267527086</v>
      </c>
      <c r="AG6355">
        <v>-1.160657</v>
      </c>
      <c r="AH6355">
        <v>74.780822853109299</v>
      </c>
      <c r="AI6355">
        <v>90.888699970766993</v>
      </c>
      <c r="AJ6355">
        <v>91.929432415385307</v>
      </c>
      <c r="AK6355">
        <v>74.832245208833001</v>
      </c>
      <c r="AL6355">
        <v>79.903621320708396</v>
      </c>
      <c r="AM6355">
        <v>97.210238843292402</v>
      </c>
      <c r="AN6355">
        <v>0.99999999296842901</v>
      </c>
    </row>
    <row r="6356" spans="1:40" x14ac:dyDescent="0.25">
      <c r="A6356" t="str">
        <f>"20190304154922669"</f>
        <v>20190304154922669</v>
      </c>
      <c r="B6356" t="str">
        <f>"1551685762663308"</f>
        <v>1551685762663308</v>
      </c>
      <c r="C6356" t="s">
        <v>40</v>
      </c>
      <c r="D6356">
        <v>4.230067</v>
      </c>
      <c r="E6356">
        <v>0.53492079999999997</v>
      </c>
      <c r="F6356" t="s">
        <v>45</v>
      </c>
      <c r="G6356">
        <v>-311.93950000000001</v>
      </c>
      <c r="H6356">
        <v>-0.05</v>
      </c>
      <c r="I6356">
        <v>14.616379999999999</v>
      </c>
      <c r="J6356">
        <v>-384.8965</v>
      </c>
      <c r="K6356">
        <v>1.110643</v>
      </c>
      <c r="L6356">
        <v>17.495909999999999</v>
      </c>
      <c r="M6356">
        <v>0.99735149999999995</v>
      </c>
      <c r="N6356">
        <v>-1.034648E-2</v>
      </c>
      <c r="O6356">
        <v>-7.1992940000000005E-2</v>
      </c>
      <c r="P6356">
        <v>0.9850487</v>
      </c>
      <c r="Q6356">
        <v>0.1640626</v>
      </c>
      <c r="R6356">
        <v>5.2563249999999999E-2</v>
      </c>
      <c r="S6356">
        <v>3.06073</v>
      </c>
      <c r="T6356">
        <v>-4.8580409999999997E-2</v>
      </c>
      <c r="U6356">
        <v>-0.12103269999999999</v>
      </c>
      <c r="V6356">
        <v>-0.12335069999999999</v>
      </c>
      <c r="W6356">
        <v>0.1741781</v>
      </c>
      <c r="X6356">
        <v>0.97695779999999999</v>
      </c>
      <c r="Y6356">
        <v>-3.2522420000000003E-2</v>
      </c>
      <c r="Z6356">
        <v>8.219999E-4</v>
      </c>
      <c r="AA6356">
        <v>0.99947070000000005</v>
      </c>
      <c r="AB6356">
        <v>22</v>
      </c>
      <c r="AC6356">
        <v>72.956999999999994</v>
      </c>
      <c r="AD6356">
        <v>-1.1606430000000001</v>
      </c>
      <c r="AE6356">
        <v>-2.8795299999999999</v>
      </c>
      <c r="AF6356">
        <v>-2.38001132329474</v>
      </c>
      <c r="AG6356">
        <v>-1.1606430000000001</v>
      </c>
      <c r="AH6356">
        <v>72.956548195618296</v>
      </c>
      <c r="AI6356">
        <v>90.910939317587406</v>
      </c>
      <c r="AJ6356">
        <v>91.868458205452697</v>
      </c>
      <c r="AK6356">
        <v>73.004585271693898</v>
      </c>
      <c r="AL6356">
        <v>79.969167574974605</v>
      </c>
      <c r="AM6356">
        <v>97.196087788259604</v>
      </c>
      <c r="AN6356">
        <v>0.99999997434546894</v>
      </c>
    </row>
    <row r="6357" spans="1:40" x14ac:dyDescent="0.25">
      <c r="A6357" t="str">
        <f>"20190304154922681"</f>
        <v>20190304154922681</v>
      </c>
      <c r="B6357" t="str">
        <f>"1551685762673069"</f>
        <v>1551685762673069</v>
      </c>
      <c r="C6357" t="s">
        <v>40</v>
      </c>
      <c r="D6357">
        <v>4.1513419999999996</v>
      </c>
      <c r="E6357">
        <v>0.53508420000000001</v>
      </c>
      <c r="F6357" t="s">
        <v>44</v>
      </c>
      <c r="G6357">
        <v>-321.1859</v>
      </c>
      <c r="H6357" s="1">
        <v>-4.992652E-6</v>
      </c>
      <c r="I6357">
        <v>14.848649999999999</v>
      </c>
      <c r="J6357">
        <v>-384.78089999999997</v>
      </c>
      <c r="K6357">
        <v>1.110638</v>
      </c>
      <c r="L6357">
        <v>17.487579999999902</v>
      </c>
      <c r="M6357">
        <v>0.99735390000000002</v>
      </c>
      <c r="N6357">
        <v>-1.0301859999999999E-2</v>
      </c>
      <c r="O6357">
        <v>-7.1965769999999998E-2</v>
      </c>
      <c r="P6357">
        <v>0.98513669999999998</v>
      </c>
      <c r="Q6357">
        <v>0.1636349</v>
      </c>
      <c r="R6357">
        <v>5.2240490000000001E-2</v>
      </c>
      <c r="S6357">
        <v>3.0612180000000002</v>
      </c>
      <c r="T6357">
        <v>-5.3365349999999999E-2</v>
      </c>
      <c r="U6357">
        <v>-0.12719730000000001</v>
      </c>
      <c r="V6357">
        <v>-0.1230084</v>
      </c>
      <c r="W6357">
        <v>0.17370759999999999</v>
      </c>
      <c r="X6357">
        <v>0.97708479999999998</v>
      </c>
      <c r="Y6357">
        <v>-3.0490659999999999E-2</v>
      </c>
      <c r="Z6357">
        <v>9.3360280000000001E-4</v>
      </c>
      <c r="AA6357">
        <v>0.99953460000000005</v>
      </c>
      <c r="AB6357">
        <v>22</v>
      </c>
      <c r="AC6357">
        <v>63.594999999999899</v>
      </c>
      <c r="AD6357">
        <v>-1.1106429926520001</v>
      </c>
      <c r="AE6357">
        <v>-2.63892999999999</v>
      </c>
      <c r="AF6357">
        <v>-1.94422724227882</v>
      </c>
      <c r="AG6357">
        <v>-1.1106429926520001</v>
      </c>
      <c r="AH6357">
        <v>63.600644867405698</v>
      </c>
      <c r="AI6357">
        <v>90.999973911976198</v>
      </c>
      <c r="AJ6357">
        <v>91.750946643318002</v>
      </c>
      <c r="AK6357">
        <v>63.640046943545002</v>
      </c>
      <c r="AL6357">
        <v>79.996543331798307</v>
      </c>
      <c r="AM6357">
        <v>97.175403972219101</v>
      </c>
      <c r="AN6357">
        <v>1.0000000515796701</v>
      </c>
    </row>
    <row r="6358" spans="1:40" x14ac:dyDescent="0.25">
      <c r="A6358" t="str">
        <f>"20190304154922694"</f>
        <v>20190304154922694</v>
      </c>
      <c r="B6358" t="str">
        <f>"1551685762683805"</f>
        <v>1551685762683805</v>
      </c>
      <c r="C6358" t="s">
        <v>40</v>
      </c>
      <c r="D6358">
        <v>4.257244</v>
      </c>
      <c r="E6358">
        <v>0.53546090000000002</v>
      </c>
      <c r="F6358" t="s">
        <v>44</v>
      </c>
      <c r="G6358">
        <v>-322.40309999999999</v>
      </c>
      <c r="H6358" s="1">
        <v>-4.417328E-6</v>
      </c>
      <c r="I6358">
        <v>14.848420000000001</v>
      </c>
      <c r="J6358">
        <v>-384.65879999999999</v>
      </c>
      <c r="K6358">
        <v>1.110633</v>
      </c>
      <c r="L6358">
        <v>17.47879</v>
      </c>
      <c r="M6358">
        <v>0.99735660000000004</v>
      </c>
      <c r="N6358">
        <v>-1.0253979999999999E-2</v>
      </c>
      <c r="O6358">
        <v>-7.193679E-2</v>
      </c>
      <c r="P6358">
        <v>0.98518030000000001</v>
      </c>
      <c r="Q6358">
        <v>0.16347600000000001</v>
      </c>
      <c r="R6358">
        <v>5.1920470000000003E-2</v>
      </c>
      <c r="S6358">
        <v>3.061188</v>
      </c>
      <c r="T6358">
        <v>-5.4504749999999998E-2</v>
      </c>
      <c r="U6358">
        <v>-0.12951660000000001</v>
      </c>
      <c r="V6358">
        <v>-0.12266489999999999</v>
      </c>
      <c r="W6358">
        <v>0.17350199999999999</v>
      </c>
      <c r="X6358">
        <v>0.97716440000000004</v>
      </c>
      <c r="Y6358">
        <v>-2.9704919999999999E-2</v>
      </c>
      <c r="Z6358">
        <v>9.5748700000000003E-4</v>
      </c>
      <c r="AA6358">
        <v>0.99955830000000001</v>
      </c>
      <c r="AB6358">
        <v>22</v>
      </c>
      <c r="AC6358">
        <v>62.255699999999898</v>
      </c>
      <c r="AD6358">
        <v>-1.110637417328</v>
      </c>
      <c r="AE6358">
        <v>-2.6303699999999899</v>
      </c>
      <c r="AF6358">
        <v>-1.8545664642569499</v>
      </c>
      <c r="AG6358">
        <v>-1.110637417328</v>
      </c>
      <c r="AH6358">
        <v>62.263839877267998</v>
      </c>
      <c r="AI6358">
        <v>91.021457860041707</v>
      </c>
      <c r="AJ6358">
        <v>91.706085337704195</v>
      </c>
      <c r="AK6358">
        <v>62.301353825620701</v>
      </c>
      <c r="AL6358">
        <v>80.008503881867497</v>
      </c>
      <c r="AM6358">
        <v>97.154997845076196</v>
      </c>
      <c r="AN6358">
        <v>0.99999994316168295</v>
      </c>
    </row>
    <row r="6359" spans="1:40" x14ac:dyDescent="0.25">
      <c r="A6359" t="str">
        <f>"20190304154922705"</f>
        <v>20190304154922705</v>
      </c>
      <c r="B6359" t="str">
        <f>"1551685762693565"</f>
        <v>1551685762693565</v>
      </c>
      <c r="C6359" t="s">
        <v>40</v>
      </c>
      <c r="D6359">
        <v>4.1964489999999897</v>
      </c>
      <c r="E6359">
        <v>0.53554740000000001</v>
      </c>
      <c r="F6359" t="s">
        <v>44</v>
      </c>
      <c r="G6359">
        <v>-324.37709999999998</v>
      </c>
      <c r="H6359" s="1">
        <v>-3.4847639999999999E-6</v>
      </c>
      <c r="I6359">
        <v>14.8451</v>
      </c>
      <c r="J6359">
        <v>-384.54509999999999</v>
      </c>
      <c r="K6359">
        <v>1.1106279999999999</v>
      </c>
      <c r="L6359">
        <v>17.470610000000001</v>
      </c>
      <c r="M6359">
        <v>0.99735890000000005</v>
      </c>
      <c r="N6359">
        <v>-1.020775E-2</v>
      </c>
      <c r="O6359">
        <v>-7.1909379999999995E-2</v>
      </c>
      <c r="P6359">
        <v>0.9852031</v>
      </c>
      <c r="Q6359">
        <v>0.16340360000000001</v>
      </c>
      <c r="R6359">
        <v>5.171216E-2</v>
      </c>
      <c r="S6359">
        <v>3.0615540000000001</v>
      </c>
      <c r="T6359">
        <v>-5.6406499999999998E-2</v>
      </c>
      <c r="U6359">
        <v>-0.1337585</v>
      </c>
      <c r="V6359">
        <v>-0.1224321</v>
      </c>
      <c r="W6359">
        <v>0.1733845</v>
      </c>
      <c r="X6359">
        <v>0.97721449999999999</v>
      </c>
      <c r="Y6359">
        <v>-2.8299629999999999E-2</v>
      </c>
      <c r="Z6359">
        <v>9.9338989999999999E-4</v>
      </c>
      <c r="AA6359">
        <v>0.99959900000000002</v>
      </c>
      <c r="AB6359">
        <v>22</v>
      </c>
      <c r="AC6359">
        <v>60.167999999999999</v>
      </c>
      <c r="AD6359">
        <v>-1.110631484764</v>
      </c>
      <c r="AE6359">
        <v>-2.6255099999999998</v>
      </c>
      <c r="AF6359">
        <v>-1.70757614910009</v>
      </c>
      <c r="AG6359">
        <v>-1.110631484764</v>
      </c>
      <c r="AH6359">
        <v>60.180561344737399</v>
      </c>
      <c r="AI6359">
        <v>91.056847603345403</v>
      </c>
      <c r="AJ6359">
        <v>91.625286653955101</v>
      </c>
      <c r="AK6359">
        <v>60.215025387087799</v>
      </c>
      <c r="AL6359">
        <v>80.015340228959801</v>
      </c>
      <c r="AM6359">
        <v>97.141196692312107</v>
      </c>
      <c r="AN6359">
        <v>0.99999999148045404</v>
      </c>
    </row>
    <row r="6360" spans="1:40" x14ac:dyDescent="0.25">
      <c r="A6360" t="str">
        <f>"20190304154922717"</f>
        <v>20190304154922717</v>
      </c>
      <c r="B6360" t="str">
        <f>"1551685762713085"</f>
        <v>1551685762713085</v>
      </c>
      <c r="C6360" t="s">
        <v>40</v>
      </c>
      <c r="D6360">
        <v>4.2137989999999999</v>
      </c>
      <c r="E6360">
        <v>0.53568459999999996</v>
      </c>
      <c r="F6360" t="s">
        <v>44</v>
      </c>
      <c r="G6360">
        <v>-324.5539</v>
      </c>
      <c r="H6360" s="1">
        <v>-3.405283E-6</v>
      </c>
      <c r="I6360">
        <v>14.82213</v>
      </c>
      <c r="J6360">
        <v>-384.42779999999999</v>
      </c>
      <c r="K6360">
        <v>1.1106229999999999</v>
      </c>
      <c r="L6360">
        <v>17.46219</v>
      </c>
      <c r="M6360">
        <v>0.99736170000000002</v>
      </c>
      <c r="N6360">
        <v>-1.015926E-2</v>
      </c>
      <c r="O6360">
        <v>-7.1880879999999994E-2</v>
      </c>
      <c r="P6360">
        <v>0.98517600000000005</v>
      </c>
      <c r="Q6360">
        <v>0.16363910000000001</v>
      </c>
      <c r="R6360">
        <v>5.1485179999999998E-2</v>
      </c>
      <c r="S6360">
        <v>3.0615839999999999</v>
      </c>
      <c r="T6360">
        <v>-5.6679840000000002E-2</v>
      </c>
      <c r="U6360">
        <v>-0.13516239999999999</v>
      </c>
      <c r="V6360">
        <v>-0.1221769</v>
      </c>
      <c r="W6360">
        <v>0.17357139999999999</v>
      </c>
      <c r="X6360">
        <v>0.97721329999999995</v>
      </c>
      <c r="Y6360">
        <v>-2.7813999999999998E-2</v>
      </c>
      <c r="Z6360">
        <v>9.9663589999999993E-4</v>
      </c>
      <c r="AA6360">
        <v>0.99961259999999996</v>
      </c>
      <c r="AB6360">
        <v>22</v>
      </c>
      <c r="AC6360">
        <v>59.8738999999999</v>
      </c>
      <c r="AD6360">
        <v>-1.1106264052829999</v>
      </c>
      <c r="AE6360">
        <v>-2.6400600000000001</v>
      </c>
      <c r="AF6360">
        <v>-1.6702061823101999</v>
      </c>
      <c r="AG6360">
        <v>-1.1106264052829999</v>
      </c>
      <c r="AH6360">
        <v>59.888216850300601</v>
      </c>
      <c r="AI6360">
        <v>91.062015062681496</v>
      </c>
      <c r="AJ6360">
        <v>91.597492322293405</v>
      </c>
      <c r="AK6360">
        <v>59.9217956774676</v>
      </c>
      <c r="AL6360">
        <v>80.004467168166101</v>
      </c>
      <c r="AM6360">
        <v>97.126473299519802</v>
      </c>
      <c r="AN6360">
        <v>1.00000002974422</v>
      </c>
    </row>
    <row r="6361" spans="1:40" x14ac:dyDescent="0.25">
      <c r="A6361" t="str">
        <f>"20190304154922730"</f>
        <v>20190304154922730</v>
      </c>
      <c r="B6361" t="str">
        <f>"1551685762723821"</f>
        <v>1551685762723821</v>
      </c>
      <c r="C6361" t="s">
        <v>40</v>
      </c>
      <c r="D6361">
        <v>4.1984760000000003</v>
      </c>
      <c r="E6361">
        <v>0.53573419999999905</v>
      </c>
      <c r="F6361" t="s">
        <v>44</v>
      </c>
      <c r="G6361">
        <v>-324.08249999999998</v>
      </c>
      <c r="H6361" s="1">
        <v>-3.6387680000000002E-6</v>
      </c>
      <c r="I6361">
        <v>14.76206</v>
      </c>
      <c r="J6361">
        <v>-384.29360000000003</v>
      </c>
      <c r="K6361">
        <v>1.110611</v>
      </c>
      <c r="L6361">
        <v>17.452579999999902</v>
      </c>
      <c r="M6361">
        <v>0.99736449999999999</v>
      </c>
      <c r="N6361">
        <v>-1.010278E-2</v>
      </c>
      <c r="O6361">
        <v>-7.1847220000000003E-2</v>
      </c>
      <c r="P6361">
        <v>0.98518099999999997</v>
      </c>
      <c r="Q6361">
        <v>0.16368060000000001</v>
      </c>
      <c r="R6361">
        <v>5.1256969999999999E-2</v>
      </c>
      <c r="S6361">
        <v>3.0616759999999998</v>
      </c>
      <c r="T6361">
        <v>-5.6348679999999998E-2</v>
      </c>
      <c r="U6361">
        <v>-0.13699339999999999</v>
      </c>
      <c r="V6361">
        <v>-0.1219172</v>
      </c>
      <c r="W6361">
        <v>0.17355779999999901</v>
      </c>
      <c r="X6361">
        <v>0.97724809999999995</v>
      </c>
      <c r="Y6361">
        <v>-2.718518E-2</v>
      </c>
      <c r="Z6361">
        <v>9.8134149999999989E-4</v>
      </c>
      <c r="AA6361">
        <v>0.99962989999999996</v>
      </c>
      <c r="AB6361">
        <v>22</v>
      </c>
      <c r="AC6361">
        <v>60.211100000000002</v>
      </c>
      <c r="AD6361">
        <v>-1.110614638768</v>
      </c>
      <c r="AE6361">
        <v>-2.69051999999999</v>
      </c>
      <c r="AF6361">
        <v>-1.64209723792204</v>
      </c>
      <c r="AG6361">
        <v>-1.110614638768</v>
      </c>
      <c r="AH6361">
        <v>60.228343028019601</v>
      </c>
      <c r="AI6361">
        <v>91.056025904961302</v>
      </c>
      <c r="AJ6361">
        <v>91.561755380505801</v>
      </c>
      <c r="AK6361">
        <v>60.260959601681002</v>
      </c>
      <c r="AL6361">
        <v>80.005257910260298</v>
      </c>
      <c r="AM6361">
        <v>97.111229833067299</v>
      </c>
      <c r="AN6361">
        <v>0.999999981275144</v>
      </c>
    </row>
    <row r="6362" spans="1:40" x14ac:dyDescent="0.25">
      <c r="A6362" t="str">
        <f>"20190304154922750"</f>
        <v>20190304154922750</v>
      </c>
      <c r="B6362" t="str">
        <f>"1551685762743342"</f>
        <v>1551685762743342</v>
      </c>
      <c r="C6362" t="s">
        <v>40</v>
      </c>
      <c r="D6362">
        <v>4.1857829999999998</v>
      </c>
      <c r="E6362">
        <v>0.535771</v>
      </c>
      <c r="F6362" t="s">
        <v>44</v>
      </c>
      <c r="G6362">
        <v>-323.93770000000001</v>
      </c>
      <c r="H6362" s="1">
        <v>-3.713298E-6</v>
      </c>
      <c r="I6362">
        <v>14.72791</v>
      </c>
      <c r="J6362">
        <v>-384.10390000000001</v>
      </c>
      <c r="K6362">
        <v>1.1106020000000001</v>
      </c>
      <c r="L6362">
        <v>17.438929999999999</v>
      </c>
      <c r="M6362">
        <v>0.99736910000000001</v>
      </c>
      <c r="N6362">
        <v>-1.0020660000000001E-2</v>
      </c>
      <c r="O6362">
        <v>-7.1795880000000006E-2</v>
      </c>
      <c r="P6362">
        <v>0.98510039999999999</v>
      </c>
      <c r="Q6362">
        <v>0.1641793</v>
      </c>
      <c r="R6362">
        <v>5.1210520000000002E-2</v>
      </c>
      <c r="S6362">
        <v>3.0616759999999998</v>
      </c>
      <c r="T6362">
        <v>-5.6338190000000003E-2</v>
      </c>
      <c r="U6362">
        <v>-0.13821410000000001</v>
      </c>
      <c r="V6362">
        <v>-0.1218163</v>
      </c>
      <c r="W6362">
        <v>0.1739743</v>
      </c>
      <c r="X6362">
        <v>0.97718660000000002</v>
      </c>
      <c r="Y6362">
        <v>-2.6735999999999999E-2</v>
      </c>
      <c r="Z6362">
        <v>9.7901419999999991E-4</v>
      </c>
      <c r="AA6362">
        <v>0.99964209999999998</v>
      </c>
      <c r="AB6362">
        <v>22</v>
      </c>
      <c r="AC6362">
        <v>60.166200000000003</v>
      </c>
      <c r="AD6362">
        <v>-1.1106057132979901</v>
      </c>
      <c r="AE6362">
        <v>-2.7110199999999902</v>
      </c>
      <c r="AF6362">
        <v>-1.61532939815957</v>
      </c>
      <c r="AG6362">
        <v>-1.1106057132979901</v>
      </c>
      <c r="AH6362">
        <v>60.185100568310801</v>
      </c>
      <c r="AI6362">
        <v>91.056788130339498</v>
      </c>
      <c r="AJ6362">
        <v>91.537412790867293</v>
      </c>
      <c r="AK6362">
        <v>60.217016403444099</v>
      </c>
      <c r="AL6362">
        <v>79.9810253506419</v>
      </c>
      <c r="AM6362">
        <v>97.105847295027203</v>
      </c>
      <c r="AN6362">
        <v>0.99999995961286903</v>
      </c>
    </row>
    <row r="6363" spans="1:40" x14ac:dyDescent="0.25">
      <c r="A6363" t="str">
        <f>"20190304154922764"</f>
        <v>20190304154922764</v>
      </c>
      <c r="B6363" t="str">
        <f>"1551685762754076"</f>
        <v>1551685762754076</v>
      </c>
      <c r="C6363" t="s">
        <v>40</v>
      </c>
      <c r="D6363">
        <v>4.2105940000000004</v>
      </c>
      <c r="E6363">
        <v>0.53581350000000005</v>
      </c>
      <c r="F6363" t="s">
        <v>44</v>
      </c>
      <c r="G6363">
        <v>-322.43049999999999</v>
      </c>
      <c r="H6363" s="1">
        <v>-4.441126E-6</v>
      </c>
      <c r="I6363">
        <v>14.641349999999999</v>
      </c>
      <c r="J6363">
        <v>-383.95650000000001</v>
      </c>
      <c r="K6363">
        <v>1.1106</v>
      </c>
      <c r="L6363">
        <v>17.428379999999901</v>
      </c>
      <c r="M6363">
        <v>0.99737319999999996</v>
      </c>
      <c r="N6363">
        <v>-9.9518839999999994E-3</v>
      </c>
      <c r="O6363">
        <v>-7.1748889999999996E-2</v>
      </c>
      <c r="P6363">
        <v>0.98504780000000003</v>
      </c>
      <c r="Q6363">
        <v>0.1645017</v>
      </c>
      <c r="R6363">
        <v>5.1192500000000002E-2</v>
      </c>
      <c r="S6363">
        <v>3.0617679999999998</v>
      </c>
      <c r="T6363">
        <v>-5.513585E-2</v>
      </c>
      <c r="U6363">
        <v>-0.1388855</v>
      </c>
      <c r="V6363">
        <v>-0.1217506</v>
      </c>
      <c r="W6363">
        <v>0.17422739999999901</v>
      </c>
      <c r="X6363">
        <v>0.97714970000000001</v>
      </c>
      <c r="Y6363">
        <v>-2.6471959999999999E-2</v>
      </c>
      <c r="Z6363">
        <v>9.4552449999999995E-4</v>
      </c>
      <c r="AA6363">
        <v>0.99964909999999996</v>
      </c>
      <c r="AB6363">
        <v>22</v>
      </c>
      <c r="AC6363">
        <v>61.526000000000003</v>
      </c>
      <c r="AD6363">
        <v>-1.1106044411260001</v>
      </c>
      <c r="AE6363">
        <v>-2.7870299999999899</v>
      </c>
      <c r="AF6363">
        <v>-1.63426252061376</v>
      </c>
      <c r="AG6363">
        <v>-1.1106044411260001</v>
      </c>
      <c r="AH6363">
        <v>61.547377819864302</v>
      </c>
      <c r="AI6363">
        <v>91.033409236188803</v>
      </c>
      <c r="AJ6363">
        <v>91.521012776381298</v>
      </c>
      <c r="AK6363">
        <v>61.579087137696803</v>
      </c>
      <c r="AL6363">
        <v>79.966298946381102</v>
      </c>
      <c r="AM6363">
        <v>97.102319452155996</v>
      </c>
      <c r="AN6363">
        <v>0.99999996586060402</v>
      </c>
    </row>
    <row r="6364" spans="1:40" x14ac:dyDescent="0.25">
      <c r="A6364" t="str">
        <f>"20190304154922782"</f>
        <v>20190304154922782</v>
      </c>
      <c r="B6364" t="str">
        <f>"1551685762773596"</f>
        <v>1551685762773596</v>
      </c>
      <c r="C6364" t="s">
        <v>40</v>
      </c>
      <c r="D6364">
        <v>4.3043180000000003</v>
      </c>
      <c r="E6364">
        <v>0.53598539999999995</v>
      </c>
      <c r="F6364" t="s">
        <v>44</v>
      </c>
      <c r="G6364">
        <v>-321.30610000000001</v>
      </c>
      <c r="H6364" s="1">
        <v>-4.9840199999999998E-6</v>
      </c>
      <c r="I6364">
        <v>14.57713</v>
      </c>
      <c r="J6364">
        <v>-383.77670000000001</v>
      </c>
      <c r="K6364">
        <v>1.1105969999999901</v>
      </c>
      <c r="L6364">
        <v>17.41553</v>
      </c>
      <c r="M6364">
        <v>0.99737880000000001</v>
      </c>
      <c r="N6364">
        <v>-9.8637570000000008E-3</v>
      </c>
      <c r="O6364">
        <v>-7.168186E-2</v>
      </c>
      <c r="P6364">
        <v>0.98501039999999995</v>
      </c>
      <c r="Q6364">
        <v>0.16475020000000001</v>
      </c>
      <c r="R6364">
        <v>5.1109160000000001E-2</v>
      </c>
      <c r="S6364">
        <v>3.061798</v>
      </c>
      <c r="T6364">
        <v>-5.427659E-2</v>
      </c>
      <c r="U6364">
        <v>-0.1393433</v>
      </c>
      <c r="V6364">
        <v>-0.12160319999999999</v>
      </c>
      <c r="W6364">
        <v>0.17438709999999999</v>
      </c>
      <c r="X6364">
        <v>0.9771396</v>
      </c>
      <c r="Y6364">
        <v>-2.6256390000000001E-2</v>
      </c>
      <c r="Z6364">
        <v>9.2335629999999995E-4</v>
      </c>
      <c r="AA6364">
        <v>0.99965479999999995</v>
      </c>
      <c r="AB6364">
        <v>22</v>
      </c>
      <c r="AC6364">
        <v>62.470599999999898</v>
      </c>
      <c r="AD6364">
        <v>-1.1106019840200001</v>
      </c>
      <c r="AE6364">
        <v>-2.8384</v>
      </c>
      <c r="AF6364">
        <v>-1.6466095524925599</v>
      </c>
      <c r="AG6364">
        <v>-1.1106019840200001</v>
      </c>
      <c r="AH6364">
        <v>62.4936424684713</v>
      </c>
      <c r="AI6364">
        <v>91.017768151781794</v>
      </c>
      <c r="AJ6364">
        <v>91.509304800009204</v>
      </c>
      <c r="AK6364">
        <v>62.525195791475902</v>
      </c>
      <c r="AL6364">
        <v>79.957006885867898</v>
      </c>
      <c r="AM6364">
        <v>97.093881106886698</v>
      </c>
      <c r="AN6364">
        <v>0.99999999839240505</v>
      </c>
    </row>
    <row r="6365" spans="1:40" x14ac:dyDescent="0.25">
      <c r="A6365" t="str">
        <f>"20190304154922795"</f>
        <v>20190304154922795</v>
      </c>
      <c r="B6365" t="str">
        <f>"1551685762783360"</f>
        <v>1551685762783360</v>
      </c>
      <c r="C6365" t="s">
        <v>40</v>
      </c>
      <c r="D6365">
        <v>4.2349690000000004</v>
      </c>
      <c r="E6365">
        <v>0.53596299999999997</v>
      </c>
      <c r="F6365" t="s">
        <v>44</v>
      </c>
      <c r="G6365">
        <v>-321.69479999999999</v>
      </c>
      <c r="H6365" s="1">
        <v>-4.8039319999999999E-6</v>
      </c>
      <c r="I6365">
        <v>14.556380000000001</v>
      </c>
      <c r="J6365">
        <v>-383.6506</v>
      </c>
      <c r="K6365">
        <v>1.1106</v>
      </c>
      <c r="L6365">
        <v>17.406489999999899</v>
      </c>
      <c r="M6365">
        <v>0.99738329999999997</v>
      </c>
      <c r="N6365">
        <v>-9.8007600000000004E-3</v>
      </c>
      <c r="O6365">
        <v>-7.16276E-2</v>
      </c>
      <c r="P6365">
        <v>0.98497199999999996</v>
      </c>
      <c r="Q6365">
        <v>0.16490869999999999</v>
      </c>
      <c r="R6365">
        <v>5.1334879999999999E-2</v>
      </c>
      <c r="S6365">
        <v>3.0620729999999998</v>
      </c>
      <c r="T6365">
        <v>-5.4778340000000002E-2</v>
      </c>
      <c r="U6365">
        <v>-0.1410217</v>
      </c>
      <c r="V6365">
        <v>-0.12177540000000001</v>
      </c>
      <c r="W6365">
        <v>0.174481</v>
      </c>
      <c r="X6365">
        <v>0.97710140000000001</v>
      </c>
      <c r="Y6365">
        <v>-2.5659149999999999E-2</v>
      </c>
      <c r="Z6365">
        <v>9.3206739999999999E-4</v>
      </c>
      <c r="AA6365">
        <v>0.99967030000000001</v>
      </c>
      <c r="AB6365">
        <v>22</v>
      </c>
      <c r="AC6365">
        <v>61.955800000000004</v>
      </c>
      <c r="AD6365">
        <v>-1.110604803932</v>
      </c>
      <c r="AE6365">
        <v>-2.8501099999999902</v>
      </c>
      <c r="AF6365">
        <v>-1.59465841057041</v>
      </c>
      <c r="AG6365">
        <v>-1.110604803932</v>
      </c>
      <c r="AH6365">
        <v>61.980929689413401</v>
      </c>
      <c r="AI6365">
        <v>91.026204607043496</v>
      </c>
      <c r="AJ6365">
        <v>91.473792749788203</v>
      </c>
      <c r="AK6365">
        <v>62.011386241890499</v>
      </c>
      <c r="AL6365">
        <v>79.951543129027598</v>
      </c>
      <c r="AM6365">
        <v>97.1040989451907</v>
      </c>
      <c r="AN6365">
        <v>1.00000000664406</v>
      </c>
    </row>
    <row r="6366" spans="1:40" x14ac:dyDescent="0.25">
      <c r="A6366" t="str">
        <f>"20190304154922816"</f>
        <v>20190304154922816</v>
      </c>
      <c r="B6366" t="str">
        <f>"1551685762813614"</f>
        <v>1551685762813614</v>
      </c>
      <c r="C6366" t="s">
        <v>40</v>
      </c>
      <c r="D6366">
        <v>4.2148139999999996</v>
      </c>
      <c r="E6366">
        <v>0.53589219999999904</v>
      </c>
      <c r="F6366" t="s">
        <v>44</v>
      </c>
      <c r="G6366">
        <v>-321.26369999999997</v>
      </c>
      <c r="H6366" s="1">
        <v>-5.0079489999999998E-6</v>
      </c>
      <c r="I6366">
        <v>14.5552299999999</v>
      </c>
      <c r="J6366">
        <v>-383.4409</v>
      </c>
      <c r="K6366">
        <v>1.1106020000000001</v>
      </c>
      <c r="L6366">
        <v>17.391539999999999</v>
      </c>
      <c r="M6366">
        <v>0.99739219999999895</v>
      </c>
      <c r="N6366">
        <v>-9.6995629999999996E-3</v>
      </c>
      <c r="O6366">
        <v>-7.1518719999999994E-2</v>
      </c>
      <c r="P6366">
        <v>0.98498359999999996</v>
      </c>
      <c r="Q6366">
        <v>0.16487489999999999</v>
      </c>
      <c r="R6366">
        <v>5.1226569999999999E-2</v>
      </c>
      <c r="S6366">
        <v>3.0622560000000001</v>
      </c>
      <c r="T6366">
        <v>-5.4513930000000002E-2</v>
      </c>
      <c r="U6366">
        <v>-0.13995360000000001</v>
      </c>
      <c r="V6366">
        <v>-0.1215682</v>
      </c>
      <c r="W6366">
        <v>0.1743439</v>
      </c>
      <c r="X6366">
        <v>0.97715169999999996</v>
      </c>
      <c r="Y6366">
        <v>-2.5900650000000001E-2</v>
      </c>
      <c r="Z6366">
        <v>9.3310880000000004E-4</v>
      </c>
      <c r="AA6366">
        <v>0.99966410000000006</v>
      </c>
      <c r="AB6366">
        <v>22</v>
      </c>
      <c r="AC6366">
        <v>62.177199999999999</v>
      </c>
      <c r="AD6366">
        <v>-1.110607007949</v>
      </c>
      <c r="AE6366">
        <v>-2.8363100000000001</v>
      </c>
      <c r="AF6366">
        <v>-1.6174812450365299</v>
      </c>
      <c r="AG6366">
        <v>-1.110607007949</v>
      </c>
      <c r="AH6366">
        <v>62.201020011478398</v>
      </c>
      <c r="AI6366">
        <v>91.0225690243618</v>
      </c>
      <c r="AJ6366">
        <v>91.489589204885604</v>
      </c>
      <c r="AK6366">
        <v>62.231957899237699</v>
      </c>
      <c r="AL6366">
        <v>79.959520929529404</v>
      </c>
      <c r="AM6366">
        <v>97.091773205677796</v>
      </c>
      <c r="AN6366">
        <v>1.00000003376566</v>
      </c>
    </row>
    <row r="6367" spans="1:40" x14ac:dyDescent="0.25">
      <c r="A6367" t="str">
        <f>"20190304154922830"</f>
        <v>20190304154922830</v>
      </c>
      <c r="B6367" t="str">
        <f>"1551685762823373"</f>
        <v>1551685762823373</v>
      </c>
      <c r="C6367" t="s">
        <v>40</v>
      </c>
      <c r="D6367">
        <v>4.2090500000000004</v>
      </c>
      <c r="E6367">
        <v>0.53587739999999995</v>
      </c>
      <c r="F6367" t="s">
        <v>44</v>
      </c>
      <c r="G6367">
        <v>-322.06479999999999</v>
      </c>
      <c r="H6367" s="1">
        <v>-4.6217549999999998E-6</v>
      </c>
      <c r="I6367">
        <v>14.597490000000001</v>
      </c>
      <c r="J6367">
        <v>-383.3014</v>
      </c>
      <c r="K6367">
        <v>1.110606</v>
      </c>
      <c r="L6367">
        <v>17.38165</v>
      </c>
      <c r="M6367">
        <v>0.99739889999999998</v>
      </c>
      <c r="N6367">
        <v>-9.636693E-3</v>
      </c>
      <c r="O6367">
        <v>-7.1434129999999998E-2</v>
      </c>
      <c r="P6367">
        <v>0.9849561</v>
      </c>
      <c r="Q6367">
        <v>0.16494259999999999</v>
      </c>
      <c r="R6367">
        <v>5.153071E-2</v>
      </c>
      <c r="S6367">
        <v>3.0622560000000001</v>
      </c>
      <c r="T6367">
        <v>-5.5411820000000001E-2</v>
      </c>
      <c r="U6367">
        <v>-0.13940429999999901</v>
      </c>
      <c r="V6367">
        <v>-0.12179180000000001</v>
      </c>
      <c r="W6367">
        <v>0.17434569999999999</v>
      </c>
      <c r="X6367">
        <v>0.97712350000000003</v>
      </c>
      <c r="Y6367">
        <v>-2.5994389999999999E-2</v>
      </c>
      <c r="Z6367">
        <v>9.6211810000000001E-4</v>
      </c>
      <c r="AA6367">
        <v>0.99966160000000004</v>
      </c>
      <c r="AB6367">
        <v>22</v>
      </c>
      <c r="AC6367">
        <v>61.236600000000003</v>
      </c>
      <c r="AD6367">
        <v>-1.110610621755</v>
      </c>
      <c r="AE6367">
        <v>-2.78416</v>
      </c>
      <c r="AF6367">
        <v>-1.5970148709063501</v>
      </c>
      <c r="AG6367">
        <v>-1.110610621755</v>
      </c>
      <c r="AH6367">
        <v>61.2589305503747</v>
      </c>
      <c r="AI6367">
        <v>91.038293102748497</v>
      </c>
      <c r="AJ6367">
        <v>91.493357621829404</v>
      </c>
      <c r="AK6367">
        <v>61.289807346953602</v>
      </c>
      <c r="AL6367">
        <v>79.959415850048302</v>
      </c>
      <c r="AM6367">
        <v>97.104886850906993</v>
      </c>
      <c r="AN6367">
        <v>0.99999999995399003</v>
      </c>
    </row>
    <row r="6368" spans="1:40" x14ac:dyDescent="0.25">
      <c r="A6368" t="str">
        <f>"20190304154922841"</f>
        <v>20190304154922841</v>
      </c>
      <c r="B6368" t="str">
        <f>"1551685762833133"</f>
        <v>1551685762833133</v>
      </c>
      <c r="C6368" t="s">
        <v>40</v>
      </c>
      <c r="D6368">
        <v>4.2102930000000001</v>
      </c>
      <c r="E6368">
        <v>0.53583319999999901</v>
      </c>
      <c r="F6368" t="s">
        <v>44</v>
      </c>
      <c r="G6368">
        <v>-322.29410000000001</v>
      </c>
      <c r="H6368" s="1">
        <v>-4.5073629999999999E-6</v>
      </c>
      <c r="I6368">
        <v>14.63128</v>
      </c>
      <c r="J6368">
        <v>-383.18650000000002</v>
      </c>
      <c r="K6368">
        <v>1.110611</v>
      </c>
      <c r="L6368">
        <v>17.3735</v>
      </c>
      <c r="M6368">
        <v>0.99740519999999999</v>
      </c>
      <c r="N6368">
        <v>-9.5871810000000002E-3</v>
      </c>
      <c r="O6368">
        <v>-7.1352009999999993E-2</v>
      </c>
      <c r="P6368">
        <v>0.98497959999999996</v>
      </c>
      <c r="Q6368">
        <v>0.16480210000000001</v>
      </c>
      <c r="R6368">
        <v>5.1532710000000002E-2</v>
      </c>
      <c r="S6368">
        <v>3.062408</v>
      </c>
      <c r="T6368">
        <v>-5.5749769999999997E-2</v>
      </c>
      <c r="U6368">
        <v>-0.1380615</v>
      </c>
      <c r="V6368">
        <v>-0.1217196</v>
      </c>
      <c r="W6368">
        <v>0.17415369999999999</v>
      </c>
      <c r="X6368">
        <v>0.97716670000000005</v>
      </c>
      <c r="Y6368">
        <v>-2.63515E-2</v>
      </c>
      <c r="Z6368">
        <v>9.7851550000000007E-4</v>
      </c>
      <c r="AA6368">
        <v>0.99965230000000005</v>
      </c>
      <c r="AB6368">
        <v>22</v>
      </c>
      <c r="AC6368">
        <v>60.892400000000002</v>
      </c>
      <c r="AD6368">
        <v>-1.110615507363</v>
      </c>
      <c r="AE6368">
        <v>-2.7422200000000001</v>
      </c>
      <c r="AF6368">
        <v>-1.60923025807609</v>
      </c>
      <c r="AG6368">
        <v>-1.110615507363</v>
      </c>
      <c r="AH6368">
        <v>60.912632684827301</v>
      </c>
      <c r="AI6368">
        <v>91.0441897024387</v>
      </c>
      <c r="AJ6368">
        <v>91.513325828827604</v>
      </c>
      <c r="AK6368">
        <v>60.944006345377304</v>
      </c>
      <c r="AL6368">
        <v>79.970587205110604</v>
      </c>
      <c r="AM6368">
        <v>97.100407259930293</v>
      </c>
      <c r="AN6368">
        <v>0.99999996591836904</v>
      </c>
    </row>
    <row r="6369" spans="1:40" x14ac:dyDescent="0.25">
      <c r="A6369" t="str">
        <f>"20190304154922853"</f>
        <v>20190304154922853</v>
      </c>
      <c r="B6369" t="str">
        <f>"1551685762843869"</f>
        <v>1551685762843869</v>
      </c>
      <c r="C6369" t="s">
        <v>40</v>
      </c>
      <c r="D6369">
        <v>4.225625</v>
      </c>
      <c r="E6369">
        <v>0.53583999999999998</v>
      </c>
      <c r="F6369" t="s">
        <v>44</v>
      </c>
      <c r="G6369">
        <v>-322.96809999999999</v>
      </c>
      <c r="H6369" s="1">
        <v>-4.1827209999999997E-6</v>
      </c>
      <c r="I6369">
        <v>14.665290000000001</v>
      </c>
      <c r="J6369">
        <v>-383.06270000000001</v>
      </c>
      <c r="K6369">
        <v>1.110617</v>
      </c>
      <c r="L6369">
        <v>17.364750000000001</v>
      </c>
      <c r="M6369">
        <v>0.99741239999999998</v>
      </c>
      <c r="N6369">
        <v>-9.5345680000000002E-3</v>
      </c>
      <c r="O6369">
        <v>-7.1257589999999996E-2</v>
      </c>
      <c r="P6369">
        <v>0.98494020000000004</v>
      </c>
      <c r="Q6369">
        <v>0.16499040000000001</v>
      </c>
      <c r="R6369">
        <v>5.1681299999999999E-2</v>
      </c>
      <c r="S6369">
        <v>3.062408</v>
      </c>
      <c r="T6369">
        <v>-5.6480410000000002E-2</v>
      </c>
      <c r="U6369">
        <v>-0.13772579999999901</v>
      </c>
      <c r="V6369">
        <v>-0.12177780000000001</v>
      </c>
      <c r="W6369">
        <v>0.174287</v>
      </c>
      <c r="X6369">
        <v>0.97713570000000005</v>
      </c>
      <c r="Y6369">
        <v>-2.636587E-2</v>
      </c>
      <c r="Z6369">
        <v>1.0010850000000001E-3</v>
      </c>
      <c r="AA6369">
        <v>0.99965179999999998</v>
      </c>
      <c r="AB6369">
        <v>23</v>
      </c>
      <c r="AC6369">
        <v>60.0946</v>
      </c>
      <c r="AD6369">
        <v>-1.110621182721</v>
      </c>
      <c r="AE6369">
        <v>-2.6994600000000002</v>
      </c>
      <c r="AF6369">
        <v>-1.58925199252218</v>
      </c>
      <c r="AG6369">
        <v>-1.110621182721</v>
      </c>
      <c r="AH6369">
        <v>60.113697386858902</v>
      </c>
      <c r="AI6369">
        <v>91.058069151954498</v>
      </c>
      <c r="AJ6369">
        <v>91.514400712387697</v>
      </c>
      <c r="AK6369">
        <v>60.144956686542599</v>
      </c>
      <c r="AL6369">
        <v>79.962831239407095</v>
      </c>
      <c r="AM6369">
        <v>97.103990695914405</v>
      </c>
      <c r="AN6369">
        <v>0.999999983578164</v>
      </c>
    </row>
    <row r="6370" spans="1:40" x14ac:dyDescent="0.25">
      <c r="A6370" t="str">
        <f>"20190304154922872"</f>
        <v>20190304154922872</v>
      </c>
      <c r="B6370" t="str">
        <f>"1551685762863392"</f>
        <v>1551685762863392</v>
      </c>
      <c r="C6370" t="s">
        <v>40</v>
      </c>
      <c r="D6370">
        <v>4.2258620000000002</v>
      </c>
      <c r="E6370">
        <v>0.53573219999999899</v>
      </c>
      <c r="F6370" t="s">
        <v>44</v>
      </c>
      <c r="G6370">
        <v>-322.42469999999997</v>
      </c>
      <c r="H6370" s="1">
        <v>-4.4430849999999997E-6</v>
      </c>
      <c r="I6370">
        <v>14.64561</v>
      </c>
      <c r="J6370">
        <v>-382.87599999999998</v>
      </c>
      <c r="K6370">
        <v>1.1106370000000001</v>
      </c>
      <c r="L6370">
        <v>17.35153</v>
      </c>
      <c r="M6370">
        <v>0.99742549999999996</v>
      </c>
      <c r="N6370">
        <v>-9.4578260000000008E-3</v>
      </c>
      <c r="O6370">
        <v>-7.1086189999999994E-2</v>
      </c>
      <c r="P6370">
        <v>0.98488960000000003</v>
      </c>
      <c r="Q6370">
        <v>0.1652816</v>
      </c>
      <c r="R6370">
        <v>5.1717999999999903E-2</v>
      </c>
      <c r="S6370">
        <v>3.0625</v>
      </c>
      <c r="T6370">
        <v>-5.6091549999999997E-2</v>
      </c>
      <c r="U6370">
        <v>-0.13732910000000001</v>
      </c>
      <c r="V6370">
        <v>-0.121652</v>
      </c>
      <c r="W6370">
        <v>0.17449600000000001</v>
      </c>
      <c r="X6370">
        <v>0.97711409999999999</v>
      </c>
      <c r="Y6370">
        <v>-2.6324750000000001E-2</v>
      </c>
      <c r="Z6370">
        <v>9.927216E-4</v>
      </c>
      <c r="AA6370">
        <v>0.99965289999999996</v>
      </c>
      <c r="AB6370">
        <v>23</v>
      </c>
      <c r="AC6370">
        <v>60.451300000000003</v>
      </c>
      <c r="AD6370">
        <v>-1.110641443085</v>
      </c>
      <c r="AE6370">
        <v>-2.7059199999999901</v>
      </c>
      <c r="AF6370">
        <v>-1.5978319503479499</v>
      </c>
      <c r="AG6370">
        <v>-1.110641443085</v>
      </c>
      <c r="AH6370">
        <v>60.4703464933921</v>
      </c>
      <c r="AI6370">
        <v>91.051849727152401</v>
      </c>
      <c r="AJ6370">
        <v>91.513596911048595</v>
      </c>
      <c r="AK6370">
        <v>60.501647881587097</v>
      </c>
      <c r="AL6370">
        <v>79.950670374842105</v>
      </c>
      <c r="AM6370">
        <v>97.096882213098098</v>
      </c>
      <c r="AN6370">
        <v>1.0000000137694001</v>
      </c>
    </row>
    <row r="6371" spans="1:40" x14ac:dyDescent="0.25">
      <c r="A6371" t="str">
        <f>"20190304154922894"</f>
        <v>20190304154922894</v>
      </c>
      <c r="B6371" t="str">
        <f>"1551685762883888"</f>
        <v>1551685762883888</v>
      </c>
      <c r="C6371" t="s">
        <v>40</v>
      </c>
      <c r="D6371">
        <v>4.255744</v>
      </c>
      <c r="E6371">
        <v>0.53563130000000003</v>
      </c>
      <c r="F6371" t="s">
        <v>44</v>
      </c>
      <c r="G6371">
        <v>-321.92599999999999</v>
      </c>
      <c r="H6371" s="1">
        <v>-4.6801990000000003E-6</v>
      </c>
      <c r="I6371">
        <v>14.63791</v>
      </c>
      <c r="J6371">
        <v>-382.65539999999999</v>
      </c>
      <c r="K6371">
        <v>1.110654</v>
      </c>
      <c r="L6371">
        <v>17.336089999999999</v>
      </c>
      <c r="M6371">
        <v>0.99744390000000005</v>
      </c>
      <c r="N6371">
        <v>-9.3738139999999994E-3</v>
      </c>
      <c r="O6371">
        <v>-7.0835640000000005E-2</v>
      </c>
      <c r="P6371">
        <v>0.9847669</v>
      </c>
      <c r="Q6371">
        <v>0.16586770000000001</v>
      </c>
      <c r="R6371">
        <v>5.2171339999999997E-2</v>
      </c>
      <c r="S6371">
        <v>3.062592</v>
      </c>
      <c r="T6371">
        <v>-5.580711E-2</v>
      </c>
      <c r="U6371">
        <v>-0.13635249999999999</v>
      </c>
      <c r="V6371">
        <v>-0.121863</v>
      </c>
      <c r="W6371">
        <v>0.174989899999999</v>
      </c>
      <c r="X6371">
        <v>0.97699950000000002</v>
      </c>
      <c r="Y6371">
        <v>-2.6393130000000001E-2</v>
      </c>
      <c r="Z6371">
        <v>9.884894999999999E-4</v>
      </c>
      <c r="AA6371">
        <v>0.99965110000000001</v>
      </c>
      <c r="AB6371">
        <v>23</v>
      </c>
      <c r="AC6371">
        <v>60.729399999999998</v>
      </c>
      <c r="AD6371">
        <v>-1.1106586801989999</v>
      </c>
      <c r="AE6371">
        <v>-2.69817999999999</v>
      </c>
      <c r="AF6371">
        <v>-1.6100561219754701</v>
      </c>
      <c r="AG6371">
        <v>-1.1106586801989999</v>
      </c>
      <c r="AH6371">
        <v>60.7476915474736</v>
      </c>
      <c r="AI6371">
        <v>91.047062568796605</v>
      </c>
      <c r="AJ6371">
        <v>91.518211256525106</v>
      </c>
      <c r="AK6371">
        <v>60.779173009895501</v>
      </c>
      <c r="AL6371">
        <v>79.921930050652094</v>
      </c>
      <c r="AM6371">
        <v>97.109890947558597</v>
      </c>
      <c r="AN6371">
        <v>1.0000000394356201</v>
      </c>
    </row>
    <row r="6372" spans="1:40" x14ac:dyDescent="0.25">
      <c r="A6372" t="str">
        <f>"20190304154922906"</f>
        <v>20190304154922906</v>
      </c>
      <c r="B6372" t="str">
        <f>"1551685762903405"</f>
        <v>1551685762903405</v>
      </c>
      <c r="C6372" t="s">
        <v>40</v>
      </c>
      <c r="D6372">
        <v>4.1396839999999999</v>
      </c>
      <c r="E6372">
        <v>0.5159376</v>
      </c>
      <c r="F6372" t="s">
        <v>44</v>
      </c>
      <c r="G6372">
        <v>-320.2029</v>
      </c>
      <c r="H6372" s="1">
        <v>-5.5024229999999996E-6</v>
      </c>
      <c r="I6372">
        <v>14.5943</v>
      </c>
      <c r="J6372">
        <v>-382.5317</v>
      </c>
      <c r="K6372">
        <v>1.1106689999999999</v>
      </c>
      <c r="L6372">
        <v>17.327449999999999</v>
      </c>
      <c r="M6372">
        <v>0.99745600000000001</v>
      </c>
      <c r="N6372">
        <v>-9.3309940000000004E-3</v>
      </c>
      <c r="O6372">
        <v>-7.0673959999999994E-2</v>
      </c>
      <c r="P6372">
        <v>0.98474689999999998</v>
      </c>
      <c r="Q6372">
        <v>0.16599949999999999</v>
      </c>
      <c r="R6372">
        <v>5.2132129999999999E-2</v>
      </c>
      <c r="S6372">
        <v>3.0627439999999999</v>
      </c>
      <c r="T6372">
        <v>-5.446815E-2</v>
      </c>
      <c r="U6372">
        <v>-0.13446040000000001</v>
      </c>
      <c r="V6372">
        <v>-0.121672</v>
      </c>
      <c r="W6372">
        <v>0.17507439999999999</v>
      </c>
      <c r="X6372">
        <v>0.97700810000000005</v>
      </c>
      <c r="Y6372">
        <v>-2.685003E-2</v>
      </c>
      <c r="Z6372">
        <v>9.5906170000000001E-4</v>
      </c>
      <c r="AA6372">
        <v>0.99963900000000006</v>
      </c>
      <c r="AB6372">
        <v>23</v>
      </c>
      <c r="AC6372">
        <v>62.328800000000001</v>
      </c>
      <c r="AD6372">
        <v>-1.110674502423</v>
      </c>
      <c r="AE6372">
        <v>-2.73314999999999</v>
      </c>
      <c r="AF6372">
        <v>-1.6783671268462701</v>
      </c>
      <c r="AG6372">
        <v>-1.110674502423</v>
      </c>
      <c r="AH6372">
        <v>62.3463429468176</v>
      </c>
      <c r="AI6372">
        <v>91.020223305151504</v>
      </c>
      <c r="AJ6372">
        <v>91.542033243160304</v>
      </c>
      <c r="AK6372">
        <v>62.378818463521696</v>
      </c>
      <c r="AL6372">
        <v>79.917011982416795</v>
      </c>
      <c r="AM6372">
        <v>97.098799305997801</v>
      </c>
      <c r="AN6372">
        <v>0.999999974292484</v>
      </c>
    </row>
    <row r="6373" spans="1:40" x14ac:dyDescent="0.25">
      <c r="A6373" t="str">
        <f>"20190304154922918"</f>
        <v>20190304154922918</v>
      </c>
      <c r="B6373" t="str">
        <f>"1551685762913164"</f>
        <v>1551685762913164</v>
      </c>
      <c r="C6373" t="s">
        <v>40</v>
      </c>
      <c r="D6373">
        <v>4.2092269999999896</v>
      </c>
      <c r="E6373">
        <v>0.51228980000000002</v>
      </c>
      <c r="F6373" t="s">
        <v>94</v>
      </c>
      <c r="G6373">
        <v>-276.10149999999999</v>
      </c>
      <c r="H6373">
        <v>2.6217670000000002</v>
      </c>
      <c r="I6373">
        <v>18.15175</v>
      </c>
      <c r="J6373">
        <v>-382.41910000000001</v>
      </c>
      <c r="K6373">
        <v>1.1106819999999999</v>
      </c>
      <c r="L6373">
        <v>17.31964</v>
      </c>
      <c r="M6373">
        <v>0.99746749999999995</v>
      </c>
      <c r="N6373">
        <v>-9.2930510000000001E-3</v>
      </c>
      <c r="O6373">
        <v>-7.0513759999999995E-2</v>
      </c>
      <c r="P6373">
        <v>0.98473080000000002</v>
      </c>
      <c r="Q6373">
        <v>0.1660529</v>
      </c>
      <c r="R6373">
        <v>5.2265060000000002E-2</v>
      </c>
      <c r="S6373">
        <v>3.0379640000000001</v>
      </c>
      <c r="T6373">
        <v>4.3132900000000002E-2</v>
      </c>
      <c r="U6373">
        <v>2.3529049999999999E-2</v>
      </c>
      <c r="V6373">
        <v>-0.121654</v>
      </c>
      <c r="W6373">
        <v>0.1750852</v>
      </c>
      <c r="X6373">
        <v>0.9770084</v>
      </c>
      <c r="Y6373">
        <v>-7.8218010000000004E-2</v>
      </c>
      <c r="Z6373">
        <v>-1.8479029999999999E-3</v>
      </c>
      <c r="AA6373">
        <v>0.9969346</v>
      </c>
      <c r="AB6373">
        <v>23</v>
      </c>
      <c r="AC6373">
        <v>106.3176</v>
      </c>
      <c r="AD6373">
        <v>1.51108499999999</v>
      </c>
      <c r="AE6373">
        <v>0.83211000000000002</v>
      </c>
      <c r="AF6373">
        <v>-8.3255344215980607</v>
      </c>
      <c r="AG6373">
        <v>1.51108499999999</v>
      </c>
      <c r="AH6373">
        <v>105.97284831962</v>
      </c>
      <c r="AI6373">
        <v>89.185574193089494</v>
      </c>
      <c r="AJ6373">
        <v>94.492095899874201</v>
      </c>
      <c r="AK6373">
        <v>106.31012408165</v>
      </c>
      <c r="AL6373">
        <v>79.916383419467294</v>
      </c>
      <c r="AM6373">
        <v>97.0977576735242</v>
      </c>
      <c r="AN6373">
        <v>0.99999996832279903</v>
      </c>
    </row>
    <row r="6374" spans="1:40" x14ac:dyDescent="0.25">
      <c r="A6374" t="str">
        <f>"20190304154922931"</f>
        <v>20190304154922931</v>
      </c>
      <c r="B6374" t="str">
        <f>"1551685762923901"</f>
        <v>1551685762923901</v>
      </c>
      <c r="C6374" t="s">
        <v>40</v>
      </c>
      <c r="D6374">
        <v>4.1857430000000004</v>
      </c>
      <c r="E6374">
        <v>0.51044520000000004</v>
      </c>
      <c r="F6374" t="s">
        <v>94</v>
      </c>
      <c r="G6374">
        <v>-276.81180000000001</v>
      </c>
      <c r="H6374">
        <v>3.1242139999999998</v>
      </c>
      <c r="I6374">
        <v>19.169049999999999</v>
      </c>
      <c r="J6374">
        <v>-382.27420000000001</v>
      </c>
      <c r="K6374">
        <v>1.1106990000000001</v>
      </c>
      <c r="L6374">
        <v>17.309629999999999</v>
      </c>
      <c r="M6374">
        <v>0.99748360000000003</v>
      </c>
      <c r="N6374">
        <v>-9.2454240000000004E-3</v>
      </c>
      <c r="O6374">
        <v>-7.0293019999999998E-2</v>
      </c>
      <c r="P6374">
        <v>0.9847572</v>
      </c>
      <c r="Q6374">
        <v>0.1658771</v>
      </c>
      <c r="R6374">
        <v>5.2327150000000003E-2</v>
      </c>
      <c r="S6374">
        <v>3.0339659999999999</v>
      </c>
      <c r="T6374">
        <v>5.7846309999999998E-2</v>
      </c>
      <c r="U6374">
        <v>5.3131100000000001E-2</v>
      </c>
      <c r="V6374">
        <v>-0.1215104</v>
      </c>
      <c r="W6374">
        <v>0.1748566</v>
      </c>
      <c r="X6374">
        <v>0.97706720000000002</v>
      </c>
      <c r="Y6374">
        <v>-8.7714990000000007E-2</v>
      </c>
      <c r="Z6374">
        <v>-2.419961E-3</v>
      </c>
      <c r="AA6374">
        <v>0.99614270000000005</v>
      </c>
      <c r="AB6374">
        <v>23</v>
      </c>
      <c r="AC6374">
        <v>105.4624</v>
      </c>
      <c r="AD6374">
        <v>2.0135149999999999</v>
      </c>
      <c r="AE6374">
        <v>1.8594200000000001</v>
      </c>
      <c r="AF6374">
        <v>-9.2650309419804593</v>
      </c>
      <c r="AG6374">
        <v>2.0135149999999999</v>
      </c>
      <c r="AH6374">
        <v>105.03252069138701</v>
      </c>
      <c r="AI6374">
        <v>88.905998780220301</v>
      </c>
      <c r="AJ6374">
        <v>95.041073798485101</v>
      </c>
      <c r="AK6374">
        <v>105.45959152110299</v>
      </c>
      <c r="AL6374">
        <v>79.9296863743252</v>
      </c>
      <c r="AM6374">
        <v>97.089042501481202</v>
      </c>
      <c r="AN6374">
        <v>0.99999996059377905</v>
      </c>
    </row>
    <row r="6375" spans="1:40" x14ac:dyDescent="0.25">
      <c r="A6375" t="str">
        <f>"20190304154922950"</f>
        <v>20190304154922950</v>
      </c>
      <c r="B6375" t="str">
        <f>"1551685762943421"</f>
        <v>1551685762943421</v>
      </c>
      <c r="C6375" t="s">
        <v>40</v>
      </c>
      <c r="D6375">
        <v>4.1964610000000002</v>
      </c>
      <c r="E6375">
        <v>0.51144029999999996</v>
      </c>
      <c r="F6375" t="s">
        <v>94</v>
      </c>
      <c r="G6375">
        <v>-276.77659999999997</v>
      </c>
      <c r="H6375">
        <v>3.2231169999999998</v>
      </c>
      <c r="I6375">
        <v>19.68028</v>
      </c>
      <c r="J6375">
        <v>-382.08229999999998</v>
      </c>
      <c r="K6375">
        <v>1.1107260000000001</v>
      </c>
      <c r="L6375">
        <v>17.296420000000001</v>
      </c>
      <c r="M6375">
        <v>0.99750870000000003</v>
      </c>
      <c r="N6375">
        <v>-9.1848339999999994E-3</v>
      </c>
      <c r="O6375">
        <v>-6.9943820000000004E-2</v>
      </c>
      <c r="P6375">
        <v>0.98481700000000005</v>
      </c>
      <c r="Q6375">
        <v>0.1654861</v>
      </c>
      <c r="R6375">
        <v>5.244062E-2</v>
      </c>
      <c r="S6375">
        <v>3.0325929999999999</v>
      </c>
      <c r="T6375">
        <v>6.072164E-2</v>
      </c>
      <c r="U6375">
        <v>6.8145750000000005E-2</v>
      </c>
      <c r="V6375">
        <v>-0.12130150000000001</v>
      </c>
      <c r="W6375">
        <v>0.174396</v>
      </c>
      <c r="X6375">
        <v>0.97717549999999997</v>
      </c>
      <c r="Y6375">
        <v>-9.2299720000000002E-2</v>
      </c>
      <c r="Z6375">
        <v>-2.542E-3</v>
      </c>
      <c r="AA6375">
        <v>0.99572799999999995</v>
      </c>
      <c r="AB6375">
        <v>23</v>
      </c>
      <c r="AC6375">
        <v>105.3057</v>
      </c>
      <c r="AD6375">
        <v>2.1123910000000001</v>
      </c>
      <c r="AE6375">
        <v>2.3838599999999901</v>
      </c>
      <c r="AF6375">
        <v>-9.7398972999034701</v>
      </c>
      <c r="AG6375">
        <v>2.1123910000000001</v>
      </c>
      <c r="AH6375">
        <v>104.83886984825099</v>
      </c>
      <c r="AI6375">
        <v>88.850655602823494</v>
      </c>
      <c r="AJ6375">
        <v>95.307742608063293</v>
      </c>
      <c r="AK6375">
        <v>105.31152086171799</v>
      </c>
      <c r="AL6375">
        <v>79.956488914992093</v>
      </c>
      <c r="AM6375">
        <v>97.076202356371496</v>
      </c>
      <c r="AN6375">
        <v>0.99999998825924996</v>
      </c>
    </row>
    <row r="6376" spans="1:40" x14ac:dyDescent="0.25">
      <c r="A6376" t="str">
        <f>"20190304154922972"</f>
        <v>20190304154922972</v>
      </c>
      <c r="B6376" t="str">
        <f>"1551685762963917"</f>
        <v>1551685762963917</v>
      </c>
      <c r="C6376" t="s">
        <v>40</v>
      </c>
      <c r="D6376">
        <v>4.1712040000000004</v>
      </c>
      <c r="E6376">
        <v>0.51361880000000004</v>
      </c>
      <c r="F6376" t="s">
        <v>94</v>
      </c>
      <c r="G6376">
        <v>-276.75869999999998</v>
      </c>
      <c r="H6376">
        <v>3.8724460000000001</v>
      </c>
      <c r="I6376">
        <v>19.41404</v>
      </c>
      <c r="J6376">
        <v>-381.8596</v>
      </c>
      <c r="K6376">
        <v>1.1107610000000001</v>
      </c>
      <c r="L6376">
        <v>17.281310000000001</v>
      </c>
      <c r="M6376">
        <v>0.99754240000000005</v>
      </c>
      <c r="N6376">
        <v>-9.1203350000000002E-3</v>
      </c>
      <c r="O6376">
        <v>-6.9471229999999995E-2</v>
      </c>
      <c r="P6376">
        <v>0.98479470000000002</v>
      </c>
      <c r="Q6376">
        <v>0.165603799999999</v>
      </c>
      <c r="R6376">
        <v>5.2491719999999999E-2</v>
      </c>
      <c r="S6376">
        <v>3.029633</v>
      </c>
      <c r="T6376">
        <v>7.9440830000000004E-2</v>
      </c>
      <c r="U6376">
        <v>6.0913090000000003E-2</v>
      </c>
      <c r="V6376">
        <v>-0.1209088</v>
      </c>
      <c r="W6376">
        <v>0.1744359</v>
      </c>
      <c r="X6376">
        <v>0.97721709999999995</v>
      </c>
      <c r="Y6376">
        <v>-8.9449819999999999E-2</v>
      </c>
      <c r="Z6376">
        <v>-3.2184420000000002E-3</v>
      </c>
      <c r="AA6376">
        <v>0.99598609999999999</v>
      </c>
      <c r="AB6376">
        <v>23</v>
      </c>
      <c r="AC6376">
        <v>105.1009</v>
      </c>
      <c r="AD6376">
        <v>2.7616849999999999</v>
      </c>
      <c r="AE6376">
        <v>2.1327299999999898</v>
      </c>
      <c r="AF6376">
        <v>-9.4228649081389708</v>
      </c>
      <c r="AG6376">
        <v>2.7616849999999999</v>
      </c>
      <c r="AH6376">
        <v>104.626570736064</v>
      </c>
      <c r="AI6376">
        <v>88.49408466829</v>
      </c>
      <c r="AJ6376">
        <v>95.146281106209699</v>
      </c>
      <c r="AK6376">
        <v>105.086329230328</v>
      </c>
      <c r="AL6376">
        <v>79.954167760264198</v>
      </c>
      <c r="AM6376">
        <v>97.053227827210193</v>
      </c>
      <c r="AN6376">
        <v>1.0000000408293199</v>
      </c>
    </row>
    <row r="6377" spans="1:40" x14ac:dyDescent="0.25">
      <c r="A6377" t="str">
        <f>"20190304154922984"</f>
        <v>20190304154922984</v>
      </c>
      <c r="B6377" t="str">
        <f>"1551685762973678"</f>
        <v>1551685762973678</v>
      </c>
      <c r="C6377" t="s">
        <v>40</v>
      </c>
      <c r="D6377">
        <v>4.1923510000000004</v>
      </c>
      <c r="E6377">
        <v>0.51449739999999999</v>
      </c>
      <c r="F6377" t="s">
        <v>94</v>
      </c>
      <c r="G6377">
        <v>-276.46730000000002</v>
      </c>
      <c r="H6377">
        <v>4.6257449999999896</v>
      </c>
      <c r="I6377">
        <v>18.809259999999998</v>
      </c>
      <c r="J6377">
        <v>-381.73399999999998</v>
      </c>
      <c r="K6377">
        <v>1.1107910000000001</v>
      </c>
      <c r="L6377">
        <v>17.27289</v>
      </c>
      <c r="M6377">
        <v>0.99756460000000002</v>
      </c>
      <c r="N6377">
        <v>-9.0884209999999993E-3</v>
      </c>
      <c r="O6377">
        <v>-6.9156049999999997E-2</v>
      </c>
      <c r="P6377">
        <v>0.98477780000000004</v>
      </c>
      <c r="Q6377">
        <v>0.16565360000000001</v>
      </c>
      <c r="R6377">
        <v>5.264771E-2</v>
      </c>
      <c r="S6377">
        <v>3.0269780000000002</v>
      </c>
      <c r="T6377">
        <v>0.10095419999999999</v>
      </c>
      <c r="U6377">
        <v>4.3884279999999998E-2</v>
      </c>
      <c r="V6377">
        <v>-0.1207688</v>
      </c>
      <c r="W6377">
        <v>0.17444479999999901</v>
      </c>
      <c r="X6377">
        <v>0.97723280000000001</v>
      </c>
      <c r="Y6377">
        <v>-8.351712E-2</v>
      </c>
      <c r="Z6377">
        <v>-3.9458009999999996E-3</v>
      </c>
      <c r="AA6377">
        <v>0.99649849999999995</v>
      </c>
      <c r="AB6377">
        <v>23</v>
      </c>
      <c r="AC6377">
        <v>105.2667</v>
      </c>
      <c r="AD6377">
        <v>3.5149539999999901</v>
      </c>
      <c r="AE6377">
        <v>1.53637</v>
      </c>
      <c r="AF6377">
        <v>-8.8030073249607099</v>
      </c>
      <c r="AG6377">
        <v>3.5149539999999901</v>
      </c>
      <c r="AH6377">
        <v>104.79158876459</v>
      </c>
      <c r="AI6377">
        <v>88.085624130097997</v>
      </c>
      <c r="AJ6377">
        <v>94.801852343706798</v>
      </c>
      <c r="AK6377">
        <v>105.21941320589301</v>
      </c>
      <c r="AL6377">
        <v>79.953649659495596</v>
      </c>
      <c r="AM6377">
        <v>97.045030981350195</v>
      </c>
      <c r="AN6377">
        <v>1.0000000183481501</v>
      </c>
    </row>
    <row r="6378" spans="1:40" x14ac:dyDescent="0.25">
      <c r="A6378" t="str">
        <f>"20190304154922996"</f>
        <v>20190304154922996</v>
      </c>
      <c r="B6378" t="str">
        <f>"1551685762993197"</f>
        <v>1551685762993197</v>
      </c>
      <c r="C6378" t="s">
        <v>40</v>
      </c>
      <c r="D6378">
        <v>4.1790570000000002</v>
      </c>
      <c r="E6378">
        <v>0.5144609</v>
      </c>
      <c r="F6378" t="s">
        <v>94</v>
      </c>
      <c r="G6378">
        <v>-276.45670000000001</v>
      </c>
      <c r="H6378">
        <v>4.8962070000000004</v>
      </c>
      <c r="I6378">
        <v>18.575600000000001</v>
      </c>
      <c r="J6378">
        <v>-381.61779999999999</v>
      </c>
      <c r="K6378">
        <v>1.1108260000000001</v>
      </c>
      <c r="L6378">
        <v>17.265139999999999</v>
      </c>
      <c r="M6378">
        <v>0.99758599999999997</v>
      </c>
      <c r="N6378">
        <v>-9.0603390000000006E-3</v>
      </c>
      <c r="O6378">
        <v>-6.884962E-2</v>
      </c>
      <c r="P6378">
        <v>0.98478290000000002</v>
      </c>
      <c r="Q6378">
        <v>0.16551060000000001</v>
      </c>
      <c r="R6378">
        <v>5.3002569999999999E-2</v>
      </c>
      <c r="S6378">
        <v>3.026062</v>
      </c>
      <c r="T6378">
        <v>0.1088071</v>
      </c>
      <c r="U6378">
        <v>3.7445069999999997E-2</v>
      </c>
      <c r="V6378">
        <v>-0.1208361</v>
      </c>
      <c r="W6378">
        <v>0.174265</v>
      </c>
      <c r="X6378">
        <v>0.97725649999999997</v>
      </c>
      <c r="Y6378">
        <v>-8.108216E-2</v>
      </c>
      <c r="Z6378">
        <v>-4.1871119999999998E-3</v>
      </c>
      <c r="AA6378">
        <v>0.99669859999999999</v>
      </c>
      <c r="AB6378">
        <v>23</v>
      </c>
      <c r="AC6378">
        <v>105.161099999999</v>
      </c>
      <c r="AD6378">
        <v>3.7853809999999899</v>
      </c>
      <c r="AE6378">
        <v>1.31046</v>
      </c>
      <c r="AF6378">
        <v>-8.5368887355467393</v>
      </c>
      <c r="AG6378">
        <v>3.7853809999999899</v>
      </c>
      <c r="AH6378">
        <v>104.685687490105</v>
      </c>
      <c r="AI6378">
        <v>87.935961770103802</v>
      </c>
      <c r="AJ6378">
        <v>94.662029467781394</v>
      </c>
      <c r="AK6378">
        <v>105.10138316822599</v>
      </c>
      <c r="AL6378">
        <v>79.964111097426297</v>
      </c>
      <c r="AM6378">
        <v>97.048748206069604</v>
      </c>
      <c r="AN6378">
        <v>0.99999996004022895</v>
      </c>
    </row>
    <row r="6379" spans="1:40" x14ac:dyDescent="0.25">
      <c r="A6379" t="str">
        <f>"20190304154923007"</f>
        <v>20190304154923007</v>
      </c>
      <c r="B6379" t="str">
        <f>"1551685763003933"</f>
        <v>1551685763003933</v>
      </c>
      <c r="C6379" t="s">
        <v>40</v>
      </c>
      <c r="D6379">
        <v>4.1762980000000001</v>
      </c>
      <c r="E6379">
        <v>0.51382269999999997</v>
      </c>
      <c r="F6379" t="s">
        <v>94</v>
      </c>
      <c r="G6379">
        <v>-276.4665</v>
      </c>
      <c r="H6379">
        <v>4.9308059999999996</v>
      </c>
      <c r="I6379">
        <v>18.607780000000002</v>
      </c>
      <c r="J6379">
        <v>-381.49430000000001</v>
      </c>
      <c r="K6379">
        <v>1.1108579999999999</v>
      </c>
      <c r="L6379">
        <v>17.256930000000001</v>
      </c>
      <c r="M6379">
        <v>0.99761049999999996</v>
      </c>
      <c r="N6379">
        <v>-9.03289E-3</v>
      </c>
      <c r="O6379">
        <v>-6.8498110000000001E-2</v>
      </c>
      <c r="P6379">
        <v>0.98471679999999995</v>
      </c>
      <c r="Q6379">
        <v>0.1657767</v>
      </c>
      <c r="R6379">
        <v>5.3397559999999997E-2</v>
      </c>
      <c r="S6379">
        <v>3.0257869999999998</v>
      </c>
      <c r="T6379">
        <v>0.10992209999999999</v>
      </c>
      <c r="U6379">
        <v>3.8635250000000003E-2</v>
      </c>
      <c r="V6379">
        <v>-0.1208954</v>
      </c>
      <c r="W6379">
        <v>0.1744936</v>
      </c>
      <c r="X6379">
        <v>0.97720839999999998</v>
      </c>
      <c r="Y6379">
        <v>-8.1122340000000001E-2</v>
      </c>
      <c r="Z6379">
        <v>-4.2115590000000001E-3</v>
      </c>
      <c r="AA6379">
        <v>0.99669529999999995</v>
      </c>
      <c r="AB6379">
        <v>23</v>
      </c>
      <c r="AC6379">
        <v>105.0278</v>
      </c>
      <c r="AD6379">
        <v>3.8199480000000001</v>
      </c>
      <c r="AE6379">
        <v>1.3508499999999899</v>
      </c>
      <c r="AF6379">
        <v>-8.5308920705547902</v>
      </c>
      <c r="AG6379">
        <v>3.8199480000000001</v>
      </c>
      <c r="AH6379">
        <v>104.55028092076699</v>
      </c>
      <c r="AI6379">
        <v>87.914443033228295</v>
      </c>
      <c r="AJ6379">
        <v>94.664776202013996</v>
      </c>
      <c r="AK6379">
        <v>104.967277581413</v>
      </c>
      <c r="AL6379">
        <v>79.950809741290598</v>
      </c>
      <c r="AM6379">
        <v>97.052516163895405</v>
      </c>
      <c r="AN6379">
        <v>0.99999998560633996</v>
      </c>
    </row>
    <row r="6380" spans="1:40" x14ac:dyDescent="0.25">
      <c r="A6380" t="str">
        <f>"20190304154923020"</f>
        <v>20190304154923020</v>
      </c>
      <c r="B6380" t="str">
        <f>"1551685763013693"</f>
        <v>1551685763013693</v>
      </c>
      <c r="C6380" t="s">
        <v>40</v>
      </c>
      <c r="D6380">
        <v>4.1931120000000002</v>
      </c>
      <c r="E6380">
        <v>0.51332770000000005</v>
      </c>
      <c r="F6380" t="s">
        <v>94</v>
      </c>
      <c r="G6380">
        <v>-276.60320000000002</v>
      </c>
      <c r="H6380">
        <v>4.7941229999999999</v>
      </c>
      <c r="I6380">
        <v>18.810749999999999</v>
      </c>
      <c r="J6380">
        <v>-381.36630000000002</v>
      </c>
      <c r="K6380">
        <v>1.1108910000000001</v>
      </c>
      <c r="L6380">
        <v>17.248570000000001</v>
      </c>
      <c r="M6380">
        <v>0.99763820000000003</v>
      </c>
      <c r="N6380">
        <v>-9.0067600000000008E-3</v>
      </c>
      <c r="O6380">
        <v>-6.8097229999999995E-2</v>
      </c>
      <c r="P6380">
        <v>0.98466600000000004</v>
      </c>
      <c r="Q6380">
        <v>0.16597000000000001</v>
      </c>
      <c r="R6380">
        <v>5.3732130000000003E-2</v>
      </c>
      <c r="S6380">
        <v>3.0262760000000002</v>
      </c>
      <c r="T6380">
        <v>0.10626819999999999</v>
      </c>
      <c r="U6380">
        <v>4.483032E-2</v>
      </c>
      <c r="V6380">
        <v>-0.1208491</v>
      </c>
      <c r="W6380">
        <v>0.17465</v>
      </c>
      <c r="X6380">
        <v>0.9771862</v>
      </c>
      <c r="Y6380">
        <v>-8.2766060000000002E-2</v>
      </c>
      <c r="Z6380">
        <v>-4.0824490000000001E-3</v>
      </c>
      <c r="AA6380">
        <v>0.99656060000000002</v>
      </c>
      <c r="AB6380">
        <v>23</v>
      </c>
      <c r="AC6380">
        <v>104.76309999999999</v>
      </c>
      <c r="AD6380">
        <v>3.6832319999999998</v>
      </c>
      <c r="AE6380">
        <v>1.5621799999999899</v>
      </c>
      <c r="AF6380">
        <v>-8.6821891450693798</v>
      </c>
      <c r="AG6380">
        <v>3.6832319999999998</v>
      </c>
      <c r="AH6380">
        <v>104.284634227092</v>
      </c>
      <c r="AI6380">
        <v>87.984177869341096</v>
      </c>
      <c r="AJ6380">
        <v>94.759169125258794</v>
      </c>
      <c r="AK6380">
        <v>104.710226540653</v>
      </c>
      <c r="AL6380">
        <v>79.9417090640287</v>
      </c>
      <c r="AM6380">
        <v>97.050000953737495</v>
      </c>
      <c r="AN6380">
        <v>0.99999999847062504</v>
      </c>
    </row>
    <row r="6381" spans="1:40" x14ac:dyDescent="0.25">
      <c r="A6381" t="str">
        <f>"20190304154923032"</f>
        <v>20190304154923032</v>
      </c>
      <c r="B6381" t="str">
        <f>"1551685763023455"</f>
        <v>1551685763023455</v>
      </c>
      <c r="C6381" t="s">
        <v>40</v>
      </c>
      <c r="D6381">
        <v>4.1911529999999999</v>
      </c>
      <c r="E6381">
        <v>0.5128741</v>
      </c>
      <c r="F6381" t="s">
        <v>94</v>
      </c>
      <c r="G6381">
        <v>-276.92</v>
      </c>
      <c r="H6381">
        <v>4.6836070000000003</v>
      </c>
      <c r="I6381">
        <v>18.96312</v>
      </c>
      <c r="J6381">
        <v>-381.24540000000002</v>
      </c>
      <c r="K6381">
        <v>1.1109290000000001</v>
      </c>
      <c r="L6381">
        <v>17.240690000000001</v>
      </c>
      <c r="M6381">
        <v>0.99766520000000003</v>
      </c>
      <c r="N6381">
        <v>-8.9830680000000003E-3</v>
      </c>
      <c r="O6381">
        <v>-6.7700800000000005E-2</v>
      </c>
      <c r="P6381">
        <v>0.98460320000000001</v>
      </c>
      <c r="Q6381">
        <v>0.16620589999999999</v>
      </c>
      <c r="R6381">
        <v>5.4149580000000003E-2</v>
      </c>
      <c r="S6381">
        <v>3.0265499999999999</v>
      </c>
      <c r="T6381">
        <v>0.1035281</v>
      </c>
      <c r="U6381">
        <v>4.9682619999999997E-2</v>
      </c>
      <c r="V6381">
        <v>-0.1208881</v>
      </c>
      <c r="W6381">
        <v>0.17485139999999999</v>
      </c>
      <c r="X6381">
        <v>0.97714540000000005</v>
      </c>
      <c r="Y6381">
        <v>-8.3970829999999996E-2</v>
      </c>
      <c r="Z6381">
        <v>-3.9805400000000003E-3</v>
      </c>
      <c r="AA6381">
        <v>0.99646029999999997</v>
      </c>
      <c r="AB6381">
        <v>23</v>
      </c>
      <c r="AC6381">
        <v>104.3254</v>
      </c>
      <c r="AD6381">
        <v>3.5726779999999998</v>
      </c>
      <c r="AE6381">
        <v>1.7224299999999899</v>
      </c>
      <c r="AF6381">
        <v>-8.7713921809195305</v>
      </c>
      <c r="AG6381">
        <v>3.5726779999999998</v>
      </c>
      <c r="AH6381">
        <v>103.84765427414</v>
      </c>
      <c r="AI6381">
        <v>88.036612093836894</v>
      </c>
      <c r="AJ6381">
        <v>94.827973439034906</v>
      </c>
      <c r="AK6381">
        <v>104.278649047274</v>
      </c>
      <c r="AL6381">
        <v>79.929989769597299</v>
      </c>
      <c r="AM6381">
        <v>97.052544696195099</v>
      </c>
      <c r="AN6381">
        <v>1.00000003877236</v>
      </c>
    </row>
    <row r="6382" spans="1:40" x14ac:dyDescent="0.25">
      <c r="A6382" t="str">
        <f>"20190304154923049"</f>
        <v>20190304154923049</v>
      </c>
      <c r="B6382" t="str">
        <f>"1551685763043950"</f>
        <v>1551685763043950</v>
      </c>
      <c r="C6382" t="s">
        <v>40</v>
      </c>
      <c r="D6382">
        <v>4.2020520000000001</v>
      </c>
      <c r="E6382">
        <v>0.51211859999999998</v>
      </c>
      <c r="F6382" t="s">
        <v>94</v>
      </c>
      <c r="G6382">
        <v>-276.46390000000002</v>
      </c>
      <c r="H6382">
        <v>4.6161909999999997</v>
      </c>
      <c r="I6382">
        <v>19.130659999999999</v>
      </c>
      <c r="J6382">
        <v>-381.06020000000001</v>
      </c>
      <c r="K6382">
        <v>1.1109910000000001</v>
      </c>
      <c r="L6382">
        <v>17.228819999999999</v>
      </c>
      <c r="M6382">
        <v>0.99771209999999999</v>
      </c>
      <c r="N6382">
        <v>-8.950922E-3</v>
      </c>
      <c r="O6382">
        <v>-6.7010600000000003E-2</v>
      </c>
      <c r="P6382">
        <v>0.98444580000000004</v>
      </c>
      <c r="Q6382">
        <v>0.16705889999999901</v>
      </c>
      <c r="R6382">
        <v>5.4388319999999997E-2</v>
      </c>
      <c r="S6382">
        <v>3.0268549999999999</v>
      </c>
      <c r="T6382">
        <v>0.1012576</v>
      </c>
      <c r="U6382">
        <v>5.4595949999999997E-2</v>
      </c>
      <c r="V6382">
        <v>-0.12046610000000001</v>
      </c>
      <c r="W6382">
        <v>0.17565420000000001</v>
      </c>
      <c r="X6382">
        <v>0.97705350000000002</v>
      </c>
      <c r="Y6382">
        <v>-8.4901149999999995E-2</v>
      </c>
      <c r="Z6382">
        <v>-3.8792840000000002E-3</v>
      </c>
      <c r="AA6382">
        <v>0.99638179999999998</v>
      </c>
      <c r="AB6382">
        <v>23</v>
      </c>
      <c r="AC6382">
        <v>104.5963</v>
      </c>
      <c r="AD6382">
        <v>3.5051999999999999</v>
      </c>
      <c r="AE6382">
        <v>1.90183999999999</v>
      </c>
      <c r="AF6382">
        <v>-8.8969182893699301</v>
      </c>
      <c r="AG6382">
        <v>3.5051999999999999</v>
      </c>
      <c r="AH6382">
        <v>104.116839553663</v>
      </c>
      <c r="AI6382">
        <v>88.078803356037298</v>
      </c>
      <c r="AJ6382">
        <v>94.884133496348497</v>
      </c>
      <c r="AK6382">
        <v>104.555047036147</v>
      </c>
      <c r="AL6382">
        <v>79.883269364217497</v>
      </c>
      <c r="AM6382">
        <v>97.028826536311698</v>
      </c>
      <c r="AN6382">
        <v>1.0000000105445499</v>
      </c>
    </row>
    <row r="6383" spans="1:40" x14ac:dyDescent="0.25">
      <c r="A6383" t="str">
        <f>"20190304154923062"</f>
        <v>20190304154923062</v>
      </c>
      <c r="B6383" t="str">
        <f>"1551685763053709"</f>
        <v>1551685763053709</v>
      </c>
      <c r="C6383" t="s">
        <v>40</v>
      </c>
      <c r="D6383">
        <v>4.1773660000000001</v>
      </c>
      <c r="E6383">
        <v>0.51274709999999901</v>
      </c>
      <c r="F6383" t="s">
        <v>94</v>
      </c>
      <c r="G6383">
        <v>-277.27199999999999</v>
      </c>
      <c r="H6383">
        <v>4.4959579999999999</v>
      </c>
      <c r="I6383">
        <v>19.346530000000001</v>
      </c>
      <c r="J6383">
        <v>-380.93790000000001</v>
      </c>
      <c r="K6383">
        <v>1.1110340000000001</v>
      </c>
      <c r="L6383">
        <v>17.221160000000001</v>
      </c>
      <c r="M6383">
        <v>0.99774609999999997</v>
      </c>
      <c r="N6383">
        <v>-8.9319919999999997E-3</v>
      </c>
      <c r="O6383">
        <v>-6.6505430000000004E-2</v>
      </c>
      <c r="P6383">
        <v>0.9843963</v>
      </c>
      <c r="Q6383">
        <v>0.16731599999999999</v>
      </c>
      <c r="R6383">
        <v>5.4494040000000001E-2</v>
      </c>
      <c r="S6383">
        <v>3.0272220000000001</v>
      </c>
      <c r="T6383">
        <v>9.872997E-2</v>
      </c>
      <c r="U6383">
        <v>6.1767580000000002E-2</v>
      </c>
      <c r="V6383">
        <v>-0.1200913</v>
      </c>
      <c r="W6383">
        <v>0.17588139999999999</v>
      </c>
      <c r="X6383">
        <v>0.97705880000000001</v>
      </c>
      <c r="Y6383">
        <v>-8.6758050000000003E-2</v>
      </c>
      <c r="Z6383">
        <v>-3.7880380000000001E-3</v>
      </c>
      <c r="AA6383">
        <v>0.99622219999999995</v>
      </c>
      <c r="AB6383">
        <v>23</v>
      </c>
      <c r="AC6383">
        <v>103.66589999999999</v>
      </c>
      <c r="AD6383">
        <v>3.3849239999999998</v>
      </c>
      <c r="AE6383">
        <v>2.12536999999999</v>
      </c>
      <c r="AF6383">
        <v>-9.0056868169579705</v>
      </c>
      <c r="AG6383">
        <v>3.3849239999999998</v>
      </c>
      <c r="AH6383">
        <v>103.185051168333</v>
      </c>
      <c r="AI6383">
        <v>88.128230224699607</v>
      </c>
      <c r="AJ6383">
        <v>94.987967287575501</v>
      </c>
      <c r="AK6383">
        <v>103.632595693355</v>
      </c>
      <c r="AL6383">
        <v>79.870046227202494</v>
      </c>
      <c r="AM6383">
        <v>97.007138214567505</v>
      </c>
      <c r="AN6383">
        <v>1.0000000429295399</v>
      </c>
    </row>
    <row r="6384" spans="1:40" x14ac:dyDescent="0.25">
      <c r="A6384" t="str">
        <f>"20190304154923074"</f>
        <v>20190304154923074</v>
      </c>
      <c r="B6384" t="str">
        <f>"1551685763063469"</f>
        <v>1551685763063469</v>
      </c>
      <c r="C6384" t="s">
        <v>40</v>
      </c>
      <c r="D6384">
        <v>4.192736</v>
      </c>
      <c r="E6384">
        <v>0.512374</v>
      </c>
      <c r="F6384" t="s">
        <v>94</v>
      </c>
      <c r="G6384">
        <v>-276.47320000000002</v>
      </c>
      <c r="H6384">
        <v>4.670947</v>
      </c>
      <c r="I6384">
        <v>19.207550000000001</v>
      </c>
      <c r="J6384">
        <v>-380.8143</v>
      </c>
      <c r="K6384">
        <v>1.1110770000000001</v>
      </c>
      <c r="L6384">
        <v>17.213439999999999</v>
      </c>
      <c r="M6384">
        <v>0.99778149999999999</v>
      </c>
      <c r="N6384">
        <v>-8.9136549999999995E-3</v>
      </c>
      <c r="O6384">
        <v>-6.5975099999999995E-2</v>
      </c>
      <c r="P6384">
        <v>0.98433579999999998</v>
      </c>
      <c r="Q6384">
        <v>0.16757529999999901</v>
      </c>
      <c r="R6384">
        <v>5.4784239999999998E-2</v>
      </c>
      <c r="S6384">
        <v>3.0268860000000002</v>
      </c>
      <c r="T6384">
        <v>0.1031493</v>
      </c>
      <c r="U6384">
        <v>5.755615E-2</v>
      </c>
      <c r="V6384">
        <v>-0.1198757</v>
      </c>
      <c r="W6384">
        <v>0.17610999999999999</v>
      </c>
      <c r="X6384">
        <v>0.97704400000000002</v>
      </c>
      <c r="Y6384">
        <v>-8.4838640000000007E-2</v>
      </c>
      <c r="Z6384">
        <v>-3.9013699999999999E-3</v>
      </c>
      <c r="AA6384">
        <v>0.99638709999999997</v>
      </c>
      <c r="AB6384">
        <v>23</v>
      </c>
      <c r="AC6384">
        <v>104.341099999999</v>
      </c>
      <c r="AD6384">
        <v>3.5598699999999899</v>
      </c>
      <c r="AE6384">
        <v>1.99411</v>
      </c>
      <c r="AF6384">
        <v>-8.8636391034895592</v>
      </c>
      <c r="AG6384">
        <v>3.5598699999999899</v>
      </c>
      <c r="AH6384">
        <v>103.86133229290201</v>
      </c>
      <c r="AI6384">
        <v>88.044047272585104</v>
      </c>
      <c r="AJ6384">
        <v>94.877865080470102</v>
      </c>
      <c r="AK6384">
        <v>104.299631438612</v>
      </c>
      <c r="AL6384">
        <v>79.856739740162695</v>
      </c>
      <c r="AM6384">
        <v>96.994787926979001</v>
      </c>
      <c r="AN6384">
        <v>0.999999946743243</v>
      </c>
    </row>
    <row r="6385" spans="1:40" x14ac:dyDescent="0.25">
      <c r="A6385" t="str">
        <f>"20190304154923085"</f>
        <v>20190304154923085</v>
      </c>
      <c r="B6385" t="str">
        <f>"1551685763083966"</f>
        <v>1551685763083966</v>
      </c>
      <c r="C6385" t="s">
        <v>40</v>
      </c>
      <c r="D6385">
        <v>4.22492</v>
      </c>
      <c r="E6385">
        <v>0.51271520000000004</v>
      </c>
      <c r="F6385" t="s">
        <v>94</v>
      </c>
      <c r="G6385">
        <v>-277.3879</v>
      </c>
      <c r="H6385">
        <v>4.5803929999999999</v>
      </c>
      <c r="I6385">
        <v>19.315550000000002</v>
      </c>
      <c r="J6385">
        <v>-380.68470000000002</v>
      </c>
      <c r="K6385">
        <v>1.1111219999999999</v>
      </c>
      <c r="L6385">
        <v>17.205469999999998</v>
      </c>
      <c r="M6385">
        <v>0.99782170000000003</v>
      </c>
      <c r="N6385">
        <v>-8.8966469999999902E-3</v>
      </c>
      <c r="O6385">
        <v>-6.5368220000000005E-2</v>
      </c>
      <c r="P6385">
        <v>0.98426080000000005</v>
      </c>
      <c r="Q6385">
        <v>0.16786960000000001</v>
      </c>
      <c r="R6385">
        <v>5.5235180000000002E-2</v>
      </c>
      <c r="S6385">
        <v>3.0270389999999998</v>
      </c>
      <c r="T6385">
        <v>0.1015384</v>
      </c>
      <c r="U6385">
        <v>6.1523439999999999E-2</v>
      </c>
      <c r="V6385">
        <v>-0.11974650000000001</v>
      </c>
      <c r="W6385">
        <v>0.176373799999999</v>
      </c>
      <c r="X6385">
        <v>0.97701229999999994</v>
      </c>
      <c r="Y6385">
        <v>-8.5540099999999994E-2</v>
      </c>
      <c r="Z6385">
        <v>-3.8260479999999999E-3</v>
      </c>
      <c r="AA6385">
        <v>0.99632739999999997</v>
      </c>
      <c r="AB6385">
        <v>23</v>
      </c>
      <c r="AC6385">
        <v>103.2968</v>
      </c>
      <c r="AD6385">
        <v>3.469271</v>
      </c>
      <c r="AE6385">
        <v>2.11008</v>
      </c>
      <c r="AF6385">
        <v>-8.8481843616353597</v>
      </c>
      <c r="AG6385">
        <v>3.469271</v>
      </c>
      <c r="AH6385">
        <v>102.821981742175</v>
      </c>
      <c r="AI6385">
        <v>88.074651800578593</v>
      </c>
      <c r="AJ6385">
        <v>94.918381796354893</v>
      </c>
      <c r="AK6385">
        <v>103.260283445075</v>
      </c>
      <c r="AL6385">
        <v>79.841385182638803</v>
      </c>
      <c r="AM6385">
        <v>96.987548095540802</v>
      </c>
      <c r="AN6385">
        <v>0.99999998796998901</v>
      </c>
    </row>
    <row r="6386" spans="1:40" x14ac:dyDescent="0.25">
      <c r="A6386" t="str">
        <f>"20190304154923098"</f>
        <v>20190304154923098</v>
      </c>
      <c r="B6386" t="str">
        <f>"1551685763093725"</f>
        <v>1551685763093725</v>
      </c>
      <c r="C6386" t="s">
        <v>40</v>
      </c>
      <c r="D6386">
        <v>4.4040160000000004</v>
      </c>
      <c r="E6386">
        <v>0.51206090000000004</v>
      </c>
      <c r="F6386" t="s">
        <v>94</v>
      </c>
      <c r="G6386">
        <v>-277.4837</v>
      </c>
      <c r="H6386">
        <v>4.5468080000000004</v>
      </c>
      <c r="I6386">
        <v>19.25489</v>
      </c>
      <c r="J6386">
        <v>-380.56310000000002</v>
      </c>
      <c r="K6386">
        <v>1.1111679999999999</v>
      </c>
      <c r="L6386">
        <v>17.198119999999999</v>
      </c>
      <c r="M6386">
        <v>0.99786109999999995</v>
      </c>
      <c r="N6386">
        <v>-8.8819829999999995E-3</v>
      </c>
      <c r="O6386">
        <v>-6.4766149999999995E-2</v>
      </c>
      <c r="P6386">
        <v>0.98430050000000002</v>
      </c>
      <c r="Q6386">
        <v>0.16754379999999999</v>
      </c>
      <c r="R6386">
        <v>5.5513890000000003E-2</v>
      </c>
      <c r="S6386">
        <v>3.0274049999999999</v>
      </c>
      <c r="T6386">
        <v>0.10078620000000001</v>
      </c>
      <c r="U6386">
        <v>6.011963E-2</v>
      </c>
      <c r="V6386">
        <v>-0.11945550000000001</v>
      </c>
      <c r="W6386">
        <v>0.17602219999999999</v>
      </c>
      <c r="X6386">
        <v>0.97711130000000002</v>
      </c>
      <c r="Y6386">
        <v>-8.4476949999999995E-2</v>
      </c>
      <c r="Z6386">
        <v>-3.7601309999999999E-3</v>
      </c>
      <c r="AA6386">
        <v>0.99641840000000004</v>
      </c>
      <c r="AB6386">
        <v>23</v>
      </c>
      <c r="AC6386">
        <v>103.07940000000001</v>
      </c>
      <c r="AD6386">
        <v>3.4356399999999998</v>
      </c>
      <c r="AE6386">
        <v>2.0567700000000002</v>
      </c>
      <c r="AF6386">
        <v>-8.7190874744049491</v>
      </c>
      <c r="AG6386">
        <v>3.4356399999999998</v>
      </c>
      <c r="AH6386">
        <v>102.615800636226</v>
      </c>
      <c r="AI6386">
        <v>88.089298143762306</v>
      </c>
      <c r="AJ6386">
        <v>94.856658192562094</v>
      </c>
      <c r="AK6386">
        <v>103.042848605857</v>
      </c>
      <c r="AL6386">
        <v>79.861850298932595</v>
      </c>
      <c r="AM6386">
        <v>96.970035366060102</v>
      </c>
      <c r="AN6386">
        <v>0.99999996198038898</v>
      </c>
    </row>
    <row r="6387" spans="1:40" x14ac:dyDescent="0.25">
      <c r="A6387" t="str">
        <f>"20190304154923117"</f>
        <v>20190304154923117</v>
      </c>
      <c r="B6387" t="str">
        <f>"1551685763113245"</f>
        <v>1551685763113245</v>
      </c>
      <c r="C6387" t="s">
        <v>40</v>
      </c>
      <c r="D6387">
        <v>4.198976</v>
      </c>
      <c r="E6387">
        <v>0.45055139999999999</v>
      </c>
      <c r="F6387" t="s">
        <v>94</v>
      </c>
      <c r="G6387">
        <v>-277.12920000000003</v>
      </c>
      <c r="H6387">
        <v>4.6081200000000004</v>
      </c>
      <c r="I6387">
        <v>19.458120000000001</v>
      </c>
      <c r="J6387">
        <v>-380.37400000000002</v>
      </c>
      <c r="K6387">
        <v>1.1112340000000001</v>
      </c>
      <c r="L6387">
        <v>17.186920000000001</v>
      </c>
      <c r="M6387">
        <v>0.99792539999999996</v>
      </c>
      <c r="N6387">
        <v>-8.8614650000000007E-3</v>
      </c>
      <c r="O6387">
        <v>-6.3768469999999994E-2</v>
      </c>
      <c r="P6387">
        <v>0.98427779999999998</v>
      </c>
      <c r="Q6387">
        <v>0.16743179999999999</v>
      </c>
      <c r="R6387">
        <v>5.6249769999999998E-2</v>
      </c>
      <c r="S6387">
        <v>3.026672</v>
      </c>
      <c r="T6387">
        <v>0.1023265</v>
      </c>
      <c r="U6387">
        <v>6.6131590000000004E-2</v>
      </c>
      <c r="V6387">
        <v>-0.11923880000000001</v>
      </c>
      <c r="W6387">
        <v>0.17587149999999999</v>
      </c>
      <c r="X6387">
        <v>0.9771649</v>
      </c>
      <c r="Y6387">
        <v>-8.5461670000000003E-2</v>
      </c>
      <c r="Z6387">
        <v>-3.7845969999999998E-3</v>
      </c>
      <c r="AA6387">
        <v>0.99633430000000001</v>
      </c>
      <c r="AB6387">
        <v>23</v>
      </c>
      <c r="AC6387">
        <v>103.2448</v>
      </c>
      <c r="AD6387">
        <v>3.4968859999999902</v>
      </c>
      <c r="AE6387">
        <v>2.2711999999999999</v>
      </c>
      <c r="AF6387">
        <v>-8.8404618174752194</v>
      </c>
      <c r="AG6387">
        <v>3.4968859999999902</v>
      </c>
      <c r="AH6387">
        <v>102.771975201247</v>
      </c>
      <c r="AI6387">
        <v>88.058388848873406</v>
      </c>
      <c r="AJ6387">
        <v>94.916489524986503</v>
      </c>
      <c r="AK6387">
        <v>103.210759437226</v>
      </c>
      <c r="AL6387">
        <v>79.870621576706299</v>
      </c>
      <c r="AM6387">
        <v>96.957137415517295</v>
      </c>
      <c r="AN6387">
        <v>0.99999995886484905</v>
      </c>
    </row>
    <row r="6388" spans="1:40" x14ac:dyDescent="0.25">
      <c r="A6388" t="str">
        <f>"20190304154923128"</f>
        <v>20190304154923128</v>
      </c>
      <c r="B6388" t="str">
        <f>"1551685763123981"</f>
        <v>1551685763123981</v>
      </c>
      <c r="C6388" t="s">
        <v>40</v>
      </c>
      <c r="D6388">
        <v>4.1879200000000001</v>
      </c>
      <c r="E6388">
        <v>0.44719579999999998</v>
      </c>
      <c r="F6388" t="s">
        <v>96</v>
      </c>
      <c r="G6388">
        <v>-280.86250000000001</v>
      </c>
      <c r="H6388">
        <v>1.916388</v>
      </c>
      <c r="I6388">
        <v>35.597149999999999</v>
      </c>
      <c r="J6388">
        <v>-380.2448</v>
      </c>
      <c r="K6388">
        <v>1.111273</v>
      </c>
      <c r="L6388">
        <v>17.179379999999998</v>
      </c>
      <c r="M6388">
        <v>0.99797170000000002</v>
      </c>
      <c r="N6388">
        <v>-8.8489350000000005E-3</v>
      </c>
      <c r="O6388">
        <v>-6.304506E-2</v>
      </c>
      <c r="P6388">
        <v>0.98428400000000005</v>
      </c>
      <c r="Q6388">
        <v>0.16714219999999999</v>
      </c>
      <c r="R6388">
        <v>5.6998899999999998E-2</v>
      </c>
      <c r="S6388">
        <v>3.0119020000000001</v>
      </c>
      <c r="T6388">
        <v>2.4369600000000002E-2</v>
      </c>
      <c r="U6388">
        <v>0.55722050000000001</v>
      </c>
      <c r="V6388">
        <v>-0.119296</v>
      </c>
      <c r="W6388">
        <v>0.1755565</v>
      </c>
      <c r="X6388">
        <v>0.97721460000000004</v>
      </c>
      <c r="Y6388">
        <v>-0.2435447</v>
      </c>
      <c r="Z6388">
        <v>-9.4925599999999999E-4</v>
      </c>
      <c r="AA6388">
        <v>0.96988920000000001</v>
      </c>
      <c r="AB6388">
        <v>23</v>
      </c>
      <c r="AC6388">
        <v>99.382300000000001</v>
      </c>
      <c r="AD6388">
        <v>0.80511500000000003</v>
      </c>
      <c r="AE6388">
        <v>18.417770000000001</v>
      </c>
      <c r="AF6388">
        <v>-24.645371414706599</v>
      </c>
      <c r="AG6388">
        <v>0.80511500000000003</v>
      </c>
      <c r="AH6388">
        <v>98.0171677612868</v>
      </c>
      <c r="AI6388">
        <v>89.543587751300095</v>
      </c>
      <c r="AJ6388">
        <v>104.11383387951101</v>
      </c>
      <c r="AK6388">
        <v>101.071300171098</v>
      </c>
      <c r="AL6388">
        <v>79.888955386528906</v>
      </c>
      <c r="AM6388">
        <v>96.960091562478596</v>
      </c>
      <c r="AN6388">
        <v>0.999999997380705</v>
      </c>
    </row>
    <row r="6389" spans="1:40" x14ac:dyDescent="0.25">
      <c r="A6389" t="str">
        <f>"20190304154923141"</f>
        <v>20190304154923141</v>
      </c>
      <c r="B6389" t="str">
        <f>"1551685763133742"</f>
        <v>1551685763133742</v>
      </c>
      <c r="C6389" t="s">
        <v>40</v>
      </c>
      <c r="D6389">
        <v>4.1446779999999999</v>
      </c>
      <c r="E6389">
        <v>0.44607629999999998</v>
      </c>
      <c r="F6389" t="s">
        <v>96</v>
      </c>
      <c r="G6389">
        <v>-280.86259999999999</v>
      </c>
      <c r="H6389">
        <v>1.4652860000000001</v>
      </c>
      <c r="I6389">
        <v>36.519970000000001</v>
      </c>
      <c r="J6389">
        <v>-380.12569999999999</v>
      </c>
      <c r="K6389">
        <v>1.1113090000000001</v>
      </c>
      <c r="L6389">
        <v>17.172609999999999</v>
      </c>
      <c r="M6389">
        <v>0.99801589999999996</v>
      </c>
      <c r="N6389">
        <v>-8.8387550000000002E-3</v>
      </c>
      <c r="O6389">
        <v>-6.2339850000000002E-2</v>
      </c>
      <c r="P6389">
        <v>0.98420110000000005</v>
      </c>
      <c r="Q6389">
        <v>0.1673808</v>
      </c>
      <c r="R6389">
        <v>5.7723579999999997E-2</v>
      </c>
      <c r="S6389">
        <v>3.0121150000000001</v>
      </c>
      <c r="T6389">
        <v>1.072967E-2</v>
      </c>
      <c r="U6389">
        <v>0.58618159999999997</v>
      </c>
      <c r="V6389">
        <v>-0.1193393</v>
      </c>
      <c r="W6389">
        <v>0.17577390000000001</v>
      </c>
      <c r="X6389">
        <v>0.97717019999999999</v>
      </c>
      <c r="Y6389">
        <v>-0.25184479999999998</v>
      </c>
      <c r="Z6389" s="1">
        <v>-8.6579699999999994E-5</v>
      </c>
      <c r="AA6389">
        <v>0.96776770000000001</v>
      </c>
      <c r="AB6389">
        <v>23</v>
      </c>
      <c r="AC6389">
        <v>99.263099999999994</v>
      </c>
      <c r="AD6389">
        <v>0.35397699999999999</v>
      </c>
      <c r="AE6389">
        <v>19.347359999999998</v>
      </c>
      <c r="AF6389">
        <v>-25.497701812358098</v>
      </c>
      <c r="AG6389">
        <v>0.35397699999999999</v>
      </c>
      <c r="AH6389">
        <v>97.862658701058095</v>
      </c>
      <c r="AI6389">
        <v>89.799452693764806</v>
      </c>
      <c r="AJ6389">
        <v>104.60350262229301</v>
      </c>
      <c r="AK6389">
        <v>101.13040129193701</v>
      </c>
      <c r="AL6389">
        <v>79.876302211747699</v>
      </c>
      <c r="AM6389">
        <v>96.962906279673305</v>
      </c>
      <c r="AN6389">
        <v>0.99999996610686903</v>
      </c>
    </row>
    <row r="6390" spans="1:40" x14ac:dyDescent="0.25">
      <c r="A6390" t="str">
        <f>"20190304154923155"</f>
        <v>20190304154923155</v>
      </c>
      <c r="B6390" t="str">
        <f>"1551685763143500"</f>
        <v>1551685763143500</v>
      </c>
      <c r="C6390" t="s">
        <v>40</v>
      </c>
      <c r="D6390">
        <v>4.1940689999999998</v>
      </c>
      <c r="E6390">
        <v>0.44539010000000001</v>
      </c>
      <c r="F6390" t="s">
        <v>96</v>
      </c>
      <c r="G6390">
        <v>-280.86259999999999</v>
      </c>
      <c r="H6390">
        <v>1.157565</v>
      </c>
      <c r="I6390">
        <v>36.8521</v>
      </c>
      <c r="J6390">
        <v>-379.97719999999998</v>
      </c>
      <c r="K6390">
        <v>1.111354</v>
      </c>
      <c r="L6390">
        <v>17.16422</v>
      </c>
      <c r="M6390">
        <v>0.99807230000000002</v>
      </c>
      <c r="N6390">
        <v>-8.8269619999999903E-3</v>
      </c>
      <c r="O6390">
        <v>-6.1433830000000002E-2</v>
      </c>
      <c r="P6390">
        <v>0.98412880000000003</v>
      </c>
      <c r="Q6390">
        <v>0.1675094</v>
      </c>
      <c r="R6390">
        <v>5.8579440000000003E-2</v>
      </c>
      <c r="S6390">
        <v>3.0128780000000002</v>
      </c>
      <c r="T6390">
        <v>1.4040470000000001E-3</v>
      </c>
      <c r="U6390">
        <v>0.59732059999999998</v>
      </c>
      <c r="V6390">
        <v>-0.1193207</v>
      </c>
      <c r="W6390">
        <v>0.1758776</v>
      </c>
      <c r="X6390">
        <v>0.97715379999999996</v>
      </c>
      <c r="Y6390">
        <v>-0.2543646</v>
      </c>
      <c r="Z6390">
        <v>5.0990529999999897E-4</v>
      </c>
      <c r="AA6390">
        <v>0.96710819999999997</v>
      </c>
      <c r="AB6390">
        <v>23</v>
      </c>
      <c r="AC6390">
        <v>99.114599999999996</v>
      </c>
      <c r="AD6390">
        <v>4.6210999999999697E-2</v>
      </c>
      <c r="AE6390">
        <v>19.68788</v>
      </c>
      <c r="AF6390">
        <v>-25.7399101004772</v>
      </c>
      <c r="AG6390">
        <v>4.6210999999999697E-2</v>
      </c>
      <c r="AH6390">
        <v>97.717804463475503</v>
      </c>
      <c r="AI6390">
        <v>89.9737984375531</v>
      </c>
      <c r="AJ6390">
        <v>104.757105703623</v>
      </c>
      <c r="AK6390">
        <v>101.051048567539</v>
      </c>
      <c r="AL6390">
        <v>79.870266490987703</v>
      </c>
      <c r="AM6390">
        <v>96.961947401694502</v>
      </c>
      <c r="AN6390">
        <v>0.999999954242344</v>
      </c>
    </row>
    <row r="6391" spans="1:40" x14ac:dyDescent="0.25">
      <c r="A6391" t="str">
        <f>"20190304154923174"</f>
        <v>20190304154923174</v>
      </c>
      <c r="B6391" t="str">
        <f>"1551685763163997"</f>
        <v>1551685763163997</v>
      </c>
      <c r="C6391" t="s">
        <v>40</v>
      </c>
      <c r="D6391">
        <v>4.1844080000000003</v>
      </c>
      <c r="E6391">
        <v>0.44455339999999999</v>
      </c>
      <c r="F6391" t="s">
        <v>96</v>
      </c>
      <c r="G6391">
        <v>-280.86259999999999</v>
      </c>
      <c r="H6391">
        <v>0.9635186</v>
      </c>
      <c r="I6391">
        <v>37.0807</v>
      </c>
      <c r="J6391">
        <v>-379.7715</v>
      </c>
      <c r="K6391">
        <v>1.1114040000000001</v>
      </c>
      <c r="L6391">
        <v>17.152979999999999</v>
      </c>
      <c r="M6391">
        <v>0.99815330000000002</v>
      </c>
      <c r="N6391">
        <v>-8.8130989999999996E-3</v>
      </c>
      <c r="O6391">
        <v>-6.010501E-2</v>
      </c>
      <c r="P6391">
        <v>0.98400900000000002</v>
      </c>
      <c r="Q6391">
        <v>0.16758100000000001</v>
      </c>
      <c r="R6391">
        <v>6.0357670000000002E-2</v>
      </c>
      <c r="S6391">
        <v>3.0131230000000002</v>
      </c>
      <c r="T6391">
        <v>-4.4941900000000003E-3</v>
      </c>
      <c r="U6391">
        <v>0.60546880000000003</v>
      </c>
      <c r="V6391">
        <v>-0.1198105</v>
      </c>
      <c r="W6391">
        <v>0.17591660000000001</v>
      </c>
      <c r="X6391">
        <v>0.97708689999999998</v>
      </c>
      <c r="Y6391">
        <v>-0.25557550000000001</v>
      </c>
      <c r="Z6391">
        <v>8.9102539999999996E-4</v>
      </c>
      <c r="AA6391">
        <v>0.9667886</v>
      </c>
      <c r="AB6391">
        <v>23</v>
      </c>
      <c r="AC6391">
        <v>98.908900000000003</v>
      </c>
      <c r="AD6391">
        <v>-0.1478854</v>
      </c>
      <c r="AE6391">
        <v>19.927720000000001</v>
      </c>
      <c r="AF6391">
        <v>-25.8367840113543</v>
      </c>
      <c r="AG6391">
        <v>-0.1478854</v>
      </c>
      <c r="AH6391">
        <v>97.532053067270695</v>
      </c>
      <c r="AI6391">
        <v>90.083979418440506</v>
      </c>
      <c r="AJ6391">
        <v>104.837171461632</v>
      </c>
      <c r="AK6391">
        <v>100.89629653093201</v>
      </c>
      <c r="AL6391">
        <v>79.867997115583407</v>
      </c>
      <c r="AM6391">
        <v>96.990717232265496</v>
      </c>
      <c r="AN6391">
        <v>1.0000000081087099</v>
      </c>
    </row>
    <row r="6392" spans="1:40" x14ac:dyDescent="0.25">
      <c r="A6392" t="str">
        <f>"20190304154923190"</f>
        <v>20190304154923190</v>
      </c>
      <c r="B6392" t="str">
        <f>"1551685763183517"</f>
        <v>1551685763183517</v>
      </c>
      <c r="C6392" t="s">
        <v>40</v>
      </c>
      <c r="D6392">
        <v>4.1690500000000004</v>
      </c>
      <c r="E6392">
        <v>0.44404779999999999</v>
      </c>
      <c r="F6392" t="s">
        <v>96</v>
      </c>
      <c r="G6392">
        <v>-280.86259999999999</v>
      </c>
      <c r="H6392">
        <v>0.72248699999999999</v>
      </c>
      <c r="I6392">
        <v>37.423079999999999</v>
      </c>
      <c r="J6392">
        <v>-379.6046</v>
      </c>
      <c r="K6392">
        <v>1.111443</v>
      </c>
      <c r="L6392">
        <v>17.144130000000001</v>
      </c>
      <c r="M6392">
        <v>0.99822060000000001</v>
      </c>
      <c r="N6392">
        <v>-8.8034810000000002E-3</v>
      </c>
      <c r="O6392">
        <v>-5.8977069999999999E-2</v>
      </c>
      <c r="P6392">
        <v>0.98392159999999995</v>
      </c>
      <c r="Q6392">
        <v>0.16757629999999901</v>
      </c>
      <c r="R6392">
        <v>6.1781269999999999E-2</v>
      </c>
      <c r="S6392">
        <v>3.0129389999999998</v>
      </c>
      <c r="T6392">
        <v>-1.184702E-2</v>
      </c>
      <c r="U6392">
        <v>0.61746219999999996</v>
      </c>
      <c r="V6392">
        <v>-0.1201391</v>
      </c>
      <c r="W6392">
        <v>0.1758884</v>
      </c>
      <c r="X6392">
        <v>0.97705160000000002</v>
      </c>
      <c r="Y6392">
        <v>-0.25818619999999998</v>
      </c>
      <c r="Z6392">
        <v>1.3670119999999999E-3</v>
      </c>
      <c r="AA6392">
        <v>0.96609420000000001</v>
      </c>
      <c r="AB6392">
        <v>23</v>
      </c>
      <c r="AC6392">
        <v>98.742000000000004</v>
      </c>
      <c r="AD6392">
        <v>-0.38895600000000002</v>
      </c>
      <c r="AE6392">
        <v>20.278949999999998</v>
      </c>
      <c r="AF6392">
        <v>-26.066999411696099</v>
      </c>
      <c r="AG6392">
        <v>-0.38895600000000002</v>
      </c>
      <c r="AH6392">
        <v>97.372621162164904</v>
      </c>
      <c r="AI6392">
        <v>90.221082580862898</v>
      </c>
      <c r="AJ6392">
        <v>104.98686939355601</v>
      </c>
      <c r="AK6392">
        <v>100.802118514889</v>
      </c>
      <c r="AL6392">
        <v>79.869638169659098</v>
      </c>
      <c r="AM6392">
        <v>97.009950668707404</v>
      </c>
      <c r="AN6392">
        <v>0.99999998083296404</v>
      </c>
    </row>
    <row r="6393" spans="1:40" x14ac:dyDescent="0.25">
      <c r="A6393" t="str">
        <f>"20190304154923206"</f>
        <v>20190304154923206</v>
      </c>
      <c r="B6393" t="str">
        <f>"1551685763204013"</f>
        <v>1551685763204013</v>
      </c>
      <c r="C6393" t="s">
        <v>40</v>
      </c>
      <c r="D6393">
        <v>4.1778500000000003</v>
      </c>
      <c r="E6393">
        <v>0.44393060000000001</v>
      </c>
      <c r="F6393" t="s">
        <v>96</v>
      </c>
      <c r="G6393">
        <v>-280.86250000000001</v>
      </c>
      <c r="H6393">
        <v>0.57420249999999995</v>
      </c>
      <c r="I6393">
        <v>37.654760000000003</v>
      </c>
      <c r="J6393">
        <v>-379.43349999999998</v>
      </c>
      <c r="K6393">
        <v>1.111483</v>
      </c>
      <c r="L6393">
        <v>17.13531</v>
      </c>
      <c r="M6393">
        <v>0.99829089999999998</v>
      </c>
      <c r="N6393">
        <v>-8.7952910000000002E-3</v>
      </c>
      <c r="O6393">
        <v>-5.7776950000000001E-2</v>
      </c>
      <c r="P6393">
        <v>0.9837707</v>
      </c>
      <c r="Q6393">
        <v>0.16766589999999901</v>
      </c>
      <c r="R6393">
        <v>6.3904610000000001E-2</v>
      </c>
      <c r="S6393">
        <v>3.012543</v>
      </c>
      <c r="T6393">
        <v>-1.6390680000000001E-2</v>
      </c>
      <c r="U6393">
        <v>0.62576290000000001</v>
      </c>
      <c r="V6393">
        <v>-0.1210899</v>
      </c>
      <c r="W6393">
        <v>0.17595549999999999</v>
      </c>
      <c r="X6393">
        <v>0.97692219999999996</v>
      </c>
      <c r="Y6393">
        <v>-0.25959949999999998</v>
      </c>
      <c r="Z6393">
        <v>1.661584E-3</v>
      </c>
      <c r="AA6393">
        <v>0.96571490000000004</v>
      </c>
      <c r="AB6393">
        <v>23</v>
      </c>
      <c r="AC6393">
        <v>98.570999999999898</v>
      </c>
      <c r="AD6393">
        <v>-0.53728050000000005</v>
      </c>
      <c r="AE6393">
        <v>20.519449999999999</v>
      </c>
      <c r="AF6393">
        <v>-26.179775767075199</v>
      </c>
      <c r="AG6393">
        <v>-0.53728050000000005</v>
      </c>
      <c r="AH6393">
        <v>97.217960758681002</v>
      </c>
      <c r="AI6393">
        <v>90.305753208290994</v>
      </c>
      <c r="AJ6393">
        <v>105.071625557125</v>
      </c>
      <c r="AK6393">
        <v>100.682675886303</v>
      </c>
      <c r="AL6393">
        <v>79.865733354079794</v>
      </c>
      <c r="AM6393">
        <v>97.0657964110666</v>
      </c>
      <c r="AN6393">
        <v>1.00000004335754</v>
      </c>
    </row>
    <row r="6394" spans="1:40" x14ac:dyDescent="0.25">
      <c r="A6394" t="str">
        <f>"20190304154923221"</f>
        <v>20190304154923221</v>
      </c>
      <c r="B6394" t="str">
        <f>"1551685763213773"</f>
        <v>1551685763213773</v>
      </c>
      <c r="C6394" t="s">
        <v>40</v>
      </c>
      <c r="D6394">
        <v>4.1654619999999998</v>
      </c>
      <c r="E6394">
        <v>0.4438531</v>
      </c>
      <c r="F6394" t="s">
        <v>96</v>
      </c>
      <c r="G6394">
        <v>-280.86250000000001</v>
      </c>
      <c r="H6394">
        <v>0.50312950000000001</v>
      </c>
      <c r="I6394">
        <v>37.845770000000002</v>
      </c>
      <c r="J6394">
        <v>-379.29880000000003</v>
      </c>
      <c r="K6394">
        <v>1.1115109999999999</v>
      </c>
      <c r="L6394">
        <v>17.128540000000001</v>
      </c>
      <c r="M6394">
        <v>0.99834630000000002</v>
      </c>
      <c r="N6394">
        <v>-8.7895179999999996E-3</v>
      </c>
      <c r="O6394">
        <v>-5.6810920000000001E-2</v>
      </c>
      <c r="P6394">
        <v>0.98369910000000005</v>
      </c>
      <c r="Q6394">
        <v>0.16758789999999901</v>
      </c>
      <c r="R6394">
        <v>6.5197480000000002E-2</v>
      </c>
      <c r="S6394">
        <v>3.0115660000000002</v>
      </c>
      <c r="T6394">
        <v>-1.8586519999999999E-2</v>
      </c>
      <c r="U6394">
        <v>0.63275150000000002</v>
      </c>
      <c r="V6394">
        <v>-0.1214408</v>
      </c>
      <c r="W6394">
        <v>0.17586360000000001</v>
      </c>
      <c r="X6394">
        <v>0.97689519999999996</v>
      </c>
      <c r="Y6394">
        <v>-0.26087260000000001</v>
      </c>
      <c r="Z6394">
        <v>1.8090039999999999E-3</v>
      </c>
      <c r="AA6394">
        <v>0.96537150000000005</v>
      </c>
      <c r="AB6394">
        <v>23</v>
      </c>
      <c r="AC6394">
        <v>98.436300000000003</v>
      </c>
      <c r="AD6394">
        <v>-0.60838150000000002</v>
      </c>
      <c r="AE6394">
        <v>20.717229999999901</v>
      </c>
      <c r="AF6394">
        <v>-26.275279668315999</v>
      </c>
      <c r="AG6394">
        <v>-0.60838150000000002</v>
      </c>
      <c r="AH6394">
        <v>97.096746801471596</v>
      </c>
      <c r="AI6394">
        <v>90.346531230852406</v>
      </c>
      <c r="AJ6394">
        <v>105.142106750183</v>
      </c>
      <c r="AK6394">
        <v>100.59094735177101</v>
      </c>
      <c r="AL6394">
        <v>79.871082340900699</v>
      </c>
      <c r="AM6394">
        <v>97.086258008918705</v>
      </c>
      <c r="AN6394">
        <v>1.00000005274631</v>
      </c>
    </row>
    <row r="6395" spans="1:40" x14ac:dyDescent="0.25">
      <c r="A6395" t="str">
        <f>"20190304154923234"</f>
        <v>20190304154923234</v>
      </c>
      <c r="B6395" t="str">
        <f>"1551685763223533"</f>
        <v>1551685763223533</v>
      </c>
      <c r="C6395" t="s">
        <v>40</v>
      </c>
      <c r="D6395">
        <v>4.1714929999999999</v>
      </c>
      <c r="E6395">
        <v>0.44380429999999998</v>
      </c>
      <c r="F6395" t="s">
        <v>96</v>
      </c>
      <c r="G6395">
        <v>-280.86250000000001</v>
      </c>
      <c r="H6395">
        <v>0.44600250000000002</v>
      </c>
      <c r="I6395">
        <v>37.954569999999997</v>
      </c>
      <c r="J6395">
        <v>-379.14920000000001</v>
      </c>
      <c r="K6395">
        <v>1.1115360000000001</v>
      </c>
      <c r="L6395">
        <v>17.121120000000001</v>
      </c>
      <c r="M6395">
        <v>0.99840770000000001</v>
      </c>
      <c r="N6395">
        <v>-8.7836630000000006E-3</v>
      </c>
      <c r="O6395">
        <v>-5.5721039999999999E-2</v>
      </c>
      <c r="P6395">
        <v>0.98355000000000004</v>
      </c>
      <c r="Q6395">
        <v>0.16775660000000001</v>
      </c>
      <c r="R6395">
        <v>6.6986019999999993E-2</v>
      </c>
      <c r="S6395">
        <v>3.0109560000000002</v>
      </c>
      <c r="T6395">
        <v>-2.035642E-2</v>
      </c>
      <c r="U6395">
        <v>0.63702389999999998</v>
      </c>
      <c r="V6395">
        <v>-0.1221612</v>
      </c>
      <c r="W6395">
        <v>0.17601610000000001</v>
      </c>
      <c r="X6395">
        <v>0.97677789999999998</v>
      </c>
      <c r="Y6395">
        <v>-0.26116820000000002</v>
      </c>
      <c r="Z6395">
        <v>1.9222239999999999E-3</v>
      </c>
      <c r="AA6395">
        <v>0.96529140000000002</v>
      </c>
      <c r="AB6395">
        <v>24</v>
      </c>
      <c r="AC6395">
        <v>98.286699999999996</v>
      </c>
      <c r="AD6395">
        <v>-0.6655335</v>
      </c>
      <c r="AE6395">
        <v>20.833449999999999</v>
      </c>
      <c r="AF6395">
        <v>-26.276775769173199</v>
      </c>
      <c r="AG6395">
        <v>-0.6655335</v>
      </c>
      <c r="AH6395">
        <v>96.968826328846106</v>
      </c>
      <c r="AI6395">
        <v>90.379548238436797</v>
      </c>
      <c r="AJ6395">
        <v>105.161986709837</v>
      </c>
      <c r="AK6395">
        <v>100.468229601486</v>
      </c>
      <c r="AL6395">
        <v>79.862206208314404</v>
      </c>
      <c r="AM6395">
        <v>97.128710505945904</v>
      </c>
      <c r="AN6395">
        <v>1.0000000460865199</v>
      </c>
    </row>
    <row r="6396" spans="1:40" x14ac:dyDescent="0.25">
      <c r="A6396" t="str">
        <f>"20190304154923253"</f>
        <v>20190304154923253</v>
      </c>
      <c r="B6396" t="str">
        <f>"1551685763244029"</f>
        <v>1551685763244029</v>
      </c>
      <c r="C6396" t="s">
        <v>40</v>
      </c>
      <c r="D6396">
        <v>4.1489770000000004</v>
      </c>
      <c r="E6396">
        <v>0.44372289999999998</v>
      </c>
      <c r="F6396" t="s">
        <v>96</v>
      </c>
      <c r="G6396">
        <v>-280.86250000000001</v>
      </c>
      <c r="H6396">
        <v>0.43316080000000001</v>
      </c>
      <c r="I6396">
        <v>38.108809999999998</v>
      </c>
      <c r="J6396">
        <v>-378.94260000000003</v>
      </c>
      <c r="K6396">
        <v>1.1115619999999999</v>
      </c>
      <c r="L6396">
        <v>17.1113</v>
      </c>
      <c r="M6396">
        <v>0.9984923</v>
      </c>
      <c r="N6396">
        <v>-8.7770669999999995E-3</v>
      </c>
      <c r="O6396">
        <v>-5.4184240000000002E-2</v>
      </c>
      <c r="P6396">
        <v>0.98347519999999999</v>
      </c>
      <c r="Q6396">
        <v>0.1673741</v>
      </c>
      <c r="R6396">
        <v>6.9009199999999896E-2</v>
      </c>
      <c r="S6396">
        <v>3.0099490000000002</v>
      </c>
      <c r="T6396">
        <v>-2.0774600000000001E-2</v>
      </c>
      <c r="U6396">
        <v>0.64273069999999999</v>
      </c>
      <c r="V6396">
        <v>-0.1226829</v>
      </c>
      <c r="W6396">
        <v>0.1756171</v>
      </c>
      <c r="X6396">
        <v>0.97678430000000005</v>
      </c>
      <c r="Y6396">
        <v>-0.26149840000000002</v>
      </c>
      <c r="Z6396">
        <v>1.953223E-3</v>
      </c>
      <c r="AA6396">
        <v>0.96520189999999995</v>
      </c>
      <c r="AB6396">
        <v>24</v>
      </c>
      <c r="AC6396">
        <v>98.080100000000002</v>
      </c>
      <c r="AD6396">
        <v>-0.67840120000000004</v>
      </c>
      <c r="AE6396">
        <v>20.997509999999998</v>
      </c>
      <c r="AF6396">
        <v>-26.280059945128301</v>
      </c>
      <c r="AG6396">
        <v>-0.67840120000000004</v>
      </c>
      <c r="AH6396">
        <v>96.793798862688604</v>
      </c>
      <c r="AI6396">
        <v>90.387534624992497</v>
      </c>
      <c r="AJ6396">
        <v>105.189948585804</v>
      </c>
      <c r="AK6396">
        <v>100.30025561870799</v>
      </c>
      <c r="AL6396">
        <v>79.885428640284701</v>
      </c>
      <c r="AM6396">
        <v>97.158792666648793</v>
      </c>
      <c r="AN6396">
        <v>1.00000001424565</v>
      </c>
    </row>
    <row r="6397" spans="1:40" x14ac:dyDescent="0.25">
      <c r="A6397" t="str">
        <f>"20190304154923266"</f>
        <v>20190304154923266</v>
      </c>
      <c r="B6397" t="str">
        <f>"1551685763263550"</f>
        <v>1551685763263550</v>
      </c>
      <c r="C6397" t="s">
        <v>40</v>
      </c>
      <c r="D6397">
        <v>4.1862450000000004</v>
      </c>
      <c r="E6397">
        <v>0.44387130000000002</v>
      </c>
      <c r="F6397" t="s">
        <v>96</v>
      </c>
      <c r="G6397">
        <v>-280.86250000000001</v>
      </c>
      <c r="H6397">
        <v>0.30939820000000001</v>
      </c>
      <c r="I6397">
        <v>38.283270000000002</v>
      </c>
      <c r="J6397">
        <v>-378.80290000000002</v>
      </c>
      <c r="K6397">
        <v>1.1115729999999999</v>
      </c>
      <c r="L6397">
        <v>17.10483</v>
      </c>
      <c r="M6397">
        <v>0.99854900000000002</v>
      </c>
      <c r="N6397">
        <v>-8.7733480000000003E-3</v>
      </c>
      <c r="O6397">
        <v>-5.3132369999999998E-2</v>
      </c>
      <c r="P6397">
        <v>0.98335309999999998</v>
      </c>
      <c r="Q6397">
        <v>0.167495899999999</v>
      </c>
      <c r="R6397">
        <v>7.0443809999999996E-2</v>
      </c>
      <c r="S6397">
        <v>3.0090029999999999</v>
      </c>
      <c r="T6397">
        <v>-2.4609570000000001E-2</v>
      </c>
      <c r="U6397">
        <v>0.64953609999999995</v>
      </c>
      <c r="V6397">
        <v>-0.1230842</v>
      </c>
      <c r="W6397">
        <v>0.17572979999999899</v>
      </c>
      <c r="X6397">
        <v>0.97671350000000001</v>
      </c>
      <c r="Y6397">
        <v>-0.26262629999999998</v>
      </c>
      <c r="Z6397">
        <v>2.1966609999999999E-3</v>
      </c>
      <c r="AA6397">
        <v>0.96489510000000001</v>
      </c>
      <c r="AB6397">
        <v>24</v>
      </c>
      <c r="AC6397">
        <v>97.940399999999997</v>
      </c>
      <c r="AD6397">
        <v>-0.80217479999999997</v>
      </c>
      <c r="AE6397">
        <v>21.178439999999998</v>
      </c>
      <c r="AF6397">
        <v>-26.3508394778321</v>
      </c>
      <c r="AG6397">
        <v>-0.80217479999999997</v>
      </c>
      <c r="AH6397">
        <v>96.670547152135896</v>
      </c>
      <c r="AI6397">
        <v>90.458696047581995</v>
      </c>
      <c r="AJ6397">
        <v>105.247475083341</v>
      </c>
      <c r="AK6397">
        <v>100.200822912237</v>
      </c>
      <c r="AL6397">
        <v>79.878868967784896</v>
      </c>
      <c r="AM6397">
        <v>97.182480368380695</v>
      </c>
      <c r="AN6397">
        <v>0.99999997198996404</v>
      </c>
    </row>
    <row r="6398" spans="1:40" x14ac:dyDescent="0.25">
      <c r="A6398" t="str">
        <f>"20190304154923284"</f>
        <v>20190304154923284</v>
      </c>
      <c r="B6398" t="str">
        <f>"1551685763273322"</f>
        <v>1551685763273322</v>
      </c>
      <c r="C6398" t="s">
        <v>40</v>
      </c>
      <c r="D6398">
        <v>4.200825</v>
      </c>
      <c r="E6398">
        <v>0.4439304</v>
      </c>
      <c r="F6398" t="s">
        <v>96</v>
      </c>
      <c r="G6398">
        <v>-280.86259999999999</v>
      </c>
      <c r="H6398">
        <v>0.2915683</v>
      </c>
      <c r="I6398">
        <v>38.347729999999999</v>
      </c>
      <c r="J6398">
        <v>-378.61540000000002</v>
      </c>
      <c r="K6398">
        <v>1.1115200000000001</v>
      </c>
      <c r="L6398">
        <v>17.096339999999898</v>
      </c>
      <c r="M6398">
        <v>0.99864140000000001</v>
      </c>
      <c r="N6398">
        <v>-8.6370170000000003E-3</v>
      </c>
      <c r="O6398">
        <v>-5.1390819999999997E-2</v>
      </c>
      <c r="P6398">
        <v>0.98309199999999997</v>
      </c>
      <c r="Q6398">
        <v>0.16779949999999999</v>
      </c>
      <c r="R6398">
        <v>7.3306060000000006E-2</v>
      </c>
      <c r="S6398">
        <v>3.0083310000000001</v>
      </c>
      <c r="T6398">
        <v>-2.5187129999999999E-2</v>
      </c>
      <c r="U6398">
        <v>0.65249630000000003</v>
      </c>
      <c r="V6398">
        <v>-0.1242186</v>
      </c>
      <c r="W6398">
        <v>0.17589869999999999</v>
      </c>
      <c r="X6398">
        <v>0.9765395</v>
      </c>
      <c r="Y6398">
        <v>-0.26189440000000003</v>
      </c>
      <c r="Z6398">
        <v>2.215247E-3</v>
      </c>
      <c r="AA6398">
        <v>0.96509400000000001</v>
      </c>
      <c r="AB6398">
        <v>24</v>
      </c>
      <c r="AC6398">
        <v>97.752799999999993</v>
      </c>
      <c r="AD6398">
        <v>-0.81995169999999995</v>
      </c>
      <c r="AE6398">
        <v>21.251390000000001</v>
      </c>
      <c r="AF6398">
        <v>-26.245326751986099</v>
      </c>
      <c r="AG6398">
        <v>-0.81995169999999995</v>
      </c>
      <c r="AH6398">
        <v>96.524969838727998</v>
      </c>
      <c r="AI6398">
        <v>90.469648975935897</v>
      </c>
      <c r="AJ6398">
        <v>105.211095304232</v>
      </c>
      <c r="AK6398">
        <v>100.032791121092</v>
      </c>
      <c r="AL6398">
        <v>79.869038915294297</v>
      </c>
      <c r="AM6398">
        <v>97.249254289352606</v>
      </c>
      <c r="AN6398">
        <v>1.0000000041539401</v>
      </c>
    </row>
    <row r="6399" spans="1:40" x14ac:dyDescent="0.25">
      <c r="A6399" t="str">
        <f>"20190304154923296"</f>
        <v>20190304154923296</v>
      </c>
      <c r="B6399" t="str">
        <f>"1551685763293805"</f>
        <v>1551685763293805</v>
      </c>
      <c r="C6399" t="s">
        <v>40</v>
      </c>
      <c r="D6399">
        <v>4.4845129999999997</v>
      </c>
      <c r="E6399">
        <v>0.44417230000000002</v>
      </c>
      <c r="F6399" t="s">
        <v>96</v>
      </c>
      <c r="G6399">
        <v>-280.86259999999999</v>
      </c>
      <c r="H6399">
        <v>0.27802369999999998</v>
      </c>
      <c r="I6399">
        <v>38.545900000000003</v>
      </c>
      <c r="J6399">
        <v>-378.48259999999999</v>
      </c>
      <c r="K6399">
        <v>1.111505</v>
      </c>
      <c r="L6399">
        <v>17.090450000000001</v>
      </c>
      <c r="M6399">
        <v>0.99870360000000002</v>
      </c>
      <c r="N6399">
        <v>-8.5599999999999999E-3</v>
      </c>
      <c r="O6399">
        <v>-5.018044E-2</v>
      </c>
      <c r="P6399">
        <v>0.9829696</v>
      </c>
      <c r="Q6399">
        <v>0.1678637</v>
      </c>
      <c r="R6399">
        <v>7.4783539999999996E-2</v>
      </c>
      <c r="S6399">
        <v>3.0067439999999999</v>
      </c>
      <c r="T6399">
        <v>-2.5637150000000001E-2</v>
      </c>
      <c r="U6399">
        <v>0.65975950000000005</v>
      </c>
      <c r="V6399">
        <v>-0.1245086</v>
      </c>
      <c r="W6399">
        <v>0.17588229999999999</v>
      </c>
      <c r="X6399">
        <v>0.97650550000000003</v>
      </c>
      <c r="Y6399">
        <v>-0.26305489999999998</v>
      </c>
      <c r="Z6399">
        <v>2.2466679999999998E-3</v>
      </c>
      <c r="AA6399">
        <v>0.96477820000000003</v>
      </c>
      <c r="AB6399">
        <v>24</v>
      </c>
      <c r="AC6399">
        <v>97.62</v>
      </c>
      <c r="AD6399">
        <v>-0.83348129999999998</v>
      </c>
      <c r="AE6399">
        <v>21.455449999999999</v>
      </c>
      <c r="AF6399">
        <v>-26.3253806002405</v>
      </c>
      <c r="AG6399">
        <v>-0.83348129999999998</v>
      </c>
      <c r="AH6399">
        <v>96.413618507502605</v>
      </c>
      <c r="AI6399">
        <v>90.477810692391799</v>
      </c>
      <c r="AJ6399">
        <v>105.27213011247601</v>
      </c>
      <c r="AK6399">
        <v>99.946516640327303</v>
      </c>
      <c r="AL6399">
        <v>79.869993233272197</v>
      </c>
      <c r="AM6399">
        <v>97.2662479780045</v>
      </c>
      <c r="AN6399">
        <v>0.99999998322874994</v>
      </c>
    </row>
    <row r="6400" spans="1:40" x14ac:dyDescent="0.25">
      <c r="A6400" t="str">
        <f>"20190304154923308"</f>
        <v>20190304154923308</v>
      </c>
      <c r="B6400" t="str">
        <f>"1551685763303565"</f>
        <v>1551685763303565</v>
      </c>
      <c r="C6400" t="s">
        <v>40</v>
      </c>
      <c r="D6400">
        <v>4.216825</v>
      </c>
      <c r="E6400">
        <v>0.44428240000000002</v>
      </c>
      <c r="F6400" t="s">
        <v>96</v>
      </c>
      <c r="G6400">
        <v>-280.86250000000001</v>
      </c>
      <c r="H6400">
        <v>0.29546549999999999</v>
      </c>
      <c r="I6400">
        <v>38.594270000000002</v>
      </c>
      <c r="J6400">
        <v>-378.36090000000002</v>
      </c>
      <c r="K6400">
        <v>1.111532</v>
      </c>
      <c r="L6400">
        <v>17.085170000000002</v>
      </c>
      <c r="M6400">
        <v>0.99875139999999996</v>
      </c>
      <c r="N6400">
        <v>-8.5607670000000004E-3</v>
      </c>
      <c r="O6400">
        <v>-4.9218089999999999E-2</v>
      </c>
      <c r="P6400">
        <v>0.98287170000000001</v>
      </c>
      <c r="Q6400">
        <v>0.1677546</v>
      </c>
      <c r="R6400">
        <v>7.6301690000000005E-2</v>
      </c>
      <c r="S6400">
        <v>3.00589</v>
      </c>
      <c r="T6400">
        <v>-2.5127170000000001E-2</v>
      </c>
      <c r="U6400">
        <v>0.6621399</v>
      </c>
      <c r="V6400">
        <v>-0.12509899999999999</v>
      </c>
      <c r="W6400">
        <v>0.17575650000000001</v>
      </c>
      <c r="X6400">
        <v>0.97645269999999995</v>
      </c>
      <c r="Y6400">
        <v>-0.26291199999999998</v>
      </c>
      <c r="Z6400">
        <v>2.215655E-3</v>
      </c>
      <c r="AA6400">
        <v>0.96481729999999999</v>
      </c>
      <c r="AB6400">
        <v>24</v>
      </c>
      <c r="AC6400">
        <v>97.498400000000004</v>
      </c>
      <c r="AD6400">
        <v>-0.81606649999999903</v>
      </c>
      <c r="AE6400">
        <v>21.5091</v>
      </c>
      <c r="AF6400">
        <v>-26.280135289260699</v>
      </c>
      <c r="AG6400">
        <v>-0.81606649999999903</v>
      </c>
      <c r="AH6400">
        <v>96.315118641589294</v>
      </c>
      <c r="AI6400">
        <v>90.468328823192195</v>
      </c>
      <c r="AJ6400">
        <v>105.261970813895</v>
      </c>
      <c r="AK6400">
        <v>99.839438872109497</v>
      </c>
      <c r="AL6400">
        <v>79.8773151809756</v>
      </c>
      <c r="AM6400">
        <v>97.300723024867807</v>
      </c>
      <c r="AN6400">
        <v>0.99999999121526995</v>
      </c>
    </row>
    <row r="6401" spans="1:40" x14ac:dyDescent="0.25">
      <c r="A6401" t="str">
        <f>"20190304154923319"</f>
        <v>20190304154923319</v>
      </c>
      <c r="B6401" t="str">
        <f>"1551685763313326"</f>
        <v>1551685763313326</v>
      </c>
      <c r="C6401" t="s">
        <v>40</v>
      </c>
      <c r="D6401">
        <v>4.2000669999999998</v>
      </c>
      <c r="E6401">
        <v>0.44428109999999998</v>
      </c>
      <c r="F6401" t="s">
        <v>96</v>
      </c>
      <c r="G6401">
        <v>-280.86259999999999</v>
      </c>
      <c r="H6401">
        <v>0.2698007</v>
      </c>
      <c r="I6401">
        <v>38.683920000000001</v>
      </c>
      <c r="J6401">
        <v>-378.24340000000001</v>
      </c>
      <c r="K6401">
        <v>1.1115889999999999</v>
      </c>
      <c r="L6401">
        <v>17.080259999999999</v>
      </c>
      <c r="M6401">
        <v>0.99878809999999996</v>
      </c>
      <c r="N6401">
        <v>-8.6059550000000002E-3</v>
      </c>
      <c r="O6401">
        <v>-4.8460040000000003E-2</v>
      </c>
      <c r="P6401">
        <v>0.98276989999999997</v>
      </c>
      <c r="Q6401">
        <v>0.16784170000000001</v>
      </c>
      <c r="R6401">
        <v>7.7413060000000006E-2</v>
      </c>
      <c r="S6401">
        <v>3.0050659999999998</v>
      </c>
      <c r="T6401">
        <v>-2.5943520000000001E-2</v>
      </c>
      <c r="U6401">
        <v>0.66571040000000004</v>
      </c>
      <c r="V6401">
        <v>-0.12549370000000001</v>
      </c>
      <c r="W6401">
        <v>0.17586360000000001</v>
      </c>
      <c r="X6401">
        <v>0.9763828</v>
      </c>
      <c r="Y6401">
        <v>-0.26332729999999999</v>
      </c>
      <c r="Z6401">
        <v>2.2719350000000001E-3</v>
      </c>
      <c r="AA6401">
        <v>0.96470389999999995</v>
      </c>
      <c r="AB6401">
        <v>24</v>
      </c>
      <c r="AC6401">
        <v>97.380799999999994</v>
      </c>
      <c r="AD6401">
        <v>-0.84178829999999905</v>
      </c>
      <c r="AE6401">
        <v>21.603660000000001</v>
      </c>
      <c r="AF6401">
        <v>-26.295655690606999</v>
      </c>
      <c r="AG6401">
        <v>-0.84178829999999905</v>
      </c>
      <c r="AH6401">
        <v>96.212575904278694</v>
      </c>
      <c r="AI6401">
        <v>90.483548795200704</v>
      </c>
      <c r="AJ6401">
        <v>105.286077728441</v>
      </c>
      <c r="AK6401">
        <v>99.744823814960696</v>
      </c>
      <c r="AL6401">
        <v>79.871082039906895</v>
      </c>
      <c r="AM6401">
        <v>97.324026463998806</v>
      </c>
      <c r="AN6401">
        <v>1.00000002334024</v>
      </c>
    </row>
    <row r="6402" spans="1:40" x14ac:dyDescent="0.25">
      <c r="A6402" t="str">
        <f>"20190304154923330"</f>
        <v>20190304154923330</v>
      </c>
      <c r="B6402" t="str">
        <f>"1551685763323086"</f>
        <v>1551685763323086</v>
      </c>
      <c r="C6402" t="s">
        <v>40</v>
      </c>
      <c r="D6402">
        <v>4.1927269999999996</v>
      </c>
      <c r="E6402">
        <v>0.44436310000000001</v>
      </c>
      <c r="F6402" t="s">
        <v>96</v>
      </c>
      <c r="G6402">
        <v>-280.86259999999999</v>
      </c>
      <c r="H6402">
        <v>0.26866479999999998</v>
      </c>
      <c r="I6402">
        <v>38.767049999999998</v>
      </c>
      <c r="J6402">
        <v>-378.11649999999997</v>
      </c>
      <c r="K6402">
        <v>1.111669</v>
      </c>
      <c r="L6402">
        <v>17.07498</v>
      </c>
      <c r="M6402">
        <v>0.99882320000000002</v>
      </c>
      <c r="N6402">
        <v>-8.6750219999999992E-3</v>
      </c>
      <c r="O6402">
        <v>-4.7719829999999998E-2</v>
      </c>
      <c r="P6402">
        <v>0.98269799999999996</v>
      </c>
      <c r="Q6402">
        <v>0.16782369999999999</v>
      </c>
      <c r="R6402">
        <v>7.8359040000000005E-2</v>
      </c>
      <c r="S6402">
        <v>3.0043329999999999</v>
      </c>
      <c r="T6402">
        <v>-2.600527E-2</v>
      </c>
      <c r="U6402">
        <v>0.66906739999999998</v>
      </c>
      <c r="V6402">
        <v>-0.12574979999999999</v>
      </c>
      <c r="W6402">
        <v>0.1758837</v>
      </c>
      <c r="X6402">
        <v>0.97634620000000005</v>
      </c>
      <c r="Y6402">
        <v>-0.26368909999999901</v>
      </c>
      <c r="Z6402">
        <v>2.285001E-3</v>
      </c>
      <c r="AA6402">
        <v>0.96460500000000005</v>
      </c>
      <c r="AB6402">
        <v>24</v>
      </c>
      <c r="AC6402">
        <v>97.253900000000002</v>
      </c>
      <c r="AD6402">
        <v>-0.84300419999999998</v>
      </c>
      <c r="AE6402">
        <v>21.692070000000001</v>
      </c>
      <c r="AF6402">
        <v>-26.306586479513701</v>
      </c>
      <c r="AG6402">
        <v>-0.84300419999999998</v>
      </c>
      <c r="AH6402">
        <v>96.101037009539297</v>
      </c>
      <c r="AI6402">
        <v>90.484756058520603</v>
      </c>
      <c r="AJ6402">
        <v>105.30905090727001</v>
      </c>
      <c r="AK6402">
        <v>99.640134798153497</v>
      </c>
      <c r="AL6402">
        <v>79.869911871374299</v>
      </c>
      <c r="AM6402">
        <v>97.339082228733204</v>
      </c>
      <c r="AN6402">
        <v>0.99999999519008498</v>
      </c>
    </row>
    <row r="6403" spans="1:40" x14ac:dyDescent="0.25">
      <c r="A6403" t="str">
        <f>"20190304154923343"</f>
        <v>20190304154923343</v>
      </c>
      <c r="B6403" t="str">
        <f>"1551685763333822"</f>
        <v>1551685763333822</v>
      </c>
      <c r="C6403" t="s">
        <v>40</v>
      </c>
      <c r="D6403">
        <v>4.1983370000000004</v>
      </c>
      <c r="E6403">
        <v>0.44445200000000001</v>
      </c>
      <c r="F6403" t="s">
        <v>96</v>
      </c>
      <c r="G6403">
        <v>-280.86259999999999</v>
      </c>
      <c r="H6403">
        <v>0.2429886</v>
      </c>
      <c r="I6403">
        <v>38.809930000000001</v>
      </c>
      <c r="J6403">
        <v>-377.98500000000001</v>
      </c>
      <c r="K6403">
        <v>1.1117010000000001</v>
      </c>
      <c r="L6403">
        <v>17.06982</v>
      </c>
      <c r="M6403">
        <v>0.99885679999999999</v>
      </c>
      <c r="N6403">
        <v>-8.7072360000000001E-3</v>
      </c>
      <c r="O6403">
        <v>-4.7004560000000001E-2</v>
      </c>
      <c r="P6403">
        <v>0.98260619999999999</v>
      </c>
      <c r="Q6403">
        <v>0.1679389</v>
      </c>
      <c r="R6403">
        <v>7.9257839999999996E-2</v>
      </c>
      <c r="S6403">
        <v>3.003876</v>
      </c>
      <c r="T6403">
        <v>-2.683079E-2</v>
      </c>
      <c r="U6403">
        <v>0.67132569999999903</v>
      </c>
      <c r="V6403">
        <v>-0.1259671</v>
      </c>
      <c r="W6403">
        <v>0.1760128</v>
      </c>
      <c r="X6403">
        <v>0.97629489999999997</v>
      </c>
      <c r="Y6403">
        <v>-0.2637195</v>
      </c>
      <c r="Z6403">
        <v>2.3368680000000002E-3</v>
      </c>
      <c r="AA6403">
        <v>0.96459660000000003</v>
      </c>
      <c r="AB6403">
        <v>24</v>
      </c>
      <c r="AC6403">
        <v>97.122399999999999</v>
      </c>
      <c r="AD6403">
        <v>-0.86871239999999905</v>
      </c>
      <c r="AE6403">
        <v>21.740110000000001</v>
      </c>
      <c r="AF6403">
        <v>-26.279444539033701</v>
      </c>
      <c r="AG6403">
        <v>-0.86871239999999905</v>
      </c>
      <c r="AH6403">
        <v>95.985804207145705</v>
      </c>
      <c r="AI6403">
        <v>90.500132243221401</v>
      </c>
      <c r="AJ6403">
        <v>105.311495209321</v>
      </c>
      <c r="AK6403">
        <v>99.5220501989713</v>
      </c>
      <c r="AL6403">
        <v>79.862397543661004</v>
      </c>
      <c r="AM6403">
        <v>97.352007865720097</v>
      </c>
      <c r="AN6403">
        <v>0.99999997390612905</v>
      </c>
    </row>
    <row r="6404" spans="1:40" x14ac:dyDescent="0.25">
      <c r="A6404" t="str">
        <f>"20190304154923358"</f>
        <v>20190304154923358</v>
      </c>
      <c r="B6404" t="str">
        <f>"1551685763353340"</f>
        <v>1551685763353340</v>
      </c>
      <c r="C6404" t="s">
        <v>40</v>
      </c>
      <c r="D6404">
        <v>4.1463640000000002</v>
      </c>
      <c r="E6404">
        <v>0.4447004</v>
      </c>
      <c r="F6404" t="s">
        <v>96</v>
      </c>
      <c r="G6404">
        <v>-280.86259999999999</v>
      </c>
      <c r="H6404">
        <v>0.2491603</v>
      </c>
      <c r="I6404">
        <v>38.842289999999998</v>
      </c>
      <c r="J6404">
        <v>-377.83240000000001</v>
      </c>
      <c r="K6404">
        <v>1.1116969999999999</v>
      </c>
      <c r="L6404">
        <v>17.063929999999999</v>
      </c>
      <c r="M6404">
        <v>0.99889870000000003</v>
      </c>
      <c r="N6404">
        <v>-8.7145290000000004E-3</v>
      </c>
      <c r="O6404">
        <v>-4.6101400000000001E-2</v>
      </c>
      <c r="P6404">
        <v>0.98243369999999997</v>
      </c>
      <c r="Q6404">
        <v>0.16826650000000001</v>
      </c>
      <c r="R6404">
        <v>8.0686560000000004E-2</v>
      </c>
      <c r="S6404">
        <v>3.0033569999999998</v>
      </c>
      <c r="T6404">
        <v>-2.6672600000000001E-2</v>
      </c>
      <c r="U6404">
        <v>0.67327879999999996</v>
      </c>
      <c r="V6404">
        <v>-0.12651589999999999</v>
      </c>
      <c r="W6404">
        <v>0.17633579999999999</v>
      </c>
      <c r="X6404">
        <v>0.97616570000000003</v>
      </c>
      <c r="Y6404">
        <v>-0.2634802</v>
      </c>
      <c r="Z6404">
        <v>2.326187E-3</v>
      </c>
      <c r="AA6404">
        <v>0.96466200000000002</v>
      </c>
      <c r="AB6404">
        <v>24</v>
      </c>
      <c r="AC6404">
        <v>96.969800000000006</v>
      </c>
      <c r="AD6404">
        <v>-0.86253669999999905</v>
      </c>
      <c r="AE6404">
        <v>21.778359999999999</v>
      </c>
      <c r="AF6404">
        <v>-26.2238410780277</v>
      </c>
      <c r="AG6404">
        <v>-0.86253669999999905</v>
      </c>
      <c r="AH6404">
        <v>95.855419588132406</v>
      </c>
      <c r="AI6404">
        <v>90.497278680442804</v>
      </c>
      <c r="AJ6404">
        <v>105.300425795639</v>
      </c>
      <c r="AK6404">
        <v>99.381564059243004</v>
      </c>
      <c r="AL6404">
        <v>79.843597527666404</v>
      </c>
      <c r="AM6404">
        <v>97.384652087792404</v>
      </c>
      <c r="AN6404">
        <v>1.0000000305854599</v>
      </c>
    </row>
    <row r="6405" spans="1:40" x14ac:dyDescent="0.25">
      <c r="A6405" t="str">
        <f>"20190304154923375"</f>
        <v>20190304154923375</v>
      </c>
      <c r="B6405" t="str">
        <f>"1551685763364077"</f>
        <v>1551685763364077</v>
      </c>
      <c r="C6405" t="s">
        <v>40</v>
      </c>
      <c r="D6405">
        <v>4.2327750000000002</v>
      </c>
      <c r="E6405">
        <v>0.4447004</v>
      </c>
      <c r="F6405" t="s">
        <v>96</v>
      </c>
      <c r="G6405">
        <v>-280.86259999999999</v>
      </c>
      <c r="H6405">
        <v>0.21025559999999999</v>
      </c>
      <c r="I6405">
        <v>38.884889999999999</v>
      </c>
      <c r="J6405">
        <v>-377.64890000000003</v>
      </c>
      <c r="K6405">
        <v>1.1116330000000001</v>
      </c>
      <c r="L6405">
        <v>17.05707</v>
      </c>
      <c r="M6405">
        <v>0.99895599999999996</v>
      </c>
      <c r="N6405">
        <v>-8.6780169999999997E-3</v>
      </c>
      <c r="O6405">
        <v>-4.4855609999999997E-2</v>
      </c>
      <c r="P6405">
        <v>0.9821993</v>
      </c>
      <c r="Q6405">
        <v>0.1684591</v>
      </c>
      <c r="R6405">
        <v>8.3106559999999996E-2</v>
      </c>
      <c r="S6405">
        <v>3.0029599999999999</v>
      </c>
      <c r="T6405">
        <v>-2.7915720000000002E-2</v>
      </c>
      <c r="U6405">
        <v>0.67575069999999904</v>
      </c>
      <c r="V6405">
        <v>-0.12769449999999999</v>
      </c>
      <c r="W6405">
        <v>0.1764935</v>
      </c>
      <c r="X6405">
        <v>0.97598370000000001</v>
      </c>
      <c r="Y6405">
        <v>-0.26305899999999999</v>
      </c>
      <c r="Z6405">
        <v>2.3913300000000001E-3</v>
      </c>
      <c r="AA6405">
        <v>0.96477679999999999</v>
      </c>
      <c r="AB6405">
        <v>24</v>
      </c>
      <c r="AC6405">
        <v>96.786299999999997</v>
      </c>
      <c r="AD6405">
        <v>-0.9013774</v>
      </c>
      <c r="AE6405">
        <v>21.827819999999999</v>
      </c>
      <c r="AF6405">
        <v>-26.145261408423998</v>
      </c>
      <c r="AG6405">
        <v>-0.9013774</v>
      </c>
      <c r="AH6405">
        <v>95.701839785064706</v>
      </c>
      <c r="AI6405">
        <v>90.520554818312107</v>
      </c>
      <c r="AJ6405">
        <v>105.280057726824</v>
      </c>
      <c r="AK6405">
        <v>99.213050117301805</v>
      </c>
      <c r="AL6405">
        <v>79.834417818123498</v>
      </c>
      <c r="AM6405">
        <v>97.454050519120699</v>
      </c>
      <c r="AN6405">
        <v>1.0000000117690899</v>
      </c>
    </row>
    <row r="6406" spans="1:40" x14ac:dyDescent="0.25">
      <c r="A6406" t="str">
        <f>"20190304154923389"</f>
        <v>20190304154923389</v>
      </c>
      <c r="B6406" t="str">
        <f>"1551685763383598"</f>
        <v>1551685763383598</v>
      </c>
      <c r="C6406" t="s">
        <v>40</v>
      </c>
      <c r="D6406">
        <v>4.2124439999999996</v>
      </c>
      <c r="E6406">
        <v>0.45397090000000001</v>
      </c>
      <c r="F6406" t="s">
        <v>96</v>
      </c>
      <c r="G6406">
        <v>-280.86259999999999</v>
      </c>
      <c r="H6406">
        <v>0.23511270000000001</v>
      </c>
      <c r="I6406">
        <v>39.092210000000001</v>
      </c>
      <c r="J6406">
        <v>-377.49860000000001</v>
      </c>
      <c r="K6406">
        <v>1.11155</v>
      </c>
      <c r="L6406">
        <v>17.051570000000002</v>
      </c>
      <c r="M6406">
        <v>0.99900820000000001</v>
      </c>
      <c r="N6406">
        <v>-8.6412780000000005E-3</v>
      </c>
      <c r="O6406">
        <v>-4.3682140000000001E-2</v>
      </c>
      <c r="P6406">
        <v>0.98204910000000001</v>
      </c>
      <c r="Q6406">
        <v>0.16845170000000001</v>
      </c>
      <c r="R6406">
        <v>8.4875809999999996E-2</v>
      </c>
      <c r="S6406">
        <v>3.0012509999999999</v>
      </c>
      <c r="T6406">
        <v>-2.717996E-2</v>
      </c>
      <c r="U6406">
        <v>0.68328859999999902</v>
      </c>
      <c r="V6406">
        <v>-0.12828339999999999</v>
      </c>
      <c r="W6406">
        <v>0.17646479999999901</v>
      </c>
      <c r="X6406">
        <v>0.97591170000000005</v>
      </c>
      <c r="Y6406">
        <v>-0.26434879999999999</v>
      </c>
      <c r="Z6406">
        <v>2.3571529999999999E-3</v>
      </c>
      <c r="AA6406">
        <v>0.96442430000000001</v>
      </c>
      <c r="AB6406">
        <v>24</v>
      </c>
      <c r="AC6406">
        <v>96.635999999999996</v>
      </c>
      <c r="AD6406">
        <v>-0.87643729999999997</v>
      </c>
      <c r="AE6406">
        <v>22.04064</v>
      </c>
      <c r="AF6406">
        <v>-26.2389731283595</v>
      </c>
      <c r="AG6406">
        <v>-0.87643729999999997</v>
      </c>
      <c r="AH6406">
        <v>95.573461234051805</v>
      </c>
      <c r="AI6406">
        <v>90.506658312560802</v>
      </c>
      <c r="AJ6406">
        <v>105.35187640255199</v>
      </c>
      <c r="AK6406">
        <v>99.1137646617684</v>
      </c>
      <c r="AL6406">
        <v>79.836088834047402</v>
      </c>
      <c r="AM6406">
        <v>97.488583976280495</v>
      </c>
      <c r="AN6406">
        <v>1.0000000512757401</v>
      </c>
    </row>
    <row r="6407" spans="1:40" x14ac:dyDescent="0.25">
      <c r="A6407" t="str">
        <f>"20190304154923407"</f>
        <v>20190304154923407</v>
      </c>
      <c r="B6407" t="str">
        <f>"1551685763403118"</f>
        <v>1551685763403118</v>
      </c>
      <c r="C6407" t="s">
        <v>40</v>
      </c>
      <c r="D6407">
        <v>4.2385390000000003</v>
      </c>
      <c r="E6407">
        <v>0.45521210000000001</v>
      </c>
      <c r="F6407" t="s">
        <v>45</v>
      </c>
      <c r="G6407">
        <v>-312.17509999999999</v>
      </c>
      <c r="H6407">
        <v>-0.05</v>
      </c>
      <c r="I6407">
        <v>30.388380000000002</v>
      </c>
      <c r="J6407">
        <v>-377.30619999999999</v>
      </c>
      <c r="K6407">
        <v>1.1114630000000001</v>
      </c>
      <c r="L6407">
        <v>17.04477</v>
      </c>
      <c r="M6407">
        <v>0.99907650000000003</v>
      </c>
      <c r="N6407">
        <v>-8.6190699999999995E-3</v>
      </c>
      <c r="O6407">
        <v>-4.2093129999999999E-2</v>
      </c>
      <c r="P6407">
        <v>0.98176090000000005</v>
      </c>
      <c r="Q6407">
        <v>0.168827</v>
      </c>
      <c r="R6407">
        <v>8.7424669999999996E-2</v>
      </c>
      <c r="S6407">
        <v>3.0108640000000002</v>
      </c>
      <c r="T6407">
        <v>-5.3537729999999999E-2</v>
      </c>
      <c r="U6407">
        <v>0.61471560000000003</v>
      </c>
      <c r="V6407">
        <v>-0.12923509999999999</v>
      </c>
      <c r="W6407">
        <v>0.1768351</v>
      </c>
      <c r="X6407">
        <v>0.975719</v>
      </c>
      <c r="Y6407">
        <v>-0.24104909999999999</v>
      </c>
      <c r="Z6407">
        <v>3.5532440000000001E-3</v>
      </c>
      <c r="AA6407">
        <v>0.97050639999999999</v>
      </c>
      <c r="AB6407">
        <v>24</v>
      </c>
      <c r="AC6407">
        <v>65.131100000000004</v>
      </c>
      <c r="AD6407">
        <v>-1.1614629999999999</v>
      </c>
      <c r="AE6407">
        <v>13.3436099999999</v>
      </c>
      <c r="AF6407">
        <v>-16.0685522580408</v>
      </c>
      <c r="AG6407">
        <v>-1.1614629999999999</v>
      </c>
      <c r="AH6407">
        <v>64.491991637648297</v>
      </c>
      <c r="AI6407">
        <v>91.0011512426628</v>
      </c>
      <c r="AJ6407">
        <v>103.990709312212</v>
      </c>
      <c r="AK6407">
        <v>66.473786964188093</v>
      </c>
      <c r="AL6407">
        <v>79.814532333749298</v>
      </c>
      <c r="AM6407">
        <v>97.544974938586606</v>
      </c>
      <c r="AN6407">
        <v>0.99999996531250901</v>
      </c>
    </row>
    <row r="6408" spans="1:40" x14ac:dyDescent="0.25">
      <c r="A6408" t="str">
        <f>"20190304154923419"</f>
        <v>20190304154923419</v>
      </c>
      <c r="B6408" t="str">
        <f>"1551685763413854"</f>
        <v>1551685763413854</v>
      </c>
      <c r="C6408" t="s">
        <v>40</v>
      </c>
      <c r="D6408">
        <v>4.2335229999999999</v>
      </c>
      <c r="E6408">
        <v>0.45559949999999999</v>
      </c>
      <c r="F6408" t="s">
        <v>45</v>
      </c>
      <c r="G6408">
        <v>-299.90530000000001</v>
      </c>
      <c r="H6408">
        <v>-0.05</v>
      </c>
      <c r="I6408">
        <v>32.808209999999903</v>
      </c>
      <c r="J6408">
        <v>-377.1748</v>
      </c>
      <c r="K6408">
        <v>1.111418</v>
      </c>
      <c r="L6408">
        <v>17.040279999999999</v>
      </c>
      <c r="M6408">
        <v>0.9991215</v>
      </c>
      <c r="N6408">
        <v>-8.6146019999999903E-3</v>
      </c>
      <c r="O6408">
        <v>-4.1014509999999997E-2</v>
      </c>
      <c r="P6408">
        <v>0.98162450000000001</v>
      </c>
      <c r="Q6408">
        <v>0.16890459999999999</v>
      </c>
      <c r="R6408">
        <v>8.8797269999999998E-2</v>
      </c>
      <c r="S6408">
        <v>3.0089109999999999</v>
      </c>
      <c r="T6408">
        <v>-4.5151110000000001E-2</v>
      </c>
      <c r="U6408">
        <v>0.61279300000000003</v>
      </c>
      <c r="V6408">
        <v>-0.12953129999999999</v>
      </c>
      <c r="W6408">
        <v>0.17691770000000001</v>
      </c>
      <c r="X6408">
        <v>0.9756648</v>
      </c>
      <c r="Y6408">
        <v>-0.2395437</v>
      </c>
      <c r="Z6408">
        <v>3.081528E-3</v>
      </c>
      <c r="AA6408">
        <v>0.97088070000000004</v>
      </c>
      <c r="AB6408">
        <v>24</v>
      </c>
      <c r="AC6408">
        <v>77.269499999999994</v>
      </c>
      <c r="AD6408">
        <v>-1.1614180000000001</v>
      </c>
      <c r="AE6408">
        <v>15.7679299999999</v>
      </c>
      <c r="AF6408">
        <v>-18.919845562530298</v>
      </c>
      <c r="AG6408">
        <v>-1.1614180000000001</v>
      </c>
      <c r="AH6408">
        <v>76.541137857486902</v>
      </c>
      <c r="AI6408">
        <v>90.843930311195194</v>
      </c>
      <c r="AJ6408">
        <v>103.884360313653</v>
      </c>
      <c r="AK6408">
        <v>78.853378065873301</v>
      </c>
      <c r="AL6408">
        <v>79.809724410894106</v>
      </c>
      <c r="AM6408">
        <v>97.562482949412399</v>
      </c>
      <c r="AN6408">
        <v>1.0000000161060001</v>
      </c>
    </row>
    <row r="6409" spans="1:40" x14ac:dyDescent="0.25">
      <c r="A6409" t="str">
        <f>"20190304154923431"</f>
        <v>20190304154923431</v>
      </c>
      <c r="B6409" t="str">
        <f>"1551685763423614"</f>
        <v>1551685763423614</v>
      </c>
      <c r="C6409" t="s">
        <v>40</v>
      </c>
      <c r="D6409">
        <v>4.2476019999999997</v>
      </c>
      <c r="E6409">
        <v>0.45589439999999998</v>
      </c>
      <c r="F6409" t="s">
        <v>45</v>
      </c>
      <c r="G6409">
        <v>-302.93009999999998</v>
      </c>
      <c r="H6409">
        <v>-0.05</v>
      </c>
      <c r="I6409">
        <v>32.188189999999999</v>
      </c>
      <c r="J6409">
        <v>-377.04590000000002</v>
      </c>
      <c r="K6409">
        <v>1.111381</v>
      </c>
      <c r="L6409">
        <v>17.035920000000001</v>
      </c>
      <c r="M6409">
        <v>0.99916400000000005</v>
      </c>
      <c r="N6409">
        <v>-8.6147140000000007E-3</v>
      </c>
      <c r="O6409">
        <v>-3.9965670000000002E-2</v>
      </c>
      <c r="P6409">
        <v>0.98153570000000001</v>
      </c>
      <c r="Q6409">
        <v>0.1686976</v>
      </c>
      <c r="R6409">
        <v>9.0161140000000001E-2</v>
      </c>
      <c r="S6409">
        <v>3.0087280000000001</v>
      </c>
      <c r="T6409">
        <v>-4.7065849999999999E-2</v>
      </c>
      <c r="U6409">
        <v>0.61386109999999905</v>
      </c>
      <c r="V6409">
        <v>-0.12985239999999901</v>
      </c>
      <c r="W6409">
        <v>0.17671829999999999</v>
      </c>
      <c r="X6409">
        <v>0.97565820000000003</v>
      </c>
      <c r="Y6409">
        <v>-0.23886399999999999</v>
      </c>
      <c r="Z6409">
        <v>3.1673869999999998E-3</v>
      </c>
      <c r="AA6409">
        <v>0.97104789999999996</v>
      </c>
      <c r="AB6409">
        <v>24</v>
      </c>
      <c r="AC6409">
        <v>74.115799999999993</v>
      </c>
      <c r="AD6409">
        <v>-1.161381</v>
      </c>
      <c r="AE6409">
        <v>15.15227</v>
      </c>
      <c r="AF6409">
        <v>-18.098094946361599</v>
      </c>
      <c r="AG6409">
        <v>-1.161381</v>
      </c>
      <c r="AH6409">
        <v>73.433680262264005</v>
      </c>
      <c r="AI6409">
        <v>90.879758434741106</v>
      </c>
      <c r="AJ6409">
        <v>103.844916905402</v>
      </c>
      <c r="AK6409">
        <v>75.639905098929802</v>
      </c>
      <c r="AL6409">
        <v>79.821331541334004</v>
      </c>
      <c r="AM6409">
        <v>97.581062787864596</v>
      </c>
      <c r="AN6409">
        <v>0.99999996328394403</v>
      </c>
    </row>
    <row r="6410" spans="1:40" x14ac:dyDescent="0.25">
      <c r="A6410" t="str">
        <f>"20190304154923443"</f>
        <v>20190304154923443</v>
      </c>
      <c r="B6410" t="str">
        <f>"1551685763433373"</f>
        <v>1551685763433373</v>
      </c>
      <c r="C6410" t="s">
        <v>40</v>
      </c>
      <c r="D6410">
        <v>4.2546799999999996</v>
      </c>
      <c r="E6410">
        <v>0.45615</v>
      </c>
      <c r="F6410" t="s">
        <v>45</v>
      </c>
      <c r="G6410">
        <v>-307.5754</v>
      </c>
      <c r="H6410">
        <v>-0.05</v>
      </c>
      <c r="I6410">
        <v>31.25572</v>
      </c>
      <c r="J6410">
        <v>-376.91849999999999</v>
      </c>
      <c r="K6410">
        <v>1.1113729999999999</v>
      </c>
      <c r="L6410">
        <v>17.031829999999999</v>
      </c>
      <c r="M6410">
        <v>0.99920260000000005</v>
      </c>
      <c r="N6410">
        <v>-8.6160630000000002E-3</v>
      </c>
      <c r="O6410">
        <v>-3.8990249999999997E-2</v>
      </c>
      <c r="P6410">
        <v>0.98143780000000003</v>
      </c>
      <c r="Q6410">
        <v>0.1687679</v>
      </c>
      <c r="R6410">
        <v>9.1091039999999998E-2</v>
      </c>
      <c r="S6410">
        <v>3.0085449999999998</v>
      </c>
      <c r="T6410">
        <v>-5.029571E-2</v>
      </c>
      <c r="U6410">
        <v>0.61581419999999998</v>
      </c>
      <c r="V6410">
        <v>-0.1298204</v>
      </c>
      <c r="W6410">
        <v>0.17679239999999999</v>
      </c>
      <c r="X6410">
        <v>0.97564910000000005</v>
      </c>
      <c r="Y6410">
        <v>-0.2385275</v>
      </c>
      <c r="Z6410">
        <v>3.3248549999999998E-3</v>
      </c>
      <c r="AA6410">
        <v>0.9711301</v>
      </c>
      <c r="AB6410">
        <v>24</v>
      </c>
      <c r="AC6410">
        <v>69.343099999999893</v>
      </c>
      <c r="AD6410">
        <v>-1.161373</v>
      </c>
      <c r="AE6410">
        <v>14.2238899999999</v>
      </c>
      <c r="AF6410">
        <v>-16.912325566153001</v>
      </c>
      <c r="AG6410">
        <v>-1.161373</v>
      </c>
      <c r="AH6410">
        <v>68.717256366886801</v>
      </c>
      <c r="AI6410">
        <v>90.940198155096496</v>
      </c>
      <c r="AJ6410">
        <v>103.82653510473</v>
      </c>
      <c r="AK6410">
        <v>70.777375381495503</v>
      </c>
      <c r="AL6410">
        <v>79.817018668867405</v>
      </c>
      <c r="AM6410">
        <v>97.579286150166794</v>
      </c>
      <c r="AN6410">
        <v>1.00000002764236</v>
      </c>
    </row>
    <row r="6411" spans="1:40" x14ac:dyDescent="0.25">
      <c r="A6411" t="str">
        <f>"20190304154923455"</f>
        <v>20190304154923455</v>
      </c>
      <c r="B6411" t="str">
        <f>"1551685763453870"</f>
        <v>1551685763453870</v>
      </c>
      <c r="C6411" t="s">
        <v>40</v>
      </c>
      <c r="D6411">
        <v>4.2842979999999997</v>
      </c>
      <c r="E6411">
        <v>0.45659689999999997</v>
      </c>
      <c r="F6411" t="s">
        <v>45</v>
      </c>
      <c r="G6411">
        <v>-309.25959999999998</v>
      </c>
      <c r="H6411">
        <v>-0.05</v>
      </c>
      <c r="I6411">
        <v>30.900729999999999</v>
      </c>
      <c r="J6411">
        <v>-376.78219999999999</v>
      </c>
      <c r="K6411">
        <v>1.1113710000000001</v>
      </c>
      <c r="L6411">
        <v>17.027529999999999</v>
      </c>
      <c r="M6411">
        <v>0.99924179999999996</v>
      </c>
      <c r="N6411">
        <v>-8.6174449999999996E-3</v>
      </c>
      <c r="O6411">
        <v>-3.7968210000000002E-2</v>
      </c>
      <c r="P6411">
        <v>0.98146670000000003</v>
      </c>
      <c r="Q6411">
        <v>0.16826920000000001</v>
      </c>
      <c r="R6411">
        <v>9.1700019999999993E-2</v>
      </c>
      <c r="S6411">
        <v>3.0083920000000002</v>
      </c>
      <c r="T6411">
        <v>-5.1639440000000002E-2</v>
      </c>
      <c r="U6411">
        <v>0.61666869999999996</v>
      </c>
      <c r="V6411">
        <v>-0.12942690000000001</v>
      </c>
      <c r="W6411">
        <v>0.17629909999999999</v>
      </c>
      <c r="X6411">
        <v>0.97579059999999995</v>
      </c>
      <c r="Y6411">
        <v>-0.2378064</v>
      </c>
      <c r="Z6411">
        <v>3.3770829999999999E-3</v>
      </c>
      <c r="AA6411">
        <v>0.97130669999999997</v>
      </c>
      <c r="AB6411">
        <v>24</v>
      </c>
      <c r="AC6411">
        <v>67.522599999999997</v>
      </c>
      <c r="AD6411">
        <v>-1.1613709999999999</v>
      </c>
      <c r="AE6411">
        <v>13.873200000000001</v>
      </c>
      <c r="AF6411">
        <v>-16.422341920089998</v>
      </c>
      <c r="AG6411">
        <v>-1.1613709999999999</v>
      </c>
      <c r="AH6411">
        <v>66.928151459427795</v>
      </c>
      <c r="AI6411">
        <v>90.965490887837305</v>
      </c>
      <c r="AJ6411">
        <v>103.786444444192</v>
      </c>
      <c r="AK6411">
        <v>68.923287461612702</v>
      </c>
      <c r="AL6411">
        <v>79.845733385752396</v>
      </c>
      <c r="AM6411">
        <v>97.555495247770693</v>
      </c>
      <c r="AN6411">
        <v>0.99999999507638904</v>
      </c>
    </row>
    <row r="6412" spans="1:40" x14ac:dyDescent="0.25">
      <c r="A6412" t="str">
        <f>"20190304154923467"</f>
        <v>20190304154923467</v>
      </c>
      <c r="B6412" t="str">
        <f>"1551685763463629"</f>
        <v>1551685763463629</v>
      </c>
      <c r="C6412" t="s">
        <v>40</v>
      </c>
      <c r="D6412">
        <v>4.2446169999999999</v>
      </c>
      <c r="E6412">
        <v>0.45680140000000002</v>
      </c>
      <c r="F6412" t="s">
        <v>45</v>
      </c>
      <c r="G6412">
        <v>-311.95569999999998</v>
      </c>
      <c r="H6412">
        <v>-0.05</v>
      </c>
      <c r="I6412">
        <v>30.2774</v>
      </c>
      <c r="J6412">
        <v>-376.65859999999998</v>
      </c>
      <c r="K6412">
        <v>1.1113729999999999</v>
      </c>
      <c r="L6412">
        <v>17.023800000000001</v>
      </c>
      <c r="M6412">
        <v>0.99927549999999998</v>
      </c>
      <c r="N6412">
        <v>-8.6185399999999992E-3</v>
      </c>
      <c r="O6412">
        <v>-3.7074389999999999E-2</v>
      </c>
      <c r="P6412">
        <v>0.98137830000000004</v>
      </c>
      <c r="Q6412">
        <v>0.16835829999999999</v>
      </c>
      <c r="R6412">
        <v>9.2479800000000001E-2</v>
      </c>
      <c r="S6412">
        <v>3.0084529999999998</v>
      </c>
      <c r="T6412">
        <v>-5.3896670000000001E-2</v>
      </c>
      <c r="U6412">
        <v>0.61489869999999902</v>
      </c>
      <c r="V6412">
        <v>-0.12932879999999999</v>
      </c>
      <c r="W6412">
        <v>0.1763892</v>
      </c>
      <c r="X6412">
        <v>0.97578730000000002</v>
      </c>
      <c r="Y6412">
        <v>-0.23638129999999999</v>
      </c>
      <c r="Z6412">
        <v>3.4666020000000001E-3</v>
      </c>
      <c r="AA6412">
        <v>0.97165420000000002</v>
      </c>
      <c r="AB6412">
        <v>24</v>
      </c>
      <c r="AC6412">
        <v>64.7029</v>
      </c>
      <c r="AD6412">
        <v>-1.161373</v>
      </c>
      <c r="AE6412">
        <v>13.2536</v>
      </c>
      <c r="AF6412">
        <v>-15.6385613454378</v>
      </c>
      <c r="AG6412">
        <v>-1.161373</v>
      </c>
      <c r="AH6412">
        <v>64.147192117516298</v>
      </c>
      <c r="AI6412">
        <v>91.007708394268704</v>
      </c>
      <c r="AJ6412">
        <v>103.700979248371</v>
      </c>
      <c r="AK6412">
        <v>66.036169216283994</v>
      </c>
      <c r="AL6412">
        <v>79.840488605680704</v>
      </c>
      <c r="AM6412">
        <v>97.549859831275299</v>
      </c>
      <c r="AN6412">
        <v>0.99999997161368404</v>
      </c>
    </row>
    <row r="6413" spans="1:40" x14ac:dyDescent="0.25">
      <c r="A6413" t="str">
        <f>"20190304154923485"</f>
        <v>20190304154923485</v>
      </c>
      <c r="B6413" t="str">
        <f>"1551685763473389"</f>
        <v>1551685763473389</v>
      </c>
      <c r="C6413" t="s">
        <v>40</v>
      </c>
      <c r="D6413">
        <v>4.2848110000000004</v>
      </c>
      <c r="E6413">
        <v>0.45707579999999998</v>
      </c>
      <c r="F6413" t="s">
        <v>45</v>
      </c>
      <c r="G6413">
        <v>-312.44499999999999</v>
      </c>
      <c r="H6413">
        <v>-0.05</v>
      </c>
      <c r="I6413">
        <v>30.164480000000001</v>
      </c>
      <c r="J6413">
        <v>-376.46940000000001</v>
      </c>
      <c r="K6413">
        <v>1.1113820000000001</v>
      </c>
      <c r="L6413">
        <v>17.018249999999998</v>
      </c>
      <c r="M6413">
        <v>0.9993242</v>
      </c>
      <c r="N6413">
        <v>-8.6229419999999998E-3</v>
      </c>
      <c r="O6413">
        <v>-3.5734050000000003E-2</v>
      </c>
      <c r="P6413">
        <v>0.98133289999999995</v>
      </c>
      <c r="Q6413">
        <v>0.1684339</v>
      </c>
      <c r="R6413">
        <v>9.2821580000000001E-2</v>
      </c>
      <c r="S6413">
        <v>3.0082089999999999</v>
      </c>
      <c r="T6413">
        <v>-5.4406759999999998E-2</v>
      </c>
      <c r="U6413">
        <v>0.61560059999999905</v>
      </c>
      <c r="V6413">
        <v>-0.12835719999999901</v>
      </c>
      <c r="W6413">
        <v>0.17647370000000001</v>
      </c>
      <c r="X6413">
        <v>0.9759004</v>
      </c>
      <c r="Y6413">
        <v>-0.2353103</v>
      </c>
      <c r="Z6413">
        <v>3.466364E-3</v>
      </c>
      <c r="AA6413">
        <v>0.9719141</v>
      </c>
      <c r="AB6413">
        <v>24</v>
      </c>
      <c r="AC6413">
        <v>64.0244</v>
      </c>
      <c r="AD6413">
        <v>-1.1613819999999999</v>
      </c>
      <c r="AE6413">
        <v>13.146229999999999</v>
      </c>
      <c r="AF6413">
        <v>-15.4209004212195</v>
      </c>
      <c r="AG6413">
        <v>-1.1613819999999999</v>
      </c>
      <c r="AH6413">
        <v>63.493674090705497</v>
      </c>
      <c r="AI6413">
        <v>91.018300970811595</v>
      </c>
      <c r="AJ6413">
        <v>103.65127819719601</v>
      </c>
      <c r="AK6413">
        <v>65.349824999672407</v>
      </c>
      <c r="AL6413">
        <v>79.835570903507204</v>
      </c>
      <c r="AM6413">
        <v>97.492928912125393</v>
      </c>
      <c r="AN6413">
        <v>1.0000000641518401</v>
      </c>
    </row>
    <row r="6414" spans="1:40" x14ac:dyDescent="0.25">
      <c r="A6414" t="str">
        <f>"20190304154923497"</f>
        <v>20190304154923497</v>
      </c>
      <c r="B6414" t="str">
        <f>"1551685763493886"</f>
        <v>1551685763493886</v>
      </c>
      <c r="C6414" t="s">
        <v>40</v>
      </c>
      <c r="D6414">
        <v>4.2881859999999996</v>
      </c>
      <c r="E6414">
        <v>0.45752540000000003</v>
      </c>
      <c r="F6414" t="s">
        <v>45</v>
      </c>
      <c r="G6414">
        <v>-312.71559999999999</v>
      </c>
      <c r="H6414">
        <v>-0.05</v>
      </c>
      <c r="I6414">
        <v>30.038450000000001</v>
      </c>
      <c r="J6414">
        <v>-376.334</v>
      </c>
      <c r="K6414">
        <v>1.1113919999999999</v>
      </c>
      <c r="L6414">
        <v>17.014469999999999</v>
      </c>
      <c r="M6414">
        <v>0.99935759999999996</v>
      </c>
      <c r="N6414">
        <v>-8.6281499999999994E-3</v>
      </c>
      <c r="O6414">
        <v>-3.478378E-2</v>
      </c>
      <c r="P6414">
        <v>0.98125560000000001</v>
      </c>
      <c r="Q6414">
        <v>0.16882079999999999</v>
      </c>
      <c r="R6414">
        <v>9.2936779999999997E-2</v>
      </c>
      <c r="S6414">
        <v>3.0083310000000001</v>
      </c>
      <c r="T6414">
        <v>-5.4801700000000002E-2</v>
      </c>
      <c r="U6414">
        <v>0.61437989999999998</v>
      </c>
      <c r="V6414">
        <v>-0.12753909999999999</v>
      </c>
      <c r="W6414">
        <v>0.17687079999999999</v>
      </c>
      <c r="X6414">
        <v>0.97593569999999996</v>
      </c>
      <c r="Y6414">
        <v>-0.23399929999999999</v>
      </c>
      <c r="Z6414">
        <v>3.4600920000000001E-3</v>
      </c>
      <c r="AA6414">
        <v>0.97223059999999994</v>
      </c>
      <c r="AB6414">
        <v>24</v>
      </c>
      <c r="AC6414">
        <v>63.618400000000001</v>
      </c>
      <c r="AD6414">
        <v>-1.161392</v>
      </c>
      <c r="AE6414">
        <v>13.0239799999999</v>
      </c>
      <c r="AF6414">
        <v>-15.224199301925101</v>
      </c>
      <c r="AG6414">
        <v>-1.161392</v>
      </c>
      <c r="AH6414">
        <v>63.1066736583835</v>
      </c>
      <c r="AI6414">
        <v>91.024934458738002</v>
      </c>
      <c r="AJ6414">
        <v>103.563188007736</v>
      </c>
      <c r="AK6414">
        <v>64.927477511359697</v>
      </c>
      <c r="AL6414">
        <v>79.812454434308407</v>
      </c>
      <c r="AM6414">
        <v>97.445443080433705</v>
      </c>
      <c r="AN6414">
        <v>0.99999999622796898</v>
      </c>
    </row>
    <row r="6415" spans="1:40" x14ac:dyDescent="0.25">
      <c r="A6415" t="str">
        <f>"20190304154923509"</f>
        <v>20190304154923509</v>
      </c>
      <c r="B6415" t="str">
        <f>"1551685763503646"</f>
        <v>1551685763503646</v>
      </c>
      <c r="C6415" t="s">
        <v>40</v>
      </c>
      <c r="D6415">
        <v>4.2809200000000001</v>
      </c>
      <c r="E6415">
        <v>0.45771689999999998</v>
      </c>
      <c r="F6415" t="s">
        <v>45</v>
      </c>
      <c r="G6415">
        <v>-311.3372</v>
      </c>
      <c r="H6415">
        <v>-0.05</v>
      </c>
      <c r="I6415">
        <v>30.217669999999998</v>
      </c>
      <c r="J6415">
        <v>-376.19889999999998</v>
      </c>
      <c r="K6415">
        <v>1.1113949999999999</v>
      </c>
      <c r="L6415">
        <v>17.010770000000001</v>
      </c>
      <c r="M6415">
        <v>0.99938990000000005</v>
      </c>
      <c r="N6415">
        <v>-8.6350400000000001E-3</v>
      </c>
      <c r="O6415">
        <v>-3.3839630000000002E-2</v>
      </c>
      <c r="P6415">
        <v>0.98115680000000005</v>
      </c>
      <c r="Q6415">
        <v>0.1691541</v>
      </c>
      <c r="R6415">
        <v>9.3370949999999994E-2</v>
      </c>
      <c r="S6415">
        <v>3.0086979999999999</v>
      </c>
      <c r="T6415">
        <v>-5.3760769999999999E-2</v>
      </c>
      <c r="U6415">
        <v>0.61117549999999998</v>
      </c>
      <c r="V6415">
        <v>-0.1270425</v>
      </c>
      <c r="W6415">
        <v>0.17721479999999901</v>
      </c>
      <c r="X6415">
        <v>0.97593810000000003</v>
      </c>
      <c r="Y6415">
        <v>-0.2320653</v>
      </c>
      <c r="Z6415">
        <v>3.3743060000000001E-3</v>
      </c>
      <c r="AA6415">
        <v>0.97269430000000001</v>
      </c>
      <c r="AB6415">
        <v>24</v>
      </c>
      <c r="AC6415">
        <v>64.8616999999999</v>
      </c>
      <c r="AD6415">
        <v>-1.161395</v>
      </c>
      <c r="AE6415">
        <v>13.206899999999999</v>
      </c>
      <c r="AF6415">
        <v>-15.389575744358201</v>
      </c>
      <c r="AG6415">
        <v>-1.161395</v>
      </c>
      <c r="AH6415">
        <v>64.357803422971898</v>
      </c>
      <c r="AI6415">
        <v>91.005500134612603</v>
      </c>
      <c r="AJ6415">
        <v>103.448333978972</v>
      </c>
      <c r="AK6415">
        <v>66.182435293416503</v>
      </c>
      <c r="AL6415">
        <v>79.792428670638003</v>
      </c>
      <c r="AM6415">
        <v>97.4167580527442</v>
      </c>
      <c r="AN6415">
        <v>1.0000000285884401</v>
      </c>
    </row>
    <row r="6416" spans="1:40" x14ac:dyDescent="0.25">
      <c r="A6416" t="str">
        <f>"20190304154923521"</f>
        <v>20190304154923521</v>
      </c>
      <c r="B6416" t="str">
        <f>"1551685763513406"</f>
        <v>1551685763513406</v>
      </c>
      <c r="C6416" t="s">
        <v>40</v>
      </c>
      <c r="D6416">
        <v>4.2601950000000004</v>
      </c>
      <c r="E6416">
        <v>0.45789780000000002</v>
      </c>
      <c r="F6416" t="s">
        <v>45</v>
      </c>
      <c r="G6416">
        <v>-309.32729999999998</v>
      </c>
      <c r="H6416">
        <v>-0.05</v>
      </c>
      <c r="I6416">
        <v>30.58914</v>
      </c>
      <c r="J6416">
        <v>-376.0727</v>
      </c>
      <c r="K6416">
        <v>1.1113900000000001</v>
      </c>
      <c r="L6416">
        <v>17.007539999999999</v>
      </c>
      <c r="M6416">
        <v>0.99941930000000001</v>
      </c>
      <c r="N6416">
        <v>-8.6424689999999998E-3</v>
      </c>
      <c r="O6416">
        <v>-3.2961799999999999E-2</v>
      </c>
      <c r="P6416">
        <v>0.98109619999999997</v>
      </c>
      <c r="Q6416">
        <v>0.16942679999999999</v>
      </c>
      <c r="R6416">
        <v>9.3513120000000005E-2</v>
      </c>
      <c r="S6416">
        <v>3.0084529999999998</v>
      </c>
      <c r="T6416">
        <v>-5.2249429999999999E-2</v>
      </c>
      <c r="U6416">
        <v>0.61087040000000004</v>
      </c>
      <c r="V6416">
        <v>-0.12631769999999901</v>
      </c>
      <c r="W6416">
        <v>0.17750289999999999</v>
      </c>
      <c r="X6416">
        <v>0.97597979999999995</v>
      </c>
      <c r="Y6416">
        <v>-0.23113429999999999</v>
      </c>
      <c r="Z6416">
        <v>3.2809459999999999E-3</v>
      </c>
      <c r="AA6416">
        <v>0.97291629999999996</v>
      </c>
      <c r="AB6416">
        <v>24</v>
      </c>
      <c r="AC6416">
        <v>66.745400000000004</v>
      </c>
      <c r="AD6416">
        <v>-1.1613899999999999</v>
      </c>
      <c r="AE6416">
        <v>13.5816</v>
      </c>
      <c r="AF6416">
        <v>-15.769765163889501</v>
      </c>
      <c r="AG6416">
        <v>-1.1613899999999999</v>
      </c>
      <c r="AH6416">
        <v>66.2421792283359</v>
      </c>
      <c r="AI6416">
        <v>90.977132720090097</v>
      </c>
      <c r="AJ6416">
        <v>103.390711460801</v>
      </c>
      <c r="AK6416">
        <v>68.103308502416297</v>
      </c>
      <c r="AL6416">
        <v>79.775655605389801</v>
      </c>
      <c r="AM6416">
        <v>97.374599634412604</v>
      </c>
      <c r="AN6416">
        <v>1.0000000054248599</v>
      </c>
    </row>
    <row r="6417" spans="1:40" x14ac:dyDescent="0.25">
      <c r="A6417" t="str">
        <f>"20190304154923532"</f>
        <v>20190304154923532</v>
      </c>
      <c r="B6417" t="str">
        <f>"1551685763523165"</f>
        <v>1551685763523165</v>
      </c>
      <c r="C6417" t="s">
        <v>40</v>
      </c>
      <c r="D6417">
        <v>4.5696560000000002</v>
      </c>
      <c r="E6417">
        <v>0.45815030000000001</v>
      </c>
      <c r="F6417" t="s">
        <v>45</v>
      </c>
      <c r="G6417">
        <v>-308.91399999999999</v>
      </c>
      <c r="H6417">
        <v>-0.05</v>
      </c>
      <c r="I6417">
        <v>30.617370000000001</v>
      </c>
      <c r="J6417">
        <v>-375.94310000000002</v>
      </c>
      <c r="K6417">
        <v>1.1113869999999999</v>
      </c>
      <c r="L6417">
        <v>17.00421</v>
      </c>
      <c r="M6417">
        <v>0.99944849999999996</v>
      </c>
      <c r="N6417">
        <v>-8.6502699999999998E-3</v>
      </c>
      <c r="O6417">
        <v>-3.206229E-2</v>
      </c>
      <c r="P6417">
        <v>0.98102489999999998</v>
      </c>
      <c r="Q6417">
        <v>0.1697765</v>
      </c>
      <c r="R6417">
        <v>9.3628009999999998E-2</v>
      </c>
      <c r="S6417">
        <v>3.008667</v>
      </c>
      <c r="T6417">
        <v>-5.2029489999999998E-2</v>
      </c>
      <c r="U6417">
        <v>0.60971070000000005</v>
      </c>
      <c r="V6417">
        <v>-0.12554369999999901</v>
      </c>
      <c r="W6417">
        <v>0.177868</v>
      </c>
      <c r="X6417">
        <v>0.97601320000000003</v>
      </c>
      <c r="Y6417">
        <v>-0.22988549999999999</v>
      </c>
      <c r="Z6417">
        <v>3.2468530000000001E-3</v>
      </c>
      <c r="AA6417">
        <v>0.97321230000000003</v>
      </c>
      <c r="AB6417">
        <v>24</v>
      </c>
      <c r="AC6417">
        <v>67.0291</v>
      </c>
      <c r="AD6417">
        <v>-1.1613869999999999</v>
      </c>
      <c r="AE6417">
        <v>13.613160000000001</v>
      </c>
      <c r="AF6417">
        <v>-15.750806042311</v>
      </c>
      <c r="AG6417">
        <v>-1.1613869999999999</v>
      </c>
      <c r="AH6417">
        <v>66.538966085360599</v>
      </c>
      <c r="AI6417">
        <v>90.973067097257399</v>
      </c>
      <c r="AJ6417">
        <v>103.31766356582401</v>
      </c>
      <c r="AK6417">
        <v>68.387650335824802</v>
      </c>
      <c r="AL6417">
        <v>79.754398670732101</v>
      </c>
      <c r="AM6417">
        <v>97.329657260219605</v>
      </c>
      <c r="AN6417">
        <v>1.00000000630396</v>
      </c>
    </row>
    <row r="6418" spans="1:40" x14ac:dyDescent="0.25">
      <c r="A6418" t="str">
        <f>"20190304154923545"</f>
        <v>20190304154923545</v>
      </c>
      <c r="B6418" t="str">
        <f>"1551685763533902"</f>
        <v>1551685763533902</v>
      </c>
      <c r="C6418" t="s">
        <v>40</v>
      </c>
      <c r="D6418">
        <v>4.2406269999999999</v>
      </c>
      <c r="E6418">
        <v>0.45824559999999998</v>
      </c>
      <c r="F6418" t="s">
        <v>45</v>
      </c>
      <c r="G6418">
        <v>-306.36360000000002</v>
      </c>
      <c r="H6418">
        <v>-0.05</v>
      </c>
      <c r="I6418">
        <v>31.06495</v>
      </c>
      <c r="J6418">
        <v>-375.80930000000001</v>
      </c>
      <c r="K6418">
        <v>1.111378</v>
      </c>
      <c r="L6418">
        <v>17.00095</v>
      </c>
      <c r="M6418">
        <v>0.99947750000000002</v>
      </c>
      <c r="N6418">
        <v>-8.6580649999999995E-3</v>
      </c>
      <c r="O6418">
        <v>-3.1145539999999999E-2</v>
      </c>
      <c r="P6418">
        <v>0.9809137</v>
      </c>
      <c r="Q6418">
        <v>0.1702456</v>
      </c>
      <c r="R6418">
        <v>9.3940599999999999E-2</v>
      </c>
      <c r="S6418">
        <v>3.0086979999999999</v>
      </c>
      <c r="T6418">
        <v>-5.0219659999999999E-2</v>
      </c>
      <c r="U6418">
        <v>0.60800169999999998</v>
      </c>
      <c r="V6418">
        <v>-0.1249461</v>
      </c>
      <c r="W6418">
        <v>0.17835409999999999</v>
      </c>
      <c r="X6418">
        <v>0.97600109999999995</v>
      </c>
      <c r="Y6418">
        <v>-0.2284629</v>
      </c>
      <c r="Z6418">
        <v>3.134717E-3</v>
      </c>
      <c r="AA6418">
        <v>0.97354759999999996</v>
      </c>
      <c r="AB6418">
        <v>24</v>
      </c>
      <c r="AC6418">
        <v>69.445699999999903</v>
      </c>
      <c r="AD6418">
        <v>-1.161378</v>
      </c>
      <c r="AE6418">
        <v>14.064</v>
      </c>
      <c r="AF6418">
        <v>-16.215824564706001</v>
      </c>
      <c r="AG6418">
        <v>-1.161378</v>
      </c>
      <c r="AH6418">
        <v>68.955433920520306</v>
      </c>
      <c r="AI6418">
        <v>90.939291594504198</v>
      </c>
      <c r="AJ6418">
        <v>103.23344687228401</v>
      </c>
      <c r="AK6418">
        <v>70.845985294436005</v>
      </c>
      <c r="AL6418">
        <v>79.726093829595897</v>
      </c>
      <c r="AM6418">
        <v>97.295233599245194</v>
      </c>
      <c r="AN6418">
        <v>0.99999993004661203</v>
      </c>
    </row>
    <row r="6419" spans="1:40" x14ac:dyDescent="0.25">
      <c r="A6419" t="str">
        <f>"20190304154923560"</f>
        <v>20190304154923560</v>
      </c>
      <c r="B6419" t="str">
        <f>"1551685763553422"</f>
        <v>1551685763553422</v>
      </c>
      <c r="C6419" t="s">
        <v>40</v>
      </c>
      <c r="D6419">
        <v>4.2331909999999997</v>
      </c>
      <c r="E6419">
        <v>0.45830969999999999</v>
      </c>
      <c r="F6419" t="s">
        <v>45</v>
      </c>
      <c r="G6419">
        <v>-306.34710000000001</v>
      </c>
      <c r="H6419">
        <v>-0.05</v>
      </c>
      <c r="I6419">
        <v>31.04288</v>
      </c>
      <c r="J6419">
        <v>-375.65750000000003</v>
      </c>
      <c r="K6419">
        <v>1.1113660000000001</v>
      </c>
      <c r="L6419">
        <v>16.997339999999902</v>
      </c>
      <c r="M6419">
        <v>0.99950879999999998</v>
      </c>
      <c r="N6419">
        <v>-8.6665409999999998E-3</v>
      </c>
      <c r="O6419">
        <v>-3.0119400000000001E-2</v>
      </c>
      <c r="P6419">
        <v>0.98073399999999999</v>
      </c>
      <c r="Q6419">
        <v>0.1709273</v>
      </c>
      <c r="R6419">
        <v>9.4578239999999994E-2</v>
      </c>
      <c r="S6419">
        <v>3.0088499999999998</v>
      </c>
      <c r="T6419">
        <v>-5.0306679999999999E-2</v>
      </c>
      <c r="U6419">
        <v>0.60824579999999995</v>
      </c>
      <c r="V6419">
        <v>-0.1245642</v>
      </c>
      <c r="W6419">
        <v>0.17905309999999999</v>
      </c>
      <c r="X6419">
        <v>0.97592199999999996</v>
      </c>
      <c r="Y6419">
        <v>-0.2275297</v>
      </c>
      <c r="Z6419">
        <v>3.1194489999999998E-3</v>
      </c>
      <c r="AA6419">
        <v>0.97376609999999997</v>
      </c>
      <c r="AB6419">
        <v>24</v>
      </c>
      <c r="AC6419">
        <v>69.310400000000001</v>
      </c>
      <c r="AD6419">
        <v>-1.1613659999999999</v>
      </c>
      <c r="AE6419">
        <v>14.045540000000001</v>
      </c>
      <c r="AF6419">
        <v>-16.122485045703399</v>
      </c>
      <c r="AG6419">
        <v>-1.1613659999999999</v>
      </c>
      <c r="AH6419">
        <v>68.837328295660797</v>
      </c>
      <c r="AI6419">
        <v>90.941092472825801</v>
      </c>
      <c r="AJ6419">
        <v>103.181723326981</v>
      </c>
      <c r="AK6419">
        <v>70.709695671240695</v>
      </c>
      <c r="AL6419">
        <v>79.685389589037797</v>
      </c>
      <c r="AM6419">
        <v>97.273757904344095</v>
      </c>
      <c r="AN6419">
        <v>1.00000000131262</v>
      </c>
    </row>
    <row r="6420" spans="1:40" x14ac:dyDescent="0.25">
      <c r="A6420" t="str">
        <f>"20190304154923577"</f>
        <v>20190304154923577</v>
      </c>
      <c r="B6420" t="str">
        <f>"1551685763573917"</f>
        <v>1551685763573917</v>
      </c>
      <c r="C6420" t="s">
        <v>40</v>
      </c>
      <c r="D6420">
        <v>4.2588019999999904</v>
      </c>
      <c r="E6420">
        <v>0.45841700000000002</v>
      </c>
      <c r="F6420" t="s">
        <v>45</v>
      </c>
      <c r="G6420">
        <v>-306.95150000000001</v>
      </c>
      <c r="H6420">
        <v>-0.05</v>
      </c>
      <c r="I6420">
        <v>30.915679999999998</v>
      </c>
      <c r="J6420">
        <v>-375.46550000000002</v>
      </c>
      <c r="K6420">
        <v>1.111343</v>
      </c>
      <c r="L6420">
        <v>16.99295</v>
      </c>
      <c r="M6420">
        <v>0.99954620000000005</v>
      </c>
      <c r="N6420">
        <v>-8.6767589999999992E-3</v>
      </c>
      <c r="O6420">
        <v>-2.8848470000000001E-2</v>
      </c>
      <c r="P6420">
        <v>0.98044290000000001</v>
      </c>
      <c r="Q6420">
        <v>0.17233679999999901</v>
      </c>
      <c r="R6420">
        <v>9.5035010000000003E-2</v>
      </c>
      <c r="S6420">
        <v>3.0090029999999999</v>
      </c>
      <c r="T6420">
        <v>-5.086243E-2</v>
      </c>
      <c r="U6420">
        <v>0.60955809999999999</v>
      </c>
      <c r="V6420">
        <v>-0.1237564</v>
      </c>
      <c r="W6420">
        <v>0.18048520000000001</v>
      </c>
      <c r="X6420">
        <v>0.97576090000000004</v>
      </c>
      <c r="Y6420">
        <v>-0.2266891</v>
      </c>
      <c r="Z6420">
        <v>3.125357E-3</v>
      </c>
      <c r="AA6420">
        <v>0.97396210000000005</v>
      </c>
      <c r="AB6420">
        <v>24</v>
      </c>
      <c r="AC6420">
        <v>68.513999999999996</v>
      </c>
      <c r="AD6420">
        <v>-1.161343</v>
      </c>
      <c r="AE6420">
        <v>13.9227299999999</v>
      </c>
      <c r="AF6420">
        <v>-15.8891490362062</v>
      </c>
      <c r="AG6420">
        <v>-1.161343</v>
      </c>
      <c r="AH6420">
        <v>68.065036769616995</v>
      </c>
      <c r="AI6420">
        <v>90.951912266917404</v>
      </c>
      <c r="AJ6420">
        <v>103.139855561407</v>
      </c>
      <c r="AK6420">
        <v>69.904670838991393</v>
      </c>
      <c r="AL6420">
        <v>79.601976810051198</v>
      </c>
      <c r="AM6420">
        <v>97.228268447296998</v>
      </c>
      <c r="AN6420">
        <v>0.99999994396440295</v>
      </c>
    </row>
    <row r="6421" spans="1:40" x14ac:dyDescent="0.25">
      <c r="A6421" t="str">
        <f>"20190304154923592"</f>
        <v>20190304154923592</v>
      </c>
      <c r="B6421" t="str">
        <f>"1551685763583677"</f>
        <v>1551685763583677</v>
      </c>
      <c r="C6421" t="s">
        <v>40</v>
      </c>
      <c r="D6421">
        <v>4.2634040000000004</v>
      </c>
      <c r="E6421">
        <v>0.45845619999999998</v>
      </c>
      <c r="F6421" t="s">
        <v>45</v>
      </c>
      <c r="G6421">
        <v>-302.32749999999999</v>
      </c>
      <c r="H6421">
        <v>-0.05</v>
      </c>
      <c r="I6421">
        <v>31.827349999999999</v>
      </c>
      <c r="J6421">
        <v>-375.3048</v>
      </c>
      <c r="K6421">
        <v>1.1113249999999999</v>
      </c>
      <c r="L6421">
        <v>16.989439999999998</v>
      </c>
      <c r="M6421">
        <v>0.99957560000000001</v>
      </c>
      <c r="N6421">
        <v>-8.6850520000000004E-3</v>
      </c>
      <c r="O6421">
        <v>-2.7809009999999999E-2</v>
      </c>
      <c r="P6421">
        <v>0.98031210000000002</v>
      </c>
      <c r="Q6421">
        <v>0.17260329999999999</v>
      </c>
      <c r="R6421">
        <v>9.5898730000000001E-2</v>
      </c>
      <c r="S6421">
        <v>3.009064</v>
      </c>
      <c r="T6421">
        <v>-4.7780280000000001E-2</v>
      </c>
      <c r="U6421">
        <v>0.610321</v>
      </c>
      <c r="V6421">
        <v>-0.1235861</v>
      </c>
      <c r="W6421">
        <v>0.1807695</v>
      </c>
      <c r="X6421">
        <v>0.97572990000000004</v>
      </c>
      <c r="Y6421">
        <v>-0.22591459999999999</v>
      </c>
      <c r="Z6421">
        <v>2.9648980000000001E-3</v>
      </c>
      <c r="AA6421">
        <v>0.97414259999999997</v>
      </c>
      <c r="AB6421">
        <v>25</v>
      </c>
      <c r="AC6421">
        <v>72.9773</v>
      </c>
      <c r="AD6421">
        <v>-1.1613249999999999</v>
      </c>
      <c r="AE6421">
        <v>14.837910000000001</v>
      </c>
      <c r="AF6421">
        <v>-16.857574397794799</v>
      </c>
      <c r="AG6421">
        <v>-1.1613249999999999</v>
      </c>
      <c r="AH6421">
        <v>72.518795535984196</v>
      </c>
      <c r="AI6421">
        <v>90.893640280100996</v>
      </c>
      <c r="AJ6421">
        <v>103.08644992557799</v>
      </c>
      <c r="AK6421">
        <v>74.461414143989302</v>
      </c>
      <c r="AL6421">
        <v>79.585415660336196</v>
      </c>
      <c r="AM6421">
        <v>97.218653603559005</v>
      </c>
      <c r="AN6421">
        <v>0.99999998699873405</v>
      </c>
    </row>
    <row r="6422" spans="1:40" x14ac:dyDescent="0.25">
      <c r="A6422" t="str">
        <f>"20190304154923609"</f>
        <v>20190304154923609</v>
      </c>
      <c r="B6422" t="str">
        <f>"1551685763603197"</f>
        <v>1551685763603197</v>
      </c>
      <c r="C6422" t="s">
        <v>40</v>
      </c>
      <c r="D6422">
        <v>4.269755</v>
      </c>
      <c r="E6422">
        <v>0.45852949999999998</v>
      </c>
      <c r="F6422" t="s">
        <v>45</v>
      </c>
      <c r="G6422">
        <v>-302.15660000000003</v>
      </c>
      <c r="H6422">
        <v>-0.05</v>
      </c>
      <c r="I6422">
        <v>31.88205</v>
      </c>
      <c r="J6422">
        <v>-375.11919999999998</v>
      </c>
      <c r="K6422">
        <v>1.111305</v>
      </c>
      <c r="L6422">
        <v>16.985569999999999</v>
      </c>
      <c r="M6422">
        <v>0.99960709999999997</v>
      </c>
      <c r="N6422">
        <v>-8.6943160000000005E-3</v>
      </c>
      <c r="O6422">
        <v>-2.6651560000000001E-2</v>
      </c>
      <c r="P6422">
        <v>0.98018400000000006</v>
      </c>
      <c r="Q6422">
        <v>0.17279510000000001</v>
      </c>
      <c r="R6422">
        <v>9.6859539999999994E-2</v>
      </c>
      <c r="S6422">
        <v>3.008667</v>
      </c>
      <c r="T6422">
        <v>-4.7766570000000001E-2</v>
      </c>
      <c r="U6422">
        <v>0.6125488</v>
      </c>
      <c r="V6422">
        <v>-0.12339700000000001</v>
      </c>
      <c r="W6422">
        <v>0.180981</v>
      </c>
      <c r="X6422">
        <v>0.97571459999999999</v>
      </c>
      <c r="Y6422">
        <v>-0.22550439999999999</v>
      </c>
      <c r="Z6422">
        <v>2.9520010000000001E-3</v>
      </c>
      <c r="AA6422">
        <v>0.97423769999999998</v>
      </c>
      <c r="AB6422">
        <v>25</v>
      </c>
      <c r="AC6422">
        <v>72.962599999999895</v>
      </c>
      <c r="AD6422">
        <v>-1.161305</v>
      </c>
      <c r="AE6422">
        <v>14.896479999999899</v>
      </c>
      <c r="AF6422">
        <v>-16.831735094512599</v>
      </c>
      <c r="AG6422">
        <v>-1.161305</v>
      </c>
      <c r="AH6422">
        <v>72.522014132789707</v>
      </c>
      <c r="AI6422">
        <v>90.893657428220905</v>
      </c>
      <c r="AJ6422">
        <v>103.066519824509</v>
      </c>
      <c r="AK6422">
        <v>74.458703114353398</v>
      </c>
      <c r="AL6422">
        <v>79.573094105259997</v>
      </c>
      <c r="AM6422">
        <v>97.207836372237097</v>
      </c>
      <c r="AN6422">
        <v>0.99999996131157898</v>
      </c>
    </row>
    <row r="6423" spans="1:40" x14ac:dyDescent="0.25">
      <c r="A6423" t="str">
        <f>"20190304154923619"</f>
        <v>20190304154923619</v>
      </c>
      <c r="B6423" t="str">
        <f>"1551685763613934"</f>
        <v>1551685763613934</v>
      </c>
      <c r="C6423" t="s">
        <v>40</v>
      </c>
      <c r="D6423">
        <v>4.2540990000000001</v>
      </c>
      <c r="E6423">
        <v>0.45858569999999999</v>
      </c>
      <c r="F6423" t="s">
        <v>45</v>
      </c>
      <c r="G6423">
        <v>-303.2903</v>
      </c>
      <c r="H6423">
        <v>-0.05</v>
      </c>
      <c r="I6423">
        <v>31.664950000000001</v>
      </c>
      <c r="J6423">
        <v>-374.9941</v>
      </c>
      <c r="K6423">
        <v>1.1112899999999999</v>
      </c>
      <c r="L6423">
        <v>16.983090000000001</v>
      </c>
      <c r="M6423">
        <v>0.99962709999999999</v>
      </c>
      <c r="N6423">
        <v>-8.7003400000000009E-3</v>
      </c>
      <c r="O6423">
        <v>-2.589323E-2</v>
      </c>
      <c r="P6423">
        <v>0.98006870000000001</v>
      </c>
      <c r="Q6423">
        <v>0.1732562</v>
      </c>
      <c r="R6423">
        <v>9.7201830000000003E-2</v>
      </c>
      <c r="S6423">
        <v>3.0085139999999999</v>
      </c>
      <c r="T6423">
        <v>-4.8640610000000001E-2</v>
      </c>
      <c r="U6423">
        <v>0.61483759999999998</v>
      </c>
      <c r="V6423">
        <v>-0.12298539999999999</v>
      </c>
      <c r="W6423">
        <v>0.18145549999999999</v>
      </c>
      <c r="X6423">
        <v>0.97567839999999995</v>
      </c>
      <c r="Y6423">
        <v>-0.2254852</v>
      </c>
      <c r="Z6423">
        <v>2.9867890000000001E-3</v>
      </c>
      <c r="AA6423">
        <v>0.97424200000000005</v>
      </c>
      <c r="AB6423">
        <v>25</v>
      </c>
      <c r="AC6423">
        <v>71.703800000000001</v>
      </c>
      <c r="AD6423">
        <v>-1.1612899999999999</v>
      </c>
      <c r="AE6423">
        <v>14.68186</v>
      </c>
      <c r="AF6423">
        <v>-16.529488598150401</v>
      </c>
      <c r="AG6423">
        <v>-1.1612899999999999</v>
      </c>
      <c r="AH6423">
        <v>71.281637070271302</v>
      </c>
      <c r="AI6423">
        <v>90.909234029197194</v>
      </c>
      <c r="AJ6423">
        <v>103.05556250724899</v>
      </c>
      <c r="AK6423">
        <v>73.182268147402695</v>
      </c>
      <c r="AL6423">
        <v>79.545449144777095</v>
      </c>
      <c r="AM6423">
        <v>97.184309459345201</v>
      </c>
      <c r="AN6423">
        <v>0.99999992365998203</v>
      </c>
    </row>
    <row r="6424" spans="1:40" x14ac:dyDescent="0.25">
      <c r="A6424" t="str">
        <f>"20190304154923631"</f>
        <v>20190304154923631</v>
      </c>
      <c r="B6424" t="str">
        <f>"1551685763623693"</f>
        <v>1551685763623693</v>
      </c>
      <c r="C6424" t="s">
        <v>40</v>
      </c>
      <c r="D6424">
        <v>4.2712919999999999</v>
      </c>
      <c r="E6424">
        <v>0.45864310000000003</v>
      </c>
      <c r="F6424" t="s">
        <v>45</v>
      </c>
      <c r="G6424">
        <v>-301.70209999999997</v>
      </c>
      <c r="H6424">
        <v>-0.05</v>
      </c>
      <c r="I6424">
        <v>31.97916</v>
      </c>
      <c r="J6424">
        <v>-374.86309999999997</v>
      </c>
      <c r="K6424">
        <v>1.111283</v>
      </c>
      <c r="L6424">
        <v>16.980499999999999</v>
      </c>
      <c r="M6424">
        <v>0.9996469</v>
      </c>
      <c r="N6424">
        <v>-8.7065730000000004E-3</v>
      </c>
      <c r="O6424">
        <v>-2.5108809999999999E-2</v>
      </c>
      <c r="P6424">
        <v>0.97991450000000002</v>
      </c>
      <c r="Q6424">
        <v>0.17371449999999999</v>
      </c>
      <c r="R6424">
        <v>9.7932989999999998E-2</v>
      </c>
      <c r="S6424">
        <v>3.0083920000000002</v>
      </c>
      <c r="T6424">
        <v>-4.7667149999999998E-2</v>
      </c>
      <c r="U6424">
        <v>0.61553959999999996</v>
      </c>
      <c r="V6424">
        <v>-0.1229359</v>
      </c>
      <c r="W6424">
        <v>0.1819268</v>
      </c>
      <c r="X6424">
        <v>0.97559700000000005</v>
      </c>
      <c r="Y6424">
        <v>-0.22494829999999999</v>
      </c>
      <c r="Z6424">
        <v>2.9308720000000002E-3</v>
      </c>
      <c r="AA6424">
        <v>0.97436630000000002</v>
      </c>
      <c r="AB6424">
        <v>25</v>
      </c>
      <c r="AC6424">
        <v>73.161000000000001</v>
      </c>
      <c r="AD6424">
        <v>-1.1612830000000001</v>
      </c>
      <c r="AE6424">
        <v>14.9986599999999</v>
      </c>
      <c r="AF6424">
        <v>-16.826917468500501</v>
      </c>
      <c r="AG6424">
        <v>-1.1612830000000001</v>
      </c>
      <c r="AH6424">
        <v>72.743730951828695</v>
      </c>
      <c r="AI6424">
        <v>90.891068749513195</v>
      </c>
      <c r="AJ6424">
        <v>103.024452963079</v>
      </c>
      <c r="AK6424">
        <v>74.6735838331726</v>
      </c>
      <c r="AL6424">
        <v>79.517989930471501</v>
      </c>
      <c r="AM6424">
        <v>97.182041000648397</v>
      </c>
      <c r="AN6424">
        <v>1.00000005123802</v>
      </c>
    </row>
    <row r="6425" spans="1:40" x14ac:dyDescent="0.25">
      <c r="A6425" t="str">
        <f>"20190304154923643"</f>
        <v>20190304154923643</v>
      </c>
      <c r="B6425" t="str">
        <f>"1551685763633454"</f>
        <v>1551685763633454</v>
      </c>
      <c r="C6425" t="s">
        <v>40</v>
      </c>
      <c r="D6425">
        <v>4.2790059999999999</v>
      </c>
      <c r="E6425">
        <v>0.45876719999999999</v>
      </c>
      <c r="F6425" t="s">
        <v>45</v>
      </c>
      <c r="G6425">
        <v>-300.46370000000002</v>
      </c>
      <c r="H6425">
        <v>-0.05</v>
      </c>
      <c r="I6425">
        <v>32.249429999999997</v>
      </c>
      <c r="J6425">
        <v>-374.73439999999999</v>
      </c>
      <c r="K6425">
        <v>1.111262</v>
      </c>
      <c r="L6425">
        <v>16.978089999999899</v>
      </c>
      <c r="M6425">
        <v>0.99966500000000003</v>
      </c>
      <c r="N6425">
        <v>-8.7122680000000004E-3</v>
      </c>
      <c r="O6425">
        <v>-2.43722E-2</v>
      </c>
      <c r="P6425">
        <v>0.97983160000000002</v>
      </c>
      <c r="Q6425">
        <v>0.1739243</v>
      </c>
      <c r="R6425">
        <v>9.8388900000000001E-2</v>
      </c>
      <c r="S6425">
        <v>3.008057</v>
      </c>
      <c r="T6425">
        <v>-4.6952010000000002E-2</v>
      </c>
      <c r="U6425">
        <v>0.61734009999999995</v>
      </c>
      <c r="V6425">
        <v>-0.12265909999999999</v>
      </c>
      <c r="W6425">
        <v>0.18215039999999999</v>
      </c>
      <c r="X6425">
        <v>0.97559010000000002</v>
      </c>
      <c r="Y6425">
        <v>-0.2248125</v>
      </c>
      <c r="Z6425">
        <v>2.892497E-3</v>
      </c>
      <c r="AA6425">
        <v>0.97439779999999998</v>
      </c>
      <c r="AB6425">
        <v>25</v>
      </c>
      <c r="AC6425">
        <v>74.270699999999906</v>
      </c>
      <c r="AD6425">
        <v>-1.161262</v>
      </c>
      <c r="AE6425">
        <v>15.27134</v>
      </c>
      <c r="AF6425">
        <v>-17.073007869795699</v>
      </c>
      <c r="AG6425">
        <v>-1.161262</v>
      </c>
      <c r="AH6425">
        <v>73.859102322650699</v>
      </c>
      <c r="AI6425">
        <v>90.877629741784304</v>
      </c>
      <c r="AJ6425">
        <v>103.01567924909401</v>
      </c>
      <c r="AK6425">
        <v>75.815586280543499</v>
      </c>
      <c r="AL6425">
        <v>79.504960705484294</v>
      </c>
      <c r="AM6425">
        <v>97.166088515818899</v>
      </c>
      <c r="AN6425">
        <v>1.0000000331254799</v>
      </c>
    </row>
    <row r="6426" spans="1:40" x14ac:dyDescent="0.25">
      <c r="A6426" t="str">
        <f>"20190304154923654"</f>
        <v>20190304154923654</v>
      </c>
      <c r="B6426" t="str">
        <f>"1551685763643214"</f>
        <v>1551685763643214</v>
      </c>
      <c r="C6426" t="s">
        <v>40</v>
      </c>
      <c r="D6426">
        <v>4.2678629999999904</v>
      </c>
      <c r="E6426">
        <v>0.45886919999999998</v>
      </c>
      <c r="F6426" t="s">
        <v>45</v>
      </c>
      <c r="G6426">
        <v>-299.97890000000001</v>
      </c>
      <c r="H6426">
        <v>-0.05</v>
      </c>
      <c r="I6426">
        <v>32.325229999999998</v>
      </c>
      <c r="J6426">
        <v>-374.60849999999999</v>
      </c>
      <c r="K6426">
        <v>1.1112489999999999</v>
      </c>
      <c r="L6426">
        <v>16.975770000000001</v>
      </c>
      <c r="M6426">
        <v>0.99968219999999997</v>
      </c>
      <c r="N6426">
        <v>-8.7177190000000005E-3</v>
      </c>
      <c r="O6426">
        <v>-2.366217E-2</v>
      </c>
      <c r="P6426">
        <v>0.97993280000000005</v>
      </c>
      <c r="Q6426">
        <v>0.1730139</v>
      </c>
      <c r="R6426">
        <v>9.8987240000000004E-2</v>
      </c>
      <c r="S6426">
        <v>3.0080870000000002</v>
      </c>
      <c r="T6426">
        <v>-4.672801E-2</v>
      </c>
      <c r="U6426">
        <v>0.61755369999999998</v>
      </c>
      <c r="V6426">
        <v>-0.1225527</v>
      </c>
      <c r="W6426">
        <v>0.1812539</v>
      </c>
      <c r="X6426">
        <v>0.97577040000000004</v>
      </c>
      <c r="Y6426">
        <v>-0.2241853</v>
      </c>
      <c r="Z6426">
        <v>2.8704870000000001E-3</v>
      </c>
      <c r="AA6426">
        <v>0.97454229999999997</v>
      </c>
      <c r="AB6426">
        <v>25</v>
      </c>
      <c r="AC6426">
        <v>74.629599999999897</v>
      </c>
      <c r="AD6426">
        <v>-1.161249</v>
      </c>
      <c r="AE6426">
        <v>15.349459999999899</v>
      </c>
      <c r="AF6426">
        <v>-17.1071531831114</v>
      </c>
      <c r="AG6426">
        <v>-1.161249</v>
      </c>
      <c r="AH6426">
        <v>74.228245091663595</v>
      </c>
      <c r="AI6426">
        <v>90.873388069482601</v>
      </c>
      <c r="AJ6426">
        <v>102.978169010602</v>
      </c>
      <c r="AK6426">
        <v>76.182908573107895</v>
      </c>
      <c r="AL6426">
        <v>79.557195623681594</v>
      </c>
      <c r="AM6426">
        <v>97.158627604805304</v>
      </c>
      <c r="AN6426">
        <v>1.00000000702933</v>
      </c>
    </row>
    <row r="6427" spans="1:40" x14ac:dyDescent="0.25">
      <c r="A6427" t="str">
        <f>"20190304154923666"</f>
        <v>20190304154923666</v>
      </c>
      <c r="B6427" t="str">
        <f>"1551685763663710"</f>
        <v>1551685763663710</v>
      </c>
      <c r="C6427" t="s">
        <v>40</v>
      </c>
      <c r="D6427">
        <v>4.383508</v>
      </c>
      <c r="E6427">
        <v>0.45900780000000002</v>
      </c>
      <c r="F6427" t="s">
        <v>45</v>
      </c>
      <c r="G6427">
        <v>-304.59129999999999</v>
      </c>
      <c r="H6427">
        <v>-0.05</v>
      </c>
      <c r="I6427">
        <v>31.375170000000001</v>
      </c>
      <c r="J6427">
        <v>-374.4742</v>
      </c>
      <c r="K6427">
        <v>1.111229</v>
      </c>
      <c r="L6427">
        <v>16.973389999999998</v>
      </c>
      <c r="M6427">
        <v>0.99969909999999995</v>
      </c>
      <c r="N6427">
        <v>-8.7231949999999996E-3</v>
      </c>
      <c r="O6427">
        <v>-2.2929629999999999E-2</v>
      </c>
      <c r="P6427">
        <v>0.97966839999999999</v>
      </c>
      <c r="Q6427">
        <v>0.17420720000000001</v>
      </c>
      <c r="R6427">
        <v>9.950784E-2</v>
      </c>
      <c r="S6427">
        <v>3.0077509999999998</v>
      </c>
      <c r="T6427">
        <v>-4.9884199999999997E-2</v>
      </c>
      <c r="U6427">
        <v>0.61856080000000002</v>
      </c>
      <c r="V6427">
        <v>-0.1223417</v>
      </c>
      <c r="W6427">
        <v>0.18245990000000001</v>
      </c>
      <c r="X6427">
        <v>0.97557210000000005</v>
      </c>
      <c r="Y6427">
        <v>-0.2238009</v>
      </c>
      <c r="Z6427">
        <v>3.001592E-3</v>
      </c>
      <c r="AA6427">
        <v>0.9746302</v>
      </c>
      <c r="AB6427">
        <v>25</v>
      </c>
      <c r="AC6427">
        <v>69.882900000000006</v>
      </c>
      <c r="AD6427">
        <v>-1.1612290000000001</v>
      </c>
      <c r="AE6427">
        <v>14.40178</v>
      </c>
      <c r="AF6427">
        <v>-15.996206217137001</v>
      </c>
      <c r="AG6427">
        <v>-1.1612290000000001</v>
      </c>
      <c r="AH6427">
        <v>69.515872516751998</v>
      </c>
      <c r="AI6427">
        <v>90.932640545028207</v>
      </c>
      <c r="AJ6427">
        <v>102.958678857994</v>
      </c>
      <c r="AK6427">
        <v>71.342018459649196</v>
      </c>
      <c r="AL6427">
        <v>79.486925228848804</v>
      </c>
      <c r="AM6427">
        <v>97.147867674713396</v>
      </c>
      <c r="AN6427">
        <v>1.00000001448265</v>
      </c>
    </row>
    <row r="6428" spans="1:40" x14ac:dyDescent="0.25">
      <c r="A6428" t="str">
        <f>"20190304154923678"</f>
        <v>20190304154923678</v>
      </c>
      <c r="B6428" t="str">
        <f>"1551685763673470"</f>
        <v>1551685763673470</v>
      </c>
      <c r="C6428" t="s">
        <v>40</v>
      </c>
      <c r="D6428">
        <v>4.525156</v>
      </c>
      <c r="E6428">
        <v>0.48630069999999997</v>
      </c>
      <c r="F6428" t="s">
        <v>45</v>
      </c>
      <c r="G6428">
        <v>-299.7346</v>
      </c>
      <c r="H6428">
        <v>-0.05</v>
      </c>
      <c r="I6428">
        <v>32.35416</v>
      </c>
      <c r="J6428">
        <v>-374.34739999999999</v>
      </c>
      <c r="K6428">
        <v>1.1112120000000001</v>
      </c>
      <c r="L6428">
        <v>16.971219999999999</v>
      </c>
      <c r="M6428">
        <v>0.9997142</v>
      </c>
      <c r="N6428">
        <v>-8.7281370000000004E-3</v>
      </c>
      <c r="O6428">
        <v>-2.2258710000000001E-2</v>
      </c>
      <c r="P6428">
        <v>0.97958829999999997</v>
      </c>
      <c r="Q6428">
        <v>0.17445569999999999</v>
      </c>
      <c r="R6428">
        <v>9.9860859999999996E-2</v>
      </c>
      <c r="S6428">
        <v>3.0076900000000002</v>
      </c>
      <c r="T6428">
        <v>-4.6730519999999998E-2</v>
      </c>
      <c r="U6428">
        <v>0.61895749999999905</v>
      </c>
      <c r="V6428">
        <v>-0.1220267</v>
      </c>
      <c r="W6428">
        <v>0.18272099999999999</v>
      </c>
      <c r="X6428">
        <v>0.9755627</v>
      </c>
      <c r="Y6428">
        <v>-0.22327900000000001</v>
      </c>
      <c r="Z6428">
        <v>2.8513129999999999E-3</v>
      </c>
      <c r="AA6428">
        <v>0.97475040000000002</v>
      </c>
      <c r="AB6428">
        <v>25</v>
      </c>
      <c r="AC6428">
        <v>74.612799999999993</v>
      </c>
      <c r="AD6428">
        <v>-1.1612119999999999</v>
      </c>
      <c r="AE6428">
        <v>15.3829399999999</v>
      </c>
      <c r="AF6428">
        <v>-17.0360182539095</v>
      </c>
      <c r="AG6428">
        <v>-1.1612119999999999</v>
      </c>
      <c r="AH6428">
        <v>74.234647987880805</v>
      </c>
      <c r="AI6428">
        <v>90.873471493670905</v>
      </c>
      <c r="AJ6428">
        <v>102.92494189072001</v>
      </c>
      <c r="AK6428">
        <v>76.173205874120001</v>
      </c>
      <c r="AL6428">
        <v>79.471709680944102</v>
      </c>
      <c r="AM6428">
        <v>97.129721286724404</v>
      </c>
      <c r="AN6428">
        <v>1.00000003049258</v>
      </c>
    </row>
    <row r="6429" spans="1:40" x14ac:dyDescent="0.25">
      <c r="A6429" t="str">
        <f>"20190304154923697"</f>
        <v>20190304154923697</v>
      </c>
      <c r="B6429" t="str">
        <f>"1551685763693966"</f>
        <v>1551685763693966</v>
      </c>
      <c r="C6429" t="s">
        <v>40</v>
      </c>
      <c r="D6429">
        <v>4.3096379999999996</v>
      </c>
      <c r="E6429">
        <v>0.49816729999999998</v>
      </c>
      <c r="F6429" t="s">
        <v>55</v>
      </c>
      <c r="G6429">
        <v>-215.11850000000001</v>
      </c>
      <c r="H6429">
        <v>0.65908719999999998</v>
      </c>
      <c r="I6429">
        <v>38.228740000000002</v>
      </c>
      <c r="J6429">
        <v>-374.14330000000001</v>
      </c>
      <c r="K6429">
        <v>1.111181</v>
      </c>
      <c r="L6429">
        <v>16.967860000000002</v>
      </c>
      <c r="M6429">
        <v>0.99973679999999998</v>
      </c>
      <c r="N6429">
        <v>-8.7357470000000003E-3</v>
      </c>
      <c r="O6429">
        <v>-2.1214210000000001E-2</v>
      </c>
      <c r="P6429">
        <v>0.97974810000000001</v>
      </c>
      <c r="Q6429">
        <v>0.17368510000000001</v>
      </c>
      <c r="R6429">
        <v>9.9637050000000005E-2</v>
      </c>
      <c r="S6429">
        <v>3.022888</v>
      </c>
      <c r="T6429">
        <v>-8.5831880000000003E-3</v>
      </c>
      <c r="U6429">
        <v>0.40356449999999999</v>
      </c>
      <c r="V6429">
        <v>-0.12076629999999999</v>
      </c>
      <c r="W6429">
        <v>0.1819741</v>
      </c>
      <c r="X6429">
        <v>0.97585900000000003</v>
      </c>
      <c r="Y6429">
        <v>-0.15332470000000001</v>
      </c>
      <c r="Z6429">
        <v>7.6492689999999996E-4</v>
      </c>
      <c r="AA6429">
        <v>0.98817560000000004</v>
      </c>
      <c r="AB6429">
        <v>25</v>
      </c>
      <c r="AC6429">
        <v>159.0248</v>
      </c>
      <c r="AD6429">
        <v>-0.45209379999999999</v>
      </c>
      <c r="AE6429">
        <v>21.26088</v>
      </c>
      <c r="AF6429">
        <v>-24.629613571557599</v>
      </c>
      <c r="AG6429">
        <v>-0.45209379999999999</v>
      </c>
      <c r="AH6429">
        <v>158.53670047023999</v>
      </c>
      <c r="AI6429">
        <v>90.161451289208898</v>
      </c>
      <c r="AJ6429">
        <v>98.830645697507606</v>
      </c>
      <c r="AK6429">
        <v>160.43910885279499</v>
      </c>
      <c r="AL6429">
        <v>79.515232550021096</v>
      </c>
      <c r="AM6429">
        <v>97.054704432582298</v>
      </c>
      <c r="AN6429">
        <v>0.99999993008374699</v>
      </c>
    </row>
    <row r="6430" spans="1:40" x14ac:dyDescent="0.25">
      <c r="A6430" t="str">
        <f>"20190304154923709"</f>
        <v>20190304154923709</v>
      </c>
      <c r="B6430" t="str">
        <f>"1551685763703725"</f>
        <v>1551685763703725</v>
      </c>
      <c r="C6430" t="s">
        <v>40</v>
      </c>
      <c r="D6430">
        <v>4.3435139999999999</v>
      </c>
      <c r="E6430">
        <v>0.54720119999999906</v>
      </c>
      <c r="F6430" t="s">
        <v>95</v>
      </c>
      <c r="G6430">
        <v>-279.68</v>
      </c>
      <c r="H6430">
        <v>0.2559302</v>
      </c>
      <c r="I6430">
        <v>26.572030000000002</v>
      </c>
      <c r="J6430">
        <v>-374.00020000000001</v>
      </c>
      <c r="K6430">
        <v>1.1111580000000001</v>
      </c>
      <c r="L6430">
        <v>16.965579999999999</v>
      </c>
      <c r="M6430">
        <v>0.99975159999999996</v>
      </c>
      <c r="N6430">
        <v>-8.7408539999999993E-3</v>
      </c>
      <c r="O6430">
        <v>-2.0508620000000002E-2</v>
      </c>
      <c r="P6430">
        <v>0.97970279999999998</v>
      </c>
      <c r="Q6430">
        <v>0.173795799999999</v>
      </c>
      <c r="R6430">
        <v>9.9887619999999996E-2</v>
      </c>
      <c r="S6430">
        <v>3.0355219999999998</v>
      </c>
      <c r="T6430">
        <v>-2.748287E-2</v>
      </c>
      <c r="U6430">
        <v>0.30862430000000002</v>
      </c>
      <c r="V6430">
        <v>-0.1203144</v>
      </c>
      <c r="W6430">
        <v>0.18209929999999999</v>
      </c>
      <c r="X6430">
        <v>0.97589150000000002</v>
      </c>
      <c r="Y6430">
        <v>-0.12152259999999999</v>
      </c>
      <c r="Z6430">
        <v>1.0876639999999999E-3</v>
      </c>
      <c r="AA6430">
        <v>0.99258800000000003</v>
      </c>
      <c r="AB6430">
        <v>25</v>
      </c>
      <c r="AC6430">
        <v>94.3202</v>
      </c>
      <c r="AD6430">
        <v>-0.85522779999999998</v>
      </c>
      <c r="AE6430">
        <v>9.6064500000000006</v>
      </c>
      <c r="AF6430">
        <v>-11.5379413018655</v>
      </c>
      <c r="AG6430">
        <v>-0.85522779999999998</v>
      </c>
      <c r="AH6430">
        <v>94.095681460452596</v>
      </c>
      <c r="AI6430">
        <v>90.516871228101195</v>
      </c>
      <c r="AJ6430">
        <v>96.990668518036401</v>
      </c>
      <c r="AK6430">
        <v>94.804286683578496</v>
      </c>
      <c r="AL6430">
        <v>79.507937594500802</v>
      </c>
      <c r="AM6430">
        <v>97.028338961319093</v>
      </c>
      <c r="AN6430">
        <v>0.99999996484004905</v>
      </c>
    </row>
    <row r="6431" spans="1:40" x14ac:dyDescent="0.25">
      <c r="A6431" t="str">
        <f>"20190304154923722"</f>
        <v>20190304154923722</v>
      </c>
      <c r="B6431" t="str">
        <f>"1551685763713486"</f>
        <v>1551685763713486</v>
      </c>
      <c r="C6431" t="s">
        <v>40</v>
      </c>
      <c r="D6431">
        <v>4.3011569999999999</v>
      </c>
      <c r="E6431">
        <v>0.54861459999999995</v>
      </c>
      <c r="F6431" t="s">
        <v>90</v>
      </c>
      <c r="G6431">
        <v>-279.68</v>
      </c>
      <c r="H6431">
        <v>8.0117939999999999E-2</v>
      </c>
      <c r="I6431">
        <v>14.5253</v>
      </c>
      <c r="J6431">
        <v>-373.87240000000003</v>
      </c>
      <c r="K6431">
        <v>1.1111409999999999</v>
      </c>
      <c r="L6431">
        <v>16.963619999999999</v>
      </c>
      <c r="M6431">
        <v>0.99976370000000003</v>
      </c>
      <c r="N6431">
        <v>-8.745124E-3</v>
      </c>
      <c r="O6431">
        <v>-1.99048E-2</v>
      </c>
      <c r="P6431">
        <v>0.979738</v>
      </c>
      <c r="Q6431">
        <v>0.17365710000000001</v>
      </c>
      <c r="R6431">
        <v>9.9784239999999996E-2</v>
      </c>
      <c r="S6431">
        <v>3.076263</v>
      </c>
      <c r="T6431">
        <v>-3.362739E-2</v>
      </c>
      <c r="U6431">
        <v>-7.9589839999999995E-2</v>
      </c>
      <c r="V6431">
        <v>-0.1196103</v>
      </c>
      <c r="W6431">
        <v>0.18197369999999999</v>
      </c>
      <c r="X6431">
        <v>0.97600149999999997</v>
      </c>
      <c r="Y6431">
        <v>5.9589719999999999E-3</v>
      </c>
      <c r="Z6431" s="1">
        <v>-1.5171629999999899E-5</v>
      </c>
      <c r="AA6431">
        <v>0.99998220000000004</v>
      </c>
      <c r="AB6431">
        <v>25</v>
      </c>
      <c r="AC6431">
        <v>94.192400000000006</v>
      </c>
      <c r="AD6431">
        <v>-1.0310230600000001</v>
      </c>
      <c r="AE6431">
        <v>-2.43832</v>
      </c>
      <c r="AF6431">
        <v>0.56281704023536905</v>
      </c>
      <c r="AG6431">
        <v>-1.0310230600000001</v>
      </c>
      <c r="AH6431">
        <v>94.210993115623097</v>
      </c>
      <c r="AI6431">
        <v>90.626995383874004</v>
      </c>
      <c r="AJ6431">
        <v>89.657718739963499</v>
      </c>
      <c r="AK6431">
        <v>94.218315604785801</v>
      </c>
      <c r="AL6431">
        <v>79.515256489411996</v>
      </c>
      <c r="AM6431">
        <v>96.986836000138695</v>
      </c>
      <c r="AN6431">
        <v>0.99999998968001502</v>
      </c>
    </row>
    <row r="6432" spans="1:40" x14ac:dyDescent="0.25">
      <c r="A6432" t="str">
        <f>"20190304154923733"</f>
        <v>20190304154923733</v>
      </c>
      <c r="B6432" t="str">
        <f>"1551685763723245"</f>
        <v>1551685763723245</v>
      </c>
      <c r="C6432" t="s">
        <v>40</v>
      </c>
      <c r="D6432">
        <v>4.2881460000000002</v>
      </c>
      <c r="E6432">
        <v>0.54977519999999902</v>
      </c>
      <c r="F6432" t="s">
        <v>90</v>
      </c>
      <c r="G6432">
        <v>-279.68</v>
      </c>
      <c r="H6432">
        <v>0.2199595</v>
      </c>
      <c r="I6432">
        <v>14.173629999999999</v>
      </c>
      <c r="J6432">
        <v>-373.72789999999998</v>
      </c>
      <c r="K6432">
        <v>1.1111180000000001</v>
      </c>
      <c r="L6432">
        <v>16.961459999999999</v>
      </c>
      <c r="M6432">
        <v>0.99977669999999996</v>
      </c>
      <c r="N6432">
        <v>-8.7498539999999996E-3</v>
      </c>
      <c r="O6432">
        <v>-1.9234009999999999E-2</v>
      </c>
      <c r="P6432">
        <v>0.97974779999999995</v>
      </c>
      <c r="Q6432">
        <v>0.17361399999999999</v>
      </c>
      <c r="R6432">
        <v>9.9761639999999999E-2</v>
      </c>
      <c r="S6432">
        <v>3.0764770000000001</v>
      </c>
      <c r="T6432">
        <v>-2.9107330000000001E-2</v>
      </c>
      <c r="U6432">
        <v>-9.1125490000000003E-2</v>
      </c>
      <c r="V6432">
        <v>-0.1189212</v>
      </c>
      <c r="W6432">
        <v>0.181945</v>
      </c>
      <c r="X6432">
        <v>0.97609100000000004</v>
      </c>
      <c r="Y6432">
        <v>1.0374410000000001E-2</v>
      </c>
      <c r="Z6432" s="1">
        <v>-8.0833769999999895E-5</v>
      </c>
      <c r="AA6432">
        <v>0.99994620000000001</v>
      </c>
      <c r="AB6432">
        <v>25</v>
      </c>
      <c r="AC6432">
        <v>94.047899999999899</v>
      </c>
      <c r="AD6432">
        <v>-0.89115849999999996</v>
      </c>
      <c r="AE6432">
        <v>-2.78783</v>
      </c>
      <c r="AF6432">
        <v>0.97823894490332097</v>
      </c>
      <c r="AG6432">
        <v>-0.89115849999999996</v>
      </c>
      <c r="AH6432">
        <v>94.075684562185103</v>
      </c>
      <c r="AI6432">
        <v>90.542704886983998</v>
      </c>
      <c r="AJ6432">
        <v>89.404235609336595</v>
      </c>
      <c r="AK6432">
        <v>94.084991049312407</v>
      </c>
      <c r="AL6432">
        <v>79.516928243111494</v>
      </c>
      <c r="AM6432">
        <v>96.946347079274702</v>
      </c>
      <c r="AN6432">
        <v>0.99999993755771799</v>
      </c>
    </row>
    <row r="6433" spans="1:40" x14ac:dyDescent="0.25">
      <c r="A6433" t="str">
        <f>"20190304154923746"</f>
        <v>20190304154923746</v>
      </c>
      <c r="B6433" t="str">
        <f>"1551685763743741"</f>
        <v>1551685763743741</v>
      </c>
      <c r="C6433" t="s">
        <v>40</v>
      </c>
      <c r="D6433">
        <v>4.2967329999999997</v>
      </c>
      <c r="E6433">
        <v>0.55015789999999998</v>
      </c>
      <c r="F6433" t="s">
        <v>89</v>
      </c>
      <c r="G6433">
        <v>-279.68</v>
      </c>
      <c r="H6433">
        <v>0.36322399999999999</v>
      </c>
      <c r="I6433">
        <v>13.89597</v>
      </c>
      <c r="J6433">
        <v>-373.58670000000001</v>
      </c>
      <c r="K6433">
        <v>1.111097</v>
      </c>
      <c r="L6433">
        <v>16.959409999999998</v>
      </c>
      <c r="M6433">
        <v>0.99978860000000003</v>
      </c>
      <c r="N6433">
        <v>-8.7542160000000004E-3</v>
      </c>
      <c r="O6433">
        <v>-1.8606000000000001E-2</v>
      </c>
      <c r="P6433">
        <v>0.97980049999999996</v>
      </c>
      <c r="Q6433">
        <v>0.17341960000000001</v>
      </c>
      <c r="R6433">
        <v>9.9582950000000003E-2</v>
      </c>
      <c r="S6433">
        <v>3.0765690000000001</v>
      </c>
      <c r="T6433">
        <v>-2.4466040000000001E-2</v>
      </c>
      <c r="U6433">
        <v>-0.1002808</v>
      </c>
      <c r="V6433">
        <v>-0.1181186</v>
      </c>
      <c r="W6433">
        <v>0.1817636</v>
      </c>
      <c r="X6433">
        <v>0.97622229999999999</v>
      </c>
      <c r="Y6433">
        <v>1.39743E-2</v>
      </c>
      <c r="Z6433">
        <v>-1.3169310000000001E-4</v>
      </c>
      <c r="AA6433">
        <v>0.99990239999999997</v>
      </c>
      <c r="AB6433">
        <v>25</v>
      </c>
      <c r="AC6433">
        <v>93.906700000000001</v>
      </c>
      <c r="AD6433">
        <v>-0.74787300000000001</v>
      </c>
      <c r="AE6433">
        <v>-3.0634399999999999</v>
      </c>
      <c r="AF6433">
        <v>1.31553134994765</v>
      </c>
      <c r="AG6433">
        <v>-0.74787300000000001</v>
      </c>
      <c r="AH6433">
        <v>93.941491498935207</v>
      </c>
      <c r="AI6433">
        <v>90.456080268243795</v>
      </c>
      <c r="AJ6433">
        <v>89.197697774850099</v>
      </c>
      <c r="AK6433">
        <v>93.953678809301195</v>
      </c>
      <c r="AL6433">
        <v>79.527498545686996</v>
      </c>
      <c r="AM6433">
        <v>96.899000513122303</v>
      </c>
      <c r="AN6433">
        <v>0.99999999448410504</v>
      </c>
    </row>
    <row r="6434" spans="1:40" x14ac:dyDescent="0.25">
      <c r="A6434" t="str">
        <f>"20190304154923766"</f>
        <v>20190304154923766</v>
      </c>
      <c r="B6434" t="str">
        <f>"1551685763763261"</f>
        <v>1551685763763261</v>
      </c>
      <c r="C6434" t="s">
        <v>40</v>
      </c>
      <c r="D6434">
        <v>4.323277</v>
      </c>
      <c r="E6434">
        <v>0.55092229999999998</v>
      </c>
      <c r="F6434" t="s">
        <v>89</v>
      </c>
      <c r="G6434">
        <v>-279.68</v>
      </c>
      <c r="H6434">
        <v>0.50079390000000001</v>
      </c>
      <c r="I6434">
        <v>13.789820000000001</v>
      </c>
      <c r="J6434">
        <v>-373.37709999999998</v>
      </c>
      <c r="K6434">
        <v>1.11107</v>
      </c>
      <c r="L6434">
        <v>16.956510000000002</v>
      </c>
      <c r="M6434">
        <v>0.99980500000000005</v>
      </c>
      <c r="N6434">
        <v>-8.7604359999999999E-3</v>
      </c>
      <c r="O6434">
        <v>-1.7707110000000002E-2</v>
      </c>
      <c r="P6434">
        <v>0.9799213</v>
      </c>
      <c r="Q6434">
        <v>0.17301050000000001</v>
      </c>
      <c r="R6434">
        <v>9.9105949999999998E-2</v>
      </c>
      <c r="S6434">
        <v>3.0759280000000002</v>
      </c>
      <c r="T6434">
        <v>-1.9990919999999999E-2</v>
      </c>
      <c r="U6434">
        <v>-0.1038208</v>
      </c>
      <c r="V6434">
        <v>-0.1167501</v>
      </c>
      <c r="W6434">
        <v>0.18137439999999999</v>
      </c>
      <c r="X6434">
        <v>0.97645930000000003</v>
      </c>
      <c r="Y6434">
        <v>1.6029720000000001E-2</v>
      </c>
      <c r="Z6434">
        <v>-1.623761E-4</v>
      </c>
      <c r="AA6434">
        <v>0.99987150000000002</v>
      </c>
      <c r="AB6434">
        <v>25</v>
      </c>
      <c r="AC6434">
        <v>93.697099999999907</v>
      </c>
      <c r="AD6434">
        <v>-0.61027609999999999</v>
      </c>
      <c r="AE6434">
        <v>-3.16669</v>
      </c>
      <c r="AF6434">
        <v>1.5069613670345501</v>
      </c>
      <c r="AG6434">
        <v>-0.61027609999999999</v>
      </c>
      <c r="AH6434">
        <v>93.734511866818394</v>
      </c>
      <c r="AI6434">
        <v>90.372981438513094</v>
      </c>
      <c r="AJ6434">
        <v>89.078940224311793</v>
      </c>
      <c r="AK6434">
        <v>93.748611106462207</v>
      </c>
      <c r="AL6434">
        <v>79.550175168291901</v>
      </c>
      <c r="AM6434">
        <v>96.818187470153106</v>
      </c>
      <c r="AN6434">
        <v>1.00000001169093</v>
      </c>
    </row>
    <row r="6435" spans="1:40" x14ac:dyDescent="0.25">
      <c r="A6435" t="str">
        <f>"20190304154923780"</f>
        <v>20190304154923780</v>
      </c>
      <c r="B6435" t="str">
        <f>"1551685763773998"</f>
        <v>1551685763773998</v>
      </c>
      <c r="C6435" t="s">
        <v>40</v>
      </c>
      <c r="D6435">
        <v>4.2837489999999896</v>
      </c>
      <c r="E6435">
        <v>0.55108570000000001</v>
      </c>
      <c r="F6435" t="s">
        <v>89</v>
      </c>
      <c r="G6435">
        <v>-279.68</v>
      </c>
      <c r="H6435">
        <v>0.52599229999999997</v>
      </c>
      <c r="I6435">
        <v>13.57109</v>
      </c>
      <c r="J6435">
        <v>-373.22199999999998</v>
      </c>
      <c r="K6435">
        <v>1.1110530000000001</v>
      </c>
      <c r="L6435">
        <v>16.954499999999999</v>
      </c>
      <c r="M6435">
        <v>0.99981589999999998</v>
      </c>
      <c r="N6435">
        <v>-8.7648359999999998E-3</v>
      </c>
      <c r="O6435">
        <v>-1.706657E-2</v>
      </c>
      <c r="P6435">
        <v>0.97998580000000002</v>
      </c>
      <c r="Q6435">
        <v>0.17259859999999999</v>
      </c>
      <c r="R6435">
        <v>9.9185029999999993E-2</v>
      </c>
      <c r="S6435">
        <v>3.076111</v>
      </c>
      <c r="T6435">
        <v>-1.9208670000000001E-2</v>
      </c>
      <c r="U6435">
        <v>-0.11114499999999999</v>
      </c>
      <c r="V6435">
        <v>-0.11619350000000001</v>
      </c>
      <c r="W6435">
        <v>0.18097479999999999</v>
      </c>
      <c r="X6435">
        <v>0.97659980000000002</v>
      </c>
      <c r="Y6435">
        <v>1.9045920000000001E-2</v>
      </c>
      <c r="Z6435">
        <v>-1.8597740000000001E-4</v>
      </c>
      <c r="AA6435">
        <v>0.9998186</v>
      </c>
      <c r="AB6435">
        <v>25</v>
      </c>
      <c r="AC6435">
        <v>93.541999999999902</v>
      </c>
      <c r="AD6435">
        <v>-0.58506069999999999</v>
      </c>
      <c r="AE6435">
        <v>-3.38341</v>
      </c>
      <c r="AF6435">
        <v>1.78634492186844</v>
      </c>
      <c r="AG6435">
        <v>-0.58506069999999999</v>
      </c>
      <c r="AH6435">
        <v>93.582464421061104</v>
      </c>
      <c r="AI6435">
        <v>90.358132980984493</v>
      </c>
      <c r="AJ6435">
        <v>88.906444737681099</v>
      </c>
      <c r="AK6435">
        <v>93.601340649168804</v>
      </c>
      <c r="AL6435">
        <v>79.573455590364404</v>
      </c>
      <c r="AM6435">
        <v>96.785018786921697</v>
      </c>
      <c r="AN6435">
        <v>0.99999998851866501</v>
      </c>
    </row>
    <row r="6436" spans="1:40" x14ac:dyDescent="0.25">
      <c r="A6436" t="str">
        <f>"20190304154923799"</f>
        <v>20190304154923799</v>
      </c>
      <c r="B6436" t="str">
        <f>"1551685763793518"</f>
        <v>1551685763793518</v>
      </c>
      <c r="C6436" t="s">
        <v>40</v>
      </c>
      <c r="D6436">
        <v>4.2916179999999997</v>
      </c>
      <c r="E6436">
        <v>0.55155869999999996</v>
      </c>
      <c r="F6436" t="s">
        <v>89</v>
      </c>
      <c r="G6436">
        <v>-279.68</v>
      </c>
      <c r="H6436">
        <v>0.54006290000000001</v>
      </c>
      <c r="I6436">
        <v>13.546670000000001</v>
      </c>
      <c r="J6436">
        <v>-373.01330000000002</v>
      </c>
      <c r="K6436">
        <v>1.111035</v>
      </c>
      <c r="L6436">
        <v>16.951840000000001</v>
      </c>
      <c r="M6436">
        <v>0.99982979999999999</v>
      </c>
      <c r="N6436">
        <v>-8.7705359999999902E-3</v>
      </c>
      <c r="O6436">
        <v>-1.6233910000000001E-2</v>
      </c>
      <c r="P6436">
        <v>0.98012480000000002</v>
      </c>
      <c r="Q6436">
        <v>0.1719437</v>
      </c>
      <c r="R6436">
        <v>9.8948640000000004E-2</v>
      </c>
      <c r="S6436">
        <v>3.075958</v>
      </c>
      <c r="T6436">
        <v>-1.8776299999999999E-2</v>
      </c>
      <c r="U6436">
        <v>-0.11206049999999999</v>
      </c>
      <c r="V6436">
        <v>-0.115132399999999</v>
      </c>
      <c r="W6436">
        <v>0.18033650000000001</v>
      </c>
      <c r="X6436">
        <v>0.97684349999999998</v>
      </c>
      <c r="Y6436">
        <v>2.0177520000000001E-2</v>
      </c>
      <c r="Z6436">
        <v>-1.9338029999999999E-4</v>
      </c>
      <c r="AA6436">
        <v>0.99979640000000003</v>
      </c>
      <c r="AB6436">
        <v>25</v>
      </c>
      <c r="AC6436">
        <v>93.333299999999994</v>
      </c>
      <c r="AD6436">
        <v>-0.57097209999999998</v>
      </c>
      <c r="AE6436">
        <v>-3.4051699999999898</v>
      </c>
      <c r="AF6436">
        <v>1.88942801849178</v>
      </c>
      <c r="AG6436">
        <v>-0.57097209999999998</v>
      </c>
      <c r="AH6436">
        <v>93.372791281270096</v>
      </c>
      <c r="AI6436">
        <v>90.350286072926494</v>
      </c>
      <c r="AJ6436">
        <v>88.840759952960497</v>
      </c>
      <c r="AK6436">
        <v>93.393651277973206</v>
      </c>
      <c r="AL6436">
        <v>79.610639131368004</v>
      </c>
      <c r="AM6436">
        <v>96.721964591503607</v>
      </c>
      <c r="AN6436">
        <v>0.99999997312712896</v>
      </c>
    </row>
    <row r="6437" spans="1:40" x14ac:dyDescent="0.25">
      <c r="A6437" t="str">
        <f>"20190304154923811"</f>
        <v>20190304154923811</v>
      </c>
      <c r="B6437" t="str">
        <f>"1551685763803278"</f>
        <v>1551685763803278</v>
      </c>
      <c r="C6437" t="s">
        <v>40</v>
      </c>
      <c r="D6437">
        <v>4.2944550000000001</v>
      </c>
      <c r="E6437">
        <v>0.55171190000000003</v>
      </c>
      <c r="F6437" t="s">
        <v>89</v>
      </c>
      <c r="G6437">
        <v>-279.68</v>
      </c>
      <c r="H6437">
        <v>0.51569409999999904</v>
      </c>
      <c r="I6437">
        <v>13.427569999999999</v>
      </c>
      <c r="J6437">
        <v>-372.86579999999998</v>
      </c>
      <c r="K6437">
        <v>1.1110199999999999</v>
      </c>
      <c r="L6437">
        <v>16.95007</v>
      </c>
      <c r="M6437">
        <v>0.99983889999999997</v>
      </c>
      <c r="N6437">
        <v>-8.7744550000000004E-3</v>
      </c>
      <c r="O6437">
        <v>-1.5661049999999999E-2</v>
      </c>
      <c r="P6437">
        <v>0.98016150000000002</v>
      </c>
      <c r="Q6437">
        <v>0.17171020000000001</v>
      </c>
      <c r="R6437">
        <v>9.8990449999999994E-2</v>
      </c>
      <c r="S6437">
        <v>3.0759889999999999</v>
      </c>
      <c r="T6437">
        <v>-1.9621010000000001E-2</v>
      </c>
      <c r="U6437">
        <v>-0.1161499</v>
      </c>
      <c r="V6437">
        <v>-0.1146061</v>
      </c>
      <c r="W6437">
        <v>0.180113299999999</v>
      </c>
      <c r="X6437">
        <v>0.9769466</v>
      </c>
      <c r="Y6437">
        <v>2.207715E-2</v>
      </c>
      <c r="Z6437">
        <v>-2.048175E-4</v>
      </c>
      <c r="AA6437">
        <v>0.99975630000000004</v>
      </c>
      <c r="AB6437">
        <v>25</v>
      </c>
      <c r="AC6437">
        <v>93.185799999999901</v>
      </c>
      <c r="AD6437">
        <v>-0.59532589999999996</v>
      </c>
      <c r="AE6437">
        <v>-3.5224999999999902</v>
      </c>
      <c r="AF6437">
        <v>2.0625403067419499</v>
      </c>
      <c r="AG6437">
        <v>-0.59532589999999996</v>
      </c>
      <c r="AH6437">
        <v>93.225739325839996</v>
      </c>
      <c r="AI6437">
        <v>90.365787963143006</v>
      </c>
      <c r="AJ6437">
        <v>88.732586302508196</v>
      </c>
      <c r="AK6437">
        <v>93.250452858383596</v>
      </c>
      <c r="AL6437">
        <v>79.623640818238201</v>
      </c>
      <c r="AM6437">
        <v>96.690816260274005</v>
      </c>
      <c r="AN6437">
        <v>1.0000000091228201</v>
      </c>
    </row>
    <row r="6438" spans="1:40" x14ac:dyDescent="0.25">
      <c r="A6438" t="str">
        <f>"20190304154923824"</f>
        <v>20190304154923824</v>
      </c>
      <c r="B6438" t="str">
        <f>"1551685763814013"</f>
        <v>1551685763814013</v>
      </c>
      <c r="C6438" t="s">
        <v>40</v>
      </c>
      <c r="D6438">
        <v>4.2631860000000001</v>
      </c>
      <c r="E6438">
        <v>0.5517552</v>
      </c>
      <c r="F6438" t="s">
        <v>89</v>
      </c>
      <c r="G6438">
        <v>-279.68</v>
      </c>
      <c r="H6438">
        <v>0.52565090000000003</v>
      </c>
      <c r="I6438">
        <v>13.39812</v>
      </c>
      <c r="J6438">
        <v>-372.71559999999999</v>
      </c>
      <c r="K6438">
        <v>1.111008</v>
      </c>
      <c r="L6438">
        <v>16.948329999999999</v>
      </c>
      <c r="M6438">
        <v>0.9998475</v>
      </c>
      <c r="N6438">
        <v>-8.7783589999999995E-3</v>
      </c>
      <c r="O6438">
        <v>-1.509901E-2</v>
      </c>
      <c r="P6438">
        <v>0.98018839999999996</v>
      </c>
      <c r="Q6438">
        <v>0.1714263</v>
      </c>
      <c r="R6438">
        <v>9.9217059999999996E-2</v>
      </c>
      <c r="S6438">
        <v>3.0760190000000001</v>
      </c>
      <c r="T6438">
        <v>-1.9323110000000001E-2</v>
      </c>
      <c r="U6438">
        <v>-0.11724850000000001</v>
      </c>
      <c r="V6438">
        <v>-0.1142765</v>
      </c>
      <c r="W6438">
        <v>0.17983840000000001</v>
      </c>
      <c r="X6438">
        <v>0.97703580000000001</v>
      </c>
      <c r="Y6438">
        <v>2.29953E-2</v>
      </c>
      <c r="Z6438">
        <v>-2.10879E-4</v>
      </c>
      <c r="AA6438">
        <v>0.9997355</v>
      </c>
      <c r="AB6438">
        <v>25</v>
      </c>
      <c r="AC6438">
        <v>93.035600000000002</v>
      </c>
      <c r="AD6438">
        <v>-0.58535709999999996</v>
      </c>
      <c r="AE6438">
        <v>-3.5502099999999901</v>
      </c>
      <c r="AF6438">
        <v>2.14492093318901</v>
      </c>
      <c r="AG6438">
        <v>-0.58535709999999996</v>
      </c>
      <c r="AH6438">
        <v>93.074921044048494</v>
      </c>
      <c r="AI6438">
        <v>90.360238256829405</v>
      </c>
      <c r="AJ6438">
        <v>88.679846656098505</v>
      </c>
      <c r="AK6438">
        <v>93.101472899734603</v>
      </c>
      <c r="AL6438">
        <v>79.639652389981293</v>
      </c>
      <c r="AM6438">
        <v>96.671143988739203</v>
      </c>
      <c r="AN6438">
        <v>0.99999996152422399</v>
      </c>
    </row>
    <row r="6439" spans="1:40" x14ac:dyDescent="0.25">
      <c r="A6439" t="str">
        <f>"20190304154923843"</f>
        <v>20190304154923843</v>
      </c>
      <c r="B6439" t="str">
        <f>"1551685763833537"</f>
        <v>1551685763833537</v>
      </c>
      <c r="C6439" t="s">
        <v>40</v>
      </c>
      <c r="D6439">
        <v>4.2650449999999998</v>
      </c>
      <c r="E6439">
        <v>0.55175529999999995</v>
      </c>
      <c r="F6439" t="s">
        <v>89</v>
      </c>
      <c r="G6439">
        <v>-279.68</v>
      </c>
      <c r="H6439">
        <v>0.51795290000000005</v>
      </c>
      <c r="I6439">
        <v>13.41119</v>
      </c>
      <c r="J6439">
        <v>-372.5095</v>
      </c>
      <c r="K6439">
        <v>1.1109910000000001</v>
      </c>
      <c r="L6439">
        <v>16.946079999999998</v>
      </c>
      <c r="M6439">
        <v>0.99985860000000004</v>
      </c>
      <c r="N6439">
        <v>-8.7833819999999993E-3</v>
      </c>
      <c r="O6439">
        <v>-1.4346879999999999E-2</v>
      </c>
      <c r="P6439">
        <v>0.98016199999999998</v>
      </c>
      <c r="Q6439">
        <v>0.1719704</v>
      </c>
      <c r="R6439">
        <v>9.8533679999999998E-2</v>
      </c>
      <c r="S6439">
        <v>3.0758969999999999</v>
      </c>
      <c r="T6439">
        <v>-1.9607659999999999E-2</v>
      </c>
      <c r="U6439">
        <v>-0.1169434</v>
      </c>
      <c r="V6439">
        <v>-0.1128493</v>
      </c>
      <c r="W6439">
        <v>0.18039559999999999</v>
      </c>
      <c r="X6439">
        <v>0.97709900000000005</v>
      </c>
      <c r="Y6439">
        <v>2.3649739999999999E-2</v>
      </c>
      <c r="Z6439">
        <v>-2.1382540000000001E-4</v>
      </c>
      <c r="AA6439">
        <v>0.99972030000000001</v>
      </c>
      <c r="AB6439">
        <v>25</v>
      </c>
      <c r="AC6439">
        <v>92.829499999999996</v>
      </c>
      <c r="AD6439">
        <v>-0.59303809999999901</v>
      </c>
      <c r="AE6439">
        <v>-3.5348899999999901</v>
      </c>
      <c r="AF6439">
        <v>2.2025714530724798</v>
      </c>
      <c r="AG6439">
        <v>-0.59303809999999901</v>
      </c>
      <c r="AH6439">
        <v>92.866877040072694</v>
      </c>
      <c r="AI6439">
        <v>90.365776981333397</v>
      </c>
      <c r="AJ6439">
        <v>88.641341268848194</v>
      </c>
      <c r="AK6439">
        <v>92.894886115275</v>
      </c>
      <c r="AL6439">
        <v>79.607196734472794</v>
      </c>
      <c r="AM6439">
        <v>96.588142710207407</v>
      </c>
      <c r="AN6439">
        <v>0.99999999640542503</v>
      </c>
    </row>
    <row r="6440" spans="1:40" x14ac:dyDescent="0.25">
      <c r="A6440" t="str">
        <f>"20190304154923855"</f>
        <v>20190304154923855</v>
      </c>
      <c r="B6440" t="str">
        <f>"1551685763843293"</f>
        <v>1551685763843293</v>
      </c>
      <c r="C6440" t="s">
        <v>40</v>
      </c>
      <c r="D6440">
        <v>4.2798239999999996</v>
      </c>
      <c r="E6440">
        <v>0.55185309999999999</v>
      </c>
      <c r="F6440" t="s">
        <v>89</v>
      </c>
      <c r="G6440">
        <v>-279.68</v>
      </c>
      <c r="H6440">
        <v>0.62112769999999995</v>
      </c>
      <c r="I6440">
        <v>13.34634</v>
      </c>
      <c r="J6440">
        <v>-372.37860000000001</v>
      </c>
      <c r="K6440">
        <v>1.110981</v>
      </c>
      <c r="L6440">
        <v>16.944669999999999</v>
      </c>
      <c r="M6440">
        <v>0.99986509999999995</v>
      </c>
      <c r="N6440">
        <v>-8.7864469999999993E-3</v>
      </c>
      <c r="O6440">
        <v>-1.388079E-2</v>
      </c>
      <c r="P6440">
        <v>0.9801356</v>
      </c>
      <c r="Q6440">
        <v>0.1722899</v>
      </c>
      <c r="R6440">
        <v>9.8236829999999997E-2</v>
      </c>
      <c r="S6440">
        <v>3.0755309999999998</v>
      </c>
      <c r="T6440">
        <v>-1.622999E-2</v>
      </c>
      <c r="U6440">
        <v>-0.1192627</v>
      </c>
      <c r="V6440">
        <v>-0.11209089999999999</v>
      </c>
      <c r="W6440">
        <v>0.18072299999999999</v>
      </c>
      <c r="X6440">
        <v>0.97712580000000004</v>
      </c>
      <c r="Y6440">
        <v>2.4873329999999999E-2</v>
      </c>
      <c r="Z6440">
        <v>-2.2363910000000001E-4</v>
      </c>
      <c r="AA6440">
        <v>0.99969059999999998</v>
      </c>
      <c r="AB6440">
        <v>25</v>
      </c>
      <c r="AC6440">
        <v>92.698599999999999</v>
      </c>
      <c r="AD6440">
        <v>-0.48985329999999999</v>
      </c>
      <c r="AE6440">
        <v>-3.5983299999999998</v>
      </c>
      <c r="AF6440">
        <v>2.3111394499764599</v>
      </c>
      <c r="AG6440">
        <v>-0.48985329999999999</v>
      </c>
      <c r="AH6440">
        <v>92.737032315853298</v>
      </c>
      <c r="AI6440">
        <v>90.302549623348199</v>
      </c>
      <c r="AJ6440">
        <v>88.572402747967004</v>
      </c>
      <c r="AK6440">
        <v>92.767119630634099</v>
      </c>
      <c r="AL6440">
        <v>79.5881246752365</v>
      </c>
      <c r="AM6440">
        <v>96.5440747329381</v>
      </c>
      <c r="AN6440">
        <v>1.00000000080872</v>
      </c>
    </row>
    <row r="6441" spans="1:40" x14ac:dyDescent="0.25">
      <c r="A6441" t="str">
        <f>"20190304154923866"</f>
        <v>20190304154923866</v>
      </c>
      <c r="B6441" t="str">
        <f>"1551685763863792"</f>
        <v>1551685763863792</v>
      </c>
      <c r="C6441" t="s">
        <v>40</v>
      </c>
      <c r="D6441">
        <v>4.3263939999999996</v>
      </c>
      <c r="E6441">
        <v>0.55201290000000003</v>
      </c>
      <c r="F6441" t="s">
        <v>89</v>
      </c>
      <c r="G6441">
        <v>-279.68</v>
      </c>
      <c r="H6441">
        <v>0.66381409999999996</v>
      </c>
      <c r="I6441">
        <v>13.30307</v>
      </c>
      <c r="J6441">
        <v>-372.24430000000001</v>
      </c>
      <c r="K6441">
        <v>1.1109639999999901</v>
      </c>
      <c r="L6441">
        <v>16.94333</v>
      </c>
      <c r="M6441">
        <v>0.99987150000000002</v>
      </c>
      <c r="N6441">
        <v>-8.7895719999999903E-3</v>
      </c>
      <c r="O6441">
        <v>-1.341564E-2</v>
      </c>
      <c r="P6441">
        <v>0.98019420000000002</v>
      </c>
      <c r="Q6441">
        <v>0.17213909999999999</v>
      </c>
      <c r="R6441">
        <v>9.7917160000000003E-2</v>
      </c>
      <c r="S6441">
        <v>3.0754999999999999</v>
      </c>
      <c r="T6441">
        <v>-1.4836190000000001E-2</v>
      </c>
      <c r="U6441">
        <v>-0.1208191</v>
      </c>
      <c r="V6441">
        <v>-0.1113111</v>
      </c>
      <c r="W6441">
        <v>0.1805804</v>
      </c>
      <c r="X6441">
        <v>0.97724129999999998</v>
      </c>
      <c r="Y6441">
        <v>2.5843999999999999E-2</v>
      </c>
      <c r="Z6441">
        <v>-2.2913750000000001E-4</v>
      </c>
      <c r="AA6441">
        <v>0.99966600000000005</v>
      </c>
      <c r="AB6441">
        <v>25</v>
      </c>
      <c r="AC6441">
        <v>92.564300000000003</v>
      </c>
      <c r="AD6441">
        <v>-0.44714989999999899</v>
      </c>
      <c r="AE6441">
        <v>-3.6402599999999898</v>
      </c>
      <c r="AF6441">
        <v>2.3980193606760301</v>
      </c>
      <c r="AG6441">
        <v>-0.44714989999999899</v>
      </c>
      <c r="AH6441">
        <v>92.602649845523402</v>
      </c>
      <c r="AI6441">
        <v>90.276568945955006</v>
      </c>
      <c r="AJ6441">
        <v>88.516611686390206</v>
      </c>
      <c r="AK6441">
        <v>92.634773159434403</v>
      </c>
      <c r="AL6441">
        <v>79.596431721161196</v>
      </c>
      <c r="AM6441">
        <v>96.498177855153301</v>
      </c>
      <c r="AN6441">
        <v>1.0000000001365299</v>
      </c>
    </row>
    <row r="6442" spans="1:40" x14ac:dyDescent="0.25">
      <c r="A6442" t="str">
        <f>"20190304154923878"</f>
        <v>20190304154923878</v>
      </c>
      <c r="B6442" t="str">
        <f>"1551685763873549"</f>
        <v>1551685763873549</v>
      </c>
      <c r="C6442" t="s">
        <v>40</v>
      </c>
      <c r="D6442">
        <v>4.2766489999999999</v>
      </c>
      <c r="E6442">
        <v>0.55196940000000005</v>
      </c>
      <c r="F6442" t="s">
        <v>89</v>
      </c>
      <c r="G6442">
        <v>-279.68</v>
      </c>
      <c r="H6442">
        <v>0.65158890000000003</v>
      </c>
      <c r="I6442">
        <v>13.24282</v>
      </c>
      <c r="J6442">
        <v>-372.11360000000002</v>
      </c>
      <c r="K6442">
        <v>1.1109530000000001</v>
      </c>
      <c r="L6442">
        <v>16.942049999999998</v>
      </c>
      <c r="M6442">
        <v>0.99987720000000002</v>
      </c>
      <c r="N6442">
        <v>-8.7925569999999995E-3</v>
      </c>
      <c r="O6442">
        <v>-1.2972900000000001E-2</v>
      </c>
      <c r="P6442">
        <v>0.9802284</v>
      </c>
      <c r="Q6442">
        <v>0.17213349999999999</v>
      </c>
      <c r="R6442">
        <v>9.7583169999999997E-2</v>
      </c>
      <c r="S6442">
        <v>3.0755919999999999</v>
      </c>
      <c r="T6442">
        <v>-1.5263799999999999E-2</v>
      </c>
      <c r="U6442">
        <v>-0.1229553</v>
      </c>
      <c r="V6442">
        <v>-0.1105389</v>
      </c>
      <c r="W6442">
        <v>0.18058279999999999</v>
      </c>
      <c r="X6442">
        <v>0.97732850000000004</v>
      </c>
      <c r="Y6442">
        <v>2.697863E-2</v>
      </c>
      <c r="Z6442">
        <v>-2.352566E-4</v>
      </c>
      <c r="AA6442">
        <v>0.99963599999999997</v>
      </c>
      <c r="AB6442">
        <v>25</v>
      </c>
      <c r="AC6442">
        <v>92.433599999999998</v>
      </c>
      <c r="AD6442">
        <v>-0.4593641</v>
      </c>
      <c r="AE6442">
        <v>-3.6992299999999898</v>
      </c>
      <c r="AF6442">
        <v>2.4996788506428</v>
      </c>
      <c r="AG6442">
        <v>-0.4593641</v>
      </c>
      <c r="AH6442">
        <v>92.471532387286601</v>
      </c>
      <c r="AI6442">
        <v>90.284517800788805</v>
      </c>
      <c r="AJ6442">
        <v>88.451564768796203</v>
      </c>
      <c r="AK6442">
        <v>92.506452271102205</v>
      </c>
      <c r="AL6442">
        <v>79.596291874489395</v>
      </c>
      <c r="AM6442">
        <v>96.452908632868898</v>
      </c>
      <c r="AN6442">
        <v>0.99999999649064997</v>
      </c>
    </row>
    <row r="6443" spans="1:40" x14ac:dyDescent="0.25">
      <c r="A6443" t="str">
        <f>"20190304154923891"</f>
        <v>20190304154923891</v>
      </c>
      <c r="B6443" t="str">
        <f>"1551685763883309"</f>
        <v>1551685763883309</v>
      </c>
      <c r="C6443" t="s">
        <v>40</v>
      </c>
      <c r="D6443">
        <v>4.2868279999999999</v>
      </c>
      <c r="E6443">
        <v>0.55208059999999903</v>
      </c>
      <c r="F6443" t="s">
        <v>89</v>
      </c>
      <c r="G6443">
        <v>-279.68</v>
      </c>
      <c r="H6443">
        <v>0.66087479999999998</v>
      </c>
      <c r="I6443">
        <v>13.2264</v>
      </c>
      <c r="J6443">
        <v>-371.9701</v>
      </c>
      <c r="K6443">
        <v>1.11094</v>
      </c>
      <c r="L6443">
        <v>16.940670000000001</v>
      </c>
      <c r="M6443">
        <v>0.99988339999999998</v>
      </c>
      <c r="N6443">
        <v>-8.7958020000000001E-3</v>
      </c>
      <c r="O6443">
        <v>-1.2494409999999999E-2</v>
      </c>
      <c r="P6443">
        <v>0.9802476</v>
      </c>
      <c r="Q6443">
        <v>0.17202339999999999</v>
      </c>
      <c r="R6443">
        <v>9.7586179999999995E-2</v>
      </c>
      <c r="S6443">
        <v>3.0754389999999998</v>
      </c>
      <c r="T6443">
        <v>-1.497531E-2</v>
      </c>
      <c r="U6443">
        <v>-0.12362670000000001</v>
      </c>
      <c r="V6443">
        <v>-0.110067899999999</v>
      </c>
      <c r="W6443">
        <v>0.180481</v>
      </c>
      <c r="X6443">
        <v>0.97740050000000001</v>
      </c>
      <c r="Y6443">
        <v>2.7676849999999999E-2</v>
      </c>
      <c r="Z6443">
        <v>-2.3818600000000001E-4</v>
      </c>
      <c r="AA6443">
        <v>0.99961690000000003</v>
      </c>
      <c r="AB6443">
        <v>25</v>
      </c>
      <c r="AC6443">
        <v>92.290099999999995</v>
      </c>
      <c r="AD6443">
        <v>-0.4500652</v>
      </c>
      <c r="AE6443">
        <v>-3.71427</v>
      </c>
      <c r="AF6443">
        <v>2.56076445838448</v>
      </c>
      <c r="AG6443">
        <v>-0.4500652</v>
      </c>
      <c r="AH6443">
        <v>92.327112713930006</v>
      </c>
      <c r="AI6443">
        <v>90.279189057767297</v>
      </c>
      <c r="AJ6443">
        <v>88.411264189035506</v>
      </c>
      <c r="AK6443">
        <v>92.363714820195</v>
      </c>
      <c r="AL6443">
        <v>79.602222434434196</v>
      </c>
      <c r="AM6443">
        <v>96.425174221495098</v>
      </c>
      <c r="AN6443">
        <v>1.0000000356858201</v>
      </c>
    </row>
    <row r="6444" spans="1:40" x14ac:dyDescent="0.25">
      <c r="A6444" t="str">
        <f>"20190304154923902"</f>
        <v>20190304154923902</v>
      </c>
      <c r="B6444" t="str">
        <f>"1551685763894046"</f>
        <v>1551685763894046</v>
      </c>
      <c r="C6444" t="s">
        <v>40</v>
      </c>
      <c r="D6444">
        <v>4.2468719999999998</v>
      </c>
      <c r="E6444">
        <v>0.55205550000000003</v>
      </c>
      <c r="F6444" t="s">
        <v>89</v>
      </c>
      <c r="G6444">
        <v>-279.68</v>
      </c>
      <c r="H6444">
        <v>0.67284639999999996</v>
      </c>
      <c r="I6444">
        <v>13.203329999999999</v>
      </c>
      <c r="J6444">
        <v>-371.83909999999997</v>
      </c>
      <c r="K6444">
        <v>1.1109309999999999</v>
      </c>
      <c r="L6444">
        <v>16.939509999999999</v>
      </c>
      <c r="M6444">
        <v>0.99988840000000001</v>
      </c>
      <c r="N6444">
        <v>-8.7987800000000008E-3</v>
      </c>
      <c r="O6444">
        <v>-1.2074090000000001E-2</v>
      </c>
      <c r="P6444">
        <v>0.98035660000000002</v>
      </c>
      <c r="Q6444">
        <v>0.17161870000000001</v>
      </c>
      <c r="R6444">
        <v>9.7200629999999996E-2</v>
      </c>
      <c r="S6444">
        <v>3.0754389999999998</v>
      </c>
      <c r="T6444">
        <v>-1.45992E-2</v>
      </c>
      <c r="U6444">
        <v>-0.12454220000000001</v>
      </c>
      <c r="V6444">
        <v>-0.1092664</v>
      </c>
      <c r="W6444">
        <v>0.18008469999999999</v>
      </c>
      <c r="X6444">
        <v>0.97756350000000003</v>
      </c>
      <c r="Y6444">
        <v>2.8394160000000002E-2</v>
      </c>
      <c r="Z6444">
        <v>-2.4125559999999999E-4</v>
      </c>
      <c r="AA6444">
        <v>0.99959679999999995</v>
      </c>
      <c r="AB6444">
        <v>25</v>
      </c>
      <c r="AC6444">
        <v>92.159099999999896</v>
      </c>
      <c r="AD6444">
        <v>-0.43808459999999999</v>
      </c>
      <c r="AE6444">
        <v>-3.7361800000000001</v>
      </c>
      <c r="AF6444">
        <v>2.6230681220163601</v>
      </c>
      <c r="AG6444">
        <v>-0.43808459999999999</v>
      </c>
      <c r="AH6444">
        <v>92.195414442283294</v>
      </c>
      <c r="AI6444">
        <v>90.272139967936994</v>
      </c>
      <c r="AJ6444">
        <v>88.370307227994402</v>
      </c>
      <c r="AK6444">
        <v>92.233761978322605</v>
      </c>
      <c r="AL6444">
        <v>79.625306841419103</v>
      </c>
      <c r="AM6444">
        <v>96.377719148957794</v>
      </c>
      <c r="AN6444">
        <v>1.0000000209376401</v>
      </c>
    </row>
    <row r="6445" spans="1:40" x14ac:dyDescent="0.25">
      <c r="A6445" t="str">
        <f>"20190304154923915"</f>
        <v>20190304154923915</v>
      </c>
      <c r="B6445" t="str">
        <f>"1551685763903807"</f>
        <v>1551685763903807</v>
      </c>
      <c r="C6445" t="s">
        <v>40</v>
      </c>
      <c r="D6445">
        <v>4.2512319999999999</v>
      </c>
      <c r="E6445">
        <v>0.55201219999999995</v>
      </c>
      <c r="F6445" t="s">
        <v>89</v>
      </c>
      <c r="G6445">
        <v>-279.68</v>
      </c>
      <c r="H6445">
        <v>0.64825129999999997</v>
      </c>
      <c r="I6445">
        <v>13.17981</v>
      </c>
      <c r="J6445">
        <v>-371.6986</v>
      </c>
      <c r="K6445">
        <v>1.110916</v>
      </c>
      <c r="L6445">
        <v>16.938289999999999</v>
      </c>
      <c r="M6445">
        <v>0.99989380000000005</v>
      </c>
      <c r="N6445">
        <v>-8.8019410000000006E-3</v>
      </c>
      <c r="O6445">
        <v>-1.163054E-2</v>
      </c>
      <c r="P6445">
        <v>0.98034949999999998</v>
      </c>
      <c r="Q6445">
        <v>0.1717062</v>
      </c>
      <c r="R6445">
        <v>9.7119549999999999E-2</v>
      </c>
      <c r="S6445">
        <v>3.075256</v>
      </c>
      <c r="T6445">
        <v>-1.543951E-2</v>
      </c>
      <c r="U6445">
        <v>-0.12545780000000001</v>
      </c>
      <c r="V6445">
        <v>-0.1087452</v>
      </c>
      <c r="W6445">
        <v>0.18017939999999999</v>
      </c>
      <c r="X6445">
        <v>0.97760420000000003</v>
      </c>
      <c r="Y6445">
        <v>2.9136970000000002E-2</v>
      </c>
      <c r="Z6445">
        <v>-2.453763E-4</v>
      </c>
      <c r="AA6445">
        <v>0.9995754</v>
      </c>
      <c r="AB6445">
        <v>25</v>
      </c>
      <c r="AC6445">
        <v>92.018600000000006</v>
      </c>
      <c r="AD6445">
        <v>-0.46266469999999899</v>
      </c>
      <c r="AE6445">
        <v>-3.7584799999999898</v>
      </c>
      <c r="AF6445">
        <v>2.6878906526702901</v>
      </c>
      <c r="AG6445">
        <v>-0.46266469999999899</v>
      </c>
      <c r="AH6445">
        <v>92.053767226915895</v>
      </c>
      <c r="AI6445">
        <v>90.287845019263401</v>
      </c>
      <c r="AJ6445">
        <v>88.327487841356202</v>
      </c>
      <c r="AK6445">
        <v>92.094163091113202</v>
      </c>
      <c r="AL6445">
        <v>79.619791040063902</v>
      </c>
      <c r="AM6445">
        <v>96.347284260587998</v>
      </c>
      <c r="AN6445">
        <v>1.00000005328251</v>
      </c>
    </row>
    <row r="6446" spans="1:40" x14ac:dyDescent="0.25">
      <c r="A6446" t="str">
        <f>"20190304154923933"</f>
        <v>20190304154923933</v>
      </c>
      <c r="B6446" t="str">
        <f>"1551685763923329"</f>
        <v>1551685763923329</v>
      </c>
      <c r="C6446" t="s">
        <v>40</v>
      </c>
      <c r="D6446">
        <v>4.2962129999999998</v>
      </c>
      <c r="E6446">
        <v>0.55196829999999997</v>
      </c>
      <c r="F6446" t="s">
        <v>89</v>
      </c>
      <c r="G6446">
        <v>-279.68</v>
      </c>
      <c r="H6446">
        <v>0.67387759999999997</v>
      </c>
      <c r="I6446">
        <v>13.18501</v>
      </c>
      <c r="J6446">
        <v>-371.49829999999997</v>
      </c>
      <c r="K6446">
        <v>1.1109009999999999</v>
      </c>
      <c r="L6446">
        <v>16.936610000000002</v>
      </c>
      <c r="M6446">
        <v>0.99990049999999997</v>
      </c>
      <c r="N6446">
        <v>-8.8062519999999901E-3</v>
      </c>
      <c r="O6446">
        <v>-1.102147E-2</v>
      </c>
      <c r="P6446">
        <v>0.98033090000000001</v>
      </c>
      <c r="Q6446">
        <v>0.171877799999999</v>
      </c>
      <c r="R6446">
        <v>9.7002889999999994E-2</v>
      </c>
      <c r="S6446">
        <v>3.0750730000000002</v>
      </c>
      <c r="T6446">
        <v>-1.460528E-2</v>
      </c>
      <c r="U6446">
        <v>-0.12542719999999999</v>
      </c>
      <c r="V6446">
        <v>-0.1080231</v>
      </c>
      <c r="W6446">
        <v>0.18036240000000001</v>
      </c>
      <c r="X6446">
        <v>0.97765049999999998</v>
      </c>
      <c r="Y6446">
        <v>2.973841E-2</v>
      </c>
      <c r="Z6446">
        <v>-2.4629900000000001E-4</v>
      </c>
      <c r="AA6446">
        <v>0.99955769999999999</v>
      </c>
      <c r="AB6446">
        <v>25</v>
      </c>
      <c r="AC6446">
        <v>91.818299999999894</v>
      </c>
      <c r="AD6446">
        <v>-0.43702340000000001</v>
      </c>
      <c r="AE6446">
        <v>-3.7515999999999998</v>
      </c>
      <c r="AF6446">
        <v>2.7392982993689801</v>
      </c>
      <c r="AG6446">
        <v>-0.43702340000000001</v>
      </c>
      <c r="AH6446">
        <v>91.851995059067406</v>
      </c>
      <c r="AI6446">
        <v>90.272484880300496</v>
      </c>
      <c r="AJ6446">
        <v>88.291776622616297</v>
      </c>
      <c r="AK6446">
        <v>91.893872162163404</v>
      </c>
      <c r="AL6446">
        <v>79.609131163986405</v>
      </c>
      <c r="AM6446">
        <v>96.305180826845998</v>
      </c>
      <c r="AN6446">
        <v>1.0000000428088001</v>
      </c>
    </row>
    <row r="6447" spans="1:40" x14ac:dyDescent="0.25">
      <c r="A6447" t="str">
        <f>"20190304154923952"</f>
        <v>20190304154923952</v>
      </c>
      <c r="B6447" t="str">
        <f>"1551685763943822"</f>
        <v>1551685763943822</v>
      </c>
      <c r="C6447" t="s">
        <v>40</v>
      </c>
      <c r="D6447">
        <v>4.2689979999999998</v>
      </c>
      <c r="E6447">
        <v>0.55199109999999996</v>
      </c>
      <c r="F6447" t="s">
        <v>89</v>
      </c>
      <c r="G6447">
        <v>-279.68</v>
      </c>
      <c r="H6447">
        <v>0.74117900000000003</v>
      </c>
      <c r="I6447">
        <v>13.18384</v>
      </c>
      <c r="J6447">
        <v>-371.27910000000003</v>
      </c>
      <c r="K6447">
        <v>1.110881</v>
      </c>
      <c r="L6447">
        <v>16.934909999999999</v>
      </c>
      <c r="M6447">
        <v>0.99990730000000005</v>
      </c>
      <c r="N6447">
        <v>-8.8106880000000005E-3</v>
      </c>
      <c r="O6447">
        <v>-1.038621E-2</v>
      </c>
      <c r="P6447">
        <v>0.98028309999999996</v>
      </c>
      <c r="Q6447">
        <v>0.17200170000000001</v>
      </c>
      <c r="R6447">
        <v>9.7266660000000005E-2</v>
      </c>
      <c r="S6447">
        <v>3.0747680000000002</v>
      </c>
      <c r="T6447">
        <v>-1.2381430000000001E-2</v>
      </c>
      <c r="U6447">
        <v>-0.12567139999999999</v>
      </c>
      <c r="V6447">
        <v>-0.1076545</v>
      </c>
      <c r="W6447">
        <v>0.18049689999999999</v>
      </c>
      <c r="X6447">
        <v>0.97766629999999999</v>
      </c>
      <c r="Y6447">
        <v>3.045691E-2</v>
      </c>
      <c r="Z6447">
        <v>-2.4520660000000002E-4</v>
      </c>
      <c r="AA6447">
        <v>0.99953599999999998</v>
      </c>
      <c r="AB6447">
        <v>25</v>
      </c>
      <c r="AC6447">
        <v>91.599100000000007</v>
      </c>
      <c r="AD6447">
        <v>-0.36970199999999998</v>
      </c>
      <c r="AE6447">
        <v>-3.7510699999999999</v>
      </c>
      <c r="AF6447">
        <v>2.7994177677888898</v>
      </c>
      <c r="AG6447">
        <v>-0.36970199999999998</v>
      </c>
      <c r="AH6447">
        <v>91.631629662725501</v>
      </c>
      <c r="AI6447">
        <v>90.231059637502497</v>
      </c>
      <c r="AJ6447">
        <v>88.250113523096502</v>
      </c>
      <c r="AK6447">
        <v>91.675127346812502</v>
      </c>
      <c r="AL6447">
        <v>79.601295931560998</v>
      </c>
      <c r="AM6447">
        <v>96.283737740039101</v>
      </c>
      <c r="AN6447">
        <v>1.00000000821777</v>
      </c>
    </row>
    <row r="6448" spans="1:40" x14ac:dyDescent="0.25">
      <c r="A6448" t="str">
        <f>"20190304154923966"</f>
        <v>20190304154923966</v>
      </c>
      <c r="B6448" t="str">
        <f>"1551685763953583"</f>
        <v>1551685763953583</v>
      </c>
      <c r="C6448" t="s">
        <v>40</v>
      </c>
      <c r="D6448">
        <v>4.2783709999999999</v>
      </c>
      <c r="E6448">
        <v>0.5520081</v>
      </c>
      <c r="F6448" t="s">
        <v>89</v>
      </c>
      <c r="G6448">
        <v>-279.68</v>
      </c>
      <c r="H6448">
        <v>0.79049380000000002</v>
      </c>
      <c r="I6448">
        <v>13.203670000000001</v>
      </c>
      <c r="J6448">
        <v>-371.11529999999999</v>
      </c>
      <c r="K6448">
        <v>1.110868</v>
      </c>
      <c r="L6448">
        <v>16.933720000000001</v>
      </c>
      <c r="M6448">
        <v>0.99991180000000002</v>
      </c>
      <c r="N6448">
        <v>-8.8141669999999995E-3</v>
      </c>
      <c r="O6448">
        <v>-9.9337499999999999E-3</v>
      </c>
      <c r="P6448">
        <v>0.98036579999999995</v>
      </c>
      <c r="Q6448">
        <v>0.17183789999999999</v>
      </c>
      <c r="R6448">
        <v>9.6720230000000004E-2</v>
      </c>
      <c r="S6448">
        <v>3.074646</v>
      </c>
      <c r="T6448">
        <v>-1.075459E-2</v>
      </c>
      <c r="U6448">
        <v>-0.1252441</v>
      </c>
      <c r="V6448">
        <v>-0.106658</v>
      </c>
      <c r="W6448">
        <v>0.18034359999999999</v>
      </c>
      <c r="X6448">
        <v>0.9778038</v>
      </c>
      <c r="Y6448">
        <v>3.0772310000000001E-2</v>
      </c>
      <c r="Z6448">
        <v>-2.4227130000000001E-4</v>
      </c>
      <c r="AA6448">
        <v>0.99952640000000004</v>
      </c>
      <c r="AB6448">
        <v>25</v>
      </c>
      <c r="AC6448">
        <v>91.435299999999899</v>
      </c>
      <c r="AD6448">
        <v>-0.320374199999999</v>
      </c>
      <c r="AE6448">
        <v>-3.7300499999999999</v>
      </c>
      <c r="AF6448">
        <v>2.82150065347497</v>
      </c>
      <c r="AG6448">
        <v>-0.320374199999999</v>
      </c>
      <c r="AH6448">
        <v>91.4667219138897</v>
      </c>
      <c r="AI6448">
        <v>90.200589755393693</v>
      </c>
      <c r="AJ6448">
        <v>88.233140654467803</v>
      </c>
      <c r="AK6448">
        <v>91.510790201147401</v>
      </c>
      <c r="AL6448">
        <v>79.6102259079004</v>
      </c>
      <c r="AM6448">
        <v>96.225162814316903</v>
      </c>
      <c r="AN6448">
        <v>1.0000000071596999</v>
      </c>
    </row>
    <row r="6449" spans="1:40" x14ac:dyDescent="0.25">
      <c r="A6449" t="str">
        <f>"20190304154923979"</f>
        <v>20190304154923979</v>
      </c>
      <c r="B6449" t="str">
        <f>"1551685763974078"</f>
        <v>1551685763974078</v>
      </c>
      <c r="C6449" t="s">
        <v>40</v>
      </c>
      <c r="D6449">
        <v>4.2717989999999997</v>
      </c>
      <c r="E6449">
        <v>0.55208500000000005</v>
      </c>
      <c r="F6449" t="s">
        <v>89</v>
      </c>
      <c r="G6449">
        <v>-279.68</v>
      </c>
      <c r="H6449">
        <v>0.78410649999999904</v>
      </c>
      <c r="I6449">
        <v>13.15996</v>
      </c>
      <c r="J6449">
        <v>-370.96699999999998</v>
      </c>
      <c r="K6449">
        <v>1.1108549999999999</v>
      </c>
      <c r="L6449">
        <v>16.932649999999999</v>
      </c>
      <c r="M6449">
        <v>0.99991569999999996</v>
      </c>
      <c r="N6449">
        <v>-8.8172540000000001E-3</v>
      </c>
      <c r="O6449">
        <v>-9.5367000000000004E-3</v>
      </c>
      <c r="P6449">
        <v>0.98036829999999997</v>
      </c>
      <c r="Q6449">
        <v>0.17187859999999999</v>
      </c>
      <c r="R6449">
        <v>9.6624550000000003E-2</v>
      </c>
      <c r="S6449">
        <v>3.0744929999999999</v>
      </c>
      <c r="T6449">
        <v>-1.098764E-2</v>
      </c>
      <c r="U6449">
        <v>-0.12689210000000001</v>
      </c>
      <c r="V6449">
        <v>-0.106167</v>
      </c>
      <c r="W6449">
        <v>0.18039189999999999</v>
      </c>
      <c r="X6449">
        <v>0.97784839999999995</v>
      </c>
      <c r="Y6449">
        <v>3.1706020000000001E-2</v>
      </c>
      <c r="Z6449">
        <v>-2.4646820000000003E-4</v>
      </c>
      <c r="AA6449">
        <v>0.99949719999999997</v>
      </c>
      <c r="AB6449">
        <v>25</v>
      </c>
      <c r="AC6449">
        <v>91.286999999999907</v>
      </c>
      <c r="AD6449">
        <v>-0.3267485</v>
      </c>
      <c r="AE6449">
        <v>-3.7726899999999901</v>
      </c>
      <c r="AF6449">
        <v>2.9018707750190602</v>
      </c>
      <c r="AG6449">
        <v>-0.3267485</v>
      </c>
      <c r="AH6449">
        <v>91.317660831698603</v>
      </c>
      <c r="AI6449">
        <v>90.204908717388193</v>
      </c>
      <c r="AJ6449">
        <v>88.179880931621497</v>
      </c>
      <c r="AK6449">
        <v>91.364340956142698</v>
      </c>
      <c r="AL6449">
        <v>79.607413158174893</v>
      </c>
      <c r="AM6449">
        <v>96.196448308119699</v>
      </c>
      <c r="AN6449">
        <v>1.0000000814285801</v>
      </c>
    </row>
    <row r="6450" spans="1:40" x14ac:dyDescent="0.25">
      <c r="A6450" t="str">
        <f>"20190304154923994"</f>
        <v>20190304154923994</v>
      </c>
      <c r="B6450" t="str">
        <f>"1551685763983840"</f>
        <v>1551685763983840</v>
      </c>
      <c r="C6450" t="s">
        <v>40</v>
      </c>
      <c r="D6450">
        <v>4.2839169999999998</v>
      </c>
      <c r="E6450">
        <v>0.55208519999999905</v>
      </c>
      <c r="F6450" t="s">
        <v>89</v>
      </c>
      <c r="G6450">
        <v>-279.68</v>
      </c>
      <c r="H6450">
        <v>0.82324310000000001</v>
      </c>
      <c r="I6450">
        <v>13.13405</v>
      </c>
      <c r="J6450">
        <v>-370.7878</v>
      </c>
      <c r="K6450">
        <v>1.110841</v>
      </c>
      <c r="L6450">
        <v>16.931429999999999</v>
      </c>
      <c r="M6450">
        <v>0.99992000000000003</v>
      </c>
      <c r="N6450">
        <v>-8.8208799999999997E-3</v>
      </c>
      <c r="O6450">
        <v>-9.0741199999999998E-3</v>
      </c>
      <c r="P6450">
        <v>0.98029639999999996</v>
      </c>
      <c r="Q6450">
        <v>0.1723346</v>
      </c>
      <c r="R6450">
        <v>9.6542160000000002E-2</v>
      </c>
      <c r="S6450">
        <v>3.0743710000000002</v>
      </c>
      <c r="T6450">
        <v>-9.6865890000000007E-3</v>
      </c>
      <c r="U6450">
        <v>-0.12792970000000001</v>
      </c>
      <c r="V6450">
        <v>-0.10562390000000001</v>
      </c>
      <c r="W6450">
        <v>0.18085670000000001</v>
      </c>
      <c r="X6450">
        <v>0.9778213</v>
      </c>
      <c r="Y6450">
        <v>3.250687E-2</v>
      </c>
      <c r="Z6450">
        <v>-2.4606150000000001E-4</v>
      </c>
      <c r="AA6450">
        <v>0.99947149999999996</v>
      </c>
      <c r="AB6450">
        <v>26</v>
      </c>
      <c r="AC6450">
        <v>91.107799999999997</v>
      </c>
      <c r="AD6450">
        <v>-0.28759790000000002</v>
      </c>
      <c r="AE6450">
        <v>-3.7973799999999902</v>
      </c>
      <c r="AF6450">
        <v>2.97043888806797</v>
      </c>
      <c r="AG6450">
        <v>-0.28759790000000002</v>
      </c>
      <c r="AH6450">
        <v>91.137601383187402</v>
      </c>
      <c r="AI6450">
        <v>90.180708572859203</v>
      </c>
      <c r="AJ6450">
        <v>88.133225123473593</v>
      </c>
      <c r="AK6450">
        <v>91.186449682069494</v>
      </c>
      <c r="AL6450">
        <v>79.580336133044099</v>
      </c>
      <c r="AM6450">
        <v>96.165164476951006</v>
      </c>
      <c r="AN6450">
        <v>1.0000000244598899</v>
      </c>
    </row>
    <row r="6451" spans="1:40" x14ac:dyDescent="0.25">
      <c r="A6451" t="str">
        <f>"20190304154924011"</f>
        <v>20190304154924011</v>
      </c>
      <c r="B6451" t="str">
        <f>"1551685764003361"</f>
        <v>1551685764003361</v>
      </c>
      <c r="C6451" t="s">
        <v>40</v>
      </c>
      <c r="D6451">
        <v>4.2641710000000002</v>
      </c>
      <c r="E6451">
        <v>0.55201610000000001</v>
      </c>
      <c r="F6451" t="s">
        <v>89</v>
      </c>
      <c r="G6451">
        <v>-279.68</v>
      </c>
      <c r="H6451">
        <v>0.87860769999999899</v>
      </c>
      <c r="I6451">
        <v>13.125780000000001</v>
      </c>
      <c r="J6451">
        <v>-370.59840000000003</v>
      </c>
      <c r="K6451">
        <v>1.1108260000000001</v>
      </c>
      <c r="L6451">
        <v>16.930239999999898</v>
      </c>
      <c r="M6451">
        <v>0.99992389999999998</v>
      </c>
      <c r="N6451">
        <v>-8.8245489999999992E-3</v>
      </c>
      <c r="O6451">
        <v>-8.6110869999999999E-3</v>
      </c>
      <c r="P6451">
        <v>0.98011610000000005</v>
      </c>
      <c r="Q6451">
        <v>0.17386380000000001</v>
      </c>
      <c r="R6451">
        <v>9.5623780000000005E-2</v>
      </c>
      <c r="S6451">
        <v>3.074341</v>
      </c>
      <c r="T6451">
        <v>-7.8368190000000001E-3</v>
      </c>
      <c r="U6451">
        <v>-0.128418</v>
      </c>
      <c r="V6451">
        <v>-0.1042425</v>
      </c>
      <c r="W6451">
        <v>0.18239420000000001</v>
      </c>
      <c r="X6451">
        <v>0.97768390000000005</v>
      </c>
      <c r="Y6451">
        <v>3.3128730000000002E-2</v>
      </c>
      <c r="Z6451">
        <v>-2.424685E-4</v>
      </c>
      <c r="AA6451">
        <v>0.99945099999999998</v>
      </c>
      <c r="AB6451">
        <v>26</v>
      </c>
      <c r="AC6451">
        <v>90.918400000000005</v>
      </c>
      <c r="AD6451">
        <v>-0.23221829999999999</v>
      </c>
      <c r="AE6451">
        <v>-3.80445999999999</v>
      </c>
      <c r="AF6451">
        <v>3.02136245424636</v>
      </c>
      <c r="AG6451">
        <v>-0.23221829999999999</v>
      </c>
      <c r="AH6451">
        <v>90.947198383168896</v>
      </c>
      <c r="AI6451">
        <v>90.146214110259393</v>
      </c>
      <c r="AJ6451">
        <v>88.097273164070501</v>
      </c>
      <c r="AK6451">
        <v>90.997667278706999</v>
      </c>
      <c r="AL6451">
        <v>79.490753394745994</v>
      </c>
      <c r="AM6451">
        <v>96.085991186001806</v>
      </c>
      <c r="AN6451">
        <v>0.99999997565954901</v>
      </c>
    </row>
    <row r="6452" spans="1:40" x14ac:dyDescent="0.25">
      <c r="A6452" t="str">
        <f>"20190304154924024"</f>
        <v>20190304154924024</v>
      </c>
      <c r="B6452" t="str">
        <f>"1551685764014094"</f>
        <v>1551685764014094</v>
      </c>
      <c r="C6452" t="s">
        <v>40</v>
      </c>
      <c r="D6452">
        <v>4.2910940000000002</v>
      </c>
      <c r="E6452">
        <v>0.55198970000000003</v>
      </c>
      <c r="F6452" t="s">
        <v>89</v>
      </c>
      <c r="G6452">
        <v>-279.68</v>
      </c>
      <c r="H6452">
        <v>1.050883</v>
      </c>
      <c r="I6452">
        <v>13.066190000000001</v>
      </c>
      <c r="J6452">
        <v>-370.4486</v>
      </c>
      <c r="K6452">
        <v>1.1108100000000001</v>
      </c>
      <c r="L6452">
        <v>16.929320000000001</v>
      </c>
      <c r="M6452">
        <v>0.99992689999999995</v>
      </c>
      <c r="N6452">
        <v>-8.8273339999999992E-3</v>
      </c>
      <c r="O6452">
        <v>-8.2703280000000004E-3</v>
      </c>
      <c r="P6452">
        <v>0.98006530000000003</v>
      </c>
      <c r="Q6452">
        <v>0.174258</v>
      </c>
      <c r="R6452">
        <v>9.5426460000000005E-2</v>
      </c>
      <c r="S6452">
        <v>3.0740050000000001</v>
      </c>
      <c r="T6452">
        <v>-2.0270349999999999E-3</v>
      </c>
      <c r="U6452">
        <v>-0.13064580000000001</v>
      </c>
      <c r="V6452">
        <v>-0.10370409999999999</v>
      </c>
      <c r="W6452">
        <v>0.18279599999999999</v>
      </c>
      <c r="X6452">
        <v>0.97766609999999998</v>
      </c>
      <c r="Y6452">
        <v>3.4197369999999998E-2</v>
      </c>
      <c r="Z6452">
        <v>-2.2980360000000001E-4</v>
      </c>
      <c r="AA6452">
        <v>0.9994151</v>
      </c>
      <c r="AB6452">
        <v>26</v>
      </c>
      <c r="AC6452">
        <v>90.768600000000006</v>
      </c>
      <c r="AD6452">
        <v>-5.9927000000000001E-2</v>
      </c>
      <c r="AE6452">
        <v>-3.86313</v>
      </c>
      <c r="AF6452">
        <v>3.1122812213840998</v>
      </c>
      <c r="AG6452">
        <v>-5.9927000000000001E-2</v>
      </c>
      <c r="AH6452">
        <v>90.797406584494198</v>
      </c>
      <c r="AI6452">
        <v>90.037793462311996</v>
      </c>
      <c r="AJ6452">
        <v>88.036829501309498</v>
      </c>
      <c r="AK6452">
        <v>90.850750839584506</v>
      </c>
      <c r="AL6452">
        <v>79.467338138639406</v>
      </c>
      <c r="AM6452">
        <v>96.0549012875031</v>
      </c>
      <c r="AN6452">
        <v>0.99999996053100904</v>
      </c>
    </row>
    <row r="6453" spans="1:40" x14ac:dyDescent="0.25">
      <c r="A6453" t="str">
        <f>"20190304154924037"</f>
        <v>20190304154924037</v>
      </c>
      <c r="B6453" t="str">
        <f>"1551685764033616"</f>
        <v>1551685764033616</v>
      </c>
      <c r="C6453" t="s">
        <v>40</v>
      </c>
      <c r="D6453">
        <v>4.2444550000000003</v>
      </c>
      <c r="E6453">
        <v>0.55192259999999904</v>
      </c>
      <c r="F6453" t="s">
        <v>89</v>
      </c>
      <c r="G6453">
        <v>-279.68</v>
      </c>
      <c r="H6453">
        <v>1.0915299999999999</v>
      </c>
      <c r="I6453">
        <v>13.06068</v>
      </c>
      <c r="J6453">
        <v>-370.30970000000002</v>
      </c>
      <c r="K6453">
        <v>1.1107880000000001</v>
      </c>
      <c r="L6453">
        <v>16.9285</v>
      </c>
      <c r="M6453">
        <v>0.99992919999999996</v>
      </c>
      <c r="N6453">
        <v>-8.8299139999999995E-3</v>
      </c>
      <c r="O6453">
        <v>-7.9649690000000006E-3</v>
      </c>
      <c r="P6453">
        <v>0.98011389999999998</v>
      </c>
      <c r="Q6453">
        <v>0.17420379999999999</v>
      </c>
      <c r="R6453">
        <v>9.5025639999999995E-2</v>
      </c>
      <c r="S6453">
        <v>3.0738829999999999</v>
      </c>
      <c r="T6453">
        <v>-6.5326689999999998E-4</v>
      </c>
      <c r="U6453">
        <v>-0.13101199999999999</v>
      </c>
      <c r="V6453">
        <v>-0.1029973</v>
      </c>
      <c r="W6453">
        <v>0.18275</v>
      </c>
      <c r="X6453">
        <v>0.97774950000000005</v>
      </c>
      <c r="Y6453">
        <v>3.46232E-2</v>
      </c>
      <c r="Z6453">
        <v>-2.252209E-4</v>
      </c>
      <c r="AA6453">
        <v>0.99940039999999997</v>
      </c>
      <c r="AB6453">
        <v>26</v>
      </c>
      <c r="AC6453">
        <v>90.6297</v>
      </c>
      <c r="AD6453">
        <v>-1.9258000000000001E-2</v>
      </c>
      <c r="AE6453">
        <v>-3.8678199999999898</v>
      </c>
      <c r="AF6453">
        <v>3.1458061970613</v>
      </c>
      <c r="AG6453">
        <v>-1.9258000000000001E-2</v>
      </c>
      <c r="AH6453">
        <v>90.657629106831607</v>
      </c>
      <c r="AI6453">
        <v>90.012163768492897</v>
      </c>
      <c r="AJ6453">
        <v>88.012642393399005</v>
      </c>
      <c r="AK6453">
        <v>90.712194234137499</v>
      </c>
      <c r="AL6453">
        <v>79.470019806921101</v>
      </c>
      <c r="AM6453">
        <v>96.013428075992906</v>
      </c>
      <c r="AN6453">
        <v>1.0000000455287601</v>
      </c>
    </row>
    <row r="6454" spans="1:40" x14ac:dyDescent="0.25">
      <c r="A6454" t="str">
        <f>"20190304154924055"</f>
        <v>20190304154924055</v>
      </c>
      <c r="B6454" t="str">
        <f>"1551685764043377"</f>
        <v>1551685764043377</v>
      </c>
      <c r="C6454" t="s">
        <v>40</v>
      </c>
      <c r="D6454">
        <v>4.3004530000000001</v>
      </c>
      <c r="E6454">
        <v>0.55178280000000002</v>
      </c>
      <c r="F6454" t="s">
        <v>89</v>
      </c>
      <c r="G6454">
        <v>-279.68</v>
      </c>
      <c r="H6454">
        <v>1.1082920000000001</v>
      </c>
      <c r="I6454">
        <v>13.045669999999999</v>
      </c>
      <c r="J6454">
        <v>-370.09219999999999</v>
      </c>
      <c r="K6454">
        <v>1.1107590000000001</v>
      </c>
      <c r="L6454">
        <v>16.92728</v>
      </c>
      <c r="M6454">
        <v>0.99993279999999995</v>
      </c>
      <c r="N6454">
        <v>-8.8339419999999991E-3</v>
      </c>
      <c r="O6454">
        <v>-7.517391E-3</v>
      </c>
      <c r="P6454">
        <v>0.98007840000000002</v>
      </c>
      <c r="Q6454">
        <v>0.17468330000000001</v>
      </c>
      <c r="R6454">
        <v>9.4511040000000004E-2</v>
      </c>
      <c r="S6454">
        <v>3.073639</v>
      </c>
      <c r="T6454" s="1">
        <v>-8.4996219999999999E-5</v>
      </c>
      <c r="U6454">
        <v>-0.131683299999999</v>
      </c>
      <c r="V6454">
        <v>-0.10203189999999999</v>
      </c>
      <c r="W6454">
        <v>0.18324090000000001</v>
      </c>
      <c r="X6454">
        <v>0.97775880000000004</v>
      </c>
      <c r="Y6454">
        <v>3.5291839999999998E-2</v>
      </c>
      <c r="Z6454">
        <v>-2.2261970000000001E-4</v>
      </c>
      <c r="AA6454">
        <v>0.99937699999999996</v>
      </c>
      <c r="AB6454">
        <v>26</v>
      </c>
      <c r="AC6454">
        <v>90.412199999999899</v>
      </c>
      <c r="AD6454">
        <v>-2.46699999999999E-3</v>
      </c>
      <c r="AE6454">
        <v>-3.8816099999999998</v>
      </c>
      <c r="AF6454">
        <v>3.2018099826776498</v>
      </c>
      <c r="AG6454">
        <v>-2.46699999999999E-3</v>
      </c>
      <c r="AH6454">
        <v>90.438825764683301</v>
      </c>
      <c r="AI6454">
        <v>90.001561941881704</v>
      </c>
      <c r="AJ6454">
        <v>87.972401666674401</v>
      </c>
      <c r="AK6454">
        <v>90.495484964422403</v>
      </c>
      <c r="AL6454">
        <v>79.441409752384402</v>
      </c>
      <c r="AM6454">
        <v>95.957414854888498</v>
      </c>
      <c r="AN6454">
        <v>1.00000000351393</v>
      </c>
    </row>
    <row r="6455" spans="1:40" x14ac:dyDescent="0.25">
      <c r="A6455" t="str">
        <f>"20190304154924066"</f>
        <v>20190304154924066</v>
      </c>
      <c r="B6455" t="str">
        <f>"1551685764063869"</f>
        <v>1551685764063869</v>
      </c>
      <c r="C6455" t="s">
        <v>40</v>
      </c>
      <c r="D6455">
        <v>4.2673100000000002</v>
      </c>
      <c r="E6455">
        <v>0.55175229999999997</v>
      </c>
      <c r="F6455" t="s">
        <v>89</v>
      </c>
      <c r="G6455">
        <v>-279.68</v>
      </c>
      <c r="H6455">
        <v>1.1369959999999999</v>
      </c>
      <c r="I6455">
        <v>13.035780000000001</v>
      </c>
      <c r="J6455">
        <v>-369.96019999999999</v>
      </c>
      <c r="K6455">
        <v>1.110743</v>
      </c>
      <c r="L6455">
        <v>16.926539999999999</v>
      </c>
      <c r="M6455">
        <v>0.99993469999999995</v>
      </c>
      <c r="N6455">
        <v>-8.8363639999999993E-3</v>
      </c>
      <c r="O6455">
        <v>-7.2632979999999996E-3</v>
      </c>
      <c r="P6455">
        <v>0.98006340000000003</v>
      </c>
      <c r="Q6455">
        <v>0.17482239999999999</v>
      </c>
      <c r="R6455">
        <v>9.4409240000000005E-2</v>
      </c>
      <c r="S6455">
        <v>3.0736080000000001</v>
      </c>
      <c r="T6455">
        <v>8.9156629999999999E-4</v>
      </c>
      <c r="U6455">
        <v>-0.13229369999999999</v>
      </c>
      <c r="V6455">
        <v>-0.10167379999999999</v>
      </c>
      <c r="W6455">
        <v>0.1833871</v>
      </c>
      <c r="X6455">
        <v>0.97776870000000005</v>
      </c>
      <c r="Y6455">
        <v>3.5744350000000001E-2</v>
      </c>
      <c r="Z6455">
        <v>-2.1908069999999999E-4</v>
      </c>
      <c r="AA6455">
        <v>0.9993609</v>
      </c>
      <c r="AB6455">
        <v>26</v>
      </c>
      <c r="AC6455">
        <v>90.280199999999894</v>
      </c>
      <c r="AD6455">
        <v>2.6252999999999801E-2</v>
      </c>
      <c r="AE6455">
        <v>-3.89075999999999</v>
      </c>
      <c r="AF6455">
        <v>3.2348995693685501</v>
      </c>
      <c r="AG6455">
        <v>2.6252999999999801E-2</v>
      </c>
      <c r="AH6455">
        <v>90.306071621756601</v>
      </c>
      <c r="AI6455">
        <v>89.983354143447698</v>
      </c>
      <c r="AJ6455">
        <v>87.948456038021803</v>
      </c>
      <c r="AK6455">
        <v>90.363996349197294</v>
      </c>
      <c r="AL6455">
        <v>79.432888788811098</v>
      </c>
      <c r="AM6455">
        <v>95.936596103259205</v>
      </c>
      <c r="AN6455">
        <v>1.0000000103762601</v>
      </c>
    </row>
    <row r="6456" spans="1:40" x14ac:dyDescent="0.25">
      <c r="A6456" t="str">
        <f>"20190304154924088"</f>
        <v>20190304154924088</v>
      </c>
      <c r="B6456" t="str">
        <f>"1551685764084013"</f>
        <v>1551685764084013</v>
      </c>
      <c r="C6456" t="s">
        <v>40</v>
      </c>
      <c r="D6456">
        <v>4.302683</v>
      </c>
      <c r="E6456">
        <v>0.55178179999999999</v>
      </c>
      <c r="F6456" t="s">
        <v>89</v>
      </c>
      <c r="G6456">
        <v>-279.68</v>
      </c>
      <c r="H6456">
        <v>1.1502619999999999</v>
      </c>
      <c r="I6456">
        <v>13.03796</v>
      </c>
      <c r="J6456">
        <v>-369.7097</v>
      </c>
      <c r="K6456">
        <v>1.110716</v>
      </c>
      <c r="L6456">
        <v>16.925260000000002</v>
      </c>
      <c r="M6456">
        <v>0.99993779999999999</v>
      </c>
      <c r="N6456">
        <v>-8.8409819999999903E-3</v>
      </c>
      <c r="O6456">
        <v>-6.8101530000000002E-3</v>
      </c>
      <c r="P6456">
        <v>0.98004139999999995</v>
      </c>
      <c r="Q6456">
        <v>0.17492070000000001</v>
      </c>
      <c r="R6456">
        <v>9.4455410000000004E-2</v>
      </c>
      <c r="S6456">
        <v>3.073547</v>
      </c>
      <c r="T6456">
        <v>1.34503799999999E-3</v>
      </c>
      <c r="U6456">
        <v>-0.13238529999999901</v>
      </c>
      <c r="V6456">
        <v>-0.1012628</v>
      </c>
      <c r="W6456">
        <v>0.1834982</v>
      </c>
      <c r="X6456">
        <v>0.97779050000000001</v>
      </c>
      <c r="Y6456">
        <v>3.6227809999999999E-2</v>
      </c>
      <c r="Z6456">
        <v>-2.154616E-4</v>
      </c>
      <c r="AA6456">
        <v>0.99934350000000005</v>
      </c>
      <c r="AB6456">
        <v>26</v>
      </c>
      <c r="AC6456">
        <v>90.029699999999906</v>
      </c>
      <c r="AD6456">
        <v>3.9545999999999998E-2</v>
      </c>
      <c r="AE6456">
        <v>-3.8873000000000002</v>
      </c>
      <c r="AF6456">
        <v>3.2740692684537098</v>
      </c>
      <c r="AG6456">
        <v>3.9545999999999998E-2</v>
      </c>
      <c r="AH6456">
        <v>90.054068903265104</v>
      </c>
      <c r="AI6456">
        <v>89.974855964081598</v>
      </c>
      <c r="AJ6456">
        <v>87.917831301215699</v>
      </c>
      <c r="AK6456">
        <v>90.113575112159296</v>
      </c>
      <c r="AL6456">
        <v>79.426413263000597</v>
      </c>
      <c r="AM6456">
        <v>95.912637832510597</v>
      </c>
      <c r="AN6456">
        <v>1.00000000297866</v>
      </c>
    </row>
    <row r="6457" spans="1:40" x14ac:dyDescent="0.25">
      <c r="A6457" t="str">
        <f>"20190304154924101"</f>
        <v>20190304154924101</v>
      </c>
      <c r="B6457" t="str">
        <f>"1551685764093774"</f>
        <v>1551685764093774</v>
      </c>
      <c r="C6457" t="s">
        <v>40</v>
      </c>
      <c r="D6457">
        <v>4.2601760000000004</v>
      </c>
      <c r="E6457">
        <v>0.55180450000000003</v>
      </c>
      <c r="F6457" t="s">
        <v>89</v>
      </c>
      <c r="G6457">
        <v>-279.68</v>
      </c>
      <c r="H6457">
        <v>1.161249</v>
      </c>
      <c r="I6457">
        <v>13.03857</v>
      </c>
      <c r="J6457">
        <v>-369.56259999999997</v>
      </c>
      <c r="K6457">
        <v>1.1106990000000001</v>
      </c>
      <c r="L6457">
        <v>16.924529999999901</v>
      </c>
      <c r="M6457">
        <v>0.99993949999999998</v>
      </c>
      <c r="N6457">
        <v>-8.8436720000000003E-3</v>
      </c>
      <c r="O6457">
        <v>-6.5672689999999997E-3</v>
      </c>
      <c r="P6457">
        <v>0.98006550000000003</v>
      </c>
      <c r="Q6457">
        <v>0.17473830000000001</v>
      </c>
      <c r="R6457">
        <v>9.4544260000000005E-2</v>
      </c>
      <c r="S6457">
        <v>3.0735779999999999</v>
      </c>
      <c r="T6457">
        <v>1.7248389999999999E-3</v>
      </c>
      <c r="U6457">
        <v>-0.13269039999999999</v>
      </c>
      <c r="V6457">
        <v>-0.10110619999999999</v>
      </c>
      <c r="W6457">
        <v>0.1833234</v>
      </c>
      <c r="X6457">
        <v>0.97783949999999997</v>
      </c>
      <c r="Y6457">
        <v>3.6569190000000001E-2</v>
      </c>
      <c r="Z6457">
        <v>-2.1326369999999999E-4</v>
      </c>
      <c r="AA6457">
        <v>0.99933110000000003</v>
      </c>
      <c r="AB6457">
        <v>26</v>
      </c>
      <c r="AC6457">
        <v>89.882599999999897</v>
      </c>
      <c r="AD6457">
        <v>5.0549999999999998E-2</v>
      </c>
      <c r="AE6457">
        <v>-3.8859599999999901</v>
      </c>
      <c r="AF6457">
        <v>3.2955689574721099</v>
      </c>
      <c r="AG6457">
        <v>5.0549999999999998E-2</v>
      </c>
      <c r="AH6457">
        <v>89.906154308398499</v>
      </c>
      <c r="AI6457">
        <v>89.967806903302403</v>
      </c>
      <c r="AJ6457">
        <v>87.900725568501301</v>
      </c>
      <c r="AK6457">
        <v>89.966548853346097</v>
      </c>
      <c r="AL6457">
        <v>79.436601470346304</v>
      </c>
      <c r="AM6457">
        <v>95.903264996258699</v>
      </c>
      <c r="AN6457">
        <v>1.0000000102131199</v>
      </c>
    </row>
    <row r="6458" spans="1:40" x14ac:dyDescent="0.25">
      <c r="A6458" t="str">
        <f>"20190304154924114"</f>
        <v>20190304154924114</v>
      </c>
      <c r="B6458" t="str">
        <f>"1551685764103533"</f>
        <v>1551685764103533</v>
      </c>
      <c r="C6458" t="s">
        <v>40</v>
      </c>
      <c r="D6458">
        <v>4.2478610000000003</v>
      </c>
      <c r="E6458">
        <v>0.55173000000000005</v>
      </c>
      <c r="F6458" t="s">
        <v>89</v>
      </c>
      <c r="G6458">
        <v>-279.68</v>
      </c>
      <c r="H6458">
        <v>1.1459919999999999</v>
      </c>
      <c r="I6458">
        <v>13.045120000000001</v>
      </c>
      <c r="J6458">
        <v>-369.42099999999999</v>
      </c>
      <c r="K6458">
        <v>1.1106819999999999</v>
      </c>
      <c r="L6458">
        <v>16.923829999999999</v>
      </c>
      <c r="M6458">
        <v>0.99994090000000002</v>
      </c>
      <c r="N6458">
        <v>-8.8462519999999902E-3</v>
      </c>
      <c r="O6458">
        <v>-6.3422569999999996E-3</v>
      </c>
      <c r="P6458">
        <v>0.98001380000000005</v>
      </c>
      <c r="Q6458">
        <v>0.17498939999999999</v>
      </c>
      <c r="R6458">
        <v>9.461427E-2</v>
      </c>
      <c r="S6458">
        <v>3.0736080000000001</v>
      </c>
      <c r="T6458">
        <v>1.206517E-3</v>
      </c>
      <c r="U6458">
        <v>-0.1326599</v>
      </c>
      <c r="V6458">
        <v>-0.10094789999999999</v>
      </c>
      <c r="W6458">
        <v>0.1835803</v>
      </c>
      <c r="X6458">
        <v>0.9778076</v>
      </c>
      <c r="Y6458">
        <v>3.6783679999999999E-2</v>
      </c>
      <c r="Z6458">
        <v>-2.141321E-4</v>
      </c>
      <c r="AA6458">
        <v>0.99932319999999997</v>
      </c>
      <c r="AB6458">
        <v>26</v>
      </c>
      <c r="AC6458">
        <v>89.7409999999999</v>
      </c>
      <c r="AD6458">
        <v>3.5309999999999897E-2</v>
      </c>
      <c r="AE6458">
        <v>-3.8787099999999999</v>
      </c>
      <c r="AF6458">
        <v>3.3094487965790198</v>
      </c>
      <c r="AG6458">
        <v>3.5309999999999897E-2</v>
      </c>
      <c r="AH6458">
        <v>89.763781823936597</v>
      </c>
      <c r="AI6458">
        <v>89.977477104462494</v>
      </c>
      <c r="AJ6458">
        <v>87.888551481649202</v>
      </c>
      <c r="AK6458">
        <v>89.824775120612301</v>
      </c>
      <c r="AL6458">
        <v>79.421627463318401</v>
      </c>
      <c r="AM6458">
        <v>95.894278423896296</v>
      </c>
      <c r="AN6458">
        <v>0.99999995384012796</v>
      </c>
    </row>
    <row r="6459" spans="1:40" x14ac:dyDescent="0.25">
      <c r="A6459" t="str">
        <f>"20190304154924125"</f>
        <v>20190304154924125</v>
      </c>
      <c r="B6459" t="str">
        <f>"1551685764113294"</f>
        <v>1551685764113294</v>
      </c>
      <c r="C6459" t="s">
        <v>40</v>
      </c>
      <c r="D6459">
        <v>4.3103480000000003</v>
      </c>
      <c r="E6459">
        <v>0.55173000000000005</v>
      </c>
      <c r="F6459" t="s">
        <v>89</v>
      </c>
      <c r="G6459">
        <v>-279.68</v>
      </c>
      <c r="H6459">
        <v>1.1684399999999999</v>
      </c>
      <c r="I6459">
        <v>13.07098</v>
      </c>
      <c r="J6459">
        <v>-369.28149999999999</v>
      </c>
      <c r="K6459">
        <v>1.110668</v>
      </c>
      <c r="L6459">
        <v>16.923159999999999</v>
      </c>
      <c r="M6459">
        <v>0.99994209999999994</v>
      </c>
      <c r="N6459">
        <v>-8.8487889999999993E-3</v>
      </c>
      <c r="O6459">
        <v>-6.1397719999999999E-3</v>
      </c>
      <c r="P6459">
        <v>0.97997460000000003</v>
      </c>
      <c r="Q6459">
        <v>0.17522979999999999</v>
      </c>
      <c r="R6459">
        <v>9.4576179999999996E-2</v>
      </c>
      <c r="S6459">
        <v>3.0735779999999999</v>
      </c>
      <c r="T6459">
        <v>1.977801E-3</v>
      </c>
      <c r="U6459">
        <v>-0.13195799999999999</v>
      </c>
      <c r="V6459">
        <v>-0.1007049</v>
      </c>
      <c r="W6459">
        <v>0.1838273</v>
      </c>
      <c r="X6459">
        <v>0.9777863</v>
      </c>
      <c r="Y6459">
        <v>3.675871E-2</v>
      </c>
      <c r="Z6459">
        <v>-2.091479E-4</v>
      </c>
      <c r="AA6459">
        <v>0.99932410000000005</v>
      </c>
      <c r="AB6459">
        <v>26</v>
      </c>
      <c r="AC6459">
        <v>89.601499999999902</v>
      </c>
      <c r="AD6459">
        <v>5.77719999999999E-2</v>
      </c>
      <c r="AE6459">
        <v>-3.8521799999999899</v>
      </c>
      <c r="AF6459">
        <v>3.3019517512897201</v>
      </c>
      <c r="AG6459">
        <v>5.77719999999999E-2</v>
      </c>
      <c r="AH6459">
        <v>89.6234262480002</v>
      </c>
      <c r="AI6459">
        <v>89.963091713526495</v>
      </c>
      <c r="AJ6459">
        <v>87.890034138183196</v>
      </c>
      <c r="AK6459">
        <v>89.684250319677403</v>
      </c>
      <c r="AL6459">
        <v>79.407230893620195</v>
      </c>
      <c r="AM6459">
        <v>95.880316554910607</v>
      </c>
      <c r="AN6459">
        <v>1.0000000007884899</v>
      </c>
    </row>
    <row r="6460" spans="1:40" x14ac:dyDescent="0.25">
      <c r="A6460" t="str">
        <f>"20190304154924136"</f>
        <v>20190304154924136</v>
      </c>
      <c r="B6460" t="str">
        <f>"1551685764133790"</f>
        <v>1551685764133790</v>
      </c>
      <c r="C6460" t="s">
        <v>40</v>
      </c>
      <c r="D6460">
        <v>4.5150259999999998</v>
      </c>
      <c r="E6460">
        <v>0.57107730000000001</v>
      </c>
      <c r="F6460" t="s">
        <v>89</v>
      </c>
      <c r="G6460">
        <v>-279.68</v>
      </c>
      <c r="H6460">
        <v>1.1897759999999999</v>
      </c>
      <c r="I6460">
        <v>13.073549999999999</v>
      </c>
      <c r="J6460">
        <v>-369.1542</v>
      </c>
      <c r="K6460">
        <v>1.110654</v>
      </c>
      <c r="L6460">
        <v>16.92258</v>
      </c>
      <c r="M6460">
        <v>0.99994309999999997</v>
      </c>
      <c r="N6460">
        <v>-8.851055E-3</v>
      </c>
      <c r="O6460">
        <v>-5.9628969999999896E-3</v>
      </c>
      <c r="P6460">
        <v>0.979881</v>
      </c>
      <c r="Q6460">
        <v>0.175782299999999</v>
      </c>
      <c r="R6460">
        <v>9.4518770000000002E-2</v>
      </c>
      <c r="S6460">
        <v>3.0735169999999998</v>
      </c>
      <c r="T6460">
        <v>2.713203E-3</v>
      </c>
      <c r="U6460">
        <v>-0.13204959999999999</v>
      </c>
      <c r="V6460">
        <v>-0.10046769999999999</v>
      </c>
      <c r="W6460">
        <v>0.18438499999999999</v>
      </c>
      <c r="X6460">
        <v>0.97770570000000001</v>
      </c>
      <c r="Y6460">
        <v>3.696609E-2</v>
      </c>
      <c r="Z6460">
        <v>-2.0538180000000001E-4</v>
      </c>
      <c r="AA6460">
        <v>0.99931650000000005</v>
      </c>
      <c r="AB6460">
        <v>26</v>
      </c>
      <c r="AC6460">
        <v>89.474199999999996</v>
      </c>
      <c r="AD6460">
        <v>7.9121999999999901E-2</v>
      </c>
      <c r="AE6460">
        <v>-3.84903</v>
      </c>
      <c r="AF6460">
        <v>3.3154126662314201</v>
      </c>
      <c r="AG6460">
        <v>7.9121999999999901E-2</v>
      </c>
      <c r="AH6460">
        <v>89.495491595199198</v>
      </c>
      <c r="AI6460">
        <v>89.949380154550994</v>
      </c>
      <c r="AJ6460">
        <v>87.878414623938397</v>
      </c>
      <c r="AK6460">
        <v>89.5569161891178</v>
      </c>
      <c r="AL6460">
        <v>79.374721444339997</v>
      </c>
      <c r="AM6460">
        <v>95.8670430441544</v>
      </c>
      <c r="AN6460">
        <v>1.00000001139039</v>
      </c>
    </row>
    <row r="6461" spans="1:40" x14ac:dyDescent="0.25">
      <c r="A6461" t="str">
        <f>"20190304154924148"</f>
        <v>20190304154924148</v>
      </c>
      <c r="B6461" t="str">
        <f>"1551685764143549"</f>
        <v>1551685764143549</v>
      </c>
      <c r="C6461" t="s">
        <v>40</v>
      </c>
      <c r="D6461">
        <v>4.4025030000000003</v>
      </c>
      <c r="E6461">
        <v>0.57233610000000001</v>
      </c>
      <c r="F6461" t="s">
        <v>88</v>
      </c>
      <c r="G6461">
        <v>-241.07</v>
      </c>
      <c r="H6461">
        <v>2.0157150000000001</v>
      </c>
      <c r="I6461">
        <v>5.0642239999999896</v>
      </c>
      <c r="J6461">
        <v>-369.01029999999997</v>
      </c>
      <c r="K6461">
        <v>1.110638</v>
      </c>
      <c r="L6461">
        <v>16.921970000000002</v>
      </c>
      <c r="M6461">
        <v>0.99994419999999995</v>
      </c>
      <c r="N6461">
        <v>-8.8535490000000005E-3</v>
      </c>
      <c r="O6461">
        <v>-5.7747120000000004E-3</v>
      </c>
      <c r="P6461">
        <v>0.97986070000000003</v>
      </c>
      <c r="Q6461">
        <v>0.17589969999999999</v>
      </c>
      <c r="R6461">
        <v>9.4511440000000002E-2</v>
      </c>
      <c r="S6461">
        <v>3.0852970000000002</v>
      </c>
      <c r="T6461">
        <v>2.1800989999999999E-2</v>
      </c>
      <c r="U6461">
        <v>-0.28564450000000002</v>
      </c>
      <c r="V6461">
        <v>-0.1002695</v>
      </c>
      <c r="W6461">
        <v>0.1845087</v>
      </c>
      <c r="X6461">
        <v>0.97770270000000004</v>
      </c>
      <c r="Y6461">
        <v>8.6437659999999999E-2</v>
      </c>
      <c r="Z6461">
        <v>-1.7046469999999999E-4</v>
      </c>
      <c r="AA6461">
        <v>0.99625719999999995</v>
      </c>
      <c r="AB6461">
        <v>26</v>
      </c>
      <c r="AC6461">
        <v>127.940299999999</v>
      </c>
      <c r="AD6461">
        <v>0.90507700000000002</v>
      </c>
      <c r="AE6461">
        <v>-11.857746000000001</v>
      </c>
      <c r="AF6461">
        <v>11.118149314033801</v>
      </c>
      <c r="AG6461">
        <v>0.90507700000000002</v>
      </c>
      <c r="AH6461">
        <v>128.00029317660901</v>
      </c>
      <c r="AI6461">
        <v>89.596393782732406</v>
      </c>
      <c r="AJ6461">
        <v>85.0357286220936</v>
      </c>
      <c r="AK6461">
        <v>128.485436769476</v>
      </c>
      <c r="AL6461">
        <v>79.367510121437206</v>
      </c>
      <c r="AM6461">
        <v>95.855567043507506</v>
      </c>
      <c r="AN6461">
        <v>1.0000000012966099</v>
      </c>
    </row>
    <row r="6462" spans="1:40" x14ac:dyDescent="0.25">
      <c r="A6462" t="str">
        <f>"20190304154924166"</f>
        <v>20190304154924166</v>
      </c>
      <c r="B6462" t="str">
        <f>"1551685764164045"</f>
        <v>1551685764164045</v>
      </c>
      <c r="C6462" t="s">
        <v>40</v>
      </c>
      <c r="D6462">
        <v>4.4077359999999999</v>
      </c>
      <c r="E6462">
        <v>0.57170540000000003</v>
      </c>
      <c r="F6462" t="s">
        <v>88</v>
      </c>
      <c r="G6462">
        <v>-241.47579999999999</v>
      </c>
      <c r="H6462">
        <v>0.52347179999999904</v>
      </c>
      <c r="I6462">
        <v>4.7175719999999997</v>
      </c>
      <c r="J6462">
        <v>-368.8</v>
      </c>
      <c r="K6462">
        <v>1.1106149999999999</v>
      </c>
      <c r="L6462">
        <v>16.921019999999999</v>
      </c>
      <c r="M6462">
        <v>0.99994559999999999</v>
      </c>
      <c r="N6462">
        <v>-8.8573269999999999E-3</v>
      </c>
      <c r="O6462">
        <v>-5.5235359999999999E-3</v>
      </c>
      <c r="P6462">
        <v>0.97999360000000002</v>
      </c>
      <c r="Q6462">
        <v>0.17515999999999901</v>
      </c>
      <c r="R6462">
        <v>9.4506480000000004E-2</v>
      </c>
      <c r="S6462">
        <v>3.092743</v>
      </c>
      <c r="T6462">
        <v>-1.423907E-2</v>
      </c>
      <c r="U6462">
        <v>-0.29595949999999999</v>
      </c>
      <c r="V6462">
        <v>-0.10000879999999999</v>
      </c>
      <c r="W6462">
        <v>0.18377940000000001</v>
      </c>
      <c r="X6462">
        <v>0.97786680000000004</v>
      </c>
      <c r="Y6462">
        <v>8.9756829999999996E-2</v>
      </c>
      <c r="Z6462">
        <v>-6.2801839999999996E-4</v>
      </c>
      <c r="AA6462">
        <v>0.9959635</v>
      </c>
      <c r="AB6462">
        <v>26</v>
      </c>
      <c r="AC6462">
        <v>127.3242</v>
      </c>
      <c r="AD6462">
        <v>-0.58714319999999998</v>
      </c>
      <c r="AE6462">
        <v>-12.203448</v>
      </c>
      <c r="AF6462">
        <v>11.4997121749184</v>
      </c>
      <c r="AG6462">
        <v>-0.58714319999999998</v>
      </c>
      <c r="AH6462">
        <v>127.386982129807</v>
      </c>
      <c r="AI6462">
        <v>90.263012341446895</v>
      </c>
      <c r="AJ6462">
        <v>84.8416719546682</v>
      </c>
      <c r="AK6462">
        <v>127.906338128269</v>
      </c>
      <c r="AL6462">
        <v>79.410023491164793</v>
      </c>
      <c r="AM6462">
        <v>95.8394746521125</v>
      </c>
      <c r="AN6462">
        <v>1.0000000532420099</v>
      </c>
    </row>
    <row r="6463" spans="1:40" x14ac:dyDescent="0.25">
      <c r="A6463" t="str">
        <f>"20190304154924181"</f>
        <v>20190304154924181</v>
      </c>
      <c r="B6463" t="str">
        <f>"1551685764173805"</f>
        <v>1551685764173805</v>
      </c>
      <c r="C6463" t="s">
        <v>40</v>
      </c>
      <c r="D6463">
        <v>4.4512890000000001</v>
      </c>
      <c r="E6463">
        <v>0.57190050000000003</v>
      </c>
      <c r="F6463" t="s">
        <v>45</v>
      </c>
      <c r="G6463">
        <v>-261.41559999999998</v>
      </c>
      <c r="H6463">
        <v>-0.05</v>
      </c>
      <c r="I6463">
        <v>6.8122100000000003</v>
      </c>
      <c r="J6463">
        <v>-368.64120000000003</v>
      </c>
      <c r="K6463">
        <v>1.110598</v>
      </c>
      <c r="L6463">
        <v>16.920349999999999</v>
      </c>
      <c r="M6463">
        <v>0.99994649999999996</v>
      </c>
      <c r="N6463">
        <v>-8.8602500000000001E-3</v>
      </c>
      <c r="O6463">
        <v>-5.3513399999999996E-3</v>
      </c>
      <c r="P6463">
        <v>0.98013749999999999</v>
      </c>
      <c r="Q6463">
        <v>0.17426059999999999</v>
      </c>
      <c r="R6463">
        <v>9.4676899999999994E-2</v>
      </c>
      <c r="S6463">
        <v>3.0953059999999999</v>
      </c>
      <c r="T6463">
        <v>-3.345418E-2</v>
      </c>
      <c r="U6463">
        <v>-0.29138180000000002</v>
      </c>
      <c r="V6463">
        <v>-0.1000038</v>
      </c>
      <c r="W6463">
        <v>0.18288789999999999</v>
      </c>
      <c r="X6463">
        <v>0.97803439999999997</v>
      </c>
      <c r="Y6463">
        <v>8.8383639999999999E-2</v>
      </c>
      <c r="Z6463">
        <v>-8.5861110000000004E-4</v>
      </c>
      <c r="AA6463">
        <v>0.99608609999999997</v>
      </c>
      <c r="AB6463">
        <v>26</v>
      </c>
      <c r="AC6463">
        <v>107.2256</v>
      </c>
      <c r="AD6463">
        <v>-1.160598</v>
      </c>
      <c r="AE6463">
        <v>-10.108140000000001</v>
      </c>
      <c r="AF6463">
        <v>9.5330651064528897</v>
      </c>
      <c r="AG6463">
        <v>-1.160598</v>
      </c>
      <c r="AH6463">
        <v>107.26570259427299</v>
      </c>
      <c r="AI6463">
        <v>90.617473551776001</v>
      </c>
      <c r="AJ6463">
        <v>84.921274002926495</v>
      </c>
      <c r="AK6463">
        <v>107.694741148695</v>
      </c>
      <c r="AL6463">
        <v>79.461982959351104</v>
      </c>
      <c r="AM6463">
        <v>95.838191007071202</v>
      </c>
      <c r="AN6463">
        <v>1.0000000157821001</v>
      </c>
    </row>
    <row r="6464" spans="1:40" x14ac:dyDescent="0.25">
      <c r="A6464" t="str">
        <f>"20190304154924196"</f>
        <v>20190304154924196</v>
      </c>
      <c r="B6464" t="str">
        <f>"1551685764183342"</f>
        <v>1551685764183342</v>
      </c>
      <c r="C6464" t="s">
        <v>40</v>
      </c>
      <c r="D6464">
        <v>4.4879790000000002</v>
      </c>
      <c r="E6464">
        <v>0.57228610000000002</v>
      </c>
      <c r="F6464" t="s">
        <v>45</v>
      </c>
      <c r="G6464">
        <v>-279.04599999999999</v>
      </c>
      <c r="H6464">
        <v>-0.05</v>
      </c>
      <c r="I6464">
        <v>8.4487459999999999</v>
      </c>
      <c r="J6464">
        <v>-368.46800000000002</v>
      </c>
      <c r="K6464">
        <v>1.110579</v>
      </c>
      <c r="L6464">
        <v>16.919650000000001</v>
      </c>
      <c r="M6464">
        <v>0.99994740000000004</v>
      </c>
      <c r="N6464">
        <v>-8.8634709999999995E-3</v>
      </c>
      <c r="O6464">
        <v>-5.1773729999999999E-3</v>
      </c>
      <c r="P6464">
        <v>0.98017379999999998</v>
      </c>
      <c r="Q6464">
        <v>0.17394509999999999</v>
      </c>
      <c r="R6464">
        <v>9.4881679999999996E-2</v>
      </c>
      <c r="S6464">
        <v>3.0961609999999999</v>
      </c>
      <c r="T6464">
        <v>-4.0107009999999998E-2</v>
      </c>
      <c r="U6464">
        <v>-0.29275509999999999</v>
      </c>
      <c r="V6464">
        <v>-0.1000306</v>
      </c>
      <c r="W6464">
        <v>0.1825804</v>
      </c>
      <c r="X6464">
        <v>0.97808910000000004</v>
      </c>
      <c r="Y6464">
        <v>8.896606E-2</v>
      </c>
      <c r="Z6464">
        <v>-9.4898499999999995E-4</v>
      </c>
      <c r="AA6464">
        <v>0.99603419999999998</v>
      </c>
      <c r="AB6464">
        <v>26</v>
      </c>
      <c r="AC6464">
        <v>89.421999999999997</v>
      </c>
      <c r="AD6464">
        <v>-1.160579</v>
      </c>
      <c r="AE6464">
        <v>-8.4709039999999902</v>
      </c>
      <c r="AF6464">
        <v>8.0064646001262396</v>
      </c>
      <c r="AG6464">
        <v>-1.160579</v>
      </c>
      <c r="AH6464">
        <v>89.449726720720193</v>
      </c>
      <c r="AI6464">
        <v>90.740391400472404</v>
      </c>
      <c r="AJ6464">
        <v>84.885200669308901</v>
      </c>
      <c r="AK6464">
        <v>89.814831901083295</v>
      </c>
      <c r="AL6464">
        <v>79.479903035213695</v>
      </c>
      <c r="AM6464">
        <v>95.839420438257093</v>
      </c>
      <c r="AN6464">
        <v>1.0000000054696601</v>
      </c>
    </row>
    <row r="6465" spans="1:40" x14ac:dyDescent="0.25">
      <c r="A6465" t="str">
        <f>"20190304154924213"</f>
        <v>20190304154924213</v>
      </c>
      <c r="B6465" t="str">
        <f>"1551685764203838"</f>
        <v>1551685764203838</v>
      </c>
      <c r="C6465" t="s">
        <v>40</v>
      </c>
      <c r="D6465">
        <v>4.4484709999999996</v>
      </c>
      <c r="E6465">
        <v>0.57230599999999998</v>
      </c>
      <c r="F6465" t="s">
        <v>45</v>
      </c>
      <c r="G6465">
        <v>-288.77910000000003</v>
      </c>
      <c r="H6465">
        <v>-0.05</v>
      </c>
      <c r="I6465">
        <v>9.3198699999999999</v>
      </c>
      <c r="J6465">
        <v>-368.26310000000001</v>
      </c>
      <c r="K6465">
        <v>1.11056</v>
      </c>
      <c r="L6465">
        <v>16.918789999999898</v>
      </c>
      <c r="M6465">
        <v>0.99994830000000001</v>
      </c>
      <c r="N6465">
        <v>-8.8672819999999902E-3</v>
      </c>
      <c r="O6465">
        <v>-4.9937840000000002E-3</v>
      </c>
      <c r="P6465">
        <v>0.98011400000000004</v>
      </c>
      <c r="Q6465">
        <v>0.17419789999999999</v>
      </c>
      <c r="R6465">
        <v>9.5035369999999994E-2</v>
      </c>
      <c r="S6465">
        <v>3.0972599999999999</v>
      </c>
      <c r="T6465">
        <v>-4.5108080000000002E-2</v>
      </c>
      <c r="U6465">
        <v>-0.29537960000000002</v>
      </c>
      <c r="V6465">
        <v>-9.999487E-2</v>
      </c>
      <c r="W6465">
        <v>0.18284149999999999</v>
      </c>
      <c r="X6465">
        <v>0.97804400000000002</v>
      </c>
      <c r="Y6465">
        <v>8.994953E-2</v>
      </c>
      <c r="Z6465">
        <v>-1.0248659999999999E-3</v>
      </c>
      <c r="AA6465">
        <v>0.99594579999999999</v>
      </c>
      <c r="AB6465">
        <v>26</v>
      </c>
      <c r="AC6465">
        <v>79.483999999999895</v>
      </c>
      <c r="AD6465">
        <v>-1.16056</v>
      </c>
      <c r="AE6465">
        <v>-7.5989199999999899</v>
      </c>
      <c r="AF6465">
        <v>7.2003625684147803</v>
      </c>
      <c r="AG6465">
        <v>-1.16056</v>
      </c>
      <c r="AH6465">
        <v>79.504161365516396</v>
      </c>
      <c r="AI6465">
        <v>90.832905943246104</v>
      </c>
      <c r="AJ6465">
        <v>84.825076311622496</v>
      </c>
      <c r="AK6465">
        <v>79.837984663093195</v>
      </c>
      <c r="AL6465">
        <v>79.464687200106695</v>
      </c>
      <c r="AM6465">
        <v>95.837616372998795</v>
      </c>
      <c r="AN6465">
        <v>1.00000002704228</v>
      </c>
    </row>
    <row r="6466" spans="1:40" x14ac:dyDescent="0.25">
      <c r="A6466" t="str">
        <f>"20190304154924235"</f>
        <v>20190304154924235</v>
      </c>
      <c r="B6466" t="str">
        <f>"1551685764223358"</f>
        <v>1551685764223358</v>
      </c>
      <c r="C6466" t="s">
        <v>40</v>
      </c>
      <c r="D6466">
        <v>4.5066699999999997</v>
      </c>
      <c r="E6466">
        <v>0.57243159999999904</v>
      </c>
      <c r="F6466" t="s">
        <v>45</v>
      </c>
      <c r="G6466">
        <v>-294.4117</v>
      </c>
      <c r="H6466">
        <v>-0.05</v>
      </c>
      <c r="I6466">
        <v>9.8763430000000003</v>
      </c>
      <c r="J6466">
        <v>-368.00639999999999</v>
      </c>
      <c r="K6466">
        <v>1.1105309999999999</v>
      </c>
      <c r="L6466">
        <v>16.917760000000001</v>
      </c>
      <c r="M6466">
        <v>0.99994919999999998</v>
      </c>
      <c r="N6466">
        <v>-8.8720029999999998E-3</v>
      </c>
      <c r="O6466">
        <v>-4.795934E-3</v>
      </c>
      <c r="P6466">
        <v>0.9800934</v>
      </c>
      <c r="Q6466">
        <v>0.17421970000000001</v>
      </c>
      <c r="R6466">
        <v>9.5208710000000002E-2</v>
      </c>
      <c r="S6466">
        <v>3.0981749999999999</v>
      </c>
      <c r="T6466">
        <v>-4.8687220000000003E-2</v>
      </c>
      <c r="U6466">
        <v>-0.2954407</v>
      </c>
      <c r="V6466">
        <v>-9.9963949999999996E-2</v>
      </c>
      <c r="W6466">
        <v>0.1828738</v>
      </c>
      <c r="X6466">
        <v>0.9780411</v>
      </c>
      <c r="Y6466">
        <v>9.0136190000000005E-2</v>
      </c>
      <c r="Z6466">
        <v>-1.074654E-3</v>
      </c>
      <c r="AA6466">
        <v>0.99592890000000001</v>
      </c>
      <c r="AB6466">
        <v>26</v>
      </c>
      <c r="AC6466">
        <v>73.594699999999904</v>
      </c>
      <c r="AD6466">
        <v>-1.160531</v>
      </c>
      <c r="AE6466">
        <v>-7.041417</v>
      </c>
      <c r="AF6466">
        <v>6.68671912662826</v>
      </c>
      <c r="AG6466">
        <v>-1.160531</v>
      </c>
      <c r="AH6466">
        <v>73.609486750537798</v>
      </c>
      <c r="AI6466">
        <v>90.899550106878095</v>
      </c>
      <c r="AJ6466">
        <v>84.809471540018194</v>
      </c>
      <c r="AK6466">
        <v>73.921685482393997</v>
      </c>
      <c r="AL6466">
        <v>79.4628045803139</v>
      </c>
      <c r="AM6466">
        <v>95.835840934203205</v>
      </c>
      <c r="AN6466">
        <v>1.0000000056576199</v>
      </c>
    </row>
    <row r="6467" spans="1:40" x14ac:dyDescent="0.25">
      <c r="A6467" t="str">
        <f>"20190304154924248"</f>
        <v>20190304154924248</v>
      </c>
      <c r="B6467" t="str">
        <f>"1551685764243854"</f>
        <v>1551685764243854</v>
      </c>
      <c r="C6467" t="s">
        <v>40</v>
      </c>
      <c r="D6467">
        <v>4.4877830000000003</v>
      </c>
      <c r="E6467">
        <v>0.57257040000000003</v>
      </c>
      <c r="F6467" t="s">
        <v>45</v>
      </c>
      <c r="G6467">
        <v>-297.65539999999999</v>
      </c>
      <c r="H6467">
        <v>-0.05</v>
      </c>
      <c r="I6467">
        <v>10.19519</v>
      </c>
      <c r="J6467">
        <v>-367.84530000000001</v>
      </c>
      <c r="K6467">
        <v>1.110514</v>
      </c>
      <c r="L6467">
        <v>16.917110000000001</v>
      </c>
      <c r="M6467">
        <v>0.99994970000000005</v>
      </c>
      <c r="N6467">
        <v>-8.8749580000000005E-3</v>
      </c>
      <c r="O6467">
        <v>-4.6867810000000001E-3</v>
      </c>
      <c r="P6467">
        <v>0.98010629999999999</v>
      </c>
      <c r="Q6467">
        <v>0.17406549999999901</v>
      </c>
      <c r="R6467">
        <v>9.5356490000000002E-2</v>
      </c>
      <c r="S6467">
        <v>3.0987849999999999</v>
      </c>
      <c r="T6467">
        <v>-5.1118490000000003E-2</v>
      </c>
      <c r="U6467">
        <v>-0.29611209999999999</v>
      </c>
      <c r="V6467">
        <v>-9.9997970000000005E-2</v>
      </c>
      <c r="W6467">
        <v>0.1827261</v>
      </c>
      <c r="X6467">
        <v>0.97806519999999997</v>
      </c>
      <c r="Y6467">
        <v>9.0438729999999995E-2</v>
      </c>
      <c r="Z6467">
        <v>-1.110862E-3</v>
      </c>
      <c r="AA6467">
        <v>0.99590140000000005</v>
      </c>
      <c r="AB6467">
        <v>26</v>
      </c>
      <c r="AC6467">
        <v>70.189899999999994</v>
      </c>
      <c r="AD6467">
        <v>-1.160514</v>
      </c>
      <c r="AE6467">
        <v>-6.7219199999999999</v>
      </c>
      <c r="AF6467">
        <v>6.3911372735953096</v>
      </c>
      <c r="AG6467">
        <v>-1.160514</v>
      </c>
      <c r="AH6467">
        <v>70.2016178121617</v>
      </c>
      <c r="AI6467">
        <v>90.943179416780097</v>
      </c>
      <c r="AJ6467">
        <v>84.798146701383999</v>
      </c>
      <c r="AK6467">
        <v>70.501493401480204</v>
      </c>
      <c r="AL6467">
        <v>79.471411915463605</v>
      </c>
      <c r="AM6467">
        <v>95.8376704355626</v>
      </c>
      <c r="AN6467">
        <v>0.99999997853818501</v>
      </c>
    </row>
    <row r="6468" spans="1:40" x14ac:dyDescent="0.25">
      <c r="A6468" t="str">
        <f>"20190304154924261"</f>
        <v>20190304154924261</v>
      </c>
      <c r="B6468" t="str">
        <f>"1551685764253614"</f>
        <v>1551685764253614</v>
      </c>
      <c r="C6468" t="s">
        <v>40</v>
      </c>
      <c r="D6468">
        <v>4.3447230000000001</v>
      </c>
      <c r="E6468">
        <v>0.57275969999999998</v>
      </c>
      <c r="F6468" t="s">
        <v>45</v>
      </c>
      <c r="G6468">
        <v>-301.34480000000002</v>
      </c>
      <c r="H6468">
        <v>-0.05</v>
      </c>
      <c r="I6468">
        <v>10.54927</v>
      </c>
      <c r="J6468">
        <v>-367.70089999999999</v>
      </c>
      <c r="K6468">
        <v>1.1104989999999999</v>
      </c>
      <c r="L6468">
        <v>16.916529999999899</v>
      </c>
      <c r="M6468">
        <v>0.99995009999999995</v>
      </c>
      <c r="N6468">
        <v>-8.8776050000000002E-3</v>
      </c>
      <c r="O6468">
        <v>-4.6003720000000001E-3</v>
      </c>
      <c r="P6468">
        <v>0.98012750000000004</v>
      </c>
      <c r="Q6468">
        <v>0.17375270000000001</v>
      </c>
      <c r="R6468">
        <v>9.5709320000000001E-2</v>
      </c>
      <c r="S6468">
        <v>3.0993650000000001</v>
      </c>
      <c r="T6468">
        <v>-5.4087639999999999E-2</v>
      </c>
      <c r="U6468">
        <v>-0.29678339999999998</v>
      </c>
      <c r="V6468">
        <v>-0.10026119999999999</v>
      </c>
      <c r="W6468">
        <v>0.1824191</v>
      </c>
      <c r="X6468">
        <v>0.97809559999999995</v>
      </c>
      <c r="Y6468">
        <v>9.0719049999999996E-2</v>
      </c>
      <c r="Z6468">
        <v>-1.1540299999999999E-3</v>
      </c>
      <c r="AA6468">
        <v>0.99587579999999998</v>
      </c>
      <c r="AB6468">
        <v>26</v>
      </c>
      <c r="AC6468">
        <v>66.356099999999898</v>
      </c>
      <c r="AD6468">
        <v>-1.1604989999999999</v>
      </c>
      <c r="AE6468">
        <v>-6.3672599999999901</v>
      </c>
      <c r="AF6468">
        <v>6.0600812232039196</v>
      </c>
      <c r="AG6468">
        <v>-1.1604989999999999</v>
      </c>
      <c r="AH6468">
        <v>66.364577380040004</v>
      </c>
      <c r="AI6468">
        <v>90.997663342984296</v>
      </c>
      <c r="AJ6468">
        <v>84.782505827249096</v>
      </c>
      <c r="AK6468">
        <v>66.650794992949201</v>
      </c>
      <c r="AL6468">
        <v>79.489302852574497</v>
      </c>
      <c r="AM6468">
        <v>95.852750053804399</v>
      </c>
      <c r="AN6468">
        <v>1.0000000195048</v>
      </c>
    </row>
    <row r="6469" spans="1:40" x14ac:dyDescent="0.25">
      <c r="A6469" t="str">
        <f>"20190304154924278"</f>
        <v>20190304154924278</v>
      </c>
      <c r="B6469" t="str">
        <f>"1551685764274110"</f>
        <v>1551685764274110</v>
      </c>
      <c r="C6469" t="s">
        <v>40</v>
      </c>
      <c r="D6469">
        <v>4.4644629999999896</v>
      </c>
      <c r="E6469">
        <v>0.57291559999999997</v>
      </c>
      <c r="F6469" t="s">
        <v>45</v>
      </c>
      <c r="G6469">
        <v>-299.60180000000003</v>
      </c>
      <c r="H6469">
        <v>-0.05</v>
      </c>
      <c r="I6469">
        <v>10.383240000000001</v>
      </c>
      <c r="J6469">
        <v>-367.49709999999999</v>
      </c>
      <c r="K6469">
        <v>1.110482</v>
      </c>
      <c r="L6469">
        <v>16.915710000000001</v>
      </c>
      <c r="M6469">
        <v>0.99995049999999996</v>
      </c>
      <c r="N6469">
        <v>-8.8813490000000002E-3</v>
      </c>
      <c r="O6469">
        <v>-4.4931570000000002E-3</v>
      </c>
      <c r="P6469">
        <v>0.98028090000000001</v>
      </c>
      <c r="Q6469">
        <v>0.17253869999999999</v>
      </c>
      <c r="R6469">
        <v>9.6333279999999993E-2</v>
      </c>
      <c r="S6469">
        <v>3.0992130000000002</v>
      </c>
      <c r="T6469">
        <v>-5.2814720000000002E-2</v>
      </c>
      <c r="U6469">
        <v>-0.29733280000000001</v>
      </c>
      <c r="V6469">
        <v>-0.1007733</v>
      </c>
      <c r="W6469">
        <v>0.18121399999999999</v>
      </c>
      <c r="X6469">
        <v>0.978267</v>
      </c>
      <c r="Y6469">
        <v>9.1006089999999998E-2</v>
      </c>
      <c r="Z6469">
        <v>-1.1421389999999999E-3</v>
      </c>
      <c r="AA6469">
        <v>0.99584969999999995</v>
      </c>
      <c r="AB6469">
        <v>26</v>
      </c>
      <c r="AC6469">
        <v>67.895299999999907</v>
      </c>
      <c r="AD6469">
        <v>-1.160482</v>
      </c>
      <c r="AE6469">
        <v>-6.53247</v>
      </c>
      <c r="AF6469">
        <v>6.22552572032789</v>
      </c>
      <c r="AG6469">
        <v>-1.160482</v>
      </c>
      <c r="AH6469">
        <v>67.904311262119904</v>
      </c>
      <c r="AI6469">
        <v>90.974999048772503</v>
      </c>
      <c r="AJ6469">
        <v>84.761717437165501</v>
      </c>
      <c r="AK6469">
        <v>68.198969031427893</v>
      </c>
      <c r="AL6469">
        <v>79.559520648250299</v>
      </c>
      <c r="AM6469">
        <v>95.881411382301494</v>
      </c>
      <c r="AN6469">
        <v>1.0000000475389399</v>
      </c>
    </row>
    <row r="6470" spans="1:40" x14ac:dyDescent="0.25">
      <c r="A6470" t="str">
        <f>"20190304154924290"</f>
        <v>20190304154924290</v>
      </c>
      <c r="B6470" t="str">
        <f>"1551685764283870"</f>
        <v>1551685764283870</v>
      </c>
      <c r="C6470" t="s">
        <v>40</v>
      </c>
      <c r="D6470">
        <v>4.4971920000000001</v>
      </c>
      <c r="E6470">
        <v>0.57287569999999999</v>
      </c>
      <c r="F6470" t="s">
        <v>45</v>
      </c>
      <c r="G6470">
        <v>-304.18239999999997</v>
      </c>
      <c r="H6470">
        <v>-0.05</v>
      </c>
      <c r="I6470">
        <v>10.85516</v>
      </c>
      <c r="J6470">
        <v>-367.34969999999998</v>
      </c>
      <c r="K6470">
        <v>1.1104689999999999</v>
      </c>
      <c r="L6470">
        <v>16.91516</v>
      </c>
      <c r="M6470">
        <v>0.99995080000000003</v>
      </c>
      <c r="N6470">
        <v>-8.8840689999999996E-3</v>
      </c>
      <c r="O6470">
        <v>-4.4269009999999996E-3</v>
      </c>
      <c r="P6470">
        <v>0.98034540000000003</v>
      </c>
      <c r="Q6470">
        <v>0.17191400000000001</v>
      </c>
      <c r="R6470">
        <v>9.6792429999999999E-2</v>
      </c>
      <c r="S6470">
        <v>3.099548</v>
      </c>
      <c r="T6470">
        <v>-5.6810979999999997E-2</v>
      </c>
      <c r="U6470">
        <v>-0.29669190000000001</v>
      </c>
      <c r="V6470">
        <v>-0.1011624</v>
      </c>
      <c r="W6470">
        <v>0.18059549999999999</v>
      </c>
      <c r="X6470">
        <v>0.97834120000000002</v>
      </c>
      <c r="Y6470">
        <v>9.0855290000000005E-2</v>
      </c>
      <c r="Z6470">
        <v>-1.1935239999999901E-3</v>
      </c>
      <c r="AA6470">
        <v>0.99586339999999995</v>
      </c>
      <c r="AB6470">
        <v>26</v>
      </c>
      <c r="AC6470">
        <v>63.167299999999997</v>
      </c>
      <c r="AD6470">
        <v>-1.160469</v>
      </c>
      <c r="AE6470">
        <v>-6.06</v>
      </c>
      <c r="AF6470">
        <v>5.7783617624462202</v>
      </c>
      <c r="AG6470">
        <v>-1.160469</v>
      </c>
      <c r="AH6470">
        <v>63.172382403579803</v>
      </c>
      <c r="AI6470">
        <v>91.048024005912097</v>
      </c>
      <c r="AJ6470">
        <v>84.773712849411297</v>
      </c>
      <c r="AK6470">
        <v>63.446718209075101</v>
      </c>
      <c r="AL6470">
        <v>79.5955524564596</v>
      </c>
      <c r="AM6470">
        <v>95.903515633341698</v>
      </c>
      <c r="AN6470">
        <v>1.0000000347057201</v>
      </c>
    </row>
    <row r="6471" spans="1:40" x14ac:dyDescent="0.25">
      <c r="A6471" t="str">
        <f>"20190304154924302"</f>
        <v>20190304154924302</v>
      </c>
      <c r="B6471" t="str">
        <f>"1551685764293630"</f>
        <v>1551685764293630</v>
      </c>
      <c r="C6471" t="s">
        <v>40</v>
      </c>
      <c r="D6471">
        <v>4.4972799999999999</v>
      </c>
      <c r="E6471">
        <v>0.5729052</v>
      </c>
      <c r="F6471" t="s">
        <v>45</v>
      </c>
      <c r="G6471">
        <v>-307.6617</v>
      </c>
      <c r="H6471">
        <v>-0.05</v>
      </c>
      <c r="I6471">
        <v>11.231579999999999</v>
      </c>
      <c r="J6471">
        <v>-367.21640000000002</v>
      </c>
      <c r="K6471">
        <v>1.1104590000000001</v>
      </c>
      <c r="L6471">
        <v>16.91461</v>
      </c>
      <c r="M6471">
        <v>0.99995100000000003</v>
      </c>
      <c r="N6471">
        <v>-8.8865279999999994E-3</v>
      </c>
      <c r="O6471">
        <v>-4.3810189999999999E-3</v>
      </c>
      <c r="P6471">
        <v>0.98030499999999998</v>
      </c>
      <c r="Q6471">
        <v>0.17193510000000001</v>
      </c>
      <c r="R6471">
        <v>9.7162570000000004E-2</v>
      </c>
      <c r="S6471">
        <v>3.0997919999999999</v>
      </c>
      <c r="T6471">
        <v>-6.0266970000000003E-2</v>
      </c>
      <c r="U6471">
        <v>-0.29516599999999998</v>
      </c>
      <c r="V6471">
        <v>-0.1014824</v>
      </c>
      <c r="W6471">
        <v>0.1806217</v>
      </c>
      <c r="X6471">
        <v>0.97830320000000004</v>
      </c>
      <c r="Y6471">
        <v>9.0405579999999999E-2</v>
      </c>
      <c r="Z6471">
        <v>-1.2333170000000001E-3</v>
      </c>
      <c r="AA6471">
        <v>0.99590429999999996</v>
      </c>
      <c r="AB6471">
        <v>26</v>
      </c>
      <c r="AC6471">
        <v>59.554699999999997</v>
      </c>
      <c r="AD6471">
        <v>-1.1604589999999999</v>
      </c>
      <c r="AE6471">
        <v>-5.6830299999999898</v>
      </c>
      <c r="AF6471">
        <v>5.4200155564125296</v>
      </c>
      <c r="AG6471">
        <v>-1.1604589999999999</v>
      </c>
      <c r="AH6471">
        <v>59.556617957986198</v>
      </c>
      <c r="AI6471">
        <v>91.111672528288693</v>
      </c>
      <c r="AJ6471">
        <v>84.800058462492302</v>
      </c>
      <c r="AK6471">
        <v>59.813994819907897</v>
      </c>
      <c r="AL6471">
        <v>79.594025985677504</v>
      </c>
      <c r="AM6471">
        <v>95.922285700048207</v>
      </c>
      <c r="AN6471">
        <v>1.0000000135754401</v>
      </c>
    </row>
    <row r="6472" spans="1:40" x14ac:dyDescent="0.25">
      <c r="A6472" t="str">
        <f>"20190304154924314"</f>
        <v>20190304154924314</v>
      </c>
      <c r="B6472" t="str">
        <f>"1551685764303390"</f>
        <v>1551685764303390</v>
      </c>
      <c r="C6472" t="s">
        <v>40</v>
      </c>
      <c r="D6472">
        <v>4.4647449999999997</v>
      </c>
      <c r="E6472">
        <v>0.5728896</v>
      </c>
      <c r="F6472" t="s">
        <v>45</v>
      </c>
      <c r="G6472">
        <v>-308.20659999999998</v>
      </c>
      <c r="H6472">
        <v>-0.05</v>
      </c>
      <c r="I6472">
        <v>11.31366</v>
      </c>
      <c r="J6472">
        <v>-367.0729</v>
      </c>
      <c r="K6472">
        <v>1.1104499999999999</v>
      </c>
      <c r="L6472">
        <v>16.914059999999999</v>
      </c>
      <c r="M6472">
        <v>0.99995120000000004</v>
      </c>
      <c r="N6472">
        <v>-8.8891850000000008E-3</v>
      </c>
      <c r="O6472">
        <v>-4.3362210000000003E-3</v>
      </c>
      <c r="P6472">
        <v>0.98025720000000005</v>
      </c>
      <c r="Q6472">
        <v>0.17202000000000001</v>
      </c>
      <c r="R6472">
        <v>9.7494059999999994E-2</v>
      </c>
      <c r="S6472">
        <v>3.1001280000000002</v>
      </c>
      <c r="T6472">
        <v>-6.0965659999999998E-2</v>
      </c>
      <c r="U6472">
        <v>-0.29425050000000003</v>
      </c>
      <c r="V6472">
        <v>-0.1017643</v>
      </c>
      <c r="W6472">
        <v>0.18071180000000001</v>
      </c>
      <c r="X6472">
        <v>0.9782573</v>
      </c>
      <c r="Y6472">
        <v>9.0148149999999996E-2</v>
      </c>
      <c r="Z6472">
        <v>-1.239357E-3</v>
      </c>
      <c r="AA6472">
        <v>0.99592760000000002</v>
      </c>
      <c r="AB6472">
        <v>26</v>
      </c>
      <c r="AC6472">
        <v>58.866300000000003</v>
      </c>
      <c r="AD6472">
        <v>-1.16045</v>
      </c>
      <c r="AE6472">
        <v>-5.6003999999999898</v>
      </c>
      <c r="AF6472">
        <v>5.3430222479471698</v>
      </c>
      <c r="AG6472">
        <v>-1.16045</v>
      </c>
      <c r="AH6472">
        <v>58.8673605302589</v>
      </c>
      <c r="AI6472">
        <v>91.124701233970598</v>
      </c>
      <c r="AJ6472">
        <v>84.813830504885601</v>
      </c>
      <c r="AK6472">
        <v>59.120729585687997</v>
      </c>
      <c r="AL6472">
        <v>79.588777503268304</v>
      </c>
      <c r="AM6472">
        <v>95.938895993984204</v>
      </c>
      <c r="AN6472">
        <v>1.0000000362085</v>
      </c>
    </row>
    <row r="6473" spans="1:40" x14ac:dyDescent="0.25">
      <c r="A6473" t="str">
        <f>"20190304154924325"</f>
        <v>20190304154924325</v>
      </c>
      <c r="B6473" t="str">
        <f>"1551685764314126"</f>
        <v>1551685764314126</v>
      </c>
      <c r="C6473" t="s">
        <v>40</v>
      </c>
      <c r="D6473">
        <v>4.4768350000000003</v>
      </c>
      <c r="E6473">
        <v>0.57280559999999903</v>
      </c>
      <c r="F6473" t="s">
        <v>45</v>
      </c>
      <c r="G6473">
        <v>-308.43290000000002</v>
      </c>
      <c r="H6473">
        <v>-0.05</v>
      </c>
      <c r="I6473">
        <v>11.36711</v>
      </c>
      <c r="J6473">
        <v>-366.93150000000003</v>
      </c>
      <c r="K6473">
        <v>1.110439</v>
      </c>
      <c r="L6473">
        <v>16.91348</v>
      </c>
      <c r="M6473">
        <v>0.99995109999999998</v>
      </c>
      <c r="N6473">
        <v>-8.8918160000000003E-3</v>
      </c>
      <c r="O6473">
        <v>-4.3050160000000001E-3</v>
      </c>
      <c r="P6473">
        <v>0.98019000000000001</v>
      </c>
      <c r="Q6473">
        <v>0.1722832</v>
      </c>
      <c r="R6473">
        <v>9.7704159999999998E-2</v>
      </c>
      <c r="S6473">
        <v>3.1003720000000001</v>
      </c>
      <c r="T6473">
        <v>-6.1354520000000003E-2</v>
      </c>
      <c r="U6473">
        <v>-0.29327389999999998</v>
      </c>
      <c r="V6473">
        <v>-0.1019383</v>
      </c>
      <c r="W6473">
        <v>0.18098</v>
      </c>
      <c r="X6473">
        <v>0.97818959999999999</v>
      </c>
      <c r="Y6473">
        <v>8.9860739999999995E-2</v>
      </c>
      <c r="Z6473">
        <v>-1.240749E-3</v>
      </c>
      <c r="AA6473">
        <v>0.99595359999999999</v>
      </c>
      <c r="AB6473">
        <v>26</v>
      </c>
      <c r="AC6473">
        <v>58.498600000000003</v>
      </c>
      <c r="AD6473">
        <v>-1.160439</v>
      </c>
      <c r="AE6473">
        <v>-5.5463699999999996</v>
      </c>
      <c r="AF6473">
        <v>5.2924071586221499</v>
      </c>
      <c r="AG6473">
        <v>-1.160439</v>
      </c>
      <c r="AH6473">
        <v>58.499121241202303</v>
      </c>
      <c r="AI6473">
        <v>91.131798310985801</v>
      </c>
      <c r="AJ6473">
        <v>84.8305320231118</v>
      </c>
      <c r="AK6473">
        <v>58.749496833575002</v>
      </c>
      <c r="AL6473">
        <v>79.573153145039797</v>
      </c>
      <c r="AM6473">
        <v>95.949386527448397</v>
      </c>
      <c r="AN6473">
        <v>1.00000003547752</v>
      </c>
    </row>
    <row r="6474" spans="1:40" x14ac:dyDescent="0.25">
      <c r="A6474" t="str">
        <f>"20190304154924338"</f>
        <v>20190304154924338</v>
      </c>
      <c r="B6474" t="str">
        <f>"1551685764333646"</f>
        <v>1551685764333646</v>
      </c>
      <c r="C6474" t="s">
        <v>40</v>
      </c>
      <c r="D6474">
        <v>4.5895859999999997</v>
      </c>
      <c r="E6474">
        <v>0.57270120000000002</v>
      </c>
      <c r="F6474" t="s">
        <v>45</v>
      </c>
      <c r="G6474">
        <v>-308.82560000000001</v>
      </c>
      <c r="H6474">
        <v>-0.05</v>
      </c>
      <c r="I6474">
        <v>11.444380000000001</v>
      </c>
      <c r="J6474">
        <v>-366.79790000000003</v>
      </c>
      <c r="K6474">
        <v>1.1104290000000001</v>
      </c>
      <c r="L6474">
        <v>16.912929999999999</v>
      </c>
      <c r="M6474">
        <v>0.99995129999999999</v>
      </c>
      <c r="N6474">
        <v>-8.8943119999999997E-3</v>
      </c>
      <c r="O6474">
        <v>-4.282264E-3</v>
      </c>
      <c r="P6474">
        <v>0.98012670000000002</v>
      </c>
      <c r="Q6474">
        <v>0.17241289999999901</v>
      </c>
      <c r="R6474">
        <v>9.8109979999999999E-2</v>
      </c>
      <c r="S6474">
        <v>3.100616</v>
      </c>
      <c r="T6474">
        <v>-6.1922789999999998E-2</v>
      </c>
      <c r="U6474">
        <v>-0.29183959999999998</v>
      </c>
      <c r="V6474">
        <v>-0.1023163</v>
      </c>
      <c r="W6474">
        <v>0.1811141</v>
      </c>
      <c r="X6474">
        <v>0.97812529999999998</v>
      </c>
      <c r="Y6474">
        <v>8.9419120000000005E-2</v>
      </c>
      <c r="Z6474">
        <v>-1.2421299999999999E-3</v>
      </c>
      <c r="AA6474">
        <v>0.99599329999999997</v>
      </c>
      <c r="AB6474">
        <v>26</v>
      </c>
      <c r="AC6474">
        <v>57.972299999999997</v>
      </c>
      <c r="AD6474">
        <v>-1.1604289999999999</v>
      </c>
      <c r="AE6474">
        <v>-5.4685499999999898</v>
      </c>
      <c r="AF6474">
        <v>5.2181649816199602</v>
      </c>
      <c r="AG6474">
        <v>-1.1604289999999999</v>
      </c>
      <c r="AH6474">
        <v>57.972163779002301</v>
      </c>
      <c r="AI6474">
        <v>91.142120459901903</v>
      </c>
      <c r="AJ6474">
        <v>84.856578343760404</v>
      </c>
      <c r="AK6474">
        <v>58.218103837714501</v>
      </c>
      <c r="AL6474">
        <v>79.5653405386999</v>
      </c>
      <c r="AM6474">
        <v>95.971678195944904</v>
      </c>
      <c r="AN6474">
        <v>1.00000002248229</v>
      </c>
    </row>
    <row r="6475" spans="1:40" x14ac:dyDescent="0.25">
      <c r="A6475" t="str">
        <f>"20190304154924351"</f>
        <v>20190304154924351</v>
      </c>
      <c r="B6475" t="str">
        <f>"1551685764343406"</f>
        <v>1551685764343406</v>
      </c>
      <c r="C6475" t="s">
        <v>40</v>
      </c>
      <c r="D6475">
        <v>4.496251</v>
      </c>
      <c r="E6475">
        <v>0.57271930000000004</v>
      </c>
      <c r="F6475" t="s">
        <v>45</v>
      </c>
      <c r="G6475">
        <v>-310.48439999999999</v>
      </c>
      <c r="H6475">
        <v>-0.05</v>
      </c>
      <c r="I6475">
        <v>11.64935</v>
      </c>
      <c r="J6475">
        <v>-366.63279999999997</v>
      </c>
      <c r="K6475">
        <v>1.1104130000000001</v>
      </c>
      <c r="L6475">
        <v>16.91226</v>
      </c>
      <c r="M6475">
        <v>0.99995140000000005</v>
      </c>
      <c r="N6475">
        <v>-8.8973999999999998E-3</v>
      </c>
      <c r="O6475">
        <v>-4.2621610000000004E-3</v>
      </c>
      <c r="P6475">
        <v>0.98010240000000004</v>
      </c>
      <c r="Q6475">
        <v>0.17240429999999901</v>
      </c>
      <c r="R6475">
        <v>9.8368999999999998E-2</v>
      </c>
      <c r="S6475">
        <v>3.1010740000000001</v>
      </c>
      <c r="T6475">
        <v>-6.3902619999999993E-2</v>
      </c>
      <c r="U6475">
        <v>-0.289856</v>
      </c>
      <c r="V6475">
        <v>-0.1025491</v>
      </c>
      <c r="W6475">
        <v>0.1811123</v>
      </c>
      <c r="X6475">
        <v>0.97810129999999995</v>
      </c>
      <c r="Y6475">
        <v>8.8792689999999994E-2</v>
      </c>
      <c r="Z6475">
        <v>-1.258927E-3</v>
      </c>
      <c r="AA6475">
        <v>0.99604930000000003</v>
      </c>
      <c r="AB6475">
        <v>26</v>
      </c>
      <c r="AC6475">
        <v>56.148399999999903</v>
      </c>
      <c r="AD6475">
        <v>-1.1604129999999999</v>
      </c>
      <c r="AE6475">
        <v>-5.2629099999999998</v>
      </c>
      <c r="AF6475">
        <v>5.02141314565218</v>
      </c>
      <c r="AG6475">
        <v>-1.1604129999999999</v>
      </c>
      <c r="AH6475">
        <v>56.146549733918697</v>
      </c>
      <c r="AI6475">
        <v>91.179290712697295</v>
      </c>
      <c r="AJ6475">
        <v>84.889403258782195</v>
      </c>
      <c r="AK6475">
        <v>56.382587696320797</v>
      </c>
      <c r="AL6475">
        <v>79.565445886606597</v>
      </c>
      <c r="AM6475">
        <v>95.985312815223196</v>
      </c>
      <c r="AN6475">
        <v>1.0000000680918899</v>
      </c>
    </row>
    <row r="6476" spans="1:40" x14ac:dyDescent="0.25">
      <c r="A6476" t="str">
        <f>"20190304154924367"</f>
        <v>20190304154924367</v>
      </c>
      <c r="B6476" t="str">
        <f>"1551685764363902"</f>
        <v>1551685764363902</v>
      </c>
      <c r="C6476" t="s">
        <v>40</v>
      </c>
      <c r="D6476">
        <v>4.4680589999999896</v>
      </c>
      <c r="E6476">
        <v>0.57275810000000005</v>
      </c>
      <c r="F6476" t="s">
        <v>45</v>
      </c>
      <c r="G6476">
        <v>-310.69439999999997</v>
      </c>
      <c r="H6476">
        <v>-0.05</v>
      </c>
      <c r="I6476">
        <v>11.695589999999999</v>
      </c>
      <c r="J6476">
        <v>-366.43419999999998</v>
      </c>
      <c r="K6476">
        <v>1.1103940000000001</v>
      </c>
      <c r="L6476">
        <v>16.911470000000001</v>
      </c>
      <c r="M6476">
        <v>0.99995149999999999</v>
      </c>
      <c r="N6476">
        <v>-8.9011290000000007E-3</v>
      </c>
      <c r="O6476">
        <v>-4.251594E-3</v>
      </c>
      <c r="P6476">
        <v>0.98006970000000004</v>
      </c>
      <c r="Q6476">
        <v>0.17220199999999999</v>
      </c>
      <c r="R6476">
        <v>9.904657E-2</v>
      </c>
      <c r="S6476">
        <v>3.1012569999999999</v>
      </c>
      <c r="T6476">
        <v>-6.433403E-2</v>
      </c>
      <c r="U6476">
        <v>-0.2892151</v>
      </c>
      <c r="V6476">
        <v>-0.1032105</v>
      </c>
      <c r="W6476">
        <v>0.18091670000000001</v>
      </c>
      <c r="X6476">
        <v>0.97806789999999999</v>
      </c>
      <c r="Y6476">
        <v>8.8593459999999999E-2</v>
      </c>
      <c r="Z6476">
        <v>-1.261809E-3</v>
      </c>
      <c r="AA6476">
        <v>0.99606700000000004</v>
      </c>
      <c r="AB6476">
        <v>26</v>
      </c>
      <c r="AC6476">
        <v>55.739800000000002</v>
      </c>
      <c r="AD6476">
        <v>-1.1603939999999999</v>
      </c>
      <c r="AE6476">
        <v>-5.2158800000000003</v>
      </c>
      <c r="AF6476">
        <v>4.9767023665546999</v>
      </c>
      <c r="AG6476">
        <v>-1.1603939999999999</v>
      </c>
      <c r="AH6476">
        <v>55.737526387620903</v>
      </c>
      <c r="AI6476">
        <v>91.187938241404495</v>
      </c>
      <c r="AJ6476">
        <v>84.897694510736301</v>
      </c>
      <c r="AK6476">
        <v>55.9712955763152</v>
      </c>
      <c r="AL6476">
        <v>79.576840872101201</v>
      </c>
      <c r="AM6476">
        <v>96.023836918710998</v>
      </c>
      <c r="AN6476">
        <v>1.00000003832977</v>
      </c>
    </row>
    <row r="6477" spans="1:40" x14ac:dyDescent="0.25">
      <c r="A6477" t="str">
        <f>"20190304154924381"</f>
        <v>20190304154924381</v>
      </c>
      <c r="B6477" t="str">
        <f>"1551685764373664"</f>
        <v>1551685764373664</v>
      </c>
      <c r="C6477" t="s">
        <v>40</v>
      </c>
      <c r="D6477">
        <v>4.4909420000000004</v>
      </c>
      <c r="E6477">
        <v>0.57270799999999999</v>
      </c>
      <c r="F6477" t="s">
        <v>45</v>
      </c>
      <c r="G6477">
        <v>-311.959</v>
      </c>
      <c r="H6477">
        <v>-0.05</v>
      </c>
      <c r="I6477">
        <v>11.860900000000001</v>
      </c>
      <c r="J6477">
        <v>-366.27449999999999</v>
      </c>
      <c r="K6477">
        <v>1.1103860000000001</v>
      </c>
      <c r="L6477">
        <v>16.910769999999999</v>
      </c>
      <c r="M6477">
        <v>0.99995129999999999</v>
      </c>
      <c r="N6477">
        <v>-8.9041940000000007E-3</v>
      </c>
      <c r="O6477">
        <v>-4.2490710000000001E-3</v>
      </c>
      <c r="P6477">
        <v>0.98010120000000001</v>
      </c>
      <c r="Q6477">
        <v>0.17193900000000001</v>
      </c>
      <c r="R6477">
        <v>9.9190070000000005E-2</v>
      </c>
      <c r="S6477">
        <v>3.1016849999999998</v>
      </c>
      <c r="T6477">
        <v>-6.6070080000000003E-2</v>
      </c>
      <c r="U6477">
        <v>-0.28756710000000002</v>
      </c>
      <c r="V6477">
        <v>-0.10334790000000001</v>
      </c>
      <c r="W6477">
        <v>0.18065880000000001</v>
      </c>
      <c r="X6477">
        <v>0.978101</v>
      </c>
      <c r="Y6477">
        <v>8.8057540000000004E-2</v>
      </c>
      <c r="Z6477">
        <v>-1.276162E-3</v>
      </c>
      <c r="AA6477">
        <v>0.99611459999999996</v>
      </c>
      <c r="AB6477">
        <v>27</v>
      </c>
      <c r="AC6477">
        <v>54.315499999999901</v>
      </c>
      <c r="AD6477">
        <v>-1.1603859999999999</v>
      </c>
      <c r="AE6477">
        <v>-5.0498699999999896</v>
      </c>
      <c r="AF6477">
        <v>4.8168452101453898</v>
      </c>
      <c r="AG6477">
        <v>-1.1603859999999999</v>
      </c>
      <c r="AH6477">
        <v>54.311891560872297</v>
      </c>
      <c r="AI6477">
        <v>91.219167301310407</v>
      </c>
      <c r="AJ6477">
        <v>84.931778522676098</v>
      </c>
      <c r="AK6477">
        <v>54.537418882520001</v>
      </c>
      <c r="AL6477">
        <v>79.591864387482602</v>
      </c>
      <c r="AM6477">
        <v>96.031594512831205</v>
      </c>
      <c r="AN6477">
        <v>0.99999997832642396</v>
      </c>
    </row>
    <row r="6478" spans="1:40" x14ac:dyDescent="0.25">
      <c r="A6478" t="str">
        <f>"20190304154924394"</f>
        <v>20190304154924394</v>
      </c>
      <c r="B6478" t="str">
        <f>"1551685764383896"</f>
        <v>1551685764383896</v>
      </c>
      <c r="C6478" t="s">
        <v>40</v>
      </c>
      <c r="D6478">
        <v>4.5432110000000003</v>
      </c>
      <c r="E6478">
        <v>0.57262819999999903</v>
      </c>
      <c r="F6478" t="s">
        <v>45</v>
      </c>
      <c r="G6478">
        <v>-313.16390000000001</v>
      </c>
      <c r="H6478">
        <v>-0.05</v>
      </c>
      <c r="I6478">
        <v>11.99898</v>
      </c>
      <c r="J6478">
        <v>-366.12139999999999</v>
      </c>
      <c r="K6478">
        <v>1.1103780000000001</v>
      </c>
      <c r="L6478">
        <v>16.910160000000001</v>
      </c>
      <c r="M6478">
        <v>0.99995129999999999</v>
      </c>
      <c r="N6478">
        <v>-8.9071369999999903E-3</v>
      </c>
      <c r="O6478">
        <v>-4.2499840000000001E-3</v>
      </c>
      <c r="P6478">
        <v>0.98007409999999995</v>
      </c>
      <c r="Q6478">
        <v>0.17189450000000001</v>
      </c>
      <c r="R6478">
        <v>9.9534899999999996E-2</v>
      </c>
      <c r="S6478">
        <v>3.1018370000000002</v>
      </c>
      <c r="T6478">
        <v>-6.7770479999999994E-2</v>
      </c>
      <c r="U6478">
        <v>-0.28686519999999999</v>
      </c>
      <c r="V6478">
        <v>-0.10369100000000001</v>
      </c>
      <c r="W6478">
        <v>0.18061840000000001</v>
      </c>
      <c r="X6478">
        <v>0.97807219999999995</v>
      </c>
      <c r="Y6478">
        <v>8.7827489999999994E-2</v>
      </c>
      <c r="Z6478">
        <v>-1.294477E-3</v>
      </c>
      <c r="AA6478">
        <v>0.99613490000000005</v>
      </c>
      <c r="AB6478">
        <v>27</v>
      </c>
      <c r="AC6478">
        <v>52.957499999999897</v>
      </c>
      <c r="AD6478">
        <v>-1.1603779999999999</v>
      </c>
      <c r="AE6478">
        <v>-4.9111799999999999</v>
      </c>
      <c r="AF6478">
        <v>4.6838285918124303</v>
      </c>
      <c r="AG6478">
        <v>-1.1603779999999999</v>
      </c>
      <c r="AH6478">
        <v>52.952688433999597</v>
      </c>
      <c r="AI6478">
        <v>91.250468641107304</v>
      </c>
      <c r="AJ6478">
        <v>84.945167132743506</v>
      </c>
      <c r="AK6478">
        <v>53.172097379815597</v>
      </c>
      <c r="AL6478">
        <v>79.594218387429294</v>
      </c>
      <c r="AM6478">
        <v>96.051647057408601</v>
      </c>
      <c r="AN6478">
        <v>1.0000000291561899</v>
      </c>
    </row>
    <row r="6479" spans="1:40" x14ac:dyDescent="0.25">
      <c r="A6479" t="str">
        <f>"20190304154924413"</f>
        <v>20190304154924413</v>
      </c>
      <c r="B6479" t="str">
        <f>"1551685764403416"</f>
        <v>1551685764403416</v>
      </c>
      <c r="C6479" t="s">
        <v>40</v>
      </c>
      <c r="D6479">
        <v>4.5202549999999997</v>
      </c>
      <c r="E6479">
        <v>0.57245669999999904</v>
      </c>
      <c r="F6479" t="s">
        <v>45</v>
      </c>
      <c r="G6479">
        <v>-313.81549999999999</v>
      </c>
      <c r="H6479">
        <v>-0.05</v>
      </c>
      <c r="I6479">
        <v>12.09735</v>
      </c>
      <c r="J6479">
        <v>-365.892</v>
      </c>
      <c r="K6479">
        <v>1.1103689999999999</v>
      </c>
      <c r="L6479">
        <v>16.909179999999999</v>
      </c>
      <c r="M6479">
        <v>0.99995129999999999</v>
      </c>
      <c r="N6479">
        <v>-8.9114529999999997E-3</v>
      </c>
      <c r="O6479">
        <v>-4.2580450000000002E-3</v>
      </c>
      <c r="P6479">
        <v>0.98018099999999997</v>
      </c>
      <c r="Q6479">
        <v>0.17149139999999999</v>
      </c>
      <c r="R6479">
        <v>9.9177150000000006E-2</v>
      </c>
      <c r="S6479">
        <v>3.1020810000000001</v>
      </c>
      <c r="T6479">
        <v>-6.8817970000000006E-2</v>
      </c>
      <c r="U6479">
        <v>-0.28543089999999999</v>
      </c>
      <c r="V6479">
        <v>-0.1033395</v>
      </c>
      <c r="W6479">
        <v>0.18022170000000001</v>
      </c>
      <c r="X6479">
        <v>0.97818260000000001</v>
      </c>
      <c r="Y6479">
        <v>8.7354970000000004E-2</v>
      </c>
      <c r="Z6479">
        <v>-1.300544E-3</v>
      </c>
      <c r="AA6479">
        <v>0.99617639999999996</v>
      </c>
      <c r="AB6479">
        <v>27</v>
      </c>
      <c r="AC6479">
        <v>52.076500000000003</v>
      </c>
      <c r="AD6479">
        <v>-1.160369</v>
      </c>
      <c r="AE6479">
        <v>-4.8118299999999898</v>
      </c>
      <c r="AF6479">
        <v>4.5877750128277199</v>
      </c>
      <c r="AG6479">
        <v>-1.160369</v>
      </c>
      <c r="AH6479">
        <v>52.0708839507666</v>
      </c>
      <c r="AI6479">
        <v>91.271666801573602</v>
      </c>
      <c r="AJ6479">
        <v>84.964880453472801</v>
      </c>
      <c r="AK6479">
        <v>52.285476866895699</v>
      </c>
      <c r="AL6479">
        <v>79.617327124036805</v>
      </c>
      <c r="AM6479">
        <v>96.0306084777975</v>
      </c>
      <c r="AN6479">
        <v>1.00000005617694</v>
      </c>
    </row>
    <row r="6480" spans="1:40" x14ac:dyDescent="0.25">
      <c r="A6480" t="str">
        <f>"20190304154924425"</f>
        <v>20190304154924425</v>
      </c>
      <c r="B6480" t="str">
        <f>"1551685764414152"</f>
        <v>1551685764414152</v>
      </c>
      <c r="C6480" t="s">
        <v>40</v>
      </c>
      <c r="D6480">
        <v>4.4944540000000002</v>
      </c>
      <c r="E6480">
        <v>0.57252440000000004</v>
      </c>
      <c r="F6480" t="s">
        <v>45</v>
      </c>
      <c r="G6480">
        <v>-316.13229999999999</v>
      </c>
      <c r="H6480">
        <v>-0.05</v>
      </c>
      <c r="I6480">
        <v>12.330310000000001</v>
      </c>
      <c r="J6480">
        <v>-365.74329999999998</v>
      </c>
      <c r="K6480">
        <v>1.110368</v>
      </c>
      <c r="L6480">
        <v>16.908539999999999</v>
      </c>
      <c r="M6480">
        <v>0.99995129999999999</v>
      </c>
      <c r="N6480">
        <v>-8.914234E-3</v>
      </c>
      <c r="O6480">
        <v>-4.2654590000000001E-3</v>
      </c>
      <c r="P6480">
        <v>0.98024520000000004</v>
      </c>
      <c r="Q6480">
        <v>0.171254399999999</v>
      </c>
      <c r="R6480">
        <v>9.8950239999999995E-2</v>
      </c>
      <c r="S6480">
        <v>3.1021730000000001</v>
      </c>
      <c r="T6480">
        <v>-7.2340970000000004E-2</v>
      </c>
      <c r="U6480">
        <v>-0.28546139999999998</v>
      </c>
      <c r="V6480">
        <v>-0.10311960000000001</v>
      </c>
      <c r="W6480">
        <v>0.1799885</v>
      </c>
      <c r="X6480">
        <v>0.97824869999999997</v>
      </c>
      <c r="Y6480">
        <v>8.7352020000000002E-2</v>
      </c>
      <c r="Z6480">
        <v>-1.3451590000000001E-3</v>
      </c>
      <c r="AA6480">
        <v>0.99617659999999997</v>
      </c>
      <c r="AB6480">
        <v>27</v>
      </c>
      <c r="AC6480">
        <v>49.610999999999898</v>
      </c>
      <c r="AD6480">
        <v>-1.1603680000000001</v>
      </c>
      <c r="AE6480">
        <v>-4.5782299999999898</v>
      </c>
      <c r="AF6480">
        <v>4.3641989593090598</v>
      </c>
      <c r="AG6480">
        <v>-1.1603680000000001</v>
      </c>
      <c r="AH6480">
        <v>49.603170867579799</v>
      </c>
      <c r="AI6480">
        <v>91.3349220464588</v>
      </c>
      <c r="AJ6480">
        <v>84.9719351700423</v>
      </c>
      <c r="AK6480">
        <v>49.8083049959561</v>
      </c>
      <c r="AL6480">
        <v>79.630910199025806</v>
      </c>
      <c r="AM6480">
        <v>96.017466346327396</v>
      </c>
      <c r="AN6480">
        <v>1.0000000155440401</v>
      </c>
    </row>
    <row r="6481" spans="1:40" x14ac:dyDescent="0.25">
      <c r="A6481" t="str">
        <f>"20190304154924437"</f>
        <v>20190304154924437</v>
      </c>
      <c r="B6481" t="str">
        <f>"1551685764433672"</f>
        <v>1551685764433672</v>
      </c>
      <c r="C6481" t="s">
        <v>40</v>
      </c>
      <c r="D6481">
        <v>4.4515739999999999</v>
      </c>
      <c r="E6481">
        <v>0.57261629999999997</v>
      </c>
      <c r="F6481" t="s">
        <v>45</v>
      </c>
      <c r="G6481">
        <v>-316.84730000000002</v>
      </c>
      <c r="H6481">
        <v>-0.05</v>
      </c>
      <c r="I6481">
        <v>12.38809</v>
      </c>
      <c r="J6481">
        <v>-365.61259999999999</v>
      </c>
      <c r="K6481">
        <v>1.1103700000000001</v>
      </c>
      <c r="L6481">
        <v>16.907959999999999</v>
      </c>
      <c r="M6481">
        <v>0.99995109999999998</v>
      </c>
      <c r="N6481">
        <v>-8.9166829999999999E-3</v>
      </c>
      <c r="O6481">
        <v>-4.2721479999999999E-3</v>
      </c>
      <c r="P6481">
        <v>0.98027439999999999</v>
      </c>
      <c r="Q6481">
        <v>0.1712516</v>
      </c>
      <c r="R6481">
        <v>9.8665749999999997E-2</v>
      </c>
      <c r="S6481">
        <v>3.1022639999999999</v>
      </c>
      <c r="T6481">
        <v>-7.3620920000000006E-2</v>
      </c>
      <c r="U6481">
        <v>-0.28680420000000001</v>
      </c>
      <c r="V6481">
        <v>-0.10284160000000001</v>
      </c>
      <c r="W6481">
        <v>0.1799885</v>
      </c>
      <c r="X6481">
        <v>0.97827790000000003</v>
      </c>
      <c r="Y6481">
        <v>8.7769050000000001E-2</v>
      </c>
      <c r="Z6481">
        <v>-1.3681609999999999E-3</v>
      </c>
      <c r="AA6481">
        <v>0.99613989999999997</v>
      </c>
      <c r="AB6481">
        <v>27</v>
      </c>
      <c r="AC6481">
        <v>48.765299999999897</v>
      </c>
      <c r="AD6481">
        <v>-1.1603699999999999</v>
      </c>
      <c r="AE6481">
        <v>-4.5198699999999903</v>
      </c>
      <c r="AF6481">
        <v>4.3090688634466101</v>
      </c>
      <c r="AG6481">
        <v>-1.1603699999999999</v>
      </c>
      <c r="AH6481">
        <v>48.756794226937501</v>
      </c>
      <c r="AI6481">
        <v>91.358041788974603</v>
      </c>
      <c r="AJ6481">
        <v>84.949388058857494</v>
      </c>
      <c r="AK6481">
        <v>48.960591461855898</v>
      </c>
      <c r="AL6481">
        <v>79.630909535208204</v>
      </c>
      <c r="AM6481">
        <v>96.001184594279806</v>
      </c>
      <c r="AN6481">
        <v>0.999999952225609</v>
      </c>
    </row>
    <row r="6482" spans="1:40" x14ac:dyDescent="0.25">
      <c r="A6482" t="str">
        <f>"20190304154924449"</f>
        <v>20190304154924449</v>
      </c>
      <c r="B6482" t="str">
        <f>"1551685764443432"</f>
        <v>1551685764443432</v>
      </c>
      <c r="C6482" t="s">
        <v>40</v>
      </c>
      <c r="D6482">
        <v>4.4796360000000002</v>
      </c>
      <c r="E6482">
        <v>0.57272469999999998</v>
      </c>
      <c r="F6482" t="s">
        <v>45</v>
      </c>
      <c r="G6482">
        <v>-316.8777</v>
      </c>
      <c r="H6482">
        <v>-0.05</v>
      </c>
      <c r="I6482">
        <v>12.376620000000001</v>
      </c>
      <c r="J6482">
        <v>-365.45979999999997</v>
      </c>
      <c r="K6482">
        <v>1.110371</v>
      </c>
      <c r="L6482">
        <v>16.907319999999999</v>
      </c>
      <c r="M6482">
        <v>0.99995109999999998</v>
      </c>
      <c r="N6482">
        <v>-8.9195409999999996E-3</v>
      </c>
      <c r="O6482">
        <v>-4.2803829999999996E-3</v>
      </c>
      <c r="P6482">
        <v>0.9803212</v>
      </c>
      <c r="Q6482">
        <v>0.17104710000000001</v>
      </c>
      <c r="R6482">
        <v>9.8554989999999995E-2</v>
      </c>
      <c r="S6482">
        <v>3.102325</v>
      </c>
      <c r="T6482">
        <v>-7.3865890000000003E-2</v>
      </c>
      <c r="U6482">
        <v>-0.28845209999999999</v>
      </c>
      <c r="V6482">
        <v>-0.1027391</v>
      </c>
      <c r="W6482">
        <v>0.1797868</v>
      </c>
      <c r="X6482">
        <v>0.97832580000000002</v>
      </c>
      <c r="Y6482">
        <v>8.8283310000000004E-2</v>
      </c>
      <c r="Z6482">
        <v>-1.3796710000000001E-3</v>
      </c>
      <c r="AA6482">
        <v>0.99609449999999999</v>
      </c>
      <c r="AB6482">
        <v>27</v>
      </c>
      <c r="AC6482">
        <v>48.582099999999897</v>
      </c>
      <c r="AD6482">
        <v>-1.16037099999999</v>
      </c>
      <c r="AE6482">
        <v>-4.5307000000000004</v>
      </c>
      <c r="AF6482">
        <v>4.3202568586479497</v>
      </c>
      <c r="AG6482">
        <v>-1.16037099999999</v>
      </c>
      <c r="AH6482">
        <v>48.5735774332151</v>
      </c>
      <c r="AI6482">
        <v>91.363095922548297</v>
      </c>
      <c r="AJ6482">
        <v>84.917342849515194</v>
      </c>
      <c r="AK6482">
        <v>48.779129808175902</v>
      </c>
      <c r="AL6482">
        <v>79.642658173675102</v>
      </c>
      <c r="AM6482">
        <v>95.994955531141898</v>
      </c>
      <c r="AN6482">
        <v>0.99999999353434499</v>
      </c>
    </row>
    <row r="6483" spans="1:40" x14ac:dyDescent="0.25">
      <c r="A6483" t="str">
        <f>"20190304154924461"</f>
        <v>20190304154924461</v>
      </c>
      <c r="B6483" t="str">
        <f>"1551685764453192"</f>
        <v>1551685764453192</v>
      </c>
      <c r="C6483" t="s">
        <v>40</v>
      </c>
      <c r="D6483">
        <v>4.5192050000000004</v>
      </c>
      <c r="E6483">
        <v>0.57281919999999897</v>
      </c>
      <c r="F6483" t="s">
        <v>45</v>
      </c>
      <c r="G6483">
        <v>-317.02330000000001</v>
      </c>
      <c r="H6483">
        <v>-0.05</v>
      </c>
      <c r="I6483">
        <v>12.38086</v>
      </c>
      <c r="J6483">
        <v>-365.30689999999998</v>
      </c>
      <c r="K6483">
        <v>1.1103700000000001</v>
      </c>
      <c r="L6483">
        <v>16.906649999999999</v>
      </c>
      <c r="M6483">
        <v>0.99995120000000004</v>
      </c>
      <c r="N6483">
        <v>-8.9224130000000006E-3</v>
      </c>
      <c r="O6483">
        <v>-4.2873E-3</v>
      </c>
      <c r="P6483">
        <v>0.98028769999999998</v>
      </c>
      <c r="Q6483">
        <v>0.1712389</v>
      </c>
      <c r="R6483">
        <v>9.8558999999999994E-2</v>
      </c>
      <c r="S6483">
        <v>3.102325</v>
      </c>
      <c r="T6483">
        <v>-7.4321029999999996E-2</v>
      </c>
      <c r="U6483">
        <v>-0.28991699999999998</v>
      </c>
      <c r="V6483">
        <v>-0.1027508</v>
      </c>
      <c r="W6483">
        <v>0.179981</v>
      </c>
      <c r="X6483">
        <v>0.97828890000000002</v>
      </c>
      <c r="Y6483">
        <v>8.8742150000000006E-2</v>
      </c>
      <c r="Z6483">
        <v>-1.3930629999999999E-3</v>
      </c>
      <c r="AA6483">
        <v>0.99605359999999998</v>
      </c>
      <c r="AB6483">
        <v>27</v>
      </c>
      <c r="AC6483">
        <v>48.2835999999999</v>
      </c>
      <c r="AD6483">
        <v>-1.1603699999999999</v>
      </c>
      <c r="AE6483">
        <v>-4.52578999999999</v>
      </c>
      <c r="AF6483">
        <v>4.3162627549014596</v>
      </c>
      <c r="AG6483">
        <v>-1.1603699999999999</v>
      </c>
      <c r="AH6483">
        <v>48.2749217888693</v>
      </c>
      <c r="AI6483">
        <v>91.371467696837897</v>
      </c>
      <c r="AJ6483">
        <v>84.890767745880794</v>
      </c>
      <c r="AK6483">
        <v>48.481384638103101</v>
      </c>
      <c r="AL6483">
        <v>79.631347198386194</v>
      </c>
      <c r="AM6483">
        <v>95.995857769516604</v>
      </c>
      <c r="AN6483">
        <v>1.0000000295624201</v>
      </c>
    </row>
    <row r="6484" spans="1:40" x14ac:dyDescent="0.25">
      <c r="A6484" t="str">
        <f>"20190304154924479"</f>
        <v>20190304154924479</v>
      </c>
      <c r="B6484" t="str">
        <f>"1551685764473689"</f>
        <v>1551685764473689</v>
      </c>
      <c r="C6484" t="s">
        <v>40</v>
      </c>
      <c r="D6484">
        <v>4.5055079999999998</v>
      </c>
      <c r="E6484">
        <v>0.57296950000000002</v>
      </c>
      <c r="F6484" t="s">
        <v>45</v>
      </c>
      <c r="G6484">
        <v>-316.35340000000002</v>
      </c>
      <c r="H6484">
        <v>-0.05</v>
      </c>
      <c r="I6484">
        <v>12.315670000000001</v>
      </c>
      <c r="J6484">
        <v>-365.10559999999998</v>
      </c>
      <c r="K6484">
        <v>1.110368</v>
      </c>
      <c r="L6484">
        <v>16.90579</v>
      </c>
      <c r="M6484">
        <v>0.99995100000000003</v>
      </c>
      <c r="N6484">
        <v>-8.9261889999999993E-3</v>
      </c>
      <c r="O6484">
        <v>-4.2948140000000001E-3</v>
      </c>
      <c r="P6484">
        <v>0.98027580000000003</v>
      </c>
      <c r="Q6484">
        <v>0.17130379999999901</v>
      </c>
      <c r="R6484">
        <v>9.8563529999999996E-2</v>
      </c>
      <c r="S6484">
        <v>3.1024479999999999</v>
      </c>
      <c r="T6484">
        <v>-7.3538899999999893E-2</v>
      </c>
      <c r="U6484">
        <v>-0.29095460000000001</v>
      </c>
      <c r="V6484">
        <v>-0.10276299999999999</v>
      </c>
      <c r="W6484">
        <v>0.18004899999999999</v>
      </c>
      <c r="X6484">
        <v>0.97827509999999995</v>
      </c>
      <c r="Y6484">
        <v>8.9061730000000006E-2</v>
      </c>
      <c r="Z6484">
        <v>-1.3882180000000001E-3</v>
      </c>
      <c r="AA6484">
        <v>0.9960251</v>
      </c>
      <c r="AB6484">
        <v>27</v>
      </c>
      <c r="AC6484">
        <v>48.752199999999903</v>
      </c>
      <c r="AD6484">
        <v>-1.1603680000000001</v>
      </c>
      <c r="AE6484">
        <v>-4.5901199999999998</v>
      </c>
      <c r="AF6484">
        <v>4.3782292119133102</v>
      </c>
      <c r="AG6484">
        <v>-1.1603680000000001</v>
      </c>
      <c r="AH6484">
        <v>48.744093735986198</v>
      </c>
      <c r="AI6484">
        <v>91.358220096749605</v>
      </c>
      <c r="AJ6484">
        <v>84.867425504706702</v>
      </c>
      <c r="AK6484">
        <v>48.954080719283098</v>
      </c>
      <c r="AL6484">
        <v>79.627386321929706</v>
      </c>
      <c r="AM6484">
        <v>95.996648467819796</v>
      </c>
      <c r="AN6484">
        <v>1.000000023925</v>
      </c>
    </row>
    <row r="6485" spans="1:40" x14ac:dyDescent="0.25">
      <c r="A6485" t="str">
        <f>"20190304154924490"</f>
        <v>20190304154924490</v>
      </c>
      <c r="B6485" t="str">
        <f>"1551685764483448"</f>
        <v>1551685764483448</v>
      </c>
      <c r="C6485" t="s">
        <v>40</v>
      </c>
      <c r="D6485">
        <v>4.4856470000000002</v>
      </c>
      <c r="E6485">
        <v>0.57296459999999905</v>
      </c>
      <c r="F6485" t="s">
        <v>45</v>
      </c>
      <c r="G6485">
        <v>-316.05619999999999</v>
      </c>
      <c r="H6485">
        <v>-0.05</v>
      </c>
      <c r="I6485">
        <v>12.279540000000001</v>
      </c>
      <c r="J6485">
        <v>-364.9674</v>
      </c>
      <c r="K6485">
        <v>1.110365</v>
      </c>
      <c r="L6485">
        <v>16.90521</v>
      </c>
      <c r="M6485">
        <v>0.99995109999999998</v>
      </c>
      <c r="N6485">
        <v>-8.9287740000000004E-3</v>
      </c>
      <c r="O6485">
        <v>-4.2991069999999999E-3</v>
      </c>
      <c r="P6485">
        <v>0.98024210000000001</v>
      </c>
      <c r="Q6485">
        <v>0.17135739999999999</v>
      </c>
      <c r="R6485">
        <v>9.8803940000000007E-2</v>
      </c>
      <c r="S6485">
        <v>3.1025999999999998</v>
      </c>
      <c r="T6485">
        <v>-7.3398710000000006E-2</v>
      </c>
      <c r="U6485">
        <v>-0.29263309999999998</v>
      </c>
      <c r="V6485">
        <v>-0.1030078</v>
      </c>
      <c r="W6485">
        <v>0.18010479999999901</v>
      </c>
      <c r="X6485">
        <v>0.97823910000000003</v>
      </c>
      <c r="Y6485">
        <v>8.9586929999999995E-2</v>
      </c>
      <c r="Z6485">
        <v>-1.3949539999999999E-3</v>
      </c>
      <c r="AA6485">
        <v>0.99597809999999998</v>
      </c>
      <c r="AB6485">
        <v>27</v>
      </c>
      <c r="AC6485">
        <v>48.911200000000001</v>
      </c>
      <c r="AD6485">
        <v>-1.1603649999999901</v>
      </c>
      <c r="AE6485">
        <v>-4.6256700000000004</v>
      </c>
      <c r="AF6485">
        <v>4.4128827688772096</v>
      </c>
      <c r="AG6485">
        <v>-1.1603649999999901</v>
      </c>
      <c r="AH6485">
        <v>48.903355015789302</v>
      </c>
      <c r="AI6485">
        <v>91.353744707771995</v>
      </c>
      <c r="AJ6485">
        <v>84.843776516614696</v>
      </c>
      <c r="AK6485">
        <v>49.115762368769197</v>
      </c>
      <c r="AL6485">
        <v>79.624136266711503</v>
      </c>
      <c r="AM6485">
        <v>96.011048690114293</v>
      </c>
      <c r="AN6485">
        <v>1.0000000413063399</v>
      </c>
    </row>
    <row r="6486" spans="1:40" x14ac:dyDescent="0.25">
      <c r="A6486" t="str">
        <f>"20190304154924502"</f>
        <v>20190304154924502</v>
      </c>
      <c r="B6486" t="str">
        <f>"1551685764493209"</f>
        <v>1551685764493209</v>
      </c>
      <c r="C6486" t="s">
        <v>40</v>
      </c>
      <c r="D6486">
        <v>4.4888110000000001</v>
      </c>
      <c r="E6486">
        <v>0.57298169999999904</v>
      </c>
      <c r="F6486" t="s">
        <v>45</v>
      </c>
      <c r="G6486">
        <v>-315.96069999999997</v>
      </c>
      <c r="H6486">
        <v>-0.05</v>
      </c>
      <c r="I6486">
        <v>12.292310000000001</v>
      </c>
      <c r="J6486">
        <v>-364.82440000000003</v>
      </c>
      <c r="K6486">
        <v>1.1103639999999999</v>
      </c>
      <c r="L6486">
        <v>16.904599999999999</v>
      </c>
      <c r="M6486">
        <v>0.99995080000000003</v>
      </c>
      <c r="N6486">
        <v>-8.9314519999999994E-3</v>
      </c>
      <c r="O6486">
        <v>-4.3014960000000001E-3</v>
      </c>
      <c r="P6486">
        <v>0.98019520000000004</v>
      </c>
      <c r="Q6486">
        <v>0.1716665</v>
      </c>
      <c r="R6486">
        <v>9.8732730000000005E-2</v>
      </c>
      <c r="S6486">
        <v>3.102722</v>
      </c>
      <c r="T6486">
        <v>-7.3465230000000006E-2</v>
      </c>
      <c r="U6486">
        <v>-0.29205320000000001</v>
      </c>
      <c r="V6486">
        <v>-0.1029389</v>
      </c>
      <c r="W6486">
        <v>0.18041579999999999</v>
      </c>
      <c r="X6486">
        <v>0.97818899999999998</v>
      </c>
      <c r="Y6486">
        <v>8.9396390000000006E-2</v>
      </c>
      <c r="Z6486">
        <v>-1.3927810000000001E-3</v>
      </c>
      <c r="AA6486">
        <v>0.99599519999999997</v>
      </c>
      <c r="AB6486">
        <v>27</v>
      </c>
      <c r="AC6486">
        <v>48.863700000000001</v>
      </c>
      <c r="AD6486">
        <v>-1.160364</v>
      </c>
      <c r="AE6486">
        <v>-4.61228999999999</v>
      </c>
      <c r="AF6486">
        <v>4.3995928201316499</v>
      </c>
      <c r="AG6486">
        <v>-1.160364</v>
      </c>
      <c r="AH6486">
        <v>48.855781096829503</v>
      </c>
      <c r="AI6486">
        <v>91.355083580111497</v>
      </c>
      <c r="AJ6486">
        <v>84.854242763959604</v>
      </c>
      <c r="AK6486">
        <v>49.067200940921502</v>
      </c>
      <c r="AL6486">
        <v>79.606020078991094</v>
      </c>
      <c r="AM6486">
        <v>96.007362834442205</v>
      </c>
      <c r="AN6486">
        <v>0.99999999887192503</v>
      </c>
    </row>
    <row r="6487" spans="1:40" x14ac:dyDescent="0.25">
      <c r="A6487" t="str">
        <f>"20190304154924514"</f>
        <v>20190304154924514</v>
      </c>
      <c r="B6487" t="str">
        <f>"1551685764503945"</f>
        <v>1551685764503945</v>
      </c>
      <c r="C6487" t="s">
        <v>40</v>
      </c>
      <c r="D6487">
        <v>4.4945959999999996</v>
      </c>
      <c r="E6487">
        <v>0.57310410000000001</v>
      </c>
      <c r="F6487" t="s">
        <v>45</v>
      </c>
      <c r="G6487">
        <v>-315.52870000000001</v>
      </c>
      <c r="H6487">
        <v>-0.05</v>
      </c>
      <c r="I6487">
        <v>12.26125</v>
      </c>
      <c r="J6487">
        <v>-364.68369999999999</v>
      </c>
      <c r="K6487">
        <v>1.110365</v>
      </c>
      <c r="L6487">
        <v>16.90399</v>
      </c>
      <c r="M6487">
        <v>0.99995080000000003</v>
      </c>
      <c r="N6487">
        <v>-8.9340819999999994E-3</v>
      </c>
      <c r="O6487">
        <v>-4.3034090000000002E-3</v>
      </c>
      <c r="P6487">
        <v>0.98020600000000002</v>
      </c>
      <c r="Q6487">
        <v>0.17155010000000001</v>
      </c>
      <c r="R6487">
        <v>9.8827269999999995E-2</v>
      </c>
      <c r="S6487">
        <v>3.102814</v>
      </c>
      <c r="T6487">
        <v>-7.3036669999999998E-2</v>
      </c>
      <c r="U6487">
        <v>-0.29226679999999999</v>
      </c>
      <c r="V6487">
        <v>-0.10303519999999899</v>
      </c>
      <c r="W6487">
        <v>0.18030180000000001</v>
      </c>
      <c r="X6487">
        <v>0.97819979999999995</v>
      </c>
      <c r="Y6487">
        <v>8.9460049999999999E-2</v>
      </c>
      <c r="Z6487">
        <v>-1.3883189999999901E-3</v>
      </c>
      <c r="AA6487">
        <v>0.99598940000000002</v>
      </c>
      <c r="AB6487">
        <v>27</v>
      </c>
      <c r="AC6487">
        <v>49.154999999999902</v>
      </c>
      <c r="AD6487">
        <v>-1.1603649999999901</v>
      </c>
      <c r="AE6487">
        <v>-4.6427399999999999</v>
      </c>
      <c r="AF6487">
        <v>4.4287083902536599</v>
      </c>
      <c r="AG6487">
        <v>-1.1603649999999901</v>
      </c>
      <c r="AH6487">
        <v>49.147379759580602</v>
      </c>
      <c r="AI6487">
        <v>91.347040807804404</v>
      </c>
      <c r="AJ6487">
        <v>84.850939664603899</v>
      </c>
      <c r="AK6487">
        <v>49.360154397768603</v>
      </c>
      <c r="AL6487">
        <v>79.612659871044201</v>
      </c>
      <c r="AM6487">
        <v>96.012875706295702</v>
      </c>
      <c r="AN6487">
        <v>0.99999992012115602</v>
      </c>
    </row>
    <row r="6488" spans="1:40" x14ac:dyDescent="0.25">
      <c r="A6488" t="str">
        <f>"20190304154924525"</f>
        <v>20190304154924525</v>
      </c>
      <c r="B6488" t="str">
        <f>"1551685764513704"</f>
        <v>1551685764513704</v>
      </c>
      <c r="C6488" t="s">
        <v>40</v>
      </c>
      <c r="D6488">
        <v>4.561795</v>
      </c>
      <c r="E6488">
        <v>0.57313319999999901</v>
      </c>
      <c r="F6488" t="s">
        <v>45</v>
      </c>
      <c r="G6488">
        <v>-315.6028</v>
      </c>
      <c r="H6488">
        <v>-0.05</v>
      </c>
      <c r="I6488">
        <v>12.271409999999999</v>
      </c>
      <c r="J6488">
        <v>-364.53989999999999</v>
      </c>
      <c r="K6488">
        <v>1.110363</v>
      </c>
      <c r="L6488">
        <v>16.903379999999999</v>
      </c>
      <c r="M6488">
        <v>0.99995089999999998</v>
      </c>
      <c r="N6488">
        <v>-8.9367549999999994E-3</v>
      </c>
      <c r="O6488">
        <v>-4.3043689999999997E-3</v>
      </c>
      <c r="P6488">
        <v>0.98026630000000003</v>
      </c>
      <c r="Q6488">
        <v>0.1711916</v>
      </c>
      <c r="R6488">
        <v>9.8851359999999999E-2</v>
      </c>
      <c r="S6488">
        <v>3.1029360000000001</v>
      </c>
      <c r="T6488">
        <v>-7.3359369999999993E-2</v>
      </c>
      <c r="U6488">
        <v>-0.2928772</v>
      </c>
      <c r="V6488">
        <v>-0.10306120000000001</v>
      </c>
      <c r="W6488">
        <v>0.1799463</v>
      </c>
      <c r="X6488">
        <v>0.97826259999999998</v>
      </c>
      <c r="Y6488">
        <v>8.9649279999999998E-2</v>
      </c>
      <c r="Z6488">
        <v>-1.395667E-3</v>
      </c>
      <c r="AA6488">
        <v>0.99597239999999998</v>
      </c>
      <c r="AB6488">
        <v>27</v>
      </c>
      <c r="AC6488">
        <v>48.937100000000001</v>
      </c>
      <c r="AD6488">
        <v>-1.16036299999999</v>
      </c>
      <c r="AE6488">
        <v>-4.6319699999999902</v>
      </c>
      <c r="AF6488">
        <v>4.4188130450890997</v>
      </c>
      <c r="AG6488">
        <v>-1.16036299999999</v>
      </c>
      <c r="AH6488">
        <v>48.929320027566703</v>
      </c>
      <c r="AI6488">
        <v>91.353015381374306</v>
      </c>
      <c r="AJ6488">
        <v>84.839609805068207</v>
      </c>
      <c r="AK6488">
        <v>49.142147993135801</v>
      </c>
      <c r="AL6488">
        <v>79.633368032085698</v>
      </c>
      <c r="AM6488">
        <v>96.013998614873003</v>
      </c>
      <c r="AN6488">
        <v>0.99999999819394403</v>
      </c>
    </row>
    <row r="6489" spans="1:40" x14ac:dyDescent="0.25">
      <c r="A6489" t="str">
        <f>"20190304154924537"</f>
        <v>20190304154924537</v>
      </c>
      <c r="B6489" t="str">
        <f>"1551685764533225"</f>
        <v>1551685764533225</v>
      </c>
      <c r="C6489" t="s">
        <v>40</v>
      </c>
      <c r="D6489">
        <v>4.507924</v>
      </c>
      <c r="E6489">
        <v>0.57310930000000004</v>
      </c>
      <c r="F6489" t="s">
        <v>45</v>
      </c>
      <c r="G6489">
        <v>-316.49259999999998</v>
      </c>
      <c r="H6489">
        <v>-0.05</v>
      </c>
      <c r="I6489">
        <v>12.36374</v>
      </c>
      <c r="J6489">
        <v>-364.40870000000001</v>
      </c>
      <c r="K6489">
        <v>1.110366</v>
      </c>
      <c r="L6489">
        <v>16.90277</v>
      </c>
      <c r="M6489">
        <v>0.99995089999999998</v>
      </c>
      <c r="N6489">
        <v>-8.939186E-3</v>
      </c>
      <c r="O6489">
        <v>-4.3046129999999997E-3</v>
      </c>
      <c r="P6489">
        <v>0.98034880000000002</v>
      </c>
      <c r="Q6489">
        <v>0.17067019999999999</v>
      </c>
      <c r="R6489">
        <v>9.8934739999999993E-2</v>
      </c>
      <c r="S6489">
        <v>3.103027</v>
      </c>
      <c r="T6489">
        <v>-7.4939370000000005E-2</v>
      </c>
      <c r="U6489">
        <v>-0.29318240000000001</v>
      </c>
      <c r="V6489">
        <v>-0.1031453</v>
      </c>
      <c r="W6489">
        <v>0.17942849999999999</v>
      </c>
      <c r="X6489">
        <v>0.97834889999999997</v>
      </c>
      <c r="Y6489">
        <v>8.974211E-2</v>
      </c>
      <c r="Z6489">
        <v>-1.417866E-3</v>
      </c>
      <c r="AA6489">
        <v>0.99596410000000002</v>
      </c>
      <c r="AB6489">
        <v>27</v>
      </c>
      <c r="AC6489">
        <v>47.9161</v>
      </c>
      <c r="AD6489">
        <v>-1.160366</v>
      </c>
      <c r="AE6489">
        <v>-4.5390300000000003</v>
      </c>
      <c r="AF6489">
        <v>4.3302026199730497</v>
      </c>
      <c r="AG6489">
        <v>-1.160366</v>
      </c>
      <c r="AH6489">
        <v>47.907350430607003</v>
      </c>
      <c r="AI6489">
        <v>91.3818611658115</v>
      </c>
      <c r="AJ6489">
        <v>84.835239787336405</v>
      </c>
      <c r="AK6489">
        <v>48.116642955062403</v>
      </c>
      <c r="AL6489">
        <v>79.663527247946007</v>
      </c>
      <c r="AM6489">
        <v>96.018343121170503</v>
      </c>
      <c r="AN6489">
        <v>1.0000000548277701</v>
      </c>
    </row>
    <row r="6490" spans="1:40" x14ac:dyDescent="0.25">
      <c r="A6490" t="str">
        <f>"20190304154924547"</f>
        <v>20190304154924547</v>
      </c>
      <c r="B6490" t="str">
        <f>"1551685764543961"</f>
        <v>1551685764543961</v>
      </c>
      <c r="C6490" t="s">
        <v>40</v>
      </c>
      <c r="D6490">
        <v>4.4970929999999996</v>
      </c>
      <c r="E6490">
        <v>0.57310150000000004</v>
      </c>
      <c r="F6490" t="s">
        <v>45</v>
      </c>
      <c r="G6490">
        <v>-317.45299999999997</v>
      </c>
      <c r="H6490">
        <v>-0.05</v>
      </c>
      <c r="I6490">
        <v>12.467269999999999</v>
      </c>
      <c r="J6490">
        <v>-364.27730000000003</v>
      </c>
      <c r="K6490">
        <v>1.1103670000000001</v>
      </c>
      <c r="L6490">
        <v>16.902249999999999</v>
      </c>
      <c r="M6490">
        <v>0.99995080000000003</v>
      </c>
      <c r="N6490">
        <v>-8.9416029999999994E-3</v>
      </c>
      <c r="O6490">
        <v>-4.30438E-3</v>
      </c>
      <c r="P6490">
        <v>0.98039209999999999</v>
      </c>
      <c r="Q6490">
        <v>0.1703317</v>
      </c>
      <c r="R6490">
        <v>9.9088490000000001E-2</v>
      </c>
      <c r="S6490">
        <v>3.1030880000000001</v>
      </c>
      <c r="T6490">
        <v>-7.6683280000000006E-2</v>
      </c>
      <c r="U6490">
        <v>-0.29312129999999997</v>
      </c>
      <c r="V6490">
        <v>-0.10329919999999999</v>
      </c>
      <c r="W6490">
        <v>0.17909259999999999</v>
      </c>
      <c r="X6490">
        <v>0.97839419999999999</v>
      </c>
      <c r="Y6490">
        <v>8.9719670000000001E-2</v>
      </c>
      <c r="Z6490">
        <v>-1.4403339999999999E-3</v>
      </c>
      <c r="AA6490">
        <v>0.99596600000000002</v>
      </c>
      <c r="AB6490">
        <v>27</v>
      </c>
      <c r="AC6490">
        <v>46.824300000000001</v>
      </c>
      <c r="AD6490">
        <v>-1.1603669999999999</v>
      </c>
      <c r="AE6490">
        <v>-4.4349800000000004</v>
      </c>
      <c r="AF6490">
        <v>4.2308061906684298</v>
      </c>
      <c r="AG6490">
        <v>-1.1603669999999999</v>
      </c>
      <c r="AH6490">
        <v>46.814463048165003</v>
      </c>
      <c r="AI6490">
        <v>91.414110754703898</v>
      </c>
      <c r="AJ6490">
        <v>84.8359846770866</v>
      </c>
      <c r="AK6490">
        <v>47.019571702491</v>
      </c>
      <c r="AL6490">
        <v>79.683089702305907</v>
      </c>
      <c r="AM6490">
        <v>96.026979847574395</v>
      </c>
      <c r="AN6490">
        <v>1.0000000473445101</v>
      </c>
    </row>
    <row r="6491" spans="1:40" x14ac:dyDescent="0.25">
      <c r="A6491" t="str">
        <f>"20190304154924559"</f>
        <v>20190304154924559</v>
      </c>
      <c r="B6491" t="str">
        <f>"1551685764553721"</f>
        <v>1551685764553721</v>
      </c>
      <c r="C6491" t="s">
        <v>40</v>
      </c>
      <c r="D6491">
        <v>4.5398040000000002</v>
      </c>
      <c r="E6491">
        <v>0.57322810000000002</v>
      </c>
      <c r="F6491" t="s">
        <v>45</v>
      </c>
      <c r="G6491">
        <v>-317.82299999999998</v>
      </c>
      <c r="H6491">
        <v>-0.05</v>
      </c>
      <c r="I6491">
        <v>12.518660000000001</v>
      </c>
      <c r="J6491">
        <v>-364.14049999999997</v>
      </c>
      <c r="K6491">
        <v>1.110366</v>
      </c>
      <c r="L6491">
        <v>16.90164</v>
      </c>
      <c r="M6491">
        <v>0.99995069999999997</v>
      </c>
      <c r="N6491">
        <v>-8.9441309999999993E-3</v>
      </c>
      <c r="O6491">
        <v>-4.30379E-3</v>
      </c>
      <c r="P6491">
        <v>0.98044299999999995</v>
      </c>
      <c r="Q6491">
        <v>0.1700025</v>
      </c>
      <c r="R6491">
        <v>9.9149940000000006E-2</v>
      </c>
      <c r="S6491">
        <v>3.1030579999999999</v>
      </c>
      <c r="T6491">
        <v>-7.7510239999999994E-2</v>
      </c>
      <c r="U6491">
        <v>-0.29281620000000003</v>
      </c>
      <c r="V6491">
        <v>-0.10336090000000001</v>
      </c>
      <c r="W6491">
        <v>0.17876600000000001</v>
      </c>
      <c r="X6491">
        <v>0.97844739999999997</v>
      </c>
      <c r="Y6491">
        <v>8.9623439999999999E-2</v>
      </c>
      <c r="Z6491">
        <v>-1.4496310000000001E-3</v>
      </c>
      <c r="AA6491">
        <v>0.99597469999999999</v>
      </c>
      <c r="AB6491">
        <v>27</v>
      </c>
      <c r="AC6491">
        <v>46.317500000000003</v>
      </c>
      <c r="AD6491">
        <v>-1.160366</v>
      </c>
      <c r="AE6491">
        <v>-4.3829799999999999</v>
      </c>
      <c r="AF6491">
        <v>4.1809898278862603</v>
      </c>
      <c r="AG6491">
        <v>-1.160366</v>
      </c>
      <c r="AH6491">
        <v>46.307129646435797</v>
      </c>
      <c r="AI6491">
        <v>91.429606864547495</v>
      </c>
      <c r="AJ6491">
        <v>84.840852897404403</v>
      </c>
      <c r="AK6491">
        <v>46.509970772799399</v>
      </c>
      <c r="AL6491">
        <v>79.702109331889801</v>
      </c>
      <c r="AM6491">
        <v>96.030227730529504</v>
      </c>
      <c r="AN6491">
        <v>1.00000003648578</v>
      </c>
    </row>
    <row r="6492" spans="1:40" x14ac:dyDescent="0.25">
      <c r="A6492" t="str">
        <f>"20190304154924571"</f>
        <v>20190304154924571</v>
      </c>
      <c r="B6492" t="str">
        <f>"1551685764563481"</f>
        <v>1551685764563481</v>
      </c>
      <c r="C6492" t="s">
        <v>40</v>
      </c>
      <c r="D6492">
        <v>4.5411519999999896</v>
      </c>
      <c r="E6492">
        <v>0.57335019999999903</v>
      </c>
      <c r="F6492" t="s">
        <v>44</v>
      </c>
      <c r="G6492">
        <v>-320.3664</v>
      </c>
      <c r="H6492" s="1">
        <v>-5.7510819999999998E-6</v>
      </c>
      <c r="I6492">
        <v>12.75695</v>
      </c>
      <c r="J6492">
        <v>-363.99610000000001</v>
      </c>
      <c r="K6492">
        <v>1.1103620000000001</v>
      </c>
      <c r="L6492">
        <v>16.901029999999999</v>
      </c>
      <c r="M6492">
        <v>0.99995069999999997</v>
      </c>
      <c r="N6492">
        <v>-8.9468050000000004E-3</v>
      </c>
      <c r="O6492">
        <v>-4.3030809999999899E-3</v>
      </c>
      <c r="P6492">
        <v>0.98044659999999995</v>
      </c>
      <c r="Q6492">
        <v>0.1698702</v>
      </c>
      <c r="R6492">
        <v>9.9340289999999998E-2</v>
      </c>
      <c r="S6492">
        <v>3.1032099999999998</v>
      </c>
      <c r="T6492">
        <v>-7.8715800000000002E-2</v>
      </c>
      <c r="U6492">
        <v>-0.29382320000000001</v>
      </c>
      <c r="V6492">
        <v>-0.1035505</v>
      </c>
      <c r="W6492">
        <v>0.17863609999999999</v>
      </c>
      <c r="X6492">
        <v>0.97845110000000002</v>
      </c>
      <c r="Y6492">
        <v>8.9938799999999999E-2</v>
      </c>
      <c r="Z6492">
        <v>-1.470816E-3</v>
      </c>
      <c r="AA6492">
        <v>0.9959462</v>
      </c>
      <c r="AB6492">
        <v>27</v>
      </c>
      <c r="AC6492">
        <v>43.6297</v>
      </c>
      <c r="AD6492">
        <v>-1.110367751082</v>
      </c>
      <c r="AE6492">
        <v>-4.14407999999999</v>
      </c>
      <c r="AF6492">
        <v>3.95375405655078</v>
      </c>
      <c r="AG6492">
        <v>-1.110367751082</v>
      </c>
      <c r="AH6492">
        <v>43.619129852801798</v>
      </c>
      <c r="AI6492">
        <v>91.452254209026705</v>
      </c>
      <c r="AJ6492">
        <v>84.820711566260698</v>
      </c>
      <c r="AK6492">
        <v>43.812025481572</v>
      </c>
      <c r="AL6492">
        <v>79.709674046610502</v>
      </c>
      <c r="AM6492">
        <v>96.041184871599995</v>
      </c>
      <c r="AN6492">
        <v>1.0000000586823301</v>
      </c>
    </row>
    <row r="6493" spans="1:40" x14ac:dyDescent="0.25">
      <c r="A6493" t="str">
        <f>"20190304154924583"</f>
        <v>20190304154924583</v>
      </c>
      <c r="B6493" t="str">
        <f>"1551685764573241"</f>
        <v>1551685764573241</v>
      </c>
      <c r="C6493" t="s">
        <v>40</v>
      </c>
      <c r="D6493">
        <v>4.5398290000000001</v>
      </c>
      <c r="E6493">
        <v>0.57344069999999903</v>
      </c>
      <c r="F6493" t="s">
        <v>44</v>
      </c>
      <c r="G6493">
        <v>-320.50580000000002</v>
      </c>
      <c r="H6493" s="1">
        <v>-5.6813969999999996E-6</v>
      </c>
      <c r="I6493">
        <v>12.77829</v>
      </c>
      <c r="J6493">
        <v>-363.84440000000001</v>
      </c>
      <c r="K6493">
        <v>1.110363</v>
      </c>
      <c r="L6493">
        <v>16.900389999999899</v>
      </c>
      <c r="M6493">
        <v>0.99995080000000003</v>
      </c>
      <c r="N6493">
        <v>-8.9496239999999998E-3</v>
      </c>
      <c r="O6493">
        <v>-4.302373E-3</v>
      </c>
      <c r="P6493">
        <v>0.98047600000000001</v>
      </c>
      <c r="Q6493">
        <v>0.1696809</v>
      </c>
      <c r="R6493">
        <v>9.9375839999999993E-2</v>
      </c>
      <c r="S6493">
        <v>3.1033629999999999</v>
      </c>
      <c r="T6493">
        <v>-7.9233170000000006E-2</v>
      </c>
      <c r="U6493">
        <v>-0.29418949999999999</v>
      </c>
      <c r="V6493">
        <v>-0.1035857</v>
      </c>
      <c r="W6493">
        <v>0.17844979999999999</v>
      </c>
      <c r="X6493">
        <v>0.9784813</v>
      </c>
      <c r="Y6493">
        <v>9.0050909999999998E-2</v>
      </c>
      <c r="Z6493">
        <v>-1.4796049999999999E-3</v>
      </c>
      <c r="AA6493">
        <v>0.99593600000000004</v>
      </c>
      <c r="AB6493">
        <v>27</v>
      </c>
      <c r="AC6493">
        <v>43.3385999999999</v>
      </c>
      <c r="AD6493">
        <v>-1.110368681397</v>
      </c>
      <c r="AE6493">
        <v>-4.1220999999999899</v>
      </c>
      <c r="AF6493">
        <v>3.93303698073237</v>
      </c>
      <c r="AG6493">
        <v>-1.110368681397</v>
      </c>
      <c r="AH6493">
        <v>43.327747983952101</v>
      </c>
      <c r="AI6493">
        <v>91.462000430901995</v>
      </c>
      <c r="AJ6493">
        <v>84.813242653973404</v>
      </c>
      <c r="AK6493">
        <v>43.520057948735499</v>
      </c>
      <c r="AL6493">
        <v>79.720521863292404</v>
      </c>
      <c r="AM6493">
        <v>96.043038123283694</v>
      </c>
      <c r="AN6493">
        <v>0.99999999140711004</v>
      </c>
    </row>
    <row r="6494" spans="1:40" x14ac:dyDescent="0.25">
      <c r="A6494" t="str">
        <f>"20190304154924597"</f>
        <v>20190304154924597</v>
      </c>
      <c r="B6494" t="str">
        <f>"1551685764593737"</f>
        <v>1551685764593737</v>
      </c>
      <c r="C6494" t="s">
        <v>40</v>
      </c>
      <c r="D6494">
        <v>4.5839939999999997</v>
      </c>
      <c r="E6494">
        <v>0.57345360000000001</v>
      </c>
      <c r="F6494" t="s">
        <v>44</v>
      </c>
      <c r="G6494">
        <v>-320.67380000000003</v>
      </c>
      <c r="H6494" s="1">
        <v>-5.5983579999999997E-6</v>
      </c>
      <c r="I6494">
        <v>12.79862</v>
      </c>
      <c r="J6494">
        <v>-363.6832</v>
      </c>
      <c r="K6494">
        <v>1.110363</v>
      </c>
      <c r="L6494">
        <v>16.89969</v>
      </c>
      <c r="M6494">
        <v>0.99995069999999997</v>
      </c>
      <c r="N6494">
        <v>-8.9526199999999997E-3</v>
      </c>
      <c r="O6494">
        <v>-4.3015459999999998E-3</v>
      </c>
      <c r="P6494">
        <v>0.98041929999999999</v>
      </c>
      <c r="Q6494">
        <v>0.16999909999999999</v>
      </c>
      <c r="R6494">
        <v>9.9388690000000002E-2</v>
      </c>
      <c r="S6494">
        <v>3.1033629999999999</v>
      </c>
      <c r="T6494">
        <v>-7.9820160000000001E-2</v>
      </c>
      <c r="U6494">
        <v>-0.29486079999999998</v>
      </c>
      <c r="V6494">
        <v>-0.1035978</v>
      </c>
      <c r="W6494">
        <v>0.17877029999999999</v>
      </c>
      <c r="X6494">
        <v>0.97842150000000006</v>
      </c>
      <c r="Y6494">
        <v>9.0264670000000005E-2</v>
      </c>
      <c r="Z6494">
        <v>-1.491144E-3</v>
      </c>
      <c r="AA6494">
        <v>0.99591669999999999</v>
      </c>
      <c r="AB6494">
        <v>27</v>
      </c>
      <c r="AC6494">
        <v>43.0093999999999</v>
      </c>
      <c r="AD6494">
        <v>-1.1103685983580001</v>
      </c>
      <c r="AE6494">
        <v>-4.10107</v>
      </c>
      <c r="AF6494">
        <v>3.91343288742218</v>
      </c>
      <c r="AG6494">
        <v>-1.1103685983580001</v>
      </c>
      <c r="AH6494">
        <v>42.998243110529799</v>
      </c>
      <c r="AI6494">
        <v>91.473167210217696</v>
      </c>
      <c r="AJ6494">
        <v>84.799621742789896</v>
      </c>
      <c r="AK6494">
        <v>43.190239475844599</v>
      </c>
      <c r="AL6494">
        <v>79.7018583173991</v>
      </c>
      <c r="AM6494">
        <v>96.044105447514696</v>
      </c>
      <c r="AN6494">
        <v>0.99999997799458895</v>
      </c>
    </row>
    <row r="6495" spans="1:40" x14ac:dyDescent="0.25">
      <c r="A6495" t="str">
        <f>"20190304154924615"</f>
        <v>20190304154924615</v>
      </c>
      <c r="B6495" t="str">
        <f>"1551685764603496"</f>
        <v>1551685764603496</v>
      </c>
      <c r="C6495" t="s">
        <v>40</v>
      </c>
      <c r="D6495">
        <v>4.5275109999999996</v>
      </c>
      <c r="E6495">
        <v>0.57346919999999901</v>
      </c>
      <c r="F6495" t="s">
        <v>44</v>
      </c>
      <c r="G6495">
        <v>-320.36610000000002</v>
      </c>
      <c r="H6495" s="1">
        <v>-5.7469330000000003E-6</v>
      </c>
      <c r="I6495">
        <v>12.780989999999999</v>
      </c>
      <c r="J6495">
        <v>-363.46379999999999</v>
      </c>
      <c r="K6495">
        <v>1.110365</v>
      </c>
      <c r="L6495">
        <v>16.89874</v>
      </c>
      <c r="M6495">
        <v>0.99995080000000003</v>
      </c>
      <c r="N6495">
        <v>-8.9566899999999998E-3</v>
      </c>
      <c r="O6495">
        <v>-4.3006040000000004E-3</v>
      </c>
      <c r="P6495">
        <v>0.98035649999999996</v>
      </c>
      <c r="Q6495">
        <v>0.17021849999999999</v>
      </c>
      <c r="R6495">
        <v>9.9635379999999996E-2</v>
      </c>
      <c r="S6495">
        <v>3.1036679999999999</v>
      </c>
      <c r="T6495">
        <v>-7.9557900000000001E-2</v>
      </c>
      <c r="U6495">
        <v>-0.29510500000000001</v>
      </c>
      <c r="V6495">
        <v>-0.10384359999999999</v>
      </c>
      <c r="W6495">
        <v>0.1789927</v>
      </c>
      <c r="X6495">
        <v>0.97835479999999997</v>
      </c>
      <c r="Y6495">
        <v>9.0334239999999996E-2</v>
      </c>
      <c r="Z6495">
        <v>-1.489017E-3</v>
      </c>
      <c r="AA6495">
        <v>0.99591039999999997</v>
      </c>
      <c r="AB6495">
        <v>27</v>
      </c>
      <c r="AC6495">
        <v>43.097699999999897</v>
      </c>
      <c r="AD6495">
        <v>-1.110370746933</v>
      </c>
      <c r="AE6495">
        <v>-4.11775</v>
      </c>
      <c r="AF6495">
        <v>3.9297734413597398</v>
      </c>
      <c r="AG6495">
        <v>-1.110370746933</v>
      </c>
      <c r="AH6495">
        <v>43.086669348055601</v>
      </c>
      <c r="AI6495">
        <v>91.4701224634167</v>
      </c>
      <c r="AJ6495">
        <v>84.788685265601003</v>
      </c>
      <c r="AK6495">
        <v>43.279754135215804</v>
      </c>
      <c r="AL6495">
        <v>79.688907037660201</v>
      </c>
      <c r="AM6495">
        <v>96.058749350861802</v>
      </c>
      <c r="AN6495">
        <v>0.99999999729864397</v>
      </c>
    </row>
    <row r="6496" spans="1:40" x14ac:dyDescent="0.25">
      <c r="A6496" t="str">
        <f>"20190304154924627"</f>
        <v>20190304154924627</v>
      </c>
      <c r="B6496" t="str">
        <f>"1551685764623992"</f>
        <v>1551685764623992</v>
      </c>
      <c r="C6496" t="s">
        <v>40</v>
      </c>
      <c r="D6496">
        <v>4.5941830000000001</v>
      </c>
      <c r="E6496">
        <v>0.57358140000000002</v>
      </c>
      <c r="F6496" t="s">
        <v>45</v>
      </c>
      <c r="G6496">
        <v>-317.8295</v>
      </c>
      <c r="H6496">
        <v>-0.05</v>
      </c>
      <c r="I6496">
        <v>12.568849999999999</v>
      </c>
      <c r="J6496">
        <v>-363.3014</v>
      </c>
      <c r="K6496">
        <v>1.1103700000000001</v>
      </c>
      <c r="L6496">
        <v>16.898009999999999</v>
      </c>
      <c r="M6496">
        <v>0.99995060000000002</v>
      </c>
      <c r="N6496">
        <v>-8.9596980000000003E-3</v>
      </c>
      <c r="O6496">
        <v>-4.2998979999999999E-3</v>
      </c>
      <c r="P6496">
        <v>0.98033990000000004</v>
      </c>
      <c r="Q6496">
        <v>0.17028460000000001</v>
      </c>
      <c r="R6496">
        <v>9.9683869999999994E-2</v>
      </c>
      <c r="S6496">
        <v>3.10379</v>
      </c>
      <c r="T6496">
        <v>-7.8921560000000002E-2</v>
      </c>
      <c r="U6496">
        <v>-0.2944946</v>
      </c>
      <c r="V6496">
        <v>-0.10389130000000001</v>
      </c>
      <c r="W6496">
        <v>0.17906159999999999</v>
      </c>
      <c r="X6496">
        <v>0.97833709999999996</v>
      </c>
      <c r="Y6496">
        <v>9.0137759999999997E-2</v>
      </c>
      <c r="Z6496">
        <v>-1.477412E-3</v>
      </c>
      <c r="AA6496">
        <v>0.99592820000000004</v>
      </c>
      <c r="AB6496">
        <v>27</v>
      </c>
      <c r="AC6496">
        <v>45.471899999999998</v>
      </c>
      <c r="AD6496">
        <v>-1.1603699999999999</v>
      </c>
      <c r="AE6496">
        <v>-4.3291599999999999</v>
      </c>
      <c r="AF6496">
        <v>4.1309217461286796</v>
      </c>
      <c r="AG6496">
        <v>-1.1603699999999999</v>
      </c>
      <c r="AH6496">
        <v>45.460757680613597</v>
      </c>
      <c r="AI6496">
        <v>91.456140636658304</v>
      </c>
      <c r="AJ6496">
        <v>84.807914117327201</v>
      </c>
      <c r="AK6496">
        <v>45.662801730785198</v>
      </c>
      <c r="AL6496">
        <v>79.684894248523193</v>
      </c>
      <c r="AM6496">
        <v>96.061620538206697</v>
      </c>
      <c r="AN6496">
        <v>0.99999997002332897</v>
      </c>
    </row>
    <row r="6497" spans="1:40" x14ac:dyDescent="0.25">
      <c r="A6497" t="str">
        <f>"20190304154924646"</f>
        <v>20190304154924646</v>
      </c>
      <c r="B6497" t="str">
        <f>"1551685764643512"</f>
        <v>1551685764643512</v>
      </c>
      <c r="C6497" t="s">
        <v>40</v>
      </c>
      <c r="D6497">
        <v>4.5692130000000004</v>
      </c>
      <c r="E6497">
        <v>0.57369040000000004</v>
      </c>
      <c r="F6497" t="s">
        <v>45</v>
      </c>
      <c r="G6497">
        <v>-317.84840000000003</v>
      </c>
      <c r="H6497">
        <v>-0.05</v>
      </c>
      <c r="I6497">
        <v>12.57442</v>
      </c>
      <c r="J6497">
        <v>-363.08260000000001</v>
      </c>
      <c r="K6497">
        <v>1.110366</v>
      </c>
      <c r="L6497">
        <v>16.89706</v>
      </c>
      <c r="M6497">
        <v>0.99995060000000002</v>
      </c>
      <c r="N6497">
        <v>-8.9671070000000002E-3</v>
      </c>
      <c r="O6497">
        <v>-4.2990909999999997E-3</v>
      </c>
      <c r="P6497">
        <v>0.98028059999999995</v>
      </c>
      <c r="Q6497">
        <v>0.1705711</v>
      </c>
      <c r="R6497">
        <v>9.9777989999999997E-2</v>
      </c>
      <c r="S6497">
        <v>3.1039729999999999</v>
      </c>
      <c r="T6497">
        <v>-7.9241389999999995E-2</v>
      </c>
      <c r="U6497">
        <v>-0.29525759999999901</v>
      </c>
      <c r="V6497">
        <v>-0.10398449999999999</v>
      </c>
      <c r="W6497">
        <v>0.17935479999999901</v>
      </c>
      <c r="X6497">
        <v>0.97827350000000002</v>
      </c>
      <c r="Y6497">
        <v>9.0375259999999999E-2</v>
      </c>
      <c r="Z6497">
        <v>-1.4860050000000001E-3</v>
      </c>
      <c r="AA6497">
        <v>0.99590670000000003</v>
      </c>
      <c r="AB6497">
        <v>27</v>
      </c>
      <c r="AC6497">
        <v>45.234199999999902</v>
      </c>
      <c r="AD6497">
        <v>-1.160366</v>
      </c>
      <c r="AE6497">
        <v>-4.3226399999999998</v>
      </c>
      <c r="AF6497">
        <v>4.1254361390787899</v>
      </c>
      <c r="AG6497">
        <v>-1.160366</v>
      </c>
      <c r="AH6497">
        <v>45.222876689768903</v>
      </c>
      <c r="AI6497">
        <v>91.463744723927306</v>
      </c>
      <c r="AJ6497">
        <v>84.787645828282194</v>
      </c>
      <c r="AK6497">
        <v>45.425480170160199</v>
      </c>
      <c r="AL6497">
        <v>79.667818803262193</v>
      </c>
      <c r="AM6497">
        <v>96.067409317210505</v>
      </c>
      <c r="AN6497">
        <v>0.99999998066276896</v>
      </c>
    </row>
    <row r="6498" spans="1:40" x14ac:dyDescent="0.25">
      <c r="A6498" t="str">
        <f>"20190304154924659"</f>
        <v>20190304154924659</v>
      </c>
      <c r="B6498" t="str">
        <f>"1551685764653273"</f>
        <v>1551685764653273</v>
      </c>
      <c r="C6498" t="s">
        <v>40</v>
      </c>
      <c r="D6498">
        <v>4.632479</v>
      </c>
      <c r="E6498">
        <v>0.57368660000000005</v>
      </c>
      <c r="F6498" t="s">
        <v>45</v>
      </c>
      <c r="G6498">
        <v>-317.59179999999998</v>
      </c>
      <c r="H6498">
        <v>-0.05</v>
      </c>
      <c r="I6498">
        <v>12.566240000000001</v>
      </c>
      <c r="J6498">
        <v>-362.93060000000003</v>
      </c>
      <c r="K6498">
        <v>1.1103700000000001</v>
      </c>
      <c r="L6498">
        <v>16.896419999999999</v>
      </c>
      <c r="M6498">
        <v>0.99995060000000002</v>
      </c>
      <c r="N6498">
        <v>-8.9757429999999996E-3</v>
      </c>
      <c r="O6498">
        <v>-4.2986509999999997E-3</v>
      </c>
      <c r="P6498">
        <v>0.98029949999999999</v>
      </c>
      <c r="Q6498">
        <v>0.17043269999999999</v>
      </c>
      <c r="R6498">
        <v>9.9829669999999995E-2</v>
      </c>
      <c r="S6498">
        <v>3.1042480000000001</v>
      </c>
      <c r="T6498">
        <v>-7.9182390000000005E-2</v>
      </c>
      <c r="U6498">
        <v>-0.29553220000000002</v>
      </c>
      <c r="V6498">
        <v>-0.104036</v>
      </c>
      <c r="W6498">
        <v>0.17922489999999999</v>
      </c>
      <c r="X6498">
        <v>0.97829189999999999</v>
      </c>
      <c r="Y6498">
        <v>9.0454729999999997E-2</v>
      </c>
      <c r="Z6498">
        <v>-1.4869389999999901E-3</v>
      </c>
      <c r="AA6498">
        <v>0.99589939999999999</v>
      </c>
      <c r="AB6498">
        <v>27</v>
      </c>
      <c r="AC6498">
        <v>45.338799999999999</v>
      </c>
      <c r="AD6498">
        <v>-1.1603699999999999</v>
      </c>
      <c r="AE6498">
        <v>-4.3301800000000004</v>
      </c>
      <c r="AF6498">
        <v>4.1325540564528298</v>
      </c>
      <c r="AG6498">
        <v>-1.1603699999999999</v>
      </c>
      <c r="AH6498">
        <v>45.327573769696798</v>
      </c>
      <c r="AI6498">
        <v>91.460377368627405</v>
      </c>
      <c r="AJ6498">
        <v>84.790695897830304</v>
      </c>
      <c r="AK6498">
        <v>45.5303569655863</v>
      </c>
      <c r="AL6498">
        <v>79.675384812388501</v>
      </c>
      <c r="AM6498">
        <v>96.070278546787193</v>
      </c>
      <c r="AN6498">
        <v>1.0000000478408</v>
      </c>
    </row>
    <row r="6499" spans="1:40" x14ac:dyDescent="0.25">
      <c r="A6499" t="str">
        <f>"20190304154924670"</f>
        <v>20190304154924670</v>
      </c>
      <c r="B6499" t="str">
        <f>"1551685764664009"</f>
        <v>1551685764664009</v>
      </c>
      <c r="C6499" t="s">
        <v>40</v>
      </c>
      <c r="D6499">
        <v>4.6298579999999996</v>
      </c>
      <c r="E6499">
        <v>0.57368299999999905</v>
      </c>
      <c r="F6499" t="s">
        <v>44</v>
      </c>
      <c r="G6499">
        <v>-320.10640000000001</v>
      </c>
      <c r="H6499" s="1">
        <v>-5.8618269999999899E-6</v>
      </c>
      <c r="I6499">
        <v>12.825469999999999</v>
      </c>
      <c r="J6499">
        <v>-362.78429999999997</v>
      </c>
      <c r="K6499">
        <v>1.1103719999999999</v>
      </c>
      <c r="L6499">
        <v>16.895779999999998</v>
      </c>
      <c r="M6499">
        <v>0.99995029999999996</v>
      </c>
      <c r="N6499">
        <v>-8.9861490000000006E-3</v>
      </c>
      <c r="O6499">
        <v>-4.2981E-3</v>
      </c>
      <c r="P6499">
        <v>0.98030119999999998</v>
      </c>
      <c r="Q6499">
        <v>0.1703693</v>
      </c>
      <c r="R6499">
        <v>9.9919129999999995E-2</v>
      </c>
      <c r="S6499">
        <v>3.1043400000000001</v>
      </c>
      <c r="T6499">
        <v>-8.049154E-2</v>
      </c>
      <c r="U6499">
        <v>-0.29510500000000001</v>
      </c>
      <c r="V6499">
        <v>-0.1041252</v>
      </c>
      <c r="W6499">
        <v>0.17917139999999901</v>
      </c>
      <c r="X6499">
        <v>0.97829219999999895</v>
      </c>
      <c r="Y6499">
        <v>9.0315610000000004E-2</v>
      </c>
      <c r="Z6499">
        <v>-1.502228E-3</v>
      </c>
      <c r="AA6499">
        <v>0.99591209999999997</v>
      </c>
      <c r="AB6499">
        <v>27</v>
      </c>
      <c r="AC6499">
        <v>42.677899999999902</v>
      </c>
      <c r="AD6499">
        <v>-1.1103778618269999</v>
      </c>
      <c r="AE6499">
        <v>-4.0703099999999903</v>
      </c>
      <c r="AF6499">
        <v>3.8842254971373298</v>
      </c>
      <c r="AG6499">
        <v>-1.1103778618269999</v>
      </c>
      <c r="AH6499">
        <v>42.666379799644098</v>
      </c>
      <c r="AI6499">
        <v>91.484629792213795</v>
      </c>
      <c r="AJ6499">
        <v>84.798294232918707</v>
      </c>
      <c r="AK6499">
        <v>42.857206067546201</v>
      </c>
      <c r="AL6499">
        <v>79.678500470801495</v>
      </c>
      <c r="AM6499">
        <v>96.075442418364105</v>
      </c>
      <c r="AN6499">
        <v>1.0000000382169101</v>
      </c>
    </row>
    <row r="6500" spans="1:40" x14ac:dyDescent="0.25">
      <c r="A6500" t="str">
        <f>"20190304154924682"</f>
        <v>20190304154924682</v>
      </c>
      <c r="B6500" t="str">
        <f>"1551685764673769"</f>
        <v>1551685764673769</v>
      </c>
      <c r="C6500" t="s">
        <v>40</v>
      </c>
      <c r="D6500">
        <v>4.6531060000000002</v>
      </c>
      <c r="E6500">
        <v>0.57367650000000003</v>
      </c>
      <c r="F6500" t="s">
        <v>44</v>
      </c>
      <c r="G6500">
        <v>-320.35590000000002</v>
      </c>
      <c r="H6500" s="1">
        <v>-5.7364949999999997E-6</v>
      </c>
      <c r="I6500">
        <v>12.867190000000001</v>
      </c>
      <c r="J6500">
        <v>-362.63339999999999</v>
      </c>
      <c r="K6500">
        <v>1.110376</v>
      </c>
      <c r="L6500">
        <v>16.895139999999898</v>
      </c>
      <c r="M6500">
        <v>0.99995040000000002</v>
      </c>
      <c r="N6500">
        <v>-8.9993929999999996E-3</v>
      </c>
      <c r="O6500">
        <v>-4.2979189999999999E-3</v>
      </c>
      <c r="P6500">
        <v>0.98029200000000005</v>
      </c>
      <c r="Q6500">
        <v>0.17046259999999999</v>
      </c>
      <c r="R6500">
        <v>9.9851789999999996E-2</v>
      </c>
      <c r="S6500">
        <v>3.1044619999999998</v>
      </c>
      <c r="T6500">
        <v>-8.1245659999999997E-2</v>
      </c>
      <c r="U6500">
        <v>-0.29476930000000001</v>
      </c>
      <c r="V6500">
        <v>-0.104057399999999</v>
      </c>
      <c r="W6500">
        <v>0.17927789999999999</v>
      </c>
      <c r="X6500">
        <v>0.97827989999999998</v>
      </c>
      <c r="Y6500">
        <v>9.0204759999999995E-2</v>
      </c>
      <c r="Z6500">
        <v>-1.51080299999999E-3</v>
      </c>
      <c r="AA6500">
        <v>0.99592210000000003</v>
      </c>
      <c r="AB6500">
        <v>27</v>
      </c>
      <c r="AC6500">
        <v>42.277499999999897</v>
      </c>
      <c r="AD6500">
        <v>-1.1103817364949999</v>
      </c>
      <c r="AE6500">
        <v>-4.0279499999999899</v>
      </c>
      <c r="AF6500">
        <v>3.84357272549894</v>
      </c>
      <c r="AG6500">
        <v>-1.1103817364949999</v>
      </c>
      <c r="AH6500">
        <v>42.265529302005802</v>
      </c>
      <c r="AI6500">
        <v>91.498722312166194</v>
      </c>
      <c r="AJ6500">
        <v>84.803887940203694</v>
      </c>
      <c r="AK6500">
        <v>42.454457552483802</v>
      </c>
      <c r="AL6500">
        <v>79.672298011771204</v>
      </c>
      <c r="AM6500">
        <v>96.0715917850425</v>
      </c>
      <c r="AN6500">
        <v>1.0000000353335801</v>
      </c>
    </row>
    <row r="6501" spans="1:40" x14ac:dyDescent="0.25">
      <c r="A6501" t="str">
        <f>"20190304154924695"</f>
        <v>20190304154924695</v>
      </c>
      <c r="B6501" t="str">
        <f>"1551685764683529"</f>
        <v>1551685764683529</v>
      </c>
      <c r="C6501" t="s">
        <v>40</v>
      </c>
      <c r="D6501">
        <v>4.6175579999999998</v>
      </c>
      <c r="E6501">
        <v>0.57368350000000001</v>
      </c>
      <c r="F6501" t="s">
        <v>44</v>
      </c>
      <c r="G6501">
        <v>-320.43329999999997</v>
      </c>
      <c r="H6501" s="1">
        <v>-5.6963519999999997E-6</v>
      </c>
      <c r="I6501">
        <v>12.88706</v>
      </c>
      <c r="J6501">
        <v>-362.49090000000001</v>
      </c>
      <c r="K6501">
        <v>1.1103730000000001</v>
      </c>
      <c r="L6501">
        <v>16.89453</v>
      </c>
      <c r="M6501">
        <v>0.99995020000000001</v>
      </c>
      <c r="N6501">
        <v>-9.0134870000000006E-3</v>
      </c>
      <c r="O6501">
        <v>-4.2973849999999999E-3</v>
      </c>
      <c r="P6501">
        <v>0.98027180000000003</v>
      </c>
      <c r="Q6501">
        <v>0.1707766</v>
      </c>
      <c r="R6501">
        <v>9.9511740000000001E-2</v>
      </c>
      <c r="S6501">
        <v>3.1045229999999999</v>
      </c>
      <c r="T6501">
        <v>-8.1687209999999996E-2</v>
      </c>
      <c r="U6501">
        <v>-0.29486079999999998</v>
      </c>
      <c r="V6501">
        <v>-0.10371660000000001</v>
      </c>
      <c r="W6501">
        <v>0.1796053</v>
      </c>
      <c r="X6501">
        <v>0.97825600000000001</v>
      </c>
      <c r="Y6501">
        <v>9.0232140000000002E-2</v>
      </c>
      <c r="Z6501">
        <v>-1.517759E-3</v>
      </c>
      <c r="AA6501">
        <v>0.99591960000000002</v>
      </c>
      <c r="AB6501">
        <v>27</v>
      </c>
      <c r="AC6501">
        <v>42.057600000000001</v>
      </c>
      <c r="AD6501">
        <v>-1.1103786963519999</v>
      </c>
      <c r="AE6501">
        <v>-4.0074699999999996</v>
      </c>
      <c r="AF6501">
        <v>3.8240464581815798</v>
      </c>
      <c r="AG6501">
        <v>-1.1103786963519999</v>
      </c>
      <c r="AH6501">
        <v>42.045390629653298</v>
      </c>
      <c r="AI6501">
        <v>91.506559908197502</v>
      </c>
      <c r="AJ6501">
        <v>84.803221823608098</v>
      </c>
      <c r="AK6501">
        <v>42.233531054883201</v>
      </c>
      <c r="AL6501">
        <v>79.653229494290997</v>
      </c>
      <c r="AM6501">
        <v>96.052001188255602</v>
      </c>
      <c r="AN6501">
        <v>0.99999999921982496</v>
      </c>
    </row>
    <row r="6502" spans="1:40" x14ac:dyDescent="0.25">
      <c r="A6502" t="str">
        <f>"20190304154924705"</f>
        <v>20190304154924705</v>
      </c>
      <c r="B6502" t="str">
        <f>"1551685764704025"</f>
        <v>1551685764704025</v>
      </c>
      <c r="C6502" t="s">
        <v>40</v>
      </c>
      <c r="D6502">
        <v>4.6512390000000003</v>
      </c>
      <c r="E6502">
        <v>0.57372190000000001</v>
      </c>
      <c r="F6502" t="s">
        <v>44</v>
      </c>
      <c r="G6502">
        <v>-320.05599999999998</v>
      </c>
      <c r="H6502" s="1">
        <v>-5.8810799999999998E-6</v>
      </c>
      <c r="I6502">
        <v>12.851229999999999</v>
      </c>
      <c r="J6502">
        <v>-362.34530000000001</v>
      </c>
      <c r="K6502">
        <v>1.1103769999999999</v>
      </c>
      <c r="L6502">
        <v>16.893920000000001</v>
      </c>
      <c r="M6502">
        <v>0.99995009999999995</v>
      </c>
      <c r="N6502">
        <v>-9.0318140000000009E-3</v>
      </c>
      <c r="O6502">
        <v>-4.297347E-3</v>
      </c>
      <c r="P6502">
        <v>0.98018430000000001</v>
      </c>
      <c r="Q6502">
        <v>0.17137279999999999</v>
      </c>
      <c r="R6502">
        <v>9.9349170000000001E-2</v>
      </c>
      <c r="S6502">
        <v>3.1045229999999999</v>
      </c>
      <c r="T6502">
        <v>-8.1234929999999997E-2</v>
      </c>
      <c r="U6502">
        <v>-0.29580689999999998</v>
      </c>
      <c r="V6502">
        <v>-0.1035537</v>
      </c>
      <c r="W6502">
        <v>0.18021889999999999</v>
      </c>
      <c r="X6502">
        <v>0.97816040000000004</v>
      </c>
      <c r="Y6502">
        <v>9.0533169999999996E-2</v>
      </c>
      <c r="Z6502">
        <v>-1.5180180000000001E-3</v>
      </c>
      <c r="AA6502">
        <v>0.99589229999999995</v>
      </c>
      <c r="AB6502">
        <v>27</v>
      </c>
      <c r="AC6502">
        <v>42.289299999999997</v>
      </c>
      <c r="AD6502">
        <v>-1.1103828810800001</v>
      </c>
      <c r="AE6502">
        <v>-4.0426900000000003</v>
      </c>
      <c r="AF6502">
        <v>3.85827759180432</v>
      </c>
      <c r="AG6502">
        <v>-1.1103828810800001</v>
      </c>
      <c r="AH6502">
        <v>42.277400054140799</v>
      </c>
      <c r="AI6502">
        <v>91.498259625131695</v>
      </c>
      <c r="AJ6502">
        <v>84.785574379955307</v>
      </c>
      <c r="AK6502">
        <v>42.467608967963798</v>
      </c>
      <c r="AL6502">
        <v>79.617489574382802</v>
      </c>
      <c r="AM6502">
        <v>96.043152334356904</v>
      </c>
      <c r="AN6502">
        <v>0.99999999441453002</v>
      </c>
    </row>
    <row r="6503" spans="1:40" x14ac:dyDescent="0.25">
      <c r="A6503" t="str">
        <f>"20190304154924725"</f>
        <v>20190304154924725</v>
      </c>
      <c r="B6503" t="str">
        <f>"1551685764713788"</f>
        <v>1551685764713788</v>
      </c>
      <c r="C6503" t="s">
        <v>40</v>
      </c>
      <c r="D6503">
        <v>4.6148920000000002</v>
      </c>
      <c r="E6503">
        <v>0.57375039999999999</v>
      </c>
      <c r="F6503" t="s">
        <v>45</v>
      </c>
      <c r="G6503">
        <v>-317.49110000000002</v>
      </c>
      <c r="H6503">
        <v>-0.05</v>
      </c>
      <c r="I6503">
        <v>12.6107</v>
      </c>
      <c r="J6503">
        <v>-362.11669999999998</v>
      </c>
      <c r="K6503">
        <v>1.110387</v>
      </c>
      <c r="L6503">
        <v>16.892879999999899</v>
      </c>
      <c r="M6503">
        <v>0.9999498</v>
      </c>
      <c r="N6503">
        <v>-9.0646870000000001E-3</v>
      </c>
      <c r="O6503">
        <v>-4.2970179999999997E-3</v>
      </c>
      <c r="P6503">
        <v>0.98010640000000004</v>
      </c>
      <c r="Q6503">
        <v>0.17218849999999999</v>
      </c>
      <c r="R6503">
        <v>9.8705719999999997E-2</v>
      </c>
      <c r="S6503">
        <v>3.1047359999999999</v>
      </c>
      <c r="T6503">
        <v>-8.0319399999999999E-2</v>
      </c>
      <c r="U6503">
        <v>-0.29647829999999997</v>
      </c>
      <c r="V6503">
        <v>-0.1029096</v>
      </c>
      <c r="W6503">
        <v>0.18106539999999999</v>
      </c>
      <c r="X6503">
        <v>0.97807200000000005</v>
      </c>
      <c r="Y6503">
        <v>9.0741100000000005E-2</v>
      </c>
      <c r="Z6503">
        <v>-1.511154E-3</v>
      </c>
      <c r="AA6503">
        <v>0.99587340000000002</v>
      </c>
      <c r="AB6503">
        <v>27</v>
      </c>
      <c r="AC6503">
        <v>44.625599999999899</v>
      </c>
      <c r="AD6503">
        <v>-1.1603870000000001</v>
      </c>
      <c r="AE6503">
        <v>-4.2821799999999897</v>
      </c>
      <c r="AF6503">
        <v>4.08763699611929</v>
      </c>
      <c r="AG6503">
        <v>-1.1603870000000001</v>
      </c>
      <c r="AH6503">
        <v>44.6136993832028</v>
      </c>
      <c r="AI6503">
        <v>91.483695811430294</v>
      </c>
      <c r="AJ6503">
        <v>84.7650100828413</v>
      </c>
      <c r="AK6503">
        <v>44.815593791186103</v>
      </c>
      <c r="AL6503">
        <v>79.568176998087196</v>
      </c>
      <c r="AM6503">
        <v>96.006378592985897</v>
      </c>
      <c r="AN6503">
        <v>0.99999995101665795</v>
      </c>
    </row>
    <row r="6504" spans="1:40" x14ac:dyDescent="0.25">
      <c r="A6504" t="str">
        <f>"20190304154924738"</f>
        <v>20190304154924738</v>
      </c>
      <c r="B6504" t="str">
        <f>"1551685764733304"</f>
        <v>1551685764733304</v>
      </c>
      <c r="C6504" t="s">
        <v>40</v>
      </c>
      <c r="D6504">
        <v>4.6410720000000003</v>
      </c>
      <c r="E6504">
        <v>0.57383919999999999</v>
      </c>
      <c r="F6504" t="s">
        <v>45</v>
      </c>
      <c r="G6504">
        <v>-316.02929999999998</v>
      </c>
      <c r="H6504">
        <v>-0.05</v>
      </c>
      <c r="I6504">
        <v>12.460190000000001</v>
      </c>
      <c r="J6504">
        <v>-361.97129999999999</v>
      </c>
      <c r="K6504">
        <v>1.110393</v>
      </c>
      <c r="L6504">
        <v>16.89227</v>
      </c>
      <c r="M6504">
        <v>0.99994959999999999</v>
      </c>
      <c r="N6504">
        <v>-9.0892479999999994E-3</v>
      </c>
      <c r="O6504">
        <v>-4.2967719999999999E-3</v>
      </c>
      <c r="P6504">
        <v>0.98006689999999996</v>
      </c>
      <c r="Q6504">
        <v>0.17252770000000001</v>
      </c>
      <c r="R6504">
        <v>9.8505449999999994E-2</v>
      </c>
      <c r="S6504">
        <v>3.1047359999999999</v>
      </c>
      <c r="T6504">
        <v>-7.8171009999999999E-2</v>
      </c>
      <c r="U6504">
        <v>-0.2986145</v>
      </c>
      <c r="V6504">
        <v>-0.10270899999999999</v>
      </c>
      <c r="W6504">
        <v>0.18142829999999999</v>
      </c>
      <c r="X6504">
        <v>0.9780259</v>
      </c>
      <c r="Y6504">
        <v>9.1421810000000006E-2</v>
      </c>
      <c r="Z6504">
        <v>-1.495662E-3</v>
      </c>
      <c r="AA6504">
        <v>0.99581109999999995</v>
      </c>
      <c r="AB6504">
        <v>27</v>
      </c>
      <c r="AC6504">
        <v>45.942</v>
      </c>
      <c r="AD6504">
        <v>-1.160393</v>
      </c>
      <c r="AE6504">
        <v>-4.43208</v>
      </c>
      <c r="AF6504">
        <v>4.2319537532663496</v>
      </c>
      <c r="AG6504">
        <v>-1.160393</v>
      </c>
      <c r="AH6504">
        <v>45.931588170442701</v>
      </c>
      <c r="AI6504">
        <v>91.441083299382299</v>
      </c>
      <c r="AJ6504">
        <v>84.735857158689498</v>
      </c>
      <c r="AK6504">
        <v>46.1407275229096</v>
      </c>
      <c r="AL6504">
        <v>79.547034848148499</v>
      </c>
      <c r="AM6504">
        <v>95.995036308917506</v>
      </c>
      <c r="AN6504">
        <v>1.0000000138963401</v>
      </c>
    </row>
    <row r="6505" spans="1:40" x14ac:dyDescent="0.25">
      <c r="A6505" t="str">
        <f>"20190304154924749"</f>
        <v>20190304154924749</v>
      </c>
      <c r="B6505" t="str">
        <f>"1551685764744041"</f>
        <v>1551685764744041</v>
      </c>
      <c r="C6505" t="s">
        <v>40</v>
      </c>
      <c r="D6505">
        <v>4.6327990000000003</v>
      </c>
      <c r="E6505">
        <v>0.5738856</v>
      </c>
      <c r="F6505" t="s">
        <v>45</v>
      </c>
      <c r="G6505">
        <v>-315.49709999999999</v>
      </c>
      <c r="H6505">
        <v>-0.05</v>
      </c>
      <c r="I6505">
        <v>12.40016</v>
      </c>
      <c r="J6505">
        <v>-361.80450000000002</v>
      </c>
      <c r="K6505">
        <v>1.1104000000000001</v>
      </c>
      <c r="L6505">
        <v>16.891539999999999</v>
      </c>
      <c r="M6505">
        <v>0.99994930000000004</v>
      </c>
      <c r="N6505">
        <v>-9.1209949999999998E-3</v>
      </c>
      <c r="O6505">
        <v>-4.2965590000000001E-3</v>
      </c>
      <c r="P6505">
        <v>0.97999360000000002</v>
      </c>
      <c r="Q6505">
        <v>0.17314869999999999</v>
      </c>
      <c r="R6505">
        <v>9.81432E-2</v>
      </c>
      <c r="S6505">
        <v>3.1048580000000001</v>
      </c>
      <c r="T6505">
        <v>-7.7523709999999996E-2</v>
      </c>
      <c r="U6505">
        <v>-0.30010989999999999</v>
      </c>
      <c r="V6505">
        <v>-0.1023463</v>
      </c>
      <c r="W6505">
        <v>0.18208009999999999</v>
      </c>
      <c r="X6505">
        <v>0.9779428</v>
      </c>
      <c r="Y6505">
        <v>9.1893779999999994E-2</v>
      </c>
      <c r="Z6505">
        <v>-1.496624E-3</v>
      </c>
      <c r="AA6505">
        <v>0.99576770000000003</v>
      </c>
      <c r="AB6505">
        <v>27</v>
      </c>
      <c r="AC6505">
        <v>46.307400000000001</v>
      </c>
      <c r="AD6505">
        <v>-1.1604000000000001</v>
      </c>
      <c r="AE6505">
        <v>-4.4913799999999897</v>
      </c>
      <c r="AF6505">
        <v>4.2896992640181004</v>
      </c>
      <c r="AG6505">
        <v>-1.1604000000000001</v>
      </c>
      <c r="AH6505">
        <v>46.297469950768999</v>
      </c>
      <c r="AI6505">
        <v>91.4296400397985</v>
      </c>
      <c r="AJ6505">
        <v>84.706364711944005</v>
      </c>
      <c r="AK6505">
        <v>46.510254479825001</v>
      </c>
      <c r="AL6505">
        <v>79.509057005140704</v>
      </c>
      <c r="AM6505">
        <v>95.974523158148898</v>
      </c>
      <c r="AN6505">
        <v>1.00000002400576</v>
      </c>
    </row>
    <row r="6506" spans="1:40" x14ac:dyDescent="0.25">
      <c r="A6506" t="str">
        <f>"20190304154924761"</f>
        <v>20190304154924761</v>
      </c>
      <c r="B6506" t="str">
        <f>"1551685764753801"</f>
        <v>1551685764753801</v>
      </c>
      <c r="C6506" t="s">
        <v>40</v>
      </c>
      <c r="D6506">
        <v>4.6740979999999999</v>
      </c>
      <c r="E6506">
        <v>0.57394209999999901</v>
      </c>
      <c r="F6506" t="s">
        <v>45</v>
      </c>
      <c r="G6506">
        <v>-314.416</v>
      </c>
      <c r="H6506">
        <v>-0.05</v>
      </c>
      <c r="I6506">
        <v>12.2934</v>
      </c>
      <c r="J6506">
        <v>-361.67070000000001</v>
      </c>
      <c r="K6506">
        <v>1.1104069999999999</v>
      </c>
      <c r="L6506">
        <v>16.890989999999999</v>
      </c>
      <c r="M6506">
        <v>0.99994890000000003</v>
      </c>
      <c r="N6506">
        <v>-9.1491320000000008E-3</v>
      </c>
      <c r="O6506">
        <v>-4.2962109999999899E-3</v>
      </c>
      <c r="P6506">
        <v>0.97996349999999999</v>
      </c>
      <c r="Q6506">
        <v>0.17357239999999999</v>
      </c>
      <c r="R6506">
        <v>9.7695130000000005E-2</v>
      </c>
      <c r="S6506">
        <v>3.104889</v>
      </c>
      <c r="T6506">
        <v>-7.6029299999999994E-2</v>
      </c>
      <c r="U6506">
        <v>-0.30126950000000002</v>
      </c>
      <c r="V6506">
        <v>-0.1018979</v>
      </c>
      <c r="W6506">
        <v>0.1825311</v>
      </c>
      <c r="X6506">
        <v>0.97790549999999998</v>
      </c>
      <c r="Y6506">
        <v>9.2262720000000006E-2</v>
      </c>
      <c r="Z6506">
        <v>-1.4842290000000001E-3</v>
      </c>
      <c r="AA6506">
        <v>0.9957336</v>
      </c>
      <c r="AB6506">
        <v>27</v>
      </c>
      <c r="AC6506">
        <v>47.2547</v>
      </c>
      <c r="AD6506">
        <v>-1.160407</v>
      </c>
      <c r="AE6506">
        <v>-4.5975899999999896</v>
      </c>
      <c r="AF6506">
        <v>4.3918993418154502</v>
      </c>
      <c r="AG6506">
        <v>-1.160407</v>
      </c>
      <c r="AH6506">
        <v>47.245793976483903</v>
      </c>
      <c r="AI6506">
        <v>91.400925019808398</v>
      </c>
      <c r="AJ6506">
        <v>84.6891313106821</v>
      </c>
      <c r="AK6506">
        <v>47.4636742436007</v>
      </c>
      <c r="AL6506">
        <v>79.4827756792413</v>
      </c>
      <c r="AM6506">
        <v>95.948760920417001</v>
      </c>
      <c r="AN6506">
        <v>0.99999997571093402</v>
      </c>
    </row>
    <row r="6507" spans="1:40" x14ac:dyDescent="0.25">
      <c r="A6507" t="str">
        <f>"20190304154924773"</f>
        <v>20190304154924773</v>
      </c>
      <c r="B6507" t="str">
        <f>"1551685764763561"</f>
        <v>1551685764763561</v>
      </c>
      <c r="C6507" t="s">
        <v>40</v>
      </c>
      <c r="D6507">
        <v>4.6406650000000003</v>
      </c>
      <c r="E6507">
        <v>0.57396499999999995</v>
      </c>
      <c r="F6507" t="s">
        <v>45</v>
      </c>
      <c r="G6507">
        <v>-313.6705</v>
      </c>
      <c r="H6507">
        <v>-0.05</v>
      </c>
      <c r="I6507">
        <v>12.20599</v>
      </c>
      <c r="J6507">
        <v>-361.52280000000002</v>
      </c>
      <c r="K6507">
        <v>1.1104069999999999</v>
      </c>
      <c r="L6507">
        <v>16.890350000000002</v>
      </c>
      <c r="M6507">
        <v>0.99994870000000002</v>
      </c>
      <c r="N6507">
        <v>-9.1808810000000001E-3</v>
      </c>
      <c r="O6507">
        <v>-4.295999E-3</v>
      </c>
      <c r="P6507">
        <v>0.97996510000000003</v>
      </c>
      <c r="Q6507">
        <v>0.17378270000000001</v>
      </c>
      <c r="R6507">
        <v>9.7305290000000003E-2</v>
      </c>
      <c r="S6507">
        <v>3.104797</v>
      </c>
      <c r="T6507">
        <v>-7.505858E-2</v>
      </c>
      <c r="U6507">
        <v>-0.30303960000000002</v>
      </c>
      <c r="V6507">
        <v>-0.101508</v>
      </c>
      <c r="W6507">
        <v>0.1827725</v>
      </c>
      <c r="X6507">
        <v>0.97790100000000002</v>
      </c>
      <c r="Y6507">
        <v>9.2828599999999997E-2</v>
      </c>
      <c r="Z6507">
        <v>-1.482232E-3</v>
      </c>
      <c r="AA6507">
        <v>0.99568100000000004</v>
      </c>
      <c r="AB6507">
        <v>27</v>
      </c>
      <c r="AC6507">
        <v>47.8523</v>
      </c>
      <c r="AD6507">
        <v>-1.160407</v>
      </c>
      <c r="AE6507">
        <v>-4.6843599999999999</v>
      </c>
      <c r="AF6507">
        <v>4.4761274805804101</v>
      </c>
      <c r="AG6507">
        <v>-1.160407</v>
      </c>
      <c r="AH6507">
        <v>47.844115510712498</v>
      </c>
      <c r="AI6507">
        <v>91.383335951417806</v>
      </c>
      <c r="AJ6507">
        <v>84.655165903010896</v>
      </c>
      <c r="AK6507">
        <v>48.067053692008798</v>
      </c>
      <c r="AL6507">
        <v>79.468708223985402</v>
      </c>
      <c r="AM6507">
        <v>95.926188082287993</v>
      </c>
      <c r="AN6507">
        <v>1.0000000133106199</v>
      </c>
    </row>
    <row r="6508" spans="1:40" x14ac:dyDescent="0.25">
      <c r="A6508" t="str">
        <f>"20190304154924787"</f>
        <v>20190304154924787</v>
      </c>
      <c r="B6508" t="str">
        <f>"1551685764784056"</f>
        <v>1551685764784056</v>
      </c>
      <c r="C6508" t="s">
        <v>40</v>
      </c>
      <c r="D6508">
        <v>4.6596599999999997</v>
      </c>
      <c r="E6508">
        <v>0.57408809999999999</v>
      </c>
      <c r="F6508" t="s">
        <v>45</v>
      </c>
      <c r="G6508">
        <v>-313.2842</v>
      </c>
      <c r="H6508">
        <v>-0.05</v>
      </c>
      <c r="I6508">
        <v>12.16075</v>
      </c>
      <c r="J6508">
        <v>-361.35239999999999</v>
      </c>
      <c r="K6508">
        <v>1.110414</v>
      </c>
      <c r="L6508">
        <v>16.889620000000001</v>
      </c>
      <c r="M6508">
        <v>0.99994819999999995</v>
      </c>
      <c r="N6508">
        <v>-9.2196719999999999E-3</v>
      </c>
      <c r="O6508">
        <v>-4.2957009999999999E-3</v>
      </c>
      <c r="P6508">
        <v>0.98001240000000001</v>
      </c>
      <c r="Q6508">
        <v>0.1736915</v>
      </c>
      <c r="R6508">
        <v>9.6989420000000007E-2</v>
      </c>
      <c r="S6508">
        <v>3.104797</v>
      </c>
      <c r="T6508">
        <v>-7.4687719999999999E-2</v>
      </c>
      <c r="U6508">
        <v>-0.30441279999999998</v>
      </c>
      <c r="V6508">
        <v>-0.1011915</v>
      </c>
      <c r="W6508">
        <v>0.18271960000000001</v>
      </c>
      <c r="X6508">
        <v>0.97794369999999997</v>
      </c>
      <c r="Y6508">
        <v>9.3265230000000005E-2</v>
      </c>
      <c r="Z6508">
        <v>-1.4864329999999999E-3</v>
      </c>
      <c r="AA6508">
        <v>0.99564019999999998</v>
      </c>
      <c r="AB6508">
        <v>28</v>
      </c>
      <c r="AC6508">
        <v>48.068199999999898</v>
      </c>
      <c r="AD6508">
        <v>-1.1604139999999901</v>
      </c>
      <c r="AE6508">
        <v>-4.7288699999999997</v>
      </c>
      <c r="AF6508">
        <v>4.5197221703281896</v>
      </c>
      <c r="AG6508">
        <v>-1.1604139999999901</v>
      </c>
      <c r="AH6508">
        <v>48.060330656716999</v>
      </c>
      <c r="AI6508">
        <v>91.377061037802306</v>
      </c>
      <c r="AJ6508">
        <v>84.627552332840096</v>
      </c>
      <c r="AK6508">
        <v>48.286331730432003</v>
      </c>
      <c r="AL6508">
        <v>79.471791222143906</v>
      </c>
      <c r="AM6508">
        <v>95.907585104670304</v>
      </c>
      <c r="AN6508">
        <v>1.00000002613304</v>
      </c>
    </row>
    <row r="6509" spans="1:40" x14ac:dyDescent="0.25">
      <c r="A6509" t="str">
        <f>"20190304154924805"</f>
        <v>20190304154924805</v>
      </c>
      <c r="B6509" t="str">
        <f>"1551685764793816"</f>
        <v>1551685764793816</v>
      </c>
      <c r="C6509" t="s">
        <v>40</v>
      </c>
      <c r="D6509">
        <v>4.626061</v>
      </c>
      <c r="E6509">
        <v>0.5741636</v>
      </c>
      <c r="F6509" t="s">
        <v>45</v>
      </c>
      <c r="G6509">
        <v>-313.48340000000002</v>
      </c>
      <c r="H6509">
        <v>-0.05</v>
      </c>
      <c r="I6509">
        <v>12.1653</v>
      </c>
      <c r="J6509">
        <v>-361.14069999999998</v>
      </c>
      <c r="K6509">
        <v>1.11043</v>
      </c>
      <c r="L6509">
        <v>16.8887</v>
      </c>
      <c r="M6509">
        <v>0.99994780000000005</v>
      </c>
      <c r="N6509">
        <v>-9.2713589999999999E-3</v>
      </c>
      <c r="O6509">
        <v>-4.2952240000000003E-3</v>
      </c>
      <c r="P6509">
        <v>0.98000520000000002</v>
      </c>
      <c r="Q6509">
        <v>0.1744279</v>
      </c>
      <c r="R6509">
        <v>9.5733399999999996E-2</v>
      </c>
      <c r="S6509">
        <v>3.1048580000000001</v>
      </c>
      <c r="T6509">
        <v>-7.5266120000000006E-2</v>
      </c>
      <c r="U6509">
        <v>-0.306427</v>
      </c>
      <c r="V6509">
        <v>-9.9935640000000006E-2</v>
      </c>
      <c r="W6509">
        <v>0.18350669999999999</v>
      </c>
      <c r="X6509">
        <v>0.97792539999999994</v>
      </c>
      <c r="Y6509">
        <v>9.3902650000000004E-2</v>
      </c>
      <c r="Z6509">
        <v>-1.507574E-3</v>
      </c>
      <c r="AA6509">
        <v>0.99558029999999997</v>
      </c>
      <c r="AB6509">
        <v>28</v>
      </c>
      <c r="AC6509">
        <v>47.6572999999999</v>
      </c>
      <c r="AD6509">
        <v>-1.1604299999999901</v>
      </c>
      <c r="AE6509">
        <v>-4.7233999999999998</v>
      </c>
      <c r="AF6509">
        <v>4.5159973750176601</v>
      </c>
      <c r="AG6509">
        <v>-1.1604299999999901</v>
      </c>
      <c r="AH6509">
        <v>47.649173056983599</v>
      </c>
      <c r="AI6509">
        <v>91.388862731475498</v>
      </c>
      <c r="AJ6509">
        <v>84.585908006330996</v>
      </c>
      <c r="AK6509">
        <v>47.876763916230203</v>
      </c>
      <c r="AL6509">
        <v>79.425917424877895</v>
      </c>
      <c r="AM6509">
        <v>95.834885105703805</v>
      </c>
      <c r="AN6509">
        <v>0.99999996452612905</v>
      </c>
    </row>
    <row r="6510" spans="1:40" x14ac:dyDescent="0.25">
      <c r="A6510" t="str">
        <f>"20190304154924827"</f>
        <v>20190304154924827</v>
      </c>
      <c r="B6510" t="str">
        <f>"1551685764824073"</f>
        <v>1551685764824073</v>
      </c>
      <c r="C6510" t="s">
        <v>40</v>
      </c>
      <c r="D6510">
        <v>4.6281559999999997</v>
      </c>
      <c r="E6510">
        <v>0.57440440000000004</v>
      </c>
      <c r="F6510" t="s">
        <v>45</v>
      </c>
      <c r="G6510">
        <v>-311.87830000000002</v>
      </c>
      <c r="H6510">
        <v>-0.05</v>
      </c>
      <c r="I6510">
        <v>11.953860000000001</v>
      </c>
      <c r="J6510">
        <v>-360.86660000000001</v>
      </c>
      <c r="K6510">
        <v>1.110441</v>
      </c>
      <c r="L6510">
        <v>16.887509999999999</v>
      </c>
      <c r="M6510">
        <v>0.99994720000000004</v>
      </c>
      <c r="N6510">
        <v>-9.344125E-3</v>
      </c>
      <c r="O6510">
        <v>-4.2948470000000001E-3</v>
      </c>
      <c r="P6510">
        <v>0.97989199999999999</v>
      </c>
      <c r="Q6510">
        <v>0.17572660000000001</v>
      </c>
      <c r="R6510">
        <v>9.4510609999999995E-2</v>
      </c>
      <c r="S6510">
        <v>3.1046140000000002</v>
      </c>
      <c r="T6510">
        <v>-7.3132509999999998E-2</v>
      </c>
      <c r="U6510">
        <v>-0.31100460000000002</v>
      </c>
      <c r="V6510">
        <v>-9.8711380000000001E-2</v>
      </c>
      <c r="W6510">
        <v>0.1848747</v>
      </c>
      <c r="X6510">
        <v>0.97779210000000005</v>
      </c>
      <c r="Y6510">
        <v>9.5365279999999997E-2</v>
      </c>
      <c r="Z6510">
        <v>-1.5061510000000001E-3</v>
      </c>
      <c r="AA6510">
        <v>0.99544120000000003</v>
      </c>
      <c r="AB6510">
        <v>28</v>
      </c>
      <c r="AC6510">
        <v>48.988299999999903</v>
      </c>
      <c r="AD6510">
        <v>-1.1604410000000001</v>
      </c>
      <c r="AE6510">
        <v>-4.9336499999999903</v>
      </c>
      <c r="AF6510">
        <v>4.7205758240185398</v>
      </c>
      <c r="AG6510">
        <v>-1.1604410000000001</v>
      </c>
      <c r="AH6510">
        <v>48.981829273029199</v>
      </c>
      <c r="AI6510">
        <v>91.350898335210701</v>
      </c>
      <c r="AJ6510">
        <v>84.495176202926004</v>
      </c>
      <c r="AK6510">
        <v>49.222454818476599</v>
      </c>
      <c r="AL6510">
        <v>79.346172678771197</v>
      </c>
      <c r="AM6510">
        <v>95.764669657587703</v>
      </c>
      <c r="AN6510">
        <v>0.99999999103200199</v>
      </c>
    </row>
    <row r="6511" spans="1:40" x14ac:dyDescent="0.25">
      <c r="A6511" t="str">
        <f>"20190304154924839"</f>
        <v>20190304154924839</v>
      </c>
      <c r="B6511" t="str">
        <f>"1551685764833833"</f>
        <v>1551685764833833</v>
      </c>
      <c r="C6511" t="s">
        <v>40</v>
      </c>
      <c r="D6511">
        <v>4.6570320000000001</v>
      </c>
      <c r="E6511">
        <v>0.57447369999999898</v>
      </c>
      <c r="F6511" t="s">
        <v>45</v>
      </c>
      <c r="G6511">
        <v>-308.68290000000002</v>
      </c>
      <c r="H6511">
        <v>-0.05</v>
      </c>
      <c r="I6511">
        <v>11.56033</v>
      </c>
      <c r="J6511">
        <v>-360.71449999999999</v>
      </c>
      <c r="K6511">
        <v>1.1104480000000001</v>
      </c>
      <c r="L6511">
        <v>16.886839999999999</v>
      </c>
      <c r="M6511">
        <v>0.99994680000000002</v>
      </c>
      <c r="N6511">
        <v>-9.3876350000000001E-3</v>
      </c>
      <c r="O6511">
        <v>-4.2945730000000003E-3</v>
      </c>
      <c r="P6511">
        <v>0.97982139999999995</v>
      </c>
      <c r="Q6511">
        <v>0.17650769999999999</v>
      </c>
      <c r="R6511">
        <v>9.3783699999999998E-2</v>
      </c>
      <c r="S6511">
        <v>3.1045229999999999</v>
      </c>
      <c r="T6511">
        <v>-6.9037080000000001E-2</v>
      </c>
      <c r="U6511">
        <v>-0.31692500000000001</v>
      </c>
      <c r="V6511">
        <v>-9.7983929999999997E-2</v>
      </c>
      <c r="W6511">
        <v>0.18569759999999999</v>
      </c>
      <c r="X6511">
        <v>0.97770939999999995</v>
      </c>
      <c r="Y6511">
        <v>9.7250080000000003E-2</v>
      </c>
      <c r="Z6511">
        <v>-1.4810909999999999E-3</v>
      </c>
      <c r="AA6511">
        <v>0.99525889999999995</v>
      </c>
      <c r="AB6511">
        <v>28</v>
      </c>
      <c r="AC6511">
        <v>52.031599999999898</v>
      </c>
      <c r="AD6511">
        <v>-1.1604479999999999</v>
      </c>
      <c r="AE6511">
        <v>-5.3265099999999901</v>
      </c>
      <c r="AF6511">
        <v>5.1004868083195101</v>
      </c>
      <c r="AG6511">
        <v>-1.1604479999999999</v>
      </c>
      <c r="AH6511">
        <v>52.028385040275502</v>
      </c>
      <c r="AI6511">
        <v>91.271627004471995</v>
      </c>
      <c r="AJ6511">
        <v>84.401026344772106</v>
      </c>
      <c r="AK6511">
        <v>52.290672735600801</v>
      </c>
      <c r="AL6511">
        <v>79.298193943357603</v>
      </c>
      <c r="AM6511">
        <v>95.722950941636199</v>
      </c>
      <c r="AN6511">
        <v>1.00000006001618</v>
      </c>
    </row>
    <row r="6512" spans="1:40" x14ac:dyDescent="0.25">
      <c r="A6512" t="str">
        <f>"20190304154924850"</f>
        <v>20190304154924850</v>
      </c>
      <c r="B6512" t="str">
        <f>"1551685764843594"</f>
        <v>1551685764843594</v>
      </c>
      <c r="C6512" t="s">
        <v>40</v>
      </c>
      <c r="D6512">
        <v>4.6235860000000004</v>
      </c>
      <c r="E6512">
        <v>0.57455730000000005</v>
      </c>
      <c r="F6512" t="s">
        <v>45</v>
      </c>
      <c r="G6512">
        <v>-306.94959999999998</v>
      </c>
      <c r="H6512">
        <v>-0.05</v>
      </c>
      <c r="I6512">
        <v>11.352690000000001</v>
      </c>
      <c r="J6512">
        <v>-360.56700000000001</v>
      </c>
      <c r="K6512">
        <v>1.110457</v>
      </c>
      <c r="L6512">
        <v>16.886199999999999</v>
      </c>
      <c r="M6512">
        <v>0.99994629999999995</v>
      </c>
      <c r="N6512">
        <v>-9.4310339999999996E-3</v>
      </c>
      <c r="O6512">
        <v>-4.2944200000000002E-3</v>
      </c>
      <c r="P6512">
        <v>0.97982219999999998</v>
      </c>
      <c r="Q6512">
        <v>0.17684129999999901</v>
      </c>
      <c r="R6512">
        <v>9.314422E-2</v>
      </c>
      <c r="S6512">
        <v>3.1044619999999998</v>
      </c>
      <c r="T6512">
        <v>-6.7005869999999995E-2</v>
      </c>
      <c r="U6512">
        <v>-0.31954959999999999</v>
      </c>
      <c r="V6512">
        <v>-9.7344669999999994E-2</v>
      </c>
      <c r="W6512">
        <v>0.1860742</v>
      </c>
      <c r="X6512">
        <v>0.97770159999999995</v>
      </c>
      <c r="Y6512">
        <v>9.8086149999999997E-2</v>
      </c>
      <c r="Z6512">
        <v>-1.4674200000000001E-3</v>
      </c>
      <c r="AA6512">
        <v>0.99517690000000003</v>
      </c>
      <c r="AB6512">
        <v>28</v>
      </c>
      <c r="AC6512">
        <v>53.617399999999897</v>
      </c>
      <c r="AD6512">
        <v>-1.1604570000000001</v>
      </c>
      <c r="AE6512">
        <v>-5.5335099999999997</v>
      </c>
      <c r="AF6512">
        <v>5.3007362271217797</v>
      </c>
      <c r="AG6512">
        <v>-1.1604570000000001</v>
      </c>
      <c r="AH6512">
        <v>53.615819135671003</v>
      </c>
      <c r="AI6512">
        <v>91.233898488897793</v>
      </c>
      <c r="AJ6512">
        <v>84.353792162840904</v>
      </c>
      <c r="AK6512">
        <v>53.889707056054398</v>
      </c>
      <c r="AL6512">
        <v>79.276233025045499</v>
      </c>
      <c r="AM6512">
        <v>95.685904167215</v>
      </c>
      <c r="AN6512">
        <v>1.0000000056628</v>
      </c>
    </row>
    <row r="6513" spans="1:40" x14ac:dyDescent="0.25">
      <c r="A6513" t="str">
        <f>"20190304154924863"</f>
        <v>20190304154924863</v>
      </c>
      <c r="B6513" t="str">
        <f>"1551685764853352"</f>
        <v>1551685764853352</v>
      </c>
      <c r="C6513" t="s">
        <v>40</v>
      </c>
      <c r="D6513">
        <v>4.6564079999999999</v>
      </c>
      <c r="E6513">
        <v>0.57461549999999995</v>
      </c>
      <c r="F6513" t="s">
        <v>45</v>
      </c>
      <c r="G6513">
        <v>-306.09500000000003</v>
      </c>
      <c r="H6513">
        <v>-0.05</v>
      </c>
      <c r="I6513">
        <v>11.232939999999999</v>
      </c>
      <c r="J6513">
        <v>-360.41180000000003</v>
      </c>
      <c r="K6513">
        <v>1.1104689999999999</v>
      </c>
      <c r="L6513">
        <v>16.885529999999999</v>
      </c>
      <c r="M6513">
        <v>0.9999458</v>
      </c>
      <c r="N6513">
        <v>-9.4822589999999998E-3</v>
      </c>
      <c r="O6513">
        <v>-4.2941849999999998E-3</v>
      </c>
      <c r="P6513">
        <v>0.97977919999999996</v>
      </c>
      <c r="Q6513">
        <v>0.1773487</v>
      </c>
      <c r="R6513">
        <v>9.2629340000000004E-2</v>
      </c>
      <c r="S6513">
        <v>3.1043090000000002</v>
      </c>
      <c r="T6513">
        <v>-6.6133380000000005E-2</v>
      </c>
      <c r="U6513">
        <v>-0.32217410000000002</v>
      </c>
      <c r="V6513">
        <v>-9.6829349999999995E-2</v>
      </c>
      <c r="W6513">
        <v>0.18663080000000001</v>
      </c>
      <c r="X6513">
        <v>0.97764660000000003</v>
      </c>
      <c r="Y6513">
        <v>9.8924150000000002E-2</v>
      </c>
      <c r="Z6513">
        <v>-1.470531E-3</v>
      </c>
      <c r="AA6513">
        <v>0.99509389999999998</v>
      </c>
      <c r="AB6513">
        <v>28</v>
      </c>
      <c r="AC6513">
        <v>54.316800000000001</v>
      </c>
      <c r="AD6513">
        <v>-1.160469</v>
      </c>
      <c r="AE6513">
        <v>-5.65259</v>
      </c>
      <c r="AF6513">
        <v>5.4168349434377703</v>
      </c>
      <c r="AG6513">
        <v>-1.160469</v>
      </c>
      <c r="AH6513">
        <v>54.316046264426603</v>
      </c>
      <c r="AI6513">
        <v>91.217905521237697</v>
      </c>
      <c r="AJ6513">
        <v>84.304832956219499</v>
      </c>
      <c r="AK6513">
        <v>54.597817455496703</v>
      </c>
      <c r="AL6513">
        <v>79.243772738977299</v>
      </c>
      <c r="AM6513">
        <v>95.656316122980797</v>
      </c>
      <c r="AN6513">
        <v>0.99999992651080805</v>
      </c>
    </row>
    <row r="6514" spans="1:40" x14ac:dyDescent="0.25">
      <c r="A6514" t="str">
        <f>"20190304154924875"</f>
        <v>20190304154924875</v>
      </c>
      <c r="B6514" t="str">
        <f>"1551685764864090"</f>
        <v>1551685764864090</v>
      </c>
      <c r="C6514" t="s">
        <v>40</v>
      </c>
      <c r="D6514">
        <v>4.627707</v>
      </c>
      <c r="E6514">
        <v>0.57465429999999995</v>
      </c>
      <c r="F6514" t="s">
        <v>45</v>
      </c>
      <c r="G6514">
        <v>-304.90839999999997</v>
      </c>
      <c r="H6514">
        <v>-0.05</v>
      </c>
      <c r="I6514">
        <v>11.09036</v>
      </c>
      <c r="J6514">
        <v>-360.26260000000002</v>
      </c>
      <c r="K6514">
        <v>1.1104769999999999</v>
      </c>
      <c r="L6514">
        <v>16.884889999999999</v>
      </c>
      <c r="M6514">
        <v>0.99994550000000004</v>
      </c>
      <c r="N6514">
        <v>-9.534163E-3</v>
      </c>
      <c r="O6514">
        <v>-4.2940749999999996E-3</v>
      </c>
      <c r="P6514">
        <v>0.97985789999999995</v>
      </c>
      <c r="Q6514">
        <v>0.1771963</v>
      </c>
      <c r="R6514">
        <v>9.208856E-2</v>
      </c>
      <c r="S6514">
        <v>3.1043400000000001</v>
      </c>
      <c r="T6514">
        <v>-6.4905760000000007E-2</v>
      </c>
      <c r="U6514">
        <v>-0.3241272</v>
      </c>
      <c r="V6514">
        <v>-9.6288589999999993E-2</v>
      </c>
      <c r="W6514">
        <v>0.18652959999999999</v>
      </c>
      <c r="X6514">
        <v>0.97771940000000002</v>
      </c>
      <c r="Y6514">
        <v>9.9543329999999999E-2</v>
      </c>
      <c r="Z6514">
        <v>-1.4649070000000001E-3</v>
      </c>
      <c r="AA6514">
        <v>0.99503209999999997</v>
      </c>
      <c r="AB6514">
        <v>28</v>
      </c>
      <c r="AC6514">
        <v>55.354199999999999</v>
      </c>
      <c r="AD6514">
        <v>-1.160477</v>
      </c>
      <c r="AE6514">
        <v>-5.7945299999999902</v>
      </c>
      <c r="AF6514">
        <v>5.5543559706815104</v>
      </c>
      <c r="AG6514">
        <v>-1.160477</v>
      </c>
      <c r="AH6514">
        <v>55.354507558086702</v>
      </c>
      <c r="AI6514">
        <v>91.194999715601895</v>
      </c>
      <c r="AJ6514">
        <v>84.2700330459555</v>
      </c>
      <c r="AK6514">
        <v>55.644578209515203</v>
      </c>
      <c r="AL6514">
        <v>79.249675562977302</v>
      </c>
      <c r="AM6514">
        <v>95.624514461790895</v>
      </c>
      <c r="AN6514">
        <v>1.0000000046883499</v>
      </c>
    </row>
    <row r="6515" spans="1:40" x14ac:dyDescent="0.25">
      <c r="A6515" t="str">
        <f>"20190304154924893"</f>
        <v>20190304154924893</v>
      </c>
      <c r="B6515" t="str">
        <f>"1551685764883612"</f>
        <v>1551685764883612</v>
      </c>
      <c r="C6515" t="s">
        <v>40</v>
      </c>
      <c r="D6515">
        <v>4.6284539999999996</v>
      </c>
      <c r="E6515">
        <v>0.57477609999999901</v>
      </c>
      <c r="F6515" t="s">
        <v>45</v>
      </c>
      <c r="G6515">
        <v>-305.31150000000002</v>
      </c>
      <c r="H6515">
        <v>-0.05</v>
      </c>
      <c r="I6515">
        <v>11.11035</v>
      </c>
      <c r="J6515">
        <v>-360.04199999999997</v>
      </c>
      <c r="K6515">
        <v>1.1104889999999901</v>
      </c>
      <c r="L6515">
        <v>16.883939999999999</v>
      </c>
      <c r="M6515">
        <v>0.99994470000000002</v>
      </c>
      <c r="N6515">
        <v>-9.6190440000000002E-3</v>
      </c>
      <c r="O6515">
        <v>-4.294005E-3</v>
      </c>
      <c r="P6515">
        <v>0.97983739999999997</v>
      </c>
      <c r="Q6515">
        <v>0.17782329999999999</v>
      </c>
      <c r="R6515">
        <v>9.1094289999999994E-2</v>
      </c>
      <c r="S6515">
        <v>3.104187</v>
      </c>
      <c r="T6515">
        <v>-6.5555210000000003E-2</v>
      </c>
      <c r="U6515">
        <v>-0.3262024</v>
      </c>
      <c r="V6515">
        <v>-9.5294519999999994E-2</v>
      </c>
      <c r="W6515">
        <v>0.18723980000000001</v>
      </c>
      <c r="X6515">
        <v>0.97768100000000002</v>
      </c>
      <c r="Y6515">
        <v>0.10020560000000001</v>
      </c>
      <c r="Z6515">
        <v>-1.4891920000000001E-3</v>
      </c>
      <c r="AA6515">
        <v>0.99496560000000001</v>
      </c>
      <c r="AB6515">
        <v>28</v>
      </c>
      <c r="AC6515">
        <v>54.7304999999999</v>
      </c>
      <c r="AD6515">
        <v>-1.1604890000000001</v>
      </c>
      <c r="AE6515">
        <v>-5.7735899999999898</v>
      </c>
      <c r="AF6515">
        <v>5.5360512987528701</v>
      </c>
      <c r="AG6515">
        <v>-1.1604890000000001</v>
      </c>
      <c r="AH6515">
        <v>54.730452526212503</v>
      </c>
      <c r="AI6515">
        <v>91.208536412422006</v>
      </c>
      <c r="AJ6515">
        <v>84.224108128701801</v>
      </c>
      <c r="AK6515">
        <v>55.021968634587701</v>
      </c>
      <c r="AL6515">
        <v>79.208253879119795</v>
      </c>
      <c r="AM6515">
        <v>95.567031653309698</v>
      </c>
      <c r="AN6515">
        <v>0.999999963003534</v>
      </c>
    </row>
    <row r="6516" spans="1:40" x14ac:dyDescent="0.25">
      <c r="A6516" t="str">
        <f>"20190304154924904"</f>
        <v>20190304154924904</v>
      </c>
      <c r="B6516" t="str">
        <f>"1551685764893369"</f>
        <v>1551685764893369</v>
      </c>
      <c r="C6516" t="s">
        <v>40</v>
      </c>
      <c r="D6516">
        <v>4.6147970000000003</v>
      </c>
      <c r="E6516">
        <v>0.57485620000000004</v>
      </c>
      <c r="F6516" t="s">
        <v>45</v>
      </c>
      <c r="G6516">
        <v>-303.49290000000002</v>
      </c>
      <c r="H6516">
        <v>-0.05</v>
      </c>
      <c r="I6516">
        <v>10.865539999999999</v>
      </c>
      <c r="J6516">
        <v>-359.90309999999999</v>
      </c>
      <c r="K6516">
        <v>1.1104969999999901</v>
      </c>
      <c r="L6516">
        <v>16.88336</v>
      </c>
      <c r="M6516">
        <v>0.99994400000000006</v>
      </c>
      <c r="N6516">
        <v>-9.6767250000000006E-3</v>
      </c>
      <c r="O6516">
        <v>-4.2938059999999998E-3</v>
      </c>
      <c r="P6516">
        <v>0.97994360000000003</v>
      </c>
      <c r="Q6516">
        <v>0.17752499999999999</v>
      </c>
      <c r="R6516">
        <v>9.0530390000000002E-2</v>
      </c>
      <c r="S6516">
        <v>3.1040040000000002</v>
      </c>
      <c r="T6516">
        <v>-6.3699720000000001E-2</v>
      </c>
      <c r="U6516">
        <v>-0.3303528</v>
      </c>
      <c r="V6516">
        <v>-9.473065E-2</v>
      </c>
      <c r="W6516">
        <v>0.186999</v>
      </c>
      <c r="X6516">
        <v>0.97778189999999998</v>
      </c>
      <c r="Y6516">
        <v>0.10152849999999999</v>
      </c>
      <c r="Z6516">
        <v>-1.4850130000000001E-3</v>
      </c>
      <c r="AA6516">
        <v>0.99483149999999998</v>
      </c>
      <c r="AB6516">
        <v>28</v>
      </c>
      <c r="AC6516">
        <v>56.410199999999897</v>
      </c>
      <c r="AD6516">
        <v>-1.1604969999999999</v>
      </c>
      <c r="AE6516">
        <v>-6.0178199999999897</v>
      </c>
      <c r="AF6516">
        <v>5.7731228886809296</v>
      </c>
      <c r="AG6516">
        <v>-1.1604969999999999</v>
      </c>
      <c r="AH6516">
        <v>56.411914139579501</v>
      </c>
      <c r="AI6516">
        <v>91.172391867307496</v>
      </c>
      <c r="AJ6516">
        <v>84.156765946727603</v>
      </c>
      <c r="AK6516">
        <v>56.718425207917299</v>
      </c>
      <c r="AL6516">
        <v>79.222298994106694</v>
      </c>
      <c r="AM6516">
        <v>95.533728364490997</v>
      </c>
      <c r="AN6516">
        <v>0.99999998300901605</v>
      </c>
    </row>
    <row r="6517" spans="1:40" x14ac:dyDescent="0.25">
      <c r="A6517" t="str">
        <f>"20190304154924915"</f>
        <v>20190304154924915</v>
      </c>
      <c r="B6517" t="str">
        <f>"1551685764913865"</f>
        <v>1551685764913865</v>
      </c>
      <c r="C6517" t="s">
        <v>40</v>
      </c>
      <c r="D6517">
        <v>4.6033470000000003</v>
      </c>
      <c r="E6517">
        <v>0.57492200000000004</v>
      </c>
      <c r="F6517" t="s">
        <v>45</v>
      </c>
      <c r="G6517">
        <v>-304.11160000000001</v>
      </c>
      <c r="H6517">
        <v>-0.05</v>
      </c>
      <c r="I6517">
        <v>10.900359999999999</v>
      </c>
      <c r="J6517">
        <v>-359.76440000000002</v>
      </c>
      <c r="K6517">
        <v>1.1105039999999999</v>
      </c>
      <c r="L6517">
        <v>16.882750000000001</v>
      </c>
      <c r="M6517">
        <v>0.99994340000000004</v>
      </c>
      <c r="N6517">
        <v>-9.73597E-3</v>
      </c>
      <c r="O6517">
        <v>-4.2934970000000003E-3</v>
      </c>
      <c r="P6517">
        <v>0.98008379999999995</v>
      </c>
      <c r="Q6517">
        <v>0.177179799999999</v>
      </c>
      <c r="R6517">
        <v>8.968247E-2</v>
      </c>
      <c r="S6517">
        <v>3.103882</v>
      </c>
      <c r="T6517">
        <v>-6.4562560000000005E-2</v>
      </c>
      <c r="U6517">
        <v>-0.33285520000000002</v>
      </c>
      <c r="V6517">
        <v>-9.3882579999999993E-2</v>
      </c>
      <c r="W6517">
        <v>0.18671280000000001</v>
      </c>
      <c r="X6517">
        <v>0.97791839999999997</v>
      </c>
      <c r="Y6517">
        <v>0.10232479999999999</v>
      </c>
      <c r="Z6517">
        <v>-1.513328E-3</v>
      </c>
      <c r="AA6517">
        <v>0.99474989999999996</v>
      </c>
      <c r="AB6517">
        <v>28</v>
      </c>
      <c r="AC6517">
        <v>55.652799999999999</v>
      </c>
      <c r="AD6517">
        <v>-1.160504</v>
      </c>
      <c r="AE6517">
        <v>-5.9823899999999997</v>
      </c>
      <c r="AF6517">
        <v>5.74091059942592</v>
      </c>
      <c r="AG6517">
        <v>-1.160504</v>
      </c>
      <c r="AH6517">
        <v>55.654049988803202</v>
      </c>
      <c r="AI6517">
        <v>91.188261015359402</v>
      </c>
      <c r="AJ6517">
        <v>84.110569409429402</v>
      </c>
      <c r="AK6517">
        <v>55.961398340291801</v>
      </c>
      <c r="AL6517">
        <v>79.238991253308001</v>
      </c>
      <c r="AM6517">
        <v>95.483730564772202</v>
      </c>
      <c r="AN6517">
        <v>1.0000000027849201</v>
      </c>
    </row>
    <row r="6518" spans="1:40" x14ac:dyDescent="0.25">
      <c r="A6518" t="str">
        <f>"20190304154924927"</f>
        <v>20190304154924927</v>
      </c>
      <c r="B6518" t="str">
        <f>"1551685764923625"</f>
        <v>1551685764923625</v>
      </c>
      <c r="C6518" t="s">
        <v>40</v>
      </c>
      <c r="D6518">
        <v>4.6669080000000003</v>
      </c>
      <c r="E6518">
        <v>0.57496969999999903</v>
      </c>
      <c r="F6518" t="s">
        <v>45</v>
      </c>
      <c r="G6518">
        <v>-305.3383</v>
      </c>
      <c r="H6518">
        <v>-0.05</v>
      </c>
      <c r="I6518">
        <v>10.992290000000001</v>
      </c>
      <c r="J6518">
        <v>-359.61059999999998</v>
      </c>
      <c r="K6518">
        <v>1.110517</v>
      </c>
      <c r="L6518">
        <v>16.882110000000001</v>
      </c>
      <c r="M6518">
        <v>0.99994280000000002</v>
      </c>
      <c r="N6518">
        <v>-9.8045949999999993E-3</v>
      </c>
      <c r="O6518">
        <v>-4.2933549999999996E-3</v>
      </c>
      <c r="P6518">
        <v>0.98012189999999999</v>
      </c>
      <c r="Q6518">
        <v>0.17708889999999999</v>
      </c>
      <c r="R6518">
        <v>8.9447380000000007E-2</v>
      </c>
      <c r="S6518">
        <v>3.1036679999999999</v>
      </c>
      <c r="T6518">
        <v>-6.6178199999999895E-2</v>
      </c>
      <c r="U6518">
        <v>-0.33590700000000001</v>
      </c>
      <c r="V6518">
        <v>-9.3647969999999997E-2</v>
      </c>
      <c r="W6518">
        <v>0.18668979999999999</v>
      </c>
      <c r="X6518">
        <v>0.97794530000000002</v>
      </c>
      <c r="Y6518">
        <v>0.10329729999999999</v>
      </c>
      <c r="Z6518">
        <v>-1.5566270000000001E-3</v>
      </c>
      <c r="AA6518">
        <v>0.99464929999999996</v>
      </c>
      <c r="AB6518">
        <v>28</v>
      </c>
      <c r="AC6518">
        <v>54.272299999999902</v>
      </c>
      <c r="AD6518">
        <v>-1.160517</v>
      </c>
      <c r="AE6518">
        <v>-5.8898200000000003</v>
      </c>
      <c r="AF6518">
        <v>5.6541890382937501</v>
      </c>
      <c r="AG6518">
        <v>-1.160517</v>
      </c>
      <c r="AH6518">
        <v>54.272561194997898</v>
      </c>
      <c r="AI6518">
        <v>91.218384005984603</v>
      </c>
      <c r="AJ6518">
        <v>84.052304324531207</v>
      </c>
      <c r="AK6518">
        <v>54.578636407048897</v>
      </c>
      <c r="AL6518">
        <v>79.240332794299505</v>
      </c>
      <c r="AM6518">
        <v>95.469960542575507</v>
      </c>
      <c r="AN6518">
        <v>1.00000001675062</v>
      </c>
    </row>
    <row r="6519" spans="1:40" x14ac:dyDescent="0.25">
      <c r="A6519" t="str">
        <f>"20190304154924939"</f>
        <v>20190304154924939</v>
      </c>
      <c r="B6519" t="str">
        <f>"1551685764933385"</f>
        <v>1551685764933385</v>
      </c>
      <c r="C6519" t="s">
        <v>40</v>
      </c>
      <c r="D6519">
        <v>4.5896019999999904</v>
      </c>
      <c r="E6519">
        <v>0.57504639999999996</v>
      </c>
      <c r="F6519" t="s">
        <v>45</v>
      </c>
      <c r="G6519">
        <v>-305.90800000000002</v>
      </c>
      <c r="H6519">
        <v>-0.05</v>
      </c>
      <c r="I6519">
        <v>11.052569999999999</v>
      </c>
      <c r="J6519">
        <v>-359.47199999999998</v>
      </c>
      <c r="K6519">
        <v>1.11053</v>
      </c>
      <c r="L6519">
        <v>16.881499999999999</v>
      </c>
      <c r="M6519">
        <v>0.99994209999999994</v>
      </c>
      <c r="N6519">
        <v>-9.8742320000000001E-3</v>
      </c>
      <c r="O6519">
        <v>-4.2933390000000002E-3</v>
      </c>
      <c r="P6519">
        <v>0.98008640000000002</v>
      </c>
      <c r="Q6519">
        <v>0.17763499999999999</v>
      </c>
      <c r="R6519">
        <v>8.8751170000000004E-2</v>
      </c>
      <c r="S6519">
        <v>3.1036990000000002</v>
      </c>
      <c r="T6519">
        <v>-6.7071080000000005E-2</v>
      </c>
      <c r="U6519">
        <v>-0.33691409999999899</v>
      </c>
      <c r="V6519">
        <v>-9.2951389999999995E-2</v>
      </c>
      <c r="W6519">
        <v>0.187304</v>
      </c>
      <c r="X6519">
        <v>0.97789429999999999</v>
      </c>
      <c r="Y6519">
        <v>0.1036144</v>
      </c>
      <c r="Z6519">
        <v>-1.5790800000000001E-3</v>
      </c>
      <c r="AA6519">
        <v>0.99461630000000001</v>
      </c>
      <c r="AB6519">
        <v>28</v>
      </c>
      <c r="AC6519">
        <v>53.563999999999901</v>
      </c>
      <c r="AD6519">
        <v>-1.1605299999999901</v>
      </c>
      <c r="AE6519">
        <v>-5.8289299999999997</v>
      </c>
      <c r="AF6519">
        <v>5.5963003659482302</v>
      </c>
      <c r="AG6519">
        <v>-1.1605299999999901</v>
      </c>
      <c r="AH6519">
        <v>53.563683188791003</v>
      </c>
      <c r="AI6519">
        <v>91.234479377109196</v>
      </c>
      <c r="AJ6519">
        <v>84.035412736938</v>
      </c>
      <c r="AK6519">
        <v>53.867741408156199</v>
      </c>
      <c r="AL6519">
        <v>79.204509706086796</v>
      </c>
      <c r="AM6519">
        <v>95.429798952580597</v>
      </c>
      <c r="AN6519">
        <v>1.0000000056457099</v>
      </c>
    </row>
    <row r="6520" spans="1:40" x14ac:dyDescent="0.25">
      <c r="A6520" t="str">
        <f>"20190304154924949"</f>
        <v>20190304154924949</v>
      </c>
      <c r="B6520" t="str">
        <f>"1551685764944122"</f>
        <v>1551685764944122</v>
      </c>
      <c r="C6520" t="s">
        <v>40</v>
      </c>
      <c r="D6520">
        <v>4.5672269999999999</v>
      </c>
      <c r="E6520">
        <v>0.57515019999999994</v>
      </c>
      <c r="F6520" t="s">
        <v>45</v>
      </c>
      <c r="G6520">
        <v>-304.58870000000002</v>
      </c>
      <c r="H6520">
        <v>-0.05</v>
      </c>
      <c r="I6520">
        <v>10.8766</v>
      </c>
      <c r="J6520">
        <v>-359.33269999999999</v>
      </c>
      <c r="K6520">
        <v>1.110544</v>
      </c>
      <c r="L6520">
        <v>16.88092</v>
      </c>
      <c r="M6520">
        <v>0.99994130000000003</v>
      </c>
      <c r="N6520">
        <v>-9.9476619999999995E-3</v>
      </c>
      <c r="O6520">
        <v>-4.2932259999999998E-3</v>
      </c>
      <c r="P6520">
        <v>0.98000189999999998</v>
      </c>
      <c r="Q6520">
        <v>0.17828039999999901</v>
      </c>
      <c r="R6520">
        <v>8.8388919999999996E-2</v>
      </c>
      <c r="S6520">
        <v>3.103577</v>
      </c>
      <c r="T6520">
        <v>-6.5626379999999998E-2</v>
      </c>
      <c r="U6520">
        <v>-0.33956910000000001</v>
      </c>
      <c r="V6520">
        <v>-9.2588770000000001E-2</v>
      </c>
      <c r="W6520">
        <v>0.1880201</v>
      </c>
      <c r="X6520">
        <v>0.97779119999999997</v>
      </c>
      <c r="Y6520">
        <v>0.10446039999999999</v>
      </c>
      <c r="Z6520">
        <v>-1.5743179999999999E-3</v>
      </c>
      <c r="AA6520">
        <v>0.99452779999999996</v>
      </c>
      <c r="AB6520">
        <v>28</v>
      </c>
      <c r="AC6520">
        <v>54.7439999999999</v>
      </c>
      <c r="AD6520">
        <v>-1.160544</v>
      </c>
      <c r="AE6520">
        <v>-6.0043199999999999</v>
      </c>
      <c r="AF6520">
        <v>5.7666638296141199</v>
      </c>
      <c r="AG6520">
        <v>-1.160544</v>
      </c>
      <c r="AH6520">
        <v>54.744963708555503</v>
      </c>
      <c r="AI6520">
        <v>91.207757029109004</v>
      </c>
      <c r="AJ6520">
        <v>83.986816236773095</v>
      </c>
      <c r="AK6520">
        <v>55.060079236691799</v>
      </c>
      <c r="AL6520">
        <v>79.162737288692099</v>
      </c>
      <c r="AM6520">
        <v>95.409309124513697</v>
      </c>
      <c r="AN6520">
        <v>0.99999993456577896</v>
      </c>
    </row>
    <row r="6521" spans="1:40" x14ac:dyDescent="0.25">
      <c r="A6521" t="str">
        <f>"20190304154924962"</f>
        <v>20190304154924962</v>
      </c>
      <c r="B6521" t="str">
        <f>"1551685764953882"</f>
        <v>1551685764953882</v>
      </c>
      <c r="C6521" t="s">
        <v>40</v>
      </c>
      <c r="D6521">
        <v>4.5911520000000001</v>
      </c>
      <c r="E6521">
        <v>0.57520990000000005</v>
      </c>
      <c r="F6521" t="s">
        <v>45</v>
      </c>
      <c r="G6521">
        <v>-302.6653</v>
      </c>
      <c r="H6521">
        <v>-0.05</v>
      </c>
      <c r="I6521">
        <v>10.64503</v>
      </c>
      <c r="J6521">
        <v>-359.18799999999999</v>
      </c>
      <c r="K6521">
        <v>1.1105640000000001</v>
      </c>
      <c r="L6521">
        <v>16.880279999999999</v>
      </c>
      <c r="M6521">
        <v>0.99994050000000001</v>
      </c>
      <c r="N6521">
        <v>-1.0033780000000001E-2</v>
      </c>
      <c r="O6521">
        <v>-4.2931790000000003E-3</v>
      </c>
      <c r="P6521">
        <v>0.97997109999999998</v>
      </c>
      <c r="Q6521">
        <v>0.17868970000000001</v>
      </c>
      <c r="R6521">
        <v>8.790249E-2</v>
      </c>
      <c r="S6521">
        <v>3.1035159999999999</v>
      </c>
      <c r="T6521">
        <v>-6.3559770000000002E-2</v>
      </c>
      <c r="U6521">
        <v>-0.3415222</v>
      </c>
      <c r="V6521">
        <v>-9.2102450000000002E-2</v>
      </c>
      <c r="W6521">
        <v>0.18851319999999999</v>
      </c>
      <c r="X6521">
        <v>0.97774229999999995</v>
      </c>
      <c r="Y6521">
        <v>0.10508239999999899</v>
      </c>
      <c r="Z6521">
        <v>-1.556862E-3</v>
      </c>
      <c r="AA6521">
        <v>0.99446230000000002</v>
      </c>
      <c r="AB6521">
        <v>28</v>
      </c>
      <c r="AC6521">
        <v>56.5227</v>
      </c>
      <c r="AD6521">
        <v>-1.1605639999999999</v>
      </c>
      <c r="AE6521">
        <v>-6.23524999999999</v>
      </c>
      <c r="AF6521">
        <v>5.9900232764450303</v>
      </c>
      <c r="AG6521">
        <v>-1.1605639999999999</v>
      </c>
      <c r="AH6521">
        <v>56.525405292897503</v>
      </c>
      <c r="AI6521">
        <v>91.169668484744093</v>
      </c>
      <c r="AJ6521">
        <v>83.950915613018793</v>
      </c>
      <c r="AK6521">
        <v>56.853748611474799</v>
      </c>
      <c r="AL6521">
        <v>79.133971556814402</v>
      </c>
      <c r="AM6521">
        <v>95.381331633845406</v>
      </c>
      <c r="AN6521">
        <v>1.00000004653976</v>
      </c>
    </row>
    <row r="6522" spans="1:40" x14ac:dyDescent="0.25">
      <c r="A6522" t="str">
        <f>"20190304154924974"</f>
        <v>20190304154924974</v>
      </c>
      <c r="B6522" t="str">
        <f>"1551685764963642"</f>
        <v>1551685764963642</v>
      </c>
      <c r="C6522" t="s">
        <v>40</v>
      </c>
      <c r="D6522">
        <v>4.6244800000000001</v>
      </c>
      <c r="E6522">
        <v>0.57528509999999999</v>
      </c>
      <c r="F6522" t="s">
        <v>45</v>
      </c>
      <c r="G6522">
        <v>-301.46629999999999</v>
      </c>
      <c r="H6522">
        <v>-0.05</v>
      </c>
      <c r="I6522">
        <v>10.490830000000001</v>
      </c>
      <c r="J6522">
        <v>-359.04050000000001</v>
      </c>
      <c r="K6522">
        <v>1.110579</v>
      </c>
      <c r="L6522">
        <v>16.879670000000001</v>
      </c>
      <c r="M6522">
        <v>0.99993960000000004</v>
      </c>
      <c r="N6522">
        <v>-1.012331E-2</v>
      </c>
      <c r="O6522">
        <v>-4.2929149999999996E-3</v>
      </c>
      <c r="P6522">
        <v>0.97993920000000001</v>
      </c>
      <c r="Q6522">
        <v>0.17914229999999901</v>
      </c>
      <c r="R6522">
        <v>8.7334700000000001E-2</v>
      </c>
      <c r="S6522">
        <v>3.103485</v>
      </c>
      <c r="T6522">
        <v>-6.239927E-2</v>
      </c>
      <c r="U6522">
        <v>-0.34353640000000002</v>
      </c>
      <c r="V6522">
        <v>-9.1534229999999994E-2</v>
      </c>
      <c r="W6522">
        <v>0.1890531</v>
      </c>
      <c r="X6522">
        <v>0.97769139999999999</v>
      </c>
      <c r="Y6522">
        <v>0.105722</v>
      </c>
      <c r="Z6522">
        <v>-1.5536339999999999E-3</v>
      </c>
      <c r="AA6522">
        <v>0.99439449999999996</v>
      </c>
      <c r="AB6522">
        <v>28</v>
      </c>
      <c r="AC6522">
        <v>57.574199999999998</v>
      </c>
      <c r="AD6522">
        <v>-1.160579</v>
      </c>
      <c r="AE6522">
        <v>-6.3888400000000001</v>
      </c>
      <c r="AF6522">
        <v>6.1391430666425002</v>
      </c>
      <c r="AG6522">
        <v>-1.160579</v>
      </c>
      <c r="AH6522">
        <v>57.5779857105857</v>
      </c>
      <c r="AI6522">
        <v>91.148227699244003</v>
      </c>
      <c r="AJ6522">
        <v>83.913940219093703</v>
      </c>
      <c r="AK6522">
        <v>57.915977585605503</v>
      </c>
      <c r="AL6522">
        <v>79.102470988345402</v>
      </c>
      <c r="AM6522">
        <v>95.348601801938997</v>
      </c>
      <c r="AN6522">
        <v>1.0000000317576301</v>
      </c>
    </row>
    <row r="6523" spans="1:40" x14ac:dyDescent="0.25">
      <c r="A6523" t="str">
        <f>"20190304154924987"</f>
        <v>20190304154924987</v>
      </c>
      <c r="B6523" t="str">
        <f>"1551685764984137"</f>
        <v>1551685764984137</v>
      </c>
      <c r="C6523" t="s">
        <v>40</v>
      </c>
      <c r="D6523">
        <v>4.6401110000000001</v>
      </c>
      <c r="E6523">
        <v>0.57534379999999996</v>
      </c>
      <c r="F6523" t="s">
        <v>45</v>
      </c>
      <c r="G6523">
        <v>-300.05</v>
      </c>
      <c r="H6523">
        <v>-0.05</v>
      </c>
      <c r="I6523">
        <v>10.30275</v>
      </c>
      <c r="J6523">
        <v>-358.87790000000001</v>
      </c>
      <c r="K6523">
        <v>1.1105959999999999</v>
      </c>
      <c r="L6523">
        <v>16.878969999999999</v>
      </c>
      <c r="M6523">
        <v>0.99993840000000001</v>
      </c>
      <c r="N6523">
        <v>-1.022524E-2</v>
      </c>
      <c r="O6523">
        <v>-4.2928369999999999E-3</v>
      </c>
      <c r="P6523">
        <v>0.97996459999999996</v>
      </c>
      <c r="Q6523">
        <v>0.179233</v>
      </c>
      <c r="R6523">
        <v>8.6860999999999994E-2</v>
      </c>
      <c r="S6523">
        <v>3.1034549999999999</v>
      </c>
      <c r="T6523">
        <v>-6.1057449999999999E-2</v>
      </c>
      <c r="U6523">
        <v>-0.34600829999999999</v>
      </c>
      <c r="V6523">
        <v>-9.1059959999999995E-2</v>
      </c>
      <c r="W6523">
        <v>0.1892432</v>
      </c>
      <c r="X6523">
        <v>0.97769890000000004</v>
      </c>
      <c r="Y6523">
        <v>0.1065063</v>
      </c>
      <c r="Z6523">
        <v>-1.5502479999999999E-3</v>
      </c>
      <c r="AA6523">
        <v>0.99431080000000005</v>
      </c>
      <c r="AB6523">
        <v>28</v>
      </c>
      <c r="AC6523">
        <v>58.8279</v>
      </c>
      <c r="AD6523">
        <v>-1.160596</v>
      </c>
      <c r="AE6523">
        <v>-6.5762200000000002</v>
      </c>
      <c r="AF6523">
        <v>6.3211776182939197</v>
      </c>
      <c r="AG6523">
        <v>-1.160596</v>
      </c>
      <c r="AH6523">
        <v>58.832973644695301</v>
      </c>
      <c r="AI6523">
        <v>91.123659790865204</v>
      </c>
      <c r="AJ6523">
        <v>83.867508292547598</v>
      </c>
      <c r="AK6523">
        <v>59.182962560475502</v>
      </c>
      <c r="AL6523">
        <v>79.0913787245441</v>
      </c>
      <c r="AM6523">
        <v>95.321007773167807</v>
      </c>
      <c r="AN6523">
        <v>1.0000000220613201</v>
      </c>
    </row>
    <row r="6524" spans="1:40" x14ac:dyDescent="0.25">
      <c r="A6524" t="str">
        <f>"20190304154925006"</f>
        <v>20190304154925006</v>
      </c>
      <c r="B6524" t="str">
        <f>"1551685764993897"</f>
        <v>1551685764993897</v>
      </c>
      <c r="C6524" t="s">
        <v>40</v>
      </c>
      <c r="D6524">
        <v>4.6257400000000004</v>
      </c>
      <c r="E6524">
        <v>0.57536259999999995</v>
      </c>
      <c r="F6524" t="s">
        <v>45</v>
      </c>
      <c r="G6524">
        <v>-300.02980000000002</v>
      </c>
      <c r="H6524">
        <v>-0.05</v>
      </c>
      <c r="I6524">
        <v>10.27901</v>
      </c>
      <c r="J6524">
        <v>-358.64440000000002</v>
      </c>
      <c r="K6524">
        <v>1.110541</v>
      </c>
      <c r="L6524">
        <v>16.877960000000002</v>
      </c>
      <c r="M6524">
        <v>0.99994019999999995</v>
      </c>
      <c r="N6524">
        <v>-1.00759E-2</v>
      </c>
      <c r="O6524">
        <v>-4.2930340000000003E-3</v>
      </c>
      <c r="P6524">
        <v>0.97983120000000001</v>
      </c>
      <c r="Q6524">
        <v>0.1805881</v>
      </c>
      <c r="R6524">
        <v>8.5549940000000005E-2</v>
      </c>
      <c r="S6524">
        <v>3.1033940000000002</v>
      </c>
      <c r="T6524">
        <v>-6.1204790000000002E-2</v>
      </c>
      <c r="U6524">
        <v>-0.348053</v>
      </c>
      <c r="V6524">
        <v>-8.9749010000000004E-2</v>
      </c>
      <c r="W6524">
        <v>0.1904515</v>
      </c>
      <c r="X6524">
        <v>0.97758540000000005</v>
      </c>
      <c r="Y6524">
        <v>0.1071551</v>
      </c>
      <c r="Z6524">
        <v>-1.553603E-3</v>
      </c>
      <c r="AA6524">
        <v>0.99424109999999999</v>
      </c>
      <c r="AB6524">
        <v>28</v>
      </c>
      <c r="AC6524">
        <v>58.614600000000003</v>
      </c>
      <c r="AD6524">
        <v>-1.160541</v>
      </c>
      <c r="AE6524">
        <v>-6.5989500000000003</v>
      </c>
      <c r="AF6524">
        <v>6.3447858252806597</v>
      </c>
      <c r="AG6524">
        <v>-1.160541</v>
      </c>
      <c r="AH6524">
        <v>58.619698221870202</v>
      </c>
      <c r="AI6524">
        <v>91.127598130168806</v>
      </c>
      <c r="AJ6524">
        <v>83.822558640929699</v>
      </c>
      <c r="AK6524">
        <v>58.973487112468597</v>
      </c>
      <c r="AL6524">
        <v>79.020864905670706</v>
      </c>
      <c r="AM6524">
        <v>95.245439429049</v>
      </c>
      <c r="AN6524">
        <v>0.99999993647069296</v>
      </c>
    </row>
    <row r="6525" spans="1:40" x14ac:dyDescent="0.25">
      <c r="A6525" t="str">
        <f>"20190304154925027"</f>
        <v>20190304154925027</v>
      </c>
      <c r="B6525" t="str">
        <f>"1551685765024155"</f>
        <v>1551685765024155</v>
      </c>
      <c r="C6525" t="s">
        <v>40</v>
      </c>
      <c r="D6525">
        <v>4.5614689999999998</v>
      </c>
      <c r="E6525">
        <v>0.57549459999999997</v>
      </c>
      <c r="F6525" t="s">
        <v>45</v>
      </c>
      <c r="G6525">
        <v>-295.58789999999999</v>
      </c>
      <c r="H6525">
        <v>-0.05</v>
      </c>
      <c r="I6525">
        <v>9.7172090000000004</v>
      </c>
      <c r="J6525">
        <v>-358.38099999999997</v>
      </c>
      <c r="K6525">
        <v>1.110484</v>
      </c>
      <c r="L6525">
        <v>16.876829999999899</v>
      </c>
      <c r="M6525">
        <v>0.99993940000000003</v>
      </c>
      <c r="N6525">
        <v>-1.014981E-2</v>
      </c>
      <c r="O6525">
        <v>-4.2929320000000002E-3</v>
      </c>
      <c r="P6525">
        <v>0.97950579999999998</v>
      </c>
      <c r="Q6525">
        <v>0.18301919999999999</v>
      </c>
      <c r="R6525">
        <v>8.4099569999999998E-2</v>
      </c>
      <c r="S6525">
        <v>3.1030579999999999</v>
      </c>
      <c r="T6525">
        <v>-5.7111019999999998E-2</v>
      </c>
      <c r="U6525">
        <v>-0.35238649999999999</v>
      </c>
      <c r="V6525">
        <v>-8.8296739999999999E-2</v>
      </c>
      <c r="W6525">
        <v>0.19295109999999999</v>
      </c>
      <c r="X6525">
        <v>0.97722750000000003</v>
      </c>
      <c r="Y6525">
        <v>0.108540899999999</v>
      </c>
      <c r="Z6525">
        <v>-1.5129259999999999E-3</v>
      </c>
      <c r="AA6525">
        <v>0.9940909</v>
      </c>
      <c r="AB6525">
        <v>28</v>
      </c>
      <c r="AC6525">
        <v>62.793099999999903</v>
      </c>
      <c r="AD6525">
        <v>-1.1604840000000001</v>
      </c>
      <c r="AE6525">
        <v>-7.1596209999999898</v>
      </c>
      <c r="AF6525">
        <v>6.8876523709380697</v>
      </c>
      <c r="AG6525">
        <v>-1.1604840000000001</v>
      </c>
      <c r="AH6525">
        <v>62.802083887887299</v>
      </c>
      <c r="AI6525">
        <v>91.052307412325106</v>
      </c>
      <c r="AJ6525">
        <v>83.7412504734923</v>
      </c>
      <c r="AK6525">
        <v>63.189304624741503</v>
      </c>
      <c r="AL6525">
        <v>78.874942809166996</v>
      </c>
      <c r="AM6525">
        <v>95.162902643253503</v>
      </c>
      <c r="AN6525">
        <v>1.0000000140210401</v>
      </c>
    </row>
    <row r="6526" spans="1:40" x14ac:dyDescent="0.25">
      <c r="A6526" t="str">
        <f>"20190304154925041"</f>
        <v>20190304154925041</v>
      </c>
      <c r="B6526" t="str">
        <f>"1551685765033914"</f>
        <v>1551685765033914</v>
      </c>
      <c r="C6526" t="s">
        <v>40</v>
      </c>
      <c r="D6526">
        <v>4.5639940000000001</v>
      </c>
      <c r="E6526">
        <v>0.59091559999999999</v>
      </c>
      <c r="F6526" t="s">
        <v>45</v>
      </c>
      <c r="G6526">
        <v>-285.20760000000001</v>
      </c>
      <c r="H6526">
        <v>-0.05</v>
      </c>
      <c r="I6526">
        <v>8.4288179999999997</v>
      </c>
      <c r="J6526">
        <v>-358.20819999999998</v>
      </c>
      <c r="K6526">
        <v>1.110466</v>
      </c>
      <c r="L6526">
        <v>16.876100000000001</v>
      </c>
      <c r="M6526">
        <v>0.99993719999999997</v>
      </c>
      <c r="N6526">
        <v>-1.036231E-2</v>
      </c>
      <c r="O6526">
        <v>-4.2924729999999998E-3</v>
      </c>
      <c r="P6526">
        <v>0.97944399999999998</v>
      </c>
      <c r="Q6526">
        <v>0.18367140000000001</v>
      </c>
      <c r="R6526">
        <v>8.3393720000000005E-2</v>
      </c>
      <c r="S6526">
        <v>3.102722</v>
      </c>
      <c r="T6526">
        <v>-4.9207210000000001E-2</v>
      </c>
      <c r="U6526">
        <v>-0.35821530000000001</v>
      </c>
      <c r="V6526">
        <v>-8.7590559999999998E-2</v>
      </c>
      <c r="W6526">
        <v>0.1938105</v>
      </c>
      <c r="X6526">
        <v>0.97712100000000002</v>
      </c>
      <c r="Y6526">
        <v>0.110402</v>
      </c>
      <c r="Z6526">
        <v>-1.422972E-3</v>
      </c>
      <c r="AA6526">
        <v>0.99388600000000005</v>
      </c>
      <c r="AB6526">
        <v>28</v>
      </c>
      <c r="AC6526">
        <v>73.000599999999906</v>
      </c>
      <c r="AD6526">
        <v>-1.160466</v>
      </c>
      <c r="AE6526">
        <v>-8.4472819999999995</v>
      </c>
      <c r="AF6526">
        <v>8.1318064850847591</v>
      </c>
      <c r="AG6526">
        <v>-1.160466</v>
      </c>
      <c r="AH6526">
        <v>73.017980944920197</v>
      </c>
      <c r="AI6526">
        <v>90.9049247857415</v>
      </c>
      <c r="AJ6526">
        <v>83.645316027967695</v>
      </c>
      <c r="AK6526">
        <v>73.478558092281304</v>
      </c>
      <c r="AL6526">
        <v>78.824755675539805</v>
      </c>
      <c r="AM6526">
        <v>95.122386542642005</v>
      </c>
      <c r="AN6526">
        <v>1.00000003237618</v>
      </c>
    </row>
    <row r="6527" spans="1:40" x14ac:dyDescent="0.25">
      <c r="A6527" t="str">
        <f>"20190304154925054"</f>
        <v>20190304154925054</v>
      </c>
      <c r="B6527" t="str">
        <f>"1551685765043715"</f>
        <v>1551685765043715</v>
      </c>
      <c r="C6527" t="s">
        <v>40</v>
      </c>
      <c r="D6527">
        <v>4.4120309999999998</v>
      </c>
      <c r="E6527">
        <v>0.60664019999999996</v>
      </c>
      <c r="F6527" t="s">
        <v>45</v>
      </c>
      <c r="G6527">
        <v>-309.55709999999999</v>
      </c>
      <c r="H6527">
        <v>-0.05</v>
      </c>
      <c r="I6527">
        <v>9.3303989999999999</v>
      </c>
      <c r="J6527">
        <v>-358.04489999999998</v>
      </c>
      <c r="K6527">
        <v>1.1104449999999999</v>
      </c>
      <c r="L6527">
        <v>16.875399999999999</v>
      </c>
      <c r="M6527">
        <v>0.99993489999999996</v>
      </c>
      <c r="N6527">
        <v>-1.057869E-2</v>
      </c>
      <c r="O6527">
        <v>-4.2920559999999998E-3</v>
      </c>
      <c r="P6527">
        <v>0.97934790000000005</v>
      </c>
      <c r="Q6527">
        <v>0.18454329999999999</v>
      </c>
      <c r="R6527">
        <v>8.2592769999999996E-2</v>
      </c>
      <c r="S6527">
        <v>3.1181030000000001</v>
      </c>
      <c r="T6527">
        <v>-7.4375510000000006E-2</v>
      </c>
      <c r="U6527">
        <v>-0.48361209999999999</v>
      </c>
      <c r="V6527">
        <v>-8.6788320000000002E-2</v>
      </c>
      <c r="W6527">
        <v>0.19489290000000001</v>
      </c>
      <c r="X6527">
        <v>0.97697719999999999</v>
      </c>
      <c r="Y6527">
        <v>0.14896300000000001</v>
      </c>
      <c r="Z6527">
        <v>-2.5019590000000002E-3</v>
      </c>
      <c r="AA6527">
        <v>0.98883960000000004</v>
      </c>
      <c r="AB6527">
        <v>28</v>
      </c>
      <c r="AC6527">
        <v>48.487799999999901</v>
      </c>
      <c r="AD6527">
        <v>-1.1604449999999999</v>
      </c>
      <c r="AE6527">
        <v>-7.5450009999999903</v>
      </c>
      <c r="AF6527">
        <v>7.3327068104153703</v>
      </c>
      <c r="AG6527">
        <v>-1.1604449999999999</v>
      </c>
      <c r="AH6527">
        <v>48.492619975953197</v>
      </c>
      <c r="AI6527">
        <v>91.355443093258799</v>
      </c>
      <c r="AJ6527">
        <v>81.401285003063506</v>
      </c>
      <c r="AK6527">
        <v>49.057613210364799</v>
      </c>
      <c r="AL6527">
        <v>78.761532276994899</v>
      </c>
      <c r="AM6527">
        <v>95.076460098852294</v>
      </c>
      <c r="AN6527">
        <v>0.99999995213933501</v>
      </c>
    </row>
    <row r="6528" spans="1:40" x14ac:dyDescent="0.25">
      <c r="A6528" t="str">
        <f>"20190304154925072"</f>
        <v>20190304154925072</v>
      </c>
      <c r="B6528" t="str">
        <f>"1551685765063234"</f>
        <v>1551685765063234</v>
      </c>
      <c r="C6528" t="s">
        <v>40</v>
      </c>
      <c r="D6528">
        <v>4.7773139999999996</v>
      </c>
      <c r="E6528">
        <v>0.59912769999999904</v>
      </c>
      <c r="F6528" t="s">
        <v>92</v>
      </c>
      <c r="G6528">
        <v>-279.02</v>
      </c>
      <c r="H6528">
        <v>3.3416600000000001</v>
      </c>
      <c r="I6528">
        <v>1.357491</v>
      </c>
      <c r="J6528">
        <v>-357.8227</v>
      </c>
      <c r="K6528">
        <v>1.1103860000000001</v>
      </c>
      <c r="L6528">
        <v>16.874420000000001</v>
      </c>
      <c r="M6528">
        <v>0.99993299999999996</v>
      </c>
      <c r="N6528">
        <v>-1.0761099999999999E-2</v>
      </c>
      <c r="O6528">
        <v>-4.2917190000000003E-3</v>
      </c>
      <c r="P6528">
        <v>0.97925269999999998</v>
      </c>
      <c r="Q6528">
        <v>0.18567510000000001</v>
      </c>
      <c r="R6528">
        <v>8.117299E-2</v>
      </c>
      <c r="S6528">
        <v>3.0981139999999998</v>
      </c>
      <c r="T6528">
        <v>8.747315E-2</v>
      </c>
      <c r="U6528">
        <v>-0.60836789999999996</v>
      </c>
      <c r="V6528">
        <v>-8.5367479999999996E-2</v>
      </c>
      <c r="W6528">
        <v>0.1962013</v>
      </c>
      <c r="X6528">
        <v>0.97684059999999995</v>
      </c>
      <c r="Y6528">
        <v>0.18843309999999999</v>
      </c>
      <c r="Z6528">
        <v>1.445125E-3</v>
      </c>
      <c r="AA6528">
        <v>0.98208499999999999</v>
      </c>
      <c r="AB6528">
        <v>28</v>
      </c>
      <c r="AC6528">
        <v>78.802700000000002</v>
      </c>
      <c r="AD6528">
        <v>2.231274</v>
      </c>
      <c r="AE6528">
        <v>-15.516928999999999</v>
      </c>
      <c r="AF6528">
        <v>15.166861755234301</v>
      </c>
      <c r="AG6528">
        <v>2.231274</v>
      </c>
      <c r="AH6528">
        <v>78.807748766007094</v>
      </c>
      <c r="AI6528">
        <v>88.407434483950695</v>
      </c>
      <c r="AJ6528">
        <v>79.106392623632203</v>
      </c>
      <c r="AK6528">
        <v>80.284952168706894</v>
      </c>
      <c r="AL6528">
        <v>78.685091917482893</v>
      </c>
      <c r="AM6528">
        <v>94.994470216542794</v>
      </c>
      <c r="AN6528">
        <v>1.0000000572857899</v>
      </c>
    </row>
    <row r="6529" spans="1:40" x14ac:dyDescent="0.25">
      <c r="A6529" t="str">
        <f>"20190304154925083"</f>
        <v>20190304154925083</v>
      </c>
      <c r="B6529" t="str">
        <f>"1551685765073971"</f>
        <v>1551685765073971</v>
      </c>
      <c r="C6529" t="s">
        <v>40</v>
      </c>
      <c r="D6529">
        <v>4.5559599999999998</v>
      </c>
      <c r="E6529">
        <v>0.59689879999999995</v>
      </c>
      <c r="F6529" t="s">
        <v>92</v>
      </c>
      <c r="G6529">
        <v>-279.02</v>
      </c>
      <c r="H6529">
        <v>2.0154290000000001</v>
      </c>
      <c r="I6529">
        <v>2.7953130000000002</v>
      </c>
      <c r="J6529">
        <v>-357.67219999999998</v>
      </c>
      <c r="K6529">
        <v>1.110336</v>
      </c>
      <c r="L6529">
        <v>16.87378</v>
      </c>
      <c r="M6529">
        <v>0.9999325</v>
      </c>
      <c r="N6529">
        <v>-1.08079E-2</v>
      </c>
      <c r="O6529">
        <v>-4.291614E-3</v>
      </c>
      <c r="P6529">
        <v>0.97919199999999995</v>
      </c>
      <c r="Q6529">
        <v>0.1862047</v>
      </c>
      <c r="R6529">
        <v>8.0691250000000006E-2</v>
      </c>
      <c r="S6529">
        <v>3.1027830000000001</v>
      </c>
      <c r="T6529">
        <v>3.5635229999999997E-2</v>
      </c>
      <c r="U6529">
        <v>-0.55435179999999995</v>
      </c>
      <c r="V6529">
        <v>-8.4885639999999998E-2</v>
      </c>
      <c r="W6529">
        <v>0.19677639999999999</v>
      </c>
      <c r="X6529">
        <v>0.97676680000000005</v>
      </c>
      <c r="Y6529">
        <v>0.17165169999999999</v>
      </c>
      <c r="Z6529" s="1">
        <v>-5.1900510000000003E-5</v>
      </c>
      <c r="AA6529">
        <v>0.98515770000000003</v>
      </c>
      <c r="AB6529">
        <v>28</v>
      </c>
      <c r="AC6529">
        <v>78.652199999999993</v>
      </c>
      <c r="AD6529">
        <v>0.90509300000000004</v>
      </c>
      <c r="AE6529">
        <v>-14.078467</v>
      </c>
      <c r="AF6529">
        <v>13.7390098928283</v>
      </c>
      <c r="AG6529">
        <v>0.90509300000000004</v>
      </c>
      <c r="AH6529">
        <v>78.701800066334698</v>
      </c>
      <c r="AI6529">
        <v>89.3509264734449</v>
      </c>
      <c r="AJ6529">
        <v>80.097635433005493</v>
      </c>
      <c r="AK6529">
        <v>79.897139622487103</v>
      </c>
      <c r="AL6529">
        <v>78.651484799802503</v>
      </c>
      <c r="AM6529">
        <v>94.966794661808095</v>
      </c>
      <c r="AN6529">
        <v>0.999999952528703</v>
      </c>
    </row>
    <row r="6530" spans="1:40" x14ac:dyDescent="0.25">
      <c r="A6530" t="str">
        <f>"20190304154925096"</f>
        <v>20190304154925096</v>
      </c>
      <c r="B6530" t="str">
        <f>"1551685765093491"</f>
        <v>1551685765093491</v>
      </c>
      <c r="C6530" t="s">
        <v>40</v>
      </c>
      <c r="D6530">
        <v>4.6388199999999999</v>
      </c>
      <c r="E6530">
        <v>0.59411449999999999</v>
      </c>
      <c r="F6530" t="s">
        <v>92</v>
      </c>
      <c r="G6530">
        <v>-279.02</v>
      </c>
      <c r="H6530">
        <v>1.7868900000000001</v>
      </c>
      <c r="I6530">
        <v>3.2267109999999999</v>
      </c>
      <c r="J6530">
        <v>-357.52949999999998</v>
      </c>
      <c r="K6530">
        <v>1.1103000000000001</v>
      </c>
      <c r="L6530">
        <v>16.873169999999998</v>
      </c>
      <c r="M6530">
        <v>0.99993209999999999</v>
      </c>
      <c r="N6530">
        <v>-1.0848750000000001E-2</v>
      </c>
      <c r="O6530">
        <v>-4.2914779999999996E-3</v>
      </c>
      <c r="P6530">
        <v>0.97917419999999999</v>
      </c>
      <c r="Q6530">
        <v>0.18665590000000001</v>
      </c>
      <c r="R6530">
        <v>7.9860719999999996E-2</v>
      </c>
      <c r="S6530">
        <v>3.1030880000000001</v>
      </c>
      <c r="T6530">
        <v>2.6692270000000001E-2</v>
      </c>
      <c r="U6530">
        <v>-0.53842159999999994</v>
      </c>
      <c r="V6530">
        <v>-8.4054630000000005E-2</v>
      </c>
      <c r="W6530">
        <v>0.1972672</v>
      </c>
      <c r="X6530">
        <v>0.97673969999999999</v>
      </c>
      <c r="Y6530">
        <v>0.1667295</v>
      </c>
      <c r="Z6530">
        <v>-2.8222399999999997E-4</v>
      </c>
      <c r="AA6530">
        <v>0.98600259999999995</v>
      </c>
      <c r="AB6530">
        <v>28</v>
      </c>
      <c r="AC6530">
        <v>78.509500000000003</v>
      </c>
      <c r="AD6530">
        <v>0.67658999999999903</v>
      </c>
      <c r="AE6530">
        <v>-13.646459</v>
      </c>
      <c r="AF6530">
        <v>13.3084323401362</v>
      </c>
      <c r="AG6530">
        <v>0.67658999999999903</v>
      </c>
      <c r="AH6530">
        <v>78.5616803096447</v>
      </c>
      <c r="AI6530">
        <v>89.513499458317995</v>
      </c>
      <c r="AJ6530">
        <v>80.385310520260305</v>
      </c>
      <c r="AK6530">
        <v>79.683811144139597</v>
      </c>
      <c r="AL6530">
        <v>78.622802195139002</v>
      </c>
      <c r="AM6530">
        <v>94.918546418032605</v>
      </c>
      <c r="AN6530">
        <v>0.99999998528818301</v>
      </c>
    </row>
    <row r="6531" spans="1:40" x14ac:dyDescent="0.25">
      <c r="A6531" t="str">
        <f>"20190304154925108"</f>
        <v>20190304154925108</v>
      </c>
      <c r="B6531" t="str">
        <f>"1551685765104226"</f>
        <v>1551685765104226</v>
      </c>
      <c r="C6531" t="s">
        <v>40</v>
      </c>
      <c r="D6531">
        <v>4.586608</v>
      </c>
      <c r="E6531">
        <v>0.59300180000000002</v>
      </c>
      <c r="F6531" t="s">
        <v>92</v>
      </c>
      <c r="G6531">
        <v>-279.33690000000001</v>
      </c>
      <c r="H6531">
        <v>1.5304439999999999</v>
      </c>
      <c r="I6531">
        <v>3.7913480000000002</v>
      </c>
      <c r="J6531">
        <v>-357.37450000000001</v>
      </c>
      <c r="K6531">
        <v>1.110271</v>
      </c>
      <c r="L6531">
        <v>16.87247</v>
      </c>
      <c r="M6531">
        <v>0.99993149999999997</v>
      </c>
      <c r="N6531">
        <v>-1.0886730000000001E-2</v>
      </c>
      <c r="O6531">
        <v>-4.2913259999999998E-3</v>
      </c>
      <c r="P6531">
        <v>0.97913340000000004</v>
      </c>
      <c r="Q6531">
        <v>0.18722800000000001</v>
      </c>
      <c r="R6531">
        <v>7.9015699999999994E-2</v>
      </c>
      <c r="S6531">
        <v>3.1029659999999999</v>
      </c>
      <c r="T6531">
        <v>1.6672849999999999E-2</v>
      </c>
      <c r="U6531">
        <v>-0.51913450000000005</v>
      </c>
      <c r="V6531">
        <v>-8.3210039999999999E-2</v>
      </c>
      <c r="W6531">
        <v>0.19787589999999999</v>
      </c>
      <c r="X6531">
        <v>0.97668889999999997</v>
      </c>
      <c r="Y6531">
        <v>0.1607779</v>
      </c>
      <c r="Z6531">
        <v>-5.2156779999999996E-4</v>
      </c>
      <c r="AA6531">
        <v>0.98699049999999999</v>
      </c>
      <c r="AB6531">
        <v>28</v>
      </c>
      <c r="AC6531">
        <v>78.037599999999998</v>
      </c>
      <c r="AD6531">
        <v>0.42017300000000002</v>
      </c>
      <c r="AE6531">
        <v>-13.081122000000001</v>
      </c>
      <c r="AF6531">
        <v>12.745737498128699</v>
      </c>
      <c r="AG6531">
        <v>0.42017300000000002</v>
      </c>
      <c r="AH6531">
        <v>78.090818067182397</v>
      </c>
      <c r="AI6531">
        <v>89.695745028378994</v>
      </c>
      <c r="AJ6531">
        <v>80.730102377864696</v>
      </c>
      <c r="AK6531">
        <v>79.1252566259529</v>
      </c>
      <c r="AL6531">
        <v>78.587225083428393</v>
      </c>
      <c r="AM6531">
        <v>94.869615208925495</v>
      </c>
      <c r="AN6531">
        <v>0.99999999497041003</v>
      </c>
    </row>
    <row r="6532" spans="1:40" x14ac:dyDescent="0.25">
      <c r="A6532" t="str">
        <f>"20190304154925119"</f>
        <v>20190304154925119</v>
      </c>
      <c r="B6532" t="str">
        <f>"1551685765113987"</f>
        <v>1551685765113987</v>
      </c>
      <c r="C6532" t="s">
        <v>40</v>
      </c>
      <c r="D6532">
        <v>4.5881759999999998</v>
      </c>
      <c r="E6532">
        <v>0.59196629999999995</v>
      </c>
      <c r="F6532" t="s">
        <v>92</v>
      </c>
      <c r="G6532">
        <v>-279.33690000000001</v>
      </c>
      <c r="H6532">
        <v>1.421665</v>
      </c>
      <c r="I6532">
        <v>3.9655990000000001</v>
      </c>
      <c r="J6532">
        <v>-357.23509999999999</v>
      </c>
      <c r="K6532">
        <v>1.110263</v>
      </c>
      <c r="L6532">
        <v>16.87189</v>
      </c>
      <c r="M6532">
        <v>0.99993109999999996</v>
      </c>
      <c r="N6532">
        <v>-1.0931939999999999E-2</v>
      </c>
      <c r="O6532">
        <v>-4.2913329999999996E-3</v>
      </c>
      <c r="P6532">
        <v>0.97903439999999997</v>
      </c>
      <c r="Q6532">
        <v>0.18821199999999999</v>
      </c>
      <c r="R6532">
        <v>7.7897090000000002E-2</v>
      </c>
      <c r="S6532">
        <v>3.1029969999999998</v>
      </c>
      <c r="T6532">
        <v>1.2381909999999999E-2</v>
      </c>
      <c r="U6532">
        <v>-0.51321410000000001</v>
      </c>
      <c r="V6532">
        <v>-8.2090659999999996E-2</v>
      </c>
      <c r="W6532">
        <v>0.1989031</v>
      </c>
      <c r="X6532">
        <v>0.97657499999999997</v>
      </c>
      <c r="Y6532">
        <v>0.15894330000000001</v>
      </c>
      <c r="Z6532">
        <v>-6.2329300000000002E-4</v>
      </c>
      <c r="AA6532">
        <v>0.98728749999999998</v>
      </c>
      <c r="AB6532">
        <v>28</v>
      </c>
      <c r="AC6532">
        <v>77.898199999999903</v>
      </c>
      <c r="AD6532">
        <v>0.31140200000000001</v>
      </c>
      <c r="AE6532">
        <v>-12.906291</v>
      </c>
      <c r="AF6532">
        <v>12.5716695424773</v>
      </c>
      <c r="AG6532">
        <v>0.31140200000000001</v>
      </c>
      <c r="AH6532">
        <v>77.951658722857402</v>
      </c>
      <c r="AI6532">
        <v>89.7740352549405</v>
      </c>
      <c r="AJ6532">
        <v>80.838497309992803</v>
      </c>
      <c r="AK6532">
        <v>78.959514587766293</v>
      </c>
      <c r="AL6532">
        <v>78.527177652068303</v>
      </c>
      <c r="AM6532">
        <v>94.804973331160397</v>
      </c>
      <c r="AN6532">
        <v>1.0000000251369201</v>
      </c>
    </row>
    <row r="6533" spans="1:40" x14ac:dyDescent="0.25">
      <c r="A6533" t="str">
        <f>"20190304154925131"</f>
        <v>20190304154925131</v>
      </c>
      <c r="B6533" t="str">
        <f>"1551685765123747"</f>
        <v>1551685765123747</v>
      </c>
      <c r="C6533" t="s">
        <v>40</v>
      </c>
      <c r="D6533">
        <v>4.6116659999999996</v>
      </c>
      <c r="E6533">
        <v>0.59117989999999998</v>
      </c>
      <c r="F6533" t="s">
        <v>92</v>
      </c>
      <c r="G6533">
        <v>-279.33690000000001</v>
      </c>
      <c r="H6533">
        <v>1.4029750000000001</v>
      </c>
      <c r="I6533">
        <v>4.0986820000000002</v>
      </c>
      <c r="J6533">
        <v>-357.09109999999998</v>
      </c>
      <c r="K6533">
        <v>1.1102620000000001</v>
      </c>
      <c r="L6533">
        <v>16.87125</v>
      </c>
      <c r="M6533">
        <v>0.9999306</v>
      </c>
      <c r="N6533">
        <v>-1.0983140000000001E-2</v>
      </c>
      <c r="O6533">
        <v>-4.2913750000000001E-3</v>
      </c>
      <c r="P6533">
        <v>0.97882849999999999</v>
      </c>
      <c r="Q6533">
        <v>0.18971070000000001</v>
      </c>
      <c r="R6533">
        <v>7.6844789999999996E-2</v>
      </c>
      <c r="S6533">
        <v>3.102509</v>
      </c>
      <c r="T6533">
        <v>1.165807E-2</v>
      </c>
      <c r="U6533">
        <v>-0.50872799999999996</v>
      </c>
      <c r="V6533">
        <v>-8.1037769999999995E-2</v>
      </c>
      <c r="W6533">
        <v>0.20044919999999999</v>
      </c>
      <c r="X6533">
        <v>0.97634679999999996</v>
      </c>
      <c r="Y6533">
        <v>0.1575782</v>
      </c>
      <c r="Z6533">
        <v>-6.3985840000000001E-4</v>
      </c>
      <c r="AA6533">
        <v>0.98750629999999995</v>
      </c>
      <c r="AB6533">
        <v>28</v>
      </c>
      <c r="AC6533">
        <v>77.754199999999898</v>
      </c>
      <c r="AD6533">
        <v>0.292713</v>
      </c>
      <c r="AE6533">
        <v>-12.772568</v>
      </c>
      <c r="AF6533">
        <v>12.4385862107601</v>
      </c>
      <c r="AG6533">
        <v>0.292713</v>
      </c>
      <c r="AH6533">
        <v>77.807225408559802</v>
      </c>
      <c r="AI6533">
        <v>89.787155265446103</v>
      </c>
      <c r="AJ6533">
        <v>80.917312399903693</v>
      </c>
      <c r="AK6533">
        <v>78.795738676665195</v>
      </c>
      <c r="AL6533">
        <v>78.436772196189693</v>
      </c>
      <c r="AM6533">
        <v>94.744731732507702</v>
      </c>
      <c r="AN6533">
        <v>1.0000000379087199</v>
      </c>
    </row>
    <row r="6534" spans="1:40" x14ac:dyDescent="0.25">
      <c r="A6534" t="str">
        <f>"20190304154925143"</f>
        <v>20190304154925143</v>
      </c>
      <c r="B6534" t="str">
        <f>"1551685765133507"</f>
        <v>1551685765133507</v>
      </c>
      <c r="C6534" t="s">
        <v>40</v>
      </c>
      <c r="D6534">
        <v>4.6042439999999996</v>
      </c>
      <c r="E6534">
        <v>0.5907057</v>
      </c>
      <c r="F6534" t="s">
        <v>92</v>
      </c>
      <c r="G6534">
        <v>-279.33690000000001</v>
      </c>
      <c r="H6534">
        <v>1.407759</v>
      </c>
      <c r="I6534">
        <v>4.193441</v>
      </c>
      <c r="J6534">
        <v>-356.94850000000002</v>
      </c>
      <c r="K6534">
        <v>1.110271</v>
      </c>
      <c r="L6534">
        <v>16.870639999999899</v>
      </c>
      <c r="M6534">
        <v>0.99992999999999999</v>
      </c>
      <c r="N6534">
        <v>-1.1041199999999999E-2</v>
      </c>
      <c r="O6534">
        <v>-4.2912169999999999E-3</v>
      </c>
      <c r="P6534">
        <v>0.97865360000000001</v>
      </c>
      <c r="Q6534">
        <v>0.19100300000000001</v>
      </c>
      <c r="R6534">
        <v>7.5864699999999993E-2</v>
      </c>
      <c r="S6534">
        <v>3.1022949999999998</v>
      </c>
      <c r="T6534">
        <v>1.186979E-2</v>
      </c>
      <c r="U6534">
        <v>-0.50582890000000003</v>
      </c>
      <c r="V6534">
        <v>-8.0056069999999993E-2</v>
      </c>
      <c r="W6534">
        <v>0.2017958</v>
      </c>
      <c r="X6534">
        <v>0.97615030000000003</v>
      </c>
      <c r="Y6534">
        <v>0.15669040000000001</v>
      </c>
      <c r="Z6534">
        <v>-6.363114E-4</v>
      </c>
      <c r="AA6534">
        <v>0.98764759999999996</v>
      </c>
      <c r="AB6534">
        <v>28</v>
      </c>
      <c r="AC6534">
        <v>77.611599999999996</v>
      </c>
      <c r="AD6534">
        <v>0.29748799999999997</v>
      </c>
      <c r="AE6534">
        <v>-12.6771989999999</v>
      </c>
      <c r="AF6534">
        <v>12.3438371529355</v>
      </c>
      <c r="AG6534">
        <v>0.29748799999999997</v>
      </c>
      <c r="AH6534">
        <v>77.664177836158203</v>
      </c>
      <c r="AI6534">
        <v>89.783253575396699</v>
      </c>
      <c r="AJ6534">
        <v>80.969027598048598</v>
      </c>
      <c r="AK6534">
        <v>78.639578672159402</v>
      </c>
      <c r="AL6534">
        <v>78.358007364900502</v>
      </c>
      <c r="AM6534">
        <v>94.688450646291699</v>
      </c>
      <c r="AN6534">
        <v>0.99999996371578603</v>
      </c>
    </row>
    <row r="6535" spans="1:40" x14ac:dyDescent="0.25">
      <c r="A6535" t="str">
        <f>"20190304154925160"</f>
        <v>20190304154925160</v>
      </c>
      <c r="B6535" t="str">
        <f>"1551685765153656"</f>
        <v>1551685765153656</v>
      </c>
      <c r="C6535" t="s">
        <v>40</v>
      </c>
      <c r="D6535">
        <v>4.6000310000000004</v>
      </c>
      <c r="E6535">
        <v>0.5902425</v>
      </c>
      <c r="F6535" t="s">
        <v>92</v>
      </c>
      <c r="G6535">
        <v>-279.33690000000001</v>
      </c>
      <c r="H6535">
        <v>1.2821370000000001</v>
      </c>
      <c r="I6535">
        <v>4.2336790000000004</v>
      </c>
      <c r="J6535">
        <v>-356.72059999999999</v>
      </c>
      <c r="K6535">
        <v>1.1102879999999999</v>
      </c>
      <c r="L6535">
        <v>16.86966</v>
      </c>
      <c r="M6535">
        <v>0.99992890000000001</v>
      </c>
      <c r="N6535">
        <v>-1.1133870000000001E-2</v>
      </c>
      <c r="O6535">
        <v>-4.2910149999999996E-3</v>
      </c>
      <c r="P6535">
        <v>0.97857620000000001</v>
      </c>
      <c r="Q6535">
        <v>0.192132</v>
      </c>
      <c r="R6535">
        <v>7.3987070000000002E-2</v>
      </c>
      <c r="S6535">
        <v>3.1032410000000001</v>
      </c>
      <c r="T6535">
        <v>6.8719389999999997E-3</v>
      </c>
      <c r="U6535">
        <v>-0.50527949999999999</v>
      </c>
      <c r="V6535">
        <v>-7.8178139999999993E-2</v>
      </c>
      <c r="W6535">
        <v>0.2030151</v>
      </c>
      <c r="X6535">
        <v>0.97604970000000002</v>
      </c>
      <c r="Y6535">
        <v>0.15647169999999999</v>
      </c>
      <c r="Z6535">
        <v>-7.6158170000000002E-4</v>
      </c>
      <c r="AA6535">
        <v>0.98768219999999995</v>
      </c>
      <c r="AB6535">
        <v>28</v>
      </c>
      <c r="AC6535">
        <v>77.383699999999905</v>
      </c>
      <c r="AD6535">
        <v>0.171849</v>
      </c>
      <c r="AE6535">
        <v>-12.635980999999999</v>
      </c>
      <c r="AF6535">
        <v>12.3037303803239</v>
      </c>
      <c r="AG6535">
        <v>0.171849</v>
      </c>
      <c r="AH6535">
        <v>77.436840047348397</v>
      </c>
      <c r="AI6535">
        <v>89.874423765280795</v>
      </c>
      <c r="AJ6535">
        <v>80.9718955620949</v>
      </c>
      <c r="AK6535">
        <v>78.408389282455801</v>
      </c>
      <c r="AL6535">
        <v>78.2866703085881</v>
      </c>
      <c r="AM6535">
        <v>94.579413653328501</v>
      </c>
      <c r="AN6535">
        <v>0.99999998463597894</v>
      </c>
    </row>
    <row r="6536" spans="1:40" x14ac:dyDescent="0.25">
      <c r="A6536" t="str">
        <f>"20190304154925173"</f>
        <v>20190304154925173</v>
      </c>
      <c r="B6536" t="str">
        <f>"1551685765164101"</f>
        <v>1551685765164101</v>
      </c>
      <c r="C6536" t="s">
        <v>40</v>
      </c>
      <c r="D6536">
        <v>4.4221309999999896</v>
      </c>
      <c r="E6536">
        <v>0.59090949999999998</v>
      </c>
      <c r="F6536" t="s">
        <v>92</v>
      </c>
      <c r="G6536">
        <v>-279.33690000000001</v>
      </c>
      <c r="H6536">
        <v>1.007719</v>
      </c>
      <c r="I6536">
        <v>4.2200889999999998</v>
      </c>
      <c r="J6536">
        <v>-356.56119999999999</v>
      </c>
      <c r="K6536">
        <v>1.110301</v>
      </c>
      <c r="L6536">
        <v>16.86899</v>
      </c>
      <c r="M6536">
        <v>0.99992809999999999</v>
      </c>
      <c r="N6536">
        <v>-1.119879E-2</v>
      </c>
      <c r="O6536">
        <v>-4.2907809999999996E-3</v>
      </c>
      <c r="P6536">
        <v>0.97861790000000004</v>
      </c>
      <c r="Q6536">
        <v>0.1922258</v>
      </c>
      <c r="R6536">
        <v>7.318827E-2</v>
      </c>
      <c r="S6536">
        <v>3.1048580000000001</v>
      </c>
      <c r="T6536">
        <v>-4.1153429999999996E-3</v>
      </c>
      <c r="U6536">
        <v>-0.50753779999999904</v>
      </c>
      <c r="V6536">
        <v>-7.7379669999999998E-2</v>
      </c>
      <c r="W6536">
        <v>0.2031724</v>
      </c>
      <c r="X6536">
        <v>0.97608059999999996</v>
      </c>
      <c r="Y6536">
        <v>0.15708710000000001</v>
      </c>
      <c r="Z6536">
        <v>-1.0309329999999999E-3</v>
      </c>
      <c r="AA6536">
        <v>0.98758420000000002</v>
      </c>
      <c r="AB6536">
        <v>28</v>
      </c>
      <c r="AC6536">
        <v>77.2242999999999</v>
      </c>
      <c r="AD6536">
        <v>-0.10258199999999899</v>
      </c>
      <c r="AE6536">
        <v>-12.648900999999899</v>
      </c>
      <c r="AF6536">
        <v>12.3173900455725</v>
      </c>
      <c r="AG6536">
        <v>-0.10258199999999899</v>
      </c>
      <c r="AH6536">
        <v>77.277733296104302</v>
      </c>
      <c r="AI6536">
        <v>90.075108889083097</v>
      </c>
      <c r="AJ6536">
        <v>80.943737727203995</v>
      </c>
      <c r="AK6536">
        <v>78.253285451700506</v>
      </c>
      <c r="AL6536">
        <v>78.277465889957895</v>
      </c>
      <c r="AM6536">
        <v>94.532694968426796</v>
      </c>
      <c r="AN6536">
        <v>0.999999987573714</v>
      </c>
    </row>
    <row r="6537" spans="1:40" x14ac:dyDescent="0.25">
      <c r="A6537" t="str">
        <f>"20190304154925185"</f>
        <v>20190304154925185</v>
      </c>
      <c r="B6537" t="str">
        <f>"1551685765173968"</f>
        <v>1551685765173968</v>
      </c>
      <c r="C6537" t="s">
        <v>40</v>
      </c>
      <c r="D6537">
        <v>4.3861759999999999</v>
      </c>
      <c r="E6537">
        <v>0.59137019999999996</v>
      </c>
      <c r="F6537" t="s">
        <v>92</v>
      </c>
      <c r="G6537">
        <v>-279.33690000000001</v>
      </c>
      <c r="H6537">
        <v>0.97537989999999997</v>
      </c>
      <c r="I6537">
        <v>4.0492460000000001</v>
      </c>
      <c r="J6537">
        <v>-356.4119</v>
      </c>
      <c r="K6537">
        <v>1.1103160000000001</v>
      </c>
      <c r="L6537">
        <v>16.86835</v>
      </c>
      <c r="M6537">
        <v>0.99992740000000002</v>
      </c>
      <c r="N6537">
        <v>-1.126111E-2</v>
      </c>
      <c r="O6537">
        <v>-4.2907739999999998E-3</v>
      </c>
      <c r="P6537">
        <v>0.97867499999999996</v>
      </c>
      <c r="Q6537">
        <v>0.1923127</v>
      </c>
      <c r="R6537">
        <v>7.2186769999999997E-2</v>
      </c>
      <c r="S6537">
        <v>3.1051329999999999</v>
      </c>
      <c r="T6537">
        <v>-5.4250959999999999E-3</v>
      </c>
      <c r="U6537">
        <v>-0.51547240000000005</v>
      </c>
      <c r="V6537">
        <v>-7.6377959999999995E-2</v>
      </c>
      <c r="W6537">
        <v>0.20332040000000001</v>
      </c>
      <c r="X6537">
        <v>0.97612869999999996</v>
      </c>
      <c r="Y6537">
        <v>0.159529</v>
      </c>
      <c r="Z6537">
        <v>-1.083339E-3</v>
      </c>
      <c r="AA6537">
        <v>0.98719259999999998</v>
      </c>
      <c r="AB6537">
        <v>28</v>
      </c>
      <c r="AC6537">
        <v>77.074999999999903</v>
      </c>
      <c r="AD6537">
        <v>-0.1349361</v>
      </c>
      <c r="AE6537">
        <v>-12.819103999999999</v>
      </c>
      <c r="AF6537">
        <v>12.488216361424501</v>
      </c>
      <c r="AG6537">
        <v>-0.1349361</v>
      </c>
      <c r="AH6537">
        <v>77.129067731522596</v>
      </c>
      <c r="AI6537">
        <v>90.098949340539306</v>
      </c>
      <c r="AJ6537">
        <v>80.802871404495505</v>
      </c>
      <c r="AK6537">
        <v>78.133647327989493</v>
      </c>
      <c r="AL6537">
        <v>78.268805596128104</v>
      </c>
      <c r="AM6537">
        <v>94.474037695072795</v>
      </c>
      <c r="AN6537">
        <v>1.0000000083967999</v>
      </c>
    </row>
    <row r="6538" spans="1:40" x14ac:dyDescent="0.25">
      <c r="A6538" t="str">
        <f>"20190304154925199"</f>
        <v>20190304154925199</v>
      </c>
      <c r="B6538" t="str">
        <f>"1551685765193489"</f>
        <v>1551685765193489</v>
      </c>
      <c r="C6538" t="s">
        <v>40</v>
      </c>
      <c r="D6538">
        <v>4.3926679999999996</v>
      </c>
      <c r="E6538">
        <v>0.59191969999999905</v>
      </c>
      <c r="F6538" t="s">
        <v>92</v>
      </c>
      <c r="G6538">
        <v>-279.33690000000001</v>
      </c>
      <c r="H6538">
        <v>0.96202030000000005</v>
      </c>
      <c r="I6538">
        <v>3.900436</v>
      </c>
      <c r="J6538">
        <v>-356.24889999999999</v>
      </c>
      <c r="K6538">
        <v>1.1103379999999901</v>
      </c>
      <c r="L6538">
        <v>16.867650000000001</v>
      </c>
      <c r="M6538">
        <v>0.99992669999999995</v>
      </c>
      <c r="N6538">
        <v>-1.1330399999999999E-2</v>
      </c>
      <c r="O6538">
        <v>-4.290688E-3</v>
      </c>
      <c r="P6538">
        <v>0.97882499999999995</v>
      </c>
      <c r="Q6538">
        <v>0.19182440000000001</v>
      </c>
      <c r="R6538">
        <v>7.1452950000000001E-2</v>
      </c>
      <c r="S6538">
        <v>3.1050719999999998</v>
      </c>
      <c r="T6538">
        <v>-5.9742930000000003E-3</v>
      </c>
      <c r="U6538">
        <v>-0.52243039999999996</v>
      </c>
      <c r="V6538">
        <v>-7.5644580000000003E-2</v>
      </c>
      <c r="W6538">
        <v>0.20290159999999999</v>
      </c>
      <c r="X6538">
        <v>0.9762729</v>
      </c>
      <c r="Y6538">
        <v>0.16168370000000001</v>
      </c>
      <c r="Z6538">
        <v>-1.116941E-3</v>
      </c>
      <c r="AA6538">
        <v>0.986842</v>
      </c>
      <c r="AB6538">
        <v>28</v>
      </c>
      <c r="AC6538">
        <v>76.911999999999907</v>
      </c>
      <c r="AD6538">
        <v>-0.148317699999999</v>
      </c>
      <c r="AE6538">
        <v>-12.967214</v>
      </c>
      <c r="AF6538">
        <v>12.6370223775091</v>
      </c>
      <c r="AG6538">
        <v>-0.148317699999999</v>
      </c>
      <c r="AH6538">
        <v>76.9666554574803</v>
      </c>
      <c r="AI6538">
        <v>90.108952243984106</v>
      </c>
      <c r="AJ6538">
        <v>80.675896592119003</v>
      </c>
      <c r="AK6538">
        <v>77.997322934959001</v>
      </c>
      <c r="AL6538">
        <v>78.293311411121607</v>
      </c>
      <c r="AM6538">
        <v>94.430598070914201</v>
      </c>
      <c r="AN6538">
        <v>0.99999996852017203</v>
      </c>
    </row>
    <row r="6539" spans="1:40" x14ac:dyDescent="0.25">
      <c r="A6539" t="str">
        <f>"20190304154925217"</f>
        <v>20190304154925217</v>
      </c>
      <c r="B6539" t="str">
        <f>"1551685765213984"</f>
        <v>1551685765213984</v>
      </c>
      <c r="C6539" t="s">
        <v>40</v>
      </c>
      <c r="D6539">
        <v>4.3890859999999998</v>
      </c>
      <c r="E6539">
        <v>0.59225879999999997</v>
      </c>
      <c r="F6539" t="s">
        <v>92</v>
      </c>
      <c r="G6539">
        <v>-279.33690000000001</v>
      </c>
      <c r="H6539">
        <v>0.8657802</v>
      </c>
      <c r="I6539">
        <v>3.7611479999999999</v>
      </c>
      <c r="J6539">
        <v>-356.01459999999997</v>
      </c>
      <c r="K6539">
        <v>1.110363</v>
      </c>
      <c r="L6539">
        <v>16.86664</v>
      </c>
      <c r="M6539">
        <v>0.99992559999999997</v>
      </c>
      <c r="N6539">
        <v>-1.143197E-2</v>
      </c>
      <c r="O6539">
        <v>-4.2903129999999996E-3</v>
      </c>
      <c r="P6539">
        <v>0.97911170000000003</v>
      </c>
      <c r="Q6539">
        <v>0.19085170000000001</v>
      </c>
      <c r="R6539">
        <v>7.0115819999999995E-2</v>
      </c>
      <c r="S6539">
        <v>3.105499</v>
      </c>
      <c r="T6539">
        <v>-9.8745819999999998E-3</v>
      </c>
      <c r="U6539">
        <v>-0.52920529999999999</v>
      </c>
      <c r="V6539">
        <v>-7.4308589999999994E-2</v>
      </c>
      <c r="W6539">
        <v>0.20203160000000001</v>
      </c>
      <c r="X6539">
        <v>0.97655590000000003</v>
      </c>
      <c r="Y6539">
        <v>0.1637526</v>
      </c>
      <c r="Z6539">
        <v>-1.2363859999999999E-3</v>
      </c>
      <c r="AA6539">
        <v>0.98650070000000001</v>
      </c>
      <c r="AB6539">
        <v>28</v>
      </c>
      <c r="AC6539">
        <v>76.677699999999902</v>
      </c>
      <c r="AD6539">
        <v>-0.24458279999999999</v>
      </c>
      <c r="AE6539">
        <v>-13.105492</v>
      </c>
      <c r="AF6539">
        <v>12.7762522840577</v>
      </c>
      <c r="AG6539">
        <v>-0.24458279999999999</v>
      </c>
      <c r="AH6539">
        <v>76.7324659821913</v>
      </c>
      <c r="AI6539">
        <v>90.180148150057605</v>
      </c>
      <c r="AJ6539">
        <v>80.546753683591206</v>
      </c>
      <c r="AK6539">
        <v>77.7892266247717</v>
      </c>
      <c r="AL6539">
        <v>78.344213090426805</v>
      </c>
      <c r="AM6539">
        <v>94.351394334963302</v>
      </c>
      <c r="AN6539">
        <v>0.99999997988557898</v>
      </c>
    </row>
    <row r="6540" spans="1:40" x14ac:dyDescent="0.25">
      <c r="A6540" t="str">
        <f>"20190304154925232"</f>
        <v>20190304154925232</v>
      </c>
      <c r="B6540" t="str">
        <f>"1551685765223744"</f>
        <v>1551685765223744</v>
      </c>
      <c r="C6540" t="s">
        <v>40</v>
      </c>
      <c r="D6540">
        <v>4.4135010000000001</v>
      </c>
      <c r="E6540">
        <v>0.59248699999999999</v>
      </c>
      <c r="F6540" t="s">
        <v>92</v>
      </c>
      <c r="G6540">
        <v>-279.02</v>
      </c>
      <c r="H6540">
        <v>0.72147240000000001</v>
      </c>
      <c r="I6540">
        <v>3.5793300000000001</v>
      </c>
      <c r="J6540">
        <v>-355.84269999999998</v>
      </c>
      <c r="K6540">
        <v>1.1103860000000001</v>
      </c>
      <c r="L6540">
        <v>16.86591</v>
      </c>
      <c r="M6540">
        <v>0.99992479999999995</v>
      </c>
      <c r="N6540">
        <v>-1.1507460000000001E-2</v>
      </c>
      <c r="O6540">
        <v>-4.2902690000000002E-3</v>
      </c>
      <c r="P6540">
        <v>0.97935119999999998</v>
      </c>
      <c r="Q6540">
        <v>0.18982779999999999</v>
      </c>
      <c r="R6540">
        <v>6.9548730000000003E-2</v>
      </c>
      <c r="S6540">
        <v>3.1054379999999999</v>
      </c>
      <c r="T6540">
        <v>-1.56852E-2</v>
      </c>
      <c r="U6540">
        <v>-0.53591919999999904</v>
      </c>
      <c r="V6540">
        <v>-7.3742580000000002E-2</v>
      </c>
      <c r="W6540">
        <v>0.2010845</v>
      </c>
      <c r="X6540">
        <v>0.9767943</v>
      </c>
      <c r="Y6540">
        <v>0.1658242</v>
      </c>
      <c r="Z6540">
        <v>-1.4043689999999999E-3</v>
      </c>
      <c r="AA6540">
        <v>0.98615430000000004</v>
      </c>
      <c r="AB6540">
        <v>28</v>
      </c>
      <c r="AC6540">
        <v>76.822699999999998</v>
      </c>
      <c r="AD6540">
        <v>-0.38891360000000003</v>
      </c>
      <c r="AE6540">
        <v>-13.286580000000001</v>
      </c>
      <c r="AF6540">
        <v>12.956523487622601</v>
      </c>
      <c r="AG6540">
        <v>-0.38891360000000003</v>
      </c>
      <c r="AH6540">
        <v>76.877086613735202</v>
      </c>
      <c r="AI6540">
        <v>90.285820460615497</v>
      </c>
      <c r="AJ6540">
        <v>80.4335233509115</v>
      </c>
      <c r="AK6540">
        <v>77.962229322213005</v>
      </c>
      <c r="AL6540">
        <v>78.399615486453499</v>
      </c>
      <c r="AM6540">
        <v>94.317325562220404</v>
      </c>
      <c r="AN6540">
        <v>1.00000002437889</v>
      </c>
    </row>
    <row r="6541" spans="1:40" x14ac:dyDescent="0.25">
      <c r="A6541" t="str">
        <f>"20190304154925250"</f>
        <v>20190304154925250</v>
      </c>
      <c r="B6541" t="str">
        <f>"1551685765243264"</f>
        <v>1551685765243264</v>
      </c>
      <c r="C6541" t="s">
        <v>40</v>
      </c>
      <c r="D6541">
        <v>4.3870690000000003</v>
      </c>
      <c r="E6541">
        <v>0.5929818</v>
      </c>
      <c r="F6541" t="s">
        <v>92</v>
      </c>
      <c r="G6541">
        <v>-279.02</v>
      </c>
      <c r="H6541">
        <v>0.62794949999999905</v>
      </c>
      <c r="I6541">
        <v>3.5209239999999999</v>
      </c>
      <c r="J6541">
        <v>-355.61270000000002</v>
      </c>
      <c r="K6541">
        <v>1.110422</v>
      </c>
      <c r="L6541">
        <v>16.864929999999902</v>
      </c>
      <c r="M6541">
        <v>0.99992360000000002</v>
      </c>
      <c r="N6541">
        <v>-1.1609990000000001E-2</v>
      </c>
      <c r="O6541">
        <v>-4.2905010000000004E-3</v>
      </c>
      <c r="P6541">
        <v>0.97955389999999998</v>
      </c>
      <c r="Q6541">
        <v>0.18904779999999999</v>
      </c>
      <c r="R6541">
        <v>6.881437E-2</v>
      </c>
      <c r="S6541">
        <v>3.1053160000000002</v>
      </c>
      <c r="T6541">
        <v>-1.9500969999999999E-2</v>
      </c>
      <c r="U6541">
        <v>-0.53942869999999998</v>
      </c>
      <c r="V6541">
        <v>-7.3009530000000003E-2</v>
      </c>
      <c r="W6541">
        <v>0.20040720000000001</v>
      </c>
      <c r="X6541">
        <v>0.97698859999999998</v>
      </c>
      <c r="Y6541">
        <v>0.16691</v>
      </c>
      <c r="Z6541">
        <v>-1.519067E-3</v>
      </c>
      <c r="AA6541">
        <v>0.98597100000000004</v>
      </c>
      <c r="AB6541">
        <v>28</v>
      </c>
      <c r="AC6541">
        <v>76.592699999999994</v>
      </c>
      <c r="AD6541">
        <v>-0.48247250000000003</v>
      </c>
      <c r="AE6541">
        <v>-13.344005999999901</v>
      </c>
      <c r="AF6541">
        <v>13.0147388126679</v>
      </c>
      <c r="AG6541">
        <v>-0.48247250000000003</v>
      </c>
      <c r="AH6541">
        <v>76.646299522689901</v>
      </c>
      <c r="AI6541">
        <v>90.355570731175305</v>
      </c>
      <c r="AJ6541">
        <v>80.362949091030202</v>
      </c>
      <c r="AK6541">
        <v>77.744912609103395</v>
      </c>
      <c r="AL6541">
        <v>78.439228964323206</v>
      </c>
      <c r="AM6541">
        <v>94.273721396990396</v>
      </c>
      <c r="AN6541">
        <v>1.0000000809063001</v>
      </c>
    </row>
    <row r="6542" spans="1:40" x14ac:dyDescent="0.25">
      <c r="A6542" t="str">
        <f>"20190304154925263"</f>
        <v>20190304154925263</v>
      </c>
      <c r="B6542" t="str">
        <f>"1551685765254001"</f>
        <v>1551685765254001</v>
      </c>
      <c r="C6542" t="s">
        <v>40</v>
      </c>
      <c r="D6542">
        <v>4.382085</v>
      </c>
      <c r="E6542">
        <v>0.59328979999999998</v>
      </c>
      <c r="F6542" t="s">
        <v>92</v>
      </c>
      <c r="G6542">
        <v>-279.02</v>
      </c>
      <c r="H6542">
        <v>0.53901509999999997</v>
      </c>
      <c r="I6542">
        <v>3.4201739999999998</v>
      </c>
      <c r="J6542">
        <v>-355.45280000000002</v>
      </c>
      <c r="K6542">
        <v>1.1104510000000001</v>
      </c>
      <c r="L6542">
        <v>16.864229999999999</v>
      </c>
      <c r="M6542">
        <v>0.99992259999999999</v>
      </c>
      <c r="N6542">
        <v>-1.168188E-2</v>
      </c>
      <c r="O6542">
        <v>-4.2903230000000004E-3</v>
      </c>
      <c r="P6542">
        <v>0.97958520000000004</v>
      </c>
      <c r="Q6542">
        <v>0.18897530000000001</v>
      </c>
      <c r="R6542">
        <v>6.8564390000000003E-2</v>
      </c>
      <c r="S6542">
        <v>3.1053769999999998</v>
      </c>
      <c r="T6542">
        <v>-2.3167130000000001E-2</v>
      </c>
      <c r="U6542">
        <v>-0.54510499999999995</v>
      </c>
      <c r="V6542">
        <v>-7.2758939999999994E-2</v>
      </c>
      <c r="W6542">
        <v>0.20040479999999999</v>
      </c>
      <c r="X6542">
        <v>0.97700770000000003</v>
      </c>
      <c r="Y6542">
        <v>0.16865289999999999</v>
      </c>
      <c r="Z6542">
        <v>-1.6349400000000001E-3</v>
      </c>
      <c r="AA6542">
        <v>0.9856741</v>
      </c>
      <c r="AB6542">
        <v>28</v>
      </c>
      <c r="AC6542">
        <v>76.4328</v>
      </c>
      <c r="AD6542">
        <v>-0.5714359</v>
      </c>
      <c r="AE6542">
        <v>-13.444056</v>
      </c>
      <c r="AF6542">
        <v>13.1152774040405</v>
      </c>
      <c r="AG6542">
        <v>-0.5714359</v>
      </c>
      <c r="AH6542">
        <v>76.485632842511805</v>
      </c>
      <c r="AI6542">
        <v>90.421900143948704</v>
      </c>
      <c r="AJ6542">
        <v>80.269907466540403</v>
      </c>
      <c r="AK6542">
        <v>77.604053191133403</v>
      </c>
      <c r="AL6542">
        <v>78.439368332792</v>
      </c>
      <c r="AM6542">
        <v>94.259023851439295</v>
      </c>
      <c r="AN6542">
        <v>0.99999999653612603</v>
      </c>
    </row>
    <row r="6543" spans="1:40" x14ac:dyDescent="0.25">
      <c r="A6543" t="str">
        <f>"20190304154925276"</f>
        <v>20190304154925276</v>
      </c>
      <c r="B6543" t="str">
        <f>"1551685765273521"</f>
        <v>1551685765273521</v>
      </c>
      <c r="C6543" t="s">
        <v>40</v>
      </c>
      <c r="D6543">
        <v>4.3779019999999997</v>
      </c>
      <c r="E6543">
        <v>0.59374309999999997</v>
      </c>
      <c r="F6543" t="s">
        <v>92</v>
      </c>
      <c r="G6543">
        <v>-279.02</v>
      </c>
      <c r="H6543">
        <v>0.53282850000000004</v>
      </c>
      <c r="I6543">
        <v>3.3668140000000002</v>
      </c>
      <c r="J6543">
        <v>-355.29820000000001</v>
      </c>
      <c r="K6543">
        <v>1.1104830000000001</v>
      </c>
      <c r="L6543">
        <v>16.86356</v>
      </c>
      <c r="M6543">
        <v>0.99992190000000003</v>
      </c>
      <c r="N6543">
        <v>-1.175054E-2</v>
      </c>
      <c r="O6543">
        <v>-4.2903680000000001E-3</v>
      </c>
      <c r="P6543">
        <v>0.97956670000000001</v>
      </c>
      <c r="Q6543">
        <v>0.18913250000000001</v>
      </c>
      <c r="R6543">
        <v>6.8398650000000005E-2</v>
      </c>
      <c r="S6543">
        <v>3.1054689999999998</v>
      </c>
      <c r="T6543">
        <v>-2.3468849999999999E-2</v>
      </c>
      <c r="U6543">
        <v>-0.54840089999999997</v>
      </c>
      <c r="V6543">
        <v>-7.2593400000000002E-2</v>
      </c>
      <c r="W6543">
        <v>0.20062949999999999</v>
      </c>
      <c r="X6543">
        <v>0.97697389999999995</v>
      </c>
      <c r="Y6543">
        <v>0.16966210000000001</v>
      </c>
      <c r="Z6543">
        <v>-1.6585580000000001E-3</v>
      </c>
      <c r="AA6543">
        <v>0.98550090000000001</v>
      </c>
      <c r="AB6543">
        <v>28</v>
      </c>
      <c r="AC6543">
        <v>76.278199999999998</v>
      </c>
      <c r="AD6543">
        <v>-0.57765449999999896</v>
      </c>
      <c r="AE6543">
        <v>-13.496746</v>
      </c>
      <c r="AF6543">
        <v>13.1686053702165</v>
      </c>
      <c r="AG6543">
        <v>-0.57765449999999896</v>
      </c>
      <c r="AH6543">
        <v>76.331163142277703</v>
      </c>
      <c r="AI6543">
        <v>90.427279673811</v>
      </c>
      <c r="AJ6543">
        <v>80.211717719369304</v>
      </c>
      <c r="AK6543">
        <v>77.460908326528696</v>
      </c>
      <c r="AL6543">
        <v>78.426227111019799</v>
      </c>
      <c r="AM6543">
        <v>94.249515797175306</v>
      </c>
      <c r="AN6543">
        <v>0.99999999963750896</v>
      </c>
    </row>
    <row r="6544" spans="1:40" x14ac:dyDescent="0.25">
      <c r="A6544" t="str">
        <f>"20190304154925294"</f>
        <v>20190304154925294</v>
      </c>
      <c r="B6544" t="str">
        <f>"1551685765283280"</f>
        <v>1551685765283280</v>
      </c>
      <c r="C6544" t="s">
        <v>40</v>
      </c>
      <c r="D6544">
        <v>4.3902970000000003</v>
      </c>
      <c r="E6544">
        <v>0.59401530000000002</v>
      </c>
      <c r="F6544" t="s">
        <v>92</v>
      </c>
      <c r="G6544">
        <v>-279.02</v>
      </c>
      <c r="H6544">
        <v>0.55016449999999995</v>
      </c>
      <c r="I6544">
        <v>3.2912810000000001</v>
      </c>
      <c r="J6544">
        <v>-355.06920000000002</v>
      </c>
      <c r="K6544">
        <v>1.110535</v>
      </c>
      <c r="L6544">
        <v>16.862549999999999</v>
      </c>
      <c r="M6544">
        <v>0.99992049999999999</v>
      </c>
      <c r="N6544">
        <v>-1.184939E-2</v>
      </c>
      <c r="O6544">
        <v>-4.2897600000000001E-3</v>
      </c>
      <c r="P6544">
        <v>0.97934160000000003</v>
      </c>
      <c r="Q6544">
        <v>0.1905046</v>
      </c>
      <c r="R6544">
        <v>6.7809720000000004E-2</v>
      </c>
      <c r="S6544">
        <v>3.105591</v>
      </c>
      <c r="T6544">
        <v>-2.2812840000000001E-2</v>
      </c>
      <c r="U6544">
        <v>-0.55258180000000001</v>
      </c>
      <c r="V6544">
        <v>-7.2002880000000005E-2</v>
      </c>
      <c r="W6544">
        <v>0.2020952</v>
      </c>
      <c r="X6544">
        <v>0.97671549999999996</v>
      </c>
      <c r="Y6544">
        <v>0.1709426</v>
      </c>
      <c r="Z6544">
        <v>-1.6628750000000001E-3</v>
      </c>
      <c r="AA6544">
        <v>0.98527960000000003</v>
      </c>
      <c r="AB6544">
        <v>28</v>
      </c>
      <c r="AC6544">
        <v>76.049199999999999</v>
      </c>
      <c r="AD6544">
        <v>-0.56037049999999999</v>
      </c>
      <c r="AE6544">
        <v>-13.571268999999999</v>
      </c>
      <c r="AF6544">
        <v>13.244191458634401</v>
      </c>
      <c r="AG6544">
        <v>-0.56037049999999999</v>
      </c>
      <c r="AH6544">
        <v>76.102717263507103</v>
      </c>
      <c r="AI6544">
        <v>90.415634020833906</v>
      </c>
      <c r="AJ6544">
        <v>80.127662805357204</v>
      </c>
      <c r="AK6544">
        <v>77.248599970352402</v>
      </c>
      <c r="AL6544">
        <v>78.340492876906097</v>
      </c>
      <c r="AM6544">
        <v>94.216183801475296</v>
      </c>
      <c r="AN6544">
        <v>1.00000002626579</v>
      </c>
    </row>
    <row r="6545" spans="1:40" x14ac:dyDescent="0.25">
      <c r="A6545" t="str">
        <f>"20190304154925306"</f>
        <v>20190304154925306</v>
      </c>
      <c r="B6545" t="str">
        <f>"1551685765303777"</f>
        <v>1551685765303777</v>
      </c>
      <c r="C6545" t="s">
        <v>40</v>
      </c>
      <c r="D6545">
        <v>4.4030370000000003</v>
      </c>
      <c r="E6545">
        <v>0.59447910000000004</v>
      </c>
      <c r="F6545" t="s">
        <v>92</v>
      </c>
      <c r="G6545">
        <v>-279.02</v>
      </c>
      <c r="H6545">
        <v>0.66184299999999996</v>
      </c>
      <c r="I6545">
        <v>3.2375509999999998</v>
      </c>
      <c r="J6545">
        <v>-354.92099999999999</v>
      </c>
      <c r="K6545">
        <v>1.1105689999999999</v>
      </c>
      <c r="L6545">
        <v>16.861910000000002</v>
      </c>
      <c r="M6545">
        <v>0.99991989999999997</v>
      </c>
      <c r="N6545">
        <v>-1.191154E-2</v>
      </c>
      <c r="O6545">
        <v>-4.289653E-3</v>
      </c>
      <c r="P6545">
        <v>0.97922260000000005</v>
      </c>
      <c r="Q6545">
        <v>0.19121740000000001</v>
      </c>
      <c r="R6545">
        <v>6.7521529999999996E-2</v>
      </c>
      <c r="S6545">
        <v>3.1054080000000002</v>
      </c>
      <c r="T6545">
        <v>-1.832199E-2</v>
      </c>
      <c r="U6545">
        <v>-0.55636600000000003</v>
      </c>
      <c r="V6545">
        <v>-7.1714070000000005E-2</v>
      </c>
      <c r="W6545">
        <v>0.20286750000000001</v>
      </c>
      <c r="X6545">
        <v>0.97657660000000002</v>
      </c>
      <c r="Y6545">
        <v>0.1721191</v>
      </c>
      <c r="Z6545">
        <v>-1.562595E-3</v>
      </c>
      <c r="AA6545">
        <v>0.98507489999999998</v>
      </c>
      <c r="AB6545">
        <v>28</v>
      </c>
      <c r="AC6545">
        <v>75.900999999999996</v>
      </c>
      <c r="AD6545">
        <v>-0.44872600000000001</v>
      </c>
      <c r="AE6545">
        <v>-13.624359</v>
      </c>
      <c r="AF6545">
        <v>13.2981713078002</v>
      </c>
      <c r="AG6545">
        <v>-0.44872600000000001</v>
      </c>
      <c r="AH6545">
        <v>75.956177559407294</v>
      </c>
      <c r="AI6545">
        <v>90.333410947406506</v>
      </c>
      <c r="AJ6545">
        <v>80.069480011245503</v>
      </c>
      <c r="AK6545">
        <v>77.112798059666403</v>
      </c>
      <c r="AL6545">
        <v>78.295306984767095</v>
      </c>
      <c r="AM6545">
        <v>94.199928070065496</v>
      </c>
      <c r="AN6545">
        <v>0.99999999302988696</v>
      </c>
    </row>
    <row r="6546" spans="1:40" x14ac:dyDescent="0.25">
      <c r="A6546" t="str">
        <f>"20190304154925318"</f>
        <v>20190304154925318</v>
      </c>
      <c r="B6546" t="str">
        <f>"1551685765313537"</f>
        <v>1551685765313537</v>
      </c>
      <c r="C6546" t="s">
        <v>40</v>
      </c>
      <c r="D6546">
        <v>4.402552</v>
      </c>
      <c r="E6546">
        <v>0.5946437</v>
      </c>
      <c r="F6546" t="s">
        <v>92</v>
      </c>
      <c r="G6546">
        <v>-279.02</v>
      </c>
      <c r="H6546">
        <v>0.70666079999999998</v>
      </c>
      <c r="I6546">
        <v>3.15571</v>
      </c>
      <c r="J6546">
        <v>-354.77229999999997</v>
      </c>
      <c r="K6546">
        <v>1.1106</v>
      </c>
      <c r="L6546">
        <v>16.861270000000001</v>
      </c>
      <c r="M6546">
        <v>0.99991920000000001</v>
      </c>
      <c r="N6546">
        <v>-1.1972170000000001E-2</v>
      </c>
      <c r="O6546">
        <v>-4.2896569999999997E-3</v>
      </c>
      <c r="P6546">
        <v>0.97899159999999996</v>
      </c>
      <c r="Q6546">
        <v>0.192685</v>
      </c>
      <c r="R6546">
        <v>6.6695539999999998E-2</v>
      </c>
      <c r="S6546">
        <v>3.105499</v>
      </c>
      <c r="T6546">
        <v>-1.6525979999999999E-2</v>
      </c>
      <c r="U6546">
        <v>-0.56079100000000004</v>
      </c>
      <c r="V6546">
        <v>-7.0886899999999906E-2</v>
      </c>
      <c r="W6546">
        <v>0.2043913</v>
      </c>
      <c r="X6546">
        <v>0.9763193</v>
      </c>
      <c r="Y6546">
        <v>0.17347460000000001</v>
      </c>
      <c r="Z6546">
        <v>-1.5330039999999999E-3</v>
      </c>
      <c r="AA6546">
        <v>0.98483719999999997</v>
      </c>
      <c r="AB6546">
        <v>28</v>
      </c>
      <c r="AC6546">
        <v>75.752299999999906</v>
      </c>
      <c r="AD6546">
        <v>-0.4039392</v>
      </c>
      <c r="AE6546">
        <v>-13.70556</v>
      </c>
      <c r="AF6546">
        <v>13.380090837987799</v>
      </c>
      <c r="AG6546">
        <v>-0.4039392</v>
      </c>
      <c r="AH6546">
        <v>75.808312071256793</v>
      </c>
      <c r="AI6546">
        <v>90.300646739632995</v>
      </c>
      <c r="AJ6546">
        <v>79.990441814324996</v>
      </c>
      <c r="AK6546">
        <v>76.981102725299806</v>
      </c>
      <c r="AL6546">
        <v>78.206132130178304</v>
      </c>
      <c r="AM6546">
        <v>94.152745607243006</v>
      </c>
      <c r="AN6546">
        <v>1.00000006582989</v>
      </c>
    </row>
    <row r="6547" spans="1:40" x14ac:dyDescent="0.25">
      <c r="A6547" t="str">
        <f>"20190304154925329"</f>
        <v>20190304154925329</v>
      </c>
      <c r="B6547" t="str">
        <f>"1551685765323298"</f>
        <v>1551685765323298</v>
      </c>
      <c r="C6547" t="s">
        <v>40</v>
      </c>
      <c r="D6547">
        <v>4.4288030000000003</v>
      </c>
      <c r="E6547">
        <v>0.59485330000000003</v>
      </c>
      <c r="F6547" t="s">
        <v>92</v>
      </c>
      <c r="G6547">
        <v>-279.02</v>
      </c>
      <c r="H6547">
        <v>0.81536430000000004</v>
      </c>
      <c r="I6547">
        <v>3.0869049999999998</v>
      </c>
      <c r="J6547">
        <v>-354.63569999999999</v>
      </c>
      <c r="K6547">
        <v>1.1106309999999999</v>
      </c>
      <c r="L6547">
        <v>16.860689999999899</v>
      </c>
      <c r="M6547">
        <v>0.99991859999999999</v>
      </c>
      <c r="N6547">
        <v>-1.2026749999999999E-2</v>
      </c>
      <c r="O6547">
        <v>-4.2896269999999998E-3</v>
      </c>
      <c r="P6547">
        <v>0.97877159999999996</v>
      </c>
      <c r="Q6547">
        <v>0.1941088</v>
      </c>
      <c r="R6547">
        <v>6.5790550000000003E-2</v>
      </c>
      <c r="S6547">
        <v>3.1052249999999999</v>
      </c>
      <c r="T6547">
        <v>-1.210225E-2</v>
      </c>
      <c r="U6547">
        <v>-0.56463619999999903</v>
      </c>
      <c r="V6547">
        <v>-6.9981160000000001E-2</v>
      </c>
      <c r="W6547">
        <v>0.2058651</v>
      </c>
      <c r="X6547">
        <v>0.97607489999999997</v>
      </c>
      <c r="Y6547">
        <v>0.1746731</v>
      </c>
      <c r="Z6547">
        <v>-1.4311829999999999E-3</v>
      </c>
      <c r="AA6547">
        <v>0.98462550000000004</v>
      </c>
      <c r="AB6547">
        <v>28</v>
      </c>
      <c r="AC6547">
        <v>75.615700000000004</v>
      </c>
      <c r="AD6547">
        <v>-0.29526669999999899</v>
      </c>
      <c r="AE6547">
        <v>-13.773784999999901</v>
      </c>
      <c r="AF6547">
        <v>13.449073205406799</v>
      </c>
      <c r="AG6547">
        <v>-0.29526669999999899</v>
      </c>
      <c r="AH6547">
        <v>75.672976078937296</v>
      </c>
      <c r="AI6547">
        <v>90.220110774854803</v>
      </c>
      <c r="AJ6547">
        <v>79.922264690280898</v>
      </c>
      <c r="AK6547">
        <v>76.859378485334801</v>
      </c>
      <c r="AL6547">
        <v>78.119854214487702</v>
      </c>
      <c r="AM6547">
        <v>94.100890086844899</v>
      </c>
      <c r="AN6547">
        <v>1.00000000628148</v>
      </c>
    </row>
    <row r="6548" spans="1:40" x14ac:dyDescent="0.25">
      <c r="A6548" t="str">
        <f>"20190304154925339"</f>
        <v>20190304154925339</v>
      </c>
      <c r="B6548" t="str">
        <f>"1551685765334034"</f>
        <v>1551685765334034</v>
      </c>
      <c r="C6548" t="s">
        <v>40</v>
      </c>
      <c r="D6548">
        <v>4.4161700000000002</v>
      </c>
      <c r="E6548">
        <v>0.59517529999999996</v>
      </c>
      <c r="F6548" t="s">
        <v>92</v>
      </c>
      <c r="G6548">
        <v>-279.02</v>
      </c>
      <c r="H6548">
        <v>0.91473199999999999</v>
      </c>
      <c r="I6548">
        <v>2.9998170000000002</v>
      </c>
      <c r="J6548">
        <v>-354.51</v>
      </c>
      <c r="K6548">
        <v>1.1106549999999999</v>
      </c>
      <c r="L6548">
        <v>16.86017</v>
      </c>
      <c r="M6548">
        <v>0.99991790000000003</v>
      </c>
      <c r="N6548">
        <v>-1.207577E-2</v>
      </c>
      <c r="O6548">
        <v>-4.2895629999999997E-3</v>
      </c>
      <c r="P6548">
        <v>0.97864419999999996</v>
      </c>
      <c r="Q6548">
        <v>0.19498950000000001</v>
      </c>
      <c r="R6548">
        <v>6.5073370000000005E-2</v>
      </c>
      <c r="S6548">
        <v>3.1049190000000002</v>
      </c>
      <c r="T6548">
        <v>-8.0440040000000004E-3</v>
      </c>
      <c r="U6548">
        <v>-0.56915280000000001</v>
      </c>
      <c r="V6548">
        <v>-6.9263110000000003E-2</v>
      </c>
      <c r="W6548">
        <v>0.2067927</v>
      </c>
      <c r="X6548">
        <v>0.97592999999999996</v>
      </c>
      <c r="Y6548">
        <v>0.17607819999999999</v>
      </c>
      <c r="Z6548">
        <v>-1.3385329999999901E-3</v>
      </c>
      <c r="AA6548">
        <v>0.98437529999999995</v>
      </c>
      <c r="AB6548">
        <v>28</v>
      </c>
      <c r="AC6548">
        <v>75.489999999999995</v>
      </c>
      <c r="AD6548">
        <v>-0.19592300000000001</v>
      </c>
      <c r="AE6548">
        <v>-13.860353</v>
      </c>
      <c r="AF6548">
        <v>13.536294539524301</v>
      </c>
      <c r="AG6548">
        <v>-0.19592300000000001</v>
      </c>
      <c r="AH6548">
        <v>75.548272280247303</v>
      </c>
      <c r="AI6548">
        <v>90.146258453827301</v>
      </c>
      <c r="AJ6548">
        <v>79.841867760749807</v>
      </c>
      <c r="AK6548">
        <v>76.751619528274901</v>
      </c>
      <c r="AL6548">
        <v>78.065537613399897</v>
      </c>
      <c r="AM6548">
        <v>94.059554415301307</v>
      </c>
      <c r="AN6548">
        <v>0.99999998204008</v>
      </c>
    </row>
    <row r="6549" spans="1:40" x14ac:dyDescent="0.25">
      <c r="A6549" t="str">
        <f>"20190304154925350"</f>
        <v>20190304154925350</v>
      </c>
      <c r="B6549" t="str">
        <f>"1551685765343793"</f>
        <v>1551685765343793</v>
      </c>
      <c r="C6549" t="s">
        <v>40</v>
      </c>
      <c r="D6549">
        <v>4.4102009999999998</v>
      </c>
      <c r="E6549">
        <v>0.59546169999999998</v>
      </c>
      <c r="F6549" t="s">
        <v>92</v>
      </c>
      <c r="G6549">
        <v>-279.02</v>
      </c>
      <c r="H6549">
        <v>0.99386660000000004</v>
      </c>
      <c r="I6549">
        <v>2.9037380000000002</v>
      </c>
      <c r="J6549">
        <v>-354.36779999999999</v>
      </c>
      <c r="K6549">
        <v>1.110676</v>
      </c>
      <c r="L6549">
        <v>16.859559999999998</v>
      </c>
      <c r="M6549">
        <v>0.99991730000000001</v>
      </c>
      <c r="N6549">
        <v>-1.213093E-2</v>
      </c>
      <c r="O6549">
        <v>-4.2895379999999999E-3</v>
      </c>
      <c r="P6549">
        <v>0.97856770000000004</v>
      </c>
      <c r="Q6549">
        <v>0.19570670000000001</v>
      </c>
      <c r="R6549">
        <v>6.4064410000000002E-2</v>
      </c>
      <c r="S6549">
        <v>3.1046140000000002</v>
      </c>
      <c r="T6549">
        <v>-4.803061E-3</v>
      </c>
      <c r="U6549">
        <v>-0.5739746</v>
      </c>
      <c r="V6549">
        <v>-6.8253960000000002E-2</v>
      </c>
      <c r="W6549">
        <v>0.20756289999999999</v>
      </c>
      <c r="X6549">
        <v>0.97583759999999997</v>
      </c>
      <c r="Y6549">
        <v>0.17757529999999999</v>
      </c>
      <c r="Z6549">
        <v>-1.267406E-3</v>
      </c>
      <c r="AA6549">
        <v>0.98410640000000005</v>
      </c>
      <c r="AB6549">
        <v>28</v>
      </c>
      <c r="AC6549">
        <v>75.347800000000007</v>
      </c>
      <c r="AD6549">
        <v>-0.11680939999999999</v>
      </c>
      <c r="AE6549">
        <v>-13.955822</v>
      </c>
      <c r="AF6549">
        <v>13.632430900868099</v>
      </c>
      <c r="AG6549">
        <v>-0.11680939999999999</v>
      </c>
      <c r="AH6549">
        <v>75.406799902210295</v>
      </c>
      <c r="AI6549">
        <v>90.0873385558358</v>
      </c>
      <c r="AJ6549">
        <v>79.752457332483303</v>
      </c>
      <c r="AK6549">
        <v>76.629252170400704</v>
      </c>
      <c r="AL6549">
        <v>78.020429818975401</v>
      </c>
      <c r="AM6549">
        <v>94.000978543673497</v>
      </c>
      <c r="AN6549">
        <v>0.99999999104292503</v>
      </c>
    </row>
    <row r="6550" spans="1:40" x14ac:dyDescent="0.25">
      <c r="A6550" t="str">
        <f>"20190304154925362"</f>
        <v>20190304154925362</v>
      </c>
      <c r="B6550" t="str">
        <f>"1551685765353553"</f>
        <v>1551685765353553</v>
      </c>
      <c r="C6550" t="s">
        <v>40</v>
      </c>
      <c r="D6550">
        <v>4.4155639999999998</v>
      </c>
      <c r="E6550">
        <v>0.59569229999999995</v>
      </c>
      <c r="F6550" t="s">
        <v>92</v>
      </c>
      <c r="G6550">
        <v>-279.02</v>
      </c>
      <c r="H6550">
        <v>1.047663</v>
      </c>
      <c r="I6550">
        <v>2.7925490000000002</v>
      </c>
      <c r="J6550">
        <v>-354.23140000000001</v>
      </c>
      <c r="K6550">
        <v>1.1107009999999999</v>
      </c>
      <c r="L6550">
        <v>16.85895</v>
      </c>
      <c r="M6550">
        <v>0.99991660000000004</v>
      </c>
      <c r="N6550">
        <v>-1.2183950000000001E-2</v>
      </c>
      <c r="O6550">
        <v>-4.2895019999999997E-3</v>
      </c>
      <c r="P6550">
        <v>0.97859779999999996</v>
      </c>
      <c r="Q6550">
        <v>0.19591829999999999</v>
      </c>
      <c r="R6550">
        <v>6.2948959999999998E-2</v>
      </c>
      <c r="S6550">
        <v>3.1041560000000001</v>
      </c>
      <c r="T6550">
        <v>-2.596021E-3</v>
      </c>
      <c r="U6550">
        <v>-0.57952879999999996</v>
      </c>
      <c r="V6550">
        <v>-6.7138429999999999E-2</v>
      </c>
      <c r="W6550">
        <v>0.20782639999999999</v>
      </c>
      <c r="X6550">
        <v>0.97585889999999997</v>
      </c>
      <c r="Y6550">
        <v>0.17930399999999999</v>
      </c>
      <c r="Z6550">
        <v>-1.224316E-3</v>
      </c>
      <c r="AA6550">
        <v>0.98379300000000003</v>
      </c>
      <c r="AB6550">
        <v>28</v>
      </c>
      <c r="AC6550">
        <v>75.211399999999998</v>
      </c>
      <c r="AD6550">
        <v>-6.30379999999999E-2</v>
      </c>
      <c r="AE6550">
        <v>-14.066401000000001</v>
      </c>
      <c r="AF6550">
        <v>13.7436188514621</v>
      </c>
      <c r="AG6550">
        <v>-6.30379999999999E-2</v>
      </c>
      <c r="AH6550">
        <v>75.2709991985475</v>
      </c>
      <c r="AI6550">
        <v>90.047203691227296</v>
      </c>
      <c r="AJ6550">
        <v>79.652435690812197</v>
      </c>
      <c r="AK6550">
        <v>76.515451728859603</v>
      </c>
      <c r="AL6550">
        <v>78.004995773626703</v>
      </c>
      <c r="AM6550">
        <v>93.935708870830197</v>
      </c>
      <c r="AN6550">
        <v>0.99999998701451698</v>
      </c>
    </row>
    <row r="6551" spans="1:40" x14ac:dyDescent="0.25">
      <c r="A6551" t="str">
        <f>"20190304154925374"</f>
        <v>20190304154925374</v>
      </c>
      <c r="B6551" t="str">
        <f>"1551685765363313"</f>
        <v>1551685765363313</v>
      </c>
      <c r="C6551" t="s">
        <v>40</v>
      </c>
      <c r="D6551">
        <v>4.3712999999999997</v>
      </c>
      <c r="E6551">
        <v>0.59588629999999998</v>
      </c>
      <c r="F6551" t="s">
        <v>92</v>
      </c>
      <c r="G6551">
        <v>-279.02</v>
      </c>
      <c r="H6551">
        <v>1.0616350000000001</v>
      </c>
      <c r="I6551">
        <v>2.6820759999999999</v>
      </c>
      <c r="J6551">
        <v>-354.09089999999998</v>
      </c>
      <c r="K6551">
        <v>1.110725</v>
      </c>
      <c r="L6551">
        <v>16.858339999999998</v>
      </c>
      <c r="M6551">
        <v>0.99991589999999997</v>
      </c>
      <c r="N6551">
        <v>-1.223872E-2</v>
      </c>
      <c r="O6551">
        <v>-4.2893590000000004E-3</v>
      </c>
      <c r="P6551">
        <v>0.97861560000000003</v>
      </c>
      <c r="Q6551">
        <v>0.1961022</v>
      </c>
      <c r="R6551">
        <v>6.2090899999999997E-2</v>
      </c>
      <c r="S6551">
        <v>3.1036679999999999</v>
      </c>
      <c r="T6551">
        <v>-2.02477E-3</v>
      </c>
      <c r="U6551">
        <v>-0.58502200000000004</v>
      </c>
      <c r="V6551">
        <v>-6.6280199999999997E-2</v>
      </c>
      <c r="W6551">
        <v>0.20806379999999999</v>
      </c>
      <c r="X6551">
        <v>0.97586700000000004</v>
      </c>
      <c r="Y6551">
        <v>0.18101400000000001</v>
      </c>
      <c r="Z6551">
        <v>-1.2252039999999999E-3</v>
      </c>
      <c r="AA6551">
        <v>0.98347969999999896</v>
      </c>
      <c r="AB6551">
        <v>28</v>
      </c>
      <c r="AC6551">
        <v>75.070899999999995</v>
      </c>
      <c r="AD6551">
        <v>-4.90899999999998E-2</v>
      </c>
      <c r="AE6551">
        <v>-14.1762639999999</v>
      </c>
      <c r="AF6551">
        <v>13.8540976874466</v>
      </c>
      <c r="AG6551">
        <v>-4.90899999999998E-2</v>
      </c>
      <c r="AH6551">
        <v>75.130989913757702</v>
      </c>
      <c r="AI6551">
        <v>90.036815913189201</v>
      </c>
      <c r="AJ6551">
        <v>79.5520671851435</v>
      </c>
      <c r="AK6551">
        <v>76.397670631915005</v>
      </c>
      <c r="AL6551">
        <v>77.991090005374701</v>
      </c>
      <c r="AM6551">
        <v>93.885521684941395</v>
      </c>
      <c r="AN6551">
        <v>1.0000000057357299</v>
      </c>
    </row>
    <row r="6552" spans="1:40" x14ac:dyDescent="0.25">
      <c r="A6552" t="str">
        <f>"20190304154925384"</f>
        <v>20190304154925384</v>
      </c>
      <c r="B6552" t="str">
        <f>"1551685765374049"</f>
        <v>1551685765374049</v>
      </c>
      <c r="C6552" t="s">
        <v>40</v>
      </c>
      <c r="D6552">
        <v>4.3777400000000002</v>
      </c>
      <c r="E6552">
        <v>0.59604619999999997</v>
      </c>
      <c r="F6552" t="s">
        <v>92</v>
      </c>
      <c r="G6552">
        <v>-279.02</v>
      </c>
      <c r="H6552">
        <v>1.062532</v>
      </c>
      <c r="I6552">
        <v>2.603065</v>
      </c>
      <c r="J6552">
        <v>-353.94959999999998</v>
      </c>
      <c r="K6552">
        <v>1.1107469999999999</v>
      </c>
      <c r="L6552">
        <v>16.85773</v>
      </c>
      <c r="M6552">
        <v>0.9999152</v>
      </c>
      <c r="N6552">
        <v>-1.2294370000000001E-2</v>
      </c>
      <c r="O6552">
        <v>-4.2895820000000001E-3</v>
      </c>
      <c r="P6552">
        <v>0.97859779999999996</v>
      </c>
      <c r="Q6552">
        <v>0.19649</v>
      </c>
      <c r="R6552">
        <v>6.114199E-2</v>
      </c>
      <c r="S6552">
        <v>3.1033330000000001</v>
      </c>
      <c r="T6552">
        <v>-1.9922260000000002E-3</v>
      </c>
      <c r="U6552">
        <v>-0.5892944</v>
      </c>
      <c r="V6552">
        <v>-6.5331589999999995E-2</v>
      </c>
      <c r="W6552">
        <v>0.20850550000000001</v>
      </c>
      <c r="X6552">
        <v>0.9758367</v>
      </c>
      <c r="Y6552">
        <v>0.18234020000000001</v>
      </c>
      <c r="Z6552">
        <v>-1.238409E-3</v>
      </c>
      <c r="AA6552">
        <v>0.98323470000000002</v>
      </c>
      <c r="AB6552">
        <v>28</v>
      </c>
      <c r="AC6552">
        <v>74.929599999999994</v>
      </c>
      <c r="AD6552">
        <v>-4.8214999999999897E-2</v>
      </c>
      <c r="AE6552">
        <v>-14.254664999999999</v>
      </c>
      <c r="AF6552">
        <v>13.933087301382299</v>
      </c>
      <c r="AG6552">
        <v>-4.8214999999999897E-2</v>
      </c>
      <c r="AH6552">
        <v>74.990031732921807</v>
      </c>
      <c r="AI6552">
        <v>90.036218585196394</v>
      </c>
      <c r="AJ6552">
        <v>79.474513178996602</v>
      </c>
      <c r="AK6552">
        <v>76.273442991245503</v>
      </c>
      <c r="AL6552">
        <v>77.965215058954399</v>
      </c>
      <c r="AM6552">
        <v>93.830196926986503</v>
      </c>
      <c r="AN6552">
        <v>1.0000000126245301</v>
      </c>
    </row>
    <row r="6553" spans="1:40" x14ac:dyDescent="0.25">
      <c r="A6553" t="str">
        <f>"20190304154925399"</f>
        <v>20190304154925399</v>
      </c>
      <c r="B6553" t="str">
        <f>"1551685765393568"</f>
        <v>1551685765393568</v>
      </c>
      <c r="C6553" t="s">
        <v>40</v>
      </c>
      <c r="D6553">
        <v>4.3640410000000003</v>
      </c>
      <c r="E6553">
        <v>0.59631849999999997</v>
      </c>
      <c r="F6553" t="s">
        <v>92</v>
      </c>
      <c r="G6553">
        <v>-279.02</v>
      </c>
      <c r="H6553">
        <v>1.088743</v>
      </c>
      <c r="I6553">
        <v>2.5204620000000002</v>
      </c>
      <c r="J6553">
        <v>-353.78539999999998</v>
      </c>
      <c r="K6553">
        <v>1.1107720000000001</v>
      </c>
      <c r="L6553">
        <v>16.857029999999899</v>
      </c>
      <c r="M6553">
        <v>0.99991450000000004</v>
      </c>
      <c r="N6553">
        <v>-1.235782E-2</v>
      </c>
      <c r="O6553">
        <v>-4.2894959999999899E-3</v>
      </c>
      <c r="P6553">
        <v>0.97860409999999998</v>
      </c>
      <c r="Q6553">
        <v>0.19680439999999999</v>
      </c>
      <c r="R6553">
        <v>6.0021869999999998E-2</v>
      </c>
      <c r="S6553">
        <v>3.1029049999999998</v>
      </c>
      <c r="T6553">
        <v>-9.1123579999999999E-4</v>
      </c>
      <c r="U6553">
        <v>-0.59371949999999996</v>
      </c>
      <c r="V6553">
        <v>-6.4211379999999998E-2</v>
      </c>
      <c r="W6553">
        <v>0.20888180000000001</v>
      </c>
      <c r="X6553">
        <v>0.97583059999999999</v>
      </c>
      <c r="Y6553">
        <v>0.1837184</v>
      </c>
      <c r="Z6553">
        <v>-1.223455E-3</v>
      </c>
      <c r="AA6553">
        <v>0.98297820000000002</v>
      </c>
      <c r="AB6553">
        <v>28</v>
      </c>
      <c r="AC6553">
        <v>74.7654</v>
      </c>
      <c r="AD6553">
        <v>-2.2028999999999799E-2</v>
      </c>
      <c r="AE6553">
        <v>-14.3365679999999</v>
      </c>
      <c r="AF6553">
        <v>14.015704555080401</v>
      </c>
      <c r="AG6553">
        <v>-2.2028999999999799E-2</v>
      </c>
      <c r="AH6553">
        <v>74.826207136602605</v>
      </c>
      <c r="AI6553">
        <v>90.016579661068903</v>
      </c>
      <c r="AJ6553">
        <v>79.390855870377905</v>
      </c>
      <c r="AK6553">
        <v>76.127535976819203</v>
      </c>
      <c r="AL6553">
        <v>77.943169490661504</v>
      </c>
      <c r="AM6553">
        <v>93.764736314175394</v>
      </c>
      <c r="AN6553">
        <v>1.00000003379455</v>
      </c>
    </row>
    <row r="6554" spans="1:40" x14ac:dyDescent="0.25">
      <c r="A6554" t="str">
        <f>"20190304154925413"</f>
        <v>20190304154925413</v>
      </c>
      <c r="B6554" t="str">
        <f>"1551685765403328"</f>
        <v>1551685765403328</v>
      </c>
      <c r="C6554" t="s">
        <v>40</v>
      </c>
      <c r="D6554">
        <v>4.3683009999999998</v>
      </c>
      <c r="E6554">
        <v>0.59648440000000003</v>
      </c>
      <c r="F6554" t="s">
        <v>92</v>
      </c>
      <c r="G6554">
        <v>-279.02</v>
      </c>
      <c r="H6554">
        <v>1.0958540000000001</v>
      </c>
      <c r="I6554">
        <v>2.412569</v>
      </c>
      <c r="J6554">
        <v>-353.6157</v>
      </c>
      <c r="K6554">
        <v>1.1107959999999999</v>
      </c>
      <c r="L6554">
        <v>16.856289999999898</v>
      </c>
      <c r="M6554">
        <v>0.99991359999999996</v>
      </c>
      <c r="N6554">
        <v>-1.24221E-2</v>
      </c>
      <c r="O6554">
        <v>-4.2891789999999997E-3</v>
      </c>
      <c r="P6554">
        <v>0.97859410000000002</v>
      </c>
      <c r="Q6554">
        <v>0.19709309999999999</v>
      </c>
      <c r="R6554">
        <v>5.9227139999999998E-2</v>
      </c>
      <c r="S6554">
        <v>3.102509</v>
      </c>
      <c r="T6554">
        <v>-6.190538E-4</v>
      </c>
      <c r="U6554">
        <v>-0.59939580000000003</v>
      </c>
      <c r="V6554">
        <v>-6.3415899999999997E-2</v>
      </c>
      <c r="W6554">
        <v>0.20923340000000001</v>
      </c>
      <c r="X6554">
        <v>0.97580719999999999</v>
      </c>
      <c r="Y6554">
        <v>0.1854761</v>
      </c>
      <c r="Z6554">
        <v>-1.2328879999999999E-3</v>
      </c>
      <c r="AA6554">
        <v>0.98264799999999997</v>
      </c>
      <c r="AB6554">
        <v>28</v>
      </c>
      <c r="AC6554">
        <v>74.595699999999994</v>
      </c>
      <c r="AD6554">
        <v>-1.49419999999997E-2</v>
      </c>
      <c r="AE6554">
        <v>-14.443720999999901</v>
      </c>
      <c r="AF6554">
        <v>14.123608559157301</v>
      </c>
      <c r="AG6554">
        <v>-1.49419999999997E-2</v>
      </c>
      <c r="AH6554">
        <v>74.656967320919406</v>
      </c>
      <c r="AI6554">
        <v>90.011267442448997</v>
      </c>
      <c r="AJ6554">
        <v>79.287382706690806</v>
      </c>
      <c r="AK6554">
        <v>75.981177350397104</v>
      </c>
      <c r="AL6554">
        <v>77.922567967309703</v>
      </c>
      <c r="AM6554">
        <v>93.718317600258104</v>
      </c>
      <c r="AN6554">
        <v>0.99999994181010299</v>
      </c>
    </row>
    <row r="6555" spans="1:40" x14ac:dyDescent="0.25">
      <c r="A6555" t="str">
        <f>"20190304154925428"</f>
        <v>20190304154925428</v>
      </c>
      <c r="B6555" t="str">
        <f>"1551685765423824"</f>
        <v>1551685765423824</v>
      </c>
      <c r="C6555" t="s">
        <v>40</v>
      </c>
      <c r="D6555">
        <v>4.3204010000000004</v>
      </c>
      <c r="E6555">
        <v>0.59673489999999996</v>
      </c>
      <c r="F6555" t="s">
        <v>92</v>
      </c>
      <c r="G6555">
        <v>-279.02</v>
      </c>
      <c r="H6555">
        <v>1.106514</v>
      </c>
      <c r="I6555">
        <v>2.3529429999999998</v>
      </c>
      <c r="J6555">
        <v>-353.4076</v>
      </c>
      <c r="K6555">
        <v>1.1108260000000001</v>
      </c>
      <c r="L6555">
        <v>16.855409999999999</v>
      </c>
      <c r="M6555">
        <v>0.99991269999999999</v>
      </c>
      <c r="N6555">
        <v>-1.24984E-2</v>
      </c>
      <c r="O6555">
        <v>-4.2891769999999999E-3</v>
      </c>
      <c r="P6555">
        <v>0.97857919999999998</v>
      </c>
      <c r="Q6555">
        <v>0.1976146</v>
      </c>
      <c r="R6555">
        <v>5.771606E-2</v>
      </c>
      <c r="S6555">
        <v>3.1022029999999998</v>
      </c>
      <c r="T6555">
        <v>-1.7809869999999901E-4</v>
      </c>
      <c r="U6555">
        <v>-0.60314939999999995</v>
      </c>
      <c r="V6555">
        <v>-6.1905290000000002E-2</v>
      </c>
      <c r="W6555">
        <v>0.2098293</v>
      </c>
      <c r="X6555">
        <v>0.97577630000000004</v>
      </c>
      <c r="Y6555">
        <v>0.1866401</v>
      </c>
      <c r="Z6555">
        <v>-1.2353990000000001E-3</v>
      </c>
      <c r="AA6555">
        <v>0.98242759999999996</v>
      </c>
      <c r="AB6555">
        <v>28</v>
      </c>
      <c r="AC6555">
        <v>74.387600000000006</v>
      </c>
      <c r="AD6555">
        <v>-4.3120000000000901E-3</v>
      </c>
      <c r="AE6555">
        <v>-14.502466999999999</v>
      </c>
      <c r="AF6555">
        <v>14.183247027515099</v>
      </c>
      <c r="AG6555">
        <v>-4.3120000000000901E-3</v>
      </c>
      <c r="AH6555">
        <v>74.4491238995858</v>
      </c>
      <c r="AI6555">
        <v>90.003259870500003</v>
      </c>
      <c r="AJ6555">
        <v>79.213874088375803</v>
      </c>
      <c r="AK6555">
        <v>75.788103052212193</v>
      </c>
      <c r="AL6555">
        <v>77.887650944835798</v>
      </c>
      <c r="AM6555">
        <v>93.630099082548597</v>
      </c>
      <c r="AN6555">
        <v>0.99999999385508198</v>
      </c>
    </row>
    <row r="6556" spans="1:40" x14ac:dyDescent="0.25">
      <c r="A6556" t="str">
        <f>"20190304154925441"</f>
        <v>20190304154925441</v>
      </c>
      <c r="B6556" t="str">
        <f>"1551685765433584"</f>
        <v>1551685765433584</v>
      </c>
      <c r="C6556" t="s">
        <v>40</v>
      </c>
      <c r="D6556">
        <v>4.2824299999999997</v>
      </c>
      <c r="E6556">
        <v>0.59684550000000003</v>
      </c>
      <c r="F6556" t="s">
        <v>92</v>
      </c>
      <c r="G6556">
        <v>-279.02</v>
      </c>
      <c r="H6556">
        <v>1.135805</v>
      </c>
      <c r="I6556">
        <v>2.2327750000000002</v>
      </c>
      <c r="J6556">
        <v>-353.25720000000001</v>
      </c>
      <c r="K6556">
        <v>1.110846</v>
      </c>
      <c r="L6556">
        <v>16.854769999999998</v>
      </c>
      <c r="M6556">
        <v>0.99991200000000002</v>
      </c>
      <c r="N6556">
        <v>-1.2553740000000001E-2</v>
      </c>
      <c r="O6556">
        <v>-4.2891659999999996E-3</v>
      </c>
      <c r="P6556">
        <v>0.97859260000000003</v>
      </c>
      <c r="Q6556">
        <v>0.19776730000000001</v>
      </c>
      <c r="R6556">
        <v>5.6965830000000002E-2</v>
      </c>
      <c r="S6556">
        <v>3.1013790000000001</v>
      </c>
      <c r="T6556">
        <v>1.041412E-3</v>
      </c>
      <c r="U6556">
        <v>-0.60964969999999996</v>
      </c>
      <c r="V6556">
        <v>-6.115524E-2</v>
      </c>
      <c r="W6556">
        <v>0.21003579999999999</v>
      </c>
      <c r="X6556">
        <v>0.97577919999999996</v>
      </c>
      <c r="Y6556">
        <v>0.18867229999999999</v>
      </c>
      <c r="Z6556">
        <v>-1.2189340000000001E-3</v>
      </c>
      <c r="AA6556">
        <v>0.98203929999999995</v>
      </c>
      <c r="AB6556">
        <v>28</v>
      </c>
      <c r="AC6556">
        <v>74.237200000000001</v>
      </c>
      <c r="AD6556">
        <v>2.4958999999999901E-2</v>
      </c>
      <c r="AE6556">
        <v>-14.621995</v>
      </c>
      <c r="AF6556">
        <v>14.3034181542121</v>
      </c>
      <c r="AG6556">
        <v>2.4958999999999901E-2</v>
      </c>
      <c r="AH6556">
        <v>74.299230041923195</v>
      </c>
      <c r="AI6556">
        <v>89.981099928719004</v>
      </c>
      <c r="AJ6556">
        <v>79.103240811233505</v>
      </c>
      <c r="AK6556">
        <v>75.663491716075001</v>
      </c>
      <c r="AL6556">
        <v>77.875550070476706</v>
      </c>
      <c r="AM6556">
        <v>93.5862213335582</v>
      </c>
      <c r="AN6556">
        <v>1.00000002390686</v>
      </c>
    </row>
    <row r="6557" spans="1:40" x14ac:dyDescent="0.25">
      <c r="A6557" t="str">
        <f>"20190304154925453"</f>
        <v>20190304154925453</v>
      </c>
      <c r="B6557" t="str">
        <f>"1551685765443345"</f>
        <v>1551685765443345</v>
      </c>
      <c r="C6557" t="s">
        <v>40</v>
      </c>
      <c r="D6557">
        <v>4.3901680000000001</v>
      </c>
      <c r="E6557">
        <v>0.59675630000000002</v>
      </c>
      <c r="F6557" t="s">
        <v>92</v>
      </c>
      <c r="G6557">
        <v>-279.02</v>
      </c>
      <c r="H6557">
        <v>1.1436850000000001</v>
      </c>
      <c r="I6557">
        <v>2.18194</v>
      </c>
      <c r="J6557">
        <v>-353.11160000000001</v>
      </c>
      <c r="K6557">
        <v>1.110867</v>
      </c>
      <c r="L6557">
        <v>16.854129999999898</v>
      </c>
      <c r="M6557">
        <v>0.99991140000000001</v>
      </c>
      <c r="N6557">
        <v>-1.2607159999999999E-2</v>
      </c>
      <c r="O6557">
        <v>-4.2891450000000003E-3</v>
      </c>
      <c r="P6557">
        <v>0.97850269999999995</v>
      </c>
      <c r="Q6557">
        <v>0.19839229999999999</v>
      </c>
      <c r="R6557">
        <v>5.6331829999999999E-2</v>
      </c>
      <c r="S6557">
        <v>3.1010439999999999</v>
      </c>
      <c r="T6557">
        <v>1.3717410000000001E-3</v>
      </c>
      <c r="U6557">
        <v>-0.61291499999999999</v>
      </c>
      <c r="V6557">
        <v>-6.0520419999999998E-2</v>
      </c>
      <c r="W6557">
        <v>0.2107117</v>
      </c>
      <c r="X6557">
        <v>0.97567300000000001</v>
      </c>
      <c r="Y6557">
        <v>0.18968789999999999</v>
      </c>
      <c r="Z6557">
        <v>-1.2211050000000001E-3</v>
      </c>
      <c r="AA6557">
        <v>0.98184369999999999</v>
      </c>
      <c r="AB6557">
        <v>28</v>
      </c>
      <c r="AC6557">
        <v>74.0916</v>
      </c>
      <c r="AD6557">
        <v>3.2818E-2</v>
      </c>
      <c r="AE6557">
        <v>-14.672189999999899</v>
      </c>
      <c r="AF6557">
        <v>14.354237457132101</v>
      </c>
      <c r="AG6557">
        <v>3.2818E-2</v>
      </c>
      <c r="AH6557">
        <v>74.153840513750296</v>
      </c>
      <c r="AI6557">
        <v>89.975104942925299</v>
      </c>
      <c r="AJ6557">
        <v>79.044536296566406</v>
      </c>
      <c r="AK6557">
        <v>75.530373181492905</v>
      </c>
      <c r="AL6557">
        <v>77.835936724872994</v>
      </c>
      <c r="AM6557">
        <v>93.5494756511318</v>
      </c>
      <c r="AN6557">
        <v>0.99999997234143201</v>
      </c>
    </row>
    <row r="6558" spans="1:40" x14ac:dyDescent="0.25">
      <c r="A6558" t="str">
        <f>"20190304154925463"</f>
        <v>20190304154925463</v>
      </c>
      <c r="B6558" t="str">
        <f>"1551685765454082"</f>
        <v>1551685765454082</v>
      </c>
      <c r="C6558" t="s">
        <v>40</v>
      </c>
      <c r="D6558">
        <v>4.3281219999999996</v>
      </c>
      <c r="E6558">
        <v>0.59675630000000002</v>
      </c>
      <c r="F6558" t="s">
        <v>92</v>
      </c>
      <c r="G6558">
        <v>-279.02</v>
      </c>
      <c r="H6558">
        <v>1.185243</v>
      </c>
      <c r="I6558">
        <v>2.1781579999999998</v>
      </c>
      <c r="J6558">
        <v>-352.97239999999999</v>
      </c>
      <c r="K6558">
        <v>1.110881</v>
      </c>
      <c r="L6558">
        <v>16.85352</v>
      </c>
      <c r="M6558">
        <v>0.99991070000000004</v>
      </c>
      <c r="N6558">
        <v>-1.2656850000000001E-2</v>
      </c>
      <c r="O6558">
        <v>-4.2889820000000002E-3</v>
      </c>
      <c r="P6558">
        <v>0.97841020000000001</v>
      </c>
      <c r="Q6558">
        <v>0.199042</v>
      </c>
      <c r="R6558">
        <v>5.5641419999999997E-2</v>
      </c>
      <c r="S6558">
        <v>3.100616</v>
      </c>
      <c r="T6558">
        <v>3.1125549999999999E-3</v>
      </c>
      <c r="U6558">
        <v>-0.61416630000000005</v>
      </c>
      <c r="V6558">
        <v>-5.982962E-2</v>
      </c>
      <c r="W6558">
        <v>0.21140900000000001</v>
      </c>
      <c r="X6558">
        <v>0.97556480000000001</v>
      </c>
      <c r="Y6558">
        <v>0.1900956</v>
      </c>
      <c r="Z6558">
        <v>-1.178164E-3</v>
      </c>
      <c r="AA6558">
        <v>0.98176490000000005</v>
      </c>
      <c r="AB6558">
        <v>28</v>
      </c>
      <c r="AC6558">
        <v>73.952399999999997</v>
      </c>
      <c r="AD6558">
        <v>7.4361999999999998E-2</v>
      </c>
      <c r="AE6558">
        <v>-14.675362</v>
      </c>
      <c r="AF6558">
        <v>14.3580071098199</v>
      </c>
      <c r="AG6558">
        <v>7.4361999999999998E-2</v>
      </c>
      <c r="AH6558">
        <v>74.014595101422003</v>
      </c>
      <c r="AI6558">
        <v>89.943488794133302</v>
      </c>
      <c r="AJ6558">
        <v>79.021613256604596</v>
      </c>
      <c r="AK6558">
        <v>75.394417471720899</v>
      </c>
      <c r="AL6558">
        <v>77.795064143248197</v>
      </c>
      <c r="AM6558">
        <v>93.509450803240199</v>
      </c>
      <c r="AN6558">
        <v>1.0000000138546901</v>
      </c>
    </row>
    <row r="6559" spans="1:40" x14ac:dyDescent="0.25">
      <c r="A6559" t="str">
        <f>"20190304154925475"</f>
        <v>20190304154925475</v>
      </c>
      <c r="B6559" t="str">
        <f>"1551685765473601"</f>
        <v>1551685765473601</v>
      </c>
      <c r="C6559" t="s">
        <v>40</v>
      </c>
      <c r="D6559">
        <v>4.290203</v>
      </c>
      <c r="E6559">
        <v>0.54188590000000003</v>
      </c>
      <c r="F6559" t="s">
        <v>92</v>
      </c>
      <c r="G6559">
        <v>-279.02</v>
      </c>
      <c r="H6559">
        <v>1.2294780000000001</v>
      </c>
      <c r="I6559">
        <v>2.1560609999999998</v>
      </c>
      <c r="J6559">
        <v>-352.83100000000002</v>
      </c>
      <c r="K6559">
        <v>1.1108979999999999</v>
      </c>
      <c r="L6559">
        <v>16.852910000000001</v>
      </c>
      <c r="M6559">
        <v>0.99991019999999997</v>
      </c>
      <c r="N6559">
        <v>-1.270689E-2</v>
      </c>
      <c r="O6559">
        <v>-4.2890599999999999E-3</v>
      </c>
      <c r="P6559">
        <v>0.97828700000000002</v>
      </c>
      <c r="Q6559">
        <v>0.199852</v>
      </c>
      <c r="R6559">
        <v>5.4898959999999997E-2</v>
      </c>
      <c r="S6559">
        <v>3.10025</v>
      </c>
      <c r="T6559">
        <v>4.9718619999999996E-3</v>
      </c>
      <c r="U6559">
        <v>-0.61614990000000003</v>
      </c>
      <c r="V6559">
        <v>-5.9086619999999999E-2</v>
      </c>
      <c r="W6559">
        <v>0.21226600000000001</v>
      </c>
      <c r="X6559">
        <v>0.97542399999999996</v>
      </c>
      <c r="Y6559">
        <v>0.19072259999999999</v>
      </c>
      <c r="Z6559">
        <v>-1.1328670000000001E-3</v>
      </c>
      <c r="AA6559">
        <v>0.9816433</v>
      </c>
      <c r="AB6559">
        <v>28</v>
      </c>
      <c r="AC6559">
        <v>73.810999999999893</v>
      </c>
      <c r="AD6559">
        <v>0.11858</v>
      </c>
      <c r="AE6559">
        <v>-14.696848999999901</v>
      </c>
      <c r="AF6559">
        <v>14.380072770276</v>
      </c>
      <c r="AG6559">
        <v>0.11858</v>
      </c>
      <c r="AH6559">
        <v>73.873178328282805</v>
      </c>
      <c r="AI6559">
        <v>89.909724306635894</v>
      </c>
      <c r="AJ6559">
        <v>78.984619020943597</v>
      </c>
      <c r="AK6559">
        <v>75.259863343066996</v>
      </c>
      <c r="AL6559">
        <v>77.744821615903106</v>
      </c>
      <c r="AM6559">
        <v>93.466474339684197</v>
      </c>
      <c r="AN6559">
        <v>1.0000000315975099</v>
      </c>
    </row>
    <row r="6560" spans="1:40" x14ac:dyDescent="0.25">
      <c r="A6560" t="str">
        <f>"20190304154925487"</f>
        <v>20190304154925487</v>
      </c>
      <c r="B6560" t="str">
        <f>"1551685765483361"</f>
        <v>1551685765483361</v>
      </c>
      <c r="C6560" t="s">
        <v>40</v>
      </c>
      <c r="D6560">
        <v>4.2149400000000004</v>
      </c>
      <c r="E6560">
        <v>0.53730710000000004</v>
      </c>
      <c r="F6560" t="s">
        <v>89</v>
      </c>
      <c r="G6560">
        <v>-279.68</v>
      </c>
      <c r="H6560">
        <v>-1.1630649999999999E-2</v>
      </c>
      <c r="I6560">
        <v>12.537789999999999</v>
      </c>
      <c r="J6560">
        <v>-352.69630000000001</v>
      </c>
      <c r="K6560">
        <v>1.110916</v>
      </c>
      <c r="L6560">
        <v>16.852329999999998</v>
      </c>
      <c r="M6560">
        <v>0.99990959999999995</v>
      </c>
      <c r="N6560">
        <v>-1.2753749999999999E-2</v>
      </c>
      <c r="O6560">
        <v>-4.2890009999999998E-3</v>
      </c>
      <c r="P6560">
        <v>0.97827770000000003</v>
      </c>
      <c r="Q6560">
        <v>0.20007349999999999</v>
      </c>
      <c r="R6560">
        <v>5.4255789999999998E-2</v>
      </c>
      <c r="S6560">
        <v>3.0864560000000001</v>
      </c>
      <c r="T6560">
        <v>-4.7363280000000001E-2</v>
      </c>
      <c r="U6560">
        <v>-0.1820679</v>
      </c>
      <c r="V6560">
        <v>-5.844361E-2</v>
      </c>
      <c r="W6560">
        <v>0.212533</v>
      </c>
      <c r="X6560">
        <v>0.97540459999999995</v>
      </c>
      <c r="Y6560">
        <v>5.4592750000000002E-2</v>
      </c>
      <c r="Z6560">
        <v>-7.5587690000000003E-4</v>
      </c>
      <c r="AA6560">
        <v>0.99850839999999996</v>
      </c>
      <c r="AB6560">
        <v>27</v>
      </c>
      <c r="AC6560">
        <v>73.016300000000001</v>
      </c>
      <c r="AD6560">
        <v>-1.1225466500000001</v>
      </c>
      <c r="AE6560">
        <v>-4.3145399999999903</v>
      </c>
      <c r="AF6560">
        <v>4.0003656678513799</v>
      </c>
      <c r="AG6560">
        <v>-1.1225466500000001</v>
      </c>
      <c r="AH6560">
        <v>73.016936828268001</v>
      </c>
      <c r="AI6560">
        <v>90.879464875741306</v>
      </c>
      <c r="AJ6560">
        <v>86.864081603809097</v>
      </c>
      <c r="AK6560">
        <v>73.135053840420696</v>
      </c>
      <c r="AL6560">
        <v>77.729166451083202</v>
      </c>
      <c r="AM6560">
        <v>93.428908972745901</v>
      </c>
      <c r="AN6560">
        <v>1.00000003266999</v>
      </c>
    </row>
    <row r="6561" spans="1:40" x14ac:dyDescent="0.25">
      <c r="A6561" t="str">
        <f>"20190304154925498"</f>
        <v>20190304154925498</v>
      </c>
      <c r="B6561" t="str">
        <f>"1551685765493627"</f>
        <v>1551685765493627</v>
      </c>
      <c r="C6561" t="s">
        <v>40</v>
      </c>
      <c r="D6561">
        <v>4.1896209999999998</v>
      </c>
      <c r="E6561">
        <v>0.5343078</v>
      </c>
      <c r="F6561" t="s">
        <v>89</v>
      </c>
      <c r="G6561">
        <v>-279.68</v>
      </c>
      <c r="H6561">
        <v>-1.359749E-2</v>
      </c>
      <c r="I6561">
        <v>13.367380000000001</v>
      </c>
      <c r="J6561">
        <v>-352.56049999999999</v>
      </c>
      <c r="K6561">
        <v>1.1109329999999999</v>
      </c>
      <c r="L6561">
        <v>16.851749999999999</v>
      </c>
      <c r="M6561">
        <v>0.99990900000000005</v>
      </c>
      <c r="N6561">
        <v>-1.279978E-2</v>
      </c>
      <c r="O6561">
        <v>-4.2890569999999998E-3</v>
      </c>
      <c r="P6561">
        <v>0.97824299999999997</v>
      </c>
      <c r="Q6561">
        <v>0.20040140000000001</v>
      </c>
      <c r="R6561">
        <v>5.366688E-2</v>
      </c>
      <c r="S6561">
        <v>3.084473</v>
      </c>
      <c r="T6561">
        <v>-4.7503950000000003E-2</v>
      </c>
      <c r="U6561">
        <v>-0.14721679999999901</v>
      </c>
      <c r="V6561">
        <v>-5.7854160000000002E-2</v>
      </c>
      <c r="W6561">
        <v>0.21290529999999999</v>
      </c>
      <c r="X6561">
        <v>0.97535850000000002</v>
      </c>
      <c r="Y6561">
        <v>4.3379719999999997E-2</v>
      </c>
      <c r="Z6561">
        <v>-6.0051910000000002E-4</v>
      </c>
      <c r="AA6561">
        <v>0.99905849999999996</v>
      </c>
      <c r="AB6561">
        <v>27</v>
      </c>
      <c r="AC6561">
        <v>72.880499999999898</v>
      </c>
      <c r="AD6561">
        <v>-1.1245304899999999</v>
      </c>
      <c r="AE6561">
        <v>-3.48436999999999</v>
      </c>
      <c r="AF6561">
        <v>3.1709705368833299</v>
      </c>
      <c r="AG6561">
        <v>-1.1245304899999999</v>
      </c>
      <c r="AH6561">
        <v>72.877464442784202</v>
      </c>
      <c r="AI6561">
        <v>90.883192755381302</v>
      </c>
      <c r="AJ6561">
        <v>87.508575448207196</v>
      </c>
      <c r="AK6561">
        <v>72.9550851317302</v>
      </c>
      <c r="AL6561">
        <v>77.7073350291585</v>
      </c>
      <c r="AM6561">
        <v>93.394567049806795</v>
      </c>
      <c r="AN6561">
        <v>0.99999998705982196</v>
      </c>
    </row>
    <row r="6562" spans="1:40" x14ac:dyDescent="0.25">
      <c r="A6562" t="str">
        <f>"20190304154925509"</f>
        <v>20190304154925509</v>
      </c>
      <c r="B6562" t="str">
        <f>"1551685765503387"</f>
        <v>1551685765503387</v>
      </c>
      <c r="C6562" t="s">
        <v>40</v>
      </c>
      <c r="D6562">
        <v>4.1834369999999996</v>
      </c>
      <c r="E6562">
        <v>0.53241349999999998</v>
      </c>
      <c r="F6562" t="s">
        <v>89</v>
      </c>
      <c r="G6562">
        <v>-279.68</v>
      </c>
      <c r="H6562">
        <v>-1.196969E-2</v>
      </c>
      <c r="I6562">
        <v>13.904299999999999</v>
      </c>
      <c r="J6562">
        <v>-352.42360000000002</v>
      </c>
      <c r="K6562">
        <v>1.110949</v>
      </c>
      <c r="L6562">
        <v>16.851140000000001</v>
      </c>
      <c r="M6562">
        <v>0.99990829999999997</v>
      </c>
      <c r="N6562">
        <v>-1.28453E-2</v>
      </c>
      <c r="O6562">
        <v>-4.2887519999999998E-3</v>
      </c>
      <c r="P6562">
        <v>0.97814710000000005</v>
      </c>
      <c r="Q6562">
        <v>0.2009938</v>
      </c>
      <c r="R6562">
        <v>5.3196170000000001E-2</v>
      </c>
      <c r="S6562">
        <v>3.0832820000000001</v>
      </c>
      <c r="T6562">
        <v>-4.7505970000000002E-2</v>
      </c>
      <c r="U6562">
        <v>-0.12469479999999999</v>
      </c>
      <c r="V6562">
        <v>-5.7383240000000002E-2</v>
      </c>
      <c r="W6562">
        <v>0.21354119999999999</v>
      </c>
      <c r="X6562">
        <v>0.97524730000000004</v>
      </c>
      <c r="Y6562">
        <v>3.6115399999999999E-2</v>
      </c>
      <c r="Z6562">
        <v>-4.9920559999999995E-4</v>
      </c>
      <c r="AA6562">
        <v>0.99934750000000006</v>
      </c>
      <c r="AB6562">
        <v>27</v>
      </c>
      <c r="AC6562">
        <v>72.743600000000001</v>
      </c>
      <c r="AD6562">
        <v>-1.1229186900000001</v>
      </c>
      <c r="AE6562">
        <v>-2.9468399999999999</v>
      </c>
      <c r="AF6562">
        <v>2.63418122062185</v>
      </c>
      <c r="AG6562">
        <v>-1.1229186900000001</v>
      </c>
      <c r="AH6562">
        <v>72.7382657418148</v>
      </c>
      <c r="AI6562">
        <v>90.883871128544996</v>
      </c>
      <c r="AJ6562">
        <v>87.925967347080501</v>
      </c>
      <c r="AK6562">
        <v>72.794609417279602</v>
      </c>
      <c r="AL6562">
        <v>77.670043071855105</v>
      </c>
      <c r="AM6562">
        <v>93.367382887652994</v>
      </c>
      <c r="AN6562">
        <v>0.99999998824381298</v>
      </c>
    </row>
    <row r="6563" spans="1:40" x14ac:dyDescent="0.25">
      <c r="A6563" t="str">
        <f>"20190304154925519"</f>
        <v>20190304154925519</v>
      </c>
      <c r="B6563" t="str">
        <f>"1551685765514123"</f>
        <v>1551685765514123</v>
      </c>
      <c r="C6563" t="s">
        <v>40</v>
      </c>
      <c r="D6563">
        <v>4.1759620000000002</v>
      </c>
      <c r="E6563">
        <v>0.5308948</v>
      </c>
      <c r="F6563" t="s">
        <v>90</v>
      </c>
      <c r="G6563">
        <v>-279.68</v>
      </c>
      <c r="H6563">
        <v>1.288176E-3</v>
      </c>
      <c r="I6563">
        <v>14.235609999999999</v>
      </c>
      <c r="J6563">
        <v>-352.29969999999997</v>
      </c>
      <c r="K6563">
        <v>1.1109629999999999</v>
      </c>
      <c r="L6563">
        <v>16.850619999999999</v>
      </c>
      <c r="M6563">
        <v>0.99990800000000002</v>
      </c>
      <c r="N6563">
        <v>-1.28839E-2</v>
      </c>
      <c r="O6563">
        <v>-4.2888809999999996E-3</v>
      </c>
      <c r="P6563">
        <v>0.97805019999999998</v>
      </c>
      <c r="Q6563">
        <v>0.20156450000000001</v>
      </c>
      <c r="R6563">
        <v>5.281868E-2</v>
      </c>
      <c r="S6563">
        <v>3.082703</v>
      </c>
      <c r="T6563">
        <v>-4.7024730000000001E-2</v>
      </c>
      <c r="U6563">
        <v>-0.1108398</v>
      </c>
      <c r="V6563">
        <v>-5.7004850000000003E-2</v>
      </c>
      <c r="W6563">
        <v>0.21414820000000001</v>
      </c>
      <c r="X6563">
        <v>0.97513640000000001</v>
      </c>
      <c r="Y6563">
        <v>3.1638630000000001E-2</v>
      </c>
      <c r="Z6563">
        <v>-4.349771E-4</v>
      </c>
      <c r="AA6563">
        <v>0.99949929999999998</v>
      </c>
      <c r="AB6563">
        <v>27</v>
      </c>
      <c r="AC6563">
        <v>72.619699999999895</v>
      </c>
      <c r="AD6563">
        <v>-1.1096748239999901</v>
      </c>
      <c r="AE6563">
        <v>-2.6150099999999998</v>
      </c>
      <c r="AF6563">
        <v>2.30296586124539</v>
      </c>
      <c r="AG6563">
        <v>-1.1096748239999901</v>
      </c>
      <c r="AH6563">
        <v>72.613315296776193</v>
      </c>
      <c r="AI6563">
        <v>90.875084550362502</v>
      </c>
      <c r="AJ6563">
        <v>88.183445987812206</v>
      </c>
      <c r="AK6563">
        <v>72.658300202813095</v>
      </c>
      <c r="AL6563">
        <v>77.634441140207699</v>
      </c>
      <c r="AM6563">
        <v>93.3456082514912</v>
      </c>
      <c r="AN6563">
        <v>1.0000000015458601</v>
      </c>
    </row>
    <row r="6564" spans="1:40" x14ac:dyDescent="0.25">
      <c r="A6564" t="str">
        <f>"20190304154925530"</f>
        <v>20190304154925530</v>
      </c>
      <c r="B6564" t="str">
        <f>"1551685765523883"</f>
        <v>1551685765523883</v>
      </c>
      <c r="C6564" t="s">
        <v>40</v>
      </c>
      <c r="D6564">
        <v>4.1662220000000003</v>
      </c>
      <c r="E6564">
        <v>0.52945799999999998</v>
      </c>
      <c r="F6564" t="s">
        <v>90</v>
      </c>
      <c r="G6564">
        <v>-279.68</v>
      </c>
      <c r="H6564">
        <v>3.196478E-3</v>
      </c>
      <c r="I6564">
        <v>14.507440000000001</v>
      </c>
      <c r="J6564">
        <v>-352.15989999999999</v>
      </c>
      <c r="K6564">
        <v>1.1109800000000001</v>
      </c>
      <c r="L6564">
        <v>16.849979999999999</v>
      </c>
      <c r="M6564">
        <v>0.99990730000000005</v>
      </c>
      <c r="N6564">
        <v>-1.292663E-2</v>
      </c>
      <c r="O6564">
        <v>-4.2887990000000003E-3</v>
      </c>
      <c r="P6564">
        <v>0.97796919999999998</v>
      </c>
      <c r="Q6564">
        <v>0.20204639999999999</v>
      </c>
      <c r="R6564">
        <v>5.2474319999999998E-2</v>
      </c>
      <c r="S6564">
        <v>3.0823670000000001</v>
      </c>
      <c r="T6564">
        <v>-4.7019360000000003E-2</v>
      </c>
      <c r="U6564">
        <v>-9.9456790000000003E-2</v>
      </c>
      <c r="V6564">
        <v>-5.6660149999999999E-2</v>
      </c>
      <c r="W6564">
        <v>0.21467069999999999</v>
      </c>
      <c r="X6564">
        <v>0.97504159999999995</v>
      </c>
      <c r="Y6564">
        <v>2.7956370000000001E-2</v>
      </c>
      <c r="Z6564">
        <v>-3.8395209999999999E-4</v>
      </c>
      <c r="AA6564">
        <v>0.99960910000000003</v>
      </c>
      <c r="AB6564">
        <v>27</v>
      </c>
      <c r="AC6564">
        <v>72.479899999999901</v>
      </c>
      <c r="AD6564">
        <v>-1.1077835220000001</v>
      </c>
      <c r="AE6564">
        <v>-2.3425400000000001</v>
      </c>
      <c r="AF6564">
        <v>2.0311667831570599</v>
      </c>
      <c r="AG6564">
        <v>-1.1077835220000001</v>
      </c>
      <c r="AH6564">
        <v>72.472368868052399</v>
      </c>
      <c r="AI6564">
        <v>90.875388384421498</v>
      </c>
      <c r="AJ6564">
        <v>88.394604331617003</v>
      </c>
      <c r="AK6564">
        <v>72.509289557819201</v>
      </c>
      <c r="AL6564">
        <v>77.603791302600399</v>
      </c>
      <c r="AM6564">
        <v>93.325745980148596</v>
      </c>
      <c r="AN6564">
        <v>1.00000000188353</v>
      </c>
    </row>
    <row r="6565" spans="1:40" x14ac:dyDescent="0.25">
      <c r="A6565" t="str">
        <f>"20190304154925540"</f>
        <v>20190304154925540</v>
      </c>
      <c r="B6565" t="str">
        <f>"1551685765533643"</f>
        <v>1551685765533643</v>
      </c>
      <c r="C6565" t="s">
        <v>40</v>
      </c>
      <c r="D6565">
        <v>4.1635169999999997</v>
      </c>
      <c r="E6565">
        <v>0.52863400000000005</v>
      </c>
      <c r="F6565" t="s">
        <v>90</v>
      </c>
      <c r="G6565">
        <v>-279.68</v>
      </c>
      <c r="H6565">
        <v>5.7946560000000001E-2</v>
      </c>
      <c r="I6565">
        <v>14.760540000000001</v>
      </c>
      <c r="J6565">
        <v>-352.04059999999998</v>
      </c>
      <c r="K6565">
        <v>1.110989</v>
      </c>
      <c r="L6565">
        <v>16.849489999999999</v>
      </c>
      <c r="M6565">
        <v>0.99990679999999998</v>
      </c>
      <c r="N6565">
        <v>-1.2959989999999999E-2</v>
      </c>
      <c r="O6565">
        <v>-4.2886570000000004E-3</v>
      </c>
      <c r="P6565">
        <v>0.9779426</v>
      </c>
      <c r="Q6565">
        <v>0.20215759999999999</v>
      </c>
      <c r="R6565">
        <v>5.253977E-2</v>
      </c>
      <c r="S6565">
        <v>3.0816349999999999</v>
      </c>
      <c r="T6565">
        <v>-4.4771789999999999E-2</v>
      </c>
      <c r="U6565">
        <v>-8.8836670000000006E-2</v>
      </c>
      <c r="V6565">
        <v>-5.6725270000000001E-2</v>
      </c>
      <c r="W6565">
        <v>0.2148137</v>
      </c>
      <c r="X6565">
        <v>0.97500629999999999</v>
      </c>
      <c r="Y6565">
        <v>2.4523420000000001E-2</v>
      </c>
      <c r="Z6565">
        <v>-3.3034759999999997E-4</v>
      </c>
      <c r="AA6565">
        <v>0.99969920000000001</v>
      </c>
      <c r="AB6565">
        <v>27</v>
      </c>
      <c r="AC6565">
        <v>72.360599999999906</v>
      </c>
      <c r="AD6565">
        <v>-1.05304244</v>
      </c>
      <c r="AE6565">
        <v>-2.0889500000000001</v>
      </c>
      <c r="AF6565">
        <v>1.77819864611065</v>
      </c>
      <c r="AG6565">
        <v>-1.05304244</v>
      </c>
      <c r="AH6565">
        <v>72.353583608712</v>
      </c>
      <c r="AI6565">
        <v>90.833578873698599</v>
      </c>
      <c r="AJ6565">
        <v>88.592153045612406</v>
      </c>
      <c r="AK6565">
        <v>72.383091601757101</v>
      </c>
      <c r="AL6565">
        <v>77.595402065428601</v>
      </c>
      <c r="AM6565">
        <v>93.329679969369906</v>
      </c>
      <c r="AN6565">
        <v>0.99999998350197605</v>
      </c>
    </row>
    <row r="6566" spans="1:40" x14ac:dyDescent="0.25">
      <c r="A6566" t="str">
        <f>"20190304154925552"</f>
        <v>20190304154925552</v>
      </c>
      <c r="B6566" t="str">
        <f>"1551685765543403"</f>
        <v>1551685765543403</v>
      </c>
      <c r="C6566" t="s">
        <v>40</v>
      </c>
      <c r="D6566">
        <v>4.0257110000000003</v>
      </c>
      <c r="E6566">
        <v>0.52780769999999899</v>
      </c>
      <c r="F6566" t="s">
        <v>90</v>
      </c>
      <c r="G6566">
        <v>-279.68</v>
      </c>
      <c r="H6566">
        <v>8.0895069999999999E-2</v>
      </c>
      <c r="I6566">
        <v>14.92299</v>
      </c>
      <c r="J6566">
        <v>-351.89879999999999</v>
      </c>
      <c r="K6566">
        <v>1.110997</v>
      </c>
      <c r="L6566">
        <v>16.848879999999902</v>
      </c>
      <c r="M6566">
        <v>0.99990639999999997</v>
      </c>
      <c r="N6566">
        <v>-1.29991E-2</v>
      </c>
      <c r="O6566">
        <v>-4.2885529999999996E-3</v>
      </c>
      <c r="P6566">
        <v>0.97801839999999995</v>
      </c>
      <c r="Q6566">
        <v>0.20180500000000001</v>
      </c>
      <c r="R6566">
        <v>5.2488149999999997E-2</v>
      </c>
      <c r="S6566">
        <v>3.0811459999999999</v>
      </c>
      <c r="T6566">
        <v>-4.3861749999999998E-2</v>
      </c>
      <c r="U6566">
        <v>-8.203125E-2</v>
      </c>
      <c r="V6566">
        <v>-5.6674389999999998E-2</v>
      </c>
      <c r="W6566">
        <v>0.21450069999999999</v>
      </c>
      <c r="X6566">
        <v>0.97507820000000001</v>
      </c>
      <c r="Y6566">
        <v>2.232222E-2</v>
      </c>
      <c r="Z6566">
        <v>-2.9868400000000002E-4</v>
      </c>
      <c r="AA6566">
        <v>0.99975080000000005</v>
      </c>
      <c r="AB6566">
        <v>27</v>
      </c>
      <c r="AC6566">
        <v>72.218799999999902</v>
      </c>
      <c r="AD6566">
        <v>-1.0301019300000001</v>
      </c>
      <c r="AE6566">
        <v>-1.9258899999999901</v>
      </c>
      <c r="AF6566">
        <v>1.6158034889864099</v>
      </c>
      <c r="AG6566">
        <v>-1.0301019300000001</v>
      </c>
      <c r="AH6566">
        <v>72.211714644237404</v>
      </c>
      <c r="AI6566">
        <v>90.817065814958696</v>
      </c>
      <c r="AJ6566">
        <v>88.718168171024999</v>
      </c>
      <c r="AK6566">
        <v>72.237134929079104</v>
      </c>
      <c r="AL6566">
        <v>77.613764078290203</v>
      </c>
      <c r="AM6566">
        <v>93.326455355528196</v>
      </c>
      <c r="AN6566">
        <v>1.0000000164488001</v>
      </c>
    </row>
    <row r="6567" spans="1:40" x14ac:dyDescent="0.25">
      <c r="A6567" t="str">
        <f>"20190304154925563"</f>
        <v>20190304154925563</v>
      </c>
      <c r="B6567" t="str">
        <f>"1551685765554139"</f>
        <v>1551685765554139</v>
      </c>
      <c r="C6567" t="s">
        <v>40</v>
      </c>
      <c r="D6567">
        <v>4.14663</v>
      </c>
      <c r="E6567">
        <v>0.52706549999999996</v>
      </c>
      <c r="F6567" t="s">
        <v>45</v>
      </c>
      <c r="G6567">
        <v>-279.79149999999998</v>
      </c>
      <c r="H6567">
        <v>-0.05</v>
      </c>
      <c r="I6567">
        <v>15.080120000000001</v>
      </c>
      <c r="J6567">
        <v>-351.75319999999999</v>
      </c>
      <c r="K6567">
        <v>1.1109990000000001</v>
      </c>
      <c r="L6567">
        <v>16.848240000000001</v>
      </c>
      <c r="M6567">
        <v>0.99990579999999996</v>
      </c>
      <c r="N6567">
        <v>-1.303554E-2</v>
      </c>
      <c r="O6567">
        <v>-4.2885500000000003E-3</v>
      </c>
      <c r="P6567">
        <v>0.97814060000000003</v>
      </c>
      <c r="Q6567">
        <v>0.20121710000000001</v>
      </c>
      <c r="R6567">
        <v>5.2468790000000001E-2</v>
      </c>
      <c r="S6567">
        <v>3.0817260000000002</v>
      </c>
      <c r="T6567">
        <v>-4.9618719999999998E-2</v>
      </c>
      <c r="U6567">
        <v>-7.5592039999999999E-2</v>
      </c>
      <c r="V6567">
        <v>-5.6655379999999998E-2</v>
      </c>
      <c r="W6567">
        <v>0.21394969999999999</v>
      </c>
      <c r="X6567">
        <v>0.97520039999999997</v>
      </c>
      <c r="Y6567">
        <v>2.0229170000000001E-2</v>
      </c>
      <c r="Z6567">
        <v>-2.815734E-4</v>
      </c>
      <c r="AA6567">
        <v>0.99979530000000005</v>
      </c>
      <c r="AB6567">
        <v>27</v>
      </c>
      <c r="AC6567">
        <v>71.961699999999993</v>
      </c>
      <c r="AD6567">
        <v>-1.1609989999999999</v>
      </c>
      <c r="AE6567">
        <v>-1.7681199999999899</v>
      </c>
      <c r="AF6567">
        <v>1.45908659460169</v>
      </c>
      <c r="AG6567">
        <v>-1.1609989999999999</v>
      </c>
      <c r="AH6567">
        <v>71.949904765298399</v>
      </c>
      <c r="AI6567">
        <v>90.924266683008995</v>
      </c>
      <c r="AJ6567">
        <v>88.838246597724606</v>
      </c>
      <c r="AK6567">
        <v>71.974062328758805</v>
      </c>
      <c r="AL6567">
        <v>77.646084978027901</v>
      </c>
      <c r="AM6567">
        <v>93.324926328366899</v>
      </c>
      <c r="AN6567">
        <v>1.00000006318659</v>
      </c>
    </row>
    <row r="6568" spans="1:40" x14ac:dyDescent="0.25">
      <c r="A6568" t="str">
        <f>"20190304154925575"</f>
        <v>20190304154925575</v>
      </c>
      <c r="B6568" t="str">
        <f>"1551685765563899"</f>
        <v>1551685765563899</v>
      </c>
      <c r="C6568" t="s">
        <v>40</v>
      </c>
      <c r="D6568">
        <v>4.2698879999999999</v>
      </c>
      <c r="E6568">
        <v>0.52704580000000001</v>
      </c>
      <c r="F6568" t="s">
        <v>45</v>
      </c>
      <c r="G6568">
        <v>-283.39949999999999</v>
      </c>
      <c r="H6568">
        <v>-0.05</v>
      </c>
      <c r="I6568">
        <v>15.308879999999901</v>
      </c>
      <c r="J6568">
        <v>-351.61520000000002</v>
      </c>
      <c r="K6568">
        <v>1.1110040000000001</v>
      </c>
      <c r="L6568">
        <v>16.847660000000001</v>
      </c>
      <c r="M6568">
        <v>0.9999055</v>
      </c>
      <c r="N6568">
        <v>-1.306889E-2</v>
      </c>
      <c r="O6568">
        <v>-4.2884100000000003E-3</v>
      </c>
      <c r="P6568">
        <v>0.97819820000000002</v>
      </c>
      <c r="Q6568">
        <v>0.2008865</v>
      </c>
      <c r="R6568">
        <v>5.2659850000000001E-2</v>
      </c>
      <c r="S6568">
        <v>3.0815429999999999</v>
      </c>
      <c r="T6568">
        <v>-5.234051E-2</v>
      </c>
      <c r="U6568">
        <v>-6.9396970000000002E-2</v>
      </c>
      <c r="V6568">
        <v>-5.6846559999999997E-2</v>
      </c>
      <c r="W6568">
        <v>0.2136525</v>
      </c>
      <c r="X6568">
        <v>0.97525439999999997</v>
      </c>
      <c r="Y6568">
        <v>1.822199E-2</v>
      </c>
      <c r="Z6568">
        <v>-2.5704290000000001E-4</v>
      </c>
      <c r="AA6568">
        <v>0.99983390000000005</v>
      </c>
      <c r="AB6568">
        <v>27</v>
      </c>
      <c r="AC6568">
        <v>68.215699999999998</v>
      </c>
      <c r="AD6568">
        <v>-1.1610039999999999</v>
      </c>
      <c r="AE6568">
        <v>-1.53878</v>
      </c>
      <c r="AF6568">
        <v>1.24584330543727</v>
      </c>
      <c r="AG6568">
        <v>-1.1610039999999999</v>
      </c>
      <c r="AH6568">
        <v>68.201926325912495</v>
      </c>
      <c r="AI6568">
        <v>90.975091408195894</v>
      </c>
      <c r="AJ6568">
        <v>88.953495463030393</v>
      </c>
      <c r="AK6568">
        <v>68.223183818954894</v>
      </c>
      <c r="AL6568">
        <v>77.663515971540505</v>
      </c>
      <c r="AM6568">
        <v>93.335936478549698</v>
      </c>
      <c r="AN6568">
        <v>1.0000000334297201</v>
      </c>
    </row>
    <row r="6569" spans="1:40" x14ac:dyDescent="0.25">
      <c r="A6569" t="str">
        <f>"20190304154925586"</f>
        <v>20190304154925586</v>
      </c>
      <c r="B6569" t="str">
        <f>"1551685765573660"</f>
        <v>1551685765573660</v>
      </c>
      <c r="C6569" t="s">
        <v>40</v>
      </c>
      <c r="D6569">
        <v>4.1138859999999999</v>
      </c>
      <c r="E6569">
        <v>0.52698529999999999</v>
      </c>
      <c r="F6569" t="s">
        <v>90</v>
      </c>
      <c r="G6569">
        <v>-279.68</v>
      </c>
      <c r="H6569">
        <v>-4.645908E-2</v>
      </c>
      <c r="I6569">
        <v>15.25502</v>
      </c>
      <c r="J6569">
        <v>-351.47840000000002</v>
      </c>
      <c r="K6569">
        <v>1.1110070000000001</v>
      </c>
      <c r="L6569">
        <v>16.847079999999998</v>
      </c>
      <c r="M6569">
        <v>0.99990500000000004</v>
      </c>
      <c r="N6569">
        <v>-1.30995E-2</v>
      </c>
      <c r="O6569">
        <v>-4.2882520000000002E-3</v>
      </c>
      <c r="P6569">
        <v>0.97826170000000001</v>
      </c>
      <c r="Q6569">
        <v>0.200546</v>
      </c>
      <c r="R6569">
        <v>5.2776120000000003E-2</v>
      </c>
      <c r="S6569">
        <v>3.0807190000000002</v>
      </c>
      <c r="T6569">
        <v>-4.9569729999999999E-2</v>
      </c>
      <c r="U6569">
        <v>-6.8206790000000003E-2</v>
      </c>
      <c r="V6569">
        <v>-5.6962579999999999E-2</v>
      </c>
      <c r="W6569">
        <v>0.21334230000000001</v>
      </c>
      <c r="X6569">
        <v>0.9753155</v>
      </c>
      <c r="Y6569">
        <v>1.7842529999999999E-2</v>
      </c>
      <c r="Z6569">
        <v>-2.4760039999999997E-4</v>
      </c>
      <c r="AA6569">
        <v>0.99984079999999997</v>
      </c>
      <c r="AB6569">
        <v>27</v>
      </c>
      <c r="AC6569">
        <v>71.798400000000001</v>
      </c>
      <c r="AD6569">
        <v>-1.1574660800000001</v>
      </c>
      <c r="AE6569">
        <v>-1.59205999999999</v>
      </c>
      <c r="AF6569">
        <v>1.28379582635973</v>
      </c>
      <c r="AG6569">
        <v>-1.1574660800000001</v>
      </c>
      <c r="AH6569">
        <v>71.785920305389098</v>
      </c>
      <c r="AI6569">
        <v>90.923601383846105</v>
      </c>
      <c r="AJ6569">
        <v>88.975450309898093</v>
      </c>
      <c r="AK6569">
        <v>71.806728191317802</v>
      </c>
      <c r="AL6569">
        <v>77.681708140376401</v>
      </c>
      <c r="AM6569">
        <v>93.342520541826104</v>
      </c>
      <c r="AN6569">
        <v>0.99999999851489796</v>
      </c>
    </row>
    <row r="6570" spans="1:40" x14ac:dyDescent="0.25">
      <c r="A6570" t="str">
        <f>"20190304154925598"</f>
        <v>20190304154925598</v>
      </c>
      <c r="B6570" t="str">
        <f>"1551685765594155"</f>
        <v>1551685765594155</v>
      </c>
      <c r="C6570" t="s">
        <v>40</v>
      </c>
      <c r="D6570">
        <v>4.0996699999999997</v>
      </c>
      <c r="E6570">
        <v>0.52698610000000001</v>
      </c>
      <c r="F6570" t="s">
        <v>90</v>
      </c>
      <c r="G6570">
        <v>-279.68</v>
      </c>
      <c r="H6570">
        <v>7.1297650000000004E-2</v>
      </c>
      <c r="I6570">
        <v>15.28881</v>
      </c>
      <c r="J6570">
        <v>-351.34379999999999</v>
      </c>
      <c r="K6570">
        <v>1.1110100000000001</v>
      </c>
      <c r="L6570">
        <v>16.846499999999999</v>
      </c>
      <c r="M6570">
        <v>0.99990480000000004</v>
      </c>
      <c r="N6570">
        <v>-1.3127979999999999E-2</v>
      </c>
      <c r="O6570">
        <v>-4.2883189999999996E-3</v>
      </c>
      <c r="P6570">
        <v>0.97829089999999996</v>
      </c>
      <c r="Q6570">
        <v>0.20031650000000001</v>
      </c>
      <c r="R6570">
        <v>5.3108200000000001E-2</v>
      </c>
      <c r="S6570">
        <v>3.0794069999999998</v>
      </c>
      <c r="T6570">
        <v>-4.4592619999999999E-2</v>
      </c>
      <c r="U6570">
        <v>-6.6833500000000004E-2</v>
      </c>
      <c r="V6570">
        <v>-5.7295350000000002E-2</v>
      </c>
      <c r="W6570">
        <v>0.21314150000000001</v>
      </c>
      <c r="X6570">
        <v>0.97533990000000004</v>
      </c>
      <c r="Y6570">
        <v>1.7406910000000001E-2</v>
      </c>
      <c r="Z6570">
        <v>-2.3450700000000001E-4</v>
      </c>
      <c r="AA6570">
        <v>0.99984850000000003</v>
      </c>
      <c r="AB6570">
        <v>27</v>
      </c>
      <c r="AC6570">
        <v>71.663799999999895</v>
      </c>
      <c r="AD6570">
        <v>-1.0397123500000001</v>
      </c>
      <c r="AE6570">
        <v>-1.55768999999999</v>
      </c>
      <c r="AF6570">
        <v>1.2500690068185001</v>
      </c>
      <c r="AG6570">
        <v>-1.0397123500000001</v>
      </c>
      <c r="AH6570">
        <v>71.654746071784004</v>
      </c>
      <c r="AI6570">
        <v>90.831178550988596</v>
      </c>
      <c r="AJ6570">
        <v>89.000534966042295</v>
      </c>
      <c r="AK6570">
        <v>71.673191005454797</v>
      </c>
      <c r="AL6570">
        <v>77.693483856881898</v>
      </c>
      <c r="AM6570">
        <v>93.361918655152806</v>
      </c>
      <c r="AN6570">
        <v>0.99999998834294102</v>
      </c>
    </row>
    <row r="6571" spans="1:40" x14ac:dyDescent="0.25">
      <c r="A6571" t="str">
        <f>"20190304154925610"</f>
        <v>20190304154925610</v>
      </c>
      <c r="B6571" t="str">
        <f>"1551685765603915"</f>
        <v>1551685765603915</v>
      </c>
      <c r="C6571" t="s">
        <v>40</v>
      </c>
      <c r="D6571">
        <v>4.0931139999999999</v>
      </c>
      <c r="E6571">
        <v>0.52692649999999996</v>
      </c>
      <c r="F6571" t="s">
        <v>90</v>
      </c>
      <c r="G6571">
        <v>-279.68</v>
      </c>
      <c r="H6571">
        <v>0.23308519999999999</v>
      </c>
      <c r="I6571">
        <v>15.32518</v>
      </c>
      <c r="J6571">
        <v>-351.18</v>
      </c>
      <c r="K6571">
        <v>1.111013</v>
      </c>
      <c r="L6571">
        <v>16.845790000000001</v>
      </c>
      <c r="M6571">
        <v>0.99990420000000002</v>
      </c>
      <c r="N6571">
        <v>-1.316086E-2</v>
      </c>
      <c r="O6571">
        <v>-4.2881769999999998E-3</v>
      </c>
      <c r="P6571">
        <v>0.97836460000000003</v>
      </c>
      <c r="Q6571">
        <v>0.1998692</v>
      </c>
      <c r="R6571">
        <v>5.3432729999999998E-2</v>
      </c>
      <c r="S6571">
        <v>3.0778500000000002</v>
      </c>
      <c r="T6571">
        <v>-3.7705420000000003E-2</v>
      </c>
      <c r="U6571">
        <v>-6.5338129999999994E-2</v>
      </c>
      <c r="V6571">
        <v>-5.762018E-2</v>
      </c>
      <c r="W6571">
        <v>0.21272730000000001</v>
      </c>
      <c r="X6571">
        <v>0.97541120000000003</v>
      </c>
      <c r="Y6571">
        <v>1.6933299999999998E-2</v>
      </c>
      <c r="Z6571">
        <v>-2.1906930000000001E-4</v>
      </c>
      <c r="AA6571">
        <v>0.99985659999999998</v>
      </c>
      <c r="AB6571">
        <v>27</v>
      </c>
      <c r="AC6571">
        <v>71.5</v>
      </c>
      <c r="AD6571">
        <v>-0.87792780000000004</v>
      </c>
      <c r="AE6571">
        <v>-1.52061</v>
      </c>
      <c r="AF6571">
        <v>1.2137818902033699</v>
      </c>
      <c r="AG6571">
        <v>-0.87792780000000004</v>
      </c>
      <c r="AH6571">
        <v>71.495089497371197</v>
      </c>
      <c r="AI6571">
        <v>90.703429894004401</v>
      </c>
      <c r="AJ6571">
        <v>89.027375170109295</v>
      </c>
      <c r="AK6571">
        <v>71.510781326567198</v>
      </c>
      <c r="AL6571">
        <v>77.717772935164106</v>
      </c>
      <c r="AM6571">
        <v>93.380688047750795</v>
      </c>
      <c r="AN6571">
        <v>0.99999999919698102</v>
      </c>
    </row>
    <row r="6572" spans="1:40" x14ac:dyDescent="0.25">
      <c r="A6572" t="str">
        <f>"20190304154925623"</f>
        <v>20190304154925623</v>
      </c>
      <c r="B6572" t="str">
        <f>"1551685765613676"</f>
        <v>1551685765613676</v>
      </c>
      <c r="C6572" t="s">
        <v>40</v>
      </c>
      <c r="D6572">
        <v>4.0761200000000004</v>
      </c>
      <c r="E6572">
        <v>0.52697019999999895</v>
      </c>
      <c r="F6572" t="s">
        <v>90</v>
      </c>
      <c r="G6572">
        <v>-279.68</v>
      </c>
      <c r="H6572">
        <v>0.27834429999999999</v>
      </c>
      <c r="I6572">
        <v>15.368029999999999</v>
      </c>
      <c r="J6572">
        <v>-351.02719999999999</v>
      </c>
      <c r="K6572">
        <v>1.111019</v>
      </c>
      <c r="L6572">
        <v>16.845120000000001</v>
      </c>
      <c r="M6572">
        <v>0.99990389999999996</v>
      </c>
      <c r="N6572">
        <v>-1.3188429999999999E-2</v>
      </c>
      <c r="O6572">
        <v>-4.2881200000000003E-3</v>
      </c>
      <c r="P6572">
        <v>0.97844370000000003</v>
      </c>
      <c r="Q6572">
        <v>0.1994196</v>
      </c>
      <c r="R6572">
        <v>5.3666699999999901E-2</v>
      </c>
      <c r="S6572">
        <v>3.0771480000000002</v>
      </c>
      <c r="T6572">
        <v>-3.5835499999999999E-2</v>
      </c>
      <c r="U6572">
        <v>-6.3598630000000003E-2</v>
      </c>
      <c r="V6572">
        <v>-5.7853979999999999E-2</v>
      </c>
      <c r="W6572">
        <v>0.21230570000000001</v>
      </c>
      <c r="X6572">
        <v>0.97548919999999995</v>
      </c>
      <c r="Y6572">
        <v>1.6373499999999999E-2</v>
      </c>
      <c r="Z6572">
        <v>-2.0994199999999999E-4</v>
      </c>
      <c r="AA6572">
        <v>0.99986589999999997</v>
      </c>
      <c r="AB6572">
        <v>27</v>
      </c>
      <c r="AC6572">
        <v>71.347199999999901</v>
      </c>
      <c r="AD6572">
        <v>-0.83267469999999999</v>
      </c>
      <c r="AE6572">
        <v>-1.47709</v>
      </c>
      <c r="AF6572">
        <v>1.17094504977865</v>
      </c>
      <c r="AG6572">
        <v>-0.83267469999999999</v>
      </c>
      <c r="AH6572">
        <v>71.343165189303207</v>
      </c>
      <c r="AI6572">
        <v>90.668601624074796</v>
      </c>
      <c r="AJ6572">
        <v>89.059697086675101</v>
      </c>
      <c r="AK6572">
        <v>71.357632238561706</v>
      </c>
      <c r="AL6572">
        <v>77.742493355735604</v>
      </c>
      <c r="AM6572">
        <v>93.394102759976903</v>
      </c>
      <c r="AN6572">
        <v>0.99999998628548503</v>
      </c>
    </row>
    <row r="6573" spans="1:40" x14ac:dyDescent="0.25">
      <c r="A6573" t="str">
        <f>"20190304154925642"</f>
        <v>20190304154925642</v>
      </c>
      <c r="B6573" t="str">
        <f>"1551685765634171"</f>
        <v>1551685765634171</v>
      </c>
      <c r="C6573" t="s">
        <v>40</v>
      </c>
      <c r="D6573">
        <v>4.0423229999999997</v>
      </c>
      <c r="E6573">
        <v>0.52679940000000003</v>
      </c>
      <c r="F6573" t="s">
        <v>90</v>
      </c>
      <c r="G6573">
        <v>-279.68</v>
      </c>
      <c r="H6573">
        <v>0.38135150000000001</v>
      </c>
      <c r="I6573">
        <v>15.38199</v>
      </c>
      <c r="J6573">
        <v>-350.79899999999998</v>
      </c>
      <c r="K6573">
        <v>1.1110310000000001</v>
      </c>
      <c r="L6573">
        <v>16.844149999999999</v>
      </c>
      <c r="M6573">
        <v>0.9999034</v>
      </c>
      <c r="N6573">
        <v>-1.322659E-2</v>
      </c>
      <c r="O6573">
        <v>-4.2878949999999999E-3</v>
      </c>
      <c r="P6573">
        <v>0.97830059999999996</v>
      </c>
      <c r="Q6573">
        <v>0.19995499999999999</v>
      </c>
      <c r="R6573">
        <v>5.4278020000000003E-2</v>
      </c>
      <c r="S6573">
        <v>3.0759889999999999</v>
      </c>
      <c r="T6573">
        <v>-3.1458020000000003E-2</v>
      </c>
      <c r="U6573">
        <v>-6.3079830000000003E-2</v>
      </c>
      <c r="V6573">
        <v>-5.8464259999999997E-2</v>
      </c>
      <c r="W6573">
        <v>0.21287639999999999</v>
      </c>
      <c r="X6573">
        <v>0.97532839999999998</v>
      </c>
      <c r="Y6573">
        <v>1.6213379999999999E-2</v>
      </c>
      <c r="Z6573">
        <v>-2.0300830000000001E-4</v>
      </c>
      <c r="AA6573">
        <v>0.99986850000000005</v>
      </c>
      <c r="AB6573">
        <v>27</v>
      </c>
      <c r="AC6573">
        <v>71.119</v>
      </c>
      <c r="AD6573">
        <v>-0.72967949999999904</v>
      </c>
      <c r="AE6573">
        <v>-1.4621599999999899</v>
      </c>
      <c r="AF6573">
        <v>1.15704734685859</v>
      </c>
      <c r="AG6573">
        <v>-0.72967949999999904</v>
      </c>
      <c r="AH6573">
        <v>71.117133083424903</v>
      </c>
      <c r="AI6573">
        <v>90.587770561257798</v>
      </c>
      <c r="AJ6573">
        <v>89.067902790869795</v>
      </c>
      <c r="AK6573">
        <v>71.130287562621007</v>
      </c>
      <c r="AL6573">
        <v>77.709029383818901</v>
      </c>
      <c r="AM6573">
        <v>93.4303849706112</v>
      </c>
      <c r="AN6573">
        <v>0.99999995961043198</v>
      </c>
    </row>
    <row r="6574" spans="1:40" x14ac:dyDescent="0.25">
      <c r="A6574" t="str">
        <f>"20190304154925654"</f>
        <v>20190304154925654</v>
      </c>
      <c r="B6574" t="str">
        <f>"1551685765643931"</f>
        <v>1551685765643931</v>
      </c>
      <c r="C6574" t="s">
        <v>40</v>
      </c>
      <c r="D6574">
        <v>4.0691189999999997</v>
      </c>
      <c r="E6574">
        <v>0.52658329999999998</v>
      </c>
      <c r="F6574" t="s">
        <v>90</v>
      </c>
      <c r="G6574">
        <v>-279.68</v>
      </c>
      <c r="H6574">
        <v>0.46626790000000001</v>
      </c>
      <c r="I6574">
        <v>15.462400000000001</v>
      </c>
      <c r="J6574">
        <v>-350.6465</v>
      </c>
      <c r="K6574">
        <v>1.111035</v>
      </c>
      <c r="L6574">
        <v>16.84348</v>
      </c>
      <c r="M6574">
        <v>0.99990299999999999</v>
      </c>
      <c r="N6574">
        <v>-1.324993E-2</v>
      </c>
      <c r="O6574">
        <v>-4.2876909999999997E-3</v>
      </c>
      <c r="P6574">
        <v>0.97832169999999896</v>
      </c>
      <c r="Q6574">
        <v>0.1997979</v>
      </c>
      <c r="R6574">
        <v>5.4473960000000002E-2</v>
      </c>
      <c r="S6574">
        <v>3.0755309999999998</v>
      </c>
      <c r="T6574">
        <v>-2.7882580000000001E-2</v>
      </c>
      <c r="U6574">
        <v>-5.9753420000000002E-2</v>
      </c>
      <c r="V6574">
        <v>-5.8660410000000003E-2</v>
      </c>
      <c r="W6574">
        <v>0.21274219999999999</v>
      </c>
      <c r="X6574">
        <v>0.97534589999999999</v>
      </c>
      <c r="Y6574">
        <v>1.513606E-2</v>
      </c>
      <c r="Z6574">
        <v>-1.868412E-4</v>
      </c>
      <c r="AA6574">
        <v>0.99988540000000004</v>
      </c>
      <c r="AB6574">
        <v>27</v>
      </c>
      <c r="AC6574">
        <v>70.966499999999996</v>
      </c>
      <c r="AD6574">
        <v>-0.64476709999999904</v>
      </c>
      <c r="AE6574">
        <v>-1.3810799999999901</v>
      </c>
      <c r="AF6574">
        <v>1.07666931709769</v>
      </c>
      <c r="AG6574">
        <v>-0.64476709999999904</v>
      </c>
      <c r="AH6574">
        <v>70.965913938109296</v>
      </c>
      <c r="AI6574">
        <v>90.520491662786398</v>
      </c>
      <c r="AJ6574">
        <v>89.130795731392396</v>
      </c>
      <c r="AK6574">
        <v>70.977009534797702</v>
      </c>
      <c r="AL6574">
        <v>77.716898690083198</v>
      </c>
      <c r="AM6574">
        <v>93.441804824752296</v>
      </c>
      <c r="AN6574">
        <v>0.99999995600450797</v>
      </c>
    </row>
    <row r="6575" spans="1:40" x14ac:dyDescent="0.25">
      <c r="A6575" t="str">
        <f>"20190304154925665"</f>
        <v>20190304154925665</v>
      </c>
      <c r="B6575" t="str">
        <f>"1551685765653690"</f>
        <v>1551685765653690</v>
      </c>
      <c r="C6575" t="s">
        <v>40</v>
      </c>
      <c r="D6575">
        <v>4.0456799999999999</v>
      </c>
      <c r="E6575">
        <v>0.5263854</v>
      </c>
      <c r="F6575" t="s">
        <v>90</v>
      </c>
      <c r="G6575">
        <v>-279.68</v>
      </c>
      <c r="H6575">
        <v>0.44564989999999999</v>
      </c>
      <c r="I6575">
        <v>15.520339999999999</v>
      </c>
      <c r="J6575">
        <v>-350.50360000000001</v>
      </c>
      <c r="K6575">
        <v>1.1110370000000001</v>
      </c>
      <c r="L6575">
        <v>16.842860000000002</v>
      </c>
      <c r="M6575">
        <v>0.99990279999999998</v>
      </c>
      <c r="N6575">
        <v>-1.3269629999999999E-2</v>
      </c>
      <c r="O6575">
        <v>-4.287702E-3</v>
      </c>
      <c r="P6575">
        <v>0.97838979999999998</v>
      </c>
      <c r="Q6575">
        <v>0.19944519999999999</v>
      </c>
      <c r="R6575">
        <v>5.4543290000000001E-2</v>
      </c>
      <c r="S6575">
        <v>3.0755620000000001</v>
      </c>
      <c r="T6575">
        <v>-2.8836489999999999E-2</v>
      </c>
      <c r="U6575">
        <v>-5.7342530000000003E-2</v>
      </c>
      <c r="V6575">
        <v>-5.8730329999999997E-2</v>
      </c>
      <c r="W6575">
        <v>0.2124096</v>
      </c>
      <c r="X6575">
        <v>0.97541420000000001</v>
      </c>
      <c r="Y6575">
        <v>1.435234E-2</v>
      </c>
      <c r="Z6575">
        <v>-1.7921739999999999E-4</v>
      </c>
      <c r="AA6575">
        <v>0.99989700000000004</v>
      </c>
      <c r="AB6575">
        <v>27</v>
      </c>
      <c r="AC6575">
        <v>70.823599999999999</v>
      </c>
      <c r="AD6575">
        <v>-0.66538710000000001</v>
      </c>
      <c r="AE6575">
        <v>-1.3225199999999999</v>
      </c>
      <c r="AF6575">
        <v>1.01872073519038</v>
      </c>
      <c r="AG6575">
        <v>-0.66538710000000001</v>
      </c>
      <c r="AH6575">
        <v>70.822370910399599</v>
      </c>
      <c r="AI6575">
        <v>90.538231174539902</v>
      </c>
      <c r="AJ6575">
        <v>89.175904833146603</v>
      </c>
      <c r="AK6575">
        <v>70.832822570467798</v>
      </c>
      <c r="AL6575">
        <v>77.736401246547999</v>
      </c>
      <c r="AM6575">
        <v>93.445656682576796</v>
      </c>
      <c r="AN6575">
        <v>0.99999997569785404</v>
      </c>
    </row>
    <row r="6576" spans="1:40" x14ac:dyDescent="0.25">
      <c r="A6576" t="str">
        <f>"20190304154925677"</f>
        <v>20190304154925677</v>
      </c>
      <c r="B6576" t="str">
        <f>"1551685765674188"</f>
        <v>1551685765674188</v>
      </c>
      <c r="C6576" t="s">
        <v>40</v>
      </c>
      <c r="D6576">
        <v>4.0545249999999999</v>
      </c>
      <c r="E6576">
        <v>0.52622380000000002</v>
      </c>
      <c r="F6576" t="s">
        <v>90</v>
      </c>
      <c r="G6576">
        <v>-279.68</v>
      </c>
      <c r="H6576">
        <v>0.41491929999999999</v>
      </c>
      <c r="I6576">
        <v>15.561730000000001</v>
      </c>
      <c r="J6576">
        <v>-350.37790000000001</v>
      </c>
      <c r="K6576">
        <v>1.1110370000000001</v>
      </c>
      <c r="L6576">
        <v>16.842320000000001</v>
      </c>
      <c r="M6576">
        <v>0.99990259999999997</v>
      </c>
      <c r="N6576">
        <v>-1.328592E-2</v>
      </c>
      <c r="O6576">
        <v>-4.2874509999999899E-3</v>
      </c>
      <c r="P6576">
        <v>0.97846379999999999</v>
      </c>
      <c r="Q6576">
        <v>0.19906009999999999</v>
      </c>
      <c r="R6576">
        <v>5.4622669999999998E-2</v>
      </c>
      <c r="S6576">
        <v>3.0755309999999998</v>
      </c>
      <c r="T6576">
        <v>-3.0228970000000001E-2</v>
      </c>
      <c r="U6576">
        <v>-5.5633540000000002E-2</v>
      </c>
      <c r="V6576">
        <v>-5.8809559999999997E-2</v>
      </c>
      <c r="W6576">
        <v>0.21204139999999999</v>
      </c>
      <c r="X6576">
        <v>0.97548959999999996</v>
      </c>
      <c r="Y6576">
        <v>1.37972999999999E-2</v>
      </c>
      <c r="Z6576">
        <v>-1.7429629999999999E-4</v>
      </c>
      <c r="AA6576">
        <v>0.99990480000000004</v>
      </c>
      <c r="AB6576">
        <v>27</v>
      </c>
      <c r="AC6576">
        <v>70.697900000000004</v>
      </c>
      <c r="AD6576">
        <v>-0.69611769999999995</v>
      </c>
      <c r="AE6576">
        <v>-1.2805899999999999</v>
      </c>
      <c r="AF6576">
        <v>0.977342983026667</v>
      </c>
      <c r="AG6576">
        <v>-0.69611769999999995</v>
      </c>
      <c r="AH6576">
        <v>70.695889251244296</v>
      </c>
      <c r="AI6576">
        <v>90.564099373728695</v>
      </c>
      <c r="AJ6576">
        <v>89.207958742045804</v>
      </c>
      <c r="AK6576">
        <v>70.706071423767597</v>
      </c>
      <c r="AL6576">
        <v>77.757990109326997</v>
      </c>
      <c r="AM6576">
        <v>93.450027770263404</v>
      </c>
      <c r="AN6576">
        <v>1.0000000396847499</v>
      </c>
    </row>
    <row r="6577" spans="1:40" x14ac:dyDescent="0.25">
      <c r="A6577" t="str">
        <f>"20190304154925688"</f>
        <v>20190304154925688</v>
      </c>
      <c r="B6577" t="str">
        <f>"1551685765683947"</f>
        <v>1551685765683947</v>
      </c>
      <c r="C6577" t="s">
        <v>40</v>
      </c>
      <c r="D6577">
        <v>4.0143930000000001</v>
      </c>
      <c r="E6577">
        <v>0.52673409999999998</v>
      </c>
      <c r="F6577" t="s">
        <v>90</v>
      </c>
      <c r="G6577">
        <v>-279.68</v>
      </c>
      <c r="H6577">
        <v>0.40076709999999999</v>
      </c>
      <c r="I6577">
        <v>15.597049999999999</v>
      </c>
      <c r="J6577">
        <v>-350.23500000000001</v>
      </c>
      <c r="K6577">
        <v>1.111038</v>
      </c>
      <c r="L6577">
        <v>16.841709999999999</v>
      </c>
      <c r="M6577">
        <v>0.99990239999999997</v>
      </c>
      <c r="N6577">
        <v>-1.3303239999999999E-2</v>
      </c>
      <c r="O6577">
        <v>-4.287445E-3</v>
      </c>
      <c r="P6577">
        <v>0.97856279999999995</v>
      </c>
      <c r="Q6577">
        <v>0.19856280000000001</v>
      </c>
      <c r="R6577">
        <v>5.4661149999999999E-2</v>
      </c>
      <c r="S6577">
        <v>3.075348</v>
      </c>
      <c r="T6577">
        <v>-3.089654E-2</v>
      </c>
      <c r="U6577">
        <v>-5.41687E-2</v>
      </c>
      <c r="V6577">
        <v>-5.8848369999999997E-2</v>
      </c>
      <c r="W6577">
        <v>0.21156240000000001</v>
      </c>
      <c r="X6577">
        <v>0.97559119999999999</v>
      </c>
      <c r="Y6577">
        <v>1.3322250000000001E-2</v>
      </c>
      <c r="Z6577">
        <v>-1.69512E-4</v>
      </c>
      <c r="AA6577">
        <v>0.9999112</v>
      </c>
      <c r="AB6577">
        <v>27</v>
      </c>
      <c r="AC6577">
        <v>70.555000000000007</v>
      </c>
      <c r="AD6577">
        <v>-0.71027090000000004</v>
      </c>
      <c r="AE6577">
        <v>-1.2446599999999901</v>
      </c>
      <c r="AF6577">
        <v>0.94202569258137803</v>
      </c>
      <c r="AG6577">
        <v>-0.71027090000000004</v>
      </c>
      <c r="AH6577">
        <v>70.552540527726194</v>
      </c>
      <c r="AI6577">
        <v>90.576740725518505</v>
      </c>
      <c r="AJ6577">
        <v>89.235025573358897</v>
      </c>
      <c r="AK6577">
        <v>70.562404097885704</v>
      </c>
      <c r="AL6577">
        <v>77.786071206129606</v>
      </c>
      <c r="AM6577">
        <v>93.451940371148595</v>
      </c>
      <c r="AN6577">
        <v>0.99999998463142803</v>
      </c>
    </row>
    <row r="6578" spans="1:40" x14ac:dyDescent="0.25">
      <c r="A6578" t="str">
        <f>"20190304154925700"</f>
        <v>20190304154925700</v>
      </c>
      <c r="B6578" t="str">
        <f>"1551685765693707"</f>
        <v>1551685765693707</v>
      </c>
      <c r="C6578" t="s">
        <v>40</v>
      </c>
      <c r="D6578">
        <v>3.9438569999999999</v>
      </c>
      <c r="E6578">
        <v>0.52673409999999998</v>
      </c>
      <c r="F6578" t="s">
        <v>90</v>
      </c>
      <c r="G6578">
        <v>-279.68</v>
      </c>
      <c r="H6578">
        <v>0.44797579999999998</v>
      </c>
      <c r="I6578">
        <v>15.509819999999999</v>
      </c>
      <c r="J6578">
        <v>-350.09679999999997</v>
      </c>
      <c r="K6578">
        <v>1.111048</v>
      </c>
      <c r="L6578">
        <v>16.841089999999902</v>
      </c>
      <c r="M6578">
        <v>0.99990219999999996</v>
      </c>
      <c r="N6578">
        <v>-1.3320530000000001E-2</v>
      </c>
      <c r="O6578">
        <v>-4.2873219999999997E-3</v>
      </c>
      <c r="P6578">
        <v>0.97864519999999999</v>
      </c>
      <c r="Q6578">
        <v>0.19820570000000001</v>
      </c>
      <c r="R6578">
        <v>5.4484560000000001E-2</v>
      </c>
      <c r="S6578">
        <v>3.0748289999999998</v>
      </c>
      <c r="T6578">
        <v>-2.889657E-2</v>
      </c>
      <c r="U6578">
        <v>-5.8044430000000001E-2</v>
      </c>
      <c r="V6578">
        <v>-5.8672290000000002E-2</v>
      </c>
      <c r="W6578">
        <v>0.2112231</v>
      </c>
      <c r="X6578">
        <v>0.97567530000000002</v>
      </c>
      <c r="Y6578">
        <v>1.4585290000000001E-2</v>
      </c>
      <c r="Z6578">
        <v>-1.8250889999999999E-4</v>
      </c>
      <c r="AA6578">
        <v>0.99989360000000005</v>
      </c>
      <c r="AB6578">
        <v>27</v>
      </c>
      <c r="AC6578">
        <v>70.416799999999895</v>
      </c>
      <c r="AD6578">
        <v>-0.6630722</v>
      </c>
      <c r="AE6578">
        <v>-1.33126999999999</v>
      </c>
      <c r="AF6578">
        <v>1.0292402850625699</v>
      </c>
      <c r="AG6578">
        <v>-0.6630722</v>
      </c>
      <c r="AH6578">
        <v>70.415619388749505</v>
      </c>
      <c r="AI6578">
        <v>90.539455006065396</v>
      </c>
      <c r="AJ6578">
        <v>89.162587422602499</v>
      </c>
      <c r="AK6578">
        <v>70.426262531871103</v>
      </c>
      <c r="AL6578">
        <v>77.805960889482606</v>
      </c>
      <c r="AM6578">
        <v>93.441340751594396</v>
      </c>
      <c r="AN6578">
        <v>0.99999996330877094</v>
      </c>
    </row>
    <row r="6579" spans="1:40" x14ac:dyDescent="0.25">
      <c r="A6579" t="str">
        <f>"20190304154925764"</f>
        <v>20190304154925764</v>
      </c>
      <c r="B6579" t="str">
        <f>"1551685765753243"</f>
        <v>1551685765753243</v>
      </c>
      <c r="C6579" t="s">
        <v>40</v>
      </c>
      <c r="D6579">
        <v>3.704129</v>
      </c>
      <c r="E6579">
        <v>0.52706660000000005</v>
      </c>
      <c r="F6579" t="s">
        <v>90</v>
      </c>
      <c r="G6579">
        <v>-279.68</v>
      </c>
      <c r="H6579">
        <v>0.42402390000000001</v>
      </c>
      <c r="I6579">
        <v>15.49783</v>
      </c>
      <c r="J6579">
        <v>-349.3014</v>
      </c>
      <c r="K6579">
        <v>1.1110690000000001</v>
      </c>
      <c r="L6579">
        <v>16.837710000000001</v>
      </c>
      <c r="M6579">
        <v>0.99990069999999998</v>
      </c>
      <c r="N6579">
        <v>-1.34308E-2</v>
      </c>
      <c r="O6579">
        <v>-4.2867469999999996E-3</v>
      </c>
      <c r="P6579">
        <v>0.97858199999999995</v>
      </c>
      <c r="Q6579">
        <v>0.1987149</v>
      </c>
      <c r="R6579">
        <v>5.3755829999999998E-2</v>
      </c>
      <c r="S6579">
        <v>3.0747990000000001</v>
      </c>
      <c r="T6579">
        <v>-2.999926E-2</v>
      </c>
      <c r="U6579">
        <v>-5.8654789999999998E-2</v>
      </c>
      <c r="V6579">
        <v>-5.7942769999999998E-2</v>
      </c>
      <c r="W6579">
        <v>0.21183920000000001</v>
      </c>
      <c r="X6579">
        <v>0.97558529999999999</v>
      </c>
      <c r="Y6579">
        <v>1.478434E-2</v>
      </c>
      <c r="Z6579">
        <v>-1.8716990000000001E-4</v>
      </c>
      <c r="AA6579">
        <v>0.99989070000000002</v>
      </c>
      <c r="AB6579">
        <v>27</v>
      </c>
      <c r="AC6579">
        <v>69.621399999999994</v>
      </c>
      <c r="AD6579">
        <v>-0.68704509999999996</v>
      </c>
      <c r="AE6579">
        <v>-1.33988</v>
      </c>
      <c r="AF6579">
        <v>1.0412900963486</v>
      </c>
      <c r="AG6579">
        <v>-0.68704509999999996</v>
      </c>
      <c r="AH6579">
        <v>69.619727141132799</v>
      </c>
      <c r="AI6579">
        <v>90.565344141017206</v>
      </c>
      <c r="AJ6579">
        <v>89.143100929529695</v>
      </c>
      <c r="AK6579">
        <v>69.630903507278802</v>
      </c>
      <c r="AL6579">
        <v>77.769843435746495</v>
      </c>
      <c r="AM6579">
        <v>93.398965508845606</v>
      </c>
      <c r="AN6579">
        <v>0.99999994441399997</v>
      </c>
    </row>
    <row r="6580" spans="1:40" x14ac:dyDescent="0.25">
      <c r="A6580" t="str">
        <f>"20190304154925775"</f>
        <v>20190304154925775</v>
      </c>
      <c r="B6580" t="str">
        <f>"1551685765773739"</f>
        <v>1551685765773739</v>
      </c>
      <c r="C6580" t="s">
        <v>40</v>
      </c>
      <c r="D6580">
        <v>4.3204890000000002</v>
      </c>
      <c r="E6580">
        <v>0.52743640000000003</v>
      </c>
      <c r="F6580" t="s">
        <v>90</v>
      </c>
      <c r="G6580">
        <v>-279.68</v>
      </c>
      <c r="H6580">
        <v>0.3774806</v>
      </c>
      <c r="I6580">
        <v>15.39466</v>
      </c>
      <c r="J6580">
        <v>-349.17399999999998</v>
      </c>
      <c r="K6580">
        <v>1.1110739999999999</v>
      </c>
      <c r="L6580">
        <v>16.837160000000001</v>
      </c>
      <c r="M6580">
        <v>0.99990040000000002</v>
      </c>
      <c r="N6580">
        <v>-1.3451650000000001E-2</v>
      </c>
      <c r="O6580">
        <v>-4.2865289999999999E-3</v>
      </c>
      <c r="P6580">
        <v>0.97860539999999996</v>
      </c>
      <c r="Q6580">
        <v>0.1986089</v>
      </c>
      <c r="R6580">
        <v>5.3722520000000003E-2</v>
      </c>
      <c r="S6580">
        <v>3.075745</v>
      </c>
      <c r="T6580">
        <v>-3.2408480000000003E-2</v>
      </c>
      <c r="U6580">
        <v>-6.3751219999999997E-2</v>
      </c>
      <c r="V6580">
        <v>-5.7909450000000001E-2</v>
      </c>
      <c r="W6580">
        <v>0.21175389999999999</v>
      </c>
      <c r="X6580">
        <v>0.97560579999999997</v>
      </c>
      <c r="Y6580">
        <v>1.643439E-2</v>
      </c>
      <c r="Z6580">
        <v>-2.0962889999999999E-4</v>
      </c>
      <c r="AA6580">
        <v>0.99986489999999995</v>
      </c>
      <c r="AB6580">
        <v>27</v>
      </c>
      <c r="AC6580">
        <v>69.494</v>
      </c>
      <c r="AD6580">
        <v>-0.73359339999999995</v>
      </c>
      <c r="AE6580">
        <v>-1.4424999999999999</v>
      </c>
      <c r="AF6580">
        <v>1.1444442890144699</v>
      </c>
      <c r="AG6580">
        <v>-0.73359339999999995</v>
      </c>
      <c r="AH6580">
        <v>69.491804918056403</v>
      </c>
      <c r="AI6580">
        <v>90.604741038996394</v>
      </c>
      <c r="AJ6580">
        <v>89.056494495226502</v>
      </c>
      <c r="AK6580">
        <v>69.5050995451153</v>
      </c>
      <c r="AL6580">
        <v>77.774844256581702</v>
      </c>
      <c r="AM6580">
        <v>93.396944298785797</v>
      </c>
      <c r="AN6580">
        <v>0.99999994777907397</v>
      </c>
    </row>
    <row r="6581" spans="1:40" x14ac:dyDescent="0.25">
      <c r="A6581" t="str">
        <f>"20190304154925788"</f>
        <v>20190304154925788</v>
      </c>
      <c r="B6581" t="str">
        <f>"1551685765783501"</f>
        <v>1551685765783501</v>
      </c>
      <c r="C6581" t="s">
        <v>40</v>
      </c>
      <c r="D6581">
        <v>3.896668</v>
      </c>
      <c r="E6581">
        <v>0.55188130000000002</v>
      </c>
      <c r="F6581" t="s">
        <v>90</v>
      </c>
      <c r="G6581">
        <v>-279.68</v>
      </c>
      <c r="H6581">
        <v>0.34902680000000003</v>
      </c>
      <c r="I6581">
        <v>15.32727</v>
      </c>
      <c r="J6581">
        <v>-349.03550000000001</v>
      </c>
      <c r="K6581">
        <v>1.1110789999999999</v>
      </c>
      <c r="L6581">
        <v>16.836549999999999</v>
      </c>
      <c r="M6581">
        <v>0.99990000000000001</v>
      </c>
      <c r="N6581">
        <v>-1.347489E-2</v>
      </c>
      <c r="O6581">
        <v>-4.2863279999999998E-3</v>
      </c>
      <c r="P6581">
        <v>0.97857000000000005</v>
      </c>
      <c r="Q6581">
        <v>0.19875590000000001</v>
      </c>
      <c r="R6581">
        <v>5.3824539999999997E-2</v>
      </c>
      <c r="S6581">
        <v>3.0760800000000001</v>
      </c>
      <c r="T6581">
        <v>-3.37311E-2</v>
      </c>
      <c r="U6581">
        <v>-6.6833500000000004E-2</v>
      </c>
      <c r="V6581">
        <v>-5.8010539999999999E-2</v>
      </c>
      <c r="W6581">
        <v>0.2119231</v>
      </c>
      <c r="X6581">
        <v>0.97556310000000002</v>
      </c>
      <c r="Y6581">
        <v>1.7433489999999999E-2</v>
      </c>
      <c r="Z6581">
        <v>-2.2381469999999999E-4</v>
      </c>
      <c r="AA6581">
        <v>0.99984799999999996</v>
      </c>
      <c r="AB6581">
        <v>27</v>
      </c>
      <c r="AC6581">
        <v>69.355500000000006</v>
      </c>
      <c r="AD6581">
        <v>-0.76205219999999996</v>
      </c>
      <c r="AE6581">
        <v>-1.50927999999999</v>
      </c>
      <c r="AF6581">
        <v>1.2118124814631299</v>
      </c>
      <c r="AG6581">
        <v>-0.76205219999999996</v>
      </c>
      <c r="AH6581">
        <v>69.352963743176403</v>
      </c>
      <c r="AI6581">
        <v>90.629446132312395</v>
      </c>
      <c r="AJ6581">
        <v>88.998965981671404</v>
      </c>
      <c r="AK6581">
        <v>69.367735965707396</v>
      </c>
      <c r="AL6581">
        <v>77.7649252388386</v>
      </c>
      <c r="AM6581">
        <v>93.403008865574904</v>
      </c>
      <c r="AN6581">
        <v>0.99999999257315497</v>
      </c>
    </row>
    <row r="6582" spans="1:40" x14ac:dyDescent="0.25">
      <c r="A6582" t="str">
        <f>"20190304154925800"</f>
        <v>20190304154925800</v>
      </c>
      <c r="B6582" t="str">
        <f>"1551685765793259"</f>
        <v>1551685765793259</v>
      </c>
      <c r="C6582" t="s">
        <v>40</v>
      </c>
      <c r="D6582">
        <v>4.0357029999999998</v>
      </c>
      <c r="E6582">
        <v>0.54250969999999998</v>
      </c>
      <c r="F6582" t="s">
        <v>88</v>
      </c>
      <c r="G6582">
        <v>-241.6901</v>
      </c>
      <c r="H6582">
        <v>9.5389529999999993</v>
      </c>
      <c r="I6582">
        <v>7.7289099999999999</v>
      </c>
      <c r="J6582">
        <v>-348.88299999999998</v>
      </c>
      <c r="K6582">
        <v>1.111089</v>
      </c>
      <c r="L6582">
        <v>16.835909999999998</v>
      </c>
      <c r="M6582">
        <v>0.99989989999999995</v>
      </c>
      <c r="N6582">
        <v>-1.349934E-2</v>
      </c>
      <c r="O6582">
        <v>-4.2861349999999999E-3</v>
      </c>
      <c r="P6582">
        <v>0.97855820000000004</v>
      </c>
      <c r="Q6582">
        <v>0.1988251</v>
      </c>
      <c r="R6582">
        <v>5.3783549999999999E-2</v>
      </c>
      <c r="S6582">
        <v>3.0314640000000002</v>
      </c>
      <c r="T6582">
        <v>0.2380053</v>
      </c>
      <c r="U6582">
        <v>-0.25720209999999999</v>
      </c>
      <c r="V6582">
        <v>-5.7969340000000001E-2</v>
      </c>
      <c r="W6582">
        <v>0.2120158</v>
      </c>
      <c r="X6582">
        <v>0.97554540000000001</v>
      </c>
      <c r="Y6582">
        <v>8.0084240000000001E-2</v>
      </c>
      <c r="Z6582">
        <v>2.198087E-3</v>
      </c>
      <c r="AA6582">
        <v>0.9967857</v>
      </c>
      <c r="AB6582">
        <v>27</v>
      </c>
      <c r="AC6582">
        <v>107.19289999999999</v>
      </c>
      <c r="AD6582">
        <v>8.4278639999999996</v>
      </c>
      <c r="AE6582">
        <v>-9.1069999999999993</v>
      </c>
      <c r="AF6582">
        <v>8.5946829094677604</v>
      </c>
      <c r="AG6582">
        <v>8.4278639999999996</v>
      </c>
      <c r="AH6582">
        <v>106.57685520314099</v>
      </c>
      <c r="AI6582">
        <v>85.493154693432203</v>
      </c>
      <c r="AJ6582">
        <v>85.389470736084704</v>
      </c>
      <c r="AK6582">
        <v>107.25448023699499</v>
      </c>
      <c r="AL6582">
        <v>77.759490334707095</v>
      </c>
      <c r="AM6582">
        <v>93.400659223462895</v>
      </c>
      <c r="AN6582">
        <v>0.99999998564541703</v>
      </c>
    </row>
    <row r="6583" spans="1:40" x14ac:dyDescent="0.25">
      <c r="A6583" t="str">
        <f>"20190304154925812"</f>
        <v>20190304154925812</v>
      </c>
      <c r="B6583" t="str">
        <f>"1551685765803995"</f>
        <v>1551685765803995</v>
      </c>
      <c r="C6583" t="s">
        <v>40</v>
      </c>
      <c r="D6583">
        <v>3.9443069999999998</v>
      </c>
      <c r="E6583">
        <v>0.54101769999999905</v>
      </c>
      <c r="F6583" t="s">
        <v>87</v>
      </c>
      <c r="G6583">
        <v>-274.49669999999998</v>
      </c>
      <c r="H6583">
        <v>7.7808020000000004</v>
      </c>
      <c r="I6583">
        <v>12.35168</v>
      </c>
      <c r="J6583">
        <v>-348.7296</v>
      </c>
      <c r="K6583">
        <v>1.1110960000000001</v>
      </c>
      <c r="L6583">
        <v>16.835239999999999</v>
      </c>
      <c r="M6583">
        <v>0.99989950000000005</v>
      </c>
      <c r="N6583">
        <v>-1.3523200000000001E-2</v>
      </c>
      <c r="O6583">
        <v>-4.2859380000000004E-3</v>
      </c>
      <c r="P6583">
        <v>0.97853950000000001</v>
      </c>
      <c r="Q6583">
        <v>0.19887189999999999</v>
      </c>
      <c r="R6583">
        <v>5.3949280000000002E-2</v>
      </c>
      <c r="S6583">
        <v>3.020721</v>
      </c>
      <c r="T6583">
        <v>0.27084780000000003</v>
      </c>
      <c r="U6583">
        <v>-0.18209839999999999</v>
      </c>
      <c r="V6583">
        <v>-5.8135439999999997E-2</v>
      </c>
      <c r="W6583">
        <v>0.21208569999999999</v>
      </c>
      <c r="X6583">
        <v>0.97552030000000001</v>
      </c>
      <c r="Y6583">
        <v>5.5728479999999997E-2</v>
      </c>
      <c r="Z6583">
        <v>1.672399E-3</v>
      </c>
      <c r="AA6583">
        <v>0.99844460000000002</v>
      </c>
      <c r="AB6583">
        <v>27</v>
      </c>
      <c r="AC6583">
        <v>74.232900000000001</v>
      </c>
      <c r="AD6583">
        <v>6.6697059999999997</v>
      </c>
      <c r="AE6583">
        <v>-4.48355999999999</v>
      </c>
      <c r="AF6583">
        <v>4.1320960913519498</v>
      </c>
      <c r="AG6583">
        <v>6.6697059999999997</v>
      </c>
      <c r="AH6583">
        <v>73.658968299734894</v>
      </c>
      <c r="AI6583">
        <v>84.834143042023499</v>
      </c>
      <c r="AJ6583">
        <v>86.789205829014904</v>
      </c>
      <c r="AK6583">
        <v>74.075655968853596</v>
      </c>
      <c r="AL6583">
        <v>77.7553919002562</v>
      </c>
      <c r="AM6583">
        <v>93.410467734655597</v>
      </c>
      <c r="AN6583">
        <v>0.99999996462028595</v>
      </c>
    </row>
    <row r="6584" spans="1:40" x14ac:dyDescent="0.25">
      <c r="A6584" t="str">
        <f>"20190304154925831"</f>
        <v>20190304154925831</v>
      </c>
      <c r="B6584" t="str">
        <f>"1551685765823515"</f>
        <v>1551685765823515</v>
      </c>
      <c r="C6584" t="s">
        <v>40</v>
      </c>
      <c r="D6584">
        <v>3.9765190000000001</v>
      </c>
      <c r="E6584">
        <v>0.53418489999999996</v>
      </c>
      <c r="F6584" t="s">
        <v>87</v>
      </c>
      <c r="G6584">
        <v>-274.49669999999998</v>
      </c>
      <c r="H6584">
        <v>5.9583899999999996</v>
      </c>
      <c r="I6584">
        <v>12.659560000000001</v>
      </c>
      <c r="J6584">
        <v>-348.50360000000001</v>
      </c>
      <c r="K6584">
        <v>1.1110960000000001</v>
      </c>
      <c r="L6584">
        <v>16.834320000000002</v>
      </c>
      <c r="M6584">
        <v>0.99989890000000003</v>
      </c>
      <c r="N6584">
        <v>-1.355545E-2</v>
      </c>
      <c r="O6584">
        <v>-4.2859170000000002E-3</v>
      </c>
      <c r="P6584">
        <v>0.97854890000000005</v>
      </c>
      <c r="Q6584">
        <v>0.1987738</v>
      </c>
      <c r="R6584">
        <v>5.4138209999999999E-2</v>
      </c>
      <c r="S6584">
        <v>3.0348820000000001</v>
      </c>
      <c r="T6584">
        <v>0.1981735</v>
      </c>
      <c r="U6584">
        <v>-0.17071529999999999</v>
      </c>
      <c r="V6584">
        <v>-5.8323760000000002E-2</v>
      </c>
      <c r="W6584">
        <v>0.21201909999999999</v>
      </c>
      <c r="X6584">
        <v>0.97552360000000005</v>
      </c>
      <c r="Y6584">
        <v>5.1808439999999997E-2</v>
      </c>
      <c r="Z6584">
        <v>9.9932899999999997E-4</v>
      </c>
      <c r="AA6584">
        <v>0.99865649999999995</v>
      </c>
      <c r="AB6584">
        <v>27</v>
      </c>
      <c r="AC6584">
        <v>74.006900000000002</v>
      </c>
      <c r="AD6584">
        <v>4.8472939999999998</v>
      </c>
      <c r="AE6584">
        <v>-4.17476</v>
      </c>
      <c r="AF6584">
        <v>3.8410792149240298</v>
      </c>
      <c r="AG6584">
        <v>4.8472939999999998</v>
      </c>
      <c r="AH6584">
        <v>73.708908463350198</v>
      </c>
      <c r="AI6584">
        <v>86.242578482154499</v>
      </c>
      <c r="AJ6584">
        <v>87.016931308327798</v>
      </c>
      <c r="AK6584">
        <v>73.967920989549896</v>
      </c>
      <c r="AL6584">
        <v>77.759297373605094</v>
      </c>
      <c r="AM6584">
        <v>93.421477622523994</v>
      </c>
      <c r="AN6584">
        <v>1.00000002695115</v>
      </c>
    </row>
    <row r="6585" spans="1:40" x14ac:dyDescent="0.25">
      <c r="A6585" t="str">
        <f>"20190304154925843"</f>
        <v>20190304154925843</v>
      </c>
      <c r="B6585" t="str">
        <f>"1551685765833275"</f>
        <v>1551685765833275</v>
      </c>
      <c r="C6585" t="s">
        <v>40</v>
      </c>
      <c r="D6585">
        <v>4.0261699999999996</v>
      </c>
      <c r="E6585">
        <v>0.53210550000000001</v>
      </c>
      <c r="F6585" t="s">
        <v>87</v>
      </c>
      <c r="G6585">
        <v>-274.49669999999998</v>
      </c>
      <c r="H6585">
        <v>4.2786</v>
      </c>
      <c r="I6585">
        <v>13.99797</v>
      </c>
      <c r="J6585">
        <v>-348.36380000000003</v>
      </c>
      <c r="K6585">
        <v>1.1111009999999999</v>
      </c>
      <c r="L6585">
        <v>16.83371</v>
      </c>
      <c r="M6585">
        <v>0.99989870000000003</v>
      </c>
      <c r="N6585">
        <v>-1.3573730000000001E-2</v>
      </c>
      <c r="O6585">
        <v>-4.2856830000000002E-3</v>
      </c>
      <c r="P6585">
        <v>0.97866189999999997</v>
      </c>
      <c r="Q6585">
        <v>0.19813910000000001</v>
      </c>
      <c r="R6585">
        <v>5.4423319999999997E-2</v>
      </c>
      <c r="S6585">
        <v>3.0457459999999998</v>
      </c>
      <c r="T6585">
        <v>0.13035849999999999</v>
      </c>
      <c r="U6585">
        <v>-0.11672970000000001</v>
      </c>
      <c r="V6585">
        <v>-5.860945E-2</v>
      </c>
      <c r="W6585">
        <v>0.21140390000000001</v>
      </c>
      <c r="X6585">
        <v>0.9756399</v>
      </c>
      <c r="Y6585">
        <v>3.3999699999999897E-2</v>
      </c>
      <c r="Z6585">
        <v>2.5468559999999998E-4</v>
      </c>
      <c r="AA6585">
        <v>0.99942180000000003</v>
      </c>
      <c r="AB6585">
        <v>27</v>
      </c>
      <c r="AC6585">
        <v>73.867099999999994</v>
      </c>
      <c r="AD6585">
        <v>3.1674989999999998</v>
      </c>
      <c r="AE6585">
        <v>-2.8357399999999902</v>
      </c>
      <c r="AF6585">
        <v>2.5144970000178799</v>
      </c>
      <c r="AG6585">
        <v>3.1674989999999998</v>
      </c>
      <c r="AH6585">
        <v>73.743177434859803</v>
      </c>
      <c r="AI6585">
        <v>87.541906584517903</v>
      </c>
      <c r="AJ6585">
        <v>88.047083485613697</v>
      </c>
      <c r="AK6585">
        <v>73.853990841845004</v>
      </c>
      <c r="AL6585">
        <v>77.795362262000793</v>
      </c>
      <c r="AM6585">
        <v>93.437788236129705</v>
      </c>
      <c r="AN6585">
        <v>0.99999994551825899</v>
      </c>
    </row>
    <row r="6586" spans="1:40" x14ac:dyDescent="0.25">
      <c r="A6586" t="str">
        <f>"20190304154925856"</f>
        <v>20190304154925856</v>
      </c>
      <c r="B6586" t="str">
        <f>"1551685765844011"</f>
        <v>1551685765844011</v>
      </c>
      <c r="C6586" t="s">
        <v>40</v>
      </c>
      <c r="D6586">
        <v>4.0110989999999997</v>
      </c>
      <c r="E6586">
        <v>0.53061899999999995</v>
      </c>
      <c r="F6586" t="s">
        <v>87</v>
      </c>
      <c r="G6586">
        <v>-274.15660000000003</v>
      </c>
      <c r="H6586">
        <v>3.8000569999999998</v>
      </c>
      <c r="I6586">
        <v>14.40681</v>
      </c>
      <c r="J6586">
        <v>-348.20760000000001</v>
      </c>
      <c r="K6586">
        <v>1.111103</v>
      </c>
      <c r="L6586">
        <v>16.83304</v>
      </c>
      <c r="M6586">
        <v>0.99989839999999997</v>
      </c>
      <c r="N6586">
        <v>-1.359351E-2</v>
      </c>
      <c r="O6586">
        <v>-4.2854590000000001E-3</v>
      </c>
      <c r="P6586">
        <v>0.9787344</v>
      </c>
      <c r="Q6586">
        <v>0.19772429999999999</v>
      </c>
      <c r="R6586">
        <v>5.4630289999999998E-2</v>
      </c>
      <c r="S6586">
        <v>3.0485530000000001</v>
      </c>
      <c r="T6586">
        <v>0.1104668</v>
      </c>
      <c r="U6586">
        <v>-9.9700929999999993E-2</v>
      </c>
      <c r="V6586">
        <v>-5.8816489999999999E-2</v>
      </c>
      <c r="W6586">
        <v>0.21100959999999999</v>
      </c>
      <c r="X6586">
        <v>0.97571280000000005</v>
      </c>
      <c r="Y6586">
        <v>2.8396689999999999E-2</v>
      </c>
      <c r="Z6586">
        <v>1.07669E-4</v>
      </c>
      <c r="AA6586">
        <v>0.9995967</v>
      </c>
      <c r="AB6586">
        <v>27</v>
      </c>
      <c r="AC6586">
        <v>74.050999999999902</v>
      </c>
      <c r="AD6586">
        <v>2.6889539999999998</v>
      </c>
      <c r="AE6586">
        <v>-2.4262299999999999</v>
      </c>
      <c r="AF6586">
        <v>2.1060618390013999</v>
      </c>
      <c r="AG6586">
        <v>2.6889539999999998</v>
      </c>
      <c r="AH6586">
        <v>73.963296778321805</v>
      </c>
      <c r="AI6586">
        <v>87.918757516096207</v>
      </c>
      <c r="AJ6586">
        <v>88.368976728728796</v>
      </c>
      <c r="AK6586">
        <v>74.042118016720195</v>
      </c>
      <c r="AL6586">
        <v>77.818475437349406</v>
      </c>
      <c r="AM6586">
        <v>93.449645931966799</v>
      </c>
      <c r="AN6586">
        <v>0.99999994943595805</v>
      </c>
    </row>
    <row r="6587" spans="1:40" x14ac:dyDescent="0.25">
      <c r="A6587" t="str">
        <f>"20190304154925867"</f>
        <v>20190304154925867</v>
      </c>
      <c r="B6587" t="str">
        <f>"1551685765863531"</f>
        <v>1551685765863531</v>
      </c>
      <c r="C6587" t="s">
        <v>40</v>
      </c>
      <c r="D6587">
        <v>4.0012369999999997</v>
      </c>
      <c r="E6587">
        <v>0.52871569999999901</v>
      </c>
      <c r="F6587" t="s">
        <v>87</v>
      </c>
      <c r="G6587">
        <v>-274.15660000000003</v>
      </c>
      <c r="H6587">
        <v>3.4561579999999998</v>
      </c>
      <c r="I6587">
        <v>14.707689999999999</v>
      </c>
      <c r="J6587">
        <v>-348.06529999999998</v>
      </c>
      <c r="K6587">
        <v>1.1111070000000001</v>
      </c>
      <c r="L6587">
        <v>16.832429999999999</v>
      </c>
      <c r="M6587">
        <v>0.99989810000000001</v>
      </c>
      <c r="N6587">
        <v>-1.361044E-2</v>
      </c>
      <c r="O6587">
        <v>-4.285456E-3</v>
      </c>
      <c r="P6587">
        <v>0.97879020000000005</v>
      </c>
      <c r="Q6587">
        <v>0.1973964</v>
      </c>
      <c r="R6587">
        <v>5.4812989999999999E-2</v>
      </c>
      <c r="S6587">
        <v>3.0505680000000002</v>
      </c>
      <c r="T6587">
        <v>9.6605780000000002E-2</v>
      </c>
      <c r="U6587">
        <v>-8.7554930000000003E-2</v>
      </c>
      <c r="V6587">
        <v>-5.899919E-2</v>
      </c>
      <c r="W6587">
        <v>0.21069869999999999</v>
      </c>
      <c r="X6587">
        <v>0.975769</v>
      </c>
      <c r="Y6587">
        <v>2.4402449999999999E-2</v>
      </c>
      <c r="Z6587" s="1">
        <v>2.6138210000000001E-5</v>
      </c>
      <c r="AA6587">
        <v>0.99970219999999999</v>
      </c>
      <c r="AB6587">
        <v>27</v>
      </c>
      <c r="AC6587">
        <v>73.908699999999897</v>
      </c>
      <c r="AD6587">
        <v>2.34505099999999</v>
      </c>
      <c r="AE6587">
        <v>-2.1247399999999899</v>
      </c>
      <c r="AF6587">
        <v>1.8061418372582401</v>
      </c>
      <c r="AG6587">
        <v>2.34505099999999</v>
      </c>
      <c r="AH6587">
        <v>73.842849023661799</v>
      </c>
      <c r="AI6587">
        <v>88.181594396009501</v>
      </c>
      <c r="AJ6587">
        <v>88.598866693809697</v>
      </c>
      <c r="AK6587">
        <v>73.902149931245006</v>
      </c>
      <c r="AL6587">
        <v>77.836698943343293</v>
      </c>
      <c r="AM6587">
        <v>93.460136656526004</v>
      </c>
      <c r="AN6587">
        <v>0.99999999398167305</v>
      </c>
    </row>
    <row r="6588" spans="1:40" x14ac:dyDescent="0.25">
      <c r="A6588" t="str">
        <f>"20190304154925878"</f>
        <v>20190304154925878</v>
      </c>
      <c r="B6588" t="str">
        <f>"1551685765873292"</f>
        <v>1551685765873292</v>
      </c>
      <c r="C6588" t="s">
        <v>40</v>
      </c>
      <c r="D6588">
        <v>3.9781439999999999</v>
      </c>
      <c r="E6588">
        <v>0.52815690000000004</v>
      </c>
      <c r="F6588" t="s">
        <v>87</v>
      </c>
      <c r="G6588">
        <v>-274.15660000000003</v>
      </c>
      <c r="H6588">
        <v>2.949538</v>
      </c>
      <c r="I6588">
        <v>15.08267</v>
      </c>
      <c r="J6588">
        <v>-347.93759999999997</v>
      </c>
      <c r="K6588">
        <v>1.1111089999999999</v>
      </c>
      <c r="L6588">
        <v>16.831879999999899</v>
      </c>
      <c r="M6588">
        <v>0.99989810000000001</v>
      </c>
      <c r="N6588">
        <v>-1.362472E-2</v>
      </c>
      <c r="O6588">
        <v>-4.2853140000000001E-3</v>
      </c>
      <c r="P6588">
        <v>0.97877720000000001</v>
      </c>
      <c r="Q6588">
        <v>0.19739370000000001</v>
      </c>
      <c r="R6588">
        <v>5.5058860000000001E-2</v>
      </c>
      <c r="S6588">
        <v>3.053741</v>
      </c>
      <c r="T6588">
        <v>7.595992E-2</v>
      </c>
      <c r="U6588">
        <v>-7.2296139999999995E-2</v>
      </c>
      <c r="V6588">
        <v>-5.9245640000000002E-2</v>
      </c>
      <c r="W6588">
        <v>0.21070990000000001</v>
      </c>
      <c r="X6588">
        <v>0.97575160000000005</v>
      </c>
      <c r="Y6588">
        <v>1.938372E-2</v>
      </c>
      <c r="Z6588" s="1">
        <v>-5.600389E-5</v>
      </c>
      <c r="AA6588">
        <v>0.99981209999999998</v>
      </c>
      <c r="AB6588">
        <v>27</v>
      </c>
      <c r="AC6588">
        <v>73.780999999999906</v>
      </c>
      <c r="AD6588">
        <v>1.8384290000000001</v>
      </c>
      <c r="AE6588">
        <v>-1.7492099999999899</v>
      </c>
      <c r="AF6588">
        <v>1.4321012086795899</v>
      </c>
      <c r="AG6588">
        <v>1.8384290000000001</v>
      </c>
      <c r="AH6588">
        <v>73.742060094523794</v>
      </c>
      <c r="AI6588">
        <v>88.572150517533998</v>
      </c>
      <c r="AJ6588">
        <v>88.887432195667301</v>
      </c>
      <c r="AK6588">
        <v>73.778873412680298</v>
      </c>
      <c r="AL6588">
        <v>77.836041905067404</v>
      </c>
      <c r="AM6588">
        <v>93.474616728149101</v>
      </c>
      <c r="AN6588">
        <v>0.99999994635978795</v>
      </c>
    </row>
    <row r="6589" spans="1:40" x14ac:dyDescent="0.25">
      <c r="A6589" t="str">
        <f>"20190304154925889"</f>
        <v>20190304154925889</v>
      </c>
      <c r="B6589" t="str">
        <f>"1551685765884027"</f>
        <v>1551685765884027</v>
      </c>
      <c r="C6589" t="s">
        <v>40</v>
      </c>
      <c r="D6589">
        <v>3.9695680000000002</v>
      </c>
      <c r="E6589">
        <v>0.52779370000000003</v>
      </c>
      <c r="F6589" t="s">
        <v>87</v>
      </c>
      <c r="G6589">
        <v>-274.15660000000003</v>
      </c>
      <c r="H6589">
        <v>2.7636970000000001</v>
      </c>
      <c r="I6589">
        <v>15.20524</v>
      </c>
      <c r="J6589">
        <v>-347.79570000000001</v>
      </c>
      <c r="K6589">
        <v>1.111113</v>
      </c>
      <c r="L6589">
        <v>16.83127</v>
      </c>
      <c r="M6589">
        <v>0.99989790000000001</v>
      </c>
      <c r="N6589">
        <v>-1.3639989999999999E-2</v>
      </c>
      <c r="O6589">
        <v>-4.2852979999999999E-3</v>
      </c>
      <c r="P6589">
        <v>0.97875780000000001</v>
      </c>
      <c r="Q6589">
        <v>0.19741</v>
      </c>
      <c r="R6589">
        <v>5.5341139999999997E-2</v>
      </c>
      <c r="S6589">
        <v>3.0549620000000002</v>
      </c>
      <c r="T6589">
        <v>6.8426849999999997E-2</v>
      </c>
      <c r="U6589">
        <v>-6.7352289999999995E-2</v>
      </c>
      <c r="V6589">
        <v>-5.9527179999999999E-2</v>
      </c>
      <c r="W6589">
        <v>0.21074109999999999</v>
      </c>
      <c r="X6589">
        <v>0.97572780000000003</v>
      </c>
      <c r="Y6589">
        <v>1.7757680000000001E-2</v>
      </c>
      <c r="Z6589" s="1">
        <v>-7.6704770000000003E-5</v>
      </c>
      <c r="AA6589">
        <v>0.99984229999999996</v>
      </c>
      <c r="AB6589">
        <v>27</v>
      </c>
      <c r="AC6589">
        <v>73.6390999999999</v>
      </c>
      <c r="AD6589">
        <v>1.6525840000000001</v>
      </c>
      <c r="AE6589">
        <v>-1.6260299999999901</v>
      </c>
      <c r="AF6589">
        <v>1.30976094374499</v>
      </c>
      <c r="AG6589">
        <v>1.6525840000000001</v>
      </c>
      <c r="AH6589">
        <v>73.6083392176985</v>
      </c>
      <c r="AI6589">
        <v>88.714069531718806</v>
      </c>
      <c r="AJ6589">
        <v>88.980606591848598</v>
      </c>
      <c r="AK6589">
        <v>73.638536853977399</v>
      </c>
      <c r="AL6589">
        <v>77.834214099285006</v>
      </c>
      <c r="AM6589">
        <v>93.491172587006702</v>
      </c>
      <c r="AN6589">
        <v>1.0000000180404001</v>
      </c>
    </row>
    <row r="6590" spans="1:40" x14ac:dyDescent="0.25">
      <c r="A6590" t="str">
        <f>"20190304154925901"</f>
        <v>20190304154925901</v>
      </c>
      <c r="B6590" t="str">
        <f>"1551685765893908"</f>
        <v>1551685765893908</v>
      </c>
      <c r="C6590" t="s">
        <v>40</v>
      </c>
      <c r="D6590">
        <v>3.9657290000000001</v>
      </c>
      <c r="E6590">
        <v>0.52739829999999999</v>
      </c>
      <c r="F6590" t="s">
        <v>87</v>
      </c>
      <c r="G6590">
        <v>-273.40989999999999</v>
      </c>
      <c r="H6590">
        <v>2.6397910000000002</v>
      </c>
      <c r="I6590">
        <v>15.27805</v>
      </c>
      <c r="J6590">
        <v>-347.65960000000001</v>
      </c>
      <c r="K6590">
        <v>1.111111</v>
      </c>
      <c r="L6590">
        <v>16.830690000000001</v>
      </c>
      <c r="M6590">
        <v>0.9998977</v>
      </c>
      <c r="N6590">
        <v>-1.365333E-2</v>
      </c>
      <c r="O6590">
        <v>-4.2850299999999996E-3</v>
      </c>
      <c r="P6590">
        <v>0.97872910000000002</v>
      </c>
      <c r="Q6590">
        <v>0.19752549999999999</v>
      </c>
      <c r="R6590">
        <v>5.5435529999999997E-2</v>
      </c>
      <c r="S6590">
        <v>3.0560610000000001</v>
      </c>
      <c r="T6590">
        <v>6.2804219999999994E-2</v>
      </c>
      <c r="U6590">
        <v>-6.3812259999999996E-2</v>
      </c>
      <c r="V6590">
        <v>-5.9621349999999997E-2</v>
      </c>
      <c r="W6590">
        <v>0.2108688</v>
      </c>
      <c r="X6590">
        <v>0.97569439999999996</v>
      </c>
      <c r="Y6590">
        <v>1.659265E-2</v>
      </c>
      <c r="Z6590" s="1">
        <v>-8.9367420000000002E-5</v>
      </c>
      <c r="AA6590">
        <v>0.99986229999999998</v>
      </c>
      <c r="AB6590">
        <v>27</v>
      </c>
      <c r="AC6590">
        <v>74.249700000000004</v>
      </c>
      <c r="AD6590">
        <v>1.52867999999999</v>
      </c>
      <c r="AE6590">
        <v>-1.55264</v>
      </c>
      <c r="AF6590">
        <v>1.2339111187579399</v>
      </c>
      <c r="AG6590">
        <v>1.52867999999999</v>
      </c>
      <c r="AH6590">
        <v>74.224223458406101</v>
      </c>
      <c r="AI6590">
        <v>88.820298385447202</v>
      </c>
      <c r="AJ6590">
        <v>89.047596802285994</v>
      </c>
      <c r="AK6590">
        <v>74.250217152509407</v>
      </c>
      <c r="AL6590">
        <v>77.826728502083299</v>
      </c>
      <c r="AM6590">
        <v>93.496801213945005</v>
      </c>
      <c r="AN6590">
        <v>0.99999995919031004</v>
      </c>
    </row>
    <row r="6591" spans="1:40" x14ac:dyDescent="0.25">
      <c r="A6591" t="str">
        <f>"20190304154925913"</f>
        <v>20190304154925913</v>
      </c>
      <c r="B6591" t="str">
        <f>"1551685765903668"</f>
        <v>1551685765903668</v>
      </c>
      <c r="C6591" t="s">
        <v>40</v>
      </c>
      <c r="D6591">
        <v>3.9717690000000001</v>
      </c>
      <c r="E6591">
        <v>0.52668019999999904</v>
      </c>
      <c r="F6591" t="s">
        <v>93</v>
      </c>
      <c r="G6591">
        <v>-276.91230000000002</v>
      </c>
      <c r="H6591">
        <v>2.4593150000000001</v>
      </c>
      <c r="I6591">
        <v>15.42794</v>
      </c>
      <c r="J6591">
        <v>-347.51639999999998</v>
      </c>
      <c r="K6591">
        <v>1.111111</v>
      </c>
      <c r="L6591">
        <v>16.830079999999999</v>
      </c>
      <c r="M6591">
        <v>0.99989760000000005</v>
      </c>
      <c r="N6591">
        <v>-1.3666910000000001E-2</v>
      </c>
      <c r="O6591">
        <v>-4.2848840000000001E-3</v>
      </c>
      <c r="P6591">
        <v>0.9787323</v>
      </c>
      <c r="Q6591">
        <v>0.19740279999999999</v>
      </c>
      <c r="R6591">
        <v>5.5820870000000002E-2</v>
      </c>
      <c r="S6591">
        <v>3.0568849999999999</v>
      </c>
      <c r="T6591">
        <v>5.8253770000000003E-2</v>
      </c>
      <c r="U6591">
        <v>-6.0607910000000001E-2</v>
      </c>
      <c r="V6591">
        <v>-6.0006619999999997E-2</v>
      </c>
      <c r="W6591">
        <v>0.2107598</v>
      </c>
      <c r="X6591">
        <v>0.97569439999999996</v>
      </c>
      <c r="Y6591">
        <v>1.553967E-2</v>
      </c>
      <c r="Z6591" s="1">
        <v>-9.8357649999999998E-5</v>
      </c>
      <c r="AA6591">
        <v>0.99987919999999997</v>
      </c>
      <c r="AB6591">
        <v>27</v>
      </c>
      <c r="AC6591">
        <v>70.604099999999903</v>
      </c>
      <c r="AD6591">
        <v>1.348204</v>
      </c>
      <c r="AE6591">
        <v>-1.4021399999999899</v>
      </c>
      <c r="AF6591">
        <v>1.09916791245164</v>
      </c>
      <c r="AG6591">
        <v>1.348204</v>
      </c>
      <c r="AH6591">
        <v>70.583733549580501</v>
      </c>
      <c r="AI6591">
        <v>88.905871906281405</v>
      </c>
      <c r="AJ6591">
        <v>89.107831377650498</v>
      </c>
      <c r="AK6591">
        <v>70.605164583928001</v>
      </c>
      <c r="AL6591">
        <v>77.833118136414598</v>
      </c>
      <c r="AM6591">
        <v>93.519340746700195</v>
      </c>
      <c r="AN6591">
        <v>1.00000002496561</v>
      </c>
    </row>
    <row r="6592" spans="1:40" x14ac:dyDescent="0.25">
      <c r="A6592" t="str">
        <f>"20190304154925924"</f>
        <v>20190304154925924</v>
      </c>
      <c r="B6592" t="str">
        <f>"1551685765913427"</f>
        <v>1551685765913427</v>
      </c>
      <c r="C6592" t="s">
        <v>40</v>
      </c>
      <c r="D6592">
        <v>4.0000289999999996</v>
      </c>
      <c r="E6592">
        <v>0.52608540000000004</v>
      </c>
      <c r="F6592" t="s">
        <v>93</v>
      </c>
      <c r="G6592">
        <v>-276.7756</v>
      </c>
      <c r="H6592">
        <v>2.3136549999999998</v>
      </c>
      <c r="I6592">
        <v>15.58248</v>
      </c>
      <c r="J6592">
        <v>-347.37819999999999</v>
      </c>
      <c r="K6592">
        <v>1.1111089999999999</v>
      </c>
      <c r="L6592">
        <v>16.829529999999998</v>
      </c>
      <c r="M6592">
        <v>0.99989740000000005</v>
      </c>
      <c r="N6592">
        <v>-1.3678589999999999E-2</v>
      </c>
      <c r="O6592">
        <v>-4.2848440000000003E-3</v>
      </c>
      <c r="P6592">
        <v>0.97873589999999999</v>
      </c>
      <c r="Q6592">
        <v>0.19729459999999999</v>
      </c>
      <c r="R6592">
        <v>5.6132130000000002E-2</v>
      </c>
      <c r="S6592">
        <v>3.0577700000000001</v>
      </c>
      <c r="T6592">
        <v>5.1979900000000002E-2</v>
      </c>
      <c r="U6592">
        <v>-5.3924560000000003E-2</v>
      </c>
      <c r="V6592">
        <v>-6.031777E-2</v>
      </c>
      <c r="W6592">
        <v>0.21066280000000001</v>
      </c>
      <c r="X6592">
        <v>0.97569609999999996</v>
      </c>
      <c r="Y6592">
        <v>1.3349420000000001E-2</v>
      </c>
      <c r="Z6592">
        <v>-1.092944E-4</v>
      </c>
      <c r="AA6592">
        <v>0.99991090000000005</v>
      </c>
      <c r="AB6592">
        <v>27</v>
      </c>
      <c r="AC6592">
        <v>70.602599999999995</v>
      </c>
      <c r="AD6592">
        <v>1.2025459999999899</v>
      </c>
      <c r="AE6592">
        <v>-1.24704999999999</v>
      </c>
      <c r="AF6592">
        <v>0.94421531861894004</v>
      </c>
      <c r="AG6592">
        <v>1.2025459999999899</v>
      </c>
      <c r="AH6592">
        <v>70.586824137712497</v>
      </c>
      <c r="AI6592">
        <v>89.024067383600098</v>
      </c>
      <c r="AJ6592">
        <v>89.233620056553406</v>
      </c>
      <c r="AK6592">
        <v>70.603380948070694</v>
      </c>
      <c r="AL6592">
        <v>77.838802720844399</v>
      </c>
      <c r="AM6592">
        <v>93.5375370776284</v>
      </c>
      <c r="AN6592">
        <v>0.99999996411840997</v>
      </c>
    </row>
    <row r="6593" spans="1:40" x14ac:dyDescent="0.25">
      <c r="A6593" t="str">
        <f>"20190304154925935"</f>
        <v>20190304154925935</v>
      </c>
      <c r="B6593" t="str">
        <f>"1551685765924164"</f>
        <v>1551685765924164</v>
      </c>
      <c r="C6593" t="s">
        <v>40</v>
      </c>
      <c r="D6593">
        <v>3.979549</v>
      </c>
      <c r="E6593">
        <v>0.52545600000000003</v>
      </c>
      <c r="F6593" t="s">
        <v>93</v>
      </c>
      <c r="G6593">
        <v>-276.8981</v>
      </c>
      <c r="H6593">
        <v>2.1709230000000002</v>
      </c>
      <c r="I6593">
        <v>15.710679999999901</v>
      </c>
      <c r="J6593">
        <v>-347.24950000000001</v>
      </c>
      <c r="K6593">
        <v>1.111113</v>
      </c>
      <c r="L6593">
        <v>16.828979999999898</v>
      </c>
      <c r="M6593">
        <v>0.99989720000000004</v>
      </c>
      <c r="N6593">
        <v>-1.368895E-2</v>
      </c>
      <c r="O6593">
        <v>-4.2845579999999999E-3</v>
      </c>
      <c r="P6593">
        <v>0.9787903</v>
      </c>
      <c r="Q6593">
        <v>0.19691739999999999</v>
      </c>
      <c r="R6593">
        <v>5.6506519999999998E-2</v>
      </c>
      <c r="S6593">
        <v>3.058716</v>
      </c>
      <c r="T6593">
        <v>4.599404E-2</v>
      </c>
      <c r="U6593">
        <v>-4.8553470000000001E-2</v>
      </c>
      <c r="V6593">
        <v>-6.0692059999999999E-2</v>
      </c>
      <c r="W6593">
        <v>0.21029690000000001</v>
      </c>
      <c r="X6593">
        <v>0.97575190000000001</v>
      </c>
      <c r="Y6593">
        <v>1.1588899999999999E-2</v>
      </c>
      <c r="Z6593">
        <v>-1.152712E-4</v>
      </c>
      <c r="AA6593">
        <v>0.99993279999999995</v>
      </c>
      <c r="AB6593">
        <v>27</v>
      </c>
      <c r="AC6593">
        <v>70.351399999999998</v>
      </c>
      <c r="AD6593">
        <v>1.0598099999999999</v>
      </c>
      <c r="AE6593">
        <v>-1.1182999999999901</v>
      </c>
      <c r="AF6593">
        <v>0.81665157378406705</v>
      </c>
      <c r="AG6593">
        <v>1.0598099999999999</v>
      </c>
      <c r="AH6593">
        <v>70.339587195651703</v>
      </c>
      <c r="AI6593">
        <v>89.136845169047504</v>
      </c>
      <c r="AJ6593">
        <v>89.334818582800807</v>
      </c>
      <c r="AK6593">
        <v>70.352310863849794</v>
      </c>
      <c r="AL6593">
        <v>77.8602486042072</v>
      </c>
      <c r="AM6593">
        <v>93.559229273613994</v>
      </c>
      <c r="AN6593">
        <v>1.00000004132513</v>
      </c>
    </row>
    <row r="6594" spans="1:40" x14ac:dyDescent="0.25">
      <c r="A6594" t="str">
        <f>"20190304154925953"</f>
        <v>20190304154925953</v>
      </c>
      <c r="B6594" t="str">
        <f>"1551685765943683"</f>
        <v>1551685765943683</v>
      </c>
      <c r="C6594" t="s">
        <v>40</v>
      </c>
      <c r="D6594">
        <v>3.9882930000000001</v>
      </c>
      <c r="E6594">
        <v>0.52443359999999895</v>
      </c>
      <c r="F6594" t="s">
        <v>93</v>
      </c>
      <c r="G6594">
        <v>-276.72059999999999</v>
      </c>
      <c r="H6594">
        <v>2.033401</v>
      </c>
      <c r="I6594">
        <v>15.848190000000001</v>
      </c>
      <c r="J6594">
        <v>-347.0367</v>
      </c>
      <c r="K6594">
        <v>1.111116</v>
      </c>
      <c r="L6594">
        <v>16.828060000000001</v>
      </c>
      <c r="M6594">
        <v>0.99989700000000004</v>
      </c>
      <c r="N6594">
        <v>-1.370447E-2</v>
      </c>
      <c r="O6594">
        <v>-4.2845449999999998E-3</v>
      </c>
      <c r="P6594">
        <v>0.97883399999999998</v>
      </c>
      <c r="Q6594">
        <v>0.19652510000000001</v>
      </c>
      <c r="R6594">
        <v>5.7115220000000001E-2</v>
      </c>
      <c r="S6594">
        <v>3.0593870000000001</v>
      </c>
      <c r="T6594">
        <v>4.0006760000000002E-2</v>
      </c>
      <c r="U6594">
        <v>-4.2541500000000003E-2</v>
      </c>
      <c r="V6594">
        <v>-6.1301050000000003E-2</v>
      </c>
      <c r="W6594">
        <v>0.20991969999999999</v>
      </c>
      <c r="X6594">
        <v>0.97579499999999997</v>
      </c>
      <c r="Y6594">
        <v>9.6208089999999993E-3</v>
      </c>
      <c r="Z6594">
        <v>-1.177665E-4</v>
      </c>
      <c r="AA6594">
        <v>0.99995369999999995</v>
      </c>
      <c r="AB6594">
        <v>27</v>
      </c>
      <c r="AC6594">
        <v>70.316100000000006</v>
      </c>
      <c r="AD6594">
        <v>0.92228500000000002</v>
      </c>
      <c r="AE6594">
        <v>-0.97987000000000102</v>
      </c>
      <c r="AF6594">
        <v>0.67844354710111199</v>
      </c>
      <c r="AG6594">
        <v>0.92228500000000002</v>
      </c>
      <c r="AH6594">
        <v>70.307560037024601</v>
      </c>
      <c r="AI6594">
        <v>89.248479856507103</v>
      </c>
      <c r="AJ6594">
        <v>89.447132777716206</v>
      </c>
      <c r="AK6594">
        <v>70.316881995916503</v>
      </c>
      <c r="AL6594">
        <v>77.882353381646496</v>
      </c>
      <c r="AM6594">
        <v>93.5946913706142</v>
      </c>
      <c r="AN6594">
        <v>0.99999999060209599</v>
      </c>
    </row>
    <row r="6595" spans="1:40" x14ac:dyDescent="0.25">
      <c r="A6595" t="str">
        <f>"20190304154925964"</f>
        <v>20190304154925964</v>
      </c>
      <c r="B6595" t="str">
        <f>"1551685765954422"</f>
        <v>1551685765954422</v>
      </c>
      <c r="C6595" t="s">
        <v>40</v>
      </c>
      <c r="D6595">
        <v>3.9758629999999999</v>
      </c>
      <c r="E6595">
        <v>0.52395479999999905</v>
      </c>
      <c r="F6595" t="s">
        <v>93</v>
      </c>
      <c r="G6595">
        <v>-276.43310000000002</v>
      </c>
      <c r="H6595">
        <v>1.8084819999999999</v>
      </c>
      <c r="I6595">
        <v>16.07124</v>
      </c>
      <c r="J6595">
        <v>-346.9042</v>
      </c>
      <c r="K6595">
        <v>1.111116</v>
      </c>
      <c r="L6595">
        <v>16.827479999999898</v>
      </c>
      <c r="M6595">
        <v>0.99989680000000003</v>
      </c>
      <c r="N6595">
        <v>-1.3713110000000001E-2</v>
      </c>
      <c r="O6595">
        <v>-4.2843669999999999E-3</v>
      </c>
      <c r="P6595">
        <v>0.97888359999999996</v>
      </c>
      <c r="Q6595">
        <v>0.19619980000000001</v>
      </c>
      <c r="R6595">
        <v>5.7383900000000002E-2</v>
      </c>
      <c r="S6595">
        <v>3.06073</v>
      </c>
      <c r="T6595">
        <v>3.0231359999999999E-2</v>
      </c>
      <c r="U6595">
        <v>-3.2806399999999999E-2</v>
      </c>
      <c r="V6595">
        <v>-6.1570069999999998E-2</v>
      </c>
      <c r="W6595">
        <v>0.2096036</v>
      </c>
      <c r="X6595">
        <v>0.97584599999999999</v>
      </c>
      <c r="Y6595">
        <v>6.4345649999999997E-3</v>
      </c>
      <c r="Z6595">
        <v>-1.134109E-4</v>
      </c>
      <c r="AA6595">
        <v>0.99997930000000002</v>
      </c>
      <c r="AB6595">
        <v>27</v>
      </c>
      <c r="AC6595">
        <v>70.471099999999893</v>
      </c>
      <c r="AD6595">
        <v>0.69736599999999904</v>
      </c>
      <c r="AE6595">
        <v>-0.75623999999999802</v>
      </c>
      <c r="AF6595">
        <v>0.45423613619244102</v>
      </c>
      <c r="AG6595">
        <v>0.69736599999999904</v>
      </c>
      <c r="AH6595">
        <v>70.466793653745498</v>
      </c>
      <c r="AI6595">
        <v>89.433009618526398</v>
      </c>
      <c r="AJ6595">
        <v>89.630670679211505</v>
      </c>
      <c r="AK6595">
        <v>70.471708207229696</v>
      </c>
      <c r="AL6595">
        <v>77.9008765335889</v>
      </c>
      <c r="AM6595">
        <v>93.610236867655601</v>
      </c>
      <c r="AN6595">
        <v>0.99999997918438199</v>
      </c>
    </row>
    <row r="6596" spans="1:40" x14ac:dyDescent="0.25">
      <c r="A6596" t="str">
        <f>"20190304154925975"</f>
        <v>20190304154925975</v>
      </c>
      <c r="B6596" t="str">
        <f>"1551685765964180"</f>
        <v>1551685765964180</v>
      </c>
      <c r="C6596" t="s">
        <v>40</v>
      </c>
      <c r="D6596">
        <v>3.980451</v>
      </c>
      <c r="E6596">
        <v>0.52360280000000003</v>
      </c>
      <c r="F6596" t="s">
        <v>93</v>
      </c>
      <c r="G6596">
        <v>-276.3657</v>
      </c>
      <c r="H6596">
        <v>1.7018340000000001</v>
      </c>
      <c r="I6596">
        <v>16.179770000000001</v>
      </c>
      <c r="J6596">
        <v>-346.76330000000002</v>
      </c>
      <c r="K6596">
        <v>1.1111150000000001</v>
      </c>
      <c r="L6596">
        <v>16.82687</v>
      </c>
      <c r="M6596">
        <v>0.99989680000000003</v>
      </c>
      <c r="N6596">
        <v>-1.3721850000000001E-2</v>
      </c>
      <c r="O6596">
        <v>-4.284309E-3</v>
      </c>
      <c r="P6596">
        <v>0.97894199999999998</v>
      </c>
      <c r="Q6596">
        <v>0.19583990000000001</v>
      </c>
      <c r="R6596">
        <v>5.7616699999999903E-2</v>
      </c>
      <c r="S6596">
        <v>3.0612180000000002</v>
      </c>
      <c r="T6596">
        <v>2.563584E-2</v>
      </c>
      <c r="U6596">
        <v>-2.810669E-2</v>
      </c>
      <c r="V6596">
        <v>-6.1802830000000003E-2</v>
      </c>
      <c r="W6596">
        <v>0.20925299999999999</v>
      </c>
      <c r="X6596">
        <v>0.97590659999999896</v>
      </c>
      <c r="Y6596">
        <v>4.897691E-3</v>
      </c>
      <c r="Z6596">
        <v>-1.077625E-4</v>
      </c>
      <c r="AA6596">
        <v>0.99998799999999999</v>
      </c>
      <c r="AB6596">
        <v>27</v>
      </c>
      <c r="AC6596">
        <v>70.397599999999997</v>
      </c>
      <c r="AD6596">
        <v>0.59071899999999999</v>
      </c>
      <c r="AE6596">
        <v>-0.64709999999999801</v>
      </c>
      <c r="AF6596">
        <v>0.345436307950513</v>
      </c>
      <c r="AG6596">
        <v>0.59071899999999999</v>
      </c>
      <c r="AH6596">
        <v>70.394770215908594</v>
      </c>
      <c r="AI6596">
        <v>89.519218493096602</v>
      </c>
      <c r="AJ6596">
        <v>89.718844402587195</v>
      </c>
      <c r="AK6596">
        <v>70.398096202456898</v>
      </c>
      <c r="AL6596">
        <v>77.921420872958805</v>
      </c>
      <c r="AM6596">
        <v>93.623624308813206</v>
      </c>
      <c r="AN6596">
        <v>1.00000004986428</v>
      </c>
    </row>
    <row r="6597" spans="1:40" x14ac:dyDescent="0.25">
      <c r="A6597" t="str">
        <f>"20190304154925987"</f>
        <v>20190304154925987</v>
      </c>
      <c r="B6597" t="str">
        <f>"1551685765983700"</f>
        <v>1551685765983700</v>
      </c>
      <c r="C6597" t="s">
        <v>40</v>
      </c>
      <c r="D6597">
        <v>4.0142429999999996</v>
      </c>
      <c r="E6597">
        <v>0.52322659999999999</v>
      </c>
      <c r="F6597" t="s">
        <v>93</v>
      </c>
      <c r="G6597">
        <v>-276.31959999999998</v>
      </c>
      <c r="H6597">
        <v>1.6126370000000001</v>
      </c>
      <c r="I6597">
        <v>16.260870000000001</v>
      </c>
      <c r="J6597">
        <v>-346.6225</v>
      </c>
      <c r="K6597">
        <v>1.1111150000000001</v>
      </c>
      <c r="L6597">
        <v>16.826319999999999</v>
      </c>
      <c r="M6597">
        <v>0.99989660000000002</v>
      </c>
      <c r="N6597">
        <v>-1.372985E-2</v>
      </c>
      <c r="O6597">
        <v>-4.2840070000000003E-3</v>
      </c>
      <c r="P6597">
        <v>0.97894809999999999</v>
      </c>
      <c r="Q6597">
        <v>0.19575529999999999</v>
      </c>
      <c r="R6597">
        <v>5.7797759999999997E-2</v>
      </c>
      <c r="S6597">
        <v>3.0616460000000001</v>
      </c>
      <c r="T6597">
        <v>2.1797179999999999E-2</v>
      </c>
      <c r="U6597">
        <v>-2.4597170000000002E-2</v>
      </c>
      <c r="V6597">
        <v>-6.1983940000000001E-2</v>
      </c>
      <c r="W6597">
        <v>0.20917649999999999</v>
      </c>
      <c r="X6597">
        <v>0.97591139999999998</v>
      </c>
      <c r="Y6597">
        <v>3.7503839999999998E-3</v>
      </c>
      <c r="Z6597">
        <v>-1.017149E-4</v>
      </c>
      <c r="AA6597">
        <v>0.99999300000000002</v>
      </c>
      <c r="AB6597">
        <v>27</v>
      </c>
      <c r="AC6597">
        <v>70.302899999999994</v>
      </c>
      <c r="AD6597">
        <v>0.50152200000000002</v>
      </c>
      <c r="AE6597">
        <v>-0.56545000000000201</v>
      </c>
      <c r="AF6597">
        <v>0.26422486844023801</v>
      </c>
      <c r="AG6597">
        <v>0.50152200000000002</v>
      </c>
      <c r="AH6597">
        <v>70.301099970723399</v>
      </c>
      <c r="AI6597">
        <v>89.591266658055503</v>
      </c>
      <c r="AJ6597">
        <v>89.784656306573794</v>
      </c>
      <c r="AK6597">
        <v>70.303385382150907</v>
      </c>
      <c r="AL6597">
        <v>77.925901833818799</v>
      </c>
      <c r="AM6597">
        <v>93.634196908585594</v>
      </c>
      <c r="AN6597">
        <v>0.99999993881006499</v>
      </c>
    </row>
    <row r="6598" spans="1:40" x14ac:dyDescent="0.25">
      <c r="A6598" t="str">
        <f>"20190304154925998"</f>
        <v>20190304154925998</v>
      </c>
      <c r="B6598" t="str">
        <f>"1551685765994208"</f>
        <v>1551685765994208</v>
      </c>
      <c r="C6598" t="s">
        <v>40</v>
      </c>
      <c r="D6598">
        <v>3.9967779999999999</v>
      </c>
      <c r="E6598">
        <v>0.5229589</v>
      </c>
      <c r="F6598" t="s">
        <v>93</v>
      </c>
      <c r="G6598">
        <v>-276.26369999999997</v>
      </c>
      <c r="H6598">
        <v>1.523458</v>
      </c>
      <c r="I6598">
        <v>16.33333</v>
      </c>
      <c r="J6598">
        <v>-346.50110000000001</v>
      </c>
      <c r="K6598">
        <v>1.11112099999999</v>
      </c>
      <c r="L6598">
        <v>16.825779999999899</v>
      </c>
      <c r="M6598">
        <v>0.99989660000000002</v>
      </c>
      <c r="N6598">
        <v>-1.3736160000000001E-2</v>
      </c>
      <c r="O6598">
        <v>-4.2839310000000004E-3</v>
      </c>
      <c r="P6598">
        <v>0.97899349999999996</v>
      </c>
      <c r="Q6598">
        <v>0.19545480000000001</v>
      </c>
      <c r="R6598">
        <v>5.8044709999999999E-2</v>
      </c>
      <c r="S6598">
        <v>3.0622250000000002</v>
      </c>
      <c r="T6598">
        <v>1.7946360000000001E-2</v>
      </c>
      <c r="U6598">
        <v>-2.1453860000000002E-2</v>
      </c>
      <c r="V6598">
        <v>-6.2230389999999997E-2</v>
      </c>
      <c r="W6598">
        <v>0.2088827</v>
      </c>
      <c r="X6598">
        <v>0.97595869999999996</v>
      </c>
      <c r="Y6598">
        <v>2.7223899999999999E-3</v>
      </c>
      <c r="Z6598" s="1">
        <v>-9.467232E-5</v>
      </c>
      <c r="AA6598">
        <v>0.99999629999999995</v>
      </c>
      <c r="AB6598">
        <v>27</v>
      </c>
      <c r="AC6598">
        <v>70.237399999999994</v>
      </c>
      <c r="AD6598">
        <v>0.41233700000000001</v>
      </c>
      <c r="AE6598">
        <v>-0.492449999999998</v>
      </c>
      <c r="AF6598">
        <v>0.19151835132214801</v>
      </c>
      <c r="AG6598">
        <v>0.41233700000000001</v>
      </c>
      <c r="AH6598">
        <v>70.236444674099005</v>
      </c>
      <c r="AI6598">
        <v>89.663638859972906</v>
      </c>
      <c r="AJ6598">
        <v>89.843768202036003</v>
      </c>
      <c r="AK6598">
        <v>70.237916124684602</v>
      </c>
      <c r="AL6598">
        <v>77.943116273701804</v>
      </c>
      <c r="AM6598">
        <v>93.648431276185704</v>
      </c>
      <c r="AN6598">
        <v>0.99999999395226502</v>
      </c>
    </row>
    <row r="6599" spans="1:40" x14ac:dyDescent="0.25">
      <c r="A6599" t="str">
        <f>"20190304154926008"</f>
        <v>20190304154926008</v>
      </c>
      <c r="B6599" t="str">
        <f>"1551685766003969"</f>
        <v>1551685766003969</v>
      </c>
      <c r="C6599" t="s">
        <v>40</v>
      </c>
      <c r="D6599">
        <v>4.0005129999999998</v>
      </c>
      <c r="E6599">
        <v>0.52265059999999997</v>
      </c>
      <c r="F6599" t="s">
        <v>93</v>
      </c>
      <c r="G6599">
        <v>-276.21129999999999</v>
      </c>
      <c r="H6599">
        <v>1.4548479999999999</v>
      </c>
      <c r="I6599">
        <v>16.389340000000001</v>
      </c>
      <c r="J6599">
        <v>-346.37040000000002</v>
      </c>
      <c r="K6599">
        <v>1.1111200000000001</v>
      </c>
      <c r="L6599">
        <v>16.825229999999902</v>
      </c>
      <c r="M6599">
        <v>0.99989640000000002</v>
      </c>
      <c r="N6599">
        <v>-1.3742580000000001E-2</v>
      </c>
      <c r="O6599">
        <v>-4.2837370000000001E-3</v>
      </c>
      <c r="P6599">
        <v>0.97895580000000004</v>
      </c>
      <c r="Q6599">
        <v>0.1955617</v>
      </c>
      <c r="R6599">
        <v>5.8318549999999997E-2</v>
      </c>
      <c r="S6599">
        <v>3.0625</v>
      </c>
      <c r="T6599">
        <v>1.497602E-2</v>
      </c>
      <c r="U6599">
        <v>-1.901245E-2</v>
      </c>
      <c r="V6599">
        <v>-6.2503890000000006E-2</v>
      </c>
      <c r="W6599">
        <v>0.20899509999999999</v>
      </c>
      <c r="X6599">
        <v>0.97591719999999904</v>
      </c>
      <c r="Y6599">
        <v>1.924697E-3</v>
      </c>
      <c r="Z6599" s="1">
        <v>-8.8338219999999995E-5</v>
      </c>
      <c r="AA6599">
        <v>0.99999819999999995</v>
      </c>
      <c r="AB6599">
        <v>27</v>
      </c>
      <c r="AC6599">
        <v>70.159099999999995</v>
      </c>
      <c r="AD6599">
        <v>0.34372799999999898</v>
      </c>
      <c r="AE6599">
        <v>-0.435889999999997</v>
      </c>
      <c r="AF6599">
        <v>0.13531123843700499</v>
      </c>
      <c r="AG6599">
        <v>0.34372799999999898</v>
      </c>
      <c r="AH6599">
        <v>70.158639627646707</v>
      </c>
      <c r="AI6599">
        <v>89.719293737641607</v>
      </c>
      <c r="AJ6599">
        <v>89.889496813055302</v>
      </c>
      <c r="AK6599">
        <v>70.159612117451402</v>
      </c>
      <c r="AL6599">
        <v>77.936531378431695</v>
      </c>
      <c r="AM6599">
        <v>93.664577788331101</v>
      </c>
      <c r="AN6599">
        <v>1.00000003467249</v>
      </c>
    </row>
    <row r="6600" spans="1:40" x14ac:dyDescent="0.25">
      <c r="A6600" t="str">
        <f>"20190304154926021"</f>
        <v>20190304154926021</v>
      </c>
      <c r="B6600" t="str">
        <f>"1551685766013729"</f>
        <v>1551685766013729</v>
      </c>
      <c r="C6600" t="s">
        <v>40</v>
      </c>
      <c r="D6600">
        <v>3.915797</v>
      </c>
      <c r="E6600">
        <v>0.52300020000000003</v>
      </c>
      <c r="F6600" t="s">
        <v>93</v>
      </c>
      <c r="G6600">
        <v>-276.1628</v>
      </c>
      <c r="H6600">
        <v>1.415389</v>
      </c>
      <c r="I6600">
        <v>16.454409999999999</v>
      </c>
      <c r="J6600">
        <v>-346.23180000000002</v>
      </c>
      <c r="K6600">
        <v>1.1111200000000001</v>
      </c>
      <c r="L6600">
        <v>16.824649999999998</v>
      </c>
      <c r="M6600">
        <v>0.99989629999999996</v>
      </c>
      <c r="N6600">
        <v>-1.3748659999999999E-2</v>
      </c>
      <c r="O6600">
        <v>-4.2836590000000004E-3</v>
      </c>
      <c r="P6600">
        <v>0.9789447</v>
      </c>
      <c r="Q6600">
        <v>0.19552900000000001</v>
      </c>
      <c r="R6600">
        <v>5.8615519999999997E-2</v>
      </c>
      <c r="S6600">
        <v>3.0628359999999999</v>
      </c>
      <c r="T6600">
        <v>1.327384E-2</v>
      </c>
      <c r="U6600">
        <v>-1.6174319999999999E-2</v>
      </c>
      <c r="V6600">
        <v>-6.280115E-2</v>
      </c>
      <c r="W6600">
        <v>0.2089685</v>
      </c>
      <c r="X6600">
        <v>0.97590370000000004</v>
      </c>
      <c r="Y6600">
        <v>9.9742610000000008E-4</v>
      </c>
      <c r="Z6600" s="1">
        <v>-8.2156059999999995E-5</v>
      </c>
      <c r="AA6600">
        <v>0.99999950000000004</v>
      </c>
      <c r="AB6600">
        <v>27</v>
      </c>
      <c r="AC6600">
        <v>70.069000000000003</v>
      </c>
      <c r="AD6600">
        <v>0.30426899999999901</v>
      </c>
      <c r="AE6600">
        <v>-0.37023999999999802</v>
      </c>
      <c r="AF6600">
        <v>7.00552047130195E-2</v>
      </c>
      <c r="AG6600">
        <v>0.30426899999999901</v>
      </c>
      <c r="AH6600">
        <v>70.068621913907407</v>
      </c>
      <c r="AI6600">
        <v>89.751198028881305</v>
      </c>
      <c r="AJ6600">
        <v>89.942715210947497</v>
      </c>
      <c r="AK6600">
        <v>70.069317566750797</v>
      </c>
      <c r="AL6600">
        <v>77.938088515976006</v>
      </c>
      <c r="AM6600">
        <v>93.682008986528899</v>
      </c>
      <c r="AN6600">
        <v>0.999999925053628</v>
      </c>
    </row>
    <row r="6601" spans="1:40" x14ac:dyDescent="0.25">
      <c r="A6601" t="str">
        <f>"20190304154926034"</f>
        <v>20190304154926034</v>
      </c>
      <c r="B6601" t="str">
        <f>"1551685766023488"</f>
        <v>1551685766023488</v>
      </c>
      <c r="C6601" t="s">
        <v>40</v>
      </c>
      <c r="D6601">
        <v>3.7898299999999998</v>
      </c>
      <c r="E6601">
        <v>0.52335200000000004</v>
      </c>
      <c r="F6601" t="s">
        <v>93</v>
      </c>
      <c r="G6601">
        <v>-276.18709999999999</v>
      </c>
      <c r="H6601">
        <v>1.413869</v>
      </c>
      <c r="I6601">
        <v>16.401669999999999</v>
      </c>
      <c r="J6601">
        <v>-346.07859999999999</v>
      </c>
      <c r="K6601">
        <v>1.1111200000000001</v>
      </c>
      <c r="L6601">
        <v>16.823969999999999</v>
      </c>
      <c r="M6601">
        <v>0.99989629999999996</v>
      </c>
      <c r="N6601">
        <v>-1.375501E-2</v>
      </c>
      <c r="O6601">
        <v>-4.2833439999999997E-3</v>
      </c>
      <c r="P6601">
        <v>0.97897449999999997</v>
      </c>
      <c r="Q6601">
        <v>0.19539319999999999</v>
      </c>
      <c r="R6601">
        <v>5.8571140000000001E-2</v>
      </c>
      <c r="S6601">
        <v>3.0630190000000002</v>
      </c>
      <c r="T6601">
        <v>1.3239030000000001E-2</v>
      </c>
      <c r="U6601">
        <v>-1.849365E-2</v>
      </c>
      <c r="V6601">
        <v>-6.275638E-2</v>
      </c>
      <c r="W6601">
        <v>0.20883940000000001</v>
      </c>
      <c r="X6601">
        <v>0.97593430000000003</v>
      </c>
      <c r="Y6601">
        <v>1.754619E-3</v>
      </c>
      <c r="Z6601" s="1">
        <v>-8.5708149999999997E-5</v>
      </c>
      <c r="AA6601">
        <v>0.99999850000000001</v>
      </c>
      <c r="AB6601">
        <v>27</v>
      </c>
      <c r="AC6601">
        <v>69.891499999999994</v>
      </c>
      <c r="AD6601">
        <v>0.30274899999999899</v>
      </c>
      <c r="AE6601">
        <v>-0.42229999999999901</v>
      </c>
      <c r="AF6601">
        <v>0.122896181470408</v>
      </c>
      <c r="AG6601">
        <v>0.30274899999999899</v>
      </c>
      <c r="AH6601">
        <v>69.8913563848471</v>
      </c>
      <c r="AI6601">
        <v>89.751813306524298</v>
      </c>
      <c r="AJ6601">
        <v>89.899251844239998</v>
      </c>
      <c r="AK6601">
        <v>69.892120140557495</v>
      </c>
      <c r="AL6601">
        <v>77.945653303252698</v>
      </c>
      <c r="AM6601">
        <v>93.679276301583499</v>
      </c>
      <c r="AN6601">
        <v>1.00000000806977</v>
      </c>
    </row>
    <row r="6602" spans="1:40" x14ac:dyDescent="0.25">
      <c r="A6602" t="str">
        <f>"20190304154926046"</f>
        <v>20190304154926046</v>
      </c>
      <c r="B6602" t="str">
        <f>"1551685766034224"</f>
        <v>1551685766034224</v>
      </c>
      <c r="C6602" t="s">
        <v>40</v>
      </c>
      <c r="D6602">
        <v>4.0244470000000003</v>
      </c>
      <c r="E6602">
        <v>0.52315959999999995</v>
      </c>
      <c r="F6602" t="s">
        <v>90</v>
      </c>
      <c r="G6602">
        <v>-279.68</v>
      </c>
      <c r="H6602">
        <v>1.343067</v>
      </c>
      <c r="I6602">
        <v>16.35304</v>
      </c>
      <c r="J6602">
        <v>-345.91419999999999</v>
      </c>
      <c r="K6602">
        <v>1.111119</v>
      </c>
      <c r="L6602">
        <v>16.823270000000001</v>
      </c>
      <c r="M6602">
        <v>0.99989609999999995</v>
      </c>
      <c r="N6602">
        <v>-1.3760970000000001E-2</v>
      </c>
      <c r="O6602">
        <v>-4.283266E-3</v>
      </c>
      <c r="P6602">
        <v>0.97899720000000001</v>
      </c>
      <c r="Q6602">
        <v>0.1952209</v>
      </c>
      <c r="R6602">
        <v>5.8763259999999998E-2</v>
      </c>
      <c r="S6602">
        <v>3.0635680000000001</v>
      </c>
      <c r="T6602">
        <v>1.070189E-2</v>
      </c>
      <c r="U6602">
        <v>-2.1728520000000001E-2</v>
      </c>
      <c r="V6602">
        <v>-6.2948519999999994E-2</v>
      </c>
      <c r="W6602">
        <v>0.20867330000000001</v>
      </c>
      <c r="X6602">
        <v>0.97595750000000003</v>
      </c>
      <c r="Y6602">
        <v>2.8094330000000001E-3</v>
      </c>
      <c r="Z6602" s="1">
        <v>-8.8329990000000002E-5</v>
      </c>
      <c r="AA6602">
        <v>0.99999610000000005</v>
      </c>
      <c r="AB6602">
        <v>27</v>
      </c>
      <c r="AC6602">
        <v>66.234199999999902</v>
      </c>
      <c r="AD6602">
        <v>0.23194799999999999</v>
      </c>
      <c r="AE6602">
        <v>-0.47022999999999998</v>
      </c>
      <c r="AF6602">
        <v>0.18649782558516301</v>
      </c>
      <c r="AG6602">
        <v>0.23194799999999999</v>
      </c>
      <c r="AH6602">
        <v>66.234794380927497</v>
      </c>
      <c r="AI6602">
        <v>89.799357202126203</v>
      </c>
      <c r="AJ6602">
        <v>89.838672254434499</v>
      </c>
      <c r="AK6602">
        <v>66.235463069245597</v>
      </c>
      <c r="AL6602">
        <v>77.955385071455893</v>
      </c>
      <c r="AM6602">
        <v>93.690422500294005</v>
      </c>
      <c r="AN6602">
        <v>1.0000000520546599</v>
      </c>
    </row>
    <row r="6603" spans="1:40" x14ac:dyDescent="0.25">
      <c r="A6603" t="str">
        <f>"20190304154926060"</f>
        <v>20190304154926060</v>
      </c>
      <c r="B6603" t="str">
        <f>"1551685766053744"</f>
        <v>1551685766053744</v>
      </c>
      <c r="C6603" t="s">
        <v>40</v>
      </c>
      <c r="D6603">
        <v>4.0048550000000001</v>
      </c>
      <c r="E6603">
        <v>0.52294759999999996</v>
      </c>
      <c r="F6603" t="s">
        <v>90</v>
      </c>
      <c r="G6603">
        <v>-279.68</v>
      </c>
      <c r="H6603">
        <v>1.295302</v>
      </c>
      <c r="I6603">
        <v>16.392469999999999</v>
      </c>
      <c r="J6603">
        <v>-345.76119999999997</v>
      </c>
      <c r="K6603">
        <v>1.1111169999999999</v>
      </c>
      <c r="L6603">
        <v>16.82263</v>
      </c>
      <c r="M6603">
        <v>0.99989620000000001</v>
      </c>
      <c r="N6603">
        <v>-1.3765980000000001E-2</v>
      </c>
      <c r="O6603">
        <v>-4.2833000000000003E-3</v>
      </c>
      <c r="P6603">
        <v>0.97901199999999999</v>
      </c>
      <c r="Q6603">
        <v>0.19508739999999999</v>
      </c>
      <c r="R6603">
        <v>5.896233E-2</v>
      </c>
      <c r="S6603">
        <v>3.0638429999999999</v>
      </c>
      <c r="T6603">
        <v>8.5200069999999996E-3</v>
      </c>
      <c r="U6603">
        <v>-1.9927980000000001E-2</v>
      </c>
      <c r="V6603">
        <v>-6.3147620000000002E-2</v>
      </c>
      <c r="W6603">
        <v>0.2085446</v>
      </c>
      <c r="X6603">
        <v>0.97597210000000001</v>
      </c>
      <c r="Y6603">
        <v>2.2210519999999998E-3</v>
      </c>
      <c r="Z6603" s="1">
        <v>-8.3076649999999993E-5</v>
      </c>
      <c r="AA6603">
        <v>0.99999760000000004</v>
      </c>
      <c r="AB6603">
        <v>27</v>
      </c>
      <c r="AC6603">
        <v>66.081199999999896</v>
      </c>
      <c r="AD6603">
        <v>0.18418499999999999</v>
      </c>
      <c r="AE6603">
        <v>-0.43015999999999999</v>
      </c>
      <c r="AF6603">
        <v>0.14708252073254</v>
      </c>
      <c r="AG6603">
        <v>0.18418499999999999</v>
      </c>
      <c r="AH6603">
        <v>66.081923022562194</v>
      </c>
      <c r="AI6603">
        <v>89.840304742960797</v>
      </c>
      <c r="AJ6603">
        <v>89.872473539259303</v>
      </c>
      <c r="AK6603">
        <v>66.0823433886993</v>
      </c>
      <c r="AL6603">
        <v>77.962924358924397</v>
      </c>
      <c r="AM6603">
        <v>93.702007309042898</v>
      </c>
      <c r="AN6603">
        <v>1.0000000060396099</v>
      </c>
    </row>
    <row r="6604" spans="1:40" x14ac:dyDescent="0.25">
      <c r="A6604" t="str">
        <f>"20190304154926076"</f>
        <v>20190304154926076</v>
      </c>
      <c r="B6604" t="str">
        <f>"1551685766063504"</f>
        <v>1551685766063504</v>
      </c>
      <c r="C6604" t="s">
        <v>40</v>
      </c>
      <c r="D6604">
        <v>4.0512439999999996</v>
      </c>
      <c r="E6604">
        <v>0.5227946</v>
      </c>
      <c r="F6604" t="s">
        <v>90</v>
      </c>
      <c r="G6604">
        <v>-279.68</v>
      </c>
      <c r="H6604">
        <v>1.230361</v>
      </c>
      <c r="I6604">
        <v>16.435669999999998</v>
      </c>
      <c r="J6604">
        <v>-345.5763</v>
      </c>
      <c r="K6604">
        <v>1.1111089999999999</v>
      </c>
      <c r="L6604">
        <v>16.821870000000001</v>
      </c>
      <c r="M6604">
        <v>0.99989600000000001</v>
      </c>
      <c r="N6604">
        <v>-1.3771469999999999E-2</v>
      </c>
      <c r="O6604">
        <v>-4.2830990000000003E-3</v>
      </c>
      <c r="P6604">
        <v>0.97904659999999999</v>
      </c>
      <c r="Q6604">
        <v>0.19477639999999999</v>
      </c>
      <c r="R6604">
        <v>5.9413680000000003E-2</v>
      </c>
      <c r="S6604">
        <v>3.0643009999999999</v>
      </c>
      <c r="T6604">
        <v>5.5296420000000004E-3</v>
      </c>
      <c r="U6604">
        <v>-1.794434E-2</v>
      </c>
      <c r="V6604">
        <v>-6.3598600000000005E-2</v>
      </c>
      <c r="W6604">
        <v>0.20824010000000001</v>
      </c>
      <c r="X6604">
        <v>0.97600779999999998</v>
      </c>
      <c r="Y6604">
        <v>1.572883E-3</v>
      </c>
      <c r="Z6604" s="1">
        <v>-7.6127529999999994E-5</v>
      </c>
      <c r="AA6604">
        <v>0.99999870000000002</v>
      </c>
      <c r="AB6604">
        <v>27</v>
      </c>
      <c r="AC6604">
        <v>65.896299999999997</v>
      </c>
      <c r="AD6604">
        <v>0.119251999999999</v>
      </c>
      <c r="AE6604">
        <v>-0.38619999999999799</v>
      </c>
      <c r="AF6604">
        <v>0.103928973477685</v>
      </c>
      <c r="AG6604">
        <v>0.119251999999999</v>
      </c>
      <c r="AH6604">
        <v>65.897133935848601</v>
      </c>
      <c r="AI6604">
        <v>89.896313846534994</v>
      </c>
      <c r="AJ6604">
        <v>89.909636637337897</v>
      </c>
      <c r="AK6604">
        <v>65.897323794143603</v>
      </c>
      <c r="AL6604">
        <v>77.980762157865996</v>
      </c>
      <c r="AM6604">
        <v>93.728235556807405</v>
      </c>
      <c r="AN6604">
        <v>0.99999997341540403</v>
      </c>
    </row>
    <row r="6605" spans="1:40" x14ac:dyDescent="0.25">
      <c r="A6605" t="str">
        <f>"20190304154926086"</f>
        <v>20190304154926086</v>
      </c>
      <c r="B6605" t="str">
        <f>"1551685766074240"</f>
        <v>1551685766074240</v>
      </c>
      <c r="C6605" t="s">
        <v>40</v>
      </c>
      <c r="D6605">
        <v>4.0504119999999997</v>
      </c>
      <c r="E6605">
        <v>0.52263800000000005</v>
      </c>
      <c r="F6605" t="s">
        <v>90</v>
      </c>
      <c r="G6605">
        <v>-279.68</v>
      </c>
      <c r="H6605">
        <v>1.179241</v>
      </c>
      <c r="I6605">
        <v>16.490469999999998</v>
      </c>
      <c r="J6605">
        <v>-345.44260000000003</v>
      </c>
      <c r="K6605">
        <v>1.1111089999999999</v>
      </c>
      <c r="L6605">
        <v>16.821290000000001</v>
      </c>
      <c r="M6605">
        <v>0.99989609999999995</v>
      </c>
      <c r="N6605">
        <v>-1.3774969999999999E-2</v>
      </c>
      <c r="O6605">
        <v>-4.2831240000000001E-3</v>
      </c>
      <c r="P6605">
        <v>0.97911890000000001</v>
      </c>
      <c r="Q6605">
        <v>0.19434870000000001</v>
      </c>
      <c r="R6605">
        <v>5.9625200000000003E-2</v>
      </c>
      <c r="S6605">
        <v>3.0644840000000002</v>
      </c>
      <c r="T6605">
        <v>3.168583E-3</v>
      </c>
      <c r="U6605">
        <v>-1.5411380000000001E-2</v>
      </c>
      <c r="V6605">
        <v>-6.3811110000000004E-2</v>
      </c>
      <c r="W6605">
        <v>0.20781659999999999</v>
      </c>
      <c r="X6605">
        <v>0.97608419999999896</v>
      </c>
      <c r="Y6605">
        <v>7.4591869999999995E-4</v>
      </c>
      <c r="Z6605" s="1">
        <v>-6.818309E-5</v>
      </c>
      <c r="AA6605">
        <v>0.99999970000000005</v>
      </c>
      <c r="AB6605">
        <v>27</v>
      </c>
      <c r="AC6605">
        <v>65.762600000000006</v>
      </c>
      <c r="AD6605">
        <v>6.8131999999999804E-2</v>
      </c>
      <c r="AE6605">
        <v>-0.330819999999999</v>
      </c>
      <c r="AF6605">
        <v>4.91208577692843E-2</v>
      </c>
      <c r="AG6605">
        <v>6.8131999999999804E-2</v>
      </c>
      <c r="AH6605">
        <v>65.763343162052195</v>
      </c>
      <c r="AI6605">
        <v>89.940640585218205</v>
      </c>
      <c r="AJ6605">
        <v>89.957203858904904</v>
      </c>
      <c r="AK6605">
        <v>65.763396800027905</v>
      </c>
      <c r="AL6605">
        <v>78.005569734975694</v>
      </c>
      <c r="AM6605">
        <v>93.740365911256305</v>
      </c>
      <c r="AN6605">
        <v>0.99999998124231504</v>
      </c>
    </row>
    <row r="6606" spans="1:40" x14ac:dyDescent="0.25">
      <c r="A6606" t="str">
        <f>"20190304154926098"</f>
        <v>20190304154926098</v>
      </c>
      <c r="B6606" t="str">
        <f>"1551685766093760"</f>
        <v>1551685766093760</v>
      </c>
      <c r="C6606" t="s">
        <v>40</v>
      </c>
      <c r="D6606">
        <v>4.0472029999999997</v>
      </c>
      <c r="E6606">
        <v>0.5223778</v>
      </c>
      <c r="F6606" t="s">
        <v>90</v>
      </c>
      <c r="G6606">
        <v>-279.68</v>
      </c>
      <c r="H6606">
        <v>1.1204809999999901</v>
      </c>
      <c r="I6606">
        <v>16.525300000000001</v>
      </c>
      <c r="J6606">
        <v>-345.30360000000002</v>
      </c>
      <c r="K6606">
        <v>1.1111040000000001</v>
      </c>
      <c r="L6606">
        <v>16.820679999999999</v>
      </c>
      <c r="M6606">
        <v>0.99989600000000001</v>
      </c>
      <c r="N6606">
        <v>-1.377831E-2</v>
      </c>
      <c r="O6606">
        <v>-4.2830280000000004E-3</v>
      </c>
      <c r="P6606">
        <v>0.97913760000000005</v>
      </c>
      <c r="Q6606">
        <v>0.194218</v>
      </c>
      <c r="R6606">
        <v>5.9743190000000002E-2</v>
      </c>
      <c r="S6606">
        <v>3.0647280000000001</v>
      </c>
      <c r="T6606">
        <v>4.3690200000000003E-4</v>
      </c>
      <c r="U6606">
        <v>-1.3793949999999999E-2</v>
      </c>
      <c r="V6606">
        <v>-6.3928769999999996E-2</v>
      </c>
      <c r="W6606">
        <v>0.20768929999999999</v>
      </c>
      <c r="X6606">
        <v>0.97610359999999996</v>
      </c>
      <c r="Y6606">
        <v>2.1780890000000001E-4</v>
      </c>
      <c r="Z6606" s="1">
        <v>-6.1111279999999997E-5</v>
      </c>
      <c r="AA6606">
        <v>1</v>
      </c>
      <c r="AB6606">
        <v>27</v>
      </c>
      <c r="AC6606">
        <v>65.623599999999996</v>
      </c>
      <c r="AD6606">
        <v>9.3769999999997397E-3</v>
      </c>
      <c r="AE6606">
        <v>-0.29537999999999798</v>
      </c>
      <c r="AF6606">
        <v>1.42829183328128E-2</v>
      </c>
      <c r="AG6606">
        <v>9.3769999999997397E-3</v>
      </c>
      <c r="AH6606">
        <v>65.624261873535701</v>
      </c>
      <c r="AI6606">
        <v>89.991813050649597</v>
      </c>
      <c r="AJ6606">
        <v>89.987529750380205</v>
      </c>
      <c r="AK6606">
        <v>65.624264097788398</v>
      </c>
      <c r="AL6606">
        <v>78.013026228719298</v>
      </c>
      <c r="AM6606">
        <v>93.747168799393705</v>
      </c>
      <c r="AN6606">
        <v>0.999999985450581</v>
      </c>
    </row>
    <row r="6607" spans="1:40" x14ac:dyDescent="0.25">
      <c r="A6607" t="str">
        <f>"20190304154926110"</f>
        <v>20190304154926110</v>
      </c>
      <c r="B6607" t="str">
        <f>"1551685766103520"</f>
        <v>1551685766103520</v>
      </c>
      <c r="C6607" t="s">
        <v>40</v>
      </c>
      <c r="D6607">
        <v>4.0544330000000004</v>
      </c>
      <c r="E6607">
        <v>0.52225659999999996</v>
      </c>
      <c r="F6607" t="s">
        <v>90</v>
      </c>
      <c r="G6607">
        <v>-279.68</v>
      </c>
      <c r="H6607">
        <v>1.050929</v>
      </c>
      <c r="I6607">
        <v>16.575019999999999</v>
      </c>
      <c r="J6607">
        <v>-345.16480000000001</v>
      </c>
      <c r="K6607">
        <v>1.1111059999999999</v>
      </c>
      <c r="L6607">
        <v>16.8201</v>
      </c>
      <c r="M6607">
        <v>0.99989589999999995</v>
      </c>
      <c r="N6607">
        <v>-1.3781430000000001E-2</v>
      </c>
      <c r="O6607">
        <v>-4.2830500000000001E-3</v>
      </c>
      <c r="P6607">
        <v>0.97922830000000005</v>
      </c>
      <c r="Q6607">
        <v>0.1937352</v>
      </c>
      <c r="R6607">
        <v>5.9823010000000003E-2</v>
      </c>
      <c r="S6607">
        <v>3.0651860000000002</v>
      </c>
      <c r="T6607">
        <v>-2.8105970000000002E-3</v>
      </c>
      <c r="U6607">
        <v>-1.147461E-2</v>
      </c>
      <c r="V6607">
        <v>-6.400894E-2</v>
      </c>
      <c r="W6607">
        <v>0.20721120000000001</v>
      </c>
      <c r="X6607">
        <v>0.97619999999999996</v>
      </c>
      <c r="Y6607">
        <v>-5.3960049999999995E-4</v>
      </c>
      <c r="Z6607" s="1">
        <v>-5.1136479999999999E-5</v>
      </c>
      <c r="AA6607">
        <v>0.99999990000000005</v>
      </c>
      <c r="AB6607">
        <v>27</v>
      </c>
      <c r="AC6607">
        <v>65.484800000000007</v>
      </c>
      <c r="AD6607">
        <v>-6.0176999999999897E-2</v>
      </c>
      <c r="AE6607">
        <v>-0.24507999999999799</v>
      </c>
      <c r="AF6607">
        <v>-3.5423518199686303E-2</v>
      </c>
      <c r="AG6607">
        <v>-6.0176999999999897E-2</v>
      </c>
      <c r="AH6607">
        <v>65.485193730241605</v>
      </c>
      <c r="AI6607">
        <v>90.052651392664202</v>
      </c>
      <c r="AJ6607">
        <v>90.030993538764506</v>
      </c>
      <c r="AK6607">
        <v>65.4852309607612</v>
      </c>
      <c r="AL6607">
        <v>78.041029091302704</v>
      </c>
      <c r="AM6607">
        <v>93.751485092101603</v>
      </c>
      <c r="AN6607">
        <v>1.0000000329026799</v>
      </c>
    </row>
    <row r="6608" spans="1:40" x14ac:dyDescent="0.25">
      <c r="A6608" t="str">
        <f>"20190304154926122"</f>
        <v>20190304154926122</v>
      </c>
      <c r="B6608" t="str">
        <f>"1551685766114256"</f>
        <v>1551685766114256</v>
      </c>
      <c r="C6608" t="s">
        <v>40</v>
      </c>
      <c r="D6608">
        <v>4.0194679999999998</v>
      </c>
      <c r="E6608">
        <v>0.52213379999999998</v>
      </c>
      <c r="F6608" t="s">
        <v>90</v>
      </c>
      <c r="G6608">
        <v>-279.68</v>
      </c>
      <c r="H6608">
        <v>0.99065859999999994</v>
      </c>
      <c r="I6608">
        <v>16.599740000000001</v>
      </c>
      <c r="J6608">
        <v>-345.03089999999997</v>
      </c>
      <c r="K6608">
        <v>1.111105</v>
      </c>
      <c r="L6608">
        <v>16.819520000000001</v>
      </c>
      <c r="M6608">
        <v>0.99989589999999995</v>
      </c>
      <c r="N6608">
        <v>-1.378393E-2</v>
      </c>
      <c r="O6608">
        <v>-4.2828299999999996E-3</v>
      </c>
      <c r="P6608">
        <v>0.97929719999999998</v>
      </c>
      <c r="Q6608">
        <v>0.19343830000000001</v>
      </c>
      <c r="R6608">
        <v>5.9655710000000001E-2</v>
      </c>
      <c r="S6608">
        <v>3.0653380000000001</v>
      </c>
      <c r="T6608">
        <v>-5.6380029999999999E-3</v>
      </c>
      <c r="U6608">
        <v>-1.031494E-2</v>
      </c>
      <c r="V6608">
        <v>-6.3842159999999995E-2</v>
      </c>
      <c r="W6608">
        <v>0.2069173</v>
      </c>
      <c r="X6608">
        <v>0.97627319999999995</v>
      </c>
      <c r="Y6608">
        <v>-9.1791819999999995E-4</v>
      </c>
      <c r="Z6608" s="1">
        <v>-4.3989419999999997E-5</v>
      </c>
      <c r="AA6608">
        <v>0.99999959999999999</v>
      </c>
      <c r="AB6608">
        <v>27</v>
      </c>
      <c r="AC6608">
        <v>65.350899999999896</v>
      </c>
      <c r="AD6608">
        <v>-0.1204464</v>
      </c>
      <c r="AE6608">
        <v>-0.21978</v>
      </c>
      <c r="AF6608">
        <v>-6.0135178391128502E-2</v>
      </c>
      <c r="AG6608">
        <v>-0.1204464</v>
      </c>
      <c r="AH6608">
        <v>65.351019910143705</v>
      </c>
      <c r="AI6608">
        <v>90.105599876654594</v>
      </c>
      <c r="AJ6608">
        <v>90.052722833619598</v>
      </c>
      <c r="AK6608">
        <v>65.351158573287407</v>
      </c>
      <c r="AL6608">
        <v>78.058240663107895</v>
      </c>
      <c r="AM6608">
        <v>93.741458371123699</v>
      </c>
      <c r="AN6608">
        <v>0.99999997573549704</v>
      </c>
    </row>
    <row r="6609" spans="1:40" x14ac:dyDescent="0.25">
      <c r="A6609" t="str">
        <f>"20190304154926132"</f>
        <v>20190304154926132</v>
      </c>
      <c r="B6609" t="str">
        <f>"1551685766124016"</f>
        <v>1551685766124016</v>
      </c>
      <c r="C6609" t="s">
        <v>40</v>
      </c>
      <c r="D6609">
        <v>4.0517640000000004</v>
      </c>
      <c r="E6609">
        <v>0.52199110000000004</v>
      </c>
      <c r="F6609" t="s">
        <v>90</v>
      </c>
      <c r="G6609">
        <v>-279.68</v>
      </c>
      <c r="H6609">
        <v>0.94272109999999998</v>
      </c>
      <c r="I6609">
        <v>16.611339999999998</v>
      </c>
      <c r="J6609">
        <v>-344.90350000000001</v>
      </c>
      <c r="K6609">
        <v>1.1111059999999999</v>
      </c>
      <c r="L6609">
        <v>16.81897</v>
      </c>
      <c r="M6609">
        <v>0.99989589999999995</v>
      </c>
      <c r="N6609">
        <v>-1.378622E-2</v>
      </c>
      <c r="O6609">
        <v>-4.2827270000000001E-3</v>
      </c>
      <c r="P6609">
        <v>0.97938809999999998</v>
      </c>
      <c r="Q6609">
        <v>0.19304669999999999</v>
      </c>
      <c r="R6609">
        <v>5.9432039999999998E-2</v>
      </c>
      <c r="S6609">
        <v>3.065582</v>
      </c>
      <c r="T6609">
        <v>-7.8986879999999992E-3</v>
      </c>
      <c r="U6609">
        <v>-9.765625E-3</v>
      </c>
      <c r="V6609">
        <v>-6.3618439999999998E-2</v>
      </c>
      <c r="W6609">
        <v>0.20652960000000001</v>
      </c>
      <c r="X6609">
        <v>0.97636990000000001</v>
      </c>
      <c r="Y6609">
        <v>-1.097296E-3</v>
      </c>
      <c r="Z6609" s="1">
        <v>-3.903343E-5</v>
      </c>
      <c r="AA6609">
        <v>0.99999939999999998</v>
      </c>
      <c r="AB6609">
        <v>27</v>
      </c>
      <c r="AC6609">
        <v>65.223500000000001</v>
      </c>
      <c r="AD6609">
        <v>-0.168384899999999</v>
      </c>
      <c r="AE6609">
        <v>-0.20763000000000101</v>
      </c>
      <c r="AF6609">
        <v>-7.1732390151162104E-2</v>
      </c>
      <c r="AG6609">
        <v>-0.168384899999999</v>
      </c>
      <c r="AH6609">
        <v>65.223356326924204</v>
      </c>
      <c r="AI6609">
        <v>90.147918129001496</v>
      </c>
      <c r="AJ6609">
        <v>90.063013647018906</v>
      </c>
      <c r="AK6609">
        <v>65.223613128676504</v>
      </c>
      <c r="AL6609">
        <v>78.080944728092803</v>
      </c>
      <c r="AM6609">
        <v>93.728016126904194</v>
      </c>
      <c r="AN6609">
        <v>0.99999998160510095</v>
      </c>
    </row>
    <row r="6610" spans="1:40" x14ac:dyDescent="0.25">
      <c r="A6610" t="str">
        <f>"20190304154926143"</f>
        <v>20190304154926143</v>
      </c>
      <c r="B6610" t="str">
        <f>"1551685766133776"</f>
        <v>1551685766133776</v>
      </c>
      <c r="C6610" t="s">
        <v>40</v>
      </c>
      <c r="D6610">
        <v>4.0487929999999999</v>
      </c>
      <c r="E6610">
        <v>0.52187720000000004</v>
      </c>
      <c r="F6610" t="s">
        <v>90</v>
      </c>
      <c r="G6610">
        <v>-279.68</v>
      </c>
      <c r="H6610">
        <v>0.89339789999999997</v>
      </c>
      <c r="I6610">
        <v>16.61835</v>
      </c>
      <c r="J6610">
        <v>-344.76049999999998</v>
      </c>
      <c r="K6610">
        <v>1.11111</v>
      </c>
      <c r="L6610">
        <v>16.818359999999998</v>
      </c>
      <c r="M6610">
        <v>0.99989589999999995</v>
      </c>
      <c r="N6610">
        <v>-1.378833E-2</v>
      </c>
      <c r="O6610">
        <v>-4.282742E-3</v>
      </c>
      <c r="P6610">
        <v>0.97942010000000002</v>
      </c>
      <c r="Q6610">
        <v>0.19294120000000001</v>
      </c>
      <c r="R6610">
        <v>5.9247500000000002E-2</v>
      </c>
      <c r="S6610">
        <v>3.0657649999999999</v>
      </c>
      <c r="T6610">
        <v>-1.0233040000000001E-2</v>
      </c>
      <c r="U6610">
        <v>-9.4299320000000002E-3</v>
      </c>
      <c r="V6610">
        <v>-6.3434110000000002E-2</v>
      </c>
      <c r="W6610">
        <v>0.206426</v>
      </c>
      <c r="X6610">
        <v>0.97640380000000004</v>
      </c>
      <c r="Y6610">
        <v>-1.2070220000000001E-3</v>
      </c>
      <c r="Z6610" s="1">
        <v>-3.4423930000000003E-5</v>
      </c>
      <c r="AA6610">
        <v>0.99999930000000004</v>
      </c>
      <c r="AB6610">
        <v>27</v>
      </c>
      <c r="AC6610">
        <v>65.080499999999901</v>
      </c>
      <c r="AD6610">
        <v>-0.21771209999999999</v>
      </c>
      <c r="AE6610">
        <v>-0.20001000000000199</v>
      </c>
      <c r="AF6610">
        <v>-7.8740405372133296E-2</v>
      </c>
      <c r="AG6610">
        <v>-0.21771209999999999</v>
      </c>
      <c r="AH6610">
        <v>65.080031412660901</v>
      </c>
      <c r="AI6610">
        <v>90.191670602276901</v>
      </c>
      <c r="AJ6610">
        <v>90.069322196158197</v>
      </c>
      <c r="AK6610">
        <v>65.080443201340103</v>
      </c>
      <c r="AL6610">
        <v>78.087011281014</v>
      </c>
      <c r="AM6610">
        <v>93.717116090719898</v>
      </c>
      <c r="AN6610">
        <v>0.99999998022096503</v>
      </c>
    </row>
    <row r="6611" spans="1:40" x14ac:dyDescent="0.25">
      <c r="A6611" t="str">
        <f>"20190304154926155"</f>
        <v>20190304154926155</v>
      </c>
      <c r="B6611" t="str">
        <f>"1551685766143536"</f>
        <v>1551685766143536</v>
      </c>
      <c r="C6611" t="s">
        <v>40</v>
      </c>
      <c r="D6611">
        <v>4.0327109999999999</v>
      </c>
      <c r="E6611">
        <v>0.52176509999999998</v>
      </c>
      <c r="F6611" t="s">
        <v>90</v>
      </c>
      <c r="G6611">
        <v>-279.68</v>
      </c>
      <c r="H6611">
        <v>0.86125450000000003</v>
      </c>
      <c r="I6611">
        <v>16.6279</v>
      </c>
      <c r="J6611">
        <v>-344.62810000000002</v>
      </c>
      <c r="K6611">
        <v>1.111113</v>
      </c>
      <c r="L6611">
        <v>16.817810000000001</v>
      </c>
      <c r="M6611">
        <v>0.9998958</v>
      </c>
      <c r="N6611">
        <v>-1.3790149999999999E-2</v>
      </c>
      <c r="O6611">
        <v>-4.2827550000000001E-3</v>
      </c>
      <c r="P6611">
        <v>0.97942549999999995</v>
      </c>
      <c r="Q6611">
        <v>0.1930278</v>
      </c>
      <c r="R6611">
        <v>5.8875509999999999E-2</v>
      </c>
      <c r="S6611">
        <v>3.0658259999999999</v>
      </c>
      <c r="T6611">
        <v>-1.177013E-2</v>
      </c>
      <c r="U6611">
        <v>-8.9721680000000009E-3</v>
      </c>
      <c r="V6611">
        <v>-6.3062300000000002E-2</v>
      </c>
      <c r="W6611">
        <v>0.20651459999999999</v>
      </c>
      <c r="X6611">
        <v>0.97640910000000003</v>
      </c>
      <c r="Y6611">
        <v>-1.356417E-3</v>
      </c>
      <c r="Z6611" s="1">
        <v>-3.0664460000000002E-5</v>
      </c>
      <c r="AA6611">
        <v>0.99999910000000003</v>
      </c>
      <c r="AB6611">
        <v>27</v>
      </c>
      <c r="AC6611">
        <v>64.948099999999997</v>
      </c>
      <c r="AD6611">
        <v>-0.24985850000000001</v>
      </c>
      <c r="AE6611">
        <v>-0.18991000000000099</v>
      </c>
      <c r="AF6611">
        <v>-8.8273670820056299E-2</v>
      </c>
      <c r="AG6611">
        <v>-0.24985850000000001</v>
      </c>
      <c r="AH6611">
        <v>64.9473564620519</v>
      </c>
      <c r="AI6611">
        <v>90.220420883279601</v>
      </c>
      <c r="AJ6611">
        <v>90.077873926534494</v>
      </c>
      <c r="AK6611">
        <v>64.947897063105998</v>
      </c>
      <c r="AL6611">
        <v>78.081822502493495</v>
      </c>
      <c r="AM6611">
        <v>93.695369289016298</v>
      </c>
      <c r="AN6611">
        <v>0.99999993212862703</v>
      </c>
    </row>
    <row r="6612" spans="1:40" x14ac:dyDescent="0.25">
      <c r="A6612" t="str">
        <f>"20190304154926165"</f>
        <v>20190304154926165</v>
      </c>
      <c r="B6612" t="str">
        <f>"1551685766154272"</f>
        <v>1551685766154272</v>
      </c>
      <c r="C6612" t="s">
        <v>40</v>
      </c>
      <c r="D6612">
        <v>4.0325480000000002</v>
      </c>
      <c r="E6612">
        <v>0.5216712</v>
      </c>
      <c r="F6612" t="s">
        <v>90</v>
      </c>
      <c r="G6612">
        <v>-279.68</v>
      </c>
      <c r="H6612">
        <v>0.83037830000000001</v>
      </c>
      <c r="I6612">
        <v>16.623239999999999</v>
      </c>
      <c r="J6612">
        <v>-344.49939999999998</v>
      </c>
      <c r="K6612">
        <v>1.1111249999999999</v>
      </c>
      <c r="L6612">
        <v>16.817260000000001</v>
      </c>
      <c r="M6612">
        <v>0.9998958</v>
      </c>
      <c r="N6612">
        <v>-1.3791660000000001E-2</v>
      </c>
      <c r="O6612">
        <v>-4.2826469999999997E-3</v>
      </c>
      <c r="P6612">
        <v>0.97938040000000004</v>
      </c>
      <c r="Q6612">
        <v>0.19341149999999999</v>
      </c>
      <c r="R6612">
        <v>5.8365100000000003E-2</v>
      </c>
      <c r="S6612">
        <v>3.0661930000000002</v>
      </c>
      <c r="T6612">
        <v>-1.3253330000000001E-2</v>
      </c>
      <c r="U6612">
        <v>-9.1857910000000004E-3</v>
      </c>
      <c r="V6612">
        <v>-6.2551919999999997E-2</v>
      </c>
      <c r="W6612">
        <v>0.20689949999999999</v>
      </c>
      <c r="X6612">
        <v>0.97636049999999996</v>
      </c>
      <c r="Y6612">
        <v>-1.2870030000000001E-3</v>
      </c>
      <c r="Z6612" s="1">
        <v>-2.8900159999999901E-5</v>
      </c>
      <c r="AA6612">
        <v>0.99999919999999998</v>
      </c>
      <c r="AB6612">
        <v>27</v>
      </c>
      <c r="AC6612">
        <v>64.819399999999902</v>
      </c>
      <c r="AD6612">
        <v>-0.28074669999999902</v>
      </c>
      <c r="AE6612">
        <v>-0.194020000000001</v>
      </c>
      <c r="AF6612">
        <v>-8.3605202495620395E-2</v>
      </c>
      <c r="AG6612">
        <v>-0.28074669999999902</v>
      </c>
      <c r="AH6612">
        <v>64.8184205091964</v>
      </c>
      <c r="AI6612">
        <v>90.248162280538196</v>
      </c>
      <c r="AJ6612">
        <v>90.073902180186394</v>
      </c>
      <c r="AK6612">
        <v>64.819082420583996</v>
      </c>
      <c r="AL6612">
        <v>78.059283208595602</v>
      </c>
      <c r="AM6612">
        <v>93.665725512090006</v>
      </c>
      <c r="AN6612">
        <v>0.99999998587809302</v>
      </c>
    </row>
    <row r="6613" spans="1:40" x14ac:dyDescent="0.25">
      <c r="A6613" t="str">
        <f>"20190304154926177"</f>
        <v>20190304154926177</v>
      </c>
      <c r="B6613" t="str">
        <f>"1551685766173793"</f>
        <v>1551685766173793</v>
      </c>
      <c r="C6613" t="s">
        <v>40</v>
      </c>
      <c r="D6613">
        <v>3.9912580000000002</v>
      </c>
      <c r="E6613">
        <v>0.52154269999999903</v>
      </c>
      <c r="F6613" t="s">
        <v>90</v>
      </c>
      <c r="G6613">
        <v>-279.68</v>
      </c>
      <c r="H6613">
        <v>0.83896349999999997</v>
      </c>
      <c r="I6613">
        <v>16.603729999999999</v>
      </c>
      <c r="J6613">
        <v>-344.37549999999999</v>
      </c>
      <c r="K6613">
        <v>1.11113</v>
      </c>
      <c r="L6613">
        <v>16.81671</v>
      </c>
      <c r="M6613">
        <v>0.9998958</v>
      </c>
      <c r="N6613">
        <v>-1.3793E-2</v>
      </c>
      <c r="O6613">
        <v>-4.2826560000000001E-3</v>
      </c>
      <c r="P6613">
        <v>0.97927980000000003</v>
      </c>
      <c r="Q6613">
        <v>0.19397239999999999</v>
      </c>
      <c r="R6613">
        <v>5.8190230000000003E-2</v>
      </c>
      <c r="S6613">
        <v>3.0663149999999999</v>
      </c>
      <c r="T6613">
        <v>-1.28746E-2</v>
      </c>
      <c r="U6613">
        <v>-1.010132E-2</v>
      </c>
      <c r="V6613">
        <v>-6.2376279999999999E-2</v>
      </c>
      <c r="W6613">
        <v>0.20746029999999999</v>
      </c>
      <c r="X6613">
        <v>0.97625269999999997</v>
      </c>
      <c r="Y6613">
        <v>-9.8856709999999991E-4</v>
      </c>
      <c r="Z6613" s="1">
        <v>-3.2199200000000002E-5</v>
      </c>
      <c r="AA6613">
        <v>0.99999950000000004</v>
      </c>
      <c r="AB6613">
        <v>27</v>
      </c>
      <c r="AC6613">
        <v>64.695499999999896</v>
      </c>
      <c r="AD6613">
        <v>-0.27216649999999998</v>
      </c>
      <c r="AE6613">
        <v>-0.212980000000001</v>
      </c>
      <c r="AF6613">
        <v>-6.4115721993779101E-2</v>
      </c>
      <c r="AG6613">
        <v>-0.27216649999999998</v>
      </c>
      <c r="AH6613">
        <v>64.694673850556597</v>
      </c>
      <c r="AI6613">
        <v>90.241038267818496</v>
      </c>
      <c r="AJ6613">
        <v>90.056783021682094</v>
      </c>
      <c r="AK6613">
        <v>64.695278112544102</v>
      </c>
      <c r="AL6613">
        <v>78.026438740242398</v>
      </c>
      <c r="AM6613">
        <v>93.655862991355804</v>
      </c>
      <c r="AN6613">
        <v>0.99999995532000796</v>
      </c>
    </row>
    <row r="6614" spans="1:40" x14ac:dyDescent="0.25">
      <c r="A6614" t="str">
        <f>"20190304154926189"</f>
        <v>20190304154926189</v>
      </c>
      <c r="B6614" t="str">
        <f>"1551685766183552"</f>
        <v>1551685766183552</v>
      </c>
      <c r="C6614" t="s">
        <v>40</v>
      </c>
      <c r="D6614">
        <v>4.0285699999999904</v>
      </c>
      <c r="E6614">
        <v>0.52147330000000003</v>
      </c>
      <c r="F6614" t="s">
        <v>90</v>
      </c>
      <c r="G6614">
        <v>-279.68</v>
      </c>
      <c r="H6614">
        <v>0.82810159999999999</v>
      </c>
      <c r="I6614">
        <v>16.61327</v>
      </c>
      <c r="J6614">
        <v>-344.22629999999998</v>
      </c>
      <c r="K6614">
        <v>1.1111329999999999</v>
      </c>
      <c r="L6614">
        <v>16.81607</v>
      </c>
      <c r="M6614">
        <v>0.9998956</v>
      </c>
      <c r="N6614">
        <v>-1.379446E-2</v>
      </c>
      <c r="O6614">
        <v>-4.2824270000000001E-3</v>
      </c>
      <c r="P6614">
        <v>0.97919429999999996</v>
      </c>
      <c r="Q6614">
        <v>0.1945182</v>
      </c>
      <c r="R6614">
        <v>5.7802369999999999E-2</v>
      </c>
      <c r="S6614">
        <v>3.0667110000000002</v>
      </c>
      <c r="T6614">
        <v>-1.3416050000000001E-2</v>
      </c>
      <c r="U6614">
        <v>-9.6435549999999998E-3</v>
      </c>
      <c r="V6614">
        <v>-6.198766E-2</v>
      </c>
      <c r="W6614">
        <v>0.208006</v>
      </c>
      <c r="X6614">
        <v>0.97616139999999996</v>
      </c>
      <c r="Y6614">
        <v>-1.1380310000000001E-3</v>
      </c>
      <c r="Z6614" s="1">
        <v>-3.0003899999999999E-5</v>
      </c>
      <c r="AA6614">
        <v>0.99999930000000004</v>
      </c>
      <c r="AB6614">
        <v>26</v>
      </c>
      <c r="AC6614">
        <v>64.546299999999903</v>
      </c>
      <c r="AD6614">
        <v>-0.28303139999999899</v>
      </c>
      <c r="AE6614">
        <v>-0.20279999999999901</v>
      </c>
      <c r="AF6614">
        <v>-7.3641587234287306E-2</v>
      </c>
      <c r="AG6614">
        <v>-0.28303139999999899</v>
      </c>
      <c r="AH6614">
        <v>64.545335536508603</v>
      </c>
      <c r="AI6614">
        <v>90.2512403113776</v>
      </c>
      <c r="AJ6614">
        <v>90.065370336667996</v>
      </c>
      <c r="AK6614">
        <v>64.545998089558097</v>
      </c>
      <c r="AL6614">
        <v>77.994475980869495</v>
      </c>
      <c r="AM6614">
        <v>93.633486133768599</v>
      </c>
      <c r="AN6614">
        <v>1.0000000224391099</v>
      </c>
    </row>
    <row r="6615" spans="1:40" x14ac:dyDescent="0.25">
      <c r="A6615" t="str">
        <f>"20190304154926201"</f>
        <v>20190304154926201</v>
      </c>
      <c r="B6615" t="str">
        <f>"1551685766193312"</f>
        <v>1551685766193312</v>
      </c>
      <c r="C6615" t="s">
        <v>40</v>
      </c>
      <c r="D6615">
        <v>4.0347939999999998</v>
      </c>
      <c r="E6615">
        <v>0.52139990000000003</v>
      </c>
      <c r="F6615" t="s">
        <v>90</v>
      </c>
      <c r="G6615">
        <v>-279.68</v>
      </c>
      <c r="H6615">
        <v>0.85139409999999904</v>
      </c>
      <c r="I6615">
        <v>16.60154</v>
      </c>
      <c r="J6615">
        <v>-344.09059999999999</v>
      </c>
      <c r="K6615">
        <v>1.111135</v>
      </c>
      <c r="L6615">
        <v>16.81549</v>
      </c>
      <c r="M6615">
        <v>0.9998958</v>
      </c>
      <c r="N6615">
        <v>-1.3795460000000001E-2</v>
      </c>
      <c r="O6615">
        <v>-4.2824339999999999E-3</v>
      </c>
      <c r="P6615">
        <v>0.97921279999999999</v>
      </c>
      <c r="Q6615">
        <v>0.19452559999999999</v>
      </c>
      <c r="R6615">
        <v>5.7466030000000001E-2</v>
      </c>
      <c r="S6615">
        <v>3.0668030000000002</v>
      </c>
      <c r="T6615">
        <v>-1.23408999999999E-2</v>
      </c>
      <c r="U6615">
        <v>-1.019287E-2</v>
      </c>
      <c r="V6615">
        <v>-6.1651480000000002E-2</v>
      </c>
      <c r="W6615">
        <v>0.2080148</v>
      </c>
      <c r="X6615">
        <v>0.97618079999999996</v>
      </c>
      <c r="Y6615">
        <v>-9.5901250000000003E-4</v>
      </c>
      <c r="Z6615" s="1">
        <v>-3.3304170000000003E-5</v>
      </c>
      <c r="AA6615">
        <v>0.99999950000000004</v>
      </c>
      <c r="AB6615">
        <v>26</v>
      </c>
      <c r="AC6615">
        <v>64.410599999999903</v>
      </c>
      <c r="AD6615">
        <v>-0.2597409</v>
      </c>
      <c r="AE6615">
        <v>-0.21395</v>
      </c>
      <c r="AF6615">
        <v>-6.1911313712941E-2</v>
      </c>
      <c r="AG6615">
        <v>-0.2597409</v>
      </c>
      <c r="AH6615">
        <v>64.409878175421696</v>
      </c>
      <c r="AI6615">
        <v>90.231051047036203</v>
      </c>
      <c r="AJ6615">
        <v>90.055073165605705</v>
      </c>
      <c r="AK6615">
        <v>64.410431646733699</v>
      </c>
      <c r="AL6615">
        <v>77.993960328621398</v>
      </c>
      <c r="AM6615">
        <v>93.613761246163705</v>
      </c>
      <c r="AN6615">
        <v>1.00000000814693</v>
      </c>
    </row>
    <row r="6616" spans="1:40" x14ac:dyDescent="0.25">
      <c r="A6616" t="str">
        <f>"20190304154926213"</f>
        <v>20190304154926213</v>
      </c>
      <c r="B6616" t="str">
        <f>"1551685766204049"</f>
        <v>1551685766204049</v>
      </c>
      <c r="C6616" t="s">
        <v>40</v>
      </c>
      <c r="D6616">
        <v>4.0566740000000001</v>
      </c>
      <c r="E6616">
        <v>0.52139990000000003</v>
      </c>
      <c r="F6616" t="s">
        <v>90</v>
      </c>
      <c r="G6616">
        <v>-279.68</v>
      </c>
      <c r="H6616">
        <v>0.84429609999999899</v>
      </c>
      <c r="I6616">
        <v>16.598849999999999</v>
      </c>
      <c r="J6616">
        <v>-343.93939999999998</v>
      </c>
      <c r="K6616">
        <v>1.1111310000000001</v>
      </c>
      <c r="L6616">
        <v>16.81485</v>
      </c>
      <c r="M6616">
        <v>0.9998958</v>
      </c>
      <c r="N6616">
        <v>-1.379644E-2</v>
      </c>
      <c r="O6616">
        <v>-4.2823219999999999E-3</v>
      </c>
      <c r="P6616">
        <v>0.97931469999999998</v>
      </c>
      <c r="Q6616">
        <v>0.19421679999999999</v>
      </c>
      <c r="R6616">
        <v>5.676962E-2</v>
      </c>
      <c r="S6616">
        <v>3.0668329999999999</v>
      </c>
      <c r="T6616">
        <v>-1.270509E-2</v>
      </c>
      <c r="U6616">
        <v>-1.031494E-2</v>
      </c>
      <c r="V6616">
        <v>-6.0955450000000001E-2</v>
      </c>
      <c r="W6616">
        <v>0.2077079</v>
      </c>
      <c r="X6616">
        <v>0.97628990000000004</v>
      </c>
      <c r="Y6616">
        <v>-9.1913599999999998E-4</v>
      </c>
      <c r="Z6616" s="1">
        <v>-3.309925E-5</v>
      </c>
      <c r="AA6616">
        <v>0.99999959999999999</v>
      </c>
      <c r="AB6616">
        <v>26</v>
      </c>
      <c r="AC6616">
        <v>64.2593999999999</v>
      </c>
      <c r="AD6616">
        <v>-0.26683489999999999</v>
      </c>
      <c r="AE6616">
        <v>-0.216000000000001</v>
      </c>
      <c r="AF6616">
        <v>-5.9206555134545903E-2</v>
      </c>
      <c r="AG6616">
        <v>-0.26683489999999999</v>
      </c>
      <c r="AH6616">
        <v>64.258627754560095</v>
      </c>
      <c r="AI6616">
        <v>90.237920101429694</v>
      </c>
      <c r="AJ6616">
        <v>90.052791117509102</v>
      </c>
      <c r="AK6616">
        <v>64.259209045701397</v>
      </c>
      <c r="AL6616">
        <v>78.011937599848807</v>
      </c>
      <c r="AM6616">
        <v>93.572670813844695</v>
      </c>
      <c r="AN6616">
        <v>1.0000000537245599</v>
      </c>
    </row>
    <row r="6617" spans="1:40" x14ac:dyDescent="0.25">
      <c r="A6617" t="str">
        <f>"20190304154926226"</f>
        <v>20190304154926226</v>
      </c>
      <c r="B6617" t="str">
        <f>"1551685766213809"</f>
        <v>1551685766213809</v>
      </c>
      <c r="C6617" t="s">
        <v>40</v>
      </c>
      <c r="D6617">
        <v>4.0124890000000004</v>
      </c>
      <c r="E6617">
        <v>0.5228121</v>
      </c>
      <c r="F6617" t="s">
        <v>90</v>
      </c>
      <c r="G6617">
        <v>-279.68</v>
      </c>
      <c r="H6617">
        <v>0.82119949999999997</v>
      </c>
      <c r="I6617">
        <v>16.56419</v>
      </c>
      <c r="J6617">
        <v>-343.78960000000001</v>
      </c>
      <c r="K6617">
        <v>1.111129</v>
      </c>
      <c r="L6617">
        <v>16.814209999999999</v>
      </c>
      <c r="M6617">
        <v>0.9998958</v>
      </c>
      <c r="N6617">
        <v>-1.3797149999999999E-2</v>
      </c>
      <c r="O6617">
        <v>-4.2823269999999998E-3</v>
      </c>
      <c r="P6617">
        <v>0.97940959999999999</v>
      </c>
      <c r="Q6617">
        <v>0.19388030000000001</v>
      </c>
      <c r="R6617">
        <v>5.6279490000000001E-2</v>
      </c>
      <c r="S6617">
        <v>3.0668030000000002</v>
      </c>
      <c r="T6617">
        <v>-1.383698E-2</v>
      </c>
      <c r="U6617">
        <v>-1.196289E-2</v>
      </c>
      <c r="V6617">
        <v>-6.0465890000000001E-2</v>
      </c>
      <c r="W6617">
        <v>0.207374</v>
      </c>
      <c r="X6617">
        <v>0.97639129999999996</v>
      </c>
      <c r="Y6617">
        <v>-3.8179780000000002E-4</v>
      </c>
      <c r="Z6617" s="1">
        <v>-3.627102E-5</v>
      </c>
      <c r="AA6617">
        <v>0.99999990000000005</v>
      </c>
      <c r="AB6617">
        <v>26</v>
      </c>
      <c r="AC6617">
        <v>64.1096</v>
      </c>
      <c r="AD6617">
        <v>-0.28992949999999901</v>
      </c>
      <c r="AE6617">
        <v>-0.25001999999999902</v>
      </c>
      <c r="AF6617">
        <v>-2.45461537763931E-2</v>
      </c>
      <c r="AG6617">
        <v>-0.28992949999999901</v>
      </c>
      <c r="AH6617">
        <v>64.108771681994796</v>
      </c>
      <c r="AI6617">
        <v>90.259116214565594</v>
      </c>
      <c r="AJ6617">
        <v>90.021937574360607</v>
      </c>
      <c r="AK6617">
        <v>64.109431975355704</v>
      </c>
      <c r="AL6617">
        <v>78.031494260086205</v>
      </c>
      <c r="AM6617">
        <v>93.543683435275696</v>
      </c>
      <c r="AN6617">
        <v>1.00000003522259</v>
      </c>
    </row>
    <row r="6618" spans="1:40" x14ac:dyDescent="0.25">
      <c r="A6618" t="str">
        <f>"20190304154926246"</f>
        <v>20190304154926246</v>
      </c>
      <c r="B6618" t="str">
        <f>"1551685766233329"</f>
        <v>1551685766233329</v>
      </c>
      <c r="C6618" t="s">
        <v>40</v>
      </c>
      <c r="D6618">
        <v>3.8212449999999998</v>
      </c>
      <c r="E6618">
        <v>0.52403900000000003</v>
      </c>
      <c r="F6618" t="s">
        <v>90</v>
      </c>
      <c r="G6618">
        <v>-279.68</v>
      </c>
      <c r="H6618">
        <v>0.85801430000000001</v>
      </c>
      <c r="I6618">
        <v>16.310870000000001</v>
      </c>
      <c r="J6618">
        <v>-343.5643</v>
      </c>
      <c r="K6618">
        <v>1.1111219999999999</v>
      </c>
      <c r="L6618">
        <v>16.813229999999901</v>
      </c>
      <c r="M6618">
        <v>0.9998956</v>
      </c>
      <c r="N6618">
        <v>-1.379792E-2</v>
      </c>
      <c r="O6618">
        <v>-4.2820949999999997E-3</v>
      </c>
      <c r="P6618">
        <v>0.97965340000000001</v>
      </c>
      <c r="Q6618">
        <v>0.19290360000000001</v>
      </c>
      <c r="R6618">
        <v>5.5383790000000002E-2</v>
      </c>
      <c r="S6618">
        <v>3.0668639999999998</v>
      </c>
      <c r="T6618">
        <v>-1.210833E-2</v>
      </c>
      <c r="U6618">
        <v>-2.4078370000000002E-2</v>
      </c>
      <c r="V6618">
        <v>-5.9570499999999998E-2</v>
      </c>
      <c r="W6618">
        <v>0.20640169999999999</v>
      </c>
      <c r="X6618">
        <v>0.97665230000000003</v>
      </c>
      <c r="Y6618">
        <v>3.5685349999999998E-3</v>
      </c>
      <c r="Z6618" s="1">
        <v>-7.3846660000000003E-5</v>
      </c>
      <c r="AA6618">
        <v>0.99999360000000004</v>
      </c>
      <c r="AB6618">
        <v>26</v>
      </c>
      <c r="AC6618">
        <v>63.884300000000003</v>
      </c>
      <c r="AD6618">
        <v>-0.25310769999999899</v>
      </c>
      <c r="AE6618">
        <v>-0.50235999999999503</v>
      </c>
      <c r="AF6618">
        <v>0.228767107267624</v>
      </c>
      <c r="AG6618">
        <v>-0.25310769999999899</v>
      </c>
      <c r="AH6618">
        <v>63.884862789797303</v>
      </c>
      <c r="AI6618">
        <v>90.226999534523998</v>
      </c>
      <c r="AJ6618">
        <v>89.794828803877195</v>
      </c>
      <c r="AK6618">
        <v>63.885773780775303</v>
      </c>
      <c r="AL6618">
        <v>78.088434579553706</v>
      </c>
      <c r="AM6618">
        <v>93.490407977683702</v>
      </c>
      <c r="AN6618">
        <v>1.00000001066421</v>
      </c>
    </row>
    <row r="6619" spans="1:40" x14ac:dyDescent="0.25">
      <c r="A6619" t="str">
        <f>"20190304154926260"</f>
        <v>20190304154926260</v>
      </c>
      <c r="B6619" t="str">
        <f>"1551685766253824"</f>
        <v>1551685766253824</v>
      </c>
      <c r="C6619" t="s">
        <v>40</v>
      </c>
      <c r="D6619">
        <v>4.0265139999999997</v>
      </c>
      <c r="E6619">
        <v>0.59994369999999997</v>
      </c>
      <c r="F6619" t="s">
        <v>90</v>
      </c>
      <c r="G6619">
        <v>-279.68</v>
      </c>
      <c r="H6619">
        <v>0.80690099999999998</v>
      </c>
      <c r="I6619">
        <v>16.06447</v>
      </c>
      <c r="J6619">
        <v>-343.38760000000002</v>
      </c>
      <c r="K6619">
        <v>1.111124</v>
      </c>
      <c r="L6619">
        <v>16.812470000000001</v>
      </c>
      <c r="M6619">
        <v>0.99989570000000005</v>
      </c>
      <c r="N6619">
        <v>-1.379828E-2</v>
      </c>
      <c r="O6619">
        <v>-4.2804160000000004E-3</v>
      </c>
      <c r="P6619">
        <v>0.97969209999999995</v>
      </c>
      <c r="Q6619">
        <v>0.19284480000000001</v>
      </c>
      <c r="R6619">
        <v>5.4902609999999998E-2</v>
      </c>
      <c r="S6619">
        <v>3.0672299999999999</v>
      </c>
      <c r="T6619">
        <v>-1.460624E-2</v>
      </c>
      <c r="U6619">
        <v>-3.5949710000000003E-2</v>
      </c>
      <c r="V6619">
        <v>-5.9088300000000003E-2</v>
      </c>
      <c r="W6619">
        <v>0.20634340000000001</v>
      </c>
      <c r="X6619">
        <v>0.9766939</v>
      </c>
      <c r="Y6619">
        <v>7.4389809999999999E-3</v>
      </c>
      <c r="Z6619">
        <v>-1.0772139999999999E-4</v>
      </c>
      <c r="AA6619">
        <v>0.99997230000000004</v>
      </c>
      <c r="AB6619">
        <v>26</v>
      </c>
      <c r="AC6619">
        <v>63.707599999999999</v>
      </c>
      <c r="AD6619">
        <v>-0.30422300000000002</v>
      </c>
      <c r="AE6619">
        <v>-0.748000000000001</v>
      </c>
      <c r="AF6619">
        <v>0.47526133360211198</v>
      </c>
      <c r="AG6619">
        <v>-0.30422300000000002</v>
      </c>
      <c r="AH6619">
        <v>63.708765735083603</v>
      </c>
      <c r="AI6619">
        <v>90.273589925395399</v>
      </c>
      <c r="AJ6619">
        <v>89.572586862153003</v>
      </c>
      <c r="AK6619">
        <v>63.711264753234197</v>
      </c>
      <c r="AL6619">
        <v>78.091848283810194</v>
      </c>
      <c r="AM6619">
        <v>93.462076384195399</v>
      </c>
      <c r="AN6619">
        <v>1.0000000001088201</v>
      </c>
    </row>
    <row r="6620" spans="1:40" x14ac:dyDescent="0.25">
      <c r="A6620" t="str">
        <f>"20190304154926275"</f>
        <v>20190304154926275</v>
      </c>
      <c r="B6620" t="str">
        <f>"1551685766263584"</f>
        <v>1551685766263584</v>
      </c>
      <c r="C6620" t="s">
        <v>40</v>
      </c>
      <c r="D6620">
        <v>3.8731719999999998</v>
      </c>
      <c r="E6620">
        <v>0.59880580000000005</v>
      </c>
      <c r="F6620" t="s">
        <v>92</v>
      </c>
      <c r="G6620">
        <v>-279.02</v>
      </c>
      <c r="H6620">
        <v>1.4278740000000001</v>
      </c>
      <c r="I6620">
        <v>3.4797189999999998</v>
      </c>
      <c r="J6620">
        <v>-343.21879999999999</v>
      </c>
      <c r="K6620">
        <v>1.1111279999999999</v>
      </c>
      <c r="L6620">
        <v>16.81174</v>
      </c>
      <c r="M6620">
        <v>0.9998958</v>
      </c>
      <c r="N6620">
        <v>-1.379846E-2</v>
      </c>
      <c r="O6620">
        <v>-4.2766949999999996E-3</v>
      </c>
      <c r="P6620">
        <v>0.9797633</v>
      </c>
      <c r="Q6620">
        <v>0.19267300000000001</v>
      </c>
      <c r="R6620">
        <v>5.423306E-2</v>
      </c>
      <c r="S6620">
        <v>3.095154</v>
      </c>
      <c r="T6620">
        <v>1.5231130000000001E-2</v>
      </c>
      <c r="U6620">
        <v>-0.6411133</v>
      </c>
      <c r="V6620">
        <v>-5.8416059999999999E-2</v>
      </c>
      <c r="W6620">
        <v>0.2061722</v>
      </c>
      <c r="X6620">
        <v>0.97677049999999999</v>
      </c>
      <c r="Y6620">
        <v>0.19864390000000001</v>
      </c>
      <c r="Z6620">
        <v>-9.8053310000000005E-4</v>
      </c>
      <c r="AA6620">
        <v>0.98007120000000003</v>
      </c>
      <c r="AB6620">
        <v>26</v>
      </c>
      <c r="AC6620">
        <v>64.198800000000006</v>
      </c>
      <c r="AD6620">
        <v>0.31674600000000003</v>
      </c>
      <c r="AE6620">
        <v>-13.332020999999999</v>
      </c>
      <c r="AF6620">
        <v>13.057009564668499</v>
      </c>
      <c r="AG6620">
        <v>0.31674600000000003</v>
      </c>
      <c r="AH6620">
        <v>64.253735748041805</v>
      </c>
      <c r="AI6620">
        <v>89.723213277292004</v>
      </c>
      <c r="AJ6620">
        <v>78.5133247750734</v>
      </c>
      <c r="AK6620">
        <v>65.567738899397398</v>
      </c>
      <c r="AL6620">
        <v>78.101873003358094</v>
      </c>
      <c r="AM6620">
        <v>93.422515182424107</v>
      </c>
      <c r="AN6620">
        <v>1.0000000108945</v>
      </c>
    </row>
    <row r="6621" spans="1:40" x14ac:dyDescent="0.25">
      <c r="A6621" t="str">
        <f>"20190304154926288"</f>
        <v>20190304154926288</v>
      </c>
      <c r="B6621" t="str">
        <f>"1551685766284081"</f>
        <v>1551685766284081</v>
      </c>
      <c r="C6621" t="s">
        <v>40</v>
      </c>
      <c r="D6621">
        <v>3.9803540000000002</v>
      </c>
      <c r="E6621">
        <v>0.59521179999999996</v>
      </c>
      <c r="F6621" t="s">
        <v>92</v>
      </c>
      <c r="G6621">
        <v>-279.33690000000001</v>
      </c>
      <c r="H6621">
        <v>1.4401040000000001</v>
      </c>
      <c r="I6621">
        <v>3.7224539999999999</v>
      </c>
      <c r="J6621">
        <v>-343.05309999999997</v>
      </c>
      <c r="K6621">
        <v>1.11113</v>
      </c>
      <c r="L6621">
        <v>16.811039999999998</v>
      </c>
      <c r="M6621">
        <v>0.9998956</v>
      </c>
      <c r="N6621">
        <v>-1.379847E-2</v>
      </c>
      <c r="O6621">
        <v>-4.269012E-3</v>
      </c>
      <c r="P6621">
        <v>0.97985889999999998</v>
      </c>
      <c r="Q6621">
        <v>0.1925153</v>
      </c>
      <c r="R6621">
        <v>5.3051710000000002E-2</v>
      </c>
      <c r="S6621">
        <v>3.0939329999999998</v>
      </c>
      <c r="T6621">
        <v>1.5933039999999999E-2</v>
      </c>
      <c r="U6621">
        <v>-0.63394169999999905</v>
      </c>
      <c r="V6621">
        <v>-5.7229799999999997E-2</v>
      </c>
      <c r="W6621">
        <v>0.2060158</v>
      </c>
      <c r="X6621">
        <v>0.97687369999999996</v>
      </c>
      <c r="Y6621">
        <v>0.19654859999999999</v>
      </c>
      <c r="Z6621">
        <v>-9.4920750000000004E-4</v>
      </c>
      <c r="AA6621">
        <v>0.98049359999999997</v>
      </c>
      <c r="AB6621">
        <v>26</v>
      </c>
      <c r="AC6621">
        <v>63.716199999999901</v>
      </c>
      <c r="AD6621">
        <v>0.32897399999999999</v>
      </c>
      <c r="AE6621">
        <v>-13.088585999999999</v>
      </c>
      <c r="AF6621">
        <v>12.8161077515354</v>
      </c>
      <c r="AG6621">
        <v>0.32897399999999999</v>
      </c>
      <c r="AH6621">
        <v>63.769868813879199</v>
      </c>
      <c r="AI6621">
        <v>89.710221104309696</v>
      </c>
      <c r="AJ6621">
        <v>78.636398772428393</v>
      </c>
      <c r="AK6621">
        <v>65.045807015756296</v>
      </c>
      <c r="AL6621">
        <v>78.111030439684001</v>
      </c>
      <c r="AM6621">
        <v>93.352820663754798</v>
      </c>
      <c r="AN6621">
        <v>0.99999999280468499</v>
      </c>
    </row>
    <row r="6622" spans="1:40" x14ac:dyDescent="0.25">
      <c r="A6622" t="str">
        <f>"20190304154926301"</f>
        <v>20190304154926301</v>
      </c>
      <c r="B6622" t="str">
        <f>"1551685766293840"</f>
        <v>1551685766293840</v>
      </c>
      <c r="C6622" t="s">
        <v>40</v>
      </c>
      <c r="D6622">
        <v>4.0997969999999997</v>
      </c>
      <c r="E6622">
        <v>0.59545999999999999</v>
      </c>
      <c r="F6622" t="s">
        <v>92</v>
      </c>
      <c r="G6622">
        <v>-279.33690000000001</v>
      </c>
      <c r="H6622">
        <v>1.0659479999999999</v>
      </c>
      <c r="I6622">
        <v>4.2821540000000002</v>
      </c>
      <c r="J6622">
        <v>-342.91079999999999</v>
      </c>
      <c r="K6622">
        <v>1.111138</v>
      </c>
      <c r="L6622">
        <v>16.810420000000001</v>
      </c>
      <c r="M6622">
        <v>0.99989570000000005</v>
      </c>
      <c r="N6622">
        <v>-1.3798349999999999E-2</v>
      </c>
      <c r="O6622">
        <v>-4.2580959999999899E-3</v>
      </c>
      <c r="P6622">
        <v>0.97996459999999996</v>
      </c>
      <c r="Q6622">
        <v>0.19221779999999999</v>
      </c>
      <c r="R6622">
        <v>5.2170000000000001E-2</v>
      </c>
      <c r="S6622">
        <v>3.0951230000000001</v>
      </c>
      <c r="T6622">
        <v>-2.1947619999999998E-3</v>
      </c>
      <c r="U6622">
        <v>-0.60861209999999999</v>
      </c>
      <c r="V6622">
        <v>-5.6339479999999997E-2</v>
      </c>
      <c r="W6622">
        <v>0.20571909999999999</v>
      </c>
      <c r="X6622">
        <v>0.97698799999999997</v>
      </c>
      <c r="Y6622">
        <v>0.18876000000000001</v>
      </c>
      <c r="Z6622">
        <v>-1.4362120000000001E-3</v>
      </c>
      <c r="AA6622">
        <v>0.98202219999999996</v>
      </c>
      <c r="AB6622">
        <v>26</v>
      </c>
      <c r="AC6622">
        <v>63.573899999999902</v>
      </c>
      <c r="AD6622">
        <v>-4.5190000000000001E-2</v>
      </c>
      <c r="AE6622">
        <v>-12.528266</v>
      </c>
      <c r="AF6622">
        <v>12.257416886845901</v>
      </c>
      <c r="AG6622">
        <v>-4.5190000000000001E-2</v>
      </c>
      <c r="AH6622">
        <v>63.626644239419001</v>
      </c>
      <c r="AI6622">
        <v>90.039958847745993</v>
      </c>
      <c r="AJ6622">
        <v>79.095783205706496</v>
      </c>
      <c r="AK6622">
        <v>64.796575280207705</v>
      </c>
      <c r="AL6622">
        <v>78.128402513840499</v>
      </c>
      <c r="AM6622">
        <v>93.3003919932477</v>
      </c>
      <c r="AN6622">
        <v>1.00000001862774</v>
      </c>
    </row>
    <row r="6623" spans="1:40" x14ac:dyDescent="0.25">
      <c r="A6623" t="str">
        <f>"20190304154926312"</f>
        <v>20190304154926312</v>
      </c>
      <c r="B6623" t="str">
        <f>"1551685766303600"</f>
        <v>1551685766303600</v>
      </c>
      <c r="C6623" t="s">
        <v>40</v>
      </c>
      <c r="D6623">
        <v>3.8996689999999998</v>
      </c>
      <c r="E6623">
        <v>0.59686139999999999</v>
      </c>
      <c r="F6623" t="s">
        <v>92</v>
      </c>
      <c r="G6623">
        <v>-279.33690000000001</v>
      </c>
      <c r="H6623">
        <v>0.94297140000000002</v>
      </c>
      <c r="I6623">
        <v>4.2217560000000001</v>
      </c>
      <c r="J6623">
        <v>-342.77319999999997</v>
      </c>
      <c r="K6623">
        <v>1.1111439999999999</v>
      </c>
      <c r="L6623">
        <v>16.809839999999902</v>
      </c>
      <c r="M6623">
        <v>0.9998958</v>
      </c>
      <c r="N6623">
        <v>-1.379817E-2</v>
      </c>
      <c r="O6623">
        <v>-4.2453830000000001E-3</v>
      </c>
      <c r="P6623">
        <v>0.98007560000000005</v>
      </c>
      <c r="Q6623">
        <v>0.1918628</v>
      </c>
      <c r="R6623">
        <v>5.1386849999999998E-2</v>
      </c>
      <c r="S6623">
        <v>3.0955810000000001</v>
      </c>
      <c r="T6623">
        <v>-8.188486E-3</v>
      </c>
      <c r="U6623">
        <v>-0.61297609999999902</v>
      </c>
      <c r="V6623">
        <v>-5.5547050000000001E-2</v>
      </c>
      <c r="W6623">
        <v>0.20536489999999999</v>
      </c>
      <c r="X6623">
        <v>0.97710790000000003</v>
      </c>
      <c r="Y6623">
        <v>0.1900743</v>
      </c>
      <c r="Z6623">
        <v>-1.619905E-3</v>
      </c>
      <c r="AA6623">
        <v>0.98176839999999999</v>
      </c>
      <c r="AB6623">
        <v>26</v>
      </c>
      <c r="AC6623">
        <v>63.436299999999903</v>
      </c>
      <c r="AD6623">
        <v>-0.16817260000000001</v>
      </c>
      <c r="AE6623">
        <v>-12.588083999999901</v>
      </c>
      <c r="AF6623">
        <v>12.3185502160729</v>
      </c>
      <c r="AG6623">
        <v>-0.16817260000000001</v>
      </c>
      <c r="AH6623">
        <v>63.488745251281003</v>
      </c>
      <c r="AI6623">
        <v>90.148989415120695</v>
      </c>
      <c r="AJ6623">
        <v>79.019490491262005</v>
      </c>
      <c r="AK6623">
        <v>64.672990769187095</v>
      </c>
      <c r="AL6623">
        <v>78.149139615290196</v>
      </c>
      <c r="AM6623">
        <v>93.253673110359799</v>
      </c>
      <c r="AN6623">
        <v>1.0000000325790599</v>
      </c>
    </row>
    <row r="6624" spans="1:40" x14ac:dyDescent="0.25">
      <c r="A6624" t="str">
        <f>"20190304154926324"</f>
        <v>20190304154926324</v>
      </c>
      <c r="B6624" t="str">
        <f>"1551685766313361"</f>
        <v>1551685766313361</v>
      </c>
      <c r="C6624" t="s">
        <v>40</v>
      </c>
      <c r="D6624">
        <v>3.8880319999999999</v>
      </c>
      <c r="E6624">
        <v>0.59801660000000001</v>
      </c>
      <c r="F6624" t="s">
        <v>92</v>
      </c>
      <c r="G6624">
        <v>-279.33690000000001</v>
      </c>
      <c r="H6624">
        <v>1.0120209999999901</v>
      </c>
      <c r="I6624">
        <v>3.9748380000000001</v>
      </c>
      <c r="J6624">
        <v>-342.63729999999998</v>
      </c>
      <c r="K6624">
        <v>1.1111489999999999</v>
      </c>
      <c r="L6624">
        <v>16.8093</v>
      </c>
      <c r="M6624">
        <v>0.99989589999999995</v>
      </c>
      <c r="N6624">
        <v>-1.379787E-2</v>
      </c>
      <c r="O6624">
        <v>-4.2250059999999999E-3</v>
      </c>
      <c r="P6624">
        <v>0.98019860000000003</v>
      </c>
      <c r="Q6624">
        <v>0.19138820000000001</v>
      </c>
      <c r="R6624">
        <v>5.0805349999999999E-2</v>
      </c>
      <c r="S6624">
        <v>3.094757</v>
      </c>
      <c r="T6624">
        <v>-4.8357249999999999E-3</v>
      </c>
      <c r="U6624">
        <v>-0.62615969999999999</v>
      </c>
      <c r="V6624">
        <v>-5.4948789999999997E-2</v>
      </c>
      <c r="W6624">
        <v>0.2048912</v>
      </c>
      <c r="X6624">
        <v>0.97724120000000003</v>
      </c>
      <c r="Y6624">
        <v>0.19416530000000001</v>
      </c>
      <c r="Z6624">
        <v>-1.5544039999999999E-3</v>
      </c>
      <c r="AA6624">
        <v>0.98096760000000005</v>
      </c>
      <c r="AB6624">
        <v>26</v>
      </c>
      <c r="AC6624">
        <v>63.300399999999897</v>
      </c>
      <c r="AD6624">
        <v>-9.9128000000000105E-2</v>
      </c>
      <c r="AE6624">
        <v>-12.834462</v>
      </c>
      <c r="AF6624">
        <v>12.566847798610199</v>
      </c>
      <c r="AG6624">
        <v>-9.9128000000000105E-2</v>
      </c>
      <c r="AH6624">
        <v>63.353916522537702</v>
      </c>
      <c r="AI6624">
        <v>90.087935653352602</v>
      </c>
      <c r="AJ6624">
        <v>78.780477519181204</v>
      </c>
      <c r="AK6624">
        <v>64.588344371863997</v>
      </c>
      <c r="AL6624">
        <v>78.176870741595096</v>
      </c>
      <c r="AM6624">
        <v>93.218265938787397</v>
      </c>
      <c r="AN6624">
        <v>1.0000000681686601</v>
      </c>
    </row>
    <row r="6625" spans="1:40" x14ac:dyDescent="0.25">
      <c r="A6625" t="str">
        <f>"20190304154926334"</f>
        <v>20190304154926334</v>
      </c>
      <c r="B6625" t="str">
        <f>"1551685766324097"</f>
        <v>1551685766324097</v>
      </c>
      <c r="C6625" t="s">
        <v>40</v>
      </c>
      <c r="D6625">
        <v>3.88984</v>
      </c>
      <c r="E6625">
        <v>0.59894939999999997</v>
      </c>
      <c r="F6625" t="s">
        <v>92</v>
      </c>
      <c r="G6625">
        <v>-279.33690000000001</v>
      </c>
      <c r="H6625">
        <v>1.05148</v>
      </c>
      <c r="I6625">
        <v>3.7839870000000002</v>
      </c>
      <c r="J6625">
        <v>-342.517</v>
      </c>
      <c r="K6625">
        <v>1.1111489999999999</v>
      </c>
      <c r="L6625">
        <v>16.808779999999999</v>
      </c>
      <c r="M6625">
        <v>0.99989620000000001</v>
      </c>
      <c r="N6625">
        <v>-1.379758E-2</v>
      </c>
      <c r="O6625">
        <v>-4.204635E-3</v>
      </c>
      <c r="P6625">
        <v>0.98034569999999999</v>
      </c>
      <c r="Q6625">
        <v>0.19083349999999999</v>
      </c>
      <c r="R6625">
        <v>5.0052939999999997E-2</v>
      </c>
      <c r="S6625">
        <v>3.0941770000000002</v>
      </c>
      <c r="T6625">
        <v>-2.9166940000000001E-3</v>
      </c>
      <c r="U6625">
        <v>-0.63668819999999904</v>
      </c>
      <c r="V6625">
        <v>-5.418071E-2</v>
      </c>
      <c r="W6625">
        <v>0.2043372</v>
      </c>
      <c r="X6625">
        <v>0.97740000000000005</v>
      </c>
      <c r="Y6625">
        <v>0.1974254</v>
      </c>
      <c r="Z6625">
        <v>-1.521772E-3</v>
      </c>
      <c r="AA6625">
        <v>0.98031679999999999</v>
      </c>
      <c r="AB6625">
        <v>26</v>
      </c>
      <c r="AC6625">
        <v>63.180099999999896</v>
      </c>
      <c r="AD6625">
        <v>-5.9668999999999903E-2</v>
      </c>
      <c r="AE6625">
        <v>-13.024793000000001</v>
      </c>
      <c r="AF6625">
        <v>12.7589924407837</v>
      </c>
      <c r="AG6625">
        <v>-5.9668999999999903E-2</v>
      </c>
      <c r="AH6625">
        <v>63.234257011756497</v>
      </c>
      <c r="AI6625">
        <v>90.052997265226097</v>
      </c>
      <c r="AJ6625">
        <v>78.592399381261501</v>
      </c>
      <c r="AK6625">
        <v>64.508656072828103</v>
      </c>
      <c r="AL6625">
        <v>78.209297878054201</v>
      </c>
      <c r="AM6625">
        <v>93.172858737249399</v>
      </c>
      <c r="AN6625">
        <v>1.0000000003199701</v>
      </c>
    </row>
    <row r="6626" spans="1:40" x14ac:dyDescent="0.25">
      <c r="A6626" t="str">
        <f>"20190304154926346"</f>
        <v>20190304154926346</v>
      </c>
      <c r="B6626" t="str">
        <f>"1551685766343617"</f>
        <v>1551685766343617</v>
      </c>
      <c r="C6626" t="s">
        <v>40</v>
      </c>
      <c r="D6626">
        <v>3.9692029999999998</v>
      </c>
      <c r="E6626">
        <v>0.60124299999999997</v>
      </c>
      <c r="F6626" t="s">
        <v>92</v>
      </c>
      <c r="G6626">
        <v>-279.02</v>
      </c>
      <c r="H6626">
        <v>1.084673</v>
      </c>
      <c r="I6626">
        <v>3.5454729999999999</v>
      </c>
      <c r="J6626">
        <v>-342.3734</v>
      </c>
      <c r="K6626">
        <v>1.111157</v>
      </c>
      <c r="L6626">
        <v>16.808199999999999</v>
      </c>
      <c r="M6626">
        <v>0.99989620000000001</v>
      </c>
      <c r="N6626">
        <v>-1.379712E-2</v>
      </c>
      <c r="O6626">
        <v>-4.1720619999999998E-3</v>
      </c>
      <c r="P6626">
        <v>0.98050510000000002</v>
      </c>
      <c r="Q6626">
        <v>0.1901621</v>
      </c>
      <c r="R6626">
        <v>4.9479780000000001E-2</v>
      </c>
      <c r="S6626">
        <v>3.0933839999999999</v>
      </c>
      <c r="T6626">
        <v>-1.289845E-3</v>
      </c>
      <c r="U6626">
        <v>-0.64614869999999902</v>
      </c>
      <c r="V6626">
        <v>-5.3580139999999998E-2</v>
      </c>
      <c r="W6626">
        <v>0.20366680000000001</v>
      </c>
      <c r="X6626">
        <v>0.97757300000000003</v>
      </c>
      <c r="Y6626">
        <v>0.20038139999999999</v>
      </c>
      <c r="Z6626">
        <v>-1.493737E-3</v>
      </c>
      <c r="AA6626">
        <v>0.97971680000000005</v>
      </c>
      <c r="AB6626">
        <v>26</v>
      </c>
      <c r="AC6626">
        <v>63.353400000000001</v>
      </c>
      <c r="AD6626">
        <v>-2.64839999999999E-2</v>
      </c>
      <c r="AE6626">
        <v>-13.2627269999999</v>
      </c>
      <c r="AF6626">
        <v>12.998269924868</v>
      </c>
      <c r="AG6626">
        <v>-2.64839999999999E-2</v>
      </c>
      <c r="AH6626">
        <v>63.408176091042399</v>
      </c>
      <c r="AI6626">
        <v>90.023443497521598</v>
      </c>
      <c r="AJ6626">
        <v>78.415225993254197</v>
      </c>
      <c r="AK6626">
        <v>64.726752719680206</v>
      </c>
      <c r="AL6626">
        <v>78.248533888919496</v>
      </c>
      <c r="AM6626">
        <v>93.137205447884696</v>
      </c>
      <c r="AN6626">
        <v>0.99999998357682895</v>
      </c>
    </row>
    <row r="6627" spans="1:40" x14ac:dyDescent="0.25">
      <c r="A6627" t="str">
        <f>"20190304154926357"</f>
        <v>20190304154926357</v>
      </c>
      <c r="B6627" t="str">
        <f>"1551685766353377"</f>
        <v>1551685766353377</v>
      </c>
      <c r="C6627" t="s">
        <v>40</v>
      </c>
      <c r="D6627">
        <v>3.855121</v>
      </c>
      <c r="E6627">
        <v>0.601885</v>
      </c>
      <c r="F6627" t="s">
        <v>92</v>
      </c>
      <c r="G6627">
        <v>-279.02</v>
      </c>
      <c r="H6627">
        <v>1.1948030000000001</v>
      </c>
      <c r="I6627">
        <v>3.1691020000000001</v>
      </c>
      <c r="J6627">
        <v>-342.25009999999997</v>
      </c>
      <c r="K6627">
        <v>1.1111629999999999</v>
      </c>
      <c r="L6627">
        <v>16.807739999999999</v>
      </c>
      <c r="M6627">
        <v>0.99989629999999996</v>
      </c>
      <c r="N6627">
        <v>-1.379669E-2</v>
      </c>
      <c r="O6627">
        <v>-4.1378270000000002E-3</v>
      </c>
      <c r="P6627">
        <v>0.98063920000000004</v>
      </c>
      <c r="Q6627">
        <v>0.18967220000000001</v>
      </c>
      <c r="R6627">
        <v>4.8697520000000001E-2</v>
      </c>
      <c r="S6627">
        <v>3.0924990000000001</v>
      </c>
      <c r="T6627">
        <v>4.0830370000000003E-3</v>
      </c>
      <c r="U6627">
        <v>-0.66577149999999996</v>
      </c>
      <c r="V6627">
        <v>-5.2769389999999999E-2</v>
      </c>
      <c r="W6627">
        <v>0.2031771</v>
      </c>
      <c r="X6627">
        <v>0.977719</v>
      </c>
      <c r="Y6627">
        <v>0.2064185</v>
      </c>
      <c r="Z6627">
        <v>-1.367264E-3</v>
      </c>
      <c r="AA6627">
        <v>0.97846290000000002</v>
      </c>
      <c r="AB6627">
        <v>26</v>
      </c>
      <c r="AC6627">
        <v>63.230099999999901</v>
      </c>
      <c r="AD6627">
        <v>8.3640000000000103E-2</v>
      </c>
      <c r="AE6627">
        <v>-13.638637999999901</v>
      </c>
      <c r="AF6627">
        <v>13.3768387448733</v>
      </c>
      <c r="AG6627">
        <v>8.3640000000000103E-2</v>
      </c>
      <c r="AH6627">
        <v>63.2858924756109</v>
      </c>
      <c r="AI6627">
        <v>89.925913633971504</v>
      </c>
      <c r="AJ6627">
        <v>78.064975481272299</v>
      </c>
      <c r="AK6627">
        <v>64.684240715111798</v>
      </c>
      <c r="AL6627">
        <v>78.277190924645794</v>
      </c>
      <c r="AM6627">
        <v>93.089366885623804</v>
      </c>
      <c r="AN6627">
        <v>0.99999999272319096</v>
      </c>
    </row>
    <row r="6628" spans="1:40" x14ac:dyDescent="0.25">
      <c r="A6628" t="str">
        <f>"20190304154926368"</f>
        <v>20190304154926368</v>
      </c>
      <c r="B6628" t="str">
        <f>"1551685766364112"</f>
        <v>1551685766364112</v>
      </c>
      <c r="C6628" t="s">
        <v>40</v>
      </c>
      <c r="D6628">
        <v>3.85697</v>
      </c>
      <c r="E6628">
        <v>0.60222529999999996</v>
      </c>
      <c r="F6628" t="s">
        <v>92</v>
      </c>
      <c r="G6628">
        <v>-279.02</v>
      </c>
      <c r="H6628">
        <v>1.261307</v>
      </c>
      <c r="I6628">
        <v>3.0406339999999998</v>
      </c>
      <c r="J6628">
        <v>-342.11110000000002</v>
      </c>
      <c r="K6628">
        <v>1.1111740000000001</v>
      </c>
      <c r="L6628">
        <v>16.807189999999999</v>
      </c>
      <c r="M6628">
        <v>0.99989649999999997</v>
      </c>
      <c r="N6628">
        <v>-1.379617E-2</v>
      </c>
      <c r="O6628">
        <v>-4.0933100000000002E-3</v>
      </c>
      <c r="P6628">
        <v>0.98076439999999998</v>
      </c>
      <c r="Q6628">
        <v>0.18912200000000001</v>
      </c>
      <c r="R6628">
        <v>4.8312899999999999E-2</v>
      </c>
      <c r="S6628">
        <v>3.091278</v>
      </c>
      <c r="T6628">
        <v>7.3404309999999997E-3</v>
      </c>
      <c r="U6628">
        <v>-0.67306519999999903</v>
      </c>
      <c r="V6628">
        <v>-5.2346089999999998E-2</v>
      </c>
      <c r="W6628">
        <v>0.202627</v>
      </c>
      <c r="X6628">
        <v>0.9778559</v>
      </c>
      <c r="Y6628">
        <v>0.2087474</v>
      </c>
      <c r="Z6628">
        <v>-1.277151E-3</v>
      </c>
      <c r="AA6628">
        <v>0.97796879999999997</v>
      </c>
      <c r="AB6628">
        <v>26</v>
      </c>
      <c r="AC6628">
        <v>63.091099999999997</v>
      </c>
      <c r="AD6628">
        <v>0.15013299999999999</v>
      </c>
      <c r="AE6628">
        <v>-13.7665559999999</v>
      </c>
      <c r="AF6628">
        <v>13.508091634196701</v>
      </c>
      <c r="AG6628">
        <v>0.15013299999999999</v>
      </c>
      <c r="AH6628">
        <v>63.146586164601203</v>
      </c>
      <c r="AI6628">
        <v>89.866791458170397</v>
      </c>
      <c r="AJ6628">
        <v>77.925474536552599</v>
      </c>
      <c r="AK6628">
        <v>64.575401073155902</v>
      </c>
      <c r="AL6628">
        <v>78.309378814576107</v>
      </c>
      <c r="AM6628">
        <v>93.064204122670404</v>
      </c>
      <c r="AN6628">
        <v>0.99999998771604903</v>
      </c>
    </row>
    <row r="6629" spans="1:40" x14ac:dyDescent="0.25">
      <c r="A6629" t="str">
        <f>"20190304154926380"</f>
        <v>20190304154926380</v>
      </c>
      <c r="B6629" t="str">
        <f>"1551685766373872"</f>
        <v>1551685766373872</v>
      </c>
      <c r="C6629" t="s">
        <v>40</v>
      </c>
      <c r="D6629">
        <v>3.8946049999999999</v>
      </c>
      <c r="E6629">
        <v>0.60251960000000004</v>
      </c>
      <c r="F6629" t="s">
        <v>92</v>
      </c>
      <c r="G6629">
        <v>-279.02</v>
      </c>
      <c r="H6629">
        <v>1.368085</v>
      </c>
      <c r="I6629">
        <v>2.9931429999999999</v>
      </c>
      <c r="J6629">
        <v>-341.97919999999999</v>
      </c>
      <c r="K6629">
        <v>1.1111799999999901</v>
      </c>
      <c r="L6629">
        <v>16.806699999999999</v>
      </c>
      <c r="M6629">
        <v>0.99989669999999997</v>
      </c>
      <c r="N6629">
        <v>-1.379561E-2</v>
      </c>
      <c r="O6629">
        <v>-4.0394840000000003E-3</v>
      </c>
      <c r="P6629">
        <v>0.98081470000000004</v>
      </c>
      <c r="Q6629">
        <v>0.1889826</v>
      </c>
      <c r="R6629">
        <v>4.7835959999999997E-2</v>
      </c>
      <c r="S6629">
        <v>3.0897519999999998</v>
      </c>
      <c r="T6629">
        <v>1.2581709999999999E-2</v>
      </c>
      <c r="U6629">
        <v>-0.6765137</v>
      </c>
      <c r="V6629">
        <v>-5.1822130000000001E-2</v>
      </c>
      <c r="W6629">
        <v>0.20248650000000001</v>
      </c>
      <c r="X6629">
        <v>0.97791289999999997</v>
      </c>
      <c r="Y6629">
        <v>0.20994350000000001</v>
      </c>
      <c r="Z6629">
        <v>-1.114047E-3</v>
      </c>
      <c r="AA6629">
        <v>0.9777129</v>
      </c>
      <c r="AB6629">
        <v>26</v>
      </c>
      <c r="AC6629">
        <v>62.959200000000003</v>
      </c>
      <c r="AD6629">
        <v>0.25690499999999999</v>
      </c>
      <c r="AE6629">
        <v>-13.813556999999999</v>
      </c>
      <c r="AF6629">
        <v>13.5588820043113</v>
      </c>
      <c r="AG6629">
        <v>0.25690499999999999</v>
      </c>
      <c r="AH6629">
        <v>63.013490168476501</v>
      </c>
      <c r="AI6629">
        <v>89.771634103288207</v>
      </c>
      <c r="AJ6629">
        <v>77.856576173235098</v>
      </c>
      <c r="AK6629">
        <v>64.456258226789302</v>
      </c>
      <c r="AL6629">
        <v>78.317599161448399</v>
      </c>
      <c r="AM6629">
        <v>93.033413952542304</v>
      </c>
      <c r="AN6629">
        <v>0.99999997791319795</v>
      </c>
    </row>
    <row r="6630" spans="1:40" x14ac:dyDescent="0.25">
      <c r="A6630" t="str">
        <f>"20190304154926391"</f>
        <v>20190304154926391</v>
      </c>
      <c r="B6630" t="str">
        <f>"1551685766383632"</f>
        <v>1551685766383632</v>
      </c>
      <c r="C6630" t="s">
        <v>40</v>
      </c>
      <c r="D6630">
        <v>3.9112300000000002</v>
      </c>
      <c r="E6630">
        <v>0.60289479999999995</v>
      </c>
      <c r="F6630" t="s">
        <v>92</v>
      </c>
      <c r="G6630">
        <v>-279.02</v>
      </c>
      <c r="H6630">
        <v>1.41399599999999</v>
      </c>
      <c r="I6630">
        <v>2.9466060000000001</v>
      </c>
      <c r="J6630">
        <v>-341.84460000000001</v>
      </c>
      <c r="K6630">
        <v>1.111192</v>
      </c>
      <c r="L6630">
        <v>16.80621</v>
      </c>
      <c r="M6630">
        <v>0.99989700000000004</v>
      </c>
      <c r="N6630">
        <v>-1.379501E-2</v>
      </c>
      <c r="O6630">
        <v>-3.9808810000000003E-3</v>
      </c>
      <c r="P6630">
        <v>0.98090359999999999</v>
      </c>
      <c r="Q6630">
        <v>0.1886536</v>
      </c>
      <c r="R6630">
        <v>4.7310850000000002E-2</v>
      </c>
      <c r="S6630">
        <v>3.0889890000000002</v>
      </c>
      <c r="T6630">
        <v>1.4857169999999999E-2</v>
      </c>
      <c r="U6630">
        <v>-0.68002320000000005</v>
      </c>
      <c r="V6630">
        <v>-5.1245600000000002E-2</v>
      </c>
      <c r="W6630">
        <v>0.2021568</v>
      </c>
      <c r="X6630">
        <v>0.97801150000000003</v>
      </c>
      <c r="Y6630">
        <v>0.2111113</v>
      </c>
      <c r="Z6630">
        <v>-1.0449319999999999E-3</v>
      </c>
      <c r="AA6630">
        <v>0.97746149999999998</v>
      </c>
      <c r="AB6630">
        <v>26</v>
      </c>
      <c r="AC6630">
        <v>62.824599999999997</v>
      </c>
      <c r="AD6630">
        <v>0.30280399999999902</v>
      </c>
      <c r="AE6630">
        <v>-13.859603999999999</v>
      </c>
      <c r="AF6630">
        <v>13.6090716453061</v>
      </c>
      <c r="AG6630">
        <v>0.30280399999999902</v>
      </c>
      <c r="AH6630">
        <v>62.877887867821102</v>
      </c>
      <c r="AI6630">
        <v>89.730324219411898</v>
      </c>
      <c r="AJ6630">
        <v>77.787472726776301</v>
      </c>
      <c r="AK6630">
        <v>64.334495443951099</v>
      </c>
      <c r="AL6630">
        <v>78.336888628692606</v>
      </c>
      <c r="AM6630">
        <v>92.999426816888999</v>
      </c>
      <c r="AN6630">
        <v>0.99999998871892404</v>
      </c>
    </row>
    <row r="6631" spans="1:40" x14ac:dyDescent="0.25">
      <c r="A6631" t="str">
        <f>"20190304154926402"</f>
        <v>20190304154926402</v>
      </c>
      <c r="B6631" t="str">
        <f>"1551685766393392"</f>
        <v>1551685766393392</v>
      </c>
      <c r="C6631" t="s">
        <v>40</v>
      </c>
      <c r="D6631">
        <v>3.9481220000000001</v>
      </c>
      <c r="E6631">
        <v>0.60301349999999998</v>
      </c>
      <c r="F6631" t="s">
        <v>92</v>
      </c>
      <c r="G6631">
        <v>-279.02</v>
      </c>
      <c r="H6631">
        <v>1.449068</v>
      </c>
      <c r="I6631">
        <v>2.8877540000000002</v>
      </c>
      <c r="J6631">
        <v>-341.72019999999998</v>
      </c>
      <c r="K6631">
        <v>1.111205</v>
      </c>
      <c r="L6631">
        <v>16.805789999999998</v>
      </c>
      <c r="M6631">
        <v>0.99989729999999999</v>
      </c>
      <c r="N6631">
        <v>-1.3794399999999899E-2</v>
      </c>
      <c r="O6631">
        <v>-3.9125039999999998E-3</v>
      </c>
      <c r="P6631">
        <v>0.98096150000000004</v>
      </c>
      <c r="Q6631">
        <v>0.1883966</v>
      </c>
      <c r="R6631">
        <v>4.713444E-2</v>
      </c>
      <c r="S6631">
        <v>3.0881959999999999</v>
      </c>
      <c r="T6631">
        <v>1.6608599999999901E-2</v>
      </c>
      <c r="U6631">
        <v>-0.68417359999999905</v>
      </c>
      <c r="V6631">
        <v>-5.1008199999999997E-2</v>
      </c>
      <c r="W6631">
        <v>0.20189860000000001</v>
      </c>
      <c r="X6631">
        <v>0.97807730000000004</v>
      </c>
      <c r="Y6631">
        <v>0.21248349999999999</v>
      </c>
      <c r="Z6631">
        <v>-9.927390999999999E-4</v>
      </c>
      <c r="AA6631">
        <v>0.97716409999999998</v>
      </c>
      <c r="AB6631">
        <v>26</v>
      </c>
      <c r="AC6631">
        <v>62.700200000000002</v>
      </c>
      <c r="AD6631">
        <v>0.33786300000000002</v>
      </c>
      <c r="AE6631">
        <v>-13.918035999999899</v>
      </c>
      <c r="AF6631">
        <v>13.672213001682101</v>
      </c>
      <c r="AG6631">
        <v>0.33786300000000002</v>
      </c>
      <c r="AH6631">
        <v>62.752443015684499</v>
      </c>
      <c r="AI6631">
        <v>89.698589837847905</v>
      </c>
      <c r="AJ6631">
        <v>77.708744492357098</v>
      </c>
      <c r="AK6631">
        <v>64.225482981499397</v>
      </c>
      <c r="AL6631">
        <v>78.351994512882897</v>
      </c>
      <c r="AM6631">
        <v>92.985356401039695</v>
      </c>
      <c r="AN6631">
        <v>1.00000004296224</v>
      </c>
    </row>
    <row r="6632" spans="1:40" x14ac:dyDescent="0.25">
      <c r="A6632" t="str">
        <f>"20190304154926412"</f>
        <v>20190304154926412</v>
      </c>
      <c r="B6632" t="str">
        <f>"1551685766404129"</f>
        <v>1551685766404129</v>
      </c>
      <c r="C6632" t="s">
        <v>40</v>
      </c>
      <c r="D6632">
        <v>3.9041860000000002</v>
      </c>
      <c r="E6632">
        <v>0.60318799999999995</v>
      </c>
      <c r="F6632" t="s">
        <v>92</v>
      </c>
      <c r="G6632">
        <v>-279.02</v>
      </c>
      <c r="H6632">
        <v>1.4884459999999999</v>
      </c>
      <c r="I6632">
        <v>2.8890720000000001</v>
      </c>
      <c r="J6632">
        <v>-341.59280000000001</v>
      </c>
      <c r="K6632">
        <v>1.111216</v>
      </c>
      <c r="L6632">
        <v>16.80536</v>
      </c>
      <c r="M6632">
        <v>0.9998977</v>
      </c>
      <c r="N6632">
        <v>-1.379375E-2</v>
      </c>
      <c r="O6632">
        <v>-3.8400700000000001E-3</v>
      </c>
      <c r="P6632">
        <v>0.98096450000000002</v>
      </c>
      <c r="Q6632">
        <v>0.1883813</v>
      </c>
      <c r="R6632">
        <v>4.7134259999999997E-2</v>
      </c>
      <c r="S6632">
        <v>3.087555</v>
      </c>
      <c r="T6632">
        <v>1.8576499999999999E-2</v>
      </c>
      <c r="U6632">
        <v>-0.68530269999999904</v>
      </c>
      <c r="V6632">
        <v>-5.0942630000000003E-2</v>
      </c>
      <c r="W6632">
        <v>0.20188130000000001</v>
      </c>
      <c r="X6632">
        <v>0.97808430000000002</v>
      </c>
      <c r="Y6632">
        <v>0.21293799999999999</v>
      </c>
      <c r="Z6632">
        <v>-9.2860640000000003E-4</v>
      </c>
      <c r="AA6632">
        <v>0.97706530000000003</v>
      </c>
      <c r="AB6632">
        <v>26</v>
      </c>
      <c r="AC6632">
        <v>62.572800000000001</v>
      </c>
      <c r="AD6632">
        <v>0.37723000000000001</v>
      </c>
      <c r="AE6632">
        <v>-13.916288</v>
      </c>
      <c r="AF6632">
        <v>13.675405027759099</v>
      </c>
      <c r="AG6632">
        <v>0.37723000000000001</v>
      </c>
      <c r="AH6632">
        <v>62.6236143854996</v>
      </c>
      <c r="AI6632">
        <v>89.662813762012405</v>
      </c>
      <c r="AJ6632">
        <v>77.681442432047504</v>
      </c>
      <c r="AK6632">
        <v>64.100515472575594</v>
      </c>
      <c r="AL6632">
        <v>78.353006704657304</v>
      </c>
      <c r="AM6632">
        <v>92.981504415092303</v>
      </c>
      <c r="AN6632">
        <v>1.00000005437374</v>
      </c>
    </row>
    <row r="6633" spans="1:40" x14ac:dyDescent="0.25">
      <c r="A6633" t="str">
        <f>"20190304154926424"</f>
        <v>20190304154926424</v>
      </c>
      <c r="B6633" t="str">
        <f>"1551685766413888"</f>
        <v>1551685766413888</v>
      </c>
      <c r="C6633" t="s">
        <v>40</v>
      </c>
      <c r="D6633">
        <v>3.9730970000000001</v>
      </c>
      <c r="E6633">
        <v>0.60330340000000005</v>
      </c>
      <c r="F6633" t="s">
        <v>92</v>
      </c>
      <c r="G6633">
        <v>-279.02</v>
      </c>
      <c r="H6633">
        <v>1.546619</v>
      </c>
      <c r="I6633">
        <v>2.8924669999999999</v>
      </c>
      <c r="J6633">
        <v>-341.46449999999999</v>
      </c>
      <c r="K6633">
        <v>1.111227</v>
      </c>
      <c r="L6633">
        <v>16.8049</v>
      </c>
      <c r="M6633">
        <v>0.99989790000000001</v>
      </c>
      <c r="N6633">
        <v>-1.3793049999999999E-2</v>
      </c>
      <c r="O6633">
        <v>-3.755478E-3</v>
      </c>
      <c r="P6633">
        <v>0.98102809999999996</v>
      </c>
      <c r="Q6633">
        <v>0.18814510000000001</v>
      </c>
      <c r="R6633">
        <v>4.6751210000000001E-2</v>
      </c>
      <c r="S6633">
        <v>3.0870669999999998</v>
      </c>
      <c r="T6633">
        <v>2.1480920000000001E-2</v>
      </c>
      <c r="U6633">
        <v>-0.68640140000000005</v>
      </c>
      <c r="V6633">
        <v>-5.0482020000000002E-2</v>
      </c>
      <c r="W6633">
        <v>0.20164399999999999</v>
      </c>
      <c r="X6633">
        <v>0.9781571</v>
      </c>
      <c r="Y6633">
        <v>0.21338489999999999</v>
      </c>
      <c r="Z6633">
        <v>-8.3297399999999902E-4</v>
      </c>
      <c r="AA6633">
        <v>0.9769679</v>
      </c>
      <c r="AB6633">
        <v>26</v>
      </c>
      <c r="AC6633">
        <v>62.444499999999998</v>
      </c>
      <c r="AD6633">
        <v>0.435392</v>
      </c>
      <c r="AE6633">
        <v>-13.912432999999901</v>
      </c>
      <c r="AF6633">
        <v>13.6771701612603</v>
      </c>
      <c r="AG6633">
        <v>0.435392</v>
      </c>
      <c r="AH6633">
        <v>62.493417913892401</v>
      </c>
      <c r="AI6633">
        <v>89.610055824096307</v>
      </c>
      <c r="AJ6633">
        <v>77.655019999856407</v>
      </c>
      <c r="AK6633">
        <v>63.974071563205499</v>
      </c>
      <c r="AL6633">
        <v>78.366888128526</v>
      </c>
      <c r="AM6633">
        <v>92.954374903109695</v>
      </c>
      <c r="AN6633">
        <v>1.0000000246798399</v>
      </c>
    </row>
    <row r="6634" spans="1:40" x14ac:dyDescent="0.25">
      <c r="A6634" t="str">
        <f>"20190304154926437"</f>
        <v>20190304154926437</v>
      </c>
      <c r="B6634" t="str">
        <f>"1551685766433409"</f>
        <v>1551685766433409</v>
      </c>
      <c r="C6634" t="s">
        <v>40</v>
      </c>
      <c r="D6634">
        <v>3.9140790000000001</v>
      </c>
      <c r="E6634">
        <v>0.60373789999999905</v>
      </c>
      <c r="F6634" t="s">
        <v>92</v>
      </c>
      <c r="G6634">
        <v>-279.02</v>
      </c>
      <c r="H6634">
        <v>1.589046</v>
      </c>
      <c r="I6634">
        <v>2.8781850000000002</v>
      </c>
      <c r="J6634">
        <v>-341.31790000000001</v>
      </c>
      <c r="K6634">
        <v>1.1112409999999999</v>
      </c>
      <c r="L6634">
        <v>16.804469999999998</v>
      </c>
      <c r="M6634">
        <v>0.99989839999999997</v>
      </c>
      <c r="N6634">
        <v>-1.3792219999999999E-2</v>
      </c>
      <c r="O6634">
        <v>-3.652509E-3</v>
      </c>
      <c r="P6634">
        <v>0.98112350000000004</v>
      </c>
      <c r="Q6634">
        <v>0.18766650000000001</v>
      </c>
      <c r="R6634">
        <v>4.6671850000000001E-2</v>
      </c>
      <c r="S6634">
        <v>3.0863040000000002</v>
      </c>
      <c r="T6634">
        <v>2.3616080000000001E-2</v>
      </c>
      <c r="U6634">
        <v>-0.68832399999999905</v>
      </c>
      <c r="V6634">
        <v>-5.0308440000000003E-2</v>
      </c>
      <c r="W6634">
        <v>0.2011648</v>
      </c>
      <c r="X6634">
        <v>0.97826469999999999</v>
      </c>
      <c r="Y6634">
        <v>0.21411649999999999</v>
      </c>
      <c r="Z6634">
        <v>-7.6267259999999895E-4</v>
      </c>
      <c r="AA6634">
        <v>0.9768078</v>
      </c>
      <c r="AB6634">
        <v>26</v>
      </c>
      <c r="AC6634">
        <v>62.297899999999998</v>
      </c>
      <c r="AD6634">
        <v>0.47780499999999998</v>
      </c>
      <c r="AE6634">
        <v>-13.926285</v>
      </c>
      <c r="AF6634">
        <v>13.697859431089</v>
      </c>
      <c r="AG6634">
        <v>0.47780499999999998</v>
      </c>
      <c r="AH6634">
        <v>62.344862245810802</v>
      </c>
      <c r="AI6634">
        <v>89.571128341989393</v>
      </c>
      <c r="AJ6634">
        <v>77.608369988966203</v>
      </c>
      <c r="AK6634">
        <v>63.833701906289498</v>
      </c>
      <c r="AL6634">
        <v>78.394918602421797</v>
      </c>
      <c r="AM6634">
        <v>92.943911062475706</v>
      </c>
      <c r="AN6634">
        <v>1.0000000195801799</v>
      </c>
    </row>
    <row r="6635" spans="1:40" x14ac:dyDescent="0.25">
      <c r="A6635" t="str">
        <f>"20190304154926450"</f>
        <v>20190304154926450</v>
      </c>
      <c r="B6635" t="str">
        <f>"1551685766444144"</f>
        <v>1551685766444144</v>
      </c>
      <c r="C6635" t="s">
        <v>40</v>
      </c>
      <c r="D6635">
        <v>3.9674480000000001</v>
      </c>
      <c r="E6635">
        <v>0.60388409999999904</v>
      </c>
      <c r="F6635" t="s">
        <v>92</v>
      </c>
      <c r="G6635">
        <v>-279.02</v>
      </c>
      <c r="H6635">
        <v>1.680156</v>
      </c>
      <c r="I6635">
        <v>2.8371219999999999</v>
      </c>
      <c r="J6635">
        <v>-341.16750000000002</v>
      </c>
      <c r="K6635">
        <v>1.111253</v>
      </c>
      <c r="L6635">
        <v>16.804020000000001</v>
      </c>
      <c r="M6635">
        <v>0.99989870000000003</v>
      </c>
      <c r="N6635">
        <v>-1.3791319999999999E-2</v>
      </c>
      <c r="O6635">
        <v>-3.5381029999999999E-3</v>
      </c>
      <c r="P6635">
        <v>0.98118459999999996</v>
      </c>
      <c r="Q6635">
        <v>0.1873522</v>
      </c>
      <c r="R6635">
        <v>4.6650110000000002E-2</v>
      </c>
      <c r="S6635">
        <v>3.0852050000000002</v>
      </c>
      <c r="T6635">
        <v>2.8174640000000001E-2</v>
      </c>
      <c r="U6635">
        <v>-0.69171139999999998</v>
      </c>
      <c r="V6635">
        <v>-5.0180679999999998E-2</v>
      </c>
      <c r="W6635">
        <v>0.2008491</v>
      </c>
      <c r="X6635">
        <v>0.97833610000000004</v>
      </c>
      <c r="Y6635">
        <v>0.21532309999999999</v>
      </c>
      <c r="Z6635">
        <v>-6.1205540000000005E-4</v>
      </c>
      <c r="AA6635">
        <v>0.97654269999999999</v>
      </c>
      <c r="AB6635">
        <v>26</v>
      </c>
      <c r="AC6635">
        <v>62.147500000000001</v>
      </c>
      <c r="AD6635">
        <v>0.56890300000000005</v>
      </c>
      <c r="AE6635">
        <v>-13.966898</v>
      </c>
      <c r="AF6635">
        <v>13.7458089277727</v>
      </c>
      <c r="AG6635">
        <v>0.56890300000000005</v>
      </c>
      <c r="AH6635">
        <v>62.191571045517499</v>
      </c>
      <c r="AI6635">
        <v>89.488246542109493</v>
      </c>
      <c r="AJ6635">
        <v>77.536649542638003</v>
      </c>
      <c r="AK6635">
        <v>63.6950737719323</v>
      </c>
      <c r="AL6635">
        <v>78.413383445760005</v>
      </c>
      <c r="AM6635">
        <v>92.936234070995894</v>
      </c>
      <c r="AN6635">
        <v>0.99999999308964105</v>
      </c>
    </row>
    <row r="6636" spans="1:40" x14ac:dyDescent="0.25">
      <c r="A6636" t="str">
        <f>"20190304154926466"</f>
        <v>20190304154926466</v>
      </c>
      <c r="B6636" t="str">
        <f>"1551685766463664"</f>
        <v>1551685766463664</v>
      </c>
      <c r="C6636" t="s">
        <v>40</v>
      </c>
      <c r="D6636">
        <v>3.90802</v>
      </c>
      <c r="E6636">
        <v>0.60441489999999998</v>
      </c>
      <c r="F6636" t="s">
        <v>92</v>
      </c>
      <c r="G6636">
        <v>-279.02</v>
      </c>
      <c r="H6636">
        <v>1.7004630000000001</v>
      </c>
      <c r="I6636">
        <v>2.8490489999999999</v>
      </c>
      <c r="J6636">
        <v>-340.97320000000002</v>
      </c>
      <c r="K6636">
        <v>1.1112649999999999</v>
      </c>
      <c r="L6636">
        <v>16.8035</v>
      </c>
      <c r="M6636">
        <v>0.99989930000000005</v>
      </c>
      <c r="N6636">
        <v>-1.3790180000000001E-2</v>
      </c>
      <c r="O6636">
        <v>-3.374672E-3</v>
      </c>
      <c r="P6636">
        <v>0.98121130000000001</v>
      </c>
      <c r="Q6636">
        <v>0.18723100000000001</v>
      </c>
      <c r="R6636">
        <v>4.6571000000000001E-2</v>
      </c>
      <c r="S6636">
        <v>3.0848390000000001</v>
      </c>
      <c r="T6636">
        <v>2.9246810000000002E-2</v>
      </c>
      <c r="U6636">
        <v>-0.69268799999999997</v>
      </c>
      <c r="V6636">
        <v>-4.9947779999999997E-2</v>
      </c>
      <c r="W6636">
        <v>0.20072570000000001</v>
      </c>
      <c r="X6636">
        <v>0.9783733</v>
      </c>
      <c r="Y6636">
        <v>0.21580160000000001</v>
      </c>
      <c r="Z6636">
        <v>-5.7350489999999897E-4</v>
      </c>
      <c r="AA6636">
        <v>0.97643709999999995</v>
      </c>
      <c r="AB6636">
        <v>26</v>
      </c>
      <c r="AC6636">
        <v>61.953200000000002</v>
      </c>
      <c r="AD6636">
        <v>0.589198</v>
      </c>
      <c r="AE6636">
        <v>-13.954451000000001</v>
      </c>
      <c r="AF6636">
        <v>13.744096839023401</v>
      </c>
      <c r="AG6636">
        <v>0.589198</v>
      </c>
      <c r="AH6636">
        <v>61.994606830783098</v>
      </c>
      <c r="AI6636">
        <v>89.468383189225094</v>
      </c>
      <c r="AJ6636">
        <v>77.4998032118163</v>
      </c>
      <c r="AK6636">
        <v>63.502587571744201</v>
      </c>
      <c r="AL6636">
        <v>78.420600229141399</v>
      </c>
      <c r="AM6636">
        <v>92.922519087356903</v>
      </c>
      <c r="AN6636">
        <v>0.99999995076015302</v>
      </c>
    </row>
    <row r="6637" spans="1:40" x14ac:dyDescent="0.25">
      <c r="A6637" t="str">
        <f>"20190304154926478"</f>
        <v>20190304154926478</v>
      </c>
      <c r="B6637" t="str">
        <f>"1551685766473425"</f>
        <v>1551685766473425</v>
      </c>
      <c r="C6637" t="s">
        <v>40</v>
      </c>
      <c r="D6637">
        <v>3.8887800000000001</v>
      </c>
      <c r="E6637">
        <v>0.6047555</v>
      </c>
      <c r="F6637" t="s">
        <v>92</v>
      </c>
      <c r="G6637">
        <v>-279.02</v>
      </c>
      <c r="H6637">
        <v>1.698393</v>
      </c>
      <c r="I6637">
        <v>2.8020079999999998</v>
      </c>
      <c r="J6637">
        <v>-340.83390000000003</v>
      </c>
      <c r="K6637">
        <v>1.11127</v>
      </c>
      <c r="L6637">
        <v>16.803159999999998</v>
      </c>
      <c r="M6637">
        <v>0.99989969999999995</v>
      </c>
      <c r="N6637">
        <v>-1.3789300000000001E-2</v>
      </c>
      <c r="O6637">
        <v>-3.2503100000000002E-3</v>
      </c>
      <c r="P6637">
        <v>0.98119579999999995</v>
      </c>
      <c r="Q6637">
        <v>0.1873553</v>
      </c>
      <c r="R6637">
        <v>4.6400660000000003E-2</v>
      </c>
      <c r="S6637">
        <v>3.0849609999999998</v>
      </c>
      <c r="T6637">
        <v>2.9236080000000001E-2</v>
      </c>
      <c r="U6637">
        <v>-0.69720459999999995</v>
      </c>
      <c r="V6637">
        <v>-4.9660049999999997E-2</v>
      </c>
      <c r="W6637">
        <v>0.2008481</v>
      </c>
      <c r="X6637">
        <v>0.97836290000000004</v>
      </c>
      <c r="Y6637">
        <v>0.2172751</v>
      </c>
      <c r="Z6637">
        <v>-5.7471589999999895E-4</v>
      </c>
      <c r="AA6637">
        <v>0.97611020000000004</v>
      </c>
      <c r="AB6637">
        <v>26</v>
      </c>
      <c r="AC6637">
        <v>61.813899999999997</v>
      </c>
      <c r="AD6637">
        <v>0.58712299999999995</v>
      </c>
      <c r="AE6637">
        <v>-14.001151999999999</v>
      </c>
      <c r="AF6637">
        <v>13.798960456695999</v>
      </c>
      <c r="AG6637">
        <v>0.58712299999999995</v>
      </c>
      <c r="AH6637">
        <v>61.853777918174004</v>
      </c>
      <c r="AI6637">
        <v>89.469205802315997</v>
      </c>
      <c r="AJ6637">
        <v>77.423819760790707</v>
      </c>
      <c r="AK6637">
        <v>63.377013702551302</v>
      </c>
      <c r="AL6637">
        <v>78.413442272621396</v>
      </c>
      <c r="AM6637">
        <v>92.905743345876104</v>
      </c>
      <c r="AN6637">
        <v>1.0000000219680101</v>
      </c>
    </row>
    <row r="6638" spans="1:40" x14ac:dyDescent="0.25">
      <c r="A6638" t="str">
        <f>"20190304154926489"</f>
        <v>20190304154926489</v>
      </c>
      <c r="B6638" t="str">
        <f>"1551685766484160"</f>
        <v>1551685766484160</v>
      </c>
      <c r="C6638" t="s">
        <v>40</v>
      </c>
      <c r="D6638">
        <v>3.8624079999999998</v>
      </c>
      <c r="E6638">
        <v>0.6047633</v>
      </c>
      <c r="F6638" t="s">
        <v>92</v>
      </c>
      <c r="G6638">
        <v>-279.02</v>
      </c>
      <c r="H6638">
        <v>1.707786</v>
      </c>
      <c r="I6638">
        <v>2.7713930000000002</v>
      </c>
      <c r="J6638">
        <v>-340.71409999999997</v>
      </c>
      <c r="K6638">
        <v>1.1112770000000001</v>
      </c>
      <c r="L6638">
        <v>16.802859999999999</v>
      </c>
      <c r="M6638">
        <v>0.99990020000000002</v>
      </c>
      <c r="N6638">
        <v>-1.378849E-2</v>
      </c>
      <c r="O6638">
        <v>-3.140285E-3</v>
      </c>
      <c r="P6638">
        <v>0.98118830000000001</v>
      </c>
      <c r="Q6638">
        <v>0.18734500000000001</v>
      </c>
      <c r="R6638">
        <v>4.6604369999999999E-2</v>
      </c>
      <c r="S6638">
        <v>3.0849609999999998</v>
      </c>
      <c r="T6638">
        <v>2.977049E-2</v>
      </c>
      <c r="U6638">
        <v>-0.70028690000000005</v>
      </c>
      <c r="V6638">
        <v>-4.9759089999999999E-2</v>
      </c>
      <c r="W6638">
        <v>0.20083599999999999</v>
      </c>
      <c r="X6638">
        <v>0.97836040000000002</v>
      </c>
      <c r="Y6638">
        <v>0.2183099</v>
      </c>
      <c r="Z6638">
        <v>-5.5661009999999995E-4</v>
      </c>
      <c r="AA6638">
        <v>0.97587930000000001</v>
      </c>
      <c r="AB6638">
        <v>26</v>
      </c>
      <c r="AC6638">
        <v>61.694099999999899</v>
      </c>
      <c r="AD6638">
        <v>0.59650899999999996</v>
      </c>
      <c r="AE6638">
        <v>-14.031466999999999</v>
      </c>
      <c r="AF6638">
        <v>13.8364124712046</v>
      </c>
      <c r="AG6638">
        <v>0.59650899999999996</v>
      </c>
      <c r="AH6638">
        <v>61.732375458981501</v>
      </c>
      <c r="AI6638">
        <v>89.459780593876502</v>
      </c>
      <c r="AJ6638">
        <v>77.366774550592694</v>
      </c>
      <c r="AK6638">
        <v>63.266802612974303</v>
      </c>
      <c r="AL6638">
        <v>78.414150525632806</v>
      </c>
      <c r="AM6638">
        <v>92.911535908997394</v>
      </c>
      <c r="AN6638">
        <v>1.0000000691108899</v>
      </c>
    </row>
    <row r="6639" spans="1:40" x14ac:dyDescent="0.25">
      <c r="A6639" t="str">
        <f>"20190304154926500"</f>
        <v>20190304154926500</v>
      </c>
      <c r="B6639" t="str">
        <f>"1551685766493920"</f>
        <v>1551685766493920</v>
      </c>
      <c r="C6639" t="s">
        <v>40</v>
      </c>
      <c r="D6639">
        <v>3.9957790000000002</v>
      </c>
      <c r="E6639">
        <v>0.60523930000000004</v>
      </c>
      <c r="F6639" t="s">
        <v>92</v>
      </c>
      <c r="G6639">
        <v>-279.02</v>
      </c>
      <c r="H6639">
        <v>1.7389859999999999</v>
      </c>
      <c r="I6639">
        <v>2.8055270000000001</v>
      </c>
      <c r="J6639">
        <v>-340.57740000000001</v>
      </c>
      <c r="K6639">
        <v>1.1112869999999999</v>
      </c>
      <c r="L6639">
        <v>16.802579999999999</v>
      </c>
      <c r="M6639">
        <v>0.99990040000000002</v>
      </c>
      <c r="N6639">
        <v>-1.378745E-2</v>
      </c>
      <c r="O6639">
        <v>-3.0091710000000002E-3</v>
      </c>
      <c r="P6639">
        <v>0.98123700000000003</v>
      </c>
      <c r="Q6639">
        <v>0.18709429999999999</v>
      </c>
      <c r="R6639">
        <v>4.6577439999999998E-2</v>
      </c>
      <c r="S6639">
        <v>3.0848080000000002</v>
      </c>
      <c r="T6639">
        <v>3.1386490000000003E-2</v>
      </c>
      <c r="U6639">
        <v>-0.69989009999999996</v>
      </c>
      <c r="V6639">
        <v>-4.9606810000000001E-2</v>
      </c>
      <c r="W6639">
        <v>0.2005847</v>
      </c>
      <c r="X6639">
        <v>0.97841959999999994</v>
      </c>
      <c r="Y6639">
        <v>0.21832860000000001</v>
      </c>
      <c r="Z6639">
        <v>-4.9850999999999997E-4</v>
      </c>
      <c r="AA6639">
        <v>0.97587520000000005</v>
      </c>
      <c r="AB6639">
        <v>26</v>
      </c>
      <c r="AC6639">
        <v>61.557400000000001</v>
      </c>
      <c r="AD6639">
        <v>0.62769900000000001</v>
      </c>
      <c r="AE6639">
        <v>-13.997052999999999</v>
      </c>
      <c r="AF6639">
        <v>13.810369876348799</v>
      </c>
      <c r="AG6639">
        <v>0.62769900000000001</v>
      </c>
      <c r="AH6639">
        <v>61.593155269889301</v>
      </c>
      <c r="AI6639">
        <v>89.430261011295102</v>
      </c>
      <c r="AJ6639">
        <v>77.362202847102907</v>
      </c>
      <c r="AK6639">
        <v>63.125566122268197</v>
      </c>
      <c r="AL6639">
        <v>78.428847059140097</v>
      </c>
      <c r="AM6639">
        <v>92.902465538522506</v>
      </c>
      <c r="AN6639">
        <v>0.99999998556831204</v>
      </c>
    </row>
    <row r="6640" spans="1:40" x14ac:dyDescent="0.25">
      <c r="A6640" t="str">
        <f>"20190304154926512"</f>
        <v>20190304154926512</v>
      </c>
      <c r="B6640" t="str">
        <f>"1551685766503680"</f>
        <v>1551685766503680</v>
      </c>
      <c r="C6640" t="s">
        <v>40</v>
      </c>
      <c r="D6640">
        <v>3.9666519999999998</v>
      </c>
      <c r="E6640">
        <v>0.6056705</v>
      </c>
      <c r="F6640" t="s">
        <v>92</v>
      </c>
      <c r="G6640">
        <v>-279.02</v>
      </c>
      <c r="H6640">
        <v>1.726694</v>
      </c>
      <c r="I6640">
        <v>2.7581250000000002</v>
      </c>
      <c r="J6640">
        <v>-340.4443</v>
      </c>
      <c r="K6640">
        <v>1.111291</v>
      </c>
      <c r="L6640">
        <v>16.802309999999999</v>
      </c>
      <c r="M6640">
        <v>0.99990080000000003</v>
      </c>
      <c r="N6640">
        <v>-1.3786390000000001E-2</v>
      </c>
      <c r="O6640">
        <v>-2.8799770000000001E-3</v>
      </c>
      <c r="P6640">
        <v>0.98118280000000002</v>
      </c>
      <c r="Q6640">
        <v>0.18736430000000001</v>
      </c>
      <c r="R6640">
        <v>4.6637190000000002E-2</v>
      </c>
      <c r="S6640">
        <v>3.0849000000000002</v>
      </c>
      <c r="T6640">
        <v>3.0840639999999999E-2</v>
      </c>
      <c r="U6640">
        <v>-0.70382690000000003</v>
      </c>
      <c r="V6640">
        <v>-4.9542450000000002E-2</v>
      </c>
      <c r="W6640">
        <v>0.20085230000000001</v>
      </c>
      <c r="X6640">
        <v>0.97836800000000002</v>
      </c>
      <c r="Y6640">
        <v>0.21963240000000001</v>
      </c>
      <c r="Z6640">
        <v>-5.1694830000000003E-4</v>
      </c>
      <c r="AA6640">
        <v>0.97558250000000002</v>
      </c>
      <c r="AB6640">
        <v>26</v>
      </c>
      <c r="AC6640">
        <v>61.424300000000002</v>
      </c>
      <c r="AD6640">
        <v>0.61540299999999903</v>
      </c>
      <c r="AE6640">
        <v>-14.044185000000001</v>
      </c>
      <c r="AF6640">
        <v>13.865886673543301</v>
      </c>
      <c r="AG6640">
        <v>0.61540299999999903</v>
      </c>
      <c r="AH6640">
        <v>61.458633374181503</v>
      </c>
      <c r="AI6640">
        <v>89.4403654074559</v>
      </c>
      <c r="AJ6640">
        <v>77.286173215239401</v>
      </c>
      <c r="AK6640">
        <v>63.006389757849298</v>
      </c>
      <c r="AL6640">
        <v>78.413196626027201</v>
      </c>
      <c r="AM6640">
        <v>92.898858918504502</v>
      </c>
      <c r="AN6640">
        <v>1.00000002209564</v>
      </c>
    </row>
    <row r="6641" spans="1:40" x14ac:dyDescent="0.25">
      <c r="A6641" t="str">
        <f>"20190304154926522"</f>
        <v>20190304154926522</v>
      </c>
      <c r="B6641" t="str">
        <f>"1551685766513441"</f>
        <v>1551685766513441</v>
      </c>
      <c r="C6641" t="s">
        <v>40</v>
      </c>
      <c r="D6641">
        <v>3.9823970000000002</v>
      </c>
      <c r="E6641">
        <v>0.60601289999999997</v>
      </c>
      <c r="F6641" t="s">
        <v>92</v>
      </c>
      <c r="G6641">
        <v>-279.02</v>
      </c>
      <c r="H6641">
        <v>1.748481</v>
      </c>
      <c r="I6641">
        <v>2.7196479999999998</v>
      </c>
      <c r="J6641">
        <v>-340.31889999999999</v>
      </c>
      <c r="K6641">
        <v>1.111294</v>
      </c>
      <c r="L6641">
        <v>16.80209</v>
      </c>
      <c r="M6641">
        <v>0.99990140000000005</v>
      </c>
      <c r="N6641">
        <v>-1.378535E-2</v>
      </c>
      <c r="O6641">
        <v>-2.7551089999999999E-3</v>
      </c>
      <c r="P6641">
        <v>0.98114449999999997</v>
      </c>
      <c r="Q6641">
        <v>0.18754589999999999</v>
      </c>
      <c r="R6641">
        <v>4.6717460000000002E-2</v>
      </c>
      <c r="S6641">
        <v>3.0850520000000001</v>
      </c>
      <c r="T6641">
        <v>3.2003049999999998E-2</v>
      </c>
      <c r="U6641">
        <v>-0.70730590000000004</v>
      </c>
      <c r="V6641">
        <v>-4.9501870000000003E-2</v>
      </c>
      <c r="W6641">
        <v>0.20103170000000001</v>
      </c>
      <c r="X6641">
        <v>0.97833320000000001</v>
      </c>
      <c r="Y6641">
        <v>0.22078890000000001</v>
      </c>
      <c r="Z6641">
        <v>-4.7659010000000002E-4</v>
      </c>
      <c r="AA6641">
        <v>0.97532149999999995</v>
      </c>
      <c r="AB6641">
        <v>26</v>
      </c>
      <c r="AC6641">
        <v>61.298900000000003</v>
      </c>
      <c r="AD6641">
        <v>0.63718699999999995</v>
      </c>
      <c r="AE6641">
        <v>-14.082442</v>
      </c>
      <c r="AF6641">
        <v>13.9120595268479</v>
      </c>
      <c r="AG6641">
        <v>0.63718699999999995</v>
      </c>
      <c r="AH6641">
        <v>61.331174977024197</v>
      </c>
      <c r="AI6641">
        <v>89.419505342365994</v>
      </c>
      <c r="AJ6641">
        <v>77.219582113752395</v>
      </c>
      <c r="AK6641">
        <v>62.892483108984401</v>
      </c>
      <c r="AL6641">
        <v>78.402703656670397</v>
      </c>
      <c r="AM6641">
        <v>92.896591375813003</v>
      </c>
      <c r="AN6641">
        <v>1.0000000148803101</v>
      </c>
    </row>
    <row r="6642" spans="1:40" x14ac:dyDescent="0.25">
      <c r="A6642" t="str">
        <f>"20190304154926533"</f>
        <v>20190304154926533</v>
      </c>
      <c r="B6642" t="str">
        <f>"1551685766524176"</f>
        <v>1551685766524176</v>
      </c>
      <c r="C6642" t="s">
        <v>40</v>
      </c>
      <c r="D6642">
        <v>3.9436140000000002</v>
      </c>
      <c r="E6642">
        <v>0.60634480000000002</v>
      </c>
      <c r="F6642" t="s">
        <v>92</v>
      </c>
      <c r="G6642">
        <v>-279.02</v>
      </c>
      <c r="H6642">
        <v>1.7583009999999999</v>
      </c>
      <c r="I6642">
        <v>2.6945779999999999</v>
      </c>
      <c r="J6642">
        <v>-340.19290000000001</v>
      </c>
      <c r="K6642">
        <v>1.111297</v>
      </c>
      <c r="L6642">
        <v>16.801880000000001</v>
      </c>
      <c r="M6642">
        <v>0.9999015</v>
      </c>
      <c r="N6642">
        <v>-1.3784289999999999E-2</v>
      </c>
      <c r="O6642">
        <v>-2.6289360000000001E-3</v>
      </c>
      <c r="P6642">
        <v>0.981155</v>
      </c>
      <c r="Q6642">
        <v>0.18749869999999999</v>
      </c>
      <c r="R6642">
        <v>4.6680239999999998E-2</v>
      </c>
      <c r="S6642">
        <v>3.0852659999999998</v>
      </c>
      <c r="T6642">
        <v>3.2564879999999997E-2</v>
      </c>
      <c r="U6642">
        <v>-0.71005249999999998</v>
      </c>
      <c r="V6642">
        <v>-4.934235E-2</v>
      </c>
      <c r="W6642">
        <v>0.20098360000000001</v>
      </c>
      <c r="X6642">
        <v>0.97835110000000003</v>
      </c>
      <c r="Y6642">
        <v>0.2217218</v>
      </c>
      <c r="Z6642">
        <v>-4.5606839999999999E-4</v>
      </c>
      <c r="AA6642">
        <v>0.97510989999999997</v>
      </c>
      <c r="AB6642">
        <v>26</v>
      </c>
      <c r="AC6642">
        <v>61.172899999999998</v>
      </c>
      <c r="AD6642">
        <v>0.64700399999999902</v>
      </c>
      <c r="AE6642">
        <v>-14.107301999999899</v>
      </c>
      <c r="AF6642">
        <v>13.9449371324651</v>
      </c>
      <c r="AG6642">
        <v>0.64700399999999902</v>
      </c>
      <c r="AH6642">
        <v>61.203278486704498</v>
      </c>
      <c r="AI6642">
        <v>89.409459845761305</v>
      </c>
      <c r="AJ6642">
        <v>77.164491667529802</v>
      </c>
      <c r="AK6642">
        <v>62.775163745907797</v>
      </c>
      <c r="AL6642">
        <v>78.405516535258499</v>
      </c>
      <c r="AM6642">
        <v>92.887220180302194</v>
      </c>
      <c r="AN6642">
        <v>0.999999974921846</v>
      </c>
    </row>
    <row r="6643" spans="1:40" x14ac:dyDescent="0.25">
      <c r="A6643" t="str">
        <f>"20190304154926544"</f>
        <v>20190304154926544</v>
      </c>
      <c r="B6643" t="str">
        <f>"1551685766533936"</f>
        <v>1551685766533936</v>
      </c>
      <c r="C6643" t="s">
        <v>40</v>
      </c>
      <c r="D6643">
        <v>4.0161949999999997</v>
      </c>
      <c r="E6643">
        <v>0.60675159999999995</v>
      </c>
      <c r="F6643" t="s">
        <v>92</v>
      </c>
      <c r="G6643">
        <v>-279.02</v>
      </c>
      <c r="H6643">
        <v>1.7614209999999999</v>
      </c>
      <c r="I6643">
        <v>2.6658759999999999</v>
      </c>
      <c r="J6643">
        <v>-340.06099999999998</v>
      </c>
      <c r="K6643">
        <v>1.1113</v>
      </c>
      <c r="L6643">
        <v>16.801639999999999</v>
      </c>
      <c r="M6643">
        <v>0.99990199999999996</v>
      </c>
      <c r="N6643">
        <v>-1.3783159999999999E-2</v>
      </c>
      <c r="O6643">
        <v>-2.495751E-3</v>
      </c>
      <c r="P6643">
        <v>0.98116389999999998</v>
      </c>
      <c r="Q6643">
        <v>0.18739690000000001</v>
      </c>
      <c r="R6643">
        <v>4.6904439999999999E-2</v>
      </c>
      <c r="S6643">
        <v>3.0852659999999998</v>
      </c>
      <c r="T6643">
        <v>3.2789110000000003E-2</v>
      </c>
      <c r="U6643">
        <v>-0.71295169999999997</v>
      </c>
      <c r="V6643">
        <v>-4.9436720000000003E-2</v>
      </c>
      <c r="W6643">
        <v>0.2008808</v>
      </c>
      <c r="X6643">
        <v>0.9783674</v>
      </c>
      <c r="Y6643">
        <v>0.22272149999999999</v>
      </c>
      <c r="Z6643">
        <v>-4.4697520000000002E-4</v>
      </c>
      <c r="AA6643">
        <v>0.97488200000000003</v>
      </c>
      <c r="AB6643">
        <v>26</v>
      </c>
      <c r="AC6643">
        <v>61.040999999999997</v>
      </c>
      <c r="AD6643">
        <v>0.65012099999999995</v>
      </c>
      <c r="AE6643">
        <v>-14.135763999999901</v>
      </c>
      <c r="AF6643">
        <v>13.9818570760805</v>
      </c>
      <c r="AG6643">
        <v>0.65012099999999995</v>
      </c>
      <c r="AH6643">
        <v>61.069517759924601</v>
      </c>
      <c r="AI6643">
        <v>89.405457907220296</v>
      </c>
      <c r="AJ6643">
        <v>77.104394582803707</v>
      </c>
      <c r="AK6643">
        <v>62.653020550012897</v>
      </c>
      <c r="AL6643">
        <v>78.411528608050205</v>
      </c>
      <c r="AM6643">
        <v>92.892684667895494</v>
      </c>
      <c r="AN6643">
        <v>0.99999992723787601</v>
      </c>
    </row>
    <row r="6644" spans="1:40" x14ac:dyDescent="0.25">
      <c r="A6644" t="str">
        <f>"20190304154926556"</f>
        <v>20190304154926556</v>
      </c>
      <c r="B6644" t="str">
        <f>"1551685766553456"</f>
        <v>1551685766553456</v>
      </c>
      <c r="C6644" t="s">
        <v>40</v>
      </c>
      <c r="D6644">
        <v>4.0044779999999998</v>
      </c>
      <c r="E6644">
        <v>0.60731979999999997</v>
      </c>
      <c r="F6644" t="s">
        <v>92</v>
      </c>
      <c r="G6644">
        <v>-279.02</v>
      </c>
      <c r="H6644">
        <v>1.77538</v>
      </c>
      <c r="I6644">
        <v>2.6459579999999998</v>
      </c>
      <c r="J6644">
        <v>-339.93579999999997</v>
      </c>
      <c r="K6644">
        <v>1.111302</v>
      </c>
      <c r="L6644">
        <v>16.801479999999898</v>
      </c>
      <c r="M6644">
        <v>0.99990219999999996</v>
      </c>
      <c r="N6644">
        <v>-1.378209E-2</v>
      </c>
      <c r="O6644">
        <v>-2.36937E-3</v>
      </c>
      <c r="P6644">
        <v>0.98111930000000003</v>
      </c>
      <c r="Q6644">
        <v>0.18757860000000001</v>
      </c>
      <c r="R6644">
        <v>4.7107780000000002E-2</v>
      </c>
      <c r="S6644">
        <v>3.085388</v>
      </c>
      <c r="T6644">
        <v>3.356671E-2</v>
      </c>
      <c r="U6644">
        <v>-0.71551509999999996</v>
      </c>
      <c r="V6644">
        <v>-4.9516039999999997E-2</v>
      </c>
      <c r="W6644">
        <v>0.20106019999999999</v>
      </c>
      <c r="X6644">
        <v>0.97832660000000005</v>
      </c>
      <c r="Y6644">
        <v>0.22360469999999999</v>
      </c>
      <c r="Z6644">
        <v>-4.1841060000000002E-4</v>
      </c>
      <c r="AA6644">
        <v>0.97467979999999999</v>
      </c>
      <c r="AB6644">
        <v>26</v>
      </c>
      <c r="AC6644">
        <v>60.915799999999898</v>
      </c>
      <c r="AD6644">
        <v>0.66407799999999995</v>
      </c>
      <c r="AE6644">
        <v>-14.1555219999999</v>
      </c>
      <c r="AF6644">
        <v>14.009556822898</v>
      </c>
      <c r="AG6644">
        <v>0.66407799999999995</v>
      </c>
      <c r="AH6644">
        <v>60.942300254677598</v>
      </c>
      <c r="AI6644">
        <v>89.391551035298207</v>
      </c>
      <c r="AJ6644">
        <v>77.053639944588397</v>
      </c>
      <c r="AK6644">
        <v>62.535371129428597</v>
      </c>
      <c r="AL6644">
        <v>78.401036389189898</v>
      </c>
      <c r="AM6644">
        <v>92.897438630984695</v>
      </c>
      <c r="AN6644">
        <v>0.99999998925444</v>
      </c>
    </row>
    <row r="6645" spans="1:40" x14ac:dyDescent="0.25">
      <c r="A6645" t="str">
        <f>"20190304154926566"</f>
        <v>20190304154926566</v>
      </c>
      <c r="B6645" t="str">
        <f>"1551685766564192"</f>
        <v>1551685766564192</v>
      </c>
      <c r="C6645" t="s">
        <v>40</v>
      </c>
      <c r="D6645">
        <v>3.9957600000000002</v>
      </c>
      <c r="E6645">
        <v>0.6075971</v>
      </c>
      <c r="F6645" t="s">
        <v>92</v>
      </c>
      <c r="G6645">
        <v>-279.02</v>
      </c>
      <c r="H6645">
        <v>1.8128610000000001</v>
      </c>
      <c r="I6645">
        <v>2.600552</v>
      </c>
      <c r="J6645">
        <v>-339.80799999999999</v>
      </c>
      <c r="K6645">
        <v>1.111305</v>
      </c>
      <c r="L6645">
        <v>16.80133</v>
      </c>
      <c r="M6645">
        <v>0.99990259999999997</v>
      </c>
      <c r="N6645">
        <v>-1.3781E-2</v>
      </c>
      <c r="O6645">
        <v>-2.2399030000000001E-3</v>
      </c>
      <c r="P6645">
        <v>0.9810662</v>
      </c>
      <c r="Q6645">
        <v>0.18778719999999999</v>
      </c>
      <c r="R6645">
        <v>4.7385530000000002E-2</v>
      </c>
      <c r="S6645">
        <v>3.08548</v>
      </c>
      <c r="T6645">
        <v>3.55351E-2</v>
      </c>
      <c r="U6645">
        <v>-0.71929929999999997</v>
      </c>
      <c r="V6645">
        <v>-4.9666889999999998E-2</v>
      </c>
      <c r="W6645">
        <v>0.20126759999999999</v>
      </c>
      <c r="X6645">
        <v>0.97827629999999999</v>
      </c>
      <c r="Y6645">
        <v>0.2248579</v>
      </c>
      <c r="Z6645">
        <v>-3.4819799999999998E-4</v>
      </c>
      <c r="AA6645">
        <v>0.97439149999999997</v>
      </c>
      <c r="AB6645">
        <v>26</v>
      </c>
      <c r="AC6645">
        <v>60.787999999999997</v>
      </c>
      <c r="AD6645">
        <v>0.70155599999999996</v>
      </c>
      <c r="AE6645">
        <v>-14.200778</v>
      </c>
      <c r="AF6645">
        <v>14.0627940589321</v>
      </c>
      <c r="AG6645">
        <v>0.70155599999999996</v>
      </c>
      <c r="AH6645">
        <v>60.811978161202802</v>
      </c>
      <c r="AI6645">
        <v>89.356030823750899</v>
      </c>
      <c r="AJ6645">
        <v>76.979211132300094</v>
      </c>
      <c r="AK6645">
        <v>62.420758129356898</v>
      </c>
      <c r="AL6645">
        <v>78.388905180680595</v>
      </c>
      <c r="AM6645">
        <v>92.906399706226097</v>
      </c>
      <c r="AN6645">
        <v>0.99999998295685999</v>
      </c>
    </row>
    <row r="6646" spans="1:40" x14ac:dyDescent="0.25">
      <c r="A6646" t="str">
        <f>"20190304154926577"</f>
        <v>20190304154926577</v>
      </c>
      <c r="B6646" t="str">
        <f>"1551685766573952"</f>
        <v>1551685766573952</v>
      </c>
      <c r="C6646" t="s">
        <v>40</v>
      </c>
      <c r="D6646">
        <v>3.9802379999999999</v>
      </c>
      <c r="E6646">
        <v>0.6075971</v>
      </c>
      <c r="F6646" t="s">
        <v>92</v>
      </c>
      <c r="G6646">
        <v>-279.02</v>
      </c>
      <c r="H6646">
        <v>1.849702</v>
      </c>
      <c r="I6646">
        <v>2.6052300000000002</v>
      </c>
      <c r="J6646">
        <v>-339.68490000000003</v>
      </c>
      <c r="K6646">
        <v>1.111307</v>
      </c>
      <c r="L6646">
        <v>16.801179999999999</v>
      </c>
      <c r="M6646">
        <v>0.99990290000000004</v>
      </c>
      <c r="N6646">
        <v>-1.3779929999999999E-2</v>
      </c>
      <c r="O6646">
        <v>-2.1158069999999999E-3</v>
      </c>
      <c r="P6646">
        <v>0.98100310000000002</v>
      </c>
      <c r="Q6646">
        <v>0.18802450000000001</v>
      </c>
      <c r="R6646">
        <v>4.7745679999999999E-2</v>
      </c>
      <c r="S6646">
        <v>3.0855410000000001</v>
      </c>
      <c r="T6646">
        <v>3.7480350000000003E-2</v>
      </c>
      <c r="U6646">
        <v>-0.72058109999999997</v>
      </c>
      <c r="V6646">
        <v>-4.9905119999999997E-2</v>
      </c>
      <c r="W6646">
        <v>0.20150299999999999</v>
      </c>
      <c r="X6646">
        <v>0.97821579999999997</v>
      </c>
      <c r="Y6646">
        <v>0.2253578</v>
      </c>
      <c r="Z6646">
        <v>-2.7700819999999999E-4</v>
      </c>
      <c r="AA6646">
        <v>0.97427600000000003</v>
      </c>
      <c r="AB6646">
        <v>26</v>
      </c>
      <c r="AC6646">
        <v>60.664900000000003</v>
      </c>
      <c r="AD6646">
        <v>0.73839499999999902</v>
      </c>
      <c r="AE6646">
        <v>-14.19595</v>
      </c>
      <c r="AF6646">
        <v>14.0655751859919</v>
      </c>
      <c r="AG6646">
        <v>0.73839499999999902</v>
      </c>
      <c r="AH6646">
        <v>60.686278996579802</v>
      </c>
      <c r="AI6646">
        <v>89.320893366889607</v>
      </c>
      <c r="AJ6646">
        <v>76.950671104776504</v>
      </c>
      <c r="AK6646">
        <v>62.299358671976201</v>
      </c>
      <c r="AL6646">
        <v>78.375136620271704</v>
      </c>
      <c r="AM6646">
        <v>92.920496641083801</v>
      </c>
      <c r="AN6646">
        <v>1.00000006569042</v>
      </c>
    </row>
    <row r="6647" spans="1:40" x14ac:dyDescent="0.25">
      <c r="A6647" t="str">
        <f>"20190304154926589"</f>
        <v>20190304154926589</v>
      </c>
      <c r="B6647" t="str">
        <f>"1551685766583713"</f>
        <v>1551685766583713</v>
      </c>
      <c r="C6647" t="s">
        <v>40</v>
      </c>
      <c r="D6647">
        <v>3.9651390000000002</v>
      </c>
      <c r="E6647">
        <v>0.607819199999999</v>
      </c>
      <c r="F6647" t="s">
        <v>92</v>
      </c>
      <c r="G6647">
        <v>-279.02</v>
      </c>
      <c r="H6647">
        <v>1.8645320000000001</v>
      </c>
      <c r="I6647">
        <v>2.6571410000000002</v>
      </c>
      <c r="J6647">
        <v>-339.54390000000001</v>
      </c>
      <c r="K6647">
        <v>1.1113059999999999</v>
      </c>
      <c r="L6647">
        <v>16.801029999999901</v>
      </c>
      <c r="M6647">
        <v>0.99990310000000004</v>
      </c>
      <c r="N6647">
        <v>-1.377869E-2</v>
      </c>
      <c r="O6647">
        <v>-1.9739559999999998E-3</v>
      </c>
      <c r="P6647">
        <v>0.9809099</v>
      </c>
      <c r="Q6647">
        <v>0.18835209999999999</v>
      </c>
      <c r="R6647">
        <v>4.8367710000000001E-2</v>
      </c>
      <c r="S6647">
        <v>3.085785</v>
      </c>
      <c r="T6647">
        <v>3.8313630000000001E-2</v>
      </c>
      <c r="U6647">
        <v>-0.71945190000000003</v>
      </c>
      <c r="V6647">
        <v>-5.0387719999999997E-2</v>
      </c>
      <c r="W6647">
        <v>0.2018276</v>
      </c>
      <c r="X6647">
        <v>0.97812410000000005</v>
      </c>
      <c r="Y6647">
        <v>0.22514049999999999</v>
      </c>
      <c r="Z6647">
        <v>-2.4353760000000001E-4</v>
      </c>
      <c r="AA6647">
        <v>0.97432629999999998</v>
      </c>
      <c r="AB6647">
        <v>26</v>
      </c>
      <c r="AC6647">
        <v>60.523899999999998</v>
      </c>
      <c r="AD6647">
        <v>0.75322599999999995</v>
      </c>
      <c r="AE6647">
        <v>-14.1438889999999</v>
      </c>
      <c r="AF6647">
        <v>14.022319256750199</v>
      </c>
      <c r="AG6647">
        <v>0.75322599999999995</v>
      </c>
      <c r="AH6647">
        <v>60.542812794057198</v>
      </c>
      <c r="AI6647">
        <v>89.305587874634895</v>
      </c>
      <c r="AJ6647">
        <v>76.9596562528628</v>
      </c>
      <c r="AK6647">
        <v>62.150019853267601</v>
      </c>
      <c r="AL6647">
        <v>78.356147850054697</v>
      </c>
      <c r="AM6647">
        <v>92.948965218012304</v>
      </c>
      <c r="AN6647">
        <v>1.00000002872468</v>
      </c>
    </row>
    <row r="6648" spans="1:40" x14ac:dyDescent="0.25">
      <c r="A6648" t="str">
        <f>"20190304154926602"</f>
        <v>20190304154926602</v>
      </c>
      <c r="B6648" t="str">
        <f>"1551685766593473"</f>
        <v>1551685766593473</v>
      </c>
      <c r="C6648" t="s">
        <v>40</v>
      </c>
      <c r="D6648">
        <v>3.9287969999999999</v>
      </c>
      <c r="E6648">
        <v>0.60800399999999999</v>
      </c>
      <c r="F6648" t="s">
        <v>92</v>
      </c>
      <c r="G6648">
        <v>-279.02</v>
      </c>
      <c r="H6648">
        <v>1.904031</v>
      </c>
      <c r="I6648">
        <v>2.6942539999999999</v>
      </c>
      <c r="J6648">
        <v>-339.40839999999997</v>
      </c>
      <c r="K6648">
        <v>1.1113</v>
      </c>
      <c r="L6648">
        <v>16.800929999999902</v>
      </c>
      <c r="M6648">
        <v>0.99990349999999995</v>
      </c>
      <c r="N6648">
        <v>-1.377747E-2</v>
      </c>
      <c r="O6648">
        <v>-1.8389050000000001E-3</v>
      </c>
      <c r="P6648">
        <v>0.98092789999999996</v>
      </c>
      <c r="Q6648">
        <v>0.18816759999999999</v>
      </c>
      <c r="R6648">
        <v>4.871996E-2</v>
      </c>
      <c r="S6648">
        <v>3.08609</v>
      </c>
      <c r="T6648">
        <v>4.0420770000000002E-2</v>
      </c>
      <c r="U6648">
        <v>-0.71929929999999997</v>
      </c>
      <c r="V6648">
        <v>-5.0607510000000001E-2</v>
      </c>
      <c r="W6648">
        <v>0.20164219999999999</v>
      </c>
      <c r="X6648">
        <v>0.97815099999999999</v>
      </c>
      <c r="Y6648">
        <v>0.2252043</v>
      </c>
      <c r="Z6648">
        <v>-1.6545430000000001E-4</v>
      </c>
      <c r="AA6648">
        <v>0.9743115</v>
      </c>
      <c r="AB6648">
        <v>26</v>
      </c>
      <c r="AC6648">
        <v>60.388399999999898</v>
      </c>
      <c r="AD6648">
        <v>0.79273099999999996</v>
      </c>
      <c r="AE6648">
        <v>-14.106675999999901</v>
      </c>
      <c r="AF6648">
        <v>13.9933064841247</v>
      </c>
      <c r="AG6648">
        <v>0.79273099999999996</v>
      </c>
      <c r="AH6648">
        <v>60.404370695271503</v>
      </c>
      <c r="AI6648">
        <v>89.267504696292093</v>
      </c>
      <c r="AJ6648">
        <v>76.956908917384595</v>
      </c>
      <c r="AK6648">
        <v>62.009104556418102</v>
      </c>
      <c r="AL6648">
        <v>78.366993579081097</v>
      </c>
      <c r="AM6648">
        <v>92.961724371164195</v>
      </c>
      <c r="AN6648">
        <v>1.0000000378451099</v>
      </c>
    </row>
    <row r="6649" spans="1:40" x14ac:dyDescent="0.25">
      <c r="A6649" t="str">
        <f>"20190304154926612"</f>
        <v>20190304154926612</v>
      </c>
      <c r="B6649" t="str">
        <f>"1551685766604209"</f>
        <v>1551685766604209</v>
      </c>
      <c r="C6649" t="s">
        <v>40</v>
      </c>
      <c r="D6649">
        <v>4.0966250000000004</v>
      </c>
      <c r="E6649">
        <v>0.60833349999999997</v>
      </c>
      <c r="F6649" t="s">
        <v>92</v>
      </c>
      <c r="G6649">
        <v>-279.02</v>
      </c>
      <c r="H6649">
        <v>1.932714</v>
      </c>
      <c r="I6649">
        <v>2.71278</v>
      </c>
      <c r="J6649">
        <v>-339.28129999999999</v>
      </c>
      <c r="K6649">
        <v>1.1113</v>
      </c>
      <c r="L6649">
        <v>16.800809999999998</v>
      </c>
      <c r="M6649">
        <v>0.9999036</v>
      </c>
      <c r="N6649">
        <v>-1.37763E-2</v>
      </c>
      <c r="O6649">
        <v>-1.712437E-3</v>
      </c>
      <c r="P6649">
        <v>0.98086490000000004</v>
      </c>
      <c r="Q6649">
        <v>0.18834509999999999</v>
      </c>
      <c r="R6649">
        <v>4.9294150000000002E-2</v>
      </c>
      <c r="S6649">
        <v>3.0859990000000002</v>
      </c>
      <c r="T6649">
        <v>4.1976329999999999E-2</v>
      </c>
      <c r="U6649">
        <v>-0.71994019999999903</v>
      </c>
      <c r="V6649">
        <v>-5.1057100000000001E-2</v>
      </c>
      <c r="W6649">
        <v>0.20181779999999999</v>
      </c>
      <c r="X6649">
        <v>0.97809140000000006</v>
      </c>
      <c r="Y6649">
        <v>0.22552510000000001</v>
      </c>
      <c r="Z6649">
        <v>-1.06934E-4</v>
      </c>
      <c r="AA6649">
        <v>0.97423729999999997</v>
      </c>
      <c r="AB6649">
        <v>26</v>
      </c>
      <c r="AC6649">
        <v>60.261299999999999</v>
      </c>
      <c r="AD6649">
        <v>0.82141399999999998</v>
      </c>
      <c r="AE6649">
        <v>-14.08803</v>
      </c>
      <c r="AF6649">
        <v>13.982342564038101</v>
      </c>
      <c r="AG6649">
        <v>0.82141399999999998</v>
      </c>
      <c r="AH6649">
        <v>60.274720057344602</v>
      </c>
      <c r="AI6649">
        <v>89.239424753878396</v>
      </c>
      <c r="AJ6649">
        <v>76.939704985419894</v>
      </c>
      <c r="AK6649">
        <v>61.880711878005798</v>
      </c>
      <c r="AL6649">
        <v>78.356721034713303</v>
      </c>
      <c r="AM6649">
        <v>92.988170186823695</v>
      </c>
      <c r="AN6649">
        <v>1.0000000193056</v>
      </c>
    </row>
    <row r="6650" spans="1:40" x14ac:dyDescent="0.25">
      <c r="A6650" t="str">
        <f>"20190304154926623"</f>
        <v>20190304154926623</v>
      </c>
      <c r="B6650" t="str">
        <f>"1551685766613968"</f>
        <v>1551685766613968</v>
      </c>
      <c r="C6650" t="s">
        <v>40</v>
      </c>
      <c r="D6650">
        <v>3.9812609999999999</v>
      </c>
      <c r="E6650">
        <v>0.60841210000000001</v>
      </c>
      <c r="F6650" t="s">
        <v>92</v>
      </c>
      <c r="G6650">
        <v>-279.02</v>
      </c>
      <c r="H6650">
        <v>1.9677659999999999</v>
      </c>
      <c r="I6650">
        <v>2.7276039999999999</v>
      </c>
      <c r="J6650">
        <v>-339.15339999999998</v>
      </c>
      <c r="K6650">
        <v>1.111299</v>
      </c>
      <c r="L6650">
        <v>16.800719999999998</v>
      </c>
      <c r="M6650">
        <v>0.99990400000000002</v>
      </c>
      <c r="N6650">
        <v>-1.377513E-2</v>
      </c>
      <c r="O6650">
        <v>-1.58656799999999E-3</v>
      </c>
      <c r="P6650">
        <v>0.98081339999999995</v>
      </c>
      <c r="Q6650">
        <v>0.18850710000000001</v>
      </c>
      <c r="R6650">
        <v>4.970318E-2</v>
      </c>
      <c r="S6650">
        <v>3.0863040000000002</v>
      </c>
      <c r="T6650">
        <v>4.386425E-2</v>
      </c>
      <c r="U6650">
        <v>-0.72076419999999997</v>
      </c>
      <c r="V6650">
        <v>-5.1341730000000002E-2</v>
      </c>
      <c r="W6650">
        <v>0.20197789999999999</v>
      </c>
      <c r="X6650">
        <v>0.97804340000000001</v>
      </c>
      <c r="Y6650">
        <v>0.2258722</v>
      </c>
      <c r="Z6650" s="1">
        <v>-3.6523209999999997E-5</v>
      </c>
      <c r="AA6650">
        <v>0.97415700000000005</v>
      </c>
      <c r="AB6650">
        <v>26</v>
      </c>
      <c r="AC6650">
        <v>60.133400000000002</v>
      </c>
      <c r="AD6650">
        <v>0.85646699999999898</v>
      </c>
      <c r="AE6650">
        <v>-14.073116000000001</v>
      </c>
      <c r="AF6650">
        <v>13.9749958005637</v>
      </c>
      <c r="AG6650">
        <v>0.85646699999999898</v>
      </c>
      <c r="AH6650">
        <v>60.144087270144702</v>
      </c>
      <c r="AI6650">
        <v>89.205316627850394</v>
      </c>
      <c r="AJ6650">
        <v>76.918953694016395</v>
      </c>
      <c r="AK6650">
        <v>61.752289649102501</v>
      </c>
      <c r="AL6650">
        <v>78.347354507379904</v>
      </c>
      <c r="AM6650">
        <v>93.004945210569502</v>
      </c>
      <c r="AN6650">
        <v>0.99999996880568098</v>
      </c>
    </row>
    <row r="6651" spans="1:40" x14ac:dyDescent="0.25">
      <c r="A6651" t="str">
        <f>"20190304154926635"</f>
        <v>20190304154926635</v>
      </c>
      <c r="B6651" t="str">
        <f>"1551685766623728"</f>
        <v>1551685766623728</v>
      </c>
      <c r="C6651" t="s">
        <v>40</v>
      </c>
      <c r="D6651">
        <v>4.1153060000000004</v>
      </c>
      <c r="E6651">
        <v>0.60869659999999903</v>
      </c>
      <c r="F6651" t="s">
        <v>92</v>
      </c>
      <c r="G6651">
        <v>-279.02</v>
      </c>
      <c r="H6651">
        <v>2.0000960000000001</v>
      </c>
      <c r="I6651">
        <v>2.7707540000000002</v>
      </c>
      <c r="J6651">
        <v>-339.01859999999999</v>
      </c>
      <c r="K6651">
        <v>1.1112949999999999</v>
      </c>
      <c r="L6651">
        <v>16.800660000000001</v>
      </c>
      <c r="M6651">
        <v>0.99990409999999996</v>
      </c>
      <c r="N6651">
        <v>-1.377389E-2</v>
      </c>
      <c r="O6651">
        <v>-1.454143E-3</v>
      </c>
      <c r="P6651">
        <v>0.98077829999999999</v>
      </c>
      <c r="Q6651">
        <v>0.18859119999999999</v>
      </c>
      <c r="R6651">
        <v>5.0072499999999999E-2</v>
      </c>
      <c r="S6651">
        <v>3.0863649999999998</v>
      </c>
      <c r="T6651">
        <v>4.5617820000000003E-2</v>
      </c>
      <c r="U6651">
        <v>-0.72009279999999998</v>
      </c>
      <c r="V6651">
        <v>-5.1580540000000001E-2</v>
      </c>
      <c r="W6651">
        <v>0.20206060000000001</v>
      </c>
      <c r="X6651">
        <v>0.97801380000000004</v>
      </c>
      <c r="Y6651">
        <v>0.2257951</v>
      </c>
      <c r="Z6651" s="1">
        <v>2.9787190000000001E-5</v>
      </c>
      <c r="AA6651">
        <v>0.97417480000000001</v>
      </c>
      <c r="AB6651">
        <v>26</v>
      </c>
      <c r="AC6651">
        <v>59.998600000000003</v>
      </c>
      <c r="AD6651">
        <v>0.88880099999999995</v>
      </c>
      <c r="AE6651">
        <v>-14.029906</v>
      </c>
      <c r="AF6651">
        <v>13.939735925204101</v>
      </c>
      <c r="AG6651">
        <v>0.88880099999999995</v>
      </c>
      <c r="AH6651">
        <v>60.006454529443303</v>
      </c>
      <c r="AI6651">
        <v>89.173417989300106</v>
      </c>
      <c r="AJ6651">
        <v>76.921924885091499</v>
      </c>
      <c r="AK6651">
        <v>61.610719765931798</v>
      </c>
      <c r="AL6651">
        <v>78.342516944797794</v>
      </c>
      <c r="AM6651">
        <v>93.018987762966105</v>
      </c>
      <c r="AN6651">
        <v>1.0000000155847399</v>
      </c>
    </row>
    <row r="6652" spans="1:40" x14ac:dyDescent="0.25">
      <c r="A6652" t="str">
        <f>"20190304154926648"</f>
        <v>20190304154926648</v>
      </c>
      <c r="B6652" t="str">
        <f>"1551685766644225"</f>
        <v>1551685766644225</v>
      </c>
      <c r="C6652" t="s">
        <v>40</v>
      </c>
      <c r="D6652">
        <v>4.1567030000000003</v>
      </c>
      <c r="E6652">
        <v>0.60925940000000001</v>
      </c>
      <c r="F6652" t="s">
        <v>92</v>
      </c>
      <c r="G6652">
        <v>-279.02</v>
      </c>
      <c r="H6652">
        <v>2.0242239999999998</v>
      </c>
      <c r="I6652">
        <v>2.7853129999999999</v>
      </c>
      <c r="J6652">
        <v>-338.87299999999999</v>
      </c>
      <c r="K6652">
        <v>1.1112979999999999</v>
      </c>
      <c r="L6652">
        <v>16.800629999999899</v>
      </c>
      <c r="M6652">
        <v>0.99990429999999997</v>
      </c>
      <c r="N6652">
        <v>-1.377255E-2</v>
      </c>
      <c r="O6652">
        <v>-1.3120639999999999E-3</v>
      </c>
      <c r="P6652">
        <v>0.98075380000000001</v>
      </c>
      <c r="Q6652">
        <v>0.18859119999999999</v>
      </c>
      <c r="R6652">
        <v>5.0552720000000002E-2</v>
      </c>
      <c r="S6652">
        <v>3.0865779999999998</v>
      </c>
      <c r="T6652">
        <v>4.6964880000000001E-2</v>
      </c>
      <c r="U6652">
        <v>-0.72100830000000005</v>
      </c>
      <c r="V6652">
        <v>-5.1921000000000002E-2</v>
      </c>
      <c r="W6652">
        <v>0.20205870000000001</v>
      </c>
      <c r="X6652">
        <v>0.97799619999999998</v>
      </c>
      <c r="Y6652">
        <v>0.2261918</v>
      </c>
      <c r="Z6652" s="1">
        <v>8.1986189999999997E-5</v>
      </c>
      <c r="AA6652">
        <v>0.97408280000000003</v>
      </c>
      <c r="AB6652">
        <v>26</v>
      </c>
      <c r="AC6652">
        <v>59.853000000000002</v>
      </c>
      <c r="AD6652">
        <v>0.91292600000000002</v>
      </c>
      <c r="AE6652">
        <v>-14.0153169999999</v>
      </c>
      <c r="AF6652">
        <v>13.933693379416001</v>
      </c>
      <c r="AG6652">
        <v>0.91292600000000002</v>
      </c>
      <c r="AH6652">
        <v>59.858137224163002</v>
      </c>
      <c r="AI6652">
        <v>89.148970774788907</v>
      </c>
      <c r="AJ6652">
        <v>76.896124165728594</v>
      </c>
      <c r="AK6652">
        <v>61.465257154101202</v>
      </c>
      <c r="AL6652">
        <v>78.342628362744705</v>
      </c>
      <c r="AM6652">
        <v>93.038932104016595</v>
      </c>
      <c r="AN6652">
        <v>1.00000003785056</v>
      </c>
    </row>
    <row r="6653" spans="1:40" x14ac:dyDescent="0.25">
      <c r="A6653" t="str">
        <f>"20190304154926662"</f>
        <v>20190304154926662</v>
      </c>
      <c r="B6653" t="str">
        <f>"1551685766653984"</f>
        <v>1551685766653984</v>
      </c>
      <c r="C6653" t="s">
        <v>40</v>
      </c>
      <c r="D6653">
        <v>4.0375329999999998</v>
      </c>
      <c r="E6653">
        <v>0.60937719999999995</v>
      </c>
      <c r="F6653" t="s">
        <v>92</v>
      </c>
      <c r="G6653">
        <v>-279.02</v>
      </c>
      <c r="H6653">
        <v>2.06664</v>
      </c>
      <c r="I6653">
        <v>2.76363</v>
      </c>
      <c r="J6653">
        <v>-338.70690000000002</v>
      </c>
      <c r="K6653">
        <v>1.1112979999999999</v>
      </c>
      <c r="L6653">
        <v>16.800599999999999</v>
      </c>
      <c r="M6653">
        <v>0.99990460000000003</v>
      </c>
      <c r="N6653">
        <v>-1.3771E-2</v>
      </c>
      <c r="O6653">
        <v>-1.151032E-3</v>
      </c>
      <c r="P6653">
        <v>0.98071920000000001</v>
      </c>
      <c r="Q6653">
        <v>0.18862970000000001</v>
      </c>
      <c r="R6653">
        <v>5.1078560000000002E-2</v>
      </c>
      <c r="S6653">
        <v>3.0867</v>
      </c>
      <c r="T6653">
        <v>4.9268359999999997E-2</v>
      </c>
      <c r="U6653">
        <v>-0.72390750000000004</v>
      </c>
      <c r="V6653">
        <v>-5.2288069999999999E-2</v>
      </c>
      <c r="W6653">
        <v>0.2020961</v>
      </c>
      <c r="X6653">
        <v>0.97796890000000003</v>
      </c>
      <c r="Y6653">
        <v>0.22720599999999999</v>
      </c>
      <c r="Z6653">
        <v>1.696814E-4</v>
      </c>
      <c r="AA6653">
        <v>0.97384669999999895</v>
      </c>
      <c r="AB6653">
        <v>26</v>
      </c>
      <c r="AC6653">
        <v>59.686900000000001</v>
      </c>
      <c r="AD6653">
        <v>0.95534200000000002</v>
      </c>
      <c r="AE6653">
        <v>-14.03697</v>
      </c>
      <c r="AF6653">
        <v>13.9648625227445</v>
      </c>
      <c r="AG6653">
        <v>0.95534200000000002</v>
      </c>
      <c r="AH6653">
        <v>59.688528888833901</v>
      </c>
      <c r="AI6653">
        <v>89.107140536127702</v>
      </c>
      <c r="AJ6653">
        <v>76.831808746232099</v>
      </c>
      <c r="AK6653">
        <v>61.3078342834689</v>
      </c>
      <c r="AL6653">
        <v>78.340440181313298</v>
      </c>
      <c r="AM6653">
        <v>93.060461252964501</v>
      </c>
      <c r="AN6653">
        <v>1.0000000226333701</v>
      </c>
    </row>
    <row r="6654" spans="1:40" x14ac:dyDescent="0.25">
      <c r="A6654" t="str">
        <f>"20190304154926679"</f>
        <v>20190304154926679</v>
      </c>
      <c r="B6654" t="str">
        <f>"1551685766673504"</f>
        <v>1551685766673504</v>
      </c>
      <c r="C6654" t="s">
        <v>40</v>
      </c>
      <c r="D6654">
        <v>4.018268</v>
      </c>
      <c r="E6654">
        <v>0.60979130000000004</v>
      </c>
      <c r="F6654" t="s">
        <v>92</v>
      </c>
      <c r="G6654">
        <v>-279.02</v>
      </c>
      <c r="H6654">
        <v>2.082595</v>
      </c>
      <c r="I6654">
        <v>2.817955</v>
      </c>
      <c r="J6654">
        <v>-338.51249999999999</v>
      </c>
      <c r="K6654">
        <v>1.1112959999999901</v>
      </c>
      <c r="L6654">
        <v>16.800599999999999</v>
      </c>
      <c r="M6654">
        <v>0.99990480000000004</v>
      </c>
      <c r="N6654">
        <v>-1.376921E-2</v>
      </c>
      <c r="O6654">
        <v>-9.6294060000000001E-4</v>
      </c>
      <c r="P6654">
        <v>0.98064090000000004</v>
      </c>
      <c r="Q6654">
        <v>0.18876219999999999</v>
      </c>
      <c r="R6654">
        <v>5.208086E-2</v>
      </c>
      <c r="S6654">
        <v>3.0869749999999998</v>
      </c>
      <c r="T6654">
        <v>5.023503E-2</v>
      </c>
      <c r="U6654">
        <v>-0.72317500000000001</v>
      </c>
      <c r="V6654">
        <v>-5.3105479999999997E-2</v>
      </c>
      <c r="W6654">
        <v>0.2022255</v>
      </c>
      <c r="X6654">
        <v>0.97789809999999999</v>
      </c>
      <c r="Y6654">
        <v>0.2271503</v>
      </c>
      <c r="Z6654">
        <v>2.1007870000000001E-4</v>
      </c>
      <c r="AA6654">
        <v>0.97385969999999999</v>
      </c>
      <c r="AB6654">
        <v>26</v>
      </c>
      <c r="AC6654">
        <v>59.4925</v>
      </c>
      <c r="AD6654">
        <v>0.97129900000000002</v>
      </c>
      <c r="AE6654">
        <v>-13.982645</v>
      </c>
      <c r="AF6654">
        <v>13.921828716426001</v>
      </c>
      <c r="AG6654">
        <v>0.97129900000000002</v>
      </c>
      <c r="AH6654">
        <v>59.490910850488604</v>
      </c>
      <c r="AI6654">
        <v>89.089225581250204</v>
      </c>
      <c r="AJ6654">
        <v>76.828885564074596</v>
      </c>
      <c r="AK6654">
        <v>61.105885235202102</v>
      </c>
      <c r="AL6654">
        <v>78.332869758891107</v>
      </c>
      <c r="AM6654">
        <v>93.108436396300505</v>
      </c>
      <c r="AN6654">
        <v>1.0000000194199401</v>
      </c>
    </row>
    <row r="6655" spans="1:40" x14ac:dyDescent="0.25">
      <c r="A6655" t="str">
        <f>"20190304154926691"</f>
        <v>20190304154926691</v>
      </c>
      <c r="B6655" t="str">
        <f>"1551685766684240"</f>
        <v>1551685766684240</v>
      </c>
      <c r="C6655" t="s">
        <v>40</v>
      </c>
      <c r="D6655">
        <v>3.5570719999999998</v>
      </c>
      <c r="E6655">
        <v>0.60979130000000004</v>
      </c>
      <c r="F6655" t="s">
        <v>92</v>
      </c>
      <c r="G6655">
        <v>-279.02</v>
      </c>
      <c r="H6655">
        <v>2.149572</v>
      </c>
      <c r="I6655">
        <v>2.8513389999999998</v>
      </c>
      <c r="J6655">
        <v>-338.37329999999997</v>
      </c>
      <c r="K6655">
        <v>1.1113010000000001</v>
      </c>
      <c r="L6655">
        <v>16.800599999999999</v>
      </c>
      <c r="M6655">
        <v>0.99990489999999999</v>
      </c>
      <c r="N6655">
        <v>-1.3767959999999999E-2</v>
      </c>
      <c r="O6655">
        <v>-8.2860589999999895E-4</v>
      </c>
      <c r="P6655">
        <v>0.98056909999999997</v>
      </c>
      <c r="Q6655">
        <v>0.18897810000000001</v>
      </c>
      <c r="R6655">
        <v>5.2646030000000003E-2</v>
      </c>
      <c r="S6655">
        <v>3.0872799999999998</v>
      </c>
      <c r="T6655">
        <v>5.3879860000000002E-2</v>
      </c>
      <c r="U6655">
        <v>-0.72387699999999999</v>
      </c>
      <c r="V6655">
        <v>-5.3538120000000002E-2</v>
      </c>
      <c r="W6655">
        <v>0.20243939999999999</v>
      </c>
      <c r="X6655">
        <v>0.97783019999999998</v>
      </c>
      <c r="Y6655">
        <v>0.227467</v>
      </c>
      <c r="Z6655">
        <v>3.4575790000000001E-4</v>
      </c>
      <c r="AA6655">
        <v>0.97378569999999998</v>
      </c>
      <c r="AB6655">
        <v>26</v>
      </c>
      <c r="AC6655">
        <v>59.353299999999898</v>
      </c>
      <c r="AD6655">
        <v>1.0382709999999999</v>
      </c>
      <c r="AE6655">
        <v>-13.9492609999999</v>
      </c>
      <c r="AF6655">
        <v>13.896041346017</v>
      </c>
      <c r="AG6655">
        <v>1.0382709999999999</v>
      </c>
      <c r="AH6655">
        <v>59.347628953287597</v>
      </c>
      <c r="AI6655">
        <v>89.024116758890699</v>
      </c>
      <c r="AJ6655">
        <v>76.821798686063005</v>
      </c>
      <c r="AK6655">
        <v>60.961619352972903</v>
      </c>
      <c r="AL6655">
        <v>78.320354775709603</v>
      </c>
      <c r="AM6655">
        <v>93.133927122725396</v>
      </c>
      <c r="AN6655">
        <v>0.99999997049876599</v>
      </c>
    </row>
    <row r="6656" spans="1:40" x14ac:dyDescent="0.25">
      <c r="A6656" t="str">
        <f>"20190304154926702"</f>
        <v>20190304154926702</v>
      </c>
      <c r="B6656" t="str">
        <f>"1551685766694000"</f>
        <v>1551685766694000</v>
      </c>
      <c r="C6656" t="s">
        <v>40</v>
      </c>
      <c r="D6656">
        <v>4.1632999999999996</v>
      </c>
      <c r="E6656">
        <v>0.55321279999999995</v>
      </c>
      <c r="F6656" t="s">
        <v>92</v>
      </c>
      <c r="G6656">
        <v>-279.02</v>
      </c>
      <c r="H6656">
        <v>2.1673010000000001</v>
      </c>
      <c r="I6656">
        <v>2.9161489999999999</v>
      </c>
      <c r="J6656">
        <v>-338.24489999999997</v>
      </c>
      <c r="K6656">
        <v>1.111299</v>
      </c>
      <c r="L6656">
        <v>16.800660000000001</v>
      </c>
      <c r="M6656">
        <v>0.99990500000000004</v>
      </c>
      <c r="N6656">
        <v>-1.3766810000000001E-2</v>
      </c>
      <c r="O6656">
        <v>-7.0475949999999996E-4</v>
      </c>
      <c r="P6656">
        <v>0.98050930000000003</v>
      </c>
      <c r="Q6656">
        <v>0.189135</v>
      </c>
      <c r="R6656">
        <v>5.3193549999999999E-2</v>
      </c>
      <c r="S6656">
        <v>3.0876459999999999</v>
      </c>
      <c r="T6656">
        <v>5.4934740000000003E-2</v>
      </c>
      <c r="U6656">
        <v>-0.72228999999999999</v>
      </c>
      <c r="V6656">
        <v>-5.3963919999999999E-2</v>
      </c>
      <c r="W6656">
        <v>0.20259389999999999</v>
      </c>
      <c r="X6656">
        <v>0.97777480000000006</v>
      </c>
      <c r="Y6656">
        <v>0.2270867</v>
      </c>
      <c r="Z6656">
        <v>3.8709280000000002E-4</v>
      </c>
      <c r="AA6656">
        <v>0.97387440000000003</v>
      </c>
      <c r="AB6656">
        <v>26</v>
      </c>
      <c r="AC6656">
        <v>59.224899999999899</v>
      </c>
      <c r="AD6656">
        <v>1.0560019999999899</v>
      </c>
      <c r="AE6656">
        <v>-13.8845109999999</v>
      </c>
      <c r="AF6656">
        <v>13.8385938969035</v>
      </c>
      <c r="AG6656">
        <v>1.0560019999999899</v>
      </c>
      <c r="AH6656">
        <v>59.2168259196336</v>
      </c>
      <c r="AI6656">
        <v>89.005162604210298</v>
      </c>
      <c r="AJ6656">
        <v>76.846402685397095</v>
      </c>
      <c r="AK6656">
        <v>60.821495322489397</v>
      </c>
      <c r="AL6656">
        <v>78.311315336363904</v>
      </c>
      <c r="AM6656">
        <v>93.158980244926596</v>
      </c>
      <c r="AN6656">
        <v>0.99999997624700798</v>
      </c>
    </row>
    <row r="6657" spans="1:40" x14ac:dyDescent="0.25">
      <c r="A6657" t="str">
        <f>"20190304154926712"</f>
        <v>20190304154926712</v>
      </c>
      <c r="B6657" t="str">
        <f>"1551685766703761"</f>
        <v>1551685766703761</v>
      </c>
      <c r="C6657" t="s">
        <v>40</v>
      </c>
      <c r="D6657">
        <v>4.1557829999999996</v>
      </c>
      <c r="E6657">
        <v>0.53512969999999904</v>
      </c>
      <c r="F6657" t="s">
        <v>88</v>
      </c>
      <c r="G6657">
        <v>-241.07</v>
      </c>
      <c r="H6657">
        <v>2.2685580000000001</v>
      </c>
      <c r="I6657">
        <v>8.2461679999999902</v>
      </c>
      <c r="J6657">
        <v>-338.12580000000003</v>
      </c>
      <c r="K6657">
        <v>1.111299</v>
      </c>
      <c r="L6657">
        <v>16.800689999999999</v>
      </c>
      <c r="M6657">
        <v>0.99990520000000005</v>
      </c>
      <c r="N6657">
        <v>-1.376574E-2</v>
      </c>
      <c r="O6657">
        <v>-5.8997179999999995E-4</v>
      </c>
      <c r="P6657">
        <v>0.98052349999999999</v>
      </c>
      <c r="Q6657">
        <v>0.18894430000000001</v>
      </c>
      <c r="R6657">
        <v>5.361283E-2</v>
      </c>
      <c r="S6657">
        <v>3.067291</v>
      </c>
      <c r="T6657">
        <v>3.6528230000000002E-2</v>
      </c>
      <c r="U6657">
        <v>-0.27001950000000002</v>
      </c>
      <c r="V6657">
        <v>-5.4270100000000002E-2</v>
      </c>
      <c r="W6657">
        <v>0.20240240000000001</v>
      </c>
      <c r="X6657">
        <v>0.97779749999999999</v>
      </c>
      <c r="Y6657">
        <v>8.7106199999999995E-2</v>
      </c>
      <c r="Z6657" s="1">
        <v>-9.8187709999999996E-5</v>
      </c>
      <c r="AA6657">
        <v>0.99619899999999995</v>
      </c>
      <c r="AB6657">
        <v>26</v>
      </c>
      <c r="AC6657">
        <v>97.055800000000005</v>
      </c>
      <c r="AD6657">
        <v>1.157259</v>
      </c>
      <c r="AE6657">
        <v>-8.5545220000000004</v>
      </c>
      <c r="AF6657">
        <v>8.4960563060354506</v>
      </c>
      <c r="AG6657">
        <v>1.157259</v>
      </c>
      <c r="AH6657">
        <v>97.047139357392794</v>
      </c>
      <c r="AI6657">
        <v>89.319399741789397</v>
      </c>
      <c r="AJ6657">
        <v>84.996758907240206</v>
      </c>
      <c r="AK6657">
        <v>97.425199402421697</v>
      </c>
      <c r="AL6657">
        <v>78.322519445984597</v>
      </c>
      <c r="AM6657">
        <v>93.176793427748905</v>
      </c>
      <c r="AN6657">
        <v>0.99999996314300899</v>
      </c>
    </row>
    <row r="6658" spans="1:40" x14ac:dyDescent="0.25">
      <c r="A6658" t="str">
        <f>"20190304154926724"</f>
        <v>20190304154926724</v>
      </c>
      <c r="B6658" t="str">
        <f>"1551685766713521"</f>
        <v>1551685766713521</v>
      </c>
      <c r="C6658" t="s">
        <v>40</v>
      </c>
      <c r="D6658">
        <v>4.0252699999999999</v>
      </c>
      <c r="E6658">
        <v>0.53512969999999904</v>
      </c>
      <c r="F6658" t="s">
        <v>87</v>
      </c>
      <c r="G6658">
        <v>-273.40989999999999</v>
      </c>
      <c r="H6658">
        <v>1.79286699999999</v>
      </c>
      <c r="I6658">
        <v>14.161149999999999</v>
      </c>
      <c r="J6658">
        <v>-337.98790000000002</v>
      </c>
      <c r="K6658">
        <v>1.111297</v>
      </c>
      <c r="L6658">
        <v>16.800750000000001</v>
      </c>
      <c r="M6658">
        <v>0.9999053</v>
      </c>
      <c r="N6658">
        <v>-1.3764469999999999E-2</v>
      </c>
      <c r="O6658">
        <v>-4.5730160000000001E-4</v>
      </c>
      <c r="P6658">
        <v>0.98045040000000006</v>
      </c>
      <c r="Q6658">
        <v>0.18915080000000001</v>
      </c>
      <c r="R6658">
        <v>5.4216470000000003E-2</v>
      </c>
      <c r="S6658">
        <v>3.0602420000000001</v>
      </c>
      <c r="T6658">
        <v>3.222966E-2</v>
      </c>
      <c r="U6658">
        <v>-0.124816899999999</v>
      </c>
      <c r="V6658">
        <v>-5.4743300000000002E-2</v>
      </c>
      <c r="W6658">
        <v>0.20260649999999999</v>
      </c>
      <c r="X6658">
        <v>0.97772890000000001</v>
      </c>
      <c r="Y6658">
        <v>4.029659E-2</v>
      </c>
      <c r="Z6658" s="1">
        <v>-7.6459839999999999E-5</v>
      </c>
      <c r="AA6658">
        <v>0.99918779999999996</v>
      </c>
      <c r="AB6658">
        <v>26</v>
      </c>
      <c r="AC6658">
        <v>64.578000000000003</v>
      </c>
      <c r="AD6658">
        <v>0.68156999999999901</v>
      </c>
      <c r="AE6658">
        <v>-2.6396000000000002</v>
      </c>
      <c r="AF6658">
        <v>2.6097750857222999</v>
      </c>
      <c r="AG6658">
        <v>0.68156999999999901</v>
      </c>
      <c r="AH6658">
        <v>64.5720196818001</v>
      </c>
      <c r="AI6658">
        <v>89.395747845602997</v>
      </c>
      <c r="AJ6658">
        <v>87.685564737485606</v>
      </c>
      <c r="AK6658">
        <v>64.628331167141596</v>
      </c>
      <c r="AL6658">
        <v>78.310578548383702</v>
      </c>
      <c r="AM6658">
        <v>93.204659887791493</v>
      </c>
      <c r="AN6658">
        <v>1.0000000123161701</v>
      </c>
    </row>
    <row r="6659" spans="1:40" x14ac:dyDescent="0.25">
      <c r="A6659" t="str">
        <f>"20190304154926736"</f>
        <v>20190304154926736</v>
      </c>
      <c r="B6659" t="str">
        <f>"1551685766734016"</f>
        <v>1551685766734016</v>
      </c>
      <c r="C6659" t="s">
        <v>40</v>
      </c>
      <c r="D6659">
        <v>4.0249519999999999</v>
      </c>
      <c r="E6659">
        <v>0.44211349999999999</v>
      </c>
      <c r="F6659" t="s">
        <v>87</v>
      </c>
      <c r="G6659">
        <v>-273.40989999999999</v>
      </c>
      <c r="H6659">
        <v>1.806136</v>
      </c>
      <c r="I6659">
        <v>14.20485</v>
      </c>
      <c r="J6659">
        <v>-337.85640000000001</v>
      </c>
      <c r="K6659">
        <v>1.1112949999999999</v>
      </c>
      <c r="L6659">
        <v>16.800840000000001</v>
      </c>
      <c r="M6659">
        <v>0.99990520000000005</v>
      </c>
      <c r="N6659">
        <v>-1.3763249999999999E-2</v>
      </c>
      <c r="O6659">
        <v>-3.304715E-4</v>
      </c>
      <c r="P6659">
        <v>0.98046259999999996</v>
      </c>
      <c r="Q6659">
        <v>0.1889207</v>
      </c>
      <c r="R6659">
        <v>5.479204E-2</v>
      </c>
      <c r="S6659">
        <v>3.0602719999999999</v>
      </c>
      <c r="T6659">
        <v>3.2927629999999999E-2</v>
      </c>
      <c r="U6659">
        <v>-0.1230164</v>
      </c>
      <c r="V6659">
        <v>-5.5194489999999999E-2</v>
      </c>
      <c r="W6659">
        <v>0.20237540000000001</v>
      </c>
      <c r="X6659">
        <v>0.97775140000000005</v>
      </c>
      <c r="Y6659">
        <v>3.9835910000000002E-2</v>
      </c>
      <c r="Z6659" s="1">
        <v>-6.8139279999999999E-5</v>
      </c>
      <c r="AA6659">
        <v>0.99920620000000004</v>
      </c>
      <c r="AB6659">
        <v>26</v>
      </c>
      <c r="AC6659">
        <v>64.4465</v>
      </c>
      <c r="AD6659">
        <v>0.69484099999999904</v>
      </c>
      <c r="AE6659">
        <v>-2.59599</v>
      </c>
      <c r="AF6659">
        <v>2.5743913347388698</v>
      </c>
      <c r="AG6659">
        <v>0.69484099999999904</v>
      </c>
      <c r="AH6659">
        <v>64.439875819450904</v>
      </c>
      <c r="AI6659">
        <v>89.382708532284298</v>
      </c>
      <c r="AJ6659">
        <v>87.712233934225495</v>
      </c>
      <c r="AK6659">
        <v>64.495022214012096</v>
      </c>
      <c r="AL6659">
        <v>78.324099763511995</v>
      </c>
      <c r="AM6659">
        <v>93.230942517696207</v>
      </c>
      <c r="AN6659">
        <v>1.00000001722674</v>
      </c>
    </row>
    <row r="6660" spans="1:40" x14ac:dyDescent="0.25">
      <c r="A6660" t="str">
        <f>"20190304154926746"</f>
        <v>20190304154926746</v>
      </c>
      <c r="B6660" t="str">
        <f>"1551685766743776"</f>
        <v>1551685766743776</v>
      </c>
      <c r="C6660" t="s">
        <v>40</v>
      </c>
      <c r="D6660">
        <v>3.9731299999999998</v>
      </c>
      <c r="E6660">
        <v>0.43914160000000002</v>
      </c>
      <c r="F6660" t="s">
        <v>55</v>
      </c>
      <c r="G6660">
        <v>-230.82060000000001</v>
      </c>
      <c r="H6660">
        <v>2.2179129999999998E-2</v>
      </c>
      <c r="I6660">
        <v>38.650019999999998</v>
      </c>
      <c r="J6660">
        <v>-337.73360000000002</v>
      </c>
      <c r="K6660">
        <v>1.1112949999999999</v>
      </c>
      <c r="L6660">
        <v>16.800929999999902</v>
      </c>
      <c r="M6660">
        <v>0.99990520000000005</v>
      </c>
      <c r="N6660">
        <v>-1.3762089999999999E-2</v>
      </c>
      <c r="O6660">
        <v>-2.121038E-4</v>
      </c>
      <c r="P6660">
        <v>0.98045110000000002</v>
      </c>
      <c r="Q6660">
        <v>0.18880810000000001</v>
      </c>
      <c r="R6660">
        <v>5.5380800000000001E-2</v>
      </c>
      <c r="S6660">
        <v>3.0311279999999998</v>
      </c>
      <c r="T6660">
        <v>-3.0842189999999998E-2</v>
      </c>
      <c r="U6660">
        <v>0.61874390000000001</v>
      </c>
      <c r="V6660">
        <v>-5.566625E-2</v>
      </c>
      <c r="W6660">
        <v>0.20226189999999999</v>
      </c>
      <c r="X6660">
        <v>0.97774819999999996</v>
      </c>
      <c r="Y6660">
        <v>-0.20018929999999999</v>
      </c>
      <c r="Z6660">
        <v>2.3990249999999999E-3</v>
      </c>
      <c r="AA6660">
        <v>0.97975429999999997</v>
      </c>
      <c r="AB6660">
        <v>26</v>
      </c>
      <c r="AC6660">
        <v>106.913</v>
      </c>
      <c r="AD6660">
        <v>-1.0891158700000001</v>
      </c>
      <c r="AE6660">
        <v>21.84909</v>
      </c>
      <c r="AF6660">
        <v>-21.8695898078097</v>
      </c>
      <c r="AG6660">
        <v>-1.0891158700000001</v>
      </c>
      <c r="AH6660">
        <v>106.89771443833</v>
      </c>
      <c r="AI6660">
        <v>90.571887092498301</v>
      </c>
      <c r="AJ6660">
        <v>101.562264880361</v>
      </c>
      <c r="AK6660">
        <v>109.11730606956399</v>
      </c>
      <c r="AL6660">
        <v>78.330740844190402</v>
      </c>
      <c r="AM6660">
        <v>93.258509511700197</v>
      </c>
      <c r="AN6660">
        <v>1.00000007509195</v>
      </c>
    </row>
    <row r="6661" spans="1:40" x14ac:dyDescent="0.25">
      <c r="A6661" t="str">
        <f>"20190304154926757"</f>
        <v>20190304154926757</v>
      </c>
      <c r="B6661" t="str">
        <f>"1551685766753536"</f>
        <v>1551685766753536</v>
      </c>
      <c r="C6661" t="s">
        <v>40</v>
      </c>
      <c r="D6661">
        <v>4.2673230000000002</v>
      </c>
      <c r="E6661">
        <v>0.43737939999999997</v>
      </c>
      <c r="F6661" t="s">
        <v>55</v>
      </c>
      <c r="G6661">
        <v>-235.01910000000001</v>
      </c>
      <c r="H6661">
        <v>0.13072529999999999</v>
      </c>
      <c r="I6661">
        <v>38.650019999999998</v>
      </c>
      <c r="J6661">
        <v>-337.61450000000002</v>
      </c>
      <c r="K6661">
        <v>1.111294</v>
      </c>
      <c r="L6661">
        <v>16.80106</v>
      </c>
      <c r="M6661">
        <v>0.9999053</v>
      </c>
      <c r="N6661">
        <v>-1.3760970000000001E-2</v>
      </c>
      <c r="O6661" s="1">
        <v>-9.7671059999999998E-5</v>
      </c>
      <c r="P6661">
        <v>0.98046230000000001</v>
      </c>
      <c r="Q6661">
        <v>0.18856029999999999</v>
      </c>
      <c r="R6661">
        <v>5.6025560000000002E-2</v>
      </c>
      <c r="S6661">
        <v>3.0289920000000001</v>
      </c>
      <c r="T6661">
        <v>-2.891612E-2</v>
      </c>
      <c r="U6661">
        <v>0.64431759999999905</v>
      </c>
      <c r="V6661">
        <v>-5.6198350000000001E-2</v>
      </c>
      <c r="W6661">
        <v>0.202013</v>
      </c>
      <c r="X6661">
        <v>0.97776909999999895</v>
      </c>
      <c r="Y6661">
        <v>-0.2081345</v>
      </c>
      <c r="Z6661">
        <v>2.4301100000000001E-3</v>
      </c>
      <c r="AA6661">
        <v>0.9780972</v>
      </c>
      <c r="AB6661">
        <v>26</v>
      </c>
      <c r="AC6661">
        <v>102.5954</v>
      </c>
      <c r="AD6661">
        <v>-0.98056869999999996</v>
      </c>
      <c r="AE6661">
        <v>21.848960000000002</v>
      </c>
      <c r="AF6661">
        <v>-21.857071464166399</v>
      </c>
      <c r="AG6661">
        <v>-0.98056869999999996</v>
      </c>
      <c r="AH6661">
        <v>102.58430095944399</v>
      </c>
      <c r="AI6661">
        <v>90.535632089514706</v>
      </c>
      <c r="AJ6661">
        <v>102.027841103768</v>
      </c>
      <c r="AK6661">
        <v>104.891524401655</v>
      </c>
      <c r="AL6661">
        <v>78.345300991131197</v>
      </c>
      <c r="AM6661">
        <v>93.289518560798498</v>
      </c>
      <c r="AN6661">
        <v>0.99999995981326495</v>
      </c>
    </row>
    <row r="6662" spans="1:40" x14ac:dyDescent="0.25">
      <c r="A6662" t="str">
        <f>"20190304154926768"</f>
        <v>20190304154926768</v>
      </c>
      <c r="B6662" t="str">
        <f>"1551685766764273"</f>
        <v>1551685766764273</v>
      </c>
      <c r="C6662" t="s">
        <v>40</v>
      </c>
      <c r="D6662">
        <v>4.0300200000000004</v>
      </c>
      <c r="E6662">
        <v>0.43668630000000003</v>
      </c>
      <c r="F6662" t="s">
        <v>45</v>
      </c>
      <c r="G6662">
        <v>-238.0523</v>
      </c>
      <c r="H6662">
        <v>-0.05</v>
      </c>
      <c r="I6662">
        <v>38.489849999999997</v>
      </c>
      <c r="J6662">
        <v>-337.48509999999999</v>
      </c>
      <c r="K6662">
        <v>1.111294</v>
      </c>
      <c r="L6662">
        <v>16.801179999999999</v>
      </c>
      <c r="M6662">
        <v>0.99990540000000006</v>
      </c>
      <c r="N6662">
        <v>-1.3759759999999999E-2</v>
      </c>
      <c r="O6662" s="1">
        <v>2.6415890000000002E-5</v>
      </c>
      <c r="P6662">
        <v>0.98048369999999996</v>
      </c>
      <c r="Q6662">
        <v>0.18828739999999999</v>
      </c>
      <c r="R6662">
        <v>5.6567230000000003E-2</v>
      </c>
      <c r="S6662">
        <v>3.0289000000000001</v>
      </c>
      <c r="T6662">
        <v>-3.5329100000000002E-2</v>
      </c>
      <c r="U6662">
        <v>0.65982059999999998</v>
      </c>
      <c r="V6662">
        <v>-5.6618429999999997E-2</v>
      </c>
      <c r="W6662">
        <v>0.20173930000000001</v>
      </c>
      <c r="X6662">
        <v>0.97780140000000004</v>
      </c>
      <c r="Y6662">
        <v>-0.21279310000000001</v>
      </c>
      <c r="Z6662">
        <v>2.7077759999999998E-3</v>
      </c>
      <c r="AA6662">
        <v>0.97709349999999995</v>
      </c>
      <c r="AB6662">
        <v>26</v>
      </c>
      <c r="AC6662">
        <v>99.4328</v>
      </c>
      <c r="AD6662">
        <v>-1.161294</v>
      </c>
      <c r="AE6662">
        <v>21.688669999999998</v>
      </c>
      <c r="AF6662">
        <v>-21.683219803009099</v>
      </c>
      <c r="AG6662">
        <v>-1.161294</v>
      </c>
      <c r="AH6662">
        <v>99.420427580961203</v>
      </c>
      <c r="AI6662">
        <v>90.653852283942499</v>
      </c>
      <c r="AJ6662">
        <v>102.303334373309</v>
      </c>
      <c r="AK6662">
        <v>101.764099982072</v>
      </c>
      <c r="AL6662">
        <v>78.361312801881596</v>
      </c>
      <c r="AM6662">
        <v>93.313943721926606</v>
      </c>
      <c r="AN6662">
        <v>0.99999998481105701</v>
      </c>
    </row>
    <row r="6663" spans="1:40" x14ac:dyDescent="0.25">
      <c r="A6663" t="str">
        <f>"20190304154926779"</f>
        <v>20190304154926779</v>
      </c>
      <c r="B6663" t="str">
        <f>"1551685766774032"</f>
        <v>1551685766774032</v>
      </c>
      <c r="C6663" t="s">
        <v>40</v>
      </c>
      <c r="D6663">
        <v>4.0321389999999999</v>
      </c>
      <c r="E6663">
        <v>0.43647789999999997</v>
      </c>
      <c r="F6663" t="s">
        <v>55</v>
      </c>
      <c r="G6663">
        <v>-238.29089999999999</v>
      </c>
      <c r="H6663" s="1">
        <v>5.6028369999999998E-5</v>
      </c>
      <c r="I6663">
        <v>38.650019999999998</v>
      </c>
      <c r="J6663">
        <v>-337.36340000000001</v>
      </c>
      <c r="K6663">
        <v>1.111289</v>
      </c>
      <c r="L6663">
        <v>16.801300000000001</v>
      </c>
      <c r="M6663">
        <v>0.9999053</v>
      </c>
      <c r="N6663">
        <v>-1.3758619999999999E-2</v>
      </c>
      <c r="O6663">
        <v>1.4137009999999999E-4</v>
      </c>
      <c r="P6663">
        <v>0.98051600000000005</v>
      </c>
      <c r="Q6663">
        <v>0.1880338</v>
      </c>
      <c r="R6663">
        <v>5.6847380000000003E-2</v>
      </c>
      <c r="S6663">
        <v>3.0277400000000001</v>
      </c>
      <c r="T6663">
        <v>-3.3918379999999998E-2</v>
      </c>
      <c r="U6663">
        <v>0.66690059999999995</v>
      </c>
      <c r="V6663">
        <v>-5.6785099999999998E-2</v>
      </c>
      <c r="W6663">
        <v>0.20148569999999999</v>
      </c>
      <c r="X6663">
        <v>0.97784409999999999</v>
      </c>
      <c r="Y6663">
        <v>-0.21493970000000001</v>
      </c>
      <c r="Z6663">
        <v>2.6863189999999999E-3</v>
      </c>
      <c r="AA6663">
        <v>0.97662369999999998</v>
      </c>
      <c r="AB6663">
        <v>26</v>
      </c>
      <c r="AC6663">
        <v>99.072500000000005</v>
      </c>
      <c r="AD6663">
        <v>-1.11123297162999</v>
      </c>
      <c r="AE6663">
        <v>21.84872</v>
      </c>
      <c r="AF6663">
        <v>-21.832093326800599</v>
      </c>
      <c r="AG6663">
        <v>-1.11123297162999</v>
      </c>
      <c r="AH6663">
        <v>99.063703190375506</v>
      </c>
      <c r="AI6663">
        <v>90.627620697573207</v>
      </c>
      <c r="AJ6663">
        <v>102.42842374910499</v>
      </c>
      <c r="AK6663">
        <v>101.446993191213</v>
      </c>
      <c r="AL6663">
        <v>78.376148518888698</v>
      </c>
      <c r="AM6663">
        <v>93.323532464737994</v>
      </c>
      <c r="AN6663">
        <v>1.00000005939565</v>
      </c>
    </row>
    <row r="6664" spans="1:40" x14ac:dyDescent="0.25">
      <c r="A6664" t="str">
        <f>"20190304154926790"</f>
        <v>20190304154926790</v>
      </c>
      <c r="B6664" t="str">
        <f>"1551685766783793"</f>
        <v>1551685766783793</v>
      </c>
      <c r="C6664" t="s">
        <v>40</v>
      </c>
      <c r="D6664">
        <v>4.0559880000000001</v>
      </c>
      <c r="E6664">
        <v>0.43633440000000001</v>
      </c>
      <c r="F6664" t="s">
        <v>55</v>
      </c>
      <c r="G6664">
        <v>-238.53200000000001</v>
      </c>
      <c r="H6664">
        <v>2.6167629999999998E-3</v>
      </c>
      <c r="I6664">
        <v>38.650019999999998</v>
      </c>
      <c r="J6664">
        <v>-337.23489999999998</v>
      </c>
      <c r="K6664">
        <v>1.1112869999999999</v>
      </c>
      <c r="L6664">
        <v>16.801449999999999</v>
      </c>
      <c r="M6664">
        <v>0.99990540000000006</v>
      </c>
      <c r="N6664">
        <v>-1.3757419999999999E-2</v>
      </c>
      <c r="O6664">
        <v>2.6138419999999999E-4</v>
      </c>
      <c r="P6664">
        <v>0.98045340000000003</v>
      </c>
      <c r="Q6664">
        <v>0.18820719999999999</v>
      </c>
      <c r="R6664">
        <v>5.7353649999999999E-2</v>
      </c>
      <c r="S6664">
        <v>3.0273129999999999</v>
      </c>
      <c r="T6664">
        <v>-3.3959509999999998E-2</v>
      </c>
      <c r="U6664">
        <v>0.66925049999999997</v>
      </c>
      <c r="V6664">
        <v>-5.7172380000000002E-2</v>
      </c>
      <c r="W6664">
        <v>0.20165659999999999</v>
      </c>
      <c r="X6664">
        <v>0.97778620000000005</v>
      </c>
      <c r="Y6664">
        <v>-0.21557409999999999</v>
      </c>
      <c r="Z6664">
        <v>2.6960529999999999E-3</v>
      </c>
      <c r="AA6664">
        <v>0.97648380000000001</v>
      </c>
      <c r="AB6664">
        <v>26</v>
      </c>
      <c r="AC6664">
        <v>98.7028999999999</v>
      </c>
      <c r="AD6664">
        <v>-1.1086702369999999</v>
      </c>
      <c r="AE6664">
        <v>21.848569999999999</v>
      </c>
      <c r="AF6664">
        <v>-21.820143050142399</v>
      </c>
      <c r="AG6664">
        <v>-1.1086702369999999</v>
      </c>
      <c r="AH6664">
        <v>98.696737437306695</v>
      </c>
      <c r="AI6664">
        <v>90.628409021263593</v>
      </c>
      <c r="AJ6664">
        <v>102.466576391549</v>
      </c>
      <c r="AK6664">
        <v>101.08607111363899</v>
      </c>
      <c r="AL6664">
        <v>78.366150287364306</v>
      </c>
      <c r="AM6664">
        <v>93.346345647140495</v>
      </c>
      <c r="AN6664">
        <v>0.99999995913443096</v>
      </c>
    </row>
    <row r="6665" spans="1:40" x14ac:dyDescent="0.25">
      <c r="A6665" t="str">
        <f>"20190304154926803"</f>
        <v>20190304154926803</v>
      </c>
      <c r="B6665" t="str">
        <f>"1551685766793554"</f>
        <v>1551685766793554</v>
      </c>
      <c r="C6665" t="s">
        <v>40</v>
      </c>
      <c r="D6665">
        <v>4.0079699999999896</v>
      </c>
      <c r="E6665">
        <v>0.4359056</v>
      </c>
      <c r="F6665" t="s">
        <v>55</v>
      </c>
      <c r="G6665">
        <v>-238.79220000000001</v>
      </c>
      <c r="H6665">
        <v>1.8184840000000001E-2</v>
      </c>
      <c r="I6665">
        <v>38.650019999999998</v>
      </c>
      <c r="J6665">
        <v>-337.09809999999999</v>
      </c>
      <c r="K6665">
        <v>1.111283</v>
      </c>
      <c r="L6665">
        <v>16.801639999999999</v>
      </c>
      <c r="M6665">
        <v>0.9999055</v>
      </c>
      <c r="N6665">
        <v>-1.375613E-2</v>
      </c>
      <c r="O6665">
        <v>3.838124E-4</v>
      </c>
      <c r="P6665">
        <v>0.98042019999999996</v>
      </c>
      <c r="Q6665">
        <v>0.18829099999999999</v>
      </c>
      <c r="R6665">
        <v>5.7642440000000003E-2</v>
      </c>
      <c r="S6665">
        <v>3.0269780000000002</v>
      </c>
      <c r="T6665">
        <v>-3.3611059999999998E-2</v>
      </c>
      <c r="U6665">
        <v>0.67181400000000002</v>
      </c>
      <c r="V6665">
        <v>-5.7339220000000003E-2</v>
      </c>
      <c r="W6665">
        <v>0.2017398</v>
      </c>
      <c r="X6665">
        <v>0.9777593</v>
      </c>
      <c r="Y6665">
        <v>-0.21626590000000001</v>
      </c>
      <c r="Z6665">
        <v>2.6927729999999999E-3</v>
      </c>
      <c r="AA6665">
        <v>0.97633080000000005</v>
      </c>
      <c r="AB6665">
        <v>26</v>
      </c>
      <c r="AC6665">
        <v>98.305899999999895</v>
      </c>
      <c r="AD6665">
        <v>-1.09309816</v>
      </c>
      <c r="AE6665">
        <v>21.848379999999999</v>
      </c>
      <c r="AF6665">
        <v>-21.808074368728299</v>
      </c>
      <c r="AG6665">
        <v>-1.09309816</v>
      </c>
      <c r="AH6665">
        <v>98.302697169808397</v>
      </c>
      <c r="AI6665">
        <v>90.621966379752607</v>
      </c>
      <c r="AJ6665">
        <v>102.50827242042401</v>
      </c>
      <c r="AK6665">
        <v>100.698596028536</v>
      </c>
      <c r="AL6665">
        <v>78.361283624406894</v>
      </c>
      <c r="AM6665">
        <v>93.356180759738095</v>
      </c>
      <c r="AN6665">
        <v>0.99999999089536895</v>
      </c>
    </row>
    <row r="6666" spans="1:40" x14ac:dyDescent="0.25">
      <c r="A6666" t="str">
        <f>"20190304154926814"</f>
        <v>20190304154926814</v>
      </c>
      <c r="B6666" t="str">
        <f>"1551685766804288"</f>
        <v>1551685766804288</v>
      </c>
      <c r="C6666" t="s">
        <v>40</v>
      </c>
      <c r="D6666">
        <v>3.9983230000000001</v>
      </c>
      <c r="E6666">
        <v>0.43554680000000001</v>
      </c>
      <c r="F6666" t="s">
        <v>55</v>
      </c>
      <c r="G6666">
        <v>-239.25389999999999</v>
      </c>
      <c r="H6666">
        <v>6.796932E-2</v>
      </c>
      <c r="I6666">
        <v>38.650019999999998</v>
      </c>
      <c r="J6666">
        <v>-336.96440000000001</v>
      </c>
      <c r="K6666">
        <v>1.1112820000000001</v>
      </c>
      <c r="L6666">
        <v>16.801819999999999</v>
      </c>
      <c r="M6666">
        <v>0.99990540000000006</v>
      </c>
      <c r="N6666">
        <v>-1.3754870000000001E-2</v>
      </c>
      <c r="O6666">
        <v>5.0122290000000004E-4</v>
      </c>
      <c r="P6666">
        <v>0.98036489999999998</v>
      </c>
      <c r="Q6666">
        <v>0.18854389999999999</v>
      </c>
      <c r="R6666">
        <v>5.7758480000000001E-2</v>
      </c>
      <c r="S6666">
        <v>3.026367</v>
      </c>
      <c r="T6666">
        <v>-3.2269840000000001E-2</v>
      </c>
      <c r="U6666">
        <v>0.67578130000000003</v>
      </c>
      <c r="V6666">
        <v>-5.7338060000000003E-2</v>
      </c>
      <c r="W6666">
        <v>0.201991</v>
      </c>
      <c r="X6666">
        <v>0.97770749999999995</v>
      </c>
      <c r="Y6666">
        <v>-0.21741369999999999</v>
      </c>
      <c r="Z6666">
        <v>2.6601350000000001E-3</v>
      </c>
      <c r="AA6666">
        <v>0.9760759</v>
      </c>
      <c r="AB6666">
        <v>26</v>
      </c>
      <c r="AC6666">
        <v>97.710499999999996</v>
      </c>
      <c r="AD6666">
        <v>-1.0433126800000001</v>
      </c>
      <c r="AE6666">
        <v>21.848199999999899</v>
      </c>
      <c r="AF6666">
        <v>-21.7968511399012</v>
      </c>
      <c r="AG6666">
        <v>-1.0433126800000001</v>
      </c>
      <c r="AH6666">
        <v>97.710829930476095</v>
      </c>
      <c r="AI6666">
        <v>90.597080886495903</v>
      </c>
      <c r="AJ6666">
        <v>102.57536486951101</v>
      </c>
      <c r="AK6666">
        <v>100.117918010042</v>
      </c>
      <c r="AL6666">
        <v>78.346588344454403</v>
      </c>
      <c r="AM6666">
        <v>93.356290421810996</v>
      </c>
      <c r="AN6666">
        <v>0.99999998638090604</v>
      </c>
    </row>
    <row r="6667" spans="1:40" x14ac:dyDescent="0.25">
      <c r="A6667" t="str">
        <f>"20190304154926827"</f>
        <v>20190304154926827</v>
      </c>
      <c r="B6667" t="str">
        <f>"1551685766823808"</f>
        <v>1551685766823808</v>
      </c>
      <c r="C6667" t="s">
        <v>40</v>
      </c>
      <c r="D6667">
        <v>3.9897450000000001</v>
      </c>
      <c r="E6667">
        <v>0.43504720000000002</v>
      </c>
      <c r="F6667" t="s">
        <v>55</v>
      </c>
      <c r="G6667">
        <v>-239.53270000000001</v>
      </c>
      <c r="H6667">
        <v>9.179503E-2</v>
      </c>
      <c r="I6667">
        <v>38.650019999999998</v>
      </c>
      <c r="J6667">
        <v>-336.81810000000002</v>
      </c>
      <c r="K6667">
        <v>1.1112770000000001</v>
      </c>
      <c r="L6667">
        <v>16.802029999999998</v>
      </c>
      <c r="M6667">
        <v>0.9999053</v>
      </c>
      <c r="N6667">
        <v>-1.375349E-2</v>
      </c>
      <c r="O6667">
        <v>6.2264510000000005E-4</v>
      </c>
      <c r="P6667">
        <v>0.98030510000000004</v>
      </c>
      <c r="Q6667">
        <v>0.1888148</v>
      </c>
      <c r="R6667">
        <v>5.7888509999999997E-2</v>
      </c>
      <c r="S6667">
        <v>3.026154</v>
      </c>
      <c r="T6667">
        <v>-3.1664129999999999E-2</v>
      </c>
      <c r="U6667">
        <v>0.67858890000000005</v>
      </c>
      <c r="V6667">
        <v>-5.7345989999999999E-2</v>
      </c>
      <c r="W6667">
        <v>0.20226089999999999</v>
      </c>
      <c r="X6667">
        <v>0.97765119999999905</v>
      </c>
      <c r="Y6667">
        <v>-0.2181728</v>
      </c>
      <c r="Z6667">
        <v>2.6483050000000001E-3</v>
      </c>
      <c r="AA6667">
        <v>0.97590659999999896</v>
      </c>
      <c r="AB6667">
        <v>26</v>
      </c>
      <c r="AC6667">
        <v>97.285399999999996</v>
      </c>
      <c r="AD6667">
        <v>-1.01948197</v>
      </c>
      <c r="AE6667">
        <v>21.847989999999999</v>
      </c>
      <c r="AF6667">
        <v>-21.785128279544299</v>
      </c>
      <c r="AG6667">
        <v>-1.01948197</v>
      </c>
      <c r="AH6667">
        <v>97.2888151073507</v>
      </c>
      <c r="AI6667">
        <v>90.585868691049996</v>
      </c>
      <c r="AJ6667">
        <v>102.621593726334</v>
      </c>
      <c r="AK6667">
        <v>99.703283309205204</v>
      </c>
      <c r="AL6667">
        <v>78.330797887262307</v>
      </c>
      <c r="AM6667">
        <v>93.356946407279906</v>
      </c>
      <c r="AN6667">
        <v>0.99999995154966304</v>
      </c>
    </row>
    <row r="6668" spans="1:40" x14ac:dyDescent="0.25">
      <c r="A6668" t="str">
        <f>"20190304154926840"</f>
        <v>20190304154926840</v>
      </c>
      <c r="B6668" t="str">
        <f>"1551685766833569"</f>
        <v>1551685766833569</v>
      </c>
      <c r="C6668" t="s">
        <v>40</v>
      </c>
      <c r="D6668">
        <v>4.0068840000000003</v>
      </c>
      <c r="E6668">
        <v>0.43483460000000002</v>
      </c>
      <c r="F6668" t="s">
        <v>55</v>
      </c>
      <c r="G6668">
        <v>-240.0086</v>
      </c>
      <c r="H6668">
        <v>0.13159789999999999</v>
      </c>
      <c r="I6668">
        <v>38.650019999999998</v>
      </c>
      <c r="J6668">
        <v>-336.6746</v>
      </c>
      <c r="K6668">
        <v>1.111264</v>
      </c>
      <c r="L6668">
        <v>16.80228</v>
      </c>
      <c r="M6668">
        <v>0.99990520000000005</v>
      </c>
      <c r="N6668">
        <v>-1.375213E-2</v>
      </c>
      <c r="O6668">
        <v>7.3492689999999999E-4</v>
      </c>
      <c r="P6668">
        <v>0.98018899999999998</v>
      </c>
      <c r="Q6668">
        <v>0.1893302</v>
      </c>
      <c r="R6668">
        <v>5.8168240000000003E-2</v>
      </c>
      <c r="S6668">
        <v>3.0257869999999998</v>
      </c>
      <c r="T6668">
        <v>-3.061962E-2</v>
      </c>
      <c r="U6668">
        <v>0.6828613</v>
      </c>
      <c r="V6668">
        <v>-5.7511300000000001E-2</v>
      </c>
      <c r="W6668">
        <v>0.2027746</v>
      </c>
      <c r="X6668">
        <v>0.97753509999999999</v>
      </c>
      <c r="Y6668">
        <v>-0.21940100000000001</v>
      </c>
      <c r="Z6668">
        <v>2.626457E-3</v>
      </c>
      <c r="AA6668">
        <v>0.97563120000000003</v>
      </c>
      <c r="AB6668">
        <v>26</v>
      </c>
      <c r="AC6668">
        <v>96.665999999999997</v>
      </c>
      <c r="AD6668">
        <v>-0.97966609999999998</v>
      </c>
      <c r="AE6668">
        <v>21.847740000000002</v>
      </c>
      <c r="AF6668">
        <v>-21.7745571842534</v>
      </c>
      <c r="AG6668">
        <v>-0.97966609999999998</v>
      </c>
      <c r="AH6668">
        <v>96.672585299646201</v>
      </c>
      <c r="AI6668">
        <v>90.566417952967996</v>
      </c>
      <c r="AJ6668">
        <v>102.693484784118</v>
      </c>
      <c r="AK6668">
        <v>99.099343260968098</v>
      </c>
      <c r="AL6668">
        <v>78.300742584461204</v>
      </c>
      <c r="AM6668">
        <v>93.367000100275703</v>
      </c>
      <c r="AN6668">
        <v>0.99999997988242895</v>
      </c>
    </row>
    <row r="6669" spans="1:40" x14ac:dyDescent="0.25">
      <c r="A6669" t="str">
        <f>"20190304154926853"</f>
        <v>20190304154926853</v>
      </c>
      <c r="B6669" t="str">
        <f>"1551685766844304"</f>
        <v>1551685766844304</v>
      </c>
      <c r="C6669" t="s">
        <v>40</v>
      </c>
      <c r="D6669">
        <v>4.0396159999999997</v>
      </c>
      <c r="E6669">
        <v>0.43466300000000002</v>
      </c>
      <c r="F6669" t="s">
        <v>55</v>
      </c>
      <c r="G6669">
        <v>-240.1815</v>
      </c>
      <c r="H6669">
        <v>0.1749957</v>
      </c>
      <c r="I6669">
        <v>38.650019999999998</v>
      </c>
      <c r="J6669">
        <v>-336.52260000000001</v>
      </c>
      <c r="K6669">
        <v>1.1112550000000001</v>
      </c>
      <c r="L6669">
        <v>16.802520000000001</v>
      </c>
      <c r="M6669">
        <v>0.99990520000000005</v>
      </c>
      <c r="N6669">
        <v>-1.3750709999999999E-2</v>
      </c>
      <c r="O6669">
        <v>8.4837599999999997E-4</v>
      </c>
      <c r="P6669">
        <v>0.98013589999999995</v>
      </c>
      <c r="Q6669">
        <v>0.18954480000000001</v>
      </c>
      <c r="R6669">
        <v>5.8366420000000002E-2</v>
      </c>
      <c r="S6669">
        <v>3.0256349999999999</v>
      </c>
      <c r="T6669">
        <v>-2.9357310000000001E-2</v>
      </c>
      <c r="U6669">
        <v>0.68505859999999996</v>
      </c>
      <c r="V6669">
        <v>-5.7593529999999997E-2</v>
      </c>
      <c r="W6669">
        <v>0.20298849999999999</v>
      </c>
      <c r="X6669">
        <v>0.97748590000000002</v>
      </c>
      <c r="Y6669">
        <v>-0.21997630000000001</v>
      </c>
      <c r="Z6669">
        <v>2.5887050000000002E-3</v>
      </c>
      <c r="AA6669">
        <v>0.97550179999999997</v>
      </c>
      <c r="AB6669">
        <v>26</v>
      </c>
      <c r="AC6669">
        <v>96.341099999999997</v>
      </c>
      <c r="AD6669">
        <v>-0.93625930000000002</v>
      </c>
      <c r="AE6669">
        <v>21.8475</v>
      </c>
      <c r="AF6669">
        <v>-21.763796036849801</v>
      </c>
      <c r="AG6669">
        <v>-0.93625930000000002</v>
      </c>
      <c r="AH6669">
        <v>96.350947378619793</v>
      </c>
      <c r="AI6669">
        <v>90.543055083220494</v>
      </c>
      <c r="AJ6669">
        <v>102.728390111102</v>
      </c>
      <c r="AK6669">
        <v>98.782814599342103</v>
      </c>
      <c r="AL6669">
        <v>78.2882271485215</v>
      </c>
      <c r="AM6669">
        <v>93.371972479816804</v>
      </c>
      <c r="AN6669">
        <v>1.0000000152644599</v>
      </c>
    </row>
    <row r="6670" spans="1:40" x14ac:dyDescent="0.25">
      <c r="A6670" t="str">
        <f>"20190304154926869"</f>
        <v>20190304154926869</v>
      </c>
      <c r="B6670" t="str">
        <f>"1551685766863824"</f>
        <v>1551685766863824</v>
      </c>
      <c r="C6670" t="s">
        <v>40</v>
      </c>
      <c r="D6670">
        <v>3.9540459999999999</v>
      </c>
      <c r="E6670">
        <v>0.43446220000000002</v>
      </c>
      <c r="F6670" t="s">
        <v>55</v>
      </c>
      <c r="G6670">
        <v>-240.24510000000001</v>
      </c>
      <c r="H6670">
        <v>0.16940740000000001</v>
      </c>
      <c r="I6670">
        <v>38.650019999999998</v>
      </c>
      <c r="J6670">
        <v>-336.33710000000002</v>
      </c>
      <c r="K6670">
        <v>1.111248</v>
      </c>
      <c r="L6670">
        <v>16.80283</v>
      </c>
      <c r="M6670">
        <v>0.99990509999999999</v>
      </c>
      <c r="N6670">
        <v>-1.3748949999999999E-2</v>
      </c>
      <c r="O6670">
        <v>9.7194950000000001E-4</v>
      </c>
      <c r="P6670">
        <v>0.97996039999999995</v>
      </c>
      <c r="Q6670">
        <v>0.19043479999999999</v>
      </c>
      <c r="R6670">
        <v>5.841549E-2</v>
      </c>
      <c r="S6670">
        <v>3.0256349999999999</v>
      </c>
      <c r="T6670">
        <v>-2.9598360000000001E-2</v>
      </c>
      <c r="U6670">
        <v>0.68658450000000004</v>
      </c>
      <c r="V6670">
        <v>-5.7515110000000001E-2</v>
      </c>
      <c r="W6670">
        <v>0.20387640000000001</v>
      </c>
      <c r="X6670">
        <v>0.97730569999999894</v>
      </c>
      <c r="Y6670">
        <v>-0.2203234</v>
      </c>
      <c r="Z6670">
        <v>2.6016939999999999E-3</v>
      </c>
      <c r="AA6670">
        <v>0.97542340000000005</v>
      </c>
      <c r="AB6670">
        <v>25</v>
      </c>
      <c r="AC6670">
        <v>96.091999999999999</v>
      </c>
      <c r="AD6670">
        <v>-0.94184059999999903</v>
      </c>
      <c r="AE6670">
        <v>21.847190000000001</v>
      </c>
      <c r="AF6670">
        <v>-21.7517873367518</v>
      </c>
      <c r="AG6670">
        <v>-0.94184059999999903</v>
      </c>
      <c r="AH6670">
        <v>96.104412168132001</v>
      </c>
      <c r="AI6670">
        <v>90.547639958721305</v>
      </c>
      <c r="AJ6670">
        <v>102.75316408180601</v>
      </c>
      <c r="AK6670">
        <v>98.539765344967606</v>
      </c>
      <c r="AL6670">
        <v>78.236267551184596</v>
      </c>
      <c r="AM6670">
        <v>93.368011202259893</v>
      </c>
      <c r="AN6670">
        <v>1.00000000280388</v>
      </c>
    </row>
    <row r="6671" spans="1:40" x14ac:dyDescent="0.25">
      <c r="A6671" t="str">
        <f>"20190304154926882"</f>
        <v>20190304154926882</v>
      </c>
      <c r="B6671" t="str">
        <f>"1551685766873584"</f>
        <v>1551685766873584</v>
      </c>
      <c r="C6671" t="s">
        <v>40</v>
      </c>
      <c r="D6671">
        <v>3.9647019999999999</v>
      </c>
      <c r="E6671">
        <v>0.43436419999999998</v>
      </c>
      <c r="F6671" t="s">
        <v>55</v>
      </c>
      <c r="G6671">
        <v>-240.24799999999999</v>
      </c>
      <c r="H6671">
        <v>0.24696899999999999</v>
      </c>
      <c r="I6671">
        <v>38.650019999999998</v>
      </c>
      <c r="J6671">
        <v>-336.19499999999999</v>
      </c>
      <c r="K6671">
        <v>1.1112379999999999</v>
      </c>
      <c r="L6671">
        <v>16.803070000000002</v>
      </c>
      <c r="M6671">
        <v>0.99990500000000004</v>
      </c>
      <c r="N6671">
        <v>-1.374762E-2</v>
      </c>
      <c r="O6671">
        <v>1.0560529999999999E-3</v>
      </c>
      <c r="P6671">
        <v>0.97989340000000003</v>
      </c>
      <c r="Q6671">
        <v>0.19075880000000001</v>
      </c>
      <c r="R6671">
        <v>5.8482119999999999E-2</v>
      </c>
      <c r="S6671">
        <v>3.025665</v>
      </c>
      <c r="T6671">
        <v>-2.7214169999999999E-2</v>
      </c>
      <c r="U6671">
        <v>0.68792719999999996</v>
      </c>
      <c r="V6671">
        <v>-5.7493910000000002E-2</v>
      </c>
      <c r="W6671">
        <v>0.20419989999999999</v>
      </c>
      <c r="X6671">
        <v>0.97723939999999998</v>
      </c>
      <c r="Y6671">
        <v>-0.2206535</v>
      </c>
      <c r="Z6671">
        <v>2.5207540000000001E-3</v>
      </c>
      <c r="AA6671">
        <v>0.97534900000000002</v>
      </c>
      <c r="AB6671">
        <v>25</v>
      </c>
      <c r="AC6671">
        <v>95.947000000000003</v>
      </c>
      <c r="AD6671">
        <v>-0.86426899999999995</v>
      </c>
      <c r="AE6671">
        <v>21.84695</v>
      </c>
      <c r="AF6671">
        <v>-21.743925789425699</v>
      </c>
      <c r="AG6671">
        <v>-0.86426899999999995</v>
      </c>
      <c r="AH6671">
        <v>95.962617594576201</v>
      </c>
      <c r="AI6671">
        <v>90.503252953101295</v>
      </c>
      <c r="AJ6671">
        <v>102.766926060309</v>
      </c>
      <c r="AK6671">
        <v>98.399030712925594</v>
      </c>
      <c r="AL6671">
        <v>78.217333990664599</v>
      </c>
      <c r="AM6671">
        <v>93.367000504088097</v>
      </c>
      <c r="AN6671">
        <v>0.99999999687972896</v>
      </c>
    </row>
    <row r="6672" spans="1:40" x14ac:dyDescent="0.25">
      <c r="A6672" t="str">
        <f>"20190304154926893"</f>
        <v>20190304154926893</v>
      </c>
      <c r="B6672" t="str">
        <f>"1551685766883345"</f>
        <v>1551685766883345</v>
      </c>
      <c r="C6672" t="s">
        <v>40</v>
      </c>
      <c r="D6672">
        <v>3.9875389999999999</v>
      </c>
      <c r="E6672">
        <v>0.43421850000000001</v>
      </c>
      <c r="F6672" t="s">
        <v>55</v>
      </c>
      <c r="G6672">
        <v>-240.23990000000001</v>
      </c>
      <c r="H6672">
        <v>0.26979180000000003</v>
      </c>
      <c r="I6672">
        <v>38.650019999999998</v>
      </c>
      <c r="J6672">
        <v>-336.06909999999999</v>
      </c>
      <c r="K6672">
        <v>1.1112329999999999</v>
      </c>
      <c r="L6672">
        <v>16.80331</v>
      </c>
      <c r="M6672">
        <v>0.99990489999999999</v>
      </c>
      <c r="N6672">
        <v>-1.374644E-2</v>
      </c>
      <c r="O6672">
        <v>1.1270029999999999E-3</v>
      </c>
      <c r="P6672">
        <v>0.97982820000000004</v>
      </c>
      <c r="Q6672">
        <v>0.1910406</v>
      </c>
      <c r="R6672">
        <v>5.865364E-2</v>
      </c>
      <c r="S6672">
        <v>3.0256349999999999</v>
      </c>
      <c r="T6672">
        <v>-2.6531929999999999E-2</v>
      </c>
      <c r="U6672">
        <v>0.68887330000000002</v>
      </c>
      <c r="V6672">
        <v>-5.759156E-2</v>
      </c>
      <c r="W6672">
        <v>0.20448089999999999</v>
      </c>
      <c r="X6672">
        <v>0.97717489999999996</v>
      </c>
      <c r="Y6672">
        <v>-0.2208772</v>
      </c>
      <c r="Z6672">
        <v>2.4991929999999998E-3</v>
      </c>
      <c r="AA6672">
        <v>0.97529849999999996</v>
      </c>
      <c r="AB6672">
        <v>25</v>
      </c>
      <c r="AC6672">
        <v>95.8292</v>
      </c>
      <c r="AD6672">
        <v>-0.8414412</v>
      </c>
      <c r="AE6672">
        <v>21.846710000000002</v>
      </c>
      <c r="AF6672">
        <v>-21.7370930031969</v>
      </c>
      <c r="AG6672">
        <v>-0.8414412</v>
      </c>
      <c r="AH6672">
        <v>95.846738115113496</v>
      </c>
      <c r="AI6672">
        <v>90.490532174560002</v>
      </c>
      <c r="AJ6672">
        <v>102.777969952559</v>
      </c>
      <c r="AK6672">
        <v>98.284314327515304</v>
      </c>
      <c r="AL6672">
        <v>78.200886945663996</v>
      </c>
      <c r="AM6672">
        <v>93.372928071853096</v>
      </c>
      <c r="AN6672">
        <v>1.0000000057190199</v>
      </c>
    </row>
    <row r="6673" spans="1:40" x14ac:dyDescent="0.25">
      <c r="A6673" t="str">
        <f>"20190304154926903"</f>
        <v>20190304154926903</v>
      </c>
      <c r="B6673" t="str">
        <f>"1551685766894081"</f>
        <v>1551685766894081</v>
      </c>
      <c r="C6673" t="s">
        <v>40</v>
      </c>
      <c r="D6673">
        <v>3.9870030000000001</v>
      </c>
      <c r="E6673">
        <v>0.43409940000000002</v>
      </c>
      <c r="F6673" t="s">
        <v>55</v>
      </c>
      <c r="G6673">
        <v>-240.33189999999999</v>
      </c>
      <c r="H6673">
        <v>0.2980313</v>
      </c>
      <c r="I6673">
        <v>38.650019999999998</v>
      </c>
      <c r="J6673">
        <v>-335.94439999999997</v>
      </c>
      <c r="K6673">
        <v>1.1112249999999999</v>
      </c>
      <c r="L6673">
        <v>16.8035</v>
      </c>
      <c r="M6673">
        <v>0.99990489999999999</v>
      </c>
      <c r="N6673">
        <v>-1.374526E-2</v>
      </c>
      <c r="O6673">
        <v>1.185497E-3</v>
      </c>
      <c r="P6673">
        <v>0.97981119999999999</v>
      </c>
      <c r="Q6673">
        <v>0.19102549999999999</v>
      </c>
      <c r="R6673">
        <v>5.8987869999999998E-2</v>
      </c>
      <c r="S6673">
        <v>3.0254819999999998</v>
      </c>
      <c r="T6673">
        <v>-2.569842E-2</v>
      </c>
      <c r="U6673">
        <v>0.69039919999999899</v>
      </c>
      <c r="V6673">
        <v>-5.7863409999999997E-2</v>
      </c>
      <c r="W6673">
        <v>0.20446549999999999</v>
      </c>
      <c r="X6673">
        <v>0.97716210000000003</v>
      </c>
      <c r="Y6673">
        <v>-0.2212991</v>
      </c>
      <c r="Z6673">
        <v>2.474413E-3</v>
      </c>
      <c r="AA6673">
        <v>0.97520289999999998</v>
      </c>
      <c r="AB6673">
        <v>25</v>
      </c>
      <c r="AC6673">
        <v>95.612499999999898</v>
      </c>
      <c r="AD6673">
        <v>-0.81319369999999902</v>
      </c>
      <c r="AE6673">
        <v>21.846520000000002</v>
      </c>
      <c r="AF6673">
        <v>-21.731651615252702</v>
      </c>
      <c r="AG6673">
        <v>-0.81319369999999902</v>
      </c>
      <c r="AH6673">
        <v>95.631759781040699</v>
      </c>
      <c r="AI6673">
        <v>90.475084775087893</v>
      </c>
      <c r="AJ6673">
        <v>102.802648530689</v>
      </c>
      <c r="AK6673">
        <v>98.073235108969001</v>
      </c>
      <c r="AL6673">
        <v>78.201788782984593</v>
      </c>
      <c r="AM6673">
        <v>93.388856605975207</v>
      </c>
      <c r="AN6673">
        <v>1.0000000422917401</v>
      </c>
    </row>
    <row r="6674" spans="1:40" x14ac:dyDescent="0.25">
      <c r="A6674" t="str">
        <f>"20190304154926915"</f>
        <v>20190304154926915</v>
      </c>
      <c r="B6674" t="str">
        <f>"1551685766903841"</f>
        <v>1551685766903841</v>
      </c>
      <c r="C6674" t="s">
        <v>40</v>
      </c>
      <c r="D6674">
        <v>3.9952800000000002</v>
      </c>
      <c r="E6674">
        <v>0.43401089999999998</v>
      </c>
      <c r="F6674" t="s">
        <v>55</v>
      </c>
      <c r="G6674">
        <v>-240.46340000000001</v>
      </c>
      <c r="H6674">
        <v>0.29126039999999997</v>
      </c>
      <c r="I6674">
        <v>38.650019999999998</v>
      </c>
      <c r="J6674">
        <v>-335.81659999999999</v>
      </c>
      <c r="K6674">
        <v>1.1112150000000001</v>
      </c>
      <c r="L6674">
        <v>16.803709999999999</v>
      </c>
      <c r="M6674">
        <v>0.99990480000000004</v>
      </c>
      <c r="N6674">
        <v>-1.3744040000000001E-2</v>
      </c>
      <c r="O6674">
        <v>1.241425E-3</v>
      </c>
      <c r="P6674">
        <v>0.97973319999999997</v>
      </c>
      <c r="Q6674">
        <v>0.19136130000000001</v>
      </c>
      <c r="R6674">
        <v>5.9192920000000003E-2</v>
      </c>
      <c r="S6674">
        <v>3.0251459999999999</v>
      </c>
      <c r="T6674">
        <v>-2.59788E-2</v>
      </c>
      <c r="U6674">
        <v>0.69216919999999904</v>
      </c>
      <c r="V6674">
        <v>-5.8008820000000003E-2</v>
      </c>
      <c r="W6674">
        <v>0.20480110000000001</v>
      </c>
      <c r="X6674">
        <v>0.97708309999999998</v>
      </c>
      <c r="Y6674">
        <v>-0.22181000000000001</v>
      </c>
      <c r="Z6674">
        <v>2.4904369999999999E-3</v>
      </c>
      <c r="AA6674">
        <v>0.97508669999999997</v>
      </c>
      <c r="AB6674">
        <v>25</v>
      </c>
      <c r="AC6674">
        <v>95.353200000000001</v>
      </c>
      <c r="AD6674">
        <v>-0.81995459999999998</v>
      </c>
      <c r="AE6674">
        <v>21.846309999999999</v>
      </c>
      <c r="AF6674">
        <v>-21.726381703369899</v>
      </c>
      <c r="AG6674">
        <v>-0.81995459999999998</v>
      </c>
      <c r="AH6674">
        <v>95.373548951149104</v>
      </c>
      <c r="AI6674">
        <v>90.480273131327706</v>
      </c>
      <c r="AJ6674">
        <v>102.833153529249</v>
      </c>
      <c r="AK6674">
        <v>97.820354870567797</v>
      </c>
      <c r="AL6674">
        <v>78.182143506280099</v>
      </c>
      <c r="AM6674">
        <v>93.397626878758601</v>
      </c>
      <c r="AN6674">
        <v>0.99999994903230405</v>
      </c>
    </row>
    <row r="6675" spans="1:40" x14ac:dyDescent="0.25">
      <c r="A6675" t="str">
        <f>"20190304154926926"</f>
        <v>20190304154926926</v>
      </c>
      <c r="B6675" t="str">
        <f>"1551685766924336"</f>
        <v>1551685766924336</v>
      </c>
      <c r="C6675" t="s">
        <v>40</v>
      </c>
      <c r="D6675">
        <v>4.0533449999999904</v>
      </c>
      <c r="E6675">
        <v>0.43374859999999998</v>
      </c>
      <c r="F6675" t="s">
        <v>55</v>
      </c>
      <c r="G6675">
        <v>-240.48650000000001</v>
      </c>
      <c r="H6675">
        <v>0.31636530000000002</v>
      </c>
      <c r="I6675">
        <v>38.650019999999998</v>
      </c>
      <c r="J6675">
        <v>-335.68130000000002</v>
      </c>
      <c r="K6675">
        <v>1.1112040000000001</v>
      </c>
      <c r="L6675">
        <v>16.80396</v>
      </c>
      <c r="M6675">
        <v>0.99990489999999999</v>
      </c>
      <c r="N6675">
        <v>-1.374274E-2</v>
      </c>
      <c r="O6675">
        <v>1.290612E-3</v>
      </c>
      <c r="P6675">
        <v>0.97972049999999999</v>
      </c>
      <c r="Q6675">
        <v>0.1912837</v>
      </c>
      <c r="R6675">
        <v>5.9655079999999999E-2</v>
      </c>
      <c r="S6675">
        <v>3.025055</v>
      </c>
      <c r="T6675">
        <v>-2.522218E-2</v>
      </c>
      <c r="U6675">
        <v>0.69323729999999995</v>
      </c>
      <c r="V6675">
        <v>-5.8417459999999997E-2</v>
      </c>
      <c r="W6675">
        <v>0.20472319999999999</v>
      </c>
      <c r="X6675">
        <v>0.97707520000000003</v>
      </c>
      <c r="Y6675">
        <v>-0.2220964</v>
      </c>
      <c r="Z6675">
        <v>2.4666950000000001E-3</v>
      </c>
      <c r="AA6675">
        <v>0.97502160000000004</v>
      </c>
      <c r="AB6675">
        <v>25</v>
      </c>
      <c r="AC6675">
        <v>95.194800000000001</v>
      </c>
      <c r="AD6675">
        <v>-0.79483870000000001</v>
      </c>
      <c r="AE6675">
        <v>21.846060000000001</v>
      </c>
      <c r="AF6675">
        <v>-21.721732082004699</v>
      </c>
      <c r="AG6675">
        <v>-0.79483870000000001</v>
      </c>
      <c r="AH6675">
        <v>95.216612144700605</v>
      </c>
      <c r="AI6675">
        <v>90.466296923155298</v>
      </c>
      <c r="AJ6675">
        <v>102.85094378701901</v>
      </c>
      <c r="AK6675">
        <v>97.666107947003596</v>
      </c>
      <c r="AL6675">
        <v>78.186704883154306</v>
      </c>
      <c r="AM6675">
        <v>93.4215322138365</v>
      </c>
      <c r="AN6675">
        <v>1.00000006735306</v>
      </c>
    </row>
    <row r="6676" spans="1:40" x14ac:dyDescent="0.25">
      <c r="A6676" t="str">
        <f>"20190304154926938"</f>
        <v>20190304154926938</v>
      </c>
      <c r="B6676" t="str">
        <f>"1551685766934097"</f>
        <v>1551685766934097</v>
      </c>
      <c r="C6676" t="s">
        <v>40</v>
      </c>
      <c r="D6676">
        <v>4.0160289999999996</v>
      </c>
      <c r="E6676">
        <v>0.43369449999999998</v>
      </c>
      <c r="F6676" t="s">
        <v>55</v>
      </c>
      <c r="G6676">
        <v>-240.81720000000001</v>
      </c>
      <c r="H6676">
        <v>0.3036565</v>
      </c>
      <c r="I6676">
        <v>38.650019999999998</v>
      </c>
      <c r="J6676">
        <v>-335.56369999999998</v>
      </c>
      <c r="K6676">
        <v>1.1111949999999999</v>
      </c>
      <c r="L6676">
        <v>16.804169999999999</v>
      </c>
      <c r="M6676">
        <v>0.99990480000000004</v>
      </c>
      <c r="N6676">
        <v>-1.374162E-2</v>
      </c>
      <c r="O6676">
        <v>1.3265270000000001E-3</v>
      </c>
      <c r="P6676">
        <v>0.97965979999999997</v>
      </c>
      <c r="Q6676">
        <v>0.19145419999999999</v>
      </c>
      <c r="R6676">
        <v>6.010223E-2</v>
      </c>
      <c r="S6676">
        <v>3.02475</v>
      </c>
      <c r="T6676">
        <v>-2.574837E-2</v>
      </c>
      <c r="U6676">
        <v>0.69656370000000001</v>
      </c>
      <c r="V6676">
        <v>-5.8824849999999998E-2</v>
      </c>
      <c r="W6676">
        <v>0.20489309999999999</v>
      </c>
      <c r="X6676">
        <v>0.97701510000000003</v>
      </c>
      <c r="Y6676">
        <v>-0.22310050000000001</v>
      </c>
      <c r="Z6676">
        <v>2.4969720000000001E-3</v>
      </c>
      <c r="AA6676">
        <v>0.9747922</v>
      </c>
      <c r="AB6676">
        <v>25</v>
      </c>
      <c r="AC6676">
        <v>94.746499999999898</v>
      </c>
      <c r="AD6676">
        <v>-0.80753850000000005</v>
      </c>
      <c r="AE6676">
        <v>21.845849999999899</v>
      </c>
      <c r="AF6676">
        <v>-21.718637042698401</v>
      </c>
      <c r="AG6676">
        <v>-0.80753850000000005</v>
      </c>
      <c r="AH6676">
        <v>94.768861592577906</v>
      </c>
      <c r="AI6676">
        <v>90.475877108030502</v>
      </c>
      <c r="AJ6676">
        <v>102.90785265373199</v>
      </c>
      <c r="AK6676">
        <v>97.229051424842396</v>
      </c>
      <c r="AL6676">
        <v>78.176759008438495</v>
      </c>
      <c r="AM6676">
        <v>93.445547342459093</v>
      </c>
      <c r="AN6676">
        <v>1.00000002551657</v>
      </c>
    </row>
    <row r="6677" spans="1:40" x14ac:dyDescent="0.25">
      <c r="A6677" t="str">
        <f>"20190304154926948"</f>
        <v>20190304154926948</v>
      </c>
      <c r="B6677" t="str">
        <f>"1551685766943857"</f>
        <v>1551685766943857</v>
      </c>
      <c r="C6677" t="s">
        <v>40</v>
      </c>
      <c r="D6677">
        <v>4.0547129999999996</v>
      </c>
      <c r="E6677">
        <v>0.43363259999999998</v>
      </c>
      <c r="F6677" t="s">
        <v>55</v>
      </c>
      <c r="G6677">
        <v>-240.92789999999999</v>
      </c>
      <c r="H6677">
        <v>0.30320920000000001</v>
      </c>
      <c r="I6677">
        <v>38.650019999999998</v>
      </c>
      <c r="J6677">
        <v>-335.43860000000001</v>
      </c>
      <c r="K6677">
        <v>1.1111869999999999</v>
      </c>
      <c r="L6677">
        <v>16.804379999999998</v>
      </c>
      <c r="M6677">
        <v>0.99990480000000004</v>
      </c>
      <c r="N6677">
        <v>-1.374042E-2</v>
      </c>
      <c r="O6677">
        <v>1.3587359999999999E-3</v>
      </c>
      <c r="P6677">
        <v>0.97964839999999997</v>
      </c>
      <c r="Q6677">
        <v>0.1913801</v>
      </c>
      <c r="R6677">
        <v>6.0519459999999997E-2</v>
      </c>
      <c r="S6677">
        <v>3.0245060000000001</v>
      </c>
      <c r="T6677">
        <v>-2.5822399999999999E-2</v>
      </c>
      <c r="U6677">
        <v>0.69818119999999995</v>
      </c>
      <c r="V6677">
        <v>-5.9205929999999997E-2</v>
      </c>
      <c r="W6677">
        <v>0.20481930000000001</v>
      </c>
      <c r="X6677">
        <v>0.97700750000000003</v>
      </c>
      <c r="Y6677">
        <v>-0.2235811</v>
      </c>
      <c r="Z6677">
        <v>2.5051439999999999E-3</v>
      </c>
      <c r="AA6677">
        <v>0.9746821</v>
      </c>
      <c r="AB6677">
        <v>25</v>
      </c>
      <c r="AC6677">
        <v>94.5107</v>
      </c>
      <c r="AD6677">
        <v>-0.80797779999999997</v>
      </c>
      <c r="AE6677">
        <v>21.84564</v>
      </c>
      <c r="AF6677">
        <v>-21.7156860059895</v>
      </c>
      <c r="AG6677">
        <v>-0.80797779999999997</v>
      </c>
      <c r="AH6677">
        <v>94.533739280770405</v>
      </c>
      <c r="AI6677">
        <v>90.477264103672496</v>
      </c>
      <c r="AJ6677">
        <v>102.937178727214</v>
      </c>
      <c r="AK6677">
        <v>96.999235611630994</v>
      </c>
      <c r="AL6677">
        <v>78.1810784075832</v>
      </c>
      <c r="AM6677">
        <v>93.467840950212604</v>
      </c>
      <c r="AN6677">
        <v>0.99999997142795205</v>
      </c>
    </row>
    <row r="6678" spans="1:40" x14ac:dyDescent="0.25">
      <c r="A6678" t="str">
        <f>"20190304154926960"</f>
        <v>20190304154926960</v>
      </c>
      <c r="B6678" t="str">
        <f>"1551685766953617"</f>
        <v>1551685766953617</v>
      </c>
      <c r="C6678" t="s">
        <v>40</v>
      </c>
      <c r="D6678">
        <v>4.0295579999999998</v>
      </c>
      <c r="E6678">
        <v>0.43358079999999999</v>
      </c>
      <c r="F6678" t="s">
        <v>55</v>
      </c>
      <c r="G6678">
        <v>-241.03</v>
      </c>
      <c r="H6678">
        <v>0.29002729999999999</v>
      </c>
      <c r="I6678">
        <v>38.650019999999998</v>
      </c>
      <c r="J6678">
        <v>-335.30619999999999</v>
      </c>
      <c r="K6678">
        <v>1.1111759999999999</v>
      </c>
      <c r="L6678">
        <v>16.80463</v>
      </c>
      <c r="M6678">
        <v>0.99990460000000003</v>
      </c>
      <c r="N6678">
        <v>-1.373916E-2</v>
      </c>
      <c r="O6678">
        <v>1.3826470000000001E-3</v>
      </c>
      <c r="P6678">
        <v>0.97961600000000004</v>
      </c>
      <c r="Q6678">
        <v>0.1914293</v>
      </c>
      <c r="R6678">
        <v>6.0888060000000001E-2</v>
      </c>
      <c r="S6678">
        <v>3.0242610000000001</v>
      </c>
      <c r="T6678">
        <v>-2.6304480000000002E-2</v>
      </c>
      <c r="U6678">
        <v>0.69979859999999905</v>
      </c>
      <c r="V6678">
        <v>-5.9545389999999997E-2</v>
      </c>
      <c r="W6678">
        <v>0.2048683</v>
      </c>
      <c r="X6678">
        <v>0.97697659999999997</v>
      </c>
      <c r="Y6678">
        <v>-0.2240693</v>
      </c>
      <c r="Z6678">
        <v>2.528097E-3</v>
      </c>
      <c r="AA6678">
        <v>0.97456989999999999</v>
      </c>
      <c r="AB6678">
        <v>25</v>
      </c>
      <c r="AC6678">
        <v>94.276200000000003</v>
      </c>
      <c r="AD6678">
        <v>-0.82114869999999995</v>
      </c>
      <c r="AE6678">
        <v>21.845389999999998</v>
      </c>
      <c r="AF6678">
        <v>-21.713442755189298</v>
      </c>
      <c r="AG6678">
        <v>-0.82114869999999995</v>
      </c>
      <c r="AH6678">
        <v>94.299527727679802</v>
      </c>
      <c r="AI6678">
        <v>90.486190227490496</v>
      </c>
      <c r="AJ6678">
        <v>102.966931489139</v>
      </c>
      <c r="AK6678">
        <v>96.7705988982907</v>
      </c>
      <c r="AL6678">
        <v>78.178210138125195</v>
      </c>
      <c r="AM6678">
        <v>93.487785077157795</v>
      </c>
      <c r="AN6678">
        <v>0.99999997538134999</v>
      </c>
    </row>
    <row r="6679" spans="1:40" x14ac:dyDescent="0.25">
      <c r="A6679" t="str">
        <f>"20190304154926971"</f>
        <v>20190304154926971</v>
      </c>
      <c r="B6679" t="str">
        <f>"1551685766963377"</f>
        <v>1551685766963377</v>
      </c>
      <c r="C6679" t="s">
        <v>40</v>
      </c>
      <c r="D6679">
        <v>4.0371930000000003</v>
      </c>
      <c r="E6679">
        <v>0.43356210000000001</v>
      </c>
      <c r="F6679" t="s">
        <v>55</v>
      </c>
      <c r="G6679">
        <v>-241.11170000000001</v>
      </c>
      <c r="H6679">
        <v>0.28341349999999998</v>
      </c>
      <c r="I6679">
        <v>38.650019999999998</v>
      </c>
      <c r="J6679">
        <v>-335.17809999999997</v>
      </c>
      <c r="K6679">
        <v>1.1111660000000001</v>
      </c>
      <c r="L6679">
        <v>16.804839999999999</v>
      </c>
      <c r="M6679">
        <v>0.99990480000000004</v>
      </c>
      <c r="N6679">
        <v>-1.3737940000000001E-2</v>
      </c>
      <c r="O6679">
        <v>1.401673E-3</v>
      </c>
      <c r="P6679">
        <v>0.97962309999999997</v>
      </c>
      <c r="Q6679">
        <v>0.19131219999999999</v>
      </c>
      <c r="R6679">
        <v>6.1143679999999999E-2</v>
      </c>
      <c r="S6679">
        <v>3.0240170000000002</v>
      </c>
      <c r="T6679">
        <v>-2.6574130000000001E-2</v>
      </c>
      <c r="U6679">
        <v>0.70132450000000002</v>
      </c>
      <c r="V6679">
        <v>-5.9777490000000003E-2</v>
      </c>
      <c r="W6679">
        <v>0.20475119999999999</v>
      </c>
      <c r="X6679">
        <v>0.97698700000000005</v>
      </c>
      <c r="Y6679">
        <v>-0.2245344</v>
      </c>
      <c r="Z6679">
        <v>2.5431500000000001E-3</v>
      </c>
      <c r="AA6679">
        <v>0.97446290000000002</v>
      </c>
      <c r="AB6679">
        <v>25</v>
      </c>
      <c r="AC6679">
        <v>94.066399999999902</v>
      </c>
      <c r="AD6679">
        <v>-0.827752499999999</v>
      </c>
      <c r="AE6679">
        <v>21.845179999999999</v>
      </c>
      <c r="AF6679">
        <v>-21.7117005858954</v>
      </c>
      <c r="AG6679">
        <v>-0.827752499999999</v>
      </c>
      <c r="AH6679">
        <v>94.090017315685898</v>
      </c>
      <c r="AI6679">
        <v>90.491138178005698</v>
      </c>
      <c r="AJ6679">
        <v>102.993818740105</v>
      </c>
      <c r="AK6679">
        <v>96.566114527814094</v>
      </c>
      <c r="AL6679">
        <v>78.185065077492297</v>
      </c>
      <c r="AM6679">
        <v>93.501309064312395</v>
      </c>
      <c r="AN6679">
        <v>1.00000000019057</v>
      </c>
    </row>
    <row r="6680" spans="1:40" x14ac:dyDescent="0.25">
      <c r="A6680" t="str">
        <f>"20190304154926982"</f>
        <v>20190304154926982</v>
      </c>
      <c r="B6680" t="str">
        <f>"1551685766974113"</f>
        <v>1551685766974113</v>
      </c>
      <c r="C6680" t="s">
        <v>40</v>
      </c>
      <c r="D6680">
        <v>4.0211420000000002</v>
      </c>
      <c r="E6680">
        <v>0.43348609999999999</v>
      </c>
      <c r="F6680" t="s">
        <v>55</v>
      </c>
      <c r="G6680">
        <v>-241.14160000000001</v>
      </c>
      <c r="H6680">
        <v>0.26540829999999999</v>
      </c>
      <c r="I6680">
        <v>38.650019999999998</v>
      </c>
      <c r="J6680">
        <v>-335.05430000000001</v>
      </c>
      <c r="K6680">
        <v>1.111156</v>
      </c>
      <c r="L6680">
        <v>16.805019999999999</v>
      </c>
      <c r="M6680">
        <v>0.99990480000000004</v>
      </c>
      <c r="N6680">
        <v>-1.3736760000000001E-2</v>
      </c>
      <c r="O6680">
        <v>1.4104650000000001E-3</v>
      </c>
      <c r="P6680">
        <v>0.97959300000000005</v>
      </c>
      <c r="Q6680">
        <v>0.19141250000000001</v>
      </c>
      <c r="R6680">
        <v>6.1311860000000003E-2</v>
      </c>
      <c r="S6680">
        <v>3.0238339999999999</v>
      </c>
      <c r="T6680">
        <v>-2.7195810000000001E-2</v>
      </c>
      <c r="U6680">
        <v>0.70245360000000001</v>
      </c>
      <c r="V6680">
        <v>-5.9932270000000003E-2</v>
      </c>
      <c r="W6680">
        <v>0.20485149999999999</v>
      </c>
      <c r="X6680">
        <v>0.97695650000000001</v>
      </c>
      <c r="Y6680">
        <v>-0.22488330000000001</v>
      </c>
      <c r="Z6680">
        <v>2.5696080000000001E-3</v>
      </c>
      <c r="AA6680">
        <v>0.97438230000000003</v>
      </c>
      <c r="AB6680">
        <v>25</v>
      </c>
      <c r="AC6680">
        <v>93.912700000000001</v>
      </c>
      <c r="AD6680">
        <v>-0.84574769999999899</v>
      </c>
      <c r="AE6680">
        <v>21.844999999999899</v>
      </c>
      <c r="AF6680">
        <v>-21.710834794186098</v>
      </c>
      <c r="AG6680">
        <v>-0.84574769999999899</v>
      </c>
      <c r="AH6680">
        <v>93.936193693219494</v>
      </c>
      <c r="AI6680">
        <v>90.502595973437295</v>
      </c>
      <c r="AJ6680">
        <v>103.013871443865</v>
      </c>
      <c r="AK6680">
        <v>96.416202591693803</v>
      </c>
      <c r="AL6680">
        <v>78.179193961164302</v>
      </c>
      <c r="AM6680">
        <v>93.510461571704198</v>
      </c>
      <c r="AN6680">
        <v>1.00000000846592</v>
      </c>
    </row>
    <row r="6681" spans="1:40" x14ac:dyDescent="0.25">
      <c r="A6681" t="str">
        <f>"20190304154926993"</f>
        <v>20190304154926993</v>
      </c>
      <c r="B6681" t="str">
        <f>"1551685766983873"</f>
        <v>1551685766983873</v>
      </c>
      <c r="C6681" t="s">
        <v>40</v>
      </c>
      <c r="D6681">
        <v>3.9951240000000001</v>
      </c>
      <c r="E6681">
        <v>0.43340420000000002</v>
      </c>
      <c r="F6681" t="s">
        <v>55</v>
      </c>
      <c r="G6681">
        <v>-241.16919999999999</v>
      </c>
      <c r="H6681">
        <v>0.28356759999999998</v>
      </c>
      <c r="I6681">
        <v>38.650019999999998</v>
      </c>
      <c r="J6681">
        <v>-334.92939999999999</v>
      </c>
      <c r="K6681">
        <v>1.1111489999999999</v>
      </c>
      <c r="L6681">
        <v>16.805209999999999</v>
      </c>
      <c r="M6681">
        <v>0.99990480000000004</v>
      </c>
      <c r="N6681">
        <v>-1.3735580000000001E-2</v>
      </c>
      <c r="O6681">
        <v>1.417892E-3</v>
      </c>
      <c r="P6681">
        <v>0.9795566</v>
      </c>
      <c r="Q6681">
        <v>0.1915461</v>
      </c>
      <c r="R6681">
        <v>6.1474149999999998E-2</v>
      </c>
      <c r="S6681">
        <v>3.0237120000000002</v>
      </c>
      <c r="T6681">
        <v>-2.6653409999999999E-2</v>
      </c>
      <c r="U6681">
        <v>0.70355219999999996</v>
      </c>
      <c r="V6681">
        <v>-6.0082419999999997E-2</v>
      </c>
      <c r="W6681">
        <v>0.204985</v>
      </c>
      <c r="X6681">
        <v>0.97691919999999999</v>
      </c>
      <c r="Y6681">
        <v>-0.22522110000000001</v>
      </c>
      <c r="Z6681">
        <v>2.5537340000000002E-3</v>
      </c>
      <c r="AA6681">
        <v>0.97430430000000001</v>
      </c>
      <c r="AB6681">
        <v>25</v>
      </c>
      <c r="AC6681">
        <v>93.760199999999998</v>
      </c>
      <c r="AD6681">
        <v>-0.82758139999999902</v>
      </c>
      <c r="AE6681">
        <v>21.844809999999999</v>
      </c>
      <c r="AF6681">
        <v>-21.710229353107898</v>
      </c>
      <c r="AG6681">
        <v>-0.82758139999999902</v>
      </c>
      <c r="AH6681">
        <v>93.784151855650506</v>
      </c>
      <c r="AI6681">
        <v>90.492558402080107</v>
      </c>
      <c r="AJ6681">
        <v>103.033898461478</v>
      </c>
      <c r="AK6681">
        <v>96.267783234173905</v>
      </c>
      <c r="AL6681">
        <v>78.171378259914306</v>
      </c>
      <c r="AM6681">
        <v>93.519368384789203</v>
      </c>
      <c r="AN6681">
        <v>0.99999993537334597</v>
      </c>
    </row>
    <row r="6682" spans="1:40" x14ac:dyDescent="0.25">
      <c r="A6682" t="str">
        <f>"20190304154927004"</f>
        <v>20190304154927004</v>
      </c>
      <c r="B6682" t="str">
        <f>"1551685766993634"</f>
        <v>1551685766993634</v>
      </c>
      <c r="C6682" t="s">
        <v>40</v>
      </c>
      <c r="D6682">
        <v>3.9972430000000001</v>
      </c>
      <c r="E6682">
        <v>0.433282</v>
      </c>
      <c r="F6682" t="s">
        <v>55</v>
      </c>
      <c r="G6682">
        <v>-241.21430000000001</v>
      </c>
      <c r="H6682">
        <v>0.29777779999999998</v>
      </c>
      <c r="I6682">
        <v>38.650019999999998</v>
      </c>
      <c r="J6682">
        <v>-334.80070000000001</v>
      </c>
      <c r="K6682">
        <v>1.1111420000000001</v>
      </c>
      <c r="L6682">
        <v>16.805389999999999</v>
      </c>
      <c r="M6682">
        <v>0.99990480000000004</v>
      </c>
      <c r="N6682">
        <v>-1.3734359999999999E-2</v>
      </c>
      <c r="O6682">
        <v>1.4192629999999901E-3</v>
      </c>
      <c r="P6682">
        <v>0.9795431</v>
      </c>
      <c r="Q6682">
        <v>0.19155630000000001</v>
      </c>
      <c r="R6682">
        <v>6.1657549999999998E-2</v>
      </c>
      <c r="S6682">
        <v>3.0234990000000002</v>
      </c>
      <c r="T6682">
        <v>-2.6241179999999999E-2</v>
      </c>
      <c r="U6682">
        <v>0.70477290000000004</v>
      </c>
      <c r="V6682">
        <v>-6.0261170000000003E-2</v>
      </c>
      <c r="W6682">
        <v>0.2049948</v>
      </c>
      <c r="X6682">
        <v>0.97690619999999995</v>
      </c>
      <c r="Y6682">
        <v>-0.22560859999999999</v>
      </c>
      <c r="Z6682">
        <v>2.5430880000000002E-3</v>
      </c>
      <c r="AA6682">
        <v>0.97421469999999999</v>
      </c>
      <c r="AB6682">
        <v>25</v>
      </c>
      <c r="AC6682">
        <v>93.586399999999998</v>
      </c>
      <c r="AD6682">
        <v>-0.81336419999999998</v>
      </c>
      <c r="AE6682">
        <v>21.844629999999999</v>
      </c>
      <c r="AF6682">
        <v>-21.710216629499399</v>
      </c>
      <c r="AG6682">
        <v>-0.81336419999999998</v>
      </c>
      <c r="AH6682">
        <v>93.610606440755404</v>
      </c>
      <c r="AI6682">
        <v>90.484948717646404</v>
      </c>
      <c r="AJ6682">
        <v>103.05722746615299</v>
      </c>
      <c r="AK6682">
        <v>96.098598874424994</v>
      </c>
      <c r="AL6682">
        <v>78.170805355534696</v>
      </c>
      <c r="AM6682">
        <v>93.529859206764101</v>
      </c>
      <c r="AN6682">
        <v>1.0000000001176199</v>
      </c>
    </row>
    <row r="6683" spans="1:40" x14ac:dyDescent="0.25">
      <c r="A6683" t="str">
        <f>"20190304154927016"</f>
        <v>20190304154927016</v>
      </c>
      <c r="B6683" t="str">
        <f>"1551685767003394"</f>
        <v>1551685767003394</v>
      </c>
      <c r="C6683" t="s">
        <v>40</v>
      </c>
      <c r="D6683">
        <v>4.0480970000000003</v>
      </c>
      <c r="E6683">
        <v>0.43316290000000002</v>
      </c>
      <c r="F6683" t="s">
        <v>55</v>
      </c>
      <c r="G6683">
        <v>-241.32060000000001</v>
      </c>
      <c r="H6683">
        <v>0.30590830000000002</v>
      </c>
      <c r="I6683">
        <v>38.650019999999998</v>
      </c>
      <c r="J6683">
        <v>-334.6816</v>
      </c>
      <c r="K6683">
        <v>1.111135</v>
      </c>
      <c r="L6683">
        <v>16.805599999999998</v>
      </c>
      <c r="M6683">
        <v>0.99990469999999998</v>
      </c>
      <c r="N6683">
        <v>-1.3733230000000001E-2</v>
      </c>
      <c r="O6683">
        <v>1.41904799999999E-3</v>
      </c>
      <c r="P6683">
        <v>0.97954289999999999</v>
      </c>
      <c r="Q6683">
        <v>0.19156529999999999</v>
      </c>
      <c r="R6683">
        <v>6.1632029999999997E-2</v>
      </c>
      <c r="S6683">
        <v>3.0232540000000001</v>
      </c>
      <c r="T6683">
        <v>-2.6041870000000002E-2</v>
      </c>
      <c r="U6683">
        <v>0.7064819</v>
      </c>
      <c r="V6683">
        <v>-6.0232649999999999E-2</v>
      </c>
      <c r="W6683">
        <v>0.2050032</v>
      </c>
      <c r="X6683">
        <v>0.97690619999999995</v>
      </c>
      <c r="Y6683">
        <v>-0.22614860000000001</v>
      </c>
      <c r="Z6683">
        <v>2.5418770000000001E-3</v>
      </c>
      <c r="AA6683">
        <v>0.97408950000000005</v>
      </c>
      <c r="AB6683">
        <v>25</v>
      </c>
      <c r="AC6683">
        <v>93.361000000000004</v>
      </c>
      <c r="AD6683">
        <v>-0.80522669999999996</v>
      </c>
      <c r="AE6683">
        <v>21.84442</v>
      </c>
      <c r="AF6683">
        <v>-21.710370593062301</v>
      </c>
      <c r="AG6683">
        <v>-0.80522669999999996</v>
      </c>
      <c r="AH6683">
        <v>93.385320966125605</v>
      </c>
      <c r="AI6683">
        <v>90.481195812628499</v>
      </c>
      <c r="AJ6683">
        <v>103.087733632584</v>
      </c>
      <c r="AK6683">
        <v>95.8791257431606</v>
      </c>
      <c r="AL6683">
        <v>78.170313672761495</v>
      </c>
      <c r="AM6683">
        <v>93.5281928397646</v>
      </c>
      <c r="AN6683">
        <v>1.00000000386735</v>
      </c>
    </row>
    <row r="6684" spans="1:40" x14ac:dyDescent="0.25">
      <c r="A6684" t="str">
        <f>"20190304154927027"</f>
        <v>20190304154927027</v>
      </c>
      <c r="B6684" t="str">
        <f>"1551685767023889"</f>
        <v>1551685767023889</v>
      </c>
      <c r="C6684" t="s">
        <v>40</v>
      </c>
      <c r="D6684">
        <v>4.093852</v>
      </c>
      <c r="E6684">
        <v>0.43301440000000002</v>
      </c>
      <c r="F6684" t="s">
        <v>55</v>
      </c>
      <c r="G6684">
        <v>-241.30549999999999</v>
      </c>
      <c r="H6684">
        <v>0.30130479999999998</v>
      </c>
      <c r="I6684">
        <v>38.650019999999998</v>
      </c>
      <c r="J6684">
        <v>-334.54020000000003</v>
      </c>
      <c r="K6684">
        <v>1.1111219999999999</v>
      </c>
      <c r="L6684">
        <v>16.805789999999998</v>
      </c>
      <c r="M6684">
        <v>0.99990480000000004</v>
      </c>
      <c r="N6684">
        <v>-1.373191E-2</v>
      </c>
      <c r="O6684">
        <v>1.4150899999999999E-3</v>
      </c>
      <c r="P6684">
        <v>0.97955809999999999</v>
      </c>
      <c r="Q6684">
        <v>0.1914653</v>
      </c>
      <c r="R6684">
        <v>6.1704229999999999E-2</v>
      </c>
      <c r="S6684">
        <v>3.0233150000000002</v>
      </c>
      <c r="T6684">
        <v>-2.6220199999999999E-2</v>
      </c>
      <c r="U6684">
        <v>0.7072754</v>
      </c>
      <c r="V6684">
        <v>-6.0306609999999997E-2</v>
      </c>
      <c r="W6684">
        <v>0.2049029</v>
      </c>
      <c r="X6684">
        <v>0.97692270000000003</v>
      </c>
      <c r="Y6684">
        <v>-0.22639020000000001</v>
      </c>
      <c r="Z6684">
        <v>2.550914E-3</v>
      </c>
      <c r="AA6684">
        <v>0.97403340000000005</v>
      </c>
      <c r="AB6684">
        <v>25</v>
      </c>
      <c r="AC6684">
        <v>93.234700000000004</v>
      </c>
      <c r="AD6684">
        <v>-0.80981719999999902</v>
      </c>
      <c r="AE6684">
        <v>21.84423</v>
      </c>
      <c r="AF6684">
        <v>-21.710707515124501</v>
      </c>
      <c r="AG6684">
        <v>-0.80981719999999902</v>
      </c>
      <c r="AH6684">
        <v>93.258851485910398</v>
      </c>
      <c r="AI6684">
        <v>90.484561064587496</v>
      </c>
      <c r="AJ6684">
        <v>103.10506626308199</v>
      </c>
      <c r="AK6684">
        <v>95.756065109087402</v>
      </c>
      <c r="AL6684">
        <v>78.176185316739407</v>
      </c>
      <c r="AM6684">
        <v>93.532454651155106</v>
      </c>
      <c r="AN6684">
        <v>1.0000000237066899</v>
      </c>
    </row>
    <row r="6685" spans="1:40" x14ac:dyDescent="0.25">
      <c r="A6685" t="str">
        <f>"20190304154927041"</f>
        <v>20190304154927041</v>
      </c>
      <c r="B6685" t="str">
        <f>"1551685767033648"</f>
        <v>1551685767033648</v>
      </c>
      <c r="C6685" t="s">
        <v>40</v>
      </c>
      <c r="D6685">
        <v>3.9741979999999999</v>
      </c>
      <c r="E6685">
        <v>0.43297550000000001</v>
      </c>
      <c r="F6685" t="s">
        <v>55</v>
      </c>
      <c r="G6685">
        <v>-241.3347</v>
      </c>
      <c r="H6685">
        <v>0.27441729999999998</v>
      </c>
      <c r="I6685">
        <v>38.650019999999998</v>
      </c>
      <c r="J6685">
        <v>-334.3877</v>
      </c>
      <c r="K6685">
        <v>1.1111150000000001</v>
      </c>
      <c r="L6685">
        <v>16.805999999999901</v>
      </c>
      <c r="M6685">
        <v>0.99990480000000004</v>
      </c>
      <c r="N6685">
        <v>-1.373046E-2</v>
      </c>
      <c r="O6685">
        <v>1.4045240000000001E-3</v>
      </c>
      <c r="P6685">
        <v>0.97957899999999998</v>
      </c>
      <c r="Q6685">
        <v>0.1913589</v>
      </c>
      <c r="R6685">
        <v>6.1702420000000001E-2</v>
      </c>
      <c r="S6685">
        <v>3.023285</v>
      </c>
      <c r="T6685">
        <v>-2.7139659999999999E-2</v>
      </c>
      <c r="U6685">
        <v>0.70855709999999905</v>
      </c>
      <c r="V6685">
        <v>-6.0312650000000002E-2</v>
      </c>
      <c r="W6685">
        <v>0.20479600000000001</v>
      </c>
      <c r="X6685">
        <v>0.9769447</v>
      </c>
      <c r="Y6685">
        <v>-0.2267931</v>
      </c>
      <c r="Z6685">
        <v>2.5888629999999998E-3</v>
      </c>
      <c r="AA6685">
        <v>0.97393949999999996</v>
      </c>
      <c r="AB6685">
        <v>25</v>
      </c>
      <c r="AC6685">
        <v>93.052999999999997</v>
      </c>
      <c r="AD6685">
        <v>-0.83669769999999899</v>
      </c>
      <c r="AE6685">
        <v>21.84402</v>
      </c>
      <c r="AF6685">
        <v>-21.711627274096099</v>
      </c>
      <c r="AG6685">
        <v>-0.83669769999999899</v>
      </c>
      <c r="AH6685">
        <v>93.076459401412706</v>
      </c>
      <c r="AI6685">
        <v>90.501573775821598</v>
      </c>
      <c r="AJ6685">
        <v>103.13039499766801</v>
      </c>
      <c r="AK6685">
        <v>95.57887903001</v>
      </c>
      <c r="AL6685">
        <v>78.182442439062996</v>
      </c>
      <c r="AM6685">
        <v>93.532728193194799</v>
      </c>
      <c r="AN6685">
        <v>0.99999998211205599</v>
      </c>
    </row>
    <row r="6686" spans="1:40" x14ac:dyDescent="0.25">
      <c r="A6686" t="str">
        <f>"20190304154927055"</f>
        <v>20190304154927055</v>
      </c>
      <c r="B6686" t="str">
        <f>"1551685767043409"</f>
        <v>1551685767043409</v>
      </c>
      <c r="C6686" t="s">
        <v>40</v>
      </c>
      <c r="D6686">
        <v>4.1893079999999996</v>
      </c>
      <c r="E6686">
        <v>0.43297550000000001</v>
      </c>
      <c r="F6686" t="s">
        <v>55</v>
      </c>
      <c r="G6686">
        <v>-241.2122</v>
      </c>
      <c r="H6686">
        <v>0.27011109999999999</v>
      </c>
      <c r="I6686">
        <v>38.650019999999998</v>
      </c>
      <c r="J6686">
        <v>-334.23829999999998</v>
      </c>
      <c r="K6686">
        <v>1.11111</v>
      </c>
      <c r="L6686">
        <v>16.80621</v>
      </c>
      <c r="M6686">
        <v>0.99990480000000004</v>
      </c>
      <c r="N6686">
        <v>-1.372904E-2</v>
      </c>
      <c r="O6686">
        <v>1.3884699999999999E-3</v>
      </c>
      <c r="P6686">
        <v>0.97965690000000005</v>
      </c>
      <c r="Q6686">
        <v>0.19105240000000001</v>
      </c>
      <c r="R6686">
        <v>6.1412790000000002E-2</v>
      </c>
      <c r="S6686">
        <v>3.0232540000000001</v>
      </c>
      <c r="T6686">
        <v>-2.7287599999999999E-2</v>
      </c>
      <c r="U6686">
        <v>0.70877080000000003</v>
      </c>
      <c r="V6686">
        <v>-6.0035199999999997E-2</v>
      </c>
      <c r="W6686">
        <v>0.20449030000000001</v>
      </c>
      <c r="X6686">
        <v>0.9770259</v>
      </c>
      <c r="Y6686">
        <v>-0.22687599999999999</v>
      </c>
      <c r="Z6686">
        <v>2.5949900000000001E-3</v>
      </c>
      <c r="AA6686">
        <v>0.97392020000000001</v>
      </c>
      <c r="AB6686">
        <v>25</v>
      </c>
      <c r="AC6686">
        <v>93.0261</v>
      </c>
      <c r="AD6686">
        <v>-0.84099889999999999</v>
      </c>
      <c r="AE6686">
        <v>21.843810000000001</v>
      </c>
      <c r="AF6686">
        <v>-21.712930955133199</v>
      </c>
      <c r="AG6686">
        <v>-0.84099889999999999</v>
      </c>
      <c r="AH6686">
        <v>93.049135148601195</v>
      </c>
      <c r="AI6686">
        <v>90.504290908686002</v>
      </c>
      <c r="AJ6686">
        <v>103.134878446526</v>
      </c>
      <c r="AK6686">
        <v>95.552604369084705</v>
      </c>
      <c r="AL6686">
        <v>78.200337372816094</v>
      </c>
      <c r="AM6686">
        <v>93.516226303447198</v>
      </c>
      <c r="AN6686">
        <v>1.00000005865196</v>
      </c>
    </row>
    <row r="6687" spans="1:40" x14ac:dyDescent="0.25">
      <c r="A6687" t="str">
        <f>"20190304154927070"</f>
        <v>20190304154927070</v>
      </c>
      <c r="B6687" t="str">
        <f>"1551685767063905"</f>
        <v>1551685767063905</v>
      </c>
      <c r="C6687" t="s">
        <v>40</v>
      </c>
      <c r="D6687">
        <v>4.5167989999999998</v>
      </c>
      <c r="E6687">
        <v>0.49874079999999898</v>
      </c>
      <c r="F6687" t="s">
        <v>55</v>
      </c>
      <c r="G6687">
        <v>-240.92850000000001</v>
      </c>
      <c r="H6687">
        <v>0.2362216</v>
      </c>
      <c r="I6687">
        <v>38.650019999999998</v>
      </c>
      <c r="J6687">
        <v>-334.05790000000002</v>
      </c>
      <c r="K6687">
        <v>1.1111059999999999</v>
      </c>
      <c r="L6687">
        <v>16.806429999999999</v>
      </c>
      <c r="M6687">
        <v>0.99990500000000004</v>
      </c>
      <c r="N6687">
        <v>-1.372728E-2</v>
      </c>
      <c r="O6687">
        <v>1.355609E-3</v>
      </c>
      <c r="P6687">
        <v>0.97976510000000006</v>
      </c>
      <c r="Q6687">
        <v>0.1906699</v>
      </c>
      <c r="R6687">
        <v>6.0871759999999997E-2</v>
      </c>
      <c r="S6687">
        <v>3.0234679999999998</v>
      </c>
      <c r="T6687">
        <v>-2.8348209999999999E-2</v>
      </c>
      <c r="U6687">
        <v>0.70779419999999904</v>
      </c>
      <c r="V6687">
        <v>-5.9521959999999999E-2</v>
      </c>
      <c r="W6687">
        <v>0.20410890000000001</v>
      </c>
      <c r="X6687">
        <v>0.97713700000000003</v>
      </c>
      <c r="Y6687">
        <v>-0.2265933</v>
      </c>
      <c r="Z6687">
        <v>2.6300630000000002E-3</v>
      </c>
      <c r="AA6687">
        <v>0.97398589999999996</v>
      </c>
      <c r="AB6687">
        <v>25</v>
      </c>
      <c r="AC6687">
        <v>93.129400000000004</v>
      </c>
      <c r="AD6687">
        <v>-0.87488440000000001</v>
      </c>
      <c r="AE6687">
        <v>21.843589999999999</v>
      </c>
      <c r="AF6687">
        <v>-21.715494478341999</v>
      </c>
      <c r="AG6687">
        <v>-0.87488440000000001</v>
      </c>
      <c r="AH6687">
        <v>93.1511364109178</v>
      </c>
      <c r="AI6687">
        <v>90.524060677270199</v>
      </c>
      <c r="AJ6687">
        <v>103.122489025673</v>
      </c>
      <c r="AK6687">
        <v>95.652821901905696</v>
      </c>
      <c r="AL6687">
        <v>78.222660258941204</v>
      </c>
      <c r="AM6687">
        <v>93.4858451901286</v>
      </c>
      <c r="AN6687">
        <v>1.0000000117752199</v>
      </c>
    </row>
    <row r="6688" spans="1:40" x14ac:dyDescent="0.25">
      <c r="A6688" t="str">
        <f>"20190304154927084"</f>
        <v>20190304154927084</v>
      </c>
      <c r="B6688" t="str">
        <f>"1551685767073665"</f>
        <v>1551685767073665</v>
      </c>
      <c r="C6688" t="s">
        <v>40</v>
      </c>
      <c r="D6688">
        <v>3.5902409999999998</v>
      </c>
      <c r="E6688">
        <v>0.49874079999999898</v>
      </c>
      <c r="F6688" t="s">
        <v>95</v>
      </c>
      <c r="G6688">
        <v>-279.68</v>
      </c>
      <c r="H6688">
        <v>1.1931160000000001</v>
      </c>
      <c r="I6688">
        <v>20.0686</v>
      </c>
      <c r="J6688">
        <v>-333.9092</v>
      </c>
      <c r="K6688">
        <v>1.111092</v>
      </c>
      <c r="L6688">
        <v>16.806609999999999</v>
      </c>
      <c r="M6688">
        <v>0.99990500000000004</v>
      </c>
      <c r="N6688">
        <v>-1.372584E-2</v>
      </c>
      <c r="O6688">
        <v>1.3136479999999999E-3</v>
      </c>
      <c r="P6688">
        <v>0.97974620000000001</v>
      </c>
      <c r="Q6688">
        <v>0.19088540000000001</v>
      </c>
      <c r="R6688">
        <v>6.0499900000000002E-2</v>
      </c>
      <c r="S6688">
        <v>3.0496829999999999</v>
      </c>
      <c r="T6688">
        <v>4.5995709999999898E-3</v>
      </c>
      <c r="U6688">
        <v>0.1829529</v>
      </c>
      <c r="V6688">
        <v>-5.9185630000000003E-2</v>
      </c>
      <c r="W6688">
        <v>0.2043246</v>
      </c>
      <c r="X6688">
        <v>0.97711239999999999</v>
      </c>
      <c r="Y6688">
        <v>-5.8572359999999997E-2</v>
      </c>
      <c r="Z6688">
        <v>3.7822060000000001E-4</v>
      </c>
      <c r="AA6688">
        <v>0.99828309999999998</v>
      </c>
      <c r="AB6688">
        <v>25</v>
      </c>
      <c r="AC6688">
        <v>54.229199999999899</v>
      </c>
      <c r="AD6688">
        <v>8.2024000000000097E-2</v>
      </c>
      <c r="AE6688">
        <v>3.2619899999999999</v>
      </c>
      <c r="AF6688">
        <v>-3.1907351246061699</v>
      </c>
      <c r="AG6688">
        <v>8.2024000000000097E-2</v>
      </c>
      <c r="AH6688">
        <v>54.233315083420401</v>
      </c>
      <c r="AI6688">
        <v>89.913493893898703</v>
      </c>
      <c r="AJ6688">
        <v>93.367029314798302</v>
      </c>
      <c r="AK6688">
        <v>54.327156961408598</v>
      </c>
      <c r="AL6688">
        <v>78.210036097302194</v>
      </c>
      <c r="AM6688">
        <v>93.466283565437905</v>
      </c>
      <c r="AN6688">
        <v>1.0000000615986999</v>
      </c>
    </row>
    <row r="6689" spans="1:40" x14ac:dyDescent="0.25">
      <c r="A6689" t="str">
        <f>"20190304154927096"</f>
        <v>20190304154927096</v>
      </c>
      <c r="B6689" t="str">
        <f>"1551685767083425"</f>
        <v>1551685767083425</v>
      </c>
      <c r="C6689" t="s">
        <v>40</v>
      </c>
      <c r="D6689">
        <v>4.2421670000000002</v>
      </c>
      <c r="E6689">
        <v>0.58325280000000002</v>
      </c>
      <c r="F6689" t="s">
        <v>95</v>
      </c>
      <c r="G6689">
        <v>-279.68</v>
      </c>
      <c r="H6689">
        <v>1.204898</v>
      </c>
      <c r="I6689">
        <v>20.041350000000001</v>
      </c>
      <c r="J6689">
        <v>-333.78059999999999</v>
      </c>
      <c r="K6689">
        <v>1.1110789999999999</v>
      </c>
      <c r="L6689">
        <v>16.806760000000001</v>
      </c>
      <c r="M6689">
        <v>0.99990500000000004</v>
      </c>
      <c r="N6689">
        <v>-1.37246E-2</v>
      </c>
      <c r="O6689">
        <v>1.269828E-3</v>
      </c>
      <c r="P6689">
        <v>0.97974899999999998</v>
      </c>
      <c r="Q6689">
        <v>0.19100120000000001</v>
      </c>
      <c r="R6689">
        <v>6.008844E-2</v>
      </c>
      <c r="S6689">
        <v>3.049744</v>
      </c>
      <c r="T6689">
        <v>5.2756069999999999E-3</v>
      </c>
      <c r="U6689">
        <v>0.1819153</v>
      </c>
      <c r="V6689">
        <v>-5.8810960000000002E-2</v>
      </c>
      <c r="W6689">
        <v>0.20444080000000001</v>
      </c>
      <c r="X6689">
        <v>0.9771107</v>
      </c>
      <c r="Y6689">
        <v>-5.8276550000000003E-2</v>
      </c>
      <c r="Z6689">
        <v>3.695309E-4</v>
      </c>
      <c r="AA6689">
        <v>0.99830039999999998</v>
      </c>
      <c r="AB6689">
        <v>25</v>
      </c>
      <c r="AC6689">
        <v>54.100599999999901</v>
      </c>
      <c r="AD6689">
        <v>9.3818999999999805E-2</v>
      </c>
      <c r="AE6689">
        <v>3.2345899999999999</v>
      </c>
      <c r="AF6689">
        <v>-3.1658729765787701</v>
      </c>
      <c r="AG6689">
        <v>9.3818999999999805E-2</v>
      </c>
      <c r="AH6689">
        <v>54.104502004859697</v>
      </c>
      <c r="AI6689">
        <v>89.900816969194494</v>
      </c>
      <c r="AJ6689">
        <v>93.348789033714397</v>
      </c>
      <c r="AK6689">
        <v>54.197128068768201</v>
      </c>
      <c r="AL6689">
        <v>78.203234559152307</v>
      </c>
      <c r="AM6689">
        <v>93.444399503299394</v>
      </c>
      <c r="AN6689">
        <v>1.0000000448876201</v>
      </c>
    </row>
    <row r="6690" spans="1:40" x14ac:dyDescent="0.25">
      <c r="A6690" t="str">
        <f>"20190304154927107"</f>
        <v>20190304154927107</v>
      </c>
      <c r="B6690" t="str">
        <f>"1551685767103921"</f>
        <v>1551685767103921</v>
      </c>
      <c r="C6690" t="s">
        <v>40</v>
      </c>
      <c r="D6690">
        <v>4.2649319999999999</v>
      </c>
      <c r="E6690">
        <v>0.58466629999999997</v>
      </c>
      <c r="F6690" t="s">
        <v>45</v>
      </c>
      <c r="G6690">
        <v>-286.56740000000002</v>
      </c>
      <c r="H6690">
        <v>-0.05</v>
      </c>
      <c r="I6690">
        <v>9.3016660000000009</v>
      </c>
      <c r="J6690">
        <v>-333.64229999999998</v>
      </c>
      <c r="K6690">
        <v>1.1110629999999999</v>
      </c>
      <c r="L6690">
        <v>16.80688</v>
      </c>
      <c r="M6690">
        <v>0.99990520000000005</v>
      </c>
      <c r="N6690">
        <v>-1.3723279999999999E-2</v>
      </c>
      <c r="O6690">
        <v>1.2081049999999999E-3</v>
      </c>
      <c r="P6690">
        <v>0.97972130000000002</v>
      </c>
      <c r="Q6690">
        <v>0.19116</v>
      </c>
      <c r="R6690">
        <v>6.0034089999999998E-2</v>
      </c>
      <c r="S6690">
        <v>3.107208</v>
      </c>
      <c r="T6690">
        <v>-7.6413270000000005E-2</v>
      </c>
      <c r="U6690">
        <v>-0.493927</v>
      </c>
      <c r="V6690">
        <v>-5.880896E-2</v>
      </c>
      <c r="W6690">
        <v>0.2046</v>
      </c>
      <c r="X6690">
        <v>0.97707750000000004</v>
      </c>
      <c r="Y6690">
        <v>0.15811040000000001</v>
      </c>
      <c r="Z6690">
        <v>-3.0367440000000001E-3</v>
      </c>
      <c r="AA6690">
        <v>0.98741670000000004</v>
      </c>
      <c r="AB6690">
        <v>25</v>
      </c>
      <c r="AC6690">
        <v>47.0748999999999</v>
      </c>
      <c r="AD6690">
        <v>-1.161063</v>
      </c>
      <c r="AE6690">
        <v>-7.5052139999999898</v>
      </c>
      <c r="AF6690">
        <v>7.55760180986492</v>
      </c>
      <c r="AG6690">
        <v>-1.161063</v>
      </c>
      <c r="AH6690">
        <v>47.0378928608867</v>
      </c>
      <c r="AI6690">
        <v>91.396079256578702</v>
      </c>
      <c r="AJ6690">
        <v>80.872269050919002</v>
      </c>
      <c r="AK6690">
        <v>47.655312161381403</v>
      </c>
      <c r="AL6690">
        <v>78.193916130691704</v>
      </c>
      <c r="AM6690">
        <v>93.444399401792296</v>
      </c>
      <c r="AN6690">
        <v>1.00000004739126</v>
      </c>
    </row>
    <row r="6691" spans="1:40" x14ac:dyDescent="0.25">
      <c r="A6691" t="str">
        <f>"20190304154927119"</f>
        <v>20190304154927119</v>
      </c>
      <c r="B6691" t="str">
        <f>"1551685767114120"</f>
        <v>1551685767114120</v>
      </c>
      <c r="C6691" t="s">
        <v>40</v>
      </c>
      <c r="D6691">
        <v>4.3083239999999998</v>
      </c>
      <c r="E6691">
        <v>0.58589849999999999</v>
      </c>
      <c r="F6691" t="s">
        <v>45</v>
      </c>
      <c r="G6691">
        <v>-287.19880000000001</v>
      </c>
      <c r="H6691">
        <v>-0.05</v>
      </c>
      <c r="I6691">
        <v>9.2524259999999998</v>
      </c>
      <c r="J6691">
        <v>-333.51519999999999</v>
      </c>
      <c r="K6691">
        <v>1.111046</v>
      </c>
      <c r="L6691">
        <v>16.806950000000001</v>
      </c>
      <c r="M6691">
        <v>0.99990509999999999</v>
      </c>
      <c r="N6691">
        <v>-1.3722069999999999E-2</v>
      </c>
      <c r="O6691">
        <v>1.1363409999999999E-3</v>
      </c>
      <c r="P6691">
        <v>0.9797283</v>
      </c>
      <c r="Q6691">
        <v>0.19126409999999999</v>
      </c>
      <c r="R6691">
        <v>5.95855E-2</v>
      </c>
      <c r="S6691">
        <v>3.1082459999999998</v>
      </c>
      <c r="T6691">
        <v>-7.7704430000000005E-2</v>
      </c>
      <c r="U6691">
        <v>-0.5055847</v>
      </c>
      <c r="V6691">
        <v>-5.842141E-2</v>
      </c>
      <c r="W6691">
        <v>0.20470540000000001</v>
      </c>
      <c r="X6691">
        <v>0.97707860000000002</v>
      </c>
      <c r="Y6691">
        <v>0.16159379999999901</v>
      </c>
      <c r="Z6691">
        <v>-3.1353689999999998E-3</v>
      </c>
      <c r="AA6691">
        <v>0.98685230000000002</v>
      </c>
      <c r="AB6691">
        <v>25</v>
      </c>
      <c r="AC6691">
        <v>46.316399999999902</v>
      </c>
      <c r="AD6691">
        <v>-1.161046</v>
      </c>
      <c r="AE6691">
        <v>-7.5545239999999998</v>
      </c>
      <c r="AF6691">
        <v>7.6025017730032403</v>
      </c>
      <c r="AG6691">
        <v>-1.161046</v>
      </c>
      <c r="AH6691">
        <v>46.279456850500097</v>
      </c>
      <c r="AI6691">
        <v>91.418119645758793</v>
      </c>
      <c r="AJ6691">
        <v>80.671125618269301</v>
      </c>
      <c r="AK6691">
        <v>46.9141150124346</v>
      </c>
      <c r="AL6691">
        <v>78.187745722653105</v>
      </c>
      <c r="AM6691">
        <v>93.421751138484296</v>
      </c>
      <c r="AN6691">
        <v>0.99999997625675296</v>
      </c>
    </row>
    <row r="6692" spans="1:40" x14ac:dyDescent="0.25">
      <c r="A6692" t="str">
        <f>"20190304154927130"</f>
        <v>20190304154927130</v>
      </c>
      <c r="B6692" t="str">
        <f>"1551685767123424"</f>
        <v>1551685767123424</v>
      </c>
      <c r="C6692" t="s">
        <v>40</v>
      </c>
      <c r="D6692">
        <v>4.2713260000000002</v>
      </c>
      <c r="E6692">
        <v>0.5859278</v>
      </c>
      <c r="F6692" t="s">
        <v>45</v>
      </c>
      <c r="G6692">
        <v>-283.66370000000001</v>
      </c>
      <c r="H6692">
        <v>-0.05</v>
      </c>
      <c r="I6692">
        <v>8.5178069999999995</v>
      </c>
      <c r="J6692">
        <v>-333.38240000000002</v>
      </c>
      <c r="K6692">
        <v>1.1110249999999999</v>
      </c>
      <c r="L6692">
        <v>16.807040000000001</v>
      </c>
      <c r="M6692">
        <v>0.9999055</v>
      </c>
      <c r="N6692">
        <v>-1.372083E-2</v>
      </c>
      <c r="O6692">
        <v>1.052795E-3</v>
      </c>
      <c r="P6692">
        <v>0.97971419999999998</v>
      </c>
      <c r="Q6692">
        <v>0.1914209</v>
      </c>
      <c r="R6692">
        <v>5.9315760000000002E-2</v>
      </c>
      <c r="S6692">
        <v>3.107605</v>
      </c>
      <c r="T6692">
        <v>-7.2376490000000002E-2</v>
      </c>
      <c r="U6692">
        <v>-0.51672359999999995</v>
      </c>
      <c r="V6692">
        <v>-5.8223299999999999E-2</v>
      </c>
      <c r="W6692">
        <v>0.20486370000000001</v>
      </c>
      <c r="X6692">
        <v>0.97705730000000002</v>
      </c>
      <c r="Y6692">
        <v>0.1649938</v>
      </c>
      <c r="Z6692">
        <v>-3.0579489999999999E-3</v>
      </c>
      <c r="AA6692">
        <v>0.98628990000000005</v>
      </c>
      <c r="AB6692">
        <v>25</v>
      </c>
      <c r="AC6692">
        <v>49.718699999999998</v>
      </c>
      <c r="AD6692">
        <v>-1.161025</v>
      </c>
      <c r="AE6692">
        <v>-8.2892329999999994</v>
      </c>
      <c r="AF6692">
        <v>8.3371535414676998</v>
      </c>
      <c r="AG6692">
        <v>-1.161025</v>
      </c>
      <c r="AH6692">
        <v>49.683584514278003</v>
      </c>
      <c r="AI6692">
        <v>91.320214120407002</v>
      </c>
      <c r="AJ6692">
        <v>80.4742309842662</v>
      </c>
      <c r="AK6692">
        <v>50.391613175329503</v>
      </c>
      <c r="AL6692">
        <v>78.178480039321698</v>
      </c>
      <c r="AM6692">
        <v>93.410249401734305</v>
      </c>
      <c r="AN6692">
        <v>1.0000000278619301</v>
      </c>
    </row>
    <row r="6693" spans="1:40" x14ac:dyDescent="0.25">
      <c r="A6693" t="str">
        <f>"20190304154927141"</f>
        <v>20190304154927141</v>
      </c>
      <c r="B6693" t="str">
        <f>"1551685767133474"</f>
        <v>1551685767133474</v>
      </c>
      <c r="C6693" t="s">
        <v>40</v>
      </c>
      <c r="D6693">
        <v>4.3209799999999996</v>
      </c>
      <c r="E6693">
        <v>0.58587659999999997</v>
      </c>
      <c r="F6693" t="s">
        <v>45</v>
      </c>
      <c r="G6693">
        <v>-281.11630000000002</v>
      </c>
      <c r="H6693">
        <v>-0.05</v>
      </c>
      <c r="I6693">
        <v>8.0944520000000004</v>
      </c>
      <c r="J6693">
        <v>-333.26260000000002</v>
      </c>
      <c r="K6693">
        <v>1.111003</v>
      </c>
      <c r="L6693">
        <v>16.80707</v>
      </c>
      <c r="M6693">
        <v>0.9999055</v>
      </c>
      <c r="N6693">
        <v>-1.3719749999999999E-2</v>
      </c>
      <c r="O6693">
        <v>9.5266320000000004E-4</v>
      </c>
      <c r="P6693">
        <v>0.97971070000000005</v>
      </c>
      <c r="Q6693">
        <v>0.19161839999999999</v>
      </c>
      <c r="R6693">
        <v>5.8731400000000003E-2</v>
      </c>
      <c r="S6693">
        <v>3.1069339999999999</v>
      </c>
      <c r="T6693">
        <v>-6.9016460000000002E-2</v>
      </c>
      <c r="U6693">
        <v>-0.51791379999999998</v>
      </c>
      <c r="V6693">
        <v>-5.7726510000000002E-2</v>
      </c>
      <c r="W6693">
        <v>0.20506250000000001</v>
      </c>
      <c r="X6693">
        <v>0.9770451</v>
      </c>
      <c r="Y6693">
        <v>0.16530210000000001</v>
      </c>
      <c r="Z6693">
        <v>-2.9732169999999998E-3</v>
      </c>
      <c r="AA6693">
        <v>0.98623850000000002</v>
      </c>
      <c r="AB6693">
        <v>25</v>
      </c>
      <c r="AC6693">
        <v>52.146299999999997</v>
      </c>
      <c r="AD6693">
        <v>-1.161003</v>
      </c>
      <c r="AE6693">
        <v>-8.7126179999999902</v>
      </c>
      <c r="AF6693">
        <v>8.7580730965533498</v>
      </c>
      <c r="AG6693">
        <v>-1.161003</v>
      </c>
      <c r="AH6693">
        <v>52.112844526312898</v>
      </c>
      <c r="AI6693">
        <v>91.258615918562498</v>
      </c>
      <c r="AJ6693">
        <v>80.460033245952403</v>
      </c>
      <c r="AK6693">
        <v>52.8564124487676</v>
      </c>
      <c r="AL6693">
        <v>78.166842875295899</v>
      </c>
      <c r="AM6693">
        <v>93.381261388458</v>
      </c>
      <c r="AN6693">
        <v>1.00000005314851</v>
      </c>
    </row>
    <row r="6694" spans="1:40" x14ac:dyDescent="0.25">
      <c r="A6694" t="str">
        <f>"20190304154927152"</f>
        <v>20190304154927152</v>
      </c>
      <c r="B6694" t="str">
        <f>"1551685767143888"</f>
        <v>1551685767143888</v>
      </c>
      <c r="C6694" t="s">
        <v>40</v>
      </c>
      <c r="D6694">
        <v>4.2331250000000002</v>
      </c>
      <c r="E6694">
        <v>0.58627589999999996</v>
      </c>
      <c r="F6694" t="s">
        <v>45</v>
      </c>
      <c r="G6694">
        <v>-281.38650000000001</v>
      </c>
      <c r="H6694">
        <v>-0.05</v>
      </c>
      <c r="I6694">
        <v>8.1337890000000002</v>
      </c>
      <c r="J6694">
        <v>-333.13080000000002</v>
      </c>
      <c r="K6694">
        <v>1.1109789999999999</v>
      </c>
      <c r="L6694">
        <v>16.807099999999998</v>
      </c>
      <c r="M6694">
        <v>0.99990559999999995</v>
      </c>
      <c r="N6694">
        <v>-1.3718559999999999E-2</v>
      </c>
      <c r="O6694">
        <v>8.3513860000000001E-4</v>
      </c>
      <c r="P6694">
        <v>0.97969490000000004</v>
      </c>
      <c r="Q6694">
        <v>0.19180230000000001</v>
      </c>
      <c r="R6694">
        <v>5.8395120000000002E-2</v>
      </c>
      <c r="S6694">
        <v>3.1068419999999999</v>
      </c>
      <c r="T6694">
        <v>-6.9532040000000003E-2</v>
      </c>
      <c r="U6694">
        <v>-0.51943969999999995</v>
      </c>
      <c r="V6694">
        <v>-5.7493139999999998E-2</v>
      </c>
      <c r="W6694">
        <v>0.20524870000000001</v>
      </c>
      <c r="X6694">
        <v>0.97701970000000005</v>
      </c>
      <c r="Y6694">
        <v>0.16566120000000001</v>
      </c>
      <c r="Z6694">
        <v>-2.9923810000000001E-3</v>
      </c>
      <c r="AA6694">
        <v>0.9861782</v>
      </c>
      <c r="AB6694">
        <v>25</v>
      </c>
      <c r="AC6694">
        <v>51.744300000000003</v>
      </c>
      <c r="AD6694">
        <v>-1.160979</v>
      </c>
      <c r="AE6694">
        <v>-8.6733109999999893</v>
      </c>
      <c r="AF6694">
        <v>8.7122597019415906</v>
      </c>
      <c r="AG6694">
        <v>-1.160979</v>
      </c>
      <c r="AH6694">
        <v>51.711716963239802</v>
      </c>
      <c r="AI6694">
        <v>91.268262947462006</v>
      </c>
      <c r="AJ6694">
        <v>80.436759739115203</v>
      </c>
      <c r="AK6694">
        <v>52.453341291463403</v>
      </c>
      <c r="AL6694">
        <v>78.155941811208805</v>
      </c>
      <c r="AM6694">
        <v>93.367710891070004</v>
      </c>
      <c r="AN6694">
        <v>0.99999999209341905</v>
      </c>
    </row>
    <row r="6695" spans="1:40" x14ac:dyDescent="0.25">
      <c r="A6695" t="str">
        <f>"20190304154927163"</f>
        <v>20190304154927163</v>
      </c>
      <c r="B6695" t="str">
        <f>"1551685767153689"</f>
        <v>1551685767153689</v>
      </c>
      <c r="C6695" t="s">
        <v>40</v>
      </c>
      <c r="D6695">
        <v>4.2534710000000002</v>
      </c>
      <c r="E6695">
        <v>0.58769769999999999</v>
      </c>
      <c r="F6695" t="s">
        <v>45</v>
      </c>
      <c r="G6695">
        <v>-278.13440000000003</v>
      </c>
      <c r="H6695">
        <v>-0.05</v>
      </c>
      <c r="I6695">
        <v>7.5374910000000002</v>
      </c>
      <c r="J6695">
        <v>-333.00850000000003</v>
      </c>
      <c r="K6695">
        <v>1.1109579999999999</v>
      </c>
      <c r="L6695">
        <v>16.807040000000001</v>
      </c>
      <c r="M6695">
        <v>0.99990559999999995</v>
      </c>
      <c r="N6695">
        <v>-1.3717490000000001E-2</v>
      </c>
      <c r="O6695">
        <v>6.980523E-4</v>
      </c>
      <c r="P6695">
        <v>0.97968940000000004</v>
      </c>
      <c r="Q6695">
        <v>0.19192919999999999</v>
      </c>
      <c r="R6695">
        <v>5.8069950000000002E-2</v>
      </c>
      <c r="S6695">
        <v>3.1062620000000001</v>
      </c>
      <c r="T6695">
        <v>-6.5573569999999998E-2</v>
      </c>
      <c r="U6695">
        <v>-0.52355959999999901</v>
      </c>
      <c r="V6695">
        <v>-5.7290290000000001E-2</v>
      </c>
      <c r="W6695">
        <v>0.20537749999999999</v>
      </c>
      <c r="X6695">
        <v>0.9770046</v>
      </c>
      <c r="Y6695">
        <v>0.1668335</v>
      </c>
      <c r="Z6695">
        <v>-2.906081E-3</v>
      </c>
      <c r="AA6695">
        <v>0.98598079999999999</v>
      </c>
      <c r="AB6695">
        <v>25</v>
      </c>
      <c r="AC6695">
        <v>54.874099999999999</v>
      </c>
      <c r="AD6695">
        <v>-1.1609579999999999</v>
      </c>
      <c r="AE6695">
        <v>-9.2695489999999996</v>
      </c>
      <c r="AF6695">
        <v>9.3038064155250897</v>
      </c>
      <c r="AG6695">
        <v>-1.1609579999999999</v>
      </c>
      <c r="AH6695">
        <v>54.843747933178797</v>
      </c>
      <c r="AI6695">
        <v>91.195605892942993</v>
      </c>
      <c r="AJ6695">
        <v>80.371888228193399</v>
      </c>
      <c r="AK6695">
        <v>55.639422396834703</v>
      </c>
      <c r="AL6695">
        <v>78.148402073647205</v>
      </c>
      <c r="AM6695">
        <v>93.355907726620799</v>
      </c>
      <c r="AN6695">
        <v>1.0000000416278401</v>
      </c>
    </row>
    <row r="6696" spans="1:40" x14ac:dyDescent="0.25">
      <c r="A6696" t="str">
        <f>"20190304154927175"</f>
        <v>20190304154927175</v>
      </c>
      <c r="B6696" t="str">
        <f>"1551685767163448"</f>
        <v>1551685767163448</v>
      </c>
      <c r="C6696" t="s">
        <v>40</v>
      </c>
      <c r="D6696">
        <v>4.1948400000000001</v>
      </c>
      <c r="E6696">
        <v>0.58869150000000003</v>
      </c>
      <c r="F6696" t="s">
        <v>45</v>
      </c>
      <c r="G6696">
        <v>-278.12670000000003</v>
      </c>
      <c r="H6696">
        <v>-0.05</v>
      </c>
      <c r="I6696">
        <v>7.3385009999999902</v>
      </c>
      <c r="J6696">
        <v>-332.88490000000002</v>
      </c>
      <c r="K6696">
        <v>1.1109329999999999</v>
      </c>
      <c r="L6696">
        <v>16.806979999999999</v>
      </c>
      <c r="M6696">
        <v>0.99990570000000001</v>
      </c>
      <c r="N6696">
        <v>-1.371642E-2</v>
      </c>
      <c r="O6696">
        <v>5.4814350000000002E-4</v>
      </c>
      <c r="P6696">
        <v>0.97970670000000004</v>
      </c>
      <c r="Q6696">
        <v>0.1919747</v>
      </c>
      <c r="R6696">
        <v>5.7624469999999997E-2</v>
      </c>
      <c r="S6696">
        <v>3.1068419999999999</v>
      </c>
      <c r="T6696">
        <v>-6.5721509999999997E-2</v>
      </c>
      <c r="U6696">
        <v>-0.53601069999999995</v>
      </c>
      <c r="V6696">
        <v>-5.6978960000000002E-2</v>
      </c>
      <c r="W6696">
        <v>0.20542550000000001</v>
      </c>
      <c r="X6696">
        <v>0.97701260000000001</v>
      </c>
      <c r="Y6696">
        <v>0.1704927</v>
      </c>
      <c r="Z6696">
        <v>-2.9720279999999998E-3</v>
      </c>
      <c r="AA6696">
        <v>0.98535450000000002</v>
      </c>
      <c r="AB6696">
        <v>25</v>
      </c>
      <c r="AC6696">
        <v>54.758199999999903</v>
      </c>
      <c r="AD6696">
        <v>-1.160933</v>
      </c>
      <c r="AE6696">
        <v>-9.4684789999999897</v>
      </c>
      <c r="AF6696">
        <v>9.4943520718875707</v>
      </c>
      <c r="AG6696">
        <v>-1.160933</v>
      </c>
      <c r="AH6696">
        <v>54.729115407649203</v>
      </c>
      <c r="AI6696">
        <v>91.197317980754093</v>
      </c>
      <c r="AJ6696">
        <v>80.1583337309294</v>
      </c>
      <c r="AK6696">
        <v>55.5586767300953</v>
      </c>
      <c r="AL6696">
        <v>78.145590606931705</v>
      </c>
      <c r="AM6696">
        <v>93.337684945278895</v>
      </c>
      <c r="AN6696">
        <v>0.99999992924584302</v>
      </c>
    </row>
    <row r="6697" spans="1:40" x14ac:dyDescent="0.25">
      <c r="A6697" t="str">
        <f>"20190304154927186"</f>
        <v>20190304154927186</v>
      </c>
      <c r="B6697" t="str">
        <f>"1551685767183945"</f>
        <v>1551685767183945</v>
      </c>
      <c r="C6697" t="s">
        <v>40</v>
      </c>
      <c r="D6697">
        <v>4.2065549999999998</v>
      </c>
      <c r="E6697">
        <v>0.59064989999999995</v>
      </c>
      <c r="F6697" t="s">
        <v>45</v>
      </c>
      <c r="G6697">
        <v>-278.49700000000001</v>
      </c>
      <c r="H6697">
        <v>-0.05</v>
      </c>
      <c r="I6697">
        <v>7.2629239999999999</v>
      </c>
      <c r="J6697">
        <v>-332.75630000000001</v>
      </c>
      <c r="K6697">
        <v>1.1109039999999999</v>
      </c>
      <c r="L6697">
        <v>16.806850000000001</v>
      </c>
      <c r="M6697">
        <v>0.99990590000000001</v>
      </c>
      <c r="N6697">
        <v>-1.371533E-2</v>
      </c>
      <c r="O6697">
        <v>3.6906610000000001E-4</v>
      </c>
      <c r="P6697">
        <v>0.97971470000000005</v>
      </c>
      <c r="Q6697">
        <v>0.19209109999999999</v>
      </c>
      <c r="R6697">
        <v>5.7099320000000002E-2</v>
      </c>
      <c r="S6697">
        <v>3.107208</v>
      </c>
      <c r="T6697">
        <v>-6.6324709999999995E-2</v>
      </c>
      <c r="U6697">
        <v>-0.54525760000000001</v>
      </c>
      <c r="V6697">
        <v>-5.6615539999999999E-2</v>
      </c>
      <c r="W6697">
        <v>0.20554410000000001</v>
      </c>
      <c r="X6697">
        <v>0.97700889999999996</v>
      </c>
      <c r="Y6697">
        <v>0.1731405</v>
      </c>
      <c r="Z6697">
        <v>-3.0330750000000001E-3</v>
      </c>
      <c r="AA6697">
        <v>0.98489249999999995</v>
      </c>
      <c r="AB6697">
        <v>25</v>
      </c>
      <c r="AC6697">
        <v>54.259300000000003</v>
      </c>
      <c r="AD6697">
        <v>-1.1609039999999999</v>
      </c>
      <c r="AE6697">
        <v>-9.5439260000000008</v>
      </c>
      <c r="AF6697">
        <v>9.5597077143215508</v>
      </c>
      <c r="AG6697">
        <v>-1.1609039999999999</v>
      </c>
      <c r="AH6697">
        <v>54.231693191292102</v>
      </c>
      <c r="AI6697">
        <v>91.207693555033003</v>
      </c>
      <c r="AJ6697">
        <v>80.002872103374301</v>
      </c>
      <c r="AK6697">
        <v>55.080053159695701</v>
      </c>
      <c r="AL6697">
        <v>78.138648531331597</v>
      </c>
      <c r="AM6697">
        <v>93.316456912229796</v>
      </c>
      <c r="AN6697">
        <v>1.00000004354675</v>
      </c>
    </row>
    <row r="6698" spans="1:40" x14ac:dyDescent="0.25">
      <c r="A6698" t="str">
        <f>"20190304154927199"</f>
        <v>20190304154927199</v>
      </c>
      <c r="B6698" t="str">
        <f>"1551685767193704"</f>
        <v>1551685767193704</v>
      </c>
      <c r="C6698" t="s">
        <v>40</v>
      </c>
      <c r="D6698">
        <v>4.251036</v>
      </c>
      <c r="E6698">
        <v>0.59147050000000001</v>
      </c>
      <c r="F6698" t="s">
        <v>45</v>
      </c>
      <c r="G6698">
        <v>-279.21960000000001</v>
      </c>
      <c r="H6698">
        <v>-0.05</v>
      </c>
      <c r="I6698">
        <v>7.1147609999999997</v>
      </c>
      <c r="J6698">
        <v>-332.62150000000003</v>
      </c>
      <c r="K6698">
        <v>1.1108800000000001</v>
      </c>
      <c r="L6698">
        <v>16.806699999999999</v>
      </c>
      <c r="M6698">
        <v>0.99990610000000002</v>
      </c>
      <c r="N6698">
        <v>-1.3714199999999999E-2</v>
      </c>
      <c r="O6698">
        <v>1.577126E-4</v>
      </c>
      <c r="P6698">
        <v>0.97979210000000005</v>
      </c>
      <c r="Q6698">
        <v>0.19183739999999999</v>
      </c>
      <c r="R6698">
        <v>5.6624309999999997E-2</v>
      </c>
      <c r="S6698">
        <v>3.1081240000000001</v>
      </c>
      <c r="T6698">
        <v>-6.7397360000000003E-2</v>
      </c>
      <c r="U6698">
        <v>-0.56268309999999999</v>
      </c>
      <c r="V6698">
        <v>-5.6333910000000001E-2</v>
      </c>
      <c r="W6698">
        <v>0.205294</v>
      </c>
      <c r="X6698">
        <v>0.97707770000000005</v>
      </c>
      <c r="Y6698">
        <v>0.17822879999999899</v>
      </c>
      <c r="Z6698">
        <v>-3.1501010000000002E-3</v>
      </c>
      <c r="AA6698">
        <v>0.98398410000000003</v>
      </c>
      <c r="AB6698">
        <v>25</v>
      </c>
      <c r="AC6698">
        <v>53.401899999999998</v>
      </c>
      <c r="AD6698">
        <v>-1.1608799999999999</v>
      </c>
      <c r="AE6698">
        <v>-9.6919389999999996</v>
      </c>
      <c r="AF6698">
        <v>9.6959259821064698</v>
      </c>
      <c r="AG6698">
        <v>-1.1608799999999999</v>
      </c>
      <c r="AH6698">
        <v>53.3759514040078</v>
      </c>
      <c r="AI6698">
        <v>91.225881016960798</v>
      </c>
      <c r="AJ6698">
        <v>79.704289931159707</v>
      </c>
      <c r="AK6698">
        <v>54.261872537794801</v>
      </c>
      <c r="AL6698">
        <v>78.153289739751699</v>
      </c>
      <c r="AM6698">
        <v>93.299764130326196</v>
      </c>
      <c r="AN6698">
        <v>0.99999998384458899</v>
      </c>
    </row>
    <row r="6699" spans="1:40" x14ac:dyDescent="0.25">
      <c r="A6699" t="str">
        <f>"20190304154927212"</f>
        <v>20190304154927212</v>
      </c>
      <c r="B6699" t="str">
        <f>"1551685767203465"</f>
        <v>1551685767203465</v>
      </c>
      <c r="C6699" t="s">
        <v>40</v>
      </c>
      <c r="D6699">
        <v>4.2732080000000003</v>
      </c>
      <c r="E6699">
        <v>0.59244719999999995</v>
      </c>
      <c r="F6699" t="s">
        <v>45</v>
      </c>
      <c r="G6699">
        <v>-280.48989999999998</v>
      </c>
      <c r="H6699">
        <v>-0.05</v>
      </c>
      <c r="I6699">
        <v>7.2358250000000002</v>
      </c>
      <c r="J6699">
        <v>-332.47890000000001</v>
      </c>
      <c r="K6699">
        <v>1.110849</v>
      </c>
      <c r="L6699">
        <v>16.80649</v>
      </c>
      <c r="M6699">
        <v>0.99990599999999996</v>
      </c>
      <c r="N6699">
        <v>-1.3713009999999999E-2</v>
      </c>
      <c r="O6699" s="1">
        <v>-8.1986700000000006E-5</v>
      </c>
      <c r="P6699">
        <v>0.97983770000000003</v>
      </c>
      <c r="Q6699">
        <v>0.19171489999999999</v>
      </c>
      <c r="R6699">
        <v>5.6247400000000003E-2</v>
      </c>
      <c r="S6699">
        <v>3.1084290000000001</v>
      </c>
      <c r="T6699">
        <v>-6.9219349999999999E-2</v>
      </c>
      <c r="U6699">
        <v>-0.57067869999999998</v>
      </c>
      <c r="V6699">
        <v>-5.6176940000000002E-2</v>
      </c>
      <c r="W6699">
        <v>0.20517450000000001</v>
      </c>
      <c r="X6699">
        <v>0.97711190000000003</v>
      </c>
      <c r="Y6699">
        <v>0.18042140000000001</v>
      </c>
      <c r="Z6699">
        <v>-3.2388680000000002E-3</v>
      </c>
      <c r="AA6699">
        <v>0.98358400000000001</v>
      </c>
      <c r="AB6699">
        <v>25</v>
      </c>
      <c r="AC6699">
        <v>51.988999999999997</v>
      </c>
      <c r="AD6699">
        <v>-1.160849</v>
      </c>
      <c r="AE6699">
        <v>-9.570665</v>
      </c>
      <c r="AF6699">
        <v>9.5617911747175999</v>
      </c>
      <c r="AG6699">
        <v>-1.160849</v>
      </c>
      <c r="AH6699">
        <v>51.964725598592402</v>
      </c>
      <c r="AI6699">
        <v>91.258604898621996</v>
      </c>
      <c r="AJ6699">
        <v>79.573891083919193</v>
      </c>
      <c r="AK6699">
        <v>52.8498640244865</v>
      </c>
      <c r="AL6699">
        <v>78.160286234719393</v>
      </c>
      <c r="AM6699">
        <v>93.290474909359105</v>
      </c>
      <c r="AN6699">
        <v>1.0000000445798101</v>
      </c>
    </row>
    <row r="6700" spans="1:40" x14ac:dyDescent="0.25">
      <c r="A6700" t="str">
        <f>"20190304154927225"</f>
        <v>20190304154927225</v>
      </c>
      <c r="B6700" t="str">
        <f>"1551685767214201"</f>
        <v>1551685767214201</v>
      </c>
      <c r="C6700" t="s">
        <v>40</v>
      </c>
      <c r="D6700">
        <v>4.2392379999999896</v>
      </c>
      <c r="E6700">
        <v>0.59350839999999905</v>
      </c>
      <c r="F6700" t="s">
        <v>45</v>
      </c>
      <c r="G6700">
        <v>-278.18950000000001</v>
      </c>
      <c r="H6700">
        <v>-0.05</v>
      </c>
      <c r="I6700">
        <v>6.6814419999999997</v>
      </c>
      <c r="J6700">
        <v>-332.31610000000001</v>
      </c>
      <c r="K6700">
        <v>1.1108119999999999</v>
      </c>
      <c r="L6700">
        <v>16.806179999999902</v>
      </c>
      <c r="M6700">
        <v>0.99990590000000001</v>
      </c>
      <c r="N6700">
        <v>-1.371172E-2</v>
      </c>
      <c r="O6700">
        <v>-4.0745469999999999E-4</v>
      </c>
      <c r="P6700">
        <v>0.97992780000000002</v>
      </c>
      <c r="Q6700">
        <v>0.19139020000000001</v>
      </c>
      <c r="R6700">
        <v>5.5779290000000002E-2</v>
      </c>
      <c r="S6700">
        <v>3.1080320000000001</v>
      </c>
      <c r="T6700">
        <v>-6.6457749999999996E-2</v>
      </c>
      <c r="U6700">
        <v>-0.57965089999999997</v>
      </c>
      <c r="V6700">
        <v>-5.600977E-2</v>
      </c>
      <c r="W6700">
        <v>0.2048548</v>
      </c>
      <c r="X6700">
        <v>0.97718850000000002</v>
      </c>
      <c r="Y6700">
        <v>0.18287200000000001</v>
      </c>
      <c r="Z6700">
        <v>-3.1998629999999998E-3</v>
      </c>
      <c r="AA6700">
        <v>0.98313150000000005</v>
      </c>
      <c r="AB6700">
        <v>25</v>
      </c>
      <c r="AC6700">
        <v>54.126600000000003</v>
      </c>
      <c r="AD6700">
        <v>-1.160812</v>
      </c>
      <c r="AE6700">
        <v>-10.124737999999899</v>
      </c>
      <c r="AF6700">
        <v>10.098193393620599</v>
      </c>
      <c r="AG6700">
        <v>-1.160812</v>
      </c>
      <c r="AH6700">
        <v>54.106676701534901</v>
      </c>
      <c r="AI6700">
        <v>91.208187220630293</v>
      </c>
      <c r="AJ6700">
        <v>79.428236223233696</v>
      </c>
      <c r="AK6700">
        <v>55.053187537132899</v>
      </c>
      <c r="AL6700">
        <v>78.179000374827098</v>
      </c>
      <c r="AM6700">
        <v>93.2804480056827</v>
      </c>
      <c r="AN6700">
        <v>0.99999997397537099</v>
      </c>
    </row>
    <row r="6701" spans="1:40" x14ac:dyDescent="0.25">
      <c r="A6701" t="str">
        <f>"20190304154927238"</f>
        <v>20190304154927238</v>
      </c>
      <c r="B6701" t="str">
        <f>"1551685767233721"</f>
        <v>1551685767233721</v>
      </c>
      <c r="C6701" t="s">
        <v>40</v>
      </c>
      <c r="D6701">
        <v>4.2774530000000004</v>
      </c>
      <c r="E6701">
        <v>0.59466929999999996</v>
      </c>
      <c r="F6701" t="s">
        <v>45</v>
      </c>
      <c r="G6701">
        <v>-275.73349999999999</v>
      </c>
      <c r="H6701">
        <v>-0.05</v>
      </c>
      <c r="I6701">
        <v>6.0665740000000001</v>
      </c>
      <c r="J6701">
        <v>-332.18299999999999</v>
      </c>
      <c r="K6701">
        <v>1.1107800000000001</v>
      </c>
      <c r="L6701">
        <v>16.805820000000001</v>
      </c>
      <c r="M6701">
        <v>0.99990579999999996</v>
      </c>
      <c r="N6701">
        <v>-1.3710699999999999E-2</v>
      </c>
      <c r="O6701">
        <v>-6.9574549999999995E-4</v>
      </c>
      <c r="P6701">
        <v>0.97995810000000005</v>
      </c>
      <c r="Q6701">
        <v>0.1913426</v>
      </c>
      <c r="R6701">
        <v>5.5411469999999997E-2</v>
      </c>
      <c r="S6701">
        <v>3.1074830000000002</v>
      </c>
      <c r="T6701">
        <v>-6.3751099999999894E-2</v>
      </c>
      <c r="U6701">
        <v>-0.58981319999999904</v>
      </c>
      <c r="V6701">
        <v>-5.5909649999999998E-2</v>
      </c>
      <c r="W6701">
        <v>0.20481050000000001</v>
      </c>
      <c r="X6701">
        <v>0.9772035</v>
      </c>
      <c r="Y6701">
        <v>0.18572759999999999</v>
      </c>
      <c r="Z6701">
        <v>-3.1681650000000001E-3</v>
      </c>
      <c r="AA6701">
        <v>0.98259620000000003</v>
      </c>
      <c r="AB6701">
        <v>25</v>
      </c>
      <c r="AC6701">
        <v>56.4495</v>
      </c>
      <c r="AD6701">
        <v>-1.1607799999999999</v>
      </c>
      <c r="AE6701">
        <v>-10.739246</v>
      </c>
      <c r="AF6701">
        <v>10.695600628079999</v>
      </c>
      <c r="AG6701">
        <v>-1.1607799999999999</v>
      </c>
      <c r="AH6701">
        <v>56.433929601954397</v>
      </c>
      <c r="AI6701">
        <v>91.157737629527404</v>
      </c>
      <c r="AJ6701">
        <v>79.268341530474501</v>
      </c>
      <c r="AK6701">
        <v>57.450254075348802</v>
      </c>
      <c r="AL6701">
        <v>78.181593335453798</v>
      </c>
      <c r="AM6701">
        <v>93.274546673315797</v>
      </c>
      <c r="AN6701">
        <v>0.99999995514281004</v>
      </c>
    </row>
    <row r="6702" spans="1:40" x14ac:dyDescent="0.25">
      <c r="A6702" t="str">
        <f>"20190304154927251"</f>
        <v>20190304154927251</v>
      </c>
      <c r="B6702" t="str">
        <f>"1551685767243480"</f>
        <v>1551685767243480</v>
      </c>
      <c r="C6702" t="s">
        <v>40</v>
      </c>
      <c r="D6702">
        <v>4.26335</v>
      </c>
      <c r="E6702">
        <v>0.59520790000000001</v>
      </c>
      <c r="F6702" t="s">
        <v>45</v>
      </c>
      <c r="G6702">
        <v>-267.6995</v>
      </c>
      <c r="H6702">
        <v>-0.05</v>
      </c>
      <c r="I6702">
        <v>4.3461299999999996</v>
      </c>
      <c r="J6702">
        <v>-332.03429999999997</v>
      </c>
      <c r="K6702">
        <v>1.1107469999999999</v>
      </c>
      <c r="L6702">
        <v>16.805389999999999</v>
      </c>
      <c r="M6702">
        <v>0.9999055</v>
      </c>
      <c r="N6702">
        <v>-1.3709580000000001E-2</v>
      </c>
      <c r="O6702">
        <v>-1.0378710000000001E-3</v>
      </c>
      <c r="P6702">
        <v>0.97996970000000005</v>
      </c>
      <c r="Q6702">
        <v>0.1913938</v>
      </c>
      <c r="R6702">
        <v>5.502452E-2</v>
      </c>
      <c r="S6702">
        <v>3.106201</v>
      </c>
      <c r="T6702">
        <v>-5.5915359999999997E-2</v>
      </c>
      <c r="U6702">
        <v>-0.60018919999999998</v>
      </c>
      <c r="V6702">
        <v>-5.5840510000000003E-2</v>
      </c>
      <c r="W6702">
        <v>0.20486509999999999</v>
      </c>
      <c r="X6702">
        <v>0.97719599999999995</v>
      </c>
      <c r="Y6702">
        <v>0.188642</v>
      </c>
      <c r="Z6702">
        <v>-2.9829819999999999E-3</v>
      </c>
      <c r="AA6702">
        <v>0.98204139999999995</v>
      </c>
      <c r="AB6702">
        <v>25</v>
      </c>
      <c r="AC6702">
        <v>64.334799999999902</v>
      </c>
      <c r="AD6702">
        <v>-1.160747</v>
      </c>
      <c r="AE6702">
        <v>-12.45926</v>
      </c>
      <c r="AF6702">
        <v>12.388588788780901</v>
      </c>
      <c r="AG6702">
        <v>-1.160747</v>
      </c>
      <c r="AH6702">
        <v>64.327514479328897</v>
      </c>
      <c r="AI6702">
        <v>91.015102469492305</v>
      </c>
      <c r="AJ6702">
        <v>79.099087904023307</v>
      </c>
      <c r="AK6702">
        <v>65.519871679237795</v>
      </c>
      <c r="AL6702">
        <v>78.178397118363506</v>
      </c>
      <c r="AM6702">
        <v>93.270531086781801</v>
      </c>
      <c r="AN6702">
        <v>0.99999994708553297</v>
      </c>
    </row>
    <row r="6703" spans="1:40" x14ac:dyDescent="0.25">
      <c r="A6703" t="str">
        <f>"20190304154927266"</f>
        <v>20190304154927266</v>
      </c>
      <c r="B6703" t="str">
        <f>"1551685767254216"</f>
        <v>1551685767254216</v>
      </c>
      <c r="C6703" t="s">
        <v>40</v>
      </c>
      <c r="D6703">
        <v>4.2266760000000003</v>
      </c>
      <c r="E6703">
        <v>0.59564700000000004</v>
      </c>
      <c r="F6703" t="s">
        <v>45</v>
      </c>
      <c r="G6703">
        <v>-265.30930000000001</v>
      </c>
      <c r="H6703">
        <v>-0.05</v>
      </c>
      <c r="I6703">
        <v>3.79068</v>
      </c>
      <c r="J6703">
        <v>-331.87459999999999</v>
      </c>
      <c r="K6703">
        <v>1.110711</v>
      </c>
      <c r="L6703">
        <v>16.804779999999901</v>
      </c>
      <c r="M6703">
        <v>0.99990500000000004</v>
      </c>
      <c r="N6703">
        <v>-1.3708440000000001E-2</v>
      </c>
      <c r="O6703">
        <v>-1.458179E-3</v>
      </c>
      <c r="P6703">
        <v>0.97996689999999997</v>
      </c>
      <c r="Q6703">
        <v>0.1915655</v>
      </c>
      <c r="R6703">
        <v>5.4476110000000001E-2</v>
      </c>
      <c r="S6703">
        <v>3.105896</v>
      </c>
      <c r="T6703">
        <v>-5.4030059999999998E-2</v>
      </c>
      <c r="U6703">
        <v>-0.60580440000000002</v>
      </c>
      <c r="V6703">
        <v>-5.568418E-2</v>
      </c>
      <c r="W6703">
        <v>0.20504049999999999</v>
      </c>
      <c r="X6703">
        <v>0.97716820000000004</v>
      </c>
      <c r="Y6703">
        <v>0.1899603</v>
      </c>
      <c r="Z6703">
        <v>-2.9458240000000001E-3</v>
      </c>
      <c r="AA6703">
        <v>0.98178730000000003</v>
      </c>
      <c r="AB6703">
        <v>25</v>
      </c>
      <c r="AC6703">
        <v>66.565299999999894</v>
      </c>
      <c r="AD6703">
        <v>-1.160711</v>
      </c>
      <c r="AE6703">
        <v>-13.0140999999999</v>
      </c>
      <c r="AF6703">
        <v>12.9132311389275</v>
      </c>
      <c r="AG6703">
        <v>-1.160711</v>
      </c>
      <c r="AH6703">
        <v>66.564713682328403</v>
      </c>
      <c r="AI6703">
        <v>90.980704409258493</v>
      </c>
      <c r="AJ6703">
        <v>79.021266468470401</v>
      </c>
      <c r="AK6703">
        <v>67.815631649961404</v>
      </c>
      <c r="AL6703">
        <v>78.168130264047406</v>
      </c>
      <c r="AM6703">
        <v>93.261487349616601</v>
      </c>
      <c r="AN6703">
        <v>1.00000001281688</v>
      </c>
    </row>
    <row r="6704" spans="1:40" x14ac:dyDescent="0.25">
      <c r="A6704" t="str">
        <f>"20190304154927284"</f>
        <v>20190304154927284</v>
      </c>
      <c r="B6704" t="str">
        <f>"1551685767273736"</f>
        <v>1551685767273736</v>
      </c>
      <c r="C6704" t="s">
        <v>40</v>
      </c>
      <c r="D6704">
        <v>4.2919859999999996</v>
      </c>
      <c r="E6704">
        <v>0.5963408</v>
      </c>
      <c r="F6704" t="s">
        <v>45</v>
      </c>
      <c r="G6704">
        <v>-261.36579999999998</v>
      </c>
      <c r="H6704">
        <v>-0.05</v>
      </c>
      <c r="I6704">
        <v>2.9252929999999999</v>
      </c>
      <c r="J6704">
        <v>-331.67529999999999</v>
      </c>
      <c r="K6704">
        <v>1.1106579999999999</v>
      </c>
      <c r="L6704">
        <v>16.803889999999999</v>
      </c>
      <c r="M6704">
        <v>0.99990400000000002</v>
      </c>
      <c r="N6704">
        <v>-1.370711E-2</v>
      </c>
      <c r="O6704">
        <v>-2.032505E-3</v>
      </c>
      <c r="P6704">
        <v>0.97991760000000006</v>
      </c>
      <c r="Q6704">
        <v>0.1921407</v>
      </c>
      <c r="R6704">
        <v>5.3323879999999997E-2</v>
      </c>
      <c r="S6704">
        <v>3.105286</v>
      </c>
      <c r="T6704">
        <v>-5.111897E-2</v>
      </c>
      <c r="U6704">
        <v>-0.61126709999999995</v>
      </c>
      <c r="V6704">
        <v>-5.5066469999999999E-2</v>
      </c>
      <c r="W6704">
        <v>0.20561969999999999</v>
      </c>
      <c r="X6704">
        <v>0.97708150000000005</v>
      </c>
      <c r="Y6704">
        <v>0.19109960000000001</v>
      </c>
      <c r="Z6704">
        <v>-2.8747239999999999E-3</v>
      </c>
      <c r="AA6704">
        <v>0.98156639999999995</v>
      </c>
      <c r="AB6704">
        <v>25</v>
      </c>
      <c r="AC6704">
        <v>70.3095</v>
      </c>
      <c r="AD6704">
        <v>-1.160658</v>
      </c>
      <c r="AE6704">
        <v>-13.878596999999999</v>
      </c>
      <c r="AF6704">
        <v>13.732048727647699</v>
      </c>
      <c r="AG6704">
        <v>-1.160658</v>
      </c>
      <c r="AH6704">
        <v>70.319121783004903</v>
      </c>
      <c r="AI6704">
        <v>90.9280867237661</v>
      </c>
      <c r="AJ6704">
        <v>78.950234149532207</v>
      </c>
      <c r="AK6704">
        <v>71.656787379734894</v>
      </c>
      <c r="AL6704">
        <v>78.134222113831896</v>
      </c>
      <c r="AM6704">
        <v>93.225669764426598</v>
      </c>
      <c r="AN6704">
        <v>1.0000000173943</v>
      </c>
    </row>
    <row r="6705" spans="1:40" x14ac:dyDescent="0.25">
      <c r="A6705" t="str">
        <f>"20190304154927299"</f>
        <v>20190304154927299</v>
      </c>
      <c r="B6705" t="str">
        <f>"1551685767294234"</f>
        <v>1551685767294234</v>
      </c>
      <c r="C6705" t="s">
        <v>40</v>
      </c>
      <c r="D6705">
        <v>4.0672889999999997</v>
      </c>
      <c r="E6705">
        <v>0.59720649999999997</v>
      </c>
      <c r="F6705" t="s">
        <v>92</v>
      </c>
      <c r="G6705">
        <v>-270.58800000000002</v>
      </c>
      <c r="H6705">
        <v>0.18101400000000001</v>
      </c>
      <c r="I6705">
        <v>4.6000079999999999</v>
      </c>
      <c r="J6705">
        <v>-331.51459999999997</v>
      </c>
      <c r="K6705">
        <v>1.1106149999999999</v>
      </c>
      <c r="L6705">
        <v>16.803039999999999</v>
      </c>
      <c r="M6705">
        <v>0.99990290000000004</v>
      </c>
      <c r="N6705">
        <v>-1.370613E-2</v>
      </c>
      <c r="O6705">
        <v>-2.5406500000000002E-3</v>
      </c>
      <c r="P6705">
        <v>0.980016</v>
      </c>
      <c r="Q6705">
        <v>0.19183529999999999</v>
      </c>
      <c r="R6705">
        <v>5.2615130000000003E-2</v>
      </c>
      <c r="S6705">
        <v>3.104492</v>
      </c>
      <c r="T6705">
        <v>-4.724503E-2</v>
      </c>
      <c r="U6705">
        <v>-0.62020869999999995</v>
      </c>
      <c r="V6705">
        <v>-5.4834250000000001E-2</v>
      </c>
      <c r="W6705">
        <v>0.20532010000000001</v>
      </c>
      <c r="X6705">
        <v>0.97715750000000001</v>
      </c>
      <c r="Y6705">
        <v>0.19337270000000001</v>
      </c>
      <c r="Z6705">
        <v>-2.7914929999999999E-3</v>
      </c>
      <c r="AA6705">
        <v>0.98112140000000003</v>
      </c>
      <c r="AB6705">
        <v>25</v>
      </c>
      <c r="AC6705">
        <v>60.926600000000001</v>
      </c>
      <c r="AD6705">
        <v>-0.92960100000000001</v>
      </c>
      <c r="AE6705">
        <v>-12.203032</v>
      </c>
      <c r="AF6705">
        <v>12.045488897675799</v>
      </c>
      <c r="AG6705">
        <v>-0.92960100000000001</v>
      </c>
      <c r="AH6705">
        <v>60.943769483048499</v>
      </c>
      <c r="AI6705">
        <v>90.857306439963196</v>
      </c>
      <c r="AJ6705">
        <v>78.8196349181638</v>
      </c>
      <c r="AK6705">
        <v>62.129711085809703</v>
      </c>
      <c r="AL6705">
        <v>78.151761473315403</v>
      </c>
      <c r="AM6705">
        <v>93.211846081137494</v>
      </c>
      <c r="AN6705">
        <v>0.99999995912165995</v>
      </c>
    </row>
    <row r="6706" spans="1:40" x14ac:dyDescent="0.25">
      <c r="A6706" t="str">
        <f>"20190304154927315"</f>
        <v>20190304154927315</v>
      </c>
      <c r="B6706" t="str">
        <f>"1551685767303993"</f>
        <v>1551685767303993</v>
      </c>
      <c r="C6706" t="s">
        <v>40</v>
      </c>
      <c r="D6706">
        <v>4.1736139999999997</v>
      </c>
      <c r="E6706">
        <v>0.59770519999999905</v>
      </c>
      <c r="F6706" t="s">
        <v>92</v>
      </c>
      <c r="G6706">
        <v>-271.33440000000002</v>
      </c>
      <c r="H6706">
        <v>0.22664909999999999</v>
      </c>
      <c r="I6706">
        <v>4.6000230000000002</v>
      </c>
      <c r="J6706">
        <v>-331.32069999999999</v>
      </c>
      <c r="K6706">
        <v>1.11056</v>
      </c>
      <c r="L6706">
        <v>16.801850000000002</v>
      </c>
      <c r="M6706">
        <v>0.99990089999999998</v>
      </c>
      <c r="N6706">
        <v>-1.370505E-2</v>
      </c>
      <c r="O6706">
        <v>-3.206455E-3</v>
      </c>
      <c r="P6706">
        <v>0.98019020000000001</v>
      </c>
      <c r="Q6706">
        <v>0.19131999999999999</v>
      </c>
      <c r="R6706">
        <v>5.1222160000000003E-2</v>
      </c>
      <c r="S6706">
        <v>3.1039119999999998</v>
      </c>
      <c r="T6706">
        <v>-4.5592189999999998E-2</v>
      </c>
      <c r="U6706">
        <v>-0.62939449999999997</v>
      </c>
      <c r="V6706">
        <v>-5.4067570000000002E-2</v>
      </c>
      <c r="W6706">
        <v>0.2048123</v>
      </c>
      <c r="X6706">
        <v>0.97730680000000003</v>
      </c>
      <c r="Y6706">
        <v>0.19554640000000001</v>
      </c>
      <c r="Z6706">
        <v>-2.7721870000000002E-3</v>
      </c>
      <c r="AA6706">
        <v>0.98069050000000002</v>
      </c>
      <c r="AB6706">
        <v>25</v>
      </c>
      <c r="AC6706">
        <v>59.9862999999999</v>
      </c>
      <c r="AD6706">
        <v>-0.88391090000000005</v>
      </c>
      <c r="AE6706">
        <v>-12.201827</v>
      </c>
      <c r="AF6706">
        <v>12.006899382170401</v>
      </c>
      <c r="AG6706">
        <v>-0.88391090000000005</v>
      </c>
      <c r="AH6706">
        <v>60.012607247658302</v>
      </c>
      <c r="AI6706">
        <v>90.827438396680805</v>
      </c>
      <c r="AJ6706">
        <v>78.686048602108002</v>
      </c>
      <c r="AK6706">
        <v>61.208332438601801</v>
      </c>
      <c r="AL6706">
        <v>78.181488277543593</v>
      </c>
      <c r="AM6706">
        <v>93.166548009482497</v>
      </c>
      <c r="AN6706">
        <v>0.99999998084161701</v>
      </c>
    </row>
    <row r="6707" spans="1:40" x14ac:dyDescent="0.25">
      <c r="A6707" t="str">
        <f>"20190304154927326"</f>
        <v>20190304154927326</v>
      </c>
      <c r="B6707" t="str">
        <f>"1551685767323512"</f>
        <v>1551685767323512</v>
      </c>
      <c r="C6707" t="s">
        <v>40</v>
      </c>
      <c r="D6707">
        <v>4.2393939999999999</v>
      </c>
      <c r="E6707">
        <v>0.5991109</v>
      </c>
      <c r="F6707" t="s">
        <v>92</v>
      </c>
      <c r="G6707">
        <v>-272.00749999999999</v>
      </c>
      <c r="H6707">
        <v>0.2460019</v>
      </c>
      <c r="I6707">
        <v>4.6000290000000001</v>
      </c>
      <c r="J6707">
        <v>-331.19479999999999</v>
      </c>
      <c r="K6707">
        <v>1.1105179999999999</v>
      </c>
      <c r="L6707">
        <v>16.80096</v>
      </c>
      <c r="M6707">
        <v>0.99989939999999999</v>
      </c>
      <c r="N6707">
        <v>-1.370445E-2</v>
      </c>
      <c r="O6707">
        <v>-3.6728350000000002E-3</v>
      </c>
      <c r="P6707">
        <v>0.98029390000000005</v>
      </c>
      <c r="Q6707">
        <v>0.19097529999999999</v>
      </c>
      <c r="R6707">
        <v>5.0521280000000002E-2</v>
      </c>
      <c r="S6707">
        <v>3.102814</v>
      </c>
      <c r="T6707">
        <v>-4.5227169999999997E-2</v>
      </c>
      <c r="U6707">
        <v>-0.63830569999999998</v>
      </c>
      <c r="V6707">
        <v>-5.3806769999999997E-2</v>
      </c>
      <c r="W6707">
        <v>0.2044725</v>
      </c>
      <c r="X6707">
        <v>0.97739240000000005</v>
      </c>
      <c r="Y6707">
        <v>0.1978597</v>
      </c>
      <c r="Z6707">
        <v>-2.793879E-3</v>
      </c>
      <c r="AA6707">
        <v>0.98022640000000005</v>
      </c>
      <c r="AB6707">
        <v>25</v>
      </c>
      <c r="AC6707">
        <v>59.187299999999901</v>
      </c>
      <c r="AD6707">
        <v>-0.86451610000000001</v>
      </c>
      <c r="AE6707">
        <v>-12.200931000000001</v>
      </c>
      <c r="AF6707">
        <v>11.9809911682279</v>
      </c>
      <c r="AG6707">
        <v>-0.86451610000000001</v>
      </c>
      <c r="AH6707">
        <v>59.219597531112797</v>
      </c>
      <c r="AI6707">
        <v>90.819765459252807</v>
      </c>
      <c r="AJ6707">
        <v>78.5626064639155</v>
      </c>
      <c r="AK6707">
        <v>60.425592832899</v>
      </c>
      <c r="AL6707">
        <v>78.201379000902506</v>
      </c>
      <c r="AM6707">
        <v>93.151029292178706</v>
      </c>
      <c r="AN6707">
        <v>1.0000000376659199</v>
      </c>
    </row>
    <row r="6708" spans="1:40" x14ac:dyDescent="0.25">
      <c r="A6708" t="str">
        <f>"20190304154927339"</f>
        <v>20190304154927339</v>
      </c>
      <c r="B6708" t="str">
        <f>"1551685767334249"</f>
        <v>1551685767334249</v>
      </c>
      <c r="C6708" t="s">
        <v>40</v>
      </c>
      <c r="D6708">
        <v>4.2329670000000004</v>
      </c>
      <c r="E6708">
        <v>0.59969609999999995</v>
      </c>
      <c r="F6708" t="s">
        <v>92</v>
      </c>
      <c r="G6708">
        <v>-273.13720000000001</v>
      </c>
      <c r="H6708">
        <v>0.30776330000000002</v>
      </c>
      <c r="I6708">
        <v>4.6000500000000004</v>
      </c>
      <c r="J6708">
        <v>-331.07690000000002</v>
      </c>
      <c r="K6708">
        <v>1.1104849999999999</v>
      </c>
      <c r="L6708">
        <v>16.800049999999999</v>
      </c>
      <c r="M6708">
        <v>0.9998977</v>
      </c>
      <c r="N6708">
        <v>-1.3703899999999899E-2</v>
      </c>
      <c r="O6708">
        <v>-4.132363E-3</v>
      </c>
      <c r="P6708">
        <v>0.98038349999999996</v>
      </c>
      <c r="Q6708">
        <v>0.19073760000000001</v>
      </c>
      <c r="R6708">
        <v>4.9674459999999997E-2</v>
      </c>
      <c r="S6708">
        <v>3.1022639999999999</v>
      </c>
      <c r="T6708">
        <v>-4.2894599999999998E-2</v>
      </c>
      <c r="U6708">
        <v>-0.65194700000000005</v>
      </c>
      <c r="V6708">
        <v>-5.3395100000000001E-2</v>
      </c>
      <c r="W6708">
        <v>0.20423859999999999</v>
      </c>
      <c r="X6708">
        <v>0.97746379999999999</v>
      </c>
      <c r="Y6708">
        <v>0.20157600000000001</v>
      </c>
      <c r="Z6708">
        <v>-2.7742829999999998E-3</v>
      </c>
      <c r="AA6708">
        <v>0.97946889999999998</v>
      </c>
      <c r="AB6708">
        <v>25</v>
      </c>
      <c r="AC6708">
        <v>57.939700000000002</v>
      </c>
      <c r="AD6708">
        <v>-0.80272169999999998</v>
      </c>
      <c r="AE6708">
        <v>-12.2</v>
      </c>
      <c r="AF6708">
        <v>11.9582476082828</v>
      </c>
      <c r="AG6708">
        <v>-0.80272169999999998</v>
      </c>
      <c r="AH6708">
        <v>57.978968438398503</v>
      </c>
      <c r="AI6708">
        <v>90.776862650329804</v>
      </c>
      <c r="AJ6708">
        <v>78.346078494496894</v>
      </c>
      <c r="AK6708">
        <v>59.204770324438101</v>
      </c>
      <c r="AL6708">
        <v>78.215068483307505</v>
      </c>
      <c r="AM6708">
        <v>93.126741161580398</v>
      </c>
      <c r="AN6708">
        <v>0.99999996137220404</v>
      </c>
    </row>
    <row r="6709" spans="1:40" x14ac:dyDescent="0.25">
      <c r="A6709" t="str">
        <f>"20190304154927350"</f>
        <v>20190304154927350</v>
      </c>
      <c r="B6709" t="str">
        <f>"1551685767344008"</f>
        <v>1551685767344008</v>
      </c>
      <c r="C6709" t="s">
        <v>40</v>
      </c>
      <c r="D6709">
        <v>4.214118</v>
      </c>
      <c r="E6709">
        <v>0.60029580000000005</v>
      </c>
      <c r="F6709" t="s">
        <v>92</v>
      </c>
      <c r="G6709">
        <v>-273.69589999999999</v>
      </c>
      <c r="H6709">
        <v>0.32842290000000002</v>
      </c>
      <c r="I6709">
        <v>4.6000560000000004</v>
      </c>
      <c r="J6709">
        <v>-330.93009999999998</v>
      </c>
      <c r="K6709">
        <v>1.110444</v>
      </c>
      <c r="L6709">
        <v>16.798829999999999</v>
      </c>
      <c r="M6709">
        <v>0.99989499999999998</v>
      </c>
      <c r="N6709">
        <v>-1.370324E-2</v>
      </c>
      <c r="O6709">
        <v>-4.7267189999999999E-3</v>
      </c>
      <c r="P6709">
        <v>0.98052550000000005</v>
      </c>
      <c r="Q6709">
        <v>0.19028039999999999</v>
      </c>
      <c r="R6709">
        <v>4.8614999999999998E-2</v>
      </c>
      <c r="S6709">
        <v>3.1016539999999999</v>
      </c>
      <c r="T6709">
        <v>-4.2273280000000003E-2</v>
      </c>
      <c r="U6709">
        <v>-0.65945430000000005</v>
      </c>
      <c r="V6709">
        <v>-5.2900540000000003E-2</v>
      </c>
      <c r="W6709">
        <v>0.20378679999999999</v>
      </c>
      <c r="X6709">
        <v>0.97758500000000004</v>
      </c>
      <c r="Y6709">
        <v>0.20330210000000001</v>
      </c>
      <c r="Z6709">
        <v>-2.7789609999999999E-3</v>
      </c>
      <c r="AA6709">
        <v>0.97911210000000004</v>
      </c>
      <c r="AB6709">
        <v>25</v>
      </c>
      <c r="AC6709">
        <v>57.234199999999902</v>
      </c>
      <c r="AD6709">
        <v>-0.78202109999999903</v>
      </c>
      <c r="AE6709">
        <v>-12.198774</v>
      </c>
      <c r="AF6709">
        <v>11.9259526046154</v>
      </c>
      <c r="AG6709">
        <v>-0.78202109999999903</v>
      </c>
      <c r="AH6709">
        <v>57.2809968905094</v>
      </c>
      <c r="AI6709">
        <v>90.765755573767805</v>
      </c>
      <c r="AJ6709">
        <v>78.238985893674197</v>
      </c>
      <c r="AK6709">
        <v>58.514549535127799</v>
      </c>
      <c r="AL6709">
        <v>78.241511064661694</v>
      </c>
      <c r="AM6709">
        <v>93.097453782401701</v>
      </c>
      <c r="AN6709">
        <v>0.99999997960576503</v>
      </c>
    </row>
    <row r="6710" spans="1:40" x14ac:dyDescent="0.25">
      <c r="A6710" t="str">
        <f>"20190304154927361"</f>
        <v>20190304154927361</v>
      </c>
      <c r="B6710" t="str">
        <f>"1551685767353768"</f>
        <v>1551685767353768</v>
      </c>
      <c r="C6710" t="s">
        <v>40</v>
      </c>
      <c r="D6710">
        <v>4.1228129999999998</v>
      </c>
      <c r="E6710">
        <v>0.60072099999999995</v>
      </c>
      <c r="F6710" t="s">
        <v>92</v>
      </c>
      <c r="G6710">
        <v>-274.24340000000001</v>
      </c>
      <c r="H6710">
        <v>0.32609779999999999</v>
      </c>
      <c r="I6710">
        <v>4.6000560000000004</v>
      </c>
      <c r="J6710">
        <v>-330.81139999999999</v>
      </c>
      <c r="K6710">
        <v>1.110414</v>
      </c>
      <c r="L6710">
        <v>16.797729999999898</v>
      </c>
      <c r="M6710">
        <v>0.99989240000000001</v>
      </c>
      <c r="N6710">
        <v>-1.370267E-2</v>
      </c>
      <c r="O6710">
        <v>-5.2491769999999998E-3</v>
      </c>
      <c r="P6710">
        <v>0.98061419999999999</v>
      </c>
      <c r="Q6710">
        <v>0.19004860000000001</v>
      </c>
      <c r="R6710">
        <v>4.7720749999999999E-2</v>
      </c>
      <c r="S6710">
        <v>3.101013</v>
      </c>
      <c r="T6710">
        <v>-4.2907359999999999E-2</v>
      </c>
      <c r="U6710">
        <v>-0.66732789999999997</v>
      </c>
      <c r="V6710">
        <v>-5.2504059999999998E-2</v>
      </c>
      <c r="W6710">
        <v>0.2035585</v>
      </c>
      <c r="X6710">
        <v>0.97765400000000002</v>
      </c>
      <c r="Y6710">
        <v>0.20520720000000001</v>
      </c>
      <c r="Z6710">
        <v>-2.8249350000000002E-3</v>
      </c>
      <c r="AA6710">
        <v>0.97871450000000004</v>
      </c>
      <c r="AB6710">
        <v>25</v>
      </c>
      <c r="AC6710">
        <v>56.567999999999898</v>
      </c>
      <c r="AD6710">
        <v>-0.78431619999999902</v>
      </c>
      <c r="AE6710">
        <v>-12.197673999999999</v>
      </c>
      <c r="AF6710">
        <v>11.898356916025399</v>
      </c>
      <c r="AG6710">
        <v>-0.78431619999999902</v>
      </c>
      <c r="AH6710">
        <v>56.620853162316401</v>
      </c>
      <c r="AI6710">
        <v>90.776653760089999</v>
      </c>
      <c r="AJ6710">
        <v>78.132489226203305</v>
      </c>
      <c r="AK6710">
        <v>57.862829709851802</v>
      </c>
      <c r="AL6710">
        <v>78.254872481078095</v>
      </c>
      <c r="AM6710">
        <v>93.074067066524094</v>
      </c>
      <c r="AN6710">
        <v>1.00000004147736</v>
      </c>
    </row>
    <row r="6711" spans="1:40" x14ac:dyDescent="0.25">
      <c r="A6711" t="str">
        <f>"20190304154927372"</f>
        <v>20190304154927372</v>
      </c>
      <c r="B6711" t="str">
        <f>"1551685767363530"</f>
        <v>1551685767363530</v>
      </c>
      <c r="C6711" t="s">
        <v>40</v>
      </c>
      <c r="D6711">
        <v>4.1935409999999997</v>
      </c>
      <c r="E6711">
        <v>0.60118530000000003</v>
      </c>
      <c r="F6711" t="s">
        <v>92</v>
      </c>
      <c r="G6711">
        <v>-274.65719999999999</v>
      </c>
      <c r="H6711">
        <v>0.33271600000000001</v>
      </c>
      <c r="I6711">
        <v>4.6000579999999998</v>
      </c>
      <c r="J6711">
        <v>-330.69069999999999</v>
      </c>
      <c r="K6711">
        <v>1.1103799999999999</v>
      </c>
      <c r="L6711">
        <v>16.79654</v>
      </c>
      <c r="M6711">
        <v>0.99988940000000004</v>
      </c>
      <c r="N6711">
        <v>-1.370205E-2</v>
      </c>
      <c r="O6711">
        <v>-5.7876239999999999E-3</v>
      </c>
      <c r="P6711">
        <v>0.98065809999999998</v>
      </c>
      <c r="Q6711">
        <v>0.19004450000000001</v>
      </c>
      <c r="R6711">
        <v>4.6829950000000002E-2</v>
      </c>
      <c r="S6711">
        <v>3.100403</v>
      </c>
      <c r="T6711">
        <v>-4.2938469999999999E-2</v>
      </c>
      <c r="U6711">
        <v>-0.67346189999999995</v>
      </c>
      <c r="V6711">
        <v>-5.2125530000000003E-2</v>
      </c>
      <c r="W6711">
        <v>0.20355709999999999</v>
      </c>
      <c r="X6711">
        <v>0.9776745</v>
      </c>
      <c r="Y6711">
        <v>0.20656920000000001</v>
      </c>
      <c r="Z6711">
        <v>-2.8447809999999998E-3</v>
      </c>
      <c r="AA6711">
        <v>0.97842790000000002</v>
      </c>
      <c r="AB6711">
        <v>25</v>
      </c>
      <c r="AC6711">
        <v>56.033499999999997</v>
      </c>
      <c r="AD6711">
        <v>-0.77766399999999902</v>
      </c>
      <c r="AE6711">
        <v>-12.196482</v>
      </c>
      <c r="AF6711">
        <v>11.869763554900601</v>
      </c>
      <c r="AG6711">
        <v>-0.77766399999999902</v>
      </c>
      <c r="AH6711">
        <v>56.092841072198702</v>
      </c>
      <c r="AI6711">
        <v>90.777084868390105</v>
      </c>
      <c r="AJ6711">
        <v>78.051941172152993</v>
      </c>
      <c r="AK6711">
        <v>57.340237771543002</v>
      </c>
      <c r="AL6711">
        <v>78.254953867525302</v>
      </c>
      <c r="AM6711">
        <v>93.051882641000105</v>
      </c>
      <c r="AN6711">
        <v>0.99999999589421995</v>
      </c>
    </row>
    <row r="6712" spans="1:40" x14ac:dyDescent="0.25">
      <c r="A6712" t="str">
        <f>"20190304154927383"</f>
        <v>20190304154927383</v>
      </c>
      <c r="B6712" t="str">
        <f>"1551685767374265"</f>
        <v>1551685767374265</v>
      </c>
      <c r="C6712" t="s">
        <v>40</v>
      </c>
      <c r="D6712">
        <v>4.24193</v>
      </c>
      <c r="E6712">
        <v>0.60118530000000003</v>
      </c>
      <c r="F6712" t="s">
        <v>92</v>
      </c>
      <c r="G6712">
        <v>-275.08839999999998</v>
      </c>
      <c r="H6712">
        <v>0.3591377</v>
      </c>
      <c r="I6712">
        <v>4.6000670000000001</v>
      </c>
      <c r="J6712">
        <v>-330.56990000000002</v>
      </c>
      <c r="K6712">
        <v>1.1103479999999999</v>
      </c>
      <c r="L6712">
        <v>16.795200000000001</v>
      </c>
      <c r="M6712">
        <v>0.99988600000000005</v>
      </c>
      <c r="N6712">
        <v>-1.37014999999999E-2</v>
      </c>
      <c r="O6712">
        <v>-6.372834E-3</v>
      </c>
      <c r="P6712">
        <v>0.98075880000000004</v>
      </c>
      <c r="Q6712">
        <v>0.18973119999999999</v>
      </c>
      <c r="R6712">
        <v>4.5985789999999999E-2</v>
      </c>
      <c r="S6712">
        <v>3.0997309999999998</v>
      </c>
      <c r="T6712">
        <v>-4.1880489999999999E-2</v>
      </c>
      <c r="U6712">
        <v>-0.67993159999999997</v>
      </c>
      <c r="V6712">
        <v>-5.1839879999999998E-2</v>
      </c>
      <c r="W6712">
        <v>0.2032485</v>
      </c>
      <c r="X6712">
        <v>0.97775389999999995</v>
      </c>
      <c r="Y6712">
        <v>0.2079907</v>
      </c>
      <c r="Z6712">
        <v>-2.8315800000000002E-3</v>
      </c>
      <c r="AA6712">
        <v>0.97812670000000002</v>
      </c>
      <c r="AB6712">
        <v>25</v>
      </c>
      <c r="AC6712">
        <v>55.481499999999997</v>
      </c>
      <c r="AD6712">
        <v>-0.751210299999999</v>
      </c>
      <c r="AE6712">
        <v>-12.195133</v>
      </c>
      <c r="AF6712">
        <v>11.8392073743286</v>
      </c>
      <c r="AG6712">
        <v>-0.751210299999999</v>
      </c>
      <c r="AH6712">
        <v>55.548383793288401</v>
      </c>
      <c r="AI6712">
        <v>90.757775941690696</v>
      </c>
      <c r="AJ6712">
        <v>77.968390403340706</v>
      </c>
      <c r="AK6712">
        <v>56.801004306382197</v>
      </c>
      <c r="AL6712">
        <v>78.273013003300207</v>
      </c>
      <c r="AM6712">
        <v>93.034943542008804</v>
      </c>
      <c r="AN6712">
        <v>1.00000000743793</v>
      </c>
    </row>
    <row r="6713" spans="1:40" x14ac:dyDescent="0.25">
      <c r="A6713" t="str">
        <f>"20190304154927393"</f>
        <v>20190304154927393</v>
      </c>
      <c r="B6713" t="str">
        <f>"1551685767384025"</f>
        <v>1551685767384025</v>
      </c>
      <c r="C6713" t="s">
        <v>40</v>
      </c>
      <c r="D6713">
        <v>4.2423390000000003</v>
      </c>
      <c r="E6713">
        <v>0.65074189999999998</v>
      </c>
      <c r="F6713" t="s">
        <v>92</v>
      </c>
      <c r="G6713">
        <v>-275.19229999999999</v>
      </c>
      <c r="H6713">
        <v>0.3408312</v>
      </c>
      <c r="I6713">
        <v>4.6000610000000002</v>
      </c>
      <c r="J6713">
        <v>-330.45389999999998</v>
      </c>
      <c r="K6713">
        <v>1.1103179999999999</v>
      </c>
      <c r="L6713">
        <v>16.79391</v>
      </c>
      <c r="M6713">
        <v>0.9998821</v>
      </c>
      <c r="N6713">
        <v>-1.370097E-2</v>
      </c>
      <c r="O6713">
        <v>-6.943004E-3</v>
      </c>
      <c r="P6713">
        <v>0.98083010000000004</v>
      </c>
      <c r="Q6713">
        <v>0.18957289999999999</v>
      </c>
      <c r="R6713">
        <v>4.510695E-2</v>
      </c>
      <c r="S6713">
        <v>3.0991819999999999</v>
      </c>
      <c r="T6713">
        <v>-4.306579E-2</v>
      </c>
      <c r="U6713">
        <v>-0.68249510000000002</v>
      </c>
      <c r="V6713">
        <v>-5.1504960000000002E-2</v>
      </c>
      <c r="W6713">
        <v>0.20309350000000001</v>
      </c>
      <c r="X6713">
        <v>0.9778038</v>
      </c>
      <c r="Y6713">
        <v>0.20823929999999999</v>
      </c>
      <c r="Z6713">
        <v>-2.871976E-3</v>
      </c>
      <c r="AA6713">
        <v>0.97807370000000005</v>
      </c>
      <c r="AB6713">
        <v>25</v>
      </c>
      <c r="AC6713">
        <v>55.261599999999902</v>
      </c>
      <c r="AD6713">
        <v>-0.76948680000000003</v>
      </c>
      <c r="AE6713">
        <v>-12.193849</v>
      </c>
      <c r="AF6713">
        <v>11.8076544439415</v>
      </c>
      <c r="AG6713">
        <v>-0.76948680000000003</v>
      </c>
      <c r="AH6713">
        <v>55.334706947787303</v>
      </c>
      <c r="AI6713">
        <v>90.779166767624403</v>
      </c>
      <c r="AJ6713">
        <v>77.954536024174402</v>
      </c>
      <c r="AK6713">
        <v>56.585710266819198</v>
      </c>
      <c r="AL6713">
        <v>78.282082943089506</v>
      </c>
      <c r="AM6713">
        <v>93.015218498152905</v>
      </c>
      <c r="AN6713">
        <v>1.00000000097064</v>
      </c>
    </row>
    <row r="6714" spans="1:40" x14ac:dyDescent="0.25">
      <c r="A6714" t="str">
        <f>"20190304154927889"</f>
        <v>20190304154927889</v>
      </c>
      <c r="B6714" t="str">
        <f>"1551685767883678"</f>
        <v>1551685767883678</v>
      </c>
      <c r="C6714" t="s">
        <v>40</v>
      </c>
      <c r="D6714">
        <v>4.5703809999999896</v>
      </c>
      <c r="E6714">
        <v>0.64619119999999997</v>
      </c>
      <c r="F6714" t="s">
        <v>92</v>
      </c>
      <c r="G6714">
        <v>-279.02</v>
      </c>
      <c r="H6714">
        <v>2.652539</v>
      </c>
      <c r="I6714">
        <v>-1.131724</v>
      </c>
      <c r="J6714">
        <v>-325.03160000000003</v>
      </c>
      <c r="K6714">
        <v>1.109299</v>
      </c>
      <c r="L6714">
        <v>16.595210000000002</v>
      </c>
      <c r="M6714">
        <v>0.99847010000000003</v>
      </c>
      <c r="N6714">
        <v>-1.314544E-2</v>
      </c>
      <c r="O6714">
        <v>-5.3710609999999999E-2</v>
      </c>
      <c r="P6714">
        <v>0.98387760000000002</v>
      </c>
      <c r="Q6714">
        <v>0.17729420000000001</v>
      </c>
      <c r="R6714">
        <v>-2.348981E-2</v>
      </c>
      <c r="S6714">
        <v>3.0903019999999999</v>
      </c>
      <c r="T6714">
        <v>9.2661259999999995E-2</v>
      </c>
      <c r="U6714">
        <v>-1.077026</v>
      </c>
      <c r="V6714">
        <v>-2.8601689999999999E-2</v>
      </c>
      <c r="W6714">
        <v>0.19033120000000001</v>
      </c>
      <c r="X6714">
        <v>0.98130320000000004</v>
      </c>
      <c r="Y6714">
        <v>0.27789150000000001</v>
      </c>
      <c r="Z6714" s="1">
        <v>-8.0549160000000002E-5</v>
      </c>
      <c r="AA6714">
        <v>0.96061249999999998</v>
      </c>
      <c r="AB6714">
        <v>24</v>
      </c>
      <c r="AC6714">
        <v>46.011600000000001</v>
      </c>
      <c r="AD6714">
        <v>1.5432399999999999</v>
      </c>
      <c r="AE6714">
        <v>-17.726934</v>
      </c>
      <c r="AF6714">
        <v>15.214913318395901</v>
      </c>
      <c r="AG6714">
        <v>1.5432399999999999</v>
      </c>
      <c r="AH6714">
        <v>46.851486064408597</v>
      </c>
      <c r="AI6714">
        <v>88.205601149123495</v>
      </c>
      <c r="AJ6714">
        <v>72.008912991381393</v>
      </c>
      <c r="AK6714">
        <v>49.284246199240698</v>
      </c>
      <c r="AL6714">
        <v>79.027886681771506</v>
      </c>
      <c r="AM6714">
        <v>91.6695067383029</v>
      </c>
      <c r="AN6714">
        <v>0.99999999634726799</v>
      </c>
    </row>
    <row r="6715" spans="1:40" x14ac:dyDescent="0.25">
      <c r="A6715" t="str">
        <f>"20190304154927901"</f>
        <v>20190304154927901</v>
      </c>
      <c r="B6715" t="str">
        <f>"1551685767893438"</f>
        <v>1551685767893438</v>
      </c>
      <c r="C6715" t="s">
        <v>40</v>
      </c>
      <c r="D6715">
        <v>4.3173810000000001</v>
      </c>
      <c r="E6715">
        <v>0.64619119999999997</v>
      </c>
      <c r="F6715" t="s">
        <v>92</v>
      </c>
      <c r="G6715">
        <v>-279.02</v>
      </c>
      <c r="H6715">
        <v>1.6189249999999999</v>
      </c>
      <c r="I6715">
        <v>-2.6197439999999999</v>
      </c>
      <c r="J6715">
        <v>-324.9076</v>
      </c>
      <c r="K6715">
        <v>1.1092740000000001</v>
      </c>
      <c r="L6715">
        <v>16.587039999999998</v>
      </c>
      <c r="M6715">
        <v>0.99839750000000005</v>
      </c>
      <c r="N6715">
        <v>-1.3107270000000001E-2</v>
      </c>
      <c r="O6715">
        <v>-5.5052740000000003E-2</v>
      </c>
      <c r="P6715">
        <v>0.98389009999999999</v>
      </c>
      <c r="Q6715">
        <v>0.17703379999999999</v>
      </c>
      <c r="R6715">
        <v>-2.4889519999999998E-2</v>
      </c>
      <c r="S6715">
        <v>3.0130919999999999</v>
      </c>
      <c r="T6715">
        <v>3.3373119999999999E-2</v>
      </c>
      <c r="U6715">
        <v>-1.2583009999999999</v>
      </c>
      <c r="V6715">
        <v>-2.852147E-2</v>
      </c>
      <c r="W6715">
        <v>0.19003439999999999</v>
      </c>
      <c r="X6715">
        <v>0.98136310000000004</v>
      </c>
      <c r="Y6715">
        <v>0.33398640000000002</v>
      </c>
      <c r="Z6715">
        <v>-1.7799129999999999E-3</v>
      </c>
      <c r="AA6715">
        <v>0.94257619999999998</v>
      </c>
      <c r="AB6715">
        <v>24</v>
      </c>
      <c r="AC6715">
        <v>45.887599999999999</v>
      </c>
      <c r="AD6715">
        <v>0.50965099999999997</v>
      </c>
      <c r="AE6715">
        <v>-19.206783999999999</v>
      </c>
      <c r="AF6715">
        <v>16.649448368369399</v>
      </c>
      <c r="AG6715">
        <v>0.50965099999999997</v>
      </c>
      <c r="AH6715">
        <v>46.870554166864103</v>
      </c>
      <c r="AI6715">
        <v>89.4129490196012</v>
      </c>
      <c r="AJ6715">
        <v>70.443846322481093</v>
      </c>
      <c r="AK6715">
        <v>49.742463982212897</v>
      </c>
      <c r="AL6715">
        <v>79.045208702040199</v>
      </c>
      <c r="AM6715">
        <v>91.664725302811604</v>
      </c>
      <c r="AN6715">
        <v>1.0000000407379599</v>
      </c>
    </row>
    <row r="6716" spans="1:40" x14ac:dyDescent="0.25">
      <c r="A6716" t="str">
        <f>"20190304154927912"</f>
        <v>20190304154927912</v>
      </c>
      <c r="B6716" t="str">
        <f>"1551685767904175"</f>
        <v>1551685767904175</v>
      </c>
      <c r="C6716" t="s">
        <v>40</v>
      </c>
      <c r="D6716">
        <v>3.993436</v>
      </c>
      <c r="E6716">
        <v>0.59533459999999905</v>
      </c>
      <c r="F6716" t="s">
        <v>92</v>
      </c>
      <c r="G6716">
        <v>-279.02</v>
      </c>
      <c r="H6716">
        <v>1.6165940000000001</v>
      </c>
      <c r="I6716">
        <v>-2.6565129999999999</v>
      </c>
      <c r="J6716">
        <v>-324.77679999999998</v>
      </c>
      <c r="K6716">
        <v>1.109254</v>
      </c>
      <c r="L6716">
        <v>16.578340000000001</v>
      </c>
      <c r="M6716">
        <v>0.9983185</v>
      </c>
      <c r="N6716">
        <v>-1.30673E-2</v>
      </c>
      <c r="O6716">
        <v>-5.6475350000000001E-2</v>
      </c>
      <c r="P6716">
        <v>0.98387930000000001</v>
      </c>
      <c r="Q6716">
        <v>0.17689299999999999</v>
      </c>
      <c r="R6716">
        <v>-2.6277269999999998E-2</v>
      </c>
      <c r="S6716">
        <v>3.0112000000000001</v>
      </c>
      <c r="T6716">
        <v>3.3290979999999998E-2</v>
      </c>
      <c r="U6716">
        <v>-1.2627870000000001</v>
      </c>
      <c r="V6716">
        <v>-2.8530429999999999E-2</v>
      </c>
      <c r="W6716">
        <v>0.18985659999999999</v>
      </c>
      <c r="X6716">
        <v>0.98139719999999997</v>
      </c>
      <c r="Y6716">
        <v>0.33404899999999998</v>
      </c>
      <c r="Z6716">
        <v>-1.8069309999999999E-3</v>
      </c>
      <c r="AA6716">
        <v>0.942554</v>
      </c>
      <c r="AB6716">
        <v>24</v>
      </c>
      <c r="AC6716">
        <v>45.756799999999998</v>
      </c>
      <c r="AD6716">
        <v>0.50733999999999901</v>
      </c>
      <c r="AE6716">
        <v>-19.234853000000001</v>
      </c>
      <c r="AF6716">
        <v>16.6180607324373</v>
      </c>
      <c r="AG6716">
        <v>0.50733999999999901</v>
      </c>
      <c r="AH6716">
        <v>46.765261322659903</v>
      </c>
      <c r="AI6716">
        <v>89.414318893368502</v>
      </c>
      <c r="AJ6716">
        <v>70.437303183840697</v>
      </c>
      <c r="AK6716">
        <v>49.632721091627097</v>
      </c>
      <c r="AL6716">
        <v>79.055584219409994</v>
      </c>
      <c r="AM6716">
        <v>91.665190151933899</v>
      </c>
      <c r="AN6716">
        <v>0.99999998908369203</v>
      </c>
    </row>
    <row r="6717" spans="1:40" x14ac:dyDescent="0.25">
      <c r="A6717" t="str">
        <f>"20190304154927923"</f>
        <v>20190304154927923</v>
      </c>
      <c r="B6717" t="str">
        <f>"1551685767913935"</f>
        <v>1551685767913935</v>
      </c>
      <c r="C6717" t="s">
        <v>40</v>
      </c>
      <c r="D6717">
        <v>4.0864750000000001</v>
      </c>
      <c r="E6717">
        <v>0.59493759999999996</v>
      </c>
      <c r="F6717" t="s">
        <v>45</v>
      </c>
      <c r="G6717">
        <v>-309.0575</v>
      </c>
      <c r="H6717">
        <v>-0.05</v>
      </c>
      <c r="I6717">
        <v>12.10393</v>
      </c>
      <c r="J6717">
        <v>-324.65559999999999</v>
      </c>
      <c r="K6717">
        <v>1.109232</v>
      </c>
      <c r="L6717">
        <v>16.57001</v>
      </c>
      <c r="M6717">
        <v>0.99824210000000002</v>
      </c>
      <c r="N6717">
        <v>-1.3031010000000001E-2</v>
      </c>
      <c r="O6717">
        <v>-5.781828E-2</v>
      </c>
      <c r="P6717">
        <v>0.98384079999999996</v>
      </c>
      <c r="Q6717">
        <v>0.1768827</v>
      </c>
      <c r="R6717">
        <v>-2.774712E-2</v>
      </c>
      <c r="S6717">
        <v>3.0664980000000002</v>
      </c>
      <c r="T6717">
        <v>-0.22614609999999999</v>
      </c>
      <c r="U6717">
        <v>-0.87286379999999997</v>
      </c>
      <c r="V6717">
        <v>-2.8375319999999999E-2</v>
      </c>
      <c r="W6717">
        <v>0.1898107</v>
      </c>
      <c r="X6717">
        <v>0.98141060000000002</v>
      </c>
      <c r="Y6717">
        <v>0.21714990000000001</v>
      </c>
      <c r="Z6717">
        <v>-5.8601570000000004E-3</v>
      </c>
      <c r="AA6717">
        <v>0.97612069999999995</v>
      </c>
      <c r="AB6717">
        <v>24</v>
      </c>
      <c r="AC6717">
        <v>15.598099999999899</v>
      </c>
      <c r="AD6717">
        <v>-1.159232</v>
      </c>
      <c r="AE6717">
        <v>-4.4660799999999998</v>
      </c>
      <c r="AF6717">
        <v>3.5386117881290202</v>
      </c>
      <c r="AG6717">
        <v>-1.159232</v>
      </c>
      <c r="AH6717">
        <v>15.7498451956486</v>
      </c>
      <c r="AI6717">
        <v>94.107504623003194</v>
      </c>
      <c r="AJ6717">
        <v>77.337288549555197</v>
      </c>
      <c r="AK6717">
        <v>16.184042013780299</v>
      </c>
      <c r="AL6717">
        <v>79.058263069548104</v>
      </c>
      <c r="AM6717">
        <v>91.656119549143298</v>
      </c>
      <c r="AN6717">
        <v>1.0000000132059701</v>
      </c>
    </row>
    <row r="6718" spans="1:40" x14ac:dyDescent="0.25">
      <c r="A6718" t="str">
        <f>"20190304154927935"</f>
        <v>20190304154927935</v>
      </c>
      <c r="B6718" t="str">
        <f>"1551685767923694"</f>
        <v>1551685767923694</v>
      </c>
      <c r="C6718" t="s">
        <v>40</v>
      </c>
      <c r="D6718">
        <v>4.0944690000000001</v>
      </c>
      <c r="E6718">
        <v>0.59637090000000004</v>
      </c>
      <c r="F6718" t="s">
        <v>45</v>
      </c>
      <c r="G6718">
        <v>-309.86410000000001</v>
      </c>
      <c r="H6718">
        <v>-0.05</v>
      </c>
      <c r="I6718">
        <v>12.353</v>
      </c>
      <c r="J6718">
        <v>-324.53629999999998</v>
      </c>
      <c r="K6718">
        <v>1.109208</v>
      </c>
      <c r="L6718">
        <v>16.561679999999999</v>
      </c>
      <c r="M6718">
        <v>0.99816450000000001</v>
      </c>
      <c r="N6718">
        <v>-1.299515E-2</v>
      </c>
      <c r="O6718">
        <v>-5.9150380000000002E-2</v>
      </c>
      <c r="P6718">
        <v>0.98379419999999995</v>
      </c>
      <c r="Q6718">
        <v>0.17687120000000001</v>
      </c>
      <c r="R6718">
        <v>-2.9421260000000001E-2</v>
      </c>
      <c r="S6718">
        <v>3.067841</v>
      </c>
      <c r="T6718">
        <v>-0.24043110000000001</v>
      </c>
      <c r="U6718">
        <v>-0.87463380000000002</v>
      </c>
      <c r="V6718">
        <v>-2.800588E-2</v>
      </c>
      <c r="W6718">
        <v>0.1897643</v>
      </c>
      <c r="X6718">
        <v>0.98143020000000003</v>
      </c>
      <c r="Y6718">
        <v>0.2162009</v>
      </c>
      <c r="Z6718">
        <v>-5.9566059999999997E-3</v>
      </c>
      <c r="AA6718">
        <v>0.97633080000000005</v>
      </c>
      <c r="AB6718">
        <v>24</v>
      </c>
      <c r="AC6718">
        <v>14.672199999999901</v>
      </c>
      <c r="AD6718">
        <v>-1.159208</v>
      </c>
      <c r="AE6718">
        <v>-4.2086799999999904</v>
      </c>
      <c r="AF6718">
        <v>3.3142550529088899</v>
      </c>
      <c r="AG6718">
        <v>-1.159208</v>
      </c>
      <c r="AH6718">
        <v>14.8100540321604</v>
      </c>
      <c r="AI6718">
        <v>94.3679115144609</v>
      </c>
      <c r="AJ6718">
        <v>77.385941170185902</v>
      </c>
      <c r="AK6718">
        <v>15.2205699689108</v>
      </c>
      <c r="AL6718">
        <v>79.060970971996795</v>
      </c>
      <c r="AM6718">
        <v>91.634536410280006</v>
      </c>
      <c r="AN6718">
        <v>1.0000000281705499</v>
      </c>
    </row>
    <row r="6719" spans="1:40" x14ac:dyDescent="0.25">
      <c r="A6719" t="str">
        <f>"20190304154927946"</f>
        <v>20190304154927946</v>
      </c>
      <c r="B6719" t="str">
        <f>"1551685767933455"</f>
        <v>1551685767933455</v>
      </c>
      <c r="C6719" t="s">
        <v>40</v>
      </c>
      <c r="D6719">
        <v>4.0636510000000001</v>
      </c>
      <c r="E6719">
        <v>0.59678229999999999</v>
      </c>
      <c r="F6719" t="s">
        <v>45</v>
      </c>
      <c r="G6719">
        <v>-309.36610000000002</v>
      </c>
      <c r="H6719">
        <v>-0.05</v>
      </c>
      <c r="I6719">
        <v>12.15353</v>
      </c>
      <c r="J6719">
        <v>-324.41379999999998</v>
      </c>
      <c r="K6719">
        <v>1.1091819999999999</v>
      </c>
      <c r="L6719">
        <v>16.55292</v>
      </c>
      <c r="M6719">
        <v>0.99808180000000002</v>
      </c>
      <c r="N6719">
        <v>-1.295812E-2</v>
      </c>
      <c r="O6719">
        <v>-6.0538199999999903E-2</v>
      </c>
      <c r="P6719">
        <v>0.98382060000000005</v>
      </c>
      <c r="Q6719">
        <v>0.17644460000000001</v>
      </c>
      <c r="R6719">
        <v>-3.1057479999999998E-2</v>
      </c>
      <c r="S6719">
        <v>3.0649109999999999</v>
      </c>
      <c r="T6719">
        <v>-0.2341993</v>
      </c>
      <c r="U6719">
        <v>-0.89059449999999996</v>
      </c>
      <c r="V6719">
        <v>-2.7734160000000001E-2</v>
      </c>
      <c r="W6719">
        <v>0.18930269999999999</v>
      </c>
      <c r="X6719">
        <v>0.98152700000000004</v>
      </c>
      <c r="Y6719">
        <v>0.21980160000000001</v>
      </c>
      <c r="Z6719">
        <v>-5.9273349999999997E-3</v>
      </c>
      <c r="AA6719">
        <v>0.97552660000000002</v>
      </c>
      <c r="AB6719">
        <v>24</v>
      </c>
      <c r="AC6719">
        <v>15.047699999999899</v>
      </c>
      <c r="AD6719">
        <v>-1.1591819999999999</v>
      </c>
      <c r="AE6719">
        <v>-4.3993900000000004</v>
      </c>
      <c r="AF6719">
        <v>3.4613595306606402</v>
      </c>
      <c r="AG6719">
        <v>-1.1591819999999999</v>
      </c>
      <c r="AH6719">
        <v>15.2033341818835</v>
      </c>
      <c r="AI6719">
        <v>94.251709728924297</v>
      </c>
      <c r="AJ6719">
        <v>77.174032828067098</v>
      </c>
      <c r="AK6719">
        <v>15.6354111860113</v>
      </c>
      <c r="AL6719">
        <v>79.087906337122206</v>
      </c>
      <c r="AM6719">
        <v>91.618526657631904</v>
      </c>
      <c r="AN6719">
        <v>0.99999997379359695</v>
      </c>
    </row>
    <row r="6720" spans="1:40" x14ac:dyDescent="0.25">
      <c r="A6720" t="str">
        <f>"20190304154927957"</f>
        <v>20190304154927957</v>
      </c>
      <c r="B6720" t="str">
        <f>"1551685767953951"</f>
        <v>1551685767953951</v>
      </c>
      <c r="C6720" t="s">
        <v>40</v>
      </c>
      <c r="D6720">
        <v>4.0660759999999998</v>
      </c>
      <c r="E6720">
        <v>0.59832839999999998</v>
      </c>
      <c r="F6720" t="s">
        <v>45</v>
      </c>
      <c r="G6720">
        <v>-309.6814</v>
      </c>
      <c r="H6720">
        <v>-0.05</v>
      </c>
      <c r="I6720">
        <v>12.229609999999999</v>
      </c>
      <c r="J6720">
        <v>-324.29180000000002</v>
      </c>
      <c r="K6720">
        <v>1.1091519999999999</v>
      </c>
      <c r="L6720">
        <v>16.54401</v>
      </c>
      <c r="M6720">
        <v>0.99799649999999995</v>
      </c>
      <c r="N6720">
        <v>-1.292023E-2</v>
      </c>
      <c r="O6720">
        <v>-6.1938920000000001E-2</v>
      </c>
      <c r="P6720">
        <v>0.98383540000000003</v>
      </c>
      <c r="Q6720">
        <v>0.17605370000000001</v>
      </c>
      <c r="R6720">
        <v>-3.2762489999999998E-2</v>
      </c>
      <c r="S6720">
        <v>3.0641780000000001</v>
      </c>
      <c r="T6720">
        <v>-0.24109720000000001</v>
      </c>
      <c r="U6720">
        <v>-0.89920040000000001</v>
      </c>
      <c r="V6720">
        <v>-2.7405550000000001E-2</v>
      </c>
      <c r="W6720">
        <v>0.18887570000000001</v>
      </c>
      <c r="X6720">
        <v>0.98161849999999995</v>
      </c>
      <c r="Y6720">
        <v>0.22098889999999999</v>
      </c>
      <c r="Z6720">
        <v>-5.9935639999999998E-3</v>
      </c>
      <c r="AA6720">
        <v>0.97525790000000001</v>
      </c>
      <c r="AB6720">
        <v>24</v>
      </c>
      <c r="AC6720">
        <v>14.6104</v>
      </c>
      <c r="AD6720">
        <v>-1.159152</v>
      </c>
      <c r="AE6720">
        <v>-4.3143999999999902</v>
      </c>
      <c r="AF6720">
        <v>3.3815094288958201</v>
      </c>
      <c r="AG6720">
        <v>-1.159152</v>
      </c>
      <c r="AH6720">
        <v>14.7641159962202</v>
      </c>
      <c r="AI6720">
        <v>94.376305227976005</v>
      </c>
      <c r="AJ6720">
        <v>77.099721737049904</v>
      </c>
      <c r="AK6720">
        <v>15.190699803717401</v>
      </c>
      <c r="AL6720">
        <v>79.112821244535098</v>
      </c>
      <c r="AM6720">
        <v>91.599210454852695</v>
      </c>
      <c r="AN6720">
        <v>0.99999998688177105</v>
      </c>
    </row>
    <row r="6721" spans="1:40" x14ac:dyDescent="0.25">
      <c r="A6721" t="str">
        <f>"20190304154927969"</f>
        <v>20190304154927969</v>
      </c>
      <c r="B6721" t="str">
        <f>"1551685767963711"</f>
        <v>1551685767963711</v>
      </c>
      <c r="C6721" t="s">
        <v>40</v>
      </c>
      <c r="D6721">
        <v>4.0590219999999997</v>
      </c>
      <c r="E6721">
        <v>0.59833000000000003</v>
      </c>
      <c r="F6721" t="s">
        <v>45</v>
      </c>
      <c r="G6721">
        <v>-311.22000000000003</v>
      </c>
      <c r="H6721">
        <v>-0.05</v>
      </c>
      <c r="I6721">
        <v>12.631259999999999</v>
      </c>
      <c r="J6721">
        <v>-324.16829999999999</v>
      </c>
      <c r="K6721">
        <v>1.109127</v>
      </c>
      <c r="L6721">
        <v>16.534849999999999</v>
      </c>
      <c r="M6721">
        <v>0.99790679999999998</v>
      </c>
      <c r="N6721">
        <v>-1.2881E-2</v>
      </c>
      <c r="O6721">
        <v>-6.3373280000000004E-2</v>
      </c>
      <c r="P6721">
        <v>0.98388509999999996</v>
      </c>
      <c r="Q6721">
        <v>0.17548440000000001</v>
      </c>
      <c r="R6721">
        <v>-3.4283880000000003E-2</v>
      </c>
      <c r="S6721">
        <v>3.067383</v>
      </c>
      <c r="T6721">
        <v>-0.27200200000000002</v>
      </c>
      <c r="U6721">
        <v>-0.91815190000000002</v>
      </c>
      <c r="V6721">
        <v>-2.7295509999999999E-2</v>
      </c>
      <c r="W6721">
        <v>0.18827060000000001</v>
      </c>
      <c r="X6721">
        <v>0.98173779999999999</v>
      </c>
      <c r="Y6721">
        <v>0.22469720000000001</v>
      </c>
      <c r="Z6721">
        <v>-6.5385909999999998E-3</v>
      </c>
      <c r="AA6721">
        <v>0.97440669999999996</v>
      </c>
      <c r="AB6721">
        <v>24</v>
      </c>
      <c r="AC6721">
        <v>12.9482999999999</v>
      </c>
      <c r="AD6721">
        <v>-1.159127</v>
      </c>
      <c r="AE6721">
        <v>-3.9035899999999901</v>
      </c>
      <c r="AF6721">
        <v>3.0526725411034201</v>
      </c>
      <c r="AG6721">
        <v>-1.159127</v>
      </c>
      <c r="AH6721">
        <v>13.073631861599599</v>
      </c>
      <c r="AI6721">
        <v>94.934623374391094</v>
      </c>
      <c r="AJ6721">
        <v>76.857006983928002</v>
      </c>
      <c r="AK6721">
        <v>13.4752452704197</v>
      </c>
      <c r="AL6721">
        <v>79.148124276876501</v>
      </c>
      <c r="AM6721">
        <v>91.592599092138997</v>
      </c>
      <c r="AN6721">
        <v>0.99999998581967997</v>
      </c>
    </row>
    <row r="6722" spans="1:40" x14ac:dyDescent="0.25">
      <c r="A6722" t="str">
        <f>"20190304154927981"</f>
        <v>20190304154927981</v>
      </c>
      <c r="B6722" t="str">
        <f>"1551685767973470"</f>
        <v>1551685767973470</v>
      </c>
      <c r="C6722" t="s">
        <v>40</v>
      </c>
      <c r="D6722">
        <v>4.1140689999999998</v>
      </c>
      <c r="E6722">
        <v>0.5991533</v>
      </c>
      <c r="F6722" t="s">
        <v>45</v>
      </c>
      <c r="G6722">
        <v>-311.56939999999997</v>
      </c>
      <c r="H6722">
        <v>-0.05</v>
      </c>
      <c r="I6722">
        <v>12.740309999999999</v>
      </c>
      <c r="J6722">
        <v>-324.04169999999999</v>
      </c>
      <c r="K6722">
        <v>1.1090899999999999</v>
      </c>
      <c r="L6722">
        <v>16.52515</v>
      </c>
      <c r="M6722">
        <v>0.99781089999999995</v>
      </c>
      <c r="N6722">
        <v>-1.283918E-2</v>
      </c>
      <c r="O6722">
        <v>-6.48759E-2</v>
      </c>
      <c r="P6722">
        <v>0.98396399999999995</v>
      </c>
      <c r="Q6722">
        <v>0.17473520000000001</v>
      </c>
      <c r="R6722">
        <v>-3.5816090000000002E-2</v>
      </c>
      <c r="S6722">
        <v>3.0672609999999998</v>
      </c>
      <c r="T6722">
        <v>-0.28219470000000002</v>
      </c>
      <c r="U6722">
        <v>-0.9237976</v>
      </c>
      <c r="V6722">
        <v>-2.7243509999999999E-2</v>
      </c>
      <c r="W6722">
        <v>0.18748380000000001</v>
      </c>
      <c r="X6722">
        <v>0.98188980000000003</v>
      </c>
      <c r="Y6722">
        <v>0.2248395</v>
      </c>
      <c r="Z6722">
        <v>-6.5816449999999997E-3</v>
      </c>
      <c r="AA6722">
        <v>0.97437359999999995</v>
      </c>
      <c r="AB6722">
        <v>24</v>
      </c>
      <c r="AC6722">
        <v>12.472300000000001</v>
      </c>
      <c r="AD6722">
        <v>-1.15909</v>
      </c>
      <c r="AE6722">
        <v>-3.7848399999999902</v>
      </c>
      <c r="AF6722">
        <v>2.9443621278827199</v>
      </c>
      <c r="AG6722">
        <v>-1.15909</v>
      </c>
      <c r="AH6722">
        <v>12.5920044040897</v>
      </c>
      <c r="AI6722">
        <v>95.121845829745894</v>
      </c>
      <c r="AJ6722">
        <v>76.839106382723799</v>
      </c>
      <c r="AK6722">
        <v>12.983502334918199</v>
      </c>
      <c r="AL6722">
        <v>79.194021874466898</v>
      </c>
      <c r="AM6722">
        <v>91.5893206848272</v>
      </c>
      <c r="AN6722">
        <v>0.99999998172179905</v>
      </c>
    </row>
    <row r="6723" spans="1:40" x14ac:dyDescent="0.25">
      <c r="A6723" t="str">
        <f>"20190304154927992"</f>
        <v>20190304154927992</v>
      </c>
      <c r="B6723" t="str">
        <f>"1551685767984206"</f>
        <v>1551685767984206</v>
      </c>
      <c r="C6723" t="s">
        <v>40</v>
      </c>
      <c r="D6723">
        <v>4.1043589999999996</v>
      </c>
      <c r="E6723">
        <v>0.59776909999999905</v>
      </c>
      <c r="F6723" t="s">
        <v>45</v>
      </c>
      <c r="G6723">
        <v>-311.77730000000003</v>
      </c>
      <c r="H6723">
        <v>-0.05</v>
      </c>
      <c r="I6723">
        <v>12.78171</v>
      </c>
      <c r="J6723">
        <v>-323.9153</v>
      </c>
      <c r="K6723">
        <v>1.1090530000000001</v>
      </c>
      <c r="L6723">
        <v>16.51538</v>
      </c>
      <c r="M6723">
        <v>0.99771189999999998</v>
      </c>
      <c r="N6723">
        <v>-1.2796780000000001E-2</v>
      </c>
      <c r="O6723">
        <v>-6.6389030000000002E-2</v>
      </c>
      <c r="P6723">
        <v>0.98401780000000005</v>
      </c>
      <c r="Q6723">
        <v>0.17413319999999999</v>
      </c>
      <c r="R6723">
        <v>-3.7243900000000003E-2</v>
      </c>
      <c r="S6723">
        <v>3.066284</v>
      </c>
      <c r="T6723">
        <v>-0.28978860000000001</v>
      </c>
      <c r="U6723">
        <v>-0.93591310000000005</v>
      </c>
      <c r="V6723">
        <v>-2.7304490000000001E-2</v>
      </c>
      <c r="W6723">
        <v>0.18684400000000001</v>
      </c>
      <c r="X6723">
        <v>0.9820101</v>
      </c>
      <c r="Y6723">
        <v>0.2269302</v>
      </c>
      <c r="Z6723">
        <v>-6.6789869999999999E-3</v>
      </c>
      <c r="AA6723">
        <v>0.97388819999999998</v>
      </c>
      <c r="AB6723">
        <v>24</v>
      </c>
      <c r="AC6723">
        <v>12.1379999999999</v>
      </c>
      <c r="AD6723">
        <v>-1.1590530000000001</v>
      </c>
      <c r="AE6723">
        <v>-3.7336699999999898</v>
      </c>
      <c r="AF6723">
        <v>2.8954165046113198</v>
      </c>
      <c r="AG6723">
        <v>-1.1590530000000001</v>
      </c>
      <c r="AH6723">
        <v>12.2570100020548</v>
      </c>
      <c r="AI6723">
        <v>95.258095388433702</v>
      </c>
      <c r="AJ6723">
        <v>76.708933776189895</v>
      </c>
      <c r="AK6723">
        <v>12.647574264753599</v>
      </c>
      <c r="AL6723">
        <v>79.2313396431542</v>
      </c>
      <c r="AM6723">
        <v>91.592681247381407</v>
      </c>
      <c r="AN6723">
        <v>1.00000002600608</v>
      </c>
    </row>
    <row r="6724" spans="1:40" x14ac:dyDescent="0.25">
      <c r="A6724" t="str">
        <f>"20190304154928007"</f>
        <v>20190304154928007</v>
      </c>
      <c r="B6724" t="str">
        <f>"1551685768003727"</f>
        <v>1551685768003727</v>
      </c>
      <c r="C6724" t="s">
        <v>40</v>
      </c>
      <c r="D6724">
        <v>4.1057600000000001</v>
      </c>
      <c r="E6724">
        <v>0.59621210000000002</v>
      </c>
      <c r="F6724" t="s">
        <v>45</v>
      </c>
      <c r="G6724">
        <v>-312.08390000000003</v>
      </c>
      <c r="H6724">
        <v>-0.05</v>
      </c>
      <c r="I6724">
        <v>12.925280000000001</v>
      </c>
      <c r="J6724">
        <v>-323.75569999999999</v>
      </c>
      <c r="K6724">
        <v>1.109</v>
      </c>
      <c r="L6724">
        <v>16.502589999999898</v>
      </c>
      <c r="M6724">
        <v>0.99757989999999996</v>
      </c>
      <c r="N6724">
        <v>-1.274131E-2</v>
      </c>
      <c r="O6724">
        <v>-6.8351480000000006E-2</v>
      </c>
      <c r="P6724">
        <v>0.98414979999999996</v>
      </c>
      <c r="Q6724">
        <v>0.17290510000000001</v>
      </c>
      <c r="R6724">
        <v>-3.9407949999999997E-2</v>
      </c>
      <c r="S6724">
        <v>3.066681</v>
      </c>
      <c r="T6724">
        <v>-0.30042340000000001</v>
      </c>
      <c r="U6724">
        <v>-0.93054199999999998</v>
      </c>
      <c r="V6724">
        <v>-2.707702E-2</v>
      </c>
      <c r="W6724">
        <v>0.18556639999999999</v>
      </c>
      <c r="X6724">
        <v>0.98225859999999998</v>
      </c>
      <c r="Y6724">
        <v>0.22338559999999999</v>
      </c>
      <c r="Z6724">
        <v>-6.4743169999999899E-3</v>
      </c>
      <c r="AA6724">
        <v>0.97470869999999998</v>
      </c>
      <c r="AB6724">
        <v>24</v>
      </c>
      <c r="AC6724">
        <v>11.6717999999999</v>
      </c>
      <c r="AD6724">
        <v>-1.159</v>
      </c>
      <c r="AE6724">
        <v>-3.57730999999999</v>
      </c>
      <c r="AF6724">
        <v>2.74633836892363</v>
      </c>
      <c r="AG6724">
        <v>-1.159</v>
      </c>
      <c r="AH6724">
        <v>11.782827224508701</v>
      </c>
      <c r="AI6724">
        <v>95.471996824256195</v>
      </c>
      <c r="AJ6724">
        <v>76.879757781006006</v>
      </c>
      <c r="AK6724">
        <v>12.1540393630778</v>
      </c>
      <c r="AL6724">
        <v>79.305843524857096</v>
      </c>
      <c r="AM6724">
        <v>91.579020212482902</v>
      </c>
      <c r="AN6724">
        <v>1.0000000055475</v>
      </c>
    </row>
    <row r="6725" spans="1:40" x14ac:dyDescent="0.25">
      <c r="A6725" t="str">
        <f>"20190304154928019"</f>
        <v>20190304154928019</v>
      </c>
      <c r="B6725" t="str">
        <f>"1551685768013487"</f>
        <v>1551685768013487</v>
      </c>
      <c r="C6725" t="s">
        <v>40</v>
      </c>
      <c r="D6725">
        <v>4.1536299999999997</v>
      </c>
      <c r="E6725">
        <v>0.59528610000000004</v>
      </c>
      <c r="F6725" t="s">
        <v>45</v>
      </c>
      <c r="G6725">
        <v>-312.58339999999998</v>
      </c>
      <c r="H6725">
        <v>-0.05</v>
      </c>
      <c r="I6725">
        <v>13.126340000000001</v>
      </c>
      <c r="J6725">
        <v>-323.6302</v>
      </c>
      <c r="K6725">
        <v>1.1089580000000001</v>
      </c>
      <c r="L6725">
        <v>16.492279999999901</v>
      </c>
      <c r="M6725">
        <v>0.99747140000000001</v>
      </c>
      <c r="N6725">
        <v>-1.269664E-2</v>
      </c>
      <c r="O6725">
        <v>-6.9925840000000003E-2</v>
      </c>
      <c r="P6725">
        <v>0.9842147</v>
      </c>
      <c r="Q6725">
        <v>0.17219200000000001</v>
      </c>
      <c r="R6725">
        <v>-4.0881529999999999E-2</v>
      </c>
      <c r="S6725">
        <v>3.0671390000000001</v>
      </c>
      <c r="T6725">
        <v>-0.31817899999999999</v>
      </c>
      <c r="U6725">
        <v>-0.92687989999999998</v>
      </c>
      <c r="V6725">
        <v>-2.715354E-2</v>
      </c>
      <c r="W6725">
        <v>0.1848138</v>
      </c>
      <c r="X6725">
        <v>0.9823984</v>
      </c>
      <c r="Y6725">
        <v>0.2206671</v>
      </c>
      <c r="Z6725">
        <v>-6.4173320000000004E-3</v>
      </c>
      <c r="AA6725">
        <v>0.97532810000000003</v>
      </c>
      <c r="AB6725">
        <v>24</v>
      </c>
      <c r="AC6725">
        <v>11.046799999999999</v>
      </c>
      <c r="AD6725">
        <v>-1.1589579999999999</v>
      </c>
      <c r="AE6725">
        <v>-3.3659399999999899</v>
      </c>
      <c r="AF6725">
        <v>2.5594027723316302</v>
      </c>
      <c r="AG6725">
        <v>-1.1589579999999999</v>
      </c>
      <c r="AH6725">
        <v>11.1429115999704</v>
      </c>
      <c r="AI6725">
        <v>95.788241042885403</v>
      </c>
      <c r="AJ6725">
        <v>77.064167441331705</v>
      </c>
      <c r="AK6725">
        <v>11.491658066682</v>
      </c>
      <c r="AL6725">
        <v>79.349723657578096</v>
      </c>
      <c r="AM6725">
        <v>91.583255052710101</v>
      </c>
      <c r="AN6725">
        <v>1.00000003586376</v>
      </c>
    </row>
    <row r="6726" spans="1:40" x14ac:dyDescent="0.25">
      <c r="A6726" t="str">
        <f>"20190304154928030"</f>
        <v>20190304154928030</v>
      </c>
      <c r="B6726" t="str">
        <f>"1551685768024223"</f>
        <v>1551685768024223</v>
      </c>
      <c r="C6726" t="s">
        <v>40</v>
      </c>
      <c r="D6726">
        <v>4.2024169999999996</v>
      </c>
      <c r="E6726">
        <v>0.5946167</v>
      </c>
      <c r="F6726" t="s">
        <v>45</v>
      </c>
      <c r="G6726">
        <v>-312.72809999999998</v>
      </c>
      <c r="H6726">
        <v>-0.05</v>
      </c>
      <c r="I6726">
        <v>13.20477</v>
      </c>
      <c r="J6726">
        <v>-323.50839999999999</v>
      </c>
      <c r="K6726">
        <v>1.10891299999999</v>
      </c>
      <c r="L6726">
        <v>16.48218</v>
      </c>
      <c r="M6726">
        <v>0.99736270000000005</v>
      </c>
      <c r="N6726">
        <v>-1.2652709999999999E-2</v>
      </c>
      <c r="O6726">
        <v>-7.1468489999999996E-2</v>
      </c>
      <c r="P6726">
        <v>0.98421769999999997</v>
      </c>
      <c r="Q6726">
        <v>0.17177020000000001</v>
      </c>
      <c r="R6726">
        <v>-4.2552329999999999E-2</v>
      </c>
      <c r="S6726">
        <v>3.0667420000000001</v>
      </c>
      <c r="T6726">
        <v>-0.3260131</v>
      </c>
      <c r="U6726">
        <v>-0.92477419999999999</v>
      </c>
      <c r="V6726">
        <v>-2.6996659999999999E-2</v>
      </c>
      <c r="W6726">
        <v>0.18435080000000001</v>
      </c>
      <c r="X6726">
        <v>0.98248970000000002</v>
      </c>
      <c r="Y6726">
        <v>0.21855620000000001</v>
      </c>
      <c r="Z6726">
        <v>-6.2481610000000003E-3</v>
      </c>
      <c r="AA6726">
        <v>0.97580440000000002</v>
      </c>
      <c r="AB6726">
        <v>24</v>
      </c>
      <c r="AC6726">
        <v>10.7803</v>
      </c>
      <c r="AD6726">
        <v>-1.1589130000000001</v>
      </c>
      <c r="AE6726">
        <v>-3.2774099999999899</v>
      </c>
      <c r="AF6726">
        <v>2.4723592277455899</v>
      </c>
      <c r="AG6726">
        <v>-1.1589130000000001</v>
      </c>
      <c r="AH6726">
        <v>10.8719638406155</v>
      </c>
      <c r="AI6726">
        <v>95.934168678344705</v>
      </c>
      <c r="AJ6726">
        <v>77.188426030617094</v>
      </c>
      <c r="AK6726">
        <v>11.2096046872421</v>
      </c>
      <c r="AL6726">
        <v>79.376715271246496</v>
      </c>
      <c r="AM6726">
        <v>91.573966183272006</v>
      </c>
      <c r="AN6726">
        <v>1.0000000238589399</v>
      </c>
    </row>
    <row r="6727" spans="1:40" x14ac:dyDescent="0.25">
      <c r="A6727" t="str">
        <f>"20190304154928041"</f>
        <v>20190304154928041</v>
      </c>
      <c r="B6727" t="str">
        <f>"1551685768033983"</f>
        <v>1551685768033983</v>
      </c>
      <c r="C6727" t="s">
        <v>40</v>
      </c>
      <c r="D6727">
        <v>4.1996560000000001</v>
      </c>
      <c r="E6727">
        <v>0.59401979999999999</v>
      </c>
      <c r="F6727" t="s">
        <v>45</v>
      </c>
      <c r="G6727">
        <v>-312.82229999999998</v>
      </c>
      <c r="H6727">
        <v>-0.05</v>
      </c>
      <c r="I6727">
        <v>13.257709999999999</v>
      </c>
      <c r="J6727">
        <v>-323.38799999999998</v>
      </c>
      <c r="K6727">
        <v>1.108867</v>
      </c>
      <c r="L6727">
        <v>16.471800000000002</v>
      </c>
      <c r="M6727">
        <v>0.99724979999999996</v>
      </c>
      <c r="N6727">
        <v>-1.260814E-2</v>
      </c>
      <c r="O6727">
        <v>-7.3034160000000001E-2</v>
      </c>
      <c r="P6727">
        <v>0.98419429999999997</v>
      </c>
      <c r="Q6727">
        <v>0.171481299999999</v>
      </c>
      <c r="R6727">
        <v>-4.4225819999999999E-2</v>
      </c>
      <c r="S6727">
        <v>3.0661619999999998</v>
      </c>
      <c r="T6727">
        <v>-0.33252739999999997</v>
      </c>
      <c r="U6727">
        <v>-0.92520139999999995</v>
      </c>
      <c r="V6727">
        <v>-2.685827E-2</v>
      </c>
      <c r="W6727">
        <v>0.18402080000000001</v>
      </c>
      <c r="X6727">
        <v>0.98255530000000002</v>
      </c>
      <c r="Y6727">
        <v>0.2171804</v>
      </c>
      <c r="Z6727">
        <v>-6.0924960000000002E-3</v>
      </c>
      <c r="AA6727">
        <v>0.97611250000000005</v>
      </c>
      <c r="AB6727">
        <v>24</v>
      </c>
      <c r="AC6727">
        <v>10.5656999999999</v>
      </c>
      <c r="AD6727">
        <v>-1.1588670000000001</v>
      </c>
      <c r="AE6727">
        <v>-3.2140900000000001</v>
      </c>
      <c r="AF6727">
        <v>2.4072798848739199</v>
      </c>
      <c r="AG6727">
        <v>-1.1588670000000001</v>
      </c>
      <c r="AH6727">
        <v>10.654912943073301</v>
      </c>
      <c r="AI6727">
        <v>96.055837677546506</v>
      </c>
      <c r="AJ6727">
        <v>77.268830310369594</v>
      </c>
      <c r="AK6727">
        <v>10.984768499712599</v>
      </c>
      <c r="AL6727">
        <v>79.395951407817606</v>
      </c>
      <c r="AM6727">
        <v>91.565797266649199</v>
      </c>
      <c r="AN6727">
        <v>0.99999996952906101</v>
      </c>
    </row>
    <row r="6728" spans="1:40" x14ac:dyDescent="0.25">
      <c r="A6728" t="str">
        <f>"20190304154928054"</f>
        <v>20190304154928054</v>
      </c>
      <c r="B6728" t="str">
        <f>"1551685768043744"</f>
        <v>1551685768043744</v>
      </c>
      <c r="C6728" t="s">
        <v>40</v>
      </c>
      <c r="D6728">
        <v>4.1958219999999997</v>
      </c>
      <c r="E6728">
        <v>0.59371669999999999</v>
      </c>
      <c r="F6728" t="s">
        <v>45</v>
      </c>
      <c r="G6728">
        <v>-312.86340000000001</v>
      </c>
      <c r="H6728">
        <v>-0.05</v>
      </c>
      <c r="I6728">
        <v>13.29129</v>
      </c>
      <c r="J6728">
        <v>-323.25389999999999</v>
      </c>
      <c r="K6728">
        <v>1.108819</v>
      </c>
      <c r="L6728">
        <v>16.460170000000002</v>
      </c>
      <c r="M6728">
        <v>0.99712000000000001</v>
      </c>
      <c r="N6728">
        <v>-1.255788E-2</v>
      </c>
      <c r="O6728">
        <v>-7.4794310000000003E-2</v>
      </c>
      <c r="P6728">
        <v>0.98421219999999998</v>
      </c>
      <c r="Q6728">
        <v>0.17090749999999999</v>
      </c>
      <c r="R6728">
        <v>-4.601007E-2</v>
      </c>
      <c r="S6728">
        <v>3.0653990000000002</v>
      </c>
      <c r="T6728">
        <v>-0.33753369999999999</v>
      </c>
      <c r="U6728">
        <v>-0.92636110000000005</v>
      </c>
      <c r="V6728">
        <v>-2.6803799999999999E-2</v>
      </c>
      <c r="W6728">
        <v>0.18340119999999999</v>
      </c>
      <c r="X6728">
        <v>0.98267269999999896</v>
      </c>
      <c r="Y6728">
        <v>0.21585280000000001</v>
      </c>
      <c r="Z6728">
        <v>-5.8950959999999998E-3</v>
      </c>
      <c r="AA6728">
        <v>0.9764081</v>
      </c>
      <c r="AB6728">
        <v>24</v>
      </c>
      <c r="AC6728">
        <v>10.3904999999999</v>
      </c>
      <c r="AD6728">
        <v>-1.158819</v>
      </c>
      <c r="AE6728">
        <v>-3.1688800000000001</v>
      </c>
      <c r="AF6728">
        <v>2.3559805076740998</v>
      </c>
      <c r="AG6728">
        <v>-1.158819</v>
      </c>
      <c r="AH6728">
        <v>10.4791737328399</v>
      </c>
      <c r="AI6728">
        <v>96.157819354214595</v>
      </c>
      <c r="AJ6728">
        <v>77.329159059826395</v>
      </c>
      <c r="AK6728">
        <v>10.803082326370699</v>
      </c>
      <c r="AL6728">
        <v>79.432067292294306</v>
      </c>
      <c r="AM6728">
        <v>91.562436728328706</v>
      </c>
      <c r="AN6728">
        <v>1.0000000395905799</v>
      </c>
    </row>
    <row r="6729" spans="1:40" x14ac:dyDescent="0.25">
      <c r="A6729" t="str">
        <f>"20190304154928066"</f>
        <v>20190304154928066</v>
      </c>
      <c r="B6729" t="str">
        <f>"1551685768053502"</f>
        <v>1551685768053502</v>
      </c>
      <c r="C6729" t="s">
        <v>40</v>
      </c>
      <c r="D6729">
        <v>4.193981</v>
      </c>
      <c r="E6729">
        <v>0.5935144</v>
      </c>
      <c r="F6729" t="s">
        <v>45</v>
      </c>
      <c r="G6729">
        <v>-312.88850000000002</v>
      </c>
      <c r="H6729">
        <v>-0.05</v>
      </c>
      <c r="I6729">
        <v>13.31371</v>
      </c>
      <c r="J6729">
        <v>-323.11660000000001</v>
      </c>
      <c r="K6729">
        <v>1.10877</v>
      </c>
      <c r="L6729">
        <v>16.447849999999999</v>
      </c>
      <c r="M6729">
        <v>0.99698010000000004</v>
      </c>
      <c r="N6729">
        <v>-1.250487E-2</v>
      </c>
      <c r="O6729">
        <v>-7.6644599999999993E-2</v>
      </c>
      <c r="P6729">
        <v>0.98421119999999995</v>
      </c>
      <c r="Q6729">
        <v>0.17041519999999999</v>
      </c>
      <c r="R6729">
        <v>-4.782223E-2</v>
      </c>
      <c r="S6729">
        <v>3.0640869999999998</v>
      </c>
      <c r="T6729">
        <v>-0.34255409999999997</v>
      </c>
      <c r="U6729">
        <v>-0.93011469999999896</v>
      </c>
      <c r="V6729">
        <v>-2.6809360000000001E-2</v>
      </c>
      <c r="W6729">
        <v>0.18286069999999999</v>
      </c>
      <c r="X6729">
        <v>0.98277320000000001</v>
      </c>
      <c r="Y6729">
        <v>0.21523870000000001</v>
      </c>
      <c r="Z6729">
        <v>-5.7246500000000004E-3</v>
      </c>
      <c r="AA6729">
        <v>0.97654470000000004</v>
      </c>
      <c r="AB6729">
        <v>24</v>
      </c>
      <c r="AC6729">
        <v>10.2280999999999</v>
      </c>
      <c r="AD6729">
        <v>-1.1587700000000001</v>
      </c>
      <c r="AE6729">
        <v>-3.1341399999999902</v>
      </c>
      <c r="AF6729">
        <v>2.31378070502817</v>
      </c>
      <c r="AG6729">
        <v>-1.1587700000000001</v>
      </c>
      <c r="AH6729">
        <v>10.317185804075001</v>
      </c>
      <c r="AI6729">
        <v>96.254222544793194</v>
      </c>
      <c r="AJ6729">
        <v>77.359721698884201</v>
      </c>
      <c r="AK6729">
        <v>10.6367594679802</v>
      </c>
      <c r="AL6729">
        <v>79.463567648723199</v>
      </c>
      <c r="AM6729">
        <v>91.562600937759598</v>
      </c>
      <c r="AN6729">
        <v>0.99999997001316898</v>
      </c>
    </row>
    <row r="6730" spans="1:40" x14ac:dyDescent="0.25">
      <c r="A6730" t="str">
        <f>"20190304154928079"</f>
        <v>20190304154928079</v>
      </c>
      <c r="B6730" t="str">
        <f>"1551685768073999"</f>
        <v>1551685768073999</v>
      </c>
      <c r="C6730" t="s">
        <v>40</v>
      </c>
      <c r="D6730">
        <v>4.2849899999999996</v>
      </c>
      <c r="E6730">
        <v>0.59419290000000002</v>
      </c>
      <c r="F6730" t="s">
        <v>41</v>
      </c>
      <c r="G6730">
        <v>-322.34809999999999</v>
      </c>
      <c r="H6730">
        <v>1.0216379999999901</v>
      </c>
      <c r="I6730">
        <v>16.213349999999998</v>
      </c>
      <c r="J6730">
        <v>-322.9796</v>
      </c>
      <c r="K6730">
        <v>1.1087209999999901</v>
      </c>
      <c r="L6730">
        <v>16.435300000000002</v>
      </c>
      <c r="M6730">
        <v>0.99683480000000002</v>
      </c>
      <c r="N6730">
        <v>-1.245288E-2</v>
      </c>
      <c r="O6730">
        <v>-7.8521590000000002E-2</v>
      </c>
      <c r="P6730">
        <v>0.98421670000000006</v>
      </c>
      <c r="Q6730">
        <v>0.16991870000000001</v>
      </c>
      <c r="R6730">
        <v>-4.9449090000000001E-2</v>
      </c>
      <c r="S6730">
        <v>3.062805</v>
      </c>
      <c r="T6730">
        <v>-0.34722570000000003</v>
      </c>
      <c r="U6730">
        <v>-0.93460080000000001</v>
      </c>
      <c r="V6730">
        <v>-2.7027220000000001E-2</v>
      </c>
      <c r="W6730">
        <v>0.18231829999999999</v>
      </c>
      <c r="X6730">
        <v>0.98286799999999996</v>
      </c>
      <c r="Y6730">
        <v>0.21481049999999999</v>
      </c>
      <c r="Z6730">
        <v>-5.5529209999999997E-3</v>
      </c>
      <c r="AA6730">
        <v>0.97663999999999995</v>
      </c>
      <c r="AB6730">
        <v>24</v>
      </c>
      <c r="AC6730">
        <v>0.63150000000001605</v>
      </c>
      <c r="AD6730">
        <v>-8.7082999999999994E-2</v>
      </c>
      <c r="AE6730">
        <v>-0.22195000000000301</v>
      </c>
      <c r="AF6730">
        <v>0.16881710288353999</v>
      </c>
      <c r="AG6730">
        <v>-8.7082999999999994E-2</v>
      </c>
      <c r="AH6730">
        <v>0.63621104007021101</v>
      </c>
      <c r="AI6730">
        <v>97.536419174093595</v>
      </c>
      <c r="AJ6730">
        <v>75.139162811332596</v>
      </c>
      <c r="AK6730">
        <v>0.66396321481104004</v>
      </c>
      <c r="AL6730">
        <v>79.495176237790503</v>
      </c>
      <c r="AM6730">
        <v>91.575140812471304</v>
      </c>
      <c r="AN6730">
        <v>0.99999996927990797</v>
      </c>
    </row>
    <row r="6731" spans="1:40" x14ac:dyDescent="0.25">
      <c r="A6731" t="str">
        <f>"20190304154928093"</f>
        <v>20190304154928093</v>
      </c>
      <c r="B6731" t="str">
        <f>"1551685768083759"</f>
        <v>1551685768083759</v>
      </c>
      <c r="C6731" t="s">
        <v>40</v>
      </c>
      <c r="D6731">
        <v>4.101871</v>
      </c>
      <c r="E6731">
        <v>0.63037869999999996</v>
      </c>
      <c r="F6731" t="s">
        <v>45</v>
      </c>
      <c r="G6731">
        <v>-312.80540000000002</v>
      </c>
      <c r="H6731">
        <v>-0.05</v>
      </c>
      <c r="I6731">
        <v>13.291790000000001</v>
      </c>
      <c r="J6731">
        <v>-322.82560000000001</v>
      </c>
      <c r="K6731">
        <v>1.1086659999999999</v>
      </c>
      <c r="L6731">
        <v>16.4209</v>
      </c>
      <c r="M6731">
        <v>0.99666449999999995</v>
      </c>
      <c r="N6731">
        <v>-1.239518E-2</v>
      </c>
      <c r="O6731">
        <v>-8.0662300000000006E-2</v>
      </c>
      <c r="P6731">
        <v>0.98421389999999997</v>
      </c>
      <c r="Q6731">
        <v>0.1693183</v>
      </c>
      <c r="R6731">
        <v>-5.1520820000000002E-2</v>
      </c>
      <c r="S6731">
        <v>3.060791</v>
      </c>
      <c r="T6731">
        <v>-0.34858499999999998</v>
      </c>
      <c r="U6731">
        <v>-0.94567869999999998</v>
      </c>
      <c r="V6731">
        <v>-2.7061020000000002E-2</v>
      </c>
      <c r="W6731">
        <v>0.18166560000000001</v>
      </c>
      <c r="X6731">
        <v>0.98298790000000003</v>
      </c>
      <c r="Y6731">
        <v>0.21611810000000001</v>
      </c>
      <c r="Z6731">
        <v>-5.4269710000000001E-3</v>
      </c>
      <c r="AA6731">
        <v>0.9763522</v>
      </c>
      <c r="AB6731">
        <v>24</v>
      </c>
      <c r="AC6731">
        <v>10.0201999999999</v>
      </c>
      <c r="AD6731">
        <v>-1.158666</v>
      </c>
      <c r="AE6731">
        <v>-3.1291099999999998</v>
      </c>
      <c r="AF6731">
        <v>2.2827867530556198</v>
      </c>
      <c r="AG6731">
        <v>-1.158666</v>
      </c>
      <c r="AH6731">
        <v>10.116713408854899</v>
      </c>
      <c r="AI6731">
        <v>96.374708212305507</v>
      </c>
      <c r="AJ6731">
        <v>77.284441177900206</v>
      </c>
      <c r="AK6731">
        <v>10.4355887450774</v>
      </c>
      <c r="AL6731">
        <v>79.533208129150594</v>
      </c>
      <c r="AM6731">
        <v>91.576917404381206</v>
      </c>
      <c r="AN6731">
        <v>0.99999995028660404</v>
      </c>
    </row>
    <row r="6732" spans="1:40" x14ac:dyDescent="0.25">
      <c r="A6732" t="str">
        <f>"20190304154928109"</f>
        <v>20190304154928109</v>
      </c>
      <c r="B6732" t="str">
        <f>"1551685768104256"</f>
        <v>1551685768104256</v>
      </c>
      <c r="C6732" t="s">
        <v>40</v>
      </c>
      <c r="D6732">
        <v>4.1621360000000003</v>
      </c>
      <c r="E6732">
        <v>0.61795940000000005</v>
      </c>
      <c r="F6732" t="s">
        <v>45</v>
      </c>
      <c r="G6732">
        <v>-311.14400000000001</v>
      </c>
      <c r="H6732">
        <v>-0.05</v>
      </c>
      <c r="I6732">
        <v>11.654590000000001</v>
      </c>
      <c r="J6732">
        <v>-322.65679999999998</v>
      </c>
      <c r="K6732">
        <v>1.108611</v>
      </c>
      <c r="L6732">
        <v>16.404629999999901</v>
      </c>
      <c r="M6732">
        <v>0.99646780000000001</v>
      </c>
      <c r="N6732">
        <v>-1.2333149999999999E-2</v>
      </c>
      <c r="O6732">
        <v>-8.306376E-2</v>
      </c>
      <c r="P6732">
        <v>0.98434600000000005</v>
      </c>
      <c r="Q6732">
        <v>0.16788139999999999</v>
      </c>
      <c r="R6732">
        <v>-5.3653560000000003E-2</v>
      </c>
      <c r="S6732">
        <v>3.035126</v>
      </c>
      <c r="T6732">
        <v>-0.30104829999999999</v>
      </c>
      <c r="U6732">
        <v>-1.2384029999999999</v>
      </c>
      <c r="V6732">
        <v>-2.73072E-2</v>
      </c>
      <c r="W6732">
        <v>0.18017520000000001</v>
      </c>
      <c r="X6732">
        <v>0.9832554</v>
      </c>
      <c r="Y6732">
        <v>0.29840929999999999</v>
      </c>
      <c r="Z6732">
        <v>-9.2367899999999999E-3</v>
      </c>
      <c r="AA6732">
        <v>0.9543933</v>
      </c>
      <c r="AB6732">
        <v>24</v>
      </c>
      <c r="AC6732">
        <v>11.512799999999899</v>
      </c>
      <c r="AD6732">
        <v>-1.1586110000000001</v>
      </c>
      <c r="AE6732">
        <v>-4.7500399999999896</v>
      </c>
      <c r="AF6732">
        <v>3.7448433710195999</v>
      </c>
      <c r="AG6732">
        <v>-1.1586110000000001</v>
      </c>
      <c r="AH6732">
        <v>11.7657676382898</v>
      </c>
      <c r="AI6732">
        <v>95.360639276453</v>
      </c>
      <c r="AJ6732">
        <v>72.344613592726802</v>
      </c>
      <c r="AK6732">
        <v>12.401593423468499</v>
      </c>
      <c r="AL6732">
        <v>79.620034956399095</v>
      </c>
      <c r="AM6732">
        <v>91.590822936258803</v>
      </c>
      <c r="AN6732">
        <v>0.99999998374801902</v>
      </c>
    </row>
    <row r="6733" spans="1:40" x14ac:dyDescent="0.25">
      <c r="A6733" t="str">
        <f>"20190304154928120"</f>
        <v>20190304154928120</v>
      </c>
      <c r="B6733" t="str">
        <f>"1551685768114015"</f>
        <v>1551685768114015</v>
      </c>
      <c r="C6733" t="s">
        <v>40</v>
      </c>
      <c r="D6733">
        <v>4.0026190000000001</v>
      </c>
      <c r="E6733">
        <v>0.61716210000000005</v>
      </c>
      <c r="F6733" t="s">
        <v>45</v>
      </c>
      <c r="G6733">
        <v>-311.8202</v>
      </c>
      <c r="H6733">
        <v>-0.05</v>
      </c>
      <c r="I6733">
        <v>12.313739999999999</v>
      </c>
      <c r="J6733">
        <v>-322.52980000000002</v>
      </c>
      <c r="K6733">
        <v>1.108568</v>
      </c>
      <c r="L6733">
        <v>16.392060000000001</v>
      </c>
      <c r="M6733">
        <v>0.99631329999999996</v>
      </c>
      <c r="N6733">
        <v>-1.228798E-2</v>
      </c>
      <c r="O6733">
        <v>-8.490383E-2</v>
      </c>
      <c r="P6733">
        <v>0.98425700000000005</v>
      </c>
      <c r="Q6733">
        <v>0.1678579</v>
      </c>
      <c r="R6733">
        <v>-5.5332949999999999E-2</v>
      </c>
      <c r="S6733">
        <v>3.0405579999999999</v>
      </c>
      <c r="T6733">
        <v>-0.325084599999999</v>
      </c>
      <c r="U6733">
        <v>-1.1478269999999999</v>
      </c>
      <c r="V6733">
        <v>-2.7431770000000001E-2</v>
      </c>
      <c r="W6733">
        <v>0.18011050000000001</v>
      </c>
      <c r="X6733">
        <v>0.98326380000000002</v>
      </c>
      <c r="Y6733">
        <v>0.27127560000000001</v>
      </c>
      <c r="Z6733">
        <v>-8.0100729999999995E-3</v>
      </c>
      <c r="AA6733">
        <v>0.9624684</v>
      </c>
      <c r="AB6733">
        <v>24</v>
      </c>
      <c r="AC6733">
        <v>10.7096</v>
      </c>
      <c r="AD6733">
        <v>-1.158568</v>
      </c>
      <c r="AE6733">
        <v>-4.0783199999999997</v>
      </c>
      <c r="AF6733">
        <v>3.1223241299802198</v>
      </c>
      <c r="AG6733">
        <v>-1.158568</v>
      </c>
      <c r="AH6733">
        <v>10.905749048666699</v>
      </c>
      <c r="AI6733">
        <v>95.831472049631103</v>
      </c>
      <c r="AJ6733">
        <v>74.023542989687499</v>
      </c>
      <c r="AK6733">
        <v>11.4029184902715</v>
      </c>
      <c r="AL6733">
        <v>79.623803789657799</v>
      </c>
      <c r="AM6733">
        <v>91.598062553365907</v>
      </c>
      <c r="AN6733">
        <v>0.99999999730301103</v>
      </c>
    </row>
    <row r="6734" spans="1:40" x14ac:dyDescent="0.25">
      <c r="A6734" t="str">
        <f>"20190304154928131"</f>
        <v>20190304154928131</v>
      </c>
      <c r="B6734" t="str">
        <f>"1551685768123775"</f>
        <v>1551685768123775</v>
      </c>
      <c r="C6734" t="s">
        <v>40</v>
      </c>
      <c r="D6734">
        <v>4.1909479999999997</v>
      </c>
      <c r="E6734">
        <v>0.61566940000000003</v>
      </c>
      <c r="F6734" t="s">
        <v>45</v>
      </c>
      <c r="G6734">
        <v>-311.59829999999999</v>
      </c>
      <c r="H6734">
        <v>-0.05</v>
      </c>
      <c r="I6734">
        <v>12.26613</v>
      </c>
      <c r="J6734">
        <v>-322.41230000000002</v>
      </c>
      <c r="K6734">
        <v>1.108527</v>
      </c>
      <c r="L6734">
        <v>16.380310000000001</v>
      </c>
      <c r="M6734">
        <v>0.99616649999999995</v>
      </c>
      <c r="N6734">
        <v>-1.2246450000000001E-2</v>
      </c>
      <c r="O6734">
        <v>-8.6616670000000007E-2</v>
      </c>
      <c r="P6734">
        <v>0.98423649999999996</v>
      </c>
      <c r="Q6734">
        <v>0.1674986</v>
      </c>
      <c r="R6734">
        <v>-5.6770550000000003E-2</v>
      </c>
      <c r="S6734">
        <v>3.0383909999999998</v>
      </c>
      <c r="T6734">
        <v>-0.32201950000000001</v>
      </c>
      <c r="U6734">
        <v>-1.14679</v>
      </c>
      <c r="V6734">
        <v>-2.7680440000000001E-2</v>
      </c>
      <c r="W6734">
        <v>0.17971409999999999</v>
      </c>
      <c r="X6734">
        <v>0.98332940000000002</v>
      </c>
      <c r="Y6734">
        <v>0.26959509999999998</v>
      </c>
      <c r="Z6734">
        <v>-7.7057999999999996E-3</v>
      </c>
      <c r="AA6734">
        <v>0.96294299999999999</v>
      </c>
      <c r="AB6734">
        <v>24</v>
      </c>
      <c r="AC6734">
        <v>10.814</v>
      </c>
      <c r="AD6734">
        <v>-1.1585270000000001</v>
      </c>
      <c r="AE6734">
        <v>-4.1141800000000002</v>
      </c>
      <c r="AF6734">
        <v>3.1305849915081199</v>
      </c>
      <c r="AG6734">
        <v>-1.1585270000000001</v>
      </c>
      <c r="AH6734">
        <v>11.019254907078601</v>
      </c>
      <c r="AI6734">
        <v>95.774935069663897</v>
      </c>
      <c r="AJ6734">
        <v>74.140081169692394</v>
      </c>
      <c r="AK6734">
        <v>11.513762456554399</v>
      </c>
      <c r="AL6734">
        <v>79.646892997129498</v>
      </c>
      <c r="AM6734">
        <v>91.612433915438004</v>
      </c>
      <c r="AN6734">
        <v>1.0000000367008799</v>
      </c>
    </row>
    <row r="6735" spans="1:40" x14ac:dyDescent="0.25">
      <c r="A6735" t="str">
        <f>"20190304154928143"</f>
        <v>20190304154928143</v>
      </c>
      <c r="B6735" t="str">
        <f>"1551685768133534"</f>
        <v>1551685768133534</v>
      </c>
      <c r="C6735" t="s">
        <v>40</v>
      </c>
      <c r="D6735">
        <v>4.1447219999999998</v>
      </c>
      <c r="E6735">
        <v>0.61467099999999997</v>
      </c>
      <c r="F6735" t="s">
        <v>45</v>
      </c>
      <c r="G6735">
        <v>-311.68130000000002</v>
      </c>
      <c r="H6735">
        <v>-0.05</v>
      </c>
      <c r="I6735">
        <v>12.354200000000001</v>
      </c>
      <c r="J6735">
        <v>-322.28879999999998</v>
      </c>
      <c r="K6735">
        <v>1.108493</v>
      </c>
      <c r="L6735">
        <v>16.367519999999999</v>
      </c>
      <c r="M6735">
        <v>0.99600509999999998</v>
      </c>
      <c r="N6735">
        <v>-1.220334E-2</v>
      </c>
      <c r="O6735">
        <v>-8.8459330000000003E-2</v>
      </c>
      <c r="P6735">
        <v>0.98423280000000002</v>
      </c>
      <c r="Q6735">
        <v>0.16688459999999999</v>
      </c>
      <c r="R6735">
        <v>-5.861363E-2</v>
      </c>
      <c r="S6735">
        <v>3.0381469999999999</v>
      </c>
      <c r="T6735">
        <v>-0.32799899999999999</v>
      </c>
      <c r="U6735">
        <v>-1.1398619999999999</v>
      </c>
      <c r="V6735">
        <v>-2.7657520000000001E-2</v>
      </c>
      <c r="W6735">
        <v>0.17906159999999999</v>
      </c>
      <c r="X6735">
        <v>0.98344900000000002</v>
      </c>
      <c r="Y6735">
        <v>0.26590449999999999</v>
      </c>
      <c r="Z6735">
        <v>-7.4065110000000002E-3</v>
      </c>
      <c r="AA6735">
        <v>0.96397089999999996</v>
      </c>
      <c r="AB6735">
        <v>24</v>
      </c>
      <c r="AC6735">
        <v>10.6074999999999</v>
      </c>
      <c r="AD6735">
        <v>-1.158493</v>
      </c>
      <c r="AE6735">
        <v>-4.0133200000000002</v>
      </c>
      <c r="AF6735">
        <v>3.0275919665411899</v>
      </c>
      <c r="AG6735">
        <v>-1.158493</v>
      </c>
      <c r="AH6735">
        <v>10.8081775947801</v>
      </c>
      <c r="AI6735">
        <v>95.892843791960104</v>
      </c>
      <c r="AJ6735">
        <v>74.351352249510896</v>
      </c>
      <c r="AK6735">
        <v>11.283843408485399</v>
      </c>
      <c r="AL6735">
        <v>79.684894199310506</v>
      </c>
      <c r="AM6735">
        <v>91.610903662309596</v>
      </c>
      <c r="AN6735">
        <v>0.99999996530405399</v>
      </c>
    </row>
    <row r="6736" spans="1:40" x14ac:dyDescent="0.25">
      <c r="A6736" t="str">
        <f>"20190304154928153"</f>
        <v>20190304154928153</v>
      </c>
      <c r="B6736" t="str">
        <f>"1551685768144270"</f>
        <v>1551685768144270</v>
      </c>
      <c r="C6736" t="s">
        <v>40</v>
      </c>
      <c r="D6736">
        <v>4.1805830000000004</v>
      </c>
      <c r="E6736">
        <v>0.61470880000000006</v>
      </c>
      <c r="F6736" t="s">
        <v>45</v>
      </c>
      <c r="G6736">
        <v>-311.73009999999999</v>
      </c>
      <c r="H6736">
        <v>-0.05</v>
      </c>
      <c r="I6736">
        <v>12.411289999999999</v>
      </c>
      <c r="J6736">
        <v>-322.178</v>
      </c>
      <c r="K6736">
        <v>1.10846</v>
      </c>
      <c r="L6736">
        <v>16.355989999999998</v>
      </c>
      <c r="M6736">
        <v>0.99585690000000004</v>
      </c>
      <c r="N6736">
        <v>-1.216483E-2</v>
      </c>
      <c r="O6736">
        <v>-9.0117890000000006E-2</v>
      </c>
      <c r="P6736">
        <v>0.98411099999999996</v>
      </c>
      <c r="Q6736">
        <v>0.16702899999999901</v>
      </c>
      <c r="R6736">
        <v>-6.0227790000000003E-2</v>
      </c>
      <c r="S6736">
        <v>3.0367739999999999</v>
      </c>
      <c r="T6736">
        <v>-0.33319280000000001</v>
      </c>
      <c r="U6736">
        <v>-1.137848</v>
      </c>
      <c r="V6736">
        <v>-2.7667290000000001E-2</v>
      </c>
      <c r="W6736">
        <v>0.17917</v>
      </c>
      <c r="X6736">
        <v>0.983429</v>
      </c>
      <c r="Y6736">
        <v>0.26386759999999998</v>
      </c>
      <c r="Z6736">
        <v>-7.1995679999999999E-3</v>
      </c>
      <c r="AA6736">
        <v>0.96453199999999994</v>
      </c>
      <c r="AB6736">
        <v>24</v>
      </c>
      <c r="AC6736">
        <v>10.447900000000001</v>
      </c>
      <c r="AD6736">
        <v>-1.15846</v>
      </c>
      <c r="AE6736">
        <v>-3.9446999999999899</v>
      </c>
      <c r="AF6736">
        <v>2.9552352407845501</v>
      </c>
      <c r="AG6736">
        <v>-1.15846</v>
      </c>
      <c r="AH6736">
        <v>10.646337730071901</v>
      </c>
      <c r="AI6736">
        <v>95.985510667863807</v>
      </c>
      <c r="AJ6736">
        <v>74.486285648595597</v>
      </c>
      <c r="AK6736">
        <v>11.1094532701986</v>
      </c>
      <c r="AL6736">
        <v>79.678581427459093</v>
      </c>
      <c r="AM6736">
        <v>91.611505168170495</v>
      </c>
      <c r="AN6736">
        <v>0.99999998293847103</v>
      </c>
    </row>
    <row r="6737" spans="1:40" x14ac:dyDescent="0.25">
      <c r="A6737" t="str">
        <f>"20190304154928163"</f>
        <v>20190304154928163</v>
      </c>
      <c r="B6737" t="str">
        <f>"1551685768154031"</f>
        <v>1551685768154031</v>
      </c>
      <c r="C6737" t="s">
        <v>40</v>
      </c>
      <c r="D6737">
        <v>4.1645190000000003</v>
      </c>
      <c r="E6737">
        <v>0.61459739999999996</v>
      </c>
      <c r="F6737" t="s">
        <v>45</v>
      </c>
      <c r="G6737">
        <v>-311.86369999999999</v>
      </c>
      <c r="H6737">
        <v>-0.05</v>
      </c>
      <c r="I6737">
        <v>12.470319999999999</v>
      </c>
      <c r="J6737">
        <v>-322.06189999999998</v>
      </c>
      <c r="K6737">
        <v>1.108428</v>
      </c>
      <c r="L6737">
        <v>16.34357</v>
      </c>
      <c r="M6737">
        <v>0.99569589999999997</v>
      </c>
      <c r="N6737">
        <v>-1.2125820000000001E-2</v>
      </c>
      <c r="O6737">
        <v>-9.1883380000000001E-2</v>
      </c>
      <c r="P6737">
        <v>0.98403890000000005</v>
      </c>
      <c r="Q6737">
        <v>0.16693359999999999</v>
      </c>
      <c r="R6737">
        <v>-6.1648380000000003E-2</v>
      </c>
      <c r="S6737">
        <v>3.0363159999999998</v>
      </c>
      <c r="T6737">
        <v>-0.34102579999999999</v>
      </c>
      <c r="U6737">
        <v>-1.1438600000000001</v>
      </c>
      <c r="V6737">
        <v>-2.7982610000000002E-2</v>
      </c>
      <c r="W6737">
        <v>0.17904</v>
      </c>
      <c r="X6737">
        <v>0.98344370000000003</v>
      </c>
      <c r="Y6737">
        <v>0.2638393</v>
      </c>
      <c r="Z6737">
        <v>-7.1251619999999896E-3</v>
      </c>
      <c r="AA6737">
        <v>0.96454039999999996</v>
      </c>
      <c r="AB6737">
        <v>24</v>
      </c>
      <c r="AC6737">
        <v>10.1981999999999</v>
      </c>
      <c r="AD6737">
        <v>-1.158428</v>
      </c>
      <c r="AE6737">
        <v>-3.8732500000000001</v>
      </c>
      <c r="AF6737">
        <v>2.8871916292318902</v>
      </c>
      <c r="AG6737">
        <v>-1.158428</v>
      </c>
      <c r="AH6737">
        <v>10.3937619159599</v>
      </c>
      <c r="AI6737">
        <v>96.129388555059506</v>
      </c>
      <c r="AJ6737">
        <v>74.475707115099695</v>
      </c>
      <c r="AK6737">
        <v>10.849337200988399</v>
      </c>
      <c r="AL6737">
        <v>79.686151743715598</v>
      </c>
      <c r="AM6737">
        <v>91.629837053825696</v>
      </c>
      <c r="AN6737">
        <v>0.999999929566048</v>
      </c>
    </row>
    <row r="6738" spans="1:40" x14ac:dyDescent="0.25">
      <c r="A6738" t="str">
        <f>"20190304154928175"</f>
        <v>20190304154928175</v>
      </c>
      <c r="B6738" t="str">
        <f>"1551685768163791"</f>
        <v>1551685768163791</v>
      </c>
      <c r="C6738" t="s">
        <v>40</v>
      </c>
      <c r="D6738">
        <v>3.9793699999999999</v>
      </c>
      <c r="E6738">
        <v>0.61316700000000002</v>
      </c>
      <c r="F6738" t="s">
        <v>45</v>
      </c>
      <c r="G6738">
        <v>-311.95650000000001</v>
      </c>
      <c r="H6738">
        <v>-0.05</v>
      </c>
      <c r="I6738">
        <v>12.522349999999999</v>
      </c>
      <c r="J6738">
        <v>-321.93880000000001</v>
      </c>
      <c r="K6738">
        <v>1.1083959999999999</v>
      </c>
      <c r="L6738">
        <v>16.33023</v>
      </c>
      <c r="M6738">
        <v>0.99552090000000004</v>
      </c>
      <c r="N6738">
        <v>-1.2085500000000001E-2</v>
      </c>
      <c r="O6738">
        <v>-9.3767110000000001E-2</v>
      </c>
      <c r="P6738">
        <v>0.98389260000000001</v>
      </c>
      <c r="Q6738">
        <v>0.1670316</v>
      </c>
      <c r="R6738">
        <v>-6.3684900000000003E-2</v>
      </c>
      <c r="S6738">
        <v>3.0357970000000001</v>
      </c>
      <c r="T6738">
        <v>-0.34800779999999998</v>
      </c>
      <c r="U6738">
        <v>-1.1479490000000001</v>
      </c>
      <c r="V6738">
        <v>-2.7792859999999999E-2</v>
      </c>
      <c r="W6738">
        <v>0.1790987</v>
      </c>
      <c r="X6738">
        <v>0.98343849999999999</v>
      </c>
      <c r="Y6738">
        <v>0.26317610000000002</v>
      </c>
      <c r="Z6738">
        <v>-6.9811129999999997E-3</v>
      </c>
      <c r="AA6738">
        <v>0.96472259999999999</v>
      </c>
      <c r="AB6738">
        <v>24</v>
      </c>
      <c r="AC6738">
        <v>9.9823000000000093</v>
      </c>
      <c r="AD6738">
        <v>-1.158396</v>
      </c>
      <c r="AE6738">
        <v>-3.8078799999999999</v>
      </c>
      <c r="AF6738">
        <v>2.8218478415216102</v>
      </c>
      <c r="AG6738">
        <v>-1.158396</v>
      </c>
      <c r="AH6738">
        <v>10.175768728087901</v>
      </c>
      <c r="AI6738">
        <v>96.260247161124894</v>
      </c>
      <c r="AJ6738">
        <v>74.500745488662005</v>
      </c>
      <c r="AK6738">
        <v>10.6231339886612</v>
      </c>
      <c r="AL6738">
        <v>79.682734329146598</v>
      </c>
      <c r="AM6738">
        <v>91.618799588793493</v>
      </c>
      <c r="AN6738">
        <v>1.0000000353454499</v>
      </c>
    </row>
    <row r="6739" spans="1:40" x14ac:dyDescent="0.25">
      <c r="A6739" t="str">
        <f>"20190304154928186"</f>
        <v>20190304154928186</v>
      </c>
      <c r="B6739" t="str">
        <f>"1551685768174527"</f>
        <v>1551685768174527</v>
      </c>
      <c r="C6739" t="s">
        <v>40</v>
      </c>
      <c r="D6739">
        <v>4.1019319999999997</v>
      </c>
      <c r="E6739">
        <v>0.61260769999999998</v>
      </c>
      <c r="F6739" t="s">
        <v>45</v>
      </c>
      <c r="G6739">
        <v>-311.85129999999998</v>
      </c>
      <c r="H6739">
        <v>-0.05</v>
      </c>
      <c r="I6739">
        <v>12.53069</v>
      </c>
      <c r="J6739">
        <v>-321.82130000000001</v>
      </c>
      <c r="K6739">
        <v>1.108366</v>
      </c>
      <c r="L6739">
        <v>16.3172</v>
      </c>
      <c r="M6739">
        <v>0.99534820000000002</v>
      </c>
      <c r="N6739">
        <v>-1.204916E-2</v>
      </c>
      <c r="O6739">
        <v>-9.5586690000000002E-2</v>
      </c>
      <c r="P6739">
        <v>0.98378350000000003</v>
      </c>
      <c r="Q6739">
        <v>0.1670053</v>
      </c>
      <c r="R6739">
        <v>-6.5416020000000005E-2</v>
      </c>
      <c r="S6739">
        <v>3.0342709999999999</v>
      </c>
      <c r="T6739">
        <v>-0.348439099999999</v>
      </c>
      <c r="U6739">
        <v>-1.1428830000000001</v>
      </c>
      <c r="V6739">
        <v>-2.7850380000000001E-2</v>
      </c>
      <c r="W6739">
        <v>0.17903910000000001</v>
      </c>
      <c r="X6739">
        <v>0.98344770000000004</v>
      </c>
      <c r="Y6739">
        <v>0.26018639999999998</v>
      </c>
      <c r="Z6739">
        <v>-6.6192040000000001E-3</v>
      </c>
      <c r="AA6739">
        <v>0.9655357</v>
      </c>
      <c r="AB6739">
        <v>24</v>
      </c>
      <c r="AC6739">
        <v>9.9700000000000202</v>
      </c>
      <c r="AD6739">
        <v>-1.158366</v>
      </c>
      <c r="AE6739">
        <v>-3.7865099999999998</v>
      </c>
      <c r="AF6739">
        <v>2.7832658750822001</v>
      </c>
      <c r="AG6739">
        <v>-1.158366</v>
      </c>
      <c r="AH6739">
        <v>10.166371955596</v>
      </c>
      <c r="AI6739">
        <v>96.271462307770193</v>
      </c>
      <c r="AJ6739">
        <v>74.689192721689693</v>
      </c>
      <c r="AK6739">
        <v>10.603937922342</v>
      </c>
      <c r="AL6739">
        <v>79.686205003974706</v>
      </c>
      <c r="AM6739">
        <v>91.622132895429999</v>
      </c>
      <c r="AN6739">
        <v>1.0000000108151199</v>
      </c>
    </row>
    <row r="6740" spans="1:40" x14ac:dyDescent="0.25">
      <c r="A6740" t="str">
        <f>"20190304154928197"</f>
        <v>20190304154928197</v>
      </c>
      <c r="B6740" t="str">
        <f>"1551685768194047"</f>
        <v>1551685768194047</v>
      </c>
      <c r="C6740" t="s">
        <v>40</v>
      </c>
      <c r="D6740">
        <v>4.1762379999999997</v>
      </c>
      <c r="E6740">
        <v>0.61254719999999996</v>
      </c>
      <c r="F6740" t="s">
        <v>45</v>
      </c>
      <c r="G6740">
        <v>-311.94850000000002</v>
      </c>
      <c r="H6740">
        <v>-0.05</v>
      </c>
      <c r="I6740">
        <v>12.592829999999999</v>
      </c>
      <c r="J6740">
        <v>-321.69220000000001</v>
      </c>
      <c r="K6740">
        <v>1.108333</v>
      </c>
      <c r="L6740">
        <v>16.30264</v>
      </c>
      <c r="M6740">
        <v>0.99515319999999996</v>
      </c>
      <c r="N6740">
        <v>-1.2011580000000001E-2</v>
      </c>
      <c r="O6740">
        <v>-9.7601770000000004E-2</v>
      </c>
      <c r="P6740">
        <v>0.98363820000000002</v>
      </c>
      <c r="Q6740">
        <v>0.167037299999999</v>
      </c>
      <c r="R6740">
        <v>-6.7488599999999996E-2</v>
      </c>
      <c r="S6740">
        <v>3.0338129999999999</v>
      </c>
      <c r="T6740">
        <v>-0.35595759999999899</v>
      </c>
      <c r="U6740">
        <v>-1.1444700000000001</v>
      </c>
      <c r="V6740">
        <v>-2.775708E-2</v>
      </c>
      <c r="W6740">
        <v>0.17903540000000001</v>
      </c>
      <c r="X6740">
        <v>0.98345099999999996</v>
      </c>
      <c r="Y6740">
        <v>0.25869550000000002</v>
      </c>
      <c r="Z6740">
        <v>-6.39917E-3</v>
      </c>
      <c r="AA6740">
        <v>0.96593770000000001</v>
      </c>
      <c r="AB6740">
        <v>24</v>
      </c>
      <c r="AC6740">
        <v>9.7436999999999898</v>
      </c>
      <c r="AD6740">
        <v>-1.1583330000000001</v>
      </c>
      <c r="AE6740">
        <v>-3.7098099999999898</v>
      </c>
      <c r="AF6740">
        <v>2.7076037933348198</v>
      </c>
      <c r="AG6740">
        <v>-1.1583330000000001</v>
      </c>
      <c r="AH6740">
        <v>9.9366327107107697</v>
      </c>
      <c r="AI6740">
        <v>96.417162279095706</v>
      </c>
      <c r="AJ6740">
        <v>74.757692634496195</v>
      </c>
      <c r="AK6740">
        <v>10.363856582765701</v>
      </c>
      <c r="AL6740">
        <v>79.6864203637721</v>
      </c>
      <c r="AM6740">
        <v>91.616696145565996</v>
      </c>
      <c r="AN6740">
        <v>0.99999999967214304</v>
      </c>
    </row>
    <row r="6741" spans="1:40" x14ac:dyDescent="0.25">
      <c r="A6741" t="str">
        <f>"20190304154928210"</f>
        <v>20190304154928210</v>
      </c>
      <c r="B6741" t="str">
        <f>"1551685768203806"</f>
        <v>1551685768203806</v>
      </c>
      <c r="C6741" t="s">
        <v>40</v>
      </c>
      <c r="D6741">
        <v>4.1699729999999997</v>
      </c>
      <c r="E6741">
        <v>0.61244089999999995</v>
      </c>
      <c r="F6741" t="s">
        <v>45</v>
      </c>
      <c r="G6741">
        <v>-312.0548</v>
      </c>
      <c r="H6741">
        <v>-0.05</v>
      </c>
      <c r="I6741">
        <v>12.64418</v>
      </c>
      <c r="J6741">
        <v>-321.55470000000003</v>
      </c>
      <c r="K6741">
        <v>1.1083019999999999</v>
      </c>
      <c r="L6741">
        <v>16.286899999999999</v>
      </c>
      <c r="M6741">
        <v>0.99493929999999997</v>
      </c>
      <c r="N6741">
        <v>-1.1973549999999999E-2</v>
      </c>
      <c r="O6741">
        <v>-9.9761699999999995E-2</v>
      </c>
      <c r="P6741">
        <v>0.98351580000000005</v>
      </c>
      <c r="Q6741">
        <v>0.16683729999999999</v>
      </c>
      <c r="R6741">
        <v>-6.9730470000000003E-2</v>
      </c>
      <c r="S6741">
        <v>3.0328369999999998</v>
      </c>
      <c r="T6741">
        <v>-0.36452329999999999</v>
      </c>
      <c r="U6741">
        <v>-1.1513059999999999</v>
      </c>
      <c r="V6741">
        <v>-2.7643859999999999E-2</v>
      </c>
      <c r="W6741">
        <v>0.1787994</v>
      </c>
      <c r="X6741">
        <v>0.98349710000000001</v>
      </c>
      <c r="Y6741">
        <v>0.25856610000000002</v>
      </c>
      <c r="Z6741">
        <v>-6.2480610000000001E-3</v>
      </c>
      <c r="AA6741">
        <v>0.96597339999999998</v>
      </c>
      <c r="AB6741">
        <v>24</v>
      </c>
      <c r="AC6741">
        <v>9.4999000000000198</v>
      </c>
      <c r="AD6741">
        <v>-1.1583019999999999</v>
      </c>
      <c r="AE6741">
        <v>-3.64271999999999</v>
      </c>
      <c r="AF6741">
        <v>2.6425022483166098</v>
      </c>
      <c r="AG6741">
        <v>-1.1583019999999999</v>
      </c>
      <c r="AH6741">
        <v>9.6903376397613492</v>
      </c>
      <c r="AI6741">
        <v>96.578334316133194</v>
      </c>
      <c r="AJ6741">
        <v>74.746626462054294</v>
      </c>
      <c r="AK6741">
        <v>10.1107430601384</v>
      </c>
      <c r="AL6741">
        <v>79.7001636973378</v>
      </c>
      <c r="AM6741">
        <v>91.610029754458495</v>
      </c>
      <c r="AN6741">
        <v>0.99999997707223398</v>
      </c>
    </row>
    <row r="6742" spans="1:40" x14ac:dyDescent="0.25">
      <c r="A6742" t="str">
        <f>"20190304154928222"</f>
        <v>20190304154928222</v>
      </c>
      <c r="B6742" t="str">
        <f>"1551685768213567"</f>
        <v>1551685768213567</v>
      </c>
      <c r="C6742" t="s">
        <v>40</v>
      </c>
      <c r="D6742">
        <v>4.1741299999999999</v>
      </c>
      <c r="E6742">
        <v>0.61241440000000003</v>
      </c>
      <c r="F6742" t="s">
        <v>45</v>
      </c>
      <c r="G6742">
        <v>-311.9889</v>
      </c>
      <c r="H6742">
        <v>-0.05</v>
      </c>
      <c r="I6742">
        <v>12.630599999999999</v>
      </c>
      <c r="J6742">
        <v>-321.43270000000001</v>
      </c>
      <c r="K6742">
        <v>1.108277</v>
      </c>
      <c r="L6742">
        <v>16.27252</v>
      </c>
      <c r="M6742">
        <v>0.99474300000000004</v>
      </c>
      <c r="N6742">
        <v>-1.194304E-2</v>
      </c>
      <c r="O6742">
        <v>-0.10170369999999999</v>
      </c>
      <c r="P6742">
        <v>0.98344100000000001</v>
      </c>
      <c r="Q6742">
        <v>0.16639599999999999</v>
      </c>
      <c r="R6742">
        <v>-7.1807899999999994E-2</v>
      </c>
      <c r="S6742">
        <v>3.0303960000000001</v>
      </c>
      <c r="T6742">
        <v>-0.3669424</v>
      </c>
      <c r="U6742">
        <v>-1.1582950000000001</v>
      </c>
      <c r="V6742">
        <v>-2.7486790000000001E-2</v>
      </c>
      <c r="W6742">
        <v>0.17832919999999999</v>
      </c>
      <c r="X6742">
        <v>0.98358690000000004</v>
      </c>
      <c r="Y6742">
        <v>0.25887749999999998</v>
      </c>
      <c r="Z6742">
        <v>-6.0850610000000001E-3</v>
      </c>
      <c r="AA6742">
        <v>0.96589100000000006</v>
      </c>
      <c r="AB6742">
        <v>24</v>
      </c>
      <c r="AC6742">
        <v>9.4438000000000102</v>
      </c>
      <c r="AD6742">
        <v>-1.158277</v>
      </c>
      <c r="AE6742">
        <v>-3.6419199999999998</v>
      </c>
      <c r="AF6742">
        <v>2.62807938661118</v>
      </c>
      <c r="AG6742">
        <v>-1.158277</v>
      </c>
      <c r="AH6742">
        <v>9.6390211234448895</v>
      </c>
      <c r="AI6742">
        <v>96.612979450318306</v>
      </c>
      <c r="AJ6742">
        <v>74.749000732246202</v>
      </c>
      <c r="AK6742">
        <v>10.0577897715788</v>
      </c>
      <c r="AL6742">
        <v>79.727544553553599</v>
      </c>
      <c r="AM6742">
        <v>91.600740397439196</v>
      </c>
      <c r="AN6742">
        <v>1.0000000085243701</v>
      </c>
    </row>
    <row r="6743" spans="1:40" x14ac:dyDescent="0.25">
      <c r="A6743" t="str">
        <f>"20190304154928235"</f>
        <v>20190304154928235</v>
      </c>
      <c r="B6743" t="str">
        <f>"1551685768224303"</f>
        <v>1551685768224303</v>
      </c>
      <c r="C6743" t="s">
        <v>40</v>
      </c>
      <c r="D6743">
        <v>4.166131</v>
      </c>
      <c r="E6743">
        <v>0.61233729999999997</v>
      </c>
      <c r="F6743" t="s">
        <v>45</v>
      </c>
      <c r="G6743">
        <v>-311.95319999999998</v>
      </c>
      <c r="H6743">
        <v>-0.05</v>
      </c>
      <c r="I6743">
        <v>12.62439</v>
      </c>
      <c r="J6743">
        <v>-321.2919</v>
      </c>
      <c r="K6743">
        <v>1.108241</v>
      </c>
      <c r="L6743">
        <v>16.255739999999999</v>
      </c>
      <c r="M6743">
        <v>0.99449699999999996</v>
      </c>
      <c r="N6743">
        <v>-1.1847180000000001E-2</v>
      </c>
      <c r="O6743">
        <v>-0.1040934</v>
      </c>
      <c r="P6743">
        <v>0.98334259999999996</v>
      </c>
      <c r="Q6743">
        <v>0.16585620000000001</v>
      </c>
      <c r="R6743">
        <v>-7.4359540000000002E-2</v>
      </c>
      <c r="S6743">
        <v>3.0280149999999999</v>
      </c>
      <c r="T6743">
        <v>-0.36998750000000002</v>
      </c>
      <c r="U6743">
        <v>-1.165314</v>
      </c>
      <c r="V6743">
        <v>-2.7305179999999998E-2</v>
      </c>
      <c r="W6743">
        <v>0.1776963</v>
      </c>
      <c r="X6743">
        <v>0.98370650000000004</v>
      </c>
      <c r="Y6743">
        <v>0.25875890000000001</v>
      </c>
      <c r="Z6743">
        <v>-5.8343619999999896E-3</v>
      </c>
      <c r="AA6743">
        <v>0.96592429999999996</v>
      </c>
      <c r="AB6743">
        <v>24</v>
      </c>
      <c r="AC6743">
        <v>9.33870000000001</v>
      </c>
      <c r="AD6743">
        <v>-1.1582410000000001</v>
      </c>
      <c r="AE6743">
        <v>-3.6313499999999999</v>
      </c>
      <c r="AF6743">
        <v>2.6046513342575999</v>
      </c>
      <c r="AG6743">
        <v>-1.1582410000000001</v>
      </c>
      <c r="AH6743">
        <v>9.5385324653260799</v>
      </c>
      <c r="AI6743">
        <v>96.681114936357005</v>
      </c>
      <c r="AJ6743">
        <v>74.726805240702603</v>
      </c>
      <c r="AK6743">
        <v>9.95536701378761</v>
      </c>
      <c r="AL6743">
        <v>79.764395677988503</v>
      </c>
      <c r="AM6743">
        <v>91.589976240530603</v>
      </c>
      <c r="AN6743">
        <v>1.0000000130153801</v>
      </c>
    </row>
    <row r="6744" spans="1:40" x14ac:dyDescent="0.25">
      <c r="A6744" t="str">
        <f>"20190304154928247"</f>
        <v>20190304154928247</v>
      </c>
      <c r="B6744" t="str">
        <f>"1551685768243823"</f>
        <v>1551685768243823</v>
      </c>
      <c r="C6744" t="s">
        <v>40</v>
      </c>
      <c r="D6744">
        <v>3.9855510000000001</v>
      </c>
      <c r="E6744">
        <v>0.61153009999999997</v>
      </c>
      <c r="F6744" t="s">
        <v>45</v>
      </c>
      <c r="G6744">
        <v>-311.91640000000001</v>
      </c>
      <c r="H6744">
        <v>-0.05</v>
      </c>
      <c r="I6744">
        <v>12.619899999999999</v>
      </c>
      <c r="J6744">
        <v>-321.15219999999999</v>
      </c>
      <c r="K6744">
        <v>1.108188</v>
      </c>
      <c r="L6744">
        <v>16.23883</v>
      </c>
      <c r="M6744">
        <v>0.99420730000000002</v>
      </c>
      <c r="N6744">
        <v>-1.1590430000000001E-2</v>
      </c>
      <c r="O6744">
        <v>-0.106854</v>
      </c>
      <c r="P6744">
        <v>0.98307829999999996</v>
      </c>
      <c r="Q6744">
        <v>0.16592879999999999</v>
      </c>
      <c r="R6744">
        <v>-7.7620359999999999E-2</v>
      </c>
      <c r="S6744">
        <v>3.0251459999999999</v>
      </c>
      <c r="T6744">
        <v>-0.37372349999999999</v>
      </c>
      <c r="U6744">
        <v>-1.173157</v>
      </c>
      <c r="V6744">
        <v>-2.6778369999999999E-2</v>
      </c>
      <c r="W6744">
        <v>0.17751229999999901</v>
      </c>
      <c r="X6744">
        <v>0.98375420000000002</v>
      </c>
      <c r="Y6744">
        <v>0.25856319999999999</v>
      </c>
      <c r="Z6744">
        <v>-5.5015189999999999E-3</v>
      </c>
      <c r="AA6744">
        <v>0.96597869999999997</v>
      </c>
      <c r="AB6744">
        <v>24</v>
      </c>
      <c r="AC6744">
        <v>9.2357999999999798</v>
      </c>
      <c r="AD6744">
        <v>-1.158188</v>
      </c>
      <c r="AE6744">
        <v>-3.6189300000000002</v>
      </c>
      <c r="AF6744">
        <v>2.5761400853419798</v>
      </c>
      <c r="AG6744">
        <v>-1.158188</v>
      </c>
      <c r="AH6744">
        <v>9.4409342264914091</v>
      </c>
      <c r="AI6744">
        <v>96.749577556630499</v>
      </c>
      <c r="AJ6744">
        <v>74.737313185158698</v>
      </c>
      <c r="AK6744">
        <v>9.8543967979570795</v>
      </c>
      <c r="AL6744">
        <v>79.775108400843095</v>
      </c>
      <c r="AM6744">
        <v>91.559239902379105</v>
      </c>
      <c r="AN6744">
        <v>1.0000000118843899</v>
      </c>
    </row>
    <row r="6745" spans="1:40" x14ac:dyDescent="0.25">
      <c r="A6745" t="str">
        <f>"20190304154928261"</f>
        <v>20190304154928261</v>
      </c>
      <c r="B6745" t="str">
        <f>"1551685768253583"</f>
        <v>1551685768253583</v>
      </c>
      <c r="C6745" t="s">
        <v>40</v>
      </c>
      <c r="D6745">
        <v>4.1688289999999997</v>
      </c>
      <c r="E6745">
        <v>0.61139069999999995</v>
      </c>
      <c r="F6745" t="s">
        <v>45</v>
      </c>
      <c r="G6745">
        <v>-311.80720000000002</v>
      </c>
      <c r="H6745">
        <v>-0.05</v>
      </c>
      <c r="I6745">
        <v>12.59956</v>
      </c>
      <c r="J6745">
        <v>-321.00970000000001</v>
      </c>
      <c r="K6745">
        <v>1.1080179999999999</v>
      </c>
      <c r="L6745">
        <v>16.221250000000001</v>
      </c>
      <c r="M6745">
        <v>0.99391629999999997</v>
      </c>
      <c r="N6745">
        <v>-1.1248380000000001E-2</v>
      </c>
      <c r="O6745">
        <v>-0.1095622</v>
      </c>
      <c r="P6745">
        <v>0.98280650000000003</v>
      </c>
      <c r="Q6745">
        <v>0.16590859999999999</v>
      </c>
      <c r="R6745">
        <v>-8.1029509999999999E-2</v>
      </c>
      <c r="S6745">
        <v>3.0219420000000001</v>
      </c>
      <c r="T6745">
        <v>-0.37452849999999999</v>
      </c>
      <c r="U6745">
        <v>-1.176849</v>
      </c>
      <c r="V6745">
        <v>-2.602202E-2</v>
      </c>
      <c r="W6745">
        <v>0.1771547</v>
      </c>
      <c r="X6745">
        <v>0.98383889999999996</v>
      </c>
      <c r="Y6745">
        <v>0.25732929999999998</v>
      </c>
      <c r="Z6745">
        <v>-5.0594739999999996E-3</v>
      </c>
      <c r="AA6745">
        <v>0.96631049999999996</v>
      </c>
      <c r="AB6745">
        <v>24</v>
      </c>
      <c r="AC6745">
        <v>9.2024999999999793</v>
      </c>
      <c r="AD6745">
        <v>-1.158018</v>
      </c>
      <c r="AE6745">
        <v>-3.6216900000000001</v>
      </c>
      <c r="AF6745">
        <v>2.5565211772186101</v>
      </c>
      <c r="AG6745">
        <v>-1.158018</v>
      </c>
      <c r="AH6745">
        <v>9.4148288530727502</v>
      </c>
      <c r="AI6745">
        <v>96.769390560318996</v>
      </c>
      <c r="AJ6745">
        <v>74.808111463195502</v>
      </c>
      <c r="AK6745">
        <v>9.8242459532801991</v>
      </c>
      <c r="AL6745">
        <v>79.795926770642097</v>
      </c>
      <c r="AM6745">
        <v>91.515089908422794</v>
      </c>
      <c r="AN6745">
        <v>0.99999995720508905</v>
      </c>
    </row>
    <row r="6746" spans="1:40" x14ac:dyDescent="0.25">
      <c r="A6746" t="str">
        <f>"20190304154928277"</f>
        <v>20190304154928277</v>
      </c>
      <c r="B6746" t="str">
        <f>"1551685768274080"</f>
        <v>1551685768274080</v>
      </c>
      <c r="C6746" t="s">
        <v>40</v>
      </c>
      <c r="D6746">
        <v>4.1941980000000001</v>
      </c>
      <c r="E6746">
        <v>0.61272950000000004</v>
      </c>
      <c r="F6746" t="s">
        <v>45</v>
      </c>
      <c r="G6746">
        <v>-311.71469999999999</v>
      </c>
      <c r="H6746">
        <v>-0.05</v>
      </c>
      <c r="I6746">
        <v>12.567550000000001</v>
      </c>
      <c r="J6746">
        <v>-320.83269999999999</v>
      </c>
      <c r="K6746">
        <v>1.1077109999999999</v>
      </c>
      <c r="L6746">
        <v>16.19894</v>
      </c>
      <c r="M6746">
        <v>0.99356659999999997</v>
      </c>
      <c r="N6746">
        <v>-1.0894650000000001E-2</v>
      </c>
      <c r="O6746">
        <v>-0.11272509999999999</v>
      </c>
      <c r="P6746">
        <v>0.98238040000000004</v>
      </c>
      <c r="Q6746">
        <v>0.16608809999999999</v>
      </c>
      <c r="R6746">
        <v>-8.5694350000000002E-2</v>
      </c>
      <c r="S6746">
        <v>3.0181269999999998</v>
      </c>
      <c r="T6746">
        <v>-0.3760135</v>
      </c>
      <c r="U6746">
        <v>-1.1863709999999901</v>
      </c>
      <c r="V6746">
        <v>-2.4415030000000001E-2</v>
      </c>
      <c r="W6746">
        <v>0.17698529999999901</v>
      </c>
      <c r="X6746">
        <v>0.98391059999999997</v>
      </c>
      <c r="Y6746">
        <v>0.25732840000000001</v>
      </c>
      <c r="Z6746">
        <v>-4.646865E-3</v>
      </c>
      <c r="AA6746">
        <v>0.96631279999999997</v>
      </c>
      <c r="AB6746">
        <v>24</v>
      </c>
      <c r="AC6746">
        <v>9.1179999999999897</v>
      </c>
      <c r="AD6746">
        <v>-1.1577109999999999</v>
      </c>
      <c r="AE6746">
        <v>-3.6313900000000001</v>
      </c>
      <c r="AF6746">
        <v>2.5449420836829302</v>
      </c>
      <c r="AG6746">
        <v>-1.1577109999999999</v>
      </c>
      <c r="AH6746">
        <v>9.3393000392640797</v>
      </c>
      <c r="AI6746">
        <v>96.820193530703804</v>
      </c>
      <c r="AJ6746">
        <v>74.757100352432701</v>
      </c>
      <c r="AK6746">
        <v>9.7488230157398696</v>
      </c>
      <c r="AL6746">
        <v>79.805788737938997</v>
      </c>
      <c r="AM6746">
        <v>91.421461627454306</v>
      </c>
      <c r="AN6746">
        <v>0.99999997944917496</v>
      </c>
    </row>
    <row r="6747" spans="1:40" x14ac:dyDescent="0.25">
      <c r="A6747" t="str">
        <f>"20190304154928290"</f>
        <v>20190304154928290</v>
      </c>
      <c r="B6747" t="str">
        <f>"1551685768283838"</f>
        <v>1551685768283838</v>
      </c>
      <c r="C6747" t="s">
        <v>40</v>
      </c>
      <c r="D6747">
        <v>4.3253750000000002</v>
      </c>
      <c r="E6747">
        <v>0.65345050000000005</v>
      </c>
      <c r="F6747" t="s">
        <v>45</v>
      </c>
      <c r="G6747">
        <v>-311.5154</v>
      </c>
      <c r="H6747">
        <v>-0.05</v>
      </c>
      <c r="I6747">
        <v>12.45163</v>
      </c>
      <c r="J6747">
        <v>-320.67840000000001</v>
      </c>
      <c r="K6747">
        <v>1.107369</v>
      </c>
      <c r="L6747">
        <v>16.17914</v>
      </c>
      <c r="M6747">
        <v>0.9932803</v>
      </c>
      <c r="N6747">
        <v>-1.077638E-2</v>
      </c>
      <c r="O6747">
        <v>-0.1152305</v>
      </c>
      <c r="P6747">
        <v>0.98204089999999999</v>
      </c>
      <c r="Q6747">
        <v>0.16630339999999999</v>
      </c>
      <c r="R6747">
        <v>-8.9101280000000005E-2</v>
      </c>
      <c r="S6747">
        <v>3.0113829999999999</v>
      </c>
      <c r="T6747">
        <v>-0.3741776</v>
      </c>
      <c r="U6747">
        <v>-1.2111510000000001</v>
      </c>
      <c r="V6747">
        <v>-2.339602E-2</v>
      </c>
      <c r="W6747">
        <v>0.1770881</v>
      </c>
      <c r="X6747">
        <v>0.98391689999999998</v>
      </c>
      <c r="Y6747">
        <v>0.26247959999999998</v>
      </c>
      <c r="Z6747">
        <v>-4.6798889999999996E-3</v>
      </c>
      <c r="AA6747">
        <v>0.96492619999999896</v>
      </c>
      <c r="AB6747">
        <v>25</v>
      </c>
      <c r="AC6747">
        <v>9.1630000000000091</v>
      </c>
      <c r="AD6747">
        <v>-1.1573690000000001</v>
      </c>
      <c r="AE6747">
        <v>-3.7275100000000001</v>
      </c>
      <c r="AF6747">
        <v>2.61101758431204</v>
      </c>
      <c r="AG6747">
        <v>-1.1573690000000001</v>
      </c>
      <c r="AH6747">
        <v>9.4027922403667592</v>
      </c>
      <c r="AI6747">
        <v>96.763692039370198</v>
      </c>
      <c r="AJ6747">
        <v>74.480805887933201</v>
      </c>
      <c r="AK6747">
        <v>9.8269739871055393</v>
      </c>
      <c r="AL6747">
        <v>79.799804593815296</v>
      </c>
      <c r="AM6747">
        <v>91.362148210083205</v>
      </c>
      <c r="AN6747">
        <v>1.00000001750953</v>
      </c>
    </row>
    <row r="6748" spans="1:40" x14ac:dyDescent="0.25">
      <c r="A6748" t="str">
        <f>"20190304154930062"</f>
        <v>20190304154930062</v>
      </c>
      <c r="B6748" t="str">
        <f>"1551685770054257"</f>
        <v>1551685770054257</v>
      </c>
      <c r="C6748" t="s">
        <v>40</v>
      </c>
      <c r="D6748">
        <v>4.2508179999999998</v>
      </c>
      <c r="E6748">
        <v>0.7119915</v>
      </c>
      <c r="F6748" t="s">
        <v>45</v>
      </c>
      <c r="G6748">
        <v>-298.09449999999998</v>
      </c>
      <c r="H6748">
        <v>-0.05</v>
      </c>
      <c r="I6748">
        <v>4.4257350000000004</v>
      </c>
      <c r="J6748">
        <v>-304.00720000000001</v>
      </c>
      <c r="K6748">
        <v>1.050011</v>
      </c>
      <c r="L6748">
        <v>6.5236210000000003</v>
      </c>
      <c r="M6748">
        <v>0.53316039999999998</v>
      </c>
      <c r="N6748">
        <v>-1.229413E-2</v>
      </c>
      <c r="O6748">
        <v>-0.84592500000000004</v>
      </c>
      <c r="P6748">
        <v>0.39403270000000001</v>
      </c>
      <c r="Q6748">
        <v>0.15890099999999999</v>
      </c>
      <c r="R6748">
        <v>-0.90525659999999997</v>
      </c>
      <c r="S6748">
        <v>2.9414980000000002</v>
      </c>
      <c r="T6748">
        <v>-0.15074470000000001</v>
      </c>
      <c r="U6748">
        <v>-1.530853</v>
      </c>
      <c r="V6748">
        <v>0.15365509999999999</v>
      </c>
      <c r="W6748">
        <v>0.16701489999999999</v>
      </c>
      <c r="X6748">
        <v>0.97390759999999998</v>
      </c>
      <c r="Y6748">
        <v>-0.50349509999999997</v>
      </c>
      <c r="Z6748">
        <v>3.6346700000000003E-2</v>
      </c>
      <c r="AA6748">
        <v>0.86323320000000003</v>
      </c>
      <c r="AB6748">
        <v>26</v>
      </c>
      <c r="AC6748">
        <v>5.9127000000000196</v>
      </c>
      <c r="AD6748">
        <v>-1.1000110000000001</v>
      </c>
      <c r="AE6748">
        <v>-2.0978859999999999</v>
      </c>
      <c r="AF6748">
        <v>-3.7676601348908401</v>
      </c>
      <c r="AG6748">
        <v>-1.1000110000000001</v>
      </c>
      <c r="AH6748">
        <v>4.7804837899071497</v>
      </c>
      <c r="AI6748">
        <v>100.24408256220801</v>
      </c>
      <c r="AJ6748">
        <v>128.242833753383</v>
      </c>
      <c r="AK6748">
        <v>6.1853304162131604</v>
      </c>
      <c r="AL6748">
        <v>80.385695260170493</v>
      </c>
      <c r="AM6748">
        <v>81.0342491046991</v>
      </c>
      <c r="AN6748">
        <v>0.99999993995788805</v>
      </c>
    </row>
    <row r="6749" spans="1:40" x14ac:dyDescent="0.25">
      <c r="A6749" t="str">
        <f>"20190304154930083"</f>
        <v>20190304154930083</v>
      </c>
      <c r="B6749" t="str">
        <f>"1551685770073775"</f>
        <v>1551685770073775</v>
      </c>
      <c r="C6749" t="s">
        <v>40</v>
      </c>
      <c r="D6749">
        <v>4.5622619999999996</v>
      </c>
      <c r="E6749">
        <v>0.69558619999999904</v>
      </c>
      <c r="F6749" t="s">
        <v>97</v>
      </c>
      <c r="G6749">
        <v>-313.41730000000001</v>
      </c>
      <c r="H6749">
        <v>7.7881910000000003</v>
      </c>
      <c r="I6749">
        <v>-79.671169999999904</v>
      </c>
      <c r="J6749">
        <v>-303.88310000000001</v>
      </c>
      <c r="K6749">
        <v>1.0500320000000001</v>
      </c>
      <c r="L6749">
        <v>6.2967529999999998</v>
      </c>
      <c r="M6749">
        <v>0.52041139999999997</v>
      </c>
      <c r="N6749">
        <v>-1.2289309999999999E-2</v>
      </c>
      <c r="O6749">
        <v>-0.85382749999999996</v>
      </c>
      <c r="P6749">
        <v>0.38202540000000001</v>
      </c>
      <c r="Q6749">
        <v>0.1591291</v>
      </c>
      <c r="R6749">
        <v>-0.91034870000000001</v>
      </c>
      <c r="S6749">
        <v>-0.37445070000000003</v>
      </c>
      <c r="T6749">
        <v>0.26812920000000001</v>
      </c>
      <c r="U6749">
        <v>-3.4299010000000001</v>
      </c>
      <c r="V6749">
        <v>0.15190020000000001</v>
      </c>
      <c r="W6749">
        <v>0.1672932</v>
      </c>
      <c r="X6749">
        <v>0.97413519999999998</v>
      </c>
      <c r="Y6749">
        <v>0.6098749</v>
      </c>
      <c r="Z6749">
        <v>-6.5078259999999999E-2</v>
      </c>
      <c r="AA6749">
        <v>0.78982109999999905</v>
      </c>
      <c r="AB6749">
        <v>26</v>
      </c>
      <c r="AC6749">
        <v>-9.5341999999999896</v>
      </c>
      <c r="AD6749">
        <v>6.7381589999999996</v>
      </c>
      <c r="AE6749">
        <v>-85.9679229999999</v>
      </c>
      <c r="AF6749">
        <v>52.564230800007799</v>
      </c>
      <c r="AG6749">
        <v>6.7381589999999996</v>
      </c>
      <c r="AH6749">
        <v>68.0323511287895</v>
      </c>
      <c r="AI6749">
        <v>85.518600334903397</v>
      </c>
      <c r="AJ6749">
        <v>52.309040836216099</v>
      </c>
      <c r="AK6749">
        <v>86.236894345846494</v>
      </c>
      <c r="AL6749">
        <v>80.369523243538396</v>
      </c>
      <c r="AM6749">
        <v>81.137050027234906</v>
      </c>
      <c r="AN6749">
        <v>1.00000003670265</v>
      </c>
    </row>
    <row r="6750" spans="1:40" x14ac:dyDescent="0.25">
      <c r="A6750" t="str">
        <f>"20190304154930106"</f>
        <v>20190304154930106</v>
      </c>
      <c r="B6750" t="str">
        <f>"1551685770104032"</f>
        <v>1551685770104032</v>
      </c>
      <c r="C6750" t="s">
        <v>40</v>
      </c>
      <c r="D6750">
        <v>4.5876929999999998</v>
      </c>
      <c r="E6750">
        <v>0.67869000000000002</v>
      </c>
      <c r="F6750" t="s">
        <v>97</v>
      </c>
      <c r="G6750">
        <v>-311.48320000000001</v>
      </c>
      <c r="H6750">
        <v>7.0140699999999896</v>
      </c>
      <c r="I6750">
        <v>-79.671169999999904</v>
      </c>
      <c r="J6750">
        <v>-303.75779999999997</v>
      </c>
      <c r="K6750">
        <v>1.050057</v>
      </c>
      <c r="L6750">
        <v>6.0590519999999897</v>
      </c>
      <c r="M6750">
        <v>0.50709099999999996</v>
      </c>
      <c r="N6750">
        <v>-1.228281E-2</v>
      </c>
      <c r="O6750">
        <v>-0.86180519999999905</v>
      </c>
      <c r="P6750">
        <v>0.3701121</v>
      </c>
      <c r="Q6750">
        <v>0.15925510000000001</v>
      </c>
      <c r="R6750">
        <v>-0.91523509999999997</v>
      </c>
      <c r="S6750">
        <v>-0.298797599999999</v>
      </c>
      <c r="T6750">
        <v>0.2344782</v>
      </c>
      <c r="U6750">
        <v>-3.3798520000000001</v>
      </c>
      <c r="V6750">
        <v>0.14946400000000001</v>
      </c>
      <c r="W6750">
        <v>0.16748829999999901</v>
      </c>
      <c r="X6750">
        <v>0.97447839999999997</v>
      </c>
      <c r="Y6750">
        <v>0.58097080000000001</v>
      </c>
      <c r="Z6750">
        <v>-6.077627E-2</v>
      </c>
      <c r="AA6750">
        <v>0.81165209999999999</v>
      </c>
      <c r="AB6750">
        <v>26</v>
      </c>
      <c r="AC6750">
        <v>-7.7254000000000298</v>
      </c>
      <c r="AD6750">
        <v>5.9640129999999996</v>
      </c>
      <c r="AE6750">
        <v>-85.730221999999898</v>
      </c>
      <c r="AF6750">
        <v>49.895060060629497</v>
      </c>
      <c r="AG6750">
        <v>5.9640129999999996</v>
      </c>
      <c r="AH6750">
        <v>69.6362395245839</v>
      </c>
      <c r="AI6750">
        <v>86.017545795733398</v>
      </c>
      <c r="AJ6750">
        <v>54.378024605821601</v>
      </c>
      <c r="AK6750">
        <v>85.873699842519997</v>
      </c>
      <c r="AL6750">
        <v>80.3581843566526</v>
      </c>
      <c r="AM6750">
        <v>81.280016665284506</v>
      </c>
      <c r="AN6750">
        <v>0.99999998499972398</v>
      </c>
    </row>
    <row r="6751" spans="1:40" x14ac:dyDescent="0.25">
      <c r="A6751" t="str">
        <f>"20190304154930129"</f>
        <v>20190304154930129</v>
      </c>
      <c r="B6751" t="str">
        <f>"1551685770123551"</f>
        <v>1551685770123551</v>
      </c>
      <c r="C6751" t="s">
        <v>40</v>
      </c>
      <c r="D6751">
        <v>4.5805920000000002</v>
      </c>
      <c r="E6751">
        <v>0.67234269999999996</v>
      </c>
      <c r="F6751" t="s">
        <v>97</v>
      </c>
      <c r="G6751">
        <v>-310.14109999999999</v>
      </c>
      <c r="H6751">
        <v>6.5475640000000004</v>
      </c>
      <c r="I6751">
        <v>-91.564989999999995</v>
      </c>
      <c r="J6751">
        <v>-303.63810000000001</v>
      </c>
      <c r="K6751">
        <v>1.05009</v>
      </c>
      <c r="L6751">
        <v>5.8238529999999997</v>
      </c>
      <c r="M6751">
        <v>0.49395559999999999</v>
      </c>
      <c r="N6751">
        <v>-1.227519E-2</v>
      </c>
      <c r="O6751">
        <v>-0.86940049999999902</v>
      </c>
      <c r="P6751">
        <v>0.35865249999999999</v>
      </c>
      <c r="Q6751">
        <v>0.159168</v>
      </c>
      <c r="R6751">
        <v>-0.91980110000000004</v>
      </c>
      <c r="S6751">
        <v>-0.2179565</v>
      </c>
      <c r="T6751">
        <v>0.1877095</v>
      </c>
      <c r="U6751">
        <v>-3.3333129999999902</v>
      </c>
      <c r="V6751">
        <v>0.1468351</v>
      </c>
      <c r="W6751">
        <v>0.16747699999999999</v>
      </c>
      <c r="X6751">
        <v>0.97487999999999997</v>
      </c>
      <c r="Y6751">
        <v>0.54965959999999903</v>
      </c>
      <c r="Z6751">
        <v>-5.2951159999999997E-2</v>
      </c>
      <c r="AA6751">
        <v>0.83370889999999997</v>
      </c>
      <c r="AB6751">
        <v>26</v>
      </c>
      <c r="AC6751">
        <v>-6.5029999999999797</v>
      </c>
      <c r="AD6751">
        <v>5.4974739999999898</v>
      </c>
      <c r="AE6751">
        <v>-97.388842999999994</v>
      </c>
      <c r="AF6751">
        <v>53.593510013620502</v>
      </c>
      <c r="AG6751">
        <v>5.4974739999999898</v>
      </c>
      <c r="AH6751">
        <v>81.206239936901298</v>
      </c>
      <c r="AI6751">
        <v>86.766114914891901</v>
      </c>
      <c r="AJ6751">
        <v>56.576470767682402</v>
      </c>
      <c r="AK6751">
        <v>97.452244410533197</v>
      </c>
      <c r="AL6751">
        <v>80.358841739499397</v>
      </c>
      <c r="AM6751">
        <v>81.434572038851698</v>
      </c>
      <c r="AN6751">
        <v>1.0000000532605</v>
      </c>
    </row>
    <row r="6752" spans="1:40" x14ac:dyDescent="0.25">
      <c r="A6752" t="str">
        <f>"20190304154930150"</f>
        <v>20190304154930150</v>
      </c>
      <c r="B6752" t="str">
        <f>"1551685770144047"</f>
        <v>1551685770144047</v>
      </c>
      <c r="C6752" t="s">
        <v>40</v>
      </c>
      <c r="D6752">
        <v>4.5663</v>
      </c>
      <c r="E6752">
        <v>0.66820959999999996</v>
      </c>
      <c r="F6752" t="s">
        <v>97</v>
      </c>
      <c r="G6752">
        <v>-309.87150000000003</v>
      </c>
      <c r="H6752">
        <v>6.072794</v>
      </c>
      <c r="I6752">
        <v>-91.564989999999995</v>
      </c>
      <c r="J6752">
        <v>-303.52339999999998</v>
      </c>
      <c r="K6752">
        <v>1.0501229999999999</v>
      </c>
      <c r="L6752">
        <v>5.5901180000000004</v>
      </c>
      <c r="M6752">
        <v>0.48096369999999999</v>
      </c>
      <c r="N6752">
        <v>-1.2265699999999999E-2</v>
      </c>
      <c r="O6752">
        <v>-0.87665479999999996</v>
      </c>
      <c r="P6752">
        <v>0.34717379999999998</v>
      </c>
      <c r="Q6752">
        <v>0.15879219999999999</v>
      </c>
      <c r="R6752">
        <v>-0.92425970000000002</v>
      </c>
      <c r="S6752">
        <v>-0.21215819999999999</v>
      </c>
      <c r="T6752">
        <v>0.17095170000000001</v>
      </c>
      <c r="U6752">
        <v>-3.3146969999999998</v>
      </c>
      <c r="V6752">
        <v>0.14446600000000001</v>
      </c>
      <c r="W6752">
        <v>0.16716900000000001</v>
      </c>
      <c r="X6752">
        <v>0.97528669999999995</v>
      </c>
      <c r="Y6752">
        <v>0.53601330000000003</v>
      </c>
      <c r="Z6752">
        <v>-5.0329899999999997E-2</v>
      </c>
      <c r="AA6752">
        <v>0.84270789999999995</v>
      </c>
      <c r="AB6752">
        <v>26</v>
      </c>
      <c r="AC6752">
        <v>-6.3481000000000396</v>
      </c>
      <c r="AD6752">
        <v>5.0226709999999999</v>
      </c>
      <c r="AE6752">
        <v>-97.155107999999998</v>
      </c>
      <c r="AF6752">
        <v>52.158295322598399</v>
      </c>
      <c r="AG6752">
        <v>5.0226709999999999</v>
      </c>
      <c r="AH6752">
        <v>81.906482416362095</v>
      </c>
      <c r="AI6752">
        <v>87.039029999182404</v>
      </c>
      <c r="AJ6752">
        <v>57.5108927398459</v>
      </c>
      <c r="AK6752">
        <v>97.233671414564398</v>
      </c>
      <c r="AL6752">
        <v>80.376740893154704</v>
      </c>
      <c r="AM6752">
        <v>81.574233502817194</v>
      </c>
      <c r="AN6752">
        <v>1.0000000234569399</v>
      </c>
    </row>
    <row r="6753" spans="1:40" x14ac:dyDescent="0.25">
      <c r="A6753" t="str">
        <f>"20190304154930173"</f>
        <v>20190304154930173</v>
      </c>
      <c r="B6753" t="str">
        <f>"1551685770163567"</f>
        <v>1551685770163567</v>
      </c>
      <c r="C6753" t="s">
        <v>40</v>
      </c>
      <c r="D6753">
        <v>4.4344970000000004</v>
      </c>
      <c r="E6753">
        <v>0.66450849999999995</v>
      </c>
      <c r="F6753" t="s">
        <v>97</v>
      </c>
      <c r="G6753">
        <v>-310.05099999999999</v>
      </c>
      <c r="H6753">
        <v>5.7588939999999997</v>
      </c>
      <c r="I6753">
        <v>-91.564989999999995</v>
      </c>
      <c r="J6753">
        <v>-303.41109999999998</v>
      </c>
      <c r="K6753">
        <v>1.050171</v>
      </c>
      <c r="L6753">
        <v>5.3518980000000003</v>
      </c>
      <c r="M6753">
        <v>0.46780820000000001</v>
      </c>
      <c r="N6753">
        <v>-1.2252620000000001E-2</v>
      </c>
      <c r="O6753">
        <v>-0.88374509999999995</v>
      </c>
      <c r="P6753">
        <v>0.33578400000000003</v>
      </c>
      <c r="Q6753">
        <v>0.15919549999999999</v>
      </c>
      <c r="R6753">
        <v>-0.92838889999999996</v>
      </c>
      <c r="S6753">
        <v>-0.22183230000000001</v>
      </c>
      <c r="T6753">
        <v>0.16002230000000001</v>
      </c>
      <c r="U6753">
        <v>-3.3016969999999999</v>
      </c>
      <c r="V6753">
        <v>0.1418333</v>
      </c>
      <c r="W6753">
        <v>0.16764709999999999</v>
      </c>
      <c r="X6753">
        <v>0.97559099999999999</v>
      </c>
      <c r="Y6753">
        <v>0.52603140000000004</v>
      </c>
      <c r="Z6753">
        <v>-4.8708769999999998E-2</v>
      </c>
      <c r="AA6753">
        <v>0.84906909999999902</v>
      </c>
      <c r="AB6753">
        <v>26</v>
      </c>
      <c r="AC6753">
        <v>-6.6399000000000097</v>
      </c>
      <c r="AD6753">
        <v>4.708723</v>
      </c>
      <c r="AE6753">
        <v>-96.916888</v>
      </c>
      <c r="AF6753">
        <v>51.090300978674897</v>
      </c>
      <c r="AG6753">
        <v>4.708723</v>
      </c>
      <c r="AH6753">
        <v>82.356324857346294</v>
      </c>
      <c r="AI6753">
        <v>87.218447547426706</v>
      </c>
      <c r="AJ6753">
        <v>58.186325349508699</v>
      </c>
      <c r="AK6753">
        <v>97.030691898960896</v>
      </c>
      <c r="AL6753">
        <v>80.348955606806697</v>
      </c>
      <c r="AM6753">
        <v>81.728181714940405</v>
      </c>
      <c r="AN6753">
        <v>1.0000000172041399</v>
      </c>
    </row>
    <row r="6754" spans="1:40" x14ac:dyDescent="0.25">
      <c r="A6754" t="str">
        <f>"20190304154930196"</f>
        <v>20190304154930196</v>
      </c>
      <c r="B6754" t="str">
        <f>"1551685770184064"</f>
        <v>1551685770184064</v>
      </c>
      <c r="C6754" t="s">
        <v>40</v>
      </c>
      <c r="D6754">
        <v>4.4152079999999998</v>
      </c>
      <c r="E6754">
        <v>0.63636000000000004</v>
      </c>
      <c r="F6754" t="s">
        <v>97</v>
      </c>
      <c r="G6754">
        <v>-310.29849999999999</v>
      </c>
      <c r="H6754">
        <v>5.6053800000000003</v>
      </c>
      <c r="I6754">
        <v>-91.564989999999995</v>
      </c>
      <c r="J6754">
        <v>-303.30220000000003</v>
      </c>
      <c r="K6754">
        <v>1.0502279999999999</v>
      </c>
      <c r="L6754">
        <v>5.1118769999999998</v>
      </c>
      <c r="M6754">
        <v>0.45464490000000002</v>
      </c>
      <c r="N6754">
        <v>-1.223614E-2</v>
      </c>
      <c r="O6754">
        <v>-0.89058879999999996</v>
      </c>
      <c r="P6754">
        <v>0.32515080000000002</v>
      </c>
      <c r="Q6754">
        <v>0.15953789999999901</v>
      </c>
      <c r="R6754">
        <v>-0.93210800000000005</v>
      </c>
      <c r="S6754">
        <v>-0.23376459999999999</v>
      </c>
      <c r="T6754">
        <v>0.154609</v>
      </c>
      <c r="U6754">
        <v>-3.2894589999999901</v>
      </c>
      <c r="V6754">
        <v>0.13845959999999999</v>
      </c>
      <c r="W6754">
        <v>0.16808290000000001</v>
      </c>
      <c r="X6754">
        <v>0.97600050000000005</v>
      </c>
      <c r="Y6754">
        <v>0.51665819999999996</v>
      </c>
      <c r="Z6754">
        <v>-4.8216130000000003E-2</v>
      </c>
      <c r="AA6754">
        <v>0.85483299999999995</v>
      </c>
      <c r="AB6754">
        <v>26</v>
      </c>
      <c r="AC6754">
        <v>-6.9962999999999598</v>
      </c>
      <c r="AD6754">
        <v>4.5551519999999996</v>
      </c>
      <c r="AE6754">
        <v>-96.676867000000001</v>
      </c>
      <c r="AF6754">
        <v>50.0776301812841</v>
      </c>
      <c r="AG6754">
        <v>4.5551519999999996</v>
      </c>
      <c r="AH6754">
        <v>82.741972616119398</v>
      </c>
      <c r="AI6754">
        <v>87.303465774025</v>
      </c>
      <c r="AJ6754">
        <v>58.816564749315901</v>
      </c>
      <c r="AK6754">
        <v>96.823305493683705</v>
      </c>
      <c r="AL6754">
        <v>80.323626022981401</v>
      </c>
      <c r="AM6754">
        <v>81.925654965394699</v>
      </c>
      <c r="AN6754">
        <v>0.99999994905240797</v>
      </c>
    </row>
    <row r="6755" spans="1:40" x14ac:dyDescent="0.25">
      <c r="A6755" t="str">
        <f>"20190304154930218"</f>
        <v>20190304154930218</v>
      </c>
      <c r="B6755" t="str">
        <f>"1551685770214319"</f>
        <v>1551685770214319</v>
      </c>
      <c r="C6755" t="s">
        <v>40</v>
      </c>
      <c r="D6755">
        <v>4.6037999999999997</v>
      </c>
      <c r="E6755">
        <v>0.62890409999999997</v>
      </c>
      <c r="F6755" t="s">
        <v>97</v>
      </c>
      <c r="G6755">
        <v>-305.07850000000002</v>
      </c>
      <c r="H6755">
        <v>4.8878269999999997</v>
      </c>
      <c r="I6755">
        <v>-91.564989999999995</v>
      </c>
      <c r="J6755">
        <v>-303.19630000000001</v>
      </c>
      <c r="K6755">
        <v>1.0502929999999999</v>
      </c>
      <c r="L6755">
        <v>4.8692320000000002</v>
      </c>
      <c r="M6755">
        <v>0.44142140000000002</v>
      </c>
      <c r="N6755">
        <v>-1.22182E-2</v>
      </c>
      <c r="O6755">
        <v>-0.89721689999999998</v>
      </c>
      <c r="P6755">
        <v>0.31481700000000001</v>
      </c>
      <c r="Q6755">
        <v>0.160357</v>
      </c>
      <c r="R6755">
        <v>-0.93550869999999997</v>
      </c>
      <c r="S6755">
        <v>-5.911255E-2</v>
      </c>
      <c r="T6755">
        <v>0.12771089999999999</v>
      </c>
      <c r="U6755">
        <v>-3.217285</v>
      </c>
      <c r="V6755">
        <v>0.1347467</v>
      </c>
      <c r="W6755">
        <v>0.16900219999999999</v>
      </c>
      <c r="X6755">
        <v>0.97636140000000005</v>
      </c>
      <c r="Y6755">
        <v>0.45790629999999999</v>
      </c>
      <c r="Z6755">
        <v>-4.359992E-2</v>
      </c>
      <c r="AA6755">
        <v>0.88793060000000001</v>
      </c>
      <c r="AB6755">
        <v>26</v>
      </c>
      <c r="AC6755">
        <v>-1.8822000000000101</v>
      </c>
      <c r="AD6755">
        <v>3.8375339999999998</v>
      </c>
      <c r="AE6755">
        <v>-96.434221999999906</v>
      </c>
      <c r="AF6755">
        <v>44.190215606872201</v>
      </c>
      <c r="AG6755">
        <v>3.8375339999999998</v>
      </c>
      <c r="AH6755">
        <v>85.562510182586607</v>
      </c>
      <c r="AI6755">
        <v>87.717986599971994</v>
      </c>
      <c r="AJ6755">
        <v>62.685137671515101</v>
      </c>
      <c r="AK6755">
        <v>96.376578956343195</v>
      </c>
      <c r="AL6755">
        <v>80.270190067735797</v>
      </c>
      <c r="AM6755">
        <v>82.142300771498299</v>
      </c>
      <c r="AN6755">
        <v>1.00000000008784</v>
      </c>
    </row>
    <row r="6756" spans="1:40" x14ac:dyDescent="0.25">
      <c r="A6756" t="str">
        <f>"20190304154930241"</f>
        <v>20190304154930241</v>
      </c>
      <c r="B6756" t="str">
        <f>"1551685770233839"</f>
        <v>1551685770233839</v>
      </c>
      <c r="C6756" t="s">
        <v>40</v>
      </c>
      <c r="D6756">
        <v>4.6391229999999997</v>
      </c>
      <c r="E6756">
        <v>0.62116990000000005</v>
      </c>
      <c r="F6756" t="s">
        <v>97</v>
      </c>
      <c r="G6756">
        <v>-304.36520000000002</v>
      </c>
      <c r="H6756">
        <v>3.6556639999999998</v>
      </c>
      <c r="I6756">
        <v>-91.564989999999995</v>
      </c>
      <c r="J6756">
        <v>-303.09249999999997</v>
      </c>
      <c r="K6756">
        <v>1.050365</v>
      </c>
      <c r="L6756">
        <v>4.6221920000000001</v>
      </c>
      <c r="M6756">
        <v>0.42805789999999999</v>
      </c>
      <c r="N6756">
        <v>-1.219921E-2</v>
      </c>
      <c r="O6756">
        <v>-0.9036691</v>
      </c>
      <c r="P6756">
        <v>0.30475849999999999</v>
      </c>
      <c r="Q6756">
        <v>0.16172039999999999</v>
      </c>
      <c r="R6756">
        <v>-0.93859950000000003</v>
      </c>
      <c r="S6756">
        <v>-3.8848880000000002E-2</v>
      </c>
      <c r="T6756">
        <v>8.6591479999999998E-2</v>
      </c>
      <c r="U6756">
        <v>-3.2050480000000001</v>
      </c>
      <c r="V6756">
        <v>0.13063250000000001</v>
      </c>
      <c r="W6756">
        <v>0.1704745</v>
      </c>
      <c r="X6756">
        <v>0.97666450000000005</v>
      </c>
      <c r="Y6756">
        <v>0.43903910000000002</v>
      </c>
      <c r="Z6756">
        <v>-3.395898E-2</v>
      </c>
      <c r="AA6756">
        <v>0.89782600000000001</v>
      </c>
      <c r="AB6756">
        <v>26</v>
      </c>
      <c r="AC6756">
        <v>-1.2727000000000399</v>
      </c>
      <c r="AD6756">
        <v>2.605299</v>
      </c>
      <c r="AE6756">
        <v>-96.187181999999893</v>
      </c>
      <c r="AF6756">
        <v>42.295903261126902</v>
      </c>
      <c r="AG6756">
        <v>2.605299</v>
      </c>
      <c r="AH6756">
        <v>86.319696880825305</v>
      </c>
      <c r="AI6756">
        <v>88.447480284061996</v>
      </c>
      <c r="AJ6756">
        <v>63.895546471323897</v>
      </c>
      <c r="AK6756">
        <v>96.160392496867303</v>
      </c>
      <c r="AL6756">
        <v>80.184591129545595</v>
      </c>
      <c r="AM6756">
        <v>82.381692857265904</v>
      </c>
      <c r="AN6756">
        <v>0.99999997538337404</v>
      </c>
    </row>
    <row r="6757" spans="1:40" x14ac:dyDescent="0.25">
      <c r="A6757" t="str">
        <f>"20190304154930263"</f>
        <v>20190304154930263</v>
      </c>
      <c r="B6757" t="str">
        <f>"1551685770254336"</f>
        <v>1551685770254336</v>
      </c>
      <c r="C6757" t="s">
        <v>40</v>
      </c>
      <c r="D6757">
        <v>4.5340989999999897</v>
      </c>
      <c r="E6757">
        <v>0.62062519999999999</v>
      </c>
      <c r="F6757" t="s">
        <v>97</v>
      </c>
      <c r="G6757">
        <v>-303.5575</v>
      </c>
      <c r="H6757">
        <v>2.2395719999999999</v>
      </c>
      <c r="I6757">
        <v>-91.564989999999995</v>
      </c>
      <c r="J6757">
        <v>-302.99509999999998</v>
      </c>
      <c r="K6757">
        <v>1.050449</v>
      </c>
      <c r="L6757">
        <v>4.38089</v>
      </c>
      <c r="M6757">
        <v>0.4151243</v>
      </c>
      <c r="N6757">
        <v>-1.2178080000000001E-2</v>
      </c>
      <c r="O6757">
        <v>-0.90968329999999997</v>
      </c>
      <c r="P6757">
        <v>0.29481619999999997</v>
      </c>
      <c r="Q6757">
        <v>0.1631148</v>
      </c>
      <c r="R6757">
        <v>-0.94152930000000001</v>
      </c>
      <c r="S6757">
        <v>-1.544189E-2</v>
      </c>
      <c r="T6757">
        <v>3.9494990000000001E-2</v>
      </c>
      <c r="U6757">
        <v>-3.194458</v>
      </c>
      <c r="V6757">
        <v>0.1269228</v>
      </c>
      <c r="W6757">
        <v>0.17196610000000001</v>
      </c>
      <c r="X6757">
        <v>0.97689210000000004</v>
      </c>
      <c r="Y6757">
        <v>0.4195469</v>
      </c>
      <c r="Z6757">
        <v>-2.230729E-2</v>
      </c>
      <c r="AA6757">
        <v>0.90745949999999997</v>
      </c>
      <c r="AB6757">
        <v>26</v>
      </c>
      <c r="AC6757">
        <v>-0.56240000000002499</v>
      </c>
      <c r="AD6757">
        <v>1.1891229999999999</v>
      </c>
      <c r="AE6757">
        <v>-95.945880000000002</v>
      </c>
      <c r="AF6757">
        <v>40.337864114502501</v>
      </c>
      <c r="AG6757">
        <v>1.1891229999999999</v>
      </c>
      <c r="AH6757">
        <v>87.039976595999903</v>
      </c>
      <c r="AI6757">
        <v>89.289833664675697</v>
      </c>
      <c r="AJ6757">
        <v>65.1350759356514</v>
      </c>
      <c r="AK6757">
        <v>95.940162709166898</v>
      </c>
      <c r="AL6757">
        <v>80.097847579469899</v>
      </c>
      <c r="AM6757">
        <v>82.597308263652707</v>
      </c>
      <c r="AN6757">
        <v>0.99999995587572899</v>
      </c>
    </row>
    <row r="6758" spans="1:40" x14ac:dyDescent="0.25">
      <c r="A6758" t="str">
        <f>"20190304154930284"</f>
        <v>20190304154930284</v>
      </c>
      <c r="B6758" t="str">
        <f>"1551685770273855"</f>
        <v>1551685770273855</v>
      </c>
      <c r="C6758" t="s">
        <v>40</v>
      </c>
      <c r="D6758">
        <v>4.4193410000000002</v>
      </c>
      <c r="E6758">
        <v>0.62011629999999995</v>
      </c>
      <c r="F6758" t="s">
        <v>97</v>
      </c>
      <c r="G6758">
        <v>-304.33339999999998</v>
      </c>
      <c r="H6758">
        <v>2.8437610000000002</v>
      </c>
      <c r="I6758">
        <v>-91.564989999999995</v>
      </c>
      <c r="J6758">
        <v>-302.9015</v>
      </c>
      <c r="K6758">
        <v>1.050549</v>
      </c>
      <c r="L6758">
        <v>4.1397089999999999</v>
      </c>
      <c r="M6758">
        <v>0.40233740000000001</v>
      </c>
      <c r="N6758">
        <v>-1.215254E-2</v>
      </c>
      <c r="O6758">
        <v>-0.91541079999999997</v>
      </c>
      <c r="P6758">
        <v>0.28525009999999901</v>
      </c>
      <c r="Q6758">
        <v>0.16460449999999999</v>
      </c>
      <c r="R6758">
        <v>-0.94421270000000002</v>
      </c>
      <c r="S6758">
        <v>-4.449463E-2</v>
      </c>
      <c r="T6758">
        <v>5.9623240000000001E-2</v>
      </c>
      <c r="U6758">
        <v>-3.1899410000000001</v>
      </c>
      <c r="V6758">
        <v>0.12302879999999999</v>
      </c>
      <c r="W6758">
        <v>0.17355689999999999</v>
      </c>
      <c r="X6758">
        <v>0.97710900000000001</v>
      </c>
      <c r="Y6758">
        <v>0.41510570000000002</v>
      </c>
      <c r="Z6758">
        <v>-2.7657319999999999E-2</v>
      </c>
      <c r="AA6758">
        <v>0.90935270000000001</v>
      </c>
      <c r="AB6758">
        <v>26</v>
      </c>
      <c r="AC6758">
        <v>-1.43189999999998</v>
      </c>
      <c r="AD6758">
        <v>1.793212</v>
      </c>
      <c r="AE6758">
        <v>-95.704699000000005</v>
      </c>
      <c r="AF6758">
        <v>39.805325503549902</v>
      </c>
      <c r="AG6758">
        <v>1.793212</v>
      </c>
      <c r="AH6758">
        <v>87.008895957176406</v>
      </c>
      <c r="AI6758">
        <v>88.926322202518193</v>
      </c>
      <c r="AJ6758">
        <v>65.416582921</v>
      </c>
      <c r="AK6758">
        <v>95.6986286391151</v>
      </c>
      <c r="AL6758">
        <v>80.005310869357999</v>
      </c>
      <c r="AM6758">
        <v>82.823594337164707</v>
      </c>
      <c r="AN6758">
        <v>1.0000000405240199</v>
      </c>
    </row>
    <row r="6759" spans="1:40" x14ac:dyDescent="0.25">
      <c r="A6759" t="str">
        <f>"20190304154930308"</f>
        <v>20190304154930308</v>
      </c>
      <c r="B6759" t="str">
        <f>"1551685770304111"</f>
        <v>1551685770304111</v>
      </c>
      <c r="C6759" t="s">
        <v>40</v>
      </c>
      <c r="D6759">
        <v>4.4730420000000004</v>
      </c>
      <c r="E6759">
        <v>0.61898710000000001</v>
      </c>
      <c r="F6759" t="s">
        <v>97</v>
      </c>
      <c r="G6759">
        <v>-305.08210000000003</v>
      </c>
      <c r="H6759">
        <v>3.0058150000000001</v>
      </c>
      <c r="I6759">
        <v>-91.564989999999995</v>
      </c>
      <c r="J6759">
        <v>-302.80939999999998</v>
      </c>
      <c r="K6759">
        <v>1.050675</v>
      </c>
      <c r="L6759">
        <v>3.8927309999999999</v>
      </c>
      <c r="M6759">
        <v>0.38940770000000002</v>
      </c>
      <c r="N6759">
        <v>-1.212185E-2</v>
      </c>
      <c r="O6759">
        <v>-0.92098599999999997</v>
      </c>
      <c r="P6759">
        <v>0.27603519999999998</v>
      </c>
      <c r="Q6759">
        <v>0.16652939999999999</v>
      </c>
      <c r="R6759">
        <v>-0.94661150000000005</v>
      </c>
      <c r="S6759">
        <v>-7.2631840000000003E-2</v>
      </c>
      <c r="T6759">
        <v>6.5128560000000002E-2</v>
      </c>
      <c r="U6759">
        <v>-3.1878359999999999</v>
      </c>
      <c r="V6759">
        <v>0.11864909999999999</v>
      </c>
      <c r="W6759">
        <v>0.17559269999999999</v>
      </c>
      <c r="X6759">
        <v>0.97728689999999996</v>
      </c>
      <c r="Y6759">
        <v>0.41032360000000001</v>
      </c>
      <c r="Z6759">
        <v>-2.9276150000000001E-2</v>
      </c>
      <c r="AA6759">
        <v>0.91147</v>
      </c>
      <c r="AB6759">
        <v>26</v>
      </c>
      <c r="AC6759">
        <v>-2.2727000000000399</v>
      </c>
      <c r="AD6759">
        <v>1.9551400000000001</v>
      </c>
      <c r="AE6759">
        <v>-95.457720999999907</v>
      </c>
      <c r="AF6759">
        <v>39.251514849141202</v>
      </c>
      <c r="AG6759">
        <v>1.9551400000000001</v>
      </c>
      <c r="AH6759">
        <v>87.000114404097403</v>
      </c>
      <c r="AI6759">
        <v>88.826487581589106</v>
      </c>
      <c r="AJ6759">
        <v>65.716710655461696</v>
      </c>
      <c r="AK6759">
        <v>95.464778304346297</v>
      </c>
      <c r="AL6759">
        <v>79.886849039348803</v>
      </c>
      <c r="AM6759">
        <v>83.0777904966276</v>
      </c>
      <c r="AN6759">
        <v>1.0000000450678499</v>
      </c>
    </row>
    <row r="6760" spans="1:40" x14ac:dyDescent="0.25">
      <c r="A6760" t="str">
        <f>"20190304154930331"</f>
        <v>20190304154930331</v>
      </c>
      <c r="B6760" t="str">
        <f>"1551685770323631"</f>
        <v>1551685770323631</v>
      </c>
      <c r="C6760" t="s">
        <v>40</v>
      </c>
      <c r="D6760">
        <v>4.3899220000000003</v>
      </c>
      <c r="E6760">
        <v>0.61829799999999902</v>
      </c>
      <c r="F6760" t="s">
        <v>97</v>
      </c>
      <c r="G6760">
        <v>-305.62729999999999</v>
      </c>
      <c r="H6760">
        <v>3.3538199999999998</v>
      </c>
      <c r="I6760">
        <v>-91.564989999999995</v>
      </c>
      <c r="J6760">
        <v>-302.71609999999998</v>
      </c>
      <c r="K6760">
        <v>1.050824</v>
      </c>
      <c r="L6760">
        <v>3.631958</v>
      </c>
      <c r="M6760">
        <v>0.37594909999999998</v>
      </c>
      <c r="N6760">
        <v>-1.2085439999999999E-2</v>
      </c>
      <c r="O6760">
        <v>-0.92656170000000004</v>
      </c>
      <c r="P6760">
        <v>0.26561439999999997</v>
      </c>
      <c r="Q6760">
        <v>0.16773750000000001</v>
      </c>
      <c r="R6760">
        <v>-0.94937550000000004</v>
      </c>
      <c r="S6760">
        <v>-9.3963619999999998E-2</v>
      </c>
      <c r="T6760">
        <v>7.679975E-2</v>
      </c>
      <c r="U6760">
        <v>-3.1830750000000001</v>
      </c>
      <c r="V6760">
        <v>0.1150332</v>
      </c>
      <c r="W6760">
        <v>0.17689240000000001</v>
      </c>
      <c r="X6760">
        <v>0.97748480000000004</v>
      </c>
      <c r="Y6760">
        <v>0.40316469999999999</v>
      </c>
      <c r="Z6760">
        <v>-3.2583109999999998E-2</v>
      </c>
      <c r="AA6760">
        <v>0.9145472</v>
      </c>
      <c r="AB6760">
        <v>26</v>
      </c>
      <c r="AC6760">
        <v>-2.9112</v>
      </c>
      <c r="AD6760">
        <v>2.3029959999999998</v>
      </c>
      <c r="AE6760">
        <v>-95.196947999999907</v>
      </c>
      <c r="AF6760">
        <v>38.466925536965498</v>
      </c>
      <c r="AG6760">
        <v>2.3029959999999998</v>
      </c>
      <c r="AH6760">
        <v>87.066821170264006</v>
      </c>
      <c r="AI6760">
        <v>88.614013661716996</v>
      </c>
      <c r="AJ6760">
        <v>66.163715726221994</v>
      </c>
      <c r="AK6760">
        <v>95.213651854853296</v>
      </c>
      <c r="AL6760">
        <v>79.811197533871805</v>
      </c>
      <c r="AM6760">
        <v>83.288140345053407</v>
      </c>
      <c r="AN6760">
        <v>1.0000000462555101</v>
      </c>
    </row>
    <row r="6761" spans="1:40" x14ac:dyDescent="0.25">
      <c r="A6761" t="str">
        <f>"20190304154930352"</f>
        <v>20190304154930352</v>
      </c>
      <c r="B6761" t="str">
        <f>"1551685770344128"</f>
        <v>1551685770344128</v>
      </c>
      <c r="C6761" t="s">
        <v>40</v>
      </c>
      <c r="D6761">
        <v>4.4054659999999997</v>
      </c>
      <c r="E6761">
        <v>0.61724299999999999</v>
      </c>
      <c r="F6761" t="s">
        <v>97</v>
      </c>
      <c r="G6761">
        <v>-306.37729999999999</v>
      </c>
      <c r="H6761">
        <v>3.5370520000000001</v>
      </c>
      <c r="I6761">
        <v>-91.564989999999995</v>
      </c>
      <c r="J6761">
        <v>-302.6302</v>
      </c>
      <c r="K6761">
        <v>1.0509770000000001</v>
      </c>
      <c r="L6761">
        <v>3.3810419999999999</v>
      </c>
      <c r="M6761">
        <v>0.36322959999999999</v>
      </c>
      <c r="N6761">
        <v>-1.2046799999999899E-2</v>
      </c>
      <c r="O6761">
        <v>-0.93162199999999995</v>
      </c>
      <c r="P6761">
        <v>0.25684370000000001</v>
      </c>
      <c r="Q6761">
        <v>0.1686607</v>
      </c>
      <c r="R6761">
        <v>-0.95162250000000004</v>
      </c>
      <c r="S6761">
        <v>-0.1222839</v>
      </c>
      <c r="T6761">
        <v>8.3039279999999993E-2</v>
      </c>
      <c r="U6761">
        <v>-3.179535</v>
      </c>
      <c r="V6761">
        <v>0.1105568</v>
      </c>
      <c r="W6761">
        <v>0.17792720000000001</v>
      </c>
      <c r="X6761">
        <v>0.97781340000000005</v>
      </c>
      <c r="Y6761">
        <v>0.39879989999999998</v>
      </c>
      <c r="Z6761">
        <v>-3.4463630000000002E-2</v>
      </c>
      <c r="AA6761">
        <v>0.91639020000000004</v>
      </c>
      <c r="AB6761">
        <v>26</v>
      </c>
      <c r="AC6761">
        <v>-3.7470999999999801</v>
      </c>
      <c r="AD6761">
        <v>2.486075</v>
      </c>
      <c r="AE6761">
        <v>-94.946031999999903</v>
      </c>
      <c r="AF6761">
        <v>37.954856540929498</v>
      </c>
      <c r="AG6761">
        <v>2.486075</v>
      </c>
      <c r="AH6761">
        <v>87.039474717329895</v>
      </c>
      <c r="AI6761">
        <v>88.500245839279401</v>
      </c>
      <c r="AJ6761">
        <v>66.439675676555396</v>
      </c>
      <c r="AK6761">
        <v>94.987482664911596</v>
      </c>
      <c r="AL6761">
        <v>79.750951401838407</v>
      </c>
      <c r="AM6761">
        <v>83.549228780346795</v>
      </c>
      <c r="AN6761">
        <v>0.99999996987281903</v>
      </c>
    </row>
    <row r="6762" spans="1:40" x14ac:dyDescent="0.25">
      <c r="A6762" t="str">
        <f>"20190304154930374"</f>
        <v>20190304154930374</v>
      </c>
      <c r="B6762" t="str">
        <f>"1551685770363648"</f>
        <v>1551685770363648</v>
      </c>
      <c r="C6762" t="s">
        <v>40</v>
      </c>
      <c r="D6762">
        <v>4.3757729999999997</v>
      </c>
      <c r="E6762">
        <v>0.61631449999999999</v>
      </c>
      <c r="F6762" t="s">
        <v>97</v>
      </c>
      <c r="G6762">
        <v>-306.90469999999999</v>
      </c>
      <c r="H6762">
        <v>3.6412740000000001</v>
      </c>
      <c r="I6762">
        <v>-91.564989999999995</v>
      </c>
      <c r="J6762">
        <v>-302.55149999999998</v>
      </c>
      <c r="K6762">
        <v>1.0511360000000001</v>
      </c>
      <c r="L6762">
        <v>3.1416629999999999</v>
      </c>
      <c r="M6762">
        <v>0.35130929999999999</v>
      </c>
      <c r="N6762">
        <v>-1.2007260000000001E-2</v>
      </c>
      <c r="O6762">
        <v>-0.93618259999999998</v>
      </c>
      <c r="P6762">
        <v>0.24898960000000001</v>
      </c>
      <c r="Q6762">
        <v>0.16943029999999901</v>
      </c>
      <c r="R6762">
        <v>-0.95357139999999996</v>
      </c>
      <c r="S6762">
        <v>-0.14297489999999999</v>
      </c>
      <c r="T6762">
        <v>8.6640599999999998E-2</v>
      </c>
      <c r="U6762">
        <v>-3.175751</v>
      </c>
      <c r="V6762">
        <v>0.10602930000000001</v>
      </c>
      <c r="W6762">
        <v>0.17880689999999999</v>
      </c>
      <c r="X6762">
        <v>0.97815439999999998</v>
      </c>
      <c r="Y6762">
        <v>0.39308939999999998</v>
      </c>
      <c r="Z6762">
        <v>-3.5646820000000003E-2</v>
      </c>
      <c r="AA6762">
        <v>0.91880899999999999</v>
      </c>
      <c r="AB6762">
        <v>26</v>
      </c>
      <c r="AC6762">
        <v>-4.35320000000001</v>
      </c>
      <c r="AD6762">
        <v>2.5901380000000001</v>
      </c>
      <c r="AE6762">
        <v>-94.706653000000003</v>
      </c>
      <c r="AF6762">
        <v>37.321549149400603</v>
      </c>
      <c r="AG6762">
        <v>2.5901380000000001</v>
      </c>
      <c r="AH6762">
        <v>87.074679553803193</v>
      </c>
      <c r="AI6762">
        <v>88.433888780537501</v>
      </c>
      <c r="AJ6762">
        <v>66.799280779205702</v>
      </c>
      <c r="AK6762">
        <v>94.771338838109003</v>
      </c>
      <c r="AL6762">
        <v>79.6997279612456</v>
      </c>
      <c r="AM6762">
        <v>83.813447118096704</v>
      </c>
      <c r="AN6762">
        <v>1.00000007509272</v>
      </c>
    </row>
    <row r="6763" spans="1:40" x14ac:dyDescent="0.25">
      <c r="A6763" t="str">
        <f>"20190304154930396"</f>
        <v>20190304154930396</v>
      </c>
      <c r="B6763" t="str">
        <f>"1551685770393903"</f>
        <v>1551685770393903</v>
      </c>
      <c r="C6763" t="s">
        <v>40</v>
      </c>
      <c r="D6763">
        <v>4.4343599999999999</v>
      </c>
      <c r="E6763">
        <v>0.61461399999999999</v>
      </c>
      <c r="F6763" t="s">
        <v>97</v>
      </c>
      <c r="G6763">
        <v>-307.38299999999998</v>
      </c>
      <c r="H6763">
        <v>3.7382749999999998</v>
      </c>
      <c r="I6763">
        <v>-91.564989999999995</v>
      </c>
      <c r="J6763">
        <v>-302.47129999999999</v>
      </c>
      <c r="K6763">
        <v>1.0512900000000001</v>
      </c>
      <c r="L6763">
        <v>2.8868710000000002</v>
      </c>
      <c r="M6763">
        <v>0.33882780000000001</v>
      </c>
      <c r="N6763">
        <v>-1.1965450000000001E-2</v>
      </c>
      <c r="O6763">
        <v>-0.94077230000000001</v>
      </c>
      <c r="P6763">
        <v>0.2405514</v>
      </c>
      <c r="Q6763">
        <v>0.1700122</v>
      </c>
      <c r="R6763">
        <v>-0.95563149999999997</v>
      </c>
      <c r="S6763">
        <v>-0.1618347</v>
      </c>
      <c r="T6763">
        <v>9.0009930000000002E-2</v>
      </c>
      <c r="U6763">
        <v>-3.1723330000000001</v>
      </c>
      <c r="V6763">
        <v>0.101567</v>
      </c>
      <c r="W6763">
        <v>0.17949089999999901</v>
      </c>
      <c r="X6763">
        <v>0.97850250000000005</v>
      </c>
      <c r="Y6763">
        <v>0.38634390000000002</v>
      </c>
      <c r="Z6763">
        <v>-3.6786439999999997E-2</v>
      </c>
      <c r="AA6763">
        <v>0.92162089999999997</v>
      </c>
      <c r="AB6763">
        <v>26</v>
      </c>
      <c r="AC6763">
        <v>-4.91169999999999</v>
      </c>
      <c r="AD6763">
        <v>2.686985</v>
      </c>
      <c r="AE6763">
        <v>-94.451860999999994</v>
      </c>
      <c r="AF6763">
        <v>36.596792240655098</v>
      </c>
      <c r="AG6763">
        <v>2.686985</v>
      </c>
      <c r="AH6763">
        <v>87.129394163285397</v>
      </c>
      <c r="AI6763">
        <v>88.371362883169596</v>
      </c>
      <c r="AJ6763">
        <v>67.216226610342602</v>
      </c>
      <c r="AK6763">
        <v>94.541400550008007</v>
      </c>
      <c r="AL6763">
        <v>79.659892318978805</v>
      </c>
      <c r="AM6763">
        <v>84.074011015995197</v>
      </c>
      <c r="AN6763">
        <v>0.99999999058903</v>
      </c>
    </row>
    <row r="6764" spans="1:40" x14ac:dyDescent="0.25">
      <c r="A6764" t="str">
        <f>"20190304154930419"</f>
        <v>20190304154930419</v>
      </c>
      <c r="B6764" t="str">
        <f>"1551685770414399"</f>
        <v>1551685770414399</v>
      </c>
      <c r="C6764" t="s">
        <v>40</v>
      </c>
      <c r="D6764">
        <v>4.3796710000000001</v>
      </c>
      <c r="E6764">
        <v>0.61339650000000001</v>
      </c>
      <c r="F6764" t="s">
        <v>97</v>
      </c>
      <c r="G6764">
        <v>-307.7099</v>
      </c>
      <c r="H6764">
        <v>3.8812060000000002</v>
      </c>
      <c r="I6764">
        <v>-91.564989999999995</v>
      </c>
      <c r="J6764">
        <v>-302.39420000000001</v>
      </c>
      <c r="K6764">
        <v>1.051436</v>
      </c>
      <c r="L6764">
        <v>2.6311339999999999</v>
      </c>
      <c r="M6764">
        <v>0.32650590000000002</v>
      </c>
      <c r="N6764">
        <v>-1.192551E-2</v>
      </c>
      <c r="O6764">
        <v>-0.94512010000000002</v>
      </c>
      <c r="P6764">
        <v>0.2327314</v>
      </c>
      <c r="Q6764">
        <v>0.17032059999999999</v>
      </c>
      <c r="R6764">
        <v>-0.95751109999999995</v>
      </c>
      <c r="S6764">
        <v>-0.1756287</v>
      </c>
      <c r="T6764">
        <v>9.4877240000000002E-2</v>
      </c>
      <c r="U6764">
        <v>-3.1666259999999999</v>
      </c>
      <c r="V6764">
        <v>9.6694719999999998E-2</v>
      </c>
      <c r="W6764">
        <v>0.1799074</v>
      </c>
      <c r="X6764">
        <v>0.9789196</v>
      </c>
      <c r="Y6764">
        <v>0.37836379999999997</v>
      </c>
      <c r="Z6764">
        <v>-3.837459E-2</v>
      </c>
      <c r="AA6764">
        <v>0.92486120000000005</v>
      </c>
      <c r="AB6764">
        <v>26</v>
      </c>
      <c r="AC6764">
        <v>-5.3156999999999899</v>
      </c>
      <c r="AD6764">
        <v>2.8297699999999999</v>
      </c>
      <c r="AE6764">
        <v>-94.196123999999998</v>
      </c>
      <c r="AF6764">
        <v>35.749942792847499</v>
      </c>
      <c r="AG6764">
        <v>2.8297699999999999</v>
      </c>
      <c r="AH6764">
        <v>87.218773335920503</v>
      </c>
      <c r="AI6764">
        <v>88.280467396422097</v>
      </c>
      <c r="AJ6764">
        <v>67.711856699686905</v>
      </c>
      <c r="AK6764">
        <v>94.3036607463753</v>
      </c>
      <c r="AL6764">
        <v>79.635634487877695</v>
      </c>
      <c r="AM6764">
        <v>84.358795415814299</v>
      </c>
      <c r="AN6764">
        <v>1.0000000623573899</v>
      </c>
    </row>
    <row r="6765" spans="1:40" x14ac:dyDescent="0.25">
      <c r="A6765" t="str">
        <f>"20190304154930441"</f>
        <v>20190304154930441</v>
      </c>
      <c r="B6765" t="str">
        <f>"1551685770433919"</f>
        <v>1551685770433919</v>
      </c>
      <c r="C6765" t="s">
        <v>40</v>
      </c>
      <c r="D6765">
        <v>4.3652920000000002</v>
      </c>
      <c r="E6765">
        <v>0.61198589999999997</v>
      </c>
      <c r="F6765" t="s">
        <v>97</v>
      </c>
      <c r="G6765">
        <v>-308.10520000000002</v>
      </c>
      <c r="H6765">
        <v>4.1790940000000001</v>
      </c>
      <c r="I6765">
        <v>-91.564989999999995</v>
      </c>
      <c r="J6765">
        <v>-302.32069999999999</v>
      </c>
      <c r="K6765">
        <v>1.0515810000000001</v>
      </c>
      <c r="L6765">
        <v>2.376312</v>
      </c>
      <c r="M6765">
        <v>0.3144478</v>
      </c>
      <c r="N6765">
        <v>-1.188591E-2</v>
      </c>
      <c r="O6765">
        <v>-0.9492005</v>
      </c>
      <c r="P6765">
        <v>0.2253608</v>
      </c>
      <c r="Q6765">
        <v>0.17051359999999999</v>
      </c>
      <c r="R6765">
        <v>-0.95923809999999998</v>
      </c>
      <c r="S6765">
        <v>-0.1916504</v>
      </c>
      <c r="T6765">
        <v>0.1049587</v>
      </c>
      <c r="U6765">
        <v>-3.161041</v>
      </c>
      <c r="V6765">
        <v>9.1682040000000006E-2</v>
      </c>
      <c r="W6765">
        <v>0.1802076</v>
      </c>
      <c r="X6765">
        <v>0.97934650000000001</v>
      </c>
      <c r="Y6765">
        <v>0.37132900000000002</v>
      </c>
      <c r="Z6765">
        <v>-4.1432660000000003E-2</v>
      </c>
      <c r="AA6765">
        <v>0.92757650000000003</v>
      </c>
      <c r="AB6765">
        <v>26</v>
      </c>
      <c r="AC6765">
        <v>-5.7845000000000297</v>
      </c>
      <c r="AD6765">
        <v>3.127513</v>
      </c>
      <c r="AE6765">
        <v>-93.941301999999993</v>
      </c>
      <c r="AF6765">
        <v>34.994115837132597</v>
      </c>
      <c r="AG6765">
        <v>3.127513</v>
      </c>
      <c r="AH6765">
        <v>87.260014880313904</v>
      </c>
      <c r="AI6765">
        <v>88.094703528995396</v>
      </c>
      <c r="AJ6765">
        <v>68.147602621191893</v>
      </c>
      <c r="AK6765">
        <v>94.067420915534996</v>
      </c>
      <c r="AL6765">
        <v>79.618147550807393</v>
      </c>
      <c r="AM6765">
        <v>84.651812585858295</v>
      </c>
      <c r="AN6765">
        <v>0.99999997130928497</v>
      </c>
    </row>
    <row r="6766" spans="1:40" x14ac:dyDescent="0.25">
      <c r="A6766" t="str">
        <f>"20190304154930464"</f>
        <v>20190304154930464</v>
      </c>
      <c r="B6766" t="str">
        <f>"1551685770454415"</f>
        <v>1551685770454415</v>
      </c>
      <c r="C6766" t="s">
        <v>40</v>
      </c>
      <c r="D6766">
        <v>4.2903479999999998</v>
      </c>
      <c r="E6766">
        <v>0.61063999999999996</v>
      </c>
      <c r="F6766" t="s">
        <v>97</v>
      </c>
      <c r="G6766">
        <v>-308.40309999999999</v>
      </c>
      <c r="H6766">
        <v>4.2970499999999996</v>
      </c>
      <c r="I6766">
        <v>-91.564989999999995</v>
      </c>
      <c r="J6766">
        <v>-302.25040000000001</v>
      </c>
      <c r="K6766">
        <v>1.0517219999999901</v>
      </c>
      <c r="L6766">
        <v>2.1212770000000001</v>
      </c>
      <c r="M6766">
        <v>0.30260540000000002</v>
      </c>
      <c r="N6766">
        <v>-1.1844260000000001E-2</v>
      </c>
      <c r="O6766">
        <v>-0.95304250000000001</v>
      </c>
      <c r="P6766">
        <v>0.2205453</v>
      </c>
      <c r="Q6766">
        <v>0.17140549999999999</v>
      </c>
      <c r="R6766">
        <v>-0.960198</v>
      </c>
      <c r="S6766">
        <v>-0.20434569999999999</v>
      </c>
      <c r="T6766">
        <v>0.1090368</v>
      </c>
      <c r="U6766">
        <v>-3.1560969999999999</v>
      </c>
      <c r="V6766">
        <v>8.4293370000000006E-2</v>
      </c>
      <c r="W6766">
        <v>0.18125340000000001</v>
      </c>
      <c r="X6766">
        <v>0.9798173</v>
      </c>
      <c r="Y6766">
        <v>0.36355769999999998</v>
      </c>
      <c r="Z6766">
        <v>-4.2831540000000001E-2</v>
      </c>
      <c r="AA6766">
        <v>0.93058649999999998</v>
      </c>
      <c r="AB6766">
        <v>26</v>
      </c>
      <c r="AC6766">
        <v>-6.1526999999999799</v>
      </c>
      <c r="AD6766">
        <v>3.2453280000000002</v>
      </c>
      <c r="AE6766">
        <v>-93.686267000000001</v>
      </c>
      <c r="AF6766">
        <v>34.175316741837698</v>
      </c>
      <c r="AG6766">
        <v>3.2453280000000002</v>
      </c>
      <c r="AH6766">
        <v>87.3269342821294</v>
      </c>
      <c r="AI6766">
        <v>88.017943411223101</v>
      </c>
      <c r="AJ6766">
        <v>68.627154358883303</v>
      </c>
      <c r="AK6766">
        <v>93.832179338155896</v>
      </c>
      <c r="AL6766">
        <v>79.557225253341201</v>
      </c>
      <c r="AM6766">
        <v>85.082968992266402</v>
      </c>
      <c r="AN6766">
        <v>1.0000000543084</v>
      </c>
    </row>
    <row r="6767" spans="1:40" x14ac:dyDescent="0.25">
      <c r="A6767" t="str">
        <f>"20190304154930498"</f>
        <v>20190304154930498</v>
      </c>
      <c r="B6767" t="str">
        <f>"1551685770494432"</f>
        <v>1551685770494432</v>
      </c>
      <c r="C6767" t="s">
        <v>40</v>
      </c>
      <c r="D6767">
        <v>4.3233199999999998</v>
      </c>
      <c r="E6767">
        <v>0.60840830000000001</v>
      </c>
      <c r="F6767" t="s">
        <v>97</v>
      </c>
      <c r="G6767">
        <v>-308.46589999999998</v>
      </c>
      <c r="H6767">
        <v>4.4785320000000004</v>
      </c>
      <c r="I6767">
        <v>-91.564989999999995</v>
      </c>
      <c r="J6767">
        <v>-302.14949999999999</v>
      </c>
      <c r="K6767">
        <v>1.0519579999999999</v>
      </c>
      <c r="L6767">
        <v>1.7342529999999901</v>
      </c>
      <c r="M6767">
        <v>0.28506419999999999</v>
      </c>
      <c r="N6767">
        <v>-1.177799E-2</v>
      </c>
      <c r="O6767">
        <v>-0.95843610000000001</v>
      </c>
      <c r="P6767">
        <v>0.21001049999999999</v>
      </c>
      <c r="Q6767">
        <v>0.17123969999999999</v>
      </c>
      <c r="R6767">
        <v>-0.96258659999999996</v>
      </c>
      <c r="S6767">
        <v>-0.2091064</v>
      </c>
      <c r="T6767">
        <v>0.1152864</v>
      </c>
      <c r="U6767">
        <v>-3.1518250000000001</v>
      </c>
      <c r="V6767">
        <v>7.6933619999999994E-2</v>
      </c>
      <c r="W6767">
        <v>0.181229</v>
      </c>
      <c r="X6767">
        <v>0.9804271</v>
      </c>
      <c r="Y6767">
        <v>0.347887</v>
      </c>
      <c r="Z6767">
        <v>-4.4974729999999997E-2</v>
      </c>
      <c r="AA6767">
        <v>0.93645710000000004</v>
      </c>
      <c r="AB6767">
        <v>26</v>
      </c>
      <c r="AC6767">
        <v>-6.3163999999999803</v>
      </c>
      <c r="AD6767">
        <v>3.426574</v>
      </c>
      <c r="AE6767">
        <v>-93.299243000000004</v>
      </c>
      <c r="AF6767">
        <v>32.6086199625706</v>
      </c>
      <c r="AG6767">
        <v>3.426574</v>
      </c>
      <c r="AH6767">
        <v>87.509359211745505</v>
      </c>
      <c r="AI6767">
        <v>87.898644212541399</v>
      </c>
      <c r="AJ6767">
        <v>69.563092806446505</v>
      </c>
      <c r="AK6767">
        <v>93.450261930564693</v>
      </c>
      <c r="AL6767">
        <v>79.558646402075794</v>
      </c>
      <c r="AM6767">
        <v>85.513223062006901</v>
      </c>
      <c r="AN6767">
        <v>1.0000000153708499</v>
      </c>
    </row>
    <row r="6768" spans="1:40" x14ac:dyDescent="0.25">
      <c r="A6768" t="str">
        <f>"20190304154930520"</f>
        <v>20190304154930520</v>
      </c>
      <c r="B6768" t="str">
        <f>"1551685770513954"</f>
        <v>1551685770513954</v>
      </c>
      <c r="C6768" t="s">
        <v>40</v>
      </c>
      <c r="D6768">
        <v>4.3938949999999997</v>
      </c>
      <c r="E6768">
        <v>0.60861989999999999</v>
      </c>
      <c r="F6768" t="s">
        <v>97</v>
      </c>
      <c r="G6768">
        <v>-308.85680000000002</v>
      </c>
      <c r="H6768">
        <v>4.5898190000000003</v>
      </c>
      <c r="I6768">
        <v>-91.564989999999995</v>
      </c>
      <c r="J6768">
        <v>-302.08550000000002</v>
      </c>
      <c r="K6768">
        <v>1.052111</v>
      </c>
      <c r="L6768">
        <v>1.473328</v>
      </c>
      <c r="M6768">
        <v>0.27351999999999999</v>
      </c>
      <c r="N6768">
        <v>-1.173391E-2</v>
      </c>
      <c r="O6768">
        <v>-0.9617947</v>
      </c>
      <c r="P6768">
        <v>0.202486</v>
      </c>
      <c r="Q6768">
        <v>0.17042270000000001</v>
      </c>
      <c r="R6768">
        <v>-0.96434219999999904</v>
      </c>
      <c r="S6768">
        <v>-0.2260742</v>
      </c>
      <c r="T6768">
        <v>0.11924650000000001</v>
      </c>
      <c r="U6768">
        <v>-3.144714</v>
      </c>
      <c r="V6768">
        <v>7.2746660000000005E-2</v>
      </c>
      <c r="W6768">
        <v>0.1804876</v>
      </c>
      <c r="X6768">
        <v>0.98088339999999996</v>
      </c>
      <c r="Y6768">
        <v>0.34177269999999998</v>
      </c>
      <c r="Z6768">
        <v>-4.6373249999999998E-2</v>
      </c>
      <c r="AA6768">
        <v>0.93863779999999997</v>
      </c>
      <c r="AB6768">
        <v>26</v>
      </c>
      <c r="AC6768">
        <v>-6.7712999999999903</v>
      </c>
      <c r="AD6768">
        <v>3.5377079999999999</v>
      </c>
      <c r="AE6768">
        <v>-93.038318000000004</v>
      </c>
      <c r="AF6768">
        <v>31.916739571180798</v>
      </c>
      <c r="AG6768">
        <v>3.5377079999999999</v>
      </c>
      <c r="AH6768">
        <v>87.511850601094594</v>
      </c>
      <c r="AI6768">
        <v>87.825040932907697</v>
      </c>
      <c r="AJ6768">
        <v>69.962412558342805</v>
      </c>
      <c r="AK6768">
        <v>93.217582238417606</v>
      </c>
      <c r="AL6768">
        <v>79.601838091138106</v>
      </c>
      <c r="AM6768">
        <v>85.758456371884193</v>
      </c>
      <c r="AN6768">
        <v>1.00000004734523</v>
      </c>
    </row>
    <row r="6769" spans="1:40" x14ac:dyDescent="0.25">
      <c r="A6769" t="str">
        <f>"20190304154930542"</f>
        <v>20190304154930542</v>
      </c>
      <c r="B6769" t="str">
        <f>"1551685770534447"</f>
        <v>1551685770534447</v>
      </c>
      <c r="C6769" t="s">
        <v>40</v>
      </c>
      <c r="D6769">
        <v>4.3914339999999896</v>
      </c>
      <c r="E6769">
        <v>0.60864010000000002</v>
      </c>
      <c r="F6769" t="s">
        <v>97</v>
      </c>
      <c r="G6769">
        <v>-309.54730000000001</v>
      </c>
      <c r="H6769">
        <v>4.4148949999999996</v>
      </c>
      <c r="I6769">
        <v>-91.564989999999995</v>
      </c>
      <c r="J6769">
        <v>-302.0247</v>
      </c>
      <c r="K6769">
        <v>1.05226</v>
      </c>
      <c r="L6769">
        <v>1.2128909999999999</v>
      </c>
      <c r="M6769">
        <v>0.2621966</v>
      </c>
      <c r="N6769">
        <v>-1.16927E-2</v>
      </c>
      <c r="O6769">
        <v>-0.96494360000000001</v>
      </c>
      <c r="P6769">
        <v>0.19494439999999999</v>
      </c>
      <c r="Q6769">
        <v>0.16943329999999901</v>
      </c>
      <c r="R6769">
        <v>-0.96606899999999996</v>
      </c>
      <c r="S6769">
        <v>-0.25213619999999998</v>
      </c>
      <c r="T6769">
        <v>0.1136302</v>
      </c>
      <c r="U6769">
        <v>-3.143799</v>
      </c>
      <c r="V6769">
        <v>6.8834629999999994E-2</v>
      </c>
      <c r="W6769">
        <v>0.17956639999999999</v>
      </c>
      <c r="X6769">
        <v>0.9813347</v>
      </c>
      <c r="Y6769">
        <v>0.33848329999999999</v>
      </c>
      <c r="Z6769">
        <v>-4.4907330000000002E-2</v>
      </c>
      <c r="AA6769">
        <v>0.93990019999999996</v>
      </c>
      <c r="AB6769">
        <v>26</v>
      </c>
      <c r="AC6769">
        <v>-7.5226000000000104</v>
      </c>
      <c r="AD6769">
        <v>3.362635</v>
      </c>
      <c r="AE6769">
        <v>-92.777880999999994</v>
      </c>
      <c r="AF6769">
        <v>31.5459214036084</v>
      </c>
      <c r="AG6769">
        <v>3.362635</v>
      </c>
      <c r="AH6769">
        <v>87.444891907989302</v>
      </c>
      <c r="AI6769">
        <v>87.928370463611401</v>
      </c>
      <c r="AJ6769">
        <v>70.1629886883658</v>
      </c>
      <c r="AK6769">
        <v>93.021833953893804</v>
      </c>
      <c r="AL6769">
        <v>79.655495621981402</v>
      </c>
      <c r="AM6769">
        <v>85.987623240725199</v>
      </c>
      <c r="AN6769">
        <v>1.0000000458601399</v>
      </c>
    </row>
    <row r="6770" spans="1:40" x14ac:dyDescent="0.25">
      <c r="A6770" t="str">
        <f>"20190304154930563"</f>
        <v>20190304154930563</v>
      </c>
      <c r="B6770" t="str">
        <f>"1551685770553968"</f>
        <v>1551685770553968</v>
      </c>
      <c r="C6770" t="s">
        <v>40</v>
      </c>
      <c r="D6770">
        <v>4.344938</v>
      </c>
      <c r="E6770">
        <v>0.60875109999999999</v>
      </c>
      <c r="F6770" t="s">
        <v>97</v>
      </c>
      <c r="G6770">
        <v>-310.19260000000003</v>
      </c>
      <c r="H6770">
        <v>4.2838909999999997</v>
      </c>
      <c r="I6770">
        <v>-91.564989999999995</v>
      </c>
      <c r="J6770">
        <v>-301.9683</v>
      </c>
      <c r="K6770">
        <v>1.052624</v>
      </c>
      <c r="L6770">
        <v>0.96038820000000003</v>
      </c>
      <c r="M6770">
        <v>0.2509304</v>
      </c>
      <c r="N6770">
        <v>-1.193673E-2</v>
      </c>
      <c r="O6770">
        <v>-0.9679316</v>
      </c>
      <c r="P6770">
        <v>0.18714500000000001</v>
      </c>
      <c r="Q6770">
        <v>0.16921849999999999</v>
      </c>
      <c r="R6770">
        <v>-0.96764760000000005</v>
      </c>
      <c r="S6770">
        <v>-0.2766113</v>
      </c>
      <c r="T6770">
        <v>0.1094422</v>
      </c>
      <c r="U6770">
        <v>-3.1419980000000001</v>
      </c>
      <c r="V6770">
        <v>6.5192879999999995E-2</v>
      </c>
      <c r="W6770">
        <v>0.17970939999999999</v>
      </c>
      <c r="X6770">
        <v>0.98155709999999996</v>
      </c>
      <c r="Y6770">
        <v>0.33482659999999997</v>
      </c>
      <c r="Z6770">
        <v>-4.4128830000000001E-2</v>
      </c>
      <c r="AA6770">
        <v>0.94124589999999997</v>
      </c>
      <c r="AB6770">
        <v>26</v>
      </c>
      <c r="AC6770">
        <v>-8.2243000000000208</v>
      </c>
      <c r="AD6770">
        <v>3.2312669999999999</v>
      </c>
      <c r="AE6770">
        <v>-92.525378200000006</v>
      </c>
      <c r="AF6770">
        <v>31.142525126439899</v>
      </c>
      <c r="AG6770">
        <v>3.2312669999999999</v>
      </c>
      <c r="AH6770">
        <v>87.394985664714795</v>
      </c>
      <c r="AI6770">
        <v>88.005310085356697</v>
      </c>
      <c r="AJ6770">
        <v>70.386869000519098</v>
      </c>
      <c r="AK6770">
        <v>92.834161153165695</v>
      </c>
      <c r="AL6770">
        <v>79.6471659444436</v>
      </c>
      <c r="AM6770">
        <v>86.200120337721998</v>
      </c>
      <c r="AN6770">
        <v>0.99999996030573102</v>
      </c>
    </row>
    <row r="6771" spans="1:40" x14ac:dyDescent="0.25">
      <c r="A6771" t="str">
        <f>"20190304154930586"</f>
        <v>20190304154930586</v>
      </c>
      <c r="B6771" t="str">
        <f>"1551685770584223"</f>
        <v>1551685770584223</v>
      </c>
      <c r="C6771" t="s">
        <v>40</v>
      </c>
      <c r="D6771">
        <v>4.3584239999999896</v>
      </c>
      <c r="E6771">
        <v>0.60844419999999899</v>
      </c>
      <c r="F6771" t="s">
        <v>97</v>
      </c>
      <c r="G6771">
        <v>-310.86149999999998</v>
      </c>
      <c r="H6771">
        <v>4.176113</v>
      </c>
      <c r="I6771">
        <v>-91.564989999999995</v>
      </c>
      <c r="J6771">
        <v>-301.9135</v>
      </c>
      <c r="K6771">
        <v>1.0533859999999999</v>
      </c>
      <c r="L6771">
        <v>0.70465089999999997</v>
      </c>
      <c r="M6771">
        <v>0.23994090000000001</v>
      </c>
      <c r="N6771">
        <v>-1.28859E-2</v>
      </c>
      <c r="O6771">
        <v>-0.97070210000000001</v>
      </c>
      <c r="P6771">
        <v>0.17916850000000001</v>
      </c>
      <c r="Q6771">
        <v>0.16910799999999901</v>
      </c>
      <c r="R6771">
        <v>-0.96917560000000003</v>
      </c>
      <c r="S6771">
        <v>-0.3018188</v>
      </c>
      <c r="T6771">
        <v>0.1060058</v>
      </c>
      <c r="U6771">
        <v>-3.1401370000000002</v>
      </c>
      <c r="V6771">
        <v>6.200195E-2</v>
      </c>
      <c r="W6771">
        <v>0.18064939999999999</v>
      </c>
      <c r="X6771">
        <v>0.98159130000000006</v>
      </c>
      <c r="Y6771">
        <v>0.33168520000000001</v>
      </c>
      <c r="Z6771">
        <v>-4.4255000000000003E-2</v>
      </c>
      <c r="AA6771">
        <v>0.94235159999999996</v>
      </c>
      <c r="AB6771">
        <v>26</v>
      </c>
      <c r="AC6771">
        <v>-8.9479999999999702</v>
      </c>
      <c r="AD6771">
        <v>3.1227269999999998</v>
      </c>
      <c r="AE6771">
        <v>-92.269640899999999</v>
      </c>
      <c r="AF6771">
        <v>30.792717925599302</v>
      </c>
      <c r="AG6771">
        <v>3.1227269999999998</v>
      </c>
      <c r="AH6771">
        <v>87.327499424410107</v>
      </c>
      <c r="AI6771">
        <v>88.068506861100204</v>
      </c>
      <c r="AJ6771">
        <v>70.576741849352402</v>
      </c>
      <c r="AK6771">
        <v>92.650067765125797</v>
      </c>
      <c r="AL6771">
        <v>79.592411825459905</v>
      </c>
      <c r="AM6771">
        <v>86.3857291395571</v>
      </c>
      <c r="AN6771">
        <v>0.99999996387992496</v>
      </c>
    </row>
    <row r="6772" spans="1:40" x14ac:dyDescent="0.25">
      <c r="A6772" t="str">
        <f>"20190304154930608"</f>
        <v>20190304154930608</v>
      </c>
      <c r="B6772" t="str">
        <f>"1551685770603747"</f>
        <v>1551685770603747</v>
      </c>
      <c r="C6772" t="s">
        <v>40</v>
      </c>
      <c r="D6772">
        <v>4.4796769999999997</v>
      </c>
      <c r="E6772">
        <v>0.60771839999999999</v>
      </c>
      <c r="F6772" t="s">
        <v>97</v>
      </c>
      <c r="G6772">
        <v>-311.43529999999998</v>
      </c>
      <c r="H6772">
        <v>4.0246779999999998</v>
      </c>
      <c r="I6772">
        <v>-91.564989999999995</v>
      </c>
      <c r="J6772">
        <v>-301.8605</v>
      </c>
      <c r="K6772">
        <v>1.053992</v>
      </c>
      <c r="L6772">
        <v>0.4464417</v>
      </c>
      <c r="M6772">
        <v>0.23047529999999999</v>
      </c>
      <c r="N6772">
        <v>-1.3611420000000001E-2</v>
      </c>
      <c r="O6772">
        <v>-0.97298289999999998</v>
      </c>
      <c r="P6772">
        <v>0.17290800000000001</v>
      </c>
      <c r="Q6772">
        <v>0.16931179999999901</v>
      </c>
      <c r="R6772">
        <v>-0.97027629999999998</v>
      </c>
      <c r="S6772">
        <v>-0.32379150000000001</v>
      </c>
      <c r="T6772">
        <v>0.1010394</v>
      </c>
      <c r="U6772">
        <v>-3.1376339999999998</v>
      </c>
      <c r="V6772">
        <v>5.8800970000000001E-2</v>
      </c>
      <c r="W6772">
        <v>0.18162200000000001</v>
      </c>
      <c r="X6772">
        <v>0.98160879999999995</v>
      </c>
      <c r="Y6772">
        <v>0.32910420000000001</v>
      </c>
      <c r="Z6772">
        <v>-4.3670760000000003E-2</v>
      </c>
      <c r="AA6772">
        <v>0.94328330000000005</v>
      </c>
      <c r="AB6772">
        <v>26</v>
      </c>
      <c r="AC6772">
        <v>-9.5747999999999802</v>
      </c>
      <c r="AD6772">
        <v>2.9706860000000002</v>
      </c>
      <c r="AE6772">
        <v>-92.011431700000003</v>
      </c>
      <c r="AF6772">
        <v>30.493863055492401</v>
      </c>
      <c r="AG6772">
        <v>2.9706860000000002</v>
      </c>
      <c r="AH6772">
        <v>87.236930183858405</v>
      </c>
      <c r="AI6772">
        <v>88.158817189400395</v>
      </c>
      <c r="AJ6772">
        <v>70.732812750819093</v>
      </c>
      <c r="AK6772">
        <v>92.460708667309603</v>
      </c>
      <c r="AL6772">
        <v>79.535748700567694</v>
      </c>
      <c r="AM6772">
        <v>86.571927312136395</v>
      </c>
      <c r="AN6772">
        <v>0.99999997059719004</v>
      </c>
    </row>
    <row r="6773" spans="1:40" x14ac:dyDescent="0.25">
      <c r="A6773" t="str">
        <f>"20190304154930631"</f>
        <v>20190304154930631</v>
      </c>
      <c r="B6773" t="str">
        <f>"1551685770624239"</f>
        <v>1551685770624239</v>
      </c>
      <c r="C6773" t="s">
        <v>40</v>
      </c>
      <c r="D6773">
        <v>4.3356120000000002</v>
      </c>
      <c r="E6773">
        <v>0.60736999999999997</v>
      </c>
      <c r="F6773" t="s">
        <v>97</v>
      </c>
      <c r="G6773">
        <v>-311.77089999999998</v>
      </c>
      <c r="H6773">
        <v>3.8621460000000001</v>
      </c>
      <c r="I6773">
        <v>-91.564989999999995</v>
      </c>
      <c r="J6773">
        <v>-301.81060000000002</v>
      </c>
      <c r="K6773">
        <v>1.0542320000000001</v>
      </c>
      <c r="L6773">
        <v>0.18832399999999999</v>
      </c>
      <c r="M6773">
        <v>0.22172030000000001</v>
      </c>
      <c r="N6773">
        <v>-1.256841E-2</v>
      </c>
      <c r="O6773">
        <v>-0.97502940000000005</v>
      </c>
      <c r="P6773">
        <v>0.16710820000000001</v>
      </c>
      <c r="Q6773">
        <v>0.17031540000000001</v>
      </c>
      <c r="R6773">
        <v>-0.9711166</v>
      </c>
      <c r="S6773">
        <v>-0.33770749999999999</v>
      </c>
      <c r="T6773">
        <v>9.569097E-2</v>
      </c>
      <c r="U6773">
        <v>-3.1353759999999999</v>
      </c>
      <c r="V6773">
        <v>5.5956110000000003E-2</v>
      </c>
      <c r="W6773">
        <v>0.18160699999999999</v>
      </c>
      <c r="X6773">
        <v>0.98177789999999998</v>
      </c>
      <c r="Y6773">
        <v>0.32482749999999999</v>
      </c>
      <c r="Z6773">
        <v>-4.1165170000000001E-2</v>
      </c>
      <c r="AA6773">
        <v>0.94487699999999997</v>
      </c>
      <c r="AB6773">
        <v>26</v>
      </c>
      <c r="AC6773">
        <v>-9.9602999999999593</v>
      </c>
      <c r="AD6773">
        <v>2.8079139999999998</v>
      </c>
      <c r="AE6773">
        <v>-91.753314000000003</v>
      </c>
      <c r="AF6773">
        <v>30.029732594574899</v>
      </c>
      <c r="AG6773">
        <v>2.8079139999999998</v>
      </c>
      <c r="AH6773">
        <v>87.179965997438899</v>
      </c>
      <c r="AI6773">
        <v>88.255751580989795</v>
      </c>
      <c r="AJ6773">
        <v>70.993382682792202</v>
      </c>
      <c r="AK6773">
        <v>92.249746298012496</v>
      </c>
      <c r="AL6773">
        <v>79.536623160605103</v>
      </c>
      <c r="AM6773">
        <v>86.737974862347897</v>
      </c>
      <c r="AN6773">
        <v>1.0000000168118699</v>
      </c>
    </row>
    <row r="6774" spans="1:40" x14ac:dyDescent="0.25">
      <c r="A6774" t="str">
        <f>"20190304154930653"</f>
        <v>20190304154930653</v>
      </c>
      <c r="B6774" t="str">
        <f>"1551685770643760"</f>
        <v>1551685770643760</v>
      </c>
      <c r="C6774" t="s">
        <v>40</v>
      </c>
      <c r="D6774">
        <v>4.1257539999999997</v>
      </c>
      <c r="E6774">
        <v>0.58143789999999995</v>
      </c>
      <c r="F6774" t="s">
        <v>97</v>
      </c>
      <c r="G6774">
        <v>-312.17489999999998</v>
      </c>
      <c r="H6774">
        <v>3.9399649999999999</v>
      </c>
      <c r="I6774">
        <v>-91.564989999999995</v>
      </c>
      <c r="J6774">
        <v>-301.76400000000001</v>
      </c>
      <c r="K6774">
        <v>1.0548850000000001</v>
      </c>
      <c r="L6774">
        <v>-7.0373539999999998E-2</v>
      </c>
      <c r="M6774">
        <v>0.21295819999999999</v>
      </c>
      <c r="N6774">
        <v>-1.0433950000000001E-2</v>
      </c>
      <c r="O6774">
        <v>-0.97700549999999997</v>
      </c>
      <c r="P6774">
        <v>0.16116029999999901</v>
      </c>
      <c r="Q6774">
        <v>0.17262259999999999</v>
      </c>
      <c r="R6774">
        <v>-0.97171430000000003</v>
      </c>
      <c r="S6774">
        <v>-0.35388180000000002</v>
      </c>
      <c r="T6774">
        <v>9.8531480000000005E-2</v>
      </c>
      <c r="U6774">
        <v>-3.1328429999999998</v>
      </c>
      <c r="V6774">
        <v>5.3122059999999999E-2</v>
      </c>
      <c r="W6774">
        <v>0.1818536</v>
      </c>
      <c r="X6774">
        <v>0.98188969999999998</v>
      </c>
      <c r="Y6774">
        <v>0.32123469999999998</v>
      </c>
      <c r="Z6774">
        <v>-3.9977319999999997E-2</v>
      </c>
      <c r="AA6774">
        <v>0.94615539999999998</v>
      </c>
      <c r="AB6774">
        <v>25</v>
      </c>
      <c r="AC6774">
        <v>-10.4108999999999</v>
      </c>
      <c r="AD6774">
        <v>2.8850799999999999</v>
      </c>
      <c r="AE6774">
        <v>-91.494616460000003</v>
      </c>
      <c r="AF6774">
        <v>29.628569022726001</v>
      </c>
      <c r="AG6774">
        <v>2.8850799999999999</v>
      </c>
      <c r="AH6774">
        <v>87.092919827927901</v>
      </c>
      <c r="AI6774">
        <v>88.203714919139998</v>
      </c>
      <c r="AJ6774">
        <v>71.211956455868403</v>
      </c>
      <c r="AK6774">
        <v>92.039950418797503</v>
      </c>
      <c r="AL6774">
        <v>79.522254947401194</v>
      </c>
      <c r="AM6774">
        <v>86.9032107957742</v>
      </c>
      <c r="AN6774">
        <v>1.00000003402884</v>
      </c>
    </row>
    <row r="6775" spans="1:40" x14ac:dyDescent="0.25">
      <c r="A6775" t="str">
        <f>"20190304154930675"</f>
        <v>20190304154930675</v>
      </c>
      <c r="B6775" t="str">
        <f>"1551685770664256"</f>
        <v>1551685770664256</v>
      </c>
      <c r="C6775" t="s">
        <v>40</v>
      </c>
      <c r="D6775">
        <v>4.1569510000000003</v>
      </c>
      <c r="E6775">
        <v>0.58715419999999996</v>
      </c>
      <c r="F6775" t="s">
        <v>97</v>
      </c>
      <c r="G6775">
        <v>-306.78879999999998</v>
      </c>
      <c r="H6775">
        <v>1.0565549999999999</v>
      </c>
      <c r="I6775">
        <v>-91.564989999999995</v>
      </c>
      <c r="J6775">
        <v>-301.7201</v>
      </c>
      <c r="K6775">
        <v>1.0563880000000001</v>
      </c>
      <c r="L6775">
        <v>-0.32836910000000002</v>
      </c>
      <c r="M6775">
        <v>0.20378360000000001</v>
      </c>
      <c r="N6775">
        <v>-8.3955950000000005E-3</v>
      </c>
      <c r="O6775">
        <v>-0.97898019999999997</v>
      </c>
      <c r="P6775">
        <v>0.15430959999999999</v>
      </c>
      <c r="Q6775">
        <v>0.17513509999999999</v>
      </c>
      <c r="R6775">
        <v>-0.97237680000000004</v>
      </c>
      <c r="S6775">
        <v>-0.17111209999999999</v>
      </c>
      <c r="T6775" s="1">
        <v>5.7339670000000001E-5</v>
      </c>
      <c r="U6775">
        <v>-3.1156920000000001</v>
      </c>
      <c r="V6775">
        <v>5.0596960000000003E-2</v>
      </c>
      <c r="W6775">
        <v>0.18244859999999999</v>
      </c>
      <c r="X6775">
        <v>0.98191269999999997</v>
      </c>
      <c r="Y6775">
        <v>0.25715909999999997</v>
      </c>
      <c r="Z6775">
        <v>-8.4606719999999903E-3</v>
      </c>
      <c r="AA6775">
        <v>0.96633199999999997</v>
      </c>
      <c r="AB6775">
        <v>26</v>
      </c>
      <c r="AC6775">
        <v>-5.0686999999999696</v>
      </c>
      <c r="AD6775">
        <v>1.6700000000002799E-4</v>
      </c>
      <c r="AE6775">
        <v>-91.236620900000005</v>
      </c>
      <c r="AF6775">
        <v>23.555508601529699</v>
      </c>
      <c r="AG6775">
        <v>1.6700000000002799E-4</v>
      </c>
      <c r="AH6775">
        <v>88.289018158589798</v>
      </c>
      <c r="AI6775">
        <v>89.9998952869676</v>
      </c>
      <c r="AJ6775">
        <v>75.061451678262102</v>
      </c>
      <c r="AK6775">
        <v>91.377309617390395</v>
      </c>
      <c r="AL6775">
        <v>79.487584072408396</v>
      </c>
      <c r="AM6775">
        <v>87.050215861157596</v>
      </c>
      <c r="AN6775">
        <v>1.0000000472122399</v>
      </c>
    </row>
    <row r="6776" spans="1:40" x14ac:dyDescent="0.25">
      <c r="A6776" t="str">
        <f>"20190304154930698"</f>
        <v>20190304154930698</v>
      </c>
      <c r="B6776" t="str">
        <f>"1551685770694512"</f>
        <v>1551685770694512</v>
      </c>
      <c r="C6776" t="s">
        <v>40</v>
      </c>
      <c r="D6776">
        <v>4.1555269999999904</v>
      </c>
      <c r="E6776">
        <v>0.58979490000000001</v>
      </c>
      <c r="F6776" t="s">
        <v>97</v>
      </c>
      <c r="G6776">
        <v>-308.6155</v>
      </c>
      <c r="H6776">
        <v>2.5712139999999999</v>
      </c>
      <c r="I6776">
        <v>-91.564989999999995</v>
      </c>
      <c r="J6776">
        <v>-301.6771</v>
      </c>
      <c r="K6776">
        <v>1.0585</v>
      </c>
      <c r="L6776">
        <v>-0.59286499999999998</v>
      </c>
      <c r="M6776">
        <v>0.19389529999999999</v>
      </c>
      <c r="N6776">
        <v>-6.6233330000000003E-3</v>
      </c>
      <c r="O6776">
        <v>-0.98099990000000004</v>
      </c>
      <c r="P6776">
        <v>0.1461896</v>
      </c>
      <c r="Q6776">
        <v>0.177153</v>
      </c>
      <c r="R6776">
        <v>-0.97326550000000001</v>
      </c>
      <c r="S6776">
        <v>-0.23529050000000001</v>
      </c>
      <c r="T6776">
        <v>5.169058E-2</v>
      </c>
      <c r="U6776">
        <v>-3.113251</v>
      </c>
      <c r="V6776">
        <v>4.8556149999999999E-2</v>
      </c>
      <c r="W6776">
        <v>0.1828274</v>
      </c>
      <c r="X6776">
        <v>0.98194519999999996</v>
      </c>
      <c r="Y6776">
        <v>0.26726919999999998</v>
      </c>
      <c r="Z6776">
        <v>-2.2474040000000001E-2</v>
      </c>
      <c r="AA6776">
        <v>0.96335979999999999</v>
      </c>
      <c r="AB6776">
        <v>26</v>
      </c>
      <c r="AC6776">
        <v>-6.9383999999999997</v>
      </c>
      <c r="AD6776">
        <v>1.5127139999999999</v>
      </c>
      <c r="AE6776">
        <v>-90.972125000000005</v>
      </c>
      <c r="AF6776">
        <v>24.439454203581001</v>
      </c>
      <c r="AG6776">
        <v>1.5127139999999999</v>
      </c>
      <c r="AH6776">
        <v>87.876090485419994</v>
      </c>
      <c r="AI6776">
        <v>89.049852163680796</v>
      </c>
      <c r="AJ6776">
        <v>74.458077093379799</v>
      </c>
      <c r="AK6776">
        <v>91.223804483349895</v>
      </c>
      <c r="AL6776">
        <v>79.465508280393394</v>
      </c>
      <c r="AM6776">
        <v>87.169090269897694</v>
      </c>
      <c r="AN6776">
        <v>0.99999996684831005</v>
      </c>
    </row>
    <row r="6777" spans="1:40" x14ac:dyDescent="0.25">
      <c r="A6777" t="str">
        <f>"20190304154930721"</f>
        <v>20190304154930721</v>
      </c>
      <c r="B6777" t="str">
        <f>"1551685770714031"</f>
        <v>1551685770714031</v>
      </c>
      <c r="C6777" t="s">
        <v>40</v>
      </c>
      <c r="D6777">
        <v>4.1440979999999996</v>
      </c>
      <c r="E6777">
        <v>0.59035380000000004</v>
      </c>
      <c r="F6777" t="s">
        <v>97</v>
      </c>
      <c r="G6777">
        <v>-309.85109999999997</v>
      </c>
      <c r="H6777">
        <v>3.3528889999999998</v>
      </c>
      <c r="I6777">
        <v>-91.564989999999995</v>
      </c>
      <c r="J6777">
        <v>-301.63499999999999</v>
      </c>
      <c r="K6777">
        <v>1.0607629999999999</v>
      </c>
      <c r="L6777">
        <v>-0.86395259999999996</v>
      </c>
      <c r="M6777">
        <v>0.1835688</v>
      </c>
      <c r="N6777">
        <v>-4.9377889999999997E-3</v>
      </c>
      <c r="O6777">
        <v>-0.98299460000000005</v>
      </c>
      <c r="P6777">
        <v>0.13854359999999999</v>
      </c>
      <c r="Q6777">
        <v>0.17814079999999999</v>
      </c>
      <c r="R6777">
        <v>-0.97420309999999999</v>
      </c>
      <c r="S6777">
        <v>-0.27944950000000002</v>
      </c>
      <c r="T6777">
        <v>7.8439830000000002E-2</v>
      </c>
      <c r="U6777">
        <v>-3.1101070000000002</v>
      </c>
      <c r="V6777">
        <v>4.5636370000000002E-2</v>
      </c>
      <c r="W6777">
        <v>0.18226999999999999</v>
      </c>
      <c r="X6777">
        <v>0.98218890000000003</v>
      </c>
      <c r="Y6777">
        <v>0.2707794</v>
      </c>
      <c r="Z6777">
        <v>-2.902617E-2</v>
      </c>
      <c r="AA6777">
        <v>0.9622037</v>
      </c>
      <c r="AB6777">
        <v>26</v>
      </c>
      <c r="AC6777">
        <v>-8.2160999999999795</v>
      </c>
      <c r="AD6777">
        <v>2.2921260000000001</v>
      </c>
      <c r="AE6777">
        <v>-90.701037400000004</v>
      </c>
      <c r="AF6777">
        <v>24.710907831085802</v>
      </c>
      <c r="AG6777">
        <v>2.2921260000000001</v>
      </c>
      <c r="AH6777">
        <v>87.595980564843998</v>
      </c>
      <c r="AI6777">
        <v>88.557361402587603</v>
      </c>
      <c r="AJ6777">
        <v>74.246191223311996</v>
      </c>
      <c r="AK6777">
        <v>91.043608334428498</v>
      </c>
      <c r="AL6777">
        <v>79.497991463634705</v>
      </c>
      <c r="AM6777">
        <v>87.339725431670999</v>
      </c>
      <c r="AN6777">
        <v>1.0000000332249901</v>
      </c>
    </row>
    <row r="6778" spans="1:40" x14ac:dyDescent="0.25">
      <c r="A6778" t="str">
        <f>"20190304154930745"</f>
        <v>20190304154930745</v>
      </c>
      <c r="B6778" t="str">
        <f>"1551685770734528"</f>
        <v>1551685770734528</v>
      </c>
      <c r="C6778" t="s">
        <v>40</v>
      </c>
      <c r="D6778">
        <v>4.1272289999999998</v>
      </c>
      <c r="E6778">
        <v>0.5901999</v>
      </c>
      <c r="F6778" t="s">
        <v>97</v>
      </c>
      <c r="G6778">
        <v>-310.56709999999998</v>
      </c>
      <c r="H6778">
        <v>3.6122079999999999</v>
      </c>
      <c r="I6778">
        <v>-91.564989999999995</v>
      </c>
      <c r="J6778">
        <v>-301.59399999999999</v>
      </c>
      <c r="K6778">
        <v>1.062897</v>
      </c>
      <c r="L6778">
        <v>-1.1424559999999999</v>
      </c>
      <c r="M6778">
        <v>0.173261</v>
      </c>
      <c r="N6778">
        <v>-3.2451870000000001E-3</v>
      </c>
      <c r="O6778">
        <v>-0.98487089999999999</v>
      </c>
      <c r="P6778">
        <v>0.13155459999999999</v>
      </c>
      <c r="Q6778">
        <v>0.17888370000000001</v>
      </c>
      <c r="R6778">
        <v>-0.9750356</v>
      </c>
      <c r="S6778">
        <v>-0.3059692</v>
      </c>
      <c r="T6778">
        <v>8.7400199999999997E-2</v>
      </c>
      <c r="U6778">
        <v>-3.1069640000000001</v>
      </c>
      <c r="V6778">
        <v>4.2165899999999999E-2</v>
      </c>
      <c r="W6778">
        <v>0.1814461</v>
      </c>
      <c r="X6778">
        <v>0.98249649999999999</v>
      </c>
      <c r="Y6778">
        <v>0.2689144</v>
      </c>
      <c r="Z6778">
        <v>-3.0168360000000002E-2</v>
      </c>
      <c r="AA6778">
        <v>0.96269150000000003</v>
      </c>
      <c r="AB6778">
        <v>26</v>
      </c>
      <c r="AC6778">
        <v>-8.9730999999999792</v>
      </c>
      <c r="AD6778">
        <v>2.5493109999999999</v>
      </c>
      <c r="AE6778">
        <v>-90.422533999999999</v>
      </c>
      <c r="AF6778">
        <v>24.484893126591501</v>
      </c>
      <c r="AG6778">
        <v>2.5493109999999999</v>
      </c>
      <c r="AH6778">
        <v>87.431450543949097</v>
      </c>
      <c r="AI6778">
        <v>88.3916947817454</v>
      </c>
      <c r="AJ6778">
        <v>74.355269999678299</v>
      </c>
      <c r="AK6778">
        <v>90.830983272308302</v>
      </c>
      <c r="AL6778">
        <v>79.545997744247302</v>
      </c>
      <c r="AM6778">
        <v>87.542539372626905</v>
      </c>
      <c r="AN6778">
        <v>1.00000001142013</v>
      </c>
    </row>
    <row r="6779" spans="1:40" x14ac:dyDescent="0.25">
      <c r="A6779" t="str">
        <f>"20190304154930765"</f>
        <v>20190304154930765</v>
      </c>
      <c r="B6779" t="str">
        <f>"1551685770754048"</f>
        <v>1551685770754048</v>
      </c>
      <c r="C6779" t="s">
        <v>40</v>
      </c>
      <c r="D6779">
        <v>4.1220400000000001</v>
      </c>
      <c r="E6779">
        <v>0.58955809999999997</v>
      </c>
      <c r="F6779" t="s">
        <v>97</v>
      </c>
      <c r="G6779">
        <v>-311.0908</v>
      </c>
      <c r="H6779">
        <v>3.7992370000000002</v>
      </c>
      <c r="I6779">
        <v>-91.564989999999995</v>
      </c>
      <c r="J6779">
        <v>-301.55930000000001</v>
      </c>
      <c r="K6779">
        <v>1.0646199999999999</v>
      </c>
      <c r="L6779">
        <v>-1.391785</v>
      </c>
      <c r="M6779">
        <v>0.164526799999999</v>
      </c>
      <c r="N6779">
        <v>-1.813018E-3</v>
      </c>
      <c r="O6779">
        <v>-0.98637109999999995</v>
      </c>
      <c r="P6779">
        <v>0.1268908</v>
      </c>
      <c r="Q6779">
        <v>0.17991170000000001</v>
      </c>
      <c r="R6779">
        <v>-0.97546440000000001</v>
      </c>
      <c r="S6779">
        <v>-0.32595829999999998</v>
      </c>
      <c r="T6779">
        <v>9.3919989999999995E-2</v>
      </c>
      <c r="U6779">
        <v>-3.103577</v>
      </c>
      <c r="V6779">
        <v>3.8019980000000002E-2</v>
      </c>
      <c r="W6779">
        <v>0.1811498</v>
      </c>
      <c r="X6779">
        <v>0.98272029999999999</v>
      </c>
      <c r="Y6779">
        <v>0.26661109999999999</v>
      </c>
      <c r="Z6779">
        <v>-3.082876E-2</v>
      </c>
      <c r="AA6779">
        <v>0.96331100000000003</v>
      </c>
      <c r="AB6779">
        <v>26</v>
      </c>
      <c r="AC6779">
        <v>-9.5314999999999905</v>
      </c>
      <c r="AD6779">
        <v>2.7346169999999899</v>
      </c>
      <c r="AE6779">
        <v>-90.173204999999996</v>
      </c>
      <c r="AF6779">
        <v>24.2155166679755</v>
      </c>
      <c r="AG6779">
        <v>2.7346169999999899</v>
      </c>
      <c r="AH6779">
        <v>87.296788396119098</v>
      </c>
      <c r="AI6779">
        <v>88.271012385404106</v>
      </c>
      <c r="AJ6779">
        <v>74.496358765714405</v>
      </c>
      <c r="AK6779">
        <v>90.6344230516777</v>
      </c>
      <c r="AL6779">
        <v>79.563260211565606</v>
      </c>
      <c r="AM6779">
        <v>87.7844168912643</v>
      </c>
      <c r="AN6779">
        <v>0.99999997847566402</v>
      </c>
    </row>
    <row r="6780" spans="1:40" x14ac:dyDescent="0.25">
      <c r="A6780" t="str">
        <f>"20190304154930788"</f>
        <v>20190304154930788</v>
      </c>
      <c r="B6780" t="str">
        <f>"1551685770784304"</f>
        <v>1551685770784304</v>
      </c>
      <c r="C6780" t="s">
        <v>40</v>
      </c>
      <c r="D6780">
        <v>4.1287310000000002</v>
      </c>
      <c r="E6780">
        <v>0.58824160000000003</v>
      </c>
      <c r="F6780" t="s">
        <v>97</v>
      </c>
      <c r="G6780">
        <v>-311.32339999999999</v>
      </c>
      <c r="H6780">
        <v>3.9653990000000001</v>
      </c>
      <c r="I6780">
        <v>-91.564989999999995</v>
      </c>
      <c r="J6780">
        <v>-301.52510000000001</v>
      </c>
      <c r="K6780">
        <v>1.066443</v>
      </c>
      <c r="L6780">
        <v>-1.64956699999999</v>
      </c>
      <c r="M6780">
        <v>0.1552201</v>
      </c>
      <c r="N6780">
        <v>-6.8310970000000002E-4</v>
      </c>
      <c r="O6780">
        <v>-0.98787959999999997</v>
      </c>
      <c r="P6780">
        <v>0.1211216</v>
      </c>
      <c r="Q6780">
        <v>0.1813389</v>
      </c>
      <c r="R6780">
        <v>-0.9759333</v>
      </c>
      <c r="S6780">
        <v>-0.33575440000000001</v>
      </c>
      <c r="T6780">
        <v>9.9748020000000007E-2</v>
      </c>
      <c r="U6780">
        <v>-3.1007389999999999</v>
      </c>
      <c r="V6780">
        <v>3.4404990000000003E-2</v>
      </c>
      <c r="W6780">
        <v>0.1815418</v>
      </c>
      <c r="X6780">
        <v>0.98278120000000002</v>
      </c>
      <c r="Y6780">
        <v>0.26061309999999999</v>
      </c>
      <c r="Z6780">
        <v>-3.1609039999999998E-2</v>
      </c>
      <c r="AA6780">
        <v>0.96492579999999994</v>
      </c>
      <c r="AB6780">
        <v>26</v>
      </c>
      <c r="AC6780">
        <v>-9.7982999999999798</v>
      </c>
      <c r="AD6780">
        <v>2.8989560000000001</v>
      </c>
      <c r="AE6780">
        <v>-89.915423000000004</v>
      </c>
      <c r="AF6780">
        <v>23.611972858484599</v>
      </c>
      <c r="AG6780">
        <v>2.8989560000000001</v>
      </c>
      <c r="AH6780">
        <v>87.215151701107303</v>
      </c>
      <c r="AI6780">
        <v>88.162346636952094</v>
      </c>
      <c r="AJ6780">
        <v>74.851316558287607</v>
      </c>
      <c r="AK6780">
        <v>90.4013932105414</v>
      </c>
      <c r="AL6780">
        <v>79.540421897004606</v>
      </c>
      <c r="AM6780">
        <v>87.995020637980602</v>
      </c>
      <c r="AN6780">
        <v>1.0000000077787901</v>
      </c>
    </row>
    <row r="6781" spans="1:40" x14ac:dyDescent="0.25">
      <c r="A6781" t="str">
        <f>"20190304154930810"</f>
        <v>20190304154930810</v>
      </c>
      <c r="B6781" t="str">
        <f>"1551685770803827"</f>
        <v>1551685770803827</v>
      </c>
      <c r="C6781" t="s">
        <v>40</v>
      </c>
      <c r="D6781">
        <v>4.1174160000000004</v>
      </c>
      <c r="E6781">
        <v>0.58750649999999904</v>
      </c>
      <c r="F6781" t="s">
        <v>97</v>
      </c>
      <c r="G6781">
        <v>-311.49880000000002</v>
      </c>
      <c r="H6781">
        <v>4.1195890000000004</v>
      </c>
      <c r="I6781">
        <v>-91.564989999999995</v>
      </c>
      <c r="J6781">
        <v>-301.49079999999998</v>
      </c>
      <c r="K6781">
        <v>1.068554</v>
      </c>
      <c r="L6781">
        <v>-1.9194340000000001</v>
      </c>
      <c r="M6781">
        <v>0.14533840000000001</v>
      </c>
      <c r="N6781">
        <v>-3.9981350000000001E-4</v>
      </c>
      <c r="O6781">
        <v>-0.98938199999999998</v>
      </c>
      <c r="P6781">
        <v>0.11421439999999999</v>
      </c>
      <c r="Q6781">
        <v>0.18165609999999999</v>
      </c>
      <c r="R6781">
        <v>-0.97670710000000005</v>
      </c>
      <c r="S6781">
        <v>-0.34353640000000002</v>
      </c>
      <c r="T6781">
        <v>0.1051641</v>
      </c>
      <c r="U6781">
        <v>-3.0970759999999999</v>
      </c>
      <c r="V6781">
        <v>3.143083E-2</v>
      </c>
      <c r="W6781">
        <v>0.18163750000000001</v>
      </c>
      <c r="X6781">
        <v>0.98286309999999999</v>
      </c>
      <c r="Y6781">
        <v>0.25346770000000002</v>
      </c>
      <c r="Z6781">
        <v>-3.3142829999999998E-2</v>
      </c>
      <c r="AA6781">
        <v>0.96677599999999997</v>
      </c>
      <c r="AB6781">
        <v>26</v>
      </c>
      <c r="AC6781">
        <v>-10.007999999999999</v>
      </c>
      <c r="AD6781">
        <v>3.0510350000000002</v>
      </c>
      <c r="AE6781">
        <v>-89.645555999999999</v>
      </c>
      <c r="AF6781">
        <v>22.9044722029337</v>
      </c>
      <c r="AG6781">
        <v>3.0510350000000002</v>
      </c>
      <c r="AH6781">
        <v>87.139458341275997</v>
      </c>
      <c r="AI6781">
        <v>88.060534527125299</v>
      </c>
      <c r="AJ6781">
        <v>75.273019599151496</v>
      </c>
      <c r="AK6781">
        <v>90.151033612916294</v>
      </c>
      <c r="AL6781">
        <v>79.534845650824394</v>
      </c>
      <c r="AM6781">
        <v>88.168371156815496</v>
      </c>
      <c r="AN6781">
        <v>0.99999997591117396</v>
      </c>
    </row>
    <row r="6782" spans="1:40" x14ac:dyDescent="0.25">
      <c r="A6782" t="str">
        <f>"20190304154930833"</f>
        <v>20190304154930833</v>
      </c>
      <c r="B6782" t="str">
        <f>"1551685770824320"</f>
        <v>1551685770824320</v>
      </c>
      <c r="C6782" t="s">
        <v>40</v>
      </c>
      <c r="D6782">
        <v>4.1314820000000001</v>
      </c>
      <c r="E6782">
        <v>0.58688339999999894</v>
      </c>
      <c r="F6782" t="s">
        <v>97</v>
      </c>
      <c r="G6782">
        <v>-311.88589999999999</v>
      </c>
      <c r="H6782">
        <v>4.1207699999999896</v>
      </c>
      <c r="I6782">
        <v>-91.564989999999995</v>
      </c>
      <c r="J6782">
        <v>-301.45999999999998</v>
      </c>
      <c r="K6782">
        <v>1.0705579999999999</v>
      </c>
      <c r="L6782">
        <v>-2.1748660000000002</v>
      </c>
      <c r="M6782">
        <v>0.1368192</v>
      </c>
      <c r="N6782">
        <v>-7.9915899999999905E-4</v>
      </c>
      <c r="O6782">
        <v>-0.99059580000000003</v>
      </c>
      <c r="P6782">
        <v>0.1091529</v>
      </c>
      <c r="Q6782">
        <v>0.179788</v>
      </c>
      <c r="R6782">
        <v>-0.97763100000000003</v>
      </c>
      <c r="S6782">
        <v>-0.35876459999999999</v>
      </c>
      <c r="T6782">
        <v>0.1053404</v>
      </c>
      <c r="U6782">
        <v>-3.0939030000000001</v>
      </c>
      <c r="V6782">
        <v>2.8176320000000001E-2</v>
      </c>
      <c r="W6782">
        <v>0.1801944</v>
      </c>
      <c r="X6782">
        <v>0.98322739999999997</v>
      </c>
      <c r="Y6782">
        <v>0.24994820000000001</v>
      </c>
      <c r="Z6782">
        <v>-3.3701679999999998E-2</v>
      </c>
      <c r="AA6782">
        <v>0.96767250000000005</v>
      </c>
      <c r="AB6782">
        <v>26</v>
      </c>
      <c r="AC6782">
        <v>-10.4259</v>
      </c>
      <c r="AD6782">
        <v>3.0502119999999899</v>
      </c>
      <c r="AE6782">
        <v>-89.390124</v>
      </c>
      <c r="AF6782">
        <v>22.532260096466601</v>
      </c>
      <c r="AG6782">
        <v>3.0502119999999899</v>
      </c>
      <c r="AH6782">
        <v>87.023073614011196</v>
      </c>
      <c r="AI6782">
        <v>88.056604973541099</v>
      </c>
      <c r="AJ6782">
        <v>75.483608578342299</v>
      </c>
      <c r="AK6782">
        <v>89.944548915036407</v>
      </c>
      <c r="AL6782">
        <v>79.618916989351902</v>
      </c>
      <c r="AM6782">
        <v>88.358525694871105</v>
      </c>
      <c r="AN6782">
        <v>1.00000002345543</v>
      </c>
    </row>
    <row r="6783" spans="1:40" x14ac:dyDescent="0.25">
      <c r="A6783" t="str">
        <f>"20190304154930854"</f>
        <v>20190304154930854</v>
      </c>
      <c r="B6783" t="str">
        <f>"1551685770843840"</f>
        <v>1551685770843840</v>
      </c>
      <c r="C6783" t="s">
        <v>40</v>
      </c>
      <c r="D6783">
        <v>4.0640830000000001</v>
      </c>
      <c r="E6783">
        <v>0.5864104</v>
      </c>
      <c r="F6783" t="s">
        <v>97</v>
      </c>
      <c r="G6783">
        <v>-312.1542</v>
      </c>
      <c r="H6783">
        <v>3.9794529999999999</v>
      </c>
      <c r="I6783">
        <v>-91.564989999999995</v>
      </c>
      <c r="J6783">
        <v>-301.43099999999998</v>
      </c>
      <c r="K6783">
        <v>1.0726819999999999</v>
      </c>
      <c r="L6783">
        <v>-2.4376530000000001</v>
      </c>
      <c r="M6783">
        <v>0.12944069999999999</v>
      </c>
      <c r="N6783">
        <v>-1.0390009999999999E-3</v>
      </c>
      <c r="O6783">
        <v>-0.99158670000000004</v>
      </c>
      <c r="P6783">
        <v>0.10619339999999999</v>
      </c>
      <c r="Q6783">
        <v>0.1785931</v>
      </c>
      <c r="R6783">
        <v>-0.97817589999999999</v>
      </c>
      <c r="S6783">
        <v>-0.36984250000000002</v>
      </c>
      <c r="T6783">
        <v>0.1006005</v>
      </c>
      <c r="U6783">
        <v>-3.091431</v>
      </c>
      <c r="V6783">
        <v>2.39907E-2</v>
      </c>
      <c r="W6783">
        <v>0.179277399999999</v>
      </c>
      <c r="X6783">
        <v>0.98350599999999999</v>
      </c>
      <c r="Y6783">
        <v>0.2462521</v>
      </c>
      <c r="Z6783">
        <v>-3.254655E-2</v>
      </c>
      <c r="AA6783">
        <v>0.96865919999999905</v>
      </c>
      <c r="AB6783">
        <v>26</v>
      </c>
      <c r="AC6783">
        <v>-10.7232</v>
      </c>
      <c r="AD6783">
        <v>2.906771</v>
      </c>
      <c r="AE6783">
        <v>-89.127336999999997</v>
      </c>
      <c r="AF6783">
        <v>22.146477567024</v>
      </c>
      <c r="AG6783">
        <v>2.906771</v>
      </c>
      <c r="AH6783">
        <v>86.898392704561402</v>
      </c>
      <c r="AI6783">
        <v>88.143457638334695</v>
      </c>
      <c r="AJ6783">
        <v>75.702256693690501</v>
      </c>
      <c r="AK6783">
        <v>89.723165575615496</v>
      </c>
      <c r="AL6783">
        <v>79.672326720098198</v>
      </c>
      <c r="AM6783">
        <v>88.602658933135601</v>
      </c>
      <c r="AN6783">
        <v>0.99999999593662403</v>
      </c>
    </row>
    <row r="6784" spans="1:40" x14ac:dyDescent="0.25">
      <c r="A6784" t="str">
        <f>"20190304154930877"</f>
        <v>20190304154930877</v>
      </c>
      <c r="B6784" t="str">
        <f>"1551685770874096"</f>
        <v>1551685770874096</v>
      </c>
      <c r="C6784" t="s">
        <v>40</v>
      </c>
      <c r="D6784">
        <v>4.0619860000000001</v>
      </c>
      <c r="E6784">
        <v>0.57510399999999995</v>
      </c>
      <c r="F6784" t="s">
        <v>97</v>
      </c>
      <c r="G6784">
        <v>-312.28359999999998</v>
      </c>
      <c r="H6784">
        <v>3.924747</v>
      </c>
      <c r="I6784">
        <v>-91.564989999999995</v>
      </c>
      <c r="J6784">
        <v>-301.40449999999998</v>
      </c>
      <c r="K6784">
        <v>1.0751500000000001</v>
      </c>
      <c r="L6784">
        <v>-2.6991879999999999</v>
      </c>
      <c r="M6784">
        <v>0.1223258</v>
      </c>
      <c r="N6784">
        <v>-1.065851E-3</v>
      </c>
      <c r="O6784">
        <v>-0.99248950000000002</v>
      </c>
      <c r="P6784">
        <v>0.1036542</v>
      </c>
      <c r="Q6784">
        <v>0.17825070000000001</v>
      </c>
      <c r="R6784">
        <v>-0.9785104</v>
      </c>
      <c r="S6784">
        <v>-0.37622070000000002</v>
      </c>
      <c r="T6784">
        <v>9.8871230000000004E-2</v>
      </c>
      <c r="U6784">
        <v>-3.0897220000000001</v>
      </c>
      <c r="V6784">
        <v>1.9525509999999999E-2</v>
      </c>
      <c r="W6784">
        <v>0.179024499999999</v>
      </c>
      <c r="X6784">
        <v>0.98365089999999999</v>
      </c>
      <c r="Y6784">
        <v>0.24133389999999999</v>
      </c>
      <c r="Z6784">
        <v>-3.210855E-2</v>
      </c>
      <c r="AA6784">
        <v>0.96991079999999996</v>
      </c>
      <c r="AB6784">
        <v>26</v>
      </c>
      <c r="AC6784">
        <v>-10.8790999999999</v>
      </c>
      <c r="AD6784">
        <v>2.8495970000000002</v>
      </c>
      <c r="AE6784">
        <v>-88.865802000000002</v>
      </c>
      <c r="AF6784">
        <v>21.646054731338399</v>
      </c>
      <c r="AG6784">
        <v>2.8495970000000002</v>
      </c>
      <c r="AH6784">
        <v>86.779710393209101</v>
      </c>
      <c r="AI6784">
        <v>88.175121243916294</v>
      </c>
      <c r="AJ6784">
        <v>75.994130450800299</v>
      </c>
      <c r="AK6784">
        <v>89.484021056408494</v>
      </c>
      <c r="AL6784">
        <v>79.687055721449198</v>
      </c>
      <c r="AM6784">
        <v>88.862825810324296</v>
      </c>
      <c r="AN6784">
        <v>1.0000000551059001</v>
      </c>
    </row>
    <row r="6785" spans="1:40" x14ac:dyDescent="0.25">
      <c r="A6785" t="str">
        <f>"20190304154930899"</f>
        <v>20190304154930899</v>
      </c>
      <c r="B6785" t="str">
        <f>"1551685770894591"</f>
        <v>1551685770894591</v>
      </c>
      <c r="C6785" t="s">
        <v>40</v>
      </c>
      <c r="D6785">
        <v>4.0520740000000002</v>
      </c>
      <c r="E6785">
        <v>0.57289460000000003</v>
      </c>
      <c r="F6785" t="s">
        <v>97</v>
      </c>
      <c r="G6785">
        <v>-309.92430000000002</v>
      </c>
      <c r="H6785">
        <v>4.1976100000000001</v>
      </c>
      <c r="I6785">
        <v>-91.564989999999995</v>
      </c>
      <c r="J6785">
        <v>-301.37950000000001</v>
      </c>
      <c r="K6785">
        <v>1.078022</v>
      </c>
      <c r="L6785">
        <v>-2.9674680000000002</v>
      </c>
      <c r="M6785">
        <v>0.1149878</v>
      </c>
      <c r="N6785">
        <v>-1.2274569999999999E-3</v>
      </c>
      <c r="O6785">
        <v>-0.99336610000000003</v>
      </c>
      <c r="P6785">
        <v>0.1006514</v>
      </c>
      <c r="Q6785">
        <v>0.17830260000000001</v>
      </c>
      <c r="R6785">
        <v>-0.97881419999999997</v>
      </c>
      <c r="S6785">
        <v>-0.29504390000000003</v>
      </c>
      <c r="T6785">
        <v>0.1081324</v>
      </c>
      <c r="U6785">
        <v>-3.0774539999999999</v>
      </c>
      <c r="V6785">
        <v>1.5212E-2</v>
      </c>
      <c r="W6785">
        <v>0.17930560000000001</v>
      </c>
      <c r="X6785">
        <v>0.98367579999999999</v>
      </c>
      <c r="Y6785">
        <v>0.20920810000000001</v>
      </c>
      <c r="Z6785">
        <v>-3.5531670000000001E-2</v>
      </c>
      <c r="AA6785">
        <v>0.97722540000000002</v>
      </c>
      <c r="AB6785">
        <v>26</v>
      </c>
      <c r="AC6785">
        <v>-8.5448000000000093</v>
      </c>
      <c r="AD6785">
        <v>3.1195879999999998</v>
      </c>
      <c r="AE6785">
        <v>-88.597521999999998</v>
      </c>
      <c r="AF6785">
        <v>18.652851043344999</v>
      </c>
      <c r="AG6785">
        <v>3.1195879999999998</v>
      </c>
      <c r="AH6785">
        <v>86.920525799514294</v>
      </c>
      <c r="AI6785">
        <v>87.990246541733001</v>
      </c>
      <c r="AJ6785">
        <v>77.888212484043606</v>
      </c>
      <c r="AK6785">
        <v>88.954136984172905</v>
      </c>
      <c r="AL6785">
        <v>79.670684318195299</v>
      </c>
      <c r="AM6785">
        <v>89.114023209197697</v>
      </c>
      <c r="AN6785">
        <v>0.99999999132049999</v>
      </c>
    </row>
    <row r="6786" spans="1:40" x14ac:dyDescent="0.25">
      <c r="A6786" t="str">
        <f>"20190304154930921"</f>
        <v>20190304154930921</v>
      </c>
      <c r="B6786" t="str">
        <f>"1551685770914112"</f>
        <v>1551685770914112</v>
      </c>
      <c r="C6786" t="s">
        <v>40</v>
      </c>
      <c r="D6786">
        <v>4.0647739999999999</v>
      </c>
      <c r="E6786">
        <v>0.57176839999999995</v>
      </c>
      <c r="F6786" t="s">
        <v>97</v>
      </c>
      <c r="G6786">
        <v>-309.64139999999998</v>
      </c>
      <c r="H6786">
        <v>3.9537800000000001</v>
      </c>
      <c r="I6786">
        <v>-91.564989999999995</v>
      </c>
      <c r="J6786">
        <v>-301.35629999999998</v>
      </c>
      <c r="K6786">
        <v>1.0810740000000001</v>
      </c>
      <c r="L6786">
        <v>-3.2360229999999999</v>
      </c>
      <c r="M6786">
        <v>0.1076298</v>
      </c>
      <c r="N6786">
        <v>-1.6661530000000001E-3</v>
      </c>
      <c r="O6786">
        <v>-0.99418989999999996</v>
      </c>
      <c r="P6786">
        <v>9.7028890000000007E-2</v>
      </c>
      <c r="Q6786">
        <v>0.17740829999999999</v>
      </c>
      <c r="R6786">
        <v>-0.97934290000000002</v>
      </c>
      <c r="S6786">
        <v>-0.28686519999999999</v>
      </c>
      <c r="T6786">
        <v>9.9850889999999998E-2</v>
      </c>
      <c r="U6786">
        <v>-3.0762330000000002</v>
      </c>
      <c r="V6786">
        <v>1.146231E-2</v>
      </c>
      <c r="W6786">
        <v>0.17890439999999999</v>
      </c>
      <c r="X6786">
        <v>0.98379970000000005</v>
      </c>
      <c r="Y6786">
        <v>0.1994273</v>
      </c>
      <c r="Z6786">
        <v>-3.343753E-2</v>
      </c>
      <c r="AA6786">
        <v>0.97934200000000005</v>
      </c>
      <c r="AB6786">
        <v>27</v>
      </c>
      <c r="AC6786">
        <v>-8.2850999999999999</v>
      </c>
      <c r="AD6786">
        <v>2.872706</v>
      </c>
      <c r="AE6786">
        <v>-88.328967000000006</v>
      </c>
      <c r="AF6786">
        <v>17.725226877831201</v>
      </c>
      <c r="AG6786">
        <v>2.872706</v>
      </c>
      <c r="AH6786">
        <v>86.833096615920198</v>
      </c>
      <c r="AI6786">
        <v>88.143428755210493</v>
      </c>
      <c r="AJ6786">
        <v>78.462727252073506</v>
      </c>
      <c r="AK6786">
        <v>88.670303797510201</v>
      </c>
      <c r="AL6786">
        <v>79.694049383597601</v>
      </c>
      <c r="AM6786">
        <v>89.332473600138698</v>
      </c>
      <c r="AN6786">
        <v>1.0000000093049899</v>
      </c>
    </row>
    <row r="6787" spans="1:40" x14ac:dyDescent="0.25">
      <c r="A6787" t="str">
        <f>"20190304154930944"</f>
        <v>20190304154930944</v>
      </c>
      <c r="B6787" t="str">
        <f>"1551685770934234"</f>
        <v>1551685770934234</v>
      </c>
      <c r="C6787" t="s">
        <v>40</v>
      </c>
      <c r="D6787">
        <v>4.0362669999999996</v>
      </c>
      <c r="E6787">
        <v>0.57048269999999901</v>
      </c>
      <c r="F6787" t="s">
        <v>97</v>
      </c>
      <c r="G6787">
        <v>-309.63749999999999</v>
      </c>
      <c r="H6787">
        <v>3.7402660000000001</v>
      </c>
      <c r="I6787">
        <v>-91.564989999999995</v>
      </c>
      <c r="J6787">
        <v>-301.33440000000002</v>
      </c>
      <c r="K6787">
        <v>1.08419</v>
      </c>
      <c r="L6787">
        <v>-3.511444</v>
      </c>
      <c r="M6787">
        <v>0.1002354</v>
      </c>
      <c r="N6787">
        <v>-2.3114030000000001E-3</v>
      </c>
      <c r="O6787">
        <v>-0.99496110000000004</v>
      </c>
      <c r="P6787">
        <v>9.358226E-2</v>
      </c>
      <c r="Q6787">
        <v>0.1766375</v>
      </c>
      <c r="R6787">
        <v>-0.97981700000000005</v>
      </c>
      <c r="S6787">
        <v>-0.28829959999999999</v>
      </c>
      <c r="T6787">
        <v>9.2577220000000002E-2</v>
      </c>
      <c r="U6787">
        <v>-3.0750730000000002</v>
      </c>
      <c r="V6787">
        <v>7.4863990000000004E-3</v>
      </c>
      <c r="W6787">
        <v>0.1788284</v>
      </c>
      <c r="X6787">
        <v>0.98385180000000005</v>
      </c>
      <c r="Y6787">
        <v>0.19263050000000001</v>
      </c>
      <c r="Z6787">
        <v>-3.183909E-2</v>
      </c>
      <c r="AA6787">
        <v>0.98075469999999998</v>
      </c>
      <c r="AB6787">
        <v>27</v>
      </c>
      <c r="AC6787">
        <v>-8.3030999999999704</v>
      </c>
      <c r="AD6787">
        <v>2.6560760000000001</v>
      </c>
      <c r="AE6787">
        <v>-88.053545999999997</v>
      </c>
      <c r="AF6787">
        <v>17.071992299572301</v>
      </c>
      <c r="AG6787">
        <v>2.6560760000000001</v>
      </c>
      <c r="AH6787">
        <v>86.699625700844095</v>
      </c>
      <c r="AI6787">
        <v>88.278310809406605</v>
      </c>
      <c r="AJ6787">
        <v>78.860422538590399</v>
      </c>
      <c r="AK6787">
        <v>88.404370692069804</v>
      </c>
      <c r="AL6787">
        <v>79.6984751773753</v>
      </c>
      <c r="AM6787">
        <v>89.564029066103302</v>
      </c>
      <c r="AN6787">
        <v>1.0000000035898899</v>
      </c>
    </row>
    <row r="6788" spans="1:40" x14ac:dyDescent="0.25">
      <c r="A6788" t="str">
        <f>"20190304154930970"</f>
        <v>20190304154930970</v>
      </c>
      <c r="B6788" t="str">
        <f>"1551685770964489"</f>
        <v>1551685770964489</v>
      </c>
      <c r="C6788" t="s">
        <v>40</v>
      </c>
      <c r="D6788">
        <v>4.0555159999999999</v>
      </c>
      <c r="E6788">
        <v>0.56847040000000004</v>
      </c>
      <c r="F6788" t="s">
        <v>97</v>
      </c>
      <c r="G6788">
        <v>-309.60309999999998</v>
      </c>
      <c r="H6788">
        <v>3.5766960000000001</v>
      </c>
      <c r="I6788">
        <v>-91.564989999999995</v>
      </c>
      <c r="J6788">
        <v>-301.31209999999999</v>
      </c>
      <c r="K6788">
        <v>1.08745</v>
      </c>
      <c r="L6788">
        <v>-3.8166199999999999</v>
      </c>
      <c r="M6788">
        <v>9.2402059999999994E-2</v>
      </c>
      <c r="N6788">
        <v>-3.0999619999999999E-3</v>
      </c>
      <c r="O6788">
        <v>-0.99571690000000002</v>
      </c>
      <c r="P6788">
        <v>8.9840260000000005E-2</v>
      </c>
      <c r="Q6788">
        <v>0.17552209999999999</v>
      </c>
      <c r="R6788">
        <v>-0.98036769999999995</v>
      </c>
      <c r="S6788">
        <v>-0.28863529999999998</v>
      </c>
      <c r="T6788">
        <v>8.7005970000000002E-2</v>
      </c>
      <c r="U6788">
        <v>-3.0736690000000002</v>
      </c>
      <c r="V6788">
        <v>3.3711499999999998E-3</v>
      </c>
      <c r="W6788">
        <v>0.1785446</v>
      </c>
      <c r="X6788">
        <v>0.98392610000000003</v>
      </c>
      <c r="Y6788">
        <v>0.1850542</v>
      </c>
      <c r="Z6788">
        <v>-3.0920260000000001E-2</v>
      </c>
      <c r="AA6788">
        <v>0.9822417</v>
      </c>
      <c r="AB6788">
        <v>27</v>
      </c>
      <c r="AC6788">
        <v>-8.2909999999999897</v>
      </c>
      <c r="AD6788">
        <v>2.4892460000000001</v>
      </c>
      <c r="AE6788">
        <v>-87.748369999999994</v>
      </c>
      <c r="AF6788">
        <v>16.350656794058899</v>
      </c>
      <c r="AG6788">
        <v>2.4892460000000001</v>
      </c>
      <c r="AH6788">
        <v>86.537825608504406</v>
      </c>
      <c r="AI6788">
        <v>88.380980647919699</v>
      </c>
      <c r="AJ6788">
        <v>79.300533855650201</v>
      </c>
      <c r="AK6788">
        <v>88.104117862297102</v>
      </c>
      <c r="AL6788">
        <v>79.715002226251798</v>
      </c>
      <c r="AM6788">
        <v>89.803692664210899</v>
      </c>
      <c r="AN6788">
        <v>1.0000000545513399</v>
      </c>
    </row>
    <row r="6789" spans="1:40" x14ac:dyDescent="0.25">
      <c r="A6789" t="str">
        <f>"20190304154930988"</f>
        <v>20190304154930988</v>
      </c>
      <c r="B6789" t="str">
        <f>"1551685770984010"</f>
        <v>1551685770984010</v>
      </c>
      <c r="C6789" t="s">
        <v>40</v>
      </c>
      <c r="D6789">
        <v>4.1057119999999996</v>
      </c>
      <c r="E6789">
        <v>0.55784199999999995</v>
      </c>
      <c r="F6789" t="s">
        <v>97</v>
      </c>
      <c r="G6789">
        <v>-309.4092</v>
      </c>
      <c r="H6789">
        <v>3.2687889999999999</v>
      </c>
      <c r="I6789">
        <v>-91.564989999999995</v>
      </c>
      <c r="J6789">
        <v>-301.29680000000002</v>
      </c>
      <c r="K6789">
        <v>1.0897019999999999</v>
      </c>
      <c r="L6789">
        <v>-4.0467829999999996</v>
      </c>
      <c r="M6789">
        <v>8.6843779999999995E-2</v>
      </c>
      <c r="N6789">
        <v>-3.697709E-3</v>
      </c>
      <c r="O6789">
        <v>-0.99621519999999997</v>
      </c>
      <c r="P6789">
        <v>8.7940859999999996E-2</v>
      </c>
      <c r="Q6789">
        <v>0.1744983</v>
      </c>
      <c r="R6789">
        <v>-0.98072289999999995</v>
      </c>
      <c r="S6789">
        <v>-0.28350829999999999</v>
      </c>
      <c r="T6789">
        <v>7.6377029999999999E-2</v>
      </c>
      <c r="U6789">
        <v>-3.0723880000000001</v>
      </c>
      <c r="V6789">
        <v>-3.0434450000000002E-4</v>
      </c>
      <c r="W6789">
        <v>0.1781547</v>
      </c>
      <c r="X6789">
        <v>0.9840025</v>
      </c>
      <c r="Y6789">
        <v>0.1779858</v>
      </c>
      <c r="Z6789">
        <v>-2.8171379999999999E-2</v>
      </c>
      <c r="AA6789">
        <v>0.98362969999999905</v>
      </c>
      <c r="AB6789">
        <v>27</v>
      </c>
      <c r="AC6789">
        <v>-8.1123999999999796</v>
      </c>
      <c r="AD6789">
        <v>2.179087</v>
      </c>
      <c r="AE6789">
        <v>-87.518206999999904</v>
      </c>
      <c r="AF6789">
        <v>15.672580086835399</v>
      </c>
      <c r="AG6789">
        <v>2.179087</v>
      </c>
      <c r="AH6789">
        <v>86.429912253956601</v>
      </c>
      <c r="AI6789">
        <v>88.578919127595299</v>
      </c>
      <c r="AJ6789">
        <v>79.722074884268594</v>
      </c>
      <c r="AK6789">
        <v>87.866420883967194</v>
      </c>
      <c r="AL6789">
        <v>79.737705856277501</v>
      </c>
      <c r="AM6789">
        <v>90.017721148891297</v>
      </c>
      <c r="AN6789">
        <v>1.0000000548819501</v>
      </c>
    </row>
    <row r="6790" spans="1:40" x14ac:dyDescent="0.25">
      <c r="A6790" t="str">
        <f>"20190304154931011"</f>
        <v>20190304154931011</v>
      </c>
      <c r="B6790" t="str">
        <f>"1551685771004506"</f>
        <v>1551685771004506</v>
      </c>
      <c r="C6790" t="s">
        <v>40</v>
      </c>
      <c r="D6790">
        <v>4.0414680000000001</v>
      </c>
      <c r="E6790">
        <v>0.55795709999999998</v>
      </c>
      <c r="F6790" t="s">
        <v>97</v>
      </c>
      <c r="G6790">
        <v>-307.11950000000002</v>
      </c>
      <c r="H6790">
        <v>2.031174</v>
      </c>
      <c r="I6790">
        <v>-91.564989999999995</v>
      </c>
      <c r="J6790">
        <v>-301.28039999999999</v>
      </c>
      <c r="K6790">
        <v>1.092122</v>
      </c>
      <c r="L6790">
        <v>-4.313599</v>
      </c>
      <c r="M6790">
        <v>8.0718399999999996E-2</v>
      </c>
      <c r="N6790">
        <v>-4.3756460000000004E-3</v>
      </c>
      <c r="O6790">
        <v>-0.99672729999999998</v>
      </c>
      <c r="P6790">
        <v>8.5382949999999999E-2</v>
      </c>
      <c r="Q6790">
        <v>0.17316189999999901</v>
      </c>
      <c r="R6790">
        <v>-0.98118550000000004</v>
      </c>
      <c r="S6790">
        <v>-0.20434569999999999</v>
      </c>
      <c r="T6790">
        <v>3.3041000000000001E-2</v>
      </c>
      <c r="U6790">
        <v>-3.0714109999999999</v>
      </c>
      <c r="V6790">
        <v>-3.8914179999999998E-3</v>
      </c>
      <c r="W6790">
        <v>0.1775255</v>
      </c>
      <c r="X6790">
        <v>0.98410850000000005</v>
      </c>
      <c r="Y6790">
        <v>0.146703799999999</v>
      </c>
      <c r="Z6790">
        <v>-1.5021390000000001E-2</v>
      </c>
      <c r="AA6790">
        <v>0.98906640000000001</v>
      </c>
      <c r="AB6790">
        <v>27</v>
      </c>
      <c r="AC6790">
        <v>-5.8391000000000197</v>
      </c>
      <c r="AD6790">
        <v>0.939052</v>
      </c>
      <c r="AE6790">
        <v>-87.251390999999998</v>
      </c>
      <c r="AF6790">
        <v>12.861423587340299</v>
      </c>
      <c r="AG6790">
        <v>0.939052</v>
      </c>
      <c r="AH6790">
        <v>86.485378944963799</v>
      </c>
      <c r="AI6790">
        <v>89.384677293397004</v>
      </c>
      <c r="AJ6790">
        <v>81.5414146357611</v>
      </c>
      <c r="AK6790">
        <v>87.441516493057705</v>
      </c>
      <c r="AL6790">
        <v>79.7743396957258</v>
      </c>
      <c r="AM6790">
        <v>90.226561060740707</v>
      </c>
      <c r="AN6790">
        <v>0.99999999302827502</v>
      </c>
    </row>
    <row r="6791" spans="1:40" x14ac:dyDescent="0.25">
      <c r="A6791" t="str">
        <f>"20190304154931033"</f>
        <v>20190304154931033</v>
      </c>
      <c r="B6791" t="str">
        <f>"1551685771023724"</f>
        <v>1551685771023724</v>
      </c>
      <c r="C6791" t="s">
        <v>40</v>
      </c>
      <c r="D6791">
        <v>4.0266769999999896</v>
      </c>
      <c r="E6791">
        <v>0.55681480000000005</v>
      </c>
      <c r="F6791" t="s">
        <v>97</v>
      </c>
      <c r="G6791">
        <v>-307.32100000000003</v>
      </c>
      <c r="H6791">
        <v>2.0366019999999998</v>
      </c>
      <c r="I6791">
        <v>-91.564989999999995</v>
      </c>
      <c r="J6791">
        <v>-301.26530000000002</v>
      </c>
      <c r="K6791">
        <v>1.0943179999999999</v>
      </c>
      <c r="L6791">
        <v>-4.5818789999999998</v>
      </c>
      <c r="M6791">
        <v>7.4900809999999998E-2</v>
      </c>
      <c r="N6791">
        <v>-5.0201270000000001E-3</v>
      </c>
      <c r="O6791">
        <v>-0.99717849999999997</v>
      </c>
      <c r="P6791">
        <v>8.3751279999999997E-2</v>
      </c>
      <c r="Q6791">
        <v>0.17218339999999999</v>
      </c>
      <c r="R6791">
        <v>-0.98149830000000005</v>
      </c>
      <c r="S6791">
        <v>-0.21255489999999999</v>
      </c>
      <c r="T6791">
        <v>3.3234359999999998E-2</v>
      </c>
      <c r="U6791">
        <v>-3.07016</v>
      </c>
      <c r="V6791">
        <v>-8.1076450000000001E-3</v>
      </c>
      <c r="W6791">
        <v>0.17722280000000001</v>
      </c>
      <c r="X6791">
        <v>0.98413740000000005</v>
      </c>
      <c r="Y6791">
        <v>0.14358950000000001</v>
      </c>
      <c r="Z6791">
        <v>-1.57425E-2</v>
      </c>
      <c r="AA6791">
        <v>0.98951210000000001</v>
      </c>
      <c r="AB6791">
        <v>27</v>
      </c>
      <c r="AC6791">
        <v>-6.0556999999999404</v>
      </c>
      <c r="AD6791">
        <v>0.94228400000000001</v>
      </c>
      <c r="AE6791">
        <v>-86.983110999999994</v>
      </c>
      <c r="AF6791">
        <v>12.552409702148401</v>
      </c>
      <c r="AG6791">
        <v>0.94228400000000001</v>
      </c>
      <c r="AH6791">
        <v>86.275110113872202</v>
      </c>
      <c r="AI6791">
        <v>89.380768010116398</v>
      </c>
      <c r="AJ6791">
        <v>81.721959236625096</v>
      </c>
      <c r="AK6791">
        <v>87.188562974899497</v>
      </c>
      <c r="AL6791">
        <v>79.791963033832602</v>
      </c>
      <c r="AM6791">
        <v>90.472010647508398</v>
      </c>
      <c r="AN6791">
        <v>1.0000000384130201</v>
      </c>
    </row>
    <row r="6792" spans="1:40" x14ac:dyDescent="0.25">
      <c r="A6792" t="str">
        <f>"20190304154931055"</f>
        <v>20190304154931055</v>
      </c>
      <c r="B6792" t="str">
        <f>"1551685771044219"</f>
        <v>1551685771044219</v>
      </c>
      <c r="C6792" t="s">
        <v>40</v>
      </c>
      <c r="D6792">
        <v>4.0662449999999897</v>
      </c>
      <c r="E6792">
        <v>0.55638209999999999</v>
      </c>
      <c r="F6792" t="s">
        <v>97</v>
      </c>
      <c r="G6792">
        <v>-307.16329999999999</v>
      </c>
      <c r="H6792">
        <v>2.0202960000000001</v>
      </c>
      <c r="I6792">
        <v>-91.564989999999995</v>
      </c>
      <c r="J6792">
        <v>-301.25130000000001</v>
      </c>
      <c r="K6792">
        <v>1.096292</v>
      </c>
      <c r="L6792">
        <v>-4.8511959999999998</v>
      </c>
      <c r="M6792">
        <v>6.9358749999999997E-2</v>
      </c>
      <c r="N6792">
        <v>-5.6172510000000002E-3</v>
      </c>
      <c r="O6792">
        <v>-0.99757589999999996</v>
      </c>
      <c r="P6792">
        <v>8.1808599999999995E-2</v>
      </c>
      <c r="Q6792">
        <v>0.17079440000000001</v>
      </c>
      <c r="R6792">
        <v>-0.98190449999999996</v>
      </c>
      <c r="S6792">
        <v>-0.2080688</v>
      </c>
      <c r="T6792">
        <v>3.2666920000000002E-2</v>
      </c>
      <c r="U6792">
        <v>-3.0685730000000002</v>
      </c>
      <c r="V6792">
        <v>-1.1738119999999999E-2</v>
      </c>
      <c r="W6792">
        <v>0.17645259999999999</v>
      </c>
      <c r="X6792">
        <v>0.98423919999999998</v>
      </c>
      <c r="Y6792">
        <v>0.1366821</v>
      </c>
      <c r="Z6792">
        <v>-1.617449E-2</v>
      </c>
      <c r="AA6792">
        <v>0.99048290000000005</v>
      </c>
      <c r="AB6792">
        <v>27</v>
      </c>
      <c r="AC6792">
        <v>-5.9119999999999697</v>
      </c>
      <c r="AD6792">
        <v>0.92400400000000005</v>
      </c>
      <c r="AE6792">
        <v>-86.713793999999993</v>
      </c>
      <c r="AF6792">
        <v>11.9108716434769</v>
      </c>
      <c r="AG6792">
        <v>0.92400400000000005</v>
      </c>
      <c r="AH6792">
        <v>86.085176849586105</v>
      </c>
      <c r="AI6792">
        <v>89.390836337056996</v>
      </c>
      <c r="AJ6792">
        <v>82.122486388412398</v>
      </c>
      <c r="AK6792">
        <v>86.910185363534495</v>
      </c>
      <c r="AL6792">
        <v>79.8367990055728</v>
      </c>
      <c r="AM6792">
        <v>90.683281922176903</v>
      </c>
      <c r="AN6792">
        <v>1.0000000531622599</v>
      </c>
    </row>
    <row r="6793" spans="1:40" x14ac:dyDescent="0.25">
      <c r="A6793" t="str">
        <f>"20190304154931078"</f>
        <v>20190304154931078</v>
      </c>
      <c r="B6793" t="str">
        <f>"1551685771074476"</f>
        <v>1551685771074476</v>
      </c>
      <c r="C6793" t="s">
        <v>40</v>
      </c>
      <c r="D6793">
        <v>4.1400540000000001</v>
      </c>
      <c r="E6793">
        <v>0.53716419999999998</v>
      </c>
      <c r="F6793" t="s">
        <v>97</v>
      </c>
      <c r="G6793">
        <v>-307.19299999999998</v>
      </c>
      <c r="H6793">
        <v>1.9118820000000001</v>
      </c>
      <c r="I6793">
        <v>-91.564989999999995</v>
      </c>
      <c r="J6793">
        <v>-301.23849999999999</v>
      </c>
      <c r="K6793">
        <v>1.0980240000000001</v>
      </c>
      <c r="L6793">
        <v>-5.1213069999999998</v>
      </c>
      <c r="M6793">
        <v>6.4041230000000005E-2</v>
      </c>
      <c r="N6793">
        <v>-6.1640030000000004E-3</v>
      </c>
      <c r="O6793">
        <v>-0.99792829999999999</v>
      </c>
      <c r="P6793">
        <v>8.0808489999999997E-2</v>
      </c>
      <c r="Q6793">
        <v>0.1696368</v>
      </c>
      <c r="R6793">
        <v>-0.98218819999999996</v>
      </c>
      <c r="S6793">
        <v>-0.21020510000000001</v>
      </c>
      <c r="T6793">
        <v>2.8854609999999999E-2</v>
      </c>
      <c r="U6793">
        <v>-3.06778</v>
      </c>
      <c r="V6793">
        <v>-1.607859E-2</v>
      </c>
      <c r="W6793">
        <v>0.175867299999999</v>
      </c>
      <c r="X6793">
        <v>0.98428260000000001</v>
      </c>
      <c r="Y6793">
        <v>0.13210539999999901</v>
      </c>
      <c r="Z6793">
        <v>-1.5501239999999999E-2</v>
      </c>
      <c r="AA6793">
        <v>0.99111439999999995</v>
      </c>
      <c r="AB6793">
        <v>27</v>
      </c>
      <c r="AC6793">
        <v>-5.9544999999999897</v>
      </c>
      <c r="AD6793">
        <v>0.81385799999999997</v>
      </c>
      <c r="AE6793">
        <v>-86.443682999999993</v>
      </c>
      <c r="AF6793">
        <v>11.4773284077394</v>
      </c>
      <c r="AG6793">
        <v>0.81385799999999997</v>
      </c>
      <c r="AH6793">
        <v>85.877312365205597</v>
      </c>
      <c r="AI6793">
        <v>89.461809969785904</v>
      </c>
      <c r="AJ6793">
        <v>82.387644935836704</v>
      </c>
      <c r="AK6793">
        <v>86.644700999509297</v>
      </c>
      <c r="AL6793">
        <v>79.870866782509296</v>
      </c>
      <c r="AM6793">
        <v>90.935862747965601</v>
      </c>
      <c r="AN6793">
        <v>1.00000003246421</v>
      </c>
    </row>
    <row r="6794" spans="1:40" x14ac:dyDescent="0.25">
      <c r="A6794" t="str">
        <f>"20190304154931100"</f>
        <v>20190304154931100</v>
      </c>
      <c r="B6794" t="str">
        <f>"1551685771093995"</f>
        <v>1551685771093995</v>
      </c>
      <c r="C6794" t="s">
        <v>40</v>
      </c>
      <c r="D6794">
        <v>4.0224979999999997</v>
      </c>
      <c r="E6794">
        <v>0.48649569999999998</v>
      </c>
      <c r="F6794" t="s">
        <v>97</v>
      </c>
      <c r="G6794">
        <v>-302.94600000000003</v>
      </c>
      <c r="H6794">
        <v>1.4156470000000001</v>
      </c>
      <c r="I6794">
        <v>-91.564989999999995</v>
      </c>
      <c r="J6794">
        <v>-301.22669999999999</v>
      </c>
      <c r="K6794">
        <v>1.099553</v>
      </c>
      <c r="L6794">
        <v>-5.3961489999999896</v>
      </c>
      <c r="M6794">
        <v>5.8890520000000002E-2</v>
      </c>
      <c r="N6794">
        <v>-6.6675509999999999E-3</v>
      </c>
      <c r="O6794">
        <v>-0.99824210000000002</v>
      </c>
      <c r="P6794">
        <v>8.0643350000000003E-2</v>
      </c>
      <c r="Q6794">
        <v>0.16776679999999999</v>
      </c>
      <c r="R6794">
        <v>-0.98252280000000003</v>
      </c>
      <c r="S6794">
        <v>-6.0394290000000003E-2</v>
      </c>
      <c r="T6794">
        <v>1.123452E-2</v>
      </c>
      <c r="U6794">
        <v>-3.0574340000000002</v>
      </c>
      <c r="V6794">
        <v>-2.1078659999999999E-2</v>
      </c>
      <c r="W6794">
        <v>0.1745303</v>
      </c>
      <c r="X6794">
        <v>0.98442609999999997</v>
      </c>
      <c r="Y6794">
        <v>7.8593640000000006E-2</v>
      </c>
      <c r="Z6794">
        <v>-1.033017E-2</v>
      </c>
      <c r="AA6794">
        <v>0.99685319999999999</v>
      </c>
      <c r="AB6794">
        <v>27</v>
      </c>
      <c r="AC6794">
        <v>-1.7192999999999701</v>
      </c>
      <c r="AD6794">
        <v>0.31609399999999899</v>
      </c>
      <c r="AE6794">
        <v>-86.168841</v>
      </c>
      <c r="AF6794">
        <v>6.7908656477813203</v>
      </c>
      <c r="AG6794">
        <v>0.31609399999999899</v>
      </c>
      <c r="AH6794">
        <v>85.916875343120196</v>
      </c>
      <c r="AI6794">
        <v>89.789861273348293</v>
      </c>
      <c r="AJ6794">
        <v>85.480739826072295</v>
      </c>
      <c r="AK6794">
        <v>86.185411992913899</v>
      </c>
      <c r="AL6794">
        <v>79.9486737630601</v>
      </c>
      <c r="AM6794">
        <v>91.226637261307204</v>
      </c>
      <c r="AN6794">
        <v>0.99999994094334599</v>
      </c>
    </row>
    <row r="6795" spans="1:40" x14ac:dyDescent="0.25">
      <c r="A6795" t="str">
        <f>"20190304154931123"</f>
        <v>20190304154931123</v>
      </c>
      <c r="B6795" t="str">
        <f>"1551685771114492"</f>
        <v>1551685771114492</v>
      </c>
      <c r="C6795" t="s">
        <v>40</v>
      </c>
      <c r="D6795">
        <v>3.9635060000000002</v>
      </c>
      <c r="E6795">
        <v>0.47896139999999998</v>
      </c>
      <c r="F6795" t="s">
        <v>68</v>
      </c>
      <c r="G6795">
        <v>-296.95650000000001</v>
      </c>
      <c r="H6795" s="1">
        <v>-2.8236060000000001E-6</v>
      </c>
      <c r="I6795">
        <v>-43.572029999999998</v>
      </c>
      <c r="J6795">
        <v>-301.21600000000001</v>
      </c>
      <c r="K6795">
        <v>1.100875</v>
      </c>
      <c r="L6795">
        <v>-5.6677249999999999</v>
      </c>
      <c r="M6795">
        <v>5.4072130000000003E-2</v>
      </c>
      <c r="N6795">
        <v>-7.1141329999999999E-3</v>
      </c>
      <c r="O6795">
        <v>-0.9985117</v>
      </c>
      <c r="P6795">
        <v>8.0897189999999994E-2</v>
      </c>
      <c r="Q6795">
        <v>0.16668479999999999</v>
      </c>
      <c r="R6795">
        <v>-0.98268599999999995</v>
      </c>
      <c r="S6795">
        <v>0.3400879</v>
      </c>
      <c r="T6795">
        <v>-8.7570910000000002E-2</v>
      </c>
      <c r="U6795">
        <v>-3.0404049999999998</v>
      </c>
      <c r="V6795">
        <v>-2.6163059999999998E-2</v>
      </c>
      <c r="W6795">
        <v>0.17392170000000001</v>
      </c>
      <c r="X6795">
        <v>0.98441179999999995</v>
      </c>
      <c r="Y6795">
        <v>-5.7228809999999998E-2</v>
      </c>
      <c r="Z6795">
        <v>2.1524089999999999E-2</v>
      </c>
      <c r="AA6795">
        <v>0.99812900000000004</v>
      </c>
      <c r="AB6795">
        <v>27</v>
      </c>
      <c r="AC6795">
        <v>4.2595000000000001</v>
      </c>
      <c r="AD6795">
        <v>-1.100877823606</v>
      </c>
      <c r="AE6795">
        <v>-37.904305000000001</v>
      </c>
      <c r="AF6795">
        <v>-2.2018156818394701</v>
      </c>
      <c r="AG6795">
        <v>-1.100877823606</v>
      </c>
      <c r="AH6795">
        <v>38.047481478040901</v>
      </c>
      <c r="AI6795">
        <v>91.654585029582805</v>
      </c>
      <c r="AJ6795">
        <v>93.312024715819405</v>
      </c>
      <c r="AK6795">
        <v>38.1270346486737</v>
      </c>
      <c r="AL6795">
        <v>79.984085442445405</v>
      </c>
      <c r="AM6795">
        <v>91.522411775752602</v>
      </c>
      <c r="AN6795">
        <v>0.99999992770934398</v>
      </c>
    </row>
    <row r="6796" spans="1:40" x14ac:dyDescent="0.25">
      <c r="A6796" t="str">
        <f>"20190304154931148"</f>
        <v>20190304154931148</v>
      </c>
      <c r="B6796" t="str">
        <f>"1551685771143773"</f>
        <v>1551685771143773</v>
      </c>
      <c r="C6796" t="s">
        <v>40</v>
      </c>
      <c r="D6796">
        <v>3.9675180000000001</v>
      </c>
      <c r="E6796">
        <v>0.47657189999999999</v>
      </c>
      <c r="F6796" t="s">
        <v>68</v>
      </c>
      <c r="G6796">
        <v>-296.03289999999998</v>
      </c>
      <c r="H6796" s="1">
        <v>-3.7604180000000001E-6</v>
      </c>
      <c r="I6796">
        <v>-44.860039999999998</v>
      </c>
      <c r="J6796">
        <v>-301.20499999999998</v>
      </c>
      <c r="K6796">
        <v>1.102198</v>
      </c>
      <c r="L6796">
        <v>-5.9789729999999999</v>
      </c>
      <c r="M6796">
        <v>4.8874710000000002E-2</v>
      </c>
      <c r="N6796">
        <v>-7.5676319999999899E-3</v>
      </c>
      <c r="O6796">
        <v>-0.99877629999999995</v>
      </c>
      <c r="P6796">
        <v>8.0281439999999996E-2</v>
      </c>
      <c r="Q6796">
        <v>0.16562650000000001</v>
      </c>
      <c r="R6796">
        <v>-0.98291550000000005</v>
      </c>
      <c r="S6796">
        <v>0.40127560000000001</v>
      </c>
      <c r="T6796">
        <v>-8.5230109999999998E-2</v>
      </c>
      <c r="U6796">
        <v>-3.0342709999999999</v>
      </c>
      <c r="V6796">
        <v>-3.076007E-2</v>
      </c>
      <c r="W6796">
        <v>0.1733324</v>
      </c>
      <c r="X6796">
        <v>0.98438289999999995</v>
      </c>
      <c r="Y6796">
        <v>-8.2457249999999996E-2</v>
      </c>
      <c r="Z6796">
        <v>2.0317669999999999E-2</v>
      </c>
      <c r="AA6796">
        <v>0.99638749999999998</v>
      </c>
      <c r="AB6796">
        <v>27</v>
      </c>
      <c r="AC6796">
        <v>5.1721000000000004</v>
      </c>
      <c r="AD6796">
        <v>-1.1022017604180001</v>
      </c>
      <c r="AE6796">
        <v>-38.881067000000002</v>
      </c>
      <c r="AF6796">
        <v>-3.2629867882098198</v>
      </c>
      <c r="AG6796">
        <v>-1.1022017604180001</v>
      </c>
      <c r="AH6796">
        <v>39.056549823206502</v>
      </c>
      <c r="AI6796">
        <v>91.610886806591097</v>
      </c>
      <c r="AJ6796">
        <v>94.775696130820407</v>
      </c>
      <c r="AK6796">
        <v>39.208111604530401</v>
      </c>
      <c r="AL6796">
        <v>80.018371300947294</v>
      </c>
      <c r="AM6796">
        <v>91.789800381467103</v>
      </c>
      <c r="AN6796">
        <v>0.99999999830428699</v>
      </c>
    </row>
    <row r="6797" spans="1:40" x14ac:dyDescent="0.25">
      <c r="A6797" t="str">
        <f>"20190304154931168"</f>
        <v>20190304154931168</v>
      </c>
      <c r="B6797" t="str">
        <f>"1551685771164267"</f>
        <v>1551685771164267</v>
      </c>
      <c r="C6797" t="s">
        <v>40</v>
      </c>
      <c r="D6797">
        <v>3.9977610000000001</v>
      </c>
      <c r="E6797">
        <v>0.47596899999999998</v>
      </c>
      <c r="F6797" t="s">
        <v>68</v>
      </c>
      <c r="G6797">
        <v>-295.86399999999998</v>
      </c>
      <c r="H6797" s="1">
        <v>-3.6170919999999998E-6</v>
      </c>
      <c r="I6797">
        <v>-44.529490000000003</v>
      </c>
      <c r="J6797">
        <v>-301.19760000000002</v>
      </c>
      <c r="K6797">
        <v>1.103078</v>
      </c>
      <c r="L6797">
        <v>-6.2153320000000001</v>
      </c>
      <c r="M6797">
        <v>4.5170660000000001E-2</v>
      </c>
      <c r="N6797">
        <v>-7.87062E-3</v>
      </c>
      <c r="O6797">
        <v>-0.99894830000000001</v>
      </c>
      <c r="P6797">
        <v>8.1535170000000004E-2</v>
      </c>
      <c r="Q6797">
        <v>0.1643155</v>
      </c>
      <c r="R6797">
        <v>-0.98303249999999998</v>
      </c>
      <c r="S6797">
        <v>0.4201355</v>
      </c>
      <c r="T6797">
        <v>-8.6700799999999995E-2</v>
      </c>
      <c r="U6797">
        <v>-3.0324399999999998</v>
      </c>
      <c r="V6797">
        <v>-3.5738659999999998E-2</v>
      </c>
      <c r="W6797">
        <v>0.1723452</v>
      </c>
      <c r="X6797">
        <v>0.98438809999999999</v>
      </c>
      <c r="Y6797">
        <v>-9.2309489999999994E-2</v>
      </c>
      <c r="Z6797">
        <v>2.0495639999999999E-2</v>
      </c>
      <c r="AA6797">
        <v>0.99551940000000005</v>
      </c>
      <c r="AB6797">
        <v>27</v>
      </c>
      <c r="AC6797">
        <v>5.3335999999999899</v>
      </c>
      <c r="AD6797">
        <v>-1.1030816170919999</v>
      </c>
      <c r="AE6797">
        <v>-38.314157999999999</v>
      </c>
      <c r="AF6797">
        <v>-3.5945033936508599</v>
      </c>
      <c r="AG6797">
        <v>-1.1030816170919999</v>
      </c>
      <c r="AH6797">
        <v>38.484684284409603</v>
      </c>
      <c r="AI6797">
        <v>91.634701160440301</v>
      </c>
      <c r="AJ6797">
        <v>95.335995596615007</v>
      </c>
      <c r="AK6797">
        <v>38.667921694495199</v>
      </c>
      <c r="AL6797">
        <v>80.075798234858894</v>
      </c>
      <c r="AM6797">
        <v>92.079236252273901</v>
      </c>
      <c r="AN6797">
        <v>1.0000000256016199</v>
      </c>
    </row>
    <row r="6798" spans="1:40" x14ac:dyDescent="0.25">
      <c r="A6798" t="str">
        <f>"20190304154931190"</f>
        <v>20190304154931190</v>
      </c>
      <c r="B6798" t="str">
        <f>"1551685771183788"</f>
        <v>1551685771183788</v>
      </c>
      <c r="C6798" t="s">
        <v>40</v>
      </c>
      <c r="D6798">
        <v>3.987266</v>
      </c>
      <c r="E6798">
        <v>0.47514830000000002</v>
      </c>
      <c r="F6798" t="s">
        <v>68</v>
      </c>
      <c r="G6798">
        <v>-295.92970000000003</v>
      </c>
      <c r="H6798" s="1">
        <v>-2.9766820000000002E-6</v>
      </c>
      <c r="I6798">
        <v>-43.385219999999997</v>
      </c>
      <c r="J6798">
        <v>-301.18979999999999</v>
      </c>
      <c r="K6798">
        <v>1.1039950000000001</v>
      </c>
      <c r="L6798">
        <v>-6.4887079999999999</v>
      </c>
      <c r="M6798">
        <v>4.1118380000000003E-2</v>
      </c>
      <c r="N6798">
        <v>-8.1852049999999992E-3</v>
      </c>
      <c r="O6798">
        <v>-0.99912069999999997</v>
      </c>
      <c r="P6798">
        <v>8.3657319999999993E-2</v>
      </c>
      <c r="Q6798">
        <v>0.16355120000000001</v>
      </c>
      <c r="R6798">
        <v>-0.98298149999999995</v>
      </c>
      <c r="S6798">
        <v>0.42959589999999998</v>
      </c>
      <c r="T6798">
        <v>-8.9955809999999997E-2</v>
      </c>
      <c r="U6798">
        <v>-3.0311889999999999</v>
      </c>
      <c r="V6798">
        <v>-4.1942720000000003E-2</v>
      </c>
      <c r="W6798">
        <v>0.17191629999999899</v>
      </c>
      <c r="X6798">
        <v>0.98421820000000004</v>
      </c>
      <c r="Y6798">
        <v>-9.9444480000000002E-2</v>
      </c>
      <c r="Z6798">
        <v>2.1246859999999999E-2</v>
      </c>
      <c r="AA6798">
        <v>0.99481620000000004</v>
      </c>
      <c r="AB6798">
        <v>27</v>
      </c>
      <c r="AC6798">
        <v>5.2600999999999596</v>
      </c>
      <c r="AD6798">
        <v>-1.1039979766820001</v>
      </c>
      <c r="AE6798">
        <v>-36.896512000000001</v>
      </c>
      <c r="AF6798">
        <v>-3.7351979421780599</v>
      </c>
      <c r="AG6798">
        <v>-1.1039979766820001</v>
      </c>
      <c r="AH6798">
        <v>37.049090780637599</v>
      </c>
      <c r="AI6798">
        <v>91.698205230532906</v>
      </c>
      <c r="AJ6798">
        <v>95.7569668050334</v>
      </c>
      <c r="AK6798">
        <v>37.253263519746803</v>
      </c>
      <c r="AL6798">
        <v>80.100743843026706</v>
      </c>
      <c r="AM6798">
        <v>92.440198393392293</v>
      </c>
      <c r="AN6798">
        <v>0.99999993558896205</v>
      </c>
    </row>
    <row r="6799" spans="1:40" x14ac:dyDescent="0.25">
      <c r="A6799" t="str">
        <f>"20190304154931213"</f>
        <v>20190304154931213</v>
      </c>
      <c r="B6799" t="str">
        <f>"1551685771204284"</f>
        <v>1551685771204284</v>
      </c>
      <c r="C6799" t="s">
        <v>40</v>
      </c>
      <c r="D6799">
        <v>4.0184920000000002</v>
      </c>
      <c r="E6799">
        <v>0.47443249999999998</v>
      </c>
      <c r="F6799" t="s">
        <v>68</v>
      </c>
      <c r="G6799">
        <v>-296.12090000000001</v>
      </c>
      <c r="H6799" s="1">
        <v>-1.5736090000000001E-6</v>
      </c>
      <c r="I6799">
        <v>-41.25573</v>
      </c>
      <c r="J6799">
        <v>-301.18290000000002</v>
      </c>
      <c r="K6799">
        <v>1.104773</v>
      </c>
      <c r="L6799">
        <v>-6.7560419999999999</v>
      </c>
      <c r="M6799">
        <v>3.7413250000000002E-2</v>
      </c>
      <c r="N6799">
        <v>-8.4563190000000003E-3</v>
      </c>
      <c r="O6799">
        <v>-0.99926440000000005</v>
      </c>
      <c r="P6799">
        <v>8.5926139999999998E-2</v>
      </c>
      <c r="Q6799">
        <v>0.16350010000000001</v>
      </c>
      <c r="R6799">
        <v>-0.98279459999999996</v>
      </c>
      <c r="S6799">
        <v>0.441803</v>
      </c>
      <c r="T6799">
        <v>-9.6225619999999998E-2</v>
      </c>
      <c r="U6799">
        <v>-3.0303339999999999</v>
      </c>
      <c r="V6799">
        <v>-4.7946170000000003E-2</v>
      </c>
      <c r="W6799">
        <v>0.17215030000000001</v>
      </c>
      <c r="X6799">
        <v>0.98390319999999998</v>
      </c>
      <c r="Y6799">
        <v>-0.1070879</v>
      </c>
      <c r="Z6799">
        <v>2.3017220000000001E-2</v>
      </c>
      <c r="AA6799">
        <v>0.99398310000000001</v>
      </c>
      <c r="AB6799">
        <v>27</v>
      </c>
      <c r="AC6799">
        <v>5.06200000000001</v>
      </c>
      <c r="AD6799">
        <v>-1.104774573609</v>
      </c>
      <c r="AE6799">
        <v>-34.499687999999999</v>
      </c>
      <c r="AF6799">
        <v>-3.7638861641206498</v>
      </c>
      <c r="AG6799">
        <v>-1.104774573609</v>
      </c>
      <c r="AH6799">
        <v>34.630161623481698</v>
      </c>
      <c r="AI6799">
        <v>91.816544683946901</v>
      </c>
      <c r="AJ6799">
        <v>96.203019746855702</v>
      </c>
      <c r="AK6799">
        <v>34.851620622051598</v>
      </c>
      <c r="AL6799">
        <v>80.087134703455305</v>
      </c>
      <c r="AM6799">
        <v>92.789849431214606</v>
      </c>
      <c r="AN6799">
        <v>1.0000000339889901</v>
      </c>
    </row>
    <row r="6800" spans="1:40" x14ac:dyDescent="0.25">
      <c r="A6800" t="str">
        <f>"20190304154931235"</f>
        <v>20190304154931235</v>
      </c>
      <c r="B6800" t="str">
        <f>"1551685771224312"</f>
        <v>1551685771224312</v>
      </c>
      <c r="C6800" t="s">
        <v>40</v>
      </c>
      <c r="D6800">
        <v>4.0363040000000003</v>
      </c>
      <c r="E6800">
        <v>0.47381089999999998</v>
      </c>
      <c r="F6800" t="s">
        <v>68</v>
      </c>
      <c r="G6800">
        <v>-296.02350000000001</v>
      </c>
      <c r="H6800" s="1">
        <v>-1.580839E-6</v>
      </c>
      <c r="I6800">
        <v>-41.226320000000001</v>
      </c>
      <c r="J6800">
        <v>-301.17669999999998</v>
      </c>
      <c r="K6800">
        <v>1.105448</v>
      </c>
      <c r="L6800">
        <v>-7.0245059999999997</v>
      </c>
      <c r="M6800">
        <v>3.3936889999999997E-2</v>
      </c>
      <c r="N6800">
        <v>-8.6963349999999995E-3</v>
      </c>
      <c r="O6800">
        <v>-0.99938640000000001</v>
      </c>
      <c r="P6800">
        <v>8.7393129999999999E-2</v>
      </c>
      <c r="Q6800">
        <v>0.16431219999999999</v>
      </c>
      <c r="R6800">
        <v>-0.98252969999999895</v>
      </c>
      <c r="S6800">
        <v>0.45336910000000002</v>
      </c>
      <c r="T6800">
        <v>-9.7080349999999996E-2</v>
      </c>
      <c r="U6800">
        <v>-3.0290219999999999</v>
      </c>
      <c r="V6800">
        <v>-5.291386E-2</v>
      </c>
      <c r="W6800">
        <v>0.1732061</v>
      </c>
      <c r="X6800">
        <v>0.98346319999999998</v>
      </c>
      <c r="Y6800">
        <v>-0.1143173</v>
      </c>
      <c r="Z6800">
        <v>2.3053279999999999E-2</v>
      </c>
      <c r="AA6800">
        <v>0.99317679999999997</v>
      </c>
      <c r="AB6800">
        <v>27</v>
      </c>
      <c r="AC6800">
        <v>5.1531999999999698</v>
      </c>
      <c r="AD6800">
        <v>-1.1054495808389999</v>
      </c>
      <c r="AE6800">
        <v>-34.201813999999999</v>
      </c>
      <c r="AF6800">
        <v>-3.9854135989683601</v>
      </c>
      <c r="AG6800">
        <v>-1.1054495808389999</v>
      </c>
      <c r="AH6800">
        <v>34.321942423769798</v>
      </c>
      <c r="AI6800">
        <v>91.832454744771397</v>
      </c>
      <c r="AJ6800">
        <v>96.6234390671098</v>
      </c>
      <c r="AK6800">
        <v>34.570236795127499</v>
      </c>
      <c r="AL6800">
        <v>80.025719391770707</v>
      </c>
      <c r="AM6800">
        <v>93.079749675507003</v>
      </c>
      <c r="AN6800">
        <v>1.00000004770577</v>
      </c>
    </row>
    <row r="6801" spans="1:40" x14ac:dyDescent="0.25">
      <c r="A6801" t="str">
        <f>"20190304154931257"</f>
        <v>20190304154931257</v>
      </c>
      <c r="B6801" t="str">
        <f>"1551685771254568"</f>
        <v>1551685771254568</v>
      </c>
      <c r="C6801" t="s">
        <v>40</v>
      </c>
      <c r="D6801">
        <v>3.966272</v>
      </c>
      <c r="E6801">
        <v>0.47343469999999999</v>
      </c>
      <c r="F6801" t="s">
        <v>68</v>
      </c>
      <c r="G6801">
        <v>-295.77569999999997</v>
      </c>
      <c r="H6801" s="1">
        <v>-2.3704089999999998E-6</v>
      </c>
      <c r="I6801">
        <v>-42.36477</v>
      </c>
      <c r="J6801">
        <v>-301.1712</v>
      </c>
      <c r="K6801">
        <v>1.1060110000000001</v>
      </c>
      <c r="L6801">
        <v>-7.2964479999999998</v>
      </c>
      <c r="M6801">
        <v>3.0607889999999999E-2</v>
      </c>
      <c r="N6801">
        <v>-8.9117999999999992E-3</v>
      </c>
      <c r="O6801">
        <v>-0.99949189999999999</v>
      </c>
      <c r="P6801">
        <v>8.8737029999999995E-2</v>
      </c>
      <c r="Q6801">
        <v>0.16410089999999999</v>
      </c>
      <c r="R6801">
        <v>-0.9824444</v>
      </c>
      <c r="S6801">
        <v>0.46276859999999997</v>
      </c>
      <c r="T6801">
        <v>-9.4716910000000001E-2</v>
      </c>
      <c r="U6801">
        <v>-3.0280149999999999</v>
      </c>
      <c r="V6801">
        <v>-5.7599400000000002E-2</v>
      </c>
      <c r="W6801">
        <v>0.17321400000000001</v>
      </c>
      <c r="X6801">
        <v>0.98319849999999998</v>
      </c>
      <c r="Y6801">
        <v>-0.1206883</v>
      </c>
      <c r="Z6801">
        <v>2.206118E-2</v>
      </c>
      <c r="AA6801">
        <v>0.99244529999999997</v>
      </c>
      <c r="AB6801">
        <v>27</v>
      </c>
      <c r="AC6801">
        <v>5.3955000000000197</v>
      </c>
      <c r="AD6801">
        <v>-1.1060133704090001</v>
      </c>
      <c r="AE6801">
        <v>-35.068321999999903</v>
      </c>
      <c r="AF6801">
        <v>-4.3153688213225996</v>
      </c>
      <c r="AG6801">
        <v>-1.1060133704090001</v>
      </c>
      <c r="AH6801">
        <v>35.1828544924876</v>
      </c>
      <c r="AI6801">
        <v>91.787181025702097</v>
      </c>
      <c r="AJ6801">
        <v>96.992712199119893</v>
      </c>
      <c r="AK6801">
        <v>35.4637691719185</v>
      </c>
      <c r="AL6801">
        <v>80.025259685891996</v>
      </c>
      <c r="AM6801">
        <v>93.352766295174106</v>
      </c>
      <c r="AN6801">
        <v>1.0000000355392999</v>
      </c>
    </row>
    <row r="6802" spans="1:40" x14ac:dyDescent="0.25">
      <c r="A6802" t="str">
        <f>"20190304154931279"</f>
        <v>20190304154931279</v>
      </c>
      <c r="B6802" t="str">
        <f>"1551685771274087"</f>
        <v>1551685771274087</v>
      </c>
      <c r="C6802" t="s">
        <v>40</v>
      </c>
      <c r="D6802">
        <v>4.014634</v>
      </c>
      <c r="E6802">
        <v>0.47313339999999998</v>
      </c>
      <c r="F6802" t="s">
        <v>68</v>
      </c>
      <c r="G6802">
        <v>-295.50810000000001</v>
      </c>
      <c r="H6802" s="1">
        <v>-3.2742989999999999E-6</v>
      </c>
      <c r="I6802">
        <v>-43.758459999999999</v>
      </c>
      <c r="J6802">
        <v>-301.16640000000001</v>
      </c>
      <c r="K6802">
        <v>1.1064860000000001</v>
      </c>
      <c r="L6802">
        <v>-7.569458</v>
      </c>
      <c r="M6802">
        <v>2.7450479999999999E-2</v>
      </c>
      <c r="N6802">
        <v>-9.1033550000000005E-3</v>
      </c>
      <c r="O6802">
        <v>-0.99958170000000002</v>
      </c>
      <c r="P6802">
        <v>9.0465610000000002E-2</v>
      </c>
      <c r="Q6802">
        <v>0.16299649999999999</v>
      </c>
      <c r="R6802">
        <v>-0.98247030000000002</v>
      </c>
      <c r="S6802">
        <v>0.47006229999999899</v>
      </c>
      <c r="T6802">
        <v>-9.1803549999999998E-2</v>
      </c>
      <c r="U6802">
        <v>-3.0264890000000002</v>
      </c>
      <c r="V6802">
        <v>-6.2491570000000003E-2</v>
      </c>
      <c r="W6802">
        <v>0.17230809999999999</v>
      </c>
      <c r="X6802">
        <v>0.98305889999999996</v>
      </c>
      <c r="Y6802">
        <v>-0.12623579999999901</v>
      </c>
      <c r="Z6802">
        <v>2.092014E-2</v>
      </c>
      <c r="AA6802">
        <v>0.99177959999999998</v>
      </c>
      <c r="AB6802">
        <v>27</v>
      </c>
      <c r="AC6802">
        <v>5.6582999999999899</v>
      </c>
      <c r="AD6802">
        <v>-1.106489274299</v>
      </c>
      <c r="AE6802">
        <v>-36.189002000000002</v>
      </c>
      <c r="AF6802">
        <v>-4.6584698826199196</v>
      </c>
      <c r="AG6802">
        <v>-1.106489274299</v>
      </c>
      <c r="AH6802">
        <v>36.2975700786643</v>
      </c>
      <c r="AI6802">
        <v>91.731858503553994</v>
      </c>
      <c r="AJ6802">
        <v>97.3134237387995</v>
      </c>
      <c r="AK6802">
        <v>36.612009693227201</v>
      </c>
      <c r="AL6802">
        <v>80.077956328426794</v>
      </c>
      <c r="AM6802">
        <v>93.637312061624399</v>
      </c>
      <c r="AN6802">
        <v>1.00000003925794</v>
      </c>
    </row>
    <row r="6803" spans="1:40" x14ac:dyDescent="0.25">
      <c r="A6803" t="str">
        <f>"20190304154931301"</f>
        <v>20190304154931301</v>
      </c>
      <c r="B6803" t="str">
        <f>"1551685771293607"</f>
        <v>1551685771293607</v>
      </c>
      <c r="C6803" t="s">
        <v>40</v>
      </c>
      <c r="D6803">
        <v>4.0094219999999998</v>
      </c>
      <c r="E6803">
        <v>0.47258129999999998</v>
      </c>
      <c r="F6803" t="s">
        <v>68</v>
      </c>
      <c r="G6803">
        <v>-295.53370000000001</v>
      </c>
      <c r="H6803" s="1">
        <v>-3.0066620000000002E-6</v>
      </c>
      <c r="I6803">
        <v>-43.279499999999999</v>
      </c>
      <c r="J6803">
        <v>-301.16230000000002</v>
      </c>
      <c r="K6803">
        <v>1.106886</v>
      </c>
      <c r="L6803">
        <v>-7.8394469999999998</v>
      </c>
      <c r="M6803">
        <v>2.4509570000000001E-2</v>
      </c>
      <c r="N6803">
        <v>-9.2707250000000005E-3</v>
      </c>
      <c r="O6803">
        <v>-0.99965669999999995</v>
      </c>
      <c r="P6803">
        <v>9.2413679999999998E-2</v>
      </c>
      <c r="Q6803">
        <v>0.16160289999999999</v>
      </c>
      <c r="R6803">
        <v>-0.98251920000000004</v>
      </c>
      <c r="S6803">
        <v>0.47717290000000001</v>
      </c>
      <c r="T6803">
        <v>-9.373534E-2</v>
      </c>
      <c r="U6803">
        <v>-3.0251459999999999</v>
      </c>
      <c r="V6803">
        <v>-6.7386979999999999E-2</v>
      </c>
      <c r="W6803">
        <v>0.17108670000000001</v>
      </c>
      <c r="X6803">
        <v>0.98294879999999996</v>
      </c>
      <c r="Y6803">
        <v>-0.13149129999999901</v>
      </c>
      <c r="Z6803">
        <v>2.1383099999999999E-2</v>
      </c>
      <c r="AA6803">
        <v>0.99108669999999999</v>
      </c>
      <c r="AB6803">
        <v>27</v>
      </c>
      <c r="AC6803">
        <v>5.6285999999999996</v>
      </c>
      <c r="AD6803">
        <v>-1.1068890066620001</v>
      </c>
      <c r="AE6803">
        <v>-35.440052999999999</v>
      </c>
      <c r="AF6803">
        <v>-4.75372819927719</v>
      </c>
      <c r="AG6803">
        <v>-1.1068890066620001</v>
      </c>
      <c r="AH6803">
        <v>35.533556662824502</v>
      </c>
      <c r="AI6803">
        <v>91.768471502341399</v>
      </c>
      <c r="AJ6803">
        <v>97.619864589592495</v>
      </c>
      <c r="AK6803">
        <v>35.867210432034298</v>
      </c>
      <c r="AL6803">
        <v>80.148991944759402</v>
      </c>
      <c r="AM6803">
        <v>93.921829673582906</v>
      </c>
      <c r="AN6803">
        <v>1.00000000370592</v>
      </c>
    </row>
    <row r="6804" spans="1:40" x14ac:dyDescent="0.25">
      <c r="A6804" t="str">
        <f>"20190304154931323"</f>
        <v>20190304154931323</v>
      </c>
      <c r="B6804" t="str">
        <f>"1551685771314102"</f>
        <v>1551685771314102</v>
      </c>
      <c r="C6804" t="s">
        <v>40</v>
      </c>
      <c r="D6804">
        <v>3.9252609999999999</v>
      </c>
      <c r="E6804">
        <v>0.47227789999999997</v>
      </c>
      <c r="F6804" t="s">
        <v>68</v>
      </c>
      <c r="G6804">
        <v>-295.69929999999999</v>
      </c>
      <c r="H6804" s="1">
        <v>-1.9989110000000001E-6</v>
      </c>
      <c r="I6804">
        <v>-41.748330000000003</v>
      </c>
      <c r="J6804">
        <v>-301.15879999999999</v>
      </c>
      <c r="K6804">
        <v>1.107254</v>
      </c>
      <c r="L6804">
        <v>-8.1103520000000007</v>
      </c>
      <c r="M6804">
        <v>2.1736080000000001E-2</v>
      </c>
      <c r="N6804">
        <v>-9.4186040000000006E-3</v>
      </c>
      <c r="O6804">
        <v>-0.99971949999999998</v>
      </c>
      <c r="P6804">
        <v>9.4902899999999998E-2</v>
      </c>
      <c r="Q6804">
        <v>0.160859</v>
      </c>
      <c r="R6804">
        <v>-0.98240430000000001</v>
      </c>
      <c r="S6804">
        <v>0.48715209999999998</v>
      </c>
      <c r="T6804">
        <v>-9.8705050000000003E-2</v>
      </c>
      <c r="U6804">
        <v>-3.0237729999999998</v>
      </c>
      <c r="V6804">
        <v>-7.2659970000000004E-2</v>
      </c>
      <c r="W6804">
        <v>0.1704938</v>
      </c>
      <c r="X6804">
        <v>0.98267610000000005</v>
      </c>
      <c r="Y6804">
        <v>-0.13749020000000001</v>
      </c>
      <c r="Z6804">
        <v>2.285274E-2</v>
      </c>
      <c r="AA6804">
        <v>0.99023939999999999</v>
      </c>
      <c r="AB6804">
        <v>27</v>
      </c>
      <c r="AC6804">
        <v>5.4594999999999896</v>
      </c>
      <c r="AD6804">
        <v>-1.107255998911</v>
      </c>
      <c r="AE6804">
        <v>-33.637977999999997</v>
      </c>
      <c r="AF6804">
        <v>-4.72203482450937</v>
      </c>
      <c r="AG6804">
        <v>-1.107255998911</v>
      </c>
      <c r="AH6804">
        <v>33.7131122427216</v>
      </c>
      <c r="AI6804">
        <v>91.862944605897695</v>
      </c>
      <c r="AJ6804">
        <v>97.973275927260204</v>
      </c>
      <c r="AK6804">
        <v>34.060205017312299</v>
      </c>
      <c r="AL6804">
        <v>80.183468762129095</v>
      </c>
      <c r="AM6804">
        <v>94.228806906848703</v>
      </c>
      <c r="AN6804">
        <v>0.99999996229502397</v>
      </c>
    </row>
    <row r="6805" spans="1:40" x14ac:dyDescent="0.25">
      <c r="A6805" t="str">
        <f>"20190304154931346"</f>
        <v>20190304154931346</v>
      </c>
      <c r="B6805" t="str">
        <f>"1551685771333623"</f>
        <v>1551685771333623</v>
      </c>
      <c r="C6805" t="s">
        <v>40</v>
      </c>
      <c r="D6805">
        <v>3.922917</v>
      </c>
      <c r="E6805">
        <v>0.47206090000000001</v>
      </c>
      <c r="F6805" t="s">
        <v>68</v>
      </c>
      <c r="G6805">
        <v>-295.65550000000002</v>
      </c>
      <c r="H6805" s="1">
        <v>-1.9217210000000001E-6</v>
      </c>
      <c r="I6805">
        <v>-41.608580000000003</v>
      </c>
      <c r="J6805">
        <v>-301.15589999999997</v>
      </c>
      <c r="K6805">
        <v>1.107586</v>
      </c>
      <c r="L6805">
        <v>-8.3785710000000009</v>
      </c>
      <c r="M6805">
        <v>1.9161230000000001E-2</v>
      </c>
      <c r="N6805">
        <v>-9.5474229999999993E-3</v>
      </c>
      <c r="O6805">
        <v>-0.99977079999999996</v>
      </c>
      <c r="P6805">
        <v>9.7310250000000001E-2</v>
      </c>
      <c r="Q6805">
        <v>0.16029599999999999</v>
      </c>
      <c r="R6805">
        <v>-0.98226089999999999</v>
      </c>
      <c r="S6805">
        <v>0.4964905</v>
      </c>
      <c r="T6805">
        <v>-9.989381E-2</v>
      </c>
      <c r="U6805">
        <v>-3.022125</v>
      </c>
      <c r="V6805">
        <v>-7.7658110000000002E-2</v>
      </c>
      <c r="W6805">
        <v>0.17005590000000001</v>
      </c>
      <c r="X6805">
        <v>0.98236970000000001</v>
      </c>
      <c r="Y6805">
        <v>-0.143101799999999</v>
      </c>
      <c r="Z6805">
        <v>2.3109660000000001E-2</v>
      </c>
      <c r="AA6805">
        <v>0.98943809999999999</v>
      </c>
      <c r="AB6805">
        <v>27</v>
      </c>
      <c r="AC6805">
        <v>5.5003999999999502</v>
      </c>
      <c r="AD6805">
        <v>-1.1075879217209901</v>
      </c>
      <c r="AE6805">
        <v>-33.230008999999903</v>
      </c>
      <c r="AF6805">
        <v>-4.8573807802598603</v>
      </c>
      <c r="AG6805">
        <v>-1.1075879217209901</v>
      </c>
      <c r="AH6805">
        <v>33.293305964856501</v>
      </c>
      <c r="AI6805">
        <v>91.8854432572994</v>
      </c>
      <c r="AJ6805">
        <v>98.300695437598506</v>
      </c>
      <c r="AK6805">
        <v>33.664003343606197</v>
      </c>
      <c r="AL6805">
        <v>80.208930876637694</v>
      </c>
      <c r="AM6805">
        <v>94.519935818191001</v>
      </c>
      <c r="AN6805">
        <v>1.0000000093258301</v>
      </c>
    </row>
    <row r="6806" spans="1:40" x14ac:dyDescent="0.25">
      <c r="A6806" t="str">
        <f>"20190304154931371"</f>
        <v>20190304154931371</v>
      </c>
      <c r="B6806" t="str">
        <f>"1551685771363879"</f>
        <v>1551685771363879</v>
      </c>
      <c r="C6806" t="s">
        <v>40</v>
      </c>
      <c r="D6806">
        <v>3.9006460000000001</v>
      </c>
      <c r="E6806">
        <v>0.47198810000000002</v>
      </c>
      <c r="F6806" t="s">
        <v>68</v>
      </c>
      <c r="G6806">
        <v>-295.553</v>
      </c>
      <c r="H6806" s="1">
        <v>-2.088532E-6</v>
      </c>
      <c r="I6806">
        <v>-41.828099999999999</v>
      </c>
      <c r="J6806">
        <v>-301.15300000000002</v>
      </c>
      <c r="K6806">
        <v>1.107952</v>
      </c>
      <c r="L6806">
        <v>-8.6904299999999992</v>
      </c>
      <c r="M6806">
        <v>1.637328E-2</v>
      </c>
      <c r="N6806">
        <v>-9.6789779999999995E-3</v>
      </c>
      <c r="O6806">
        <v>-0.99981929999999997</v>
      </c>
      <c r="P6806">
        <v>9.9190500000000001E-2</v>
      </c>
      <c r="Q6806">
        <v>0.1605925</v>
      </c>
      <c r="R6806">
        <v>-0.98202440000000002</v>
      </c>
      <c r="S6806">
        <v>0.50592040000000005</v>
      </c>
      <c r="T6806">
        <v>-0.1000117</v>
      </c>
      <c r="U6806">
        <v>-3.0203859999999998</v>
      </c>
      <c r="V6806">
        <v>-8.2348199999999996E-2</v>
      </c>
      <c r="W6806">
        <v>0.17046839999999999</v>
      </c>
      <c r="X6806">
        <v>0.98191609999999996</v>
      </c>
      <c r="Y6806">
        <v>-0.14895520000000001</v>
      </c>
      <c r="Z6806">
        <v>2.3013390000000002E-2</v>
      </c>
      <c r="AA6806">
        <v>0.98857609999999996</v>
      </c>
      <c r="AB6806">
        <v>27</v>
      </c>
      <c r="AC6806">
        <v>5.6000000000000201</v>
      </c>
      <c r="AD6806">
        <v>-1.1079540885320001</v>
      </c>
      <c r="AE6806">
        <v>-33.13767</v>
      </c>
      <c r="AF6806">
        <v>-5.0511617172798102</v>
      </c>
      <c r="AG6806">
        <v>-1.1079540885320001</v>
      </c>
      <c r="AH6806">
        <v>33.1888506965198</v>
      </c>
      <c r="AI6806">
        <v>91.890262535362496</v>
      </c>
      <c r="AJ6806">
        <v>98.653696627786204</v>
      </c>
      <c r="AK6806">
        <v>33.589307934405099</v>
      </c>
      <c r="AL6806">
        <v>80.184945717164396</v>
      </c>
      <c r="AM6806">
        <v>94.7938813032778</v>
      </c>
      <c r="AN6806">
        <v>0.99999996444050399</v>
      </c>
    </row>
    <row r="6807" spans="1:40" x14ac:dyDescent="0.25">
      <c r="A6807" t="str">
        <f>"20190304154931391"</f>
        <v>20190304154931391</v>
      </c>
      <c r="B6807" t="str">
        <f>"1551685771384374"</f>
        <v>1551685771384374</v>
      </c>
      <c r="C6807" t="s">
        <v>40</v>
      </c>
      <c r="D6807">
        <v>3.912283</v>
      </c>
      <c r="E6807">
        <v>0.47202189999999999</v>
      </c>
      <c r="F6807" t="s">
        <v>68</v>
      </c>
      <c r="G6807">
        <v>-295.1748</v>
      </c>
      <c r="H6807" s="1">
        <v>-3.4461899999999999E-6</v>
      </c>
      <c r="I6807">
        <v>-43.937640000000002</v>
      </c>
      <c r="J6807">
        <v>-301.15129999999999</v>
      </c>
      <c r="K6807">
        <v>1.1082069999999999</v>
      </c>
      <c r="L6807">
        <v>-8.9322509999999902</v>
      </c>
      <c r="M6807">
        <v>1.439005E-2</v>
      </c>
      <c r="N6807">
        <v>-9.7675090000000006E-3</v>
      </c>
      <c r="O6807">
        <v>-0.99984899999999999</v>
      </c>
      <c r="P6807">
        <v>0.1022084</v>
      </c>
      <c r="Q6807">
        <v>0.1608801</v>
      </c>
      <c r="R6807">
        <v>-0.98166759999999997</v>
      </c>
      <c r="S6807">
        <v>0.51199340000000004</v>
      </c>
      <c r="T6807">
        <v>-9.4889520000000005E-2</v>
      </c>
      <c r="U6807">
        <v>-3.018707</v>
      </c>
      <c r="V6807">
        <v>-8.7371980000000002E-2</v>
      </c>
      <c r="W6807">
        <v>0.17083389999999901</v>
      </c>
      <c r="X6807">
        <v>0.98141829999999997</v>
      </c>
      <c r="Y6807">
        <v>-0.15294530000000001</v>
      </c>
      <c r="Z6807">
        <v>2.1255019999999999E-2</v>
      </c>
      <c r="AA6807">
        <v>0.9880061</v>
      </c>
      <c r="AB6807">
        <v>27</v>
      </c>
      <c r="AC6807">
        <v>5.9764999999999802</v>
      </c>
      <c r="AD6807">
        <v>-1.10821044619</v>
      </c>
      <c r="AE6807">
        <v>-35.005389000000001</v>
      </c>
      <c r="AF6807">
        <v>-5.4668040190234901</v>
      </c>
      <c r="AG6807">
        <v>-1.10821044619</v>
      </c>
      <c r="AH6807">
        <v>35.053633017841904</v>
      </c>
      <c r="AI6807">
        <v>91.7891731446188</v>
      </c>
      <c r="AJ6807">
        <v>98.864182399598207</v>
      </c>
      <c r="AK6807">
        <v>35.494665293885902</v>
      </c>
      <c r="AL6807">
        <v>80.163692527824196</v>
      </c>
      <c r="AM6807">
        <v>95.087415647296794</v>
      </c>
      <c r="AN6807">
        <v>0.99999998192660999</v>
      </c>
    </row>
    <row r="6808" spans="1:40" x14ac:dyDescent="0.25">
      <c r="A6808" t="str">
        <f>"20190304154931413"</f>
        <v>20190304154931413</v>
      </c>
      <c r="B6808" t="str">
        <f>"1551685771403895"</f>
        <v>1551685771403895</v>
      </c>
      <c r="C6808" t="s">
        <v>40</v>
      </c>
      <c r="D6808">
        <v>3.9069410000000002</v>
      </c>
      <c r="E6808">
        <v>0.47201989999999999</v>
      </c>
      <c r="F6808" t="s">
        <v>68</v>
      </c>
      <c r="G6808">
        <v>-294.85090000000002</v>
      </c>
      <c r="H6808" s="1">
        <v>-4.3445550000000001E-6</v>
      </c>
      <c r="I6808">
        <v>-45.45364</v>
      </c>
      <c r="J6808">
        <v>-301.1497</v>
      </c>
      <c r="K6808">
        <v>1.1084620000000001</v>
      </c>
      <c r="L6808">
        <v>-9.1987609999999993</v>
      </c>
      <c r="M6808">
        <v>1.2384569999999999E-2</v>
      </c>
      <c r="N6808">
        <v>-9.8539739999999997E-3</v>
      </c>
      <c r="O6808">
        <v>-0.99987479999999995</v>
      </c>
      <c r="P6808">
        <v>0.1058371</v>
      </c>
      <c r="Q6808">
        <v>0.1607151</v>
      </c>
      <c r="R6808">
        <v>-0.98130989999999996</v>
      </c>
      <c r="S6808">
        <v>0.52044679999999999</v>
      </c>
      <c r="T6808">
        <v>-9.1543669999999994E-2</v>
      </c>
      <c r="U6808">
        <v>-3.0168460000000001</v>
      </c>
      <c r="V6808">
        <v>-9.3033130000000006E-2</v>
      </c>
      <c r="W6808">
        <v>0.1707409</v>
      </c>
      <c r="X6808">
        <v>0.98091410000000001</v>
      </c>
      <c r="Y6808">
        <v>-0.15771959999999999</v>
      </c>
      <c r="Z6808">
        <v>2.0075659999999999E-2</v>
      </c>
      <c r="AA6808">
        <v>0.98727980000000004</v>
      </c>
      <c r="AB6808">
        <v>27</v>
      </c>
      <c r="AC6808">
        <v>6.2987999999999698</v>
      </c>
      <c r="AD6808">
        <v>-1.108466344555</v>
      </c>
      <c r="AE6808">
        <v>-36.254878999999903</v>
      </c>
      <c r="AF6808">
        <v>-5.8439912032878096</v>
      </c>
      <c r="AG6808">
        <v>-1.108466344555</v>
      </c>
      <c r="AH6808">
        <v>36.297174063450697</v>
      </c>
      <c r="AI6808">
        <v>91.726965054891593</v>
      </c>
      <c r="AJ6808">
        <v>99.146358724996503</v>
      </c>
      <c r="AK6808">
        <v>36.781323736559003</v>
      </c>
      <c r="AL6808">
        <v>80.169101114899405</v>
      </c>
      <c r="AM6808">
        <v>95.417914407587006</v>
      </c>
      <c r="AN6808">
        <v>1.0000000448946</v>
      </c>
    </row>
    <row r="6809" spans="1:40" x14ac:dyDescent="0.25">
      <c r="A6809" t="str">
        <f>"20190304154931435"</f>
        <v>20190304154931435</v>
      </c>
      <c r="B6809" t="str">
        <f>"1551685771424391"</f>
        <v>1551685771424391</v>
      </c>
      <c r="C6809" t="s">
        <v>40</v>
      </c>
      <c r="D6809">
        <v>3.9966550000000001</v>
      </c>
      <c r="E6809">
        <v>0.4718174</v>
      </c>
      <c r="F6809" t="s">
        <v>68</v>
      </c>
      <c r="G6809">
        <v>-294.63249999999999</v>
      </c>
      <c r="H6809" s="1">
        <v>-4.7770680000000004E-6</v>
      </c>
      <c r="I6809">
        <v>-46.207459999999998</v>
      </c>
      <c r="J6809">
        <v>-301.14850000000001</v>
      </c>
      <c r="K6809">
        <v>1.1086940000000001</v>
      </c>
      <c r="L6809">
        <v>-9.4730220000000003</v>
      </c>
      <c r="M6809">
        <v>1.050823E-2</v>
      </c>
      <c r="N6809">
        <v>-9.9317840000000008E-3</v>
      </c>
      <c r="O6809">
        <v>-0.9998958</v>
      </c>
      <c r="P6809">
        <v>0.10886709999999999</v>
      </c>
      <c r="Q6809">
        <v>0.16187270000000001</v>
      </c>
      <c r="R6809">
        <v>-0.98078829999999995</v>
      </c>
      <c r="S6809">
        <v>0.53088380000000002</v>
      </c>
      <c r="T6809">
        <v>-9.0294239999999998E-2</v>
      </c>
      <c r="U6809">
        <v>-3.0146790000000001</v>
      </c>
      <c r="V6809">
        <v>-9.7962359999999998E-2</v>
      </c>
      <c r="W6809">
        <v>0.17195529999999901</v>
      </c>
      <c r="X6809">
        <v>0.98022180000000003</v>
      </c>
      <c r="Y6809">
        <v>-0.16300700000000001</v>
      </c>
      <c r="Z6809">
        <v>1.9588870000000001E-2</v>
      </c>
      <c r="AA6809">
        <v>0.98643040000000004</v>
      </c>
      <c r="AB6809">
        <v>27</v>
      </c>
      <c r="AC6809">
        <v>6.5160000000000098</v>
      </c>
      <c r="AD6809">
        <v>-1.1086987770679999</v>
      </c>
      <c r="AE6809">
        <v>-36.734437999999997</v>
      </c>
      <c r="AF6809">
        <v>-6.1241988805916998</v>
      </c>
      <c r="AG6809">
        <v>-1.1086987770679999</v>
      </c>
      <c r="AH6809">
        <v>36.768413157711102</v>
      </c>
      <c r="AI6809">
        <v>91.703692019301897</v>
      </c>
      <c r="AJ6809">
        <v>99.456454553380297</v>
      </c>
      <c r="AK6809">
        <v>37.291436430411899</v>
      </c>
      <c r="AL6809">
        <v>80.098476304147496</v>
      </c>
      <c r="AM6809">
        <v>95.707131146503798</v>
      </c>
      <c r="AN6809">
        <v>1.0000000131850399</v>
      </c>
    </row>
    <row r="6810" spans="1:40" x14ac:dyDescent="0.25">
      <c r="A6810" t="str">
        <f>"20190304154931457"</f>
        <v>20190304154931457</v>
      </c>
      <c r="B6810" t="str">
        <f>"1551685771453674"</f>
        <v>1551685771453674</v>
      </c>
      <c r="C6810" t="s">
        <v>40</v>
      </c>
      <c r="D6810">
        <v>3.8964590000000001</v>
      </c>
      <c r="E6810">
        <v>0.44412550000000001</v>
      </c>
      <c r="F6810" t="s">
        <v>68</v>
      </c>
      <c r="G6810">
        <v>-294.15370000000001</v>
      </c>
      <c r="H6810" s="1">
        <v>-5.8679689999999998E-6</v>
      </c>
      <c r="I6810">
        <v>-48.368130000000001</v>
      </c>
      <c r="J6810">
        <v>-301.14760000000001</v>
      </c>
      <c r="K6810">
        <v>1.1088910000000001</v>
      </c>
      <c r="L6810">
        <v>-9.7453610000000008</v>
      </c>
      <c r="M6810">
        <v>8.7870659999999996E-3</v>
      </c>
      <c r="N6810">
        <v>-1.0000149999999999E-2</v>
      </c>
      <c r="O6810">
        <v>-0.99991149999999995</v>
      </c>
      <c r="P6810">
        <v>0.11112900000000001</v>
      </c>
      <c r="Q6810">
        <v>0.1632333</v>
      </c>
      <c r="R6810">
        <v>-0.98030919999999999</v>
      </c>
      <c r="S6810">
        <v>0.54180909999999904</v>
      </c>
      <c r="T6810">
        <v>-8.5879090000000005E-2</v>
      </c>
      <c r="U6810">
        <v>-3.0127869999999999</v>
      </c>
      <c r="V6810">
        <v>-0.10195849999999999</v>
      </c>
      <c r="W6810">
        <v>0.1733634</v>
      </c>
      <c r="X6810">
        <v>0.97956600000000005</v>
      </c>
      <c r="Y6810">
        <v>-0.16828089999999901</v>
      </c>
      <c r="Z6810">
        <v>1.8073849999999999E-2</v>
      </c>
      <c r="AA6810">
        <v>0.98557340000000004</v>
      </c>
      <c r="AB6810">
        <v>27</v>
      </c>
      <c r="AC6810">
        <v>6.9938999999999902</v>
      </c>
      <c r="AD6810">
        <v>-1.1088968679690001</v>
      </c>
      <c r="AE6810">
        <v>-38.622768999999998</v>
      </c>
      <c r="AF6810">
        <v>-6.64892538331965</v>
      </c>
      <c r="AG6810">
        <v>-1.1088968679690001</v>
      </c>
      <c r="AH6810">
        <v>38.651886763237201</v>
      </c>
      <c r="AI6810">
        <v>91.619552410321006</v>
      </c>
      <c r="AJ6810">
        <v>99.760534310054197</v>
      </c>
      <c r="AK6810">
        <v>39.235267443651502</v>
      </c>
      <c r="AL6810">
        <v>80.016567606139603</v>
      </c>
      <c r="AM6810">
        <v>95.942255663731302</v>
      </c>
      <c r="AN6810">
        <v>0.99999997626890402</v>
      </c>
    </row>
    <row r="6811" spans="1:40" x14ac:dyDescent="0.25">
      <c r="A6811" t="str">
        <f>"20190304154931480"</f>
        <v>20190304154931480</v>
      </c>
      <c r="B6811" t="str">
        <f>"1551685771474166"</f>
        <v>1551685771474166</v>
      </c>
      <c r="C6811" t="s">
        <v>40</v>
      </c>
      <c r="D6811">
        <v>3.9147029999999998</v>
      </c>
      <c r="E6811">
        <v>0.44132470000000001</v>
      </c>
      <c r="F6811" t="s">
        <v>68</v>
      </c>
      <c r="G6811">
        <v>-285.20359999999999</v>
      </c>
      <c r="H6811">
        <v>7.9986559999999998E-2</v>
      </c>
      <c r="I6811">
        <v>-71.489789999999999</v>
      </c>
      <c r="J6811">
        <v>-301.14699999999999</v>
      </c>
      <c r="K6811">
        <v>1.1090530000000001</v>
      </c>
      <c r="L6811">
        <v>-10.02441</v>
      </c>
      <c r="M6811">
        <v>7.1605559999999898E-3</v>
      </c>
      <c r="N6811">
        <v>-1.0062110000000001E-2</v>
      </c>
      <c r="O6811">
        <v>-0.99992389999999998</v>
      </c>
      <c r="P6811">
        <v>0.11340839999999899</v>
      </c>
      <c r="Q6811">
        <v>0.1631811</v>
      </c>
      <c r="R6811">
        <v>-0.9800567</v>
      </c>
      <c r="S6811">
        <v>0.76983639999999998</v>
      </c>
      <c r="T6811">
        <v>-4.9679519999999998E-2</v>
      </c>
      <c r="U6811">
        <v>-2.9812620000000001</v>
      </c>
      <c r="V6811">
        <v>-0.10587439999999999</v>
      </c>
      <c r="W6811">
        <v>0.17335639999999999</v>
      </c>
      <c r="X6811">
        <v>0.97915180000000002</v>
      </c>
      <c r="Y6811">
        <v>-0.2430476</v>
      </c>
      <c r="Z6811">
        <v>6.0939920000000003E-3</v>
      </c>
      <c r="AA6811">
        <v>0.96999519999999995</v>
      </c>
      <c r="AB6811">
        <v>27</v>
      </c>
      <c r="AC6811">
        <v>15.943399999999899</v>
      </c>
      <c r="AD6811">
        <v>-1.02906644</v>
      </c>
      <c r="AE6811">
        <v>-61.465380000000003</v>
      </c>
      <c r="AF6811">
        <v>-15.498772248101901</v>
      </c>
      <c r="AG6811">
        <v>-1.02906644</v>
      </c>
      <c r="AH6811">
        <v>61.561805362577097</v>
      </c>
      <c r="AI6811">
        <v>90.928692278733706</v>
      </c>
      <c r="AJ6811">
        <v>104.131088475084</v>
      </c>
      <c r="AK6811">
        <v>63.4911552772219</v>
      </c>
      <c r="AL6811">
        <v>80.016975472597906</v>
      </c>
      <c r="AM6811">
        <v>96.171340641250595</v>
      </c>
      <c r="AN6811">
        <v>1.0000000387197701</v>
      </c>
    </row>
    <row r="6812" spans="1:40" x14ac:dyDescent="0.25">
      <c r="A6812" t="str">
        <f>"20190304154931502"</f>
        <v>20190304154931502</v>
      </c>
      <c r="B6812" t="str">
        <f>"1551685771493687"</f>
        <v>1551685771493687</v>
      </c>
      <c r="C6812" t="s">
        <v>40</v>
      </c>
      <c r="D6812">
        <v>3.925878</v>
      </c>
      <c r="E6812">
        <v>0.44040770000000001</v>
      </c>
      <c r="F6812" t="s">
        <v>68</v>
      </c>
      <c r="G6812">
        <v>-284.34300000000002</v>
      </c>
      <c r="H6812">
        <v>7.9986660000000001E-2</v>
      </c>
      <c r="I6812">
        <v>-72.596190000000007</v>
      </c>
      <c r="J6812">
        <v>-301.14670000000001</v>
      </c>
      <c r="K6812">
        <v>1.109189</v>
      </c>
      <c r="L6812">
        <v>-10.295590000000001</v>
      </c>
      <c r="M6812">
        <v>5.7098210000000003E-3</v>
      </c>
      <c r="N6812">
        <v>-1.011512E-2</v>
      </c>
      <c r="O6812">
        <v>-0.99993259999999995</v>
      </c>
      <c r="P6812">
        <v>0.1152832</v>
      </c>
      <c r="Q6812">
        <v>0.16251889999999999</v>
      </c>
      <c r="R6812">
        <v>-0.97994789999999998</v>
      </c>
      <c r="S6812">
        <v>0.79940800000000001</v>
      </c>
      <c r="T6812">
        <v>-4.8955079999999998E-2</v>
      </c>
      <c r="U6812">
        <v>-2.9766849999999998</v>
      </c>
      <c r="V6812">
        <v>-0.1092093</v>
      </c>
      <c r="W6812">
        <v>0.17273129999999901</v>
      </c>
      <c r="X6812">
        <v>0.97889590000000004</v>
      </c>
      <c r="Y6812">
        <v>-0.25381019999999999</v>
      </c>
      <c r="Z6812">
        <v>5.785831E-3</v>
      </c>
      <c r="AA6812">
        <v>0.96723680000000001</v>
      </c>
      <c r="AB6812">
        <v>27</v>
      </c>
      <c r="AC6812">
        <v>16.8036999999999</v>
      </c>
      <c r="AD6812">
        <v>-1.0292023400000001</v>
      </c>
      <c r="AE6812">
        <v>-62.300600000000003</v>
      </c>
      <c r="AF6812">
        <v>-16.4434993551208</v>
      </c>
      <c r="AG6812">
        <v>-1.0292023400000001</v>
      </c>
      <c r="AH6812">
        <v>62.379665887608098</v>
      </c>
      <c r="AI6812">
        <v>90.914020197740598</v>
      </c>
      <c r="AJ6812">
        <v>104.767438879217</v>
      </c>
      <c r="AK6812">
        <v>64.518761959201697</v>
      </c>
      <c r="AL6812">
        <v>80.053339040282395</v>
      </c>
      <c r="AM6812">
        <v>96.365808644247707</v>
      </c>
      <c r="AN6812">
        <v>0.99999997812149399</v>
      </c>
    </row>
    <row r="6813" spans="1:40" x14ac:dyDescent="0.25">
      <c r="A6813" t="str">
        <f>"20190304154931524"</f>
        <v>20190304154931524</v>
      </c>
      <c r="B6813" t="str">
        <f>"1551685771514183"</f>
        <v>1551685771514183</v>
      </c>
      <c r="C6813" t="s">
        <v>40</v>
      </c>
      <c r="D6813">
        <v>3.926517</v>
      </c>
      <c r="E6813">
        <v>0.44024190000000002</v>
      </c>
      <c r="F6813" t="s">
        <v>68</v>
      </c>
      <c r="G6813">
        <v>-284.73750000000001</v>
      </c>
      <c r="H6813">
        <v>1.345852E-2</v>
      </c>
      <c r="I6813">
        <v>-70.383750000000006</v>
      </c>
      <c r="J6813">
        <v>-301.14670000000001</v>
      </c>
      <c r="K6813">
        <v>1.1093200000000001</v>
      </c>
      <c r="L6813">
        <v>-10.567410000000001</v>
      </c>
      <c r="M6813">
        <v>4.3811099999999997E-3</v>
      </c>
      <c r="N6813">
        <v>-1.0161730000000001E-2</v>
      </c>
      <c r="O6813">
        <v>-0.99993900000000002</v>
      </c>
      <c r="P6813">
        <v>0.1169808</v>
      </c>
      <c r="Q6813">
        <v>0.16222429999999999</v>
      </c>
      <c r="R6813">
        <v>-0.97979539999999998</v>
      </c>
      <c r="S6813">
        <v>0.81237789999999999</v>
      </c>
      <c r="T6813">
        <v>-5.424702E-2</v>
      </c>
      <c r="U6813">
        <v>-2.9748230000000002</v>
      </c>
      <c r="V6813">
        <v>-0.11224720000000001</v>
      </c>
      <c r="W6813">
        <v>0.17246400000000001</v>
      </c>
      <c r="X6813">
        <v>0.97859940000000001</v>
      </c>
      <c r="Y6813">
        <v>-0.2591659</v>
      </c>
      <c r="Z6813">
        <v>7.4434760000000001E-3</v>
      </c>
      <c r="AA6813">
        <v>0.9658042</v>
      </c>
      <c r="AB6813">
        <v>27</v>
      </c>
      <c r="AC6813">
        <v>16.409199999999998</v>
      </c>
      <c r="AD6813">
        <v>-1.0958614799999999</v>
      </c>
      <c r="AE6813">
        <v>-59.816339999999997</v>
      </c>
      <c r="AF6813">
        <v>-16.1419283998219</v>
      </c>
      <c r="AG6813">
        <v>-1.0958614799999999</v>
      </c>
      <c r="AH6813">
        <v>59.868972118471497</v>
      </c>
      <c r="AI6813">
        <v>91.012495409191899</v>
      </c>
      <c r="AJ6813">
        <v>105.089330231975</v>
      </c>
      <c r="AK6813">
        <v>62.016583164268503</v>
      </c>
      <c r="AL6813">
        <v>80.068888022856598</v>
      </c>
      <c r="AM6813">
        <v>96.543338283974705</v>
      </c>
      <c r="AN6813">
        <v>1.00000002544209</v>
      </c>
    </row>
    <row r="6814" spans="1:40" x14ac:dyDescent="0.25">
      <c r="A6814" t="str">
        <f>"20190304154931546"</f>
        <v>20190304154931546</v>
      </c>
      <c r="B6814" t="str">
        <f>"1551685771533703"</f>
        <v>1551685771533703</v>
      </c>
      <c r="C6814" t="s">
        <v>40</v>
      </c>
      <c r="D6814">
        <v>3.9295460000000002</v>
      </c>
      <c r="E6814">
        <v>0.44043500000000002</v>
      </c>
      <c r="F6814" t="s">
        <v>68</v>
      </c>
      <c r="G6814">
        <v>-285.03230000000002</v>
      </c>
      <c r="H6814" s="1">
        <v>-4.4640269999999996E-6</v>
      </c>
      <c r="I6814">
        <v>-69.082329999999999</v>
      </c>
      <c r="J6814">
        <v>-301.14690000000002</v>
      </c>
      <c r="K6814">
        <v>1.10945</v>
      </c>
      <c r="L6814">
        <v>-10.839969999999999</v>
      </c>
      <c r="M6814">
        <v>3.1696379999999998E-3</v>
      </c>
      <c r="N6814">
        <v>-1.020281E-2</v>
      </c>
      <c r="O6814">
        <v>-0.99994309999999997</v>
      </c>
      <c r="P6814">
        <v>0.11803810000000001</v>
      </c>
      <c r="Q6814">
        <v>0.1626098</v>
      </c>
      <c r="R6814">
        <v>-0.97960460000000005</v>
      </c>
      <c r="S6814">
        <v>0.81884769999999996</v>
      </c>
      <c r="T6814">
        <v>-5.637002E-2</v>
      </c>
      <c r="U6814">
        <v>-2.9734189999999998</v>
      </c>
      <c r="V6814">
        <v>-0.1145312</v>
      </c>
      <c r="W6814">
        <v>0.17286650000000001</v>
      </c>
      <c r="X6814">
        <v>0.97826360000000001</v>
      </c>
      <c r="Y6814">
        <v>-0.26240190000000002</v>
      </c>
      <c r="Z6814">
        <v>8.0845429999999996E-3</v>
      </c>
      <c r="AA6814">
        <v>0.96492480000000003</v>
      </c>
      <c r="AB6814">
        <v>27</v>
      </c>
      <c r="AC6814">
        <v>16.1145999999999</v>
      </c>
      <c r="AD6814">
        <v>-1.1094544640270001</v>
      </c>
      <c r="AE6814">
        <v>-58.242359999999998</v>
      </c>
      <c r="AF6814">
        <v>-15.9245347632595</v>
      </c>
      <c r="AG6814">
        <v>-1.1094544640270001</v>
      </c>
      <c r="AH6814">
        <v>58.273505899121098</v>
      </c>
      <c r="AI6814">
        <v>91.052138757141094</v>
      </c>
      <c r="AJ6814">
        <v>105.284180316313</v>
      </c>
      <c r="AK6814">
        <v>60.420387175264899</v>
      </c>
      <c r="AL6814">
        <v>80.045474028501303</v>
      </c>
      <c r="AM6814">
        <v>96.677562713378094</v>
      </c>
      <c r="AN6814">
        <v>0.99999994684032301</v>
      </c>
    </row>
    <row r="6815" spans="1:40" x14ac:dyDescent="0.25">
      <c r="A6815" t="str">
        <f>"20190304154931570"</f>
        <v>20190304154931570</v>
      </c>
      <c r="B6815" t="str">
        <f>"1551685771563959"</f>
        <v>1551685771563959</v>
      </c>
      <c r="C6815" t="s">
        <v>40</v>
      </c>
      <c r="D6815">
        <v>4.0025370000000002</v>
      </c>
      <c r="E6815">
        <v>0.44068819999999997</v>
      </c>
      <c r="F6815" t="s">
        <v>68</v>
      </c>
      <c r="G6815">
        <v>-285.17129999999997</v>
      </c>
      <c r="H6815" s="1">
        <v>-4.4580670000000003E-6</v>
      </c>
      <c r="I6815">
        <v>-68.723019999999906</v>
      </c>
      <c r="J6815">
        <v>-301.14729999999997</v>
      </c>
      <c r="K6815">
        <v>1.109588</v>
      </c>
      <c r="L6815">
        <v>-11.124269999999999</v>
      </c>
      <c r="M6815">
        <v>2.0312970000000001E-3</v>
      </c>
      <c r="N6815">
        <v>-1.0240580000000001E-2</v>
      </c>
      <c r="O6815">
        <v>-0.99994559999999999</v>
      </c>
      <c r="P6815">
        <v>0.1179115</v>
      </c>
      <c r="Q6815">
        <v>0.16285559999999999</v>
      </c>
      <c r="R6815">
        <v>-0.97957919999999998</v>
      </c>
      <c r="S6815">
        <v>0.82055659999999897</v>
      </c>
      <c r="T6815">
        <v>-5.6985019999999997E-2</v>
      </c>
      <c r="U6815">
        <v>-2.9730530000000002</v>
      </c>
      <c r="V6815">
        <v>-0.1155624</v>
      </c>
      <c r="W6815">
        <v>0.1731211</v>
      </c>
      <c r="X6815">
        <v>0.97809729999999995</v>
      </c>
      <c r="Y6815">
        <v>-0.26404490000000003</v>
      </c>
      <c r="Z6815">
        <v>8.2413209999999994E-3</v>
      </c>
      <c r="AA6815">
        <v>0.96447519999999998</v>
      </c>
      <c r="AB6815">
        <v>27</v>
      </c>
      <c r="AC6815">
        <v>15.976000000000001</v>
      </c>
      <c r="AD6815">
        <v>-1.109592458067</v>
      </c>
      <c r="AE6815">
        <v>-57.598750000000003</v>
      </c>
      <c r="AF6815">
        <v>-15.8534976659507</v>
      </c>
      <c r="AG6815">
        <v>-1.109592458067</v>
      </c>
      <c r="AH6815">
        <v>57.611232157357897</v>
      </c>
      <c r="AI6815">
        <v>91.063845453335503</v>
      </c>
      <c r="AJ6815">
        <v>105.38587481698301</v>
      </c>
      <c r="AK6815">
        <v>59.763020793432901</v>
      </c>
      <c r="AL6815">
        <v>80.030663309698397</v>
      </c>
      <c r="AM6815">
        <v>96.738269941262999</v>
      </c>
      <c r="AN6815">
        <v>0.99999995591312896</v>
      </c>
    </row>
    <row r="6816" spans="1:40" x14ac:dyDescent="0.25">
      <c r="A6816" t="str">
        <f>"20190304154931593"</f>
        <v>20190304154931593</v>
      </c>
      <c r="B6816" t="str">
        <f>"1551685771584455"</f>
        <v>1551685771584455</v>
      </c>
      <c r="C6816" t="s">
        <v>40</v>
      </c>
      <c r="D6816">
        <v>4.0189599999999999</v>
      </c>
      <c r="E6816">
        <v>0.44094290000000003</v>
      </c>
      <c r="F6816" t="s">
        <v>68</v>
      </c>
      <c r="G6816">
        <v>-285.83949999999999</v>
      </c>
      <c r="H6816" s="1">
        <v>-4.470699E-6</v>
      </c>
      <c r="I6816">
        <v>-66.763239999999996</v>
      </c>
      <c r="J6816">
        <v>-301.14789999999999</v>
      </c>
      <c r="K6816">
        <v>1.109712</v>
      </c>
      <c r="L6816">
        <v>-11.40427</v>
      </c>
      <c r="M6816">
        <v>1.046581E-3</v>
      </c>
      <c r="N6816">
        <v>-1.027313E-2</v>
      </c>
      <c r="O6816">
        <v>-0.99994680000000002</v>
      </c>
      <c r="P6816">
        <v>0.11784790000000001</v>
      </c>
      <c r="Q6816">
        <v>0.16282959999999999</v>
      </c>
      <c r="R6816">
        <v>-0.97959110000000005</v>
      </c>
      <c r="S6816">
        <v>0.81820680000000001</v>
      </c>
      <c r="T6816">
        <v>-5.9307810000000002E-2</v>
      </c>
      <c r="U6816">
        <v>-2.9739070000000001</v>
      </c>
      <c r="V6816">
        <v>-0.11650679999999999</v>
      </c>
      <c r="W6816">
        <v>0.17309849999999999</v>
      </c>
      <c r="X6816">
        <v>0.97798929999999995</v>
      </c>
      <c r="Y6816">
        <v>-0.26421250000000002</v>
      </c>
      <c r="Z6816">
        <v>8.956683E-3</v>
      </c>
      <c r="AA6816">
        <v>0.96442289999999997</v>
      </c>
      <c r="AB6816">
        <v>27</v>
      </c>
      <c r="AC6816">
        <v>15.308400000000001</v>
      </c>
      <c r="AD6816">
        <v>-1.1097164706989999</v>
      </c>
      <c r="AE6816">
        <v>-55.3589699999999</v>
      </c>
      <c r="AF6816">
        <v>-15.2447601977776</v>
      </c>
      <c r="AG6816">
        <v>-1.1097164706989999</v>
      </c>
      <c r="AH6816">
        <v>55.3542987819771</v>
      </c>
      <c r="AI6816">
        <v>91.107271139887004</v>
      </c>
      <c r="AJ6816">
        <v>105.39773529345899</v>
      </c>
      <c r="AK6816">
        <v>57.425887696904397</v>
      </c>
      <c r="AL6816">
        <v>80.031978467650802</v>
      </c>
      <c r="AM6816">
        <v>96.793567112449097</v>
      </c>
      <c r="AN6816">
        <v>0.99999999803148998</v>
      </c>
    </row>
    <row r="6817" spans="1:40" x14ac:dyDescent="0.25">
      <c r="A6817" t="str">
        <f>"20190304154931613"</f>
        <v>20190304154931613</v>
      </c>
      <c r="B6817" t="str">
        <f>"1551685771603975"</f>
        <v>1551685771603975</v>
      </c>
      <c r="C6817" t="s">
        <v>40</v>
      </c>
      <c r="D6817">
        <v>4.0625559999999998</v>
      </c>
      <c r="E6817">
        <v>0.44114589999999998</v>
      </c>
      <c r="F6817" t="s">
        <v>68</v>
      </c>
      <c r="G6817">
        <v>-286.41669999999999</v>
      </c>
      <c r="H6817" s="1">
        <v>-4.4735310000000002E-6</v>
      </c>
      <c r="I6817">
        <v>-65.11551</v>
      </c>
      <c r="J6817">
        <v>-301.14859999999999</v>
      </c>
      <c r="K6817">
        <v>1.109826</v>
      </c>
      <c r="L6817">
        <v>-11.66797</v>
      </c>
      <c r="M6817">
        <v>2.4627619999999999E-4</v>
      </c>
      <c r="N6817">
        <v>-1.029997E-2</v>
      </c>
      <c r="O6817">
        <v>-0.99994720000000004</v>
      </c>
      <c r="P6817">
        <v>0.1175775</v>
      </c>
      <c r="Q6817">
        <v>0.16313839999999999</v>
      </c>
      <c r="R6817">
        <v>-0.97957209999999995</v>
      </c>
      <c r="S6817">
        <v>0.81582639999999995</v>
      </c>
      <c r="T6817">
        <v>-6.1457159999999997E-2</v>
      </c>
      <c r="U6817">
        <v>-2.9745789999999999</v>
      </c>
      <c r="V6817">
        <v>-0.1170586</v>
      </c>
      <c r="W6817">
        <v>0.17340749999999999</v>
      </c>
      <c r="X6817">
        <v>0.97786870000000004</v>
      </c>
      <c r="Y6817">
        <v>-0.26420830000000001</v>
      </c>
      <c r="Z6817">
        <v>9.6231349999999997E-3</v>
      </c>
      <c r="AA6817">
        <v>0.96441759999999999</v>
      </c>
      <c r="AB6817">
        <v>28</v>
      </c>
      <c r="AC6817">
        <v>14.7318999999999</v>
      </c>
      <c r="AD6817">
        <v>-1.1098304735310001</v>
      </c>
      <c r="AE6817">
        <v>-53.447539999999996</v>
      </c>
      <c r="AF6817">
        <v>-14.712840065090401</v>
      </c>
      <c r="AG6817">
        <v>-1.1098304735310001</v>
      </c>
      <c r="AH6817">
        <v>53.429755562896503</v>
      </c>
      <c r="AI6817">
        <v>91.147272871018501</v>
      </c>
      <c r="AJ6817">
        <v>105.39584696916501</v>
      </c>
      <c r="AK6817">
        <v>55.4295784394197</v>
      </c>
      <c r="AL6817">
        <v>80.014002602904696</v>
      </c>
      <c r="AM6817">
        <v>96.826273830395394</v>
      </c>
      <c r="AN6817">
        <v>1.0000000356649399</v>
      </c>
    </row>
    <row r="6818" spans="1:40" x14ac:dyDescent="0.25">
      <c r="A6818" t="str">
        <f>"20190304154931636"</f>
        <v>20190304154931636</v>
      </c>
      <c r="B6818" t="str">
        <f>"1551685771624471"</f>
        <v>1551685771624471</v>
      </c>
      <c r="C6818" t="s">
        <v>40</v>
      </c>
      <c r="D6818">
        <v>4.0288059999999897</v>
      </c>
      <c r="E6818">
        <v>0.44123259999999997</v>
      </c>
      <c r="F6818" t="s">
        <v>68</v>
      </c>
      <c r="G6818">
        <v>-286.7792</v>
      </c>
      <c r="H6818" s="1">
        <v>-4.4458779999999999E-6</v>
      </c>
      <c r="I6818">
        <v>-64.246080000000006</v>
      </c>
      <c r="J6818">
        <v>-301.14940000000001</v>
      </c>
      <c r="K6818">
        <v>1.109931</v>
      </c>
      <c r="L6818">
        <v>-11.94098</v>
      </c>
      <c r="M6818">
        <v>-4.788773E-4</v>
      </c>
      <c r="N6818">
        <v>-1.0324450000000001E-2</v>
      </c>
      <c r="O6818">
        <v>-0.99994669999999997</v>
      </c>
      <c r="P6818">
        <v>0.11713560000000001</v>
      </c>
      <c r="Q6818">
        <v>0.1637777</v>
      </c>
      <c r="R6818">
        <v>-0.97951829999999995</v>
      </c>
      <c r="S6818">
        <v>0.81317139999999999</v>
      </c>
      <c r="T6818">
        <v>-6.2806130000000002E-2</v>
      </c>
      <c r="U6818">
        <v>-2.9754330000000002</v>
      </c>
      <c r="V6818">
        <v>-0.1173603</v>
      </c>
      <c r="W6818">
        <v>0.17404620000000001</v>
      </c>
      <c r="X6818">
        <v>0.977719</v>
      </c>
      <c r="Y6818">
        <v>-0.26403480000000001</v>
      </c>
      <c r="Z6818">
        <v>1.0032019999999999E-2</v>
      </c>
      <c r="AA6818">
        <v>0.96446100000000001</v>
      </c>
      <c r="AB6818">
        <v>28</v>
      </c>
      <c r="AC6818">
        <v>14.370200000000001</v>
      </c>
      <c r="AD6818">
        <v>-1.109935445878</v>
      </c>
      <c r="AE6818">
        <v>-52.305100000000003</v>
      </c>
      <c r="AF6818">
        <v>-14.3892226187199</v>
      </c>
      <c r="AG6818">
        <v>-1.109935445878</v>
      </c>
      <c r="AH6818">
        <v>52.2763238923147</v>
      </c>
      <c r="AI6818">
        <v>91.172724767429301</v>
      </c>
      <c r="AJ6818">
        <v>105.389734818934</v>
      </c>
      <c r="AK6818">
        <v>54.2318700024192</v>
      </c>
      <c r="AL6818">
        <v>79.976842181656295</v>
      </c>
      <c r="AM6818">
        <v>96.844738726226197</v>
      </c>
      <c r="AN6818">
        <v>0.99999998135576396</v>
      </c>
    </row>
    <row r="6819" spans="1:40" x14ac:dyDescent="0.25">
      <c r="A6819" t="str">
        <f>"20190304154931659"</f>
        <v>20190304154931659</v>
      </c>
      <c r="B6819" t="str">
        <f>"1551685771653754"</f>
        <v>1551685771653754</v>
      </c>
      <c r="C6819" t="s">
        <v>40</v>
      </c>
      <c r="D6819">
        <v>4.080247</v>
      </c>
      <c r="E6819">
        <v>0.44126690000000002</v>
      </c>
      <c r="F6819" t="s">
        <v>68</v>
      </c>
      <c r="G6819">
        <v>-286.80810000000002</v>
      </c>
      <c r="H6819" s="1">
        <v>-4.3756979999999998E-6</v>
      </c>
      <c r="I6819">
        <v>-64.558660000000003</v>
      </c>
      <c r="J6819">
        <v>-301.15030000000002</v>
      </c>
      <c r="K6819">
        <v>1.1100209999999999</v>
      </c>
      <c r="L6819">
        <v>-12.224299999999999</v>
      </c>
      <c r="M6819">
        <v>-1.123832E-3</v>
      </c>
      <c r="N6819">
        <v>-1.0346849999999999E-2</v>
      </c>
      <c r="O6819">
        <v>-0.99994609999999995</v>
      </c>
      <c r="P6819">
        <v>0.11638220000000001</v>
      </c>
      <c r="Q6819">
        <v>0.16513749999999999</v>
      </c>
      <c r="R6819">
        <v>-0.97938020000000003</v>
      </c>
      <c r="S6819">
        <v>0.81118769999999996</v>
      </c>
      <c r="T6819">
        <v>-6.2781569999999995E-2</v>
      </c>
      <c r="U6819">
        <v>-2.9762270000000002</v>
      </c>
      <c r="V6819">
        <v>-0.11726780000000001</v>
      </c>
      <c r="W6819">
        <v>0.17540439999999999</v>
      </c>
      <c r="X6819">
        <v>0.97748740000000001</v>
      </c>
      <c r="Y6819">
        <v>-0.26399329999999999</v>
      </c>
      <c r="Z6819">
        <v>9.9973869999999999E-3</v>
      </c>
      <c r="AA6819">
        <v>0.96447269999999896</v>
      </c>
      <c r="AB6819">
        <v>28</v>
      </c>
      <c r="AC6819">
        <v>14.342199999999901</v>
      </c>
      <c r="AD6819">
        <v>-1.1100253756980001</v>
      </c>
      <c r="AE6819">
        <v>-52.334359999999997</v>
      </c>
      <c r="AF6819">
        <v>-14.3949855453974</v>
      </c>
      <c r="AG6819">
        <v>-1.1100253756980001</v>
      </c>
      <c r="AH6819">
        <v>52.296324553900199</v>
      </c>
      <c r="AI6819">
        <v>91.172369862217394</v>
      </c>
      <c r="AJ6819">
        <v>105.38999725123401</v>
      </c>
      <c r="AK6819">
        <v>54.252680367275502</v>
      </c>
      <c r="AL6819">
        <v>79.897807753379595</v>
      </c>
      <c r="AM6819">
        <v>96.841000152612395</v>
      </c>
      <c r="AN6819">
        <v>1.00000002880747</v>
      </c>
    </row>
    <row r="6820" spans="1:40" x14ac:dyDescent="0.25">
      <c r="A6820" t="str">
        <f>"20190304154931681"</f>
        <v>20190304154931681</v>
      </c>
      <c r="B6820" t="str">
        <f>"1551685771674247"</f>
        <v>1551685771674247</v>
      </c>
      <c r="C6820" t="s">
        <v>40</v>
      </c>
      <c r="D6820">
        <v>4.1100309999999904</v>
      </c>
      <c r="E6820">
        <v>0.44124999999999998</v>
      </c>
      <c r="F6820" t="s">
        <v>68</v>
      </c>
      <c r="G6820">
        <v>-286.46929999999998</v>
      </c>
      <c r="H6820" s="1">
        <v>-4.2400619999999997E-6</v>
      </c>
      <c r="I6820">
        <v>-66.278530000000003</v>
      </c>
      <c r="J6820">
        <v>-301.15120000000002</v>
      </c>
      <c r="K6820">
        <v>1.1101080000000001</v>
      </c>
      <c r="L6820">
        <v>-12.496090000000001</v>
      </c>
      <c r="M6820">
        <v>-1.6374899999999999E-3</v>
      </c>
      <c r="N6820">
        <v>-1.0365920000000001E-2</v>
      </c>
      <c r="O6820">
        <v>-0.99994499999999997</v>
      </c>
      <c r="P6820">
        <v>0.11574520000000001</v>
      </c>
      <c r="Q6820">
        <v>0.1668732</v>
      </c>
      <c r="R6820">
        <v>-0.97916110000000001</v>
      </c>
      <c r="S6820">
        <v>0.80865480000000001</v>
      </c>
      <c r="T6820">
        <v>-6.1141849999999998E-2</v>
      </c>
      <c r="U6820">
        <v>-2.9773860000000001</v>
      </c>
      <c r="V6820">
        <v>-0.1171619</v>
      </c>
      <c r="W6820">
        <v>0.17713599999999999</v>
      </c>
      <c r="X6820">
        <v>0.97718780000000005</v>
      </c>
      <c r="Y6820">
        <v>-0.26363150000000002</v>
      </c>
      <c r="Z6820">
        <v>9.4420860000000006E-3</v>
      </c>
      <c r="AA6820">
        <v>0.96457729999999997</v>
      </c>
      <c r="AB6820">
        <v>28</v>
      </c>
      <c r="AC6820">
        <v>14.681900000000001</v>
      </c>
      <c r="AD6820">
        <v>-1.110112240062</v>
      </c>
      <c r="AE6820">
        <v>-53.782440000000001</v>
      </c>
      <c r="AF6820">
        <v>-14.7640993584869</v>
      </c>
      <c r="AG6820">
        <v>-1.110112240062</v>
      </c>
      <c r="AH6820">
        <v>53.737018681826399</v>
      </c>
      <c r="AI6820">
        <v>91.141185191920101</v>
      </c>
      <c r="AJ6820">
        <v>105.362788277736</v>
      </c>
      <c r="AK6820">
        <v>55.739377067417699</v>
      </c>
      <c r="AL6820">
        <v>79.797016220152599</v>
      </c>
      <c r="AM6820">
        <v>96.836956480301197</v>
      </c>
      <c r="AN6820">
        <v>1.0000000348882201</v>
      </c>
    </row>
    <row r="6821" spans="1:40" x14ac:dyDescent="0.25">
      <c r="A6821" t="str">
        <f>"20190304154931703"</f>
        <v>20190304154931703</v>
      </c>
      <c r="B6821" t="str">
        <f>"1551685771693767"</f>
        <v>1551685771693767</v>
      </c>
      <c r="C6821" t="s">
        <v>40</v>
      </c>
      <c r="D6821">
        <v>4.1099839999999999</v>
      </c>
      <c r="E6821">
        <v>0.4411987</v>
      </c>
      <c r="F6821" t="s">
        <v>68</v>
      </c>
      <c r="G6821">
        <v>-285.45830000000001</v>
      </c>
      <c r="H6821">
        <v>5.1387610000000004E-3</v>
      </c>
      <c r="I6821">
        <v>-70.383740000000003</v>
      </c>
      <c r="J6821">
        <v>-301.15230000000003</v>
      </c>
      <c r="K6821">
        <v>1.110193</v>
      </c>
      <c r="L6821">
        <v>-12.77075</v>
      </c>
      <c r="M6821">
        <v>-2.052066E-3</v>
      </c>
      <c r="N6821">
        <v>-1.038304E-2</v>
      </c>
      <c r="O6821">
        <v>-0.9999441</v>
      </c>
      <c r="P6821">
        <v>0.1152343</v>
      </c>
      <c r="Q6821">
        <v>0.1682805</v>
      </c>
      <c r="R6821">
        <v>-0.97898050000000003</v>
      </c>
      <c r="S6821">
        <v>0.80734249999999996</v>
      </c>
      <c r="T6821">
        <v>-5.6846260000000003E-2</v>
      </c>
      <c r="U6821">
        <v>-2.9780880000000001</v>
      </c>
      <c r="V6821">
        <v>-0.117086999999999</v>
      </c>
      <c r="W6821">
        <v>0.17853620000000001</v>
      </c>
      <c r="X6821">
        <v>0.97694190000000003</v>
      </c>
      <c r="Y6821">
        <v>-0.26358310000000001</v>
      </c>
      <c r="Z6821">
        <v>8.0299350000000002E-3</v>
      </c>
      <c r="AA6821">
        <v>0.96460330000000005</v>
      </c>
      <c r="AB6821">
        <v>28</v>
      </c>
      <c r="AC6821">
        <v>15.694000000000001</v>
      </c>
      <c r="AD6821">
        <v>-1.105054239</v>
      </c>
      <c r="AE6821">
        <v>-57.612990000000003</v>
      </c>
      <c r="AF6821">
        <v>-15.806785407851599</v>
      </c>
      <c r="AG6821">
        <v>-1.105054239</v>
      </c>
      <c r="AH6821">
        <v>57.5609481520343</v>
      </c>
      <c r="AI6821">
        <v>91.060575441023403</v>
      </c>
      <c r="AJ6821">
        <v>105.35545029275499</v>
      </c>
      <c r="AK6821">
        <v>59.702080047199203</v>
      </c>
      <c r="AL6821">
        <v>79.7154908874097</v>
      </c>
      <c r="AM6821">
        <v>96.834330574384396</v>
      </c>
      <c r="AN6821">
        <v>1.00000000812752</v>
      </c>
    </row>
    <row r="6822" spans="1:40" x14ac:dyDescent="0.25">
      <c r="A6822" t="str">
        <f>"20190304154931725"</f>
        <v>20190304154931725</v>
      </c>
      <c r="B6822" t="str">
        <f>"1551685771714263"</f>
        <v>1551685771714263</v>
      </c>
      <c r="C6822" t="s">
        <v>40</v>
      </c>
      <c r="D6822">
        <v>4.1425539999999996</v>
      </c>
      <c r="E6822">
        <v>0.4412509</v>
      </c>
      <c r="F6822" t="s">
        <v>68</v>
      </c>
      <c r="G6822">
        <v>-285.46789999999999</v>
      </c>
      <c r="H6822">
        <v>7.9986559999999998E-2</v>
      </c>
      <c r="I6822">
        <v>-70.690849999999998</v>
      </c>
      <c r="J6822">
        <v>-301.1533</v>
      </c>
      <c r="K6822">
        <v>1.110284</v>
      </c>
      <c r="L6822">
        <v>-13.04922</v>
      </c>
      <c r="M6822">
        <v>-2.370151E-3</v>
      </c>
      <c r="N6822">
        <v>-1.03985E-2</v>
      </c>
      <c r="O6822">
        <v>-0.99994329999999998</v>
      </c>
      <c r="P6822">
        <v>0.11453049999999999</v>
      </c>
      <c r="Q6822">
        <v>0.168764</v>
      </c>
      <c r="R6822">
        <v>-0.97897990000000001</v>
      </c>
      <c r="S6822">
        <v>0.80657959999999995</v>
      </c>
      <c r="T6822">
        <v>-5.2978989999999997E-2</v>
      </c>
      <c r="U6822">
        <v>-2.978577</v>
      </c>
      <c r="V6822">
        <v>-0.11672929999999999</v>
      </c>
      <c r="W6822">
        <v>0.179011</v>
      </c>
      <c r="X6822">
        <v>0.97689780000000004</v>
      </c>
      <c r="Y6822">
        <v>-0.26362380000000002</v>
      </c>
      <c r="Z6822">
        <v>6.7592040000000004E-3</v>
      </c>
      <c r="AA6822">
        <v>0.96460190000000001</v>
      </c>
      <c r="AB6822">
        <v>28</v>
      </c>
      <c r="AC6822">
        <v>15.6854</v>
      </c>
      <c r="AD6822">
        <v>-1.03029744</v>
      </c>
      <c r="AE6822">
        <v>-57.641629999999999</v>
      </c>
      <c r="AF6822">
        <v>-15.817277659348999</v>
      </c>
      <c r="AG6822">
        <v>-1.03029744</v>
      </c>
      <c r="AH6822">
        <v>57.587159427529301</v>
      </c>
      <c r="AI6822">
        <v>90.988377963492596</v>
      </c>
      <c r="AJ6822">
        <v>105.35849812305101</v>
      </c>
      <c r="AK6822">
        <v>59.728793025637898</v>
      </c>
      <c r="AL6822">
        <v>79.687841232051198</v>
      </c>
      <c r="AM6822">
        <v>96.813953023550695</v>
      </c>
      <c r="AN6822">
        <v>0.99999998962216397</v>
      </c>
    </row>
    <row r="6823" spans="1:40" x14ac:dyDescent="0.25">
      <c r="A6823" t="str">
        <f>"20190304154931748"</f>
        <v>20190304154931748</v>
      </c>
      <c r="B6823" t="str">
        <f>"1551685771744519"</f>
        <v>1551685771744519</v>
      </c>
      <c r="C6823" t="s">
        <v>40</v>
      </c>
      <c r="D6823">
        <v>4.276853</v>
      </c>
      <c r="E6823">
        <v>0.50346349999999995</v>
      </c>
      <c r="F6823" t="s">
        <v>68</v>
      </c>
      <c r="G6823">
        <v>-284.9708</v>
      </c>
      <c r="H6823">
        <v>7.9986559999999998E-2</v>
      </c>
      <c r="I6823">
        <v>-72.948169999999905</v>
      </c>
      <c r="J6823">
        <v>-301.15429999999998</v>
      </c>
      <c r="K6823">
        <v>1.1103700000000001</v>
      </c>
      <c r="L6823">
        <v>-13.327579999999999</v>
      </c>
      <c r="M6823">
        <v>-2.592404E-3</v>
      </c>
      <c r="N6823">
        <v>-1.0412319999999999E-2</v>
      </c>
      <c r="O6823">
        <v>-0.99994240000000001</v>
      </c>
      <c r="P6823">
        <v>0.11404839999999999</v>
      </c>
      <c r="Q6823">
        <v>0.1683624</v>
      </c>
      <c r="R6823">
        <v>-0.97910520000000001</v>
      </c>
      <c r="S6823">
        <v>0.80484009999999995</v>
      </c>
      <c r="T6823">
        <v>-5.124223E-2</v>
      </c>
      <c r="U6823">
        <v>-2.979095</v>
      </c>
      <c r="V6823">
        <v>-0.11649950000000001</v>
      </c>
      <c r="W6823">
        <v>0.17860179999999901</v>
      </c>
      <c r="X6823">
        <v>0.97700010000000004</v>
      </c>
      <c r="Y6823">
        <v>-0.26327270000000003</v>
      </c>
      <c r="Z6823">
        <v>6.1818669999999997E-3</v>
      </c>
      <c r="AA6823">
        <v>0.9647017</v>
      </c>
      <c r="AB6823">
        <v>28</v>
      </c>
      <c r="AC6823">
        <v>16.183499999999899</v>
      </c>
      <c r="AD6823">
        <v>-1.03038344</v>
      </c>
      <c r="AE6823">
        <v>-59.6205899999999</v>
      </c>
      <c r="AF6823">
        <v>-16.333470963297099</v>
      </c>
      <c r="AG6823">
        <v>-1.03038344</v>
      </c>
      <c r="AH6823">
        <v>59.561864108885203</v>
      </c>
      <c r="AI6823">
        <v>90.955802616365602</v>
      </c>
      <c r="AJ6823">
        <v>105.335067084025</v>
      </c>
      <c r="AK6823">
        <v>61.769406827875599</v>
      </c>
      <c r="AL6823">
        <v>79.711670448082302</v>
      </c>
      <c r="AM6823">
        <v>96.799959024177895</v>
      </c>
      <c r="AN6823">
        <v>0.999999965931749</v>
      </c>
    </row>
    <row r="6824" spans="1:40" x14ac:dyDescent="0.25">
      <c r="A6824" t="str">
        <f>"20190304154931770"</f>
        <v>20190304154931770</v>
      </c>
      <c r="B6824" t="str">
        <f>"1551685771764039"</f>
        <v>1551685771764039</v>
      </c>
      <c r="C6824" t="s">
        <v>40</v>
      </c>
      <c r="D6824">
        <v>4.2996290000000004</v>
      </c>
      <c r="E6824">
        <v>0.51230980000000004</v>
      </c>
      <c r="F6824" t="s">
        <v>97</v>
      </c>
      <c r="G6824">
        <v>-293.14609999999999</v>
      </c>
      <c r="H6824">
        <v>0.28559879999999999</v>
      </c>
      <c r="I6824">
        <v>-91.564989999999995</v>
      </c>
      <c r="J6824">
        <v>-301.15519999999998</v>
      </c>
      <c r="K6824">
        <v>1.1104510000000001</v>
      </c>
      <c r="L6824">
        <v>-13.60458</v>
      </c>
      <c r="M6824">
        <v>-2.7294189999999999E-3</v>
      </c>
      <c r="N6824">
        <v>-1.0424559999999999E-2</v>
      </c>
      <c r="O6824">
        <v>-0.99994190000000005</v>
      </c>
      <c r="P6824">
        <v>0.1136095</v>
      </c>
      <c r="Q6824">
        <v>0.1682419</v>
      </c>
      <c r="R6824">
        <v>-0.97917679999999996</v>
      </c>
      <c r="S6824">
        <v>0.31048579999999998</v>
      </c>
      <c r="T6824">
        <v>-3.1976820000000003E-2</v>
      </c>
      <c r="U6824">
        <v>-3.0333559999999999</v>
      </c>
      <c r="V6824">
        <v>-0.1162261</v>
      </c>
      <c r="W6824">
        <v>0.1784733</v>
      </c>
      <c r="X6824">
        <v>0.97705620000000004</v>
      </c>
      <c r="Y6824">
        <v>-0.10452880000000001</v>
      </c>
      <c r="Z6824" s="1">
        <v>5.882073E-5</v>
      </c>
      <c r="AA6824">
        <v>0.99452189999999996</v>
      </c>
      <c r="AB6824">
        <v>28</v>
      </c>
      <c r="AC6824">
        <v>8.0090999999999894</v>
      </c>
      <c r="AD6824">
        <v>-0.82485219999999904</v>
      </c>
      <c r="AE6824">
        <v>-77.960409999999996</v>
      </c>
      <c r="AF6824">
        <v>-8.2209576767491193</v>
      </c>
      <c r="AG6824">
        <v>-0.82485219999999904</v>
      </c>
      <c r="AH6824">
        <v>77.929625488816598</v>
      </c>
      <c r="AI6824">
        <v>90.603082808557403</v>
      </c>
      <c r="AJ6824">
        <v>96.021977735301107</v>
      </c>
      <c r="AK6824">
        <v>78.3663898307301</v>
      </c>
      <c r="AL6824">
        <v>79.719153758313894</v>
      </c>
      <c r="AM6824">
        <v>96.783763951188405</v>
      </c>
      <c r="AN6824">
        <v>1.0000000215462601</v>
      </c>
    </row>
    <row r="6825" spans="1:40" x14ac:dyDescent="0.25">
      <c r="A6825" t="str">
        <f>"20190304154931794"</f>
        <v>20190304154931794</v>
      </c>
      <c r="B6825" t="str">
        <f>"1551685771784535"</f>
        <v>1551685771784535</v>
      </c>
      <c r="C6825" t="s">
        <v>40</v>
      </c>
      <c r="D6825">
        <v>4.2788149999999998</v>
      </c>
      <c r="E6825">
        <v>0.51659330000000003</v>
      </c>
      <c r="F6825" t="s">
        <v>45</v>
      </c>
      <c r="G6825">
        <v>-295.34050000000002</v>
      </c>
      <c r="H6825">
        <v>-0.05</v>
      </c>
      <c r="I6825">
        <v>-87.674639999999997</v>
      </c>
      <c r="J6825">
        <v>-301.15609999999998</v>
      </c>
      <c r="K6825">
        <v>1.1105080000000001</v>
      </c>
      <c r="L6825">
        <v>-13.892670000000001</v>
      </c>
      <c r="M6825">
        <v>-2.8003640000000001E-3</v>
      </c>
      <c r="N6825">
        <v>-1.0435710000000001E-2</v>
      </c>
      <c r="O6825">
        <v>-0.99994159999999999</v>
      </c>
      <c r="P6825">
        <v>0.11360679999999999</v>
      </c>
      <c r="Q6825">
        <v>0.16819400000000001</v>
      </c>
      <c r="R6825">
        <v>-0.97918539999999998</v>
      </c>
      <c r="S6825">
        <v>0.23898320000000001</v>
      </c>
      <c r="T6825">
        <v>-4.7694090000000001E-2</v>
      </c>
      <c r="U6825">
        <v>-3.0442499999999999</v>
      </c>
      <c r="V6825">
        <v>-0.11631610000000001</v>
      </c>
      <c r="W6825">
        <v>0.1784212</v>
      </c>
      <c r="X6825">
        <v>0.97705500000000001</v>
      </c>
      <c r="Y6825">
        <v>-8.1041920000000003E-2</v>
      </c>
      <c r="Z6825">
        <v>5.1787179999999997E-3</v>
      </c>
      <c r="AA6825">
        <v>0.99669719999999995</v>
      </c>
      <c r="AB6825">
        <v>28</v>
      </c>
      <c r="AC6825">
        <v>5.8155999999999599</v>
      </c>
      <c r="AD6825">
        <v>-1.1605080000000001</v>
      </c>
      <c r="AE6825">
        <v>-73.781970000000001</v>
      </c>
      <c r="AF6825">
        <v>-6.0207245069559203</v>
      </c>
      <c r="AG6825">
        <v>-1.1605080000000001</v>
      </c>
      <c r="AH6825">
        <v>73.747261727395497</v>
      </c>
      <c r="AI6825">
        <v>90.898559337511401</v>
      </c>
      <c r="AJ6825">
        <v>94.667275035579706</v>
      </c>
      <c r="AK6825">
        <v>74.001719673908298</v>
      </c>
      <c r="AL6825">
        <v>79.722187508787599</v>
      </c>
      <c r="AM6825">
        <v>96.788976226491101</v>
      </c>
      <c r="AN6825">
        <v>1.0000000163768199</v>
      </c>
    </row>
    <row r="6826" spans="1:40" x14ac:dyDescent="0.25">
      <c r="A6826" t="str">
        <f>"20190304154931814"</f>
        <v>20190304154931814</v>
      </c>
      <c r="B6826" t="str">
        <f>"1551685771804055"</f>
        <v>1551685771804055</v>
      </c>
      <c r="C6826" t="s">
        <v>40</v>
      </c>
      <c r="D6826">
        <v>4.4358599999999999</v>
      </c>
      <c r="E6826">
        <v>0.51994280000000004</v>
      </c>
      <c r="F6826" t="s">
        <v>68</v>
      </c>
      <c r="G6826">
        <v>-297.36</v>
      </c>
      <c r="H6826">
        <v>3.340916E-2</v>
      </c>
      <c r="I6826">
        <v>-70.383709999999994</v>
      </c>
      <c r="J6826">
        <v>-301.15690000000001</v>
      </c>
      <c r="K6826">
        <v>1.110544</v>
      </c>
      <c r="L6826">
        <v>-14.155849999999999</v>
      </c>
      <c r="M6826">
        <v>-2.8242530000000001E-3</v>
      </c>
      <c r="N6826">
        <v>-1.0444770000000001E-2</v>
      </c>
      <c r="O6826">
        <v>-0.99994159999999999</v>
      </c>
      <c r="P6826">
        <v>0.1130126</v>
      </c>
      <c r="Q6826">
        <v>0.16867869999999999</v>
      </c>
      <c r="R6826">
        <v>-0.97917100000000001</v>
      </c>
      <c r="S6826">
        <v>0.2049561</v>
      </c>
      <c r="T6826">
        <v>-5.815327E-2</v>
      </c>
      <c r="U6826">
        <v>-3.0499879999999999</v>
      </c>
      <c r="V6826">
        <v>-0.115758399999999</v>
      </c>
      <c r="W6826">
        <v>0.1789058</v>
      </c>
      <c r="X6826">
        <v>0.97703260000000003</v>
      </c>
      <c r="Y6826">
        <v>-6.9852339999999999E-2</v>
      </c>
      <c r="Z6826">
        <v>8.5735229999999996E-3</v>
      </c>
      <c r="AA6826">
        <v>0.99752050000000003</v>
      </c>
      <c r="AB6826">
        <v>28</v>
      </c>
      <c r="AC6826">
        <v>3.7968999999999902</v>
      </c>
      <c r="AD6826">
        <v>-1.07713484</v>
      </c>
      <c r="AE6826">
        <v>-56.2278599999999</v>
      </c>
      <c r="AF6826">
        <v>-3.9542506728126199</v>
      </c>
      <c r="AG6826">
        <v>-1.07713484</v>
      </c>
      <c r="AH6826">
        <v>56.196382653853099</v>
      </c>
      <c r="AI6826">
        <v>91.095365204556302</v>
      </c>
      <c r="AJ6826">
        <v>94.024975490439502</v>
      </c>
      <c r="AK6826">
        <v>56.3456275253481</v>
      </c>
      <c r="AL6826">
        <v>79.693967725452197</v>
      </c>
      <c r="AM6826">
        <v>96.756880308895305</v>
      </c>
      <c r="AN6826">
        <v>0.99999999695347996</v>
      </c>
    </row>
    <row r="6827" spans="1:40" x14ac:dyDescent="0.25">
      <c r="A6827" t="str">
        <f>"20190304154931837"</f>
        <v>20190304154931837</v>
      </c>
      <c r="B6827" t="str">
        <f>"1551685771834312"</f>
        <v>1551685771834312</v>
      </c>
      <c r="C6827" t="s">
        <v>40</v>
      </c>
      <c r="D6827">
        <v>4.3127139999999997</v>
      </c>
      <c r="E6827">
        <v>0.52205970000000002</v>
      </c>
      <c r="F6827" t="s">
        <v>68</v>
      </c>
      <c r="G6827">
        <v>-298.01260000000002</v>
      </c>
      <c r="H6827" s="1">
        <v>-1.408513E-5</v>
      </c>
      <c r="I6827">
        <v>-68.590029999999999</v>
      </c>
      <c r="J6827">
        <v>-301.15769999999998</v>
      </c>
      <c r="K6827">
        <v>1.110563</v>
      </c>
      <c r="L6827">
        <v>-14.431179999999999</v>
      </c>
      <c r="M6827">
        <v>-2.827151E-3</v>
      </c>
      <c r="N6827">
        <v>-1.045337E-2</v>
      </c>
      <c r="O6827">
        <v>-0.99994130000000003</v>
      </c>
      <c r="P6827">
        <v>0.1122351</v>
      </c>
      <c r="Q6827">
        <v>0.1690681</v>
      </c>
      <c r="R6827">
        <v>-0.97919310000000004</v>
      </c>
      <c r="S6827">
        <v>0.1764221</v>
      </c>
      <c r="T6827">
        <v>-6.2310699999999997E-2</v>
      </c>
      <c r="U6827">
        <v>-3.0541689999999999</v>
      </c>
      <c r="V6827">
        <v>-0.1149906</v>
      </c>
      <c r="W6827">
        <v>0.1792995</v>
      </c>
      <c r="X6827">
        <v>0.97705109999999995</v>
      </c>
      <c r="Y6827">
        <v>-6.0478039999999997E-2</v>
      </c>
      <c r="Z6827">
        <v>9.9086880000000006E-3</v>
      </c>
      <c r="AA6827">
        <v>0.99812040000000002</v>
      </c>
      <c r="AB6827">
        <v>28</v>
      </c>
      <c r="AC6827">
        <v>3.14509999999995</v>
      </c>
      <c r="AD6827">
        <v>-1.1105770851300001</v>
      </c>
      <c r="AE6827">
        <v>-54.158850000000001</v>
      </c>
      <c r="AF6827">
        <v>-3.2968294192052898</v>
      </c>
      <c r="AG6827">
        <v>-1.1105770851300001</v>
      </c>
      <c r="AH6827">
        <v>54.127057835964202</v>
      </c>
      <c r="AI6827">
        <v>91.173254164785106</v>
      </c>
      <c r="AJ6827">
        <v>93.485527266407104</v>
      </c>
      <c r="AK6827">
        <v>54.2387394364873</v>
      </c>
      <c r="AL6827">
        <v>79.671039674640696</v>
      </c>
      <c r="AM6827">
        <v>96.712347773442701</v>
      </c>
      <c r="AN6827">
        <v>1.0000000003998999</v>
      </c>
    </row>
    <row r="6828" spans="1:40" x14ac:dyDescent="0.25">
      <c r="A6828" t="str">
        <f>"20190304154931860"</f>
        <v>20190304154931860</v>
      </c>
      <c r="B6828" t="str">
        <f>"1551685771853831"</f>
        <v>1551685771853831</v>
      </c>
      <c r="C6828" t="s">
        <v>40</v>
      </c>
      <c r="D6828">
        <v>4.4312680000000002</v>
      </c>
      <c r="E6828">
        <v>0.5226383</v>
      </c>
      <c r="F6828" t="s">
        <v>68</v>
      </c>
      <c r="G6828">
        <v>-298.60820000000001</v>
      </c>
      <c r="H6828" s="1">
        <v>-1.3246130000000001E-5</v>
      </c>
      <c r="I6828">
        <v>-63.943910000000002</v>
      </c>
      <c r="J6828">
        <v>-301.15859999999998</v>
      </c>
      <c r="K6828">
        <v>1.110573</v>
      </c>
      <c r="L6828">
        <v>-14.716799999999999</v>
      </c>
      <c r="M6828">
        <v>-2.822635E-3</v>
      </c>
      <c r="N6828">
        <v>-1.04615E-2</v>
      </c>
      <c r="O6828">
        <v>-0.99994130000000003</v>
      </c>
      <c r="P6828">
        <v>0.1111422</v>
      </c>
      <c r="Q6828">
        <v>0.1688414</v>
      </c>
      <c r="R6828">
        <v>-0.97935709999999998</v>
      </c>
      <c r="S6828">
        <v>0.1574402</v>
      </c>
      <c r="T6828">
        <v>-6.8580630000000004E-2</v>
      </c>
      <c r="U6828">
        <v>-3.0575260000000002</v>
      </c>
      <c r="V6828">
        <v>-0.1138965</v>
      </c>
      <c r="W6828">
        <v>0.17908089999999999</v>
      </c>
      <c r="X6828">
        <v>0.97721930000000001</v>
      </c>
      <c r="Y6828">
        <v>-5.4230430000000003E-2</v>
      </c>
      <c r="Z6828">
        <v>1.1932160000000001E-2</v>
      </c>
      <c r="AA6828">
        <v>0.99845709999999999</v>
      </c>
      <c r="AB6828">
        <v>28</v>
      </c>
      <c r="AC6828">
        <v>2.5503999999999598</v>
      </c>
      <c r="AD6828">
        <v>-1.11058624613</v>
      </c>
      <c r="AE6828">
        <v>-49.227110000000003</v>
      </c>
      <c r="AF6828">
        <v>-2.68798315378515</v>
      </c>
      <c r="AG6828">
        <v>-1.11058624613</v>
      </c>
      <c r="AH6828">
        <v>49.194742798946997</v>
      </c>
      <c r="AI6828">
        <v>91.291324410635994</v>
      </c>
      <c r="AJ6828">
        <v>93.127510991989894</v>
      </c>
      <c r="AK6828">
        <v>49.2806389396452</v>
      </c>
      <c r="AL6828">
        <v>79.6837702809908</v>
      </c>
      <c r="AM6828">
        <v>96.647922220131406</v>
      </c>
      <c r="AN6828">
        <v>0.99999997087477399</v>
      </c>
    </row>
    <row r="6829" spans="1:40" x14ac:dyDescent="0.25">
      <c r="A6829" t="str">
        <f>"20190304154931882"</f>
        <v>20190304154931882</v>
      </c>
      <c r="B6829" t="str">
        <f>"1551685771874328"</f>
        <v>1551685771874328</v>
      </c>
      <c r="C6829" t="s">
        <v>40</v>
      </c>
      <c r="D6829">
        <v>4.3649550000000001</v>
      </c>
      <c r="E6829">
        <v>0.52329429999999999</v>
      </c>
      <c r="F6829" t="s">
        <v>68</v>
      </c>
      <c r="G6829">
        <v>-298.84440000000001</v>
      </c>
      <c r="H6829" s="1">
        <v>-1.286009E-5</v>
      </c>
      <c r="I6829">
        <v>-61.869450000000001</v>
      </c>
      <c r="J6829">
        <v>-301.15940000000001</v>
      </c>
      <c r="K6829">
        <v>1.110568</v>
      </c>
      <c r="L6829">
        <v>-14.9938</v>
      </c>
      <c r="M6829">
        <v>-2.8220200000000002E-3</v>
      </c>
      <c r="N6829">
        <v>-1.046615E-2</v>
      </c>
      <c r="O6829">
        <v>-0.99994130000000003</v>
      </c>
      <c r="P6829">
        <v>0.11030810000000001</v>
      </c>
      <c r="Q6829">
        <v>0.168436</v>
      </c>
      <c r="R6829">
        <v>-0.97952119999999998</v>
      </c>
      <c r="S6829">
        <v>0.150116</v>
      </c>
      <c r="T6829">
        <v>-7.2039720000000002E-2</v>
      </c>
      <c r="U6829">
        <v>-3.058624</v>
      </c>
      <c r="V6829">
        <v>-0.1130623</v>
      </c>
      <c r="W6829">
        <v>0.1786816</v>
      </c>
      <c r="X6829">
        <v>0.97738930000000002</v>
      </c>
      <c r="Y6829">
        <v>-5.182577E-2</v>
      </c>
      <c r="Z6829">
        <v>1.305109E-2</v>
      </c>
      <c r="AA6829">
        <v>0.99857090000000004</v>
      </c>
      <c r="AB6829">
        <v>28</v>
      </c>
      <c r="AC6829">
        <v>2.3149999999999902</v>
      </c>
      <c r="AD6829">
        <v>-1.11058086009</v>
      </c>
      <c r="AE6829">
        <v>-46.87565</v>
      </c>
      <c r="AF6829">
        <v>-2.4459124572156901</v>
      </c>
      <c r="AG6829">
        <v>-1.11058086009</v>
      </c>
      <c r="AH6829">
        <v>46.8427005075268</v>
      </c>
      <c r="AI6829">
        <v>91.356308628137697</v>
      </c>
      <c r="AJ6829">
        <v>92.989010137547496</v>
      </c>
      <c r="AK6829">
        <v>46.919659722050604</v>
      </c>
      <c r="AL6829">
        <v>79.707024065716297</v>
      </c>
      <c r="AM6829">
        <v>96.598524876882806</v>
      </c>
      <c r="AN6829">
        <v>1.00000002080716</v>
      </c>
    </row>
    <row r="6830" spans="1:40" x14ac:dyDescent="0.25">
      <c r="A6830" t="str">
        <f>"20190304154931904"</f>
        <v>20190304154931904</v>
      </c>
      <c r="B6830" t="str">
        <f>"1551685771893847"</f>
        <v>1551685771893847</v>
      </c>
      <c r="C6830" t="s">
        <v>40</v>
      </c>
      <c r="D6830">
        <v>4.3288830000000003</v>
      </c>
      <c r="E6830">
        <v>0.52393909999999999</v>
      </c>
      <c r="F6830" t="s">
        <v>68</v>
      </c>
      <c r="G6830">
        <v>-299.05930000000001</v>
      </c>
      <c r="H6830" s="1">
        <v>-6.5210610000000001E-6</v>
      </c>
      <c r="I6830">
        <v>-60.061149999999998</v>
      </c>
      <c r="J6830">
        <v>-301.16019999999997</v>
      </c>
      <c r="K6830">
        <v>1.110562</v>
      </c>
      <c r="L6830">
        <v>-15.27054</v>
      </c>
      <c r="M6830">
        <v>-2.831119E-3</v>
      </c>
      <c r="N6830">
        <v>-1.046208E-2</v>
      </c>
      <c r="O6830">
        <v>-0.99994130000000003</v>
      </c>
      <c r="P6830">
        <v>0.1097086</v>
      </c>
      <c r="Q6830">
        <v>0.16712379999999999</v>
      </c>
      <c r="R6830">
        <v>-0.9798133</v>
      </c>
      <c r="S6830">
        <v>0.14257810000000001</v>
      </c>
      <c r="T6830">
        <v>-7.5397130000000007E-2</v>
      </c>
      <c r="U6830">
        <v>-3.059631</v>
      </c>
      <c r="V6830">
        <v>-0.1124719</v>
      </c>
      <c r="W6830">
        <v>0.1773692</v>
      </c>
      <c r="X6830">
        <v>0.97769640000000002</v>
      </c>
      <c r="Y6830">
        <v>-4.9363560000000001E-2</v>
      </c>
      <c r="Z6830">
        <v>1.4145629999999999E-2</v>
      </c>
      <c r="AA6830">
        <v>0.99868069999999998</v>
      </c>
      <c r="AB6830">
        <v>28</v>
      </c>
      <c r="AC6830">
        <v>2.1008999999999598</v>
      </c>
      <c r="AD6830">
        <v>-1.1105685210609999</v>
      </c>
      <c r="AE6830">
        <v>-44.790610000000001</v>
      </c>
      <c r="AF6830">
        <v>-2.2263403666543198</v>
      </c>
      <c r="AG6830">
        <v>-1.1105685210609999</v>
      </c>
      <c r="AH6830">
        <v>44.757027119208203</v>
      </c>
      <c r="AI6830">
        <v>91.419649840404105</v>
      </c>
      <c r="AJ6830">
        <v>92.847705974256797</v>
      </c>
      <c r="AK6830">
        <v>44.826124418888902</v>
      </c>
      <c r="AL6830">
        <v>79.783439570135997</v>
      </c>
      <c r="AM6830">
        <v>96.562325636918501</v>
      </c>
      <c r="AN6830">
        <v>1.0000000059856</v>
      </c>
    </row>
    <row r="6831" spans="1:40" x14ac:dyDescent="0.25">
      <c r="A6831" t="str">
        <f>"20190304154931927"</f>
        <v>20190304154931927</v>
      </c>
      <c r="B6831" t="str">
        <f>"1551685771914343"</f>
        <v>1551685771914343</v>
      </c>
      <c r="C6831" t="s">
        <v>40</v>
      </c>
      <c r="D6831">
        <v>4.3602720000000001</v>
      </c>
      <c r="E6831">
        <v>0.52452279999999996</v>
      </c>
      <c r="F6831" t="s">
        <v>68</v>
      </c>
      <c r="G6831">
        <v>-299.27870000000001</v>
      </c>
      <c r="H6831" s="1">
        <v>-6.7058000000000002E-6</v>
      </c>
      <c r="I6831">
        <v>-57.66939</v>
      </c>
      <c r="J6831">
        <v>-301.161</v>
      </c>
      <c r="K6831">
        <v>1.1105480000000001</v>
      </c>
      <c r="L6831">
        <v>-15.546939999999999</v>
      </c>
      <c r="M6831">
        <v>-2.850539E-3</v>
      </c>
      <c r="N6831">
        <v>-1.0447E-2</v>
      </c>
      <c r="O6831">
        <v>-0.99994130000000003</v>
      </c>
      <c r="P6831">
        <v>0.10938440000000001</v>
      </c>
      <c r="Q6831">
        <v>0.16537539999999901</v>
      </c>
      <c r="R6831">
        <v>-0.98014610000000002</v>
      </c>
      <c r="S6831">
        <v>0.13580320000000001</v>
      </c>
      <c r="T6831">
        <v>-8.015883E-2</v>
      </c>
      <c r="U6831">
        <v>-3.0602719999999999</v>
      </c>
      <c r="V6831">
        <v>-0.11216660000000001</v>
      </c>
      <c r="W6831">
        <v>0.17561009999999999</v>
      </c>
      <c r="X6831">
        <v>0.97804899999999995</v>
      </c>
      <c r="Y6831">
        <v>-4.7165779999999997E-2</v>
      </c>
      <c r="Z6831">
        <v>1.5711289999999999E-2</v>
      </c>
      <c r="AA6831">
        <v>0.99876350000000003</v>
      </c>
      <c r="AB6831">
        <v>28</v>
      </c>
      <c r="AC6831">
        <v>1.8822999999999801</v>
      </c>
      <c r="AD6831">
        <v>-1.11055470579999</v>
      </c>
      <c r="AE6831">
        <v>-42.122450000000001</v>
      </c>
      <c r="AF6831">
        <v>-2.0009824707562598</v>
      </c>
      <c r="AG6831">
        <v>-1.11055470579999</v>
      </c>
      <c r="AH6831">
        <v>42.0877157533643</v>
      </c>
      <c r="AI6831">
        <v>91.509789575711196</v>
      </c>
      <c r="AJ6831">
        <v>92.721972050758097</v>
      </c>
      <c r="AK6831">
        <v>42.149888255354099</v>
      </c>
      <c r="AL6831">
        <v>79.885836406393807</v>
      </c>
      <c r="AM6831">
        <v>96.542328260359298</v>
      </c>
      <c r="AN6831">
        <v>1.00000004988928</v>
      </c>
    </row>
    <row r="6832" spans="1:40" x14ac:dyDescent="0.25">
      <c r="A6832" t="str">
        <f>"20190304154931949"</f>
        <v>20190304154931949</v>
      </c>
      <c r="B6832" t="str">
        <f>"1551685771943624"</f>
        <v>1551685771943624</v>
      </c>
      <c r="C6832" t="s">
        <v>40</v>
      </c>
      <c r="D6832">
        <v>4.3691990000000001</v>
      </c>
      <c r="E6832">
        <v>0.52480899999999997</v>
      </c>
      <c r="F6832" t="s">
        <v>68</v>
      </c>
      <c r="G6832">
        <v>-299.46350000000001</v>
      </c>
      <c r="H6832" s="1">
        <v>-6.9036360000000004E-6</v>
      </c>
      <c r="I6832">
        <v>-55.333910000000003</v>
      </c>
      <c r="J6832">
        <v>-301.1619</v>
      </c>
      <c r="K6832">
        <v>1.110533</v>
      </c>
      <c r="L6832">
        <v>-15.83081</v>
      </c>
      <c r="M6832">
        <v>-2.878242E-3</v>
      </c>
      <c r="N6832">
        <v>-1.041635E-2</v>
      </c>
      <c r="O6832">
        <v>-0.99994159999999999</v>
      </c>
      <c r="P6832">
        <v>0.1092081</v>
      </c>
      <c r="Q6832">
        <v>0.16463069999999999</v>
      </c>
      <c r="R6832">
        <v>-0.98029089999999997</v>
      </c>
      <c r="S6832">
        <v>0.1305847</v>
      </c>
      <c r="T6832">
        <v>-8.5429309999999994E-2</v>
      </c>
      <c r="U6832">
        <v>-3.0606080000000002</v>
      </c>
      <c r="V6832">
        <v>-0.1120172</v>
      </c>
      <c r="W6832">
        <v>0.174837299999999</v>
      </c>
      <c r="X6832">
        <v>0.97820450000000003</v>
      </c>
      <c r="Y6832">
        <v>-4.5487529999999998E-2</v>
      </c>
      <c r="Z6832">
        <v>1.745994E-2</v>
      </c>
      <c r="AA6832">
        <v>0.99881229999999999</v>
      </c>
      <c r="AB6832">
        <v>28</v>
      </c>
      <c r="AC6832">
        <v>1.6983999999999899</v>
      </c>
      <c r="AD6832">
        <v>-1.110539903636</v>
      </c>
      <c r="AE6832">
        <v>-39.503100000000003</v>
      </c>
      <c r="AF6832">
        <v>-1.81067023669811</v>
      </c>
      <c r="AG6832">
        <v>-1.110539903636</v>
      </c>
      <c r="AH6832">
        <v>39.466913527271799</v>
      </c>
      <c r="AI6832">
        <v>91.610099526298001</v>
      </c>
      <c r="AJ6832">
        <v>92.626784267760399</v>
      </c>
      <c r="AK6832">
        <v>39.524031790200503</v>
      </c>
      <c r="AL6832">
        <v>79.930809774693103</v>
      </c>
      <c r="AM6832">
        <v>96.532659973667194</v>
      </c>
      <c r="AN6832">
        <v>0.99999998919368904</v>
      </c>
    </row>
    <row r="6833" spans="1:40" x14ac:dyDescent="0.25">
      <c r="A6833" t="str">
        <f>"20190304154931972"</f>
        <v>20190304154931972</v>
      </c>
      <c r="B6833" t="str">
        <f>"1551685771964120"</f>
        <v>1551685771964120</v>
      </c>
      <c r="C6833" t="s">
        <v>40</v>
      </c>
      <c r="D6833">
        <v>4.3842080000000001</v>
      </c>
      <c r="E6833">
        <v>0.52513449999999995</v>
      </c>
      <c r="F6833" t="s">
        <v>68</v>
      </c>
      <c r="G6833">
        <v>-299.57670000000002</v>
      </c>
      <c r="H6833" s="1">
        <v>-7.0445960000000002E-6</v>
      </c>
      <c r="I6833">
        <v>-53.727539999999998</v>
      </c>
      <c r="J6833">
        <v>-301.1628</v>
      </c>
      <c r="K6833">
        <v>1.110514</v>
      </c>
      <c r="L6833">
        <v>-16.119050000000001</v>
      </c>
      <c r="M6833">
        <v>-2.9121020000000002E-3</v>
      </c>
      <c r="N6833">
        <v>-1.036952E-2</v>
      </c>
      <c r="O6833">
        <v>-0.99994229999999995</v>
      </c>
      <c r="P6833">
        <v>0.1091492</v>
      </c>
      <c r="Q6833">
        <v>0.1642536</v>
      </c>
      <c r="R6833">
        <v>-0.98036100000000004</v>
      </c>
      <c r="S6833">
        <v>0.12805179999999999</v>
      </c>
      <c r="T6833">
        <v>-8.9704389999999995E-2</v>
      </c>
      <c r="U6833">
        <v>-3.0611269999999999</v>
      </c>
      <c r="V6833">
        <v>-0.1119902</v>
      </c>
      <c r="W6833">
        <v>0.17441619999999999</v>
      </c>
      <c r="X6833">
        <v>0.97828269999999995</v>
      </c>
      <c r="Y6833">
        <v>-4.4687919999999999E-2</v>
      </c>
      <c r="Z6833">
        <v>1.8896929999999999E-2</v>
      </c>
      <c r="AA6833">
        <v>0.99882230000000005</v>
      </c>
      <c r="AB6833">
        <v>28</v>
      </c>
      <c r="AC6833">
        <v>1.5860999999999801</v>
      </c>
      <c r="AD6833">
        <v>-1.1105210445960001</v>
      </c>
      <c r="AE6833">
        <v>-37.608490000000003</v>
      </c>
      <c r="AF6833">
        <v>-1.6941443349269201</v>
      </c>
      <c r="AG6833">
        <v>-1.1105210445960001</v>
      </c>
      <c r="AH6833">
        <v>37.571010244116202</v>
      </c>
      <c r="AI6833">
        <v>91.691333726685599</v>
      </c>
      <c r="AJ6833">
        <v>92.581820711329001</v>
      </c>
      <c r="AK6833">
        <v>37.625578969386503</v>
      </c>
      <c r="AL6833">
        <v>79.955312918684498</v>
      </c>
      <c r="AM6833">
        <v>96.530581423925895</v>
      </c>
      <c r="AN6833">
        <v>0.99999992841888197</v>
      </c>
    </row>
    <row r="6834" spans="1:40" x14ac:dyDescent="0.25">
      <c r="A6834" t="str">
        <f>"20190304154931994"</f>
        <v>20190304154931994</v>
      </c>
      <c r="B6834" t="str">
        <f>"1551685771983639"</f>
        <v>1551685771983639</v>
      </c>
      <c r="C6834" t="s">
        <v>40</v>
      </c>
      <c r="D6834">
        <v>4.3962839999999996</v>
      </c>
      <c r="E6834">
        <v>0.52539849999999999</v>
      </c>
      <c r="F6834" t="s">
        <v>68</v>
      </c>
      <c r="G6834">
        <v>-299.62400000000002</v>
      </c>
      <c r="H6834" s="1">
        <v>-7.0357229999999998E-6</v>
      </c>
      <c r="I6834">
        <v>-53.65878</v>
      </c>
      <c r="J6834">
        <v>-301.16359999999997</v>
      </c>
      <c r="K6834">
        <v>1.110503</v>
      </c>
      <c r="L6834">
        <v>-16.395630000000001</v>
      </c>
      <c r="M6834">
        <v>-2.946578E-3</v>
      </c>
      <c r="N6834">
        <v>-1.0314220000000001E-2</v>
      </c>
      <c r="O6834">
        <v>-0.99994280000000002</v>
      </c>
      <c r="P6834">
        <v>0.109153399999999</v>
      </c>
      <c r="Q6834">
        <v>0.1643896</v>
      </c>
      <c r="R6834">
        <v>-0.98033769999999998</v>
      </c>
      <c r="S6834">
        <v>0.1254883</v>
      </c>
      <c r="T6834">
        <v>-9.0561390000000005E-2</v>
      </c>
      <c r="U6834">
        <v>-3.0613100000000002</v>
      </c>
      <c r="V6834">
        <v>-0.11202769999999999</v>
      </c>
      <c r="W6834">
        <v>0.17449790000000001</v>
      </c>
      <c r="X6834">
        <v>0.97826389999999996</v>
      </c>
      <c r="Y6834">
        <v>-4.388479E-2</v>
      </c>
      <c r="Z6834">
        <v>1.923089E-2</v>
      </c>
      <c r="AA6834">
        <v>0.9988515</v>
      </c>
      <c r="AB6834">
        <v>28</v>
      </c>
      <c r="AC6834">
        <v>1.5395999999999499</v>
      </c>
      <c r="AD6834">
        <v>-1.110510035723</v>
      </c>
      <c r="AE6834">
        <v>-37.263150000000003</v>
      </c>
      <c r="AF6834">
        <v>-1.6479367785566299</v>
      </c>
      <c r="AG6834">
        <v>-1.110510035723</v>
      </c>
      <c r="AH6834">
        <v>37.225446025360299</v>
      </c>
      <c r="AI6834">
        <v>91.707070823640294</v>
      </c>
      <c r="AJ6834">
        <v>92.534777282245997</v>
      </c>
      <c r="AK6834">
        <v>37.278449001434701</v>
      </c>
      <c r="AL6834">
        <v>79.950559578927397</v>
      </c>
      <c r="AM6834">
        <v>96.5328737533208</v>
      </c>
      <c r="AN6834">
        <v>0.99999999035745502</v>
      </c>
    </row>
    <row r="6835" spans="1:40" x14ac:dyDescent="0.25">
      <c r="A6835" t="str">
        <f>"20190304154932017"</f>
        <v>20190304154932017</v>
      </c>
      <c r="B6835" t="str">
        <f>"1551685772013896"</f>
        <v>1551685772013896</v>
      </c>
      <c r="C6835" t="s">
        <v>40</v>
      </c>
      <c r="D6835">
        <v>4.3616210000000004</v>
      </c>
      <c r="E6835">
        <v>0.52578749999999996</v>
      </c>
      <c r="F6835" t="s">
        <v>68</v>
      </c>
      <c r="G6835">
        <v>-299.62920000000003</v>
      </c>
      <c r="H6835" s="1">
        <v>-6.9375439999999996E-6</v>
      </c>
      <c r="I6835">
        <v>-54.515369999999997</v>
      </c>
      <c r="J6835">
        <v>-301.16449999999998</v>
      </c>
      <c r="K6835">
        <v>1.1104959999999999</v>
      </c>
      <c r="L6835">
        <v>-16.6861</v>
      </c>
      <c r="M6835">
        <v>-2.9825089999999999E-3</v>
      </c>
      <c r="N6835">
        <v>-1.0253409999999999E-2</v>
      </c>
      <c r="O6835">
        <v>-0.99994300000000003</v>
      </c>
      <c r="P6835">
        <v>0.10935449999999999</v>
      </c>
      <c r="Q6835">
        <v>0.1646859</v>
      </c>
      <c r="R6835">
        <v>-0.98026559999999996</v>
      </c>
      <c r="S6835">
        <v>0.12323000000000001</v>
      </c>
      <c r="T6835">
        <v>-8.9185239999999999E-2</v>
      </c>
      <c r="U6835">
        <v>-3.061401</v>
      </c>
      <c r="V6835">
        <v>-0.11226270000000001</v>
      </c>
      <c r="W6835">
        <v>0.174735</v>
      </c>
      <c r="X6835">
        <v>0.97819469999999997</v>
      </c>
      <c r="Y6835">
        <v>-4.3184439999999998E-2</v>
      </c>
      <c r="Z6835">
        <v>1.884305E-2</v>
      </c>
      <c r="AA6835">
        <v>0.99888940000000004</v>
      </c>
      <c r="AB6835">
        <v>28</v>
      </c>
      <c r="AC6835">
        <v>1.5352999999999399</v>
      </c>
      <c r="AD6835">
        <v>-1.1105029375440001</v>
      </c>
      <c r="AE6835">
        <v>-37.829270000000001</v>
      </c>
      <c r="AF6835">
        <v>-1.6467085138034501</v>
      </c>
      <c r="AG6835">
        <v>-1.1105029375440001</v>
      </c>
      <c r="AH6835">
        <v>37.792008568541497</v>
      </c>
      <c r="AI6835">
        <v>91.681534454470594</v>
      </c>
      <c r="AJ6835">
        <v>92.494966761568605</v>
      </c>
      <c r="AK6835">
        <v>37.844164376406098</v>
      </c>
      <c r="AL6835">
        <v>79.936763415363998</v>
      </c>
      <c r="AM6835">
        <v>96.546917991929305</v>
      </c>
      <c r="AN6835">
        <v>1.0000000525721799</v>
      </c>
    </row>
    <row r="6836" spans="1:40" x14ac:dyDescent="0.25">
      <c r="A6836" t="str">
        <f>"20190304154932038"</f>
        <v>20190304154932038</v>
      </c>
      <c r="B6836" t="str">
        <f>"1551685772034394"</f>
        <v>1551685772034394</v>
      </c>
      <c r="C6836" t="s">
        <v>40</v>
      </c>
      <c r="D6836">
        <v>4.5665490000000002</v>
      </c>
      <c r="E6836">
        <v>0.52607599999999999</v>
      </c>
      <c r="F6836" t="s">
        <v>68</v>
      </c>
      <c r="G6836">
        <v>-299.62360000000001</v>
      </c>
      <c r="H6836" s="1">
        <v>-6.7835649999999998E-6</v>
      </c>
      <c r="I6836">
        <v>-55.901850000000003</v>
      </c>
      <c r="J6836">
        <v>-301.1653</v>
      </c>
      <c r="K6836">
        <v>1.1104810000000001</v>
      </c>
      <c r="L6836">
        <v>-16.948429999999998</v>
      </c>
      <c r="M6836">
        <v>-3.015209E-3</v>
      </c>
      <c r="N6836">
        <v>-1.019483E-2</v>
      </c>
      <c r="O6836">
        <v>-0.99994349999999999</v>
      </c>
      <c r="P6836">
        <v>0.10900839999999901</v>
      </c>
      <c r="Q6836">
        <v>0.16509380000000001</v>
      </c>
      <c r="R6836">
        <v>-0.98023519999999997</v>
      </c>
      <c r="S6836">
        <v>0.1203003</v>
      </c>
      <c r="T6836">
        <v>-8.6695549999999996E-2</v>
      </c>
      <c r="U6836">
        <v>-3.0615230000000002</v>
      </c>
      <c r="V6836">
        <v>-0.1119478</v>
      </c>
      <c r="W6836">
        <v>0.17508570000000001</v>
      </c>
      <c r="X6836">
        <v>0.97816800000000004</v>
      </c>
      <c r="Y6836">
        <v>-4.2262109999999999E-2</v>
      </c>
      <c r="Z6836">
        <v>1.8089870000000001E-2</v>
      </c>
      <c r="AA6836">
        <v>0.99894280000000002</v>
      </c>
      <c r="AB6836">
        <v>28</v>
      </c>
      <c r="AC6836">
        <v>1.5416999999999901</v>
      </c>
      <c r="AD6836">
        <v>-1.110487783565</v>
      </c>
      <c r="AE6836">
        <v>-38.953420000000001</v>
      </c>
      <c r="AF6836">
        <v>-1.65780658486343</v>
      </c>
      <c r="AG6836">
        <v>-1.110487783565</v>
      </c>
      <c r="AH6836">
        <v>38.917015281209601</v>
      </c>
      <c r="AI6836">
        <v>91.632997764086895</v>
      </c>
      <c r="AJ6836">
        <v>92.439239696791503</v>
      </c>
      <c r="AK6836">
        <v>38.968135497970202</v>
      </c>
      <c r="AL6836">
        <v>79.916354382475404</v>
      </c>
      <c r="AM6836">
        <v>96.528889142626596</v>
      </c>
      <c r="AN6836">
        <v>0.99999997424666398</v>
      </c>
    </row>
    <row r="6837" spans="1:40" x14ac:dyDescent="0.25">
      <c r="A6837" t="str">
        <f>"20190304154932061"</f>
        <v>20190304154932061</v>
      </c>
      <c r="B6837" t="str">
        <f>"1551685772053911"</f>
        <v>1551685772053911</v>
      </c>
      <c r="C6837" t="s">
        <v>40</v>
      </c>
      <c r="D6837">
        <v>4.3834339999999896</v>
      </c>
      <c r="E6837">
        <v>0.52630759999999999</v>
      </c>
      <c r="F6837" t="s">
        <v>68</v>
      </c>
      <c r="G6837">
        <v>-299.6071</v>
      </c>
      <c r="H6837" s="1">
        <v>-6.5943429999999998E-6</v>
      </c>
      <c r="I6837">
        <v>-57.635420000000003</v>
      </c>
      <c r="J6837">
        <v>-301.1662</v>
      </c>
      <c r="K6837">
        <v>1.110468</v>
      </c>
      <c r="L6837">
        <v>-17.241209999999999</v>
      </c>
      <c r="M6837">
        <v>-3.0509220000000002E-3</v>
      </c>
      <c r="N6837">
        <v>-1.012277E-2</v>
      </c>
      <c r="O6837">
        <v>-0.99994419999999995</v>
      </c>
      <c r="P6837">
        <v>0.1088707</v>
      </c>
      <c r="Q6837">
        <v>0.165187</v>
      </c>
      <c r="R6837">
        <v>-0.98023519999999997</v>
      </c>
      <c r="S6837">
        <v>0.11724850000000001</v>
      </c>
      <c r="T6837">
        <v>-8.3559510000000004E-2</v>
      </c>
      <c r="U6837">
        <v>-3.0615230000000002</v>
      </c>
      <c r="V6837">
        <v>-0.1118437</v>
      </c>
      <c r="W6837">
        <v>0.17510870000000001</v>
      </c>
      <c r="X6837">
        <v>0.97817580000000004</v>
      </c>
      <c r="Y6837">
        <v>-4.1304609999999999E-2</v>
      </c>
      <c r="Z6837">
        <v>1.7140470000000001E-2</v>
      </c>
      <c r="AA6837">
        <v>0.99899959999999999</v>
      </c>
      <c r="AB6837">
        <v>28</v>
      </c>
      <c r="AC6837">
        <v>1.5590999999999999</v>
      </c>
      <c r="AD6837">
        <v>-1.1104745943430001</v>
      </c>
      <c r="AE6837">
        <v>-40.394210000000001</v>
      </c>
      <c r="AF6837">
        <v>-1.6810700491953501</v>
      </c>
      <c r="AG6837">
        <v>-1.1104745943430001</v>
      </c>
      <c r="AH6837">
        <v>40.358809188116197</v>
      </c>
      <c r="AI6837">
        <v>91.574733705578097</v>
      </c>
      <c r="AJ6837">
        <v>92.385168821442704</v>
      </c>
      <c r="AK6837">
        <v>40.409066178492097</v>
      </c>
      <c r="AL6837">
        <v>79.915015989454304</v>
      </c>
      <c r="AM6837">
        <v>96.522818725092606</v>
      </c>
      <c r="AN6837">
        <v>0.99999998287550895</v>
      </c>
    </row>
    <row r="6838" spans="1:40" x14ac:dyDescent="0.25">
      <c r="A6838" t="str">
        <f>"20190304154932083"</f>
        <v>20190304154932083</v>
      </c>
      <c r="B6838" t="str">
        <f>"1551685772074408"</f>
        <v>1551685772074408</v>
      </c>
      <c r="C6838" t="s">
        <v>40</v>
      </c>
      <c r="D6838">
        <v>4.352398</v>
      </c>
      <c r="E6838">
        <v>0.52644939999999996</v>
      </c>
      <c r="F6838" t="s">
        <v>68</v>
      </c>
      <c r="G6838">
        <v>-299.62529999999998</v>
      </c>
      <c r="H6838" s="1">
        <v>-6.5263709999999997E-6</v>
      </c>
      <c r="I6838">
        <v>-58.183109999999999</v>
      </c>
      <c r="J6838">
        <v>-301.1671</v>
      </c>
      <c r="K6838">
        <v>1.1104499999999999</v>
      </c>
      <c r="L6838">
        <v>-17.51501</v>
      </c>
      <c r="M6838">
        <v>-3.0836599999999998E-3</v>
      </c>
      <c r="N6838">
        <v>-1.0049260000000001E-2</v>
      </c>
      <c r="O6838">
        <v>-0.99994490000000003</v>
      </c>
      <c r="P6838">
        <v>0.1089127</v>
      </c>
      <c r="Q6838">
        <v>0.16520389999999999</v>
      </c>
      <c r="R6838">
        <v>-0.98022750000000003</v>
      </c>
      <c r="S6838">
        <v>0.1152344</v>
      </c>
      <c r="T6838">
        <v>-8.3043220000000001E-2</v>
      </c>
      <c r="U6838">
        <v>-3.0617070000000002</v>
      </c>
      <c r="V6838">
        <v>-0.11191760000000001</v>
      </c>
      <c r="W6838">
        <v>0.17505379999999901</v>
      </c>
      <c r="X6838">
        <v>0.97817719999999997</v>
      </c>
      <c r="Y6838">
        <v>-4.0679069999999998E-2</v>
      </c>
      <c r="Z6838">
        <v>1.7044690000000001E-2</v>
      </c>
      <c r="AA6838">
        <v>0.99902690000000005</v>
      </c>
      <c r="AB6838">
        <v>28</v>
      </c>
      <c r="AC6838">
        <v>1.54180000000002</v>
      </c>
      <c r="AD6838">
        <v>-1.110456526371</v>
      </c>
      <c r="AE6838">
        <v>-40.668100000000003</v>
      </c>
      <c r="AF6838">
        <v>-1.66596524517946</v>
      </c>
      <c r="AG6838">
        <v>-1.110456526371</v>
      </c>
      <c r="AH6838">
        <v>40.632900323869997</v>
      </c>
      <c r="AI6838">
        <v>91.564133221945596</v>
      </c>
      <c r="AJ6838">
        <v>92.347834982613605</v>
      </c>
      <c r="AK6838">
        <v>40.682196875594897</v>
      </c>
      <c r="AL6838">
        <v>79.918211135492498</v>
      </c>
      <c r="AM6838">
        <v>96.527082194716996</v>
      </c>
      <c r="AN6838">
        <v>1.00000000834202</v>
      </c>
    </row>
    <row r="6839" spans="1:40" x14ac:dyDescent="0.25">
      <c r="A6839" t="str">
        <f>"20190304154932105"</f>
        <v>20190304154932105</v>
      </c>
      <c r="B6839" t="str">
        <f>"1551685772093928"</f>
        <v>1551685772093928</v>
      </c>
      <c r="C6839" t="s">
        <v>40</v>
      </c>
      <c r="D6839">
        <v>4.3792980000000004</v>
      </c>
      <c r="E6839">
        <v>0.52659639999999996</v>
      </c>
      <c r="F6839" t="s">
        <v>68</v>
      </c>
      <c r="G6839">
        <v>-299.64449999999999</v>
      </c>
      <c r="H6839" s="1">
        <v>-6.4885599999999998E-6</v>
      </c>
      <c r="I6839">
        <v>-58.459229999999998</v>
      </c>
      <c r="J6839">
        <v>-301.16800000000001</v>
      </c>
      <c r="K6839">
        <v>1.1104459999999901</v>
      </c>
      <c r="L6839">
        <v>-17.79523</v>
      </c>
      <c r="M6839">
        <v>-3.1171800000000002E-3</v>
      </c>
      <c r="N6839">
        <v>-9.9721949999999997E-3</v>
      </c>
      <c r="O6839">
        <v>-0.99994559999999999</v>
      </c>
      <c r="P6839">
        <v>0.1089546</v>
      </c>
      <c r="Q6839">
        <v>0.164695799999999</v>
      </c>
      <c r="R6839">
        <v>-0.98030839999999997</v>
      </c>
      <c r="S6839">
        <v>0.11386110000000001</v>
      </c>
      <c r="T6839">
        <v>-8.3041309999999993E-2</v>
      </c>
      <c r="U6839">
        <v>-3.0618590000000001</v>
      </c>
      <c r="V6839">
        <v>-0.1119923</v>
      </c>
      <c r="W6839">
        <v>0.1744716</v>
      </c>
      <c r="X6839">
        <v>0.9782727</v>
      </c>
      <c r="Y6839">
        <v>-4.0263340000000002E-2</v>
      </c>
      <c r="Z6839">
        <v>1.7120239999999998E-2</v>
      </c>
      <c r="AA6839">
        <v>0.99904250000000006</v>
      </c>
      <c r="AB6839">
        <v>28</v>
      </c>
      <c r="AC6839">
        <v>1.5235000000000101</v>
      </c>
      <c r="AD6839">
        <v>-1.11045248855999</v>
      </c>
      <c r="AE6839">
        <v>-40.664000000000001</v>
      </c>
      <c r="AF6839">
        <v>-1.64902788437659</v>
      </c>
      <c r="AG6839">
        <v>-1.11045248855999</v>
      </c>
      <c r="AH6839">
        <v>40.6287976428804</v>
      </c>
      <c r="AI6839">
        <v>91.564311685676898</v>
      </c>
      <c r="AJ6839">
        <v>92.324225984686507</v>
      </c>
      <c r="AK6839">
        <v>40.677408909601397</v>
      </c>
      <c r="AL6839">
        <v>79.952090488676305</v>
      </c>
      <c r="AM6839">
        <v>96.530769005922494</v>
      </c>
      <c r="AN6839">
        <v>1.0000000450155599</v>
      </c>
    </row>
    <row r="6840" spans="1:40" x14ac:dyDescent="0.25">
      <c r="A6840" t="str">
        <f>"20190304154932128"</f>
        <v>20190304154932128</v>
      </c>
      <c r="B6840" t="str">
        <f>"1551685772124183"</f>
        <v>1551685772124183</v>
      </c>
      <c r="C6840" t="s">
        <v>40</v>
      </c>
      <c r="D6840">
        <v>4.3694750000000004</v>
      </c>
      <c r="E6840">
        <v>0.52667949999999997</v>
      </c>
      <c r="F6840" t="s">
        <v>68</v>
      </c>
      <c r="G6840">
        <v>-299.68880000000001</v>
      </c>
      <c r="H6840" s="1">
        <v>-6.5193530000000004E-6</v>
      </c>
      <c r="I6840">
        <v>-58.047130000000003</v>
      </c>
      <c r="J6840">
        <v>-301.16890000000001</v>
      </c>
      <c r="K6840">
        <v>1.110428</v>
      </c>
      <c r="L6840">
        <v>-18.07855</v>
      </c>
      <c r="M6840">
        <v>-3.1508880000000001E-3</v>
      </c>
      <c r="N6840">
        <v>-9.8983349999999994E-3</v>
      </c>
      <c r="O6840">
        <v>-0.99994640000000001</v>
      </c>
      <c r="P6840">
        <v>0.1091082</v>
      </c>
      <c r="Q6840">
        <v>0.1644283</v>
      </c>
      <c r="R6840">
        <v>-0.9803364</v>
      </c>
      <c r="S6840">
        <v>0.1125183</v>
      </c>
      <c r="T6840">
        <v>-8.4471820000000003E-2</v>
      </c>
      <c r="U6840">
        <v>-3.0619510000000001</v>
      </c>
      <c r="V6840">
        <v>-0.1121788</v>
      </c>
      <c r="W6840">
        <v>0.1741316</v>
      </c>
      <c r="X6840">
        <v>0.97831179999999995</v>
      </c>
      <c r="Y6840">
        <v>-3.9858089999999999E-2</v>
      </c>
      <c r="Z6840">
        <v>1.7660149999999999E-2</v>
      </c>
      <c r="AA6840">
        <v>0.99904919999999997</v>
      </c>
      <c r="AB6840">
        <v>28</v>
      </c>
      <c r="AC6840">
        <v>1.48009999999999</v>
      </c>
      <c r="AD6840">
        <v>-1.1104345193530001</v>
      </c>
      <c r="AE6840">
        <v>-39.968579999999903</v>
      </c>
      <c r="AF6840">
        <v>-1.60479828480908</v>
      </c>
      <c r="AG6840">
        <v>-1.1104345193530001</v>
      </c>
      <c r="AH6840">
        <v>39.932936587927998</v>
      </c>
      <c r="AI6840">
        <v>91.591557013576704</v>
      </c>
      <c r="AJ6840">
        <v>92.301326298984606</v>
      </c>
      <c r="AK6840">
        <v>39.9805936285615</v>
      </c>
      <c r="AL6840">
        <v>79.971872803264404</v>
      </c>
      <c r="AM6840">
        <v>96.541291284171805</v>
      </c>
      <c r="AN6840">
        <v>0.99999993765361705</v>
      </c>
    </row>
    <row r="6841" spans="1:40" x14ac:dyDescent="0.25">
      <c r="A6841" t="str">
        <f>"20190304154932150"</f>
        <v>20190304154932150</v>
      </c>
      <c r="B6841" t="str">
        <f>"1551685772143706"</f>
        <v>1551685772143706</v>
      </c>
      <c r="C6841" t="s">
        <v>40</v>
      </c>
      <c r="D6841">
        <v>4.3598970000000001</v>
      </c>
      <c r="E6841">
        <v>0.52670479999999997</v>
      </c>
      <c r="F6841" t="s">
        <v>68</v>
      </c>
      <c r="G6841">
        <v>-299.71199999999999</v>
      </c>
      <c r="H6841" s="1">
        <v>-6.515586E-6</v>
      </c>
      <c r="I6841">
        <v>-58.008450000000003</v>
      </c>
      <c r="J6841">
        <v>-301.16980000000001</v>
      </c>
      <c r="K6841">
        <v>1.11042</v>
      </c>
      <c r="L6841">
        <v>-18.365600000000001</v>
      </c>
      <c r="M6841">
        <v>-3.184845E-3</v>
      </c>
      <c r="N6841">
        <v>-9.8257989999999996E-3</v>
      </c>
      <c r="O6841">
        <v>-0.99994680000000002</v>
      </c>
      <c r="P6841">
        <v>0.1091859</v>
      </c>
      <c r="Q6841">
        <v>0.163649499999999</v>
      </c>
      <c r="R6841">
        <v>-0.9804581</v>
      </c>
      <c r="S6841">
        <v>0.1117249</v>
      </c>
      <c r="T6841">
        <v>-8.5153339999999994E-2</v>
      </c>
      <c r="U6841">
        <v>-3.0620120000000002</v>
      </c>
      <c r="V6841">
        <v>-0.1122901</v>
      </c>
      <c r="W6841">
        <v>0.17328360000000001</v>
      </c>
      <c r="X6841">
        <v>0.97844960000000003</v>
      </c>
      <c r="Y6841">
        <v>-3.9632630000000002E-2</v>
      </c>
      <c r="Z6841">
        <v>1.7954580000000001E-2</v>
      </c>
      <c r="AA6841">
        <v>0.99905299999999997</v>
      </c>
      <c r="AB6841">
        <v>28</v>
      </c>
      <c r="AC6841">
        <v>1.45780000000002</v>
      </c>
      <c r="AD6841">
        <v>-1.110426515586</v>
      </c>
      <c r="AE6841">
        <v>-39.642850000000003</v>
      </c>
      <c r="AF6841">
        <v>-1.58281481125527</v>
      </c>
      <c r="AG6841">
        <v>-1.110426515586</v>
      </c>
      <c r="AH6841">
        <v>39.606972057391602</v>
      </c>
      <c r="AI6841">
        <v>91.604651506733404</v>
      </c>
      <c r="AJ6841">
        <v>92.288495485301098</v>
      </c>
      <c r="AK6841">
        <v>39.654137051866897</v>
      </c>
      <c r="AL6841">
        <v>80.021209769955803</v>
      </c>
      <c r="AM6841">
        <v>96.546810857644701</v>
      </c>
      <c r="AN6841">
        <v>0.99999994616356302</v>
      </c>
    </row>
    <row r="6842" spans="1:40" x14ac:dyDescent="0.25">
      <c r="A6842" t="str">
        <f>"20190304154932173"</f>
        <v>20190304154932173</v>
      </c>
      <c r="B6842" t="str">
        <f>"1551685772164200"</f>
        <v>1551685772164200</v>
      </c>
      <c r="C6842" t="s">
        <v>40</v>
      </c>
      <c r="D6842">
        <v>4.3462100000000001</v>
      </c>
      <c r="E6842">
        <v>0.52664630000000001</v>
      </c>
      <c r="F6842" t="s">
        <v>68</v>
      </c>
      <c r="G6842">
        <v>-299.75630000000001</v>
      </c>
      <c r="H6842" s="1">
        <v>-6.5896719999999998E-6</v>
      </c>
      <c r="I6842">
        <v>-57.211390000000002</v>
      </c>
      <c r="J6842">
        <v>-301.17070000000001</v>
      </c>
      <c r="K6842">
        <v>1.1104130000000001</v>
      </c>
      <c r="L6842">
        <v>-18.650120000000001</v>
      </c>
      <c r="M6842">
        <v>-3.2184179999999998E-3</v>
      </c>
      <c r="N6842">
        <v>-9.7562020000000003E-3</v>
      </c>
      <c r="O6842">
        <v>-0.99994729999999998</v>
      </c>
      <c r="P6842">
        <v>0.109284199999999</v>
      </c>
      <c r="Q6842">
        <v>0.16285089999999999</v>
      </c>
      <c r="R6842">
        <v>-0.98057969999999905</v>
      </c>
      <c r="S6842">
        <v>0.111419699999999</v>
      </c>
      <c r="T6842">
        <v>-8.7529179999999998E-2</v>
      </c>
      <c r="U6842">
        <v>-3.0620120000000002</v>
      </c>
      <c r="V6842">
        <v>-0.1124222</v>
      </c>
      <c r="W6842">
        <v>0.17241799999999999</v>
      </c>
      <c r="X6842">
        <v>0.9785874</v>
      </c>
      <c r="Y6842">
        <v>-3.9566110000000002E-2</v>
      </c>
      <c r="Z6842">
        <v>1.8798840000000001E-2</v>
      </c>
      <c r="AA6842">
        <v>0.99904009999999999</v>
      </c>
      <c r="AB6842">
        <v>28</v>
      </c>
      <c r="AC6842">
        <v>1.4144000000000001</v>
      </c>
      <c r="AD6842">
        <v>-1.1104195896719999</v>
      </c>
      <c r="AE6842">
        <v>-38.56127</v>
      </c>
      <c r="AF6842">
        <v>-1.5372318612685001</v>
      </c>
      <c r="AG6842">
        <v>-1.1104195896719999</v>
      </c>
      <c r="AH6842">
        <v>38.524615327393498</v>
      </c>
      <c r="AI6842">
        <v>91.649703627157706</v>
      </c>
      <c r="AJ6842">
        <v>92.285037652193793</v>
      </c>
      <c r="AK6842">
        <v>38.571260020695</v>
      </c>
      <c r="AL6842">
        <v>80.071563542025999</v>
      </c>
      <c r="AM6842">
        <v>96.5535307232185</v>
      </c>
      <c r="AN6842">
        <v>1.00000000860779</v>
      </c>
    </row>
    <row r="6843" spans="1:40" x14ac:dyDescent="0.25">
      <c r="A6843" t="str">
        <f>"20190304154932197"</f>
        <v>20190304154932197</v>
      </c>
      <c r="B6843" t="str">
        <f>"1551685772194455"</f>
        <v>1551685772194455</v>
      </c>
      <c r="C6843" t="s">
        <v>40</v>
      </c>
      <c r="D6843">
        <v>4.3766759999999998</v>
      </c>
      <c r="E6843">
        <v>0.52648879999999998</v>
      </c>
      <c r="F6843" t="s">
        <v>68</v>
      </c>
      <c r="G6843">
        <v>-299.79640000000001</v>
      </c>
      <c r="H6843" s="1">
        <v>-6.687925E-6</v>
      </c>
      <c r="I6843">
        <v>-56.2127699999999</v>
      </c>
      <c r="J6843">
        <v>-301.17180000000002</v>
      </c>
      <c r="K6843">
        <v>1.110398</v>
      </c>
      <c r="L6843">
        <v>-18.964359999999999</v>
      </c>
      <c r="M6843">
        <v>-3.2556579999999998E-3</v>
      </c>
      <c r="N6843">
        <v>-9.6864810000000003E-3</v>
      </c>
      <c r="O6843">
        <v>-0.99994780000000005</v>
      </c>
      <c r="P6843">
        <v>0.10988879999999999</v>
      </c>
      <c r="Q6843">
        <v>0.16253029999999999</v>
      </c>
      <c r="R6843">
        <v>-0.98056540000000003</v>
      </c>
      <c r="S6843">
        <v>0.11203</v>
      </c>
      <c r="T6843">
        <v>-9.0516810000000003E-2</v>
      </c>
      <c r="U6843">
        <v>-3.0619510000000001</v>
      </c>
      <c r="V6843">
        <v>-0.1130632</v>
      </c>
      <c r="W6843">
        <v>0.17202899999999999</v>
      </c>
      <c r="X6843">
        <v>0.97858199999999995</v>
      </c>
      <c r="Y6843">
        <v>-3.9802009999999999E-2</v>
      </c>
      <c r="Z6843">
        <v>1.9842869999999999E-2</v>
      </c>
      <c r="AA6843">
        <v>0.99901059999999997</v>
      </c>
      <c r="AB6843">
        <v>28</v>
      </c>
      <c r="AC6843">
        <v>1.3754000000000099</v>
      </c>
      <c r="AD6843">
        <v>-1.110404687925</v>
      </c>
      <c r="AE6843">
        <v>-37.2484099999999</v>
      </c>
      <c r="AF6843">
        <v>-1.49533940792608</v>
      </c>
      <c r="AG6843">
        <v>-1.110404687925</v>
      </c>
      <c r="AH6843">
        <v>37.210711018219897</v>
      </c>
      <c r="AI6843">
        <v>91.707878260113603</v>
      </c>
      <c r="AJ6843">
        <v>92.301234235684504</v>
      </c>
      <c r="AK6843">
        <v>37.257295299005897</v>
      </c>
      <c r="AL6843">
        <v>80.094189569924794</v>
      </c>
      <c r="AM6843">
        <v>96.590605361288198</v>
      </c>
      <c r="AN6843">
        <v>0.99999999737961998</v>
      </c>
    </row>
    <row r="6844" spans="1:40" x14ac:dyDescent="0.25">
      <c r="A6844" t="str">
        <f>"20190304154932221"</f>
        <v>20190304154932221</v>
      </c>
      <c r="B6844" t="str">
        <f>"1551685772213975"</f>
        <v>1551685772213975</v>
      </c>
      <c r="C6844" t="s">
        <v>40</v>
      </c>
      <c r="D6844">
        <v>4.3488239999999996</v>
      </c>
      <c r="E6844">
        <v>0.52634829999999999</v>
      </c>
      <c r="F6844" t="s">
        <v>68</v>
      </c>
      <c r="G6844">
        <v>-299.79700000000003</v>
      </c>
      <c r="H6844" s="1">
        <v>-6.7366150000000002E-6</v>
      </c>
      <c r="I6844">
        <v>-55.77805</v>
      </c>
      <c r="J6844">
        <v>-301.1728</v>
      </c>
      <c r="K6844">
        <v>1.1103909999999999</v>
      </c>
      <c r="L6844">
        <v>-19.26135</v>
      </c>
      <c r="M6844">
        <v>-3.2903839999999999E-3</v>
      </c>
      <c r="N6844">
        <v>-9.6280710000000002E-3</v>
      </c>
      <c r="O6844">
        <v>-0.99994850000000002</v>
      </c>
      <c r="P6844">
        <v>0.1106303</v>
      </c>
      <c r="Q6844">
        <v>0.16234799999999999</v>
      </c>
      <c r="R6844">
        <v>-0.98051239999999995</v>
      </c>
      <c r="S6844">
        <v>0.1143494</v>
      </c>
      <c r="T6844">
        <v>-9.2357040000000001E-2</v>
      </c>
      <c r="U6844">
        <v>-3.0619510000000001</v>
      </c>
      <c r="V6844">
        <v>-0.11383840000000001</v>
      </c>
      <c r="W6844">
        <v>0.171789</v>
      </c>
      <c r="X6844">
        <v>0.97853429999999997</v>
      </c>
      <c r="Y6844">
        <v>-4.059169E-2</v>
      </c>
      <c r="Z6844">
        <v>2.0500259999999999E-2</v>
      </c>
      <c r="AA6844">
        <v>0.99896549999999995</v>
      </c>
      <c r="AB6844">
        <v>28</v>
      </c>
      <c r="AC6844">
        <v>1.3757999999999599</v>
      </c>
      <c r="AD6844">
        <v>-1.110397736615</v>
      </c>
      <c r="AE6844">
        <v>-36.5167</v>
      </c>
      <c r="AF6844">
        <v>-1.4945720680388701</v>
      </c>
      <c r="AG6844">
        <v>-1.110397736615</v>
      </c>
      <c r="AH6844">
        <v>36.478293597101199</v>
      </c>
      <c r="AI6844">
        <v>91.742082082683893</v>
      </c>
      <c r="AJ6844">
        <v>92.346184406630201</v>
      </c>
      <c r="AK6844">
        <v>36.525780382578503</v>
      </c>
      <c r="AL6844">
        <v>80.108148480628898</v>
      </c>
      <c r="AM6844">
        <v>96.635711778594796</v>
      </c>
      <c r="AN6844">
        <v>1.0000000090560199</v>
      </c>
    </row>
    <row r="6845" spans="1:40" x14ac:dyDescent="0.25">
      <c r="A6845" t="str">
        <f>"20190304154932241"</f>
        <v>20190304154932241</v>
      </c>
      <c r="B6845" t="str">
        <f>"1551685772234472"</f>
        <v>1551685772234472</v>
      </c>
      <c r="C6845" t="s">
        <v>40</v>
      </c>
      <c r="D6845">
        <v>4.3675509999999997</v>
      </c>
      <c r="E6845">
        <v>0.52624110000000002</v>
      </c>
      <c r="F6845" t="s">
        <v>68</v>
      </c>
      <c r="G6845">
        <v>-299.78710000000001</v>
      </c>
      <c r="H6845" s="1">
        <v>-6.7876780000000001E-6</v>
      </c>
      <c r="I6845">
        <v>-55.354869999999998</v>
      </c>
      <c r="J6845">
        <v>-301.1737</v>
      </c>
      <c r="K6845">
        <v>1.1103889999999901</v>
      </c>
      <c r="L6845">
        <v>-19.51501</v>
      </c>
      <c r="M6845">
        <v>-3.3202959999999999E-3</v>
      </c>
      <c r="N6845">
        <v>-9.5836610000000003E-3</v>
      </c>
      <c r="O6845">
        <v>-0.99994870000000002</v>
      </c>
      <c r="P6845">
        <v>0.11125409999999999</v>
      </c>
      <c r="Q6845">
        <v>0.1615878</v>
      </c>
      <c r="R6845">
        <v>-0.98056719999999997</v>
      </c>
      <c r="S6845">
        <v>0.1175537</v>
      </c>
      <c r="T6845">
        <v>-9.41993E-2</v>
      </c>
      <c r="U6845">
        <v>-3.0619510000000001</v>
      </c>
      <c r="V6845">
        <v>-0.1144915</v>
      </c>
      <c r="W6845">
        <v>0.1709862</v>
      </c>
      <c r="X6845">
        <v>0.97859870000000004</v>
      </c>
      <c r="Y6845">
        <v>-4.1664670000000001E-2</v>
      </c>
      <c r="Z6845">
        <v>2.114386E-2</v>
      </c>
      <c r="AA6845">
        <v>0.99890789999999996</v>
      </c>
      <c r="AB6845">
        <v>29</v>
      </c>
      <c r="AC6845">
        <v>1.3865999999999801</v>
      </c>
      <c r="AD6845">
        <v>-1.110395787678</v>
      </c>
      <c r="AE6845">
        <v>-35.839859999999902</v>
      </c>
      <c r="AF6845">
        <v>-1.50415507820604</v>
      </c>
      <c r="AG6845">
        <v>-1.110395787678</v>
      </c>
      <c r="AH6845">
        <v>35.800744755136698</v>
      </c>
      <c r="AI6845">
        <v>91.774951295716093</v>
      </c>
      <c r="AJ6845">
        <v>92.405846073069796</v>
      </c>
      <c r="AK6845">
        <v>35.849529792272499</v>
      </c>
      <c r="AL6845">
        <v>80.154836250910606</v>
      </c>
      <c r="AM6845">
        <v>96.673003774854706</v>
      </c>
      <c r="AN6845">
        <v>0.99999999990219002</v>
      </c>
    </row>
    <row r="6846" spans="1:40" x14ac:dyDescent="0.25">
      <c r="A6846" t="str">
        <f>"20190304154932261"</f>
        <v>20190304154932261</v>
      </c>
      <c r="B6846" t="str">
        <f>"1551685772253991"</f>
        <v>1551685772253991</v>
      </c>
      <c r="C6846" t="s">
        <v>40</v>
      </c>
      <c r="D6846">
        <v>4.3834439999999999</v>
      </c>
      <c r="E6846">
        <v>0.52612689999999995</v>
      </c>
      <c r="F6846" t="s">
        <v>68</v>
      </c>
      <c r="G6846">
        <v>-299.79360000000003</v>
      </c>
      <c r="H6846" s="1">
        <v>-6.8856970000000001E-6</v>
      </c>
      <c r="I6846">
        <v>-54.463259999999998</v>
      </c>
      <c r="J6846">
        <v>-301.1746</v>
      </c>
      <c r="K6846">
        <v>1.110379</v>
      </c>
      <c r="L6846">
        <v>-19.78952</v>
      </c>
      <c r="M6846">
        <v>-3.3524029999999999E-3</v>
      </c>
      <c r="N6846">
        <v>-9.5412009999999992E-3</v>
      </c>
      <c r="O6846">
        <v>-0.99994899999999998</v>
      </c>
      <c r="P6846">
        <v>0.1120469</v>
      </c>
      <c r="Q6846">
        <v>0.16062129999999999</v>
      </c>
      <c r="R6846">
        <v>-0.9806359</v>
      </c>
      <c r="S6846">
        <v>0.12091059999999999</v>
      </c>
      <c r="T6846">
        <v>-9.7280259999999993E-2</v>
      </c>
      <c r="U6846">
        <v>-3.0617679999999998</v>
      </c>
      <c r="V6846">
        <v>-0.1153163</v>
      </c>
      <c r="W6846">
        <v>0.16997880000000001</v>
      </c>
      <c r="X6846">
        <v>0.97867729999999997</v>
      </c>
      <c r="Y6846">
        <v>-4.2791299999999997E-2</v>
      </c>
      <c r="Z6846">
        <v>2.2190930000000001E-2</v>
      </c>
      <c r="AA6846">
        <v>0.99883750000000004</v>
      </c>
      <c r="AB6846">
        <v>29</v>
      </c>
      <c r="AC6846">
        <v>1.38099999999997</v>
      </c>
      <c r="AD6846">
        <v>-1.1103858856969999</v>
      </c>
      <c r="AE6846">
        <v>-34.673739999999903</v>
      </c>
      <c r="AF6846">
        <v>-1.49570640849035</v>
      </c>
      <c r="AG6846">
        <v>-1.1103858856969999</v>
      </c>
      <c r="AH6846">
        <v>34.633454020809303</v>
      </c>
      <c r="AI6846">
        <v>91.8346265459042</v>
      </c>
      <c r="AJ6846">
        <v>92.472882028324506</v>
      </c>
      <c r="AK6846">
        <v>34.683515275806002</v>
      </c>
      <c r="AL6846">
        <v>80.2134130544176</v>
      </c>
      <c r="AM6846">
        <v>96.720103287815704</v>
      </c>
      <c r="AN6846">
        <v>0.99999994951520799</v>
      </c>
    </row>
    <row r="6847" spans="1:40" x14ac:dyDescent="0.25">
      <c r="A6847" t="str">
        <f>"20190304154932284"</f>
        <v>20190304154932284</v>
      </c>
      <c r="B6847" t="str">
        <f>"1551685772274488"</f>
        <v>1551685772274488</v>
      </c>
      <c r="C6847" t="s">
        <v>40</v>
      </c>
      <c r="D6847">
        <v>4.3914150000000003</v>
      </c>
      <c r="E6847">
        <v>0.52603929999999999</v>
      </c>
      <c r="F6847" t="s">
        <v>68</v>
      </c>
      <c r="G6847">
        <v>-299.81049999999999</v>
      </c>
      <c r="H6847" s="1">
        <v>-6.9808269999999998E-6</v>
      </c>
      <c r="I6847">
        <v>-53.564860000000003</v>
      </c>
      <c r="J6847">
        <v>-301.17559999999997</v>
      </c>
      <c r="K6847">
        <v>1.1103749999999999</v>
      </c>
      <c r="L6847">
        <v>-20.07358</v>
      </c>
      <c r="M6847">
        <v>-3.385309E-3</v>
      </c>
      <c r="N6847">
        <v>-9.502946E-3</v>
      </c>
      <c r="O6847">
        <v>-0.99994919999999998</v>
      </c>
      <c r="P6847">
        <v>0.1126239</v>
      </c>
      <c r="Q6847">
        <v>0.16009189999999901</v>
      </c>
      <c r="R6847">
        <v>-0.98065619999999998</v>
      </c>
      <c r="S6847">
        <v>0.12365719999999999</v>
      </c>
      <c r="T6847">
        <v>-0.10065259999999999</v>
      </c>
      <c r="U6847">
        <v>-3.0616150000000002</v>
      </c>
      <c r="V6847">
        <v>-0.1159256</v>
      </c>
      <c r="W6847">
        <v>0.16941249999999999</v>
      </c>
      <c r="X6847">
        <v>0.97870360000000001</v>
      </c>
      <c r="Y6847">
        <v>-4.3719330000000001E-2</v>
      </c>
      <c r="Z6847">
        <v>2.3328580000000002E-2</v>
      </c>
      <c r="AA6847">
        <v>0.99877139999999998</v>
      </c>
      <c r="AB6847">
        <v>29</v>
      </c>
      <c r="AC6847">
        <v>1.36509999999998</v>
      </c>
      <c r="AD6847">
        <v>-1.1103819808269999</v>
      </c>
      <c r="AE6847">
        <v>-33.491280000000003</v>
      </c>
      <c r="AF6847">
        <v>-1.4768549351949301</v>
      </c>
      <c r="AG6847">
        <v>-1.1103819808269999</v>
      </c>
      <c r="AH6847">
        <v>33.4497591979422</v>
      </c>
      <c r="AI6847">
        <v>91.899415694330401</v>
      </c>
      <c r="AJ6847">
        <v>92.528049167682795</v>
      </c>
      <c r="AK6847">
        <v>33.500752813082698</v>
      </c>
      <c r="AL6847">
        <v>80.246338045036495</v>
      </c>
      <c r="AM6847">
        <v>96.755103344951294</v>
      </c>
      <c r="AN6847">
        <v>1.00000003827228</v>
      </c>
    </row>
    <row r="6848" spans="1:40" x14ac:dyDescent="0.25">
      <c r="A6848" t="str">
        <f>"20190304154932306"</f>
        <v>20190304154932306</v>
      </c>
      <c r="B6848" t="str">
        <f>"1551685772294008"</f>
        <v>1551685772294008</v>
      </c>
      <c r="C6848" t="s">
        <v>40</v>
      </c>
      <c r="D6848">
        <v>4.3696440000000001</v>
      </c>
      <c r="E6848">
        <v>0.52595669999999894</v>
      </c>
      <c r="F6848" t="s">
        <v>68</v>
      </c>
      <c r="G6848">
        <v>-299.81569999999999</v>
      </c>
      <c r="H6848" s="1">
        <v>-7.0125850000000002E-6</v>
      </c>
      <c r="I6848">
        <v>-53.266080000000002</v>
      </c>
      <c r="J6848">
        <v>-301.17660000000001</v>
      </c>
      <c r="K6848">
        <v>1.110366</v>
      </c>
      <c r="L6848">
        <v>-20.359100000000002</v>
      </c>
      <c r="M6848">
        <v>-3.418768E-3</v>
      </c>
      <c r="N6848">
        <v>-9.4697199999999992E-3</v>
      </c>
      <c r="O6848">
        <v>-0.99994950000000005</v>
      </c>
      <c r="P6848">
        <v>0.1135284</v>
      </c>
      <c r="Q6848">
        <v>0.15987399999999999</v>
      </c>
      <c r="R6848">
        <v>-0.9805876</v>
      </c>
      <c r="S6848">
        <v>0.12542719999999999</v>
      </c>
      <c r="T6848">
        <v>-0.1024154</v>
      </c>
      <c r="U6848">
        <v>-3.061493</v>
      </c>
      <c r="V6848">
        <v>-0.1168626</v>
      </c>
      <c r="W6848">
        <v>0.16916110000000001</v>
      </c>
      <c r="X6848">
        <v>0.97863560000000005</v>
      </c>
      <c r="Y6848">
        <v>-4.4330050000000003E-2</v>
      </c>
      <c r="Z6848">
        <v>2.393677E-2</v>
      </c>
      <c r="AA6848">
        <v>0.99873009999999995</v>
      </c>
      <c r="AB6848">
        <v>29</v>
      </c>
      <c r="AC6848">
        <v>1.36090000000001</v>
      </c>
      <c r="AD6848">
        <v>-1.110373012585</v>
      </c>
      <c r="AE6848">
        <v>-32.906979999999997</v>
      </c>
      <c r="AF6848">
        <v>-1.4717255911304199</v>
      </c>
      <c r="AG6848">
        <v>-1.110373012585</v>
      </c>
      <c r="AH6848">
        <v>32.864779729256398</v>
      </c>
      <c r="AI6848">
        <v>91.933129485220903</v>
      </c>
      <c r="AJ6848">
        <v>92.564063017354897</v>
      </c>
      <c r="AK6848">
        <v>32.916449551785099</v>
      </c>
      <c r="AL6848">
        <v>80.260952683863906</v>
      </c>
      <c r="AM6848">
        <v>96.809661359995502</v>
      </c>
      <c r="AN6848">
        <v>0.99999999130966499</v>
      </c>
    </row>
    <row r="6849" spans="1:40" x14ac:dyDescent="0.25">
      <c r="A6849" t="str">
        <f>"20190304154932329"</f>
        <v>20190304154932329</v>
      </c>
      <c r="B6849" t="str">
        <f>"1551685772324263"</f>
        <v>1551685772324263</v>
      </c>
      <c r="C6849" t="s">
        <v>40</v>
      </c>
      <c r="D6849">
        <v>4.3858699999999997</v>
      </c>
      <c r="E6849">
        <v>0.52577879999999999</v>
      </c>
      <c r="F6849" t="s">
        <v>68</v>
      </c>
      <c r="G6849">
        <v>-299.79570000000001</v>
      </c>
      <c r="H6849" s="1">
        <v>-7.022496E-6</v>
      </c>
      <c r="I6849">
        <v>-53.240549999999999</v>
      </c>
      <c r="J6849">
        <v>-301.17759999999998</v>
      </c>
      <c r="K6849">
        <v>1.110363</v>
      </c>
      <c r="L6849">
        <v>-20.655360000000002</v>
      </c>
      <c r="M6849">
        <v>-3.4535220000000001E-3</v>
      </c>
      <c r="N6849">
        <v>-9.4401810000000006E-3</v>
      </c>
      <c r="O6849">
        <v>-0.99994950000000005</v>
      </c>
      <c r="P6849">
        <v>0.1146571</v>
      </c>
      <c r="Q6849">
        <v>0.15990839999999901</v>
      </c>
      <c r="R6849">
        <v>-0.9804505</v>
      </c>
      <c r="S6849">
        <v>0.12857060000000001</v>
      </c>
      <c r="T6849">
        <v>-0.103379399999999</v>
      </c>
      <c r="U6849">
        <v>-3.0613709999999998</v>
      </c>
      <c r="V6849">
        <v>-0.1180249</v>
      </c>
      <c r="W6849">
        <v>0.16916539999999999</v>
      </c>
      <c r="X6849">
        <v>0.97849540000000002</v>
      </c>
      <c r="Y6849">
        <v>-4.5389480000000003E-2</v>
      </c>
      <c r="Z6849">
        <v>2.428021E-2</v>
      </c>
      <c r="AA6849">
        <v>0.99867430000000001</v>
      </c>
      <c r="AB6849">
        <v>29</v>
      </c>
      <c r="AC6849">
        <v>1.3818999999999699</v>
      </c>
      <c r="AD6849">
        <v>-1.110370022496</v>
      </c>
      <c r="AE6849">
        <v>-32.585189999999997</v>
      </c>
      <c r="AF6849">
        <v>-1.4927002773948801</v>
      </c>
      <c r="AG6849">
        <v>-1.110370022496</v>
      </c>
      <c r="AH6849">
        <v>32.542503564013501</v>
      </c>
      <c r="AI6849">
        <v>91.952157732280199</v>
      </c>
      <c r="AJ6849">
        <v>92.626273664373699</v>
      </c>
      <c r="AK6849">
        <v>32.595637958457402</v>
      </c>
      <c r="AL6849">
        <v>80.260703077084699</v>
      </c>
      <c r="AM6849">
        <v>96.877719815557995</v>
      </c>
      <c r="AN6849">
        <v>1.0000000286991599</v>
      </c>
    </row>
    <row r="6850" spans="1:40" x14ac:dyDescent="0.25">
      <c r="A6850" t="str">
        <f>"20190304154932351"</f>
        <v>20190304154932351</v>
      </c>
      <c r="B6850" t="str">
        <f>"1551685772344291"</f>
        <v>1551685772344291</v>
      </c>
      <c r="C6850" t="s">
        <v>40</v>
      </c>
      <c r="D6850">
        <v>4.3707560000000001</v>
      </c>
      <c r="E6850">
        <v>0.52569160000000004</v>
      </c>
      <c r="F6850" t="s">
        <v>68</v>
      </c>
      <c r="G6850">
        <v>-299.75200000000001</v>
      </c>
      <c r="H6850" s="1">
        <v>-7.0240129999999997E-6</v>
      </c>
      <c r="I6850">
        <v>-53.363280000000003</v>
      </c>
      <c r="J6850">
        <v>-301.17860000000002</v>
      </c>
      <c r="K6850">
        <v>1.110357</v>
      </c>
      <c r="L6850">
        <v>-20.939240000000002</v>
      </c>
      <c r="M6850">
        <v>-3.4854629999999998E-3</v>
      </c>
      <c r="N6850">
        <v>-9.4162299999999994E-3</v>
      </c>
      <c r="O6850">
        <v>-0.99994970000000005</v>
      </c>
      <c r="P6850">
        <v>0.11576259999999999</v>
      </c>
      <c r="Q6850">
        <v>0.159617799999999</v>
      </c>
      <c r="R6850">
        <v>-0.98036809999999996</v>
      </c>
      <c r="S6850">
        <v>0.13342290000000001</v>
      </c>
      <c r="T6850">
        <v>-0.10392029999999999</v>
      </c>
      <c r="U6850">
        <v>-3.0611570000000001</v>
      </c>
      <c r="V6850">
        <v>-0.1191618</v>
      </c>
      <c r="W6850">
        <v>0.1688509</v>
      </c>
      <c r="X6850">
        <v>0.9784119</v>
      </c>
      <c r="Y6850">
        <v>-4.7003820000000002E-2</v>
      </c>
      <c r="Z6850">
        <v>2.4480350000000001E-2</v>
      </c>
      <c r="AA6850">
        <v>0.99859469999999995</v>
      </c>
      <c r="AB6850">
        <v>29</v>
      </c>
      <c r="AC6850">
        <v>1.4266000000000001</v>
      </c>
      <c r="AD6850">
        <v>-1.1103640240129999</v>
      </c>
      <c r="AE6850">
        <v>-32.424039999999998</v>
      </c>
      <c r="AF6850">
        <v>-1.53780917949222</v>
      </c>
      <c r="AG6850">
        <v>-1.1103640240129999</v>
      </c>
      <c r="AH6850">
        <v>32.380969817791303</v>
      </c>
      <c r="AI6850">
        <v>91.961729877004998</v>
      </c>
      <c r="AJ6850">
        <v>92.718998978315398</v>
      </c>
      <c r="AK6850">
        <v>32.436475944206201</v>
      </c>
      <c r="AL6850">
        <v>80.278985352727304</v>
      </c>
      <c r="AM6850">
        <v>96.943914009933295</v>
      </c>
      <c r="AN6850">
        <v>1.0000000035358301</v>
      </c>
    </row>
    <row r="6851" spans="1:40" x14ac:dyDescent="0.25">
      <c r="A6851" t="str">
        <f>"20190304154932373"</f>
        <v>20190304154932373</v>
      </c>
      <c r="B6851" t="str">
        <f>"1551685772363811"</f>
        <v>1551685772363811</v>
      </c>
      <c r="C6851" t="s">
        <v>40</v>
      </c>
      <c r="D6851">
        <v>4.3628030000000004</v>
      </c>
      <c r="E6851">
        <v>0.52559809999999996</v>
      </c>
      <c r="F6851" t="s">
        <v>68</v>
      </c>
      <c r="G6851">
        <v>-299.72949999999997</v>
      </c>
      <c r="H6851" s="1">
        <v>-7.0401489999999996E-6</v>
      </c>
      <c r="I6851">
        <v>-53.290149999999997</v>
      </c>
      <c r="J6851">
        <v>-301.17970000000003</v>
      </c>
      <c r="K6851">
        <v>1.1103609999999999</v>
      </c>
      <c r="L6851">
        <v>-21.226649999999999</v>
      </c>
      <c r="M6851">
        <v>-3.513165E-3</v>
      </c>
      <c r="N6851">
        <v>-9.3959999999999998E-3</v>
      </c>
      <c r="O6851">
        <v>-0.99994970000000005</v>
      </c>
      <c r="P6851">
        <v>0.1165418</v>
      </c>
      <c r="Q6851">
        <v>0.15909509999999999</v>
      </c>
      <c r="R6851">
        <v>-0.98036089999999998</v>
      </c>
      <c r="S6851">
        <v>0.1371155</v>
      </c>
      <c r="T6851">
        <v>-0.1050613</v>
      </c>
      <c r="U6851">
        <v>-3.0610050000000002</v>
      </c>
      <c r="V6851">
        <v>-0.11996950000000001</v>
      </c>
      <c r="W6851">
        <v>0.1683076</v>
      </c>
      <c r="X6851">
        <v>0.97840680000000002</v>
      </c>
      <c r="Y6851">
        <v>-4.8235189999999997E-2</v>
      </c>
      <c r="Z6851">
        <v>2.4872129999999999E-2</v>
      </c>
      <c r="AA6851">
        <v>0.99852629999999998</v>
      </c>
      <c r="AB6851">
        <v>29</v>
      </c>
      <c r="AC6851">
        <v>1.4502000000000499</v>
      </c>
      <c r="AD6851">
        <v>-1.1103680401489999</v>
      </c>
      <c r="AE6851">
        <v>-32.063499999999998</v>
      </c>
      <c r="AF6851">
        <v>-1.5609722025328501</v>
      </c>
      <c r="AG6851">
        <v>-1.1103680401489999</v>
      </c>
      <c r="AH6851">
        <v>32.019885436185398</v>
      </c>
      <c r="AI6851">
        <v>91.983721852931097</v>
      </c>
      <c r="AJ6851">
        <v>92.790964663449401</v>
      </c>
      <c r="AK6851">
        <v>32.077135388748502</v>
      </c>
      <c r="AL6851">
        <v>80.3105660739716</v>
      </c>
      <c r="AM6851">
        <v>96.990553022316405</v>
      </c>
      <c r="AN6851">
        <v>0.999999997717125</v>
      </c>
    </row>
    <row r="6852" spans="1:40" x14ac:dyDescent="0.25">
      <c r="A6852" t="str">
        <f>"20190304154932397"</f>
        <v>20190304154932397</v>
      </c>
      <c r="B6852" t="str">
        <f>"1551685772394068"</f>
        <v>1551685772394068</v>
      </c>
      <c r="C6852" t="s">
        <v>40</v>
      </c>
      <c r="D6852">
        <v>4.3932149999999996</v>
      </c>
      <c r="E6852">
        <v>0.52553859999999997</v>
      </c>
      <c r="F6852" t="s">
        <v>68</v>
      </c>
      <c r="G6852">
        <v>-299.72250000000003</v>
      </c>
      <c r="H6852" s="1">
        <v>-7.0738289999999899E-6</v>
      </c>
      <c r="I6852">
        <v>-53.01258</v>
      </c>
      <c r="J6852">
        <v>-301.18079999999998</v>
      </c>
      <c r="K6852">
        <v>1.1103689999999999</v>
      </c>
      <c r="L6852">
        <v>-21.533259999999999</v>
      </c>
      <c r="M6852">
        <v>-3.5344909999999998E-3</v>
      </c>
      <c r="N6852">
        <v>-9.3780740000000001E-3</v>
      </c>
      <c r="O6852">
        <v>-0.99994989999999995</v>
      </c>
      <c r="P6852">
        <v>0.117477399999999</v>
      </c>
      <c r="Q6852">
        <v>0.15918289999999999</v>
      </c>
      <c r="R6852">
        <v>-0.98023490000000002</v>
      </c>
      <c r="S6852">
        <v>0.14031979999999999</v>
      </c>
      <c r="T6852">
        <v>-0.1069206</v>
      </c>
      <c r="U6852">
        <v>-3.0607600000000001</v>
      </c>
      <c r="V6852">
        <v>-0.1209277</v>
      </c>
      <c r="W6852">
        <v>0.16837479999999999</v>
      </c>
      <c r="X6852">
        <v>0.97827730000000002</v>
      </c>
      <c r="Y6852">
        <v>-4.9302190000000003E-2</v>
      </c>
      <c r="Z6852">
        <v>2.5496899999999999E-2</v>
      </c>
      <c r="AA6852">
        <v>0.99845839999999997</v>
      </c>
      <c r="AB6852">
        <v>29</v>
      </c>
      <c r="AC6852">
        <v>1.45829999999995</v>
      </c>
      <c r="AD6852">
        <v>-1.1103760738290001</v>
      </c>
      <c r="AE6852">
        <v>-31.479320000000001</v>
      </c>
      <c r="AF6852">
        <v>-1.5676128987956099</v>
      </c>
      <c r="AG6852">
        <v>-1.1103760738290001</v>
      </c>
      <c r="AH6852">
        <v>31.434941242223299</v>
      </c>
      <c r="AI6852">
        <v>92.020508347753804</v>
      </c>
      <c r="AJ6852">
        <v>92.854888718988505</v>
      </c>
      <c r="AK6852">
        <v>31.4935846820878</v>
      </c>
      <c r="AL6852">
        <v>80.306660358125399</v>
      </c>
      <c r="AM6852">
        <v>97.046751095064096</v>
      </c>
      <c r="AN6852">
        <v>1.0000000287988</v>
      </c>
    </row>
    <row r="6853" spans="1:40" x14ac:dyDescent="0.25">
      <c r="A6853" t="str">
        <f>"20190304154932421"</f>
        <v>20190304154932421</v>
      </c>
      <c r="B6853" t="str">
        <f>"1551685772414563"</f>
        <v>1551685772414563</v>
      </c>
      <c r="C6853" t="s">
        <v>40</v>
      </c>
      <c r="D6853">
        <v>4.3522730000000003</v>
      </c>
      <c r="E6853">
        <v>0.52549729999999995</v>
      </c>
      <c r="F6853" t="s">
        <v>68</v>
      </c>
      <c r="G6853">
        <v>-299.69279999999998</v>
      </c>
      <c r="H6853" s="1">
        <v>-7.0467440000000002E-6</v>
      </c>
      <c r="I6853">
        <v>-53.34599</v>
      </c>
      <c r="J6853">
        <v>-301.18189999999998</v>
      </c>
      <c r="K6853">
        <v>1.1103730000000001</v>
      </c>
      <c r="L6853">
        <v>-21.8371</v>
      </c>
      <c r="M6853">
        <v>-3.547957E-3</v>
      </c>
      <c r="N6853">
        <v>-9.3633850000000001E-3</v>
      </c>
      <c r="O6853">
        <v>-0.99995020000000001</v>
      </c>
      <c r="P6853">
        <v>0.11792030000000001</v>
      </c>
      <c r="Q6853">
        <v>0.1595453</v>
      </c>
      <c r="R6853">
        <v>-0.98012279999999996</v>
      </c>
      <c r="S6853">
        <v>0.14315799999999901</v>
      </c>
      <c r="T6853">
        <v>-0.1068281</v>
      </c>
      <c r="U6853">
        <v>-3.0606689999999999</v>
      </c>
      <c r="V6853">
        <v>-0.12138599999999999</v>
      </c>
      <c r="W6853">
        <v>0.168719799999999</v>
      </c>
      <c r="X6853">
        <v>0.97816110000000001</v>
      </c>
      <c r="Y6853">
        <v>-5.0240710000000001E-2</v>
      </c>
      <c r="Z6853">
        <v>2.5480900000000001E-2</v>
      </c>
      <c r="AA6853">
        <v>0.99841199999999997</v>
      </c>
      <c r="AB6853">
        <v>29</v>
      </c>
      <c r="AC6853">
        <v>1.4891000000000001</v>
      </c>
      <c r="AD6853">
        <v>-1.1103800467439999</v>
      </c>
      <c r="AE6853">
        <v>-31.508890000000001</v>
      </c>
      <c r="AF6853">
        <v>-1.59890646407019</v>
      </c>
      <c r="AG6853">
        <v>-1.1103800467439999</v>
      </c>
      <c r="AH6853">
        <v>31.464420445097101</v>
      </c>
      <c r="AI6853">
        <v>92.0185281076199</v>
      </c>
      <c r="AJ6853">
        <v>92.909059107077496</v>
      </c>
      <c r="AK6853">
        <v>31.5245808802417</v>
      </c>
      <c r="AL6853">
        <v>80.286606472437995</v>
      </c>
      <c r="AM6853">
        <v>97.074019085108404</v>
      </c>
      <c r="AN6853">
        <v>1.0000000347306199</v>
      </c>
    </row>
    <row r="6854" spans="1:40" x14ac:dyDescent="0.25">
      <c r="A6854" t="str">
        <f>"20190304154932440"</f>
        <v>20190304154932440</v>
      </c>
      <c r="B6854" t="str">
        <f>"1551685772434083"</f>
        <v>1551685772434083</v>
      </c>
      <c r="C6854" t="s">
        <v>40</v>
      </c>
      <c r="D6854">
        <v>4.3651879999999998</v>
      </c>
      <c r="E6854">
        <v>0.52548099999999998</v>
      </c>
      <c r="F6854" t="s">
        <v>68</v>
      </c>
      <c r="G6854">
        <v>-299.66039999999998</v>
      </c>
      <c r="H6854" s="1">
        <v>-6.9782079999999997E-6</v>
      </c>
      <c r="I6854">
        <v>-54.056489999999997</v>
      </c>
      <c r="J6854">
        <v>-301.18279999999999</v>
      </c>
      <c r="K6854">
        <v>1.1103809999999901</v>
      </c>
      <c r="L6854">
        <v>-22.100370000000002</v>
      </c>
      <c r="M6854">
        <v>-3.5548210000000001E-3</v>
      </c>
      <c r="N6854">
        <v>-9.3527809999999992E-3</v>
      </c>
      <c r="O6854">
        <v>-0.99994989999999995</v>
      </c>
      <c r="P6854">
        <v>0.11830010000000001</v>
      </c>
      <c r="Q6854">
        <v>0.15957189999999999</v>
      </c>
      <c r="R6854">
        <v>-0.98007239999999995</v>
      </c>
      <c r="S6854">
        <v>0.144531299999999</v>
      </c>
      <c r="T6854">
        <v>-0.10547910000000001</v>
      </c>
      <c r="U6854">
        <v>-3.060638</v>
      </c>
      <c r="V6854">
        <v>-0.1217742</v>
      </c>
      <c r="W6854">
        <v>0.16873440000000001</v>
      </c>
      <c r="X6854">
        <v>0.97811029999999999</v>
      </c>
      <c r="Y6854">
        <v>-5.0695549999999999E-2</v>
      </c>
      <c r="Z6854">
        <v>2.5051520000000001E-2</v>
      </c>
      <c r="AA6854">
        <v>0.99839990000000001</v>
      </c>
      <c r="AB6854">
        <v>29</v>
      </c>
      <c r="AC6854">
        <v>1.5224</v>
      </c>
      <c r="AD6854">
        <v>-1.1103879782079999</v>
      </c>
      <c r="AE6854">
        <v>-31.956119999999999</v>
      </c>
      <c r="AF6854">
        <v>-1.63402522994856</v>
      </c>
      <c r="AG6854">
        <v>-1.1103879782079999</v>
      </c>
      <c r="AH6854">
        <v>31.912063463706598</v>
      </c>
      <c r="AI6854">
        <v>91.990211337602901</v>
      </c>
      <c r="AJ6854">
        <v>92.931213028298998</v>
      </c>
      <c r="AK6854">
        <v>31.973157404702601</v>
      </c>
      <c r="AL6854">
        <v>80.285757506935198</v>
      </c>
      <c r="AM6854">
        <v>97.096776754221494</v>
      </c>
      <c r="AN6854">
        <v>1.00000000624754</v>
      </c>
    </row>
    <row r="6855" spans="1:40" x14ac:dyDescent="0.25">
      <c r="A6855" t="str">
        <f>"20190304154932462"</f>
        <v>20190304154932462</v>
      </c>
      <c r="B6855" t="str">
        <f>"1551685772454579"</f>
        <v>1551685772454579</v>
      </c>
      <c r="C6855" t="s">
        <v>40</v>
      </c>
      <c r="D6855">
        <v>4.4117989999999896</v>
      </c>
      <c r="E6855">
        <v>0.5254432</v>
      </c>
      <c r="F6855" t="s">
        <v>68</v>
      </c>
      <c r="G6855">
        <v>-299.64789999999999</v>
      </c>
      <c r="H6855" s="1">
        <v>-6.9479E-6</v>
      </c>
      <c r="I6855">
        <v>-54.36486</v>
      </c>
      <c r="J6855">
        <v>-301.18380000000002</v>
      </c>
      <c r="K6855">
        <v>1.110382</v>
      </c>
      <c r="L6855">
        <v>-22.384920000000001</v>
      </c>
      <c r="M6855">
        <v>-3.5567649999999999E-3</v>
      </c>
      <c r="N6855">
        <v>-9.3434420000000004E-3</v>
      </c>
      <c r="O6855">
        <v>-0.99995020000000001</v>
      </c>
      <c r="P6855">
        <v>0.11884</v>
      </c>
      <c r="Q6855">
        <v>0.15972709999999901</v>
      </c>
      <c r="R6855">
        <v>-0.97998209999999997</v>
      </c>
      <c r="S6855">
        <v>0.14559939999999999</v>
      </c>
      <c r="T6855">
        <v>-0.1053303</v>
      </c>
      <c r="U6855">
        <v>-3.0605769999999999</v>
      </c>
      <c r="V6855">
        <v>-0.1223177</v>
      </c>
      <c r="W6855">
        <v>0.16887820000000001</v>
      </c>
      <c r="X6855">
        <v>0.97801760000000004</v>
      </c>
      <c r="Y6855">
        <v>-5.1046090000000002E-2</v>
      </c>
      <c r="Z6855">
        <v>2.5012469999999998E-2</v>
      </c>
      <c r="AA6855">
        <v>0.99838300000000002</v>
      </c>
      <c r="AB6855">
        <v>29</v>
      </c>
      <c r="AC6855">
        <v>1.53590000000002</v>
      </c>
      <c r="AD6855">
        <v>-1.1103889479</v>
      </c>
      <c r="AE6855">
        <v>-31.979939999999999</v>
      </c>
      <c r="AF6855">
        <v>-1.6476585525106899</v>
      </c>
      <c r="AG6855">
        <v>-1.1103889479</v>
      </c>
      <c r="AH6855">
        <v>31.9358620861898</v>
      </c>
      <c r="AI6855">
        <v>91.988691558598404</v>
      </c>
      <c r="AJ6855">
        <v>92.953427487074904</v>
      </c>
      <c r="AK6855">
        <v>31.997609746814099</v>
      </c>
      <c r="AL6855">
        <v>80.277397823528901</v>
      </c>
      <c r="AM6855">
        <v>97.128794508495901</v>
      </c>
      <c r="AN6855">
        <v>0.999999946039143</v>
      </c>
    </row>
    <row r="6856" spans="1:40" x14ac:dyDescent="0.25">
      <c r="A6856" t="str">
        <f>"20190304154932484"</f>
        <v>20190304154932484</v>
      </c>
      <c r="B6856" t="str">
        <f>"1551685772474099"</f>
        <v>1551685772474099</v>
      </c>
      <c r="C6856" t="s">
        <v>40</v>
      </c>
      <c r="D6856">
        <v>4.4174059999999997</v>
      </c>
      <c r="E6856">
        <v>0.52541759999999904</v>
      </c>
      <c r="F6856" t="s">
        <v>68</v>
      </c>
      <c r="G6856">
        <v>-299.62520000000001</v>
      </c>
      <c r="H6856" s="1">
        <v>-6.916041E-6</v>
      </c>
      <c r="I6856">
        <v>-54.718890000000002</v>
      </c>
      <c r="J6856">
        <v>-301.1848</v>
      </c>
      <c r="K6856">
        <v>1.110384</v>
      </c>
      <c r="L6856">
        <v>-22.673220000000001</v>
      </c>
      <c r="M6856">
        <v>-3.5461400000000001E-3</v>
      </c>
      <c r="N6856">
        <v>-9.3359250000000001E-3</v>
      </c>
      <c r="O6856">
        <v>-0.99995020000000001</v>
      </c>
      <c r="P6856">
        <v>0.11970210000000001</v>
      </c>
      <c r="Q6856">
        <v>0.16044249999999999</v>
      </c>
      <c r="R6856">
        <v>-0.97975990000000002</v>
      </c>
      <c r="S6856">
        <v>0.14752199999999999</v>
      </c>
      <c r="T6856">
        <v>-0.1051019</v>
      </c>
      <c r="U6856">
        <v>-3.0605159999999998</v>
      </c>
      <c r="V6856">
        <v>-0.1231709</v>
      </c>
      <c r="W6856">
        <v>0.16958219999999999</v>
      </c>
      <c r="X6856">
        <v>0.97778869999999896</v>
      </c>
      <c r="Y6856">
        <v>-5.1662140000000002E-2</v>
      </c>
      <c r="Z6856">
        <v>2.4945180000000001E-2</v>
      </c>
      <c r="AA6856">
        <v>0.99835300000000005</v>
      </c>
      <c r="AB6856">
        <v>29</v>
      </c>
      <c r="AC6856">
        <v>1.5595999999999799</v>
      </c>
      <c r="AD6856">
        <v>-1.1103909160409999</v>
      </c>
      <c r="AE6856">
        <v>-32.045670000000001</v>
      </c>
      <c r="AF6856">
        <v>-1.6712317625673201</v>
      </c>
      <c r="AG6856">
        <v>-1.1103909160409999</v>
      </c>
      <c r="AH6856">
        <v>32.001606050748002</v>
      </c>
      <c r="AI6856">
        <v>91.9845480455445</v>
      </c>
      <c r="AJ6856">
        <v>92.989463053243298</v>
      </c>
      <c r="AK6856">
        <v>32.064447187155899</v>
      </c>
      <c r="AL6856">
        <v>80.2364715014794</v>
      </c>
      <c r="AM6856">
        <v>97.179665772981593</v>
      </c>
      <c r="AN6856">
        <v>0.999999967505669</v>
      </c>
    </row>
    <row r="6857" spans="1:40" x14ac:dyDescent="0.25">
      <c r="A6857" t="str">
        <f>"20190304154932508"</f>
        <v>20190304154932508</v>
      </c>
      <c r="B6857" t="str">
        <f>"1551685772504355"</f>
        <v>1551685772504355</v>
      </c>
      <c r="C6857" t="s">
        <v>40</v>
      </c>
      <c r="D6857">
        <v>3.8641640000000002</v>
      </c>
      <c r="E6857">
        <v>0.5247288</v>
      </c>
      <c r="F6857" t="s">
        <v>68</v>
      </c>
      <c r="G6857">
        <v>-299.5668</v>
      </c>
      <c r="H6857" s="1">
        <v>-6.8344320000000002E-6</v>
      </c>
      <c r="I6857">
        <v>-55.626829999999998</v>
      </c>
      <c r="J6857">
        <v>-301.18579999999997</v>
      </c>
      <c r="K6857">
        <v>1.1103970000000001</v>
      </c>
      <c r="L6857">
        <v>-22.96997</v>
      </c>
      <c r="M6857">
        <v>-3.5081280000000001E-3</v>
      </c>
      <c r="N6857">
        <v>-9.3299539999999997E-3</v>
      </c>
      <c r="O6857">
        <v>-0.99995060000000002</v>
      </c>
      <c r="P6857">
        <v>0.1204683</v>
      </c>
      <c r="Q6857">
        <v>0.1609535</v>
      </c>
      <c r="R6857">
        <v>-0.97958279999999998</v>
      </c>
      <c r="S6857">
        <v>0.1502686</v>
      </c>
      <c r="T6857">
        <v>-0.10312490000000001</v>
      </c>
      <c r="U6857">
        <v>-3.060486</v>
      </c>
      <c r="V6857">
        <v>-0.1239051</v>
      </c>
      <c r="W6857">
        <v>0.17008119999999999</v>
      </c>
      <c r="X6857">
        <v>0.97760930000000001</v>
      </c>
      <c r="Y6857">
        <v>-5.2519240000000002E-2</v>
      </c>
      <c r="Z6857">
        <v>2.4305759999999999E-2</v>
      </c>
      <c r="AA6857">
        <v>0.99832410000000005</v>
      </c>
      <c r="AB6857">
        <v>29</v>
      </c>
      <c r="AC6857">
        <v>1.61899999999997</v>
      </c>
      <c r="AD6857">
        <v>-1.11040383443199</v>
      </c>
      <c r="AE6857">
        <v>-32.656860000000002</v>
      </c>
      <c r="AF6857">
        <v>-1.7315624038826301</v>
      </c>
      <c r="AG6857">
        <v>-1.11040383443199</v>
      </c>
      <c r="AH6857">
        <v>32.613365724658699</v>
      </c>
      <c r="AI6857">
        <v>91.947284653240402</v>
      </c>
      <c r="AJ6857">
        <v>93.0391880610333</v>
      </c>
      <c r="AK6857">
        <v>32.678172056043898</v>
      </c>
      <c r="AL6857">
        <v>80.207459929302402</v>
      </c>
      <c r="AM6857">
        <v>97.223323249931695</v>
      </c>
      <c r="AN6857">
        <v>1.0000000159229601</v>
      </c>
    </row>
    <row r="6858" spans="1:40" x14ac:dyDescent="0.25">
      <c r="A6858" t="str">
        <f>"20190304154932530"</f>
        <v>20190304154932530</v>
      </c>
      <c r="B6858" t="str">
        <f>"1551685772523874"</f>
        <v>1551685772523874</v>
      </c>
      <c r="C6858" t="s">
        <v>40</v>
      </c>
      <c r="D6858">
        <v>4.3120900000000004</v>
      </c>
      <c r="E6858">
        <v>0.43852360000000001</v>
      </c>
      <c r="F6858" t="s">
        <v>68</v>
      </c>
      <c r="G6858">
        <v>-299.44209999999998</v>
      </c>
      <c r="H6858" s="1">
        <v>-6.7576170000000002E-6</v>
      </c>
      <c r="I6858">
        <v>-56.698749999999997</v>
      </c>
      <c r="J6858">
        <v>-301.18669999999997</v>
      </c>
      <c r="K6858">
        <v>1.11042</v>
      </c>
      <c r="L6858">
        <v>-23.267669999999999</v>
      </c>
      <c r="M6858">
        <v>-3.426288E-3</v>
      </c>
      <c r="N6858">
        <v>-9.3254859999999992E-3</v>
      </c>
      <c r="O6858">
        <v>-0.99995089999999998</v>
      </c>
      <c r="P6858">
        <v>0.1219431</v>
      </c>
      <c r="Q6858">
        <v>0.161081</v>
      </c>
      <c r="R6858">
        <v>-0.97937890000000005</v>
      </c>
      <c r="S6858">
        <v>0.1581726</v>
      </c>
      <c r="T6858">
        <v>-0.10072780000000001</v>
      </c>
      <c r="U6858">
        <v>-3.059631</v>
      </c>
      <c r="V6858">
        <v>-0.12531129999999999</v>
      </c>
      <c r="W6858">
        <v>0.1701935</v>
      </c>
      <c r="X6858">
        <v>0.97741049999999996</v>
      </c>
      <c r="Y6858">
        <v>-5.5024120000000003E-2</v>
      </c>
      <c r="Z6858">
        <v>2.35339E-2</v>
      </c>
      <c r="AA6858">
        <v>0.99820759999999997</v>
      </c>
      <c r="AB6858">
        <v>29</v>
      </c>
      <c r="AC6858">
        <v>1.7445999999999899</v>
      </c>
      <c r="AD6858">
        <v>-1.1104267576169999</v>
      </c>
      <c r="AE6858">
        <v>-33.431079999999902</v>
      </c>
      <c r="AF6858">
        <v>-1.8570959183595901</v>
      </c>
      <c r="AG6858">
        <v>-1.1104267576169999</v>
      </c>
      <c r="AH6858">
        <v>33.388170102431701</v>
      </c>
      <c r="AI6858">
        <v>91.901908500180397</v>
      </c>
      <c r="AJ6858">
        <v>93.183589659285701</v>
      </c>
      <c r="AK6858">
        <v>33.458209091685298</v>
      </c>
      <c r="AL6858">
        <v>80.200930430304297</v>
      </c>
      <c r="AM6858">
        <v>97.305889960822199</v>
      </c>
      <c r="AN6858">
        <v>1.00000001743009</v>
      </c>
    </row>
    <row r="6859" spans="1:40" x14ac:dyDescent="0.25">
      <c r="A6859" t="str">
        <f>"20190304154932553"</f>
        <v>20190304154932553</v>
      </c>
      <c r="B6859" t="str">
        <f>"1551685772544371"</f>
        <v>1551685772544371</v>
      </c>
      <c r="C6859" t="s">
        <v>40</v>
      </c>
      <c r="D6859">
        <v>4.2366320000000002</v>
      </c>
      <c r="E6859">
        <v>0.42688039999999999</v>
      </c>
      <c r="F6859" t="s">
        <v>66</v>
      </c>
      <c r="G6859">
        <v>-277.17500000000001</v>
      </c>
      <c r="H6859">
        <v>4.6068669999999999E-2</v>
      </c>
      <c r="I6859">
        <v>-107.3746</v>
      </c>
      <c r="J6859">
        <v>-301.18759999999997</v>
      </c>
      <c r="K6859">
        <v>1.1104639999999999</v>
      </c>
      <c r="L6859">
        <v>-23.55743</v>
      </c>
      <c r="M6859">
        <v>-3.2872330000000001E-3</v>
      </c>
      <c r="N6859">
        <v>-9.3225679999999998E-3</v>
      </c>
      <c r="O6859">
        <v>-0.99995140000000005</v>
      </c>
      <c r="P6859">
        <v>0.1234065</v>
      </c>
      <c r="Q6859">
        <v>0.16084119999999999</v>
      </c>
      <c r="R6859">
        <v>-0.97923510000000002</v>
      </c>
      <c r="S6859">
        <v>0.84619140000000004</v>
      </c>
      <c r="T6859">
        <v>-3.7508130000000001E-2</v>
      </c>
      <c r="U6859">
        <v>-2.9639890000000002</v>
      </c>
      <c r="V6859">
        <v>-0.12665580000000001</v>
      </c>
      <c r="W6859">
        <v>0.16993649999999999</v>
      </c>
      <c r="X6859">
        <v>0.97728190000000004</v>
      </c>
      <c r="Y6859">
        <v>-0.277653599999999</v>
      </c>
      <c r="Z6859">
        <v>2.8351470000000001E-3</v>
      </c>
      <c r="AA6859">
        <v>0.96067709999999995</v>
      </c>
      <c r="AB6859">
        <v>29</v>
      </c>
      <c r="AC6859">
        <v>24.0125999999999</v>
      </c>
      <c r="AD6859">
        <v>-1.06439533</v>
      </c>
      <c r="AE6859">
        <v>-83.817169999999905</v>
      </c>
      <c r="AF6859">
        <v>-24.284389543582101</v>
      </c>
      <c r="AG6859">
        <v>-1.06439533</v>
      </c>
      <c r="AH6859">
        <v>83.725300845455095</v>
      </c>
      <c r="AI6859">
        <v>90.699531057441803</v>
      </c>
      <c r="AJ6859">
        <v>106.17471696763801</v>
      </c>
      <c r="AK6859">
        <v>87.1825126650117</v>
      </c>
      <c r="AL6859">
        <v>80.215873033425794</v>
      </c>
      <c r="AM6859">
        <v>97.384377339549602</v>
      </c>
      <c r="AN6859">
        <v>1.00000000888675</v>
      </c>
    </row>
    <row r="6860" spans="1:40" x14ac:dyDescent="0.25">
      <c r="A6860" t="str">
        <f>"20190304154932574"</f>
        <v>20190304154932574</v>
      </c>
      <c r="B6860" t="str">
        <f>"1551685772563891"</f>
        <v>1551685772563891</v>
      </c>
      <c r="C6860" t="s">
        <v>40</v>
      </c>
      <c r="D6860">
        <v>4.3777699999999999</v>
      </c>
      <c r="E6860">
        <v>0.42299579999999998</v>
      </c>
      <c r="F6860" t="s">
        <v>66</v>
      </c>
      <c r="G6860">
        <v>-277.17500000000001</v>
      </c>
      <c r="H6860">
        <v>0.3588171</v>
      </c>
      <c r="I6860">
        <v>-98.675219999999996</v>
      </c>
      <c r="J6860">
        <v>-301.1884</v>
      </c>
      <c r="K6860">
        <v>1.110519</v>
      </c>
      <c r="L6860">
        <v>-23.848970000000001</v>
      </c>
      <c r="M6860">
        <v>-3.071411E-3</v>
      </c>
      <c r="N6860">
        <v>-9.3208539999999999E-3</v>
      </c>
      <c r="O6860">
        <v>-0.99995210000000001</v>
      </c>
      <c r="P6860">
        <v>0.1248919</v>
      </c>
      <c r="Q6860">
        <v>0.1605259</v>
      </c>
      <c r="R6860">
        <v>-0.97909860000000004</v>
      </c>
      <c r="S6860">
        <v>0.94290160000000001</v>
      </c>
      <c r="T6860">
        <v>-2.9514189999999999E-2</v>
      </c>
      <c r="U6860">
        <v>-2.949646</v>
      </c>
      <c r="V6860">
        <v>-0.1279527</v>
      </c>
      <c r="W6860">
        <v>0.169601</v>
      </c>
      <c r="X6860">
        <v>0.97717120000000002</v>
      </c>
      <c r="Y6860">
        <v>-0.30738510000000002</v>
      </c>
      <c r="Z6860">
        <v>2.0053580000000001E-4</v>
      </c>
      <c r="AA6860">
        <v>0.95158520000000002</v>
      </c>
      <c r="AB6860">
        <v>29</v>
      </c>
      <c r="AC6860">
        <v>24.013399999999901</v>
      </c>
      <c r="AD6860">
        <v>-0.75170190000000003</v>
      </c>
      <c r="AE6860">
        <v>-74.826249999999902</v>
      </c>
      <c r="AF6860">
        <v>-24.240900823430401</v>
      </c>
      <c r="AG6860">
        <v>-0.75170190000000003</v>
      </c>
      <c r="AH6860">
        <v>74.745299781883105</v>
      </c>
      <c r="AI6860">
        <v>90.548093686640897</v>
      </c>
      <c r="AJ6860">
        <v>107.968572363973</v>
      </c>
      <c r="AK6860">
        <v>78.581461986663399</v>
      </c>
      <c r="AL6860">
        <v>80.2353785660178</v>
      </c>
      <c r="AM6860">
        <v>97.4599784128187</v>
      </c>
      <c r="AN6860">
        <v>0.99999997337386404</v>
      </c>
    </row>
    <row r="6861" spans="1:40" x14ac:dyDescent="0.25">
      <c r="A6861" t="str">
        <f>"20190304154932598"</f>
        <v>20190304154932598</v>
      </c>
      <c r="B6861" t="str">
        <f>"1551685772594147"</f>
        <v>1551685772594147</v>
      </c>
      <c r="C6861" t="s">
        <v>40</v>
      </c>
      <c r="D6861">
        <v>4.3790399999999998</v>
      </c>
      <c r="E6861">
        <v>0.42131099999999999</v>
      </c>
      <c r="F6861" t="s">
        <v>42</v>
      </c>
      <c r="G6861">
        <v>0</v>
      </c>
      <c r="H6861">
        <v>0</v>
      </c>
      <c r="I6861">
        <v>0</v>
      </c>
      <c r="J6861">
        <v>-301.18900000000002</v>
      </c>
      <c r="K6861">
        <v>1.1105670000000001</v>
      </c>
      <c r="L6861">
        <v>-24.143460000000001</v>
      </c>
      <c r="M6861">
        <v>-2.7847309999999999E-3</v>
      </c>
      <c r="N6861">
        <v>-9.3201380000000004E-3</v>
      </c>
      <c r="O6861">
        <v>-0.99995290000000003</v>
      </c>
      <c r="P6861">
        <v>0.12698709999999999</v>
      </c>
      <c r="Q6861">
        <v>0.16033710000000001</v>
      </c>
      <c r="R6861">
        <v>-0.97885979999999995</v>
      </c>
      <c r="S6861">
        <v>0.97824100000000003</v>
      </c>
      <c r="T6861">
        <v>-4.4100880000000002E-2</v>
      </c>
      <c r="U6861">
        <v>-2.9465029999999999</v>
      </c>
      <c r="V6861">
        <v>-0.1297894</v>
      </c>
      <c r="W6861">
        <v>0.16939089999999901</v>
      </c>
      <c r="X6861">
        <v>0.97696539999999998</v>
      </c>
      <c r="Y6861">
        <v>-0.31769340000000001</v>
      </c>
      <c r="Z6861">
        <v>4.872917E-3</v>
      </c>
      <c r="AA6861">
        <v>0.94818100000000005</v>
      </c>
      <c r="AB6861">
        <v>29</v>
      </c>
      <c r="AC6861">
        <v>0.97824100000000003</v>
      </c>
      <c r="AD6861">
        <v>-4.4100880000000002E-2</v>
      </c>
      <c r="AE6861">
        <v>-2.9465029999999999</v>
      </c>
      <c r="AF6861">
        <v>-0.98624377905348803</v>
      </c>
      <c r="AG6861">
        <v>-4.4100880000000002E-2</v>
      </c>
      <c r="AH6861">
        <v>2.9431734561717899</v>
      </c>
      <c r="AI6861">
        <v>90.8139842627441</v>
      </c>
      <c r="AJ6861">
        <v>108.525761943425</v>
      </c>
      <c r="AK6861">
        <v>3.1043343364484199</v>
      </c>
      <c r="AL6861">
        <v>80.2475931999479</v>
      </c>
      <c r="AM6861">
        <v>97.567406278728598</v>
      </c>
      <c r="AN6861">
        <v>0.999999979076164</v>
      </c>
    </row>
    <row r="6862" spans="1:40" x14ac:dyDescent="0.25">
      <c r="A6862" t="str">
        <f>"20190304154932620"</f>
        <v>20190304154932620</v>
      </c>
      <c r="B6862" t="str">
        <f>"1551685772614643"</f>
        <v>1551685772614643</v>
      </c>
      <c r="C6862" t="s">
        <v>40</v>
      </c>
      <c r="D6862">
        <v>4.3923949999999996</v>
      </c>
      <c r="E6862">
        <v>0.42089969999999999</v>
      </c>
      <c r="F6862" t="s">
        <v>45</v>
      </c>
      <c r="G6862">
        <v>-280.7346</v>
      </c>
      <c r="H6862">
        <v>-0.05</v>
      </c>
      <c r="I6862">
        <v>-84.471969999999999</v>
      </c>
      <c r="J6862">
        <v>-301.18939999999998</v>
      </c>
      <c r="K6862">
        <v>1.1106199999999999</v>
      </c>
      <c r="L6862">
        <v>-24.44107</v>
      </c>
      <c r="M6862">
        <v>-2.4141610000000002E-3</v>
      </c>
      <c r="N6862">
        <v>-9.3202760000000006E-3</v>
      </c>
      <c r="O6862">
        <v>-0.99995369999999995</v>
      </c>
      <c r="P6862">
        <v>0.1292768</v>
      </c>
      <c r="Q6862">
        <v>0.16053609999999999</v>
      </c>
      <c r="R6862">
        <v>-0.97852720000000004</v>
      </c>
      <c r="S6862">
        <v>0.99835209999999996</v>
      </c>
      <c r="T6862">
        <v>-5.6645630000000002E-2</v>
      </c>
      <c r="U6862">
        <v>-2.94455</v>
      </c>
      <c r="V6862">
        <v>-0.1317402</v>
      </c>
      <c r="W6862">
        <v>0.16956760000000001</v>
      </c>
      <c r="X6862">
        <v>0.97667360000000003</v>
      </c>
      <c r="Y6862">
        <v>-0.32332939999999999</v>
      </c>
      <c r="Z6862">
        <v>8.8852440000000005E-3</v>
      </c>
      <c r="AA6862">
        <v>0.9462448</v>
      </c>
      <c r="AB6862">
        <v>29</v>
      </c>
      <c r="AC6862">
        <v>20.454799999999899</v>
      </c>
      <c r="AD6862">
        <v>-1.16062</v>
      </c>
      <c r="AE6862">
        <v>-60.030900000000003</v>
      </c>
      <c r="AF6862">
        <v>-20.592774234492701</v>
      </c>
      <c r="AG6862">
        <v>-1.16062</v>
      </c>
      <c r="AH6862">
        <v>59.961260180296598</v>
      </c>
      <c r="AI6862">
        <v>91.048776012606893</v>
      </c>
      <c r="AJ6862">
        <v>108.95424726674599</v>
      </c>
      <c r="AK6862">
        <v>63.409479668787696</v>
      </c>
      <c r="AL6862">
        <v>80.237320496289897</v>
      </c>
      <c r="AM6862">
        <v>97.682067709556804</v>
      </c>
      <c r="AN6862">
        <v>0.99999998610137997</v>
      </c>
    </row>
    <row r="6863" spans="1:40" x14ac:dyDescent="0.25">
      <c r="A6863" t="str">
        <f>"20190304154932641"</f>
        <v>20190304154932641</v>
      </c>
      <c r="B6863" t="str">
        <f>"1551685772634163"</f>
        <v>1551685772634163</v>
      </c>
      <c r="C6863" t="s">
        <v>40</v>
      </c>
      <c r="D6863">
        <v>4.3926850000000002</v>
      </c>
      <c r="E6863">
        <v>0.42051270000000002</v>
      </c>
      <c r="F6863" t="s">
        <v>68</v>
      </c>
      <c r="G6863">
        <v>-284.30860000000001</v>
      </c>
      <c r="H6863">
        <v>7.9986660000000001E-2</v>
      </c>
      <c r="I6863">
        <v>-73.707660000000004</v>
      </c>
      <c r="J6863">
        <v>-301.18970000000002</v>
      </c>
      <c r="K6863">
        <v>1.110681</v>
      </c>
      <c r="L6863">
        <v>-24.730160000000001</v>
      </c>
      <c r="M6863">
        <v>-1.9637859999999999E-3</v>
      </c>
      <c r="N6863">
        <v>-9.3211660000000005E-3</v>
      </c>
      <c r="O6863">
        <v>-0.99995480000000003</v>
      </c>
      <c r="P6863">
        <v>0.13243170000000001</v>
      </c>
      <c r="Q6863">
        <v>0.16027759999999999</v>
      </c>
      <c r="R6863">
        <v>-0.97814789999999996</v>
      </c>
      <c r="S6863">
        <v>1.0083009999999999</v>
      </c>
      <c r="T6863">
        <v>-6.156027E-2</v>
      </c>
      <c r="U6863">
        <v>-2.9427189999999999</v>
      </c>
      <c r="V6863">
        <v>-0.13447909999999999</v>
      </c>
      <c r="W6863">
        <v>0.1692852</v>
      </c>
      <c r="X6863">
        <v>0.97634929999999998</v>
      </c>
      <c r="Y6863">
        <v>-0.32593929999999999</v>
      </c>
      <c r="Z6863">
        <v>1.0456480000000001E-2</v>
      </c>
      <c r="AA6863">
        <v>0.94533290000000003</v>
      </c>
      <c r="AB6863">
        <v>29</v>
      </c>
      <c r="AC6863">
        <v>16.8811</v>
      </c>
      <c r="AD6863">
        <v>-1.0306943399999999</v>
      </c>
      <c r="AE6863">
        <v>-48.977499999999999</v>
      </c>
      <c r="AF6863">
        <v>-16.970535393610199</v>
      </c>
      <c r="AG6863">
        <v>-1.0306943399999999</v>
      </c>
      <c r="AH6863">
        <v>48.9248870323595</v>
      </c>
      <c r="AI6863">
        <v>91.140235747537503</v>
      </c>
      <c r="AJ6863">
        <v>109.130083944858</v>
      </c>
      <c r="AK6863">
        <v>51.7948450475279</v>
      </c>
      <c r="AL6863">
        <v>80.253738623942795</v>
      </c>
      <c r="AM6863">
        <v>97.842384584531999</v>
      </c>
      <c r="AN6863">
        <v>1.0000000314431601</v>
      </c>
    </row>
    <row r="6864" spans="1:40" x14ac:dyDescent="0.25">
      <c r="A6864" t="str">
        <f>"20190304154932663"</f>
        <v>20190304154932663</v>
      </c>
      <c r="B6864" t="str">
        <f>"1551685772654660"</f>
        <v>1551685772654660</v>
      </c>
      <c r="C6864" t="s">
        <v>40</v>
      </c>
      <c r="D6864">
        <v>4.3938940000000004</v>
      </c>
      <c r="E6864">
        <v>0.42022009999999999</v>
      </c>
      <c r="F6864" t="s">
        <v>68</v>
      </c>
      <c r="G6864">
        <v>-284.94720000000001</v>
      </c>
      <c r="H6864">
        <v>7.9986570000000007E-2</v>
      </c>
      <c r="I6864">
        <v>-71.46651</v>
      </c>
      <c r="J6864">
        <v>-301.18970000000002</v>
      </c>
      <c r="K6864">
        <v>1.110744</v>
      </c>
      <c r="L6864">
        <v>-25.02347</v>
      </c>
      <c r="M6864">
        <v>-1.4096200000000001E-3</v>
      </c>
      <c r="N6864">
        <v>-9.3228449999999997E-3</v>
      </c>
      <c r="O6864">
        <v>-0.99995560000000006</v>
      </c>
      <c r="P6864">
        <v>0.13492170000000001</v>
      </c>
      <c r="Q6864">
        <v>0.15980549999999999</v>
      </c>
      <c r="R6864">
        <v>-0.97788459999999999</v>
      </c>
      <c r="S6864">
        <v>1.021515</v>
      </c>
      <c r="T6864">
        <v>-6.4822199999999996E-2</v>
      </c>
      <c r="U6864">
        <v>-2.9393310000000001</v>
      </c>
      <c r="V6864">
        <v>-0.1364553</v>
      </c>
      <c r="W6864">
        <v>0.16878840000000001</v>
      </c>
      <c r="X6864">
        <v>0.9761611</v>
      </c>
      <c r="Y6864">
        <v>-0.32953830000000001</v>
      </c>
      <c r="Z6864">
        <v>1.14979E-2</v>
      </c>
      <c r="AA6864">
        <v>0.94407220000000003</v>
      </c>
      <c r="AB6864">
        <v>30</v>
      </c>
      <c r="AC6864">
        <v>16.2425</v>
      </c>
      <c r="AD6864">
        <v>-1.03075743</v>
      </c>
      <c r="AE6864">
        <v>-46.443040000000003</v>
      </c>
      <c r="AF6864">
        <v>-16.300799436022299</v>
      </c>
      <c r="AG6864">
        <v>-1.03075743</v>
      </c>
      <c r="AH6864">
        <v>46.399732593848199</v>
      </c>
      <c r="AI6864">
        <v>91.200684491581697</v>
      </c>
      <c r="AJ6864">
        <v>109.357005457223</v>
      </c>
      <c r="AK6864">
        <v>49.1905855618079</v>
      </c>
      <c r="AL6864">
        <v>80.282618774659696</v>
      </c>
      <c r="AM6864">
        <v>97.957679118529796</v>
      </c>
      <c r="AN6864">
        <v>1.00000003301292</v>
      </c>
    </row>
    <row r="6865" spans="1:40" x14ac:dyDescent="0.25">
      <c r="A6865" t="str">
        <f>"20190304154932686"</f>
        <v>20190304154932686</v>
      </c>
      <c r="B6865" t="str">
        <f>"1551685772683939"</f>
        <v>1551685772683939</v>
      </c>
      <c r="C6865" t="s">
        <v>40</v>
      </c>
      <c r="D6865">
        <v>4.4208629999999998</v>
      </c>
      <c r="E6865">
        <v>0.41980499999999998</v>
      </c>
      <c r="F6865" t="s">
        <v>68</v>
      </c>
      <c r="G6865">
        <v>-285.25729999999999</v>
      </c>
      <c r="H6865">
        <v>5.6532939999999997E-2</v>
      </c>
      <c r="I6865">
        <v>-70.390299999999996</v>
      </c>
      <c r="J6865">
        <v>-301.18950000000001</v>
      </c>
      <c r="K6865">
        <v>1.1108209999999901</v>
      </c>
      <c r="L6865">
        <v>-25.32169</v>
      </c>
      <c r="M6865">
        <v>-7.4588659999999995E-4</v>
      </c>
      <c r="N6865">
        <v>-9.3252909999999994E-3</v>
      </c>
      <c r="O6865">
        <v>-0.99995650000000003</v>
      </c>
      <c r="P6865">
        <v>0.1371877</v>
      </c>
      <c r="Q6865">
        <v>0.15988050000000001</v>
      </c>
      <c r="R6865">
        <v>-0.97755740000000002</v>
      </c>
      <c r="S6865">
        <v>1.031342</v>
      </c>
      <c r="T6865">
        <v>-6.8241720000000006E-2</v>
      </c>
      <c r="U6865">
        <v>-2.9367070000000002</v>
      </c>
      <c r="V6865">
        <v>-0.13810410000000001</v>
      </c>
      <c r="W6865">
        <v>0.1688354</v>
      </c>
      <c r="X6865">
        <v>0.97592100000000004</v>
      </c>
      <c r="Y6865">
        <v>-0.33198080000000002</v>
      </c>
      <c r="Z6865">
        <v>1.2591639999999999E-2</v>
      </c>
      <c r="AA6865">
        <v>0.94320210000000004</v>
      </c>
      <c r="AB6865">
        <v>30</v>
      </c>
      <c r="AC6865">
        <v>15.9322</v>
      </c>
      <c r="AD6865">
        <v>-1.05428805999999</v>
      </c>
      <c r="AE6865">
        <v>-45.0686099999999</v>
      </c>
      <c r="AF6865">
        <v>-15.9580504532767</v>
      </c>
      <c r="AG6865">
        <v>-1.05428805999999</v>
      </c>
      <c r="AH6865">
        <v>45.034806586614998</v>
      </c>
      <c r="AI6865">
        <v>91.264090490762996</v>
      </c>
      <c r="AJ6865">
        <v>109.511743861767</v>
      </c>
      <c r="AK6865">
        <v>47.7902155454085</v>
      </c>
      <c r="AL6865">
        <v>80.279886009691197</v>
      </c>
      <c r="AM6865">
        <v>98.0545336868107</v>
      </c>
      <c r="AN6865">
        <v>0.99999996648548395</v>
      </c>
    </row>
    <row r="6866" spans="1:40" x14ac:dyDescent="0.25">
      <c r="A6866" t="str">
        <f>"20190304154932708"</f>
        <v>20190304154932708</v>
      </c>
      <c r="B6866" t="str">
        <f>"1551685772704435"</f>
        <v>1551685772704435</v>
      </c>
      <c r="C6866" t="s">
        <v>40</v>
      </c>
      <c r="D6866">
        <v>4.4256419999999999</v>
      </c>
      <c r="E6866">
        <v>0.41972369999999998</v>
      </c>
      <c r="F6866" t="s">
        <v>68</v>
      </c>
      <c r="G6866">
        <v>-285.19299999999998</v>
      </c>
      <c r="H6866">
        <v>3.5001770000000001E-2</v>
      </c>
      <c r="I6866">
        <v>-70.383750000000006</v>
      </c>
      <c r="J6866">
        <v>-301.18900000000002</v>
      </c>
      <c r="K6866">
        <v>1.1109020000000001</v>
      </c>
      <c r="L6866">
        <v>-25.615390000000001</v>
      </c>
      <c r="M6866" s="1">
        <v>5.3099590000000003E-6</v>
      </c>
      <c r="N6866">
        <v>-9.3283069999999992E-3</v>
      </c>
      <c r="O6866">
        <v>-0.99995650000000003</v>
      </c>
      <c r="P6866">
        <v>0.13915130000000001</v>
      </c>
      <c r="Q6866">
        <v>0.16028110000000001</v>
      </c>
      <c r="R6866">
        <v>-0.97721400000000003</v>
      </c>
      <c r="S6866">
        <v>1.041595</v>
      </c>
      <c r="T6866">
        <v>-7.0050950000000001E-2</v>
      </c>
      <c r="U6866">
        <v>-2.9341740000000001</v>
      </c>
      <c r="V6866">
        <v>-0.1393672</v>
      </c>
      <c r="W6866">
        <v>0.16920859999999999</v>
      </c>
      <c r="X6866">
        <v>0.97567680000000001</v>
      </c>
      <c r="Y6866">
        <v>-0.33445239999999998</v>
      </c>
      <c r="Z6866">
        <v>1.316618E-2</v>
      </c>
      <c r="AA6866">
        <v>0.94232059999999995</v>
      </c>
      <c r="AB6866">
        <v>30</v>
      </c>
      <c r="AC6866">
        <v>15.996</v>
      </c>
      <c r="AD6866">
        <v>-1.07590023</v>
      </c>
      <c r="AE6866">
        <v>-44.768360000000001</v>
      </c>
      <c r="AF6866">
        <v>-15.9875737945142</v>
      </c>
      <c r="AG6866">
        <v>-1.07590023</v>
      </c>
      <c r="AH6866">
        <v>44.745527285547702</v>
      </c>
      <c r="AI6866">
        <v>91.297122778641494</v>
      </c>
      <c r="AJ6866">
        <v>109.66180524839601</v>
      </c>
      <c r="AK6866">
        <v>47.528121035884098</v>
      </c>
      <c r="AL6866">
        <v>80.258191338296697</v>
      </c>
      <c r="AM6866">
        <v>98.129227597481304</v>
      </c>
      <c r="AN6866">
        <v>0.99999999240402004</v>
      </c>
    </row>
    <row r="6867" spans="1:40" x14ac:dyDescent="0.25">
      <c r="A6867" t="str">
        <f>"20190304154932730"</f>
        <v>20190304154932730</v>
      </c>
      <c r="B6867" t="str">
        <f>"1551685772723955"</f>
        <v>1551685772723955</v>
      </c>
      <c r="C6867" t="s">
        <v>40</v>
      </c>
      <c r="D6867">
        <v>4.4306769999999904</v>
      </c>
      <c r="E6867">
        <v>0.41976869999999999</v>
      </c>
      <c r="F6867" t="s">
        <v>68</v>
      </c>
      <c r="G6867">
        <v>-285.18729999999999</v>
      </c>
      <c r="H6867">
        <v>3.3509490000000003E-2</v>
      </c>
      <c r="I6867">
        <v>-70.383740000000003</v>
      </c>
      <c r="J6867">
        <v>-301.18819999999999</v>
      </c>
      <c r="K6867">
        <v>1.1109910000000001</v>
      </c>
      <c r="L6867">
        <v>-25.912230000000001</v>
      </c>
      <c r="M6867">
        <v>8.6193999999999995E-4</v>
      </c>
      <c r="N6867">
        <v>-9.3318250000000002E-3</v>
      </c>
      <c r="O6867">
        <v>-0.99995630000000002</v>
      </c>
      <c r="P6867">
        <v>0.141179</v>
      </c>
      <c r="Q6867">
        <v>0.1607614</v>
      </c>
      <c r="R6867">
        <v>-0.97684439999999995</v>
      </c>
      <c r="S6867">
        <v>1.0480959999999999</v>
      </c>
      <c r="T6867">
        <v>-7.0568080000000005E-2</v>
      </c>
      <c r="U6867">
        <v>-2.9322810000000001</v>
      </c>
      <c r="V6867">
        <v>-0.14059169999999999</v>
      </c>
      <c r="W6867">
        <v>0.1696607</v>
      </c>
      <c r="X6867">
        <v>0.97542260000000003</v>
      </c>
      <c r="Y6867">
        <v>-0.33568890000000001</v>
      </c>
      <c r="Z6867">
        <v>1.333048E-2</v>
      </c>
      <c r="AA6867">
        <v>0.94187860000000001</v>
      </c>
      <c r="AB6867">
        <v>30</v>
      </c>
      <c r="AC6867">
        <v>16.000900000000001</v>
      </c>
      <c r="AD6867">
        <v>-1.0774815099999999</v>
      </c>
      <c r="AE6867">
        <v>-44.471510000000002</v>
      </c>
      <c r="AF6867">
        <v>-15.9542685477118</v>
      </c>
      <c r="AG6867">
        <v>-1.0774815099999999</v>
      </c>
      <c r="AH6867">
        <v>44.4621771142358</v>
      </c>
      <c r="AI6867">
        <v>91.306670598773295</v>
      </c>
      <c r="AJ6867">
        <v>109.73940143665099</v>
      </c>
      <c r="AK6867">
        <v>47.250236454800699</v>
      </c>
      <c r="AL6867">
        <v>80.231908106928103</v>
      </c>
      <c r="AM6867">
        <v>98.201792854585094</v>
      </c>
      <c r="AN6867">
        <v>1.0000000139120699</v>
      </c>
    </row>
    <row r="6868" spans="1:40" x14ac:dyDescent="0.25">
      <c r="A6868" t="str">
        <f>"20190304154932753"</f>
        <v>20190304154932753</v>
      </c>
      <c r="B6868" t="str">
        <f>"1551685772744664"</f>
        <v>1551685772744664</v>
      </c>
      <c r="C6868" t="s">
        <v>40</v>
      </c>
      <c r="D6868">
        <v>4.4177059999999999</v>
      </c>
      <c r="E6868">
        <v>0.41970990000000002</v>
      </c>
      <c r="F6868" t="s">
        <v>68</v>
      </c>
      <c r="G6868">
        <v>-285.19450000000001</v>
      </c>
      <c r="H6868">
        <v>3.1587999999999998E-2</v>
      </c>
      <c r="I6868">
        <v>-70.383750000000006</v>
      </c>
      <c r="J6868">
        <v>-301.18700000000001</v>
      </c>
      <c r="K6868">
        <v>1.111067</v>
      </c>
      <c r="L6868">
        <v>-26.209530000000001</v>
      </c>
      <c r="M6868">
        <v>1.8209420000000001E-3</v>
      </c>
      <c r="N6868">
        <v>-9.3356989999999994E-3</v>
      </c>
      <c r="O6868">
        <v>-0.99995469999999997</v>
      </c>
      <c r="P6868">
        <v>0.14328479999999999</v>
      </c>
      <c r="Q6868">
        <v>0.160717</v>
      </c>
      <c r="R6868">
        <v>-0.97654470000000004</v>
      </c>
      <c r="S6868">
        <v>1.053925</v>
      </c>
      <c r="T6868">
        <v>-7.1128730000000001E-2</v>
      </c>
      <c r="U6868">
        <v>-2.9305110000000001</v>
      </c>
      <c r="V6868">
        <v>-0.1417928</v>
      </c>
      <c r="W6868">
        <v>0.1695902</v>
      </c>
      <c r="X6868">
        <v>0.97526100000000004</v>
      </c>
      <c r="Y6868">
        <v>-0.33662429999999999</v>
      </c>
      <c r="Z6868">
        <v>1.3509709999999999E-2</v>
      </c>
      <c r="AA6868">
        <v>0.94154210000000005</v>
      </c>
      <c r="AB6868">
        <v>30</v>
      </c>
      <c r="AC6868">
        <v>15.9925</v>
      </c>
      <c r="AD6868">
        <v>-1.0794790000000001</v>
      </c>
      <c r="AE6868">
        <v>-44.174219999999998</v>
      </c>
      <c r="AF6868">
        <v>-15.9036347763553</v>
      </c>
      <c r="AG6868">
        <v>-1.0794790000000001</v>
      </c>
      <c r="AH6868">
        <v>44.179944140952102</v>
      </c>
      <c r="AI6868">
        <v>91.316971631632796</v>
      </c>
      <c r="AJ6868">
        <v>109.797561658817</v>
      </c>
      <c r="AK6868">
        <v>46.967630750430502</v>
      </c>
      <c r="AL6868">
        <v>80.236006976039107</v>
      </c>
      <c r="AM6868">
        <v>98.272248404568899</v>
      </c>
      <c r="AN6868">
        <v>1.00000002609443</v>
      </c>
    </row>
    <row r="6869" spans="1:40" x14ac:dyDescent="0.25">
      <c r="A6869" t="str">
        <f>"20190304154932774"</f>
        <v>20190304154932774</v>
      </c>
      <c r="B6869" t="str">
        <f>"1551685772764183"</f>
        <v>1551685772764183</v>
      </c>
      <c r="C6869" t="s">
        <v>40</v>
      </c>
      <c r="D6869">
        <v>4.426558</v>
      </c>
      <c r="E6869">
        <v>0.41966029999999999</v>
      </c>
      <c r="F6869" t="s">
        <v>68</v>
      </c>
      <c r="G6869">
        <v>-285.18720000000002</v>
      </c>
      <c r="H6869">
        <v>1.8055459999999999E-2</v>
      </c>
      <c r="I6869">
        <v>-70.383750000000006</v>
      </c>
      <c r="J6869">
        <v>-301.18540000000002</v>
      </c>
      <c r="K6869">
        <v>1.111137</v>
      </c>
      <c r="L6869">
        <v>-26.50357</v>
      </c>
      <c r="M6869">
        <v>2.8553179999999999E-3</v>
      </c>
      <c r="N6869">
        <v>-9.3398219999999994E-3</v>
      </c>
      <c r="O6869">
        <v>-0.99995239999999996</v>
      </c>
      <c r="P6869">
        <v>0.14539289999999999</v>
      </c>
      <c r="Q6869">
        <v>0.16027179999999999</v>
      </c>
      <c r="R6869">
        <v>-0.97630640000000002</v>
      </c>
      <c r="S6869">
        <v>1.060638</v>
      </c>
      <c r="T6869">
        <v>-7.2456599999999996E-2</v>
      </c>
      <c r="U6869">
        <v>-2.9283450000000002</v>
      </c>
      <c r="V6869">
        <v>-0.14291909999999999</v>
      </c>
      <c r="W6869">
        <v>0.16912170000000001</v>
      </c>
      <c r="X6869">
        <v>0.97517790000000004</v>
      </c>
      <c r="Y6869">
        <v>-0.33777869999999999</v>
      </c>
      <c r="Z6869">
        <v>1.3935909999999999E-2</v>
      </c>
      <c r="AA6869">
        <v>0.94112240000000003</v>
      </c>
      <c r="AB6869">
        <v>30</v>
      </c>
      <c r="AC6869">
        <v>15.998199999999899</v>
      </c>
      <c r="AD6869">
        <v>-1.09308154</v>
      </c>
      <c r="AE6869">
        <v>-43.880180000000003</v>
      </c>
      <c r="AF6869">
        <v>-15.8641481722723</v>
      </c>
      <c r="AG6869">
        <v>-1.09308154</v>
      </c>
      <c r="AH6869">
        <v>43.901636760299098</v>
      </c>
      <c r="AI6869">
        <v>91.341419869448501</v>
      </c>
      <c r="AJ6869">
        <v>109.867658583717</v>
      </c>
      <c r="AK6869">
        <v>46.692823160718703</v>
      </c>
      <c r="AL6869">
        <v>80.263243004175393</v>
      </c>
      <c r="AM6869">
        <v>98.337737635885802</v>
      </c>
      <c r="AN6869">
        <v>0.99999997760205395</v>
      </c>
    </row>
    <row r="6870" spans="1:40" x14ac:dyDescent="0.25">
      <c r="A6870" t="str">
        <f>"20190304154932798"</f>
        <v>20190304154932798</v>
      </c>
      <c r="B6870" t="str">
        <f>"1551685772794439"</f>
        <v>1551685772794439</v>
      </c>
      <c r="C6870" t="s">
        <v>40</v>
      </c>
      <c r="D6870">
        <v>4.4146519999999896</v>
      </c>
      <c r="E6870">
        <v>0.41954429999999998</v>
      </c>
      <c r="F6870" t="s">
        <v>68</v>
      </c>
      <c r="G6870">
        <v>-285.3646</v>
      </c>
      <c r="H6870" s="1">
        <v>-4.1392360000000003E-6</v>
      </c>
      <c r="I6870">
        <v>-69.888350000000003</v>
      </c>
      <c r="J6870">
        <v>-301.18329999999997</v>
      </c>
      <c r="K6870">
        <v>1.111194</v>
      </c>
      <c r="L6870">
        <v>-26.810669999999998</v>
      </c>
      <c r="M6870">
        <v>4.0032100000000001E-3</v>
      </c>
      <c r="N6870">
        <v>-9.3442590000000006E-3</v>
      </c>
      <c r="O6870">
        <v>-0.99994830000000001</v>
      </c>
      <c r="P6870">
        <v>0.147305399999999</v>
      </c>
      <c r="Q6870">
        <v>0.1602537</v>
      </c>
      <c r="R6870">
        <v>-0.97602250000000002</v>
      </c>
      <c r="S6870">
        <v>1.067078</v>
      </c>
      <c r="T6870">
        <v>-7.494402E-2</v>
      </c>
      <c r="U6870">
        <v>-2.9262079999999999</v>
      </c>
      <c r="V6870">
        <v>-0.14373659999999999</v>
      </c>
      <c r="W6870">
        <v>0.16908399999999901</v>
      </c>
      <c r="X6870">
        <v>0.97506429999999999</v>
      </c>
      <c r="Y6870">
        <v>-0.33874189999999998</v>
      </c>
      <c r="Z6870">
        <v>1.473521E-2</v>
      </c>
      <c r="AA6870">
        <v>0.94076400000000004</v>
      </c>
      <c r="AB6870">
        <v>30</v>
      </c>
      <c r="AC6870">
        <v>15.8186999999999</v>
      </c>
      <c r="AD6870">
        <v>-1.111198139236</v>
      </c>
      <c r="AE6870">
        <v>-43.077680000000001</v>
      </c>
      <c r="AF6870">
        <v>-15.636948301215201</v>
      </c>
      <c r="AG6870">
        <v>-1.111198139236</v>
      </c>
      <c r="AH6870">
        <v>43.1153833256962</v>
      </c>
      <c r="AI6870">
        <v>91.387915541756598</v>
      </c>
      <c r="AJ6870">
        <v>109.93453239604401</v>
      </c>
      <c r="AK6870">
        <v>45.876848113195898</v>
      </c>
      <c r="AL6870">
        <v>80.265434829980094</v>
      </c>
      <c r="AM6870">
        <v>98.385716517603697</v>
      </c>
      <c r="AN6870">
        <v>0.99999999918502502</v>
      </c>
    </row>
    <row r="6871" spans="1:40" x14ac:dyDescent="0.25">
      <c r="A6871" t="str">
        <f>"20190304154932832"</f>
        <v>20190304154932832</v>
      </c>
      <c r="B6871" t="str">
        <f>"1551685772823719"</f>
        <v>1551685772823719</v>
      </c>
      <c r="C6871" t="s">
        <v>40</v>
      </c>
      <c r="D6871">
        <v>4.4019709999999996</v>
      </c>
      <c r="E6871">
        <v>0.41944749999999997</v>
      </c>
      <c r="F6871" t="s">
        <v>68</v>
      </c>
      <c r="G6871">
        <v>-285.45170000000002</v>
      </c>
      <c r="H6871" s="1">
        <v>-4.138966E-6</v>
      </c>
      <c r="I6871">
        <v>-69.657769999999999</v>
      </c>
      <c r="J6871">
        <v>-301.17970000000003</v>
      </c>
      <c r="K6871">
        <v>1.1112629999999999</v>
      </c>
      <c r="L6871">
        <v>-27.259</v>
      </c>
      <c r="M6871">
        <v>5.7783599999999997E-3</v>
      </c>
      <c r="N6871">
        <v>-9.3508489999999996E-3</v>
      </c>
      <c r="O6871">
        <v>-0.99993989999999999</v>
      </c>
      <c r="P6871">
        <v>0.1503215</v>
      </c>
      <c r="Q6871">
        <v>0.160130299999999</v>
      </c>
      <c r="R6871">
        <v>-0.97558319999999998</v>
      </c>
      <c r="S6871">
        <v>1.0736079999999999</v>
      </c>
      <c r="T6871">
        <v>-7.5833800000000007E-2</v>
      </c>
      <c r="U6871">
        <v>-2.9241030000000001</v>
      </c>
      <c r="V6871">
        <v>-0.14505079999999901</v>
      </c>
      <c r="W6871">
        <v>0.16893739999999999</v>
      </c>
      <c r="X6871">
        <v>0.97489510000000001</v>
      </c>
      <c r="Y6871">
        <v>-0.33914050000000001</v>
      </c>
      <c r="Z6871">
        <v>1.5022560000000001E-2</v>
      </c>
      <c r="AA6871">
        <v>0.9406158</v>
      </c>
      <c r="AB6871">
        <v>30</v>
      </c>
      <c r="AC6871">
        <v>15.728</v>
      </c>
      <c r="AD6871">
        <v>-1.1112671389659901</v>
      </c>
      <c r="AE6871">
        <v>-42.398769999999999</v>
      </c>
      <c r="AF6871">
        <v>-15.473387608415599</v>
      </c>
      <c r="AG6871">
        <v>-1.1112671389659901</v>
      </c>
      <c r="AH6871">
        <v>42.463306082793402</v>
      </c>
      <c r="AI6871">
        <v>91.408530954579206</v>
      </c>
      <c r="AJ6871">
        <v>110.021453109416</v>
      </c>
      <c r="AK6871">
        <v>45.208328903150303</v>
      </c>
      <c r="AL6871">
        <v>80.273957172528995</v>
      </c>
      <c r="AM6871">
        <v>98.462730359081903</v>
      </c>
      <c r="AN6871">
        <v>1.0000000178516999</v>
      </c>
    </row>
    <row r="6872" spans="1:40" x14ac:dyDescent="0.25">
      <c r="A6872" t="str">
        <f>"20190304154932854"</f>
        <v>20190304154932854</v>
      </c>
      <c r="B6872" t="str">
        <f>"1551685772844486"</f>
        <v>1551685772844486</v>
      </c>
      <c r="C6872" t="s">
        <v>40</v>
      </c>
      <c r="D6872">
        <v>4.184043</v>
      </c>
      <c r="E6872">
        <v>0.41923779999999999</v>
      </c>
      <c r="F6872" t="s">
        <v>68</v>
      </c>
      <c r="G6872">
        <v>-285.67</v>
      </c>
      <c r="H6872" s="1">
        <v>-4.1376879999999999E-6</v>
      </c>
      <c r="I6872">
        <v>-69.082239999999999</v>
      </c>
      <c r="J6872">
        <v>-301.17669999999998</v>
      </c>
      <c r="K6872">
        <v>1.1113040000000001</v>
      </c>
      <c r="L6872">
        <v>-27.555299999999999</v>
      </c>
      <c r="M6872">
        <v>7.0178159999999996E-3</v>
      </c>
      <c r="N6872">
        <v>-9.3555340000000004E-3</v>
      </c>
      <c r="O6872">
        <v>-0.99993180000000004</v>
      </c>
      <c r="P6872">
        <v>0.1524075</v>
      </c>
      <c r="Q6872">
        <v>0.15997169999999999</v>
      </c>
      <c r="R6872">
        <v>-0.97528519999999996</v>
      </c>
      <c r="S6872">
        <v>1.083191</v>
      </c>
      <c r="T6872">
        <v>-7.7610730000000003E-2</v>
      </c>
      <c r="U6872">
        <v>-2.9209290000000001</v>
      </c>
      <c r="V6872">
        <v>-0.1459453</v>
      </c>
      <c r="W6872">
        <v>0.1687659</v>
      </c>
      <c r="X6872">
        <v>0.97479130000000003</v>
      </c>
      <c r="Y6872">
        <v>-0.34101579999999998</v>
      </c>
      <c r="Z6872">
        <v>1.5593320000000001E-2</v>
      </c>
      <c r="AA6872">
        <v>0.93992819999999999</v>
      </c>
      <c r="AB6872">
        <v>30</v>
      </c>
      <c r="AC6872">
        <v>15.506699999999899</v>
      </c>
      <c r="AD6872">
        <v>-1.1113081376880001</v>
      </c>
      <c r="AE6872">
        <v>-41.526940000000003</v>
      </c>
      <c r="AF6872">
        <v>-15.205320149346701</v>
      </c>
      <c r="AG6872">
        <v>-1.1113081376880001</v>
      </c>
      <c r="AH6872">
        <v>41.608593403058897</v>
      </c>
      <c r="AI6872">
        <v>91.437023212938001</v>
      </c>
      <c r="AJ6872">
        <v>110.074174457246</v>
      </c>
      <c r="AK6872">
        <v>44.313788052953697</v>
      </c>
      <c r="AL6872">
        <v>80.283926556006307</v>
      </c>
      <c r="AM6872">
        <v>98.515049100532295</v>
      </c>
      <c r="AN6872">
        <v>1.00000001907529</v>
      </c>
    </row>
    <row r="6873" spans="1:40" x14ac:dyDescent="0.25">
      <c r="A6873" t="str">
        <f>"20190304154932876"</f>
        <v>20190304154932876</v>
      </c>
      <c r="B6873" t="str">
        <f>"1551685772864006"</f>
        <v>1551685772864006</v>
      </c>
      <c r="C6873" t="s">
        <v>40</v>
      </c>
      <c r="D6873">
        <v>4.1924869999999999</v>
      </c>
      <c r="E6873">
        <v>0.41902470000000003</v>
      </c>
      <c r="F6873" t="s">
        <v>68</v>
      </c>
      <c r="G6873">
        <v>-285.55009999999999</v>
      </c>
      <c r="H6873" s="1">
        <v>-4.1479480000000002E-6</v>
      </c>
      <c r="I6873">
        <v>-69.355289999999997</v>
      </c>
      <c r="J6873">
        <v>-301.17329999999998</v>
      </c>
      <c r="K6873">
        <v>1.1113379999999999</v>
      </c>
      <c r="L6873">
        <v>-27.854399999999998</v>
      </c>
      <c r="M6873">
        <v>8.3037839999999998E-3</v>
      </c>
      <c r="N6873">
        <v>-9.3604099999999996E-3</v>
      </c>
      <c r="O6873">
        <v>-0.99992190000000003</v>
      </c>
      <c r="P6873">
        <v>0.1546382</v>
      </c>
      <c r="Q6873">
        <v>0.15951599999999999</v>
      </c>
      <c r="R6873">
        <v>-0.97500880000000001</v>
      </c>
      <c r="S6873">
        <v>1.090973</v>
      </c>
      <c r="T6873">
        <v>-7.7586169999999996E-2</v>
      </c>
      <c r="U6873">
        <v>-2.9182739999999998</v>
      </c>
      <c r="V6873">
        <v>-0.1469375</v>
      </c>
      <c r="W6873">
        <v>0.16829820000000001</v>
      </c>
      <c r="X6873">
        <v>0.97472309999999995</v>
      </c>
      <c r="Y6873">
        <v>-0.34228619999999998</v>
      </c>
      <c r="Z6873">
        <v>1.5586539999999999E-2</v>
      </c>
      <c r="AA6873">
        <v>0.93946649999999998</v>
      </c>
      <c r="AB6873">
        <v>30</v>
      </c>
      <c r="AC6873">
        <v>15.623199999999899</v>
      </c>
      <c r="AD6873">
        <v>-1.1113421479479999</v>
      </c>
      <c r="AE6873">
        <v>-41.500889999999998</v>
      </c>
      <c r="AF6873">
        <v>-15.268441896414799</v>
      </c>
      <c r="AG6873">
        <v>-1.1113421479479999</v>
      </c>
      <c r="AH6873">
        <v>41.603065916199903</v>
      </c>
      <c r="AI6873">
        <v>91.436531818009399</v>
      </c>
      <c r="AJ6873">
        <v>110.15327845684401</v>
      </c>
      <c r="AK6873">
        <v>44.330299941932203</v>
      </c>
      <c r="AL6873">
        <v>80.311112640219605</v>
      </c>
      <c r="AM6873">
        <v>98.572671851238098</v>
      </c>
      <c r="AN6873">
        <v>1.00000001735154</v>
      </c>
    </row>
    <row r="6874" spans="1:40" x14ac:dyDescent="0.25">
      <c r="A6874" t="str">
        <f>"20190304154932899"</f>
        <v>20190304154932899</v>
      </c>
      <c r="B6874" t="str">
        <f>"1551685772894275"</f>
        <v>1551685772894275</v>
      </c>
      <c r="C6874" t="s">
        <v>40</v>
      </c>
      <c r="D6874">
        <v>4.4177710000000001</v>
      </c>
      <c r="E6874">
        <v>0.41882190000000002</v>
      </c>
      <c r="F6874" t="s">
        <v>68</v>
      </c>
      <c r="G6874">
        <v>-285.58580000000001</v>
      </c>
      <c r="H6874" s="1">
        <v>-4.1635869999999997E-6</v>
      </c>
      <c r="I6874">
        <v>-69.190089999999998</v>
      </c>
      <c r="J6874">
        <v>-301.1694</v>
      </c>
      <c r="K6874">
        <v>1.1113759999999999</v>
      </c>
      <c r="L6874">
        <v>-28.159939999999999</v>
      </c>
      <c r="M6874">
        <v>9.6555189999999996E-3</v>
      </c>
      <c r="N6874">
        <v>-9.3654840000000003E-3</v>
      </c>
      <c r="O6874">
        <v>-0.99990950000000001</v>
      </c>
      <c r="P6874">
        <v>0.15693389999999999</v>
      </c>
      <c r="Q6874">
        <v>0.159526799999999</v>
      </c>
      <c r="R6874">
        <v>-0.97464019999999996</v>
      </c>
      <c r="S6874">
        <v>1.0993649999999999</v>
      </c>
      <c r="T6874">
        <v>-7.8381300000000001E-2</v>
      </c>
      <c r="U6874">
        <v>-2.9153440000000002</v>
      </c>
      <c r="V6874">
        <v>-0.1479326</v>
      </c>
      <c r="W6874">
        <v>0.168295899999999</v>
      </c>
      <c r="X6874">
        <v>0.97457300000000002</v>
      </c>
      <c r="Y6874">
        <v>-0.34369319999999998</v>
      </c>
      <c r="Z6874">
        <v>1.5843489999999998E-2</v>
      </c>
      <c r="AA6874">
        <v>0.93894829999999996</v>
      </c>
      <c r="AB6874">
        <v>30</v>
      </c>
      <c r="AC6874">
        <v>15.583599999999899</v>
      </c>
      <c r="AD6874">
        <v>-1.111380163587</v>
      </c>
      <c r="AE6874">
        <v>-41.0301499999999</v>
      </c>
      <c r="AF6874">
        <v>-15.176957188214701</v>
      </c>
      <c r="AG6874">
        <v>-1.111380163587</v>
      </c>
      <c r="AH6874">
        <v>41.152324487262703</v>
      </c>
      <c r="AI6874">
        <v>91.451464168475496</v>
      </c>
      <c r="AJ6874">
        <v>110.243949693551</v>
      </c>
      <c r="AK6874">
        <v>43.875836243493701</v>
      </c>
      <c r="AL6874">
        <v>80.311246629284895</v>
      </c>
      <c r="AM6874">
        <v>98.631166188519799</v>
      </c>
      <c r="AN6874">
        <v>1.0000000482142799</v>
      </c>
    </row>
    <row r="6875" spans="1:40" x14ac:dyDescent="0.25">
      <c r="A6875" t="str">
        <f>"20190304154932920"</f>
        <v>20190304154932920</v>
      </c>
      <c r="B6875" t="str">
        <f>"1551685772913782"</f>
        <v>1551685772913782</v>
      </c>
      <c r="C6875" t="s">
        <v>40</v>
      </c>
      <c r="D6875">
        <v>4.2200899999999999</v>
      </c>
      <c r="E6875">
        <v>0.41866320000000001</v>
      </c>
      <c r="F6875" t="s">
        <v>68</v>
      </c>
      <c r="G6875">
        <v>-285.37569999999999</v>
      </c>
      <c r="H6875" s="1">
        <v>-4.180047E-6</v>
      </c>
      <c r="I6875">
        <v>-69.675309999999996</v>
      </c>
      <c r="J6875">
        <v>-301.1653</v>
      </c>
      <c r="K6875">
        <v>1.1114120000000001</v>
      </c>
      <c r="L6875">
        <v>-28.45224</v>
      </c>
      <c r="M6875">
        <v>1.098736E-2</v>
      </c>
      <c r="N6875">
        <v>-9.3705200000000002E-3</v>
      </c>
      <c r="O6875">
        <v>-0.99989589999999995</v>
      </c>
      <c r="P6875">
        <v>0.15935669999999999</v>
      </c>
      <c r="Q6875">
        <v>0.1595087</v>
      </c>
      <c r="R6875">
        <v>-0.9742497</v>
      </c>
      <c r="S6875">
        <v>1.10797099999999</v>
      </c>
      <c r="T6875">
        <v>-7.796633E-2</v>
      </c>
      <c r="U6875">
        <v>-2.9124150000000002</v>
      </c>
      <c r="V6875">
        <v>-0.1490746</v>
      </c>
      <c r="W6875">
        <v>0.16826479999999999</v>
      </c>
      <c r="X6875">
        <v>0.9744043</v>
      </c>
      <c r="Y6875">
        <v>-0.345180599999999</v>
      </c>
      <c r="Z6875">
        <v>1.5710890000000002E-2</v>
      </c>
      <c r="AA6875">
        <v>0.93840480000000004</v>
      </c>
      <c r="AB6875">
        <v>30</v>
      </c>
      <c r="AC6875">
        <v>15.7896</v>
      </c>
      <c r="AD6875">
        <v>-1.1114161800469999</v>
      </c>
      <c r="AE6875">
        <v>-41.2230699999999</v>
      </c>
      <c r="AF6875">
        <v>-15.3259791937559</v>
      </c>
      <c r="AG6875">
        <v>-1.1114161800469999</v>
      </c>
      <c r="AH6875">
        <v>41.367852075740799</v>
      </c>
      <c r="AI6875">
        <v>91.443163211304594</v>
      </c>
      <c r="AJ6875">
        <v>110.328681387955</v>
      </c>
      <c r="AK6875">
        <v>44.1295827029113</v>
      </c>
      <c r="AL6875">
        <v>80.3130539289713</v>
      </c>
      <c r="AM6875">
        <v>98.698264233490207</v>
      </c>
      <c r="AN6875">
        <v>1.0000000095713399</v>
      </c>
    </row>
    <row r="6876" spans="1:40" x14ac:dyDescent="0.25">
      <c r="A6876" t="str">
        <f>"20190304154932943"</f>
        <v>20190304154932943</v>
      </c>
      <c r="B6876" t="str">
        <f>"1551685772934278"</f>
        <v>1551685772934278</v>
      </c>
      <c r="C6876" t="s">
        <v>40</v>
      </c>
      <c r="D6876">
        <v>4.4053659999999999</v>
      </c>
      <c r="E6876">
        <v>0.41858469999999998</v>
      </c>
      <c r="F6876" t="s">
        <v>68</v>
      </c>
      <c r="G6876">
        <v>-285.10719999999998</v>
      </c>
      <c r="H6876" s="1">
        <v>-4.2020179999999998E-6</v>
      </c>
      <c r="I6876">
        <v>-70.291110000000003</v>
      </c>
      <c r="J6876">
        <v>-301.16050000000001</v>
      </c>
      <c r="K6876">
        <v>1.111461</v>
      </c>
      <c r="L6876">
        <v>-28.756039999999999</v>
      </c>
      <c r="M6876">
        <v>1.241572E-2</v>
      </c>
      <c r="N6876">
        <v>-9.3759640000000005E-3</v>
      </c>
      <c r="O6876">
        <v>-0.99987890000000001</v>
      </c>
      <c r="P6876">
        <v>0.1615886</v>
      </c>
      <c r="Q6876">
        <v>0.15985669999999999</v>
      </c>
      <c r="R6876">
        <v>-0.97382480000000005</v>
      </c>
      <c r="S6876">
        <v>1.116608</v>
      </c>
      <c r="T6876">
        <v>-7.7283260000000006E-2</v>
      </c>
      <c r="U6876">
        <v>-2.9093019999999998</v>
      </c>
      <c r="V6876">
        <v>-0.14993519999999999</v>
      </c>
      <c r="W6876">
        <v>0.168599</v>
      </c>
      <c r="X6876">
        <v>0.97421440000000004</v>
      </c>
      <c r="Y6876">
        <v>-0.34660479999999999</v>
      </c>
      <c r="Z6876">
        <v>1.5493359999999999E-2</v>
      </c>
      <c r="AA6876">
        <v>0.93788329999999998</v>
      </c>
      <c r="AB6876">
        <v>30</v>
      </c>
      <c r="AC6876">
        <v>16.0533</v>
      </c>
      <c r="AD6876">
        <v>-1.111465202018</v>
      </c>
      <c r="AE6876">
        <v>-41.535069999999997</v>
      </c>
      <c r="AF6876">
        <v>-15.5266787052861</v>
      </c>
      <c r="AG6876">
        <v>-1.111465202018</v>
      </c>
      <c r="AH6876">
        <v>41.705207425435603</v>
      </c>
      <c r="AI6876">
        <v>91.4307097525015</v>
      </c>
      <c r="AJ6876">
        <v>110.42009365807399</v>
      </c>
      <c r="AK6876">
        <v>44.515586404214602</v>
      </c>
      <c r="AL6876">
        <v>80.293627487712996</v>
      </c>
      <c r="AM6876">
        <v>98.749383108438906</v>
      </c>
      <c r="AN6876">
        <v>0.99999994208369802</v>
      </c>
    </row>
    <row r="6877" spans="1:40" x14ac:dyDescent="0.25">
      <c r="A6877" t="str">
        <f>"20190304154932965"</f>
        <v>20190304154932965</v>
      </c>
      <c r="B6877" t="str">
        <f>"1551685772953798"</f>
        <v>1551685772953798</v>
      </c>
      <c r="C6877" t="s">
        <v>40</v>
      </c>
      <c r="D6877">
        <v>4.192958</v>
      </c>
      <c r="E6877">
        <v>0.41851660000000002</v>
      </c>
      <c r="F6877" t="s">
        <v>68</v>
      </c>
      <c r="G6877">
        <v>-285.05810000000002</v>
      </c>
      <c r="H6877">
        <v>2.536207E-2</v>
      </c>
      <c r="I6877">
        <v>-70.383740000000003</v>
      </c>
      <c r="J6877">
        <v>-301.15530000000001</v>
      </c>
      <c r="K6877">
        <v>1.111505</v>
      </c>
      <c r="L6877">
        <v>-29.051089999999999</v>
      </c>
      <c r="M6877">
        <v>1.3849E-2</v>
      </c>
      <c r="N6877">
        <v>-9.3814529999999997E-3</v>
      </c>
      <c r="O6877">
        <v>-0.99986010000000003</v>
      </c>
      <c r="P6877">
        <v>0.16427259999999999</v>
      </c>
      <c r="Q6877">
        <v>0.16085450000000001</v>
      </c>
      <c r="R6877">
        <v>-0.97321150000000001</v>
      </c>
      <c r="S6877">
        <v>1.124298</v>
      </c>
      <c r="T6877">
        <v>-7.5833440000000002E-2</v>
      </c>
      <c r="U6877">
        <v>-2.9065249999999998</v>
      </c>
      <c r="V6877">
        <v>-0.15124849999999901</v>
      </c>
      <c r="W6877">
        <v>0.16957939999999999</v>
      </c>
      <c r="X6877">
        <v>0.97384119999999996</v>
      </c>
      <c r="Y6877">
        <v>-0.34772330000000001</v>
      </c>
      <c r="Z6877">
        <v>1.5029259999999999E-2</v>
      </c>
      <c r="AA6877">
        <v>0.9374768</v>
      </c>
      <c r="AB6877">
        <v>30</v>
      </c>
      <c r="AC6877">
        <v>16.097199999999901</v>
      </c>
      <c r="AD6877">
        <v>-1.0861429300000001</v>
      </c>
      <c r="AE6877">
        <v>-41.332650000000001</v>
      </c>
      <c r="AF6877">
        <v>-15.513913002989799</v>
      </c>
      <c r="AG6877">
        <v>-1.0861429300000001</v>
      </c>
      <c r="AH6877">
        <v>41.526726509682703</v>
      </c>
      <c r="AI6877">
        <v>91.403540086346794</v>
      </c>
      <c r="AJ6877">
        <v>110.485116691247</v>
      </c>
      <c r="AK6877">
        <v>44.3433221324103</v>
      </c>
      <c r="AL6877">
        <v>80.236634432648202</v>
      </c>
      <c r="AM6877">
        <v>98.828147423478796</v>
      </c>
      <c r="AN6877">
        <v>0.99999998223702402</v>
      </c>
    </row>
    <row r="6878" spans="1:40" x14ac:dyDescent="0.25">
      <c r="A6878" t="str">
        <f>"20190304154932987"</f>
        <v>20190304154932987</v>
      </c>
      <c r="B6878" t="str">
        <f>"1551685772984054"</f>
        <v>1551685772984054</v>
      </c>
      <c r="C6878" t="s">
        <v>40</v>
      </c>
      <c r="D6878">
        <v>4.2016249999999999</v>
      </c>
      <c r="E6878">
        <v>0.41835939999999999</v>
      </c>
      <c r="F6878" t="s">
        <v>68</v>
      </c>
      <c r="G6878">
        <v>-285.02109999999999</v>
      </c>
      <c r="H6878">
        <v>7.2345619999999999E-2</v>
      </c>
      <c r="I6878">
        <v>-70.406109999999998</v>
      </c>
      <c r="J6878">
        <v>-301.14960000000002</v>
      </c>
      <c r="K6878">
        <v>1.111558</v>
      </c>
      <c r="L6878">
        <v>-29.355830000000001</v>
      </c>
      <c r="M6878">
        <v>1.538131E-2</v>
      </c>
      <c r="N6878">
        <v>-9.3871340000000001E-3</v>
      </c>
      <c r="O6878">
        <v>-0.9998378</v>
      </c>
      <c r="P6878">
        <v>0.1672544</v>
      </c>
      <c r="Q6878">
        <v>0.16193750000000001</v>
      </c>
      <c r="R6878">
        <v>-0.97252380000000005</v>
      </c>
      <c r="S6878">
        <v>1.1327510000000001</v>
      </c>
      <c r="T6878">
        <v>-7.2957040000000001E-2</v>
      </c>
      <c r="U6878">
        <v>-2.9034420000000001</v>
      </c>
      <c r="V6878">
        <v>-0.1527685</v>
      </c>
      <c r="W6878">
        <v>0.17064270000000001</v>
      </c>
      <c r="X6878">
        <v>0.97341809999999995</v>
      </c>
      <c r="Y6878">
        <v>-0.34899829999999998</v>
      </c>
      <c r="Z6878">
        <v>1.410666E-2</v>
      </c>
      <c r="AA6878">
        <v>0.93701719999999999</v>
      </c>
      <c r="AB6878">
        <v>30</v>
      </c>
      <c r="AC6878">
        <v>16.128499999999999</v>
      </c>
      <c r="AD6878">
        <v>-1.0392123799999999</v>
      </c>
      <c r="AE6878">
        <v>-41.050280000000001</v>
      </c>
      <c r="AF6878">
        <v>-15.486559243939301</v>
      </c>
      <c r="AG6878">
        <v>-1.0392123799999999</v>
      </c>
      <c r="AH6878">
        <v>41.270599168834501</v>
      </c>
      <c r="AI6878">
        <v>91.350514928988005</v>
      </c>
      <c r="AJ6878">
        <v>110.568318505281</v>
      </c>
      <c r="AK6878">
        <v>44.092809338274002</v>
      </c>
      <c r="AL6878">
        <v>80.174810633129198</v>
      </c>
      <c r="AM6878">
        <v>98.919262116663006</v>
      </c>
      <c r="AN6878">
        <v>0.99999997153157405</v>
      </c>
    </row>
    <row r="6879" spans="1:40" x14ac:dyDescent="0.25">
      <c r="A6879" t="str">
        <f>"20190304154933011"</f>
        <v>20190304154933011</v>
      </c>
      <c r="B6879" t="str">
        <f>"1551685773004550"</f>
        <v>1551685773004550</v>
      </c>
      <c r="C6879" t="s">
        <v>40</v>
      </c>
      <c r="D6879">
        <v>4.2113849999999999</v>
      </c>
      <c r="E6879">
        <v>0.4182456</v>
      </c>
      <c r="F6879" t="s">
        <v>68</v>
      </c>
      <c r="G6879">
        <v>-284.05970000000002</v>
      </c>
      <c r="H6879">
        <v>7.9986689999999999E-2</v>
      </c>
      <c r="I6879">
        <v>-72.70729</v>
      </c>
      <c r="J6879">
        <v>-301.1431</v>
      </c>
      <c r="K6879">
        <v>1.111612</v>
      </c>
      <c r="L6879">
        <v>-29.66968</v>
      </c>
      <c r="M6879">
        <v>1.7020380000000002E-2</v>
      </c>
      <c r="N6879">
        <v>-9.3932470000000004E-3</v>
      </c>
      <c r="O6879">
        <v>-0.99981120000000001</v>
      </c>
      <c r="P6879">
        <v>0.16978579999999999</v>
      </c>
      <c r="Q6879">
        <v>0.16235539999999901</v>
      </c>
      <c r="R6879">
        <v>-0.97201519999999997</v>
      </c>
      <c r="S6879">
        <v>1.143097</v>
      </c>
      <c r="T6879">
        <v>-6.899893E-2</v>
      </c>
      <c r="U6879">
        <v>-2.8996580000000001</v>
      </c>
      <c r="V6879">
        <v>-0.1537319</v>
      </c>
      <c r="W6879">
        <v>0.17104249999999999</v>
      </c>
      <c r="X6879">
        <v>0.97319630000000001</v>
      </c>
      <c r="Y6879">
        <v>-0.35078029999999999</v>
      </c>
      <c r="Z6879">
        <v>1.2835640000000001E-2</v>
      </c>
      <c r="AA6879">
        <v>0.93636980000000003</v>
      </c>
      <c r="AB6879">
        <v>30</v>
      </c>
      <c r="AC6879">
        <v>17.083399999999902</v>
      </c>
      <c r="AD6879">
        <v>-1.0316253099999999</v>
      </c>
      <c r="AE6879">
        <v>-43.037610000000001</v>
      </c>
      <c r="AF6879">
        <v>-16.340265691321299</v>
      </c>
      <c r="AG6879">
        <v>-1.0316253099999999</v>
      </c>
      <c r="AH6879">
        <v>43.300660842288003</v>
      </c>
      <c r="AI6879">
        <v>91.2769323538799</v>
      </c>
      <c r="AJ6879">
        <v>110.674880742206</v>
      </c>
      <c r="AK6879">
        <v>46.292718250520402</v>
      </c>
      <c r="AL6879">
        <v>80.151562628100095</v>
      </c>
      <c r="AM6879">
        <v>98.976608796076405</v>
      </c>
      <c r="AN6879">
        <v>1.00000003610877</v>
      </c>
    </row>
    <row r="6880" spans="1:40" x14ac:dyDescent="0.25">
      <c r="A6880" t="str">
        <f>"20190304154933034"</f>
        <v>20190304154933034</v>
      </c>
      <c r="B6880" t="str">
        <f>"1551685773024071"</f>
        <v>1551685773024071</v>
      </c>
      <c r="C6880" t="s">
        <v>40</v>
      </c>
      <c r="D6880">
        <v>4.2201279999999999</v>
      </c>
      <c r="E6880">
        <v>0.41814750000000001</v>
      </c>
      <c r="F6880" t="s">
        <v>68</v>
      </c>
      <c r="G6880">
        <v>-283.39890000000003</v>
      </c>
      <c r="H6880">
        <v>7.9986810000000005E-2</v>
      </c>
      <c r="I6880">
        <v>-74.270209999999906</v>
      </c>
      <c r="J6880">
        <v>-301.1361</v>
      </c>
      <c r="K6880">
        <v>1.111669</v>
      </c>
      <c r="L6880">
        <v>-29.979430000000001</v>
      </c>
      <c r="M6880">
        <v>1.8714020000000001E-2</v>
      </c>
      <c r="N6880">
        <v>-9.3998039999999995E-3</v>
      </c>
      <c r="O6880">
        <v>-0.99978080000000003</v>
      </c>
      <c r="P6880">
        <v>0.1729733</v>
      </c>
      <c r="Q6880">
        <v>0.16224379999999999</v>
      </c>
      <c r="R6880">
        <v>-0.9714718</v>
      </c>
      <c r="S6880">
        <v>1.1522829999999999</v>
      </c>
      <c r="T6880">
        <v>-6.6992399999999994E-2</v>
      </c>
      <c r="U6880">
        <v>-2.8963009999999998</v>
      </c>
      <c r="V6880">
        <v>-0.1553001</v>
      </c>
      <c r="W6880">
        <v>0.17091010000000001</v>
      </c>
      <c r="X6880">
        <v>0.97297049999999996</v>
      </c>
      <c r="Y6880">
        <v>-0.35213430000000001</v>
      </c>
      <c r="Z6880">
        <v>1.2191530000000001E-2</v>
      </c>
      <c r="AA6880">
        <v>0.93587010000000004</v>
      </c>
      <c r="AB6880">
        <v>30</v>
      </c>
      <c r="AC6880">
        <v>17.737199999999898</v>
      </c>
      <c r="AD6880">
        <v>-1.0316821899999999</v>
      </c>
      <c r="AE6880">
        <v>-44.290779999999998</v>
      </c>
      <c r="AF6880">
        <v>-16.8972974497227</v>
      </c>
      <c r="AG6880">
        <v>-1.0316821899999999</v>
      </c>
      <c r="AH6880">
        <v>44.594120146017303</v>
      </c>
      <c r="AI6880">
        <v>91.239341149905499</v>
      </c>
      <c r="AJ6880">
        <v>110.752355695193</v>
      </c>
      <c r="AK6880">
        <v>47.699251365645097</v>
      </c>
      <c r="AL6880">
        <v>80.159261488499496</v>
      </c>
      <c r="AM6880">
        <v>99.068733695075295</v>
      </c>
      <c r="AN6880">
        <v>0.99999998860613404</v>
      </c>
    </row>
    <row r="6881" spans="1:40" x14ac:dyDescent="0.25">
      <c r="A6881" t="str">
        <f>"20190304154933054"</f>
        <v>20190304154933054</v>
      </c>
      <c r="B6881" t="str">
        <f>"1551685773044566"</f>
        <v>1551685773044566</v>
      </c>
      <c r="C6881" t="s">
        <v>40</v>
      </c>
      <c r="D6881">
        <v>4.2215170000000004</v>
      </c>
      <c r="E6881">
        <v>0.41806339999999997</v>
      </c>
      <c r="F6881" t="s">
        <v>68</v>
      </c>
      <c r="G6881">
        <v>-283.334</v>
      </c>
      <c r="H6881">
        <v>7.9986810000000005E-2</v>
      </c>
      <c r="I6881">
        <v>-74.270629999999997</v>
      </c>
      <c r="J6881">
        <v>-301.12920000000003</v>
      </c>
      <c r="K6881">
        <v>1.111718</v>
      </c>
      <c r="L6881">
        <v>-30.261900000000001</v>
      </c>
      <c r="M6881">
        <v>2.032521E-2</v>
      </c>
      <c r="N6881">
        <v>-9.4060259999999996E-3</v>
      </c>
      <c r="O6881">
        <v>-0.9997492</v>
      </c>
      <c r="P6881">
        <v>0.1759656</v>
      </c>
      <c r="Q6881">
        <v>0.16214149999999999</v>
      </c>
      <c r="R6881">
        <v>-0.97095129999999996</v>
      </c>
      <c r="S6881">
        <v>1.1625369999999999</v>
      </c>
      <c r="T6881">
        <v>-6.7372319999999999E-2</v>
      </c>
      <c r="U6881">
        <v>-2.8923649999999999</v>
      </c>
      <c r="V6881">
        <v>-0.15675510000000001</v>
      </c>
      <c r="W6881">
        <v>0.17078550000000001</v>
      </c>
      <c r="X6881">
        <v>0.97275909999999999</v>
      </c>
      <c r="Y6881">
        <v>-0.3539216</v>
      </c>
      <c r="Z6881">
        <v>1.231581E-2</v>
      </c>
      <c r="AA6881">
        <v>0.93519399999999997</v>
      </c>
      <c r="AB6881">
        <v>30</v>
      </c>
      <c r="AC6881">
        <v>17.795200000000001</v>
      </c>
      <c r="AD6881">
        <v>-1.0317311899999999</v>
      </c>
      <c r="AE6881">
        <v>-44.00873</v>
      </c>
      <c r="AF6881">
        <v>-16.889019378859299</v>
      </c>
      <c r="AG6881">
        <v>-1.0317311899999999</v>
      </c>
      <c r="AH6881">
        <v>44.340399780735702</v>
      </c>
      <c r="AI6881">
        <v>91.245670286762305</v>
      </c>
      <c r="AJ6881">
        <v>110.851567551058</v>
      </c>
      <c r="AK6881">
        <v>47.459187704209299</v>
      </c>
      <c r="AL6881">
        <v>80.166507755685004</v>
      </c>
      <c r="AM6881">
        <v>99.154222122416996</v>
      </c>
      <c r="AN6881">
        <v>1.00000005750953</v>
      </c>
    </row>
    <row r="6882" spans="1:40" x14ac:dyDescent="0.25">
      <c r="A6882" t="str">
        <f>"20190304154933077"</f>
        <v>20190304154933077</v>
      </c>
      <c r="B6882" t="str">
        <f>"1551685773073846"</f>
        <v>1551685773073846</v>
      </c>
      <c r="C6882" t="s">
        <v>40</v>
      </c>
      <c r="D6882">
        <v>4.640485</v>
      </c>
      <c r="E6882">
        <v>0.41931469999999998</v>
      </c>
      <c r="F6882" t="s">
        <v>68</v>
      </c>
      <c r="G6882">
        <v>-283.21899999999999</v>
      </c>
      <c r="H6882">
        <v>7.9986810000000005E-2</v>
      </c>
      <c r="I6882">
        <v>-74.385630000000006</v>
      </c>
      <c r="J6882">
        <v>-301.12099999999998</v>
      </c>
      <c r="K6882">
        <v>1.11178</v>
      </c>
      <c r="L6882">
        <v>-30.569849999999999</v>
      </c>
      <c r="M6882">
        <v>2.2145600000000001E-2</v>
      </c>
      <c r="N6882">
        <v>-9.4129279999999992E-3</v>
      </c>
      <c r="O6882">
        <v>-0.9997104</v>
      </c>
      <c r="P6882">
        <v>0.17845239999999901</v>
      </c>
      <c r="Q6882">
        <v>0.16217809999999999</v>
      </c>
      <c r="R6882">
        <v>-0.97049099999999999</v>
      </c>
      <c r="S6882">
        <v>1.172485</v>
      </c>
      <c r="T6882">
        <v>-6.7542080000000004E-2</v>
      </c>
      <c r="U6882">
        <v>-2.88855</v>
      </c>
      <c r="V6882">
        <v>-0.15750129999999901</v>
      </c>
      <c r="W6882">
        <v>0.1708025</v>
      </c>
      <c r="X6882">
        <v>0.97263549999999999</v>
      </c>
      <c r="Y6882">
        <v>-0.3554136</v>
      </c>
      <c r="Z6882">
        <v>1.237268E-2</v>
      </c>
      <c r="AA6882">
        <v>0.93462719999999999</v>
      </c>
      <c r="AB6882">
        <v>30</v>
      </c>
      <c r="AC6882">
        <v>17.901999999999902</v>
      </c>
      <c r="AD6882">
        <v>-1.0317931899999999</v>
      </c>
      <c r="AE6882">
        <v>-43.815779999999997</v>
      </c>
      <c r="AF6882">
        <v>-16.919199447269801</v>
      </c>
      <c r="AG6882">
        <v>-1.0317931899999999</v>
      </c>
      <c r="AH6882">
        <v>44.1805069395243</v>
      </c>
      <c r="AI6882">
        <v>91.249393607949202</v>
      </c>
      <c r="AJ6882">
        <v>110.954651742989</v>
      </c>
      <c r="AK6882">
        <v>47.320620246957702</v>
      </c>
      <c r="AL6882">
        <v>80.165518479122298</v>
      </c>
      <c r="AM6882">
        <v>99.198204673705305</v>
      </c>
      <c r="AN6882">
        <v>0.99999998468409401</v>
      </c>
    </row>
    <row r="6883" spans="1:40" x14ac:dyDescent="0.25">
      <c r="A6883" t="str">
        <f>"20190304154933100"</f>
        <v>20190304154933100</v>
      </c>
      <c r="B6883" t="str">
        <f>"1551685773094342"</f>
        <v>1551685773094342</v>
      </c>
      <c r="C6883" t="s">
        <v>40</v>
      </c>
      <c r="D6883">
        <v>4.4700490000000004</v>
      </c>
      <c r="E6883">
        <v>0.48747459999999998</v>
      </c>
      <c r="F6883" t="s">
        <v>68</v>
      </c>
      <c r="G6883">
        <v>-282.99740000000003</v>
      </c>
      <c r="H6883">
        <v>7.9986860000000007E-2</v>
      </c>
      <c r="I6883">
        <v>-75.286799999999999</v>
      </c>
      <c r="J6883">
        <v>-301.11239999999998</v>
      </c>
      <c r="K6883">
        <v>1.1118380000000001</v>
      </c>
      <c r="L6883">
        <v>-30.875029999999999</v>
      </c>
      <c r="M6883">
        <v>2.4021879999999999E-2</v>
      </c>
      <c r="N6883">
        <v>-9.4197919999999997E-3</v>
      </c>
      <c r="O6883">
        <v>-0.99966719999999998</v>
      </c>
      <c r="P6883">
        <v>0.18122840000000001</v>
      </c>
      <c r="Q6883">
        <v>0.1622586</v>
      </c>
      <c r="R6883">
        <v>-0.96996340000000003</v>
      </c>
      <c r="S6883">
        <v>1.170166</v>
      </c>
      <c r="T6883">
        <v>-6.6618319999999995E-2</v>
      </c>
      <c r="U6883">
        <v>-2.8871769999999999</v>
      </c>
      <c r="V6883">
        <v>-0.1584856</v>
      </c>
      <c r="W6883">
        <v>0.17086170000000001</v>
      </c>
      <c r="X6883">
        <v>0.97246520000000003</v>
      </c>
      <c r="Y6883">
        <v>-0.3531705</v>
      </c>
      <c r="Z6883">
        <v>1.2092489999999999E-2</v>
      </c>
      <c r="AA6883">
        <v>0.9354808</v>
      </c>
      <c r="AB6883">
        <v>30</v>
      </c>
      <c r="AC6883">
        <v>18.114999999999899</v>
      </c>
      <c r="AD6883">
        <v>-1.0318511400000001</v>
      </c>
      <c r="AE6883">
        <v>-44.411769999999997</v>
      </c>
      <c r="AF6883">
        <v>-17.0349868310288</v>
      </c>
      <c r="AG6883">
        <v>-1.0318511400000001</v>
      </c>
      <c r="AH6883">
        <v>44.8133887026612</v>
      </c>
      <c r="AI6883">
        <v>91.232982571916395</v>
      </c>
      <c r="AJ6883">
        <v>110.813381318092</v>
      </c>
      <c r="AK6883">
        <v>47.953053084493497</v>
      </c>
      <c r="AL6883">
        <v>80.1620759733147</v>
      </c>
      <c r="AM6883">
        <v>99.256289608404998</v>
      </c>
      <c r="AN6883">
        <v>0.99999998557264402</v>
      </c>
    </row>
    <row r="6884" spans="1:40" x14ac:dyDescent="0.25">
      <c r="A6884" t="str">
        <f>"20190304154933121"</f>
        <v>20190304154933121</v>
      </c>
      <c r="B6884" t="str">
        <f>"1551685773113862"</f>
        <v>1551685773113862</v>
      </c>
      <c r="C6884" t="s">
        <v>40</v>
      </c>
      <c r="D6884">
        <v>4.444483</v>
      </c>
      <c r="E6884">
        <v>0.4869637</v>
      </c>
      <c r="F6884" t="s">
        <v>68</v>
      </c>
      <c r="G6884">
        <v>-295.33640000000003</v>
      </c>
      <c r="H6884" s="1">
        <v>-8.1101039999999998E-6</v>
      </c>
      <c r="I6884">
        <v>-57.70438</v>
      </c>
      <c r="J6884">
        <v>-301.10309999999998</v>
      </c>
      <c r="K6884">
        <v>1.111901</v>
      </c>
      <c r="L6884">
        <v>-31.180299999999999</v>
      </c>
      <c r="M6884">
        <v>2.5983309999999999E-2</v>
      </c>
      <c r="N6884">
        <v>-9.426874E-3</v>
      </c>
      <c r="O6884">
        <v>-0.99961789999999995</v>
      </c>
      <c r="P6884">
        <v>0.1835021</v>
      </c>
      <c r="Q6884">
        <v>0.1621736</v>
      </c>
      <c r="R6884">
        <v>-0.96954969999999996</v>
      </c>
      <c r="S6884">
        <v>0.64440920000000002</v>
      </c>
      <c r="T6884">
        <v>-0.12404469999999999</v>
      </c>
      <c r="U6884">
        <v>-2.9932560000000001</v>
      </c>
      <c r="V6884">
        <v>-0.158885</v>
      </c>
      <c r="W6884">
        <v>0.17075689999999999</v>
      </c>
      <c r="X6884">
        <v>0.97241840000000002</v>
      </c>
      <c r="Y6884">
        <v>-0.18484619999999999</v>
      </c>
      <c r="Z6884">
        <v>3.1169539999999999E-2</v>
      </c>
      <c r="AA6884">
        <v>0.98227299999999995</v>
      </c>
      <c r="AB6884">
        <v>31</v>
      </c>
      <c r="AC6884">
        <v>5.7666999999999504</v>
      </c>
      <c r="AD6884">
        <v>-1.111909110104</v>
      </c>
      <c r="AE6884">
        <v>-26.524080000000001</v>
      </c>
      <c r="AF6884">
        <v>-5.0670361785479798</v>
      </c>
      <c r="AG6884">
        <v>-1.111909110104</v>
      </c>
      <c r="AH6884">
        <v>26.620299008923901</v>
      </c>
      <c r="AI6884">
        <v>92.349671294789403</v>
      </c>
      <c r="AJ6884">
        <v>100.77703456747599</v>
      </c>
      <c r="AK6884">
        <v>27.121053018427599</v>
      </c>
      <c r="AL6884">
        <v>80.168169810626694</v>
      </c>
      <c r="AM6884">
        <v>99.279649967902998</v>
      </c>
      <c r="AN6884">
        <v>0.99999995339058301</v>
      </c>
    </row>
    <row r="6885" spans="1:40" x14ac:dyDescent="0.25">
      <c r="A6885" t="str">
        <f>"20190304154933144"</f>
        <v>20190304154933144</v>
      </c>
      <c r="B6885" t="str">
        <f>"1551685773134358"</f>
        <v>1551685773134358</v>
      </c>
      <c r="C6885" t="s">
        <v>40</v>
      </c>
      <c r="D6885">
        <v>4.4371839999999896</v>
      </c>
      <c r="E6885">
        <v>0.48676039999999998</v>
      </c>
      <c r="F6885" t="s">
        <v>68</v>
      </c>
      <c r="G6885">
        <v>-295.74919999999997</v>
      </c>
      <c r="H6885" s="1">
        <v>-8.1754690000000001E-6</v>
      </c>
      <c r="I6885">
        <v>-55.617530000000002</v>
      </c>
      <c r="J6885">
        <v>-301.09309999999999</v>
      </c>
      <c r="K6885">
        <v>1.1119730000000001</v>
      </c>
      <c r="L6885">
        <v>-31.483429999999998</v>
      </c>
      <c r="M6885">
        <v>2.8024009999999999E-2</v>
      </c>
      <c r="N6885">
        <v>-9.4342929999999998E-3</v>
      </c>
      <c r="O6885">
        <v>-0.99956270000000003</v>
      </c>
      <c r="P6885">
        <v>0.18626719999999999</v>
      </c>
      <c r="Q6885">
        <v>0.16210939999999999</v>
      </c>
      <c r="R6885">
        <v>-0.96903309999999998</v>
      </c>
      <c r="S6885">
        <v>0.65570069999999903</v>
      </c>
      <c r="T6885">
        <v>-0.1361783</v>
      </c>
      <c r="U6885">
        <v>-2.9928889999999999</v>
      </c>
      <c r="V6885">
        <v>-0.15970500000000001</v>
      </c>
      <c r="W6885">
        <v>0.17066719999999999</v>
      </c>
      <c r="X6885">
        <v>0.97229989999999999</v>
      </c>
      <c r="Y6885">
        <v>-0.1863717</v>
      </c>
      <c r="Z6885">
        <v>3.5103879999999997E-2</v>
      </c>
      <c r="AA6885">
        <v>0.98185199999999995</v>
      </c>
      <c r="AB6885">
        <v>31</v>
      </c>
      <c r="AC6885">
        <v>5.3439000000000103</v>
      </c>
      <c r="AD6885">
        <v>-1.1119811754690001</v>
      </c>
      <c r="AE6885">
        <v>-24.1341</v>
      </c>
      <c r="AF6885">
        <v>-4.6560142642016196</v>
      </c>
      <c r="AG6885">
        <v>-1.1119811754690001</v>
      </c>
      <c r="AH6885">
        <v>24.22535992773</v>
      </c>
      <c r="AI6885">
        <v>92.580948171166597</v>
      </c>
      <c r="AJ6885">
        <v>100.87934878544699</v>
      </c>
      <c r="AK6885">
        <v>24.693785343505201</v>
      </c>
      <c r="AL6885">
        <v>80.173386646416901</v>
      </c>
      <c r="AM6885">
        <v>99.327819193842402</v>
      </c>
      <c r="AN6885">
        <v>1.0000000378604199</v>
      </c>
    </row>
    <row r="6886" spans="1:40" x14ac:dyDescent="0.25">
      <c r="A6886" t="str">
        <f>"20190304154933166"</f>
        <v>20190304154933166</v>
      </c>
      <c r="B6886" t="str">
        <f>"1551685773164615"</f>
        <v>1551685773164615</v>
      </c>
      <c r="C6886" t="s">
        <v>40</v>
      </c>
      <c r="D6886">
        <v>4.4314030000000004</v>
      </c>
      <c r="E6886">
        <v>0.48781249999999998</v>
      </c>
      <c r="F6886" t="s">
        <v>68</v>
      </c>
      <c r="G6886">
        <v>-295.76569999999998</v>
      </c>
      <c r="H6886" s="1">
        <v>-8.1935099999999994E-6</v>
      </c>
      <c r="I6886">
        <v>-55.405589999999997</v>
      </c>
      <c r="J6886">
        <v>-301.08249999999998</v>
      </c>
      <c r="K6886">
        <v>1.112061</v>
      </c>
      <c r="L6886">
        <v>-31.787019999999998</v>
      </c>
      <c r="M6886">
        <v>3.017104E-2</v>
      </c>
      <c r="N6886">
        <v>-9.4421520000000005E-3</v>
      </c>
      <c r="O6886">
        <v>-0.9995001</v>
      </c>
      <c r="P6886">
        <v>0.18874060000000001</v>
      </c>
      <c r="Q6886">
        <v>0.16250329999999999</v>
      </c>
      <c r="R6886">
        <v>-0.96848829999999997</v>
      </c>
      <c r="S6886">
        <v>0.66610719999999901</v>
      </c>
      <c r="T6886">
        <v>-0.13903570000000001</v>
      </c>
      <c r="U6886">
        <v>-2.9910890000000001</v>
      </c>
      <c r="V6886">
        <v>-0.16013920000000001</v>
      </c>
      <c r="W6886">
        <v>0.1710322</v>
      </c>
      <c r="X6886">
        <v>0.97216429999999998</v>
      </c>
      <c r="Y6886">
        <v>-0.18763340000000001</v>
      </c>
      <c r="Z6886">
        <v>3.6030989999999999E-2</v>
      </c>
      <c r="AA6886">
        <v>0.98157810000000001</v>
      </c>
      <c r="AB6886">
        <v>31</v>
      </c>
      <c r="AC6886">
        <v>5.3167999999999997</v>
      </c>
      <c r="AD6886">
        <v>-1.11206919351</v>
      </c>
      <c r="AE6886">
        <v>-23.618569999999998</v>
      </c>
      <c r="AF6886">
        <v>-4.5920613146909597</v>
      </c>
      <c r="AG6886">
        <v>-1.11206919351</v>
      </c>
      <c r="AH6886">
        <v>23.718191217222799</v>
      </c>
      <c r="AI6886">
        <v>92.6355762906922</v>
      </c>
      <c r="AJ6886">
        <v>100.957424113171</v>
      </c>
      <c r="AK6886">
        <v>24.1842163326783</v>
      </c>
      <c r="AL6886">
        <v>80.152161256562906</v>
      </c>
      <c r="AM6886">
        <v>99.354013296981194</v>
      </c>
      <c r="AN6886">
        <v>1.0000000015039801</v>
      </c>
    </row>
    <row r="6887" spans="1:40" x14ac:dyDescent="0.25">
      <c r="A6887" t="str">
        <f>"20190304154933189"</f>
        <v>20190304154933189</v>
      </c>
      <c r="B6887" t="str">
        <f>"1551685773184134"</f>
        <v>1551685773184134</v>
      </c>
      <c r="C6887" t="s">
        <v>40</v>
      </c>
      <c r="D6887">
        <v>4.4295749999999998</v>
      </c>
      <c r="E6887">
        <v>0.48763960000000001</v>
      </c>
      <c r="F6887" t="s">
        <v>68</v>
      </c>
      <c r="G6887">
        <v>-295.70760000000001</v>
      </c>
      <c r="H6887" s="1">
        <v>-8.1529669999999994E-6</v>
      </c>
      <c r="I6887">
        <v>-55.947339999999997</v>
      </c>
      <c r="J6887">
        <v>-301.0711</v>
      </c>
      <c r="K6887">
        <v>1.1121570000000001</v>
      </c>
      <c r="L6887">
        <v>-32.091429999999903</v>
      </c>
      <c r="M6887">
        <v>3.2435650000000003E-2</v>
      </c>
      <c r="N6887">
        <v>-9.450478E-3</v>
      </c>
      <c r="O6887">
        <v>-0.99942920000000002</v>
      </c>
      <c r="P6887">
        <v>0.19141469999999999</v>
      </c>
      <c r="Q6887">
        <v>0.16326109999999999</v>
      </c>
      <c r="R6887">
        <v>-0.96783580000000002</v>
      </c>
      <c r="S6887">
        <v>0.66540529999999998</v>
      </c>
      <c r="T6887">
        <v>-0.1376733</v>
      </c>
      <c r="U6887">
        <v>-2.991028</v>
      </c>
      <c r="V6887">
        <v>-0.160668899999999</v>
      </c>
      <c r="W6887">
        <v>0.1717571</v>
      </c>
      <c r="X6887">
        <v>0.97194910000000001</v>
      </c>
      <c r="Y6887">
        <v>-0.18519649999999999</v>
      </c>
      <c r="Z6887">
        <v>3.5588250000000002E-2</v>
      </c>
      <c r="AA6887">
        <v>0.98205690000000001</v>
      </c>
      <c r="AB6887">
        <v>31</v>
      </c>
      <c r="AC6887">
        <v>5.3634999999999797</v>
      </c>
      <c r="AD6887">
        <v>-1.112165152967</v>
      </c>
      <c r="AE6887">
        <v>-23.855910000000002</v>
      </c>
      <c r="AF6887">
        <v>-4.5773911801023699</v>
      </c>
      <c r="AG6887">
        <v>-1.112165152967</v>
      </c>
      <c r="AH6887">
        <v>23.967747023168901</v>
      </c>
      <c r="AI6887">
        <v>92.609666799994997</v>
      </c>
      <c r="AJ6887">
        <v>100.81222197526699</v>
      </c>
      <c r="AK6887">
        <v>24.426262888738801</v>
      </c>
      <c r="AL6887">
        <v>80.110003950677495</v>
      </c>
      <c r="AM6887">
        <v>99.386445327112298</v>
      </c>
      <c r="AN6887">
        <v>1.00000002490921</v>
      </c>
    </row>
    <row r="6888" spans="1:40" x14ac:dyDescent="0.25">
      <c r="A6888" t="str">
        <f>"20190304154933213"</f>
        <v>20190304154933213</v>
      </c>
      <c r="B6888" t="str">
        <f>"1551685773204630"</f>
        <v>1551685773204630</v>
      </c>
      <c r="C6888" t="s">
        <v>40</v>
      </c>
      <c r="D6888">
        <v>4.4309609999999999</v>
      </c>
      <c r="E6888">
        <v>0.48787779999999997</v>
      </c>
      <c r="F6888" t="s">
        <v>68</v>
      </c>
      <c r="G6888">
        <v>-295.47199999999998</v>
      </c>
      <c r="H6888" s="1">
        <v>-8.142983E-6</v>
      </c>
      <c r="I6888">
        <v>-56.881540000000001</v>
      </c>
      <c r="J6888">
        <v>-301.05810000000002</v>
      </c>
      <c r="K6888">
        <v>1.1122639999999999</v>
      </c>
      <c r="L6888">
        <v>-32.412840000000003</v>
      </c>
      <c r="M6888">
        <v>3.4956859999999999E-2</v>
      </c>
      <c r="N6888">
        <v>-9.459683E-3</v>
      </c>
      <c r="O6888">
        <v>-0.99934420000000002</v>
      </c>
      <c r="P6888">
        <v>0.194494</v>
      </c>
      <c r="Q6888">
        <v>0.16387850000000001</v>
      </c>
      <c r="R6888">
        <v>-0.96711780000000003</v>
      </c>
      <c r="S6888">
        <v>0.6750488</v>
      </c>
      <c r="T6888">
        <v>-0.13408729999999999</v>
      </c>
      <c r="U6888">
        <v>-2.9887999999999999</v>
      </c>
      <c r="V6888">
        <v>-0.1613628</v>
      </c>
      <c r="W6888">
        <v>0.172336299999999</v>
      </c>
      <c r="X6888">
        <v>0.97173160000000003</v>
      </c>
      <c r="Y6888">
        <v>-0.18589939999999999</v>
      </c>
      <c r="Z6888">
        <v>3.4420079999999999E-2</v>
      </c>
      <c r="AA6888">
        <v>0.98196570000000005</v>
      </c>
      <c r="AB6888">
        <v>31</v>
      </c>
      <c r="AC6888">
        <v>5.58610000000004</v>
      </c>
      <c r="AD6888">
        <v>-1.11227214298299</v>
      </c>
      <c r="AE6888">
        <v>-24.468699999999998</v>
      </c>
      <c r="AF6888">
        <v>-4.7180324410925198</v>
      </c>
      <c r="AG6888">
        <v>-1.11227214298299</v>
      </c>
      <c r="AH6888">
        <v>24.600710036234901</v>
      </c>
      <c r="AI6888">
        <v>92.542478526723499</v>
      </c>
      <c r="AJ6888">
        <v>100.856611145367</v>
      </c>
      <c r="AK6888">
        <v>25.073729553502101</v>
      </c>
      <c r="AL6888">
        <v>80.076315936940702</v>
      </c>
      <c r="AM6888">
        <v>99.428329646330894</v>
      </c>
      <c r="AN6888">
        <v>1.0000000279800401</v>
      </c>
    </row>
    <row r="6889" spans="1:40" x14ac:dyDescent="0.25">
      <c r="A6889" t="str">
        <f>"20190304154933237"</f>
        <v>20190304154933237</v>
      </c>
      <c r="B6889" t="str">
        <f>"1551685773233910"</f>
        <v>1551685773233910</v>
      </c>
      <c r="C6889" t="s">
        <v>40</v>
      </c>
      <c r="D6889">
        <v>4.4325340000000004</v>
      </c>
      <c r="E6889">
        <v>0.4882899</v>
      </c>
      <c r="F6889" t="s">
        <v>68</v>
      </c>
      <c r="G6889">
        <v>-295.32490000000001</v>
      </c>
      <c r="H6889" s="1">
        <v>-8.1329889999999998E-6</v>
      </c>
      <c r="I6889">
        <v>-57.516889999999997</v>
      </c>
      <c r="J6889">
        <v>-301.04309999999998</v>
      </c>
      <c r="K6889">
        <v>1.1123829999999999</v>
      </c>
      <c r="L6889">
        <v>-32.758150000000001</v>
      </c>
      <c r="M6889">
        <v>3.7827390000000002E-2</v>
      </c>
      <c r="N6889">
        <v>-9.4699569999999993E-3</v>
      </c>
      <c r="O6889">
        <v>-0.99923969999999995</v>
      </c>
      <c r="P6889">
        <v>0.1979842</v>
      </c>
      <c r="Q6889">
        <v>0.1643879</v>
      </c>
      <c r="R6889">
        <v>-0.96632249999999997</v>
      </c>
      <c r="S6889">
        <v>0.68222050000000001</v>
      </c>
      <c r="T6889">
        <v>-0.13235429999999901</v>
      </c>
      <c r="U6889">
        <v>-2.987244</v>
      </c>
      <c r="V6889">
        <v>-0.1621351</v>
      </c>
      <c r="W6889">
        <v>0.1728045</v>
      </c>
      <c r="X6889">
        <v>0.97151980000000004</v>
      </c>
      <c r="Y6889">
        <v>-0.1854335</v>
      </c>
      <c r="Z6889">
        <v>3.3853309999999998E-2</v>
      </c>
      <c r="AA6889">
        <v>0.98207350000000004</v>
      </c>
      <c r="AB6889">
        <v>31</v>
      </c>
      <c r="AC6889">
        <v>5.7181999999999604</v>
      </c>
      <c r="AD6889">
        <v>-1.1123911329889999</v>
      </c>
      <c r="AE6889">
        <v>-24.75874</v>
      </c>
      <c r="AF6889">
        <v>-4.76836864616347</v>
      </c>
      <c r="AG6889">
        <v>-1.1123911329889999</v>
      </c>
      <c r="AH6889">
        <v>24.909595461747401</v>
      </c>
      <c r="AI6889">
        <v>92.511425704747893</v>
      </c>
      <c r="AJ6889">
        <v>100.83685766115499</v>
      </c>
      <c r="AK6889">
        <v>25.386269904150499</v>
      </c>
      <c r="AL6889">
        <v>80.0490807143334</v>
      </c>
      <c r="AM6889">
        <v>99.474666433839701</v>
      </c>
      <c r="AN6889">
        <v>0.99999995383214901</v>
      </c>
    </row>
    <row r="6890" spans="1:40" x14ac:dyDescent="0.25">
      <c r="A6890" t="str">
        <f>"20190304154933262"</f>
        <v>20190304154933262</v>
      </c>
      <c r="B6890" t="str">
        <f>"1551685773254406"</f>
        <v>1551685773254406</v>
      </c>
      <c r="C6890" t="s">
        <v>40</v>
      </c>
      <c r="D6890">
        <v>4.4016080000000004</v>
      </c>
      <c r="E6890">
        <v>0.48842020000000003</v>
      </c>
      <c r="F6890" t="s">
        <v>68</v>
      </c>
      <c r="G6890">
        <v>-295.22320000000002</v>
      </c>
      <c r="H6890" s="1">
        <v>-8.1249749999999992E-6</v>
      </c>
      <c r="I6890">
        <v>-57.967329999999997</v>
      </c>
      <c r="J6890">
        <v>-301.02749999999997</v>
      </c>
      <c r="K6890">
        <v>1.112479</v>
      </c>
      <c r="L6890">
        <v>-33.09198</v>
      </c>
      <c r="M6890">
        <v>4.0721449999999999E-2</v>
      </c>
      <c r="N6890">
        <v>-9.4795590000000002E-3</v>
      </c>
      <c r="O6890">
        <v>-0.99912570000000001</v>
      </c>
      <c r="P6890">
        <v>0.20104900000000001</v>
      </c>
      <c r="Q6890">
        <v>0.1650471</v>
      </c>
      <c r="R6890">
        <v>-0.96557709999999997</v>
      </c>
      <c r="S6890">
        <v>0.68930049999999998</v>
      </c>
      <c r="T6890">
        <v>-0.13175029999999999</v>
      </c>
      <c r="U6890">
        <v>-2.9857480000000001</v>
      </c>
      <c r="V6890">
        <v>-0.16245470000000001</v>
      </c>
      <c r="W6890">
        <v>0.17343049999999999</v>
      </c>
      <c r="X6890">
        <v>0.97135490000000002</v>
      </c>
      <c r="Y6890">
        <v>-0.18490789999999999</v>
      </c>
      <c r="Z6890">
        <v>3.3654610000000001E-2</v>
      </c>
      <c r="AA6890">
        <v>0.98217940000000004</v>
      </c>
      <c r="AB6890">
        <v>31</v>
      </c>
      <c r="AC6890">
        <v>5.8042999999999498</v>
      </c>
      <c r="AD6890">
        <v>-1.1124871249749999</v>
      </c>
      <c r="AE6890">
        <v>-24.875350000000001</v>
      </c>
      <c r="AF6890">
        <v>-4.7774174866931496</v>
      </c>
      <c r="AG6890">
        <v>-1.1124871249749999</v>
      </c>
      <c r="AH6890">
        <v>25.043581772318799</v>
      </c>
      <c r="AI6890">
        <v>92.498526535945103</v>
      </c>
      <c r="AJ6890">
        <v>100.800218021581</v>
      </c>
      <c r="AK6890">
        <v>25.519450100505999</v>
      </c>
      <c r="AL6890">
        <v>80.012664214423793</v>
      </c>
      <c r="AM6890">
        <v>99.494585478080197</v>
      </c>
      <c r="AN6890">
        <v>1.0000000048181701</v>
      </c>
    </row>
    <row r="6891" spans="1:40" x14ac:dyDescent="0.25">
      <c r="A6891" t="str">
        <f>"20190304154933281"</f>
        <v>20190304154933281</v>
      </c>
      <c r="B6891" t="str">
        <f>"1551685773273927"</f>
        <v>1551685773273927</v>
      </c>
      <c r="C6891" t="s">
        <v>40</v>
      </c>
      <c r="D6891">
        <v>4.4302919999999997</v>
      </c>
      <c r="E6891">
        <v>0.48848829999999999</v>
      </c>
      <c r="F6891" t="s">
        <v>68</v>
      </c>
      <c r="G6891">
        <v>-295.06529999999998</v>
      </c>
      <c r="H6891" s="1">
        <v>-8.1225829999999993E-6</v>
      </c>
      <c r="I6891">
        <v>-58.566000000000003</v>
      </c>
      <c r="J6891">
        <v>-301.01429999999999</v>
      </c>
      <c r="K6891">
        <v>1.112557</v>
      </c>
      <c r="L6891">
        <v>-33.358310000000003</v>
      </c>
      <c r="M6891">
        <v>4.3118799999999999E-2</v>
      </c>
      <c r="N6891">
        <v>-9.4869949999999998E-3</v>
      </c>
      <c r="O6891">
        <v>-0.99902500000000005</v>
      </c>
      <c r="P6891">
        <v>0.20380419999999999</v>
      </c>
      <c r="Q6891">
        <v>0.16496839999999999</v>
      </c>
      <c r="R6891">
        <v>-0.9650126</v>
      </c>
      <c r="S6891">
        <v>0.69836430000000005</v>
      </c>
      <c r="T6891">
        <v>-0.1303079</v>
      </c>
      <c r="U6891">
        <v>-2.9838260000000001</v>
      </c>
      <c r="V6891">
        <v>-0.1629273</v>
      </c>
      <c r="W6891">
        <v>0.17332629999999999</v>
      </c>
      <c r="X6891">
        <v>0.97129430000000005</v>
      </c>
      <c r="Y6891">
        <v>-0.18552279999999999</v>
      </c>
      <c r="Z6891">
        <v>3.3182730000000001E-2</v>
      </c>
      <c r="AA6891">
        <v>0.98207960000000005</v>
      </c>
      <c r="AB6891">
        <v>31</v>
      </c>
      <c r="AC6891">
        <v>5.9490000000000096</v>
      </c>
      <c r="AD6891">
        <v>-1.112565122583</v>
      </c>
      <c r="AE6891">
        <v>-25.207689999999999</v>
      </c>
      <c r="AF6891">
        <v>-4.8475477395180704</v>
      </c>
      <c r="AG6891">
        <v>-1.112565122583</v>
      </c>
      <c r="AH6891">
        <v>25.393911670690599</v>
      </c>
      <c r="AI6891">
        <v>92.464213750162401</v>
      </c>
      <c r="AJ6891">
        <v>100.807401846167</v>
      </c>
      <c r="AK6891">
        <v>25.876384410843301</v>
      </c>
      <c r="AL6891">
        <v>80.0187258335949</v>
      </c>
      <c r="AM6891">
        <v>99.522284511638503</v>
      </c>
      <c r="AN6891">
        <v>0.99999996428473403</v>
      </c>
    </row>
    <row r="6892" spans="1:40" x14ac:dyDescent="0.25">
      <c r="A6892" t="str">
        <f>"20190304154933301"</f>
        <v>20190304154933301</v>
      </c>
      <c r="B6892" t="str">
        <f>"1551685773294422"</f>
        <v>1551685773294422</v>
      </c>
      <c r="C6892" t="s">
        <v>40</v>
      </c>
      <c r="D6892">
        <v>4.4508349999999997</v>
      </c>
      <c r="E6892">
        <v>0.48828470000000002</v>
      </c>
      <c r="F6892" t="s">
        <v>68</v>
      </c>
      <c r="G6892">
        <v>-295.01499999999999</v>
      </c>
      <c r="H6892" s="1">
        <v>-8.1279539999999999E-6</v>
      </c>
      <c r="I6892">
        <v>-58.695360000000001</v>
      </c>
      <c r="J6892">
        <v>-300.99950000000001</v>
      </c>
      <c r="K6892">
        <v>1.112635</v>
      </c>
      <c r="L6892">
        <v>-33.641419999999997</v>
      </c>
      <c r="M6892">
        <v>4.5758189999999997E-2</v>
      </c>
      <c r="N6892">
        <v>-9.495089E-3</v>
      </c>
      <c r="O6892">
        <v>-0.9989074</v>
      </c>
      <c r="P6892">
        <v>0.2073585</v>
      </c>
      <c r="Q6892">
        <v>0.16477629999999999</v>
      </c>
      <c r="R6892">
        <v>-0.96428789999999998</v>
      </c>
      <c r="S6892">
        <v>0.70608519999999997</v>
      </c>
      <c r="T6892">
        <v>-0.13094249999999999</v>
      </c>
      <c r="U6892">
        <v>-2.9820250000000001</v>
      </c>
      <c r="V6892">
        <v>-0.16397349999999999</v>
      </c>
      <c r="W6892">
        <v>0.1731027</v>
      </c>
      <c r="X6892">
        <v>0.97115810000000002</v>
      </c>
      <c r="Y6892">
        <v>-0.18546550000000001</v>
      </c>
      <c r="Z6892">
        <v>3.3390589999999998E-2</v>
      </c>
      <c r="AA6892">
        <v>0.98208329999999999</v>
      </c>
      <c r="AB6892">
        <v>31</v>
      </c>
      <c r="AC6892">
        <v>5.9845000000000201</v>
      </c>
      <c r="AD6892">
        <v>-1.1126431279539899</v>
      </c>
      <c r="AE6892">
        <v>-25.053940000000001</v>
      </c>
      <c r="AF6892">
        <v>-4.8227580622961304</v>
      </c>
      <c r="AG6892">
        <v>-1.1126431279539899</v>
      </c>
      <c r="AH6892">
        <v>25.254427674598499</v>
      </c>
      <c r="AI6892">
        <v>92.477947403822398</v>
      </c>
      <c r="AJ6892">
        <v>100.81142292470599</v>
      </c>
      <c r="AK6892">
        <v>25.734861321350699</v>
      </c>
      <c r="AL6892">
        <v>80.031733696845194</v>
      </c>
      <c r="AM6892">
        <v>99.583618319752603</v>
      </c>
      <c r="AN6892">
        <v>0.99999995432257405</v>
      </c>
    </row>
    <row r="6893" spans="1:40" x14ac:dyDescent="0.25">
      <c r="A6893" t="str">
        <f>"20190304154933323"</f>
        <v>20190304154933323</v>
      </c>
      <c r="B6893" t="str">
        <f>"1551685773313943"</f>
        <v>1551685773313943</v>
      </c>
      <c r="C6893" t="s">
        <v>40</v>
      </c>
      <c r="D6893">
        <v>4.4481729999999997</v>
      </c>
      <c r="E6893">
        <v>0.48834519999999998</v>
      </c>
      <c r="F6893" t="s">
        <v>68</v>
      </c>
      <c r="G6893">
        <v>-294.9058</v>
      </c>
      <c r="H6893" s="1">
        <v>-8.1479160000000008E-6</v>
      </c>
      <c r="I6893">
        <v>-58.892949999999999</v>
      </c>
      <c r="J6893">
        <v>-300.98259999999999</v>
      </c>
      <c r="K6893">
        <v>1.1127260000000001</v>
      </c>
      <c r="L6893">
        <v>-33.946040000000004</v>
      </c>
      <c r="M6893">
        <v>4.8702380000000003E-2</v>
      </c>
      <c r="N6893">
        <v>-9.504317E-3</v>
      </c>
      <c r="O6893">
        <v>-0.99876830000000005</v>
      </c>
      <c r="P6893">
        <v>0.21114479999999999</v>
      </c>
      <c r="Q6893">
        <v>0.16526099999999999</v>
      </c>
      <c r="R6893">
        <v>-0.96338299999999999</v>
      </c>
      <c r="S6893">
        <v>0.71887209999999901</v>
      </c>
      <c r="T6893">
        <v>-0.1312594</v>
      </c>
      <c r="U6893">
        <v>-2.9789430000000001</v>
      </c>
      <c r="V6893">
        <v>-0.16497300000000001</v>
      </c>
      <c r="W6893">
        <v>0.1735517</v>
      </c>
      <c r="X6893">
        <v>0.97090869999999996</v>
      </c>
      <c r="Y6893">
        <v>-0.1867829</v>
      </c>
      <c r="Z6893">
        <v>3.3496789999999999E-2</v>
      </c>
      <c r="AA6893">
        <v>0.98182999999999998</v>
      </c>
      <c r="AB6893">
        <v>31</v>
      </c>
      <c r="AC6893">
        <v>6.0767999999999898</v>
      </c>
      <c r="AD6893">
        <v>-1.112734147916</v>
      </c>
      <c r="AE6893">
        <v>-24.9469099999999</v>
      </c>
      <c r="AF6893">
        <v>-4.8454594864120102</v>
      </c>
      <c r="AG6893">
        <v>-1.112734147916</v>
      </c>
      <c r="AH6893">
        <v>25.166007696317099</v>
      </c>
      <c r="AI6893">
        <v>92.486123353003805</v>
      </c>
      <c r="AJ6893">
        <v>100.898354082876</v>
      </c>
      <c r="AK6893">
        <v>25.652379973201199</v>
      </c>
      <c r="AL6893">
        <v>80.005612923877905</v>
      </c>
      <c r="AM6893">
        <v>99.643372025541694</v>
      </c>
      <c r="AN6893">
        <v>0.99999999351878999</v>
      </c>
    </row>
    <row r="6894" spans="1:40" x14ac:dyDescent="0.25">
      <c r="A6894" t="str">
        <f>"20190304154933345"</f>
        <v>20190304154933345</v>
      </c>
      <c r="B6894" t="str">
        <f>"1551685773334438"</f>
        <v>1551685773334438</v>
      </c>
      <c r="C6894" t="s">
        <v>40</v>
      </c>
      <c r="D6894">
        <v>4.4502800000000002</v>
      </c>
      <c r="E6894">
        <v>0.48832320000000001</v>
      </c>
      <c r="F6894" t="s">
        <v>68</v>
      </c>
      <c r="G6894">
        <v>-294.7679</v>
      </c>
      <c r="H6894" s="1">
        <v>-8.1601100000000007E-6</v>
      </c>
      <c r="I6894">
        <v>-59.272730000000003</v>
      </c>
      <c r="J6894">
        <v>-300.96519999999998</v>
      </c>
      <c r="K6894">
        <v>1.1128199999999999</v>
      </c>
      <c r="L6894">
        <v>-34.241549999999997</v>
      </c>
      <c r="M6894">
        <v>5.1659249999999997E-2</v>
      </c>
      <c r="N6894">
        <v>-9.5137299999999998E-3</v>
      </c>
      <c r="O6894">
        <v>-0.99861949999999999</v>
      </c>
      <c r="P6894">
        <v>0.21504400000000001</v>
      </c>
      <c r="Q6894">
        <v>0.16539039999999999</v>
      </c>
      <c r="R6894">
        <v>-0.96249779999999996</v>
      </c>
      <c r="S6894">
        <v>0.73034670000000002</v>
      </c>
      <c r="T6894">
        <v>-0.13076789999999999</v>
      </c>
      <c r="U6894">
        <v>-2.9763790000000001</v>
      </c>
      <c r="V6894">
        <v>-0.16607339999999901</v>
      </c>
      <c r="W6894">
        <v>0.17364470000000001</v>
      </c>
      <c r="X6894">
        <v>0.97070440000000002</v>
      </c>
      <c r="Y6894">
        <v>-0.18764159999999999</v>
      </c>
      <c r="Z6894">
        <v>3.3334589999999997E-2</v>
      </c>
      <c r="AA6894">
        <v>0.98167179999999998</v>
      </c>
      <c r="AB6894">
        <v>31</v>
      </c>
      <c r="AC6894">
        <v>6.1972999999999798</v>
      </c>
      <c r="AD6894">
        <v>-1.1128281601100001</v>
      </c>
      <c r="AE6894">
        <v>-25.031179999999999</v>
      </c>
      <c r="AF6894">
        <v>-4.8867731995638399</v>
      </c>
      <c r="AG6894">
        <v>-1.1128281601100001</v>
      </c>
      <c r="AH6894">
        <v>25.270854276423599</v>
      </c>
      <c r="AI6894">
        <v>92.475645849449506</v>
      </c>
      <c r="AJ6894">
        <v>100.944534241517</v>
      </c>
      <c r="AK6894">
        <v>25.763055227945099</v>
      </c>
      <c r="AL6894">
        <v>80.000201764704897</v>
      </c>
      <c r="AM6894">
        <v>99.708479355142003</v>
      </c>
      <c r="AN6894">
        <v>0.99999994410250304</v>
      </c>
    </row>
    <row r="6895" spans="1:40" x14ac:dyDescent="0.25">
      <c r="A6895" t="str">
        <f>"20190304154933368"</f>
        <v>20190304154933368</v>
      </c>
      <c r="B6895" t="str">
        <f>"1551685773363722"</f>
        <v>1551685773363722</v>
      </c>
      <c r="C6895" t="s">
        <v>40</v>
      </c>
      <c r="D6895">
        <v>4.4591120000000002</v>
      </c>
      <c r="E6895">
        <v>0.48858479999999999</v>
      </c>
      <c r="F6895" t="s">
        <v>68</v>
      </c>
      <c r="G6895">
        <v>-294.6558</v>
      </c>
      <c r="H6895" s="1">
        <v>-8.1772379999999992E-6</v>
      </c>
      <c r="I6895">
        <v>-59.509250000000002</v>
      </c>
      <c r="J6895">
        <v>-300.9461</v>
      </c>
      <c r="K6895">
        <v>1.112919</v>
      </c>
      <c r="L6895">
        <v>-34.550449999999998</v>
      </c>
      <c r="M6895">
        <v>5.485607E-2</v>
      </c>
      <c r="N6895">
        <v>-9.5237670000000007E-3</v>
      </c>
      <c r="O6895">
        <v>-0.99844880000000003</v>
      </c>
      <c r="P6895">
        <v>0.21937219999999999</v>
      </c>
      <c r="Q6895">
        <v>0.16567799999999999</v>
      </c>
      <c r="R6895">
        <v>-0.96147110000000002</v>
      </c>
      <c r="S6895">
        <v>0.74249270000000001</v>
      </c>
      <c r="T6895">
        <v>-0.13095799999999999</v>
      </c>
      <c r="U6895">
        <v>-2.9735109999999998</v>
      </c>
      <c r="V6895">
        <v>-0.16738229999999901</v>
      </c>
      <c r="W6895">
        <v>0.17388979999999901</v>
      </c>
      <c r="X6895">
        <v>0.97043570000000001</v>
      </c>
      <c r="Y6895">
        <v>-0.18849350000000001</v>
      </c>
      <c r="Z6895">
        <v>3.3396240000000001E-2</v>
      </c>
      <c r="AA6895">
        <v>0.98150649999999995</v>
      </c>
      <c r="AB6895">
        <v>31</v>
      </c>
      <c r="AC6895">
        <v>6.2903000000000002</v>
      </c>
      <c r="AD6895">
        <v>-1.1129271772380001</v>
      </c>
      <c r="AE6895">
        <v>-24.9588</v>
      </c>
      <c r="AF6895">
        <v>-4.9024583319255504</v>
      </c>
      <c r="AG6895">
        <v>-1.1129271772380001</v>
      </c>
      <c r="AH6895">
        <v>25.219143318795499</v>
      </c>
      <c r="AI6895">
        <v>92.480464676988106</v>
      </c>
      <c r="AJ6895">
        <v>101.000773787002</v>
      </c>
      <c r="AK6895">
        <v>25.7153241148551</v>
      </c>
      <c r="AL6895">
        <v>79.985941911178202</v>
      </c>
      <c r="AM6895">
        <v>99.786179754930302</v>
      </c>
      <c r="AN6895">
        <v>0.99999997236590898</v>
      </c>
    </row>
    <row r="6896" spans="1:40" x14ac:dyDescent="0.25">
      <c r="A6896" t="str">
        <f>"20190304154933390"</f>
        <v>20190304154933390</v>
      </c>
      <c r="B6896" t="str">
        <f>"1551685773384214"</f>
        <v>1551685773384214</v>
      </c>
      <c r="C6896" t="s">
        <v>40</v>
      </c>
      <c r="D6896">
        <v>4.4978559999999996</v>
      </c>
      <c r="E6896">
        <v>0.48889870000000002</v>
      </c>
      <c r="F6896" t="s">
        <v>68</v>
      </c>
      <c r="G6896">
        <v>-294.55599999999998</v>
      </c>
      <c r="H6896" s="1">
        <v>-8.1908240000000002E-6</v>
      </c>
      <c r="I6896">
        <v>-59.736460000000001</v>
      </c>
      <c r="J6896">
        <v>-300.92529999999999</v>
      </c>
      <c r="K6896">
        <v>1.1130260000000001</v>
      </c>
      <c r="L6896">
        <v>-34.868009999999998</v>
      </c>
      <c r="M6896">
        <v>5.8259999999999999E-2</v>
      </c>
      <c r="N6896">
        <v>-9.5342859999999995E-3</v>
      </c>
      <c r="O6896">
        <v>-0.99825600000000003</v>
      </c>
      <c r="P6896">
        <v>0.22341240000000001</v>
      </c>
      <c r="Q6896">
        <v>0.1650326</v>
      </c>
      <c r="R6896">
        <v>-0.96065160000000005</v>
      </c>
      <c r="S6896">
        <v>0.75375369999999997</v>
      </c>
      <c r="T6896">
        <v>-0.13127710000000001</v>
      </c>
      <c r="U6896">
        <v>-2.9708559999999999</v>
      </c>
      <c r="V6896">
        <v>-0.1681889</v>
      </c>
      <c r="W6896">
        <v>0.17320650000000001</v>
      </c>
      <c r="X6896">
        <v>0.97041849999999996</v>
      </c>
      <c r="Y6896">
        <v>-0.18884880000000001</v>
      </c>
      <c r="Z6896">
        <v>3.3498710000000001E-2</v>
      </c>
      <c r="AA6896">
        <v>0.98143460000000005</v>
      </c>
      <c r="AB6896">
        <v>31</v>
      </c>
      <c r="AC6896">
        <v>6.3693000000000097</v>
      </c>
      <c r="AD6896">
        <v>-1.113034190824</v>
      </c>
      <c r="AE6896">
        <v>-24.868449999999999</v>
      </c>
      <c r="AF6896">
        <v>-4.9003667502763903</v>
      </c>
      <c r="AG6896">
        <v>-1.113034190824</v>
      </c>
      <c r="AH6896">
        <v>25.150019333912802</v>
      </c>
      <c r="AI6896">
        <v>92.487302310897704</v>
      </c>
      <c r="AJ6896">
        <v>101.025677887017</v>
      </c>
      <c r="AK6896">
        <v>25.647142372852102</v>
      </c>
      <c r="AL6896">
        <v>80.025695957785999</v>
      </c>
      <c r="AM6896">
        <v>99.832591046697402</v>
      </c>
      <c r="AN6896">
        <v>1.00000003143385</v>
      </c>
    </row>
    <row r="6897" spans="1:40" x14ac:dyDescent="0.25">
      <c r="A6897" t="str">
        <f>"20190304154933413"</f>
        <v>20190304154933413</v>
      </c>
      <c r="B6897" t="str">
        <f>"1551685773403734"</f>
        <v>1551685773403734</v>
      </c>
      <c r="C6897" t="s">
        <v>40</v>
      </c>
      <c r="D6897">
        <v>4.4748219999999996</v>
      </c>
      <c r="E6897">
        <v>0.48925459999999898</v>
      </c>
      <c r="F6897" t="s">
        <v>68</v>
      </c>
      <c r="G6897">
        <v>-294.6053</v>
      </c>
      <c r="H6897" s="1">
        <v>-8.2033489999999904E-6</v>
      </c>
      <c r="I6897">
        <v>-59.431719999999999</v>
      </c>
      <c r="J6897">
        <v>-300.90359999999998</v>
      </c>
      <c r="K6897">
        <v>1.1131310000000001</v>
      </c>
      <c r="L6897">
        <v>-35.180390000000003</v>
      </c>
      <c r="M6897">
        <v>6.1733030000000001E-2</v>
      </c>
      <c r="N6897">
        <v>-9.5449669999999997E-3</v>
      </c>
      <c r="O6897">
        <v>-0.99804740000000003</v>
      </c>
      <c r="P6897">
        <v>0.2274311</v>
      </c>
      <c r="Q6897">
        <v>0.163829799999999</v>
      </c>
      <c r="R6897">
        <v>-0.95991439999999995</v>
      </c>
      <c r="S6897">
        <v>0.76373290000000005</v>
      </c>
      <c r="T6897">
        <v>-0.13450379999999901</v>
      </c>
      <c r="U6897">
        <v>-2.9683839999999999</v>
      </c>
      <c r="V6897">
        <v>-0.16889849999999901</v>
      </c>
      <c r="W6897">
        <v>0.1719675</v>
      </c>
      <c r="X6897">
        <v>0.97051549999999998</v>
      </c>
      <c r="Y6897">
        <v>-0.1887141</v>
      </c>
      <c r="Z6897">
        <v>3.455159E-2</v>
      </c>
      <c r="AA6897">
        <v>0.98142410000000002</v>
      </c>
      <c r="AB6897">
        <v>31</v>
      </c>
      <c r="AC6897">
        <v>6.2982999999999798</v>
      </c>
      <c r="AD6897">
        <v>-1.113139203349</v>
      </c>
      <c r="AE6897">
        <v>-24.251329999999999</v>
      </c>
      <c r="AF6897">
        <v>-4.7796767401091396</v>
      </c>
      <c r="AG6897">
        <v>-1.113139203349</v>
      </c>
      <c r="AH6897">
        <v>24.545456597701399</v>
      </c>
      <c r="AI6897">
        <v>92.548782032158499</v>
      </c>
      <c r="AJ6897">
        <v>101.0191700885</v>
      </c>
      <c r="AK6897">
        <v>25.031257024281</v>
      </c>
      <c r="AL6897">
        <v>80.097765894018494</v>
      </c>
      <c r="AM6897">
        <v>99.872293295183496</v>
      </c>
      <c r="AN6897">
        <v>0.99999993004937204</v>
      </c>
    </row>
    <row r="6898" spans="1:40" x14ac:dyDescent="0.25">
      <c r="A6898" t="str">
        <f>"20190304154933435"</f>
        <v>20190304154933435</v>
      </c>
      <c r="B6898" t="str">
        <f>"1551685773424230"</f>
        <v>1551685773424230</v>
      </c>
      <c r="C6898" t="s">
        <v>40</v>
      </c>
      <c r="D6898">
        <v>4.4769500000000004</v>
      </c>
      <c r="E6898">
        <v>0.48963000000000001</v>
      </c>
      <c r="F6898" t="s">
        <v>68</v>
      </c>
      <c r="G6898">
        <v>-294.73570000000001</v>
      </c>
      <c r="H6898" s="1">
        <v>-8.2162480000000007E-6</v>
      </c>
      <c r="I6898">
        <v>-58.827950000000001</v>
      </c>
      <c r="J6898">
        <v>-300.88040000000001</v>
      </c>
      <c r="K6898">
        <v>1.1132390000000001</v>
      </c>
      <c r="L6898">
        <v>-35.496609999999997</v>
      </c>
      <c r="M6898">
        <v>6.5374399999999999E-2</v>
      </c>
      <c r="N6898">
        <v>-9.5560039999999999E-3</v>
      </c>
      <c r="O6898">
        <v>-0.99781540000000002</v>
      </c>
      <c r="P6898">
        <v>0.2319251</v>
      </c>
      <c r="Q6898">
        <v>0.1635307</v>
      </c>
      <c r="R6898">
        <v>-0.9588894</v>
      </c>
      <c r="S6898">
        <v>0.77355959999999901</v>
      </c>
      <c r="T6898">
        <v>-0.13960729999999999</v>
      </c>
      <c r="U6898">
        <v>-2.9658199999999999</v>
      </c>
      <c r="V6898">
        <v>-0.16994339999999999</v>
      </c>
      <c r="W6898">
        <v>0.1716279</v>
      </c>
      <c r="X6898">
        <v>0.97039330000000001</v>
      </c>
      <c r="Y6898">
        <v>-0.18836629999999999</v>
      </c>
      <c r="Z6898">
        <v>3.621833E-2</v>
      </c>
      <c r="AA6898">
        <v>0.98143080000000005</v>
      </c>
      <c r="AB6898">
        <v>31</v>
      </c>
      <c r="AC6898">
        <v>6.1447000000000003</v>
      </c>
      <c r="AD6898">
        <v>-1.1132472162479901</v>
      </c>
      <c r="AE6898">
        <v>-23.331340000000001</v>
      </c>
      <c r="AF6898">
        <v>-4.5964267661816702</v>
      </c>
      <c r="AG6898">
        <v>-1.1132472162479901</v>
      </c>
      <c r="AH6898">
        <v>23.6328347797064</v>
      </c>
      <c r="AI6898">
        <v>92.647442792920998</v>
      </c>
      <c r="AJ6898">
        <v>101.006235125418</v>
      </c>
      <c r="AK6898">
        <v>24.1013970156556</v>
      </c>
      <c r="AL6898">
        <v>80.117518157202994</v>
      </c>
      <c r="AM6898">
        <v>99.933382033131195</v>
      </c>
      <c r="AN6898">
        <v>1.0000000259734201</v>
      </c>
    </row>
    <row r="6899" spans="1:40" x14ac:dyDescent="0.25">
      <c r="A6899" t="str">
        <f>"20190304154933459"</f>
        <v>20190304154933459</v>
      </c>
      <c r="B6899" t="str">
        <f>"1551685773454487"</f>
        <v>1551685773454487</v>
      </c>
      <c r="C6899" t="s">
        <v>40</v>
      </c>
      <c r="D6899">
        <v>4.4875889999999998</v>
      </c>
      <c r="E6899">
        <v>0.49016369999999998</v>
      </c>
      <c r="F6899" t="s">
        <v>68</v>
      </c>
      <c r="G6899">
        <v>-294.71690000000001</v>
      </c>
      <c r="H6899" s="1">
        <v>-8.2278570000000003E-6</v>
      </c>
      <c r="I6899">
        <v>-58.780169999999998</v>
      </c>
      <c r="J6899">
        <v>-300.85480000000001</v>
      </c>
      <c r="K6899">
        <v>1.113332</v>
      </c>
      <c r="L6899">
        <v>-35.826050000000002</v>
      </c>
      <c r="M6899">
        <v>6.9270979999999996E-2</v>
      </c>
      <c r="N6899">
        <v>-9.5672150000000004E-3</v>
      </c>
      <c r="O6899">
        <v>-0.99755210000000005</v>
      </c>
      <c r="P6899">
        <v>0.2370313</v>
      </c>
      <c r="Q6899">
        <v>0.164024799999999</v>
      </c>
      <c r="R6899">
        <v>-0.95755520000000005</v>
      </c>
      <c r="S6899">
        <v>0.78436280000000003</v>
      </c>
      <c r="T6899">
        <v>-0.1416723</v>
      </c>
      <c r="U6899">
        <v>-2.9630740000000002</v>
      </c>
      <c r="V6899">
        <v>-0.17137740000000001</v>
      </c>
      <c r="W6899">
        <v>0.17207839999999999</v>
      </c>
      <c r="X6899">
        <v>0.97006119999999996</v>
      </c>
      <c r="Y6899">
        <v>-0.1880928</v>
      </c>
      <c r="Z6899">
        <v>3.6890949999999999E-2</v>
      </c>
      <c r="AA6899">
        <v>0.98145819999999995</v>
      </c>
      <c r="AB6899">
        <v>31</v>
      </c>
      <c r="AC6899">
        <v>6.1379000000000001</v>
      </c>
      <c r="AD6899">
        <v>-1.1133402278569999</v>
      </c>
      <c r="AE6899">
        <v>-22.95412</v>
      </c>
      <c r="AF6899">
        <v>-4.5230970291618604</v>
      </c>
      <c r="AG6899">
        <v>-1.1133402278569999</v>
      </c>
      <c r="AH6899">
        <v>23.273077196224101</v>
      </c>
      <c r="AI6899">
        <v>92.688604525080606</v>
      </c>
      <c r="AJ6899">
        <v>100.998266080525</v>
      </c>
      <c r="AK6899">
        <v>23.734659369360699</v>
      </c>
      <c r="AL6899">
        <v>80.091315940640797</v>
      </c>
      <c r="AM6899">
        <v>100.018870100567</v>
      </c>
      <c r="AN6899">
        <v>0.99999996036137895</v>
      </c>
    </row>
    <row r="6900" spans="1:40" x14ac:dyDescent="0.25">
      <c r="A6900" t="str">
        <f>"20190304154933479"</f>
        <v>20190304154933479</v>
      </c>
      <c r="B6900" t="str">
        <f>"1551685773474006"</f>
        <v>1551685773474006</v>
      </c>
      <c r="C6900" t="s">
        <v>40</v>
      </c>
      <c r="D6900">
        <v>4.4952930000000002</v>
      </c>
      <c r="E6900">
        <v>0.490504</v>
      </c>
      <c r="F6900" t="s">
        <v>68</v>
      </c>
      <c r="G6900">
        <v>-294.5883</v>
      </c>
      <c r="H6900" s="1">
        <v>-8.2384159999999994E-6</v>
      </c>
      <c r="I6900">
        <v>-59.142539999999997</v>
      </c>
      <c r="J6900">
        <v>-300.83179999999999</v>
      </c>
      <c r="K6900">
        <v>1.113408</v>
      </c>
      <c r="L6900">
        <v>-36.108669999999996</v>
      </c>
      <c r="M6900">
        <v>7.2698830000000006E-2</v>
      </c>
      <c r="N6900">
        <v>-9.576523E-3</v>
      </c>
      <c r="O6900">
        <v>-0.99730799999999997</v>
      </c>
      <c r="P6900">
        <v>0.24141280000000001</v>
      </c>
      <c r="Q6900">
        <v>0.164906</v>
      </c>
      <c r="R6900">
        <v>-0.95630870000000001</v>
      </c>
      <c r="S6900">
        <v>0.79559329999999995</v>
      </c>
      <c r="T6900">
        <v>-0.1413499</v>
      </c>
      <c r="U6900">
        <v>-2.9602659999999998</v>
      </c>
      <c r="V6900">
        <v>-0.17253779999999999</v>
      </c>
      <c r="W6900">
        <v>0.17292379999999999</v>
      </c>
      <c r="X6900">
        <v>0.96970520000000004</v>
      </c>
      <c r="Y6900">
        <v>-0.1884247</v>
      </c>
      <c r="Z6900">
        <v>3.6783589999999998E-2</v>
      </c>
      <c r="AA6900">
        <v>0.98139849999999995</v>
      </c>
      <c r="AB6900">
        <v>31</v>
      </c>
      <c r="AC6900">
        <v>6.2434999999999796</v>
      </c>
      <c r="AD6900">
        <v>-1.113416238416</v>
      </c>
      <c r="AE6900">
        <v>-23.03387</v>
      </c>
      <c r="AF6900">
        <v>-4.5424782484652901</v>
      </c>
      <c r="AG6900">
        <v>-1.113416238416</v>
      </c>
      <c r="AH6900">
        <v>23.3759498439277</v>
      </c>
      <c r="AI6900">
        <v>92.676985378149297</v>
      </c>
      <c r="AJ6900">
        <v>100.996820701563</v>
      </c>
      <c r="AK6900">
        <v>23.8392289192326</v>
      </c>
      <c r="AL6900">
        <v>80.042141859916697</v>
      </c>
      <c r="AM6900">
        <v>100.088946514312</v>
      </c>
      <c r="AN6900">
        <v>1.00000005397115</v>
      </c>
    </row>
    <row r="6901" spans="1:40" x14ac:dyDescent="0.25">
      <c r="A6901" t="str">
        <f>"20190304154933501"</f>
        <v>20190304154933501</v>
      </c>
      <c r="B6901" t="str">
        <f>"1551685773494502"</f>
        <v>1551685773494502</v>
      </c>
      <c r="C6901" t="s">
        <v>40</v>
      </c>
      <c r="D6901">
        <v>4.4676999999999998</v>
      </c>
      <c r="E6901">
        <v>0.49078909999999998</v>
      </c>
      <c r="F6901" t="s">
        <v>68</v>
      </c>
      <c r="G6901">
        <v>-294.39580000000001</v>
      </c>
      <c r="H6901" s="1">
        <v>-8.2504139999999998E-6</v>
      </c>
      <c r="I6901">
        <v>-59.722999999999999</v>
      </c>
      <c r="J6901">
        <v>-300.8057</v>
      </c>
      <c r="K6901">
        <v>1.113497</v>
      </c>
      <c r="L6901">
        <v>-36.414490000000001</v>
      </c>
      <c r="M6901">
        <v>7.6504039999999995E-2</v>
      </c>
      <c r="N6901">
        <v>-9.5868599999999991E-3</v>
      </c>
      <c r="O6901">
        <v>-0.9970232</v>
      </c>
      <c r="P6901">
        <v>0.24646950000000001</v>
      </c>
      <c r="Q6901">
        <v>0.16479059999999901</v>
      </c>
      <c r="R6901">
        <v>-0.95503749999999998</v>
      </c>
      <c r="S6901">
        <v>0.80609129999999996</v>
      </c>
      <c r="T6901">
        <v>-0.13945289999999999</v>
      </c>
      <c r="U6901">
        <v>-2.9576419999999999</v>
      </c>
      <c r="V6901">
        <v>-0.17400489999999999</v>
      </c>
      <c r="W6901">
        <v>0.17276839999999999</v>
      </c>
      <c r="X6901">
        <v>0.96947070000000002</v>
      </c>
      <c r="Y6901">
        <v>-0.1881475</v>
      </c>
      <c r="Z6901">
        <v>3.615956E-2</v>
      </c>
      <c r="AA6901">
        <v>0.98147490000000004</v>
      </c>
      <c r="AB6901">
        <v>31</v>
      </c>
      <c r="AC6901">
        <v>6.4098999999999897</v>
      </c>
      <c r="AD6901">
        <v>-1.1135052504139999</v>
      </c>
      <c r="AE6901">
        <v>-23.308509999999998</v>
      </c>
      <c r="AF6901">
        <v>-4.5980795235163496</v>
      </c>
      <c r="AG6901">
        <v>-1.1135052504139999</v>
      </c>
      <c r="AH6901">
        <v>23.680354794727901</v>
      </c>
      <c r="AI6901">
        <v>92.642907563629706</v>
      </c>
      <c r="AJ6901">
        <v>100.98854006133701</v>
      </c>
      <c r="AK6901">
        <v>24.148321524517499</v>
      </c>
      <c r="AL6901">
        <v>80.051181459638798</v>
      </c>
      <c r="AM6901">
        <v>100.175358455151</v>
      </c>
      <c r="AN6901">
        <v>1.00000003171052</v>
      </c>
    </row>
    <row r="6902" spans="1:40" x14ac:dyDescent="0.25">
      <c r="A6902" t="str">
        <f>"20190304154933523"</f>
        <v>20190304154933523</v>
      </c>
      <c r="B6902" t="str">
        <f>"1551685773514023"</f>
        <v>1551685773514023</v>
      </c>
      <c r="C6902" t="s">
        <v>40</v>
      </c>
      <c r="D6902">
        <v>4.4389159999999999</v>
      </c>
      <c r="E6902">
        <v>0.4909403</v>
      </c>
      <c r="F6902" t="s">
        <v>68</v>
      </c>
      <c r="G6902">
        <v>-294.3263</v>
      </c>
      <c r="H6902" s="1">
        <v>-8.2699500000000003E-6</v>
      </c>
      <c r="I6902">
        <v>-59.780589999999997</v>
      </c>
      <c r="J6902">
        <v>-300.77780000000001</v>
      </c>
      <c r="K6902">
        <v>1.11359599999999</v>
      </c>
      <c r="L6902">
        <v>-36.726900000000001</v>
      </c>
      <c r="M6902">
        <v>8.0495899999999995E-2</v>
      </c>
      <c r="N6902">
        <v>-9.5981139999999996E-3</v>
      </c>
      <c r="O6902">
        <v>-0.9967087</v>
      </c>
      <c r="P6902">
        <v>0.25143890000000002</v>
      </c>
      <c r="Q6902">
        <v>0.16434570000000001</v>
      </c>
      <c r="R6902">
        <v>-0.95381800000000005</v>
      </c>
      <c r="S6902">
        <v>0.81918329999999995</v>
      </c>
      <c r="T6902">
        <v>-0.1407784</v>
      </c>
      <c r="U6902">
        <v>-2.954132</v>
      </c>
      <c r="V6902">
        <v>-0.17520289999999999</v>
      </c>
      <c r="W6902">
        <v>0.17228360000000001</v>
      </c>
      <c r="X6902">
        <v>0.96934120000000001</v>
      </c>
      <c r="Y6902">
        <v>-0.18854940000000001</v>
      </c>
      <c r="Z6902">
        <v>3.6590770000000002E-2</v>
      </c>
      <c r="AA6902">
        <v>0.98138179999999997</v>
      </c>
      <c r="AB6902">
        <v>31</v>
      </c>
      <c r="AC6902">
        <v>6.4515000000000002</v>
      </c>
      <c r="AD6902">
        <v>-1.11360426994999</v>
      </c>
      <c r="AE6902">
        <v>-23.05369</v>
      </c>
      <c r="AF6902">
        <v>-4.5648716138242103</v>
      </c>
      <c r="AG6902">
        <v>-1.11360426994999</v>
      </c>
      <c r="AH6902">
        <v>23.4474779098265</v>
      </c>
      <c r="AI6902">
        <v>92.669099988657607</v>
      </c>
      <c r="AJ6902">
        <v>101.01681947919499</v>
      </c>
      <c r="AK6902">
        <v>23.913644382497399</v>
      </c>
      <c r="AL6902">
        <v>80.079381278625704</v>
      </c>
      <c r="AM6902">
        <v>100.24527545132101</v>
      </c>
      <c r="AN6902">
        <v>1.0000000285074</v>
      </c>
    </row>
    <row r="6903" spans="1:40" x14ac:dyDescent="0.25">
      <c r="A6903" t="str">
        <f>"20190304154933546"</f>
        <v>20190304154933546</v>
      </c>
      <c r="B6903" t="str">
        <f>"1551685773534518"</f>
        <v>1551685773534518</v>
      </c>
      <c r="C6903" t="s">
        <v>40</v>
      </c>
      <c r="D6903">
        <v>4.4644539999999999</v>
      </c>
      <c r="E6903">
        <v>0.49784349999999999</v>
      </c>
      <c r="F6903" t="s">
        <v>68</v>
      </c>
      <c r="G6903">
        <v>-294.27460000000002</v>
      </c>
      <c r="H6903" s="1">
        <v>-8.2911559999999907E-6</v>
      </c>
      <c r="I6903">
        <v>-59.756459999999997</v>
      </c>
      <c r="J6903">
        <v>-300.74900000000002</v>
      </c>
      <c r="K6903">
        <v>1.1136950000000001</v>
      </c>
      <c r="L6903">
        <v>-37.034329999999997</v>
      </c>
      <c r="M6903">
        <v>8.452788E-2</v>
      </c>
      <c r="N6903">
        <v>-9.6097470000000001E-3</v>
      </c>
      <c r="O6903">
        <v>-0.99637489999999995</v>
      </c>
      <c r="P6903">
        <v>0.25688810000000001</v>
      </c>
      <c r="Q6903">
        <v>0.16471079999999999</v>
      </c>
      <c r="R6903">
        <v>-0.95230210000000004</v>
      </c>
      <c r="S6903">
        <v>0.83309940000000005</v>
      </c>
      <c r="T6903">
        <v>-0.14265939999999999</v>
      </c>
      <c r="U6903">
        <v>-2.9502259999999998</v>
      </c>
      <c r="V6903">
        <v>-0.17687510000000001</v>
      </c>
      <c r="W6903">
        <v>0.17260120000000001</v>
      </c>
      <c r="X6903">
        <v>0.96898090000000003</v>
      </c>
      <c r="Y6903">
        <v>-0.18919620000000001</v>
      </c>
      <c r="Z6903">
        <v>3.720482E-2</v>
      </c>
      <c r="AA6903">
        <v>0.98123419999999895</v>
      </c>
      <c r="AB6903">
        <v>31</v>
      </c>
      <c r="AC6903">
        <v>6.4744000000000002</v>
      </c>
      <c r="AD6903">
        <v>-1.1137032911560001</v>
      </c>
      <c r="AE6903">
        <v>-22.72213</v>
      </c>
      <c r="AF6903">
        <v>-4.5204404970729399</v>
      </c>
      <c r="AG6903">
        <v>-1.1137032911560001</v>
      </c>
      <c r="AH6903">
        <v>23.136685983912901</v>
      </c>
      <c r="AI6903">
        <v>92.704788317133094</v>
      </c>
      <c r="AJ6903">
        <v>101.05516990472</v>
      </c>
      <c r="AK6903">
        <v>23.600443970961699</v>
      </c>
      <c r="AL6903">
        <v>80.060906905382296</v>
      </c>
      <c r="AM6903">
        <v>100.344722098551</v>
      </c>
      <c r="AN6903">
        <v>0.99999997990312905</v>
      </c>
    </row>
    <row r="6904" spans="1:40" x14ac:dyDescent="0.25">
      <c r="A6904" t="str">
        <f>"20190304154933568"</f>
        <v>20190304154933568</v>
      </c>
      <c r="B6904" t="str">
        <f>"1551685773563802"</f>
        <v>1551685773563802</v>
      </c>
      <c r="C6904" t="s">
        <v>40</v>
      </c>
      <c r="D6904">
        <v>4.4588769999999904</v>
      </c>
      <c r="E6904">
        <v>0.49909510000000001</v>
      </c>
      <c r="F6904" t="s">
        <v>68</v>
      </c>
      <c r="G6904">
        <v>-295.1155</v>
      </c>
      <c r="H6904" s="1">
        <v>-8.1624699999999998E-6</v>
      </c>
      <c r="I6904">
        <v>-57.984059999999999</v>
      </c>
      <c r="J6904">
        <v>-300.71820000000002</v>
      </c>
      <c r="K6904">
        <v>1.113796</v>
      </c>
      <c r="L6904">
        <v>-37.348849999999999</v>
      </c>
      <c r="M6904">
        <v>8.8763800000000004E-2</v>
      </c>
      <c r="N6904">
        <v>-9.6220149999999994E-3</v>
      </c>
      <c r="O6904">
        <v>-0.99600639999999996</v>
      </c>
      <c r="P6904">
        <v>0.26262629999999998</v>
      </c>
      <c r="Q6904">
        <v>0.16469790000000001</v>
      </c>
      <c r="R6904">
        <v>-0.95073770000000002</v>
      </c>
      <c r="S6904">
        <v>0.79666139999999996</v>
      </c>
      <c r="T6904">
        <v>-0.1574932</v>
      </c>
      <c r="U6904">
        <v>-2.9625849999999998</v>
      </c>
      <c r="V6904">
        <v>-0.17864559999999999</v>
      </c>
      <c r="W6904">
        <v>0.17253679999999999</v>
      </c>
      <c r="X6904">
        <v>0.96866759999999996</v>
      </c>
      <c r="Y6904">
        <v>-0.1726559</v>
      </c>
      <c r="Z6904">
        <v>4.196395E-2</v>
      </c>
      <c r="AA6904">
        <v>0.98408790000000002</v>
      </c>
      <c r="AB6904">
        <v>31</v>
      </c>
      <c r="AC6904">
        <v>5.60270000000002</v>
      </c>
      <c r="AD6904">
        <v>-1.1138041624699999</v>
      </c>
      <c r="AE6904">
        <v>-20.635210000000001</v>
      </c>
      <c r="AF6904">
        <v>-3.7386938333141502</v>
      </c>
      <c r="AG6904">
        <v>-1.1138041624699999</v>
      </c>
      <c r="AH6904">
        <v>20.9941241761016</v>
      </c>
      <c r="AI6904">
        <v>92.989920767656002</v>
      </c>
      <c r="AJ6904">
        <v>100.09754190823</v>
      </c>
      <c r="AK6904">
        <v>21.353492482804</v>
      </c>
      <c r="AL6904">
        <v>80.064653743037795</v>
      </c>
      <c r="AM6904">
        <v>100.449307280372</v>
      </c>
      <c r="AN6904">
        <v>1.00000005852167</v>
      </c>
    </row>
    <row r="6905" spans="1:40" x14ac:dyDescent="0.25">
      <c r="A6905" t="str">
        <f>"20190304154933591"</f>
        <v>20190304154933591</v>
      </c>
      <c r="B6905" t="str">
        <f>"1551685773584295"</f>
        <v>1551685773584295</v>
      </c>
      <c r="C6905" t="s">
        <v>40</v>
      </c>
      <c r="D6905">
        <v>4.6416320000000004</v>
      </c>
      <c r="E6905">
        <v>0.4831319</v>
      </c>
      <c r="F6905" t="s">
        <v>68</v>
      </c>
      <c r="G6905">
        <v>-295.07420000000002</v>
      </c>
      <c r="H6905" s="1">
        <v>-8.163359E-6</v>
      </c>
      <c r="I6905">
        <v>-58.125279999999997</v>
      </c>
      <c r="J6905">
        <v>-300.68579999999997</v>
      </c>
      <c r="K6905">
        <v>1.1139059999999901</v>
      </c>
      <c r="L6905">
        <v>-37.664029999999997</v>
      </c>
      <c r="M6905">
        <v>9.3128349999999999E-2</v>
      </c>
      <c r="N6905">
        <v>-9.6347020000000002E-3</v>
      </c>
      <c r="O6905">
        <v>-0.99560760000000004</v>
      </c>
      <c r="P6905">
        <v>0.26848759999999999</v>
      </c>
      <c r="Q6905">
        <v>0.16510439999999901</v>
      </c>
      <c r="R6905">
        <v>-0.94902839999999999</v>
      </c>
      <c r="S6905">
        <v>0.80429079999999997</v>
      </c>
      <c r="T6905">
        <v>-0.15872310000000001</v>
      </c>
      <c r="U6905">
        <v>-2.9607540000000001</v>
      </c>
      <c r="V6905">
        <v>-0.18043629999999999</v>
      </c>
      <c r="W6905">
        <v>0.1728886</v>
      </c>
      <c r="X6905">
        <v>0.96827289999999999</v>
      </c>
      <c r="Y6905">
        <v>-0.17085020000000001</v>
      </c>
      <c r="Z6905">
        <v>4.2349930000000001E-2</v>
      </c>
      <c r="AA6905">
        <v>0.98438639999999999</v>
      </c>
      <c r="AB6905">
        <v>32</v>
      </c>
      <c r="AC6905">
        <v>5.6115999999999504</v>
      </c>
      <c r="AD6905">
        <v>-1.11391416335899</v>
      </c>
      <c r="AE6905">
        <v>-20.46125</v>
      </c>
      <c r="AF6905">
        <v>-3.6714795551340802</v>
      </c>
      <c r="AG6905">
        <v>-1.11391416335899</v>
      </c>
      <c r="AH6905">
        <v>20.837506026018399</v>
      </c>
      <c r="AI6905">
        <v>93.013624034502499</v>
      </c>
      <c r="AJ6905">
        <v>99.992706402456307</v>
      </c>
      <c r="AK6905">
        <v>21.187784789152801</v>
      </c>
      <c r="AL6905">
        <v>80.0441896496597</v>
      </c>
      <c r="AM6905">
        <v>100.555912188897</v>
      </c>
      <c r="AN6905">
        <v>1.0000000676210199</v>
      </c>
    </row>
    <row r="6906" spans="1:40" x14ac:dyDescent="0.25">
      <c r="A6906" t="str">
        <f>"20190304154933613"</f>
        <v>20190304154933613</v>
      </c>
      <c r="B6906" t="str">
        <f>"1551685773603815"</f>
        <v>1551685773603815</v>
      </c>
      <c r="C6906" t="s">
        <v>40</v>
      </c>
      <c r="D6906">
        <v>4.4621149999999998</v>
      </c>
      <c r="E6906">
        <v>0.46089540000000001</v>
      </c>
      <c r="F6906" t="s">
        <v>68</v>
      </c>
      <c r="G6906">
        <v>-294.75799999999998</v>
      </c>
      <c r="H6906" s="1">
        <v>-8.4894190000000007E-6</v>
      </c>
      <c r="I6906">
        <v>-56.012349999999998</v>
      </c>
      <c r="J6906">
        <v>-300.65260000000001</v>
      </c>
      <c r="K6906">
        <v>1.1140159999999999</v>
      </c>
      <c r="L6906">
        <v>-37.971409999999999</v>
      </c>
      <c r="M6906">
        <v>9.751485E-2</v>
      </c>
      <c r="N6906">
        <v>-9.6475699999999994E-3</v>
      </c>
      <c r="O6906">
        <v>-0.99518759999999995</v>
      </c>
      <c r="P6906">
        <v>0.27458939999999998</v>
      </c>
      <c r="Q6906">
        <v>0.16544589999999901</v>
      </c>
      <c r="R6906">
        <v>-0.94722169999999895</v>
      </c>
      <c r="S6906">
        <v>0.94488530000000004</v>
      </c>
      <c r="T6906">
        <v>-0.17755750000000001</v>
      </c>
      <c r="U6906">
        <v>-2.9247130000000001</v>
      </c>
      <c r="V6906">
        <v>-0.18245810000000001</v>
      </c>
      <c r="W6906">
        <v>0.1731723</v>
      </c>
      <c r="X6906">
        <v>0.96784320000000001</v>
      </c>
      <c r="Y6906">
        <v>-0.21273220000000001</v>
      </c>
      <c r="Z6906">
        <v>4.8517369999999997E-2</v>
      </c>
      <c r="AA6906">
        <v>0.97590520000000003</v>
      </c>
      <c r="AB6906">
        <v>32</v>
      </c>
      <c r="AC6906">
        <v>5.89460000000002</v>
      </c>
      <c r="AD6906">
        <v>-1.1140244894189999</v>
      </c>
      <c r="AE6906">
        <v>-18.040939999999999</v>
      </c>
      <c r="AF6906">
        <v>-4.0930616402897799</v>
      </c>
      <c r="AG6906">
        <v>-1.1140244894189999</v>
      </c>
      <c r="AH6906">
        <v>18.466167415191698</v>
      </c>
      <c r="AI6906">
        <v>93.370734898178497</v>
      </c>
      <c r="AJ6906">
        <v>102.497666256177</v>
      </c>
      <c r="AK6906">
        <v>18.947124931242801</v>
      </c>
      <c r="AL6906">
        <v>80.027685542193097</v>
      </c>
      <c r="AM6906">
        <v>100.67611885861599</v>
      </c>
      <c r="AN6906">
        <v>1.0000000317645601</v>
      </c>
    </row>
    <row r="6907" spans="1:40" x14ac:dyDescent="0.25">
      <c r="A6907" t="str">
        <f>"20190304154933636"</f>
        <v>20190304154933636</v>
      </c>
      <c r="B6907" t="str">
        <f>"1551685773634070"</f>
        <v>1551685773634070</v>
      </c>
      <c r="C6907" t="s">
        <v>40</v>
      </c>
      <c r="D6907">
        <v>4.3325040000000001</v>
      </c>
      <c r="E6907">
        <v>0.41333700000000001</v>
      </c>
      <c r="F6907" t="s">
        <v>68</v>
      </c>
      <c r="G6907">
        <v>-292.93270000000001</v>
      </c>
      <c r="H6907" s="1">
        <v>-9.0045039999999992E-6</v>
      </c>
      <c r="I6907">
        <v>-57.499630000000003</v>
      </c>
      <c r="J6907">
        <v>-300.61520000000002</v>
      </c>
      <c r="K6907">
        <v>1.114136</v>
      </c>
      <c r="L6907">
        <v>-38.303649999999998</v>
      </c>
      <c r="M6907">
        <v>0.1023921</v>
      </c>
      <c r="N6907">
        <v>-9.6618269999999996E-3</v>
      </c>
      <c r="O6907">
        <v>-0.99469719999999995</v>
      </c>
      <c r="P6907">
        <v>0.28062599999999999</v>
      </c>
      <c r="Q6907">
        <v>0.16545670000000001</v>
      </c>
      <c r="R6907">
        <v>-0.94544859999999997</v>
      </c>
      <c r="S6907">
        <v>1.133453</v>
      </c>
      <c r="T6907">
        <v>-0.1635625</v>
      </c>
      <c r="U6907">
        <v>-2.8671570000000002</v>
      </c>
      <c r="V6907">
        <v>-0.18393979999999999</v>
      </c>
      <c r="W6907">
        <v>0.17312910000000001</v>
      </c>
      <c r="X6907">
        <v>0.96757040000000005</v>
      </c>
      <c r="Y6907">
        <v>-0.27004549999999999</v>
      </c>
      <c r="Z6907">
        <v>4.398233E-2</v>
      </c>
      <c r="AA6907">
        <v>0.96184250000000004</v>
      </c>
      <c r="AB6907">
        <v>32</v>
      </c>
      <c r="AC6907">
        <v>7.6825000000000001</v>
      </c>
      <c r="AD6907">
        <v>-1.114145004504</v>
      </c>
      <c r="AE6907">
        <v>-19.195979999999999</v>
      </c>
      <c r="AF6907">
        <v>-5.6600747157096896</v>
      </c>
      <c r="AG6907">
        <v>-1.114145004504</v>
      </c>
      <c r="AH6907">
        <v>19.824180732403601</v>
      </c>
      <c r="AI6907">
        <v>93.093356400515106</v>
      </c>
      <c r="AJ6907">
        <v>105.93476872940001</v>
      </c>
      <c r="AK6907">
        <v>20.646450217639799</v>
      </c>
      <c r="AL6907">
        <v>80.030198431695496</v>
      </c>
      <c r="AM6907">
        <v>100.763763654182</v>
      </c>
      <c r="AN6907">
        <v>1.0000000071235</v>
      </c>
    </row>
    <row r="6908" spans="1:40" x14ac:dyDescent="0.25">
      <c r="A6908" t="str">
        <f>"20190304154933660"</f>
        <v>20190304154933660</v>
      </c>
      <c r="B6908" t="str">
        <f>"1551685773654567"</f>
        <v>1551685773654567</v>
      </c>
      <c r="C6908" t="s">
        <v>40</v>
      </c>
      <c r="D6908">
        <v>4.2631990000000002</v>
      </c>
      <c r="E6908">
        <v>0.41409430000000003</v>
      </c>
      <c r="F6908" t="s">
        <v>45</v>
      </c>
      <c r="G6908">
        <v>-276.52789999999999</v>
      </c>
      <c r="H6908">
        <v>-0.05</v>
      </c>
      <c r="I6908">
        <v>-81.837940000000003</v>
      </c>
      <c r="J6908">
        <v>-300.57639999999998</v>
      </c>
      <c r="K6908">
        <v>1.114239</v>
      </c>
      <c r="L6908">
        <v>-38.631770000000003</v>
      </c>
      <c r="M6908">
        <v>0.107321</v>
      </c>
      <c r="N6908">
        <v>-9.6755120000000007E-3</v>
      </c>
      <c r="O6908">
        <v>-0.99417730000000004</v>
      </c>
      <c r="P6908">
        <v>0.28674809999999901</v>
      </c>
      <c r="Q6908">
        <v>0.1660171</v>
      </c>
      <c r="R6908">
        <v>-0.94351169999999995</v>
      </c>
      <c r="S6908">
        <v>1.5140990000000001</v>
      </c>
      <c r="T6908">
        <v>-7.3176149999999995E-2</v>
      </c>
      <c r="U6908">
        <v>-2.7365110000000001</v>
      </c>
      <c r="V6908">
        <v>-0.185479</v>
      </c>
      <c r="W6908">
        <v>0.1736367</v>
      </c>
      <c r="X6908">
        <v>0.96718550000000003</v>
      </c>
      <c r="Y6908">
        <v>-0.38731739999999998</v>
      </c>
      <c r="Z6908">
        <v>1.435383E-2</v>
      </c>
      <c r="AA6908">
        <v>0.92183459999999995</v>
      </c>
      <c r="AB6908">
        <v>32</v>
      </c>
      <c r="AC6908">
        <v>24.048499999999901</v>
      </c>
      <c r="AD6908">
        <v>-1.164239</v>
      </c>
      <c r="AE6908">
        <v>-43.20617</v>
      </c>
      <c r="AF6908">
        <v>-19.261768520374201</v>
      </c>
      <c r="AG6908">
        <v>-1.164239</v>
      </c>
      <c r="AH6908">
        <v>45.512405994672299</v>
      </c>
      <c r="AI6908">
        <v>91.349511281461204</v>
      </c>
      <c r="AJ6908">
        <v>112.93906181497999</v>
      </c>
      <c r="AK6908">
        <v>49.434302649126998</v>
      </c>
      <c r="AL6908">
        <v>80.000667535929693</v>
      </c>
      <c r="AM6908">
        <v>100.855920237052</v>
      </c>
      <c r="AN6908">
        <v>0.99999997721906897</v>
      </c>
    </row>
    <row r="6909" spans="1:40" x14ac:dyDescent="0.25">
      <c r="A6909" t="str">
        <f>"20190304154933680"</f>
        <v>20190304154933680</v>
      </c>
      <c r="B6909" t="str">
        <f>"1551685773674087"</f>
        <v>1551685773674087</v>
      </c>
      <c r="C6909" t="s">
        <v>40</v>
      </c>
      <c r="D6909">
        <v>4.2492279999999996</v>
      </c>
      <c r="E6909">
        <v>0.41530669999999997</v>
      </c>
      <c r="F6909" t="s">
        <v>68</v>
      </c>
      <c r="G6909">
        <v>-280.82799999999997</v>
      </c>
      <c r="H6909">
        <v>7.9987180000000005E-2</v>
      </c>
      <c r="I6909">
        <v>-73.959950000000006</v>
      </c>
      <c r="J6909">
        <v>-300.54160000000002</v>
      </c>
      <c r="K6909">
        <v>1.114333</v>
      </c>
      <c r="L6909">
        <v>-38.915100000000002</v>
      </c>
      <c r="M6909">
        <v>0.1116719</v>
      </c>
      <c r="N6909">
        <v>-9.6869780000000006E-3</v>
      </c>
      <c r="O6909">
        <v>-0.99369799999999997</v>
      </c>
      <c r="P6909">
        <v>0.29156330000000003</v>
      </c>
      <c r="Q6909">
        <v>0.16677449999999999</v>
      </c>
      <c r="R6909">
        <v>-0.94190099999999999</v>
      </c>
      <c r="S6909">
        <v>1.5260009999999999</v>
      </c>
      <c r="T6909">
        <v>-7.9918980000000001E-2</v>
      </c>
      <c r="U6909">
        <v>-2.729889</v>
      </c>
      <c r="V6909">
        <v>-0.1862463</v>
      </c>
      <c r="W6909">
        <v>0.17435510000000001</v>
      </c>
      <c r="X6909">
        <v>0.96690880000000001</v>
      </c>
      <c r="Y6909">
        <v>-0.38727620000000001</v>
      </c>
      <c r="Z6909">
        <v>1.6554579999999999E-2</v>
      </c>
      <c r="AA6909">
        <v>0.9218151</v>
      </c>
      <c r="AB6909">
        <v>32</v>
      </c>
      <c r="AC6909">
        <v>19.7136</v>
      </c>
      <c r="AD6909">
        <v>-1.03434582</v>
      </c>
      <c r="AE6909">
        <v>-35.044849999999997</v>
      </c>
      <c r="AF6909">
        <v>-15.6662072758624</v>
      </c>
      <c r="AG6909">
        <v>-1.03434582</v>
      </c>
      <c r="AH6909">
        <v>37.002700787403803</v>
      </c>
      <c r="AI6909">
        <v>91.474538116606595</v>
      </c>
      <c r="AJ6909">
        <v>112.946832528534</v>
      </c>
      <c r="AK6909">
        <v>40.195768275376601</v>
      </c>
      <c r="AL6909">
        <v>79.958868957111207</v>
      </c>
      <c r="AM6909">
        <v>100.902800491322</v>
      </c>
      <c r="AN6909">
        <v>1.0000000063385699</v>
      </c>
    </row>
    <row r="6910" spans="1:40" x14ac:dyDescent="0.25">
      <c r="A6910" t="str">
        <f>"20190304154933703"</f>
        <v>20190304154933703</v>
      </c>
      <c r="B6910" t="str">
        <f>"1551685773694583"</f>
        <v>1551685773694583</v>
      </c>
      <c r="C6910" t="s">
        <v>40</v>
      </c>
      <c r="D6910">
        <v>4.4666839999999999</v>
      </c>
      <c r="E6910">
        <v>0.4167264</v>
      </c>
      <c r="F6910" t="s">
        <v>68</v>
      </c>
      <c r="G6910">
        <v>-281.9418</v>
      </c>
      <c r="H6910">
        <v>7.9987000000000003E-2</v>
      </c>
      <c r="I6910">
        <v>-72.039630000000002</v>
      </c>
      <c r="J6910">
        <v>-300.50170000000003</v>
      </c>
      <c r="K6910">
        <v>1.114441</v>
      </c>
      <c r="L6910">
        <v>-39.226410000000001</v>
      </c>
      <c r="M6910">
        <v>0.11656850000000001</v>
      </c>
      <c r="N6910">
        <v>-9.7001740000000006E-3</v>
      </c>
      <c r="O6910">
        <v>-0.99313530000000005</v>
      </c>
      <c r="P6910">
        <v>0.29663879999999998</v>
      </c>
      <c r="Q6910">
        <v>0.16762479999999999</v>
      </c>
      <c r="R6910">
        <v>-0.94016379999999999</v>
      </c>
      <c r="S6910">
        <v>1.530823</v>
      </c>
      <c r="T6910">
        <v>-8.51301E-2</v>
      </c>
      <c r="U6910">
        <v>-2.7262569999999999</v>
      </c>
      <c r="V6910">
        <v>-0.1867663</v>
      </c>
      <c r="W6910">
        <v>0.17516409999999999</v>
      </c>
      <c r="X6910">
        <v>0.96666220000000003</v>
      </c>
      <c r="Y6910">
        <v>-0.3844764</v>
      </c>
      <c r="Z6910">
        <v>1.8260660000000001E-2</v>
      </c>
      <c r="AA6910">
        <v>0.92295419999999995</v>
      </c>
      <c r="AB6910">
        <v>32</v>
      </c>
      <c r="AC6910">
        <v>18.559899999999999</v>
      </c>
      <c r="AD6910">
        <v>-1.034454</v>
      </c>
      <c r="AE6910">
        <v>-32.813220000000001</v>
      </c>
      <c r="AF6910">
        <v>-14.5971999000773</v>
      </c>
      <c r="AG6910">
        <v>-1.034454</v>
      </c>
      <c r="AH6910">
        <v>34.726953141666002</v>
      </c>
      <c r="AI6910">
        <v>91.572995351512503</v>
      </c>
      <c r="AJ6910">
        <v>112.79906473296801</v>
      </c>
      <c r="AK6910">
        <v>37.684341768225202</v>
      </c>
      <c r="AL6910">
        <v>79.911791748638606</v>
      </c>
      <c r="AM6910">
        <v>100.93523032919801</v>
      </c>
      <c r="AN6910">
        <v>0.99999996082666898</v>
      </c>
    </row>
    <row r="6911" spans="1:40" x14ac:dyDescent="0.25">
      <c r="A6911" t="str">
        <f>"20190304154933724"</f>
        <v>20190304154933724</v>
      </c>
      <c r="B6911" t="str">
        <f>"1551685773714103"</f>
        <v>1551685773714103</v>
      </c>
      <c r="C6911" t="s">
        <v>40</v>
      </c>
      <c r="D6911">
        <v>4.3737640000000004</v>
      </c>
      <c r="E6911">
        <v>0.41848750000000001</v>
      </c>
      <c r="F6911" t="s">
        <v>68</v>
      </c>
      <c r="G6911">
        <v>-282.92219999999998</v>
      </c>
      <c r="H6911">
        <v>7.4688850000000001E-2</v>
      </c>
      <c r="I6911">
        <v>-70.408459999999906</v>
      </c>
      <c r="J6911">
        <v>-300.4606</v>
      </c>
      <c r="K6911">
        <v>1.1145529999999999</v>
      </c>
      <c r="L6911">
        <v>-39.534999999999997</v>
      </c>
      <c r="M6911">
        <v>0.12154810000000001</v>
      </c>
      <c r="N6911">
        <v>-9.7146019999999993E-3</v>
      </c>
      <c r="O6911">
        <v>-0.99253809999999998</v>
      </c>
      <c r="P6911">
        <v>0.30111110000000002</v>
      </c>
      <c r="Q6911">
        <v>0.1684348</v>
      </c>
      <c r="R6911">
        <v>-0.93859599999999999</v>
      </c>
      <c r="S6911">
        <v>1.535034</v>
      </c>
      <c r="T6911">
        <v>-9.0790869999999996E-2</v>
      </c>
      <c r="U6911">
        <v>-2.7228089999999998</v>
      </c>
      <c r="V6911">
        <v>-0.1865936</v>
      </c>
      <c r="W6911">
        <v>0.1759377</v>
      </c>
      <c r="X6911">
        <v>0.9665551</v>
      </c>
      <c r="Y6911">
        <v>-0.3814073</v>
      </c>
      <c r="Z6911">
        <v>2.0113059999999999E-2</v>
      </c>
      <c r="AA6911">
        <v>0.92418829999999996</v>
      </c>
      <c r="AB6911">
        <v>32</v>
      </c>
      <c r="AC6911">
        <v>17.538399999999999</v>
      </c>
      <c r="AD6911">
        <v>-1.0398641500000001</v>
      </c>
      <c r="AE6911">
        <v>-30.873459999999898</v>
      </c>
      <c r="AF6911">
        <v>-13.643860971484701</v>
      </c>
      <c r="AG6911">
        <v>-1.0398641500000001</v>
      </c>
      <c r="AH6911">
        <v>32.748300854766001</v>
      </c>
      <c r="AI6911">
        <v>91.678919937697202</v>
      </c>
      <c r="AJ6911">
        <v>112.61798001979599</v>
      </c>
      <c r="AK6911">
        <v>35.4920761372722</v>
      </c>
      <c r="AL6911">
        <v>79.866768973993501</v>
      </c>
      <c r="AM6911">
        <v>100.926543582682</v>
      </c>
      <c r="AN6911">
        <v>1.0000000035891199</v>
      </c>
    </row>
    <row r="6912" spans="1:40" x14ac:dyDescent="0.25">
      <c r="A6912" t="str">
        <f>"20190304154933747"</f>
        <v>20190304154933747</v>
      </c>
      <c r="B6912" t="str">
        <f>"1551685773744359"</f>
        <v>1551685773744359</v>
      </c>
      <c r="C6912" t="s">
        <v>40</v>
      </c>
      <c r="D6912">
        <v>4.3725949999999996</v>
      </c>
      <c r="E6912">
        <v>0.420767</v>
      </c>
      <c r="F6912" t="s">
        <v>68</v>
      </c>
      <c r="G6912">
        <v>-283.05810000000002</v>
      </c>
      <c r="H6912">
        <v>2.1592360000000001E-2</v>
      </c>
      <c r="I6912">
        <v>-70.383759999999995</v>
      </c>
      <c r="J6912">
        <v>-300.4171</v>
      </c>
      <c r="K6912">
        <v>1.1146799999999999</v>
      </c>
      <c r="L6912">
        <v>-39.848019999999998</v>
      </c>
      <c r="M6912">
        <v>0.1267327</v>
      </c>
      <c r="N6912">
        <v>-9.7303949999999993E-3</v>
      </c>
      <c r="O6912">
        <v>-0.99188929999999997</v>
      </c>
      <c r="P6912">
        <v>0.30562319999999998</v>
      </c>
      <c r="Q6912">
        <v>0.16862009999999999</v>
      </c>
      <c r="R6912">
        <v>-0.93710300000000002</v>
      </c>
      <c r="S6912">
        <v>1.535034</v>
      </c>
      <c r="T6912">
        <v>-9.6407649999999998E-2</v>
      </c>
      <c r="U6912">
        <v>-2.7210999999999999</v>
      </c>
      <c r="V6912">
        <v>-0.18625259999999999</v>
      </c>
      <c r="W6912">
        <v>0.17608650000000001</v>
      </c>
      <c r="X6912">
        <v>0.96659379999999995</v>
      </c>
      <c r="Y6912">
        <v>-0.37679960000000001</v>
      </c>
      <c r="Z6912">
        <v>2.1952360000000001E-2</v>
      </c>
      <c r="AA6912">
        <v>0.92603469999999999</v>
      </c>
      <c r="AB6912">
        <v>32</v>
      </c>
      <c r="AC6912">
        <v>17.358999999999899</v>
      </c>
      <c r="AD6912">
        <v>-1.09308763999999</v>
      </c>
      <c r="AE6912">
        <v>-30.535740000000001</v>
      </c>
      <c r="AF6912">
        <v>-13.3360446417809</v>
      </c>
      <c r="AG6912">
        <v>-1.09308763999999</v>
      </c>
      <c r="AH6912">
        <v>32.458126831880698</v>
      </c>
      <c r="AI6912">
        <v>91.784190174085893</v>
      </c>
      <c r="AJ6912">
        <v>112.33625081730899</v>
      </c>
      <c r="AK6912">
        <v>35.108046438256103</v>
      </c>
      <c r="AL6912">
        <v>79.858108423467797</v>
      </c>
      <c r="AM6912">
        <v>100.906628445013</v>
      </c>
      <c r="AN6912">
        <v>1.00000003034372</v>
      </c>
    </row>
    <row r="6913" spans="1:40" x14ac:dyDescent="0.25">
      <c r="A6913" t="str">
        <f>"20190304154933769"</f>
        <v>20190304154933769</v>
      </c>
      <c r="B6913" t="str">
        <f>"1551685773763879"</f>
        <v>1551685773763879</v>
      </c>
      <c r="C6913" t="s">
        <v>40</v>
      </c>
      <c r="D6913">
        <v>4.2547259999999998</v>
      </c>
      <c r="E6913">
        <v>0.42128060000000001</v>
      </c>
      <c r="F6913" t="s">
        <v>68</v>
      </c>
      <c r="G6913">
        <v>-284.30360000000002</v>
      </c>
      <c r="H6913" s="1">
        <v>-4.9120870000000002E-6</v>
      </c>
      <c r="I6913">
        <v>-68.487960000000001</v>
      </c>
      <c r="J6913">
        <v>-300.37130000000002</v>
      </c>
      <c r="K6913">
        <v>1.1148180000000001</v>
      </c>
      <c r="L6913">
        <v>-40.165860000000002</v>
      </c>
      <c r="M6913">
        <v>0.13214629999999999</v>
      </c>
      <c r="N6913">
        <v>-9.747281E-3</v>
      </c>
      <c r="O6913">
        <v>-0.99118240000000002</v>
      </c>
      <c r="P6913">
        <v>0.3106275</v>
      </c>
      <c r="Q6913">
        <v>0.16921749999999999</v>
      </c>
      <c r="R6913">
        <v>-0.93534819999999996</v>
      </c>
      <c r="S6913">
        <v>1.530975</v>
      </c>
      <c r="T6913">
        <v>-0.10590819999999999</v>
      </c>
      <c r="U6913">
        <v>-2.72113</v>
      </c>
      <c r="V6913">
        <v>-0.186221</v>
      </c>
      <c r="W6913">
        <v>0.17663799999999999</v>
      </c>
      <c r="X6913">
        <v>0.9664992</v>
      </c>
      <c r="Y6913">
        <v>-0.37064150000000001</v>
      </c>
      <c r="Z6913">
        <v>2.505483E-2</v>
      </c>
      <c r="AA6913">
        <v>0.92843799999999999</v>
      </c>
      <c r="AB6913">
        <v>32</v>
      </c>
      <c r="AC6913">
        <v>16.067699999999999</v>
      </c>
      <c r="AD6913">
        <v>-1.1148229120869999</v>
      </c>
      <c r="AE6913">
        <v>-28.322099999999999</v>
      </c>
      <c r="AF6913">
        <v>-12.1696737788101</v>
      </c>
      <c r="AG6913">
        <v>-1.1148229120869999</v>
      </c>
      <c r="AH6913">
        <v>30.161731963598001</v>
      </c>
      <c r="AI6913">
        <v>91.963135924693205</v>
      </c>
      <c r="AJ6913">
        <v>111.97311997086</v>
      </c>
      <c r="AK6913">
        <v>32.5434150797347</v>
      </c>
      <c r="AL6913">
        <v>79.826006034407897</v>
      </c>
      <c r="AM6913">
        <v>100.905864131629</v>
      </c>
      <c r="AN6913">
        <v>0.99999997374281901</v>
      </c>
    </row>
    <row r="6914" spans="1:40" x14ac:dyDescent="0.25">
      <c r="A6914" t="str">
        <f>"20190304154933793"</f>
        <v>20190304154933793</v>
      </c>
      <c r="B6914" t="str">
        <f>"1551685773784375"</f>
        <v>1551685773784375</v>
      </c>
      <c r="C6914" t="s">
        <v>40</v>
      </c>
      <c r="D6914">
        <v>4.2578019999999999</v>
      </c>
      <c r="E6914">
        <v>0.42134460000000001</v>
      </c>
      <c r="F6914" t="s">
        <v>68</v>
      </c>
      <c r="G6914">
        <v>-284.26350000000002</v>
      </c>
      <c r="H6914" s="1">
        <v>-4.9223869999999999E-6</v>
      </c>
      <c r="I6914">
        <v>-68.535069999999905</v>
      </c>
      <c r="J6914">
        <v>-300.32310000000001</v>
      </c>
      <c r="K6914">
        <v>1.1149530000000001</v>
      </c>
      <c r="L6914">
        <v>-40.485840000000003</v>
      </c>
      <c r="M6914">
        <v>0.13776659999999999</v>
      </c>
      <c r="N6914">
        <v>-9.7652659999999999E-3</v>
      </c>
      <c r="O6914">
        <v>-0.99041690000000004</v>
      </c>
      <c r="P6914">
        <v>0.31578390000000001</v>
      </c>
      <c r="Q6914">
        <v>0.1694582</v>
      </c>
      <c r="R6914">
        <v>-0.93357650000000003</v>
      </c>
      <c r="S6914">
        <v>1.541412</v>
      </c>
      <c r="T6914">
        <v>-0.1066815</v>
      </c>
      <c r="U6914">
        <v>-2.7147519999999998</v>
      </c>
      <c r="V6914">
        <v>-0.1861439</v>
      </c>
      <c r="W6914">
        <v>0.1768304</v>
      </c>
      <c r="X6914">
        <v>0.96647890000000003</v>
      </c>
      <c r="Y6914">
        <v>-0.36900470000000002</v>
      </c>
      <c r="Z6914">
        <v>2.5316789999999999E-2</v>
      </c>
      <c r="AA6914">
        <v>0.92908259999999998</v>
      </c>
      <c r="AB6914">
        <v>32</v>
      </c>
      <c r="AC6914">
        <v>16.0595999999999</v>
      </c>
      <c r="AD6914">
        <v>-1.1149579223870001</v>
      </c>
      <c r="AE6914">
        <v>-28.049229999999898</v>
      </c>
      <c r="AF6914">
        <v>-12.027709896949199</v>
      </c>
      <c r="AG6914">
        <v>-1.1149579223870001</v>
      </c>
      <c r="AH6914">
        <v>29.9586785239979</v>
      </c>
      <c r="AI6914">
        <v>91.978041694684705</v>
      </c>
      <c r="AJ6914">
        <v>111.874308380922</v>
      </c>
      <c r="AK6914">
        <v>32.302188090563099</v>
      </c>
      <c r="AL6914">
        <v>79.814806323672997</v>
      </c>
      <c r="AM6914">
        <v>100.901680536784</v>
      </c>
      <c r="AN6914">
        <v>1.0000000030082901</v>
      </c>
    </row>
    <row r="6915" spans="1:40" x14ac:dyDescent="0.25">
      <c r="A6915" t="str">
        <f>"20190304154933814"</f>
        <v>20190304154933814</v>
      </c>
      <c r="B6915" t="str">
        <f>"1551685773803895"</f>
        <v>1551685773803895</v>
      </c>
      <c r="C6915" t="s">
        <v>40</v>
      </c>
      <c r="D6915">
        <v>4.2868279999999999</v>
      </c>
      <c r="E6915">
        <v>0.42130339999999999</v>
      </c>
      <c r="F6915" t="s">
        <v>68</v>
      </c>
      <c r="G6915">
        <v>-284.00380000000001</v>
      </c>
      <c r="H6915" s="1">
        <v>-4.9821939999999998E-6</v>
      </c>
      <c r="I6915">
        <v>-68.878730000000004</v>
      </c>
      <c r="J6915">
        <v>-300.2747</v>
      </c>
      <c r="K6915">
        <v>1.115094</v>
      </c>
      <c r="L6915">
        <v>-40.793210000000002</v>
      </c>
      <c r="M6915">
        <v>0.1433391</v>
      </c>
      <c r="N6915">
        <v>-9.7836169999999997E-3</v>
      </c>
      <c r="O6915">
        <v>-0.98962550000000005</v>
      </c>
      <c r="P6915">
        <v>0.32148130000000003</v>
      </c>
      <c r="Q6915">
        <v>0.16942299999999999</v>
      </c>
      <c r="R6915">
        <v>-0.93163629999999997</v>
      </c>
      <c r="S6915">
        <v>1.555634</v>
      </c>
      <c r="T6915">
        <v>-0.1062829</v>
      </c>
      <c r="U6915">
        <v>-2.7065429999999999</v>
      </c>
      <c r="V6915">
        <v>-0.18667149999999999</v>
      </c>
      <c r="W6915">
        <v>0.17673939999999999</v>
      </c>
      <c r="X6915">
        <v>0.96639379999999997</v>
      </c>
      <c r="Y6915">
        <v>-0.3686622</v>
      </c>
      <c r="Z6915">
        <v>2.5196630000000001E-2</v>
      </c>
      <c r="AA6915">
        <v>0.92922190000000005</v>
      </c>
      <c r="AB6915">
        <v>32</v>
      </c>
      <c r="AC6915">
        <v>16.270899999999902</v>
      </c>
      <c r="AD6915">
        <v>-1.1150989821940001</v>
      </c>
      <c r="AE6915">
        <v>-28.085519999999999</v>
      </c>
      <c r="AF6915">
        <v>-12.062682640087401</v>
      </c>
      <c r="AG6915">
        <v>-1.1150989821940001</v>
      </c>
      <c r="AH6915">
        <v>30.092321485072802</v>
      </c>
      <c r="AI6915">
        <v>91.969935119331197</v>
      </c>
      <c r="AJ6915">
        <v>111.843669165126</v>
      </c>
      <c r="AK6915">
        <v>32.439167230009602</v>
      </c>
      <c r="AL6915">
        <v>79.820103855969506</v>
      </c>
      <c r="AM6915">
        <v>100.93277590719001</v>
      </c>
      <c r="AN6915">
        <v>1.00000002055152</v>
      </c>
    </row>
    <row r="6916" spans="1:40" x14ac:dyDescent="0.25">
      <c r="A6916" t="str">
        <f>"20190304154933837"</f>
        <v>20190304154933837</v>
      </c>
      <c r="B6916" t="str">
        <f>"1551685773834151"</f>
        <v>1551685773834151</v>
      </c>
      <c r="C6916" t="s">
        <v>40</v>
      </c>
      <c r="D6916">
        <v>4.2794030000000003</v>
      </c>
      <c r="E6916">
        <v>0.42138419999999999</v>
      </c>
      <c r="F6916" t="s">
        <v>68</v>
      </c>
      <c r="G6916">
        <v>-283.65269999999998</v>
      </c>
      <c r="H6916" s="1">
        <v>-5.0714999999999996E-6</v>
      </c>
      <c r="I6916">
        <v>-69.295699999999997</v>
      </c>
      <c r="J6916">
        <v>-300.22320000000002</v>
      </c>
      <c r="K6916">
        <v>1.1152359999999999</v>
      </c>
      <c r="L6916">
        <v>-41.10904</v>
      </c>
      <c r="M6916">
        <v>0.1492097</v>
      </c>
      <c r="N6916">
        <v>-9.8023699999999995E-3</v>
      </c>
      <c r="O6916">
        <v>-0.988757</v>
      </c>
      <c r="P6916">
        <v>0.32735199999999998</v>
      </c>
      <c r="Q6916">
        <v>0.16868949999999999</v>
      </c>
      <c r="R6916">
        <v>-0.92972290000000002</v>
      </c>
      <c r="S6916">
        <v>1.572632</v>
      </c>
      <c r="T6916">
        <v>-0.10550089999999999</v>
      </c>
      <c r="U6916">
        <v>-2.6966549999999998</v>
      </c>
      <c r="V6916">
        <v>-0.1870658</v>
      </c>
      <c r="W6916">
        <v>0.17595649999999999</v>
      </c>
      <c r="X6916">
        <v>0.9664604</v>
      </c>
      <c r="Y6916">
        <v>-0.36900260000000001</v>
      </c>
      <c r="Z6916">
        <v>2.4953920000000001E-2</v>
      </c>
      <c r="AA6916">
        <v>0.92909330000000001</v>
      </c>
      <c r="AB6916">
        <v>32</v>
      </c>
      <c r="AC6916">
        <v>16.570499999999999</v>
      </c>
      <c r="AD6916">
        <v>-1.1152410715000001</v>
      </c>
      <c r="AE6916">
        <v>-28.18666</v>
      </c>
      <c r="AF6916">
        <v>-12.164907024804799</v>
      </c>
      <c r="AG6916">
        <v>-1.1152410715000001</v>
      </c>
      <c r="AH6916">
        <v>30.308433121339601</v>
      </c>
      <c r="AI6916">
        <v>91.955801181702498</v>
      </c>
      <c r="AJ6916">
        <v>111.869064066294</v>
      </c>
      <c r="AK6916">
        <v>32.677665826071902</v>
      </c>
      <c r="AL6916">
        <v>79.865674748106599</v>
      </c>
      <c r="AM6916">
        <v>100.954573984627</v>
      </c>
      <c r="AN6916">
        <v>1.0000000040950201</v>
      </c>
    </row>
    <row r="6917" spans="1:40" x14ac:dyDescent="0.25">
      <c r="A6917" t="str">
        <f>"20190304154933861"</f>
        <v>20190304154933861</v>
      </c>
      <c r="B6917" t="str">
        <f>"1551685773854647"</f>
        <v>1551685773854647</v>
      </c>
      <c r="C6917" t="s">
        <v>40</v>
      </c>
      <c r="D6917">
        <v>4.2535069999999999</v>
      </c>
      <c r="E6917">
        <v>0.42139589999999999</v>
      </c>
      <c r="F6917" t="s">
        <v>68</v>
      </c>
      <c r="G6917">
        <v>-283.58030000000002</v>
      </c>
      <c r="H6917" s="1">
        <v>-5.1148569999999998E-6</v>
      </c>
      <c r="I6917">
        <v>-69.241650000000007</v>
      </c>
      <c r="J6917">
        <v>-300.16640000000001</v>
      </c>
      <c r="K6917">
        <v>1.1153850000000001</v>
      </c>
      <c r="L6917">
        <v>-41.443049999999999</v>
      </c>
      <c r="M6917">
        <v>0.1555937</v>
      </c>
      <c r="N6917">
        <v>-9.821715E-3</v>
      </c>
      <c r="O6917">
        <v>-0.98777230000000005</v>
      </c>
      <c r="P6917">
        <v>0.3339549</v>
      </c>
      <c r="Q6917">
        <v>0.16837769999999999</v>
      </c>
      <c r="R6917">
        <v>-0.92742820000000004</v>
      </c>
      <c r="S6917">
        <v>1.589294</v>
      </c>
      <c r="T6917">
        <v>-0.1064987</v>
      </c>
      <c r="U6917">
        <v>-2.686493</v>
      </c>
      <c r="V6917">
        <v>-0.18774750000000001</v>
      </c>
      <c r="W6917">
        <v>0.1755871</v>
      </c>
      <c r="X6917">
        <v>0.96639540000000002</v>
      </c>
      <c r="Y6917">
        <v>-0.36880230000000003</v>
      </c>
      <c r="Z6917">
        <v>2.529263E-2</v>
      </c>
      <c r="AA6917">
        <v>0.92916370000000004</v>
      </c>
      <c r="AB6917">
        <v>32</v>
      </c>
      <c r="AC6917">
        <v>16.586099999999899</v>
      </c>
      <c r="AD6917">
        <v>-1.115390114857</v>
      </c>
      <c r="AE6917">
        <v>-27.7986</v>
      </c>
      <c r="AF6917">
        <v>-12.044285026191201</v>
      </c>
      <c r="AG6917">
        <v>-1.115390114857</v>
      </c>
      <c r="AH6917">
        <v>30.005204671722701</v>
      </c>
      <c r="AI6917">
        <v>91.975789785736396</v>
      </c>
      <c r="AJ6917">
        <v>111.870848284552</v>
      </c>
      <c r="AK6917">
        <v>32.351525532692101</v>
      </c>
      <c r="AL6917">
        <v>79.887174614226296</v>
      </c>
      <c r="AM6917">
        <v>100.994244849257</v>
      </c>
      <c r="AN6917">
        <v>1.0000000112919001</v>
      </c>
    </row>
    <row r="6918" spans="1:40" x14ac:dyDescent="0.25">
      <c r="A6918" t="str">
        <f>"20190304154933882"</f>
        <v>20190304154933882</v>
      </c>
      <c r="B6918" t="str">
        <f>"1551685773874167"</f>
        <v>1551685773874167</v>
      </c>
      <c r="C6918" t="s">
        <v>40</v>
      </c>
      <c r="D6918">
        <v>4.2872500000000002</v>
      </c>
      <c r="E6918">
        <v>0.42145779999999999</v>
      </c>
      <c r="F6918" t="s">
        <v>68</v>
      </c>
      <c r="G6918">
        <v>-283.45389999999998</v>
      </c>
      <c r="H6918" s="1">
        <v>-5.1748680000000002E-6</v>
      </c>
      <c r="I6918">
        <v>-69.235410000000002</v>
      </c>
      <c r="J6918">
        <v>-300.11099999999999</v>
      </c>
      <c r="K6918">
        <v>1.115537</v>
      </c>
      <c r="L6918">
        <v>-41.756010000000003</v>
      </c>
      <c r="M6918">
        <v>0.1617519</v>
      </c>
      <c r="N6918">
        <v>-9.840962E-3</v>
      </c>
      <c r="O6918">
        <v>-0.98678239999999995</v>
      </c>
      <c r="P6918">
        <v>0.34110980000000002</v>
      </c>
      <c r="Q6918">
        <v>0.1688056</v>
      </c>
      <c r="R6918">
        <v>-0.92474259999999997</v>
      </c>
      <c r="S6918">
        <v>1.608582</v>
      </c>
      <c r="T6918">
        <v>-0.1073564</v>
      </c>
      <c r="U6918">
        <v>-2.6750180000000001</v>
      </c>
      <c r="V6918">
        <v>-0.18926860000000001</v>
      </c>
      <c r="W6918">
        <v>0.1759443</v>
      </c>
      <c r="X6918">
        <v>0.96603360000000005</v>
      </c>
      <c r="Y6918">
        <v>-0.36968060000000003</v>
      </c>
      <c r="Z6918">
        <v>2.558442E-2</v>
      </c>
      <c r="AA6918">
        <v>0.92880660000000004</v>
      </c>
      <c r="AB6918">
        <v>32</v>
      </c>
      <c r="AC6918">
        <v>16.6571</v>
      </c>
      <c r="AD6918">
        <v>-1.1155421748679999</v>
      </c>
      <c r="AE6918">
        <v>-27.479399999999998</v>
      </c>
      <c r="AF6918">
        <v>-11.978232664878201</v>
      </c>
      <c r="AG6918">
        <v>-1.1155421748679999</v>
      </c>
      <c r="AH6918">
        <v>29.776063715161399</v>
      </c>
      <c r="AI6918">
        <v>91.990654167008003</v>
      </c>
      <c r="AJ6918">
        <v>111.913800497567</v>
      </c>
      <c r="AK6918">
        <v>32.114427637546598</v>
      </c>
      <c r="AL6918">
        <v>79.866384362492994</v>
      </c>
      <c r="AM6918">
        <v>101.08516970105499</v>
      </c>
      <c r="AN6918">
        <v>0.999999957988704</v>
      </c>
    </row>
    <row r="6919" spans="1:40" x14ac:dyDescent="0.25">
      <c r="A6919" t="str">
        <f>"20190304154933904"</f>
        <v>20190304154933904</v>
      </c>
      <c r="B6919" t="str">
        <f>"1551685773894664"</f>
        <v>1551685773894664</v>
      </c>
      <c r="C6919" t="s">
        <v>40</v>
      </c>
      <c r="D6919">
        <v>4.2995950000000001</v>
      </c>
      <c r="E6919">
        <v>0.42137340000000001</v>
      </c>
      <c r="F6919" t="s">
        <v>68</v>
      </c>
      <c r="G6919">
        <v>-282.9991</v>
      </c>
      <c r="H6919" s="1">
        <v>-5.2994079999999998E-6</v>
      </c>
      <c r="I6919">
        <v>-69.72569</v>
      </c>
      <c r="J6919">
        <v>-300.05720000000002</v>
      </c>
      <c r="K6919">
        <v>1.1156900000000001</v>
      </c>
      <c r="L6919">
        <v>-42.048920000000003</v>
      </c>
      <c r="M6919">
        <v>0.16768939999999999</v>
      </c>
      <c r="N6919">
        <v>-9.8611199999999993E-3</v>
      </c>
      <c r="O6919">
        <v>-0.98579070000000002</v>
      </c>
      <c r="P6919">
        <v>0.34752100000000002</v>
      </c>
      <c r="Q6919">
        <v>0.17030479999999901</v>
      </c>
      <c r="R6919">
        <v>-0.92207649999999997</v>
      </c>
      <c r="S6919">
        <v>1.6289979999999999</v>
      </c>
      <c r="T6919">
        <v>-0.1061962</v>
      </c>
      <c r="U6919">
        <v>-2.6626280000000002</v>
      </c>
      <c r="V6919">
        <v>-0.19029160000000001</v>
      </c>
      <c r="W6919">
        <v>0.177375799999999</v>
      </c>
      <c r="X6919">
        <v>0.96557079999999995</v>
      </c>
      <c r="Y6919">
        <v>-0.37119819999999998</v>
      </c>
      <c r="Z6919">
        <v>2.521965E-2</v>
      </c>
      <c r="AA6919">
        <v>0.92821109999999896</v>
      </c>
      <c r="AB6919">
        <v>32</v>
      </c>
      <c r="AC6919">
        <v>17.0581</v>
      </c>
      <c r="AD6919">
        <v>-1.1156952994080001</v>
      </c>
      <c r="AE6919">
        <v>-27.676770000000001</v>
      </c>
      <c r="AF6919">
        <v>-12.160884154827601</v>
      </c>
      <c r="AG6919">
        <v>-1.1156952994080001</v>
      </c>
      <c r="AH6919">
        <v>30.109966933270801</v>
      </c>
      <c r="AI6919">
        <v>91.967771735595804</v>
      </c>
      <c r="AJ6919">
        <v>111.992912896344</v>
      </c>
      <c r="AK6919">
        <v>32.492183493125196</v>
      </c>
      <c r="AL6919">
        <v>79.783055455946197</v>
      </c>
      <c r="AM6919">
        <v>101.148796905278</v>
      </c>
      <c r="AN6919">
        <v>1.00000001863441</v>
      </c>
    </row>
    <row r="6920" spans="1:40" x14ac:dyDescent="0.25">
      <c r="A6920" t="str">
        <f>"20190304154933925"</f>
        <v>20190304154933925</v>
      </c>
      <c r="B6920" t="str">
        <f>"1551685773914183"</f>
        <v>1551685773914183</v>
      </c>
      <c r="C6920" t="s">
        <v>40</v>
      </c>
      <c r="D6920">
        <v>4.4029740000000004</v>
      </c>
      <c r="E6920">
        <v>0.42144019999999999</v>
      </c>
      <c r="F6920" t="s">
        <v>68</v>
      </c>
      <c r="G6920">
        <v>-282.44159999999999</v>
      </c>
      <c r="H6920">
        <v>3.6912029999999998E-2</v>
      </c>
      <c r="I6920">
        <v>-70.383759999999995</v>
      </c>
      <c r="J6920">
        <v>-299.99740000000003</v>
      </c>
      <c r="K6920">
        <v>1.1158790000000001</v>
      </c>
      <c r="L6920">
        <v>-42.362369999999999</v>
      </c>
      <c r="M6920">
        <v>0.17424229999999999</v>
      </c>
      <c r="N6920">
        <v>-9.8851319999999996E-3</v>
      </c>
      <c r="O6920">
        <v>-0.98465320000000001</v>
      </c>
      <c r="P6920">
        <v>0.3546764</v>
      </c>
      <c r="Q6920">
        <v>0.17205889999999999</v>
      </c>
      <c r="R6920">
        <v>-0.91902150000000005</v>
      </c>
      <c r="S6920">
        <v>1.6481319999999999</v>
      </c>
      <c r="T6920">
        <v>-0.1009314</v>
      </c>
      <c r="U6920">
        <v>-2.6510310000000001</v>
      </c>
      <c r="V6920">
        <v>-0.19153410000000001</v>
      </c>
      <c r="W6920">
        <v>0.1790485</v>
      </c>
      <c r="X6920">
        <v>0.96501619999999999</v>
      </c>
      <c r="Y6920">
        <v>-0.37170029999999998</v>
      </c>
      <c r="Z6920">
        <v>2.3509789999999999E-2</v>
      </c>
      <c r="AA6920">
        <v>0.92805499999999996</v>
      </c>
      <c r="AB6920">
        <v>32</v>
      </c>
      <c r="AC6920">
        <v>17.555800000000001</v>
      </c>
      <c r="AD6920">
        <v>-1.07896697</v>
      </c>
      <c r="AE6920">
        <v>-28.02139</v>
      </c>
      <c r="AF6920">
        <v>-12.391275916613299</v>
      </c>
      <c r="AG6920">
        <v>-1.07896697</v>
      </c>
      <c r="AH6920">
        <v>30.619210737031601</v>
      </c>
      <c r="AI6920">
        <v>91.870889495796703</v>
      </c>
      <c r="AJ6920">
        <v>112.032666899303</v>
      </c>
      <c r="AK6920">
        <v>33.049114280457601</v>
      </c>
      <c r="AL6920">
        <v>79.685657168307799</v>
      </c>
      <c r="AM6920">
        <v>101.226035802982</v>
      </c>
      <c r="AN6920">
        <v>0.99999997153874898</v>
      </c>
    </row>
    <row r="6921" spans="1:40" x14ac:dyDescent="0.25">
      <c r="A6921" t="str">
        <f>"20190304154933949"</f>
        <v>20190304154933949</v>
      </c>
      <c r="B6921" t="str">
        <f>"1551685773944438"</f>
        <v>1551685773944438</v>
      </c>
      <c r="C6921" t="s">
        <v>40</v>
      </c>
      <c r="D6921">
        <v>4.399502</v>
      </c>
      <c r="E6921">
        <v>0.42149140000000002</v>
      </c>
      <c r="F6921" t="s">
        <v>68</v>
      </c>
      <c r="G6921">
        <v>-281.76900000000001</v>
      </c>
      <c r="H6921">
        <v>7.9987030000000001E-2</v>
      </c>
      <c r="I6921">
        <v>-71.172489999999996</v>
      </c>
      <c r="J6921">
        <v>-299.93430000000001</v>
      </c>
      <c r="K6921">
        <v>1.1160810000000001</v>
      </c>
      <c r="L6921">
        <v>-42.681399999999996</v>
      </c>
      <c r="M6921">
        <v>0.18113270000000001</v>
      </c>
      <c r="N6921">
        <v>-9.9116699999999992E-3</v>
      </c>
      <c r="O6921">
        <v>-0.98340870000000002</v>
      </c>
      <c r="P6921">
        <v>0.3616084</v>
      </c>
      <c r="Q6921">
        <v>0.17428940000000001</v>
      </c>
      <c r="R6921">
        <v>-0.9158944</v>
      </c>
      <c r="S6921">
        <v>1.6690670000000001</v>
      </c>
      <c r="T6921">
        <v>-9.4850420000000005E-2</v>
      </c>
      <c r="U6921">
        <v>-2.6379700000000001</v>
      </c>
      <c r="V6921">
        <v>-0.19226280000000001</v>
      </c>
      <c r="W6921">
        <v>0.18119759999999999</v>
      </c>
      <c r="X6921">
        <v>0.96447000000000005</v>
      </c>
      <c r="Y6921">
        <v>-0.37256280000000003</v>
      </c>
      <c r="Z6921">
        <v>2.153422E-2</v>
      </c>
      <c r="AA6921">
        <v>0.9277571</v>
      </c>
      <c r="AB6921">
        <v>32</v>
      </c>
      <c r="AC6921">
        <v>18.165299999999998</v>
      </c>
      <c r="AD6921">
        <v>-1.03609396999999</v>
      </c>
      <c r="AE6921">
        <v>-28.49109</v>
      </c>
      <c r="AF6921">
        <v>-12.6919367822564</v>
      </c>
      <c r="AG6921">
        <v>-1.03609396999999</v>
      </c>
      <c r="AH6921">
        <v>31.280842651500102</v>
      </c>
      <c r="AI6921">
        <v>91.757979254135094</v>
      </c>
      <c r="AJ6921">
        <v>112.084437448561</v>
      </c>
      <c r="AK6921">
        <v>33.773508360656997</v>
      </c>
      <c r="AL6921">
        <v>79.560475273799398</v>
      </c>
      <c r="AM6921">
        <v>101.273872769416</v>
      </c>
      <c r="AN6921">
        <v>0.99999996770479904</v>
      </c>
    </row>
    <row r="6922" spans="1:40" x14ac:dyDescent="0.25">
      <c r="A6922" t="str">
        <f>"20190304154933970"</f>
        <v>20190304154933970</v>
      </c>
      <c r="B6922" t="str">
        <f>"1551685773963959"</f>
        <v>1551685773963959</v>
      </c>
      <c r="C6922" t="s">
        <v>40</v>
      </c>
      <c r="D6922">
        <v>4.4108980000000004</v>
      </c>
      <c r="E6922">
        <v>0.42160570000000003</v>
      </c>
      <c r="F6922" t="s">
        <v>98</v>
      </c>
      <c r="G6922">
        <v>-279.7885</v>
      </c>
      <c r="H6922">
        <v>7.9987030000000001E-2</v>
      </c>
      <c r="I6922">
        <v>-73.982439999999997</v>
      </c>
      <c r="J6922">
        <v>-299.87049999999999</v>
      </c>
      <c r="K6922">
        <v>1.1162939999999999</v>
      </c>
      <c r="L6922">
        <v>-42.990839999999999</v>
      </c>
      <c r="M6922">
        <v>0.18804969999999999</v>
      </c>
      <c r="N6922">
        <v>-9.9391449999999999E-3</v>
      </c>
      <c r="O6922">
        <v>-0.98210920000000002</v>
      </c>
      <c r="P6922">
        <v>0.36849310000000002</v>
      </c>
      <c r="Q6922">
        <v>0.176081399999999</v>
      </c>
      <c r="R6922">
        <v>-0.91280229999999996</v>
      </c>
      <c r="S6922">
        <v>1.689484</v>
      </c>
      <c r="T6922">
        <v>-8.6889980000000006E-2</v>
      </c>
      <c r="U6922">
        <v>-2.625</v>
      </c>
      <c r="V6922">
        <v>-0.19291759999999999</v>
      </c>
      <c r="W6922">
        <v>0.18290709999999999</v>
      </c>
      <c r="X6922">
        <v>0.96401650000000005</v>
      </c>
      <c r="Y6922">
        <v>-0.37325249999999999</v>
      </c>
      <c r="Z6922">
        <v>1.8943140000000001E-2</v>
      </c>
      <c r="AA6922">
        <v>0.92753640000000004</v>
      </c>
      <c r="AB6922">
        <v>32</v>
      </c>
      <c r="AC6922">
        <v>20.081999999999901</v>
      </c>
      <c r="AD6922">
        <v>-1.03630697</v>
      </c>
      <c r="AE6922">
        <v>-30.991599999999899</v>
      </c>
      <c r="AF6922">
        <v>-13.8845088206252</v>
      </c>
      <c r="AG6922">
        <v>-1.03630697</v>
      </c>
      <c r="AH6922">
        <v>34.188317880848203</v>
      </c>
      <c r="AI6922">
        <v>91.608676973015207</v>
      </c>
      <c r="AJ6922">
        <v>112.102981612874</v>
      </c>
      <c r="AK6922">
        <v>36.914693508791601</v>
      </c>
      <c r="AL6922">
        <v>79.460863943672607</v>
      </c>
      <c r="AM6922">
        <v>101.31646439845601</v>
      </c>
      <c r="AN6922">
        <v>1.0000000099462001</v>
      </c>
    </row>
    <row r="6923" spans="1:40" x14ac:dyDescent="0.25">
      <c r="A6923" t="str">
        <f>"20190304154933993"</f>
        <v>20190304154933993</v>
      </c>
      <c r="B6923" t="str">
        <f>"1551685773984455"</f>
        <v>1551685773984455</v>
      </c>
      <c r="C6923" t="s">
        <v>40</v>
      </c>
      <c r="D6923">
        <v>4.4359869999999999</v>
      </c>
      <c r="E6923">
        <v>0.42166039999999999</v>
      </c>
      <c r="F6923" t="s">
        <v>45</v>
      </c>
      <c r="G6923">
        <v>-275.34539999999998</v>
      </c>
      <c r="H6923">
        <v>-0.05</v>
      </c>
      <c r="I6923">
        <v>-80.479429999999994</v>
      </c>
      <c r="J6923">
        <v>-299.8039</v>
      </c>
      <c r="K6923">
        <v>1.1165119999999999</v>
      </c>
      <c r="L6923">
        <v>-43.301760000000002</v>
      </c>
      <c r="M6923">
        <v>0.1952632</v>
      </c>
      <c r="N6923">
        <v>-9.9690579999999994E-3</v>
      </c>
      <c r="O6923">
        <v>-0.98070029999999997</v>
      </c>
      <c r="P6923">
        <v>0.3754342</v>
      </c>
      <c r="Q6923">
        <v>0.1765331</v>
      </c>
      <c r="R6923">
        <v>-0.90988210000000003</v>
      </c>
      <c r="S6923">
        <v>1.709015</v>
      </c>
      <c r="T6923">
        <v>-8.1272360000000002E-2</v>
      </c>
      <c r="U6923">
        <v>-2.6123660000000002</v>
      </c>
      <c r="V6923">
        <v>-0.19329660000000001</v>
      </c>
      <c r="W6923">
        <v>0.18327879999999999</v>
      </c>
      <c r="X6923">
        <v>0.96386989999999995</v>
      </c>
      <c r="Y6923">
        <v>-0.37336619999999998</v>
      </c>
      <c r="Z6923">
        <v>1.711126E-2</v>
      </c>
      <c r="AA6923">
        <v>0.92752619999999997</v>
      </c>
      <c r="AB6923">
        <v>32</v>
      </c>
      <c r="AC6923">
        <v>24.458500000000001</v>
      </c>
      <c r="AD6923">
        <v>-1.166512</v>
      </c>
      <c r="AE6923">
        <v>-37.177669999999999</v>
      </c>
      <c r="AF6923">
        <v>-16.716371252245299</v>
      </c>
      <c r="AG6923">
        <v>-1.166512</v>
      </c>
      <c r="AH6923">
        <v>41.209727042656603</v>
      </c>
      <c r="AI6923">
        <v>91.5025689219366</v>
      </c>
      <c r="AJ6923">
        <v>112.07951134290499</v>
      </c>
      <c r="AK6923">
        <v>44.486395909528298</v>
      </c>
      <c r="AL6923">
        <v>79.439200145287899</v>
      </c>
      <c r="AM6923">
        <v>101.33980084790799</v>
      </c>
      <c r="AN6923">
        <v>0.99999993911350304</v>
      </c>
    </row>
    <row r="6924" spans="1:40" x14ac:dyDescent="0.25">
      <c r="A6924" t="str">
        <f>"20190304154934015"</f>
        <v>20190304154934015</v>
      </c>
      <c r="B6924" t="str">
        <f>"1551685774003975"</f>
        <v>1551685774003975</v>
      </c>
      <c r="C6924" t="s">
        <v>40</v>
      </c>
      <c r="D6924">
        <v>4.4393630000000002</v>
      </c>
      <c r="E6924">
        <v>0.42182930000000002</v>
      </c>
      <c r="F6924" t="s">
        <v>45</v>
      </c>
      <c r="G6924">
        <v>-274.166</v>
      </c>
      <c r="H6924">
        <v>-0.05</v>
      </c>
      <c r="I6924">
        <v>-81.829239999999999</v>
      </c>
      <c r="J6924">
        <v>-299.73439999999999</v>
      </c>
      <c r="K6924">
        <v>1.1167370000000001</v>
      </c>
      <c r="L6924">
        <v>-43.613399999999999</v>
      </c>
      <c r="M6924">
        <v>0.2027563</v>
      </c>
      <c r="N6924">
        <v>-1.000116E-2</v>
      </c>
      <c r="O6924">
        <v>-0.9791782</v>
      </c>
      <c r="P6924">
        <v>0.38287399999999999</v>
      </c>
      <c r="Q6924">
        <v>0.17727809999999999</v>
      </c>
      <c r="R6924">
        <v>-0.90663119999999997</v>
      </c>
      <c r="S6924">
        <v>1.7293700000000001</v>
      </c>
      <c r="T6924">
        <v>-7.8685399999999905E-2</v>
      </c>
      <c r="U6924">
        <v>-2.5988159999999998</v>
      </c>
      <c r="V6924">
        <v>-0.193964</v>
      </c>
      <c r="W6924">
        <v>0.18393699999999999</v>
      </c>
      <c r="X6924">
        <v>0.96361050000000004</v>
      </c>
      <c r="Y6924">
        <v>-0.37354739999999997</v>
      </c>
      <c r="Z6924">
        <v>1.6267050000000002E-2</v>
      </c>
      <c r="AA6924">
        <v>0.92746850000000003</v>
      </c>
      <c r="AB6924">
        <v>32</v>
      </c>
      <c r="AC6924">
        <v>25.5684</v>
      </c>
      <c r="AD6924">
        <v>-1.1667369999999999</v>
      </c>
      <c r="AE6924">
        <v>-38.21584</v>
      </c>
      <c r="AF6924">
        <v>-17.277257067032799</v>
      </c>
      <c r="AG6924">
        <v>-1.1667369999999999</v>
      </c>
      <c r="AH6924">
        <v>42.578985080276901</v>
      </c>
      <c r="AI6924">
        <v>91.454485756254002</v>
      </c>
      <c r="AJ6924">
        <v>112.085817879103</v>
      </c>
      <c r="AK6924">
        <v>45.965583401648999</v>
      </c>
      <c r="AL6924">
        <v>79.400836765601696</v>
      </c>
      <c r="AM6924">
        <v>101.380917467955</v>
      </c>
      <c r="AN6924">
        <v>1.0000000244876199</v>
      </c>
    </row>
    <row r="6925" spans="1:40" x14ac:dyDescent="0.25">
      <c r="A6925" t="str">
        <f>"20190304154934038"</f>
        <v>20190304154934038</v>
      </c>
      <c r="B6925" t="str">
        <f>"1551685774034230"</f>
        <v>1551685774034230</v>
      </c>
      <c r="C6925" t="s">
        <v>40</v>
      </c>
      <c r="D6925">
        <v>4.4831019999999997</v>
      </c>
      <c r="E6925">
        <v>0.42213630000000002</v>
      </c>
      <c r="F6925" t="s">
        <v>45</v>
      </c>
      <c r="G6925">
        <v>-273.09910000000002</v>
      </c>
      <c r="H6925">
        <v>-0.05</v>
      </c>
      <c r="I6925">
        <v>-82.974669999999904</v>
      </c>
      <c r="J6925">
        <v>-299.66199999999998</v>
      </c>
      <c r="K6925">
        <v>1.1169480000000001</v>
      </c>
      <c r="L6925">
        <v>-43.925449999999998</v>
      </c>
      <c r="M6925">
        <v>0.2104819</v>
      </c>
      <c r="N6925">
        <v>-1.003309E-2</v>
      </c>
      <c r="O6925">
        <v>-0.97754629999999998</v>
      </c>
      <c r="P6925">
        <v>0.3898664</v>
      </c>
      <c r="Q6925">
        <v>0.177363299999999</v>
      </c>
      <c r="R6925">
        <v>-0.90362969999999998</v>
      </c>
      <c r="S6925">
        <v>1.7493590000000001</v>
      </c>
      <c r="T6925">
        <v>-7.6629160000000002E-2</v>
      </c>
      <c r="U6925">
        <v>-2.585175</v>
      </c>
      <c r="V6925">
        <v>-0.19389989999999999</v>
      </c>
      <c r="W6925">
        <v>0.18395429999999999</v>
      </c>
      <c r="X6925">
        <v>0.96362009999999998</v>
      </c>
      <c r="Y6925">
        <v>-0.37341990000000003</v>
      </c>
      <c r="Z6925">
        <v>1.5595700000000001E-2</v>
      </c>
      <c r="AA6925">
        <v>0.92753129999999995</v>
      </c>
      <c r="AB6925">
        <v>32</v>
      </c>
      <c r="AC6925">
        <v>26.562899999999999</v>
      </c>
      <c r="AD6925">
        <v>-1.1669479999999901</v>
      </c>
      <c r="AE6925">
        <v>-39.049219999999899</v>
      </c>
      <c r="AF6925">
        <v>-17.737373973073701</v>
      </c>
      <c r="AG6925">
        <v>-1.1669479999999901</v>
      </c>
      <c r="AH6925">
        <v>43.738927290261202</v>
      </c>
      <c r="AI6925">
        <v>91.416304111045903</v>
      </c>
      <c r="AJ6925">
        <v>112.073948017706</v>
      </c>
      <c r="AK6925">
        <v>47.213027477573704</v>
      </c>
      <c r="AL6925">
        <v>79.399828361988796</v>
      </c>
      <c r="AM6925">
        <v>101.377144091072</v>
      </c>
      <c r="AN6925">
        <v>1.0000000264162501</v>
      </c>
    </row>
    <row r="6926" spans="1:40" x14ac:dyDescent="0.25">
      <c r="A6926" t="str">
        <f>"20190304154934061"</f>
        <v>20190304154934061</v>
      </c>
      <c r="B6926" t="str">
        <f>"1551685774054208"</f>
        <v>1551685774054208</v>
      </c>
      <c r="C6926" t="s">
        <v>40</v>
      </c>
      <c r="D6926">
        <v>4.4362349999999999</v>
      </c>
      <c r="E6926">
        <v>0.4222592</v>
      </c>
      <c r="F6926" t="s">
        <v>45</v>
      </c>
      <c r="G6926">
        <v>-272.983</v>
      </c>
      <c r="H6926">
        <v>-0.05</v>
      </c>
      <c r="I6926">
        <v>-82.764790000000005</v>
      </c>
      <c r="J6926">
        <v>-299.58359999999999</v>
      </c>
      <c r="K6926">
        <v>1.117164</v>
      </c>
      <c r="L6926">
        <v>-44.251040000000003</v>
      </c>
      <c r="M6926">
        <v>0.21878810000000001</v>
      </c>
      <c r="N6926">
        <v>-1.0065259999999999E-2</v>
      </c>
      <c r="O6926">
        <v>-0.97572060000000005</v>
      </c>
      <c r="P6926">
        <v>0.39751059999999999</v>
      </c>
      <c r="Q6926">
        <v>0.17718149999999999</v>
      </c>
      <c r="R6926">
        <v>-0.90032909999999899</v>
      </c>
      <c r="S6926">
        <v>1.7671809999999999</v>
      </c>
      <c r="T6926">
        <v>-7.7296970000000007E-2</v>
      </c>
      <c r="U6926">
        <v>-2.5726619999999998</v>
      </c>
      <c r="V6926">
        <v>-0.19395799999999999</v>
      </c>
      <c r="W6926">
        <v>0.18370210000000001</v>
      </c>
      <c r="X6926">
        <v>0.96365650000000003</v>
      </c>
      <c r="Y6926">
        <v>-0.371998</v>
      </c>
      <c r="Z6926">
        <v>1.5808860000000001E-2</v>
      </c>
      <c r="AA6926">
        <v>0.92809889999999995</v>
      </c>
      <c r="AB6926">
        <v>32</v>
      </c>
      <c r="AC6926">
        <v>26.600599999999901</v>
      </c>
      <c r="AD6926">
        <v>-1.1671639999999901</v>
      </c>
      <c r="AE6926">
        <v>-38.513750000000002</v>
      </c>
      <c r="AF6926">
        <v>-17.518396445195101</v>
      </c>
      <c r="AG6926">
        <v>-1.1671639999999901</v>
      </c>
      <c r="AH6926">
        <v>43.373778263206503</v>
      </c>
      <c r="AI6926">
        <v>91.429298727980296</v>
      </c>
      <c r="AJ6926">
        <v>111.993472827953</v>
      </c>
      <c r="AK6926">
        <v>46.792532808555301</v>
      </c>
      <c r="AL6926">
        <v>79.414528687483298</v>
      </c>
      <c r="AM6926">
        <v>101.380045527899</v>
      </c>
      <c r="AN6926">
        <v>1.00000000865033</v>
      </c>
    </row>
    <row r="6927" spans="1:40" x14ac:dyDescent="0.25">
      <c r="A6927" t="str">
        <f>"20190304154934086"</f>
        <v>20190304154934086</v>
      </c>
      <c r="B6927" t="str">
        <f>"1551685774073727"</f>
        <v>1551685774073727</v>
      </c>
      <c r="C6927" t="s">
        <v>40</v>
      </c>
      <c r="D6927">
        <v>4.5021459999999998</v>
      </c>
      <c r="E6927">
        <v>0.42866100000000001</v>
      </c>
      <c r="F6927" t="s">
        <v>45</v>
      </c>
      <c r="G6927">
        <v>-272.7885</v>
      </c>
      <c r="H6927">
        <v>-0.05</v>
      </c>
      <c r="I6927">
        <v>-82.578029999999998</v>
      </c>
      <c r="J6927">
        <v>-299.49689999999998</v>
      </c>
      <c r="K6927">
        <v>1.1173999999999999</v>
      </c>
      <c r="L6927">
        <v>-44.596710000000002</v>
      </c>
      <c r="M6927">
        <v>0.2278937</v>
      </c>
      <c r="N6927">
        <v>-1.010373E-2</v>
      </c>
      <c r="O6927">
        <v>-0.97363390000000005</v>
      </c>
      <c r="P6927">
        <v>0.4057462</v>
      </c>
      <c r="Q6927">
        <v>0.17787500000000001</v>
      </c>
      <c r="R6927">
        <v>-0.89651069999999999</v>
      </c>
      <c r="S6927">
        <v>1.7882690000000001</v>
      </c>
      <c r="T6927">
        <v>-7.7894930000000001E-2</v>
      </c>
      <c r="U6927">
        <v>-2.5578919999999998</v>
      </c>
      <c r="V6927">
        <v>-0.1939369</v>
      </c>
      <c r="W6927">
        <v>0.18432270000000001</v>
      </c>
      <c r="X6927">
        <v>0.96354220000000002</v>
      </c>
      <c r="Y6927">
        <v>-0.37098019999999998</v>
      </c>
      <c r="Z6927">
        <v>1.5994959999999999E-2</v>
      </c>
      <c r="AA6927">
        <v>0.92850299999999997</v>
      </c>
      <c r="AB6927">
        <v>32</v>
      </c>
      <c r="AC6927">
        <v>26.708399999999902</v>
      </c>
      <c r="AD6927">
        <v>-1.1674</v>
      </c>
      <c r="AE6927">
        <v>-37.981319999999997</v>
      </c>
      <c r="AF6927">
        <v>-17.3384203803978</v>
      </c>
      <c r="AG6927">
        <v>-1.1674</v>
      </c>
      <c r="AH6927">
        <v>43.041554513803597</v>
      </c>
      <c r="AI6927">
        <v>91.441149098748994</v>
      </c>
      <c r="AJ6927">
        <v>111.941044543948</v>
      </c>
      <c r="AK6927">
        <v>46.417228041020699</v>
      </c>
      <c r="AL6927">
        <v>79.378352829735306</v>
      </c>
      <c r="AM6927">
        <v>101.380154424427</v>
      </c>
      <c r="AN6927">
        <v>0.99999997504886895</v>
      </c>
    </row>
    <row r="6928" spans="1:40" x14ac:dyDescent="0.25">
      <c r="A6928" t="str">
        <f>"20190304154934105"</f>
        <v>20190304154934105</v>
      </c>
      <c r="B6928" t="str">
        <f>"1551685774094223"</f>
        <v>1551685774094223</v>
      </c>
      <c r="C6928" t="s">
        <v>40</v>
      </c>
      <c r="D6928">
        <v>4.4451239999999999</v>
      </c>
      <c r="E6928">
        <v>0.42947980000000002</v>
      </c>
      <c r="F6928" t="s">
        <v>98</v>
      </c>
      <c r="G6928">
        <v>-279.49059999999997</v>
      </c>
      <c r="H6928">
        <v>7.9987080000000002E-2</v>
      </c>
      <c r="I6928">
        <v>-73.648589999999999</v>
      </c>
      <c r="J6928">
        <v>-299.42360000000002</v>
      </c>
      <c r="K6928">
        <v>1.117599</v>
      </c>
      <c r="L6928">
        <v>-44.878079999999997</v>
      </c>
      <c r="M6928">
        <v>0.23554659999999999</v>
      </c>
      <c r="N6928">
        <v>-1.014513E-2</v>
      </c>
      <c r="O6928">
        <v>-0.97181019999999896</v>
      </c>
      <c r="P6928">
        <v>0.41275040000000002</v>
      </c>
      <c r="Q6928">
        <v>0.17840710000000001</v>
      </c>
      <c r="R6928">
        <v>-0.89320119999999903</v>
      </c>
      <c r="S6928">
        <v>1.7663880000000001</v>
      </c>
      <c r="T6928">
        <v>-9.1594700000000001E-2</v>
      </c>
      <c r="U6928">
        <v>-2.5650330000000001</v>
      </c>
      <c r="V6928">
        <v>-0.1940241</v>
      </c>
      <c r="W6928">
        <v>0.18479699999999999</v>
      </c>
      <c r="X6928">
        <v>0.96343389999999995</v>
      </c>
      <c r="Y6928">
        <v>-0.35701509999999997</v>
      </c>
      <c r="Z6928">
        <v>2.043319E-2</v>
      </c>
      <c r="AA6928">
        <v>0.93387509999999996</v>
      </c>
      <c r="AB6928">
        <v>33</v>
      </c>
      <c r="AC6928">
        <v>19.933</v>
      </c>
      <c r="AD6928">
        <v>-1.03761192</v>
      </c>
      <c r="AE6928">
        <v>-28.770509999999899</v>
      </c>
      <c r="AF6928">
        <v>-12.583884659581701</v>
      </c>
      <c r="AG6928">
        <v>-1.03761192</v>
      </c>
      <c r="AH6928">
        <v>32.627628473427102</v>
      </c>
      <c r="AI6928">
        <v>91.6995416758337</v>
      </c>
      <c r="AJ6928">
        <v>111.090722578978</v>
      </c>
      <c r="AK6928">
        <v>34.985610348001202</v>
      </c>
      <c r="AL6928">
        <v>79.350703585034097</v>
      </c>
      <c r="AM6928">
        <v>101.38638406669401</v>
      </c>
      <c r="AN6928">
        <v>1.0000000811295</v>
      </c>
    </row>
    <row r="6929" spans="1:40" x14ac:dyDescent="0.25">
      <c r="A6929" t="str">
        <f>"20190304154934127"</f>
        <v>20190304154934127</v>
      </c>
      <c r="B6929" t="str">
        <f>"1551685774124479"</f>
        <v>1551685774124479</v>
      </c>
      <c r="C6929" t="s">
        <v>40</v>
      </c>
      <c r="D6929">
        <v>4.5058049999999996</v>
      </c>
      <c r="E6929">
        <v>0.42942239999999998</v>
      </c>
      <c r="F6929" t="s">
        <v>98</v>
      </c>
      <c r="G6929">
        <v>-279.33330000000001</v>
      </c>
      <c r="H6929">
        <v>7.9987130000000004E-2</v>
      </c>
      <c r="I6929">
        <v>-73.688029999999998</v>
      </c>
      <c r="J6929">
        <v>-299.3442</v>
      </c>
      <c r="K6929">
        <v>1.1178319999999999</v>
      </c>
      <c r="L6929">
        <v>-45.172669999999997</v>
      </c>
      <c r="M6929">
        <v>0.24379490000000001</v>
      </c>
      <c r="N6929">
        <v>-1.019724E-2</v>
      </c>
      <c r="O6929">
        <v>-0.9697732</v>
      </c>
      <c r="P6929">
        <v>0.41983039999999999</v>
      </c>
      <c r="Q6929">
        <v>0.1782762</v>
      </c>
      <c r="R6929">
        <v>-0.88992150000000003</v>
      </c>
      <c r="S6929">
        <v>1.7810360000000001</v>
      </c>
      <c r="T6929">
        <v>-9.1985940000000002E-2</v>
      </c>
      <c r="U6929">
        <v>-2.5540470000000002</v>
      </c>
      <c r="V6929">
        <v>-0.19358359999999999</v>
      </c>
      <c r="W6929">
        <v>0.1846189</v>
      </c>
      <c r="X6929">
        <v>0.96355659999999999</v>
      </c>
      <c r="Y6929">
        <v>-0.35456369999999998</v>
      </c>
      <c r="Z6929">
        <v>2.0526849999999999E-2</v>
      </c>
      <c r="AA6929">
        <v>0.93480649999999998</v>
      </c>
      <c r="AB6929">
        <v>33</v>
      </c>
      <c r="AC6929">
        <v>20.0108999999999</v>
      </c>
      <c r="AD6929">
        <v>-1.03784487</v>
      </c>
      <c r="AE6929">
        <v>-28.515359999999902</v>
      </c>
      <c r="AF6929">
        <v>-12.443738077207501</v>
      </c>
      <c r="AG6929">
        <v>-1.03784487</v>
      </c>
      <c r="AH6929">
        <v>32.5048285356566</v>
      </c>
      <c r="AI6929">
        <v>91.707971980453905</v>
      </c>
      <c r="AJ6929">
        <v>110.94821376185899</v>
      </c>
      <c r="AK6929">
        <v>34.820792889317801</v>
      </c>
      <c r="AL6929">
        <v>79.361086121266396</v>
      </c>
      <c r="AM6929">
        <v>101.359797065781</v>
      </c>
      <c r="AN6929">
        <v>1.0000000349148599</v>
      </c>
    </row>
    <row r="6930" spans="1:40" x14ac:dyDescent="0.25">
      <c r="A6930" t="str">
        <f>"20190304154934149"</f>
        <v>20190304154934149</v>
      </c>
      <c r="B6930" t="str">
        <f>"1551685774144002"</f>
        <v>1551685774144002</v>
      </c>
      <c r="C6930" t="s">
        <v>40</v>
      </c>
      <c r="D6930">
        <v>4.4960699999999996</v>
      </c>
      <c r="E6930">
        <v>0.42917109999999897</v>
      </c>
      <c r="F6930" t="s">
        <v>98</v>
      </c>
      <c r="G6930">
        <v>-278.3535</v>
      </c>
      <c r="H6930">
        <v>7.9987509999999998E-2</v>
      </c>
      <c r="I6930">
        <v>-74.737610000000004</v>
      </c>
      <c r="J6930">
        <v>-299.2568</v>
      </c>
      <c r="K6930">
        <v>1.118085</v>
      </c>
      <c r="L6930">
        <v>-45.485080000000004</v>
      </c>
      <c r="M6930">
        <v>0.25280920000000001</v>
      </c>
      <c r="N6930">
        <v>-1.026111E-2</v>
      </c>
      <c r="O6930">
        <v>-0.96746189999999999</v>
      </c>
      <c r="P6930">
        <v>0.42735840000000003</v>
      </c>
      <c r="Q6930">
        <v>0.17787709999999901</v>
      </c>
      <c r="R6930">
        <v>-0.88641119999999995</v>
      </c>
      <c r="S6930">
        <v>1.8023990000000001</v>
      </c>
      <c r="T6930">
        <v>-8.9115979999999997E-2</v>
      </c>
      <c r="U6930">
        <v>-2.5386350000000002</v>
      </c>
      <c r="V6930">
        <v>-0.1928706</v>
      </c>
      <c r="W6930">
        <v>0.1841788</v>
      </c>
      <c r="X6930">
        <v>0.96378370000000002</v>
      </c>
      <c r="Y6930">
        <v>-0.35378270000000001</v>
      </c>
      <c r="Z6930">
        <v>1.955407E-2</v>
      </c>
      <c r="AA6930">
        <v>0.93512320000000004</v>
      </c>
      <c r="AB6930">
        <v>33</v>
      </c>
      <c r="AC6930">
        <v>20.903300000000002</v>
      </c>
      <c r="AD6930">
        <v>-1.03809749</v>
      </c>
      <c r="AE6930">
        <v>-29.25253</v>
      </c>
      <c r="AF6930">
        <v>-12.817825221168301</v>
      </c>
      <c r="AG6930">
        <v>-1.03809749</v>
      </c>
      <c r="AH6930">
        <v>33.559040783285397</v>
      </c>
      <c r="AI6930">
        <v>91.655236061378702</v>
      </c>
      <c r="AJ6930">
        <v>110.904281766366</v>
      </c>
      <c r="AK6930">
        <v>35.938607486843097</v>
      </c>
      <c r="AL6930">
        <v>79.386741143114506</v>
      </c>
      <c r="AM6930">
        <v>101.316440825925</v>
      </c>
      <c r="AN6930">
        <v>0.99999995954974397</v>
      </c>
    </row>
    <row r="6931" spans="1:40" x14ac:dyDescent="0.25">
      <c r="A6931" t="str">
        <f>"20190304154934172"</f>
        <v>20190304154934172</v>
      </c>
      <c r="B6931" t="str">
        <f>"1551685774164495"</f>
        <v>1551685774164495</v>
      </c>
      <c r="C6931" t="s">
        <v>40</v>
      </c>
      <c r="D6931">
        <v>4.5254659999999998</v>
      </c>
      <c r="E6931">
        <v>0.42923129999999998</v>
      </c>
      <c r="F6931" t="s">
        <v>98</v>
      </c>
      <c r="G6931">
        <v>-277.72340000000003</v>
      </c>
      <c r="H6931">
        <v>7.9987730000000007E-2</v>
      </c>
      <c r="I6931">
        <v>-75.217119999999994</v>
      </c>
      <c r="J6931">
        <v>-299.1653</v>
      </c>
      <c r="K6931">
        <v>1.1183529999999999</v>
      </c>
      <c r="L6931">
        <v>-45.800020000000004</v>
      </c>
      <c r="M6931">
        <v>0.26218350000000001</v>
      </c>
      <c r="N6931">
        <v>-1.033571E-2</v>
      </c>
      <c r="O6931">
        <v>-0.96496269999999995</v>
      </c>
      <c r="P6931">
        <v>0.43550090000000002</v>
      </c>
      <c r="Q6931">
        <v>0.17773549999999999</v>
      </c>
      <c r="R6931">
        <v>-0.88246780000000002</v>
      </c>
      <c r="S6931">
        <v>1.8262940000000001</v>
      </c>
      <c r="T6931">
        <v>-8.8043209999999997E-2</v>
      </c>
      <c r="U6931">
        <v>-2.5216370000000001</v>
      </c>
      <c r="V6931">
        <v>-0.1925028</v>
      </c>
      <c r="W6931">
        <v>0.18399509999999999</v>
      </c>
      <c r="X6931">
        <v>0.96389239999999998</v>
      </c>
      <c r="Y6931">
        <v>-0.35352050000000002</v>
      </c>
      <c r="Z6931">
        <v>1.9155269999999999E-2</v>
      </c>
      <c r="AA6931">
        <v>0.93523060000000002</v>
      </c>
      <c r="AB6931">
        <v>33</v>
      </c>
      <c r="AC6931">
        <v>21.441899999999901</v>
      </c>
      <c r="AD6931">
        <v>-1.0383652699999999</v>
      </c>
      <c r="AE6931">
        <v>-29.417099999999898</v>
      </c>
      <c r="AF6931">
        <v>-12.9680968904267</v>
      </c>
      <c r="AG6931">
        <v>-1.0383652699999999</v>
      </c>
      <c r="AH6931">
        <v>33.982282666443197</v>
      </c>
      <c r="AI6931">
        <v>91.635235582991598</v>
      </c>
      <c r="AJ6931">
        <v>110.887528167159</v>
      </c>
      <c r="AK6931">
        <v>36.3874329214838</v>
      </c>
      <c r="AL6931">
        <v>79.397450264684807</v>
      </c>
      <c r="AM6931">
        <v>101.29417488121101</v>
      </c>
      <c r="AN6931">
        <v>1.0000000418048001</v>
      </c>
    </row>
    <row r="6932" spans="1:40" x14ac:dyDescent="0.25">
      <c r="A6932" t="str">
        <f>"20190304154934193"</f>
        <v>20190304154934193</v>
      </c>
      <c r="B6932" t="str">
        <f>"1551685774184015"</f>
        <v>1551685774184015</v>
      </c>
      <c r="C6932" t="s">
        <v>40</v>
      </c>
      <c r="D6932">
        <v>4.5330719999999998</v>
      </c>
      <c r="E6932">
        <v>0.42939559999999999</v>
      </c>
      <c r="F6932" t="s">
        <v>98</v>
      </c>
      <c r="G6932">
        <v>-277.35210000000001</v>
      </c>
      <c r="H6932">
        <v>7.9987849999999999E-2</v>
      </c>
      <c r="I6932">
        <v>-75.329059999999998</v>
      </c>
      <c r="J6932">
        <v>-299.07369999999997</v>
      </c>
      <c r="K6932">
        <v>1.1186069999999999</v>
      </c>
      <c r="L6932">
        <v>-46.10239</v>
      </c>
      <c r="M6932">
        <v>0.27147589999999999</v>
      </c>
      <c r="N6932">
        <v>-1.041805E-2</v>
      </c>
      <c r="O6932">
        <v>-0.96238880000000004</v>
      </c>
      <c r="P6932">
        <v>0.44365300000000002</v>
      </c>
      <c r="Q6932">
        <v>0.17744749999999901</v>
      </c>
      <c r="R6932">
        <v>-0.87845580000000001</v>
      </c>
      <c r="S6932">
        <v>1.8499760000000001</v>
      </c>
      <c r="T6932">
        <v>-8.8063959999999997E-2</v>
      </c>
      <c r="U6932">
        <v>-2.5043639999999998</v>
      </c>
      <c r="V6932">
        <v>-0.1922267</v>
      </c>
      <c r="W6932">
        <v>0.18367629999999999</v>
      </c>
      <c r="X6932">
        <v>0.96400830000000004</v>
      </c>
      <c r="Y6932">
        <v>-0.35330509999999998</v>
      </c>
      <c r="Z6932">
        <v>1.9104639999999999E-2</v>
      </c>
      <c r="AA6932">
        <v>0.93531299999999995</v>
      </c>
      <c r="AB6932">
        <v>33</v>
      </c>
      <c r="AC6932">
        <v>21.721599999999899</v>
      </c>
      <c r="AD6932">
        <v>-1.0386191499999999</v>
      </c>
      <c r="AE6932">
        <v>-29.226669999999999</v>
      </c>
      <c r="AF6932">
        <v>-12.9604491777663</v>
      </c>
      <c r="AG6932">
        <v>-1.0386191499999999</v>
      </c>
      <c r="AH6932">
        <v>33.998501044713997</v>
      </c>
      <c r="AI6932">
        <v>91.635076794308304</v>
      </c>
      <c r="AJ6932">
        <v>110.86717108788299</v>
      </c>
      <c r="AK6932">
        <v>36.399863267815</v>
      </c>
      <c r="AL6932">
        <v>79.416032895336002</v>
      </c>
      <c r="AM6932">
        <v>101.277070328119</v>
      </c>
      <c r="AN6932">
        <v>1.0000000449217299</v>
      </c>
    </row>
    <row r="6933" spans="1:40" x14ac:dyDescent="0.25">
      <c r="A6933" t="str">
        <f>"20190304154934217"</f>
        <v>20190304154934217</v>
      </c>
      <c r="B6933" t="str">
        <f>"1551685774214272"</f>
        <v>1551685774214272</v>
      </c>
      <c r="C6933" t="s">
        <v>40</v>
      </c>
      <c r="D6933">
        <v>4.5341040000000001</v>
      </c>
      <c r="E6933">
        <v>0.4295812</v>
      </c>
      <c r="F6933" t="s">
        <v>98</v>
      </c>
      <c r="G6933">
        <v>-277.38029999999998</v>
      </c>
      <c r="H6933">
        <v>7.9987810000000006E-2</v>
      </c>
      <c r="I6933">
        <v>-74.931319999999999</v>
      </c>
      <c r="J6933">
        <v>-298.97550000000001</v>
      </c>
      <c r="K6933">
        <v>1.1188610000000001</v>
      </c>
      <c r="L6933">
        <v>-46.414920000000002</v>
      </c>
      <c r="M6933">
        <v>0.28132849999999998</v>
      </c>
      <c r="N6933">
        <v>-1.050658E-2</v>
      </c>
      <c r="O6933">
        <v>-0.95955420000000002</v>
      </c>
      <c r="P6933">
        <v>0.45193119999999998</v>
      </c>
      <c r="Q6933">
        <v>0.17797979999999899</v>
      </c>
      <c r="R6933">
        <v>-0.8741179</v>
      </c>
      <c r="S6933">
        <v>1.872009</v>
      </c>
      <c r="T6933">
        <v>-8.9626549999999999E-2</v>
      </c>
      <c r="U6933">
        <v>-2.487762</v>
      </c>
      <c r="V6933">
        <v>-0.19160050000000001</v>
      </c>
      <c r="W6933">
        <v>0.1841942</v>
      </c>
      <c r="X6933">
        <v>0.9640341</v>
      </c>
      <c r="Y6933">
        <v>-0.35199449999999999</v>
      </c>
      <c r="Z6933">
        <v>1.954345E-2</v>
      </c>
      <c r="AA6933">
        <v>0.93579800000000002</v>
      </c>
      <c r="AB6933">
        <v>33</v>
      </c>
      <c r="AC6933">
        <v>21.595199999999998</v>
      </c>
      <c r="AD6933">
        <v>-1.0388731899999999</v>
      </c>
      <c r="AE6933">
        <v>-28.516400000000001</v>
      </c>
      <c r="AF6933">
        <v>-12.689284331071701</v>
      </c>
      <c r="AG6933">
        <v>-1.0388731899999999</v>
      </c>
      <c r="AH6933">
        <v>33.4120338810135</v>
      </c>
      <c r="AI6933">
        <v>91.664955067619104</v>
      </c>
      <c r="AJ6933">
        <v>110.79586871307301</v>
      </c>
      <c r="AK6933">
        <v>35.755575822599702</v>
      </c>
      <c r="AL6933">
        <v>79.385843868401494</v>
      </c>
      <c r="AM6933">
        <v>101.24097779575</v>
      </c>
      <c r="AN6933">
        <v>1.00000000043835</v>
      </c>
    </row>
    <row r="6934" spans="1:40" x14ac:dyDescent="0.25">
      <c r="A6934" t="str">
        <f>"20190304154934239"</f>
        <v>20190304154934239</v>
      </c>
      <c r="B6934" t="str">
        <f>"1551685774233792"</f>
        <v>1551685774233792</v>
      </c>
      <c r="C6934" t="s">
        <v>40</v>
      </c>
      <c r="D6934">
        <v>4.5519129999999999</v>
      </c>
      <c r="E6934">
        <v>0.43323899999999999</v>
      </c>
      <c r="F6934" t="s">
        <v>98</v>
      </c>
      <c r="G6934">
        <v>-276.93540000000002</v>
      </c>
      <c r="H6934">
        <v>7.9987950000000002E-2</v>
      </c>
      <c r="I6934">
        <v>-75.164319999999904</v>
      </c>
      <c r="J6934">
        <v>-298.87450000000001</v>
      </c>
      <c r="K6934">
        <v>1.1191009999999999</v>
      </c>
      <c r="L6934">
        <v>-46.724820000000001</v>
      </c>
      <c r="M6934">
        <v>0.29134490000000002</v>
      </c>
      <c r="N6934">
        <v>-1.0597799999999999E-2</v>
      </c>
      <c r="O6934">
        <v>-0.95655950000000001</v>
      </c>
      <c r="P6934">
        <v>0.46066770000000001</v>
      </c>
      <c r="Q6934">
        <v>0.17861150000000001</v>
      </c>
      <c r="R6934">
        <v>-0.86941579999999996</v>
      </c>
      <c r="S6934">
        <v>1.894226</v>
      </c>
      <c r="T6934">
        <v>-8.9285489999999995E-2</v>
      </c>
      <c r="U6934">
        <v>-2.4708559999999999</v>
      </c>
      <c r="V6934">
        <v>-0.19133800000000001</v>
      </c>
      <c r="W6934">
        <v>0.18481339999999999</v>
      </c>
      <c r="X6934">
        <v>0.96396769999999998</v>
      </c>
      <c r="Y6934">
        <v>-0.35060190000000002</v>
      </c>
      <c r="Z6934">
        <v>1.935885E-2</v>
      </c>
      <c r="AA6934">
        <v>0.9363245</v>
      </c>
      <c r="AB6934">
        <v>33</v>
      </c>
      <c r="AC6934">
        <v>21.9391</v>
      </c>
      <c r="AD6934">
        <v>-1.0391130500000001</v>
      </c>
      <c r="AE6934">
        <v>-28.439499999999899</v>
      </c>
      <c r="AF6934">
        <v>-12.6904418902689</v>
      </c>
      <c r="AG6934">
        <v>-1.0391130500000001</v>
      </c>
      <c r="AH6934">
        <v>33.569705835273197</v>
      </c>
      <c r="AI6934">
        <v>91.658482237015804</v>
      </c>
      <c r="AJ6934">
        <v>110.708224519835</v>
      </c>
      <c r="AK6934">
        <v>35.903373395375397</v>
      </c>
      <c r="AL6934">
        <v>79.349746320245302</v>
      </c>
      <c r="AM6934">
        <v>101.22672223359</v>
      </c>
      <c r="AN6934">
        <v>0.99999997485342396</v>
      </c>
    </row>
    <row r="6935" spans="1:40" x14ac:dyDescent="0.25">
      <c r="A6935" t="str">
        <f>"20190304154934264"</f>
        <v>20190304154934264</v>
      </c>
      <c r="B6935" t="str">
        <f>"1551685774253817"</f>
        <v>1551685774253817</v>
      </c>
      <c r="C6935" t="s">
        <v>40</v>
      </c>
      <c r="D6935">
        <v>4.5091650000000003</v>
      </c>
      <c r="E6935">
        <v>0.43372260000000001</v>
      </c>
      <c r="F6935" t="s">
        <v>98</v>
      </c>
      <c r="G6935">
        <v>-279.71589999999998</v>
      </c>
      <c r="H6935">
        <v>7.9986840000000003E-2</v>
      </c>
      <c r="I6935">
        <v>-71.680610000000001</v>
      </c>
      <c r="J6935">
        <v>-298.75920000000002</v>
      </c>
      <c r="K6935">
        <v>1.1193550000000001</v>
      </c>
      <c r="L6935">
        <v>-47.06503</v>
      </c>
      <c r="M6935">
        <v>0.30263099999999998</v>
      </c>
      <c r="N6935">
        <v>-1.070922E-2</v>
      </c>
      <c r="O6935">
        <v>-0.95304770000000005</v>
      </c>
      <c r="P6935">
        <v>0.47103430000000002</v>
      </c>
      <c r="Q6935">
        <v>0.1794232</v>
      </c>
      <c r="R6935">
        <v>-0.86367499999999997</v>
      </c>
      <c r="S6935">
        <v>1.8945620000000001</v>
      </c>
      <c r="T6935">
        <v>-0.1027561</v>
      </c>
      <c r="U6935">
        <v>-2.4678339999999999</v>
      </c>
      <c r="V6935">
        <v>-0.19165850000000001</v>
      </c>
      <c r="W6935">
        <v>0.185609</v>
      </c>
      <c r="X6935">
        <v>0.96375120000000003</v>
      </c>
      <c r="Y6935">
        <v>-0.34008080000000002</v>
      </c>
      <c r="Z6935">
        <v>2.357857E-2</v>
      </c>
      <c r="AA6935">
        <v>0.94010059999999995</v>
      </c>
      <c r="AB6935">
        <v>33</v>
      </c>
      <c r="AC6935">
        <v>19.043299999999999</v>
      </c>
      <c r="AD6935">
        <v>-1.03936816</v>
      </c>
      <c r="AE6935">
        <v>-24.615579999999898</v>
      </c>
      <c r="AF6935">
        <v>-10.6884274093774</v>
      </c>
      <c r="AG6935">
        <v>-1.03936816</v>
      </c>
      <c r="AH6935">
        <v>29.192029906762201</v>
      </c>
      <c r="AI6935">
        <v>91.914908366123299</v>
      </c>
      <c r="AJ6935">
        <v>110.10979894644299</v>
      </c>
      <c r="AK6935">
        <v>31.1046198616033</v>
      </c>
      <c r="AL6935">
        <v>79.303359821145705</v>
      </c>
      <c r="AM6935">
        <v>101.247510423332</v>
      </c>
      <c r="AN6935">
        <v>1.00000002850234</v>
      </c>
    </row>
    <row r="6936" spans="1:40" x14ac:dyDescent="0.25">
      <c r="A6936" t="str">
        <f>"20190304154934288"</f>
        <v>20190304154934288</v>
      </c>
      <c r="B6936" t="str">
        <f>"1551685774284074"</f>
        <v>1551685774284074</v>
      </c>
      <c r="C6936" t="s">
        <v>40</v>
      </c>
      <c r="D6936">
        <v>4.4823979999999999</v>
      </c>
      <c r="E6936">
        <v>0.43477379999999999</v>
      </c>
      <c r="F6936" t="s">
        <v>68</v>
      </c>
      <c r="G6936">
        <v>-282.35410000000002</v>
      </c>
      <c r="H6936" s="1">
        <v>-5.9085259999999997E-6</v>
      </c>
      <c r="I6936">
        <v>-67.991819999999905</v>
      </c>
      <c r="J6936">
        <v>-298.64670000000001</v>
      </c>
      <c r="K6936">
        <v>1.119599</v>
      </c>
      <c r="L6936">
        <v>-47.384399999999999</v>
      </c>
      <c r="M6936">
        <v>0.313505599999999</v>
      </c>
      <c r="N6936">
        <v>-1.0826540000000001E-2</v>
      </c>
      <c r="O6936">
        <v>-0.94952460000000005</v>
      </c>
      <c r="P6936">
        <v>0.4813134</v>
      </c>
      <c r="Q6936">
        <v>0.17999109999999999</v>
      </c>
      <c r="R6936">
        <v>-0.85787009999999897</v>
      </c>
      <c r="S6936">
        <v>1.9224239999999999</v>
      </c>
      <c r="T6936">
        <v>-0.13117210000000001</v>
      </c>
      <c r="U6936">
        <v>-2.4523009999999998</v>
      </c>
      <c r="V6936">
        <v>-0.1923107</v>
      </c>
      <c r="W6936">
        <v>0.18616369999999999</v>
      </c>
      <c r="X6936">
        <v>0.96351419999999999</v>
      </c>
      <c r="Y6936">
        <v>-0.33867560000000002</v>
      </c>
      <c r="Z6936">
        <v>3.2560079999999998E-2</v>
      </c>
      <c r="AA6936">
        <v>0.94033960000000005</v>
      </c>
      <c r="AB6936">
        <v>33</v>
      </c>
      <c r="AC6936">
        <v>16.292599999999901</v>
      </c>
      <c r="AD6936">
        <v>-1.119604908526</v>
      </c>
      <c r="AE6936">
        <v>-20.607419999999902</v>
      </c>
      <c r="AF6936">
        <v>-8.9938749104781106</v>
      </c>
      <c r="AG6936">
        <v>-1.119604908526</v>
      </c>
      <c r="AH6936">
        <v>24.6317797105567</v>
      </c>
      <c r="AI6936">
        <v>92.444844609456197</v>
      </c>
      <c r="AJ6936">
        <v>110.058804870614</v>
      </c>
      <c r="AK6936">
        <v>26.2462925527762</v>
      </c>
      <c r="AL6936">
        <v>79.271013483892105</v>
      </c>
      <c r="AM6936">
        <v>101.287508824943</v>
      </c>
      <c r="AN6936">
        <v>0.99999997106690897</v>
      </c>
    </row>
    <row r="6937" spans="1:40" x14ac:dyDescent="0.25">
      <c r="A6937" t="str">
        <f>"20190304154934309"</f>
        <v>20190304154934309</v>
      </c>
      <c r="B6937" t="str">
        <f>"1551685774304570"</f>
        <v>1551685774304570</v>
      </c>
      <c r="C6937" t="s">
        <v>40</v>
      </c>
      <c r="D6937">
        <v>4.4582600000000001</v>
      </c>
      <c r="E6937">
        <v>0.43518980000000002</v>
      </c>
      <c r="F6937" t="s">
        <v>68</v>
      </c>
      <c r="G6937">
        <v>-282.4588</v>
      </c>
      <c r="H6937" s="1">
        <v>-5.9207699999999997E-6</v>
      </c>
      <c r="I6937">
        <v>-67.649090000000001</v>
      </c>
      <c r="J6937">
        <v>-298.54059999999998</v>
      </c>
      <c r="K6937">
        <v>1.119839</v>
      </c>
      <c r="L6937">
        <v>-47.674869999999999</v>
      </c>
      <c r="M6937">
        <v>0.32365120000000003</v>
      </c>
      <c r="N6937">
        <v>-1.094114E-2</v>
      </c>
      <c r="O6937">
        <v>-0.94611330000000005</v>
      </c>
      <c r="P6937">
        <v>0.49100919999999998</v>
      </c>
      <c r="Q6937">
        <v>0.18081079999999999</v>
      </c>
      <c r="R6937">
        <v>-0.85218419999999895</v>
      </c>
      <c r="S6937">
        <v>1.94455</v>
      </c>
      <c r="T6937">
        <v>-0.13449079999999999</v>
      </c>
      <c r="U6937">
        <v>-2.4342649999999999</v>
      </c>
      <c r="V6937">
        <v>-0.19310389999999999</v>
      </c>
      <c r="W6937">
        <v>0.18696760000000001</v>
      </c>
      <c r="X6937">
        <v>0.9631999</v>
      </c>
      <c r="Y6937">
        <v>-0.33719519999999997</v>
      </c>
      <c r="Z6937">
        <v>3.3502530000000003E-2</v>
      </c>
      <c r="AA6937">
        <v>0.94083850000000002</v>
      </c>
      <c r="AB6937">
        <v>33</v>
      </c>
      <c r="AC6937">
        <v>16.081799999999902</v>
      </c>
      <c r="AD6937">
        <v>-1.1198449207700001</v>
      </c>
      <c r="AE6937">
        <v>-19.974219999999999</v>
      </c>
      <c r="AF6937">
        <v>-8.7343908259916194</v>
      </c>
      <c r="AG6937">
        <v>-1.1198449207700001</v>
      </c>
      <c r="AH6937">
        <v>24.058329613919799</v>
      </c>
      <c r="AI6937">
        <v>92.505256548299201</v>
      </c>
      <c r="AJ6937">
        <v>109.953458418285</v>
      </c>
      <c r="AK6937">
        <v>25.6192673501752</v>
      </c>
      <c r="AL6937">
        <v>79.224130823198607</v>
      </c>
      <c r="AM6937">
        <v>101.336464823234</v>
      </c>
      <c r="AN6937">
        <v>1.00000002350248</v>
      </c>
    </row>
    <row r="6938" spans="1:40" x14ac:dyDescent="0.25">
      <c r="A6938" t="str">
        <f>"20190304154934328"</f>
        <v>20190304154934328</v>
      </c>
      <c r="B6938" t="str">
        <f>"1551685774324090"</f>
        <v>1551685774324090</v>
      </c>
      <c r="C6938" t="s">
        <v>40</v>
      </c>
      <c r="D6938">
        <v>4.4892099999999999</v>
      </c>
      <c r="E6938">
        <v>0.43562889999999999</v>
      </c>
      <c r="F6938" t="s">
        <v>68</v>
      </c>
      <c r="G6938">
        <v>-282.14150000000001</v>
      </c>
      <c r="H6938" s="1">
        <v>-6.046438E-6</v>
      </c>
      <c r="I6938">
        <v>-67.773430000000005</v>
      </c>
      <c r="J6938">
        <v>-298.44130000000001</v>
      </c>
      <c r="K6938">
        <v>1.120055</v>
      </c>
      <c r="L6938">
        <v>-47.937469999999998</v>
      </c>
      <c r="M6938">
        <v>0.3330438</v>
      </c>
      <c r="N6938">
        <v>-1.10483E-2</v>
      </c>
      <c r="O6938">
        <v>-0.94284679999999998</v>
      </c>
      <c r="P6938">
        <v>0.50007029999999997</v>
      </c>
      <c r="Q6938">
        <v>0.18181829999999999</v>
      </c>
      <c r="R6938">
        <v>-0.84668310000000002</v>
      </c>
      <c r="S6938">
        <v>1.9696659999999999</v>
      </c>
      <c r="T6938">
        <v>-0.13450239999999999</v>
      </c>
      <c r="U6938">
        <v>-2.4140009999999998</v>
      </c>
      <c r="V6938">
        <v>-0.19399430000000001</v>
      </c>
      <c r="W6938">
        <v>0.1879555</v>
      </c>
      <c r="X6938">
        <v>0.96282860000000003</v>
      </c>
      <c r="Y6938">
        <v>-0.33757939999999997</v>
      </c>
      <c r="Z6938">
        <v>3.3398270000000001E-2</v>
      </c>
      <c r="AA6938">
        <v>0.94070430000000005</v>
      </c>
      <c r="AB6938">
        <v>33</v>
      </c>
      <c r="AC6938">
        <v>16.299800000000001</v>
      </c>
      <c r="AD6938">
        <v>-1.1200610464380001</v>
      </c>
      <c r="AE6938">
        <v>-19.83596</v>
      </c>
      <c r="AF6938">
        <v>-8.7458584492656897</v>
      </c>
      <c r="AG6938">
        <v>-1.1200610464380001</v>
      </c>
      <c r="AH6938">
        <v>24.086444749597899</v>
      </c>
      <c r="AI6938">
        <v>92.502776350110295</v>
      </c>
      <c r="AJ6938">
        <v>109.95610741500801</v>
      </c>
      <c r="AK6938">
        <v>25.649588640712601</v>
      </c>
      <c r="AL6938">
        <v>79.166506344032399</v>
      </c>
      <c r="AM6938">
        <v>101.391651029535</v>
      </c>
      <c r="AN6938">
        <v>0.99999998569534998</v>
      </c>
    </row>
    <row r="6939" spans="1:40" x14ac:dyDescent="0.25">
      <c r="A6939" t="str">
        <f>"20190304154934351"</f>
        <v>20190304154934351</v>
      </c>
      <c r="B6939" t="str">
        <f>"1551685774344586"</f>
        <v>1551685774344586</v>
      </c>
      <c r="C6939" t="s">
        <v>40</v>
      </c>
      <c r="D6939">
        <v>4.5023960000000001</v>
      </c>
      <c r="E6939">
        <v>0.43601649999999997</v>
      </c>
      <c r="F6939" t="s">
        <v>68</v>
      </c>
      <c r="G6939">
        <v>-281.4196</v>
      </c>
      <c r="H6939" s="1">
        <v>-6.2739670000000001E-6</v>
      </c>
      <c r="I6939">
        <v>-68.384270000000001</v>
      </c>
      <c r="J6939">
        <v>-298.32249999999999</v>
      </c>
      <c r="K6939">
        <v>1.120317</v>
      </c>
      <c r="L6939">
        <v>-48.241880000000002</v>
      </c>
      <c r="M6939">
        <v>0.34416649999999999</v>
      </c>
      <c r="N6939">
        <v>-1.1175269999999999E-2</v>
      </c>
      <c r="O6939">
        <v>-0.93884219999999896</v>
      </c>
      <c r="P6939">
        <v>0.51029219999999997</v>
      </c>
      <c r="Q6939">
        <v>0.183254</v>
      </c>
      <c r="R6939">
        <v>-0.84025000000000005</v>
      </c>
      <c r="S6939">
        <v>1.9931639999999999</v>
      </c>
      <c r="T6939">
        <v>-0.1311541</v>
      </c>
      <c r="U6939">
        <v>-2.3942260000000002</v>
      </c>
      <c r="V6939">
        <v>-0.19453870000000001</v>
      </c>
      <c r="W6939">
        <v>0.1893804</v>
      </c>
      <c r="X6939">
        <v>0.9624395</v>
      </c>
      <c r="Y6939">
        <v>-0.33575169999999999</v>
      </c>
      <c r="Z6939">
        <v>3.2177999999999998E-2</v>
      </c>
      <c r="AA6939">
        <v>0.94140080000000004</v>
      </c>
      <c r="AB6939">
        <v>33</v>
      </c>
      <c r="AC6939">
        <v>16.902899999999899</v>
      </c>
      <c r="AD6939">
        <v>-1.1203232739669999</v>
      </c>
      <c r="AE6939">
        <v>-20.142389999999999</v>
      </c>
      <c r="AF6939">
        <v>-8.9211830161526393</v>
      </c>
      <c r="AG6939">
        <v>-1.1203232739669999</v>
      </c>
      <c r="AH6939">
        <v>24.684670690880498</v>
      </c>
      <c r="AI6939">
        <v>92.444094029274893</v>
      </c>
      <c r="AJ6939">
        <v>109.87014933965099</v>
      </c>
      <c r="AK6939">
        <v>26.271193306796999</v>
      </c>
      <c r="AL6939">
        <v>79.083372913792203</v>
      </c>
      <c r="AM6939">
        <v>101.427276403923</v>
      </c>
      <c r="AN6939">
        <v>1.0000000164310401</v>
      </c>
    </row>
    <row r="6940" spans="1:40" x14ac:dyDescent="0.25">
      <c r="A6940" t="str">
        <f>"20190304154934372"</f>
        <v>20190304154934372</v>
      </c>
      <c r="B6940" t="str">
        <f>"1551685774364106"</f>
        <v>1551685774364106</v>
      </c>
      <c r="C6940" t="s">
        <v>40</v>
      </c>
      <c r="D6940">
        <v>4.474996</v>
      </c>
      <c r="E6940">
        <v>0.44087680000000001</v>
      </c>
      <c r="F6940" t="s">
        <v>68</v>
      </c>
      <c r="G6940">
        <v>-280.57409999999999</v>
      </c>
      <c r="H6940" s="1">
        <v>-6.538715E-6</v>
      </c>
      <c r="I6940">
        <v>-69.085279999999997</v>
      </c>
      <c r="J6940">
        <v>-298.20170000000002</v>
      </c>
      <c r="K6940">
        <v>1.1205639999999999</v>
      </c>
      <c r="L6940">
        <v>-48.539580000000001</v>
      </c>
      <c r="M6940">
        <v>0.35532399999999997</v>
      </c>
      <c r="N6940">
        <v>-1.1300650000000001E-2</v>
      </c>
      <c r="O6940">
        <v>-0.93467489999999998</v>
      </c>
      <c r="P6940">
        <v>0.52041320000000002</v>
      </c>
      <c r="Q6940">
        <v>0.1836972</v>
      </c>
      <c r="R6940">
        <v>-0.83392199999999905</v>
      </c>
      <c r="S6940">
        <v>2.0195310000000002</v>
      </c>
      <c r="T6940">
        <v>-0.12747800000000001</v>
      </c>
      <c r="U6940">
        <v>-2.3717039999999998</v>
      </c>
      <c r="V6940">
        <v>-0.1948734</v>
      </c>
      <c r="W6940">
        <v>0.18981999999999999</v>
      </c>
      <c r="X6940">
        <v>0.96228519999999895</v>
      </c>
      <c r="Y6940">
        <v>-0.33504060000000002</v>
      </c>
      <c r="Z6940">
        <v>3.0865529999999999E-2</v>
      </c>
      <c r="AA6940">
        <v>0.94169800000000004</v>
      </c>
      <c r="AB6940">
        <v>33</v>
      </c>
      <c r="AC6940">
        <v>17.627600000000001</v>
      </c>
      <c r="AD6940">
        <v>-1.12057053871499</v>
      </c>
      <c r="AE6940">
        <v>-20.5457</v>
      </c>
      <c r="AF6940">
        <v>-9.1605850840546292</v>
      </c>
      <c r="AG6940">
        <v>-1.12057053871499</v>
      </c>
      <c r="AH6940">
        <v>25.425122108334399</v>
      </c>
      <c r="AI6940">
        <v>92.374360576907506</v>
      </c>
      <c r="AJ6940">
        <v>109.81391919964</v>
      </c>
      <c r="AK6940">
        <v>27.048268551575699</v>
      </c>
      <c r="AL6940">
        <v>79.057720652040899</v>
      </c>
      <c r="AM6940">
        <v>101.44820522795</v>
      </c>
      <c r="AN6940">
        <v>1.00000004028329</v>
      </c>
    </row>
    <row r="6941" spans="1:40" x14ac:dyDescent="0.25">
      <c r="A6941" t="str">
        <f>"20190304154934395"</f>
        <v>20190304154934395</v>
      </c>
      <c r="B6941" t="str">
        <f>"1551685774384601"</f>
        <v>1551685774384601</v>
      </c>
      <c r="C6941" t="s">
        <v>40</v>
      </c>
      <c r="D6941">
        <v>4.459905</v>
      </c>
      <c r="E6941">
        <v>0.44240839999999998</v>
      </c>
      <c r="F6941" t="s">
        <v>68</v>
      </c>
      <c r="G6941">
        <v>-282.05829999999997</v>
      </c>
      <c r="H6941" s="1">
        <v>-6.131144E-6</v>
      </c>
      <c r="I6941">
        <v>-67.515469999999993</v>
      </c>
      <c r="J6941">
        <v>-298.07850000000002</v>
      </c>
      <c r="K6941">
        <v>1.1208009999999999</v>
      </c>
      <c r="L6941">
        <v>-48.832549999999998</v>
      </c>
      <c r="M6941">
        <v>0.36655569999999998</v>
      </c>
      <c r="N6941">
        <v>-1.1424739999999999E-2</v>
      </c>
      <c r="O6941">
        <v>-0.93032599999999999</v>
      </c>
      <c r="P6941">
        <v>0.53045200000000003</v>
      </c>
      <c r="Q6941">
        <v>0.1822329</v>
      </c>
      <c r="R6941">
        <v>-0.82789639999999998</v>
      </c>
      <c r="S6941">
        <v>2.0162659999999999</v>
      </c>
      <c r="T6941">
        <v>-0.13995539999999901</v>
      </c>
      <c r="U6941">
        <v>-2.3700260000000002</v>
      </c>
      <c r="V6941">
        <v>-0.19486780000000001</v>
      </c>
      <c r="W6941">
        <v>0.18836890000000001</v>
      </c>
      <c r="X6941">
        <v>0.96257139999999997</v>
      </c>
      <c r="Y6941">
        <v>-0.32315379999999999</v>
      </c>
      <c r="Z6941">
        <v>3.4616800000000003E-2</v>
      </c>
      <c r="AA6941">
        <v>0.94571309999999997</v>
      </c>
      <c r="AB6941">
        <v>33</v>
      </c>
      <c r="AC6941">
        <v>16.020199999999999</v>
      </c>
      <c r="AD6941">
        <v>-1.120807131144</v>
      </c>
      <c r="AE6941">
        <v>-18.682919999999999</v>
      </c>
      <c r="AF6941">
        <v>-8.0395294040113594</v>
      </c>
      <c r="AG6941">
        <v>-1.120807131144</v>
      </c>
      <c r="AH6941">
        <v>23.206888028986999</v>
      </c>
      <c r="AI6941">
        <v>92.612906744746198</v>
      </c>
      <c r="AJ6941">
        <v>109.10754788301</v>
      </c>
      <c r="AK6941">
        <v>24.585562707677202</v>
      </c>
      <c r="AL6941">
        <v>79.142389660767705</v>
      </c>
      <c r="AM6941">
        <v>101.44457097771</v>
      </c>
      <c r="AN6941">
        <v>1.000000001031</v>
      </c>
    </row>
    <row r="6942" spans="1:40" x14ac:dyDescent="0.25">
      <c r="A6942" t="str">
        <f>"20190304154934417"</f>
        <v>20190304154934417</v>
      </c>
      <c r="B6942" t="str">
        <f>"1551685774413881"</f>
        <v>1551685774413881</v>
      </c>
      <c r="C6942" t="s">
        <v>40</v>
      </c>
      <c r="D6942">
        <v>4.4001859999999997</v>
      </c>
      <c r="E6942">
        <v>0.44381749999999998</v>
      </c>
      <c r="F6942" t="s">
        <v>68</v>
      </c>
      <c r="G6942">
        <v>-283.2448</v>
      </c>
      <c r="H6942" s="1">
        <v>-5.8510200000000001E-6</v>
      </c>
      <c r="I6942">
        <v>-65.984290000000001</v>
      </c>
      <c r="J6942">
        <v>-297.94810000000001</v>
      </c>
      <c r="K6942">
        <v>1.1210230000000001</v>
      </c>
      <c r="L6942">
        <v>-49.131810000000002</v>
      </c>
      <c r="M6942">
        <v>0.37825189999999997</v>
      </c>
      <c r="N6942">
        <v>-1.15487E-2</v>
      </c>
      <c r="O6942">
        <v>-0.92563059999999997</v>
      </c>
      <c r="P6942">
        <v>0.54094980000000004</v>
      </c>
      <c r="Q6942">
        <v>0.18174000000000001</v>
      </c>
      <c r="R6942">
        <v>-0.82118440000000004</v>
      </c>
      <c r="S6942">
        <v>2.035339</v>
      </c>
      <c r="T6942">
        <v>-0.15378610000000001</v>
      </c>
      <c r="U6942">
        <v>-2.3533940000000002</v>
      </c>
      <c r="V6942">
        <v>-0.19504260000000001</v>
      </c>
      <c r="W6942">
        <v>0.187888</v>
      </c>
      <c r="X6942">
        <v>0.96262999999999999</v>
      </c>
      <c r="Y6942">
        <v>-0.31879999999999997</v>
      </c>
      <c r="Z6942">
        <v>3.879324E-2</v>
      </c>
      <c r="AA6942">
        <v>0.94702779999999998</v>
      </c>
      <c r="AB6942">
        <v>33</v>
      </c>
      <c r="AC6942">
        <v>14.7033</v>
      </c>
      <c r="AD6942">
        <v>-1.1210288510199999</v>
      </c>
      <c r="AE6942">
        <v>-16.85248</v>
      </c>
      <c r="AF6942">
        <v>-7.2176907792873299</v>
      </c>
      <c r="AG6942">
        <v>-1.1210288510199999</v>
      </c>
      <c r="AH6942">
        <v>21.109099508274898</v>
      </c>
      <c r="AI6942">
        <v>92.876704121285201</v>
      </c>
      <c r="AJ6942">
        <v>108.876748161214</v>
      </c>
      <c r="AK6942">
        <v>22.337095780796599</v>
      </c>
      <c r="AL6942">
        <v>79.170444300842703</v>
      </c>
      <c r="AM6942">
        <v>101.453886857203</v>
      </c>
      <c r="AN6942">
        <v>1.0000000166293701</v>
      </c>
    </row>
    <row r="6943" spans="1:40" x14ac:dyDescent="0.25">
      <c r="A6943" t="str">
        <f>"20190304154934440"</f>
        <v>20190304154934440</v>
      </c>
      <c r="B6943" t="str">
        <f>"1551685774434380"</f>
        <v>1551685774434380</v>
      </c>
      <c r="C6943" t="s">
        <v>40</v>
      </c>
      <c r="D6943">
        <v>4.4026959999999997</v>
      </c>
      <c r="E6943">
        <v>0.44524150000000001</v>
      </c>
      <c r="F6943" t="s">
        <v>68</v>
      </c>
      <c r="G6943">
        <v>-283.64400000000001</v>
      </c>
      <c r="H6943" s="1">
        <v>-5.7738170000000004E-6</v>
      </c>
      <c r="I6943">
        <v>-65.373339999999999</v>
      </c>
      <c r="J6943">
        <v>-297.8116</v>
      </c>
      <c r="K6943">
        <v>1.121237</v>
      </c>
      <c r="L6943">
        <v>-49.434019999999997</v>
      </c>
      <c r="M6943">
        <v>0.39028429999999997</v>
      </c>
      <c r="N6943">
        <v>-1.167234E-2</v>
      </c>
      <c r="O6943">
        <v>-0.92062040000000001</v>
      </c>
      <c r="P6943">
        <v>0.55128969999999999</v>
      </c>
      <c r="Q6943">
        <v>0.18247969999999999</v>
      </c>
      <c r="R6943">
        <v>-0.81411369999999905</v>
      </c>
      <c r="S6943">
        <v>2.0560299999999998</v>
      </c>
      <c r="T6943">
        <v>-0.1611329</v>
      </c>
      <c r="U6943">
        <v>-2.3345030000000002</v>
      </c>
      <c r="V6943">
        <v>-0.19484960000000001</v>
      </c>
      <c r="W6943">
        <v>0.18865460000000001</v>
      </c>
      <c r="X6943">
        <v>0.96251909999999896</v>
      </c>
      <c r="Y6943">
        <v>-0.31490600000000002</v>
      </c>
      <c r="Z6943">
        <v>4.0894020000000003E-2</v>
      </c>
      <c r="AA6943">
        <v>0.94824149999999996</v>
      </c>
      <c r="AB6943">
        <v>33</v>
      </c>
      <c r="AC6943">
        <v>14.167599999999901</v>
      </c>
      <c r="AD6943">
        <v>-1.1212427738169899</v>
      </c>
      <c r="AE6943">
        <v>-15.939319999999899</v>
      </c>
      <c r="AF6943">
        <v>-6.8037719109323902</v>
      </c>
      <c r="AG6943">
        <v>-1.1212427738169899</v>
      </c>
      <c r="AH6943">
        <v>20.1491319056124</v>
      </c>
      <c r="AI6943">
        <v>93.017986172991598</v>
      </c>
      <c r="AJ6943">
        <v>108.658319675485</v>
      </c>
      <c r="AK6943">
        <v>21.296385001299999</v>
      </c>
      <c r="AL6943">
        <v>79.125721083040304</v>
      </c>
      <c r="AM6943">
        <v>101.44413569061901</v>
      </c>
      <c r="AN6943">
        <v>0.99999997129306395</v>
      </c>
    </row>
    <row r="6944" spans="1:40" x14ac:dyDescent="0.25">
      <c r="A6944" t="str">
        <f>"20190304154934462"</f>
        <v>20190304154934462</v>
      </c>
      <c r="B6944" t="str">
        <f>"1551685774453898"</f>
        <v>1551685774453898</v>
      </c>
      <c r="C6944" t="s">
        <v>40</v>
      </c>
      <c r="D6944">
        <v>4.4222250000000001</v>
      </c>
      <c r="E6944">
        <v>0.44597399999999998</v>
      </c>
      <c r="F6944" t="s">
        <v>68</v>
      </c>
      <c r="G6944">
        <v>-284.1216</v>
      </c>
      <c r="H6944" s="1">
        <v>-5.6714450000000002E-6</v>
      </c>
      <c r="I6944">
        <v>-64.698480000000004</v>
      </c>
      <c r="J6944">
        <v>-297.67680000000001</v>
      </c>
      <c r="K6944">
        <v>1.121434</v>
      </c>
      <c r="L6944">
        <v>-49.7226</v>
      </c>
      <c r="M6944">
        <v>0.40197290000000002</v>
      </c>
      <c r="N6944">
        <v>-1.179466E-2</v>
      </c>
      <c r="O6944">
        <v>-0.91557560000000004</v>
      </c>
      <c r="P6944">
        <v>0.56099840000000001</v>
      </c>
      <c r="Q6944">
        <v>0.18286530000000001</v>
      </c>
      <c r="R6944">
        <v>-0.80736699999999995</v>
      </c>
      <c r="S6944">
        <v>2.0774539999999999</v>
      </c>
      <c r="T6944">
        <v>-0.1701481</v>
      </c>
      <c r="U6944">
        <v>-2.316376</v>
      </c>
      <c r="V6944">
        <v>-0.19425490000000001</v>
      </c>
      <c r="W6944">
        <v>0.18908639999999999</v>
      </c>
      <c r="X6944">
        <v>0.96255460000000004</v>
      </c>
      <c r="Y6944">
        <v>-0.3112876</v>
      </c>
      <c r="Z6944">
        <v>4.3476420000000002E-2</v>
      </c>
      <c r="AA6944">
        <v>0.94932070000000002</v>
      </c>
      <c r="AB6944">
        <v>33</v>
      </c>
      <c r="AC6944">
        <v>13.555199999999999</v>
      </c>
      <c r="AD6944">
        <v>-1.1214396714449999</v>
      </c>
      <c r="AE6944">
        <v>-14.97588</v>
      </c>
      <c r="AF6944">
        <v>-6.3717177003842904</v>
      </c>
      <c r="AG6944">
        <v>-1.1214396714449999</v>
      </c>
      <c r="AH6944">
        <v>19.102826227983901</v>
      </c>
      <c r="AI6944">
        <v>93.187467677052496</v>
      </c>
      <c r="AJ6944">
        <v>108.446039834546</v>
      </c>
      <c r="AK6944">
        <v>20.1686485240492</v>
      </c>
      <c r="AL6944">
        <v>79.100527593433597</v>
      </c>
      <c r="AM6944">
        <v>101.409714814493</v>
      </c>
      <c r="AN6944">
        <v>0.99999999541006501</v>
      </c>
    </row>
    <row r="6945" spans="1:40" x14ac:dyDescent="0.25">
      <c r="A6945" t="str">
        <f>"20190304154934485"</f>
        <v>20190304154934485</v>
      </c>
      <c r="B6945" t="str">
        <f>"1551685774474394"</f>
        <v>1551685774474394</v>
      </c>
      <c r="C6945" t="s">
        <v>40</v>
      </c>
      <c r="D6945">
        <v>4.3565209999999999</v>
      </c>
      <c r="E6945">
        <v>0.44670840000000001</v>
      </c>
      <c r="F6945" t="s">
        <v>68</v>
      </c>
      <c r="G6945">
        <v>-283.84350000000001</v>
      </c>
      <c r="H6945" s="1">
        <v>-5.7761910000000002E-6</v>
      </c>
      <c r="I6945">
        <v>-64.837879999999998</v>
      </c>
      <c r="J6945">
        <v>-297.53570000000002</v>
      </c>
      <c r="K6945">
        <v>1.121623</v>
      </c>
      <c r="L6945">
        <v>-50.014530000000001</v>
      </c>
      <c r="M6945">
        <v>0.41398970000000002</v>
      </c>
      <c r="N6945">
        <v>-1.192729E-2</v>
      </c>
      <c r="O6945">
        <v>-0.91020350000000005</v>
      </c>
      <c r="P6945">
        <v>0.57148369999999904</v>
      </c>
      <c r="Q6945">
        <v>0.18248410000000001</v>
      </c>
      <c r="R6945">
        <v>-0.80006650000000001</v>
      </c>
      <c r="S6945">
        <v>2.100311</v>
      </c>
      <c r="T6945">
        <v>-0.17026810000000001</v>
      </c>
      <c r="U6945">
        <v>-2.2949519999999999</v>
      </c>
      <c r="V6945">
        <v>-0.1941841</v>
      </c>
      <c r="W6945">
        <v>0.18875069999999999</v>
      </c>
      <c r="X6945">
        <v>0.96263480000000001</v>
      </c>
      <c r="Y6945">
        <v>-0.30833959999999999</v>
      </c>
      <c r="Z6945">
        <v>4.3264959999999998E-2</v>
      </c>
      <c r="AA6945">
        <v>0.95029200000000003</v>
      </c>
      <c r="AB6945">
        <v>33</v>
      </c>
      <c r="AC6945">
        <v>13.6922</v>
      </c>
      <c r="AD6945">
        <v>-1.121628776191</v>
      </c>
      <c r="AE6945">
        <v>-14.8233499999999</v>
      </c>
      <c r="AF6945">
        <v>-6.30693869893335</v>
      </c>
      <c r="AG6945">
        <v>-1.121628776191</v>
      </c>
      <c r="AH6945">
        <v>19.103038510130201</v>
      </c>
      <c r="AI6945">
        <v>93.191198784378997</v>
      </c>
      <c r="AJ6945">
        <v>108.27083071172</v>
      </c>
      <c r="AK6945">
        <v>20.148488955333601</v>
      </c>
      <c r="AL6945">
        <v>79.120114816539498</v>
      </c>
      <c r="AM6945">
        <v>101.40473999478201</v>
      </c>
      <c r="AN6945">
        <v>1.0000000248071601</v>
      </c>
    </row>
    <row r="6946" spans="1:40" x14ac:dyDescent="0.25">
      <c r="A6946" t="str">
        <f>"20190304154934506"</f>
        <v>20190304154934506</v>
      </c>
      <c r="B6946" t="str">
        <f>"1551685774504650"</f>
        <v>1551685774504650</v>
      </c>
      <c r="C6946" t="s">
        <v>40</v>
      </c>
      <c r="D6946">
        <v>4.3966770000000004</v>
      </c>
      <c r="E6946">
        <v>0.44817390000000001</v>
      </c>
      <c r="F6946" t="s">
        <v>68</v>
      </c>
      <c r="G6946">
        <v>-283.78840000000002</v>
      </c>
      <c r="H6946" s="1">
        <v>-5.8240889999999998E-6</v>
      </c>
      <c r="I6946">
        <v>-64.713089999999994</v>
      </c>
      <c r="J6946">
        <v>-297.39490000000001</v>
      </c>
      <c r="K6946">
        <v>1.1217919999999999</v>
      </c>
      <c r="L6946">
        <v>-50.296199999999999</v>
      </c>
      <c r="M6946">
        <v>0.4257649</v>
      </c>
      <c r="N6946">
        <v>-1.206544E-2</v>
      </c>
      <c r="O6946">
        <v>-0.90475360000000005</v>
      </c>
      <c r="P6946">
        <v>0.58208199999999999</v>
      </c>
      <c r="Q6946">
        <v>0.18201809999999999</v>
      </c>
      <c r="R6946">
        <v>-0.79249619999999998</v>
      </c>
      <c r="S6946">
        <v>2.124603</v>
      </c>
      <c r="T6946">
        <v>-0.17334340000000001</v>
      </c>
      <c r="U6946">
        <v>-2.2716059999999998</v>
      </c>
      <c r="V6946">
        <v>-0.1945316</v>
      </c>
      <c r="W6946">
        <v>0.1883282</v>
      </c>
      <c r="X6946">
        <v>0.96264740000000004</v>
      </c>
      <c r="Y6946">
        <v>-0.30625980000000003</v>
      </c>
      <c r="Z6946">
        <v>4.3977099999999998E-2</v>
      </c>
      <c r="AA6946">
        <v>0.95093170000000005</v>
      </c>
      <c r="AB6946">
        <v>33</v>
      </c>
      <c r="AC6946">
        <v>13.606499999999899</v>
      </c>
      <c r="AD6946">
        <v>-1.1217978240890001</v>
      </c>
      <c r="AE6946">
        <v>-14.41689</v>
      </c>
      <c r="AF6946">
        <v>-6.1530685617919803</v>
      </c>
      <c r="AG6946">
        <v>-1.1217978240890001</v>
      </c>
      <c r="AH6946">
        <v>18.778138461565099</v>
      </c>
      <c r="AI6946">
        <v>93.249171496384605</v>
      </c>
      <c r="AJ6946">
        <v>108.142516767798</v>
      </c>
      <c r="AK6946">
        <v>19.792351228844801</v>
      </c>
      <c r="AL6946">
        <v>79.144764474981599</v>
      </c>
      <c r="AM6946">
        <v>101.424467392106</v>
      </c>
      <c r="AN6946">
        <v>1.0000000355202701</v>
      </c>
    </row>
    <row r="6947" spans="1:40" x14ac:dyDescent="0.25">
      <c r="A6947" t="str">
        <f>"20190304154934529"</f>
        <v>20190304154934529</v>
      </c>
      <c r="B6947" t="str">
        <f>"1551685774524170"</f>
        <v>1551685774524170</v>
      </c>
      <c r="C6947" t="s">
        <v>40</v>
      </c>
      <c r="D6947">
        <v>4.6392139999999999</v>
      </c>
      <c r="E6947">
        <v>0.44872400000000001</v>
      </c>
      <c r="F6947" t="s">
        <v>68</v>
      </c>
      <c r="G6947">
        <v>-284.25970000000001</v>
      </c>
      <c r="H6947" s="1">
        <v>-5.7169250000000003E-6</v>
      </c>
      <c r="I6947">
        <v>-64.081800000000001</v>
      </c>
      <c r="J6947">
        <v>-297.24489999999997</v>
      </c>
      <c r="K6947">
        <v>1.1219760000000001</v>
      </c>
      <c r="L6947">
        <v>-50.58643</v>
      </c>
      <c r="M6947">
        <v>0.43807370000000001</v>
      </c>
      <c r="N6947">
        <v>-1.2217280000000001E-2</v>
      </c>
      <c r="O6947">
        <v>-0.89885599999999999</v>
      </c>
      <c r="P6947">
        <v>0.59321999999999997</v>
      </c>
      <c r="Q6947">
        <v>0.18131920000000001</v>
      </c>
      <c r="R6947">
        <v>-0.78435559999999904</v>
      </c>
      <c r="S6947">
        <v>2.145508</v>
      </c>
      <c r="T6947">
        <v>-0.18323429999999999</v>
      </c>
      <c r="U6947">
        <v>-2.2517399999999999</v>
      </c>
      <c r="V6947">
        <v>-0.1949881</v>
      </c>
      <c r="W6947">
        <v>0.1876815</v>
      </c>
      <c r="X6947">
        <v>0.96268129999999996</v>
      </c>
      <c r="Y6947">
        <v>-0.30197980000000002</v>
      </c>
      <c r="Z6947">
        <v>4.6720930000000001E-2</v>
      </c>
      <c r="AA6947">
        <v>0.95216880000000004</v>
      </c>
      <c r="AB6947">
        <v>33</v>
      </c>
      <c r="AC6947">
        <v>12.985199999999899</v>
      </c>
      <c r="AD6947">
        <v>-1.1219817169249999</v>
      </c>
      <c r="AE6947">
        <v>-13.495369999999999</v>
      </c>
      <c r="AF6947">
        <v>-5.7396880325545503</v>
      </c>
      <c r="AG6947">
        <v>-1.1219817169249999</v>
      </c>
      <c r="AH6947">
        <v>17.7564696826466</v>
      </c>
      <c r="AI6947">
        <v>93.440716890765202</v>
      </c>
      <c r="AJ6947">
        <v>107.91316112921299</v>
      </c>
      <c r="AK6947">
        <v>18.6947874359381</v>
      </c>
      <c r="AL6947">
        <v>79.182489935667704</v>
      </c>
      <c r="AM6947">
        <v>101.45017681847099</v>
      </c>
      <c r="AN6947">
        <v>0.99999999497677405</v>
      </c>
    </row>
    <row r="6948" spans="1:40" x14ac:dyDescent="0.25">
      <c r="A6948" t="str">
        <f>"20190304154934552"</f>
        <v>20190304154934552</v>
      </c>
      <c r="B6948" t="str">
        <f>"1551685774544666"</f>
        <v>1551685774544666</v>
      </c>
      <c r="C6948" t="s">
        <v>40</v>
      </c>
      <c r="D6948">
        <v>4.3980439999999996</v>
      </c>
      <c r="E6948">
        <v>0.449272</v>
      </c>
      <c r="F6948" t="s">
        <v>68</v>
      </c>
      <c r="G6948">
        <v>-284.22590000000002</v>
      </c>
      <c r="H6948" s="1">
        <v>-5.763178E-6</v>
      </c>
      <c r="I6948">
        <v>-63.910350000000001</v>
      </c>
      <c r="J6948">
        <v>-297.09309999999999</v>
      </c>
      <c r="K6948">
        <v>1.122144</v>
      </c>
      <c r="L6948">
        <v>-50.870359999999998</v>
      </c>
      <c r="M6948">
        <v>0.45028610000000002</v>
      </c>
      <c r="N6948">
        <v>-1.237188E-2</v>
      </c>
      <c r="O6948">
        <v>-0.89279889999999995</v>
      </c>
      <c r="P6948">
        <v>0.60488209999999998</v>
      </c>
      <c r="Q6948">
        <v>0.1805708</v>
      </c>
      <c r="R6948">
        <v>-0.7755725</v>
      </c>
      <c r="S6948">
        <v>2.1734010000000001</v>
      </c>
      <c r="T6948">
        <v>-0.18730430000000001</v>
      </c>
      <c r="U6948">
        <v>-2.2243040000000001</v>
      </c>
      <c r="V6948">
        <v>-0.19624259999999999</v>
      </c>
      <c r="W6948">
        <v>0.1869662</v>
      </c>
      <c r="X6948">
        <v>0.96256549999999996</v>
      </c>
      <c r="Y6948">
        <v>-0.3009211</v>
      </c>
      <c r="Z6948">
        <v>4.768882E-2</v>
      </c>
      <c r="AA6948">
        <v>0.95245590000000002</v>
      </c>
      <c r="AB6948">
        <v>33</v>
      </c>
      <c r="AC6948">
        <v>12.867199999999899</v>
      </c>
      <c r="AD6948">
        <v>-1.122149763178</v>
      </c>
      <c r="AE6948">
        <v>-13.03999</v>
      </c>
      <c r="AF6948">
        <v>-5.5955293332151301</v>
      </c>
      <c r="AG6948">
        <v>-1.122149763178</v>
      </c>
      <c r="AH6948">
        <v>17.372158467835501</v>
      </c>
      <c r="AI6948">
        <v>93.518346286220805</v>
      </c>
      <c r="AJ6948">
        <v>107.85362150096999</v>
      </c>
      <c r="AK6948">
        <v>18.2855423338073</v>
      </c>
      <c r="AL6948">
        <v>79.224211456384197</v>
      </c>
      <c r="AM6948">
        <v>101.523229172105</v>
      </c>
      <c r="AN6948">
        <v>0.99999992989372199</v>
      </c>
    </row>
    <row r="6949" spans="1:40" x14ac:dyDescent="0.25">
      <c r="A6949" t="str">
        <f>"20190304154934573"</f>
        <v>20190304154934573</v>
      </c>
      <c r="B6949" t="str">
        <f>"1551685774564186"</f>
        <v>1551685774564186</v>
      </c>
      <c r="C6949" t="s">
        <v>40</v>
      </c>
      <c r="D6949">
        <v>4.6712449999999999</v>
      </c>
      <c r="E6949">
        <v>0.44955030000000001</v>
      </c>
      <c r="F6949" t="s">
        <v>68</v>
      </c>
      <c r="G6949">
        <v>-284.18819999999999</v>
      </c>
      <c r="H6949" s="1">
        <v>-5.81519E-6</v>
      </c>
      <c r="I6949">
        <v>-63.716850000000001</v>
      </c>
      <c r="J6949">
        <v>-296.9359</v>
      </c>
      <c r="K6949">
        <v>1.1223129999999999</v>
      </c>
      <c r="L6949">
        <v>-51.153959999999998</v>
      </c>
      <c r="M6949">
        <v>0.46266760000000001</v>
      </c>
      <c r="N6949">
        <v>-1.2530380000000001E-2</v>
      </c>
      <c r="O6949">
        <v>-0.88644310000000004</v>
      </c>
      <c r="P6949">
        <v>0.61679640000000002</v>
      </c>
      <c r="Q6949">
        <v>0.17929579999999901</v>
      </c>
      <c r="R6949">
        <v>-0.76642999999999994</v>
      </c>
      <c r="S6949">
        <v>2.2038570000000002</v>
      </c>
      <c r="T6949">
        <v>-0.1916369</v>
      </c>
      <c r="U6949">
        <v>-2.1938780000000002</v>
      </c>
      <c r="V6949">
        <v>-0.19762759999999999</v>
      </c>
      <c r="W6949">
        <v>0.18572749999999999</v>
      </c>
      <c r="X6949">
        <v>0.96252199999999999</v>
      </c>
      <c r="Y6949">
        <v>-0.30078830000000001</v>
      </c>
      <c r="Z6949">
        <v>4.8724690000000001E-2</v>
      </c>
      <c r="AA6949">
        <v>0.9524454</v>
      </c>
      <c r="AB6949">
        <v>33</v>
      </c>
      <c r="AC6949">
        <v>12.7477</v>
      </c>
      <c r="AD6949">
        <v>-1.1223188151900001</v>
      </c>
      <c r="AE6949">
        <v>-12.562889999999999</v>
      </c>
      <c r="AF6949">
        <v>-5.4666045156329099</v>
      </c>
      <c r="AG6949">
        <v>-1.1223188151900001</v>
      </c>
      <c r="AH6949">
        <v>16.968850223474998</v>
      </c>
      <c r="AI6949">
        <v>93.602231862135</v>
      </c>
      <c r="AJ6949">
        <v>107.85661871908</v>
      </c>
      <c r="AK6949">
        <v>17.862957268044799</v>
      </c>
      <c r="AL6949">
        <v>79.296449674355003</v>
      </c>
      <c r="AM6949">
        <v>101.602867862899</v>
      </c>
      <c r="AN6949">
        <v>0.99999998651100497</v>
      </c>
    </row>
    <row r="6950" spans="1:40" x14ac:dyDescent="0.25">
      <c r="A6950" t="str">
        <f>"20190304154934596"</f>
        <v>20190304154934596</v>
      </c>
      <c r="B6950" t="str">
        <f>"1551685774584682"</f>
        <v>1551685774584682</v>
      </c>
      <c r="C6950" t="s">
        <v>40</v>
      </c>
      <c r="D6950">
        <v>4.2838629999999904</v>
      </c>
      <c r="E6950">
        <v>0.42675689999999999</v>
      </c>
      <c r="F6950" t="s">
        <v>68</v>
      </c>
      <c r="G6950">
        <v>-284.04199999999997</v>
      </c>
      <c r="H6950" s="1">
        <v>-5.9008499999999996E-6</v>
      </c>
      <c r="I6950">
        <v>-63.618180000000002</v>
      </c>
      <c r="J6950">
        <v>-296.77839999999998</v>
      </c>
      <c r="K6950">
        <v>1.1224670000000001</v>
      </c>
      <c r="L6950">
        <v>-51.428919999999998</v>
      </c>
      <c r="M6950">
        <v>0.47480830000000002</v>
      </c>
      <c r="N6950">
        <v>-1.2681319999999999E-2</v>
      </c>
      <c r="O6950">
        <v>-0.87999799999999995</v>
      </c>
      <c r="P6950">
        <v>0.6283765</v>
      </c>
      <c r="Q6950">
        <v>0.17930850000000001</v>
      </c>
      <c r="R6950">
        <v>-0.75696239999999904</v>
      </c>
      <c r="S6950">
        <v>2.2353519999999998</v>
      </c>
      <c r="T6950">
        <v>-0.19457079999999999</v>
      </c>
      <c r="U6950">
        <v>-2.1608580000000002</v>
      </c>
      <c r="V6950">
        <v>-0.19910359999999999</v>
      </c>
      <c r="W6950">
        <v>0.18577109999999999</v>
      </c>
      <c r="X6950">
        <v>0.96220930000000005</v>
      </c>
      <c r="Y6950">
        <v>-0.30162480000000003</v>
      </c>
      <c r="Z6950">
        <v>4.9349860000000002E-2</v>
      </c>
      <c r="AA6950">
        <v>0.95214869999999996</v>
      </c>
      <c r="AB6950">
        <v>33</v>
      </c>
      <c r="AC6950">
        <v>12.7363999999999</v>
      </c>
      <c r="AD6950">
        <v>-1.1224729008499901</v>
      </c>
      <c r="AE6950">
        <v>-12.189260000000001</v>
      </c>
      <c r="AF6950">
        <v>-5.3989927311518198</v>
      </c>
      <c r="AG6950">
        <v>-1.1224729008499901</v>
      </c>
      <c r="AH6950">
        <v>16.707488496373401</v>
      </c>
      <c r="AI6950">
        <v>93.657873500174603</v>
      </c>
      <c r="AJ6950">
        <v>107.908138785513</v>
      </c>
      <c r="AK6950">
        <v>17.594011474948498</v>
      </c>
      <c r="AL6950">
        <v>79.293906842155295</v>
      </c>
      <c r="AM6950">
        <v>101.690843180578</v>
      </c>
      <c r="AN6950">
        <v>0.99999994106732804</v>
      </c>
    </row>
    <row r="6951" spans="1:40" x14ac:dyDescent="0.25">
      <c r="A6951" t="str">
        <f>"20190304154934618"</f>
        <v>20190304154934618</v>
      </c>
      <c r="B6951" t="str">
        <f>"1551685774613965"</f>
        <v>1551685774613965</v>
      </c>
      <c r="C6951" t="s">
        <v>40</v>
      </c>
      <c r="D6951">
        <v>4.269139</v>
      </c>
      <c r="E6951">
        <v>0.42405789999999999</v>
      </c>
      <c r="F6951" t="s">
        <v>98</v>
      </c>
      <c r="G6951">
        <v>-276.84370000000001</v>
      </c>
      <c r="H6951" s="1">
        <v>-3.3889170000000001E-6</v>
      </c>
      <c r="I6951">
        <v>-68.033100000000005</v>
      </c>
      <c r="J6951">
        <v>-296.61360000000002</v>
      </c>
      <c r="K6951">
        <v>1.1226130000000001</v>
      </c>
      <c r="L6951">
        <v>-51.70749</v>
      </c>
      <c r="M6951">
        <v>0.48724200000000001</v>
      </c>
      <c r="N6951">
        <v>-1.283108E-2</v>
      </c>
      <c r="O6951">
        <v>-0.87317299999999998</v>
      </c>
      <c r="P6951">
        <v>0.63948749999999999</v>
      </c>
      <c r="Q6951">
        <v>0.17943149999999999</v>
      </c>
      <c r="R6951">
        <v>-0.74756990000000001</v>
      </c>
      <c r="S6951">
        <v>2.4023439999999998</v>
      </c>
      <c r="T6951">
        <v>-0.13526949999999999</v>
      </c>
      <c r="U6951">
        <v>-2.0009769999999998</v>
      </c>
      <c r="V6951">
        <v>-0.19975090000000001</v>
      </c>
      <c r="W6951">
        <v>0.18595239999999999</v>
      </c>
      <c r="X6951">
        <v>0.96204020000000001</v>
      </c>
      <c r="Y6951">
        <v>-0.35858240000000002</v>
      </c>
      <c r="Z6951">
        <v>3.1619229999999998E-2</v>
      </c>
      <c r="AA6951">
        <v>0.93296239999999997</v>
      </c>
      <c r="AB6951">
        <v>33</v>
      </c>
      <c r="AC6951">
        <v>19.7699</v>
      </c>
      <c r="AD6951">
        <v>-1.12261638891699</v>
      </c>
      <c r="AE6951">
        <v>-16.325610000000001</v>
      </c>
      <c r="AF6951">
        <v>-9.2909721203661793</v>
      </c>
      <c r="AG6951">
        <v>-1.12261638891699</v>
      </c>
      <c r="AH6951">
        <v>23.844056274185899</v>
      </c>
      <c r="AI6951">
        <v>92.511892339762099</v>
      </c>
      <c r="AJ6951">
        <v>111.28865836826</v>
      </c>
      <c r="AK6951">
        <v>25.614867754970501</v>
      </c>
      <c r="AL6951">
        <v>79.283335893825495</v>
      </c>
      <c r="AM6951">
        <v>101.729804126377</v>
      </c>
      <c r="AN6951">
        <v>1.0000000317663</v>
      </c>
    </row>
    <row r="6952" spans="1:40" x14ac:dyDescent="0.25">
      <c r="A6952" t="str">
        <f>"20190304154934641"</f>
        <v>20190304154934641</v>
      </c>
      <c r="B6952" t="str">
        <f>"1551685774634458"</f>
        <v>1551685774634458</v>
      </c>
      <c r="C6952" t="s">
        <v>40</v>
      </c>
      <c r="D6952">
        <v>4.3184060000000004</v>
      </c>
      <c r="E6952">
        <v>0.42229879999999997</v>
      </c>
      <c r="F6952" t="s">
        <v>98</v>
      </c>
      <c r="G6952">
        <v>-273.48919999999998</v>
      </c>
      <c r="H6952" s="1">
        <v>-2.526897E-6</v>
      </c>
      <c r="I6952">
        <v>-70.124340000000004</v>
      </c>
      <c r="J6952">
        <v>-296.44229999999999</v>
      </c>
      <c r="K6952">
        <v>1.122749</v>
      </c>
      <c r="L6952">
        <v>-51.987699999999997</v>
      </c>
      <c r="M6952">
        <v>0.49988379999999999</v>
      </c>
      <c r="N6952">
        <v>-1.297948E-2</v>
      </c>
      <c r="O6952">
        <v>-0.86599530000000002</v>
      </c>
      <c r="P6952">
        <v>0.65103420000000001</v>
      </c>
      <c r="Q6952">
        <v>0.17968410000000001</v>
      </c>
      <c r="R6952">
        <v>-0.73747450000000003</v>
      </c>
      <c r="S6952">
        <v>2.4466549999999998</v>
      </c>
      <c r="T6952">
        <v>-0.1187773</v>
      </c>
      <c r="U6952">
        <v>-1.9485779999999999</v>
      </c>
      <c r="V6952">
        <v>-0.20082639999999999</v>
      </c>
      <c r="W6952">
        <v>0.18625140000000001</v>
      </c>
      <c r="X6952">
        <v>0.96175840000000001</v>
      </c>
      <c r="Y6952">
        <v>-0.36560969999999998</v>
      </c>
      <c r="Z6952">
        <v>2.6453810000000001E-2</v>
      </c>
      <c r="AA6952">
        <v>0.93039229999999995</v>
      </c>
      <c r="AB6952">
        <v>33</v>
      </c>
      <c r="AC6952">
        <v>22.953099999999999</v>
      </c>
      <c r="AD6952">
        <v>-1.1227515268970001</v>
      </c>
      <c r="AE6952">
        <v>-18.13664</v>
      </c>
      <c r="AF6952">
        <v>-10.7960715535049</v>
      </c>
      <c r="AG6952">
        <v>-1.1227515268970001</v>
      </c>
      <c r="AH6952">
        <v>27.142434796579899</v>
      </c>
      <c r="AI6952">
        <v>92.201152332578403</v>
      </c>
      <c r="AJ6952">
        <v>111.690495679599</v>
      </c>
      <c r="AK6952">
        <v>29.2323023155231</v>
      </c>
      <c r="AL6952">
        <v>79.265899766218894</v>
      </c>
      <c r="AM6952">
        <v>101.79455432571901</v>
      </c>
      <c r="AN6952">
        <v>1.0000000234547299</v>
      </c>
    </row>
    <row r="6953" spans="1:40" x14ac:dyDescent="0.25">
      <c r="A6953" t="str">
        <f>"20190304154934663"</f>
        <v>20190304154934663</v>
      </c>
      <c r="B6953" t="str">
        <f>"1551685774653978"</f>
        <v>1551685774653978</v>
      </c>
      <c r="C6953" t="s">
        <v>40</v>
      </c>
      <c r="D6953">
        <v>4.2558129999999998</v>
      </c>
      <c r="E6953">
        <v>0.41449170000000002</v>
      </c>
      <c r="F6953" t="s">
        <v>98</v>
      </c>
      <c r="G6953">
        <v>-272.04169999999999</v>
      </c>
      <c r="H6953">
        <v>7.9987530000000001E-2</v>
      </c>
      <c r="I6953">
        <v>-70.619569999999996</v>
      </c>
      <c r="J6953">
        <v>-296.27109999999999</v>
      </c>
      <c r="K6953">
        <v>1.1228739999999999</v>
      </c>
      <c r="L6953">
        <v>-52.25873</v>
      </c>
      <c r="M6953">
        <v>0.51223809999999903</v>
      </c>
      <c r="N6953">
        <v>-1.312025E-2</v>
      </c>
      <c r="O6953">
        <v>-0.85874329999999999</v>
      </c>
      <c r="P6953">
        <v>0.662099199999999</v>
      </c>
      <c r="Q6953">
        <v>0.17984510000000001</v>
      </c>
      <c r="R6953">
        <v>-0.72751650000000001</v>
      </c>
      <c r="S6953">
        <v>2.4865719999999998</v>
      </c>
      <c r="T6953">
        <v>-0.10626439999999999</v>
      </c>
      <c r="U6953">
        <v>-1.898712</v>
      </c>
      <c r="V6953">
        <v>-0.20166100000000001</v>
      </c>
      <c r="W6953">
        <v>0.18646309999999999</v>
      </c>
      <c r="X6953">
        <v>0.96154269999999997</v>
      </c>
      <c r="Y6953">
        <v>-0.37135600000000002</v>
      </c>
      <c r="Z6953">
        <v>2.2534829999999999E-2</v>
      </c>
      <c r="AA6953">
        <v>0.92821710000000002</v>
      </c>
      <c r="AB6953">
        <v>33</v>
      </c>
      <c r="AC6953">
        <v>24.229399999999998</v>
      </c>
      <c r="AD6953">
        <v>-1.04288647</v>
      </c>
      <c r="AE6953">
        <v>-18.36084</v>
      </c>
      <c r="AF6953">
        <v>-11.389290897005999</v>
      </c>
      <c r="AG6953">
        <v>-1.04288647</v>
      </c>
      <c r="AH6953">
        <v>28.147769576889001</v>
      </c>
      <c r="AI6953">
        <v>91.967073073134202</v>
      </c>
      <c r="AJ6953">
        <v>112.029486116379</v>
      </c>
      <c r="AK6953">
        <v>30.382568875583502</v>
      </c>
      <c r="AL6953">
        <v>79.253553779095796</v>
      </c>
      <c r="AM6953">
        <v>101.84477062774199</v>
      </c>
      <c r="AN6953">
        <v>1.0000000052529501</v>
      </c>
    </row>
    <row r="6954" spans="1:40" x14ac:dyDescent="0.25">
      <c r="A6954" t="str">
        <f>"20190304154934686"</f>
        <v>20190304154934686</v>
      </c>
      <c r="B6954" t="str">
        <f>"1551685774674474"</f>
        <v>1551685774674474</v>
      </c>
      <c r="C6954" t="s">
        <v>40</v>
      </c>
      <c r="D6954">
        <v>4.3072869999999996</v>
      </c>
      <c r="E6954">
        <v>0.41452610000000001</v>
      </c>
      <c r="F6954" t="s">
        <v>45</v>
      </c>
      <c r="G6954">
        <v>-242.90809999999999</v>
      </c>
      <c r="H6954">
        <v>-0.05</v>
      </c>
      <c r="I6954">
        <v>-90.090360000000004</v>
      </c>
      <c r="J6954">
        <v>-296.09589999999997</v>
      </c>
      <c r="K6954">
        <v>1.1229960000000001</v>
      </c>
      <c r="L6954">
        <v>-52.527560000000001</v>
      </c>
      <c r="M6954">
        <v>0.52461639999999998</v>
      </c>
      <c r="N6954">
        <v>-1.3256850000000001E-2</v>
      </c>
      <c r="O6954">
        <v>-0.85123539999999998</v>
      </c>
      <c r="P6954">
        <v>0.67276049999999998</v>
      </c>
      <c r="Q6954">
        <v>0.18034900000000001</v>
      </c>
      <c r="R6954">
        <v>-0.71754259999999903</v>
      </c>
      <c r="S6954">
        <v>2.5555729999999999</v>
      </c>
      <c r="T6954">
        <v>-5.616927E-2</v>
      </c>
      <c r="U6954">
        <v>-1.811768</v>
      </c>
      <c r="V6954">
        <v>-0.2020643</v>
      </c>
      <c r="W6954">
        <v>0.18702849999999999</v>
      </c>
      <c r="X6954">
        <v>0.96134819999999999</v>
      </c>
      <c r="Y6954">
        <v>-0.39095790000000002</v>
      </c>
      <c r="Z6954">
        <v>7.3079369999999996E-3</v>
      </c>
      <c r="AA6954">
        <v>0.92037950000000002</v>
      </c>
      <c r="AB6954">
        <v>33</v>
      </c>
      <c r="AC6954">
        <v>53.187799999999903</v>
      </c>
      <c r="AD6954">
        <v>-1.1729959999999999</v>
      </c>
      <c r="AE6954">
        <v>-37.562800000000003</v>
      </c>
      <c r="AF6954">
        <v>-25.563231062286299</v>
      </c>
      <c r="AG6954">
        <v>-1.1729959999999999</v>
      </c>
      <c r="AH6954">
        <v>59.863818204745002</v>
      </c>
      <c r="AI6954">
        <v>91.032369009807496</v>
      </c>
      <c r="AJ6954">
        <v>113.123599834872</v>
      </c>
      <c r="AK6954">
        <v>65.1040047309735</v>
      </c>
      <c r="AL6954">
        <v>79.220578613438207</v>
      </c>
      <c r="AM6954">
        <v>101.87012074661899</v>
      </c>
      <c r="AN6954">
        <v>1.0000000013949899</v>
      </c>
    </row>
    <row r="6955" spans="1:40" x14ac:dyDescent="0.25">
      <c r="A6955" t="str">
        <f>"20190304154934708"</f>
        <v>20190304154934708</v>
      </c>
      <c r="B6955" t="str">
        <f>"1551685774704730"</f>
        <v>1551685774704730</v>
      </c>
      <c r="C6955" t="s">
        <v>40</v>
      </c>
      <c r="D6955">
        <v>4.1791830000000001</v>
      </c>
      <c r="E6955">
        <v>0.41661359999999997</v>
      </c>
      <c r="F6955" t="s">
        <v>45</v>
      </c>
      <c r="G6955">
        <v>-239.04300000000001</v>
      </c>
      <c r="H6955">
        <v>-0.05</v>
      </c>
      <c r="I6955">
        <v>-91.747569999999996</v>
      </c>
      <c r="J6955">
        <v>-295.9171</v>
      </c>
      <c r="K6955">
        <v>1.1231100000000001</v>
      </c>
      <c r="L6955">
        <v>-52.793210000000002</v>
      </c>
      <c r="M6955">
        <v>0.53696630000000001</v>
      </c>
      <c r="N6955">
        <v>-1.3388870000000001E-2</v>
      </c>
      <c r="O6955">
        <v>-0.84349750000000001</v>
      </c>
      <c r="P6955">
        <v>0.68312039999999996</v>
      </c>
      <c r="Q6955">
        <v>0.18023790000000001</v>
      </c>
      <c r="R6955">
        <v>-0.70771549999999905</v>
      </c>
      <c r="S6955">
        <v>2.5810849999999999</v>
      </c>
      <c r="T6955">
        <v>-5.306661E-2</v>
      </c>
      <c r="U6955">
        <v>-1.7743230000000001</v>
      </c>
      <c r="V6955">
        <v>-0.20206350000000001</v>
      </c>
      <c r="W6955">
        <v>0.18699199999999999</v>
      </c>
      <c r="X6955">
        <v>0.96135550000000003</v>
      </c>
      <c r="Y6955">
        <v>-0.39086310000000002</v>
      </c>
      <c r="Z6955">
        <v>6.3115580000000001E-3</v>
      </c>
      <c r="AA6955">
        <v>0.9204272</v>
      </c>
      <c r="AB6955">
        <v>33</v>
      </c>
      <c r="AC6955">
        <v>56.874099999999999</v>
      </c>
      <c r="AD6955">
        <v>-1.1731100000000001</v>
      </c>
      <c r="AE6955">
        <v>-38.954360000000001</v>
      </c>
      <c r="AF6955">
        <v>-27.0505728925149</v>
      </c>
      <c r="AG6955">
        <v>-1.1731100000000001</v>
      </c>
      <c r="AH6955">
        <v>63.384704314308202</v>
      </c>
      <c r="AI6955">
        <v>90.975218981109904</v>
      </c>
      <c r="AJ6955">
        <v>113.11124567321799</v>
      </c>
      <c r="AK6955">
        <v>68.925542594147501</v>
      </c>
      <c r="AL6955">
        <v>79.222707797626995</v>
      </c>
      <c r="AM6955">
        <v>101.869987506637</v>
      </c>
      <c r="AN6955">
        <v>1.00000003173824</v>
      </c>
    </row>
    <row r="6956" spans="1:40" x14ac:dyDescent="0.25">
      <c r="A6956" t="str">
        <f>"20190304154934742"</f>
        <v>20190304154934742</v>
      </c>
      <c r="B6956" t="str">
        <f>"1551685774734013"</f>
        <v>1551685774734013</v>
      </c>
      <c r="C6956" t="s">
        <v>40</v>
      </c>
      <c r="D6956">
        <v>4.2846060000000001</v>
      </c>
      <c r="E6956">
        <v>0.41749449999999999</v>
      </c>
      <c r="F6956" t="s">
        <v>45</v>
      </c>
      <c r="G6956">
        <v>-249.43709999999999</v>
      </c>
      <c r="H6956">
        <v>-0.05</v>
      </c>
      <c r="I6956">
        <v>-84.119169999999997</v>
      </c>
      <c r="J6956">
        <v>-295.64</v>
      </c>
      <c r="K6956">
        <v>1.123264</v>
      </c>
      <c r="L6956">
        <v>-53.188290000000002</v>
      </c>
      <c r="M6956">
        <v>0.55555919999999903</v>
      </c>
      <c r="N6956">
        <v>-1.358463E-2</v>
      </c>
      <c r="O6956">
        <v>-0.83136599999999905</v>
      </c>
      <c r="P6956">
        <v>0.69882670000000002</v>
      </c>
      <c r="Q6956">
        <v>0.179586</v>
      </c>
      <c r="R6956">
        <v>-0.69238009999999905</v>
      </c>
      <c r="S6956">
        <v>2.5961609999999999</v>
      </c>
      <c r="T6956">
        <v>-6.5524579999999999E-2</v>
      </c>
      <c r="U6956">
        <v>-1.749725</v>
      </c>
      <c r="V6956">
        <v>-0.2022525</v>
      </c>
      <c r="W6956">
        <v>0.186449</v>
      </c>
      <c r="X6956">
        <v>0.96142119999999998</v>
      </c>
      <c r="Y6956">
        <v>-0.37882900000000003</v>
      </c>
      <c r="Z6956">
        <v>9.8768910000000005E-3</v>
      </c>
      <c r="AA6956">
        <v>0.92541399999999996</v>
      </c>
      <c r="AB6956">
        <v>33</v>
      </c>
      <c r="AC6956">
        <v>46.2029</v>
      </c>
      <c r="AD6956">
        <v>-1.1732639999999901</v>
      </c>
      <c r="AE6956">
        <v>-30.930879999999899</v>
      </c>
      <c r="AF6956">
        <v>-21.220095384845798</v>
      </c>
      <c r="AG6956">
        <v>-1.1732639999999901</v>
      </c>
      <c r="AH6956">
        <v>51.365198323078999</v>
      </c>
      <c r="AI6956">
        <v>91.209393671686897</v>
      </c>
      <c r="AJ6956">
        <v>112.446598372859</v>
      </c>
      <c r="AK6956">
        <v>55.588241520351097</v>
      </c>
      <c r="AL6956">
        <v>79.254376160426204</v>
      </c>
      <c r="AM6956">
        <v>101.87998588655999</v>
      </c>
      <c r="AN6956">
        <v>1.00000001358334</v>
      </c>
    </row>
    <row r="6957" spans="1:40" x14ac:dyDescent="0.25">
      <c r="A6957" t="str">
        <f>"20190304154934763"</f>
        <v>20190304154934763</v>
      </c>
      <c r="B6957" t="str">
        <f>"1551685774754506"</f>
        <v>1551685774754506</v>
      </c>
      <c r="C6957" t="s">
        <v>40</v>
      </c>
      <c r="D6957">
        <v>4.1900760000000004</v>
      </c>
      <c r="E6957">
        <v>0.41931970000000002</v>
      </c>
      <c r="F6957" t="s">
        <v>45</v>
      </c>
      <c r="G6957">
        <v>-250.52070000000001</v>
      </c>
      <c r="H6957">
        <v>-0.05</v>
      </c>
      <c r="I6957">
        <v>-82.304569999999998</v>
      </c>
      <c r="J6957">
        <v>-295.45519999999999</v>
      </c>
      <c r="K6957">
        <v>1.1233580000000001</v>
      </c>
      <c r="L6957">
        <v>-53.44171</v>
      </c>
      <c r="M6957">
        <v>0.56760710000000003</v>
      </c>
      <c r="N6957">
        <v>-1.370978E-2</v>
      </c>
      <c r="O6957">
        <v>-0.82318539999999996</v>
      </c>
      <c r="P6957">
        <v>0.70919639999999995</v>
      </c>
      <c r="Q6957">
        <v>0.178511</v>
      </c>
      <c r="R6957">
        <v>-0.68203689999999995</v>
      </c>
      <c r="S6957">
        <v>2.6293639999999998</v>
      </c>
      <c r="T6957">
        <v>-6.8372959999999997E-2</v>
      </c>
      <c r="U6957">
        <v>-1.696777</v>
      </c>
      <c r="V6957">
        <v>-0.20261270000000001</v>
      </c>
      <c r="W6957">
        <v>0.1854403</v>
      </c>
      <c r="X6957">
        <v>0.96154039999999996</v>
      </c>
      <c r="Y6957">
        <v>-0.38380599999999998</v>
      </c>
      <c r="Z6957">
        <v>1.0725719999999999E-2</v>
      </c>
      <c r="AA6957">
        <v>0.92335149999999999</v>
      </c>
      <c r="AB6957">
        <v>33</v>
      </c>
      <c r="AC6957">
        <v>44.9344999999999</v>
      </c>
      <c r="AD6957">
        <v>-1.1733579999999999</v>
      </c>
      <c r="AE6957">
        <v>-28.862860000000001</v>
      </c>
      <c r="AF6957">
        <v>-20.598654010727302</v>
      </c>
      <c r="AG6957">
        <v>-1.1733579999999999</v>
      </c>
      <c r="AH6957">
        <v>49.245485935626903</v>
      </c>
      <c r="AI6957">
        <v>91.259229297653206</v>
      </c>
      <c r="AJ6957">
        <v>112.698832548898</v>
      </c>
      <c r="AK6957">
        <v>53.392875939453297</v>
      </c>
      <c r="AL6957">
        <v>79.313195817229996</v>
      </c>
      <c r="AM6957">
        <v>101.89910746647899</v>
      </c>
      <c r="AN6957">
        <v>0.99999997594876899</v>
      </c>
    </row>
    <row r="6958" spans="1:40" x14ac:dyDescent="0.25">
      <c r="A6958" t="str">
        <f>"20190304154934785"</f>
        <v>20190304154934785</v>
      </c>
      <c r="B6958" t="str">
        <f>"1551685774774027"</f>
        <v>1551685774774027</v>
      </c>
      <c r="C6958" t="s">
        <v>40</v>
      </c>
      <c r="D6958">
        <v>4.2692569999999996</v>
      </c>
      <c r="E6958">
        <v>0.42014580000000001</v>
      </c>
      <c r="F6958" t="s">
        <v>44</v>
      </c>
      <c r="G6958">
        <v>-262.18200000000002</v>
      </c>
      <c r="H6958">
        <v>7.9987370000000002E-2</v>
      </c>
      <c r="I6958">
        <v>-74.441640000000007</v>
      </c>
      <c r="J6958">
        <v>-295.26190000000003</v>
      </c>
      <c r="K6958">
        <v>1.1234519999999999</v>
      </c>
      <c r="L6958">
        <v>-53.69876</v>
      </c>
      <c r="M6958">
        <v>0.57992089999999996</v>
      </c>
      <c r="N6958">
        <v>-1.3834239999999999E-2</v>
      </c>
      <c r="O6958">
        <v>-0.81455549999999999</v>
      </c>
      <c r="P6958">
        <v>0.71953120000000004</v>
      </c>
      <c r="Q6958">
        <v>0.177861299999999</v>
      </c>
      <c r="R6958">
        <v>-0.6712977</v>
      </c>
      <c r="S6958">
        <v>2.6453549999999999</v>
      </c>
      <c r="T6958">
        <v>-8.295226E-2</v>
      </c>
      <c r="U6958">
        <v>-1.669586</v>
      </c>
      <c r="V6958">
        <v>-0.202763</v>
      </c>
      <c r="W6958">
        <v>0.1848649</v>
      </c>
      <c r="X6958">
        <v>0.96161960000000002</v>
      </c>
      <c r="Y6958">
        <v>-0.37915470000000001</v>
      </c>
      <c r="Z6958">
        <v>1.493596E-2</v>
      </c>
      <c r="AA6958">
        <v>0.9252127</v>
      </c>
      <c r="AB6958">
        <v>33</v>
      </c>
      <c r="AC6958">
        <v>33.079900000000002</v>
      </c>
      <c r="AD6958">
        <v>-1.0434646299999999</v>
      </c>
      <c r="AE6958">
        <v>-20.74288</v>
      </c>
      <c r="AF6958">
        <v>-14.9069637691588</v>
      </c>
      <c r="AG6958">
        <v>-1.0434646299999999</v>
      </c>
      <c r="AH6958">
        <v>36.057648005331998</v>
      </c>
      <c r="AI6958">
        <v>91.531921565718704</v>
      </c>
      <c r="AJ6958">
        <v>112.461194774772</v>
      </c>
      <c r="AK6958">
        <v>39.031530419975802</v>
      </c>
      <c r="AL6958">
        <v>79.346744771859903</v>
      </c>
      <c r="AM6958">
        <v>101.906729706147</v>
      </c>
      <c r="AN6958">
        <v>1.00000006026258</v>
      </c>
    </row>
    <row r="6959" spans="1:40" x14ac:dyDescent="0.25">
      <c r="A6959" t="str">
        <f>"20190304154934808"</f>
        <v>20190304154934808</v>
      </c>
      <c r="B6959" t="str">
        <f>"1551685774804282"</f>
        <v>1551685774804282</v>
      </c>
      <c r="C6959" t="s">
        <v>40</v>
      </c>
      <c r="D6959">
        <v>4.247897</v>
      </c>
      <c r="E6959">
        <v>0.42135040000000001</v>
      </c>
      <c r="F6959" t="s">
        <v>44</v>
      </c>
      <c r="G6959">
        <v>-263.3503</v>
      </c>
      <c r="H6959">
        <v>7.9986970000000004E-2</v>
      </c>
      <c r="I6959">
        <v>-73.261080000000007</v>
      </c>
      <c r="J6959">
        <v>-295.06450000000001</v>
      </c>
      <c r="K6959">
        <v>1.1235379999999999</v>
      </c>
      <c r="L6959">
        <v>-53.953060000000001</v>
      </c>
      <c r="M6959">
        <v>0.5921999</v>
      </c>
      <c r="N6959">
        <v>-1.3956990000000001E-2</v>
      </c>
      <c r="O6959">
        <v>-0.80567040000000001</v>
      </c>
      <c r="P6959">
        <v>0.73007239999999995</v>
      </c>
      <c r="Q6959">
        <v>0.1771131</v>
      </c>
      <c r="R6959">
        <v>-0.66001960000000004</v>
      </c>
      <c r="S6959">
        <v>2.6661069999999998</v>
      </c>
      <c r="T6959">
        <v>-8.7177870000000005E-2</v>
      </c>
      <c r="U6959">
        <v>-1.634369</v>
      </c>
      <c r="V6959">
        <v>-0.203316</v>
      </c>
      <c r="W6959">
        <v>0.18417829999999999</v>
      </c>
      <c r="X6959">
        <v>0.96163449999999995</v>
      </c>
      <c r="Y6959">
        <v>-0.3771949</v>
      </c>
      <c r="Z6959">
        <v>1.6062299999999901E-2</v>
      </c>
      <c r="AA6959">
        <v>0.9259946</v>
      </c>
      <c r="AB6959">
        <v>33</v>
      </c>
      <c r="AC6959">
        <v>31.714200000000002</v>
      </c>
      <c r="AD6959">
        <v>-1.0435510299999999</v>
      </c>
      <c r="AE6959">
        <v>-19.308019999999999</v>
      </c>
      <c r="AF6959">
        <v>-14.107213853508</v>
      </c>
      <c r="AG6959">
        <v>-1.0435510299999999</v>
      </c>
      <c r="AH6959">
        <v>34.313280457451498</v>
      </c>
      <c r="AI6959">
        <v>91.6111915521101</v>
      </c>
      <c r="AJ6959">
        <v>112.349026783236</v>
      </c>
      <c r="AK6959">
        <v>37.114736927702303</v>
      </c>
      <c r="AL6959">
        <v>79.386770475023994</v>
      </c>
      <c r="AM6959">
        <v>101.938092973441</v>
      </c>
      <c r="AN6959">
        <v>0.999999976818569</v>
      </c>
    </row>
    <row r="6960" spans="1:40" x14ac:dyDescent="0.25">
      <c r="A6960" t="str">
        <f>"20190304154934831"</f>
        <v>20190304154934831</v>
      </c>
      <c r="B6960" t="str">
        <f>"1551685774824778"</f>
        <v>1551685774824778</v>
      </c>
      <c r="C6960" t="s">
        <v>40</v>
      </c>
      <c r="D6960">
        <v>4.3022799999999997</v>
      </c>
      <c r="E6960">
        <v>0.42214230000000003</v>
      </c>
      <c r="F6960" t="s">
        <v>44</v>
      </c>
      <c r="G6960">
        <v>-264.78469999999999</v>
      </c>
      <c r="H6960">
        <v>7.9986500000000002E-2</v>
      </c>
      <c r="I6960">
        <v>-71.988799999999998</v>
      </c>
      <c r="J6960">
        <v>-294.86219999999997</v>
      </c>
      <c r="K6960">
        <v>1.123624</v>
      </c>
      <c r="L6960">
        <v>-54.205779999999997</v>
      </c>
      <c r="M6960">
        <v>0.60449940000000002</v>
      </c>
      <c r="N6960">
        <v>-1.4077839999999999E-2</v>
      </c>
      <c r="O6960">
        <v>-0.79648129999999995</v>
      </c>
      <c r="P6960">
        <v>0.74016419999999905</v>
      </c>
      <c r="Q6960">
        <v>0.17562130000000001</v>
      </c>
      <c r="R6960">
        <v>-0.64908730000000003</v>
      </c>
      <c r="S6960">
        <v>2.6855470000000001</v>
      </c>
      <c r="T6960">
        <v>-9.2553380000000005E-2</v>
      </c>
      <c r="U6960">
        <v>-1.5996090000000001</v>
      </c>
      <c r="V6960">
        <v>-0.20312759999999999</v>
      </c>
      <c r="W6960">
        <v>0.18277399999999999</v>
      </c>
      <c r="X6960">
        <v>0.96194230000000003</v>
      </c>
      <c r="Y6960">
        <v>-0.37473289999999998</v>
      </c>
      <c r="Z6960">
        <v>1.7500060000000001E-2</v>
      </c>
      <c r="AA6960">
        <v>0.9269676</v>
      </c>
      <c r="AB6960">
        <v>33</v>
      </c>
      <c r="AC6960">
        <v>30.077499999999901</v>
      </c>
      <c r="AD6960">
        <v>-1.0436375</v>
      </c>
      <c r="AE6960">
        <v>-17.783019999999901</v>
      </c>
      <c r="AF6960">
        <v>-13.195876820284701</v>
      </c>
      <c r="AG6960">
        <v>-1.0436375</v>
      </c>
      <c r="AH6960">
        <v>32.320043233514397</v>
      </c>
      <c r="AI6960">
        <v>91.712346537650404</v>
      </c>
      <c r="AJ6960">
        <v>112.20959077113299</v>
      </c>
      <c r="AK6960">
        <v>34.925714579715802</v>
      </c>
      <c r="AL6960">
        <v>79.4686214408556</v>
      </c>
      <c r="AM6960">
        <v>101.92364044835401</v>
      </c>
      <c r="AN6960">
        <v>1.0000000727435201</v>
      </c>
    </row>
    <row r="6961" spans="1:40" x14ac:dyDescent="0.25">
      <c r="A6961" t="str">
        <f>"20190304154934854"</f>
        <v>20190304154934854</v>
      </c>
      <c r="B6961" t="str">
        <f>"1551685774844298"</f>
        <v>1551685774844298</v>
      </c>
      <c r="C6961" t="s">
        <v>40</v>
      </c>
      <c r="D6961">
        <v>4.4103469999999998</v>
      </c>
      <c r="E6961">
        <v>0.4229272</v>
      </c>
      <c r="F6961" t="s">
        <v>99</v>
      </c>
      <c r="G6961">
        <v>-266.08210000000003</v>
      </c>
      <c r="H6961">
        <v>7.9987539999999996E-2</v>
      </c>
      <c r="I6961">
        <v>-70.827100000000002</v>
      </c>
      <c r="J6961">
        <v>-294.65820000000002</v>
      </c>
      <c r="K6961">
        <v>1.1237079999999999</v>
      </c>
      <c r="L6961">
        <v>-54.452089999999998</v>
      </c>
      <c r="M6961">
        <v>0.61660230000000005</v>
      </c>
      <c r="N6961">
        <v>-1.419598E-2</v>
      </c>
      <c r="O6961">
        <v>-0.78714700000000004</v>
      </c>
      <c r="P6961">
        <v>0.74984050000000002</v>
      </c>
      <c r="Q6961">
        <v>0.1753709</v>
      </c>
      <c r="R6961">
        <v>-0.63795349999999995</v>
      </c>
      <c r="S6961">
        <v>2.7059630000000001</v>
      </c>
      <c r="T6961">
        <v>-9.8124740000000002E-2</v>
      </c>
      <c r="U6961">
        <v>-1.562775</v>
      </c>
      <c r="V6961">
        <v>-0.20287620000000001</v>
      </c>
      <c r="W6961">
        <v>0.18260889999999999</v>
      </c>
      <c r="X6961">
        <v>0.96202670000000001</v>
      </c>
      <c r="Y6961">
        <v>-0.37301469999999998</v>
      </c>
      <c r="Z6961">
        <v>1.8976989999999999E-2</v>
      </c>
      <c r="AA6961">
        <v>0.92763139999999999</v>
      </c>
      <c r="AB6961">
        <v>33</v>
      </c>
      <c r="AC6961">
        <v>28.5761</v>
      </c>
      <c r="AD6961">
        <v>-1.0437204599999901</v>
      </c>
      <c r="AE6961">
        <v>-16.3750099999999</v>
      </c>
      <c r="AF6961">
        <v>-12.3855316220722</v>
      </c>
      <c r="AG6961">
        <v>-1.0437204599999901</v>
      </c>
      <c r="AH6961">
        <v>30.482086918917801</v>
      </c>
      <c r="AI6961">
        <v>91.816918424236604</v>
      </c>
      <c r="AJ6961">
        <v>112.11297157946601</v>
      </c>
      <c r="AK6961">
        <v>32.9188148160354</v>
      </c>
      <c r="AL6961">
        <v>79.478242840641499</v>
      </c>
      <c r="AM6961">
        <v>101.908289859511</v>
      </c>
      <c r="AN6961">
        <v>1.0000000671992599</v>
      </c>
    </row>
    <row r="6962" spans="1:40" x14ac:dyDescent="0.25">
      <c r="A6962" t="str">
        <f>"20190304154934875"</f>
        <v>20190304154934875</v>
      </c>
      <c r="B6962" t="str">
        <f>"1551685774864795"</f>
        <v>1551685774864795</v>
      </c>
      <c r="C6962" t="s">
        <v>40</v>
      </c>
      <c r="D6962">
        <v>4.3593609999999998</v>
      </c>
      <c r="E6962">
        <v>0.42383690000000002</v>
      </c>
      <c r="F6962" t="s">
        <v>44</v>
      </c>
      <c r="G6962">
        <v>-265.887</v>
      </c>
      <c r="H6962">
        <v>7.9987589999999997E-2</v>
      </c>
      <c r="I6962">
        <v>-70.557220000000001</v>
      </c>
      <c r="J6962">
        <v>-294.45260000000002</v>
      </c>
      <c r="K6962">
        <v>1.1237889999999999</v>
      </c>
      <c r="L6962">
        <v>-54.692570000000003</v>
      </c>
      <c r="M6962">
        <v>0.62851519999999905</v>
      </c>
      <c r="N6962">
        <v>-1.4312989999999999E-2</v>
      </c>
      <c r="O6962">
        <v>-0.77766579999999996</v>
      </c>
      <c r="P6962">
        <v>0.75931749999999998</v>
      </c>
      <c r="Q6962">
        <v>0.17519100000000001</v>
      </c>
      <c r="R6962">
        <v>-0.62669390000000003</v>
      </c>
      <c r="S6962">
        <v>2.7258</v>
      </c>
      <c r="T6962">
        <v>-9.8882789999999998E-2</v>
      </c>
      <c r="U6962">
        <v>-1.5258179999999999</v>
      </c>
      <c r="V6962">
        <v>-0.20264579999999999</v>
      </c>
      <c r="W6962">
        <v>0.1825138</v>
      </c>
      <c r="X6962">
        <v>0.96209319999999998</v>
      </c>
      <c r="Y6962">
        <v>-0.37133319999999997</v>
      </c>
      <c r="Z6962">
        <v>1.9042509999999999E-2</v>
      </c>
      <c r="AA6962">
        <v>0.92830440000000003</v>
      </c>
      <c r="AB6962">
        <v>33</v>
      </c>
      <c r="AC6962">
        <v>28.5656</v>
      </c>
      <c r="AD6962">
        <v>-1.0438014099999999</v>
      </c>
      <c r="AE6962">
        <v>-15.864649999999999</v>
      </c>
      <c r="AF6962">
        <v>-12.232086557626401</v>
      </c>
      <c r="AG6962">
        <v>-1.0438014099999999</v>
      </c>
      <c r="AH6962">
        <v>30.263525398679899</v>
      </c>
      <c r="AI6962">
        <v>91.831533309366904</v>
      </c>
      <c r="AJ6962">
        <v>112.007858378188</v>
      </c>
      <c r="AK6962">
        <v>32.658757362969702</v>
      </c>
      <c r="AL6962">
        <v>79.483783733194201</v>
      </c>
      <c r="AM6962">
        <v>101.894352696295</v>
      </c>
      <c r="AN6962">
        <v>0.99999996646715905</v>
      </c>
    </row>
    <row r="6963" spans="1:40" x14ac:dyDescent="0.25">
      <c r="A6963" t="str">
        <f>"20190304154934897"</f>
        <v>20190304154934897</v>
      </c>
      <c r="B6963" t="str">
        <f>"1551685774894074"</f>
        <v>1551685774894074</v>
      </c>
      <c r="C6963" t="s">
        <v>40</v>
      </c>
      <c r="D6963">
        <v>4.3637569999999997</v>
      </c>
      <c r="E6963">
        <v>0.42519190000000001</v>
      </c>
      <c r="F6963" t="s">
        <v>44</v>
      </c>
      <c r="G6963">
        <v>-265.56709999999998</v>
      </c>
      <c r="H6963">
        <v>4.3690560000000003E-2</v>
      </c>
      <c r="I6963">
        <v>-70.383669999999995</v>
      </c>
      <c r="J6963">
        <v>-294.23970000000003</v>
      </c>
      <c r="K6963">
        <v>1.1238729999999999</v>
      </c>
      <c r="L6963">
        <v>-54.933990000000001</v>
      </c>
      <c r="M6963">
        <v>0.64056429999999998</v>
      </c>
      <c r="N6963">
        <v>-1.4429320000000001E-2</v>
      </c>
      <c r="O6963">
        <v>-0.76776919999999904</v>
      </c>
      <c r="P6963">
        <v>0.76877359999999995</v>
      </c>
      <c r="Q6963">
        <v>0.17483799999999999</v>
      </c>
      <c r="R6963">
        <v>-0.61515819999999999</v>
      </c>
      <c r="S6963">
        <v>2.7442319999999998</v>
      </c>
      <c r="T6963">
        <v>-0.1026136</v>
      </c>
      <c r="U6963">
        <v>-1.490723</v>
      </c>
      <c r="V6963">
        <v>-0.2022544</v>
      </c>
      <c r="W6963">
        <v>0.1822531</v>
      </c>
      <c r="X6963">
        <v>0.962225</v>
      </c>
      <c r="Y6963">
        <v>-0.36860939999999998</v>
      </c>
      <c r="Z6963">
        <v>1.9927630000000002E-2</v>
      </c>
      <c r="AA6963">
        <v>0.92937080000000005</v>
      </c>
      <c r="AB6963">
        <v>33</v>
      </c>
      <c r="AC6963">
        <v>28.672599999999999</v>
      </c>
      <c r="AD6963">
        <v>-1.08018244</v>
      </c>
      <c r="AE6963">
        <v>-15.449679999999899</v>
      </c>
      <c r="AF6963">
        <v>-12.105370312812701</v>
      </c>
      <c r="AG6963">
        <v>-1.08018244</v>
      </c>
      <c r="AH6963">
        <v>30.198358708789801</v>
      </c>
      <c r="AI6963">
        <v>91.901598116455801</v>
      </c>
      <c r="AJ6963">
        <v>111.84396672462501</v>
      </c>
      <c r="AK6963">
        <v>32.552229619777997</v>
      </c>
      <c r="AL6963">
        <v>79.498975827127097</v>
      </c>
      <c r="AM6963">
        <v>101.87045188080801</v>
      </c>
      <c r="AN6963">
        <v>0.99999999270198503</v>
      </c>
    </row>
    <row r="6964" spans="1:40" x14ac:dyDescent="0.25">
      <c r="A6964" t="str">
        <f>"20190304154934920"</f>
        <v>20190304154934920</v>
      </c>
      <c r="B6964" t="str">
        <f>"1551685774914574"</f>
        <v>1551685774914574</v>
      </c>
      <c r="C6964" t="s">
        <v>40</v>
      </c>
      <c r="D6964">
        <v>4.3715510000000002</v>
      </c>
      <c r="E6964">
        <v>0.43756329999999999</v>
      </c>
      <c r="F6964" t="s">
        <v>99</v>
      </c>
      <c r="G6964">
        <v>-265.85090000000002</v>
      </c>
      <c r="H6964" s="1">
        <v>-3.5714740000000002E-6</v>
      </c>
      <c r="I6964">
        <v>-69.9221</v>
      </c>
      <c r="J6964">
        <v>-294.0265</v>
      </c>
      <c r="K6964">
        <v>1.123947</v>
      </c>
      <c r="L6964">
        <v>-55.168210000000002</v>
      </c>
      <c r="M6964">
        <v>0.65234110000000001</v>
      </c>
      <c r="N6964">
        <v>-1.454188E-2</v>
      </c>
      <c r="O6964">
        <v>-0.75778630000000002</v>
      </c>
      <c r="P6964">
        <v>0.77759560000000005</v>
      </c>
      <c r="Q6964">
        <v>0.1749763</v>
      </c>
      <c r="R6964">
        <v>-0.60392809999999997</v>
      </c>
      <c r="S6964">
        <v>2.760834</v>
      </c>
      <c r="T6964">
        <v>-0.1092978</v>
      </c>
      <c r="U6964">
        <v>-1.457611</v>
      </c>
      <c r="V6964">
        <v>-0.20138510000000001</v>
      </c>
      <c r="W6964">
        <v>0.1824983</v>
      </c>
      <c r="X6964">
        <v>0.96236089999999996</v>
      </c>
      <c r="Y6964">
        <v>-0.36523</v>
      </c>
      <c r="Z6964">
        <v>2.161486E-2</v>
      </c>
      <c r="AA6964">
        <v>0.93066629999999995</v>
      </c>
      <c r="AB6964">
        <v>32</v>
      </c>
      <c r="AC6964">
        <v>28.1755999999999</v>
      </c>
      <c r="AD6964">
        <v>-1.1239505714739999</v>
      </c>
      <c r="AE6964">
        <v>-14.75389</v>
      </c>
      <c r="AF6964">
        <v>-11.7131243132993</v>
      </c>
      <c r="AG6964">
        <v>-1.1239505714739999</v>
      </c>
      <c r="AH6964">
        <v>29.526642537873499</v>
      </c>
      <c r="AI6964">
        <v>92.026463732799201</v>
      </c>
      <c r="AJ6964">
        <v>111.63806871003401</v>
      </c>
      <c r="AK6964">
        <v>31.784951873886499</v>
      </c>
      <c r="AL6964">
        <v>79.484687822636801</v>
      </c>
      <c r="AM6964">
        <v>101.819248188111</v>
      </c>
      <c r="AN6964">
        <v>1.00000004492685</v>
      </c>
    </row>
    <row r="6965" spans="1:40" x14ac:dyDescent="0.25">
      <c r="A6965" t="str">
        <f>"20190304154934942"</f>
        <v>20190304154934942</v>
      </c>
      <c r="B6965" t="str">
        <f>"1551685774934091"</f>
        <v>1551685774934091</v>
      </c>
      <c r="C6965" t="s">
        <v>40</v>
      </c>
      <c r="D6965">
        <v>4.4048189999999998</v>
      </c>
      <c r="E6965">
        <v>0.4387935</v>
      </c>
      <c r="F6965" t="s">
        <v>98</v>
      </c>
      <c r="G6965">
        <v>-274.55540000000002</v>
      </c>
      <c r="H6965" s="1">
        <v>-2.3217390000000002E-6</v>
      </c>
      <c r="I6965">
        <v>-65.875240000000005</v>
      </c>
      <c r="J6965">
        <v>-293.80790000000002</v>
      </c>
      <c r="K6965">
        <v>1.124018</v>
      </c>
      <c r="L6965">
        <v>-55.401029999999999</v>
      </c>
      <c r="M6965">
        <v>0.66413330000000004</v>
      </c>
      <c r="N6965">
        <v>-1.465615E-2</v>
      </c>
      <c r="O6965">
        <v>-0.74747059999999999</v>
      </c>
      <c r="P6965">
        <v>0.78623900000000002</v>
      </c>
      <c r="Q6965">
        <v>0.17504449999999999</v>
      </c>
      <c r="R6965">
        <v>-0.59261140000000001</v>
      </c>
      <c r="S6965">
        <v>2.7283019999999998</v>
      </c>
      <c r="T6965">
        <v>-0.157488299999999</v>
      </c>
      <c r="U6965">
        <v>-1.500275</v>
      </c>
      <c r="V6965">
        <v>-0.20025409999999999</v>
      </c>
      <c r="W6965">
        <v>0.18268580000000001</v>
      </c>
      <c r="X6965">
        <v>0.96256120000000001</v>
      </c>
      <c r="Y6965">
        <v>-0.33420929999999999</v>
      </c>
      <c r="Z6965">
        <v>3.4277009999999997E-2</v>
      </c>
      <c r="AA6965">
        <v>0.94187540000000003</v>
      </c>
      <c r="AB6965">
        <v>32</v>
      </c>
      <c r="AC6965">
        <v>19.252500000000001</v>
      </c>
      <c r="AD6965">
        <v>-1.1240203217389999</v>
      </c>
      <c r="AE6965">
        <v>-10.474209999999999</v>
      </c>
      <c r="AF6965">
        <v>-7.4157000158084303</v>
      </c>
      <c r="AG6965">
        <v>-1.1240203217389999</v>
      </c>
      <c r="AH6965">
        <v>20.563519038905302</v>
      </c>
      <c r="AI6965">
        <v>92.943528640895593</v>
      </c>
      <c r="AJ6965">
        <v>109.83052446372599</v>
      </c>
      <c r="AK6965">
        <v>21.8886807202162</v>
      </c>
      <c r="AL6965">
        <v>79.473760002779699</v>
      </c>
      <c r="AM6965">
        <v>101.752343974231</v>
      </c>
      <c r="AN6965">
        <v>0.99999993491694195</v>
      </c>
    </row>
    <row r="6966" spans="1:40" x14ac:dyDescent="0.25">
      <c r="A6966" t="str">
        <f>"20190304154934958"</f>
        <v>20190304154934958</v>
      </c>
      <c r="B6966" t="str">
        <f>"1551685774954587"</f>
        <v>1551685774954587</v>
      </c>
      <c r="C6966" t="s">
        <v>40</v>
      </c>
      <c r="D6966">
        <v>4.4052189999999998</v>
      </c>
      <c r="E6966">
        <v>0.4396892</v>
      </c>
      <c r="F6966" t="s">
        <v>98</v>
      </c>
      <c r="G6966">
        <v>-274.70049999999998</v>
      </c>
      <c r="H6966" s="1">
        <v>-2.3350239999999999E-6</v>
      </c>
      <c r="I6966">
        <v>-65.619500000000002</v>
      </c>
      <c r="J6966">
        <v>-293.6585</v>
      </c>
      <c r="K6966">
        <v>1.1240669999999999</v>
      </c>
      <c r="L6966">
        <v>-55.55594</v>
      </c>
      <c r="M6966">
        <v>0.67202839999999997</v>
      </c>
      <c r="N6966">
        <v>-1.4734580000000001E-2</v>
      </c>
      <c r="O6966">
        <v>-0.74037869999999995</v>
      </c>
      <c r="P6966">
        <v>0.79229059999999996</v>
      </c>
      <c r="Q6966">
        <v>0.17483109999999999</v>
      </c>
      <c r="R6966">
        <v>-0.5845593</v>
      </c>
      <c r="S6966">
        <v>2.7450869999999998</v>
      </c>
      <c r="T6966">
        <v>-0.1614836</v>
      </c>
      <c r="U6966">
        <v>-1.468048</v>
      </c>
      <c r="V6966">
        <v>-0.19990659999999999</v>
      </c>
      <c r="W6966">
        <v>0.18254100000000001</v>
      </c>
      <c r="X6966">
        <v>0.96266099999999999</v>
      </c>
      <c r="Y6966">
        <v>-0.33515420000000001</v>
      </c>
      <c r="Z6966">
        <v>3.5190010000000001E-2</v>
      </c>
      <c r="AA6966">
        <v>0.94150590000000001</v>
      </c>
      <c r="AB6966">
        <v>32</v>
      </c>
      <c r="AC6966">
        <v>18.957999999999998</v>
      </c>
      <c r="AD6966">
        <v>-1.1240693350240001</v>
      </c>
      <c r="AE6966">
        <v>-10.063560000000001</v>
      </c>
      <c r="AF6966">
        <v>-7.2539954131100899</v>
      </c>
      <c r="AG6966">
        <v>-1.1240693350240001</v>
      </c>
      <c r="AH6966">
        <v>20.138119312338201</v>
      </c>
      <c r="AI6966">
        <v>93.006120269984194</v>
      </c>
      <c r="AJ6966">
        <v>109.80963673787799</v>
      </c>
      <c r="AK6966">
        <v>21.434267674948199</v>
      </c>
      <c r="AL6966">
        <v>79.482199369400703</v>
      </c>
      <c r="AM6966">
        <v>101.731333375828</v>
      </c>
      <c r="AN6966">
        <v>1.0000000331627701</v>
      </c>
    </row>
    <row r="6967" spans="1:40" x14ac:dyDescent="0.25">
      <c r="A6967" t="str">
        <f>"20190304154934971"</f>
        <v>20190304154934971</v>
      </c>
      <c r="B6967" t="str">
        <f>"1551685774964346"</f>
        <v>1551685774964346</v>
      </c>
      <c r="C6967" t="s">
        <v>40</v>
      </c>
      <c r="D6967">
        <v>4.4402530000000002</v>
      </c>
      <c r="E6967">
        <v>0.4402568</v>
      </c>
      <c r="F6967" t="s">
        <v>98</v>
      </c>
      <c r="G6967">
        <v>-274.56420000000003</v>
      </c>
      <c r="H6967" s="1">
        <v>-2.26551E-6</v>
      </c>
      <c r="I6967">
        <v>-65.569760000000002</v>
      </c>
      <c r="J6967">
        <v>-293.52620000000002</v>
      </c>
      <c r="K6967">
        <v>1.1241049999999999</v>
      </c>
      <c r="L6967">
        <v>-55.691040000000001</v>
      </c>
      <c r="M6967">
        <v>0.67893049999999999</v>
      </c>
      <c r="N6967">
        <v>-1.4804390000000001E-2</v>
      </c>
      <c r="O6967">
        <v>-0.73405350000000003</v>
      </c>
      <c r="P6967">
        <v>0.79753600000000002</v>
      </c>
      <c r="Q6967">
        <v>0.17493449999999999</v>
      </c>
      <c r="R6967">
        <v>-0.57735150000000002</v>
      </c>
      <c r="S6967">
        <v>2.7559200000000001</v>
      </c>
      <c r="T6967">
        <v>-0.1622391</v>
      </c>
      <c r="U6967">
        <v>-1.4453129999999901</v>
      </c>
      <c r="V6967">
        <v>-0.19962679999999999</v>
      </c>
      <c r="W6967">
        <v>0.1827037</v>
      </c>
      <c r="X6967">
        <v>0.96268810000000005</v>
      </c>
      <c r="Y6967">
        <v>-0.33394059999999998</v>
      </c>
      <c r="Z6967">
        <v>3.5182940000000003E-2</v>
      </c>
      <c r="AA6967">
        <v>0.94193729999999998</v>
      </c>
      <c r="AB6967">
        <v>32</v>
      </c>
      <c r="AC6967">
        <v>18.9619999999999</v>
      </c>
      <c r="AD6967">
        <v>-1.12410726551</v>
      </c>
      <c r="AE6967">
        <v>-9.8787199999999995</v>
      </c>
      <c r="AF6967">
        <v>-7.19306478577922</v>
      </c>
      <c r="AG6967">
        <v>-1.12410726551</v>
      </c>
      <c r="AH6967">
        <v>20.072109443115</v>
      </c>
      <c r="AI6967">
        <v>93.017863383458007</v>
      </c>
      <c r="AJ6967">
        <v>109.715708345615</v>
      </c>
      <c r="AK6967">
        <v>21.351659786845001</v>
      </c>
      <c r="AL6967">
        <v>79.472716901310307</v>
      </c>
      <c r="AM6967">
        <v>101.71504704872901</v>
      </c>
      <c r="AN6967">
        <v>0.99999993957676803</v>
      </c>
    </row>
    <row r="6968" spans="1:40" x14ac:dyDescent="0.25">
      <c r="A6968" t="str">
        <f>"20190304154934984"</f>
        <v>20190304154934984</v>
      </c>
      <c r="B6968" t="str">
        <f>"1551685774974107"</f>
        <v>1551685774974107</v>
      </c>
      <c r="C6968" t="s">
        <v>40</v>
      </c>
      <c r="D6968">
        <v>4.5605529999999996</v>
      </c>
      <c r="E6968">
        <v>0.4402568</v>
      </c>
      <c r="F6968" t="s">
        <v>98</v>
      </c>
      <c r="G6968">
        <v>-274.42169999999999</v>
      </c>
      <c r="H6968" s="1">
        <v>-2.1941619999999999E-6</v>
      </c>
      <c r="I6968">
        <v>-65.523910000000001</v>
      </c>
      <c r="J6968">
        <v>-293.39409999999998</v>
      </c>
      <c r="K6968">
        <v>1.1241479999999999</v>
      </c>
      <c r="L6968">
        <v>-55.822049999999997</v>
      </c>
      <c r="M6968">
        <v>0.68570220000000004</v>
      </c>
      <c r="N6968">
        <v>-1.487291E-2</v>
      </c>
      <c r="O6968">
        <v>-0.72773030000000005</v>
      </c>
      <c r="P6968">
        <v>0.8026044</v>
      </c>
      <c r="Q6968">
        <v>0.17476529999999901</v>
      </c>
      <c r="R6968">
        <v>-0.57033619999999996</v>
      </c>
      <c r="S6968">
        <v>2.7665099999999998</v>
      </c>
      <c r="T6968">
        <v>-0.16278099999999901</v>
      </c>
      <c r="U6968">
        <v>-1.423889</v>
      </c>
      <c r="V6968">
        <v>-0.19918640000000001</v>
      </c>
      <c r="W6968">
        <v>0.1825996</v>
      </c>
      <c r="X6968">
        <v>0.96279910000000002</v>
      </c>
      <c r="Y6968">
        <v>-0.33243859999999997</v>
      </c>
      <c r="Z6968">
        <v>3.5099440000000003E-2</v>
      </c>
      <c r="AA6968">
        <v>0.94247159999999996</v>
      </c>
      <c r="AB6968">
        <v>32</v>
      </c>
      <c r="AC6968">
        <v>18.9724</v>
      </c>
      <c r="AD6968">
        <v>-1.124150194162</v>
      </c>
      <c r="AE6968">
        <v>-9.7018599999999999</v>
      </c>
      <c r="AF6968">
        <v>-7.1351373238931899</v>
      </c>
      <c r="AG6968">
        <v>-1.124150194162</v>
      </c>
      <c r="AH6968">
        <v>20.016267112557099</v>
      </c>
      <c r="AI6968">
        <v>93.028196509960395</v>
      </c>
      <c r="AJ6968">
        <v>109.619469996321</v>
      </c>
      <c r="AK6968">
        <v>21.279681562727401</v>
      </c>
      <c r="AL6968">
        <v>79.4787837843799</v>
      </c>
      <c r="AM6968">
        <v>101.68860369135901</v>
      </c>
      <c r="AN6968">
        <v>0.99999997141296404</v>
      </c>
    </row>
    <row r="6969" spans="1:40" x14ac:dyDescent="0.25">
      <c r="A6969" t="str">
        <f>"20190304154934998"</f>
        <v>20190304154934998</v>
      </c>
      <c r="B6969" t="str">
        <f>"1551685774994603"</f>
        <v>1551685774994603</v>
      </c>
      <c r="C6969" t="s">
        <v>40</v>
      </c>
      <c r="D6969">
        <v>4.3816470000000001</v>
      </c>
      <c r="E6969">
        <v>0.44698019999999999</v>
      </c>
      <c r="F6969" t="s">
        <v>98</v>
      </c>
      <c r="G6969">
        <v>-274.28379999999999</v>
      </c>
      <c r="H6969" s="1">
        <v>-2.1182980000000001E-6</v>
      </c>
      <c r="I6969">
        <v>-65.448800000000006</v>
      </c>
      <c r="J6969">
        <v>-293.25850000000003</v>
      </c>
      <c r="K6969">
        <v>1.12419</v>
      </c>
      <c r="L6969">
        <v>-55.954740000000001</v>
      </c>
      <c r="M6969">
        <v>0.69256779999999996</v>
      </c>
      <c r="N6969">
        <v>-1.494239E-2</v>
      </c>
      <c r="O6969">
        <v>-0.72119809999999995</v>
      </c>
      <c r="P6969">
        <v>0.8078611</v>
      </c>
      <c r="Q6969">
        <v>0.1745979</v>
      </c>
      <c r="R6969">
        <v>-0.56291789999999997</v>
      </c>
      <c r="S6969">
        <v>2.7787480000000002</v>
      </c>
      <c r="T6969">
        <v>-0.163457399999999</v>
      </c>
      <c r="U6969">
        <v>-1.39978</v>
      </c>
      <c r="V6969">
        <v>-0.1989706</v>
      </c>
      <c r="W6969">
        <v>0.1824894</v>
      </c>
      <c r="X6969">
        <v>0.96286459999999996</v>
      </c>
      <c r="Y6969">
        <v>-0.33168740000000002</v>
      </c>
      <c r="Z6969">
        <v>3.5055830000000003E-2</v>
      </c>
      <c r="AA6969">
        <v>0.94273779999999996</v>
      </c>
      <c r="AB6969">
        <v>32</v>
      </c>
      <c r="AC6969">
        <v>18.974699999999999</v>
      </c>
      <c r="AD6969">
        <v>-1.1241921182979999</v>
      </c>
      <c r="AE6969">
        <v>-9.4940599999999993</v>
      </c>
      <c r="AF6969">
        <v>-7.0901261148992196</v>
      </c>
      <c r="AG6969">
        <v>-1.1241921182979999</v>
      </c>
      <c r="AH6969">
        <v>19.934631057667598</v>
      </c>
      <c r="AI6969">
        <v>93.041453068654903</v>
      </c>
      <c r="AJ6969">
        <v>109.57888535784799</v>
      </c>
      <c r="AK6969">
        <v>21.187808089779999</v>
      </c>
      <c r="AL6969">
        <v>79.485205554598096</v>
      </c>
      <c r="AM6969">
        <v>101.675515579052</v>
      </c>
      <c r="AN6969">
        <v>0.99999995935493902</v>
      </c>
    </row>
    <row r="6970" spans="1:40" x14ac:dyDescent="0.25">
      <c r="A6970" t="str">
        <f>"20190304154935010"</f>
        <v>20190304154935010</v>
      </c>
      <c r="B6970" t="str">
        <f>"1551685775004362"</f>
        <v>1551685775004362</v>
      </c>
      <c r="C6970" t="s">
        <v>40</v>
      </c>
      <c r="D6970">
        <v>4.4111649999999996</v>
      </c>
      <c r="E6970">
        <v>0.44763609999999998</v>
      </c>
      <c r="F6970" t="s">
        <v>98</v>
      </c>
      <c r="G6970">
        <v>-276.04750000000001</v>
      </c>
      <c r="H6970" s="1">
        <v>-2.6855040000000001E-6</v>
      </c>
      <c r="I6970">
        <v>-64.797839999999994</v>
      </c>
      <c r="J6970">
        <v>-293.13299999999998</v>
      </c>
      <c r="K6970">
        <v>1.124228</v>
      </c>
      <c r="L6970">
        <v>-56.075650000000003</v>
      </c>
      <c r="M6970">
        <v>0.69884009999999996</v>
      </c>
      <c r="N6970">
        <v>-1.5005889999999999E-2</v>
      </c>
      <c r="O6970">
        <v>-0.7151206</v>
      </c>
      <c r="P6970">
        <v>0.81244669999999997</v>
      </c>
      <c r="Q6970">
        <v>0.17308970000000001</v>
      </c>
      <c r="R6970">
        <v>-0.55675010000000003</v>
      </c>
      <c r="S6970">
        <v>2.763245</v>
      </c>
      <c r="T6970">
        <v>-0.1804904</v>
      </c>
      <c r="U6970">
        <v>-1.4197690000000001</v>
      </c>
      <c r="V6970">
        <v>-0.1980875</v>
      </c>
      <c r="W6970">
        <v>0.18106159999999999</v>
      </c>
      <c r="X6970">
        <v>0.96331610000000001</v>
      </c>
      <c r="Y6970">
        <v>-0.31567849999999997</v>
      </c>
      <c r="Z6970">
        <v>3.904755E-2</v>
      </c>
      <c r="AA6970">
        <v>0.94806239999999997</v>
      </c>
      <c r="AB6970">
        <v>32</v>
      </c>
      <c r="AC6970">
        <v>17.0854999999999</v>
      </c>
      <c r="AD6970">
        <v>-1.1242306855040001</v>
      </c>
      <c r="AE6970">
        <v>-8.7221899999999994</v>
      </c>
      <c r="AF6970">
        <v>-6.10250638370165</v>
      </c>
      <c r="AG6970">
        <v>-1.1242306855040001</v>
      </c>
      <c r="AH6970">
        <v>18.117270729283799</v>
      </c>
      <c r="AI6970">
        <v>93.365493123494502</v>
      </c>
      <c r="AJ6970">
        <v>108.61525679600101</v>
      </c>
      <c r="AK6970">
        <v>19.150456325516402</v>
      </c>
      <c r="AL6970">
        <v>79.568398207884002</v>
      </c>
      <c r="AM6970">
        <v>101.619808741667</v>
      </c>
      <c r="AN6970">
        <v>0.99999993458500702</v>
      </c>
    </row>
    <row r="6971" spans="1:40" x14ac:dyDescent="0.25">
      <c r="A6971" t="str">
        <f>"20190304154935026"</f>
        <v>20190304154935026</v>
      </c>
      <c r="B6971" t="str">
        <f>"1551685775014123"</f>
        <v>1551685775014123</v>
      </c>
      <c r="C6971" t="s">
        <v>40</v>
      </c>
      <c r="D6971">
        <v>4.4123979999999996</v>
      </c>
      <c r="E6971">
        <v>0.44824730000000002</v>
      </c>
      <c r="F6971" t="s">
        <v>98</v>
      </c>
      <c r="G6971">
        <v>-276.61599999999999</v>
      </c>
      <c r="H6971" s="1">
        <v>-2.8299120000000001E-6</v>
      </c>
      <c r="I6971">
        <v>-64.43092</v>
      </c>
      <c r="J6971">
        <v>-292.96679999999998</v>
      </c>
      <c r="K6971">
        <v>1.1242799999999999</v>
      </c>
      <c r="L6971">
        <v>-56.2316</v>
      </c>
      <c r="M6971">
        <v>0.70700469999999904</v>
      </c>
      <c r="N6971">
        <v>-1.508993E-2</v>
      </c>
      <c r="O6971">
        <v>-0.70704789999999995</v>
      </c>
      <c r="P6971">
        <v>0.81874360000000002</v>
      </c>
      <c r="Q6971">
        <v>0.17235049999999999</v>
      </c>
      <c r="R6971">
        <v>-0.54768139999999998</v>
      </c>
      <c r="S6971">
        <v>2.7718509999999998</v>
      </c>
      <c r="T6971">
        <v>-0.18866569999999999</v>
      </c>
      <c r="U6971">
        <v>-1.402161</v>
      </c>
      <c r="V6971">
        <v>-0.1978444</v>
      </c>
      <c r="W6971">
        <v>0.18039379999999999</v>
      </c>
      <c r="X6971">
        <v>0.9634914</v>
      </c>
      <c r="Y6971">
        <v>-0.31066510000000003</v>
      </c>
      <c r="Z6971">
        <v>4.0762880000000001E-2</v>
      </c>
      <c r="AA6971">
        <v>0.94964499999999996</v>
      </c>
      <c r="AB6971">
        <v>32</v>
      </c>
      <c r="AC6971">
        <v>16.3507999999999</v>
      </c>
      <c r="AD6971">
        <v>-1.124282829912</v>
      </c>
      <c r="AE6971">
        <v>-8.1993200000000002</v>
      </c>
      <c r="AF6971">
        <v>-5.7428011987604997</v>
      </c>
      <c r="AG6971">
        <v>-1.124282829912</v>
      </c>
      <c r="AH6971">
        <v>17.294044465304001</v>
      </c>
      <c r="AI6971">
        <v>93.530509122086599</v>
      </c>
      <c r="AJ6971">
        <v>108.369682924429</v>
      </c>
      <c r="AK6971">
        <v>18.257265716914802</v>
      </c>
      <c r="AL6971">
        <v>79.607301664569306</v>
      </c>
      <c r="AM6971">
        <v>101.60388127833799</v>
      </c>
      <c r="AN6971">
        <v>1.0000000037818799</v>
      </c>
    </row>
    <row r="6972" spans="1:40" x14ac:dyDescent="0.25">
      <c r="A6972" t="str">
        <f>"20190304154935040"</f>
        <v>20190304154935040</v>
      </c>
      <c r="B6972" t="str">
        <f>"1551685775034619"</f>
        <v>1551685775034619</v>
      </c>
      <c r="C6972" t="s">
        <v>40</v>
      </c>
      <c r="D6972">
        <v>4.2963440000000004</v>
      </c>
      <c r="E6972">
        <v>0.44883299999999998</v>
      </c>
      <c r="F6972" t="s">
        <v>98</v>
      </c>
      <c r="G6972">
        <v>-276.8603</v>
      </c>
      <c r="H6972" s="1">
        <v>-2.8797289999999999E-6</v>
      </c>
      <c r="I6972">
        <v>-64.181629999999998</v>
      </c>
      <c r="J6972">
        <v>-292.82010000000002</v>
      </c>
      <c r="K6972">
        <v>1.1243209999999999</v>
      </c>
      <c r="L6972">
        <v>-56.366459999999996</v>
      </c>
      <c r="M6972">
        <v>0.71409750000000005</v>
      </c>
      <c r="N6972">
        <v>-1.5162449999999999E-2</v>
      </c>
      <c r="O6972">
        <v>-0.699882</v>
      </c>
      <c r="P6972">
        <v>0.82419589999999998</v>
      </c>
      <c r="Q6972">
        <v>0.1720141</v>
      </c>
      <c r="R6972">
        <v>-0.53954849999999999</v>
      </c>
      <c r="S6972">
        <v>2.7854000000000001</v>
      </c>
      <c r="T6972">
        <v>-0.1944292</v>
      </c>
      <c r="U6972">
        <v>-1.3748469999999999</v>
      </c>
      <c r="V6972">
        <v>-0.19772419999999999</v>
      </c>
      <c r="W6972">
        <v>0.1801152</v>
      </c>
      <c r="X6972">
        <v>0.96356819999999999</v>
      </c>
      <c r="Y6972">
        <v>-0.31032959999999998</v>
      </c>
      <c r="Z6972">
        <v>4.1975730000000003E-2</v>
      </c>
      <c r="AA6972">
        <v>0.94970180000000004</v>
      </c>
      <c r="AB6972">
        <v>32</v>
      </c>
      <c r="AC6972">
        <v>15.9598</v>
      </c>
      <c r="AD6972">
        <v>-1.1243238797289901</v>
      </c>
      <c r="AE6972">
        <v>-7.8151700000000002</v>
      </c>
      <c r="AF6972">
        <v>-5.5675394459445604</v>
      </c>
      <c r="AG6972">
        <v>-1.1243238797289901</v>
      </c>
      <c r="AH6972">
        <v>16.801234900526499</v>
      </c>
      <c r="AI6972">
        <v>93.634672745294495</v>
      </c>
      <c r="AJ6972">
        <v>108.333998646244</v>
      </c>
      <c r="AK6972">
        <v>17.735362805743399</v>
      </c>
      <c r="AL6972">
        <v>79.623530158582497</v>
      </c>
      <c r="AM6972">
        <v>101.596123104578</v>
      </c>
      <c r="AN6972">
        <v>1.0000000102939599</v>
      </c>
    </row>
    <row r="6973" spans="1:40" x14ac:dyDescent="0.25">
      <c r="A6973" t="str">
        <f>"20190304154935053"</f>
        <v>20190304154935053</v>
      </c>
      <c r="B6973" t="str">
        <f>"1551685775044378"</f>
        <v>1551685775044378</v>
      </c>
      <c r="C6973" t="s">
        <v>40</v>
      </c>
      <c r="D6973">
        <v>4.2543439999999997</v>
      </c>
      <c r="E6973">
        <v>0.45607530000000002</v>
      </c>
      <c r="F6973" t="s">
        <v>98</v>
      </c>
      <c r="G6973">
        <v>-276.80540000000002</v>
      </c>
      <c r="H6973" s="1">
        <v>-2.8503340000000001E-6</v>
      </c>
      <c r="I6973">
        <v>-64.101650000000006</v>
      </c>
      <c r="J6973">
        <v>-292.6841</v>
      </c>
      <c r="K6973">
        <v>1.1243559999999999</v>
      </c>
      <c r="L6973">
        <v>-56.489649999999997</v>
      </c>
      <c r="M6973">
        <v>0.72058469999999997</v>
      </c>
      <c r="N6973">
        <v>-1.52284E-2</v>
      </c>
      <c r="O6973">
        <v>-0.69319989999999998</v>
      </c>
      <c r="P6973">
        <v>0.82923230000000003</v>
      </c>
      <c r="Q6973">
        <v>0.171576799999999</v>
      </c>
      <c r="R6973">
        <v>-0.53191709999999903</v>
      </c>
      <c r="S6973">
        <v>2.7966000000000002</v>
      </c>
      <c r="T6973">
        <v>-0.1963366</v>
      </c>
      <c r="U6973">
        <v>-1.3507690000000001</v>
      </c>
      <c r="V6973">
        <v>-0.197709</v>
      </c>
      <c r="W6973">
        <v>0.1797282</v>
      </c>
      <c r="X6973">
        <v>0.96364360000000004</v>
      </c>
      <c r="Y6973">
        <v>-0.3095753</v>
      </c>
      <c r="Z6973">
        <v>4.218131E-2</v>
      </c>
      <c r="AA6973">
        <v>0.94993890000000003</v>
      </c>
      <c r="AB6973">
        <v>32</v>
      </c>
      <c r="AC6973">
        <v>15.878699999999901</v>
      </c>
      <c r="AD6973">
        <v>-1.1243588503339901</v>
      </c>
      <c r="AE6973">
        <v>-7.6120000000000001</v>
      </c>
      <c r="AF6973">
        <v>-5.5002375002347001</v>
      </c>
      <c r="AG6973">
        <v>-1.1243588503339901</v>
      </c>
      <c r="AH6973">
        <v>16.652629165659501</v>
      </c>
      <c r="AI6973">
        <v>93.668316421962402</v>
      </c>
      <c r="AJ6973">
        <v>108.277998656129</v>
      </c>
      <c r="AK6973">
        <v>17.573470161362099</v>
      </c>
      <c r="AL6973">
        <v>79.646071697167301</v>
      </c>
      <c r="AM6973">
        <v>101.594373097456</v>
      </c>
      <c r="AN6973">
        <v>1.0000000311885899</v>
      </c>
    </row>
    <row r="6974" spans="1:40" x14ac:dyDescent="0.25">
      <c r="A6974" t="str">
        <f>"20190304154935065"</f>
        <v>20190304154935065</v>
      </c>
      <c r="B6974" t="str">
        <f>"1551685775054382"</f>
        <v>1551685775054382</v>
      </c>
      <c r="C6974" t="s">
        <v>40</v>
      </c>
      <c r="D6974">
        <v>4.6501289999999997</v>
      </c>
      <c r="E6974">
        <v>0.45607530000000002</v>
      </c>
      <c r="F6974" t="s">
        <v>68</v>
      </c>
      <c r="G6974">
        <v>-282.21710000000002</v>
      </c>
      <c r="H6974" s="1">
        <v>-6.8223529999999999E-6</v>
      </c>
      <c r="I6974">
        <v>-61.6738199999999</v>
      </c>
      <c r="J6974">
        <v>-292.55919999999998</v>
      </c>
      <c r="K6974">
        <v>1.124382</v>
      </c>
      <c r="L6974">
        <v>-56.599850000000004</v>
      </c>
      <c r="M6974">
        <v>0.72644339999999996</v>
      </c>
      <c r="N6974">
        <v>-1.52877E-2</v>
      </c>
      <c r="O6974">
        <v>-0.68705620000000001</v>
      </c>
      <c r="P6974">
        <v>0.83416299999999899</v>
      </c>
      <c r="Q6974">
        <v>0.1710951</v>
      </c>
      <c r="R6974">
        <v>-0.524308</v>
      </c>
      <c r="S6974">
        <v>2.7926030000000002</v>
      </c>
      <c r="T6974">
        <v>-0.29998279999999999</v>
      </c>
      <c r="U6974">
        <v>-1.383148</v>
      </c>
      <c r="V6974">
        <v>-0.19841110000000001</v>
      </c>
      <c r="W6974">
        <v>0.1792657</v>
      </c>
      <c r="X6974">
        <v>0.96358540000000004</v>
      </c>
      <c r="Y6974">
        <v>-0.29021479999999999</v>
      </c>
      <c r="Z6974">
        <v>6.744377E-2</v>
      </c>
      <c r="AA6974">
        <v>0.95458200000000004</v>
      </c>
      <c r="AB6974">
        <v>32</v>
      </c>
      <c r="AC6974">
        <v>10.342099999999901</v>
      </c>
      <c r="AD6974">
        <v>-1.1243888223530001</v>
      </c>
      <c r="AE6974">
        <v>-5.0739699999999797</v>
      </c>
      <c r="AF6974">
        <v>-3.38777690429266</v>
      </c>
      <c r="AG6974">
        <v>-1.1243888223530001</v>
      </c>
      <c r="AH6974">
        <v>10.8965292861643</v>
      </c>
      <c r="AI6974">
        <v>95.627493504388198</v>
      </c>
      <c r="AJ6974">
        <v>107.27068968355999</v>
      </c>
      <c r="AK6974">
        <v>11.466282442942299</v>
      </c>
      <c r="AL6974">
        <v>79.673008051886697</v>
      </c>
      <c r="AM6974">
        <v>101.63510972997</v>
      </c>
      <c r="AN6974">
        <v>0.99999998944642998</v>
      </c>
    </row>
    <row r="6975" spans="1:40" x14ac:dyDescent="0.25">
      <c r="A6975" t="str">
        <f>"20190304154935080"</f>
        <v>20190304154935080</v>
      </c>
      <c r="B6975" t="str">
        <f>"1551685775073901"</f>
        <v>1551685775073901</v>
      </c>
      <c r="C6975" t="s">
        <v>40</v>
      </c>
      <c r="D6975">
        <v>4.4883899999999999</v>
      </c>
      <c r="E6975">
        <v>0.45347470000000001</v>
      </c>
      <c r="F6975" t="s">
        <v>68</v>
      </c>
      <c r="G6975">
        <v>-282.09379999999999</v>
      </c>
      <c r="H6975" s="1">
        <v>-6.8648459999999999E-6</v>
      </c>
      <c r="I6975">
        <v>-61.662939999999999</v>
      </c>
      <c r="J6975">
        <v>-292.4015</v>
      </c>
      <c r="K6975">
        <v>1.1244179999999999</v>
      </c>
      <c r="L6975">
        <v>-56.736789999999999</v>
      </c>
      <c r="M6975">
        <v>0.73373789999999905</v>
      </c>
      <c r="N6975">
        <v>-1.536035E-2</v>
      </c>
      <c r="O6975">
        <v>-0.67925919999999995</v>
      </c>
      <c r="P6975">
        <v>0.84011209999999903</v>
      </c>
      <c r="Q6975">
        <v>0.1705632</v>
      </c>
      <c r="R6975">
        <v>-0.51489819999999997</v>
      </c>
      <c r="S6975">
        <v>2.8052060000000001</v>
      </c>
      <c r="T6975">
        <v>-0.30138949999999998</v>
      </c>
      <c r="U6975">
        <v>-1.3571470000000001</v>
      </c>
      <c r="V6975">
        <v>-0.19902619999999999</v>
      </c>
      <c r="W6975">
        <v>0.17876700000000001</v>
      </c>
      <c r="X6975">
        <v>0.96355119999999905</v>
      </c>
      <c r="Y6975">
        <v>-0.2888464</v>
      </c>
      <c r="Z6975">
        <v>6.7190639999999996E-2</v>
      </c>
      <c r="AA6975">
        <v>0.95501480000000005</v>
      </c>
      <c r="AB6975">
        <v>32</v>
      </c>
      <c r="AC6975">
        <v>10.307700000000001</v>
      </c>
      <c r="AD6975">
        <v>-1.124424864846</v>
      </c>
      <c r="AE6975">
        <v>-4.9261499999999998</v>
      </c>
      <c r="AF6975">
        <v>-3.3549957062955098</v>
      </c>
      <c r="AG6975">
        <v>-1.124424864846</v>
      </c>
      <c r="AH6975">
        <v>10.805889549611299</v>
      </c>
      <c r="AI6975">
        <v>95.675250964902006</v>
      </c>
      <c r="AJ6975">
        <v>107.248441898322</v>
      </c>
      <c r="AK6975">
        <v>11.370469490058101</v>
      </c>
      <c r="AL6975">
        <v>79.702050632846195</v>
      </c>
      <c r="AM6975">
        <v>101.670595003773</v>
      </c>
      <c r="AN6975">
        <v>0.99999999179843901</v>
      </c>
    </row>
    <row r="6976" spans="1:40" x14ac:dyDescent="0.25">
      <c r="A6976" t="str">
        <f>"20190304154935095"</f>
        <v>20190304154935095</v>
      </c>
      <c r="B6976" t="str">
        <f>"1551685775084638"</f>
        <v>1551685775084638</v>
      </c>
      <c r="C6976" t="s">
        <v>40</v>
      </c>
      <c r="D6976">
        <v>4.4800440000000004</v>
      </c>
      <c r="E6976">
        <v>0.45447900000000002</v>
      </c>
      <c r="F6976" t="s">
        <v>98</v>
      </c>
      <c r="G6976">
        <v>-278.51510000000002</v>
      </c>
      <c r="H6976" s="1">
        <v>-3.3035330000000001E-6</v>
      </c>
      <c r="I6976">
        <v>-63.13926</v>
      </c>
      <c r="J6976">
        <v>-292.24099999999999</v>
      </c>
      <c r="K6976">
        <v>1.1244510000000001</v>
      </c>
      <c r="L6976">
        <v>-56.8733199999999</v>
      </c>
      <c r="M6976">
        <v>0.74103459999999999</v>
      </c>
      <c r="N6976">
        <v>-1.543187E-2</v>
      </c>
      <c r="O6976">
        <v>-0.67128969999999999</v>
      </c>
      <c r="P6976">
        <v>0.84586530000000004</v>
      </c>
      <c r="Q6976">
        <v>0.17054459999999999</v>
      </c>
      <c r="R6976">
        <v>-0.50539750000000006</v>
      </c>
      <c r="S6976">
        <v>2.8203429999999998</v>
      </c>
      <c r="T6976">
        <v>-0.2283722</v>
      </c>
      <c r="U6976">
        <v>-1.300354</v>
      </c>
      <c r="V6976">
        <v>-0.19949140000000001</v>
      </c>
      <c r="W6976">
        <v>0.17878579999999999</v>
      </c>
      <c r="X6976">
        <v>0.96345150000000002</v>
      </c>
      <c r="Y6976">
        <v>-0.297651</v>
      </c>
      <c r="Z6976">
        <v>4.8957500000000001E-2</v>
      </c>
      <c r="AA6976">
        <v>0.9534186</v>
      </c>
      <c r="AB6976">
        <v>32</v>
      </c>
      <c r="AC6976">
        <v>13.7258999999999</v>
      </c>
      <c r="AD6976">
        <v>-1.1244543035329999</v>
      </c>
      <c r="AE6976">
        <v>-6.2659399999999996</v>
      </c>
      <c r="AF6976">
        <v>-4.5460725462273004</v>
      </c>
      <c r="AG6976">
        <v>-1.1244543035329999</v>
      </c>
      <c r="AH6976">
        <v>14.299918746269601</v>
      </c>
      <c r="AI6976">
        <v>94.285615374808302</v>
      </c>
      <c r="AJ6976">
        <v>107.635927623998</v>
      </c>
      <c r="AK6976">
        <v>15.0472206478874</v>
      </c>
      <c r="AL6976">
        <v>79.700955783728304</v>
      </c>
      <c r="AM6976">
        <v>101.69829988676599</v>
      </c>
      <c r="AN6976">
        <v>0.999999986903925</v>
      </c>
    </row>
    <row r="6977" spans="1:40" x14ac:dyDescent="0.25">
      <c r="A6977" t="str">
        <f>"20190304154935110"</f>
        <v>20190304154935110</v>
      </c>
      <c r="B6977" t="str">
        <f>"1551685775104158"</f>
        <v>1551685775104158</v>
      </c>
      <c r="C6977" t="s">
        <v>40</v>
      </c>
      <c r="D6977">
        <v>4.4594959999999997</v>
      </c>
      <c r="E6977">
        <v>0.45586989999999999</v>
      </c>
      <c r="F6977" t="s">
        <v>98</v>
      </c>
      <c r="G6977">
        <v>-278.40660000000003</v>
      </c>
      <c r="H6977" s="1">
        <v>-3.2622700000000001E-6</v>
      </c>
      <c r="I6977">
        <v>-63.106729999999999</v>
      </c>
      <c r="J6977">
        <v>-292.08109999999999</v>
      </c>
      <c r="K6977">
        <v>1.1244809999999901</v>
      </c>
      <c r="L6977">
        <v>-57.00638</v>
      </c>
      <c r="M6977">
        <v>0.74817909999999999</v>
      </c>
      <c r="N6977">
        <v>-1.5501030000000001E-2</v>
      </c>
      <c r="O6977">
        <v>-0.66331609999999996</v>
      </c>
      <c r="P6977">
        <v>0.8515779</v>
      </c>
      <c r="Q6977">
        <v>0.17015379999999899</v>
      </c>
      <c r="R6977">
        <v>-0.4958456</v>
      </c>
      <c r="S6977">
        <v>2.8309329999999999</v>
      </c>
      <c r="T6977">
        <v>-0.2300972</v>
      </c>
      <c r="U6977">
        <v>-1.2755430000000001</v>
      </c>
      <c r="V6977">
        <v>-0.20007249999999999</v>
      </c>
      <c r="W6977">
        <v>0.17842820000000001</v>
      </c>
      <c r="X6977">
        <v>0.96339730000000001</v>
      </c>
      <c r="Y6977">
        <v>-0.2956974</v>
      </c>
      <c r="Z6977">
        <v>4.8926169999999998E-2</v>
      </c>
      <c r="AA6977">
        <v>0.95402799999999999</v>
      </c>
      <c r="AB6977">
        <v>32</v>
      </c>
      <c r="AC6977">
        <v>13.674499999999901</v>
      </c>
      <c r="AD6977">
        <v>-1.12448426226999</v>
      </c>
      <c r="AE6977">
        <v>-6.1003499999999899</v>
      </c>
      <c r="AF6977">
        <v>-4.4816268034383198</v>
      </c>
      <c r="AG6977">
        <v>-1.12448426226999</v>
      </c>
      <c r="AH6977">
        <v>14.199068485926899</v>
      </c>
      <c r="AI6977">
        <v>94.318878386693996</v>
      </c>
      <c r="AJ6977">
        <v>107.517166972778</v>
      </c>
      <c r="AK6977">
        <v>14.931945269436</v>
      </c>
      <c r="AL6977">
        <v>79.721779651938903</v>
      </c>
      <c r="AM6977">
        <v>101.732074534758</v>
      </c>
      <c r="AN6977">
        <v>0.999999992729389</v>
      </c>
    </row>
    <row r="6978" spans="1:40" x14ac:dyDescent="0.25">
      <c r="A6978" t="str">
        <f>"20190304154935122"</f>
        <v>20190304154935122</v>
      </c>
      <c r="B6978" t="str">
        <f>"1551685775113918"</f>
        <v>1551685775113918</v>
      </c>
      <c r="C6978" t="s">
        <v>40</v>
      </c>
      <c r="D6978">
        <v>4.4446450000000004</v>
      </c>
      <c r="E6978">
        <v>0.45680209999999999</v>
      </c>
      <c r="F6978" t="s">
        <v>98</v>
      </c>
      <c r="G6978">
        <v>-278.29680000000002</v>
      </c>
      <c r="H6978" s="1">
        <v>-3.222666E-6</v>
      </c>
      <c r="I6978">
        <v>-63.09019</v>
      </c>
      <c r="J6978">
        <v>-291.94119999999998</v>
      </c>
      <c r="K6978">
        <v>1.1245050000000001</v>
      </c>
      <c r="L6978">
        <v>-57.119810000000001</v>
      </c>
      <c r="M6978">
        <v>0.75431969999999904</v>
      </c>
      <c r="N6978">
        <v>-1.5558870000000001E-2</v>
      </c>
      <c r="O6978">
        <v>-0.65632299999999999</v>
      </c>
      <c r="P6978">
        <v>0.85661299999999996</v>
      </c>
      <c r="Q6978">
        <v>0.16919329999999999</v>
      </c>
      <c r="R6978">
        <v>-0.48742999999999997</v>
      </c>
      <c r="S6978">
        <v>2.8394469999999998</v>
      </c>
      <c r="T6978">
        <v>-0.23163259999999999</v>
      </c>
      <c r="U6978">
        <v>-1.253204</v>
      </c>
      <c r="V6978">
        <v>-0.2007032</v>
      </c>
      <c r="W6978">
        <v>0.1774936</v>
      </c>
      <c r="X6978">
        <v>0.96343880000000004</v>
      </c>
      <c r="Y6978">
        <v>-0.29413040000000001</v>
      </c>
      <c r="Z6978">
        <v>4.8916040000000001E-2</v>
      </c>
      <c r="AA6978">
        <v>0.95451269999999999</v>
      </c>
      <c r="AB6978">
        <v>32</v>
      </c>
      <c r="AC6978">
        <v>13.6443999999999</v>
      </c>
      <c r="AD6978">
        <v>-1.1245082226659999</v>
      </c>
      <c r="AE6978">
        <v>-5.9703799999999898</v>
      </c>
      <c r="AF6978">
        <v>-4.4268602753898998</v>
      </c>
      <c r="AG6978">
        <v>-1.1245082226659999</v>
      </c>
      <c r="AH6978">
        <v>14.1318937983292</v>
      </c>
      <c r="AI6978">
        <v>94.342360560028993</v>
      </c>
      <c r="AJ6978">
        <v>107.393329446563</v>
      </c>
      <c r="AK6978">
        <v>14.851667683055799</v>
      </c>
      <c r="AL6978">
        <v>79.776197379382594</v>
      </c>
      <c r="AM6978">
        <v>101.767535629123</v>
      </c>
      <c r="AN6978">
        <v>1.00000003693831</v>
      </c>
    </row>
    <row r="6979" spans="1:40" x14ac:dyDescent="0.25">
      <c r="A6979" t="str">
        <f>"20190304154935135"</f>
        <v>20190304154935135</v>
      </c>
      <c r="B6979" t="str">
        <f>"1551685775124654"</f>
        <v>1551685775124654</v>
      </c>
      <c r="C6979" t="s">
        <v>40</v>
      </c>
      <c r="D6979">
        <v>4.4759760000000002</v>
      </c>
      <c r="E6979">
        <v>0.4575745</v>
      </c>
      <c r="F6979" t="s">
        <v>98</v>
      </c>
      <c r="G6979">
        <v>-278.36020000000002</v>
      </c>
      <c r="H6979" s="1">
        <v>-3.2310410000000001E-6</v>
      </c>
      <c r="I6979">
        <v>-62.991349999999997</v>
      </c>
      <c r="J6979">
        <v>-291.80529999999999</v>
      </c>
      <c r="K6979">
        <v>1.1245259999999999</v>
      </c>
      <c r="L6979">
        <v>-57.228670000000001</v>
      </c>
      <c r="M6979">
        <v>0.76020259999999995</v>
      </c>
      <c r="N6979">
        <v>-1.561382E-2</v>
      </c>
      <c r="O6979">
        <v>-0.64949849999999998</v>
      </c>
      <c r="P6979">
        <v>0.86118830000000002</v>
      </c>
      <c r="Q6979">
        <v>0.1684351</v>
      </c>
      <c r="R6979">
        <v>-0.47956680000000002</v>
      </c>
      <c r="S6979">
        <v>2.8480829999999999</v>
      </c>
      <c r="T6979">
        <v>-0.235821</v>
      </c>
      <c r="U6979">
        <v>-1.2313229999999999</v>
      </c>
      <c r="V6979">
        <v>-0.20092260000000001</v>
      </c>
      <c r="W6979">
        <v>0.17677319999999999</v>
      </c>
      <c r="X6979">
        <v>0.96352550000000003</v>
      </c>
      <c r="Y6979">
        <v>-0.2926919</v>
      </c>
      <c r="Z6979">
        <v>4.9552600000000002E-2</v>
      </c>
      <c r="AA6979">
        <v>0.95492200000000005</v>
      </c>
      <c r="AB6979">
        <v>32</v>
      </c>
      <c r="AC6979">
        <v>13.445099999999901</v>
      </c>
      <c r="AD6979">
        <v>-1.124529231041</v>
      </c>
      <c r="AE6979">
        <v>-5.7626799999999996</v>
      </c>
      <c r="AF6979">
        <v>-4.3267284024956902</v>
      </c>
      <c r="AG6979">
        <v>-1.124529231041</v>
      </c>
      <c r="AH6979">
        <v>13.8835056316844</v>
      </c>
      <c r="AI6979">
        <v>94.421841762662197</v>
      </c>
      <c r="AJ6979">
        <v>107.30939661614001</v>
      </c>
      <c r="AK6979">
        <v>14.585502160893901</v>
      </c>
      <c r="AL6979">
        <v>79.818136296346495</v>
      </c>
      <c r="AM6979">
        <v>101.77900973684901</v>
      </c>
      <c r="AN6979">
        <v>1.0000000222896199</v>
      </c>
    </row>
    <row r="6980" spans="1:40" x14ac:dyDescent="0.25">
      <c r="A6980" t="str">
        <f>"20190304154935148"</f>
        <v>20190304154935148</v>
      </c>
      <c r="B6980" t="str">
        <f>"1551685775144173"</f>
        <v>1551685775144173</v>
      </c>
      <c r="C6980" t="s">
        <v>40</v>
      </c>
      <c r="D6980">
        <v>4.4805609999999998</v>
      </c>
      <c r="E6980">
        <v>0.46615889999999999</v>
      </c>
      <c r="F6980" t="s">
        <v>98</v>
      </c>
      <c r="G6980">
        <v>-278.32619999999997</v>
      </c>
      <c r="H6980" s="1">
        <v>-3.2119850000000001E-6</v>
      </c>
      <c r="I6980">
        <v>-62.93526</v>
      </c>
      <c r="J6980">
        <v>-291.66090000000003</v>
      </c>
      <c r="K6980">
        <v>1.1245459999999901</v>
      </c>
      <c r="L6980">
        <v>-57.341740000000001</v>
      </c>
      <c r="M6980">
        <v>0.76634619999999998</v>
      </c>
      <c r="N6980">
        <v>-1.5670460000000001E-2</v>
      </c>
      <c r="O6980">
        <v>-0.64223660000000005</v>
      </c>
      <c r="P6980">
        <v>0.86593099999999901</v>
      </c>
      <c r="Q6980">
        <v>0.16761019999999999</v>
      </c>
      <c r="R6980">
        <v>-0.47124379999999999</v>
      </c>
      <c r="S6980">
        <v>2.8567200000000001</v>
      </c>
      <c r="T6980">
        <v>-0.2383305</v>
      </c>
      <c r="U6980">
        <v>-1.2094419999999999</v>
      </c>
      <c r="V6980">
        <v>-0.20112720000000001</v>
      </c>
      <c r="W6980">
        <v>0.1759898</v>
      </c>
      <c r="X6980">
        <v>0.96362619999999999</v>
      </c>
      <c r="Y6980">
        <v>-0.29080709999999999</v>
      </c>
      <c r="Z6980">
        <v>4.9720069999999998E-2</v>
      </c>
      <c r="AA6980">
        <v>0.95548900000000003</v>
      </c>
      <c r="AB6980">
        <v>32</v>
      </c>
      <c r="AC6980">
        <v>13.3347</v>
      </c>
      <c r="AD6980">
        <v>-1.12454921198499</v>
      </c>
      <c r="AE6980">
        <v>-5.5935199999999901</v>
      </c>
      <c r="AF6980">
        <v>-4.2522680886585</v>
      </c>
      <c r="AG6980">
        <v>-1.12454921198499</v>
      </c>
      <c r="AH6980">
        <v>13.7300198520617</v>
      </c>
      <c r="AI6980">
        <v>94.473600116894801</v>
      </c>
      <c r="AJ6980">
        <v>107.208061345576</v>
      </c>
      <c r="AK6980">
        <v>14.417345108098299</v>
      </c>
      <c r="AL6980">
        <v>79.863736580819406</v>
      </c>
      <c r="AM6980">
        <v>101.78947107110901</v>
      </c>
      <c r="AN6980">
        <v>1.00000000680516</v>
      </c>
    </row>
    <row r="6981" spans="1:40" x14ac:dyDescent="0.25">
      <c r="A6981" t="str">
        <f>"20190304154935160"</f>
        <v>20190304154935160</v>
      </c>
      <c r="B6981" t="str">
        <f>"1551685775153934"</f>
        <v>1551685775153934</v>
      </c>
      <c r="C6981" t="s">
        <v>40</v>
      </c>
      <c r="D6981">
        <v>4.5667289999999996</v>
      </c>
      <c r="E6981">
        <v>0.46699239999999997</v>
      </c>
      <c r="F6981" t="s">
        <v>98</v>
      </c>
      <c r="G6981">
        <v>-278.55709999999999</v>
      </c>
      <c r="H6981" s="1">
        <v>-3.3093830000000002E-6</v>
      </c>
      <c r="I6981">
        <v>-63.076210000000003</v>
      </c>
      <c r="J6981">
        <v>-291.52420000000001</v>
      </c>
      <c r="K6981">
        <v>1.12456</v>
      </c>
      <c r="L6981">
        <v>-57.4465</v>
      </c>
      <c r="M6981">
        <v>0.77206809999999904</v>
      </c>
      <c r="N6981">
        <v>-1.5721909999999999E-2</v>
      </c>
      <c r="O6981">
        <v>-0.63534559999999995</v>
      </c>
      <c r="P6981">
        <v>0.870309</v>
      </c>
      <c r="Q6981">
        <v>0.16721620000000001</v>
      </c>
      <c r="R6981">
        <v>-0.46325110000000003</v>
      </c>
      <c r="S6981">
        <v>2.8361510000000001</v>
      </c>
      <c r="T6981">
        <v>-0.24339350000000001</v>
      </c>
      <c r="U6981">
        <v>-1.24115</v>
      </c>
      <c r="V6981">
        <v>-0.20140910000000001</v>
      </c>
      <c r="W6981">
        <v>0.1756307</v>
      </c>
      <c r="X6981">
        <v>0.96363279999999996</v>
      </c>
      <c r="Y6981">
        <v>-0.27065919999999999</v>
      </c>
      <c r="Z6981">
        <v>4.9909950000000002E-2</v>
      </c>
      <c r="AA6981">
        <v>0.96138060000000003</v>
      </c>
      <c r="AB6981">
        <v>32</v>
      </c>
      <c r="AC6981">
        <v>12.9671</v>
      </c>
      <c r="AD6981">
        <v>-1.1245633093830001</v>
      </c>
      <c r="AE6981">
        <v>-5.6297099999999904</v>
      </c>
      <c r="AF6981">
        <v>-3.86807251765795</v>
      </c>
      <c r="AG6981">
        <v>-1.1245633093830001</v>
      </c>
      <c r="AH6981">
        <v>13.504512391454501</v>
      </c>
      <c r="AI6981">
        <v>94.576996482882393</v>
      </c>
      <c r="AJ6981">
        <v>105.983203343536</v>
      </c>
      <c r="AK6981">
        <v>14.0924973858298</v>
      </c>
      <c r="AL6981">
        <v>79.884636671099003</v>
      </c>
      <c r="AM6981">
        <v>101.80545319310001</v>
      </c>
      <c r="AN6981">
        <v>0.99999997079056901</v>
      </c>
    </row>
    <row r="6982" spans="1:40" x14ac:dyDescent="0.25">
      <c r="A6982" t="str">
        <f>"20190304154935174"</f>
        <v>20190304154935174</v>
      </c>
      <c r="B6982" t="str">
        <f>"1551685775164670"</f>
        <v>1551685775164670</v>
      </c>
      <c r="C6982" t="s">
        <v>40</v>
      </c>
      <c r="D6982">
        <v>4.5201539999999998</v>
      </c>
      <c r="E6982">
        <v>0.4671922</v>
      </c>
      <c r="F6982" t="s">
        <v>98</v>
      </c>
      <c r="G6982">
        <v>-277.66969999999998</v>
      </c>
      <c r="H6982" s="1">
        <v>-3.049324E-6</v>
      </c>
      <c r="I6982">
        <v>-63.389659999999999</v>
      </c>
      <c r="J6982">
        <v>-291.37130000000002</v>
      </c>
      <c r="K6982">
        <v>1.124574</v>
      </c>
      <c r="L6982">
        <v>-57.562040000000003</v>
      </c>
      <c r="M6982">
        <v>0.77837009999999995</v>
      </c>
      <c r="N6982">
        <v>-1.5777510000000002E-2</v>
      </c>
      <c r="O6982">
        <v>-0.62760729999999998</v>
      </c>
      <c r="P6982">
        <v>0.87520030000000004</v>
      </c>
      <c r="Q6982">
        <v>0.16674929999999999</v>
      </c>
      <c r="R6982">
        <v>-0.45411370000000001</v>
      </c>
      <c r="S6982">
        <v>2.8423769999999999</v>
      </c>
      <c r="T6982">
        <v>-0.2307158</v>
      </c>
      <c r="U6982">
        <v>-1.2192989999999999</v>
      </c>
      <c r="V6982">
        <v>-0.20192779999999999</v>
      </c>
      <c r="W6982">
        <v>0.17519370000000001</v>
      </c>
      <c r="X6982">
        <v>0.96360389999999996</v>
      </c>
      <c r="Y6982">
        <v>-0.26827699999999999</v>
      </c>
      <c r="Z6982">
        <v>4.6447019999999999E-2</v>
      </c>
      <c r="AA6982">
        <v>0.9622214</v>
      </c>
      <c r="AB6982">
        <v>32</v>
      </c>
      <c r="AC6982">
        <v>13.701599999999999</v>
      </c>
      <c r="AD6982">
        <v>-1.1245770493239999</v>
      </c>
      <c r="AE6982">
        <v>-5.8276199999999898</v>
      </c>
      <c r="AF6982">
        <v>-4.04063504514105</v>
      </c>
      <c r="AG6982">
        <v>-1.1245770493239999</v>
      </c>
      <c r="AH6982">
        <v>14.242906956085299</v>
      </c>
      <c r="AI6982">
        <v>94.343813144631198</v>
      </c>
      <c r="AJ6982">
        <v>105.838350215453</v>
      </c>
      <c r="AK6982">
        <v>14.847619461300599</v>
      </c>
      <c r="AL6982">
        <v>79.910070295106905</v>
      </c>
      <c r="AM6982">
        <v>101.835344962861</v>
      </c>
      <c r="AN6982">
        <v>1.00000007251386</v>
      </c>
    </row>
    <row r="6983" spans="1:40" x14ac:dyDescent="0.25">
      <c r="A6983" t="str">
        <f>"20190304154935186"</f>
        <v>20190304154935186</v>
      </c>
      <c r="B6983" t="str">
        <f>"1551685775174431"</f>
        <v>1551685775174431</v>
      </c>
      <c r="C6983" t="s">
        <v>40</v>
      </c>
      <c r="D6983">
        <v>4.4296579999999999</v>
      </c>
      <c r="E6983">
        <v>0.46741569999999999</v>
      </c>
      <c r="F6983" t="s">
        <v>98</v>
      </c>
      <c r="G6983">
        <v>-277.32859999999999</v>
      </c>
      <c r="H6983" s="1">
        <v>-2.9372119999999999E-6</v>
      </c>
      <c r="I6983">
        <v>-63.419559999999997</v>
      </c>
      <c r="J6983">
        <v>-291.23360000000002</v>
      </c>
      <c r="K6983">
        <v>1.1245860000000001</v>
      </c>
      <c r="L6983">
        <v>-57.66348</v>
      </c>
      <c r="M6983">
        <v>0.78394019999999898</v>
      </c>
      <c r="N6983">
        <v>-1.5824120000000001E-2</v>
      </c>
      <c r="O6983">
        <v>-0.62063469999999998</v>
      </c>
      <c r="P6983">
        <v>0.87949920000000004</v>
      </c>
      <c r="Q6983">
        <v>0.16647029999999999</v>
      </c>
      <c r="R6983">
        <v>-0.44583499999999998</v>
      </c>
      <c r="S6983">
        <v>2.8536990000000002</v>
      </c>
      <c r="T6983">
        <v>-0.2285316</v>
      </c>
      <c r="U6983">
        <v>-1.1903379999999999</v>
      </c>
      <c r="V6983">
        <v>-0.2024485</v>
      </c>
      <c r="W6983">
        <v>0.17493729999999999</v>
      </c>
      <c r="X6983">
        <v>0.96354119999999999</v>
      </c>
      <c r="Y6983">
        <v>-0.26939390000000002</v>
      </c>
      <c r="Z6983">
        <v>4.5627859999999999E-2</v>
      </c>
      <c r="AA6983">
        <v>0.96194860000000004</v>
      </c>
      <c r="AB6983">
        <v>32</v>
      </c>
      <c r="AC6983">
        <v>13.904999999999999</v>
      </c>
      <c r="AD6983">
        <v>-1.1245889372119999</v>
      </c>
      <c r="AE6983">
        <v>-5.7560799999999901</v>
      </c>
      <c r="AF6983">
        <v>-4.0951506434677798</v>
      </c>
      <c r="AG6983">
        <v>-1.1245889372119999</v>
      </c>
      <c r="AH6983">
        <v>14.394542461960899</v>
      </c>
      <c r="AI6983">
        <v>94.297373021491197</v>
      </c>
      <c r="AJ6983">
        <v>105.880696634942</v>
      </c>
      <c r="AK6983">
        <v>15.0079249651506</v>
      </c>
      <c r="AL6983">
        <v>79.924991122637806</v>
      </c>
      <c r="AM6983">
        <v>101.865750310962</v>
      </c>
      <c r="AN6983">
        <v>1.0000000490904799</v>
      </c>
    </row>
    <row r="6984" spans="1:40" x14ac:dyDescent="0.25">
      <c r="A6984" t="str">
        <f>"20190304154935199"</f>
        <v>20190304154935199</v>
      </c>
      <c r="B6984" t="str">
        <f>"1551685775193950"</f>
        <v>1551685775193950</v>
      </c>
      <c r="C6984" t="s">
        <v>40</v>
      </c>
      <c r="D6984">
        <v>4.5295800000000002</v>
      </c>
      <c r="E6984">
        <v>0.46762110000000001</v>
      </c>
      <c r="F6984" t="s">
        <v>98</v>
      </c>
      <c r="G6984">
        <v>-277.36340000000001</v>
      </c>
      <c r="H6984" s="1">
        <v>-2.934054E-6</v>
      </c>
      <c r="I6984">
        <v>-63.307189999999999</v>
      </c>
      <c r="J6984">
        <v>-291.0822</v>
      </c>
      <c r="K6984">
        <v>1.1245940000000001</v>
      </c>
      <c r="L6984">
        <v>-57.772950000000002</v>
      </c>
      <c r="M6984">
        <v>0.78996409999999995</v>
      </c>
      <c r="N6984">
        <v>-1.5872130000000002E-2</v>
      </c>
      <c r="O6984">
        <v>-0.61294780000000004</v>
      </c>
      <c r="P6984">
        <v>0.8847178</v>
      </c>
      <c r="Q6984">
        <v>0.16511600000000001</v>
      </c>
      <c r="R6984">
        <v>-0.43590279999999998</v>
      </c>
      <c r="S6984">
        <v>2.8642270000000001</v>
      </c>
      <c r="T6984">
        <v>-0.23222970000000001</v>
      </c>
      <c r="U6984">
        <v>-1.1654359999999999</v>
      </c>
      <c r="V6984">
        <v>-0.2040044</v>
      </c>
      <c r="W6984">
        <v>0.17357149999999999</v>
      </c>
      <c r="X6984">
        <v>0.96345999999999998</v>
      </c>
      <c r="Y6984">
        <v>-0.26835510000000001</v>
      </c>
      <c r="Z6984">
        <v>4.6047680000000001E-2</v>
      </c>
      <c r="AA6984">
        <v>0.96221889999999999</v>
      </c>
      <c r="AB6984">
        <v>32</v>
      </c>
      <c r="AC6984">
        <v>13.7187999999999</v>
      </c>
      <c r="AD6984">
        <v>-1.1245969340539901</v>
      </c>
      <c r="AE6984">
        <v>-5.5342399999999996</v>
      </c>
      <c r="AF6984">
        <v>-4.0143650519934999</v>
      </c>
      <c r="AG6984">
        <v>-1.1245969340539901</v>
      </c>
      <c r="AH6984">
        <v>14.1495753497737</v>
      </c>
      <c r="AI6984">
        <v>94.372414726432794</v>
      </c>
      <c r="AJ6984">
        <v>105.83912850881499</v>
      </c>
      <c r="AK6984">
        <v>14.7509432787762</v>
      </c>
      <c r="AL6984">
        <v>80.004461213667597</v>
      </c>
      <c r="AM6984">
        <v>101.955307970715</v>
      </c>
      <c r="AN6984">
        <v>1.0000000162158</v>
      </c>
    </row>
    <row r="6985" spans="1:40" x14ac:dyDescent="0.25">
      <c r="A6985" t="str">
        <f>"20190304154935212"</f>
        <v>20190304154935212</v>
      </c>
      <c r="B6985" t="str">
        <f>"1551685775204686"</f>
        <v>1551685775204686</v>
      </c>
      <c r="C6985" t="s">
        <v>40</v>
      </c>
      <c r="D6985">
        <v>4.5284750000000003</v>
      </c>
      <c r="E6985">
        <v>0.4764023</v>
      </c>
      <c r="F6985" t="s">
        <v>98</v>
      </c>
      <c r="G6985">
        <v>-277.53559999999999</v>
      </c>
      <c r="H6985" s="1">
        <v>-2.9671139999999999E-6</v>
      </c>
      <c r="I6985">
        <v>-63.11618</v>
      </c>
      <c r="J6985">
        <v>-290.93950000000001</v>
      </c>
      <c r="K6985">
        <v>1.124595</v>
      </c>
      <c r="L6985">
        <v>-57.874789999999997</v>
      </c>
      <c r="M6985">
        <v>0.79555819999999999</v>
      </c>
      <c r="N6985">
        <v>-1.5915189999999999E-2</v>
      </c>
      <c r="O6985">
        <v>-0.60566819999999999</v>
      </c>
      <c r="P6985">
        <v>0.88906839999999998</v>
      </c>
      <c r="Q6985">
        <v>0.16463549999999999</v>
      </c>
      <c r="R6985">
        <v>-0.42714459999999999</v>
      </c>
      <c r="S6985">
        <v>2.8764949999999998</v>
      </c>
      <c r="T6985">
        <v>-0.23879690000000001</v>
      </c>
      <c r="U6985">
        <v>-1.1345829999999999</v>
      </c>
      <c r="V6985">
        <v>-0.2047146</v>
      </c>
      <c r="W6985">
        <v>0.17310510000000001</v>
      </c>
      <c r="X6985">
        <v>0.96339319999999895</v>
      </c>
      <c r="Y6985">
        <v>-0.26974290000000001</v>
      </c>
      <c r="Z6985">
        <v>4.723194E-2</v>
      </c>
      <c r="AA6985">
        <v>0.96177330000000005</v>
      </c>
      <c r="AB6985">
        <v>32</v>
      </c>
      <c r="AC6985">
        <v>13.4039</v>
      </c>
      <c r="AD6985">
        <v>-1.1245979671140001</v>
      </c>
      <c r="AE6985">
        <v>-5.24139</v>
      </c>
      <c r="AF6985">
        <v>-3.9250200208880601</v>
      </c>
      <c r="AG6985">
        <v>-1.1245979671140001</v>
      </c>
      <c r="AH6985">
        <v>13.7558881923415</v>
      </c>
      <c r="AI6985">
        <v>94.495134421303206</v>
      </c>
      <c r="AJ6985">
        <v>105.92523960737</v>
      </c>
      <c r="AK6985">
        <v>14.3490404805412</v>
      </c>
      <c r="AL6985">
        <v>80.031594040269795</v>
      </c>
      <c r="AM6985">
        <v>101.996531996299</v>
      </c>
      <c r="AN6985">
        <v>0.99999995045270296</v>
      </c>
    </row>
    <row r="6986" spans="1:40" x14ac:dyDescent="0.25">
      <c r="A6986" t="str">
        <f>"20190304154935227"</f>
        <v>20190304154935227</v>
      </c>
      <c r="B6986" t="str">
        <f>"1551685775224206"</f>
        <v>1551685775224206</v>
      </c>
      <c r="C6986" t="s">
        <v>40</v>
      </c>
      <c r="D6986">
        <v>4.5287259999999998</v>
      </c>
      <c r="E6986">
        <v>0.47726279999999999</v>
      </c>
      <c r="F6986" t="s">
        <v>98</v>
      </c>
      <c r="G6986">
        <v>-275.00709999999998</v>
      </c>
      <c r="H6986" s="1">
        <v>-2.1929370000000002E-6</v>
      </c>
      <c r="I6986">
        <v>-64.388869999999997</v>
      </c>
      <c r="J6986">
        <v>-290.77449999999999</v>
      </c>
      <c r="K6986">
        <v>1.1245969999999901</v>
      </c>
      <c r="L6986">
        <v>-57.988979999999998</v>
      </c>
      <c r="M6986">
        <v>0.8018864</v>
      </c>
      <c r="N6986">
        <v>-1.5959549999999999E-2</v>
      </c>
      <c r="O6986">
        <v>-0.59726369999999995</v>
      </c>
      <c r="P6986">
        <v>0.89393199999999995</v>
      </c>
      <c r="Q6986">
        <v>0.163721799999999</v>
      </c>
      <c r="R6986">
        <v>-0.4172305</v>
      </c>
      <c r="S6986">
        <v>2.8515009999999998</v>
      </c>
      <c r="T6986">
        <v>-0.2012758</v>
      </c>
      <c r="U6986">
        <v>-1.1658630000000001</v>
      </c>
      <c r="V6986">
        <v>-0.2053643</v>
      </c>
      <c r="W6986">
        <v>0.17221129999999901</v>
      </c>
      <c r="X6986">
        <v>0.96341509999999997</v>
      </c>
      <c r="Y6986">
        <v>-0.2482086</v>
      </c>
      <c r="Z6986">
        <v>3.7661020000000003E-2</v>
      </c>
      <c r="AA6986">
        <v>0.96797420000000001</v>
      </c>
      <c r="AB6986">
        <v>32</v>
      </c>
      <c r="AC6986">
        <v>15.7674</v>
      </c>
      <c r="AD6986">
        <v>-1.1245991929369901</v>
      </c>
      <c r="AE6986">
        <v>-6.3998899999999903</v>
      </c>
      <c r="AF6986">
        <v>-4.2672183395062797</v>
      </c>
      <c r="AG6986">
        <v>-1.1245991929369901</v>
      </c>
      <c r="AH6986">
        <v>16.396565834305001</v>
      </c>
      <c r="AI6986">
        <v>93.797520212677597</v>
      </c>
      <c r="AJ6986">
        <v>104.587671877536</v>
      </c>
      <c r="AK6986">
        <v>16.9800249369803</v>
      </c>
      <c r="AL6986">
        <v>80.083585743395503</v>
      </c>
      <c r="AM6986">
        <v>102.033231561926</v>
      </c>
      <c r="AN6986">
        <v>0.99999994123509295</v>
      </c>
    </row>
    <row r="6987" spans="1:40" x14ac:dyDescent="0.25">
      <c r="A6987" t="str">
        <f>"20190304154935240"</f>
        <v>20190304154935240</v>
      </c>
      <c r="B6987" t="str">
        <f>"1551685775233968"</f>
        <v>1551685775233968</v>
      </c>
      <c r="C6987" t="s">
        <v>40</v>
      </c>
      <c r="D6987">
        <v>4.5364139999999997</v>
      </c>
      <c r="E6987">
        <v>0.47846319999999998</v>
      </c>
      <c r="F6987" t="s">
        <v>98</v>
      </c>
      <c r="G6987">
        <v>-275.4316</v>
      </c>
      <c r="H6987" s="1">
        <v>-2.3109359999999999E-6</v>
      </c>
      <c r="I6987">
        <v>-64.100619999999907</v>
      </c>
      <c r="J6987">
        <v>-290.61939999999998</v>
      </c>
      <c r="K6987">
        <v>1.1245969999999901</v>
      </c>
      <c r="L6987">
        <v>-58.094180000000001</v>
      </c>
      <c r="M6987">
        <v>0.80772200000000005</v>
      </c>
      <c r="N6987">
        <v>-1.5999409999999999E-2</v>
      </c>
      <c r="O6987">
        <v>-0.58934629999999999</v>
      </c>
      <c r="P6987">
        <v>0.89821059999999997</v>
      </c>
      <c r="Q6987">
        <v>0.16254579999999999</v>
      </c>
      <c r="R6987">
        <v>-0.40840700000000002</v>
      </c>
      <c r="S6987">
        <v>2.862244</v>
      </c>
      <c r="T6987">
        <v>-0.20979629999999999</v>
      </c>
      <c r="U6987">
        <v>-1.140137</v>
      </c>
      <c r="V6987">
        <v>-0.2054617</v>
      </c>
      <c r="W6987">
        <v>0.17107259999999999</v>
      </c>
      <c r="X6987">
        <v>0.96359720000000004</v>
      </c>
      <c r="Y6987">
        <v>-0.24733459999999999</v>
      </c>
      <c r="Z6987">
        <v>3.9180050000000001E-2</v>
      </c>
      <c r="AA6987">
        <v>0.96813769999999999</v>
      </c>
      <c r="AB6987">
        <v>32</v>
      </c>
      <c r="AC6987">
        <v>15.1877999999999</v>
      </c>
      <c r="AD6987">
        <v>-1.12459931093599</v>
      </c>
      <c r="AE6987">
        <v>-6.0064399999999898</v>
      </c>
      <c r="AF6987">
        <v>-4.0805181160797899</v>
      </c>
      <c r="AG6987">
        <v>-1.12459931093599</v>
      </c>
      <c r="AH6987">
        <v>15.7348146229413</v>
      </c>
      <c r="AI6987">
        <v>93.957617290259293</v>
      </c>
      <c r="AJ6987">
        <v>104.538282364255</v>
      </c>
      <c r="AK6987">
        <v>16.2941628482147</v>
      </c>
      <c r="AL6987">
        <v>80.149811411658106</v>
      </c>
      <c r="AM6987">
        <v>102.036563486991</v>
      </c>
      <c r="AN6987">
        <v>0.99999995424274402</v>
      </c>
    </row>
    <row r="6988" spans="1:40" x14ac:dyDescent="0.25">
      <c r="A6988" t="str">
        <f>"20190304154935253"</f>
        <v>20190304154935253</v>
      </c>
      <c r="B6988" t="str">
        <f>"1551685775244702"</f>
        <v>1551685775244702</v>
      </c>
      <c r="C6988" t="s">
        <v>40</v>
      </c>
      <c r="D6988">
        <v>4.5331449999999904</v>
      </c>
      <c r="E6988">
        <v>0.47966959999999997</v>
      </c>
      <c r="F6988" t="s">
        <v>98</v>
      </c>
      <c r="G6988">
        <v>-275.59249999999997</v>
      </c>
      <c r="H6988" s="1">
        <v>-2.3480089999999998E-6</v>
      </c>
      <c r="I6988">
        <v>-63.956899999999997</v>
      </c>
      <c r="J6988">
        <v>-290.46699999999998</v>
      </c>
      <c r="K6988">
        <v>1.124593</v>
      </c>
      <c r="L6988">
        <v>-58.195979999999999</v>
      </c>
      <c r="M6988">
        <v>0.81335979999999997</v>
      </c>
      <c r="N6988">
        <v>-1.6037269999999999E-2</v>
      </c>
      <c r="O6988">
        <v>-0.5815401</v>
      </c>
      <c r="P6988">
        <v>0.9024259</v>
      </c>
      <c r="Q6988">
        <v>0.16136349999999999</v>
      </c>
      <c r="R6988">
        <v>-0.39948630000000002</v>
      </c>
      <c r="S6988">
        <v>2.8697509999999999</v>
      </c>
      <c r="T6988">
        <v>-0.2147695</v>
      </c>
      <c r="U6988">
        <v>-1.119629</v>
      </c>
      <c r="V6988">
        <v>-0.2058149</v>
      </c>
      <c r="W6988">
        <v>0.1699167</v>
      </c>
      <c r="X6988">
        <v>0.96372639999999998</v>
      </c>
      <c r="Y6988">
        <v>-0.24480979999999999</v>
      </c>
      <c r="Z6988">
        <v>3.983126E-2</v>
      </c>
      <c r="AA6988">
        <v>0.96875259999999996</v>
      </c>
      <c r="AB6988">
        <v>32</v>
      </c>
      <c r="AC6988">
        <v>14.874499999999999</v>
      </c>
      <c r="AD6988">
        <v>-1.1245953480090001</v>
      </c>
      <c r="AE6988">
        <v>-5.7609199999999898</v>
      </c>
      <c r="AF6988">
        <v>-3.9453163045838799</v>
      </c>
      <c r="AG6988">
        <v>-1.1245953480090001</v>
      </c>
      <c r="AH6988">
        <v>15.3740929593391</v>
      </c>
      <c r="AI6988">
        <v>94.052801306158202</v>
      </c>
      <c r="AJ6988">
        <v>104.392728020858</v>
      </c>
      <c r="AK6988">
        <v>15.912038516870799</v>
      </c>
      <c r="AL6988">
        <v>80.217024302610497</v>
      </c>
      <c r="AM6988">
        <v>102.05508100636</v>
      </c>
      <c r="AN6988">
        <v>1.00000001602892</v>
      </c>
    </row>
    <row r="6989" spans="1:40" x14ac:dyDescent="0.25">
      <c r="A6989" t="str">
        <f>"20190304154935267"</f>
        <v>20190304154935267</v>
      </c>
      <c r="B6989" t="str">
        <f>"1551685775264222"</f>
        <v>1551685775264222</v>
      </c>
      <c r="C6989" t="s">
        <v>40</v>
      </c>
      <c r="D6989">
        <v>4.4994489999999896</v>
      </c>
      <c r="E6989">
        <v>0.48201250000000001</v>
      </c>
      <c r="F6989" t="s">
        <v>98</v>
      </c>
      <c r="G6989">
        <v>-275.62119999999999</v>
      </c>
      <c r="H6989" s="1">
        <v>-2.3401229999999998E-6</v>
      </c>
      <c r="I6989">
        <v>-63.866050000000001</v>
      </c>
      <c r="J6989">
        <v>-290.3109</v>
      </c>
      <c r="K6989">
        <v>1.12459</v>
      </c>
      <c r="L6989">
        <v>-58.29739</v>
      </c>
      <c r="M6989">
        <v>0.81901469999999998</v>
      </c>
      <c r="N6989">
        <v>-1.607372E-2</v>
      </c>
      <c r="O6989">
        <v>-0.57354740000000004</v>
      </c>
      <c r="P6989">
        <v>0.90644150000000001</v>
      </c>
      <c r="Q6989">
        <v>0.16024070000000001</v>
      </c>
      <c r="R6989">
        <v>-0.39075169999999998</v>
      </c>
      <c r="S6989">
        <v>2.8769230000000001</v>
      </c>
      <c r="T6989">
        <v>-0.21793199999999999</v>
      </c>
      <c r="U6989">
        <v>-1.0987849999999999</v>
      </c>
      <c r="V6989">
        <v>-0.20576130000000001</v>
      </c>
      <c r="W6989">
        <v>0.16883629999999999</v>
      </c>
      <c r="X6989">
        <v>0.96392770000000005</v>
      </c>
      <c r="Y6989">
        <v>-0.24221519999999999</v>
      </c>
      <c r="Z6989">
        <v>4.0053020000000002E-2</v>
      </c>
      <c r="AA6989">
        <v>0.96939549999999997</v>
      </c>
      <c r="AB6989">
        <v>32</v>
      </c>
      <c r="AC6989">
        <v>14.6897</v>
      </c>
      <c r="AD6989">
        <v>-1.124592340123</v>
      </c>
      <c r="AE6989">
        <v>-5.5686600000000004</v>
      </c>
      <c r="AF6989">
        <v>-3.84521927778261</v>
      </c>
      <c r="AG6989">
        <v>-1.124592340123</v>
      </c>
      <c r="AH6989">
        <v>15.149305068020301</v>
      </c>
      <c r="AI6989">
        <v>94.115471951522906</v>
      </c>
      <c r="AJ6989">
        <v>104.242133308628</v>
      </c>
      <c r="AK6989">
        <v>15.6700945520325</v>
      </c>
      <c r="AL6989">
        <v>80.279834117554401</v>
      </c>
      <c r="AM6989">
        <v>102.04959002673</v>
      </c>
      <c r="AN6989">
        <v>1.00000000980133</v>
      </c>
    </row>
    <row r="6990" spans="1:40" x14ac:dyDescent="0.25">
      <c r="A6990" t="str">
        <f>"20190304154935281"</f>
        <v>20190304154935281</v>
      </c>
      <c r="B6990" t="str">
        <f>"1551685775273982"</f>
        <v>1551685775273982</v>
      </c>
      <c r="C6990" t="s">
        <v>40</v>
      </c>
      <c r="D6990">
        <v>4.5457380000000001</v>
      </c>
      <c r="E6990">
        <v>0.48318899999999998</v>
      </c>
      <c r="F6990" t="s">
        <v>98</v>
      </c>
      <c r="G6990">
        <v>-275.4633</v>
      </c>
      <c r="H6990" s="1">
        <v>-2.2804639999999999E-6</v>
      </c>
      <c r="I6990">
        <v>-63.902520000000003</v>
      </c>
      <c r="J6990">
        <v>-290.14670000000001</v>
      </c>
      <c r="K6990">
        <v>1.124593</v>
      </c>
      <c r="L6990">
        <v>-58.401730000000001</v>
      </c>
      <c r="M6990">
        <v>0.82484559999999996</v>
      </c>
      <c r="N6990">
        <v>-1.610984E-2</v>
      </c>
      <c r="O6990">
        <v>-0.56512859999999998</v>
      </c>
      <c r="P6990">
        <v>0.91042339999999999</v>
      </c>
      <c r="Q6990">
        <v>0.1604497</v>
      </c>
      <c r="R6990">
        <v>-0.38129410000000002</v>
      </c>
      <c r="S6990">
        <v>2.879578</v>
      </c>
      <c r="T6990">
        <v>-0.2181051</v>
      </c>
      <c r="U6990">
        <v>-1.087067</v>
      </c>
      <c r="V6990">
        <v>-0.20590900000000001</v>
      </c>
      <c r="W6990">
        <v>0.16907700000000001</v>
      </c>
      <c r="X6990">
        <v>0.96385399999999999</v>
      </c>
      <c r="Y6990">
        <v>-0.23604320000000001</v>
      </c>
      <c r="Z6990">
        <v>3.9470900000000003E-2</v>
      </c>
      <c r="AA6990">
        <v>0.97094060000000004</v>
      </c>
      <c r="AB6990">
        <v>32</v>
      </c>
      <c r="AC6990">
        <v>14.683400000000001</v>
      </c>
      <c r="AD6990">
        <v>-1.124595280464</v>
      </c>
      <c r="AE6990">
        <v>-5.5007899999999799</v>
      </c>
      <c r="AF6990">
        <v>-3.7419460579269499</v>
      </c>
      <c r="AG6990">
        <v>-1.124595280464</v>
      </c>
      <c r="AH6990">
        <v>15.144263631936701</v>
      </c>
      <c r="AI6990">
        <v>94.123364823318795</v>
      </c>
      <c r="AJ6990">
        <v>103.87903487734999</v>
      </c>
      <c r="AK6990">
        <v>15.640191680375199</v>
      </c>
      <c r="AL6990">
        <v>80.265842167971897</v>
      </c>
      <c r="AM6990">
        <v>102.05888145242299</v>
      </c>
      <c r="AN6990">
        <v>1.0000000407629901</v>
      </c>
    </row>
    <row r="6991" spans="1:40" x14ac:dyDescent="0.25">
      <c r="A6991" t="str">
        <f>"20190304154935296"</f>
        <v>20190304154935296</v>
      </c>
      <c r="B6991" t="str">
        <f>"1551685775284718"</f>
        <v>1551685775284718</v>
      </c>
      <c r="C6991" t="s">
        <v>40</v>
      </c>
      <c r="D6991">
        <v>4.6513869999999997</v>
      </c>
      <c r="E6991">
        <v>0.48318899999999998</v>
      </c>
      <c r="F6991" t="s">
        <v>98</v>
      </c>
      <c r="G6991">
        <v>-275.1454</v>
      </c>
      <c r="H6991" s="1">
        <v>-2.1535650000000001E-6</v>
      </c>
      <c r="I6991">
        <v>-63.945059999999998</v>
      </c>
      <c r="J6991">
        <v>-289.97070000000002</v>
      </c>
      <c r="K6991">
        <v>1.1245909999999999</v>
      </c>
      <c r="L6991">
        <v>-58.51144</v>
      </c>
      <c r="M6991">
        <v>0.83097359999999898</v>
      </c>
      <c r="N6991">
        <v>-1.6146230000000001E-2</v>
      </c>
      <c r="O6991">
        <v>-0.5560775</v>
      </c>
      <c r="P6991">
        <v>0.91465589999999997</v>
      </c>
      <c r="Q6991">
        <v>0.1607654</v>
      </c>
      <c r="R6991">
        <v>-0.37088919999999997</v>
      </c>
      <c r="S6991">
        <v>2.8865660000000002</v>
      </c>
      <c r="T6991">
        <v>-0.21639539999999999</v>
      </c>
      <c r="U6991">
        <v>-1.0666500000000001</v>
      </c>
      <c r="V6991">
        <v>-0.20634040000000001</v>
      </c>
      <c r="W6991">
        <v>0.16941439999999999</v>
      </c>
      <c r="X6991">
        <v>0.96370239999999996</v>
      </c>
      <c r="Y6991">
        <v>-0.23226959999999999</v>
      </c>
      <c r="Z6991">
        <v>3.8528600000000003E-2</v>
      </c>
      <c r="AA6991">
        <v>0.97188810000000003</v>
      </c>
      <c r="AB6991">
        <v>32</v>
      </c>
      <c r="AC6991">
        <v>14.8253</v>
      </c>
      <c r="AD6991">
        <v>-1.124593153565</v>
      </c>
      <c r="AE6991">
        <v>-5.4336199999999897</v>
      </c>
      <c r="AF6991">
        <v>-3.7104847040310198</v>
      </c>
      <c r="AG6991">
        <v>-1.124593153565</v>
      </c>
      <c r="AH6991">
        <v>15.265508425763</v>
      </c>
      <c r="AI6991">
        <v>94.094513190663207</v>
      </c>
      <c r="AJ6991">
        <v>103.66157214691999</v>
      </c>
      <c r="AK6991">
        <v>15.750179490943401</v>
      </c>
      <c r="AL6991">
        <v>80.246226792652095</v>
      </c>
      <c r="AM6991">
        <v>102.08524923372499</v>
      </c>
      <c r="AN6991">
        <v>0.99999995768263805</v>
      </c>
    </row>
    <row r="6992" spans="1:40" x14ac:dyDescent="0.25">
      <c r="A6992" t="str">
        <f>"20190304154935309"</f>
        <v>20190304154935309</v>
      </c>
      <c r="B6992" t="str">
        <f>"1551685775304238"</f>
        <v>1551685775304238</v>
      </c>
      <c r="C6992" t="s">
        <v>40</v>
      </c>
      <c r="D6992">
        <v>4.4109150000000001</v>
      </c>
      <c r="E6992">
        <v>0.45094279999999998</v>
      </c>
      <c r="F6992" t="s">
        <v>98</v>
      </c>
      <c r="G6992">
        <v>-274.85820000000001</v>
      </c>
      <c r="H6992" s="1">
        <v>-2.022234E-6</v>
      </c>
      <c r="I6992">
        <v>-63.908529999999999</v>
      </c>
      <c r="J6992">
        <v>-289.80739999999997</v>
      </c>
      <c r="K6992">
        <v>1.1245799999999999</v>
      </c>
      <c r="L6992">
        <v>-58.610750000000003</v>
      </c>
      <c r="M6992">
        <v>0.83653529999999998</v>
      </c>
      <c r="N6992">
        <v>-1.6177230000000001E-2</v>
      </c>
      <c r="O6992">
        <v>-0.54767410000000005</v>
      </c>
      <c r="P6992">
        <v>0.91835239999999996</v>
      </c>
      <c r="Q6992">
        <v>0.1604187</v>
      </c>
      <c r="R6992">
        <v>-0.36179410000000001</v>
      </c>
      <c r="S6992">
        <v>2.8981319999999999</v>
      </c>
      <c r="T6992">
        <v>-0.2156641</v>
      </c>
      <c r="U6992">
        <v>-1.035004</v>
      </c>
      <c r="V6992">
        <v>-0.20621030000000001</v>
      </c>
      <c r="W6992">
        <v>0.16910749999999999</v>
      </c>
      <c r="X6992">
        <v>0.96378419999999998</v>
      </c>
      <c r="Y6992">
        <v>-0.2331281</v>
      </c>
      <c r="Z6992">
        <v>3.7995590000000003E-2</v>
      </c>
      <c r="AA6992">
        <v>0.97170350000000005</v>
      </c>
      <c r="AB6992">
        <v>32</v>
      </c>
      <c r="AC6992">
        <v>14.9491999999999</v>
      </c>
      <c r="AD6992">
        <v>-1.1245820222339999</v>
      </c>
      <c r="AE6992">
        <v>-5.2977800000000004</v>
      </c>
      <c r="AF6992">
        <v>-3.73721185819588</v>
      </c>
      <c r="AG6992">
        <v>-1.1245820222339999</v>
      </c>
      <c r="AH6992">
        <v>15.3319235522853</v>
      </c>
      <c r="AI6992">
        <v>94.076151732131905</v>
      </c>
      <c r="AJ6992">
        <v>103.698912753051</v>
      </c>
      <c r="AK6992">
        <v>15.8208507043993</v>
      </c>
      <c r="AL6992">
        <v>80.264068805675606</v>
      </c>
      <c r="AM6992">
        <v>102.07685814758</v>
      </c>
      <c r="AN6992">
        <v>1.00000000927599</v>
      </c>
    </row>
    <row r="6993" spans="1:40" x14ac:dyDescent="0.25">
      <c r="A6993" t="str">
        <f>"20190304154935322"</f>
        <v>20190304154935322</v>
      </c>
      <c r="B6993" t="str">
        <f>"1551685775313997"</f>
        <v>1551685775313997</v>
      </c>
      <c r="C6993" t="s">
        <v>40</v>
      </c>
      <c r="D6993">
        <v>4.5609529999999996</v>
      </c>
      <c r="E6993">
        <v>0.44567830000000003</v>
      </c>
      <c r="F6993" t="s">
        <v>98</v>
      </c>
      <c r="G6993">
        <v>-272.33390000000003</v>
      </c>
      <c r="H6993" s="1">
        <v>-7.5393860000000004E-7</v>
      </c>
      <c r="I6993">
        <v>-63.074840000000002</v>
      </c>
      <c r="J6993">
        <v>-289.64839999999998</v>
      </c>
      <c r="K6993">
        <v>1.1245689999999999</v>
      </c>
      <c r="L6993">
        <v>-58.704770000000003</v>
      </c>
      <c r="M6993">
        <v>0.84183639999999904</v>
      </c>
      <c r="N6993">
        <v>-1.620415E-2</v>
      </c>
      <c r="O6993">
        <v>-0.53948960000000001</v>
      </c>
      <c r="P6993">
        <v>0.92193610000000004</v>
      </c>
      <c r="Q6993">
        <v>0.15933639999999999</v>
      </c>
      <c r="R6993">
        <v>-0.35305300000000001</v>
      </c>
      <c r="S6993">
        <v>2.9986269999999999</v>
      </c>
      <c r="T6993">
        <v>-0.1929891</v>
      </c>
      <c r="U6993">
        <v>-0.76608279999999995</v>
      </c>
      <c r="V6993">
        <v>-0.2060283</v>
      </c>
      <c r="W6993">
        <v>0.1680651</v>
      </c>
      <c r="X6993">
        <v>0.96400540000000001</v>
      </c>
      <c r="Y6993">
        <v>-0.31315670000000001</v>
      </c>
      <c r="Z6993">
        <v>3.5485120000000002E-2</v>
      </c>
      <c r="AA6993">
        <v>0.9490383</v>
      </c>
      <c r="AB6993">
        <v>32</v>
      </c>
      <c r="AC6993">
        <v>17.314499999999899</v>
      </c>
      <c r="AD6993">
        <v>-1.1245697539385999</v>
      </c>
      <c r="AE6993">
        <v>-4.3700700000000001</v>
      </c>
      <c r="AF6993">
        <v>-5.640482708085</v>
      </c>
      <c r="AG6993">
        <v>-1.1245697539385999</v>
      </c>
      <c r="AH6993">
        <v>16.868907185718701</v>
      </c>
      <c r="AI6993">
        <v>93.617680650974506</v>
      </c>
      <c r="AJ6993">
        <v>108.488469227954</v>
      </c>
      <c r="AK6993">
        <v>17.822450223021299</v>
      </c>
      <c r="AL6993">
        <v>80.3246608563541</v>
      </c>
      <c r="AM6993">
        <v>102.06382404366001</v>
      </c>
      <c r="AN6993">
        <v>0.99999997473402902</v>
      </c>
    </row>
    <row r="6994" spans="1:40" x14ac:dyDescent="0.25">
      <c r="A6994" t="str">
        <f>"20190304154935335"</f>
        <v>20190304154935335</v>
      </c>
      <c r="B6994" t="str">
        <f>"1551685775324735"</f>
        <v>1551685775324735</v>
      </c>
      <c r="C6994" t="s">
        <v>40</v>
      </c>
      <c r="D6994">
        <v>4.5764449999999997</v>
      </c>
      <c r="E6994">
        <v>0.44237300000000002</v>
      </c>
      <c r="F6994" t="s">
        <v>98</v>
      </c>
      <c r="G6994">
        <v>-271.44130000000001</v>
      </c>
      <c r="H6994" s="1">
        <v>-3.3599220000000002E-7</v>
      </c>
      <c r="I6994">
        <v>-62.917430000000003</v>
      </c>
      <c r="J6994">
        <v>-289.5034</v>
      </c>
      <c r="K6994">
        <v>1.1245609999999999</v>
      </c>
      <c r="L6994">
        <v>-58.789279999999998</v>
      </c>
      <c r="M6994">
        <v>0.84658500000000003</v>
      </c>
      <c r="N6994">
        <v>-1.6227350000000001E-2</v>
      </c>
      <c r="O6994">
        <v>-0.53200609999999904</v>
      </c>
      <c r="P6994">
        <v>0.92493860000000006</v>
      </c>
      <c r="Q6994">
        <v>0.1586526</v>
      </c>
      <c r="R6994">
        <v>-0.34542410000000001</v>
      </c>
      <c r="S6994">
        <v>3.0187379999999999</v>
      </c>
      <c r="T6994">
        <v>-0.18645300000000001</v>
      </c>
      <c r="U6994">
        <v>-0.69845579999999996</v>
      </c>
      <c r="V6994">
        <v>-0.20548269999999999</v>
      </c>
      <c r="W6994">
        <v>0.16743</v>
      </c>
      <c r="X6994">
        <v>0.96423239999999999</v>
      </c>
      <c r="Y6994">
        <v>-0.32637559999999999</v>
      </c>
      <c r="Z6994">
        <v>3.4201790000000003E-2</v>
      </c>
      <c r="AA6994">
        <v>0.94462120000000005</v>
      </c>
      <c r="AB6994">
        <v>32</v>
      </c>
      <c r="AC6994">
        <v>18.062099999999901</v>
      </c>
      <c r="AD6994">
        <v>-1.1245613359922</v>
      </c>
      <c r="AE6994">
        <v>-4.12814999999999</v>
      </c>
      <c r="AF6994">
        <v>-6.0926775057866598</v>
      </c>
      <c r="AG6994">
        <v>-1.1245613359922</v>
      </c>
      <c r="AH6994">
        <v>17.425412235772299</v>
      </c>
      <c r="AI6994">
        <v>93.486112932487799</v>
      </c>
      <c r="AJ6994">
        <v>109.271833835484</v>
      </c>
      <c r="AK6994">
        <v>18.494062533000498</v>
      </c>
      <c r="AL6994">
        <v>80.361573012800406</v>
      </c>
      <c r="AM6994">
        <v>102.030058914694</v>
      </c>
      <c r="AN6994">
        <v>1.00000003305452</v>
      </c>
    </row>
    <row r="6995" spans="1:40" x14ac:dyDescent="0.25">
      <c r="A6995" t="str">
        <f>"20190304154935347"</f>
        <v>20190304154935347</v>
      </c>
      <c r="B6995" t="str">
        <f>"1551685775344254"</f>
        <v>1551685775344254</v>
      </c>
      <c r="C6995" t="s">
        <v>40</v>
      </c>
      <c r="D6995">
        <v>4.5220919999999998</v>
      </c>
      <c r="E6995">
        <v>0.4396697</v>
      </c>
      <c r="F6995" t="s">
        <v>98</v>
      </c>
      <c r="G6995">
        <v>-270.79230000000001</v>
      </c>
      <c r="H6995" s="1">
        <v>-2.9246619999999998E-8</v>
      </c>
      <c r="I6995">
        <v>-62.79</v>
      </c>
      <c r="J6995">
        <v>-289.358</v>
      </c>
      <c r="K6995">
        <v>1.1245499999999999</v>
      </c>
      <c r="L6995">
        <v>-58.871980000000001</v>
      </c>
      <c r="M6995">
        <v>0.85125499999999898</v>
      </c>
      <c r="N6995">
        <v>-1.6248390000000001E-2</v>
      </c>
      <c r="O6995">
        <v>-0.52450059999999998</v>
      </c>
      <c r="P6995">
        <v>0.92786000000000002</v>
      </c>
      <c r="Q6995">
        <v>0.1587151</v>
      </c>
      <c r="R6995">
        <v>-0.33746969999999998</v>
      </c>
      <c r="S6995">
        <v>3.032562</v>
      </c>
      <c r="T6995">
        <v>-0.18226029999999999</v>
      </c>
      <c r="U6995">
        <v>-0.64840699999999996</v>
      </c>
      <c r="V6995">
        <v>-0.20522960000000001</v>
      </c>
      <c r="W6995">
        <v>0.167526799999999</v>
      </c>
      <c r="X6995">
        <v>0.9642695</v>
      </c>
      <c r="Y6995">
        <v>-0.33386179999999999</v>
      </c>
      <c r="Z6995">
        <v>3.3251160000000002E-2</v>
      </c>
      <c r="AA6995">
        <v>0.94203539999999997</v>
      </c>
      <c r="AB6995">
        <v>32</v>
      </c>
      <c r="AC6995">
        <v>18.5657</v>
      </c>
      <c r="AD6995">
        <v>-1.12455002924662</v>
      </c>
      <c r="AE6995">
        <v>-3.9180199999999901</v>
      </c>
      <c r="AF6995">
        <v>-6.3809193850791299</v>
      </c>
      <c r="AG6995">
        <v>-1.12455002924662</v>
      </c>
      <c r="AH6995">
        <v>17.798988820971001</v>
      </c>
      <c r="AI6995">
        <v>93.403610734430501</v>
      </c>
      <c r="AJ6995">
        <v>109.72270508413099</v>
      </c>
      <c r="AK6995">
        <v>18.941614187186101</v>
      </c>
      <c r="AL6995">
        <v>80.355947419998699</v>
      </c>
      <c r="AM6995">
        <v>102.01522312139799</v>
      </c>
      <c r="AN6995">
        <v>1.0000000430323199</v>
      </c>
    </row>
    <row r="6996" spans="1:40" x14ac:dyDescent="0.25">
      <c r="A6996" t="str">
        <f>"20190304154935359"</f>
        <v>20190304154935359</v>
      </c>
      <c r="B6996" t="str">
        <f>"1551685775354513"</f>
        <v>1551685775354513</v>
      </c>
      <c r="C6996" t="s">
        <v>40</v>
      </c>
      <c r="D6996">
        <v>4.4420799999999998</v>
      </c>
      <c r="E6996">
        <v>0.43953979999999998</v>
      </c>
      <c r="F6996" t="s">
        <v>98</v>
      </c>
      <c r="G6996">
        <v>-270.09339999999997</v>
      </c>
      <c r="H6996" s="1">
        <v>2.9494610000000002E-7</v>
      </c>
      <c r="I6996">
        <v>-62.680370000000003</v>
      </c>
      <c r="J6996">
        <v>-289.21910000000003</v>
      </c>
      <c r="K6996">
        <v>1.1245430000000001</v>
      </c>
      <c r="L6996">
        <v>-58.949280000000002</v>
      </c>
      <c r="M6996">
        <v>0.85563219999999995</v>
      </c>
      <c r="N6996">
        <v>-1.6266699999999999E-2</v>
      </c>
      <c r="O6996">
        <v>-0.51732860000000003</v>
      </c>
      <c r="P6996">
        <v>0.93069590000000002</v>
      </c>
      <c r="Q6996">
        <v>0.15798989999999999</v>
      </c>
      <c r="R6996">
        <v>-0.3299163</v>
      </c>
      <c r="S6996">
        <v>3.0446780000000002</v>
      </c>
      <c r="T6996">
        <v>-0.17772950000000001</v>
      </c>
      <c r="U6996">
        <v>-0.60189820000000005</v>
      </c>
      <c r="V6996">
        <v>-0.20499970000000001</v>
      </c>
      <c r="W6996">
        <v>0.16683480000000001</v>
      </c>
      <c r="X6996">
        <v>0.96443829999999997</v>
      </c>
      <c r="Y6996">
        <v>-0.34056120000000001</v>
      </c>
      <c r="Z6996">
        <v>3.2228090000000001E-2</v>
      </c>
      <c r="AA6996">
        <v>0.9396698</v>
      </c>
      <c r="AB6996">
        <v>32</v>
      </c>
      <c r="AC6996">
        <v>19.125699999999998</v>
      </c>
      <c r="AD6996">
        <v>-1.1245427050538901</v>
      </c>
      <c r="AE6996">
        <v>-3.7310899999999898</v>
      </c>
      <c r="AF6996">
        <v>-6.6804692707860003</v>
      </c>
      <c r="AG6996">
        <v>-1.1245427050538901</v>
      </c>
      <c r="AH6996">
        <v>18.236451128381699</v>
      </c>
      <c r="AI6996">
        <v>93.313827798103205</v>
      </c>
      <c r="AJ6996">
        <v>110.11904908042099</v>
      </c>
      <c r="AK6996">
        <v>19.454084808370201</v>
      </c>
      <c r="AL6996">
        <v>80.396161467872702</v>
      </c>
      <c r="AM6996">
        <v>102.00011430647299</v>
      </c>
      <c r="AN6996">
        <v>0.999999980999009</v>
      </c>
    </row>
    <row r="6997" spans="1:40" x14ac:dyDescent="0.25">
      <c r="A6997" t="str">
        <f>"20190304154935370"</f>
        <v>20190304154935370</v>
      </c>
      <c r="B6997" t="str">
        <f>"1551685775364273"</f>
        <v>1551685775364273</v>
      </c>
      <c r="C6997" t="s">
        <v>40</v>
      </c>
      <c r="D6997">
        <v>4.5436809999999896</v>
      </c>
      <c r="E6997">
        <v>0.43913360000000001</v>
      </c>
      <c r="F6997" t="s">
        <v>98</v>
      </c>
      <c r="G6997">
        <v>-270.959</v>
      </c>
      <c r="H6997" s="1">
        <v>-1.471801E-8</v>
      </c>
      <c r="I6997">
        <v>-62.40305</v>
      </c>
      <c r="J6997">
        <v>-289.08109999999999</v>
      </c>
      <c r="K6997">
        <v>1.124533</v>
      </c>
      <c r="L6997">
        <v>-59.025089999999999</v>
      </c>
      <c r="M6997">
        <v>0.85991130000000005</v>
      </c>
      <c r="N6997">
        <v>-1.6283909999999999E-2</v>
      </c>
      <c r="O6997">
        <v>-0.51018390000000002</v>
      </c>
      <c r="P6997">
        <v>0.9332897</v>
      </c>
      <c r="Q6997">
        <v>0.15862870000000001</v>
      </c>
      <c r="R6997">
        <v>-0.32219209999999998</v>
      </c>
      <c r="S6997">
        <v>3.050751</v>
      </c>
      <c r="T6997">
        <v>-0.18787870000000001</v>
      </c>
      <c r="U6997">
        <v>-0.57702640000000005</v>
      </c>
      <c r="V6997">
        <v>-0.20492170000000001</v>
      </c>
      <c r="W6997">
        <v>0.1674967</v>
      </c>
      <c r="X6997">
        <v>0.96434019999999998</v>
      </c>
      <c r="Y6997">
        <v>-0.34034449999999999</v>
      </c>
      <c r="Z6997">
        <v>3.4117769999999999E-2</v>
      </c>
      <c r="AA6997">
        <v>0.93968160000000001</v>
      </c>
      <c r="AB6997">
        <v>32</v>
      </c>
      <c r="AC6997">
        <v>18.1220999999999</v>
      </c>
      <c r="AD6997">
        <v>-1.1245330147180099</v>
      </c>
      <c r="AE6997">
        <v>-3.3779599999999901</v>
      </c>
      <c r="AF6997">
        <v>-6.3181860019377503</v>
      </c>
      <c r="AG6997">
        <v>-1.1245330147180099</v>
      </c>
      <c r="AH6997">
        <v>17.244899148842901</v>
      </c>
      <c r="AI6997">
        <v>93.503813213722907</v>
      </c>
      <c r="AJ6997">
        <v>110.121823385299</v>
      </c>
      <c r="AK6997">
        <v>18.400287919215799</v>
      </c>
      <c r="AL6997">
        <v>80.357696657482705</v>
      </c>
      <c r="AM6997">
        <v>101.99686562579301</v>
      </c>
      <c r="AN6997">
        <v>1.0000000344889</v>
      </c>
    </row>
    <row r="6998" spans="1:40" x14ac:dyDescent="0.25">
      <c r="A6998" t="str">
        <f>"20190304154935380"</f>
        <v>20190304154935380</v>
      </c>
      <c r="B6998" t="str">
        <f>"1551685775374032"</f>
        <v>1551685775374032</v>
      </c>
      <c r="C6998" t="s">
        <v>40</v>
      </c>
      <c r="D6998">
        <v>4.5487330000000004</v>
      </c>
      <c r="E6998">
        <v>0.43888650000000001</v>
      </c>
      <c r="F6998" t="s">
        <v>98</v>
      </c>
      <c r="G6998">
        <v>-270.6096</v>
      </c>
      <c r="H6998" s="1">
        <v>1.47653299999999E-7</v>
      </c>
      <c r="I6998">
        <v>-62.346780000000003</v>
      </c>
      <c r="J6998">
        <v>-288.95</v>
      </c>
      <c r="K6998">
        <v>1.124525</v>
      </c>
      <c r="L6998">
        <v>-59.094909999999999</v>
      </c>
      <c r="M6998">
        <v>0.86389329999999998</v>
      </c>
      <c r="N6998">
        <v>-1.629792E-2</v>
      </c>
      <c r="O6998">
        <v>-0.5034111</v>
      </c>
      <c r="P6998">
        <v>0.93564499999999995</v>
      </c>
      <c r="Q6998">
        <v>0.15909429999999999</v>
      </c>
      <c r="R6998">
        <v>-0.31505139999999998</v>
      </c>
      <c r="S6998">
        <v>3.0563660000000001</v>
      </c>
      <c r="T6998">
        <v>-0.18606980000000001</v>
      </c>
      <c r="U6998">
        <v>-0.54962159999999904</v>
      </c>
      <c r="V6998">
        <v>-0.2046839</v>
      </c>
      <c r="W6998">
        <v>0.16799029999999901</v>
      </c>
      <c r="X6998">
        <v>0.96430479999999996</v>
      </c>
      <c r="Y6998">
        <v>-0.34144960000000002</v>
      </c>
      <c r="Z6998">
        <v>3.3519819999999999E-2</v>
      </c>
      <c r="AA6998">
        <v>0.93930219999999998</v>
      </c>
      <c r="AB6998">
        <v>32</v>
      </c>
      <c r="AC6998">
        <v>18.340399999999899</v>
      </c>
      <c r="AD6998">
        <v>-1.1245248523467</v>
      </c>
      <c r="AE6998">
        <v>-3.2518699999999998</v>
      </c>
      <c r="AF6998">
        <v>-6.4010149141499699</v>
      </c>
      <c r="AG6998">
        <v>-1.1245248523467</v>
      </c>
      <c r="AH6998">
        <v>17.420005362564002</v>
      </c>
      <c r="AI6998">
        <v>93.467454866496794</v>
      </c>
      <c r="AJ6998">
        <v>110.17595447809801</v>
      </c>
      <c r="AK6998">
        <v>18.592851715282301</v>
      </c>
      <c r="AL6998">
        <v>80.329008576653294</v>
      </c>
      <c r="AM6998">
        <v>101.983773812096</v>
      </c>
      <c r="AN6998">
        <v>0.99999999355816904</v>
      </c>
    </row>
    <row r="6999" spans="1:40" x14ac:dyDescent="0.25">
      <c r="A6999" t="str">
        <f>"20190304154935391"</f>
        <v>20190304154935391</v>
      </c>
      <c r="B6999" t="str">
        <f>"1551685775383793"</f>
        <v>1551685775383793</v>
      </c>
      <c r="C6999" t="s">
        <v>40</v>
      </c>
      <c r="D6999">
        <v>4.5145569999999999</v>
      </c>
      <c r="E6999">
        <v>0.43883640000000002</v>
      </c>
      <c r="F6999" t="s">
        <v>98</v>
      </c>
      <c r="G6999">
        <v>-270.2978</v>
      </c>
      <c r="H6999" s="1">
        <v>2.9228579999999999E-7</v>
      </c>
      <c r="I6999">
        <v>-62.2979699999999</v>
      </c>
      <c r="J6999">
        <v>-288.81990000000002</v>
      </c>
      <c r="K6999">
        <v>1.1245160000000001</v>
      </c>
      <c r="L6999">
        <v>-59.163939999999997</v>
      </c>
      <c r="M6999">
        <v>0.86778929999999999</v>
      </c>
      <c r="N6999">
        <v>-1.6311659999999999E-2</v>
      </c>
      <c r="O6999">
        <v>-0.49666480000000002</v>
      </c>
      <c r="P6999">
        <v>0.93802739999999996</v>
      </c>
      <c r="Q6999">
        <v>0.15955159999999999</v>
      </c>
      <c r="R6999">
        <v>-0.30764970000000003</v>
      </c>
      <c r="S6999">
        <v>3.06073</v>
      </c>
      <c r="T6999">
        <v>-0.18452840000000001</v>
      </c>
      <c r="U6999">
        <v>-0.52560419999999997</v>
      </c>
      <c r="V6999">
        <v>-0.204761</v>
      </c>
      <c r="W6999">
        <v>0.16846269999999999</v>
      </c>
      <c r="X6999">
        <v>0.96420600000000001</v>
      </c>
      <c r="Y6999">
        <v>-0.34153699999999998</v>
      </c>
      <c r="Z6999">
        <v>3.2953400000000001E-2</v>
      </c>
      <c r="AA6999">
        <v>0.93929050000000003</v>
      </c>
      <c r="AB6999">
        <v>31</v>
      </c>
      <c r="AC6999">
        <v>18.522099999999998</v>
      </c>
      <c r="AD6999">
        <v>-1.1245157077142001</v>
      </c>
      <c r="AE6999">
        <v>-3.1340299999999801</v>
      </c>
      <c r="AF6999">
        <v>-6.4573197791907102</v>
      </c>
      <c r="AG6999">
        <v>-1.1245157077142001</v>
      </c>
      <c r="AH6999">
        <v>17.5692291177531</v>
      </c>
      <c r="AI6999">
        <v>93.437954134547795</v>
      </c>
      <c r="AJ6999">
        <v>110.180184593196</v>
      </c>
      <c r="AK6999">
        <v>18.7520485840808</v>
      </c>
      <c r="AL6999">
        <v>80.301550592429095</v>
      </c>
      <c r="AM6999">
        <v>101.989350123279</v>
      </c>
      <c r="AN6999">
        <v>0.99999997942414398</v>
      </c>
    </row>
    <row r="7000" spans="1:40" x14ac:dyDescent="0.25">
      <c r="A7000" t="str">
        <f>"20190304154935401"</f>
        <v>20190304154935401</v>
      </c>
      <c r="B7000" t="str">
        <f>"1551685775394528"</f>
        <v>1551685775394528</v>
      </c>
      <c r="C7000" t="s">
        <v>40</v>
      </c>
      <c r="D7000">
        <v>4.5098459999999996</v>
      </c>
      <c r="E7000">
        <v>0.43901119999999999</v>
      </c>
      <c r="F7000" t="s">
        <v>98</v>
      </c>
      <c r="G7000">
        <v>-270.02569999999997</v>
      </c>
      <c r="H7000" s="1">
        <v>4.2146800000000003E-7</v>
      </c>
      <c r="I7000">
        <v>-62.241909999999997</v>
      </c>
      <c r="J7000">
        <v>-288.69709999999998</v>
      </c>
      <c r="K7000">
        <v>1.1245080000000001</v>
      </c>
      <c r="L7000">
        <v>-59.226779999999998</v>
      </c>
      <c r="M7000">
        <v>0.87138909999999903</v>
      </c>
      <c r="N7000">
        <v>-1.6322070000000001E-2</v>
      </c>
      <c r="O7000">
        <v>-0.49032130000000002</v>
      </c>
      <c r="P7000">
        <v>0.94002960000000002</v>
      </c>
      <c r="Q7000">
        <v>0.16025049999999999</v>
      </c>
      <c r="R7000">
        <v>-0.30110559999999997</v>
      </c>
      <c r="S7000">
        <v>3.0647579999999999</v>
      </c>
      <c r="T7000">
        <v>-0.1833745</v>
      </c>
      <c r="U7000">
        <v>-0.5019226</v>
      </c>
      <c r="V7000">
        <v>-0.204405</v>
      </c>
      <c r="W7000">
        <v>0.1691917</v>
      </c>
      <c r="X7000">
        <v>0.96415390000000001</v>
      </c>
      <c r="Y7000">
        <v>-0.34196729999999997</v>
      </c>
      <c r="Z7000">
        <v>3.2501120000000001E-2</v>
      </c>
      <c r="AA7000">
        <v>0.93914960000000003</v>
      </c>
      <c r="AB7000">
        <v>31</v>
      </c>
      <c r="AC7000">
        <v>18.671399999999998</v>
      </c>
      <c r="AD7000">
        <v>-1.124507578532</v>
      </c>
      <c r="AE7000">
        <v>-3.0151299999999899</v>
      </c>
      <c r="AF7000">
        <v>-6.5055051988471098</v>
      </c>
      <c r="AG7000">
        <v>-1.124507578532</v>
      </c>
      <c r="AH7000">
        <v>17.688270173284</v>
      </c>
      <c r="AI7000">
        <v>93.414570655823994</v>
      </c>
      <c r="AJ7000">
        <v>110.19283570672501</v>
      </c>
      <c r="AK7000">
        <v>18.880175235137301</v>
      </c>
      <c r="AL7000">
        <v>80.259173770222901</v>
      </c>
      <c r="AM7000">
        <v>101.969735076737</v>
      </c>
      <c r="AN7000">
        <v>0.99999998912954902</v>
      </c>
    </row>
    <row r="7001" spans="1:40" x14ac:dyDescent="0.25">
      <c r="A7001" t="str">
        <f>"20190304154935412"</f>
        <v>20190304154935412</v>
      </c>
      <c r="B7001" t="str">
        <f>"1551685775404290"</f>
        <v>1551685775404290</v>
      </c>
      <c r="C7001" t="s">
        <v>40</v>
      </c>
      <c r="D7001">
        <v>4.5137269999999896</v>
      </c>
      <c r="E7001">
        <v>0.43922119999999998</v>
      </c>
      <c r="F7001" t="s">
        <v>99</v>
      </c>
      <c r="G7001">
        <v>-269.8261</v>
      </c>
      <c r="H7001" s="1">
        <v>-3.5536819999999999E-6</v>
      </c>
      <c r="I7001">
        <v>-62.195390000000003</v>
      </c>
      <c r="J7001">
        <v>-288.56670000000003</v>
      </c>
      <c r="K7001">
        <v>1.1244959999999999</v>
      </c>
      <c r="L7001">
        <v>-59.293329999999997</v>
      </c>
      <c r="M7001">
        <v>0.87515889999999996</v>
      </c>
      <c r="N7001">
        <v>-1.6333190000000001E-2</v>
      </c>
      <c r="O7001">
        <v>-0.48355969999999998</v>
      </c>
      <c r="P7001">
        <v>0.94229220000000002</v>
      </c>
      <c r="Q7001">
        <v>0.1601204</v>
      </c>
      <c r="R7001">
        <v>-0.29401870000000002</v>
      </c>
      <c r="S7001">
        <v>3.0679630000000002</v>
      </c>
      <c r="T7001">
        <v>-0.18281819999999999</v>
      </c>
      <c r="U7001">
        <v>-0.4826355</v>
      </c>
      <c r="V7001">
        <v>-0.20419950000000001</v>
      </c>
      <c r="W7001">
        <v>0.169088299999999</v>
      </c>
      <c r="X7001">
        <v>0.96421559999999995</v>
      </c>
      <c r="Y7001">
        <v>-0.34062039999999999</v>
      </c>
      <c r="Z7001">
        <v>3.2095230000000002E-2</v>
      </c>
      <c r="AA7001">
        <v>0.93965290000000001</v>
      </c>
      <c r="AB7001">
        <v>31</v>
      </c>
      <c r="AC7001">
        <v>18.740600000000001</v>
      </c>
      <c r="AD7001">
        <v>-1.1244995536819999</v>
      </c>
      <c r="AE7001">
        <v>-2.9020599999999899</v>
      </c>
      <c r="AF7001">
        <v>-6.5004497452499601</v>
      </c>
      <c r="AG7001">
        <v>-1.1244995536819999</v>
      </c>
      <c r="AH7001">
        <v>17.7443081366626</v>
      </c>
      <c r="AI7001">
        <v>93.405377520049001</v>
      </c>
      <c r="AJ7001">
        <v>110.119802918023</v>
      </c>
      <c r="AK7001">
        <v>18.9309486657585</v>
      </c>
      <c r="AL7001">
        <v>80.265184927229598</v>
      </c>
      <c r="AM7001">
        <v>101.95730463955201</v>
      </c>
      <c r="AN7001">
        <v>1.0000000061402401</v>
      </c>
    </row>
    <row r="7002" spans="1:40" x14ac:dyDescent="0.25">
      <c r="A7002" t="str">
        <f>"20190304154935422"</f>
        <v>20190304154935422</v>
      </c>
      <c r="B7002" t="str">
        <f>"1551685775414048"</f>
        <v>1551685775414048</v>
      </c>
      <c r="C7002" t="s">
        <v>40</v>
      </c>
      <c r="D7002">
        <v>4.5355670000000003</v>
      </c>
      <c r="E7002">
        <v>0.43947399999999998</v>
      </c>
      <c r="F7002" t="s">
        <v>44</v>
      </c>
      <c r="G7002">
        <v>-269.79640000000001</v>
      </c>
      <c r="H7002" s="1">
        <v>-3.5292020000000001E-6</v>
      </c>
      <c r="I7002">
        <v>-62.1143199999999</v>
      </c>
      <c r="J7002">
        <v>-288.43099999999998</v>
      </c>
      <c r="K7002">
        <v>1.1244769999999999</v>
      </c>
      <c r="L7002">
        <v>-59.360320000000002</v>
      </c>
      <c r="M7002">
        <v>0.87899819999999995</v>
      </c>
      <c r="N7002">
        <v>-1.6341890000000001E-2</v>
      </c>
      <c r="O7002">
        <v>-0.476545</v>
      </c>
      <c r="P7002">
        <v>0.94455979999999995</v>
      </c>
      <c r="Q7002">
        <v>0.15983639999999999</v>
      </c>
      <c r="R7002">
        <v>-0.28680860000000002</v>
      </c>
      <c r="S7002">
        <v>3.0709840000000002</v>
      </c>
      <c r="T7002">
        <v>-0.183978</v>
      </c>
      <c r="U7002">
        <v>-0.46154790000000001</v>
      </c>
      <c r="V7002">
        <v>-0.20386080000000001</v>
      </c>
      <c r="W7002">
        <v>0.1688354</v>
      </c>
      <c r="X7002">
        <v>0.96433159999999896</v>
      </c>
      <c r="Y7002">
        <v>-0.33953990000000001</v>
      </c>
      <c r="Z7002">
        <v>3.2043580000000002E-2</v>
      </c>
      <c r="AA7002">
        <v>0.94004569999999998</v>
      </c>
      <c r="AB7002">
        <v>31</v>
      </c>
      <c r="AC7002">
        <v>18.634599999999899</v>
      </c>
      <c r="AD7002">
        <v>-1.1244805292019999</v>
      </c>
      <c r="AE7002">
        <v>-2.7539999999999898</v>
      </c>
      <c r="AF7002">
        <v>-6.4373872092950197</v>
      </c>
      <c r="AG7002">
        <v>-1.1244805292019999</v>
      </c>
      <c r="AH7002">
        <v>17.631716308643501</v>
      </c>
      <c r="AI7002">
        <v>93.428378727599295</v>
      </c>
      <c r="AJ7002">
        <v>110.057274420258</v>
      </c>
      <c r="AK7002">
        <v>18.803771710256299</v>
      </c>
      <c r="AL7002">
        <v>80.279886597858294</v>
      </c>
      <c r="AM7002">
        <v>101.936646057186</v>
      </c>
      <c r="AN7002">
        <v>1.00000002641417</v>
      </c>
    </row>
    <row r="7003" spans="1:40" x14ac:dyDescent="0.25">
      <c r="A7003" t="str">
        <f>"20190304154935434"</f>
        <v>20190304154935434</v>
      </c>
      <c r="B7003" t="str">
        <f>"1551685775424786"</f>
        <v>1551685775424786</v>
      </c>
      <c r="C7003" t="s">
        <v>40</v>
      </c>
      <c r="D7003">
        <v>4.5101950000000004</v>
      </c>
      <c r="E7003">
        <v>0.4397123</v>
      </c>
      <c r="F7003" t="s">
        <v>44</v>
      </c>
      <c r="G7003">
        <v>-269.82209999999998</v>
      </c>
      <c r="H7003" s="1">
        <v>-3.522011E-6</v>
      </c>
      <c r="I7003">
        <v>-62.024470000000001</v>
      </c>
      <c r="J7003">
        <v>-288.29539999999997</v>
      </c>
      <c r="K7003">
        <v>1.124457</v>
      </c>
      <c r="L7003">
        <v>-59.426569999999998</v>
      </c>
      <c r="M7003">
        <v>0.882768</v>
      </c>
      <c r="N7003">
        <v>-1.6350170000000001E-2</v>
      </c>
      <c r="O7003">
        <v>-0.46952490000000002</v>
      </c>
      <c r="P7003">
        <v>0.94684669999999904</v>
      </c>
      <c r="Q7003">
        <v>0.159490299999999</v>
      </c>
      <c r="R7003">
        <v>-0.279364099999999</v>
      </c>
      <c r="S7003">
        <v>3.073944</v>
      </c>
      <c r="T7003">
        <v>-0.1857499</v>
      </c>
      <c r="U7003">
        <v>-0.44009399999999999</v>
      </c>
      <c r="V7003">
        <v>-0.20377480000000001</v>
      </c>
      <c r="W7003">
        <v>0.16851160000000001</v>
      </c>
      <c r="X7003">
        <v>0.9644064</v>
      </c>
      <c r="Y7003">
        <v>-0.33858529999999998</v>
      </c>
      <c r="Z7003">
        <v>3.2112399999999999E-2</v>
      </c>
      <c r="AA7003">
        <v>0.94038750000000004</v>
      </c>
      <c r="AB7003">
        <v>31</v>
      </c>
      <c r="AC7003">
        <v>18.473299999999899</v>
      </c>
      <c r="AD7003">
        <v>-1.124460522011</v>
      </c>
      <c r="AE7003">
        <v>-2.5978999999999899</v>
      </c>
      <c r="AF7003">
        <v>-6.3580829228939102</v>
      </c>
      <c r="AG7003">
        <v>-1.124460522011</v>
      </c>
      <c r="AH7003">
        <v>17.4662981536434</v>
      </c>
      <c r="AI7003">
        <v>93.461910856723406</v>
      </c>
      <c r="AJ7003">
        <v>110.002520876133</v>
      </c>
      <c r="AK7003">
        <v>18.621525209067102</v>
      </c>
      <c r="AL7003">
        <v>80.298708555621801</v>
      </c>
      <c r="AM7003">
        <v>101.930855949944</v>
      </c>
      <c r="AN7003">
        <v>1.00000001640527</v>
      </c>
    </row>
    <row r="7004" spans="1:40" x14ac:dyDescent="0.25">
      <c r="A7004" t="str">
        <f>"20190304154935445"</f>
        <v>20190304154935445</v>
      </c>
      <c r="B7004" t="str">
        <f>"1551685775434546"</f>
        <v>1551685775434546</v>
      </c>
      <c r="C7004" t="s">
        <v>40</v>
      </c>
      <c r="D7004">
        <v>4.5558909999999999</v>
      </c>
      <c r="E7004">
        <v>0.4400811</v>
      </c>
      <c r="F7004" t="s">
        <v>44</v>
      </c>
      <c r="G7004">
        <v>-269.87759999999997</v>
      </c>
      <c r="H7004" s="1">
        <v>-3.523347E-6</v>
      </c>
      <c r="I7004">
        <v>-61.925690000000003</v>
      </c>
      <c r="J7004">
        <v>-288.16030000000001</v>
      </c>
      <c r="K7004">
        <v>1.124436</v>
      </c>
      <c r="L7004">
        <v>-59.490810000000003</v>
      </c>
      <c r="M7004">
        <v>0.88644709999999904</v>
      </c>
      <c r="N7004">
        <v>-1.6356550000000001E-2</v>
      </c>
      <c r="O7004">
        <v>-0.46254099999999998</v>
      </c>
      <c r="P7004">
        <v>0.94908179999999998</v>
      </c>
      <c r="Q7004">
        <v>0.15912270000000001</v>
      </c>
      <c r="R7004">
        <v>-0.27188959999999901</v>
      </c>
      <c r="S7004">
        <v>3.0768740000000001</v>
      </c>
      <c r="T7004">
        <v>-0.1878512</v>
      </c>
      <c r="U7004">
        <v>-0.41751100000000002</v>
      </c>
      <c r="V7004">
        <v>-0.20377149999999999</v>
      </c>
      <c r="W7004">
        <v>0.16816229999999999</v>
      </c>
      <c r="X7004">
        <v>0.96446810000000005</v>
      </c>
      <c r="Y7004">
        <v>-0.33803359999999999</v>
      </c>
      <c r="Z7004">
        <v>3.2254919999999999E-2</v>
      </c>
      <c r="AA7004">
        <v>0.94058120000000001</v>
      </c>
      <c r="AB7004">
        <v>31</v>
      </c>
      <c r="AC7004">
        <v>18.282699999999998</v>
      </c>
      <c r="AD7004">
        <v>-1.1244395233469999</v>
      </c>
      <c r="AE7004">
        <v>-2.4348800000000002</v>
      </c>
      <c r="AF7004">
        <v>-6.27562359925804</v>
      </c>
      <c r="AG7004">
        <v>-1.1244395233469999</v>
      </c>
      <c r="AH7004">
        <v>17.271004836526199</v>
      </c>
      <c r="AI7004">
        <v>93.501633103872194</v>
      </c>
      <c r="AJ7004">
        <v>109.969211764468</v>
      </c>
      <c r="AK7004">
        <v>18.4101989088804</v>
      </c>
      <c r="AL7004">
        <v>80.319012031854996</v>
      </c>
      <c r="AM7004">
        <v>101.929926902681</v>
      </c>
      <c r="AN7004">
        <v>1.0000000496355701</v>
      </c>
    </row>
    <row r="7005" spans="1:40" x14ac:dyDescent="0.25">
      <c r="A7005" t="str">
        <f>"20190304154935456"</f>
        <v>20190304154935456</v>
      </c>
      <c r="B7005" t="str">
        <f>"1551685775454065"</f>
        <v>1551685775454065</v>
      </c>
      <c r="C7005" t="s">
        <v>40</v>
      </c>
      <c r="D7005">
        <v>4.5341250000000004</v>
      </c>
      <c r="E7005">
        <v>0.44082109999999902</v>
      </c>
      <c r="F7005" t="s">
        <v>44</v>
      </c>
      <c r="G7005">
        <v>-269.89999999999998</v>
      </c>
      <c r="H7005" s="1">
        <v>-3.5153850000000001E-6</v>
      </c>
      <c r="I7005">
        <v>-61.837690000000002</v>
      </c>
      <c r="J7005">
        <v>-288.02109999999999</v>
      </c>
      <c r="K7005">
        <v>1.124412</v>
      </c>
      <c r="L7005">
        <v>-59.55594</v>
      </c>
      <c r="M7005">
        <v>0.89016700000000004</v>
      </c>
      <c r="N7005">
        <v>-1.6362060000000001E-2</v>
      </c>
      <c r="O7005">
        <v>-0.45534049999999998</v>
      </c>
      <c r="P7005">
        <v>0.95118899999999995</v>
      </c>
      <c r="Q7005">
        <v>0.15931789999999901</v>
      </c>
      <c r="R7005">
        <v>-0.26430550000000003</v>
      </c>
      <c r="S7005">
        <v>3.0793759999999999</v>
      </c>
      <c r="T7005">
        <v>-0.18962280000000001</v>
      </c>
      <c r="U7005">
        <v>-0.39578249999999998</v>
      </c>
      <c r="V7005">
        <v>-0.2036327</v>
      </c>
      <c r="W7005">
        <v>0.1683809</v>
      </c>
      <c r="X7005">
        <v>0.96445919999999896</v>
      </c>
      <c r="Y7005">
        <v>-0.33701589999999998</v>
      </c>
      <c r="Z7005">
        <v>3.2299090000000003E-2</v>
      </c>
      <c r="AA7005">
        <v>0.94094469999999997</v>
      </c>
      <c r="AB7005">
        <v>31</v>
      </c>
      <c r="AC7005">
        <v>18.121099999999998</v>
      </c>
      <c r="AD7005">
        <v>-1.124415515385</v>
      </c>
      <c r="AE7005">
        <v>-2.2817500000000002</v>
      </c>
      <c r="AF7005">
        <v>-6.1974758731160398</v>
      </c>
      <c r="AG7005">
        <v>-1.124415515385</v>
      </c>
      <c r="AH7005">
        <v>17.1072389334246</v>
      </c>
      <c r="AI7005">
        <v>93.536226089385195</v>
      </c>
      <c r="AJ7005">
        <v>109.914040163056</v>
      </c>
      <c r="AK7005">
        <v>18.229938051852301</v>
      </c>
      <c r="AL7005">
        <v>80.3063052770555</v>
      </c>
      <c r="AM7005">
        <v>101.922140249511</v>
      </c>
      <c r="AN7005">
        <v>0.99999997622936898</v>
      </c>
    </row>
    <row r="7006" spans="1:40" x14ac:dyDescent="0.25">
      <c r="A7006" t="str">
        <f>"20190304154935467"</f>
        <v>20190304154935467</v>
      </c>
      <c r="B7006" t="str">
        <f>"1551685775464802"</f>
        <v>1551685775464802</v>
      </c>
      <c r="C7006" t="s">
        <v>40</v>
      </c>
      <c r="D7006">
        <v>4.5295750000000004</v>
      </c>
      <c r="E7006">
        <v>0.4412586</v>
      </c>
      <c r="F7006" t="s">
        <v>44</v>
      </c>
      <c r="G7006">
        <v>-269.78579999999999</v>
      </c>
      <c r="H7006" s="1">
        <v>-3.4668509999999999E-6</v>
      </c>
      <c r="I7006">
        <v>-61.783149999999999</v>
      </c>
      <c r="J7006">
        <v>-287.88150000000002</v>
      </c>
      <c r="K7006">
        <v>1.1243840000000001</v>
      </c>
      <c r="L7006">
        <v>-59.619869999999999</v>
      </c>
      <c r="M7006">
        <v>0.893818</v>
      </c>
      <c r="N7006">
        <v>-1.6366200000000001E-2</v>
      </c>
      <c r="O7006">
        <v>-0.44813140000000001</v>
      </c>
      <c r="P7006">
        <v>0.95340219999999998</v>
      </c>
      <c r="Q7006">
        <v>0.15897720000000001</v>
      </c>
      <c r="R7006">
        <v>-0.25641809999999998</v>
      </c>
      <c r="S7006">
        <v>3.081207</v>
      </c>
      <c r="T7006">
        <v>-0.18999250000000001</v>
      </c>
      <c r="U7006">
        <v>-0.37634279999999998</v>
      </c>
      <c r="V7006">
        <v>-0.20382819999999999</v>
      </c>
      <c r="W7006">
        <v>0.16805229999999999</v>
      </c>
      <c r="X7006">
        <v>0.96447519999999998</v>
      </c>
      <c r="Y7006">
        <v>-0.33532800000000001</v>
      </c>
      <c r="Z7006">
        <v>3.2039930000000001E-2</v>
      </c>
      <c r="AA7006">
        <v>0.94155650000000002</v>
      </c>
      <c r="AB7006">
        <v>31</v>
      </c>
      <c r="AC7006">
        <v>18.095700000000001</v>
      </c>
      <c r="AD7006">
        <v>-1.1243874668510001</v>
      </c>
      <c r="AE7006">
        <v>-2.1632799999999999</v>
      </c>
      <c r="AF7006">
        <v>-6.1530780445637898</v>
      </c>
      <c r="AG7006">
        <v>-1.1243874668510001</v>
      </c>
      <c r="AH7006">
        <v>17.080973010260099</v>
      </c>
      <c r="AI7006">
        <v>93.543867901695407</v>
      </c>
      <c r="AJ7006">
        <v>109.81053903962901</v>
      </c>
      <c r="AK7006">
        <v>18.1902241760606</v>
      </c>
      <c r="AL7006">
        <v>80.325404689979393</v>
      </c>
      <c r="AM7006">
        <v>101.933065957555</v>
      </c>
      <c r="AN7006">
        <v>0.99999996103278399</v>
      </c>
    </row>
    <row r="7007" spans="1:40" x14ac:dyDescent="0.25">
      <c r="A7007" t="str">
        <f>"20190304154935479"</f>
        <v>20190304154935479</v>
      </c>
      <c r="B7007" t="str">
        <f>"1551685775474561"</f>
        <v>1551685775474561</v>
      </c>
      <c r="C7007" t="s">
        <v>40</v>
      </c>
      <c r="D7007">
        <v>4.5733829999999998</v>
      </c>
      <c r="E7007">
        <v>0.44171739999999998</v>
      </c>
      <c r="F7007" t="s">
        <v>44</v>
      </c>
      <c r="G7007">
        <v>-269.7919</v>
      </c>
      <c r="H7007" s="1">
        <v>-3.4537589999999998E-6</v>
      </c>
      <c r="I7007">
        <v>-61.697760000000002</v>
      </c>
      <c r="J7007">
        <v>-287.73540000000003</v>
      </c>
      <c r="K7007">
        <v>1.124347</v>
      </c>
      <c r="L7007">
        <v>-59.685000000000002</v>
      </c>
      <c r="M7007">
        <v>0.89755209999999996</v>
      </c>
      <c r="N7007">
        <v>-1.636847E-2</v>
      </c>
      <c r="O7007">
        <v>-0.44060460000000001</v>
      </c>
      <c r="P7007">
        <v>0.95560469999999997</v>
      </c>
      <c r="Q7007">
        <v>0.1589843</v>
      </c>
      <c r="R7007">
        <v>-0.24808079999999999</v>
      </c>
      <c r="S7007">
        <v>3.0833740000000001</v>
      </c>
      <c r="T7007">
        <v>-0.19165160000000001</v>
      </c>
      <c r="U7007">
        <v>-0.35418699999999997</v>
      </c>
      <c r="V7007">
        <v>-0.20413400000000001</v>
      </c>
      <c r="W7007">
        <v>0.16806740000000001</v>
      </c>
      <c r="X7007">
        <v>0.96440789999999998</v>
      </c>
      <c r="Y7007">
        <v>-0.33415119999999998</v>
      </c>
      <c r="Z7007">
        <v>3.2030169999999997E-2</v>
      </c>
      <c r="AA7007">
        <v>0.94197509999999995</v>
      </c>
      <c r="AB7007">
        <v>31</v>
      </c>
      <c r="AC7007">
        <v>17.9435</v>
      </c>
      <c r="AD7007">
        <v>-1.1243504537589999</v>
      </c>
      <c r="AE7007">
        <v>-2.0127599999999899</v>
      </c>
      <c r="AF7007">
        <v>-6.0766858770610002</v>
      </c>
      <c r="AG7007">
        <v>-1.1243504537589999</v>
      </c>
      <c r="AH7007">
        <v>16.928691204256001</v>
      </c>
      <c r="AI7007">
        <v>93.576991874227105</v>
      </c>
      <c r="AJ7007">
        <v>109.745996521276</v>
      </c>
      <c r="AK7007">
        <v>18.021400086574801</v>
      </c>
      <c r="AL7007">
        <v>80.324527120865</v>
      </c>
      <c r="AM7007">
        <v>101.951264542366</v>
      </c>
      <c r="AN7007">
        <v>0.99999996924058399</v>
      </c>
    </row>
    <row r="7008" spans="1:40" x14ac:dyDescent="0.25">
      <c r="A7008" t="str">
        <f>"20190304154935492"</f>
        <v>20190304154935492</v>
      </c>
      <c r="B7008" t="str">
        <f>"1551685775484321"</f>
        <v>1551685775484321</v>
      </c>
      <c r="C7008" t="s">
        <v>40</v>
      </c>
      <c r="D7008">
        <v>4.5594739999999998</v>
      </c>
      <c r="E7008">
        <v>0.44219720000000001</v>
      </c>
      <c r="F7008" t="s">
        <v>44</v>
      </c>
      <c r="G7008">
        <v>-269.70850000000002</v>
      </c>
      <c r="H7008" s="1">
        <v>-3.4115080000000001E-6</v>
      </c>
      <c r="I7008">
        <v>-61.619500000000002</v>
      </c>
      <c r="J7008">
        <v>-287.5813</v>
      </c>
      <c r="K7008">
        <v>1.1243080000000001</v>
      </c>
      <c r="L7008">
        <v>-59.752870000000001</v>
      </c>
      <c r="M7008">
        <v>0.90141059999999995</v>
      </c>
      <c r="N7008">
        <v>-1.637021E-2</v>
      </c>
      <c r="O7008">
        <v>-0.43265559999999997</v>
      </c>
      <c r="P7008">
        <v>0.95792290000000002</v>
      </c>
      <c r="Q7008">
        <v>0.15865270000000001</v>
      </c>
      <c r="R7008">
        <v>-0.23919179999999901</v>
      </c>
      <c r="S7008">
        <v>3.0854490000000001</v>
      </c>
      <c r="T7008">
        <v>-0.19244120000000001</v>
      </c>
      <c r="U7008">
        <v>-0.33111570000000001</v>
      </c>
      <c r="V7008">
        <v>-0.204569</v>
      </c>
      <c r="W7008">
        <v>0.16774169999999999</v>
      </c>
      <c r="X7008">
        <v>0.96437249999999997</v>
      </c>
      <c r="Y7008">
        <v>-0.33285239999999999</v>
      </c>
      <c r="Z7008">
        <v>3.1826100000000003E-2</v>
      </c>
      <c r="AA7008">
        <v>0.94244170000000005</v>
      </c>
      <c r="AB7008">
        <v>31</v>
      </c>
      <c r="AC7008">
        <v>17.872799999999899</v>
      </c>
      <c r="AD7008">
        <v>-1.124311411508</v>
      </c>
      <c r="AE7008">
        <v>-1.86663</v>
      </c>
      <c r="AF7008">
        <v>-6.0273838040995402</v>
      </c>
      <c r="AG7008">
        <v>-1.124311411508</v>
      </c>
      <c r="AH7008">
        <v>16.854629843462099</v>
      </c>
      <c r="AI7008">
        <v>93.594077916762998</v>
      </c>
      <c r="AJ7008">
        <v>109.6775569807</v>
      </c>
      <c r="AK7008">
        <v>17.9352161635173</v>
      </c>
      <c r="AL7008">
        <v>80.343457753957907</v>
      </c>
      <c r="AM7008">
        <v>101.976424468324</v>
      </c>
      <c r="AN7008">
        <v>1.0000000362180601</v>
      </c>
    </row>
    <row r="7009" spans="1:40" x14ac:dyDescent="0.25">
      <c r="A7009" t="str">
        <f>"20190304154935503"</f>
        <v>20190304154935503</v>
      </c>
      <c r="B7009" t="str">
        <f>"1551685775494081"</f>
        <v>1551685775494081</v>
      </c>
      <c r="C7009" t="s">
        <v>40</v>
      </c>
      <c r="D7009">
        <v>4.5011000000000001</v>
      </c>
      <c r="E7009">
        <v>0.44269380000000003</v>
      </c>
      <c r="F7009" t="s">
        <v>99</v>
      </c>
      <c r="G7009">
        <v>-269.71379999999999</v>
      </c>
      <c r="H7009" s="1">
        <v>-3.3968930000000001E-6</v>
      </c>
      <c r="I7009">
        <v>-61.527030000000003</v>
      </c>
      <c r="J7009">
        <v>-287.42930000000001</v>
      </c>
      <c r="K7009">
        <v>1.1242620000000001</v>
      </c>
      <c r="L7009">
        <v>-59.817259999999997</v>
      </c>
      <c r="M7009">
        <v>0.90511180000000002</v>
      </c>
      <c r="N7009">
        <v>-1.6368549999999999E-2</v>
      </c>
      <c r="O7009">
        <v>-0.42485859999999898</v>
      </c>
      <c r="P7009">
        <v>0.96011239999999998</v>
      </c>
      <c r="Q7009">
        <v>0.1581407</v>
      </c>
      <c r="R7009">
        <v>-0.23059959999999999</v>
      </c>
      <c r="S7009">
        <v>3.0874329999999999</v>
      </c>
      <c r="T7009">
        <v>-0.194276</v>
      </c>
      <c r="U7009">
        <v>-0.30657960000000001</v>
      </c>
      <c r="V7009">
        <v>-0.20488609999999999</v>
      </c>
      <c r="W7009">
        <v>0.1672391</v>
      </c>
      <c r="X7009">
        <v>0.96439240000000004</v>
      </c>
      <c r="Y7009">
        <v>-0.3321731</v>
      </c>
      <c r="Z7009">
        <v>3.1842849999999999E-2</v>
      </c>
      <c r="AA7009">
        <v>0.94268079999999999</v>
      </c>
      <c r="AB7009">
        <v>31</v>
      </c>
      <c r="AC7009">
        <v>17.715499999999999</v>
      </c>
      <c r="AD7009">
        <v>-1.1242653968930001</v>
      </c>
      <c r="AE7009">
        <v>-1.70977</v>
      </c>
      <c r="AF7009">
        <v>-5.9560837892528804</v>
      </c>
      <c r="AG7009">
        <v>-1.1242653968930001</v>
      </c>
      <c r="AH7009">
        <v>16.696539311382399</v>
      </c>
      <c r="AI7009">
        <v>93.628883415081802</v>
      </c>
      <c r="AJ7009">
        <v>109.632620994397</v>
      </c>
      <c r="AK7009">
        <v>17.762694946538598</v>
      </c>
      <c r="AL7009">
        <v>80.372666549870203</v>
      </c>
      <c r="AM7009">
        <v>101.99421139402</v>
      </c>
      <c r="AN7009">
        <v>0.99999996585988904</v>
      </c>
    </row>
    <row r="7010" spans="1:40" x14ac:dyDescent="0.25">
      <c r="A7010" t="str">
        <f>"20190304154935516"</f>
        <v>20190304154935516</v>
      </c>
      <c r="B7010" t="str">
        <f>"1551685775503841"</f>
        <v>1551685775503841</v>
      </c>
      <c r="C7010" t="s">
        <v>40</v>
      </c>
      <c r="D7010">
        <v>4.4241769999999896</v>
      </c>
      <c r="E7010">
        <v>0.44269380000000003</v>
      </c>
      <c r="F7010" t="s">
        <v>44</v>
      </c>
      <c r="G7010">
        <v>-269.81569999999999</v>
      </c>
      <c r="H7010" s="1">
        <v>-3.4145359999999998E-6</v>
      </c>
      <c r="I7010">
        <v>-61.430889999999998</v>
      </c>
      <c r="J7010">
        <v>-287.27760000000001</v>
      </c>
      <c r="K7010">
        <v>1.124217</v>
      </c>
      <c r="L7010">
        <v>-59.880580000000002</v>
      </c>
      <c r="M7010">
        <v>0.90872260000000005</v>
      </c>
      <c r="N7010">
        <v>-1.6366189999999999E-2</v>
      </c>
      <c r="O7010">
        <v>-0.4170798</v>
      </c>
      <c r="P7010">
        <v>0.96216349999999995</v>
      </c>
      <c r="Q7010">
        <v>0.1576256</v>
      </c>
      <c r="R7010">
        <v>-0.22225220000000001</v>
      </c>
      <c r="S7010">
        <v>3.089172</v>
      </c>
      <c r="T7010">
        <v>-0.1971803</v>
      </c>
      <c r="U7010">
        <v>-0.28301999999999999</v>
      </c>
      <c r="V7010">
        <v>-0.20498910000000001</v>
      </c>
      <c r="W7010">
        <v>0.16674220000000001</v>
      </c>
      <c r="X7010">
        <v>0.9644566</v>
      </c>
      <c r="Y7010">
        <v>-0.33123180000000002</v>
      </c>
      <c r="Z7010">
        <v>3.2036149999999999E-2</v>
      </c>
      <c r="AA7010">
        <v>0.94300539999999999</v>
      </c>
      <c r="AB7010">
        <v>31</v>
      </c>
      <c r="AC7010">
        <v>17.4619</v>
      </c>
      <c r="AD7010">
        <v>-1.124220414536</v>
      </c>
      <c r="AE7010">
        <v>-1.5503100000000001</v>
      </c>
      <c r="AF7010">
        <v>-5.8509282021175597</v>
      </c>
      <c r="AG7010">
        <v>-1.124220414536</v>
      </c>
      <c r="AH7010">
        <v>16.449188943498299</v>
      </c>
      <c r="AI7010">
        <v>93.684350152308994</v>
      </c>
      <c r="AJ7010">
        <v>109.580323359282</v>
      </c>
      <c r="AK7010">
        <v>17.494943534224401</v>
      </c>
      <c r="AL7010">
        <v>80.401542738368207</v>
      </c>
      <c r="AM7010">
        <v>101.999290713226</v>
      </c>
      <c r="AN7010">
        <v>1.0000000128316</v>
      </c>
    </row>
    <row r="7011" spans="1:40" x14ac:dyDescent="0.25">
      <c r="A7011" t="str">
        <f>"20190304154935529"</f>
        <v>20190304154935529</v>
      </c>
      <c r="B7011" t="str">
        <f>"1551685775524337"</f>
        <v>1551685775524337</v>
      </c>
      <c r="C7011" t="s">
        <v>40</v>
      </c>
      <c r="D7011">
        <v>4.5839990000000004</v>
      </c>
      <c r="E7011">
        <v>0.456708</v>
      </c>
      <c r="F7011" t="s">
        <v>99</v>
      </c>
      <c r="G7011">
        <v>-269.80279999999999</v>
      </c>
      <c r="H7011" s="1">
        <v>-3.3920619999999999E-6</v>
      </c>
      <c r="I7011">
        <v>-61.329070000000002</v>
      </c>
      <c r="J7011">
        <v>-287.11180000000002</v>
      </c>
      <c r="K7011">
        <v>1.12416</v>
      </c>
      <c r="L7011">
        <v>-59.948059999999998</v>
      </c>
      <c r="M7011">
        <v>0.91256499999999996</v>
      </c>
      <c r="N7011">
        <v>-1.6361589999999999E-2</v>
      </c>
      <c r="O7011">
        <v>-0.40860429999999998</v>
      </c>
      <c r="P7011">
        <v>0.96420819999999996</v>
      </c>
      <c r="Q7011">
        <v>0.15738579999999999</v>
      </c>
      <c r="R7011">
        <v>-0.21338380000000001</v>
      </c>
      <c r="S7011">
        <v>3.09137</v>
      </c>
      <c r="T7011">
        <v>-0.19887940000000001</v>
      </c>
      <c r="U7011">
        <v>-0.25625609999999999</v>
      </c>
      <c r="V7011">
        <v>-0.20487839999999999</v>
      </c>
      <c r="W7011">
        <v>0.1665296</v>
      </c>
      <c r="X7011">
        <v>0.96451679999999995</v>
      </c>
      <c r="Y7011">
        <v>-0.33060260000000002</v>
      </c>
      <c r="Z7011">
        <v>3.1974879999999997E-2</v>
      </c>
      <c r="AA7011">
        <v>0.94322819999999996</v>
      </c>
      <c r="AB7011">
        <v>31</v>
      </c>
      <c r="AC7011">
        <v>17.309000000000001</v>
      </c>
      <c r="AD7011">
        <v>-1.124163392062</v>
      </c>
      <c r="AE7011">
        <v>-1.3810099999999901</v>
      </c>
      <c r="AF7011">
        <v>-5.7887852993293301</v>
      </c>
      <c r="AG7011">
        <v>-1.124163392062</v>
      </c>
      <c r="AH7011">
        <v>16.293770279845099</v>
      </c>
      <c r="AI7011">
        <v>93.719700043142794</v>
      </c>
      <c r="AJ7011">
        <v>109.55890415354099</v>
      </c>
      <c r="AK7011">
        <v>17.328033024730399</v>
      </c>
      <c r="AL7011">
        <v>80.413896053608497</v>
      </c>
      <c r="AM7011">
        <v>101.99227155498799</v>
      </c>
      <c r="AN7011">
        <v>0.99999996197247898</v>
      </c>
    </row>
    <row r="7012" spans="1:40" x14ac:dyDescent="0.25">
      <c r="A7012" t="str">
        <f>"20190304154935540"</f>
        <v>20190304154935540</v>
      </c>
      <c r="B7012" t="str">
        <f>"1551685775534097"</f>
        <v>1551685775534097</v>
      </c>
      <c r="C7012" t="s">
        <v>40</v>
      </c>
      <c r="D7012">
        <v>4.5758729999999996</v>
      </c>
      <c r="E7012">
        <v>0.4589183</v>
      </c>
      <c r="F7012" t="s">
        <v>98</v>
      </c>
      <c r="G7012">
        <v>-275.36009999999999</v>
      </c>
      <c r="H7012" s="1">
        <v>-1.646559E-6</v>
      </c>
      <c r="I7012">
        <v>-61.250680000000003</v>
      </c>
      <c r="J7012">
        <v>-286.97149999999999</v>
      </c>
      <c r="K7012">
        <v>1.1241110000000001</v>
      </c>
      <c r="L7012">
        <v>-60.003360000000001</v>
      </c>
      <c r="M7012">
        <v>0.91572980000000004</v>
      </c>
      <c r="N7012">
        <v>-1.6355649999999999E-2</v>
      </c>
      <c r="O7012">
        <v>-0.40146179999999998</v>
      </c>
      <c r="P7012">
        <v>0.96580060000000001</v>
      </c>
      <c r="Q7012">
        <v>0.1573677</v>
      </c>
      <c r="R7012">
        <v>-0.20607010000000001</v>
      </c>
      <c r="S7012">
        <v>3.0838320000000001</v>
      </c>
      <c r="T7012">
        <v>-0.29499769999999997</v>
      </c>
      <c r="U7012">
        <v>-0.3418274</v>
      </c>
      <c r="V7012">
        <v>-0.2046316</v>
      </c>
      <c r="W7012">
        <v>0.16653950000000001</v>
      </c>
      <c r="X7012">
        <v>0.96456750000000002</v>
      </c>
      <c r="Y7012">
        <v>-0.29548570000000002</v>
      </c>
      <c r="Z7012">
        <v>4.6924460000000001E-2</v>
      </c>
      <c r="AA7012">
        <v>0.95419410000000005</v>
      </c>
      <c r="AB7012">
        <v>31</v>
      </c>
      <c r="AC7012">
        <v>11.6114</v>
      </c>
      <c r="AD7012">
        <v>-1.1241126465589999</v>
      </c>
      <c r="AE7012">
        <v>-1.24732</v>
      </c>
      <c r="AF7012">
        <v>-3.4874828198281298</v>
      </c>
      <c r="AG7012">
        <v>-1.1241126465589999</v>
      </c>
      <c r="AH7012">
        <v>11.0329197249486</v>
      </c>
      <c r="AI7012">
        <v>95.548826501712995</v>
      </c>
      <c r="AJ7012">
        <v>107.541636322382</v>
      </c>
      <c r="AK7012">
        <v>11.6254670150455</v>
      </c>
      <c r="AL7012">
        <v>80.413320961018599</v>
      </c>
      <c r="AM7012">
        <v>101.977631536106</v>
      </c>
      <c r="AN7012">
        <v>0.99999997941752905</v>
      </c>
    </row>
    <row r="7013" spans="1:40" x14ac:dyDescent="0.25">
      <c r="A7013" t="str">
        <f>"20190304154935551"</f>
        <v>20190304154935551</v>
      </c>
      <c r="B7013" t="str">
        <f>"1551685775543857"</f>
        <v>1551685775543857</v>
      </c>
      <c r="C7013" t="s">
        <v>40</v>
      </c>
      <c r="D7013">
        <v>4.5891039999999998</v>
      </c>
      <c r="E7013">
        <v>0.46001500000000001</v>
      </c>
      <c r="F7013" t="s">
        <v>99</v>
      </c>
      <c r="G7013">
        <v>-269.94889999999998</v>
      </c>
      <c r="H7013" s="1">
        <v>-3.5322010000000001E-6</v>
      </c>
      <c r="I7013">
        <v>-61.838709999999999</v>
      </c>
      <c r="J7013">
        <v>-286.82619999999997</v>
      </c>
      <c r="K7013">
        <v>1.1240589999999999</v>
      </c>
      <c r="L7013">
        <v>-60.06015</v>
      </c>
      <c r="M7013">
        <v>0.91893780000000003</v>
      </c>
      <c r="N7013">
        <v>-1.6349610000000001E-2</v>
      </c>
      <c r="O7013">
        <v>-0.39406400000000003</v>
      </c>
      <c r="P7013">
        <v>0.96740289999999995</v>
      </c>
      <c r="Q7013">
        <v>0.1572799</v>
      </c>
      <c r="R7013">
        <v>-0.19848189999999999</v>
      </c>
      <c r="S7013">
        <v>3.0686650000000002</v>
      </c>
      <c r="T7013">
        <v>-0.20264450000000001</v>
      </c>
      <c r="U7013">
        <v>-0.33087159999999999</v>
      </c>
      <c r="V7013">
        <v>-0.20440459999999999</v>
      </c>
      <c r="W7013">
        <v>0.16648080000000001</v>
      </c>
      <c r="X7013">
        <v>0.96462579999999998</v>
      </c>
      <c r="Y7013">
        <v>-0.29211009999999998</v>
      </c>
      <c r="Z7013">
        <v>3.0652639999999998E-2</v>
      </c>
      <c r="AA7013">
        <v>0.95589329999999995</v>
      </c>
      <c r="AB7013">
        <v>31</v>
      </c>
      <c r="AC7013">
        <v>16.877299999999899</v>
      </c>
      <c r="AD7013">
        <v>-1.1240625322009901</v>
      </c>
      <c r="AE7013">
        <v>-1.7785599999999899</v>
      </c>
      <c r="AF7013">
        <v>-4.9951057758188204</v>
      </c>
      <c r="AG7013">
        <v>-1.1240625322009901</v>
      </c>
      <c r="AH7013">
        <v>16.141404800002999</v>
      </c>
      <c r="AI7013">
        <v>93.806042280279001</v>
      </c>
      <c r="AJ7013">
        <v>107.195161527358</v>
      </c>
      <c r="AK7013">
        <v>16.933976119195201</v>
      </c>
      <c r="AL7013">
        <v>80.416732190582806</v>
      </c>
      <c r="AM7013">
        <v>101.964025457037</v>
      </c>
      <c r="AN7013">
        <v>1.00000001564772</v>
      </c>
    </row>
    <row r="7014" spans="1:40" x14ac:dyDescent="0.25">
      <c r="A7014" t="str">
        <f>"20190304154935561"</f>
        <v>20190304154935561</v>
      </c>
      <c r="B7014" t="str">
        <f>"1551685775554593"</f>
        <v>1551685775554593</v>
      </c>
      <c r="C7014" t="s">
        <v>40</v>
      </c>
      <c r="D7014">
        <v>4.58047</v>
      </c>
      <c r="E7014">
        <v>0.46134700000000001</v>
      </c>
      <c r="F7014" t="s">
        <v>99</v>
      </c>
      <c r="G7014">
        <v>-269.46100000000001</v>
      </c>
      <c r="H7014" s="1">
        <v>-3.3666940000000001E-6</v>
      </c>
      <c r="I7014">
        <v>-61.841709999999999</v>
      </c>
      <c r="J7014">
        <v>-286.70119999999997</v>
      </c>
      <c r="K7014">
        <v>1.1240110000000001</v>
      </c>
      <c r="L7014">
        <v>-60.106990000000003</v>
      </c>
      <c r="M7014">
        <v>0.92161669999999996</v>
      </c>
      <c r="N7014">
        <v>-1.634149E-2</v>
      </c>
      <c r="O7014">
        <v>-0.38775769999999998</v>
      </c>
      <c r="P7014">
        <v>0.9685819</v>
      </c>
      <c r="Q7014">
        <v>0.1577828</v>
      </c>
      <c r="R7014">
        <v>-0.19223399999999999</v>
      </c>
      <c r="S7014">
        <v>3.0687869999999999</v>
      </c>
      <c r="T7014">
        <v>-0.1986446</v>
      </c>
      <c r="U7014">
        <v>-0.31484990000000002</v>
      </c>
      <c r="V7014">
        <v>-0.203982</v>
      </c>
      <c r="W7014">
        <v>0.16701629999999901</v>
      </c>
      <c r="X7014">
        <v>0.96462270000000006</v>
      </c>
      <c r="Y7014">
        <v>-0.290556799999999</v>
      </c>
      <c r="Z7014">
        <v>2.9653289999999999E-2</v>
      </c>
      <c r="AA7014">
        <v>0.95639810000000003</v>
      </c>
      <c r="AB7014">
        <v>31</v>
      </c>
      <c r="AC7014">
        <v>17.240199999999898</v>
      </c>
      <c r="AD7014">
        <v>-1.1240143666939999</v>
      </c>
      <c r="AE7014">
        <v>-1.73471999999999</v>
      </c>
      <c r="AF7014">
        <v>-5.0656349672328798</v>
      </c>
      <c r="AG7014">
        <v>-1.1240143666939999</v>
      </c>
      <c r="AH7014">
        <v>16.4943061648802</v>
      </c>
      <c r="AI7014">
        <v>93.727136159843496</v>
      </c>
      <c r="AJ7014">
        <v>107.072463483447</v>
      </c>
      <c r="AK7014">
        <v>17.291217475313601</v>
      </c>
      <c r="AL7014">
        <v>80.385614748861101</v>
      </c>
      <c r="AM7014">
        <v>101.940038117437</v>
      </c>
      <c r="AN7014">
        <v>1.00000002707248</v>
      </c>
    </row>
    <row r="7015" spans="1:40" x14ac:dyDescent="0.25">
      <c r="A7015" t="str">
        <f>"20190304154935571"</f>
        <v>20190304154935571</v>
      </c>
      <c r="B7015" t="str">
        <f>"1551685775564353"</f>
        <v>1551685775564353</v>
      </c>
      <c r="C7015" t="s">
        <v>40</v>
      </c>
      <c r="D7015">
        <v>4.5699199999999998</v>
      </c>
      <c r="E7015">
        <v>0.46187509999999998</v>
      </c>
      <c r="F7015" t="s">
        <v>44</v>
      </c>
      <c r="G7015">
        <v>-269.36110000000002</v>
      </c>
      <c r="H7015" s="1">
        <v>-3.3309019999999998E-6</v>
      </c>
      <c r="I7015">
        <v>-61.831650000000003</v>
      </c>
      <c r="J7015">
        <v>-286.57470000000001</v>
      </c>
      <c r="K7015">
        <v>1.1239589999999999</v>
      </c>
      <c r="L7015">
        <v>-60.154449999999997</v>
      </c>
      <c r="M7015">
        <v>0.92428370000000004</v>
      </c>
      <c r="N7015">
        <v>-1.633418E-2</v>
      </c>
      <c r="O7015">
        <v>-0.38135669999999999</v>
      </c>
      <c r="P7015">
        <v>0.96972340000000001</v>
      </c>
      <c r="Q7015">
        <v>0.15849549999999901</v>
      </c>
      <c r="R7015">
        <v>-0.1857859</v>
      </c>
      <c r="S7015">
        <v>3.0691220000000001</v>
      </c>
      <c r="T7015">
        <v>-0.1989447</v>
      </c>
      <c r="U7015">
        <v>-0.30526730000000002</v>
      </c>
      <c r="V7015">
        <v>-0.20366570000000001</v>
      </c>
      <c r="W7015">
        <v>0.16775760000000001</v>
      </c>
      <c r="X7015">
        <v>0.96456090000000005</v>
      </c>
      <c r="Y7015">
        <v>-0.28689799999999999</v>
      </c>
      <c r="Z7015">
        <v>2.929118E-2</v>
      </c>
      <c r="AA7015">
        <v>0.95751319999999995</v>
      </c>
      <c r="AB7015">
        <v>31</v>
      </c>
      <c r="AC7015">
        <v>17.2135999999999</v>
      </c>
      <c r="AD7015">
        <v>-1.1239623309019999</v>
      </c>
      <c r="AE7015">
        <v>-1.6772</v>
      </c>
      <c r="AF7015">
        <v>-4.9938909601487298</v>
      </c>
      <c r="AG7015">
        <v>-1.1239623309019999</v>
      </c>
      <c r="AH7015">
        <v>16.4824576906238</v>
      </c>
      <c r="AI7015">
        <v>93.733926800671895</v>
      </c>
      <c r="AJ7015">
        <v>106.85587337509401</v>
      </c>
      <c r="AK7015">
        <v>17.2590164773762</v>
      </c>
      <c r="AL7015">
        <v>80.342533593338501</v>
      </c>
      <c r="AM7015">
        <v>101.922795763813</v>
      </c>
      <c r="AN7015">
        <v>1.0000000297615199</v>
      </c>
    </row>
    <row r="7016" spans="1:40" x14ac:dyDescent="0.25">
      <c r="A7016" t="str">
        <f>"20190304154935580"</f>
        <v>20190304154935580</v>
      </c>
      <c r="B7016" t="str">
        <f>"1551685775574113"</f>
        <v>1551685775574113</v>
      </c>
      <c r="C7016" t="s">
        <v>40</v>
      </c>
      <c r="D7016">
        <v>4.5949330000000002</v>
      </c>
      <c r="E7016">
        <v>0.46306819999999999</v>
      </c>
      <c r="F7016" t="s">
        <v>99</v>
      </c>
      <c r="G7016">
        <v>-269.36779999999999</v>
      </c>
      <c r="H7016" s="1">
        <v>-3.322762E-6</v>
      </c>
      <c r="I7016">
        <v>-61.772910000000003</v>
      </c>
      <c r="J7016">
        <v>-286.4556</v>
      </c>
      <c r="K7016">
        <v>1.123909</v>
      </c>
      <c r="L7016">
        <v>-60.197240000000001</v>
      </c>
      <c r="M7016">
        <v>0.92671970000000004</v>
      </c>
      <c r="N7016">
        <v>-1.6323919999999999E-2</v>
      </c>
      <c r="O7016">
        <v>-0.37539830000000002</v>
      </c>
      <c r="P7016">
        <v>0.97072380000000003</v>
      </c>
      <c r="Q7016">
        <v>0.1588215</v>
      </c>
      <c r="R7016">
        <v>-0.18019769999999999</v>
      </c>
      <c r="S7016">
        <v>3.0711360000000001</v>
      </c>
      <c r="T7016">
        <v>-0.20060800000000001</v>
      </c>
      <c r="U7016">
        <v>-0.28887940000000001</v>
      </c>
      <c r="V7016">
        <v>-0.20297570000000001</v>
      </c>
      <c r="W7016">
        <v>0.16812569999999999</v>
      </c>
      <c r="X7016">
        <v>0.96464220000000001</v>
      </c>
      <c r="Y7016">
        <v>-0.2858445</v>
      </c>
      <c r="Z7016">
        <v>2.926395E-2</v>
      </c>
      <c r="AA7016">
        <v>0.95782909999999999</v>
      </c>
      <c r="AB7016">
        <v>31</v>
      </c>
      <c r="AC7016">
        <v>17.087800000000001</v>
      </c>
      <c r="AD7016">
        <v>-1.123912322762</v>
      </c>
      <c r="AE7016">
        <v>-1.5756699999999899</v>
      </c>
      <c r="AF7016">
        <v>-4.93402257473221</v>
      </c>
      <c r="AG7016">
        <v>-1.123912322762</v>
      </c>
      <c r="AH7016">
        <v>16.359121959116099</v>
      </c>
      <c r="AI7016">
        <v>93.763259661102296</v>
      </c>
      <c r="AJ7016">
        <v>106.783668656457</v>
      </c>
      <c r="AK7016">
        <v>17.123919789302299</v>
      </c>
      <c r="AL7016">
        <v>80.321138663621596</v>
      </c>
      <c r="AM7016">
        <v>101.882579751013</v>
      </c>
      <c r="AN7016">
        <v>0.99999997990590905</v>
      </c>
    </row>
    <row r="7017" spans="1:40" x14ac:dyDescent="0.25">
      <c r="A7017" t="str">
        <f>"20190304154935591"</f>
        <v>20190304154935591</v>
      </c>
      <c r="B7017" t="str">
        <f>"1551685775583873"</f>
        <v>1551685775583873</v>
      </c>
      <c r="C7017" t="s">
        <v>40</v>
      </c>
      <c r="D7017">
        <v>4.5572089999999896</v>
      </c>
      <c r="E7017">
        <v>0.46415050000000002</v>
      </c>
      <c r="F7017" t="s">
        <v>44</v>
      </c>
      <c r="G7017">
        <v>-268.9203</v>
      </c>
      <c r="H7017" s="1">
        <v>-3.1747740000000002E-6</v>
      </c>
      <c r="I7017">
        <v>-61.796990000000001</v>
      </c>
      <c r="J7017">
        <v>-286.31459999999998</v>
      </c>
      <c r="K7017">
        <v>1.123839</v>
      </c>
      <c r="L7017">
        <v>-60.247889999999998</v>
      </c>
      <c r="M7017">
        <v>0.92955220000000005</v>
      </c>
      <c r="N7017">
        <v>-1.6312790000000001E-2</v>
      </c>
      <c r="O7017">
        <v>-0.3683302</v>
      </c>
      <c r="P7017">
        <v>0.97201119999999996</v>
      </c>
      <c r="Q7017">
        <v>0.15898870000000001</v>
      </c>
      <c r="R7017">
        <v>-0.17296619999999999</v>
      </c>
      <c r="S7017">
        <v>3.0706790000000002</v>
      </c>
      <c r="T7017">
        <v>-0.19681370000000001</v>
      </c>
      <c r="U7017">
        <v>-0.28015139999999999</v>
      </c>
      <c r="V7017">
        <v>-0.20277700000000001</v>
      </c>
      <c r="W7017">
        <v>0.16832220000000001</v>
      </c>
      <c r="X7017">
        <v>0.96464970000000005</v>
      </c>
      <c r="Y7017">
        <v>-0.28129419999999999</v>
      </c>
      <c r="Z7017">
        <v>2.8170750000000001E-2</v>
      </c>
      <c r="AA7017">
        <v>0.95920799999999995</v>
      </c>
      <c r="AB7017">
        <v>31</v>
      </c>
      <c r="AC7017">
        <v>17.394299999999902</v>
      </c>
      <c r="AD7017">
        <v>-1.1238421747739999</v>
      </c>
      <c r="AE7017">
        <v>-1.5490999999999899</v>
      </c>
      <c r="AF7017">
        <v>-4.9470477638384196</v>
      </c>
      <c r="AG7017">
        <v>-1.1238421747739999</v>
      </c>
      <c r="AH7017">
        <v>16.672662227302698</v>
      </c>
      <c r="AI7017">
        <v>93.697405166311398</v>
      </c>
      <c r="AJ7017">
        <v>106.526472033706</v>
      </c>
      <c r="AK7017">
        <v>17.427391329663401</v>
      </c>
      <c r="AL7017">
        <v>80.309717071896699</v>
      </c>
      <c r="AM7017">
        <v>101.871188015173</v>
      </c>
      <c r="AN7017">
        <v>0.99999995922596396</v>
      </c>
    </row>
    <row r="7018" spans="1:40" x14ac:dyDescent="0.25">
      <c r="A7018" t="str">
        <f>"20190304154935601"</f>
        <v>20190304154935601</v>
      </c>
      <c r="B7018" t="str">
        <f>"1551685775594609"</f>
        <v>1551685775594609</v>
      </c>
      <c r="C7018" t="s">
        <v>40</v>
      </c>
      <c r="D7018">
        <v>4.5806060000000004</v>
      </c>
      <c r="E7018">
        <v>0.46482950000000001</v>
      </c>
      <c r="F7018" t="s">
        <v>44</v>
      </c>
      <c r="G7018">
        <v>-268.69600000000003</v>
      </c>
      <c r="H7018" s="1">
        <v>-3.0944E-6</v>
      </c>
      <c r="I7018">
        <v>-61.774149999999999</v>
      </c>
      <c r="J7018">
        <v>-286.1789</v>
      </c>
      <c r="K7018">
        <v>1.123769</v>
      </c>
      <c r="L7018">
        <v>-60.294589999999999</v>
      </c>
      <c r="M7018">
        <v>0.93218829999999997</v>
      </c>
      <c r="N7018">
        <v>-1.6298179999999999E-2</v>
      </c>
      <c r="O7018">
        <v>-0.3616065</v>
      </c>
      <c r="P7018">
        <v>0.97301970000000004</v>
      </c>
      <c r="Q7018">
        <v>0.159215</v>
      </c>
      <c r="R7018">
        <v>-0.166982399999999</v>
      </c>
      <c r="S7018">
        <v>3.071075</v>
      </c>
      <c r="T7018">
        <v>-0.19589599999999999</v>
      </c>
      <c r="U7018">
        <v>-0.26605220000000002</v>
      </c>
      <c r="V7018">
        <v>-0.20170479999999999</v>
      </c>
      <c r="W7018">
        <v>0.1686079</v>
      </c>
      <c r="X7018">
        <v>0.96482460000000003</v>
      </c>
      <c r="Y7018">
        <v>-0.27876659999999998</v>
      </c>
      <c r="Z7018">
        <v>2.764703E-2</v>
      </c>
      <c r="AA7018">
        <v>0.95996079999999995</v>
      </c>
      <c r="AB7018">
        <v>31</v>
      </c>
      <c r="AC7018">
        <v>17.482900000000001</v>
      </c>
      <c r="AD7018">
        <v>-1.1237720944</v>
      </c>
      <c r="AE7018">
        <v>-1.47955999999999</v>
      </c>
      <c r="AF7018">
        <v>-4.9231621408464701</v>
      </c>
      <c r="AG7018">
        <v>-1.1237720944</v>
      </c>
      <c r="AH7018">
        <v>16.765831168096302</v>
      </c>
      <c r="AI7018">
        <v>93.679747435506798</v>
      </c>
      <c r="AJ7018">
        <v>106.3644856154</v>
      </c>
      <c r="AK7018">
        <v>17.509811076717099</v>
      </c>
      <c r="AL7018">
        <v>80.2931105159645</v>
      </c>
      <c r="AM7018">
        <v>101.808104753729</v>
      </c>
      <c r="AN7018">
        <v>0.99999997952530395</v>
      </c>
    </row>
    <row r="7019" spans="1:40" x14ac:dyDescent="0.25">
      <c r="A7019" t="str">
        <f>"20190304154935613"</f>
        <v>20190304154935613</v>
      </c>
      <c r="B7019" t="str">
        <f>"1551685775604369"</f>
        <v>1551685775604369</v>
      </c>
      <c r="C7019" t="s">
        <v>40</v>
      </c>
      <c r="D7019">
        <v>4.5790410000000001</v>
      </c>
      <c r="E7019">
        <v>0.46592020000000001</v>
      </c>
      <c r="F7019" t="s">
        <v>44</v>
      </c>
      <c r="G7019">
        <v>-268.6619</v>
      </c>
      <c r="H7019" s="1">
        <v>-3.0758779999999999E-6</v>
      </c>
      <c r="I7019">
        <v>-61.735329999999998</v>
      </c>
      <c r="J7019">
        <v>-286.03579999999999</v>
      </c>
      <c r="K7019">
        <v>1.1236950000000001</v>
      </c>
      <c r="L7019">
        <v>-60.343440000000001</v>
      </c>
      <c r="M7019">
        <v>0.93490669999999998</v>
      </c>
      <c r="N7019">
        <v>-1.628338E-2</v>
      </c>
      <c r="O7019">
        <v>-0.3545199</v>
      </c>
      <c r="P7019">
        <v>0.97400299999999995</v>
      </c>
      <c r="Q7019">
        <v>0.15944369999999999</v>
      </c>
      <c r="R7019">
        <v>-0.16092190000000001</v>
      </c>
      <c r="S7019">
        <v>3.0720830000000001</v>
      </c>
      <c r="T7019">
        <v>-0.1970836</v>
      </c>
      <c r="U7019">
        <v>-0.25268550000000001</v>
      </c>
      <c r="V7019">
        <v>-0.20034479999999999</v>
      </c>
      <c r="W7019">
        <v>0.1689069</v>
      </c>
      <c r="X7019">
        <v>0.96505560000000001</v>
      </c>
      <c r="Y7019">
        <v>-0.27565149999999999</v>
      </c>
      <c r="Z7019">
        <v>2.7411330000000001E-2</v>
      </c>
      <c r="AA7019">
        <v>0.96086669999999996</v>
      </c>
      <c r="AB7019">
        <v>31</v>
      </c>
      <c r="AC7019">
        <v>17.3738999999999</v>
      </c>
      <c r="AD7019">
        <v>-1.123698075878</v>
      </c>
      <c r="AE7019">
        <v>-1.3918900000000001</v>
      </c>
      <c r="AF7019">
        <v>-4.8386383563659097</v>
      </c>
      <c r="AG7019">
        <v>-1.123698075878</v>
      </c>
      <c r="AH7019">
        <v>16.669361158848901</v>
      </c>
      <c r="AI7019">
        <v>93.704089535585197</v>
      </c>
      <c r="AJ7019">
        <v>106.186500329674</v>
      </c>
      <c r="AK7019">
        <v>17.393755199886201</v>
      </c>
      <c r="AL7019">
        <v>80.2757294616991</v>
      </c>
      <c r="AM7019">
        <v>101.72797166327901</v>
      </c>
      <c r="AN7019">
        <v>0.99999994542300297</v>
      </c>
    </row>
    <row r="7020" spans="1:40" x14ac:dyDescent="0.25">
      <c r="A7020" t="str">
        <f>"20190304154935623"</f>
        <v>20190304154935623</v>
      </c>
      <c r="B7020" t="str">
        <f>"1551685775614128"</f>
        <v>1551685775614128</v>
      </c>
      <c r="C7020" t="s">
        <v>40</v>
      </c>
      <c r="D7020">
        <v>4.5659080000000003</v>
      </c>
      <c r="E7020">
        <v>0.46592020000000001</v>
      </c>
      <c r="F7020" t="s">
        <v>44</v>
      </c>
      <c r="G7020">
        <v>-268.49619999999999</v>
      </c>
      <c r="H7020" s="1">
        <v>-3.0073469999999998E-6</v>
      </c>
      <c r="I7020">
        <v>-61.726199999999999</v>
      </c>
      <c r="J7020">
        <v>-285.89490000000001</v>
      </c>
      <c r="K7020">
        <v>1.1236170000000001</v>
      </c>
      <c r="L7020">
        <v>-60.389830000000003</v>
      </c>
      <c r="M7020">
        <v>0.93750080000000002</v>
      </c>
      <c r="N7020">
        <v>-1.6266050000000001E-2</v>
      </c>
      <c r="O7020">
        <v>-0.34760249999999998</v>
      </c>
      <c r="P7020">
        <v>0.97477480000000005</v>
      </c>
      <c r="Q7020">
        <v>0.16000519999999999</v>
      </c>
      <c r="R7020">
        <v>-0.1556032</v>
      </c>
      <c r="S7020">
        <v>3.0722659999999999</v>
      </c>
      <c r="T7020">
        <v>-0.19682910000000001</v>
      </c>
      <c r="U7020">
        <v>-0.24221799999999999</v>
      </c>
      <c r="V7020">
        <v>-0.19842879999999999</v>
      </c>
      <c r="W7020">
        <v>0.16955629999999999</v>
      </c>
      <c r="X7020">
        <v>0.96533760000000002</v>
      </c>
      <c r="Y7020">
        <v>-0.27182440000000002</v>
      </c>
      <c r="Z7020">
        <v>2.692982E-2</v>
      </c>
      <c r="AA7020">
        <v>0.96196999999999999</v>
      </c>
      <c r="AB7020">
        <v>31</v>
      </c>
      <c r="AC7020">
        <v>17.398700000000002</v>
      </c>
      <c r="AD7020">
        <v>-1.123620007347</v>
      </c>
      <c r="AE7020">
        <v>-1.3363699999999901</v>
      </c>
      <c r="AF7020">
        <v>-4.7758170258829002</v>
      </c>
      <c r="AG7020">
        <v>-1.123620007347</v>
      </c>
      <c r="AH7020">
        <v>16.708763928364402</v>
      </c>
      <c r="AI7020">
        <v>93.6994811520902</v>
      </c>
      <c r="AJ7020">
        <v>105.951370048439</v>
      </c>
      <c r="AK7020">
        <v>17.414182214489301</v>
      </c>
      <c r="AL7020">
        <v>80.237977635523393</v>
      </c>
      <c r="AM7020">
        <v>101.61557293502599</v>
      </c>
      <c r="AN7020">
        <v>1.0000000047564399</v>
      </c>
    </row>
    <row r="7021" spans="1:40" x14ac:dyDescent="0.25">
      <c r="A7021" t="str">
        <f>"20190304154935634"</f>
        <v>20190304154935634</v>
      </c>
      <c r="B7021" t="str">
        <f>"1551685775623890"</f>
        <v>1551685775623890</v>
      </c>
      <c r="C7021" t="s">
        <v>40</v>
      </c>
      <c r="D7021">
        <v>4.5774239999999997</v>
      </c>
      <c r="E7021">
        <v>0.47724680000000003</v>
      </c>
      <c r="F7021" t="s">
        <v>44</v>
      </c>
      <c r="G7021">
        <v>-268.19040000000001</v>
      </c>
      <c r="H7021" s="1">
        <v>-2.8660160000000002E-6</v>
      </c>
      <c r="I7021">
        <v>-61.688090000000003</v>
      </c>
      <c r="J7021">
        <v>-285.75639999999999</v>
      </c>
      <c r="K7021">
        <v>1.123537</v>
      </c>
      <c r="L7021">
        <v>-60.434780000000003</v>
      </c>
      <c r="M7021">
        <v>0.93998530000000002</v>
      </c>
      <c r="N7021">
        <v>-1.6249079999999999E-2</v>
      </c>
      <c r="O7021">
        <v>-0.34082820000000003</v>
      </c>
      <c r="P7021">
        <v>0.97547300000000003</v>
      </c>
      <c r="Q7021">
        <v>0.16035160000000001</v>
      </c>
      <c r="R7021">
        <v>-0.15079699999999999</v>
      </c>
      <c r="S7021">
        <v>3.0736690000000002</v>
      </c>
      <c r="T7021">
        <v>-0.19507179999999999</v>
      </c>
      <c r="U7021">
        <v>-0.22540279999999999</v>
      </c>
      <c r="V7021">
        <v>-0.1961717</v>
      </c>
      <c r="W7021">
        <v>0.17000179999999901</v>
      </c>
      <c r="X7021">
        <v>0.96572049999999998</v>
      </c>
      <c r="Y7021">
        <v>-0.27017790000000003</v>
      </c>
      <c r="Z7021">
        <v>2.630468E-2</v>
      </c>
      <c r="AA7021">
        <v>0.96245099999999995</v>
      </c>
      <c r="AB7021">
        <v>31</v>
      </c>
      <c r="AC7021">
        <v>17.565999999999899</v>
      </c>
      <c r="AD7021">
        <v>-1.1235398660160001</v>
      </c>
      <c r="AE7021">
        <v>-1.2533099999999899</v>
      </c>
      <c r="AF7021">
        <v>-4.7900326898580197</v>
      </c>
      <c r="AG7021">
        <v>-1.1235398660160001</v>
      </c>
      <c r="AH7021">
        <v>16.872503554866999</v>
      </c>
      <c r="AI7021">
        <v>93.665276650430798</v>
      </c>
      <c r="AJ7021">
        <v>105.849021011353</v>
      </c>
      <c r="AK7021">
        <v>17.575213546623999</v>
      </c>
      <c r="AL7021">
        <v>80.212076445673404</v>
      </c>
      <c r="AM7021">
        <v>101.482545381924</v>
      </c>
      <c r="AN7021">
        <v>1.00000001600218</v>
      </c>
    </row>
    <row r="7022" spans="1:40" x14ac:dyDescent="0.25">
      <c r="A7022" t="str">
        <f>"20190304154935646"</f>
        <v>20190304154935646</v>
      </c>
      <c r="B7022" t="str">
        <f>"1551685775634625"</f>
        <v>1551685775634625</v>
      </c>
      <c r="C7022" t="s">
        <v>40</v>
      </c>
      <c r="D7022">
        <v>4.5580069999999999</v>
      </c>
      <c r="E7022">
        <v>0.47804780000000002</v>
      </c>
      <c r="F7022" t="s">
        <v>44</v>
      </c>
      <c r="G7022">
        <v>-267.09179999999998</v>
      </c>
      <c r="H7022" s="1">
        <v>-2.546779E-6</v>
      </c>
      <c r="I7022">
        <v>-62.259619999999998</v>
      </c>
      <c r="J7022">
        <v>-285.61009999999999</v>
      </c>
      <c r="K7022">
        <v>1.123448</v>
      </c>
      <c r="L7022">
        <v>-60.480800000000002</v>
      </c>
      <c r="M7022">
        <v>0.94252939999999996</v>
      </c>
      <c r="N7022">
        <v>-1.6229750000000001E-2</v>
      </c>
      <c r="O7022">
        <v>-0.333729099999999</v>
      </c>
      <c r="P7022">
        <v>0.97610209999999997</v>
      </c>
      <c r="Q7022">
        <v>0.16006689999999901</v>
      </c>
      <c r="R7022">
        <v>-0.14698240000000001</v>
      </c>
      <c r="S7022">
        <v>3.0594480000000002</v>
      </c>
      <c r="T7022">
        <v>-0.18416740000000001</v>
      </c>
      <c r="U7022">
        <v>-0.29913329999999999</v>
      </c>
      <c r="V7022">
        <v>-0.19262290000000001</v>
      </c>
      <c r="W7022">
        <v>0.16986270000000001</v>
      </c>
      <c r="X7022">
        <v>0.96645899999999996</v>
      </c>
      <c r="Y7022">
        <v>-0.23962230000000001</v>
      </c>
      <c r="Z7022">
        <v>2.3284840000000001E-2</v>
      </c>
      <c r="AA7022">
        <v>0.97058690000000003</v>
      </c>
      <c r="AB7022">
        <v>31</v>
      </c>
      <c r="AC7022">
        <v>18.5183</v>
      </c>
      <c r="AD7022">
        <v>-1.1234505467789999</v>
      </c>
      <c r="AE7022">
        <v>-1.7788199999999901</v>
      </c>
      <c r="AF7022">
        <v>-4.4877322185896498</v>
      </c>
      <c r="AG7022">
        <v>-1.1234505467789999</v>
      </c>
      <c r="AH7022">
        <v>17.9844753718262</v>
      </c>
      <c r="AI7022">
        <v>93.468414677957398</v>
      </c>
      <c r="AJ7022">
        <v>104.01109388779599</v>
      </c>
      <c r="AK7022">
        <v>18.5699551964093</v>
      </c>
      <c r="AL7022">
        <v>80.220163347457301</v>
      </c>
      <c r="AM7022">
        <v>101.271797382044</v>
      </c>
      <c r="AN7022">
        <v>0.999999958568349</v>
      </c>
    </row>
    <row r="7023" spans="1:40" x14ac:dyDescent="0.25">
      <c r="A7023" t="str">
        <f>"20190304154935658"</f>
        <v>20190304154935658</v>
      </c>
      <c r="B7023" t="str">
        <f>"1551685775654145"</f>
        <v>1551685775654145</v>
      </c>
      <c r="C7023" t="s">
        <v>40</v>
      </c>
      <c r="D7023">
        <v>4.5485790000000001</v>
      </c>
      <c r="E7023">
        <v>0.47984320000000003</v>
      </c>
      <c r="F7023" t="s">
        <v>44</v>
      </c>
      <c r="G7023">
        <v>-266.84930000000003</v>
      </c>
      <c r="H7023" s="1">
        <v>-2.4478140000000001E-6</v>
      </c>
      <c r="I7023">
        <v>-62.27863</v>
      </c>
      <c r="J7023">
        <v>-285.46420000000001</v>
      </c>
      <c r="K7023">
        <v>1.1233569999999999</v>
      </c>
      <c r="L7023">
        <v>-60.52563</v>
      </c>
      <c r="M7023">
        <v>0.94498930000000003</v>
      </c>
      <c r="N7023">
        <v>-1.6209589999999999E-2</v>
      </c>
      <c r="O7023">
        <v>-0.32669930000000003</v>
      </c>
      <c r="P7023">
        <v>0.9767228</v>
      </c>
      <c r="Q7023">
        <v>0.15978729999999999</v>
      </c>
      <c r="R7023">
        <v>-0.14311119999999999</v>
      </c>
      <c r="S7023">
        <v>3.059326</v>
      </c>
      <c r="T7023">
        <v>-0.18320120000000001</v>
      </c>
      <c r="U7023">
        <v>-0.29318240000000001</v>
      </c>
      <c r="V7023">
        <v>-0.18921379999999999</v>
      </c>
      <c r="W7023">
        <v>0.16972319999999999</v>
      </c>
      <c r="X7023">
        <v>0.96715680000000004</v>
      </c>
      <c r="Y7023">
        <v>-0.23428109999999999</v>
      </c>
      <c r="Z7023">
        <v>2.2672850000000001E-2</v>
      </c>
      <c r="AA7023">
        <v>0.97190449999999995</v>
      </c>
      <c r="AB7023">
        <v>31</v>
      </c>
      <c r="AC7023">
        <v>18.614899999999899</v>
      </c>
      <c r="AD7023">
        <v>-1.1233594478140001</v>
      </c>
      <c r="AE7023">
        <v>-1.7529999999999999</v>
      </c>
      <c r="AF7023">
        <v>-4.4095724654175399</v>
      </c>
      <c r="AG7023">
        <v>-1.1233594478140001</v>
      </c>
      <c r="AH7023">
        <v>18.100632841702399</v>
      </c>
      <c r="AI7023">
        <v>93.450664894791402</v>
      </c>
      <c r="AJ7023">
        <v>103.691376185122</v>
      </c>
      <c r="AK7023">
        <v>18.6638467376604</v>
      </c>
      <c r="AL7023">
        <v>80.228274790497807</v>
      </c>
      <c r="AM7023">
        <v>101.069487623199</v>
      </c>
      <c r="AN7023">
        <v>1.0000000512574501</v>
      </c>
    </row>
    <row r="7024" spans="1:40" x14ac:dyDescent="0.25">
      <c r="A7024" t="str">
        <f>"20190304154935668"</f>
        <v>20190304154935668</v>
      </c>
      <c r="B7024" t="str">
        <f>"1551685775663905"</f>
        <v>1551685775663905</v>
      </c>
      <c r="C7024" t="s">
        <v>40</v>
      </c>
      <c r="D7024">
        <v>4.5713520000000001</v>
      </c>
      <c r="E7024">
        <v>0.48077370000000003</v>
      </c>
      <c r="F7024" t="s">
        <v>44</v>
      </c>
      <c r="G7024">
        <v>-266.59809999999999</v>
      </c>
      <c r="H7024" s="1">
        <v>-2.3579150000000001E-6</v>
      </c>
      <c r="I7024">
        <v>-62.345779999999998</v>
      </c>
      <c r="J7024">
        <v>-285.3193</v>
      </c>
      <c r="K7024">
        <v>1.1232599999999999</v>
      </c>
      <c r="L7024">
        <v>-60.569209999999998</v>
      </c>
      <c r="M7024">
        <v>0.94736279999999995</v>
      </c>
      <c r="N7024">
        <v>-1.6189169999999999E-2</v>
      </c>
      <c r="O7024">
        <v>-0.3197528</v>
      </c>
      <c r="P7024">
        <v>0.97741089999999997</v>
      </c>
      <c r="Q7024">
        <v>0.15894749999999999</v>
      </c>
      <c r="R7024">
        <v>-0.13929810000000001</v>
      </c>
      <c r="S7024">
        <v>3.0580750000000001</v>
      </c>
      <c r="T7024">
        <v>-0.18208930000000001</v>
      </c>
      <c r="U7024">
        <v>-0.29504390000000003</v>
      </c>
      <c r="V7024">
        <v>-0.18585679999999999</v>
      </c>
      <c r="W7024">
        <v>0.16902200000000001</v>
      </c>
      <c r="X7024">
        <v>0.96793019999999996</v>
      </c>
      <c r="Y7024">
        <v>-0.22654560000000001</v>
      </c>
      <c r="Z7024">
        <v>2.1962180000000001E-2</v>
      </c>
      <c r="AA7024">
        <v>0.97375290000000003</v>
      </c>
      <c r="AB7024">
        <v>31</v>
      </c>
      <c r="AC7024">
        <v>18.7212</v>
      </c>
      <c r="AD7024">
        <v>-1.1232623579150001</v>
      </c>
      <c r="AE7024">
        <v>-1.77657</v>
      </c>
      <c r="AF7024">
        <v>-4.2883632698920202</v>
      </c>
      <c r="AG7024">
        <v>-1.1232623579150001</v>
      </c>
      <c r="AH7024">
        <v>18.2411478524103</v>
      </c>
      <c r="AI7024">
        <v>93.430447523679405</v>
      </c>
      <c r="AJ7024">
        <v>103.229592090331</v>
      </c>
      <c r="AK7024">
        <v>18.7720870665134</v>
      </c>
      <c r="AL7024">
        <v>80.269039340106204</v>
      </c>
      <c r="AM7024">
        <v>100.869336101248</v>
      </c>
      <c r="AN7024">
        <v>1.00000002933113</v>
      </c>
    </row>
    <row r="7025" spans="1:40" x14ac:dyDescent="0.25">
      <c r="A7025" t="str">
        <f>"20190304154935681"</f>
        <v>20190304154935681</v>
      </c>
      <c r="B7025" t="str">
        <f>"1551685775674640"</f>
        <v>1551685775674640</v>
      </c>
      <c r="C7025" t="s">
        <v>40</v>
      </c>
      <c r="D7025">
        <v>4.5605840000000004</v>
      </c>
      <c r="E7025">
        <v>0.48153760000000001</v>
      </c>
      <c r="F7025" t="s">
        <v>44</v>
      </c>
      <c r="G7025">
        <v>-266.47320000000002</v>
      </c>
      <c r="H7025" s="1">
        <v>-2.3077270000000001E-6</v>
      </c>
      <c r="I7025">
        <v>-62.358539999999998</v>
      </c>
      <c r="J7025">
        <v>-285.1651</v>
      </c>
      <c r="K7025">
        <v>1.1231469999999999</v>
      </c>
      <c r="L7025">
        <v>-60.613950000000003</v>
      </c>
      <c r="M7025">
        <v>0.949793</v>
      </c>
      <c r="N7025">
        <v>-1.6164769999999998E-2</v>
      </c>
      <c r="O7025">
        <v>-0.31246089999999999</v>
      </c>
      <c r="P7025">
        <v>0.97814970000000001</v>
      </c>
      <c r="Q7025">
        <v>0.1576765</v>
      </c>
      <c r="R7025">
        <v>-0.13550400000000001</v>
      </c>
      <c r="S7025">
        <v>3.057617</v>
      </c>
      <c r="T7025">
        <v>-0.18224009999999999</v>
      </c>
      <c r="U7025">
        <v>-0.29031370000000001</v>
      </c>
      <c r="V7025">
        <v>-0.1821421</v>
      </c>
      <c r="W7025">
        <v>0.16790289999999999</v>
      </c>
      <c r="X7025">
        <v>0.96883070000000004</v>
      </c>
      <c r="Y7025">
        <v>-0.22055079999999999</v>
      </c>
      <c r="Z7025">
        <v>2.1479109999999999E-2</v>
      </c>
      <c r="AA7025">
        <v>0.97513899999999998</v>
      </c>
      <c r="AB7025">
        <v>31</v>
      </c>
      <c r="AC7025">
        <v>18.691899999999901</v>
      </c>
      <c r="AD7025">
        <v>-1.1231493077269901</v>
      </c>
      <c r="AE7025">
        <v>-1.7445900000000001</v>
      </c>
      <c r="AF7025">
        <v>-4.1691128929165897</v>
      </c>
      <c r="AG7025">
        <v>-1.1231493077269901</v>
      </c>
      <c r="AH7025">
        <v>18.235673007810899</v>
      </c>
      <c r="AI7025">
        <v>93.436005819803896</v>
      </c>
      <c r="AJ7025">
        <v>102.877865249481</v>
      </c>
      <c r="AK7025">
        <v>18.739870243124201</v>
      </c>
      <c r="AL7025">
        <v>80.334088705680202</v>
      </c>
      <c r="AM7025">
        <v>100.64743786101999</v>
      </c>
      <c r="AN7025">
        <v>1.00000002684165</v>
      </c>
    </row>
    <row r="7026" spans="1:40" x14ac:dyDescent="0.25">
      <c r="A7026" t="str">
        <f>"20190304154935692"</f>
        <v>20190304154935692</v>
      </c>
      <c r="B7026" t="str">
        <f>"1551685775684401"</f>
        <v>1551685775684401</v>
      </c>
      <c r="C7026" t="s">
        <v>40</v>
      </c>
      <c r="D7026">
        <v>4.537439</v>
      </c>
      <c r="E7026">
        <v>0.48214230000000002</v>
      </c>
      <c r="F7026" t="s">
        <v>44</v>
      </c>
      <c r="G7026">
        <v>-266.65879999999999</v>
      </c>
      <c r="H7026" s="1">
        <v>-2.3807590000000001E-6</v>
      </c>
      <c r="I7026">
        <v>-62.333750000000002</v>
      </c>
      <c r="J7026">
        <v>-285.0204</v>
      </c>
      <c r="K7026">
        <v>1.123041</v>
      </c>
      <c r="L7026">
        <v>-60.6554</v>
      </c>
      <c r="M7026">
        <v>0.95201049999999998</v>
      </c>
      <c r="N7026">
        <v>-1.614235E-2</v>
      </c>
      <c r="O7026">
        <v>-0.30563950000000001</v>
      </c>
      <c r="P7026">
        <v>0.97889329999999997</v>
      </c>
      <c r="Q7026">
        <v>0.1565426</v>
      </c>
      <c r="R7026">
        <v>-0.1313869</v>
      </c>
      <c r="S7026">
        <v>3.0575260000000002</v>
      </c>
      <c r="T7026">
        <v>-0.18556210000000001</v>
      </c>
      <c r="U7026">
        <v>-0.28414919999999999</v>
      </c>
      <c r="V7026">
        <v>-0.17923889999999901</v>
      </c>
      <c r="W7026">
        <v>0.1668917</v>
      </c>
      <c r="X7026">
        <v>0.96954660000000004</v>
      </c>
      <c r="Y7026">
        <v>-0.2154845</v>
      </c>
      <c r="Z7026">
        <v>2.1466579999999999E-2</v>
      </c>
      <c r="AA7026">
        <v>0.97627129999999995</v>
      </c>
      <c r="AB7026">
        <v>31</v>
      </c>
      <c r="AC7026">
        <v>18.361599999999999</v>
      </c>
      <c r="AD7026">
        <v>-1.1230433807589999</v>
      </c>
      <c r="AE7026">
        <v>-1.67835</v>
      </c>
      <c r="AF7026">
        <v>-3.99990725093302</v>
      </c>
      <c r="AG7026">
        <v>-1.1230433807589999</v>
      </c>
      <c r="AH7026">
        <v>17.929235071191901</v>
      </c>
      <c r="AI7026">
        <v>93.498403852170298</v>
      </c>
      <c r="AJ7026">
        <v>102.576405105373</v>
      </c>
      <c r="AK7026">
        <v>18.4042917464702</v>
      </c>
      <c r="AL7026">
        <v>80.392855322429298</v>
      </c>
      <c r="AM7026">
        <v>100.473948587744</v>
      </c>
      <c r="AN7026">
        <v>1.0000000161868201</v>
      </c>
    </row>
    <row r="7027" spans="1:40" x14ac:dyDescent="0.25">
      <c r="A7027" t="str">
        <f>"20190304154935702"</f>
        <v>20190304154935702</v>
      </c>
      <c r="B7027" t="str">
        <f>"1551685775694161"</f>
        <v>1551685775694161</v>
      </c>
      <c r="C7027" t="s">
        <v>40</v>
      </c>
      <c r="D7027">
        <v>4.533048</v>
      </c>
      <c r="E7027">
        <v>0.48260740000000002</v>
      </c>
      <c r="F7027" t="s">
        <v>44</v>
      </c>
      <c r="G7027">
        <v>-266.63130000000001</v>
      </c>
      <c r="H7027" s="1">
        <v>-2.3638499999999998E-6</v>
      </c>
      <c r="I7027">
        <v>-62.314579999999999</v>
      </c>
      <c r="J7027">
        <v>-284.87509999999997</v>
      </c>
      <c r="K7027">
        <v>1.122922</v>
      </c>
      <c r="L7027">
        <v>-60.695160000000001</v>
      </c>
      <c r="M7027">
        <v>0.95414359999999998</v>
      </c>
      <c r="N7027">
        <v>-1.6115540000000001E-2</v>
      </c>
      <c r="O7027">
        <v>-0.29891529999999999</v>
      </c>
      <c r="P7027">
        <v>0.97964470000000003</v>
      </c>
      <c r="Q7027">
        <v>0.15507119999999999</v>
      </c>
      <c r="R7027">
        <v>-0.12747349999999999</v>
      </c>
      <c r="S7027">
        <v>3.0574949999999999</v>
      </c>
      <c r="T7027">
        <v>-0.18672449999999999</v>
      </c>
      <c r="U7027">
        <v>-0.27587889999999998</v>
      </c>
      <c r="V7027">
        <v>-0.1762435</v>
      </c>
      <c r="W7027">
        <v>0.16554549999999901</v>
      </c>
      <c r="X7027">
        <v>0.97032620000000003</v>
      </c>
      <c r="Y7027">
        <v>-0.2112163</v>
      </c>
      <c r="Z7027">
        <v>2.118838E-2</v>
      </c>
      <c r="AA7027">
        <v>0.97720969999999996</v>
      </c>
      <c r="AB7027">
        <v>31</v>
      </c>
      <c r="AC7027">
        <v>18.243799999999901</v>
      </c>
      <c r="AD7027">
        <v>-1.1229243638499999</v>
      </c>
      <c r="AE7027">
        <v>-1.6194200000000101</v>
      </c>
      <c r="AF7027">
        <v>-3.89406174419286</v>
      </c>
      <c r="AG7027">
        <v>-1.1229243638499999</v>
      </c>
      <c r="AH7027">
        <v>17.826588933829701</v>
      </c>
      <c r="AI7027">
        <v>93.521564304851907</v>
      </c>
      <c r="AJ7027">
        <v>102.32220204020101</v>
      </c>
      <c r="AK7027">
        <v>18.281464629789799</v>
      </c>
      <c r="AL7027">
        <v>80.471074958001495</v>
      </c>
      <c r="AM7027">
        <v>100.294589315978</v>
      </c>
      <c r="AN7027">
        <v>1.0000000091344701</v>
      </c>
    </row>
    <row r="7028" spans="1:40" x14ac:dyDescent="0.25">
      <c r="A7028" t="str">
        <f>"20190304154935714"</f>
        <v>20190304154935714</v>
      </c>
      <c r="B7028" t="str">
        <f>"1551685775703921"</f>
        <v>1551685775703921</v>
      </c>
      <c r="C7028" t="s">
        <v>40</v>
      </c>
      <c r="D7028">
        <v>4.5003209999999996</v>
      </c>
      <c r="E7028">
        <v>0.48305399999999998</v>
      </c>
      <c r="F7028" t="s">
        <v>44</v>
      </c>
      <c r="G7028">
        <v>-266.82799999999997</v>
      </c>
      <c r="H7028" s="1">
        <v>-2.4368269999999998E-6</v>
      </c>
      <c r="I7028">
        <v>-62.271680000000003</v>
      </c>
      <c r="J7028">
        <v>-284.7242</v>
      </c>
      <c r="K7028">
        <v>1.122797</v>
      </c>
      <c r="L7028">
        <v>-60.735930000000003</v>
      </c>
      <c r="M7028">
        <v>0.95629509999999995</v>
      </c>
      <c r="N7028">
        <v>-1.6088120000000001E-2</v>
      </c>
      <c r="O7028">
        <v>-0.29196040000000001</v>
      </c>
      <c r="P7028">
        <v>0.98030759999999995</v>
      </c>
      <c r="Q7028">
        <v>0.154362</v>
      </c>
      <c r="R7028">
        <v>-0.1231647</v>
      </c>
      <c r="S7028">
        <v>3.057709</v>
      </c>
      <c r="T7028">
        <v>-0.19025639999999999</v>
      </c>
      <c r="U7028">
        <v>-0.26712039999999998</v>
      </c>
      <c r="V7028">
        <v>-0.17339839999999901</v>
      </c>
      <c r="W7028">
        <v>0.1649553</v>
      </c>
      <c r="X7028">
        <v>0.97093910000000005</v>
      </c>
      <c r="Y7028">
        <v>-0.20686640000000001</v>
      </c>
      <c r="Z7028">
        <v>2.1189599999999999E-2</v>
      </c>
      <c r="AA7028">
        <v>0.97813969999999995</v>
      </c>
      <c r="AB7028">
        <v>31</v>
      </c>
      <c r="AC7028">
        <v>17.8962</v>
      </c>
      <c r="AD7028">
        <v>-1.122799436827</v>
      </c>
      <c r="AE7028">
        <v>-1.5357499999999999</v>
      </c>
      <c r="AF7028">
        <v>-3.74221507576069</v>
      </c>
      <c r="AG7028">
        <v>-1.122799436827</v>
      </c>
      <c r="AH7028">
        <v>17.4963331378476</v>
      </c>
      <c r="AI7028">
        <v>93.590833965832005</v>
      </c>
      <c r="AJ7028">
        <v>102.0728411523</v>
      </c>
      <c r="AK7028">
        <v>17.927256497276201</v>
      </c>
      <c r="AL7028">
        <v>80.505362196468596</v>
      </c>
      <c r="AM7028">
        <v>100.125610542524</v>
      </c>
      <c r="AN7028">
        <v>0.99999999601473</v>
      </c>
    </row>
    <row r="7029" spans="1:40" x14ac:dyDescent="0.25">
      <c r="A7029" t="str">
        <f>"20190304154935726"</f>
        <v>20190304154935726</v>
      </c>
      <c r="B7029" t="str">
        <f>"1551685775714657"</f>
        <v>1551685775714657</v>
      </c>
      <c r="C7029" t="s">
        <v>40</v>
      </c>
      <c r="D7029">
        <v>4.5380969999999996</v>
      </c>
      <c r="E7029">
        <v>0.48363010000000001</v>
      </c>
      <c r="F7029" t="s">
        <v>44</v>
      </c>
      <c r="G7029">
        <v>-266.93369999999999</v>
      </c>
      <c r="H7029" s="1">
        <v>-2.4711759999999999E-6</v>
      </c>
      <c r="I7029">
        <v>-62.230409999999999</v>
      </c>
      <c r="J7029">
        <v>-284.57240000000002</v>
      </c>
      <c r="K7029">
        <v>1.122665</v>
      </c>
      <c r="L7029">
        <v>-60.775539999999999</v>
      </c>
      <c r="M7029">
        <v>0.95837550000000005</v>
      </c>
      <c r="N7029">
        <v>-1.605796E-2</v>
      </c>
      <c r="O7029">
        <v>-0.28505910000000001</v>
      </c>
      <c r="P7029">
        <v>0.98094550000000003</v>
      </c>
      <c r="Q7029">
        <v>0.15401289999999901</v>
      </c>
      <c r="R7029">
        <v>-0.11843430000000001</v>
      </c>
      <c r="S7029">
        <v>3.0583800000000001</v>
      </c>
      <c r="T7029">
        <v>-0.1930209</v>
      </c>
      <c r="U7029">
        <v>-0.25692749999999998</v>
      </c>
      <c r="V7029">
        <v>-0.1710295</v>
      </c>
      <c r="W7029">
        <v>0.164707399999999</v>
      </c>
      <c r="X7029">
        <v>0.97140119999999996</v>
      </c>
      <c r="Y7029">
        <v>-0.20305860000000001</v>
      </c>
      <c r="Z7029">
        <v>2.1094809999999999E-2</v>
      </c>
      <c r="AA7029">
        <v>0.97893940000000002</v>
      </c>
      <c r="AB7029">
        <v>31</v>
      </c>
      <c r="AC7029">
        <v>17.6387</v>
      </c>
      <c r="AD7029">
        <v>-1.1226674711759901</v>
      </c>
      <c r="AE7029">
        <v>-1.4548699999999899</v>
      </c>
      <c r="AF7029">
        <v>-3.6196640963064599</v>
      </c>
      <c r="AG7029">
        <v>-1.1226674711759901</v>
      </c>
      <c r="AH7029">
        <v>17.252037116928701</v>
      </c>
      <c r="AI7029">
        <v>93.644120267002506</v>
      </c>
      <c r="AJ7029">
        <v>101.84939746406</v>
      </c>
      <c r="AK7029">
        <v>17.663384021891499</v>
      </c>
      <c r="AL7029">
        <v>80.519762397130606</v>
      </c>
      <c r="AM7029">
        <v>99.985427145154802</v>
      </c>
      <c r="AN7029">
        <v>0.99999995442322398</v>
      </c>
    </row>
    <row r="7030" spans="1:40" x14ac:dyDescent="0.25">
      <c r="A7030" t="str">
        <f>"20190304154935736"</f>
        <v>20190304154935736</v>
      </c>
      <c r="B7030" t="str">
        <f>"1551685775724417"</f>
        <v>1551685775724417</v>
      </c>
      <c r="C7030" t="s">
        <v>40</v>
      </c>
      <c r="D7030">
        <v>4.5520459999999998</v>
      </c>
      <c r="E7030">
        <v>0.48363010000000001</v>
      </c>
      <c r="F7030" t="s">
        <v>44</v>
      </c>
      <c r="G7030">
        <v>-266.77769999999998</v>
      </c>
      <c r="H7030" s="1">
        <v>-2.3983290000000001E-6</v>
      </c>
      <c r="I7030">
        <v>-62.208190000000002</v>
      </c>
      <c r="J7030">
        <v>-284.44869999999997</v>
      </c>
      <c r="K7030">
        <v>1.122555</v>
      </c>
      <c r="L7030">
        <v>-60.807099999999998</v>
      </c>
      <c r="M7030">
        <v>0.96001510000000001</v>
      </c>
      <c r="N7030">
        <v>-1.603307E-2</v>
      </c>
      <c r="O7030">
        <v>-0.27948879999999998</v>
      </c>
      <c r="P7030">
        <v>0.98125399999999996</v>
      </c>
      <c r="Q7030">
        <v>0.15448210000000001</v>
      </c>
      <c r="R7030">
        <v>-0.11522110000000001</v>
      </c>
      <c r="S7030">
        <v>3.0588380000000002</v>
      </c>
      <c r="T7030">
        <v>-0.19298180000000001</v>
      </c>
      <c r="U7030">
        <v>-0.24627689999999999</v>
      </c>
      <c r="V7030">
        <v>-0.16851089999999999</v>
      </c>
      <c r="W7030">
        <v>0.16527549999999999</v>
      </c>
      <c r="X7030">
        <v>0.97174479999999996</v>
      </c>
      <c r="Y7030">
        <v>-0.2007813</v>
      </c>
      <c r="Z7030">
        <v>2.076149E-2</v>
      </c>
      <c r="AA7030">
        <v>0.97941610000000001</v>
      </c>
      <c r="AB7030">
        <v>31</v>
      </c>
      <c r="AC7030">
        <v>17.6709999999999</v>
      </c>
      <c r="AD7030">
        <v>-1.122557398329</v>
      </c>
      <c r="AE7030">
        <v>-1.4010899999999999</v>
      </c>
      <c r="AF7030">
        <v>-3.5798846605054599</v>
      </c>
      <c r="AG7030">
        <v>-1.122557398329</v>
      </c>
      <c r="AH7030">
        <v>17.288913486788999</v>
      </c>
      <c r="AI7030">
        <v>93.638004241927007</v>
      </c>
      <c r="AJ7030">
        <v>101.698483570474</v>
      </c>
      <c r="AK7030">
        <v>17.691304046020502</v>
      </c>
      <c r="AL7030">
        <v>80.4867601865067</v>
      </c>
      <c r="AM7030">
        <v>99.837864763301496</v>
      </c>
      <c r="AN7030">
        <v>0.99999993532304698</v>
      </c>
    </row>
    <row r="7031" spans="1:40" x14ac:dyDescent="0.25">
      <c r="A7031" t="str">
        <f>"20190304154935745"</f>
        <v>20190304154935745</v>
      </c>
      <c r="B7031" t="str">
        <f>"1551685775734177"</f>
        <v>1551685775734177</v>
      </c>
      <c r="C7031" t="s">
        <v>40</v>
      </c>
      <c r="D7031">
        <v>4.5250409999999999</v>
      </c>
      <c r="E7031">
        <v>0.49185299999999998</v>
      </c>
      <c r="F7031" t="s">
        <v>44</v>
      </c>
      <c r="G7031">
        <v>-266.51249999999999</v>
      </c>
      <c r="H7031" s="1">
        <v>-2.28013E-6</v>
      </c>
      <c r="I7031">
        <v>-62.191510000000001</v>
      </c>
      <c r="J7031">
        <v>-284.30529999999999</v>
      </c>
      <c r="K7031">
        <v>1.1224229999999999</v>
      </c>
      <c r="L7031">
        <v>-60.842709999999997</v>
      </c>
      <c r="M7031">
        <v>0.96185109999999996</v>
      </c>
      <c r="N7031">
        <v>-1.600321E-2</v>
      </c>
      <c r="O7031">
        <v>-0.27310590000000001</v>
      </c>
      <c r="P7031">
        <v>0.98176200000000002</v>
      </c>
      <c r="Q7031">
        <v>0.154422799999999</v>
      </c>
      <c r="R7031">
        <v>-0.1108934</v>
      </c>
      <c r="S7031">
        <v>3.059723</v>
      </c>
      <c r="T7031">
        <v>-0.19149579999999999</v>
      </c>
      <c r="U7031">
        <v>-0.23617550000000001</v>
      </c>
      <c r="V7031">
        <v>-0.1662817</v>
      </c>
      <c r="W7031">
        <v>0.16531029999999999</v>
      </c>
      <c r="X7031">
        <v>0.97212290000000001</v>
      </c>
      <c r="Y7031">
        <v>-0.19753680000000001</v>
      </c>
      <c r="Z7031">
        <v>2.0176949999999999E-2</v>
      </c>
      <c r="AA7031">
        <v>0.98008779999999995</v>
      </c>
      <c r="AB7031">
        <v>31</v>
      </c>
      <c r="AC7031">
        <v>17.7928</v>
      </c>
      <c r="AD7031">
        <v>-1.1224252801300001</v>
      </c>
      <c r="AE7031">
        <v>-1.3488</v>
      </c>
      <c r="AF7031">
        <v>-3.5483891920311899</v>
      </c>
      <c r="AG7031">
        <v>-1.1224252801300001</v>
      </c>
      <c r="AH7031">
        <v>17.415714928308802</v>
      </c>
      <c r="AI7031">
        <v>93.613517465254702</v>
      </c>
      <c r="AJ7031">
        <v>101.516179927823</v>
      </c>
      <c r="AK7031">
        <v>17.808931209696901</v>
      </c>
      <c r="AL7031">
        <v>80.484739257335093</v>
      </c>
      <c r="AM7031">
        <v>99.706510381091405</v>
      </c>
      <c r="AN7031">
        <v>1.0000000158726901</v>
      </c>
    </row>
    <row r="7032" spans="1:40" x14ac:dyDescent="0.25">
      <c r="A7032" t="str">
        <f>"20190304154935758"</f>
        <v>20190304154935758</v>
      </c>
      <c r="B7032" t="str">
        <f>"1551685775754107"</f>
        <v>1551685775754107</v>
      </c>
      <c r="C7032" t="s">
        <v>40</v>
      </c>
      <c r="D7032">
        <v>4.5273409999999998</v>
      </c>
      <c r="E7032">
        <v>0.49219829999999998</v>
      </c>
      <c r="F7032" t="s">
        <v>44</v>
      </c>
      <c r="G7032">
        <v>-264.25889999999998</v>
      </c>
      <c r="H7032" s="1">
        <v>-1.4563609999999999E-6</v>
      </c>
      <c r="I7032">
        <v>-62.729019999999998</v>
      </c>
      <c r="J7032">
        <v>-284.1549</v>
      </c>
      <c r="K7032">
        <v>1.1222780000000001</v>
      </c>
      <c r="L7032">
        <v>-60.87903</v>
      </c>
      <c r="M7032">
        <v>0.96370109999999998</v>
      </c>
      <c r="N7032">
        <v>-1.5970680000000001E-2</v>
      </c>
      <c r="O7032">
        <v>-0.26650590000000002</v>
      </c>
      <c r="P7032">
        <v>0.98228230000000005</v>
      </c>
      <c r="Q7032">
        <v>0.1543003</v>
      </c>
      <c r="R7032">
        <v>-0.1063644</v>
      </c>
      <c r="S7032">
        <v>3.0501399999999999</v>
      </c>
      <c r="T7032">
        <v>-0.17078099999999999</v>
      </c>
      <c r="U7032">
        <v>-0.28701779999999999</v>
      </c>
      <c r="V7032">
        <v>-0.1640375</v>
      </c>
      <c r="W7032">
        <v>0.16528399999999999</v>
      </c>
      <c r="X7032">
        <v>0.9725085</v>
      </c>
      <c r="Y7032">
        <v>-0.17452309999999999</v>
      </c>
      <c r="Z7032">
        <v>1.666637E-2</v>
      </c>
      <c r="AA7032">
        <v>0.98451200000000005</v>
      </c>
      <c r="AB7032">
        <v>31</v>
      </c>
      <c r="AC7032">
        <v>19.896000000000001</v>
      </c>
      <c r="AD7032">
        <v>-1.1222794563609999</v>
      </c>
      <c r="AE7032">
        <v>-1.84998999999999</v>
      </c>
      <c r="AF7032">
        <v>-3.50894346401796</v>
      </c>
      <c r="AG7032">
        <v>-1.1222794563609999</v>
      </c>
      <c r="AH7032">
        <v>19.6074843335929</v>
      </c>
      <c r="AI7032">
        <v>93.2247602752049</v>
      </c>
      <c r="AJ7032">
        <v>100.146211926183</v>
      </c>
      <c r="AK7032">
        <v>19.950579873876801</v>
      </c>
      <c r="AL7032">
        <v>80.486266448063901</v>
      </c>
      <c r="AM7032">
        <v>99.574223398869094</v>
      </c>
      <c r="AN7032">
        <v>0.99999994231724798</v>
      </c>
    </row>
    <row r="7033" spans="1:40" x14ac:dyDescent="0.25">
      <c r="A7033" t="str">
        <f>"20190304154935769"</f>
        <v>20190304154935769</v>
      </c>
      <c r="B7033" t="str">
        <f>"1551685775764843"</f>
        <v>1551685775764843</v>
      </c>
      <c r="C7033" t="s">
        <v>40</v>
      </c>
      <c r="D7033">
        <v>4.561172</v>
      </c>
      <c r="E7033">
        <v>0.49219829999999998</v>
      </c>
      <c r="F7033" t="s">
        <v>44</v>
      </c>
      <c r="G7033">
        <v>-263.54860000000002</v>
      </c>
      <c r="H7033" s="1">
        <v>-1.154948E-6</v>
      </c>
      <c r="I7033">
        <v>-62.741390000000003</v>
      </c>
      <c r="J7033">
        <v>-284.0025</v>
      </c>
      <c r="K7033">
        <v>1.122125</v>
      </c>
      <c r="L7033">
        <v>-60.915039999999998</v>
      </c>
      <c r="M7033">
        <v>0.96550729999999996</v>
      </c>
      <c r="N7033">
        <v>-1.5937670000000001E-2</v>
      </c>
      <c r="O7033">
        <v>-0.25988790000000001</v>
      </c>
      <c r="P7033">
        <v>0.98282369999999997</v>
      </c>
      <c r="Q7033">
        <v>0.15368780000000001</v>
      </c>
      <c r="R7033">
        <v>-0.1021654</v>
      </c>
      <c r="S7033">
        <v>3.050354</v>
      </c>
      <c r="T7033">
        <v>-0.1661311</v>
      </c>
      <c r="U7033">
        <v>-0.27569579999999999</v>
      </c>
      <c r="V7033">
        <v>-0.1614594</v>
      </c>
      <c r="W7033">
        <v>0.164779799999999</v>
      </c>
      <c r="X7033">
        <v>0.97302540000000004</v>
      </c>
      <c r="Y7033">
        <v>-0.17143849999999999</v>
      </c>
      <c r="Z7033">
        <v>1.5796379999999999E-2</v>
      </c>
      <c r="AA7033">
        <v>0.98506819999999895</v>
      </c>
      <c r="AB7033">
        <v>31</v>
      </c>
      <c r="AC7033">
        <v>20.453899999999901</v>
      </c>
      <c r="AD7033">
        <v>-1.1221261549479999</v>
      </c>
      <c r="AE7033">
        <v>-1.8263499999999899</v>
      </c>
      <c r="AF7033">
        <v>-3.5422410300498699</v>
      </c>
      <c r="AG7033">
        <v>-1.1221261549479999</v>
      </c>
      <c r="AH7033">
        <v>20.165391354645902</v>
      </c>
      <c r="AI7033">
        <v>93.137070880755701</v>
      </c>
      <c r="AJ7033">
        <v>99.962900911703798</v>
      </c>
      <c r="AK7033">
        <v>20.5048688634825</v>
      </c>
      <c r="AL7033">
        <v>80.515556911892901</v>
      </c>
      <c r="AM7033">
        <v>99.421553630054902</v>
      </c>
      <c r="AN7033">
        <v>0.99999997469077895</v>
      </c>
    </row>
    <row r="7034" spans="1:40" x14ac:dyDescent="0.25">
      <c r="A7034" t="str">
        <f>"20190304154935781"</f>
        <v>20190304154935781</v>
      </c>
      <c r="B7034" t="str">
        <f>"1551685775774603"</f>
        <v>1551685775774603</v>
      </c>
      <c r="C7034" t="s">
        <v>40</v>
      </c>
      <c r="D7034">
        <v>4.5501880000000003</v>
      </c>
      <c r="E7034">
        <v>0.49843219999999999</v>
      </c>
      <c r="F7034" t="s">
        <v>99</v>
      </c>
      <c r="G7034">
        <v>-263.62270000000001</v>
      </c>
      <c r="H7034" s="1">
        <v>-1.166917E-6</v>
      </c>
      <c r="I7034">
        <v>-62.667029999999997</v>
      </c>
      <c r="J7034">
        <v>-283.85640000000001</v>
      </c>
      <c r="K7034">
        <v>1.121964</v>
      </c>
      <c r="L7034">
        <v>-60.948180000000001</v>
      </c>
      <c r="M7034">
        <v>0.96715459999999998</v>
      </c>
      <c r="N7034">
        <v>-1.590252E-2</v>
      </c>
      <c r="O7034">
        <v>-0.253691</v>
      </c>
      <c r="P7034">
        <v>0.98334379999999999</v>
      </c>
      <c r="Q7034">
        <v>0.15317359999999999</v>
      </c>
      <c r="R7034">
        <v>-9.7842680000000001E-2</v>
      </c>
      <c r="S7034">
        <v>3.0513919999999999</v>
      </c>
      <c r="T7034">
        <v>-0.168011299999999</v>
      </c>
      <c r="U7034">
        <v>-0.26232909999999998</v>
      </c>
      <c r="V7034">
        <v>-0.1594341</v>
      </c>
      <c r="W7034">
        <v>0.16435469999999999</v>
      </c>
      <c r="X7034">
        <v>0.97343120000000005</v>
      </c>
      <c r="Y7034">
        <v>-0.16942789999999999</v>
      </c>
      <c r="Z7034">
        <v>1.571235E-2</v>
      </c>
      <c r="AA7034">
        <v>0.98541730000000005</v>
      </c>
      <c r="AB7034">
        <v>31</v>
      </c>
      <c r="AC7034">
        <v>20.233699999999999</v>
      </c>
      <c r="AD7034">
        <v>-1.1219651669170001</v>
      </c>
      <c r="AE7034">
        <v>-1.71884999999999</v>
      </c>
      <c r="AF7034">
        <v>-3.4605886138231199</v>
      </c>
      <c r="AG7034">
        <v>-1.1219651669170001</v>
      </c>
      <c r="AH7034">
        <v>19.946810706050901</v>
      </c>
      <c r="AI7034">
        <v>93.172086392425001</v>
      </c>
      <c r="AJ7034">
        <v>99.842324049879693</v>
      </c>
      <c r="AK7034">
        <v>20.275841209008401</v>
      </c>
      <c r="AL7034">
        <v>80.540250263114302</v>
      </c>
      <c r="AM7034">
        <v>99.301641005760004</v>
      </c>
      <c r="AN7034">
        <v>1.00000000039417</v>
      </c>
    </row>
    <row r="7035" spans="1:40" x14ac:dyDescent="0.25">
      <c r="A7035" t="str">
        <f>"20190304154935792"</f>
        <v>20190304154935792</v>
      </c>
      <c r="B7035" t="str">
        <f>"1551685775784363"</f>
        <v>1551685775784363</v>
      </c>
      <c r="C7035" t="s">
        <v>40</v>
      </c>
      <c r="D7035">
        <v>4.514195</v>
      </c>
      <c r="E7035">
        <v>0.49879869999999998</v>
      </c>
      <c r="F7035" t="s">
        <v>44</v>
      </c>
      <c r="G7035">
        <v>-263.84559999999999</v>
      </c>
      <c r="H7035" s="1">
        <v>-1.3262929999999999E-6</v>
      </c>
      <c r="I7035">
        <v>-62.906529999999997</v>
      </c>
      <c r="J7035">
        <v>-283.70979999999997</v>
      </c>
      <c r="K7035">
        <v>1.1218049999999999</v>
      </c>
      <c r="L7035">
        <v>-60.981050000000003</v>
      </c>
      <c r="M7035">
        <v>0.96875639999999996</v>
      </c>
      <c r="N7035">
        <v>-1.586835E-2</v>
      </c>
      <c r="O7035">
        <v>-0.24750630000000001</v>
      </c>
      <c r="P7035">
        <v>0.98386850000000003</v>
      </c>
      <c r="Q7035">
        <v>0.1522636</v>
      </c>
      <c r="R7035">
        <v>-9.3907779999999996E-2</v>
      </c>
      <c r="S7035">
        <v>3.0477599999999998</v>
      </c>
      <c r="T7035">
        <v>-0.17088210000000001</v>
      </c>
      <c r="U7035">
        <v>-0.29827880000000001</v>
      </c>
      <c r="V7035">
        <v>-0.15704650000000001</v>
      </c>
      <c r="W7035">
        <v>0.16354560000000001</v>
      </c>
      <c r="X7035">
        <v>0.97395549999999997</v>
      </c>
      <c r="Y7035">
        <v>-0.1514983</v>
      </c>
      <c r="Z7035">
        <v>1.516317E-2</v>
      </c>
      <c r="AA7035">
        <v>0.98834120000000003</v>
      </c>
      <c r="AB7035">
        <v>31</v>
      </c>
      <c r="AC7035">
        <v>19.864199999999901</v>
      </c>
      <c r="AD7035">
        <v>-1.121806326293</v>
      </c>
      <c r="AE7035">
        <v>-1.9254800000000001</v>
      </c>
      <c r="AF7035">
        <v>-3.0419661929353001</v>
      </c>
      <c r="AG7035">
        <v>-1.121806326293</v>
      </c>
      <c r="AH7035">
        <v>19.660501932028001</v>
      </c>
      <c r="AI7035">
        <v>93.227372203627198</v>
      </c>
      <c r="AJ7035">
        <v>98.795331530393398</v>
      </c>
      <c r="AK7035">
        <v>19.9260468726727</v>
      </c>
      <c r="AL7035">
        <v>80.587244559596598</v>
      </c>
      <c r="AM7035">
        <v>99.159876017100601</v>
      </c>
      <c r="AN7035">
        <v>1.00000004121092</v>
      </c>
    </row>
    <row r="7036" spans="1:40" x14ac:dyDescent="0.25">
      <c r="A7036" t="str">
        <f>"20190304154935802"</f>
        <v>20190304154935802</v>
      </c>
      <c r="B7036" t="str">
        <f>"1551685775794123"</f>
        <v>1551685775794123</v>
      </c>
      <c r="C7036" t="s">
        <v>40</v>
      </c>
      <c r="D7036">
        <v>4.5652839999999903</v>
      </c>
      <c r="E7036">
        <v>0.4993996</v>
      </c>
      <c r="F7036" t="s">
        <v>44</v>
      </c>
      <c r="G7036">
        <v>-263.93669999999997</v>
      </c>
      <c r="H7036" s="1">
        <v>-1.351114E-6</v>
      </c>
      <c r="I7036">
        <v>-62.852989999999998</v>
      </c>
      <c r="J7036">
        <v>-283.565</v>
      </c>
      <c r="K7036">
        <v>1.121632</v>
      </c>
      <c r="L7036">
        <v>-61.0120199999999</v>
      </c>
      <c r="M7036">
        <v>0.97024960000000005</v>
      </c>
      <c r="N7036">
        <v>-1.5830239999999999E-2</v>
      </c>
      <c r="O7036">
        <v>-0.2415891</v>
      </c>
      <c r="P7036">
        <v>0.98425569999999896</v>
      </c>
      <c r="Q7036">
        <v>0.1519182</v>
      </c>
      <c r="R7036">
        <v>-9.0341389999999994E-2</v>
      </c>
      <c r="S7036">
        <v>3.0484010000000001</v>
      </c>
      <c r="T7036">
        <v>-0.17294779999999901</v>
      </c>
      <c r="U7036">
        <v>-0.28860469999999999</v>
      </c>
      <c r="V7036">
        <v>-0.1545588</v>
      </c>
      <c r="W7036">
        <v>0.16330239999999999</v>
      </c>
      <c r="X7036">
        <v>0.97439410000000004</v>
      </c>
      <c r="Y7036">
        <v>-0.1485899</v>
      </c>
      <c r="Z7036">
        <v>1.505197E-2</v>
      </c>
      <c r="AA7036">
        <v>0.98878429999999995</v>
      </c>
      <c r="AB7036">
        <v>31</v>
      </c>
      <c r="AC7036">
        <v>19.628299999999999</v>
      </c>
      <c r="AD7036">
        <v>-1.121633351114</v>
      </c>
      <c r="AE7036">
        <v>-1.84097000000001</v>
      </c>
      <c r="AF7036">
        <v>-2.9466151150406898</v>
      </c>
      <c r="AG7036">
        <v>-1.121633351114</v>
      </c>
      <c r="AH7036">
        <v>19.428660074380101</v>
      </c>
      <c r="AI7036">
        <v>93.266792416515003</v>
      </c>
      <c r="AJ7036">
        <v>98.623946986109402</v>
      </c>
      <c r="AK7036">
        <v>19.682820791144898</v>
      </c>
      <c r="AL7036">
        <v>80.601368192605904</v>
      </c>
      <c r="AM7036">
        <v>99.013189205144897</v>
      </c>
      <c r="AN7036">
        <v>0.99999997930900397</v>
      </c>
    </row>
    <row r="7037" spans="1:40" x14ac:dyDescent="0.25">
      <c r="A7037" t="str">
        <f>"20190304154935814"</f>
        <v>20190304154935814</v>
      </c>
      <c r="B7037" t="str">
        <f>"1551685775803883"</f>
        <v>1551685775803883</v>
      </c>
      <c r="C7037" t="s">
        <v>40</v>
      </c>
      <c r="D7037">
        <v>4.548057</v>
      </c>
      <c r="E7037">
        <v>0.50000009999999995</v>
      </c>
      <c r="F7037" t="s">
        <v>44</v>
      </c>
      <c r="G7037">
        <v>-263.68259999999998</v>
      </c>
      <c r="H7037" s="1">
        <v>-1.241495E-6</v>
      </c>
      <c r="I7037">
        <v>-62.850540000000002</v>
      </c>
      <c r="J7037">
        <v>-283.41320000000002</v>
      </c>
      <c r="K7037">
        <v>1.1214470000000001</v>
      </c>
      <c r="L7037">
        <v>-61.044069999999998</v>
      </c>
      <c r="M7037">
        <v>0.97176300000000004</v>
      </c>
      <c r="N7037">
        <v>-1.579125E-2</v>
      </c>
      <c r="O7037">
        <v>-0.23543049999999999</v>
      </c>
      <c r="P7037">
        <v>0.98457070000000002</v>
      </c>
      <c r="Q7037">
        <v>0.152179799999999</v>
      </c>
      <c r="R7037">
        <v>-8.6381269999999996E-2</v>
      </c>
      <c r="S7037">
        <v>3.0486759999999999</v>
      </c>
      <c r="T7037">
        <v>-0.17198620000000001</v>
      </c>
      <c r="U7037">
        <v>-0.28192139999999999</v>
      </c>
      <c r="V7037">
        <v>-0.15221489999999999</v>
      </c>
      <c r="W7037">
        <v>0.1636609</v>
      </c>
      <c r="X7037">
        <v>0.97470290000000004</v>
      </c>
      <c r="Y7037">
        <v>-0.14449229999999999</v>
      </c>
      <c r="Z7037">
        <v>1.4576220000000001E-2</v>
      </c>
      <c r="AA7037">
        <v>0.98939849999999996</v>
      </c>
      <c r="AB7037">
        <v>31</v>
      </c>
      <c r="AC7037">
        <v>19.730599999999999</v>
      </c>
      <c r="AD7037">
        <v>-1.12144824149499</v>
      </c>
      <c r="AE7037">
        <v>-1.80647</v>
      </c>
      <c r="AF7037">
        <v>-2.8808549640135399</v>
      </c>
      <c r="AG7037">
        <v>-1.12144824149499</v>
      </c>
      <c r="AH7037">
        <v>19.5386112233166</v>
      </c>
      <c r="AI7037">
        <v>93.249914323255695</v>
      </c>
      <c r="AJ7037">
        <v>98.387498140525494</v>
      </c>
      <c r="AK7037">
        <v>19.781665754378398</v>
      </c>
      <c r="AL7037">
        <v>80.580547782448605</v>
      </c>
      <c r="AM7037">
        <v>98.875929207983802</v>
      </c>
      <c r="AN7037">
        <v>1.00000000461961</v>
      </c>
    </row>
    <row r="7038" spans="1:40" x14ac:dyDescent="0.25">
      <c r="A7038" t="str">
        <f>"20190304154935825"</f>
        <v>20190304154935825</v>
      </c>
      <c r="B7038" t="str">
        <f>"1551685775814619"</f>
        <v>1551685775814619</v>
      </c>
      <c r="C7038" t="s">
        <v>40</v>
      </c>
      <c r="D7038">
        <v>4.5536770000000004</v>
      </c>
      <c r="E7038">
        <v>0.50000009999999995</v>
      </c>
      <c r="F7038" t="s">
        <v>44</v>
      </c>
      <c r="G7038">
        <v>-263.34339999999997</v>
      </c>
      <c r="H7038" s="1">
        <v>-1.0952089999999999E-6</v>
      </c>
      <c r="I7038">
        <v>-62.84769</v>
      </c>
      <c r="J7038">
        <v>-283.2672</v>
      </c>
      <c r="K7038">
        <v>1.121264</v>
      </c>
      <c r="L7038">
        <v>-61.07376</v>
      </c>
      <c r="M7038">
        <v>0.97314699999999998</v>
      </c>
      <c r="N7038">
        <v>-1.57515999999999E-2</v>
      </c>
      <c r="O7038">
        <v>-0.22964470000000001</v>
      </c>
      <c r="P7038">
        <v>0.98479309999999998</v>
      </c>
      <c r="Q7038">
        <v>0.15282479999999901</v>
      </c>
      <c r="R7038">
        <v>-8.2627049999999994E-2</v>
      </c>
      <c r="S7038">
        <v>3.049347</v>
      </c>
      <c r="T7038">
        <v>-0.1703894</v>
      </c>
      <c r="U7038">
        <v>-0.27404790000000001</v>
      </c>
      <c r="V7038">
        <v>-0.1500455</v>
      </c>
      <c r="W7038">
        <v>0.16439319999999999</v>
      </c>
      <c r="X7038">
        <v>0.974916</v>
      </c>
      <c r="Y7038">
        <v>-0.1411782</v>
      </c>
      <c r="Z7038">
        <v>1.408334E-2</v>
      </c>
      <c r="AA7038">
        <v>0.98988399999999999</v>
      </c>
      <c r="AB7038">
        <v>31</v>
      </c>
      <c r="AC7038">
        <v>19.9238</v>
      </c>
      <c r="AD7038">
        <v>-1.121265095209</v>
      </c>
      <c r="AE7038">
        <v>-1.77393</v>
      </c>
      <c r="AF7038">
        <v>-2.84052839805419</v>
      </c>
      <c r="AG7038">
        <v>-1.121265095209</v>
      </c>
      <c r="AH7038">
        <v>19.7365996038586</v>
      </c>
      <c r="AI7038">
        <v>93.218470605334403</v>
      </c>
      <c r="AJ7038">
        <v>98.189877921518004</v>
      </c>
      <c r="AK7038">
        <v>19.9714596591466</v>
      </c>
      <c r="AL7038">
        <v>80.538013874249103</v>
      </c>
      <c r="AM7038">
        <v>98.749516366751607</v>
      </c>
      <c r="AN7038">
        <v>0.99999999166624498</v>
      </c>
    </row>
    <row r="7039" spans="1:40" x14ac:dyDescent="0.25">
      <c r="A7039" t="str">
        <f>"20190304154935837"</f>
        <v>20190304154935837</v>
      </c>
      <c r="B7039" t="str">
        <f>"1551685775834140"</f>
        <v>1551685775834140</v>
      </c>
      <c r="C7039" t="s">
        <v>40</v>
      </c>
      <c r="D7039">
        <v>4.5555849999999998</v>
      </c>
      <c r="E7039">
        <v>0.50033779999999894</v>
      </c>
      <c r="F7039" t="s">
        <v>99</v>
      </c>
      <c r="G7039">
        <v>-262.95569999999998</v>
      </c>
      <c r="H7039" s="1">
        <v>-9.2172289999999996E-7</v>
      </c>
      <c r="I7039">
        <v>-62.820810000000002</v>
      </c>
      <c r="J7039">
        <v>-283.12200000000001</v>
      </c>
      <c r="K7039">
        <v>1.121084</v>
      </c>
      <c r="L7039">
        <v>-61.10266</v>
      </c>
      <c r="M7039">
        <v>0.97446560000000004</v>
      </c>
      <c r="N7039">
        <v>-1.5712420000000001E-2</v>
      </c>
      <c r="O7039">
        <v>-0.2239872</v>
      </c>
      <c r="P7039">
        <v>0.984989</v>
      </c>
      <c r="Q7039">
        <v>0.15348029999999999</v>
      </c>
      <c r="R7039">
        <v>-7.8998910000000006E-2</v>
      </c>
      <c r="S7039">
        <v>3.0504760000000002</v>
      </c>
      <c r="T7039">
        <v>-0.16839689999999999</v>
      </c>
      <c r="U7039">
        <v>-0.26239010000000001</v>
      </c>
      <c r="V7039">
        <v>-0.14788490000000001</v>
      </c>
      <c r="W7039">
        <v>0.16513539999999999</v>
      </c>
      <c r="X7039">
        <v>0.97512069999999995</v>
      </c>
      <c r="Y7039">
        <v>-0.139232299999999</v>
      </c>
      <c r="Z7039">
        <v>1.361159E-2</v>
      </c>
      <c r="AA7039">
        <v>0.9901662</v>
      </c>
      <c r="AB7039">
        <v>31</v>
      </c>
      <c r="AC7039">
        <v>20.1663</v>
      </c>
      <c r="AD7039">
        <v>-1.1210849217229</v>
      </c>
      <c r="AE7039">
        <v>-1.7181499999999901</v>
      </c>
      <c r="AF7039">
        <v>-2.8343690636217498</v>
      </c>
      <c r="AG7039">
        <v>-1.1210849217229</v>
      </c>
      <c r="AH7039">
        <v>19.977384858878899</v>
      </c>
      <c r="AI7039">
        <v>93.180156765018594</v>
      </c>
      <c r="AJ7039">
        <v>98.075165730201306</v>
      </c>
      <c r="AK7039">
        <v>20.208572072026602</v>
      </c>
      <c r="AL7039">
        <v>80.494899895421995</v>
      </c>
      <c r="AM7039">
        <v>98.623651531557002</v>
      </c>
      <c r="AN7039">
        <v>1.00000001177483</v>
      </c>
    </row>
    <row r="7040" spans="1:40" x14ac:dyDescent="0.25">
      <c r="A7040" t="str">
        <f>"20190304154935847"</f>
        <v>20190304154935847</v>
      </c>
      <c r="B7040" t="str">
        <f>"1551685775843900"</f>
        <v>1551685775843900</v>
      </c>
      <c r="C7040" t="s">
        <v>40</v>
      </c>
      <c r="D7040">
        <v>4.5447100000000002</v>
      </c>
      <c r="E7040">
        <v>0.50033779999999894</v>
      </c>
      <c r="F7040" t="s">
        <v>44</v>
      </c>
      <c r="G7040">
        <v>-263.1755</v>
      </c>
      <c r="H7040" s="1">
        <v>-1.0015479999999999E-6</v>
      </c>
      <c r="I7040">
        <v>-62.766379999999998</v>
      </c>
      <c r="J7040">
        <v>-282.9787</v>
      </c>
      <c r="K7040">
        <v>1.1208990000000001</v>
      </c>
      <c r="L7040">
        <v>-61.130400000000002</v>
      </c>
      <c r="M7040">
        <v>0.97570970000000001</v>
      </c>
      <c r="N7040">
        <v>-1.5673639999999999E-2</v>
      </c>
      <c r="O7040">
        <v>-0.21850649999999999</v>
      </c>
      <c r="P7040">
        <v>0.98515839999999999</v>
      </c>
      <c r="Q7040">
        <v>0.15412960000000001</v>
      </c>
      <c r="R7040">
        <v>-7.5545799999999996E-2</v>
      </c>
      <c r="S7040">
        <v>3.0520320000000001</v>
      </c>
      <c r="T7040">
        <v>-0.1715381</v>
      </c>
      <c r="U7040">
        <v>-0.25457760000000001</v>
      </c>
      <c r="V7040">
        <v>-0.145734</v>
      </c>
      <c r="W7040">
        <v>0.16586999999999999</v>
      </c>
      <c r="X7040">
        <v>0.97531990000000002</v>
      </c>
      <c r="Y7040">
        <v>-0.136217899999999</v>
      </c>
      <c r="Z7040">
        <v>1.35905E-2</v>
      </c>
      <c r="AA7040">
        <v>0.99058570000000001</v>
      </c>
      <c r="AB7040">
        <v>31</v>
      </c>
      <c r="AC7040">
        <v>19.8032</v>
      </c>
      <c r="AD7040">
        <v>-1.120900001548</v>
      </c>
      <c r="AE7040">
        <v>-1.63598</v>
      </c>
      <c r="AF7040">
        <v>-2.7225582723967499</v>
      </c>
      <c r="AG7040">
        <v>-1.120900001548</v>
      </c>
      <c r="AH7040">
        <v>19.6196316719458</v>
      </c>
      <c r="AI7040">
        <v>93.2388736495042</v>
      </c>
      <c r="AJ7040">
        <v>97.9003134562643</v>
      </c>
      <c r="AK7040">
        <v>19.839321745031601</v>
      </c>
      <c r="AL7040">
        <v>80.452222528709001</v>
      </c>
      <c r="AM7040">
        <v>98.498360270126696</v>
      </c>
      <c r="AN7040">
        <v>1.0000000814959999</v>
      </c>
    </row>
    <row r="7041" spans="1:40" x14ac:dyDescent="0.25">
      <c r="A7041" t="str">
        <f>"20190304154935860"</f>
        <v>20190304154935860</v>
      </c>
      <c r="B7041" t="str">
        <f>"1551685775854637"</f>
        <v>1551685775854637</v>
      </c>
      <c r="C7041" t="s">
        <v>40</v>
      </c>
      <c r="D7041">
        <v>4.5279819999999997</v>
      </c>
      <c r="E7041">
        <v>0.50945680000000004</v>
      </c>
      <c r="F7041" t="s">
        <v>44</v>
      </c>
      <c r="G7041">
        <v>-262.79070000000002</v>
      </c>
      <c r="H7041" s="1">
        <v>-8.3133769999999899E-7</v>
      </c>
      <c r="I7041">
        <v>-62.747169999999997</v>
      </c>
      <c r="J7041">
        <v>-282.81360000000001</v>
      </c>
      <c r="K7041">
        <v>1.1206799999999999</v>
      </c>
      <c r="L7041">
        <v>-61.161250000000003</v>
      </c>
      <c r="M7041">
        <v>0.97706389999999999</v>
      </c>
      <c r="N7041">
        <v>-1.5627780000000001E-2</v>
      </c>
      <c r="O7041">
        <v>-0.2123718</v>
      </c>
      <c r="P7041">
        <v>0.98540369999999999</v>
      </c>
      <c r="Q7041">
        <v>0.15464929999999999</v>
      </c>
      <c r="R7041">
        <v>-7.1155689999999994E-2</v>
      </c>
      <c r="S7041">
        <v>3.0529480000000002</v>
      </c>
      <c r="T7041">
        <v>-0.1695092</v>
      </c>
      <c r="U7041">
        <v>-0.2445068</v>
      </c>
      <c r="V7041">
        <v>-0.1438497</v>
      </c>
      <c r="W7041">
        <v>0.166471799999999</v>
      </c>
      <c r="X7041">
        <v>0.97549699999999995</v>
      </c>
      <c r="Y7041">
        <v>-0.13328499999999999</v>
      </c>
      <c r="Z7041">
        <v>1.3068430000000001E-2</v>
      </c>
      <c r="AA7041">
        <v>0.99099159999999997</v>
      </c>
      <c r="AB7041">
        <v>31</v>
      </c>
      <c r="AC7041">
        <v>20.0229</v>
      </c>
      <c r="AD7041">
        <v>-1.1206808313376999</v>
      </c>
      <c r="AE7041">
        <v>-1.58591999999999</v>
      </c>
      <c r="AF7041">
        <v>-2.6946955359608298</v>
      </c>
      <c r="AG7041">
        <v>-1.1206808313376999</v>
      </c>
      <c r="AH7041">
        <v>19.841121756670798</v>
      </c>
      <c r="AI7041">
        <v>93.203440222359006</v>
      </c>
      <c r="AJ7041">
        <v>97.734228163281699</v>
      </c>
      <c r="AK7041">
        <v>20.0546109939906</v>
      </c>
      <c r="AL7041">
        <v>80.417254966943005</v>
      </c>
      <c r="AM7041">
        <v>98.388551387111505</v>
      </c>
      <c r="AN7041">
        <v>0.99999999669716499</v>
      </c>
    </row>
    <row r="7042" spans="1:40" x14ac:dyDescent="0.25">
      <c r="A7042" t="str">
        <f>"20190304154935870"</f>
        <v>20190304154935870</v>
      </c>
      <c r="B7042" t="str">
        <f>"1551685775864395"</f>
        <v>1551685775864395</v>
      </c>
      <c r="C7042" t="s">
        <v>40</v>
      </c>
      <c r="D7042">
        <v>4.536143</v>
      </c>
      <c r="E7042">
        <v>0.50962269999999998</v>
      </c>
      <c r="F7042" t="s">
        <v>100</v>
      </c>
      <c r="G7042">
        <v>-258.28930000000003</v>
      </c>
      <c r="H7042" s="1">
        <v>-3.2750610000000002E-6</v>
      </c>
      <c r="I7042">
        <v>-63.60859</v>
      </c>
      <c r="J7042">
        <v>-282.67959999999999</v>
      </c>
      <c r="K7042">
        <v>1.120495</v>
      </c>
      <c r="L7042">
        <v>-61.185940000000002</v>
      </c>
      <c r="M7042">
        <v>0.9781204</v>
      </c>
      <c r="N7042">
        <v>-1.559145E-2</v>
      </c>
      <c r="O7042">
        <v>-0.20745469999999999</v>
      </c>
      <c r="P7042">
        <v>0.9856471</v>
      </c>
      <c r="Q7042">
        <v>0.15424879999999999</v>
      </c>
      <c r="R7042">
        <v>-6.8610320000000002E-2</v>
      </c>
      <c r="S7042">
        <v>3.0443419999999999</v>
      </c>
      <c r="T7042">
        <v>-0.13911689999999999</v>
      </c>
      <c r="U7042">
        <v>-0.30380249999999998</v>
      </c>
      <c r="V7042">
        <v>-0.1413835</v>
      </c>
      <c r="W7042">
        <v>0.16616429999999999</v>
      </c>
      <c r="X7042">
        <v>0.9759099</v>
      </c>
      <c r="Y7042">
        <v>-0.10907559999999999</v>
      </c>
      <c r="Z7042">
        <v>9.4614420000000005E-3</v>
      </c>
      <c r="AA7042">
        <v>0.99398850000000005</v>
      </c>
      <c r="AB7042">
        <v>31</v>
      </c>
      <c r="AC7042">
        <v>24.3902999999999</v>
      </c>
      <c r="AD7042">
        <v>-1.120498275061</v>
      </c>
      <c r="AE7042">
        <v>-2.4226499999999902</v>
      </c>
      <c r="AF7042">
        <v>-2.6849546759955798</v>
      </c>
      <c r="AG7042">
        <v>-1.120498275061</v>
      </c>
      <c r="AH7042">
        <v>24.311392443524799</v>
      </c>
      <c r="AI7042">
        <v>92.622937410273806</v>
      </c>
      <c r="AJ7042">
        <v>96.302216508893295</v>
      </c>
      <c r="AK7042">
        <v>24.4848585975014</v>
      </c>
      <c r="AL7042">
        <v>80.435122311774407</v>
      </c>
      <c r="AM7042">
        <v>98.243289418211305</v>
      </c>
      <c r="AN7042">
        <v>1.0000000007923699</v>
      </c>
    </row>
    <row r="7043" spans="1:40" x14ac:dyDescent="0.25">
      <c r="A7043" t="str">
        <f>"20190304154935881"</f>
        <v>20190304154935881</v>
      </c>
      <c r="B7043" t="str">
        <f>"1551685775874155"</f>
        <v>1551685775874155</v>
      </c>
      <c r="C7043" t="s">
        <v>40</v>
      </c>
      <c r="D7043">
        <v>4.5781330000000002</v>
      </c>
      <c r="E7043">
        <v>0.50962269999999998</v>
      </c>
      <c r="F7043" t="s">
        <v>100</v>
      </c>
      <c r="G7043">
        <v>-258.80579999999998</v>
      </c>
      <c r="H7043" s="1">
        <v>-3.4390699999999998E-6</v>
      </c>
      <c r="I7043">
        <v>-63.520740000000004</v>
      </c>
      <c r="J7043">
        <v>-282.53070000000002</v>
      </c>
      <c r="K7043">
        <v>1.120276</v>
      </c>
      <c r="L7043">
        <v>-61.21219</v>
      </c>
      <c r="M7043">
        <v>0.97921809999999998</v>
      </c>
      <c r="N7043">
        <v>-1.5547480000000001E-2</v>
      </c>
      <c r="O7043">
        <v>-0.20221339999999999</v>
      </c>
      <c r="P7043">
        <v>0.98599729999999997</v>
      </c>
      <c r="Q7043">
        <v>0.15325429999999901</v>
      </c>
      <c r="R7043">
        <v>-6.5748390000000004E-2</v>
      </c>
      <c r="S7043">
        <v>3.0452880000000002</v>
      </c>
      <c r="T7043">
        <v>-0.142928</v>
      </c>
      <c r="U7043">
        <v>-0.297821</v>
      </c>
      <c r="V7043">
        <v>-0.13890169999999999</v>
      </c>
      <c r="W7043">
        <v>0.16526660000000001</v>
      </c>
      <c r="X7043">
        <v>0.97641860000000003</v>
      </c>
      <c r="Y7043">
        <v>-0.1057075</v>
      </c>
      <c r="Z7043">
        <v>9.5284240000000006E-3</v>
      </c>
      <c r="AA7043">
        <v>0.9943516</v>
      </c>
      <c r="AB7043">
        <v>31</v>
      </c>
      <c r="AC7043">
        <v>23.724900000000002</v>
      </c>
      <c r="AD7043">
        <v>-1.1202794390699999</v>
      </c>
      <c r="AE7043">
        <v>-2.3085499999999999</v>
      </c>
      <c r="AF7043">
        <v>-2.5316335257582199</v>
      </c>
      <c r="AG7043">
        <v>-1.1202794390699999</v>
      </c>
      <c r="AH7043">
        <v>23.649299240000701</v>
      </c>
      <c r="AI7043">
        <v>92.696718514203994</v>
      </c>
      <c r="AJ7043">
        <v>96.110186188370406</v>
      </c>
      <c r="AK7043">
        <v>23.810786397627499</v>
      </c>
      <c r="AL7043">
        <v>80.487277916302105</v>
      </c>
      <c r="AM7043">
        <v>98.096362431269597</v>
      </c>
      <c r="AN7043">
        <v>1.0000000068821999</v>
      </c>
    </row>
    <row r="7044" spans="1:40" x14ac:dyDescent="0.25">
      <c r="A7044" t="str">
        <f>"20190304154935894"</f>
        <v>20190304154935894</v>
      </c>
      <c r="B7044" t="str">
        <f>"1551685775883915"</f>
        <v>1551685775883915</v>
      </c>
      <c r="C7044" t="s">
        <v>40</v>
      </c>
      <c r="D7044">
        <v>4.6108029999999998</v>
      </c>
      <c r="E7044">
        <v>0.50166109999999997</v>
      </c>
      <c r="F7044" t="s">
        <v>100</v>
      </c>
      <c r="G7044">
        <v>-259.15260000000001</v>
      </c>
      <c r="H7044" s="1">
        <v>-3.5452139999999999E-6</v>
      </c>
      <c r="I7044">
        <v>-63.431899999999999</v>
      </c>
      <c r="J7044">
        <v>-282.37200000000001</v>
      </c>
      <c r="K7044">
        <v>1.1200410000000001</v>
      </c>
      <c r="L7044">
        <v>-61.239809999999999</v>
      </c>
      <c r="M7044">
        <v>0.98034019999999999</v>
      </c>
      <c r="N7044">
        <v>-1.550169E-2</v>
      </c>
      <c r="O7044">
        <v>-0.19670489999999999</v>
      </c>
      <c r="P7044">
        <v>0.98626440000000004</v>
      </c>
      <c r="Q7044">
        <v>0.15277839999999901</v>
      </c>
      <c r="R7044">
        <v>-6.2780859999999994E-2</v>
      </c>
      <c r="S7044">
        <v>3.0460210000000001</v>
      </c>
      <c r="T7044">
        <v>-0.1459656</v>
      </c>
      <c r="U7044">
        <v>-0.2892151</v>
      </c>
      <c r="V7044">
        <v>-0.13624900000000001</v>
      </c>
      <c r="W7044">
        <v>0.1648927</v>
      </c>
      <c r="X7044">
        <v>0.97685549999999999</v>
      </c>
      <c r="Y7044">
        <v>-0.1029178</v>
      </c>
      <c r="Z7044">
        <v>9.5269680000000002E-3</v>
      </c>
      <c r="AA7044">
        <v>0.99464419999999998</v>
      </c>
      <c r="AB7044">
        <v>30</v>
      </c>
      <c r="AC7044">
        <v>23.2194</v>
      </c>
      <c r="AD7044">
        <v>-1.120044545214</v>
      </c>
      <c r="AE7044">
        <v>-2.1920899999999999</v>
      </c>
      <c r="AF7044">
        <v>-2.4131010711869698</v>
      </c>
      <c r="AG7044">
        <v>-1.120044545214</v>
      </c>
      <c r="AH7044">
        <v>23.143517271791801</v>
      </c>
      <c r="AI7044">
        <v>92.755786054524805</v>
      </c>
      <c r="AJ7044">
        <v>95.952540059721002</v>
      </c>
      <c r="AK7044">
        <v>23.2959212797596</v>
      </c>
      <c r="AL7044">
        <v>80.508999037108893</v>
      </c>
      <c r="AM7044">
        <v>97.940225847056297</v>
      </c>
      <c r="AN7044">
        <v>1.00000003019726</v>
      </c>
    </row>
    <row r="7045" spans="1:40" x14ac:dyDescent="0.25">
      <c r="A7045" t="str">
        <f>"20190304154935905"</f>
        <v>20190304154935905</v>
      </c>
      <c r="B7045" t="str">
        <f>"1551685775894651"</f>
        <v>1551685775894651</v>
      </c>
      <c r="C7045" t="s">
        <v>40</v>
      </c>
      <c r="D7045">
        <v>4.5831309999999998</v>
      </c>
      <c r="E7045">
        <v>0.50166109999999997</v>
      </c>
      <c r="F7045" t="s">
        <v>44</v>
      </c>
      <c r="G7045">
        <v>-260.46620000000001</v>
      </c>
      <c r="H7045" s="1">
        <v>1.5264449999999999E-7</v>
      </c>
      <c r="I7045">
        <v>-62.796819999999997</v>
      </c>
      <c r="J7045">
        <v>-282.21780000000001</v>
      </c>
      <c r="K7045">
        <v>1.1197919999999999</v>
      </c>
      <c r="L7045">
        <v>-61.265560000000001</v>
      </c>
      <c r="M7045">
        <v>0.98135300000000003</v>
      </c>
      <c r="N7045">
        <v>-1.545413E-2</v>
      </c>
      <c r="O7045">
        <v>-0.19159209999999999</v>
      </c>
      <c r="P7045">
        <v>0.98637770000000002</v>
      </c>
      <c r="Q7045">
        <v>0.15314369999999999</v>
      </c>
      <c r="R7045">
        <v>-6.0052220000000003E-2</v>
      </c>
      <c r="S7045">
        <v>3.052155</v>
      </c>
      <c r="T7045">
        <v>-0.15605620000000001</v>
      </c>
      <c r="U7045">
        <v>-0.21694949999999999</v>
      </c>
      <c r="V7045">
        <v>-0.13374739999999999</v>
      </c>
      <c r="W7045">
        <v>0.16535259999999999</v>
      </c>
      <c r="X7045">
        <v>0.97712339999999998</v>
      </c>
      <c r="Y7045">
        <v>-0.121222</v>
      </c>
      <c r="Z7045">
        <v>1.077203E-2</v>
      </c>
      <c r="AA7045">
        <v>0.99256690000000003</v>
      </c>
      <c r="AB7045">
        <v>30</v>
      </c>
      <c r="AC7045">
        <v>21.7516</v>
      </c>
      <c r="AD7045">
        <v>-1.1197918473555</v>
      </c>
      <c r="AE7045">
        <v>-1.5312599999999901</v>
      </c>
      <c r="AF7045">
        <v>-2.6580364867589901</v>
      </c>
      <c r="AG7045">
        <v>-1.1197918473555</v>
      </c>
      <c r="AH7045">
        <v>21.585034633333201</v>
      </c>
      <c r="AI7045">
        <v>92.947512859345494</v>
      </c>
      <c r="AJ7045">
        <v>97.020206485053805</v>
      </c>
      <c r="AK7045">
        <v>21.776887102350901</v>
      </c>
      <c r="AL7045">
        <v>80.482281617550896</v>
      </c>
      <c r="AM7045">
        <v>97.794137360097395</v>
      </c>
      <c r="AN7045">
        <v>0.99999999408053997</v>
      </c>
    </row>
    <row r="7046" spans="1:40" x14ac:dyDescent="0.25">
      <c r="A7046" t="str">
        <f>"20190304154935916"</f>
        <v>20190304154935916</v>
      </c>
      <c r="B7046" t="str">
        <f>"1551685775904411"</f>
        <v>1551685775904411</v>
      </c>
      <c r="C7046" t="s">
        <v>40</v>
      </c>
      <c r="D7046">
        <v>4.538151</v>
      </c>
      <c r="E7046">
        <v>0.4772962</v>
      </c>
      <c r="F7046" t="s">
        <v>44</v>
      </c>
      <c r="G7046">
        <v>-260.15219999999999</v>
      </c>
      <c r="H7046" s="1">
        <v>2.934138E-7</v>
      </c>
      <c r="I7046">
        <v>-62.774059999999999</v>
      </c>
      <c r="J7046">
        <v>-282.07420000000002</v>
      </c>
      <c r="K7046">
        <v>1.1195569999999999</v>
      </c>
      <c r="L7046">
        <v>-61.289119999999997</v>
      </c>
      <c r="M7046">
        <v>0.98225220000000002</v>
      </c>
      <c r="N7046">
        <v>-1.541035E-2</v>
      </c>
      <c r="O7046">
        <v>-0.18693090000000001</v>
      </c>
      <c r="P7046">
        <v>0.98638419999999905</v>
      </c>
      <c r="Q7046">
        <v>0.1541102</v>
      </c>
      <c r="R7046">
        <v>-5.741388E-2</v>
      </c>
      <c r="S7046">
        <v>3.052765</v>
      </c>
      <c r="T7046">
        <v>-0.15492259999999999</v>
      </c>
      <c r="U7046">
        <v>-0.2087097</v>
      </c>
      <c r="V7046">
        <v>-0.13161239999999999</v>
      </c>
      <c r="W7046">
        <v>0.1664004</v>
      </c>
      <c r="X7046">
        <v>0.97723539999999998</v>
      </c>
      <c r="Y7046">
        <v>-0.1192003</v>
      </c>
      <c r="Z7046">
        <v>1.0458E-2</v>
      </c>
      <c r="AA7046">
        <v>0.99281509999999995</v>
      </c>
      <c r="AB7046">
        <v>30</v>
      </c>
      <c r="AC7046">
        <v>21.922000000000001</v>
      </c>
      <c r="AD7046">
        <v>-1.1195567065862</v>
      </c>
      <c r="AE7046">
        <v>-1.4849399999999999</v>
      </c>
      <c r="AF7046">
        <v>-2.63279168059359</v>
      </c>
      <c r="AG7046">
        <v>-1.1195567065862</v>
      </c>
      <c r="AH7046">
        <v>21.756618603528501</v>
      </c>
      <c r="AI7046">
        <v>92.924443140781904</v>
      </c>
      <c r="AJ7046">
        <v>96.899874215079294</v>
      </c>
      <c r="AK7046">
        <v>21.9439160660094</v>
      </c>
      <c r="AL7046">
        <v>80.421403512909606</v>
      </c>
      <c r="AM7046">
        <v>97.6703447210391</v>
      </c>
      <c r="AN7046">
        <v>0.99999997198353896</v>
      </c>
    </row>
    <row r="7047" spans="1:40" x14ac:dyDescent="0.25">
      <c r="A7047" t="str">
        <f>"20190304154935927"</f>
        <v>20190304154935927</v>
      </c>
      <c r="B7047" t="str">
        <f>"1551685775923931"</f>
        <v>1551685775923931</v>
      </c>
      <c r="C7047" t="s">
        <v>40</v>
      </c>
      <c r="D7047">
        <v>4.561687</v>
      </c>
      <c r="E7047">
        <v>0.47904960000000002</v>
      </c>
      <c r="F7047" t="s">
        <v>100</v>
      </c>
      <c r="G7047">
        <v>-253.5838</v>
      </c>
      <c r="H7047" s="1">
        <v>-8.8819849999999998E-7</v>
      </c>
      <c r="I7047">
        <v>-61.348799999999997</v>
      </c>
      <c r="J7047">
        <v>-281.92180000000002</v>
      </c>
      <c r="K7047">
        <v>1.119308</v>
      </c>
      <c r="L7047">
        <v>-61.313420000000001</v>
      </c>
      <c r="M7047">
        <v>0.98315240000000004</v>
      </c>
      <c r="N7047">
        <v>-1.536325E-2</v>
      </c>
      <c r="O7047">
        <v>-0.18214140000000001</v>
      </c>
      <c r="P7047">
        <v>0.98652050000000002</v>
      </c>
      <c r="Q7047">
        <v>0.1543282</v>
      </c>
      <c r="R7047">
        <v>-5.4406660000000003E-2</v>
      </c>
      <c r="S7047">
        <v>3.0597840000000001</v>
      </c>
      <c r="T7047">
        <v>-0.1202372</v>
      </c>
      <c r="U7047">
        <v>-6.4086909999999898E-3</v>
      </c>
      <c r="V7047">
        <v>-0.12971750000000001</v>
      </c>
      <c r="W7047">
        <v>0.1666947</v>
      </c>
      <c r="X7047">
        <v>0.97743860000000005</v>
      </c>
      <c r="Y7047">
        <v>-0.17985950000000001</v>
      </c>
      <c r="Z7047">
        <v>9.2293529999999992E-3</v>
      </c>
      <c r="AA7047">
        <v>0.983649</v>
      </c>
      <c r="AB7047">
        <v>30</v>
      </c>
      <c r="AC7047">
        <v>28.338000000000001</v>
      </c>
      <c r="AD7047">
        <v>-1.1193088881985001</v>
      </c>
      <c r="AE7047">
        <v>-3.5380000000003499E-2</v>
      </c>
      <c r="AF7047">
        <v>-5.1193569239130303</v>
      </c>
      <c r="AG7047">
        <v>-1.1193088881985001</v>
      </c>
      <c r="AH7047">
        <v>27.826890363818102</v>
      </c>
      <c r="AI7047">
        <v>92.265445791037095</v>
      </c>
      <c r="AJ7047">
        <v>100.42423337072999</v>
      </c>
      <c r="AK7047">
        <v>28.316011283752001</v>
      </c>
      <c r="AL7047">
        <v>80.404302646230803</v>
      </c>
      <c r="AM7047">
        <v>97.559643483424793</v>
      </c>
      <c r="AN7047">
        <v>0.99999998479214902</v>
      </c>
    </row>
    <row r="7048" spans="1:40" x14ac:dyDescent="0.25">
      <c r="A7048" t="str">
        <f>"20190304154935939"</f>
        <v>20190304154935939</v>
      </c>
      <c r="B7048" t="str">
        <f>"1551685775934667"</f>
        <v>1551685775934667</v>
      </c>
      <c r="C7048" t="s">
        <v>40</v>
      </c>
      <c r="D7048">
        <v>4.5665519999999997</v>
      </c>
      <c r="E7048">
        <v>0.47977809999999999</v>
      </c>
      <c r="F7048" t="s">
        <v>100</v>
      </c>
      <c r="G7048">
        <v>-250.85140000000001</v>
      </c>
      <c r="H7048" s="1">
        <v>2.6528559999999999E-7</v>
      </c>
      <c r="I7048">
        <v>-61.432810000000003</v>
      </c>
      <c r="J7048">
        <v>-281.76949999999999</v>
      </c>
      <c r="K7048">
        <v>1.1190530000000001</v>
      </c>
      <c r="L7048">
        <v>-61.337040000000002</v>
      </c>
      <c r="M7048">
        <v>0.98399530000000002</v>
      </c>
      <c r="N7048">
        <v>-1.5316359999999999E-2</v>
      </c>
      <c r="O7048">
        <v>-0.177535</v>
      </c>
      <c r="P7048">
        <v>0.98663659999999997</v>
      </c>
      <c r="Q7048">
        <v>0.1545975</v>
      </c>
      <c r="R7048">
        <v>-5.1457559999999999E-2</v>
      </c>
      <c r="S7048">
        <v>3.057617</v>
      </c>
      <c r="T7048">
        <v>-0.1101502</v>
      </c>
      <c r="U7048">
        <v>-1.1749269999999999E-2</v>
      </c>
      <c r="V7048">
        <v>-0.12794800000000001</v>
      </c>
      <c r="W7048">
        <v>0.1670374</v>
      </c>
      <c r="X7048">
        <v>0.97761330000000002</v>
      </c>
      <c r="Y7048">
        <v>-0.173575799999999</v>
      </c>
      <c r="Z7048">
        <v>8.0929399999999999E-3</v>
      </c>
      <c r="AA7048">
        <v>0.98478730000000003</v>
      </c>
      <c r="AB7048">
        <v>30</v>
      </c>
      <c r="AC7048">
        <v>30.9180999999999</v>
      </c>
      <c r="AD7048">
        <v>-1.1190527347143999</v>
      </c>
      <c r="AE7048">
        <v>-9.5769999999994498E-2</v>
      </c>
      <c r="AF7048">
        <v>-5.3883817231779201</v>
      </c>
      <c r="AG7048">
        <v>-1.1190527347143999</v>
      </c>
      <c r="AH7048">
        <v>30.404009221434698</v>
      </c>
      <c r="AI7048">
        <v>92.075567333234403</v>
      </c>
      <c r="AJ7048">
        <v>100.049950536406</v>
      </c>
      <c r="AK7048">
        <v>30.898069735095699</v>
      </c>
      <c r="AL7048">
        <v>80.384388068220105</v>
      </c>
      <c r="AM7048">
        <v>97.456371987579701</v>
      </c>
      <c r="AN7048">
        <v>0.99999997401982399</v>
      </c>
    </row>
    <row r="7049" spans="1:40" x14ac:dyDescent="0.25">
      <c r="A7049" t="str">
        <f>"20190304154935948"</f>
        <v>20190304154935948</v>
      </c>
      <c r="B7049" t="str">
        <f>"1551685775944427"</f>
        <v>1551685775944427</v>
      </c>
      <c r="C7049" t="s">
        <v>40</v>
      </c>
      <c r="D7049">
        <v>4.513007</v>
      </c>
      <c r="E7049">
        <v>0.48008469999999998</v>
      </c>
      <c r="F7049" t="s">
        <v>100</v>
      </c>
      <c r="G7049">
        <v>-250.48500000000001</v>
      </c>
      <c r="H7049" s="1">
        <v>4.223022E-7</v>
      </c>
      <c r="I7049">
        <v>-61.433529999999998</v>
      </c>
      <c r="J7049">
        <v>-281.64060000000001</v>
      </c>
      <c r="K7049">
        <v>1.118832</v>
      </c>
      <c r="L7049">
        <v>-61.356720000000003</v>
      </c>
      <c r="M7049">
        <v>0.98467640000000001</v>
      </c>
      <c r="N7049">
        <v>-1.527768E-2</v>
      </c>
      <c r="O7049">
        <v>-0.17372099999999999</v>
      </c>
      <c r="P7049">
        <v>0.98669580000000001</v>
      </c>
      <c r="Q7049">
        <v>0.15474470000000001</v>
      </c>
      <c r="R7049">
        <v>-4.9856379999999999E-2</v>
      </c>
      <c r="S7049">
        <v>3.0572810000000001</v>
      </c>
      <c r="T7049">
        <v>-0.1093597</v>
      </c>
      <c r="U7049">
        <v>-9.4299320000000002E-3</v>
      </c>
      <c r="V7049">
        <v>-0.12564829999999999</v>
      </c>
      <c r="W7049">
        <v>0.16726359999999901</v>
      </c>
      <c r="X7049">
        <v>0.97787290000000004</v>
      </c>
      <c r="Y7049">
        <v>-0.170512</v>
      </c>
      <c r="Z7049">
        <v>7.8755939999999997E-3</v>
      </c>
      <c r="AA7049">
        <v>0.98532410000000004</v>
      </c>
      <c r="AB7049">
        <v>30</v>
      </c>
      <c r="AC7049">
        <v>31.1556</v>
      </c>
      <c r="AD7049">
        <v>-1.1188315776978</v>
      </c>
      <c r="AE7049">
        <v>-7.6810000000008899E-2</v>
      </c>
      <c r="AF7049">
        <v>-5.33049770245277</v>
      </c>
      <c r="AG7049">
        <v>-1.1188315776978</v>
      </c>
      <c r="AH7049">
        <v>30.655576519860201</v>
      </c>
      <c r="AI7049">
        <v>92.059313884740405</v>
      </c>
      <c r="AJ7049">
        <v>99.8641616679718</v>
      </c>
      <c r="AK7049">
        <v>31.1356766687367</v>
      </c>
      <c r="AL7049">
        <v>80.371243156280201</v>
      </c>
      <c r="AM7049">
        <v>97.321898304522406</v>
      </c>
      <c r="AN7049">
        <v>1.00000000786613</v>
      </c>
    </row>
    <row r="7050" spans="1:40" x14ac:dyDescent="0.25">
      <c r="A7050" t="str">
        <f>"20190304154935960"</f>
        <v>20190304154935960</v>
      </c>
      <c r="B7050" t="str">
        <f>"1551685775954187"</f>
        <v>1551685775954187</v>
      </c>
      <c r="C7050" t="s">
        <v>40</v>
      </c>
      <c r="D7050">
        <v>4.5698749999999997</v>
      </c>
      <c r="E7050">
        <v>0.4806819</v>
      </c>
      <c r="F7050" t="s">
        <v>100</v>
      </c>
      <c r="G7050">
        <v>-251.11420000000001</v>
      </c>
      <c r="H7050" s="1">
        <v>1.51447899999999E-7</v>
      </c>
      <c r="I7050">
        <v>-61.437759999999997</v>
      </c>
      <c r="J7050">
        <v>-281.49770000000001</v>
      </c>
      <c r="K7050">
        <v>1.118584</v>
      </c>
      <c r="L7050">
        <v>-61.377839999999999</v>
      </c>
      <c r="M7050">
        <v>0.98537730000000001</v>
      </c>
      <c r="N7050">
        <v>-1.523409E-2</v>
      </c>
      <c r="O7050">
        <v>-0.16970499999999999</v>
      </c>
      <c r="P7050">
        <v>0.98677919999999997</v>
      </c>
      <c r="Q7050">
        <v>0.1545531</v>
      </c>
      <c r="R7050">
        <v>-4.8789560000000003E-2</v>
      </c>
      <c r="S7050">
        <v>3.0576479999999999</v>
      </c>
      <c r="T7050">
        <v>-0.11206670000000001</v>
      </c>
      <c r="U7050">
        <v>-8.1176759999999903E-3</v>
      </c>
      <c r="V7050">
        <v>-0.1226076</v>
      </c>
      <c r="W7050">
        <v>0.1671695</v>
      </c>
      <c r="X7050">
        <v>0.97827489999999995</v>
      </c>
      <c r="Y7050">
        <v>-0.16691139999999999</v>
      </c>
      <c r="Z7050">
        <v>7.9299850000000005E-3</v>
      </c>
      <c r="AA7050">
        <v>0.98594000000000004</v>
      </c>
      <c r="AB7050">
        <v>30</v>
      </c>
      <c r="AC7050">
        <v>30.383500000000002</v>
      </c>
      <c r="AD7050">
        <v>-1.1185838485521</v>
      </c>
      <c r="AE7050">
        <v>-5.9919999999998197E-2</v>
      </c>
      <c r="AF7050">
        <v>-5.0908788449247098</v>
      </c>
      <c r="AG7050">
        <v>-1.1185838485521</v>
      </c>
      <c r="AH7050">
        <v>29.912309072892</v>
      </c>
      <c r="AI7050">
        <v>92.111271756643603</v>
      </c>
      <c r="AJ7050">
        <v>99.658817078781098</v>
      </c>
      <c r="AK7050">
        <v>30.363045158747799</v>
      </c>
      <c r="AL7050">
        <v>80.3767118284389</v>
      </c>
      <c r="AM7050">
        <v>97.143655769225305</v>
      </c>
      <c r="AN7050">
        <v>1.000000022639</v>
      </c>
    </row>
    <row r="7051" spans="1:40" x14ac:dyDescent="0.25">
      <c r="A7051" t="str">
        <f>"20190304154935970"</f>
        <v>20190304154935970</v>
      </c>
      <c r="B7051" t="str">
        <f>"1551685775963947"</f>
        <v>1551685775963947</v>
      </c>
      <c r="C7051" t="s">
        <v>40</v>
      </c>
      <c r="D7051">
        <v>4.5219990000000001</v>
      </c>
      <c r="E7051">
        <v>0.48117409999999999</v>
      </c>
      <c r="F7051" t="s">
        <v>100</v>
      </c>
      <c r="G7051">
        <v>-250.69839999999999</v>
      </c>
      <c r="H7051" s="1">
        <v>3.201759E-7</v>
      </c>
      <c r="I7051">
        <v>-61.481140000000003</v>
      </c>
      <c r="J7051">
        <v>-281.34410000000003</v>
      </c>
      <c r="K7051">
        <v>1.118312</v>
      </c>
      <c r="L7051">
        <v>-61.400300000000001</v>
      </c>
      <c r="M7051">
        <v>0.98609880000000005</v>
      </c>
      <c r="N7051">
        <v>-1.5188780000000001E-2</v>
      </c>
      <c r="O7051">
        <v>-0.16546469999999999</v>
      </c>
      <c r="P7051">
        <v>0.98682590000000003</v>
      </c>
      <c r="Q7051">
        <v>0.15462029999999999</v>
      </c>
      <c r="R7051">
        <v>-4.7616739999999998E-2</v>
      </c>
      <c r="S7051">
        <v>3.0570680000000001</v>
      </c>
      <c r="T7051">
        <v>-0.111028</v>
      </c>
      <c r="U7051">
        <v>-1.025391E-2</v>
      </c>
      <c r="V7051">
        <v>-0.1194394</v>
      </c>
      <c r="W7051">
        <v>0.16733689999999901</v>
      </c>
      <c r="X7051">
        <v>0.97863809999999996</v>
      </c>
      <c r="Y7051">
        <v>-0.16198770000000001</v>
      </c>
      <c r="Z7051">
        <v>7.63583199999999E-3</v>
      </c>
      <c r="AA7051">
        <v>0.98676319999999995</v>
      </c>
      <c r="AB7051">
        <v>30</v>
      </c>
      <c r="AC7051">
        <v>30.645700000000001</v>
      </c>
      <c r="AD7051">
        <v>-1.1183116798241</v>
      </c>
      <c r="AE7051">
        <v>-8.0840000000001994E-2</v>
      </c>
      <c r="AF7051">
        <v>-4.9850026937407703</v>
      </c>
      <c r="AG7051">
        <v>-1.1183116798241</v>
      </c>
      <c r="AH7051">
        <v>30.196340125096</v>
      </c>
      <c r="AI7051">
        <v>92.092662519740998</v>
      </c>
      <c r="AJ7051">
        <v>99.374199767640803</v>
      </c>
      <c r="AK7051">
        <v>30.625476809681199</v>
      </c>
      <c r="AL7051">
        <v>80.366982965365395</v>
      </c>
      <c r="AM7051">
        <v>96.958339180161403</v>
      </c>
      <c r="AN7051">
        <v>0.99999996957278903</v>
      </c>
    </row>
    <row r="7052" spans="1:40" x14ac:dyDescent="0.25">
      <c r="A7052" t="str">
        <f>"20190304154935982"</f>
        <v>20190304154935982</v>
      </c>
      <c r="B7052" t="str">
        <f>"1551685775974683"</f>
        <v>1551685775974683</v>
      </c>
      <c r="C7052" t="s">
        <v>40</v>
      </c>
      <c r="D7052">
        <v>4.400366</v>
      </c>
      <c r="E7052">
        <v>0.48117409999999999</v>
      </c>
      <c r="F7052" t="s">
        <v>100</v>
      </c>
      <c r="G7052">
        <v>-250.01990000000001</v>
      </c>
      <c r="H7052" s="1">
        <v>6.0456379999999998E-7</v>
      </c>
      <c r="I7052">
        <v>-61.511319999999998</v>
      </c>
      <c r="J7052">
        <v>-281.19650000000001</v>
      </c>
      <c r="K7052">
        <v>1.1180399999999999</v>
      </c>
      <c r="L7052">
        <v>-61.421080000000003</v>
      </c>
      <c r="M7052">
        <v>0.9867245</v>
      </c>
      <c r="N7052">
        <v>-1.5143230000000001E-2</v>
      </c>
      <c r="O7052">
        <v>-0.16169549999999999</v>
      </c>
      <c r="P7052">
        <v>0.98684890000000003</v>
      </c>
      <c r="Q7052">
        <v>0.15472669999999999</v>
      </c>
      <c r="R7052">
        <v>-4.6786639999999997E-2</v>
      </c>
      <c r="S7052">
        <v>3.0566409999999999</v>
      </c>
      <c r="T7052">
        <v>-0.10912570000000001</v>
      </c>
      <c r="U7052">
        <v>-1.083374E-2</v>
      </c>
      <c r="V7052">
        <v>-0.1163998</v>
      </c>
      <c r="W7052">
        <v>0.1675372</v>
      </c>
      <c r="X7052">
        <v>0.97897009999999995</v>
      </c>
      <c r="Y7052">
        <v>-0.15803879999999901</v>
      </c>
      <c r="Z7052">
        <v>7.3121749999999998E-3</v>
      </c>
      <c r="AA7052">
        <v>0.9874058</v>
      </c>
      <c r="AB7052">
        <v>30</v>
      </c>
      <c r="AC7052">
        <v>31.176600000000001</v>
      </c>
      <c r="AD7052">
        <v>-1.1180393954362</v>
      </c>
      <c r="AE7052">
        <v>-9.0239999999994297E-2</v>
      </c>
      <c r="AF7052">
        <v>-4.9462807303813596</v>
      </c>
      <c r="AG7052">
        <v>-1.1180393954362</v>
      </c>
      <c r="AH7052">
        <v>30.741301664034498</v>
      </c>
      <c r="AI7052">
        <v>92.056462434470205</v>
      </c>
      <c r="AJ7052">
        <v>99.140558522644696</v>
      </c>
      <c r="AK7052">
        <v>31.1567542140169</v>
      </c>
      <c r="AL7052">
        <v>80.355342989053696</v>
      </c>
      <c r="AM7052">
        <v>96.780649397960801</v>
      </c>
      <c r="AN7052">
        <v>1.0000000417589401</v>
      </c>
    </row>
    <row r="7053" spans="1:40" x14ac:dyDescent="0.25">
      <c r="A7053" t="str">
        <f>"20190304154935994"</f>
        <v>20190304154935994</v>
      </c>
      <c r="B7053" t="str">
        <f>"1551685775984444"</f>
        <v>1551685775984444</v>
      </c>
      <c r="C7053" t="s">
        <v>40</v>
      </c>
      <c r="D7053">
        <v>4.4863679999999997</v>
      </c>
      <c r="E7053">
        <v>0.4817533</v>
      </c>
      <c r="F7053" t="s">
        <v>101</v>
      </c>
      <c r="G7053">
        <v>-249.7749</v>
      </c>
      <c r="H7053" s="1">
        <v>-3.399386E-6</v>
      </c>
      <c r="I7053">
        <v>-61.504779999999997</v>
      </c>
      <c r="J7053">
        <v>-281.03910000000002</v>
      </c>
      <c r="K7053">
        <v>1.1177440000000001</v>
      </c>
      <c r="L7053">
        <v>-61.443019999999997</v>
      </c>
      <c r="M7053">
        <v>0.98736219999999997</v>
      </c>
      <c r="N7053">
        <v>-1.5096200000000001E-2</v>
      </c>
      <c r="O7053">
        <v>-0.15775919999999999</v>
      </c>
      <c r="P7053">
        <v>0.9867899</v>
      </c>
      <c r="Q7053">
        <v>0.15552589999999999</v>
      </c>
      <c r="R7053">
        <v>-4.5360839999999999E-2</v>
      </c>
      <c r="S7053">
        <v>3.0566409999999999</v>
      </c>
      <c r="T7053">
        <v>-0.10876130000000001</v>
      </c>
      <c r="U7053">
        <v>-8.1481929999999998E-3</v>
      </c>
      <c r="V7053">
        <v>-0.113773</v>
      </c>
      <c r="W7053">
        <v>0.16842089999999901</v>
      </c>
      <c r="X7053">
        <v>0.97912719999999998</v>
      </c>
      <c r="Y7053">
        <v>-0.15497250000000001</v>
      </c>
      <c r="Z7053">
        <v>7.1313069999999999E-3</v>
      </c>
      <c r="AA7053">
        <v>0.98789300000000002</v>
      </c>
      <c r="AB7053">
        <v>30</v>
      </c>
      <c r="AC7053">
        <v>31.264199999999999</v>
      </c>
      <c r="AD7053">
        <v>-1.1177473993860001</v>
      </c>
      <c r="AE7053">
        <v>-6.1760000000006698E-2</v>
      </c>
      <c r="AF7053">
        <v>-4.8655718520439004</v>
      </c>
      <c r="AG7053">
        <v>-1.1177473993860001</v>
      </c>
      <c r="AH7053">
        <v>30.8429293444682</v>
      </c>
      <c r="AI7053">
        <v>92.050158688927695</v>
      </c>
      <c r="AJ7053">
        <v>98.964716140184706</v>
      </c>
      <c r="AK7053">
        <v>31.244350517238999</v>
      </c>
      <c r="AL7053">
        <v>80.303980321332801</v>
      </c>
      <c r="AM7053">
        <v>96.627953385347496</v>
      </c>
      <c r="AN7053">
        <v>0.99999998443282401</v>
      </c>
    </row>
    <row r="7054" spans="1:40" x14ac:dyDescent="0.25">
      <c r="A7054" t="str">
        <f>"20190304154936003"</f>
        <v>20190304154936003</v>
      </c>
      <c r="B7054" t="str">
        <f>"1551685775994203"</f>
        <v>1551685775994203</v>
      </c>
      <c r="C7054" t="s">
        <v>40</v>
      </c>
      <c r="D7054">
        <v>4.5299959999999997</v>
      </c>
      <c r="E7054">
        <v>0.48231580000000002</v>
      </c>
      <c r="F7054" t="s">
        <v>101</v>
      </c>
      <c r="G7054">
        <v>-249.32329999999999</v>
      </c>
      <c r="H7054" s="1">
        <v>-3.2511780000000001E-6</v>
      </c>
      <c r="I7054">
        <v>-61.535739999999997</v>
      </c>
      <c r="J7054">
        <v>-280.90159999999997</v>
      </c>
      <c r="K7054">
        <v>1.1174729999999999</v>
      </c>
      <c r="L7054">
        <v>-61.461669999999998</v>
      </c>
      <c r="M7054">
        <v>0.98786830000000003</v>
      </c>
      <c r="N7054">
        <v>-1.505399E-2</v>
      </c>
      <c r="O7054">
        <v>-0.1545627</v>
      </c>
      <c r="P7054">
        <v>0.98678699999999997</v>
      </c>
      <c r="Q7054">
        <v>0.15594269999999999</v>
      </c>
      <c r="R7054">
        <v>-4.3969279999999999E-2</v>
      </c>
      <c r="S7054">
        <v>3.0567319999999998</v>
      </c>
      <c r="T7054">
        <v>-0.10772710000000001</v>
      </c>
      <c r="U7054">
        <v>-8.9416500000000006E-3</v>
      </c>
      <c r="V7054">
        <v>-0.1118627</v>
      </c>
      <c r="W7054">
        <v>0.16890450000000001</v>
      </c>
      <c r="X7054">
        <v>0.97926400000000002</v>
      </c>
      <c r="Y7054">
        <v>-0.15152460000000001</v>
      </c>
      <c r="Z7054">
        <v>6.9053669999999999E-3</v>
      </c>
      <c r="AA7054">
        <v>0.98842940000000001</v>
      </c>
      <c r="AB7054">
        <v>30</v>
      </c>
      <c r="AC7054">
        <v>31.578299999999899</v>
      </c>
      <c r="AD7054">
        <v>-1.1174762511780001</v>
      </c>
      <c r="AE7054">
        <v>-7.4070000000006006E-2</v>
      </c>
      <c r="AF7054">
        <v>-4.8021870716630399</v>
      </c>
      <c r="AG7054">
        <v>-1.1174762511780001</v>
      </c>
      <c r="AH7054">
        <v>31.1711516266855</v>
      </c>
      <c r="AI7054">
        <v>92.029237437701894</v>
      </c>
      <c r="AJ7054">
        <v>98.758058262063898</v>
      </c>
      <c r="AK7054">
        <v>31.558682602051299</v>
      </c>
      <c r="AL7054">
        <v>80.275869391522207</v>
      </c>
      <c r="AM7054">
        <v>96.516730009152397</v>
      </c>
      <c r="AN7054">
        <v>0.99999998773376897</v>
      </c>
    </row>
    <row r="7055" spans="1:40" x14ac:dyDescent="0.25">
      <c r="A7055" t="str">
        <f>"20190304154936015"</f>
        <v>20190304154936015</v>
      </c>
      <c r="B7055" t="str">
        <f>"1551685776003964"</f>
        <v>1551685776003964</v>
      </c>
      <c r="C7055" t="s">
        <v>40</v>
      </c>
      <c r="D7055">
        <v>4.4862299999999999</v>
      </c>
      <c r="E7055">
        <v>0.48280020000000001</v>
      </c>
      <c r="F7055" t="s">
        <v>101</v>
      </c>
      <c r="G7055">
        <v>-248.42679999999999</v>
      </c>
      <c r="H7055" s="1">
        <v>-2.9184619999999999E-6</v>
      </c>
      <c r="I7055">
        <v>-61.572180000000003</v>
      </c>
      <c r="J7055">
        <v>-280.75970000000001</v>
      </c>
      <c r="K7055">
        <v>1.1171930000000001</v>
      </c>
      <c r="L7055">
        <v>-61.480739999999997</v>
      </c>
      <c r="M7055">
        <v>0.98836500000000005</v>
      </c>
      <c r="N7055">
        <v>-1.5011770000000001E-2</v>
      </c>
      <c r="O7055">
        <v>-0.151358399999999</v>
      </c>
      <c r="P7055">
        <v>0.98681770000000002</v>
      </c>
      <c r="Q7055">
        <v>0.15610679999999999</v>
      </c>
      <c r="R7055">
        <v>-4.2680889999999999E-2</v>
      </c>
      <c r="S7055">
        <v>3.0563349999999998</v>
      </c>
      <c r="T7055">
        <v>-0.10517020000000001</v>
      </c>
      <c r="U7055">
        <v>-1.0406489999999999E-2</v>
      </c>
      <c r="V7055">
        <v>-0.1098417</v>
      </c>
      <c r="W7055">
        <v>0.1691376</v>
      </c>
      <c r="X7055">
        <v>0.97945260000000001</v>
      </c>
      <c r="Y7055">
        <v>-0.1478556</v>
      </c>
      <c r="Z7055">
        <v>6.5661799999999996E-3</v>
      </c>
      <c r="AA7055">
        <v>0.98898710000000001</v>
      </c>
      <c r="AB7055">
        <v>30</v>
      </c>
      <c r="AC7055">
        <v>32.332900000000002</v>
      </c>
      <c r="AD7055">
        <v>-1.1171959184619999</v>
      </c>
      <c r="AE7055">
        <v>-9.1439999999998606E-2</v>
      </c>
      <c r="AF7055">
        <v>-4.7982923727337399</v>
      </c>
      <c r="AG7055">
        <v>-1.1171959184619999</v>
      </c>
      <c r="AH7055">
        <v>31.936020162780299</v>
      </c>
      <c r="AI7055">
        <v>91.981301700915395</v>
      </c>
      <c r="AJ7055">
        <v>98.544607771246206</v>
      </c>
      <c r="AK7055">
        <v>32.313791486793598</v>
      </c>
      <c r="AL7055">
        <v>80.262319507522307</v>
      </c>
      <c r="AM7055">
        <v>96.398757235874697</v>
      </c>
      <c r="AN7055">
        <v>1.0000000612197</v>
      </c>
    </row>
    <row r="7056" spans="1:40" x14ac:dyDescent="0.25">
      <c r="A7056" t="str">
        <f>"20190304154936026"</f>
        <v>20190304154936026</v>
      </c>
      <c r="B7056" t="str">
        <f>"1551685776014700"</f>
        <v>1551685776014700</v>
      </c>
      <c r="C7056" t="s">
        <v>40</v>
      </c>
      <c r="D7056">
        <v>4.4185189999999999</v>
      </c>
      <c r="E7056">
        <v>0.48280020000000001</v>
      </c>
      <c r="F7056" t="s">
        <v>101</v>
      </c>
      <c r="G7056">
        <v>-247.91149999999999</v>
      </c>
      <c r="H7056" s="1">
        <v>-2.7061429999999999E-6</v>
      </c>
      <c r="I7056">
        <v>-61.604999999999997</v>
      </c>
      <c r="J7056">
        <v>-280.6087</v>
      </c>
      <c r="K7056">
        <v>1.116897</v>
      </c>
      <c r="L7056">
        <v>-61.500520000000002</v>
      </c>
      <c r="M7056">
        <v>0.98885060000000002</v>
      </c>
      <c r="N7056">
        <v>-1.496716E-2</v>
      </c>
      <c r="O7056">
        <v>-0.14815739999999999</v>
      </c>
      <c r="P7056">
        <v>0.98692080000000004</v>
      </c>
      <c r="Q7056">
        <v>0.15593000000000001</v>
      </c>
      <c r="R7056">
        <v>-4.0908489999999999E-2</v>
      </c>
      <c r="S7056">
        <v>3.0560299999999998</v>
      </c>
      <c r="T7056">
        <v>-0.1039385</v>
      </c>
      <c r="U7056">
        <v>-1.1566160000000001E-2</v>
      </c>
      <c r="V7056">
        <v>-0.1083021</v>
      </c>
      <c r="W7056">
        <v>0.16902149999999999</v>
      </c>
      <c r="X7056">
        <v>0.97964399999999996</v>
      </c>
      <c r="Y7056">
        <v>-0.14428369999999999</v>
      </c>
      <c r="Z7056">
        <v>6.3327690000000002E-3</v>
      </c>
      <c r="AA7056">
        <v>0.98951610000000001</v>
      </c>
      <c r="AB7056">
        <v>30</v>
      </c>
      <c r="AC7056">
        <v>32.697200000000002</v>
      </c>
      <c r="AD7056">
        <v>-1.1168997061429999</v>
      </c>
      <c r="AE7056">
        <v>-0.104480000000002</v>
      </c>
      <c r="AF7056">
        <v>-4.73602174574226</v>
      </c>
      <c r="AG7056">
        <v>-1.1168997061429999</v>
      </c>
      <c r="AH7056">
        <v>32.314042333540698</v>
      </c>
      <c r="AI7056">
        <v>91.958669913103506</v>
      </c>
      <c r="AJ7056">
        <v>98.338040043308396</v>
      </c>
      <c r="AK7056">
        <v>32.6783521442497</v>
      </c>
      <c r="AL7056">
        <v>80.269068015132106</v>
      </c>
      <c r="AM7056">
        <v>96.308574455895197</v>
      </c>
      <c r="AN7056">
        <v>0.99999998953132996</v>
      </c>
    </row>
    <row r="7057" spans="1:40" x14ac:dyDescent="0.25">
      <c r="A7057" t="str">
        <f>"20190304154936038"</f>
        <v>20190304154936038</v>
      </c>
      <c r="B7057" t="str">
        <f>"1551685776034219"</f>
        <v>1551685776034219</v>
      </c>
      <c r="C7057" t="s">
        <v>40</v>
      </c>
      <c r="D7057">
        <v>4.5287420000000003</v>
      </c>
      <c r="E7057">
        <v>0.4833925</v>
      </c>
      <c r="F7057" t="s">
        <v>101</v>
      </c>
      <c r="G7057">
        <v>-248.01310000000001</v>
      </c>
      <c r="H7057" s="1">
        <v>-2.7425040000000001E-6</v>
      </c>
      <c r="I7057">
        <v>-61.577930000000002</v>
      </c>
      <c r="J7057">
        <v>-280.46319999999997</v>
      </c>
      <c r="K7057">
        <v>1.1166130000000001</v>
      </c>
      <c r="L7057">
        <v>-61.519350000000003</v>
      </c>
      <c r="M7057">
        <v>0.98928530000000003</v>
      </c>
      <c r="N7057">
        <v>-1.4925570000000001E-2</v>
      </c>
      <c r="O7057">
        <v>-0.14523059999999999</v>
      </c>
      <c r="P7057">
        <v>0.9869848</v>
      </c>
      <c r="Q7057">
        <v>0.15579889999999999</v>
      </c>
      <c r="R7057">
        <v>-3.984882E-2</v>
      </c>
      <c r="S7057">
        <v>3.0559690000000002</v>
      </c>
      <c r="T7057">
        <v>-0.1047138</v>
      </c>
      <c r="U7057">
        <v>-7.2631839999999998E-3</v>
      </c>
      <c r="V7057">
        <v>-0.1063313</v>
      </c>
      <c r="W7057">
        <v>0.16895579999999999</v>
      </c>
      <c r="X7057">
        <v>0.97987120000000005</v>
      </c>
      <c r="Y7057">
        <v>-0.14274809999999999</v>
      </c>
      <c r="Z7057">
        <v>6.2988949999999997E-3</v>
      </c>
      <c r="AA7057">
        <v>0.98973900000000004</v>
      </c>
      <c r="AB7057">
        <v>30</v>
      </c>
      <c r="AC7057">
        <v>32.4500999999999</v>
      </c>
      <c r="AD7057">
        <v>-1.11661574250399</v>
      </c>
      <c r="AE7057">
        <v>-5.8579999999999098E-2</v>
      </c>
      <c r="AF7057">
        <v>-4.6498078286608102</v>
      </c>
      <c r="AG7057">
        <v>-1.11661574250399</v>
      </c>
      <c r="AH7057">
        <v>32.076509619007602</v>
      </c>
      <c r="AI7057">
        <v>91.973112420157406</v>
      </c>
      <c r="AJ7057">
        <v>98.248137320110999</v>
      </c>
      <c r="AK7057">
        <v>32.431003883601498</v>
      </c>
      <c r="AL7057">
        <v>80.272887262962499</v>
      </c>
      <c r="AM7057">
        <v>96.193251288602994</v>
      </c>
      <c r="AN7057">
        <v>0.99999998815138502</v>
      </c>
    </row>
    <row r="7058" spans="1:40" x14ac:dyDescent="0.25">
      <c r="A7058" t="str">
        <f>"20190304154936048"</f>
        <v>20190304154936048</v>
      </c>
      <c r="B7058" t="str">
        <f>"1551685776043983"</f>
        <v>1551685776043983</v>
      </c>
      <c r="C7058" t="s">
        <v>40</v>
      </c>
      <c r="D7058">
        <v>4.5045950000000001</v>
      </c>
      <c r="E7058">
        <v>0.48333520000000002</v>
      </c>
      <c r="F7058" t="s">
        <v>101</v>
      </c>
      <c r="G7058">
        <v>-247.66650000000001</v>
      </c>
      <c r="H7058" s="1">
        <v>-2.6049569999999999E-6</v>
      </c>
      <c r="I7058">
        <v>-61.619840000000003</v>
      </c>
      <c r="J7058">
        <v>-280.31049999999999</v>
      </c>
      <c r="K7058">
        <v>1.1163190000000001</v>
      </c>
      <c r="L7058">
        <v>-61.538820000000001</v>
      </c>
      <c r="M7058">
        <v>0.98971070000000005</v>
      </c>
      <c r="N7058">
        <v>-1.488331E-2</v>
      </c>
      <c r="O7058">
        <v>-0.14230719999999999</v>
      </c>
      <c r="P7058">
        <v>0.98700619999999994</v>
      </c>
      <c r="Q7058">
        <v>0.155912</v>
      </c>
      <c r="R7058">
        <v>-3.8862559999999997E-2</v>
      </c>
      <c r="S7058">
        <v>3.0556030000000001</v>
      </c>
      <c r="T7058">
        <v>-0.1040326</v>
      </c>
      <c r="U7058">
        <v>-9.3688959999999998E-3</v>
      </c>
      <c r="V7058">
        <v>-0.10428460000000001</v>
      </c>
      <c r="W7058">
        <v>0.16913429999999999</v>
      </c>
      <c r="X7058">
        <v>0.9800603</v>
      </c>
      <c r="Y7058">
        <v>-0.13914599999999999</v>
      </c>
      <c r="Z7058">
        <v>6.1116869999999898E-3</v>
      </c>
      <c r="AA7058">
        <v>0.99025300000000005</v>
      </c>
      <c r="AB7058">
        <v>30</v>
      </c>
      <c r="AC7058">
        <v>32.643999999999899</v>
      </c>
      <c r="AD7058">
        <v>-1.1163216049569999</v>
      </c>
      <c r="AE7058">
        <v>-8.1020000000009404E-2</v>
      </c>
      <c r="AF7058">
        <v>-4.5604622370171501</v>
      </c>
      <c r="AG7058">
        <v>-1.1163216049569999</v>
      </c>
      <c r="AH7058">
        <v>32.2854688932389</v>
      </c>
      <c r="AI7058">
        <v>91.960853869939399</v>
      </c>
      <c r="AJ7058">
        <v>98.040084434932396</v>
      </c>
      <c r="AK7058">
        <v>32.625074580715598</v>
      </c>
      <c r="AL7058">
        <v>80.262510159875603</v>
      </c>
      <c r="AM7058">
        <v>96.073778222302806</v>
      </c>
      <c r="AN7058">
        <v>0.99999994043486795</v>
      </c>
    </row>
    <row r="7059" spans="1:40" x14ac:dyDescent="0.25">
      <c r="A7059" t="str">
        <f>"20190304154936060"</f>
        <v>20190304154936060</v>
      </c>
      <c r="B7059" t="str">
        <f>"1551685776054715"</f>
        <v>1551685776054715</v>
      </c>
      <c r="C7059" t="s">
        <v>40</v>
      </c>
      <c r="D7059">
        <v>4.478955</v>
      </c>
      <c r="E7059">
        <v>0.4833635</v>
      </c>
      <c r="F7059" t="s">
        <v>101</v>
      </c>
      <c r="G7059">
        <v>-247.702</v>
      </c>
      <c r="H7059" s="1">
        <v>-2.6167150000000001E-6</v>
      </c>
      <c r="I7059">
        <v>-61.6068199999999</v>
      </c>
      <c r="J7059">
        <v>-280.16000000000003</v>
      </c>
      <c r="K7059">
        <v>1.1160319999999999</v>
      </c>
      <c r="L7059">
        <v>-61.557650000000002</v>
      </c>
      <c r="M7059">
        <v>0.99008680000000004</v>
      </c>
      <c r="N7059">
        <v>-1.4842569999999999E-2</v>
      </c>
      <c r="O7059">
        <v>-0.1396713</v>
      </c>
      <c r="P7059">
        <v>0.98703510000000005</v>
      </c>
      <c r="Q7059">
        <v>0.15591869999999999</v>
      </c>
      <c r="R7059">
        <v>-3.8097510000000001E-2</v>
      </c>
      <c r="S7059">
        <v>3.0557560000000001</v>
      </c>
      <c r="T7059">
        <v>-0.10461090000000001</v>
      </c>
      <c r="U7059">
        <v>-6.3781740000000003E-3</v>
      </c>
      <c r="V7059">
        <v>-0.1023068</v>
      </c>
      <c r="W7059">
        <v>0.16920250000000001</v>
      </c>
      <c r="X7059">
        <v>0.98025700000000004</v>
      </c>
      <c r="Y7059">
        <v>-0.1374785</v>
      </c>
      <c r="Z7059">
        <v>6.0634139999999996E-3</v>
      </c>
      <c r="AA7059">
        <v>0.99048619999999998</v>
      </c>
      <c r="AB7059">
        <v>30</v>
      </c>
      <c r="AC7059">
        <v>32.457999999999998</v>
      </c>
      <c r="AD7059">
        <v>-1.1160346167149999</v>
      </c>
      <c r="AE7059">
        <v>-4.91699999999895E-2</v>
      </c>
      <c r="AF7059">
        <v>-4.4799655623734598</v>
      </c>
      <c r="AG7059">
        <v>-1.1160346167149999</v>
      </c>
      <c r="AH7059">
        <v>32.108681604426401</v>
      </c>
      <c r="AI7059">
        <v>91.9716041390231</v>
      </c>
      <c r="AJ7059">
        <v>97.942919412819705</v>
      </c>
      <c r="AK7059">
        <v>32.438912729624398</v>
      </c>
      <c r="AL7059">
        <v>80.258545801299405</v>
      </c>
      <c r="AM7059">
        <v>95.958236232093498</v>
      </c>
      <c r="AN7059">
        <v>0.99999997669074403</v>
      </c>
    </row>
    <row r="7060" spans="1:40" x14ac:dyDescent="0.25">
      <c r="A7060" t="str">
        <f>"20190304154936071"</f>
        <v>20190304154936071</v>
      </c>
      <c r="B7060" t="str">
        <f>"1551685776064475"</f>
        <v>1551685776064475</v>
      </c>
      <c r="C7060" t="s">
        <v>40</v>
      </c>
      <c r="D7060">
        <v>4.4715109999999996</v>
      </c>
      <c r="E7060">
        <v>0.4833771</v>
      </c>
      <c r="F7060" t="s">
        <v>101</v>
      </c>
      <c r="G7060">
        <v>-247.7056</v>
      </c>
      <c r="H7060" s="1">
        <v>-2.6172269999999998E-6</v>
      </c>
      <c r="I7060">
        <v>-61.60295</v>
      </c>
      <c r="J7060">
        <v>-280.01</v>
      </c>
      <c r="K7060">
        <v>1.1157459999999999</v>
      </c>
      <c r="L7060">
        <v>-61.576259999999998</v>
      </c>
      <c r="M7060">
        <v>0.99044379999999999</v>
      </c>
      <c r="N7060">
        <v>-1.4803459999999999E-2</v>
      </c>
      <c r="O7060">
        <v>-0.1371211</v>
      </c>
      <c r="P7060">
        <v>0.98697840000000003</v>
      </c>
      <c r="Q7060">
        <v>0.1565087</v>
      </c>
      <c r="R7060">
        <v>-3.7138740000000003E-2</v>
      </c>
      <c r="S7060">
        <v>3.055847</v>
      </c>
      <c r="T7060">
        <v>-0.1050837</v>
      </c>
      <c r="U7060">
        <v>-4.272461E-3</v>
      </c>
      <c r="V7060">
        <v>-0.10060280000000001</v>
      </c>
      <c r="W7060">
        <v>0.16984769999999999</v>
      </c>
      <c r="X7060">
        <v>0.98032180000000002</v>
      </c>
      <c r="Y7060">
        <v>-0.1356106</v>
      </c>
      <c r="Z7060">
        <v>6.0033009999999999E-3</v>
      </c>
      <c r="AA7060">
        <v>0.99074399999999996</v>
      </c>
      <c r="AB7060">
        <v>30</v>
      </c>
      <c r="AC7060">
        <v>32.304399999999902</v>
      </c>
      <c r="AD7060">
        <v>-1.1157486172269999</v>
      </c>
      <c r="AE7060">
        <v>-2.6690000000002101E-2</v>
      </c>
      <c r="AF7060">
        <v>-4.3984149576372502</v>
      </c>
      <c r="AG7060">
        <v>-1.1157486172269999</v>
      </c>
      <c r="AH7060">
        <v>31.964723926610102</v>
      </c>
      <c r="AI7060">
        <v>91.980486629738195</v>
      </c>
      <c r="AJ7060">
        <v>97.834820983238004</v>
      </c>
      <c r="AK7060">
        <v>32.285205974576201</v>
      </c>
      <c r="AL7060">
        <v>80.221035846753693</v>
      </c>
      <c r="AM7060">
        <v>95.859308819003004</v>
      </c>
      <c r="AN7060">
        <v>0.99999999805918505</v>
      </c>
    </row>
    <row r="7061" spans="1:40" x14ac:dyDescent="0.25">
      <c r="A7061" t="str">
        <f>"20190304154936083"</f>
        <v>20190304154936083</v>
      </c>
      <c r="B7061" t="str">
        <f>"1551685776074236"</f>
        <v>1551685776074236</v>
      </c>
      <c r="C7061" t="s">
        <v>40</v>
      </c>
      <c r="D7061">
        <v>4.5143449999999996</v>
      </c>
      <c r="E7061">
        <v>0.48348859999999999</v>
      </c>
      <c r="F7061" t="s">
        <v>101</v>
      </c>
      <c r="G7061">
        <v>-247.2063</v>
      </c>
      <c r="H7061" s="1">
        <v>-2.3995160000000001E-6</v>
      </c>
      <c r="I7061">
        <v>-61.58963</v>
      </c>
      <c r="J7061">
        <v>-279.85899999999998</v>
      </c>
      <c r="K7061">
        <v>1.1154550000000001</v>
      </c>
      <c r="L7061">
        <v>-61.594639999999998</v>
      </c>
      <c r="M7061">
        <v>0.99075299999999999</v>
      </c>
      <c r="N7061">
        <v>-1.4764380000000001E-2</v>
      </c>
      <c r="O7061">
        <v>-0.13487299999999999</v>
      </c>
      <c r="P7061">
        <v>0.98690719999999998</v>
      </c>
      <c r="Q7061">
        <v>0.1570377</v>
      </c>
      <c r="R7061">
        <v>-3.6794819999999999E-2</v>
      </c>
      <c r="S7061">
        <v>3.056</v>
      </c>
      <c r="T7061">
        <v>-0.1039433</v>
      </c>
      <c r="U7061">
        <v>-1.2512210000000001E-3</v>
      </c>
      <c r="V7061">
        <v>-9.8586160000000006E-2</v>
      </c>
      <c r="W7061">
        <v>0.17043410000000001</v>
      </c>
      <c r="X7061">
        <v>0.98042490000000004</v>
      </c>
      <c r="Y7061">
        <v>-0.1343461</v>
      </c>
      <c r="Z7061">
        <v>5.8561709999999899E-3</v>
      </c>
      <c r="AA7061">
        <v>0.9909171</v>
      </c>
      <c r="AB7061">
        <v>30</v>
      </c>
      <c r="AC7061">
        <v>32.652700000000003</v>
      </c>
      <c r="AD7061">
        <v>-1.11545739951599</v>
      </c>
      <c r="AE7061">
        <v>5.0099999999986197E-3</v>
      </c>
      <c r="AF7061">
        <v>-4.40427166908899</v>
      </c>
      <c r="AG7061">
        <v>-1.11545739951599</v>
      </c>
      <c r="AH7061">
        <v>32.315895351020401</v>
      </c>
      <c r="AI7061">
        <v>91.958816674473496</v>
      </c>
      <c r="AJ7061">
        <v>97.760916532919595</v>
      </c>
      <c r="AK7061">
        <v>32.633708745457902</v>
      </c>
      <c r="AL7061">
        <v>80.186940490890706</v>
      </c>
      <c r="AM7061">
        <v>95.742048768957702</v>
      </c>
      <c r="AN7061">
        <v>0.99999999896318204</v>
      </c>
    </row>
    <row r="7062" spans="1:40" x14ac:dyDescent="0.25">
      <c r="A7062" t="str">
        <f>"20190304154936093"</f>
        <v>20190304154936093</v>
      </c>
      <c r="B7062" t="str">
        <f>"1551685776083996"</f>
        <v>1551685776083996</v>
      </c>
      <c r="C7062" t="s">
        <v>40</v>
      </c>
      <c r="D7062">
        <v>4.4855489999999998</v>
      </c>
      <c r="E7062">
        <v>0.48365049999999998</v>
      </c>
      <c r="F7062" t="s">
        <v>101</v>
      </c>
      <c r="G7062">
        <v>-246.75630000000001</v>
      </c>
      <c r="H7062" s="1">
        <v>-2.21112E-6</v>
      </c>
      <c r="I7062">
        <v>-61.607129999999998</v>
      </c>
      <c r="J7062">
        <v>-279.7165</v>
      </c>
      <c r="K7062">
        <v>1.1151799999999901</v>
      </c>
      <c r="L7062">
        <v>-61.611910000000002</v>
      </c>
      <c r="M7062">
        <v>0.99103240000000004</v>
      </c>
      <c r="N7062">
        <v>-1.472888E-2</v>
      </c>
      <c r="O7062">
        <v>-0.13280739999999999</v>
      </c>
      <c r="P7062">
        <v>0.98687979999999997</v>
      </c>
      <c r="Q7062">
        <v>0.15735729999999901</v>
      </c>
      <c r="R7062">
        <v>-3.6157479999999999E-2</v>
      </c>
      <c r="S7062">
        <v>3.056152</v>
      </c>
      <c r="T7062">
        <v>-0.1029828</v>
      </c>
      <c r="U7062">
        <v>-1.159668E-3</v>
      </c>
      <c r="V7062">
        <v>-9.7051960000000007E-2</v>
      </c>
      <c r="W7062">
        <v>0.1708025</v>
      </c>
      <c r="X7062">
        <v>0.98051390000000005</v>
      </c>
      <c r="Y7062">
        <v>-0.132314299999999</v>
      </c>
      <c r="Z7062">
        <v>5.7072039999999996E-3</v>
      </c>
      <c r="AA7062">
        <v>0.99119139999999994</v>
      </c>
      <c r="AB7062">
        <v>30</v>
      </c>
      <c r="AC7062">
        <v>32.960199999999901</v>
      </c>
      <c r="AD7062">
        <v>-1.1151822111199901</v>
      </c>
      <c r="AE7062">
        <v>4.7799999999895704E-3</v>
      </c>
      <c r="AF7062">
        <v>-4.3775598569799099</v>
      </c>
      <c r="AG7062">
        <v>-1.1151822111199901</v>
      </c>
      <c r="AH7062">
        <v>32.630182014561697</v>
      </c>
      <c r="AI7062">
        <v>91.940034625864499</v>
      </c>
      <c r="AJ7062">
        <v>97.640993766667705</v>
      </c>
      <c r="AK7062">
        <v>32.941394019817501</v>
      </c>
      <c r="AL7062">
        <v>80.165519053557304</v>
      </c>
      <c r="AM7062">
        <v>95.652764418879997</v>
      </c>
      <c r="AN7062">
        <v>1.00000004251964</v>
      </c>
    </row>
    <row r="7063" spans="1:40" x14ac:dyDescent="0.25">
      <c r="A7063" t="str">
        <f>"20190304154936104"</f>
        <v>20190304154936104</v>
      </c>
      <c r="B7063" t="str">
        <f>"1551685776094731"</f>
        <v>1551685776094731</v>
      </c>
      <c r="C7063" t="s">
        <v>40</v>
      </c>
      <c r="D7063">
        <v>4.4965440000000001</v>
      </c>
      <c r="E7063">
        <v>0.48380669999999998</v>
      </c>
      <c r="F7063" t="s">
        <v>101</v>
      </c>
      <c r="G7063">
        <v>-246.50190000000001</v>
      </c>
      <c r="H7063" s="1">
        <v>-2.1043750000000001E-6</v>
      </c>
      <c r="I7063">
        <v>-61.616149999999998</v>
      </c>
      <c r="J7063">
        <v>-279.56279999999998</v>
      </c>
      <c r="K7063">
        <v>1.1148849999999999</v>
      </c>
      <c r="L7063">
        <v>-61.630310000000001</v>
      </c>
      <c r="M7063">
        <v>0.99129480000000003</v>
      </c>
      <c r="N7063">
        <v>-1.4691559999999999E-2</v>
      </c>
      <c r="O7063">
        <v>-0.13083910000000001</v>
      </c>
      <c r="P7063">
        <v>0.98688880000000001</v>
      </c>
      <c r="Q7063">
        <v>0.15749299999999999</v>
      </c>
      <c r="R7063">
        <v>-3.5311429999999998E-2</v>
      </c>
      <c r="S7063">
        <v>3.0562740000000002</v>
      </c>
      <c r="T7063">
        <v>-0.1026145</v>
      </c>
      <c r="U7063">
        <v>-3.9672850000000001E-4</v>
      </c>
      <c r="V7063">
        <v>-9.5815899999999996E-2</v>
      </c>
      <c r="W7063">
        <v>0.17098429999999901</v>
      </c>
      <c r="X7063">
        <v>0.98060380000000003</v>
      </c>
      <c r="Y7063">
        <v>-0.13059589999999999</v>
      </c>
      <c r="Z7063">
        <v>5.6075459999999997E-3</v>
      </c>
      <c r="AA7063">
        <v>0.99141990000000002</v>
      </c>
      <c r="AB7063">
        <v>30</v>
      </c>
      <c r="AC7063">
        <v>33.060899999999897</v>
      </c>
      <c r="AD7063">
        <v>-1.1148871043749999</v>
      </c>
      <c r="AE7063">
        <v>1.41599999999968E-2</v>
      </c>
      <c r="AF7063">
        <v>-4.3352333782189802</v>
      </c>
      <c r="AG7063">
        <v>-1.1148871043749999</v>
      </c>
      <c r="AH7063">
        <v>32.737552572300999</v>
      </c>
      <c r="AI7063">
        <v>91.933603789944598</v>
      </c>
      <c r="AJ7063">
        <v>97.543439013807699</v>
      </c>
      <c r="AK7063">
        <v>33.042163520618601</v>
      </c>
      <c r="AL7063">
        <v>80.154947387839101</v>
      </c>
      <c r="AM7063">
        <v>95.580719467123203</v>
      </c>
      <c r="AN7063">
        <v>1.0000000650568599</v>
      </c>
    </row>
    <row r="7064" spans="1:40" x14ac:dyDescent="0.25">
      <c r="A7064" t="str">
        <f>"20190304154936116"</f>
        <v>20190304154936116</v>
      </c>
      <c r="B7064" t="str">
        <f>"1551685776104491"</f>
        <v>1551685776104491</v>
      </c>
      <c r="C7064" t="s">
        <v>40</v>
      </c>
      <c r="D7064">
        <v>4.4907519999999996</v>
      </c>
      <c r="E7064">
        <v>0.4839733</v>
      </c>
      <c r="F7064" t="s">
        <v>101</v>
      </c>
      <c r="G7064">
        <v>-246.61580000000001</v>
      </c>
      <c r="H7064" s="1">
        <v>-2.155493E-6</v>
      </c>
      <c r="I7064">
        <v>-61.624650000000003</v>
      </c>
      <c r="J7064">
        <v>-279.41750000000002</v>
      </c>
      <c r="K7064">
        <v>1.114617</v>
      </c>
      <c r="L7064">
        <v>-61.64761</v>
      </c>
      <c r="M7064">
        <v>0.99152549999999995</v>
      </c>
      <c r="N7064">
        <v>-1.4657740000000001E-2</v>
      </c>
      <c r="O7064">
        <v>-0.12908310000000001</v>
      </c>
      <c r="P7064">
        <v>0.98696390000000001</v>
      </c>
      <c r="Q7064">
        <v>0.157171799999999</v>
      </c>
      <c r="R7064">
        <v>-3.4629609999999998E-2</v>
      </c>
      <c r="S7064">
        <v>3.0563349999999998</v>
      </c>
      <c r="T7064">
        <v>-0.1034226</v>
      </c>
      <c r="U7064">
        <v>5.1879879999999995E-4</v>
      </c>
      <c r="V7064">
        <v>-9.4641180000000005E-2</v>
      </c>
      <c r="W7064">
        <v>0.1707071</v>
      </c>
      <c r="X7064">
        <v>0.98076609999999997</v>
      </c>
      <c r="Y7064">
        <v>-0.129136</v>
      </c>
      <c r="Z7064">
        <v>5.5929079999999997E-3</v>
      </c>
      <c r="AA7064">
        <v>0.99161109999999997</v>
      </c>
      <c r="AB7064">
        <v>30</v>
      </c>
      <c r="AC7064">
        <v>32.801699999999997</v>
      </c>
      <c r="AD7064">
        <v>-1.1146191554930001</v>
      </c>
      <c r="AE7064">
        <v>2.29599999999976E-2</v>
      </c>
      <c r="AF7064">
        <v>-4.2524574666568302</v>
      </c>
      <c r="AG7064">
        <v>-1.1146191554930001</v>
      </c>
      <c r="AH7064">
        <v>32.486738845725597</v>
      </c>
      <c r="AI7064">
        <v>91.948437132071305</v>
      </c>
      <c r="AJ7064">
        <v>97.457517271792398</v>
      </c>
      <c r="AK7064">
        <v>32.782830432985698</v>
      </c>
      <c r="AL7064">
        <v>80.171066170426499</v>
      </c>
      <c r="AM7064">
        <v>95.511816280843604</v>
      </c>
      <c r="AN7064">
        <v>1.0000000049257001</v>
      </c>
    </row>
    <row r="7065" spans="1:40" x14ac:dyDescent="0.25">
      <c r="A7065" t="str">
        <f>"20190304154936126"</f>
        <v>20190304154936126</v>
      </c>
      <c r="B7065" t="str">
        <f>"1551685776124012"</f>
        <v>1551685776124012</v>
      </c>
      <c r="C7065" t="s">
        <v>40</v>
      </c>
      <c r="D7065">
        <v>4.4998969999999998</v>
      </c>
      <c r="E7065">
        <v>0.48485299999999998</v>
      </c>
      <c r="F7065" t="s">
        <v>101</v>
      </c>
      <c r="G7065">
        <v>-246.9941</v>
      </c>
      <c r="H7065" s="1">
        <v>-2.3211230000000001E-6</v>
      </c>
      <c r="I7065">
        <v>-61.637180000000001</v>
      </c>
      <c r="J7065">
        <v>-279.2638</v>
      </c>
      <c r="K7065">
        <v>1.1143339999999999</v>
      </c>
      <c r="L7065">
        <v>-61.66574</v>
      </c>
      <c r="M7065">
        <v>0.99174519999999999</v>
      </c>
      <c r="N7065">
        <v>-1.46234E-2</v>
      </c>
      <c r="O7065">
        <v>-0.12738930000000001</v>
      </c>
      <c r="P7065">
        <v>0.98705299999999996</v>
      </c>
      <c r="Q7065">
        <v>0.15673280000000001</v>
      </c>
      <c r="R7065">
        <v>-3.4081590000000002E-2</v>
      </c>
      <c r="S7065">
        <v>3.0563959999999999</v>
      </c>
      <c r="T7065">
        <v>-0.1050696</v>
      </c>
      <c r="U7065">
        <v>9.765625E-4</v>
      </c>
      <c r="V7065">
        <v>-9.3394720000000001E-2</v>
      </c>
      <c r="W7065">
        <v>0.17031099999999999</v>
      </c>
      <c r="X7065">
        <v>0.9809544</v>
      </c>
      <c r="Y7065">
        <v>-0.1275879</v>
      </c>
      <c r="Z7065">
        <v>5.6283030000000003E-3</v>
      </c>
      <c r="AA7065">
        <v>0.99181129999999995</v>
      </c>
      <c r="AB7065">
        <v>30</v>
      </c>
      <c r="AC7065">
        <v>32.2697</v>
      </c>
      <c r="AD7065">
        <v>-1.114336321123</v>
      </c>
      <c r="AE7065">
        <v>2.85599999999917E-2</v>
      </c>
      <c r="AF7065">
        <v>-4.1346501161989497</v>
      </c>
      <c r="AG7065">
        <v>-1.114336321123</v>
      </c>
      <c r="AH7065">
        <v>31.9649803133882</v>
      </c>
      <c r="AI7065">
        <v>91.980106006489095</v>
      </c>
      <c r="AJ7065">
        <v>97.370250354324497</v>
      </c>
      <c r="AK7065">
        <v>32.250535552998997</v>
      </c>
      <c r="AL7065">
        <v>80.194097989341202</v>
      </c>
      <c r="AM7065">
        <v>95.438623976170007</v>
      </c>
      <c r="AN7065">
        <v>0.99999997266211804</v>
      </c>
    </row>
    <row r="7066" spans="1:40" x14ac:dyDescent="0.25">
      <c r="A7066" t="str">
        <f>"20190304154936139"</f>
        <v>20190304154936139</v>
      </c>
      <c r="B7066" t="str">
        <f>"1551685776134748"</f>
        <v>1551685776134748</v>
      </c>
      <c r="C7066" t="s">
        <v>40</v>
      </c>
      <c r="D7066">
        <v>4.5099790000000004</v>
      </c>
      <c r="E7066">
        <v>0.48529349999999999</v>
      </c>
      <c r="F7066" t="s">
        <v>101</v>
      </c>
      <c r="G7066">
        <v>-246.30619999999999</v>
      </c>
      <c r="H7066" s="1">
        <v>-2.0462960000000001E-6</v>
      </c>
      <c r="I7066">
        <v>-61.7134</v>
      </c>
      <c r="J7066">
        <v>-279.11750000000001</v>
      </c>
      <c r="K7066">
        <v>1.1140840000000001</v>
      </c>
      <c r="L7066">
        <v>-61.68289</v>
      </c>
      <c r="M7066">
        <v>0.99193160000000002</v>
      </c>
      <c r="N7066">
        <v>-1.4592320000000001E-2</v>
      </c>
      <c r="O7066">
        <v>-0.12593209999999999</v>
      </c>
      <c r="P7066">
        <v>0.98709349999999996</v>
      </c>
      <c r="Q7066">
        <v>0.15652659999999999</v>
      </c>
      <c r="R7066">
        <v>-3.385403E-2</v>
      </c>
      <c r="S7066">
        <v>3.0556030000000001</v>
      </c>
      <c r="T7066">
        <v>-0.10331369999999999</v>
      </c>
      <c r="U7066">
        <v>-4.4250490000000003E-3</v>
      </c>
      <c r="V7066">
        <v>-9.207311E-2</v>
      </c>
      <c r="W7066">
        <v>0.17014470000000001</v>
      </c>
      <c r="X7066">
        <v>0.98110819999999999</v>
      </c>
      <c r="Y7066">
        <v>-0.1243842</v>
      </c>
      <c r="Z7066">
        <v>5.4170750000000004E-3</v>
      </c>
      <c r="AA7066">
        <v>0.99221930000000003</v>
      </c>
      <c r="AB7066">
        <v>30</v>
      </c>
      <c r="AC7066">
        <v>32.811300000000003</v>
      </c>
      <c r="AD7066">
        <v>-1.1140860462960001</v>
      </c>
      <c r="AE7066">
        <v>-3.0509999999999499E-2</v>
      </c>
      <c r="AF7066">
        <v>-4.0974446596638296</v>
      </c>
      <c r="AG7066">
        <v>-1.1140860462960001</v>
      </c>
      <c r="AH7066">
        <v>32.516383511491703</v>
      </c>
      <c r="AI7066">
        <v>91.946932745874193</v>
      </c>
      <c r="AJ7066">
        <v>97.182083396347807</v>
      </c>
      <c r="AK7066">
        <v>32.7924600651425</v>
      </c>
      <c r="AL7066">
        <v>80.203767560361499</v>
      </c>
      <c r="AM7066">
        <v>95.361279195638105</v>
      </c>
      <c r="AN7066">
        <v>0.99999998831520098</v>
      </c>
    </row>
    <row r="7067" spans="1:40" x14ac:dyDescent="0.25">
      <c r="A7067" t="str">
        <f>"20190304154936149"</f>
        <v>20190304154936149</v>
      </c>
      <c r="B7067" t="str">
        <f>"1551685776144511"</f>
        <v>1551685776144511</v>
      </c>
      <c r="C7067" t="s">
        <v>40</v>
      </c>
      <c r="D7067">
        <v>4.7076570000000002</v>
      </c>
      <c r="E7067">
        <v>0.48548740000000001</v>
      </c>
      <c r="F7067" t="s">
        <v>101</v>
      </c>
      <c r="G7067">
        <v>-245.94479999999999</v>
      </c>
      <c r="H7067" s="1">
        <v>-1.9036770000000001E-6</v>
      </c>
      <c r="I7067">
        <v>-61.76003</v>
      </c>
      <c r="J7067">
        <v>-278.96690000000001</v>
      </c>
      <c r="K7067">
        <v>1.113834</v>
      </c>
      <c r="L7067">
        <v>-61.700470000000003</v>
      </c>
      <c r="M7067">
        <v>0.99210989999999999</v>
      </c>
      <c r="N7067">
        <v>-1.456153E-2</v>
      </c>
      <c r="O7067">
        <v>-0.1245236</v>
      </c>
      <c r="P7067">
        <v>0.98719349999999995</v>
      </c>
      <c r="Q7067">
        <v>0.155940299999999</v>
      </c>
      <c r="R7067">
        <v>-3.3643850000000003E-2</v>
      </c>
      <c r="S7067">
        <v>3.0552670000000002</v>
      </c>
      <c r="T7067">
        <v>-0.1026094</v>
      </c>
      <c r="U7067">
        <v>-7.1105959999999899E-3</v>
      </c>
      <c r="V7067">
        <v>-9.07863E-2</v>
      </c>
      <c r="W7067">
        <v>0.1695972</v>
      </c>
      <c r="X7067">
        <v>0.9813229</v>
      </c>
      <c r="Y7067">
        <v>-0.1221064</v>
      </c>
      <c r="Z7067">
        <v>5.2951739999999997E-3</v>
      </c>
      <c r="AA7067">
        <v>0.99250289999999997</v>
      </c>
      <c r="AB7067">
        <v>30</v>
      </c>
      <c r="AC7067">
        <v>33.022100000000002</v>
      </c>
      <c r="AD7067">
        <v>-1.113835903677</v>
      </c>
      <c r="AE7067">
        <v>-5.9560000000011798E-2</v>
      </c>
      <c r="AF7067">
        <v>-4.0487637001844803</v>
      </c>
      <c r="AG7067">
        <v>-1.113835903677</v>
      </c>
      <c r="AH7067">
        <v>32.735196890842801</v>
      </c>
      <c r="AI7067">
        <v>91.934048128439599</v>
      </c>
      <c r="AJ7067">
        <v>97.0506659222699</v>
      </c>
      <c r="AK7067">
        <v>33.003427600818902</v>
      </c>
      <c r="AL7067">
        <v>80.235599736162001</v>
      </c>
      <c r="AM7067">
        <v>95.285627613510698</v>
      </c>
      <c r="AN7067">
        <v>0.99999999828996899</v>
      </c>
    </row>
    <row r="7068" spans="1:40" x14ac:dyDescent="0.25">
      <c r="A7068" t="str">
        <f>"20190304154936161"</f>
        <v>20190304154936161</v>
      </c>
      <c r="B7068" t="str">
        <f>"1551685776154267"</f>
        <v>1551685776154267</v>
      </c>
      <c r="C7068" t="s">
        <v>40</v>
      </c>
      <c r="D7068">
        <v>4.4439330000000004</v>
      </c>
      <c r="E7068">
        <v>0.48548740000000001</v>
      </c>
      <c r="F7068" t="s">
        <v>101</v>
      </c>
      <c r="G7068">
        <v>-245.8398</v>
      </c>
      <c r="H7068" s="1">
        <v>-1.8646610000000001E-6</v>
      </c>
      <c r="I7068">
        <v>-61.782809999999998</v>
      </c>
      <c r="J7068">
        <v>-278.81939999999997</v>
      </c>
      <c r="K7068">
        <v>1.1136109999999999</v>
      </c>
      <c r="L7068">
        <v>-61.717590000000001</v>
      </c>
      <c r="M7068">
        <v>0.99225790000000003</v>
      </c>
      <c r="N7068">
        <v>-1.4532969999999999E-2</v>
      </c>
      <c r="O7068">
        <v>-0.1233419</v>
      </c>
      <c r="P7068">
        <v>0.98721890000000001</v>
      </c>
      <c r="Q7068">
        <v>0.15572800000000001</v>
      </c>
      <c r="R7068">
        <v>-3.3881580000000001E-2</v>
      </c>
      <c r="S7068">
        <v>3.0548709999999999</v>
      </c>
      <c r="T7068">
        <v>-0.10271420000000001</v>
      </c>
      <c r="U7068">
        <v>-7.59887699999999E-3</v>
      </c>
      <c r="V7068">
        <v>-8.9282680000000003E-2</v>
      </c>
      <c r="W7068">
        <v>0.1694205</v>
      </c>
      <c r="X7068">
        <v>0.98149140000000001</v>
      </c>
      <c r="Y7068">
        <v>-0.1207662</v>
      </c>
      <c r="Z7068">
        <v>5.2496560000000001E-3</v>
      </c>
      <c r="AA7068">
        <v>0.99266710000000002</v>
      </c>
      <c r="AB7068">
        <v>30</v>
      </c>
      <c r="AC7068">
        <v>32.979599999999898</v>
      </c>
      <c r="AD7068">
        <v>-1.113612864661</v>
      </c>
      <c r="AE7068">
        <v>-6.5219999999996503E-2</v>
      </c>
      <c r="AF7068">
        <v>-3.99891441556814</v>
      </c>
      <c r="AG7068">
        <v>-1.113612864661</v>
      </c>
      <c r="AH7068">
        <v>32.698485004553298</v>
      </c>
      <c r="AI7068">
        <v>91.936155256911405</v>
      </c>
      <c r="AJ7068">
        <v>96.972457023075506</v>
      </c>
      <c r="AK7068">
        <v>32.9609218880233</v>
      </c>
      <c r="AL7068">
        <v>80.245872928643195</v>
      </c>
      <c r="AM7068">
        <v>95.197682112778196</v>
      </c>
      <c r="AN7068">
        <v>1.0000000355210901</v>
      </c>
    </row>
    <row r="7069" spans="1:40" x14ac:dyDescent="0.25">
      <c r="A7069" t="str">
        <f>"20190304154936172"</f>
        <v>20190304154936172</v>
      </c>
      <c r="B7069" t="str">
        <f>"1551685776164028"</f>
        <v>1551685776164028</v>
      </c>
      <c r="C7069" t="s">
        <v>40</v>
      </c>
      <c r="D7069">
        <v>4.4801659999999996</v>
      </c>
      <c r="E7069">
        <v>0.49697360000000002</v>
      </c>
      <c r="F7069" t="s">
        <v>101</v>
      </c>
      <c r="G7069">
        <v>-245.86060000000001</v>
      </c>
      <c r="H7069" s="1">
        <v>-1.877262E-6</v>
      </c>
      <c r="I7069">
        <v>-61.79654</v>
      </c>
      <c r="J7069">
        <v>-278.67</v>
      </c>
      <c r="K7069">
        <v>1.113383</v>
      </c>
      <c r="L7069">
        <v>-61.734859999999998</v>
      </c>
      <c r="M7069">
        <v>0.99240050000000002</v>
      </c>
      <c r="N7069">
        <v>-1.450487E-2</v>
      </c>
      <c r="O7069">
        <v>-0.1221918</v>
      </c>
      <c r="P7069">
        <v>0.98719570000000001</v>
      </c>
      <c r="Q7069">
        <v>0.15587129999999999</v>
      </c>
      <c r="R7069">
        <v>-3.3898930000000001E-2</v>
      </c>
      <c r="S7069">
        <v>3.05484</v>
      </c>
      <c r="T7069">
        <v>-0.1032169</v>
      </c>
      <c r="U7069">
        <v>-7.3242189999999999E-3</v>
      </c>
      <c r="V7069">
        <v>-8.8027049999999996E-2</v>
      </c>
      <c r="W7069">
        <v>0.1695953</v>
      </c>
      <c r="X7069">
        <v>0.98157459999999996</v>
      </c>
      <c r="Y7069">
        <v>-0.1197048</v>
      </c>
      <c r="Z7069">
        <v>5.2342040000000001E-3</v>
      </c>
      <c r="AA7069">
        <v>0.99279569999999995</v>
      </c>
      <c r="AB7069">
        <v>30</v>
      </c>
      <c r="AC7069">
        <v>32.809399999999997</v>
      </c>
      <c r="AD7069">
        <v>-1.1133848772620001</v>
      </c>
      <c r="AE7069">
        <v>-6.1680000000002601E-2</v>
      </c>
      <c r="AF7069">
        <v>-3.9437023080146099</v>
      </c>
      <c r="AG7069">
        <v>-1.1133848772620001</v>
      </c>
      <c r="AH7069">
        <v>32.5335637322694</v>
      </c>
      <c r="AI7069">
        <v>91.945815782866802</v>
      </c>
      <c r="AJ7069">
        <v>96.911643734303198</v>
      </c>
      <c r="AK7069">
        <v>32.7906264487398</v>
      </c>
      <c r="AL7069">
        <v>80.235710327006601</v>
      </c>
      <c r="AM7069">
        <v>95.124544272296305</v>
      </c>
      <c r="AN7069">
        <v>1.00000001133947</v>
      </c>
    </row>
    <row r="7070" spans="1:40" x14ac:dyDescent="0.25">
      <c r="A7070" t="str">
        <f>"20190304154936182"</f>
        <v>20190304154936182</v>
      </c>
      <c r="B7070" t="str">
        <f>"1551685776174764"</f>
        <v>1551685776174764</v>
      </c>
      <c r="C7070" t="s">
        <v>40</v>
      </c>
      <c r="D7070">
        <v>4.3908550000000002</v>
      </c>
      <c r="E7070">
        <v>0.49725390000000003</v>
      </c>
      <c r="F7070" t="s">
        <v>102</v>
      </c>
      <c r="G7070">
        <v>-234.72380000000001</v>
      </c>
      <c r="H7070" s="1">
        <v>-1.74572E-6</v>
      </c>
      <c r="I7070">
        <v>-63.134990000000002</v>
      </c>
      <c r="J7070">
        <v>-278.52629999999999</v>
      </c>
      <c r="K7070">
        <v>1.1131789999999999</v>
      </c>
      <c r="L7070">
        <v>-61.751429999999999</v>
      </c>
      <c r="M7070">
        <v>0.99251239999999996</v>
      </c>
      <c r="N7070">
        <v>-1.447944E-2</v>
      </c>
      <c r="O7070">
        <v>-0.121284199999999</v>
      </c>
      <c r="P7070">
        <v>0.9871297</v>
      </c>
      <c r="Q7070">
        <v>0.15625229999999901</v>
      </c>
      <c r="R7070">
        <v>-3.4063660000000003E-2</v>
      </c>
      <c r="S7070">
        <v>3.0477910000000001</v>
      </c>
      <c r="T7070">
        <v>-7.7216389999999996E-2</v>
      </c>
      <c r="U7070">
        <v>-9.7106929999999994E-2</v>
      </c>
      <c r="V7070">
        <v>-8.687127E-2</v>
      </c>
      <c r="W7070">
        <v>0.17000279999999901</v>
      </c>
      <c r="X7070">
        <v>0.98160709999999995</v>
      </c>
      <c r="Y7070">
        <v>-8.9573239999999998E-2</v>
      </c>
      <c r="Z7070">
        <v>3.0876160000000001E-3</v>
      </c>
      <c r="AA7070">
        <v>0.99597539999999996</v>
      </c>
      <c r="AB7070">
        <v>30</v>
      </c>
      <c r="AC7070">
        <v>43.802499999999903</v>
      </c>
      <c r="AD7070">
        <v>-1.11318074572</v>
      </c>
      <c r="AE7070">
        <v>-1.3835599999999899</v>
      </c>
      <c r="AF7070">
        <v>-3.9372226581538099</v>
      </c>
      <c r="AG7070">
        <v>-1.11318074572</v>
      </c>
      <c r="AH7070">
        <v>43.6187525730696</v>
      </c>
      <c r="AI7070">
        <v>91.455993725806806</v>
      </c>
      <c r="AJ7070">
        <v>95.157794259121204</v>
      </c>
      <c r="AK7070">
        <v>43.810232476707803</v>
      </c>
      <c r="AL7070">
        <v>80.212018483084194</v>
      </c>
      <c r="AM7070">
        <v>95.057444580030804</v>
      </c>
      <c r="AN7070">
        <v>1.0000000341648301</v>
      </c>
    </row>
    <row r="7071" spans="1:40" x14ac:dyDescent="0.25">
      <c r="A7071" t="str">
        <f>"20190304154936193"</f>
        <v>20190304154936193</v>
      </c>
      <c r="B7071" t="str">
        <f>"1551685776184523"</f>
        <v>1551685776184523</v>
      </c>
      <c r="C7071" t="s">
        <v>40</v>
      </c>
      <c r="D7071">
        <v>4.4762649999999997</v>
      </c>
      <c r="E7071">
        <v>0.49775760000000002</v>
      </c>
      <c r="F7071" t="s">
        <v>101</v>
      </c>
      <c r="G7071">
        <v>-241.5872</v>
      </c>
      <c r="H7071" s="1">
        <v>-3.53239299999999E-7</v>
      </c>
      <c r="I7071">
        <v>-62.958770000000001</v>
      </c>
      <c r="J7071">
        <v>-278.38369999999998</v>
      </c>
      <c r="K7071">
        <v>1.112984</v>
      </c>
      <c r="L7071">
        <v>-61.767850000000003</v>
      </c>
      <c r="M7071">
        <v>0.99261829999999995</v>
      </c>
      <c r="N7071">
        <v>-1.445493E-2</v>
      </c>
      <c r="O7071">
        <v>-0.1204168</v>
      </c>
      <c r="P7071">
        <v>0.98705080000000001</v>
      </c>
      <c r="Q7071">
        <v>0.15685379999999999</v>
      </c>
      <c r="R7071">
        <v>-3.358506E-2</v>
      </c>
      <c r="S7071">
        <v>3.0502319999999998</v>
      </c>
      <c r="T7071">
        <v>-9.1920379999999996E-2</v>
      </c>
      <c r="U7071">
        <v>-9.9700929999999993E-2</v>
      </c>
      <c r="V7071">
        <v>-8.6395180000000002E-2</v>
      </c>
      <c r="W7071">
        <v>0.1706239</v>
      </c>
      <c r="X7071">
        <v>0.98154129999999995</v>
      </c>
      <c r="Y7071">
        <v>-8.7860549999999996E-2</v>
      </c>
      <c r="Z7071">
        <v>3.8331889999999999E-3</v>
      </c>
      <c r="AA7071">
        <v>0.99612540000000005</v>
      </c>
      <c r="AB7071">
        <v>30</v>
      </c>
      <c r="AC7071">
        <v>36.796499999999902</v>
      </c>
      <c r="AD7071">
        <v>-1.1129843532393</v>
      </c>
      <c r="AE7071">
        <v>-1.19091999999999</v>
      </c>
      <c r="AF7071">
        <v>-3.2461601213240798</v>
      </c>
      <c r="AG7071">
        <v>-1.1129843532393</v>
      </c>
      <c r="AH7071">
        <v>36.6386281268461</v>
      </c>
      <c r="AI7071">
        <v>91.733173642173895</v>
      </c>
      <c r="AJ7071">
        <v>95.063150435905598</v>
      </c>
      <c r="AK7071">
        <v>36.798985865389596</v>
      </c>
      <c r="AL7071">
        <v>80.175903939629094</v>
      </c>
      <c r="AM7071">
        <v>95.030205752937505</v>
      </c>
      <c r="AN7071">
        <v>0.99999998299206505</v>
      </c>
    </row>
    <row r="7072" spans="1:40" x14ac:dyDescent="0.25">
      <c r="A7072" t="str">
        <f>"20190304154936204"</f>
        <v>20190304154936204</v>
      </c>
      <c r="B7072" t="str">
        <f>"1551685776194284"</f>
        <v>1551685776194284</v>
      </c>
      <c r="C7072" t="s">
        <v>40</v>
      </c>
      <c r="D7072">
        <v>4.4909189999999999</v>
      </c>
      <c r="E7072">
        <v>0.49811719999999998</v>
      </c>
      <c r="F7072" t="s">
        <v>102</v>
      </c>
      <c r="G7072">
        <v>-237.6902</v>
      </c>
      <c r="H7072" s="1">
        <v>-2.977097E-6</v>
      </c>
      <c r="I7072">
        <v>-63.123629999999999</v>
      </c>
      <c r="J7072">
        <v>-278.23700000000002</v>
      </c>
      <c r="K7072">
        <v>1.1127959999999999</v>
      </c>
      <c r="L7072">
        <v>-61.784700000000001</v>
      </c>
      <c r="M7072">
        <v>0.99270999999999998</v>
      </c>
      <c r="N7072">
        <v>-1.4431319999999999E-2</v>
      </c>
      <c r="O7072">
        <v>-0.11966160000000001</v>
      </c>
      <c r="P7072">
        <v>0.98697979999999996</v>
      </c>
      <c r="Q7072">
        <v>0.15740270000000001</v>
      </c>
      <c r="R7072">
        <v>-3.3099759999999999E-2</v>
      </c>
      <c r="S7072">
        <v>3.0491640000000002</v>
      </c>
      <c r="T7072">
        <v>-8.3396079999999997E-2</v>
      </c>
      <c r="U7072">
        <v>-0.101593</v>
      </c>
      <c r="V7072">
        <v>-8.6043069999999999E-2</v>
      </c>
      <c r="W7072">
        <v>0.17119010000000001</v>
      </c>
      <c r="X7072">
        <v>0.9814737</v>
      </c>
      <c r="Y7072">
        <v>-8.6488099999999998E-2</v>
      </c>
      <c r="Z7072">
        <v>3.3400959999999999E-3</v>
      </c>
      <c r="AA7072">
        <v>0.99624729999999995</v>
      </c>
      <c r="AB7072">
        <v>30</v>
      </c>
      <c r="AC7072">
        <v>40.546799999999998</v>
      </c>
      <c r="AD7072">
        <v>-1.1127989770969999</v>
      </c>
      <c r="AE7072">
        <v>-1.33893</v>
      </c>
      <c r="AF7072">
        <v>-3.52044333776943</v>
      </c>
      <c r="AG7072">
        <v>-1.1127989770969999</v>
      </c>
      <c r="AH7072">
        <v>40.385249184445897</v>
      </c>
      <c r="AI7072">
        <v>91.572402399185506</v>
      </c>
      <c r="AJ7072">
        <v>94.981966238881498</v>
      </c>
      <c r="AK7072">
        <v>40.553670543461998</v>
      </c>
      <c r="AL7072">
        <v>80.142979231338202</v>
      </c>
      <c r="AM7072">
        <v>95.010152617169496</v>
      </c>
      <c r="AN7072">
        <v>1.00000004201236</v>
      </c>
    </row>
    <row r="7073" spans="1:40" x14ac:dyDescent="0.25">
      <c r="A7073" t="str">
        <f>"20190304154936216"</f>
        <v>20190304154936216</v>
      </c>
      <c r="B7073" t="str">
        <f>"1551685776214780"</f>
        <v>1551685776214780</v>
      </c>
      <c r="C7073" t="s">
        <v>40</v>
      </c>
      <c r="D7073">
        <v>4.4841290000000003</v>
      </c>
      <c r="E7073">
        <v>0.49859809999999999</v>
      </c>
      <c r="F7073" t="s">
        <v>102</v>
      </c>
      <c r="G7073">
        <v>-234.18940000000001</v>
      </c>
      <c r="H7073" s="1">
        <v>-1.551618E-6</v>
      </c>
      <c r="I7073">
        <v>-63.267119999999998</v>
      </c>
      <c r="J7073">
        <v>-278.08359999999999</v>
      </c>
      <c r="K7073">
        <v>1.1126119999999999</v>
      </c>
      <c r="L7073">
        <v>-61.802280000000003</v>
      </c>
      <c r="M7073">
        <v>0.99279759999999995</v>
      </c>
      <c r="N7073">
        <v>-1.4407669999999999E-2</v>
      </c>
      <c r="O7073">
        <v>-0.1189354</v>
      </c>
      <c r="P7073">
        <v>0.9869713</v>
      </c>
      <c r="Q7073">
        <v>0.15757699999999999</v>
      </c>
      <c r="R7073">
        <v>-3.25188E-2</v>
      </c>
      <c r="S7073">
        <v>3.0484309999999999</v>
      </c>
      <c r="T7073">
        <v>-7.701421E-2</v>
      </c>
      <c r="U7073">
        <v>-0.1026001</v>
      </c>
      <c r="V7073">
        <v>-8.5821140000000004E-2</v>
      </c>
      <c r="W7073">
        <v>0.17138129999999999</v>
      </c>
      <c r="X7073">
        <v>0.98145970000000005</v>
      </c>
      <c r="Y7073">
        <v>-8.5432019999999997E-2</v>
      </c>
      <c r="Z7073">
        <v>2.974052E-3</v>
      </c>
      <c r="AA7073">
        <v>0.99633959999999999</v>
      </c>
      <c r="AB7073">
        <v>30</v>
      </c>
      <c r="AC7073">
        <v>43.894199999999898</v>
      </c>
      <c r="AD7073">
        <v>-1.112613551618</v>
      </c>
      <c r="AE7073">
        <v>-1.4648399999999899</v>
      </c>
      <c r="AF7073">
        <v>-3.7642591738406699</v>
      </c>
      <c r="AG7073">
        <v>-1.112613551618</v>
      </c>
      <c r="AH7073">
        <v>43.728748739146901</v>
      </c>
      <c r="AI7073">
        <v>91.452124230007996</v>
      </c>
      <c r="AJ7073">
        <v>94.920007948218597</v>
      </c>
      <c r="AK7073">
        <v>43.904567214978101</v>
      </c>
      <c r="AL7073">
        <v>80.131859337210997</v>
      </c>
      <c r="AM7073">
        <v>94.997366426152198</v>
      </c>
      <c r="AN7073">
        <v>0.99999998039233895</v>
      </c>
    </row>
    <row r="7074" spans="1:40" x14ac:dyDescent="0.25">
      <c r="A7074" t="str">
        <f>"20190304154936227"</f>
        <v>20190304154936227</v>
      </c>
      <c r="B7074" t="str">
        <f>"1551685776224541"</f>
        <v>1551685776224541</v>
      </c>
      <c r="C7074" t="s">
        <v>40</v>
      </c>
      <c r="D7074">
        <v>4.4599310000000001</v>
      </c>
      <c r="E7074">
        <v>0.49888959999999999</v>
      </c>
      <c r="F7074" t="s">
        <v>102</v>
      </c>
      <c r="G7074">
        <v>-230.47710000000001</v>
      </c>
      <c r="H7074" s="1">
        <v>-3.0729550000000002E-9</v>
      </c>
      <c r="I7074">
        <v>-63.432600000000001</v>
      </c>
      <c r="J7074">
        <v>-277.92989999999998</v>
      </c>
      <c r="K7074">
        <v>1.112444</v>
      </c>
      <c r="L7074">
        <v>-61.819850000000002</v>
      </c>
      <c r="M7074">
        <v>0.99287400000000003</v>
      </c>
      <c r="N7074">
        <v>-1.4385210000000001E-2</v>
      </c>
      <c r="O7074">
        <v>-0.1182969</v>
      </c>
      <c r="P7074">
        <v>0.98695829999999996</v>
      </c>
      <c r="Q7074">
        <v>0.1577722</v>
      </c>
      <c r="R7074">
        <v>-3.1956079999999998E-2</v>
      </c>
      <c r="S7074">
        <v>3.0475460000000001</v>
      </c>
      <c r="T7074">
        <v>-7.1224209999999996E-2</v>
      </c>
      <c r="U7074">
        <v>-0.10437009999999999</v>
      </c>
      <c r="V7074">
        <v>-8.5672880000000007E-2</v>
      </c>
      <c r="W7074">
        <v>0.171591299999999</v>
      </c>
      <c r="X7074">
        <v>0.98143599999999998</v>
      </c>
      <c r="Y7074">
        <v>-8.4211300000000003E-2</v>
      </c>
      <c r="Z7074">
        <v>2.6418460000000002E-3</v>
      </c>
      <c r="AA7074">
        <v>0.99644440000000001</v>
      </c>
      <c r="AB7074">
        <v>30</v>
      </c>
      <c r="AC7074">
        <v>47.452799999999897</v>
      </c>
      <c r="AD7074">
        <v>-1.1124440030729501</v>
      </c>
      <c r="AE7074">
        <v>-1.6127499999999899</v>
      </c>
      <c r="AF7074">
        <v>-4.0104755110850796</v>
      </c>
      <c r="AG7074">
        <v>-1.1124440030729501</v>
      </c>
      <c r="AH7074">
        <v>47.284376381515102</v>
      </c>
      <c r="AI7074">
        <v>91.342910514992695</v>
      </c>
      <c r="AJ7074">
        <v>94.848000580331501</v>
      </c>
      <c r="AK7074">
        <v>47.467185457679797</v>
      </c>
      <c r="AL7074">
        <v>80.119646694330299</v>
      </c>
      <c r="AM7074">
        <v>94.988896711333595</v>
      </c>
      <c r="AN7074">
        <v>1.0000000193495899</v>
      </c>
    </row>
    <row r="7075" spans="1:40" x14ac:dyDescent="0.25">
      <c r="A7075" t="str">
        <f>"20190304154936239"</f>
        <v>20190304154936239</v>
      </c>
      <c r="B7075" t="str">
        <f>"1551685776234299"</f>
        <v>1551685776234299</v>
      </c>
      <c r="C7075" t="s">
        <v>40</v>
      </c>
      <c r="D7075">
        <v>4.4311939999999996</v>
      </c>
      <c r="E7075">
        <v>0.499081</v>
      </c>
      <c r="F7075" t="s">
        <v>103</v>
      </c>
      <c r="G7075">
        <v>-228.87819999999999</v>
      </c>
      <c r="H7075" s="1">
        <v>-3.4477430000000002E-6</v>
      </c>
      <c r="I7075">
        <v>-63.508719999999997</v>
      </c>
      <c r="J7075">
        <v>-277.7885</v>
      </c>
      <c r="K7075">
        <v>1.112301</v>
      </c>
      <c r="L7075">
        <v>-61.836030000000001</v>
      </c>
      <c r="M7075">
        <v>0.99293469999999995</v>
      </c>
      <c r="N7075">
        <v>-1.436573E-2</v>
      </c>
      <c r="O7075">
        <v>-0.1177903</v>
      </c>
      <c r="P7075">
        <v>0.98694780000000004</v>
      </c>
      <c r="Q7075">
        <v>0.15794349999999999</v>
      </c>
      <c r="R7075">
        <v>-3.1435610000000003E-2</v>
      </c>
      <c r="S7075">
        <v>3.0473020000000002</v>
      </c>
      <c r="T7075">
        <v>-6.9110039999999998E-2</v>
      </c>
      <c r="U7075">
        <v>-0.1049194</v>
      </c>
      <c r="V7075">
        <v>-8.5625220000000002E-2</v>
      </c>
      <c r="W7075">
        <v>0.17177310000000001</v>
      </c>
      <c r="X7075">
        <v>0.98140839999999996</v>
      </c>
      <c r="Y7075">
        <v>-8.3523399999999998E-2</v>
      </c>
      <c r="Z7075">
        <v>2.5157489999999998E-3</v>
      </c>
      <c r="AA7075">
        <v>0.99650260000000002</v>
      </c>
      <c r="AB7075">
        <v>30</v>
      </c>
      <c r="AC7075">
        <v>48.910299999999999</v>
      </c>
      <c r="AD7075">
        <v>-1.112304447743</v>
      </c>
      <c r="AE7075">
        <v>-1.67268999999998</v>
      </c>
      <c r="AF7075">
        <v>-4.0985923635617301</v>
      </c>
      <c r="AG7075">
        <v>-1.112304447743</v>
      </c>
      <c r="AH7075">
        <v>48.741608018738297</v>
      </c>
      <c r="AI7075">
        <v>91.302691573822898</v>
      </c>
      <c r="AJ7075">
        <v>94.806589385645495</v>
      </c>
      <c r="AK7075">
        <v>48.926271396862496</v>
      </c>
      <c r="AL7075">
        <v>80.1090737575703</v>
      </c>
      <c r="AM7075">
        <v>94.986274890066099</v>
      </c>
      <c r="AN7075">
        <v>1.0000000618870999</v>
      </c>
    </row>
    <row r="7076" spans="1:40" x14ac:dyDescent="0.25">
      <c r="A7076" t="str">
        <f>"20190304154936249"</f>
        <v>20190304154936249</v>
      </c>
      <c r="B7076" t="str">
        <f>"1551685776244060"</f>
        <v>1551685776244060</v>
      </c>
      <c r="C7076" t="s">
        <v>40</v>
      </c>
      <c r="D7076">
        <v>4.47323</v>
      </c>
      <c r="E7076">
        <v>0.49866110000000002</v>
      </c>
      <c r="F7076" t="s">
        <v>103</v>
      </c>
      <c r="G7076">
        <v>-226.98089999999999</v>
      </c>
      <c r="H7076" s="1">
        <v>-2.811503E-6</v>
      </c>
      <c r="I7076">
        <v>-63.5794</v>
      </c>
      <c r="J7076">
        <v>-277.63600000000002</v>
      </c>
      <c r="K7076">
        <v>1.112155</v>
      </c>
      <c r="L7076">
        <v>-61.853490000000001</v>
      </c>
      <c r="M7076">
        <v>0.99299440000000005</v>
      </c>
      <c r="N7076">
        <v>-1.4345449999999999E-2</v>
      </c>
      <c r="O7076">
        <v>-0.11728860000000001</v>
      </c>
      <c r="P7076">
        <v>0.98694879999999996</v>
      </c>
      <c r="Q7076">
        <v>0.158001799999999</v>
      </c>
      <c r="R7076">
        <v>-3.1112790000000001E-2</v>
      </c>
      <c r="S7076">
        <v>3.0470280000000001</v>
      </c>
      <c r="T7076">
        <v>-6.67069E-2</v>
      </c>
      <c r="U7076">
        <v>-0.1045532</v>
      </c>
      <c r="V7076">
        <v>-8.538548E-2</v>
      </c>
      <c r="W7076">
        <v>0.171844</v>
      </c>
      <c r="X7076">
        <v>0.98141679999999998</v>
      </c>
      <c r="Y7076">
        <v>-8.3139290000000005E-2</v>
      </c>
      <c r="Z7076">
        <v>2.3814420000000001E-3</v>
      </c>
      <c r="AA7076">
        <v>0.99653510000000001</v>
      </c>
      <c r="AB7076">
        <v>30</v>
      </c>
      <c r="AC7076">
        <v>50.655099999999898</v>
      </c>
      <c r="AD7076">
        <v>-1.112157811503</v>
      </c>
      <c r="AE7076">
        <v>-1.7259099999999901</v>
      </c>
      <c r="AF7076">
        <v>-4.2258465655056998</v>
      </c>
      <c r="AG7076">
        <v>-1.112157811503</v>
      </c>
      <c r="AH7076">
        <v>50.483543235788702</v>
      </c>
      <c r="AI7076">
        <v>91.257631005771799</v>
      </c>
      <c r="AJ7076">
        <v>94.784926133782093</v>
      </c>
      <c r="AK7076">
        <v>50.672308136028597</v>
      </c>
      <c r="AL7076">
        <v>80.104949431594406</v>
      </c>
      <c r="AM7076">
        <v>94.972341683352894</v>
      </c>
      <c r="AN7076">
        <v>0.99999998792653499</v>
      </c>
    </row>
    <row r="7077" spans="1:40" x14ac:dyDescent="0.25">
      <c r="A7077" t="str">
        <f>"20190304154936262"</f>
        <v>20190304154936262</v>
      </c>
      <c r="B7077" t="str">
        <f>"1551685776254797"</f>
        <v>1551685776254797</v>
      </c>
      <c r="C7077" t="s">
        <v>40</v>
      </c>
      <c r="D7077">
        <v>4.4447859999999997</v>
      </c>
      <c r="E7077">
        <v>0.49829580000000001</v>
      </c>
      <c r="F7077" t="s">
        <v>103</v>
      </c>
      <c r="G7077">
        <v>-228.26310000000001</v>
      </c>
      <c r="H7077" s="1">
        <v>-3.2335149999999998E-6</v>
      </c>
      <c r="I7077">
        <v>-63.472209999999997</v>
      </c>
      <c r="J7077">
        <v>-277.47899999999998</v>
      </c>
      <c r="K7077">
        <v>1.11202</v>
      </c>
      <c r="L7077">
        <v>-61.871429999999997</v>
      </c>
      <c r="M7077">
        <v>0.99304369999999997</v>
      </c>
      <c r="N7077">
        <v>-1.4326180000000001E-2</v>
      </c>
      <c r="O7077">
        <v>-0.1168725</v>
      </c>
      <c r="P7077">
        <v>0.98694329999999997</v>
      </c>
      <c r="Q7077">
        <v>0.1580946</v>
      </c>
      <c r="R7077">
        <v>-3.0807609999999999E-2</v>
      </c>
      <c r="S7077">
        <v>3.0475159999999999</v>
      </c>
      <c r="T7077">
        <v>-6.8647379999999994E-2</v>
      </c>
      <c r="U7077">
        <v>-9.9914550000000005E-2</v>
      </c>
      <c r="V7077">
        <v>-8.5217769999999998E-2</v>
      </c>
      <c r="W7077">
        <v>0.17194679999999901</v>
      </c>
      <c r="X7077">
        <v>0.98141339999999999</v>
      </c>
      <c r="Y7077">
        <v>-8.4239649999999999E-2</v>
      </c>
      <c r="Z7077">
        <v>2.50037E-3</v>
      </c>
      <c r="AA7077">
        <v>0.99644239999999995</v>
      </c>
      <c r="AB7077">
        <v>30</v>
      </c>
      <c r="AC7077">
        <v>49.215899999999998</v>
      </c>
      <c r="AD7077">
        <v>-1.112023233515</v>
      </c>
      <c r="AE7077">
        <v>-1.6007799999999901</v>
      </c>
      <c r="AF7077">
        <v>-4.1606456756988202</v>
      </c>
      <c r="AG7077">
        <v>-1.112023233515</v>
      </c>
      <c r="AH7077">
        <v>49.040646776802397</v>
      </c>
      <c r="AI7077">
        <v>91.294341868805006</v>
      </c>
      <c r="AJ7077">
        <v>94.849404385335703</v>
      </c>
      <c r="AK7077">
        <v>49.229387609411603</v>
      </c>
      <c r="AL7077">
        <v>80.098970710196298</v>
      </c>
      <c r="AM7077">
        <v>94.962641178275902</v>
      </c>
      <c r="AN7077">
        <v>1.0000000160267799</v>
      </c>
    </row>
    <row r="7078" spans="1:40" x14ac:dyDescent="0.25">
      <c r="A7078" t="str">
        <f>"20190304154936273"</f>
        <v>20190304154936273</v>
      </c>
      <c r="B7078" t="str">
        <f>"1551685776264555"</f>
        <v>1551685776264555</v>
      </c>
      <c r="C7078" t="s">
        <v>40</v>
      </c>
      <c r="D7078">
        <v>4.4581759999999999</v>
      </c>
      <c r="E7078">
        <v>0.49865599999999999</v>
      </c>
      <c r="F7078" t="s">
        <v>103</v>
      </c>
      <c r="G7078">
        <v>-228.8357</v>
      </c>
      <c r="H7078" s="1">
        <v>-3.418585E-6</v>
      </c>
      <c r="I7078">
        <v>-63.39884</v>
      </c>
      <c r="J7078">
        <v>-277.32850000000002</v>
      </c>
      <c r="K7078">
        <v>1.1118980000000001</v>
      </c>
      <c r="L7078">
        <v>-61.888640000000002</v>
      </c>
      <c r="M7078">
        <v>0.99308779999999997</v>
      </c>
      <c r="N7078">
        <v>-1.430827E-2</v>
      </c>
      <c r="O7078">
        <v>-0.1165008</v>
      </c>
      <c r="P7078">
        <v>0.98697330000000005</v>
      </c>
      <c r="Q7078">
        <v>0.1579921</v>
      </c>
      <c r="R7078">
        <v>-3.0375449999999998E-2</v>
      </c>
      <c r="S7078">
        <v>3.0478519999999998</v>
      </c>
      <c r="T7078">
        <v>-6.9676279999999993E-2</v>
      </c>
      <c r="U7078">
        <v>-9.5703129999999997E-2</v>
      </c>
      <c r="V7078">
        <v>-8.5229479999999996E-2</v>
      </c>
      <c r="W7078">
        <v>0.17185339999999999</v>
      </c>
      <c r="X7078">
        <v>0.98142870000000004</v>
      </c>
      <c r="Y7078">
        <v>-8.5244070000000005E-2</v>
      </c>
      <c r="Z7078">
        <v>2.5705680000000001E-3</v>
      </c>
      <c r="AA7078">
        <v>0.99635680000000004</v>
      </c>
      <c r="AB7078">
        <v>30</v>
      </c>
      <c r="AC7078">
        <v>48.492800000000003</v>
      </c>
      <c r="AD7078">
        <v>-1.111901418585</v>
      </c>
      <c r="AE7078">
        <v>-1.51019999999999</v>
      </c>
      <c r="AF7078">
        <v>-4.1479338588546799</v>
      </c>
      <c r="AG7078">
        <v>-1.111901418585</v>
      </c>
      <c r="AH7078">
        <v>48.313106894383701</v>
      </c>
      <c r="AI7078">
        <v>91.313569640478704</v>
      </c>
      <c r="AJ7078">
        <v>94.9071100963248</v>
      </c>
      <c r="AK7078">
        <v>48.503587267853</v>
      </c>
      <c r="AL7078">
        <v>80.104402581478197</v>
      </c>
      <c r="AM7078">
        <v>94.9632427125471</v>
      </c>
      <c r="AN7078">
        <v>0.99999997426815901</v>
      </c>
    </row>
    <row r="7079" spans="1:40" x14ac:dyDescent="0.25">
      <c r="A7079" t="str">
        <f>"20190304154936284"</f>
        <v>20190304154936284</v>
      </c>
      <c r="B7079" t="str">
        <f>"1551685776274316"</f>
        <v>1551685776274316</v>
      </c>
      <c r="C7079" t="s">
        <v>40</v>
      </c>
      <c r="D7079">
        <v>4.3539589999999997</v>
      </c>
      <c r="E7079">
        <v>0.49861290000000003</v>
      </c>
      <c r="F7079" t="s">
        <v>103</v>
      </c>
      <c r="G7079">
        <v>-227.17179999999999</v>
      </c>
      <c r="H7079" s="1">
        <v>-2.8636980000000002E-6</v>
      </c>
      <c r="I7079">
        <v>-63.483870000000003</v>
      </c>
      <c r="J7079">
        <v>-277.18720000000002</v>
      </c>
      <c r="K7079">
        <v>1.111799</v>
      </c>
      <c r="L7079">
        <v>-61.904789999999998</v>
      </c>
      <c r="M7079">
        <v>0.99312069999999997</v>
      </c>
      <c r="N7079">
        <v>-1.4292890000000001E-2</v>
      </c>
      <c r="O7079">
        <v>-0.1162203</v>
      </c>
      <c r="P7079">
        <v>0.98696390000000001</v>
      </c>
      <c r="Q7079">
        <v>0.15807560000000001</v>
      </c>
      <c r="R7079">
        <v>-3.023903E-2</v>
      </c>
      <c r="S7079">
        <v>3.0474549999999998</v>
      </c>
      <c r="T7079">
        <v>-6.7557569999999997E-2</v>
      </c>
      <c r="U7079">
        <v>-9.6923830000000002E-2</v>
      </c>
      <c r="V7079">
        <v>-8.5042329999999999E-2</v>
      </c>
      <c r="W7079">
        <v>0.1719436</v>
      </c>
      <c r="X7079">
        <v>0.9814292</v>
      </c>
      <c r="Y7079">
        <v>-8.4562529999999997E-2</v>
      </c>
      <c r="Z7079">
        <v>2.4471779999999999E-3</v>
      </c>
      <c r="AA7079">
        <v>0.99641519999999995</v>
      </c>
      <c r="AB7079">
        <v>30</v>
      </c>
      <c r="AC7079">
        <v>50.0154</v>
      </c>
      <c r="AD7079">
        <v>-1.111801863698</v>
      </c>
      <c r="AE7079">
        <v>-1.57907999999999</v>
      </c>
      <c r="AF7079">
        <v>-4.2429265215881404</v>
      </c>
      <c r="AG7079">
        <v>-1.111801863698</v>
      </c>
      <c r="AH7079">
        <v>49.835338144279397</v>
      </c>
      <c r="AI7079">
        <v>91.273423204549502</v>
      </c>
      <c r="AJ7079">
        <v>94.866364866177406</v>
      </c>
      <c r="AK7079">
        <v>50.027986735490302</v>
      </c>
      <c r="AL7079">
        <v>80.099157038811299</v>
      </c>
      <c r="AM7079">
        <v>94.952395993362998</v>
      </c>
      <c r="AN7079">
        <v>1.00000003704271</v>
      </c>
    </row>
    <row r="7080" spans="1:40" x14ac:dyDescent="0.25">
      <c r="A7080" t="str">
        <f>"20190304154936294"</f>
        <v>20190304154936294</v>
      </c>
      <c r="B7080" t="str">
        <f>"1551685776284076"</f>
        <v>1551685776284076</v>
      </c>
      <c r="C7080" t="s">
        <v>40</v>
      </c>
      <c r="D7080">
        <v>4.4446289999999999</v>
      </c>
      <c r="E7080">
        <v>0.49857990000000002</v>
      </c>
      <c r="F7080" t="s">
        <v>102</v>
      </c>
      <c r="G7080">
        <v>-230.10669999999999</v>
      </c>
      <c r="H7080" s="1">
        <v>1.67918999999999E-7</v>
      </c>
      <c r="I7080">
        <v>-63.387120000000003</v>
      </c>
      <c r="J7080">
        <v>-277.04520000000002</v>
      </c>
      <c r="K7080">
        <v>1.111702</v>
      </c>
      <c r="L7080">
        <v>-61.921050000000001</v>
      </c>
      <c r="M7080">
        <v>0.99315209999999998</v>
      </c>
      <c r="N7080">
        <v>-1.427789E-2</v>
      </c>
      <c r="O7080">
        <v>-0.115955</v>
      </c>
      <c r="P7080">
        <v>0.98694910000000002</v>
      </c>
      <c r="Q7080">
        <v>0.15816929999999901</v>
      </c>
      <c r="R7080">
        <v>-3.02376E-2</v>
      </c>
      <c r="S7080">
        <v>3.0482179999999999</v>
      </c>
      <c r="T7080">
        <v>-7.1983220000000001E-2</v>
      </c>
      <c r="U7080">
        <v>-9.5977779999999999E-2</v>
      </c>
      <c r="V7080">
        <v>-8.4738049999999995E-2</v>
      </c>
      <c r="W7080">
        <v>0.17204359999999999</v>
      </c>
      <c r="X7080">
        <v>0.98143800000000003</v>
      </c>
      <c r="Y7080">
        <v>-8.4608050000000004E-2</v>
      </c>
      <c r="Z7080">
        <v>2.675532E-3</v>
      </c>
      <c r="AA7080">
        <v>0.99641069999999998</v>
      </c>
      <c r="AB7080">
        <v>30</v>
      </c>
      <c r="AC7080">
        <v>46.938499999999998</v>
      </c>
      <c r="AD7080">
        <v>-1.1117018320809999</v>
      </c>
      <c r="AE7080">
        <v>-1.46606999999999</v>
      </c>
      <c r="AF7080">
        <v>-3.98489555054267</v>
      </c>
      <c r="AG7080">
        <v>-1.1117018320809999</v>
      </c>
      <c r="AH7080">
        <v>46.765618409413001</v>
      </c>
      <c r="AI7080">
        <v>91.356850888154796</v>
      </c>
      <c r="AJ7080">
        <v>94.870405113819999</v>
      </c>
      <c r="AK7080">
        <v>46.9482517110809</v>
      </c>
      <c r="AL7080">
        <v>80.093340843614797</v>
      </c>
      <c r="AM7080">
        <v>94.934720031928094</v>
      </c>
      <c r="AN7080">
        <v>1.00000004263138</v>
      </c>
    </row>
    <row r="7081" spans="1:40" x14ac:dyDescent="0.25">
      <c r="A7081" t="str">
        <f>"20190304154936306"</f>
        <v>20190304154936306</v>
      </c>
      <c r="B7081" t="str">
        <f>"1551685776294813"</f>
        <v>1551685776294813</v>
      </c>
      <c r="C7081" t="s">
        <v>40</v>
      </c>
      <c r="D7081">
        <v>4.4227600000000002</v>
      </c>
      <c r="E7081">
        <v>0.49856859999999997</v>
      </c>
      <c r="F7081" t="s">
        <v>103</v>
      </c>
      <c r="G7081">
        <v>-229.66370000000001</v>
      </c>
      <c r="H7081" s="1">
        <v>-3.7013419999999999E-6</v>
      </c>
      <c r="I7081">
        <v>-63.406289999999998</v>
      </c>
      <c r="J7081">
        <v>-276.88869999999997</v>
      </c>
      <c r="K7081">
        <v>1.111612</v>
      </c>
      <c r="L7081">
        <v>-61.938899999999997</v>
      </c>
      <c r="M7081">
        <v>0.99318099999999998</v>
      </c>
      <c r="N7081">
        <v>-1.4262499999999999E-2</v>
      </c>
      <c r="O7081">
        <v>-0.115708199999999</v>
      </c>
      <c r="P7081">
        <v>0.9869097</v>
      </c>
      <c r="Q7081">
        <v>0.15841359999999999</v>
      </c>
      <c r="R7081">
        <v>-3.0244940000000001E-2</v>
      </c>
      <c r="S7081">
        <v>3.0482179999999999</v>
      </c>
      <c r="T7081">
        <v>-7.1519970000000002E-2</v>
      </c>
      <c r="U7081">
        <v>-9.5550540000000003E-2</v>
      </c>
      <c r="V7081">
        <v>-8.4443240000000003E-2</v>
      </c>
      <c r="W7081">
        <v>0.17229159999999999</v>
      </c>
      <c r="X7081">
        <v>0.98141990000000001</v>
      </c>
      <c r="Y7081">
        <v>-8.4500599999999995E-2</v>
      </c>
      <c r="Z7081">
        <v>2.6484389999999998E-3</v>
      </c>
      <c r="AA7081">
        <v>0.99641990000000003</v>
      </c>
      <c r="AB7081">
        <v>30</v>
      </c>
      <c r="AC7081">
        <v>47.224999999999902</v>
      </c>
      <c r="AD7081">
        <v>-1.1116157013420001</v>
      </c>
      <c r="AE7081">
        <v>-1.46739</v>
      </c>
      <c r="AF7081">
        <v>-4.0051258875880897</v>
      </c>
      <c r="AG7081">
        <v>-1.1116157013420001</v>
      </c>
      <c r="AH7081">
        <v>47.051498345814402</v>
      </c>
      <c r="AI7081">
        <v>91.348515415653907</v>
      </c>
      <c r="AJ7081">
        <v>94.865412759949905</v>
      </c>
      <c r="AK7081">
        <v>47.234735306012603</v>
      </c>
      <c r="AL7081">
        <v>80.078916051038306</v>
      </c>
      <c r="AM7081">
        <v>94.917726358437406</v>
      </c>
      <c r="AN7081">
        <v>1.0000000381641301</v>
      </c>
    </row>
    <row r="7082" spans="1:40" x14ac:dyDescent="0.25">
      <c r="A7082" t="str">
        <f>"20190304154936318"</f>
        <v>20190304154936318</v>
      </c>
      <c r="B7082" t="str">
        <f>"1551685776314331"</f>
        <v>1551685776314331</v>
      </c>
      <c r="C7082" t="s">
        <v>40</v>
      </c>
      <c r="D7082">
        <v>4.3999560000000004</v>
      </c>
      <c r="E7082">
        <v>0.49872339999999998</v>
      </c>
      <c r="F7082" t="s">
        <v>103</v>
      </c>
      <c r="G7082">
        <v>-229.2176</v>
      </c>
      <c r="H7082" s="1">
        <v>-3.5520500000000002E-6</v>
      </c>
      <c r="I7082">
        <v>-63.425080000000001</v>
      </c>
      <c r="J7082">
        <v>-276.74180000000001</v>
      </c>
      <c r="K7082">
        <v>1.1115409999999999</v>
      </c>
      <c r="L7082">
        <v>-61.955750000000002</v>
      </c>
      <c r="M7082">
        <v>0.99320569999999997</v>
      </c>
      <c r="N7082">
        <v>-1.4248790000000001E-2</v>
      </c>
      <c r="O7082">
        <v>-0.1154978</v>
      </c>
      <c r="P7082">
        <v>0.98685160000000005</v>
      </c>
      <c r="Q7082">
        <v>0.15873689999999999</v>
      </c>
      <c r="R7082">
        <v>-3.0444269999999999E-2</v>
      </c>
      <c r="S7082">
        <v>3.048279</v>
      </c>
      <c r="T7082">
        <v>-7.1081039999999998E-2</v>
      </c>
      <c r="U7082">
        <v>-9.5031740000000003E-2</v>
      </c>
      <c r="V7082">
        <v>-8.3999399999999905E-2</v>
      </c>
      <c r="W7082">
        <v>0.17261760000000001</v>
      </c>
      <c r="X7082">
        <v>0.98140070000000001</v>
      </c>
      <c r="Y7082">
        <v>-8.4460060000000003E-2</v>
      </c>
      <c r="Z7082">
        <v>2.624071E-3</v>
      </c>
      <c r="AA7082">
        <v>0.99642339999999996</v>
      </c>
      <c r="AB7082">
        <v>30</v>
      </c>
      <c r="AC7082">
        <v>47.5242</v>
      </c>
      <c r="AD7082">
        <v>-1.11154455204999</v>
      </c>
      <c r="AE7082">
        <v>-1.46932999999999</v>
      </c>
      <c r="AF7082">
        <v>-4.02780077879813</v>
      </c>
      <c r="AG7082">
        <v>-1.11154455204999</v>
      </c>
      <c r="AH7082">
        <v>47.349934518010798</v>
      </c>
      <c r="AI7082">
        <v>91.339939913859496</v>
      </c>
      <c r="AJ7082">
        <v>94.862134699689193</v>
      </c>
      <c r="AK7082">
        <v>47.533935343760398</v>
      </c>
      <c r="AL7082">
        <v>80.059953483991606</v>
      </c>
      <c r="AM7082">
        <v>94.892099429120293</v>
      </c>
      <c r="AN7082">
        <v>1.0000000344952999</v>
      </c>
    </row>
    <row r="7083" spans="1:40" x14ac:dyDescent="0.25">
      <c r="A7083" t="str">
        <f>"20190304154936328"</f>
        <v>20190304154936328</v>
      </c>
      <c r="B7083" t="str">
        <f>"1551685776324092"</f>
        <v>1551685776324092</v>
      </c>
      <c r="C7083" t="s">
        <v>40</v>
      </c>
      <c r="D7083">
        <v>4.3934739999999897</v>
      </c>
      <c r="E7083">
        <v>0.49879200000000001</v>
      </c>
      <c r="F7083" t="s">
        <v>103</v>
      </c>
      <c r="G7083">
        <v>-228.2302</v>
      </c>
      <c r="H7083" s="1">
        <v>-3.2253050000000002E-6</v>
      </c>
      <c r="I7083">
        <v>-63.49438</v>
      </c>
      <c r="J7083">
        <v>-276.5883</v>
      </c>
      <c r="K7083">
        <v>1.111475</v>
      </c>
      <c r="L7083">
        <v>-61.973300000000002</v>
      </c>
      <c r="M7083">
        <v>0.99322920000000003</v>
      </c>
      <c r="N7083">
        <v>-1.423512E-2</v>
      </c>
      <c r="O7083">
        <v>-0.11529639999999999</v>
      </c>
      <c r="P7083">
        <v>0.98679380000000005</v>
      </c>
      <c r="Q7083">
        <v>0.15895119999999999</v>
      </c>
      <c r="R7083">
        <v>-3.1191489999999999E-2</v>
      </c>
      <c r="S7083">
        <v>3.0482179999999999</v>
      </c>
      <c r="T7083">
        <v>-6.9843769999999999E-2</v>
      </c>
      <c r="U7083">
        <v>-9.6679689999999999E-2</v>
      </c>
      <c r="V7083">
        <v>-8.3022319999999997E-2</v>
      </c>
      <c r="W7083">
        <v>0.17283409999999999</v>
      </c>
      <c r="X7083">
        <v>0.98144569999999998</v>
      </c>
      <c r="Y7083">
        <v>-8.3720959999999997E-2</v>
      </c>
      <c r="Z7083">
        <v>2.5457840000000002E-3</v>
      </c>
      <c r="AA7083">
        <v>0.99648599999999998</v>
      </c>
      <c r="AB7083">
        <v>30</v>
      </c>
      <c r="AC7083">
        <v>48.3581</v>
      </c>
      <c r="AD7083">
        <v>-1.111478225305</v>
      </c>
      <c r="AE7083">
        <v>-1.52108</v>
      </c>
      <c r="AF7083">
        <v>-4.0630011016246597</v>
      </c>
      <c r="AG7083">
        <v>-1.111478225305</v>
      </c>
      <c r="AH7083">
        <v>48.185503306553102</v>
      </c>
      <c r="AI7083">
        <v>91.316716578989798</v>
      </c>
      <c r="AJ7083">
        <v>94.819778415673994</v>
      </c>
      <c r="AK7083">
        <v>48.3692680397685</v>
      </c>
      <c r="AL7083">
        <v>80.047359284196801</v>
      </c>
      <c r="AM7083">
        <v>94.835245322963601</v>
      </c>
      <c r="AN7083">
        <v>0.99999999689474095</v>
      </c>
    </row>
    <row r="7084" spans="1:40" x14ac:dyDescent="0.25">
      <c r="A7084" t="str">
        <f>"20190304154936341"</f>
        <v>20190304154936341</v>
      </c>
      <c r="B7084" t="str">
        <f>"1551685776334828"</f>
        <v>1551685776334828</v>
      </c>
      <c r="C7084" t="s">
        <v>40</v>
      </c>
      <c r="D7084">
        <v>4.4097229999999996</v>
      </c>
      <c r="E7084">
        <v>0.49883559999999999</v>
      </c>
      <c r="F7084" t="s">
        <v>103</v>
      </c>
      <c r="G7084">
        <v>-227.31280000000001</v>
      </c>
      <c r="H7084" s="1">
        <v>-2.9244989999999999E-6</v>
      </c>
      <c r="I7084">
        <v>-63.579650000000001</v>
      </c>
      <c r="J7084">
        <v>-276.43189999999998</v>
      </c>
      <c r="K7084">
        <v>1.1114250000000001</v>
      </c>
      <c r="L7084">
        <v>-61.991149999999998</v>
      </c>
      <c r="M7084">
        <v>0.993251</v>
      </c>
      <c r="N7084">
        <v>-1.42224E-2</v>
      </c>
      <c r="O7084">
        <v>-0.1151107</v>
      </c>
      <c r="P7084">
        <v>0.98672939999999998</v>
      </c>
      <c r="Q7084">
        <v>0.1592326</v>
      </c>
      <c r="R7084">
        <v>-3.1786920000000003E-2</v>
      </c>
      <c r="S7084">
        <v>3.0480649999999998</v>
      </c>
      <c r="T7084">
        <v>-6.8753359999999999E-2</v>
      </c>
      <c r="U7084">
        <v>-9.9365229999999999E-2</v>
      </c>
      <c r="V7084">
        <v>-8.2217429999999994E-2</v>
      </c>
      <c r="W7084">
        <v>0.17311499999999999</v>
      </c>
      <c r="X7084">
        <v>0.981464</v>
      </c>
      <c r="Y7084">
        <v>-8.2657620000000001E-2</v>
      </c>
      <c r="Z7084">
        <v>2.4696639999999999E-3</v>
      </c>
      <c r="AA7084">
        <v>0.99657490000000004</v>
      </c>
      <c r="AB7084">
        <v>30</v>
      </c>
      <c r="AC7084">
        <v>49.119099999999897</v>
      </c>
      <c r="AD7084">
        <v>-1.111427924499</v>
      </c>
      <c r="AE7084">
        <v>-1.5885</v>
      </c>
      <c r="AF7084">
        <v>-4.0746824810436397</v>
      </c>
      <c r="AG7084">
        <v>-1.111427924499</v>
      </c>
      <c r="AH7084">
        <v>48.950358831618303</v>
      </c>
      <c r="AI7084">
        <v>91.296207453231304</v>
      </c>
      <c r="AJ7084">
        <v>94.758394406345502</v>
      </c>
      <c r="AK7084">
        <v>49.132229128107703</v>
      </c>
      <c r="AL7084">
        <v>80.031019080849404</v>
      </c>
      <c r="AM7084">
        <v>94.788498458680706</v>
      </c>
      <c r="AN7084">
        <v>1.0000000461584</v>
      </c>
    </row>
    <row r="7085" spans="1:40" x14ac:dyDescent="0.25">
      <c r="A7085" t="str">
        <f>"20190304154936350"</f>
        <v>20190304154936350</v>
      </c>
      <c r="B7085" t="str">
        <f>"1551685776344587"</f>
        <v>1551685776344587</v>
      </c>
      <c r="C7085" t="s">
        <v>40</v>
      </c>
      <c r="D7085">
        <v>4.3683480000000001</v>
      </c>
      <c r="E7085">
        <v>0.49884519999999999</v>
      </c>
      <c r="F7085" t="s">
        <v>103</v>
      </c>
      <c r="G7085">
        <v>-226.74160000000001</v>
      </c>
      <c r="H7085" s="1">
        <v>-2.734106E-6</v>
      </c>
      <c r="I7085">
        <v>-63.639380000000003</v>
      </c>
      <c r="J7085">
        <v>-276.30470000000003</v>
      </c>
      <c r="K7085">
        <v>1.1113879999999901</v>
      </c>
      <c r="L7085">
        <v>-62.005710000000001</v>
      </c>
      <c r="M7085">
        <v>0.99326809999999999</v>
      </c>
      <c r="N7085">
        <v>-1.4212290000000001E-2</v>
      </c>
      <c r="O7085">
        <v>-0.1149632</v>
      </c>
      <c r="P7085">
        <v>0.98670089999999999</v>
      </c>
      <c r="Q7085">
        <v>0.15925989999999901</v>
      </c>
      <c r="R7085">
        <v>-3.2522500000000003E-2</v>
      </c>
      <c r="S7085">
        <v>3.0480649999999998</v>
      </c>
      <c r="T7085">
        <v>-6.8176269999999997E-2</v>
      </c>
      <c r="U7085">
        <v>-0.10110470000000001</v>
      </c>
      <c r="V7085">
        <v>-8.1320320000000001E-2</v>
      </c>
      <c r="W7085">
        <v>0.17314270000000001</v>
      </c>
      <c r="X7085">
        <v>0.98153380000000001</v>
      </c>
      <c r="Y7085">
        <v>-8.194245E-2</v>
      </c>
      <c r="Z7085">
        <v>2.426559E-3</v>
      </c>
      <c r="AA7085">
        <v>0.99663409999999997</v>
      </c>
      <c r="AB7085">
        <v>30</v>
      </c>
      <c r="AC7085">
        <v>49.563099999999999</v>
      </c>
      <c r="AD7085">
        <v>-1.1113907341060001</v>
      </c>
      <c r="AE7085">
        <v>-1.63367</v>
      </c>
      <c r="AF7085">
        <v>-4.0736257341300304</v>
      </c>
      <c r="AG7085">
        <v>-1.1113907341060001</v>
      </c>
      <c r="AH7085">
        <v>49.397437321310697</v>
      </c>
      <c r="AI7085">
        <v>91.284518791275701</v>
      </c>
      <c r="AJ7085">
        <v>94.714305544279398</v>
      </c>
      <c r="AK7085">
        <v>49.577579911674199</v>
      </c>
      <c r="AL7085">
        <v>80.029407136415799</v>
      </c>
      <c r="AM7085">
        <v>94.736152803480095</v>
      </c>
      <c r="AN7085">
        <v>0.99999999477531598</v>
      </c>
    </row>
    <row r="7086" spans="1:40" x14ac:dyDescent="0.25">
      <c r="A7086" t="str">
        <f>"20190304154936363"</f>
        <v>20190304154936363</v>
      </c>
      <c r="B7086" t="str">
        <f>"1551685776354348"</f>
        <v>1551685776354348</v>
      </c>
      <c r="C7086" t="s">
        <v>40</v>
      </c>
      <c r="D7086">
        <v>4.3309430000000004</v>
      </c>
      <c r="E7086">
        <v>0.49927319999999997</v>
      </c>
      <c r="F7086" t="s">
        <v>103</v>
      </c>
      <c r="G7086">
        <v>-226.2784</v>
      </c>
      <c r="H7086" s="1">
        <v>-2.5483830000000002E-6</v>
      </c>
      <c r="I7086">
        <v>-63.697699999999998</v>
      </c>
      <c r="J7086">
        <v>-276.15140000000002</v>
      </c>
      <c r="K7086">
        <v>1.111359</v>
      </c>
      <c r="L7086">
        <v>-62.023220000000002</v>
      </c>
      <c r="M7086">
        <v>0.9932877</v>
      </c>
      <c r="N7086">
        <v>-1.420128E-2</v>
      </c>
      <c r="O7086">
        <v>-0.1147956</v>
      </c>
      <c r="P7086">
        <v>0.98667680000000002</v>
      </c>
      <c r="Q7086">
        <v>0.15921270000000001</v>
      </c>
      <c r="R7086">
        <v>-3.3473959999999997E-2</v>
      </c>
      <c r="S7086">
        <v>3.047974</v>
      </c>
      <c r="T7086">
        <v>-6.7714099999999999E-2</v>
      </c>
      <c r="U7086">
        <v>-0.1030884</v>
      </c>
      <c r="V7086">
        <v>-8.0192089999999994E-2</v>
      </c>
      <c r="W7086">
        <v>0.17309340000000001</v>
      </c>
      <c r="X7086">
        <v>0.98163529999999999</v>
      </c>
      <c r="Y7086">
        <v>-8.1126149999999994E-2</v>
      </c>
      <c r="Z7086">
        <v>2.3876629999999999E-3</v>
      </c>
      <c r="AA7086">
        <v>0.99670099999999995</v>
      </c>
      <c r="AB7086">
        <v>30</v>
      </c>
      <c r="AC7086">
        <v>49.872999999999998</v>
      </c>
      <c r="AD7086">
        <v>-1.1113615483829999</v>
      </c>
      <c r="AE7086">
        <v>-1.67448</v>
      </c>
      <c r="AF7086">
        <v>-4.0603559290205604</v>
      </c>
      <c r="AG7086">
        <v>-1.1113615483829999</v>
      </c>
      <c r="AH7086">
        <v>49.710814816348297</v>
      </c>
      <c r="AI7086">
        <v>91.276472198216297</v>
      </c>
      <c r="AJ7086">
        <v>94.669526362360003</v>
      </c>
      <c r="AK7086">
        <v>49.888743464501303</v>
      </c>
      <c r="AL7086">
        <v>80.032274966152002</v>
      </c>
      <c r="AM7086">
        <v>94.670255834548797</v>
      </c>
      <c r="AN7086">
        <v>0.999999979314108</v>
      </c>
    </row>
    <row r="7087" spans="1:40" x14ac:dyDescent="0.25">
      <c r="A7087" t="str">
        <f>"20190304154936373"</f>
        <v>20190304154936373</v>
      </c>
      <c r="B7087" t="str">
        <f>"1551685776364107"</f>
        <v>1551685776364107</v>
      </c>
      <c r="C7087" t="s">
        <v>40</v>
      </c>
      <c r="D7087">
        <v>4.3553249999999997</v>
      </c>
      <c r="E7087">
        <v>0.49936320000000001</v>
      </c>
      <c r="F7087" t="s">
        <v>103</v>
      </c>
      <c r="G7087">
        <v>-224.39179999999999</v>
      </c>
      <c r="H7087" s="1">
        <v>-1.77887E-6</v>
      </c>
      <c r="I7087">
        <v>-63.876800000000003</v>
      </c>
      <c r="J7087">
        <v>-276.00630000000001</v>
      </c>
      <c r="K7087">
        <v>1.111332</v>
      </c>
      <c r="L7087">
        <v>-62.039760000000001</v>
      </c>
      <c r="M7087">
        <v>0.99330620000000003</v>
      </c>
      <c r="N7087">
        <v>-1.419115E-2</v>
      </c>
      <c r="O7087">
        <v>-0.1146379</v>
      </c>
      <c r="P7087">
        <v>0.9867127</v>
      </c>
      <c r="Q7087">
        <v>0.15885489999999999</v>
      </c>
      <c r="R7087">
        <v>-3.4115039999999999E-2</v>
      </c>
      <c r="S7087">
        <v>3.0473940000000002</v>
      </c>
      <c r="T7087">
        <v>-6.543243E-2</v>
      </c>
      <c r="U7087">
        <v>-0.1091309</v>
      </c>
      <c r="V7087">
        <v>-7.9391119999999996E-2</v>
      </c>
      <c r="W7087">
        <v>0.1727331</v>
      </c>
      <c r="X7087">
        <v>0.98176390000000002</v>
      </c>
      <c r="Y7087">
        <v>-7.8990649999999996E-2</v>
      </c>
      <c r="Z7087">
        <v>2.2336489999999999E-3</v>
      </c>
      <c r="AA7087">
        <v>0.9968728</v>
      </c>
      <c r="AB7087">
        <v>30</v>
      </c>
      <c r="AC7087">
        <v>51.6145</v>
      </c>
      <c r="AD7087">
        <v>-1.11133377887</v>
      </c>
      <c r="AE7087">
        <v>-1.83704</v>
      </c>
      <c r="AF7087">
        <v>-4.0907518041774296</v>
      </c>
      <c r="AG7087">
        <v>-1.11133377887</v>
      </c>
      <c r="AH7087">
        <v>51.460943101095801</v>
      </c>
      <c r="AI7087">
        <v>91.233259544705405</v>
      </c>
      <c r="AJ7087">
        <v>94.545019418925307</v>
      </c>
      <c r="AK7087">
        <v>51.635239690986801</v>
      </c>
      <c r="AL7087">
        <v>80.053234700117898</v>
      </c>
      <c r="AM7087">
        <v>94.623208893014706</v>
      </c>
      <c r="AN7087">
        <v>1.00000001455683</v>
      </c>
    </row>
    <row r="7088" spans="1:40" x14ac:dyDescent="0.25">
      <c r="A7088" t="str">
        <f>"20190304154936383"</f>
        <v>20190304154936383</v>
      </c>
      <c r="B7088" t="str">
        <f>"1551685776374844"</f>
        <v>1551685776374844</v>
      </c>
      <c r="C7088" t="s">
        <v>40</v>
      </c>
      <c r="D7088">
        <v>4.3552339999999896</v>
      </c>
      <c r="E7088">
        <v>0.49940830000000003</v>
      </c>
      <c r="F7088" t="s">
        <v>103</v>
      </c>
      <c r="G7088">
        <v>-225.17859999999999</v>
      </c>
      <c r="H7088" s="1">
        <v>-2.121833E-6</v>
      </c>
      <c r="I7088">
        <v>-63.901269999999997</v>
      </c>
      <c r="J7088">
        <v>-275.86599999999999</v>
      </c>
      <c r="K7088">
        <v>1.1113120000000001</v>
      </c>
      <c r="L7088">
        <v>-62.055759999999999</v>
      </c>
      <c r="M7088">
        <v>0.99332370000000003</v>
      </c>
      <c r="N7088">
        <v>-1.4182230000000001E-2</v>
      </c>
      <c r="O7088">
        <v>-0.11448659999999999</v>
      </c>
      <c r="P7088">
        <v>0.98676450000000004</v>
      </c>
      <c r="Q7088">
        <v>0.15832739999999901</v>
      </c>
      <c r="R7088">
        <v>-3.5051449999999998E-2</v>
      </c>
      <c r="S7088">
        <v>3.047272</v>
      </c>
      <c r="T7088">
        <v>-6.6627740000000005E-2</v>
      </c>
      <c r="U7088">
        <v>-0.1116028</v>
      </c>
      <c r="V7088">
        <v>-7.8308569999999994E-2</v>
      </c>
      <c r="W7088">
        <v>0.17220469999999999</v>
      </c>
      <c r="X7088">
        <v>0.98194360000000003</v>
      </c>
      <c r="Y7088">
        <v>-7.8028810000000004E-2</v>
      </c>
      <c r="Z7088">
        <v>2.2762529999999998E-3</v>
      </c>
      <c r="AA7088">
        <v>0.99694850000000002</v>
      </c>
      <c r="AB7088">
        <v>30</v>
      </c>
      <c r="AC7088">
        <v>50.687399999999997</v>
      </c>
      <c r="AD7088">
        <v>-1.111314121833</v>
      </c>
      <c r="AE7088">
        <v>-1.84550999999999</v>
      </c>
      <c r="AF7088">
        <v>-3.9683329393103</v>
      </c>
      <c r="AG7088">
        <v>-1.111314121833</v>
      </c>
      <c r="AH7088">
        <v>50.541097128687497</v>
      </c>
      <c r="AI7088">
        <v>91.255771631143404</v>
      </c>
      <c r="AJ7088">
        <v>94.489479387336004</v>
      </c>
      <c r="AK7088">
        <v>50.708827479700403</v>
      </c>
      <c r="AL7088">
        <v>80.083969840686095</v>
      </c>
      <c r="AM7088">
        <v>94.5596050887074</v>
      </c>
      <c r="AN7088">
        <v>0.99999996220924603</v>
      </c>
    </row>
    <row r="7089" spans="1:40" x14ac:dyDescent="0.25">
      <c r="A7089" t="str">
        <f>"20190304154936395"</f>
        <v>20190304154936395</v>
      </c>
      <c r="B7089" t="str">
        <f>"1551685776384604"</f>
        <v>1551685776384604</v>
      </c>
      <c r="C7089" t="s">
        <v>40</v>
      </c>
      <c r="D7089">
        <v>4.3871979999999997</v>
      </c>
      <c r="E7089">
        <v>0.499444</v>
      </c>
      <c r="F7089" t="s">
        <v>103</v>
      </c>
      <c r="G7089">
        <v>-226.54689999999999</v>
      </c>
      <c r="H7089" s="1">
        <v>-2.7084039999999999E-6</v>
      </c>
      <c r="I7089">
        <v>-63.912959999999998</v>
      </c>
      <c r="J7089">
        <v>-275.72140000000002</v>
      </c>
      <c r="K7089">
        <v>1.111291</v>
      </c>
      <c r="L7089">
        <v>-62.072240000000001</v>
      </c>
      <c r="M7089">
        <v>0.99334199999999995</v>
      </c>
      <c r="N7089">
        <v>-1.417334E-2</v>
      </c>
      <c r="O7089">
        <v>-0.11432870000000001</v>
      </c>
      <c r="P7089">
        <v>0.98684499999999997</v>
      </c>
      <c r="Q7089">
        <v>0.15769749999999999</v>
      </c>
      <c r="R7089">
        <v>-3.5619520000000002E-2</v>
      </c>
      <c r="S7089">
        <v>3.0471499999999998</v>
      </c>
      <c r="T7089">
        <v>-6.8661810000000004E-2</v>
      </c>
      <c r="U7089">
        <v>-0.1147461</v>
      </c>
      <c r="V7089">
        <v>-7.7589640000000001E-2</v>
      </c>
      <c r="W7089">
        <v>0.17157149999999999</v>
      </c>
      <c r="X7089">
        <v>0.98211150000000003</v>
      </c>
      <c r="Y7089">
        <v>-7.6840229999999995E-2</v>
      </c>
      <c r="Z7089">
        <v>2.3561200000000002E-3</v>
      </c>
      <c r="AA7089">
        <v>0.99704060000000005</v>
      </c>
      <c r="AB7089">
        <v>30</v>
      </c>
      <c r="AC7089">
        <v>49.174500000000002</v>
      </c>
      <c r="AD7089">
        <v>-1.111293708404</v>
      </c>
      <c r="AE7089">
        <v>-1.8407199999999899</v>
      </c>
      <c r="AF7089">
        <v>-3.79203882555327</v>
      </c>
      <c r="AG7089">
        <v>-1.111293708404</v>
      </c>
      <c r="AH7089">
        <v>49.037455916114702</v>
      </c>
      <c r="AI7089">
        <v>91.294359838687498</v>
      </c>
      <c r="AJ7089">
        <v>94.421850357147207</v>
      </c>
      <c r="AK7089">
        <v>49.196408556781201</v>
      </c>
      <c r="AL7089">
        <v>80.120797687129297</v>
      </c>
      <c r="AM7089">
        <v>94.517149497680506</v>
      </c>
      <c r="AN7089">
        <v>0.99999996513991396</v>
      </c>
    </row>
    <row r="7090" spans="1:40" x14ac:dyDescent="0.25">
      <c r="A7090" t="str">
        <f>"20190304154936406"</f>
        <v>20190304154936406</v>
      </c>
      <c r="B7090" t="str">
        <f>"1551685776394366"</f>
        <v>1551685776394366</v>
      </c>
      <c r="C7090" t="s">
        <v>40</v>
      </c>
      <c r="D7090">
        <v>4.3032550000000001</v>
      </c>
      <c r="E7090">
        <v>0.4994479</v>
      </c>
      <c r="F7090" t="s">
        <v>103</v>
      </c>
      <c r="G7090">
        <v>-228.08449999999999</v>
      </c>
      <c r="H7090" s="1">
        <v>-3.2292910000000001E-6</v>
      </c>
      <c r="I7090">
        <v>-63.895200000000003</v>
      </c>
      <c r="J7090">
        <v>-275.57429999999999</v>
      </c>
      <c r="K7090">
        <v>1.111278</v>
      </c>
      <c r="L7090">
        <v>-62.088929999999998</v>
      </c>
      <c r="M7090">
        <v>0.99336089999999999</v>
      </c>
      <c r="N7090">
        <v>-1.4164919999999999E-2</v>
      </c>
      <c r="O7090">
        <v>-0.11416469999999999</v>
      </c>
      <c r="P7090">
        <v>0.98691839999999997</v>
      </c>
      <c r="Q7090">
        <v>0.15714729999999999</v>
      </c>
      <c r="R7090">
        <v>-3.6016970000000002E-2</v>
      </c>
      <c r="S7090">
        <v>3.0471499999999998</v>
      </c>
      <c r="T7090">
        <v>-7.1085209999999996E-2</v>
      </c>
      <c r="U7090">
        <v>-0.11660769999999999</v>
      </c>
      <c r="V7090">
        <v>-7.7034729999999996E-2</v>
      </c>
      <c r="W7090">
        <v>0.17101769999999999</v>
      </c>
      <c r="X7090">
        <v>0.98225180000000001</v>
      </c>
      <c r="Y7090">
        <v>-7.6065060000000004E-2</v>
      </c>
      <c r="Z7090">
        <v>2.4619199999999998E-3</v>
      </c>
      <c r="AA7090">
        <v>0.99709979999999998</v>
      </c>
      <c r="AB7090">
        <v>30</v>
      </c>
      <c r="AC7090">
        <v>47.489800000000002</v>
      </c>
      <c r="AD7090">
        <v>-1.1112812292909999</v>
      </c>
      <c r="AE7090">
        <v>-1.8062699999999901</v>
      </c>
      <c r="AF7090">
        <v>-3.62576203061059</v>
      </c>
      <c r="AG7090">
        <v>-1.1112812292909999</v>
      </c>
      <c r="AH7090">
        <v>47.359578729085101</v>
      </c>
      <c r="AI7090">
        <v>91.340264577168895</v>
      </c>
      <c r="AJ7090">
        <v>94.377919354916699</v>
      </c>
      <c r="AK7090">
        <v>47.5111649369872</v>
      </c>
      <c r="AL7090">
        <v>80.153004463365804</v>
      </c>
      <c r="AM7090">
        <v>94.484337769752003</v>
      </c>
      <c r="AN7090">
        <v>1.0000000009713499</v>
      </c>
    </row>
    <row r="7091" spans="1:40" x14ac:dyDescent="0.25">
      <c r="A7091" t="str">
        <f>"20190304154936417"</f>
        <v>20190304154936417</v>
      </c>
      <c r="B7091" t="str">
        <f>"1551685776413884"</f>
        <v>1551685776413884</v>
      </c>
      <c r="C7091" t="s">
        <v>40</v>
      </c>
      <c r="D7091">
        <v>4.3010669999999998</v>
      </c>
      <c r="E7091">
        <v>0.49941000000000002</v>
      </c>
      <c r="F7091" t="s">
        <v>103</v>
      </c>
      <c r="G7091">
        <v>-229.07220000000001</v>
      </c>
      <c r="H7091" s="1">
        <v>-3.5642230000000001E-6</v>
      </c>
      <c r="I7091">
        <v>-63.886220000000002</v>
      </c>
      <c r="J7091">
        <v>-275.42660000000001</v>
      </c>
      <c r="K7091">
        <v>1.111267</v>
      </c>
      <c r="L7091">
        <v>-62.105710000000002</v>
      </c>
      <c r="M7091">
        <v>0.99338070000000001</v>
      </c>
      <c r="N7091">
        <v>-1.415697E-2</v>
      </c>
      <c r="O7091">
        <v>-0.1139941</v>
      </c>
      <c r="P7091">
        <v>0.98698600000000003</v>
      </c>
      <c r="Q7091">
        <v>0.15672079999999999</v>
      </c>
      <c r="R7091">
        <v>-3.6019570000000001E-2</v>
      </c>
      <c r="S7091">
        <v>3.0470579999999998</v>
      </c>
      <c r="T7091">
        <v>-7.2816969999999995E-2</v>
      </c>
      <c r="U7091">
        <v>-0.11776730000000001</v>
      </c>
      <c r="V7091">
        <v>-7.6867729999999995E-2</v>
      </c>
      <c r="W7091">
        <v>0.1705863</v>
      </c>
      <c r="X7091">
        <v>0.98233990000000004</v>
      </c>
      <c r="Y7091">
        <v>-7.5512040000000002E-2</v>
      </c>
      <c r="Z7091">
        <v>2.5367580000000001E-3</v>
      </c>
      <c r="AA7091">
        <v>0.99714170000000002</v>
      </c>
      <c r="AB7091">
        <v>30</v>
      </c>
      <c r="AC7091">
        <v>46.354399999999998</v>
      </c>
      <c r="AD7091">
        <v>-1.1112705642229901</v>
      </c>
      <c r="AE7091">
        <v>-1.78050999999999</v>
      </c>
      <c r="AF7091">
        <v>-3.51373921305112</v>
      </c>
      <c r="AG7091">
        <v>-1.1112705642229901</v>
      </c>
      <c r="AH7091">
        <v>46.228633246905297</v>
      </c>
      <c r="AI7091">
        <v>91.373084757132801</v>
      </c>
      <c r="AJ7091">
        <v>94.346571779243902</v>
      </c>
      <c r="AK7091">
        <v>46.375293178600202</v>
      </c>
      <c r="AL7091">
        <v>80.178090546522</v>
      </c>
      <c r="AM7091">
        <v>94.474256231221105</v>
      </c>
      <c r="AN7091">
        <v>1.0000000063975201</v>
      </c>
    </row>
    <row r="7092" spans="1:40" x14ac:dyDescent="0.25">
      <c r="A7092" t="str">
        <f>"20190304154936429"</f>
        <v>20190304154936429</v>
      </c>
      <c r="B7092" t="str">
        <f>"1551685776424620"</f>
        <v>1551685776424620</v>
      </c>
      <c r="C7092" t="s">
        <v>40</v>
      </c>
      <c r="D7092">
        <v>4.3363399999999999</v>
      </c>
      <c r="E7092">
        <v>0.49937599999999999</v>
      </c>
      <c r="F7092" t="s">
        <v>103</v>
      </c>
      <c r="G7092">
        <v>-229.97219999999999</v>
      </c>
      <c r="H7092" s="1">
        <v>-3.8667510000000001E-6</v>
      </c>
      <c r="I7092">
        <v>-63.85839</v>
      </c>
      <c r="J7092">
        <v>-275.26679999999999</v>
      </c>
      <c r="K7092">
        <v>1.1112580000000001</v>
      </c>
      <c r="L7092">
        <v>-62.123809999999999</v>
      </c>
      <c r="M7092">
        <v>0.99340260000000002</v>
      </c>
      <c r="N7092">
        <v>-1.4148869999999999E-2</v>
      </c>
      <c r="O7092">
        <v>-0.1138039</v>
      </c>
      <c r="P7092">
        <v>0.98708620000000002</v>
      </c>
      <c r="Q7092">
        <v>0.15612290000000001</v>
      </c>
      <c r="R7092">
        <v>-3.5873189999999999E-2</v>
      </c>
      <c r="S7092">
        <v>3.0470890000000002</v>
      </c>
      <c r="T7092">
        <v>-7.4495320000000004E-2</v>
      </c>
      <c r="U7092">
        <v>-0.11749270000000001</v>
      </c>
      <c r="V7092">
        <v>-7.6833219999999994E-2</v>
      </c>
      <c r="W7092">
        <v>0.169983</v>
      </c>
      <c r="X7092">
        <v>0.98244710000000002</v>
      </c>
      <c r="Y7092">
        <v>-7.5409379999999998E-2</v>
      </c>
      <c r="Z7092">
        <v>2.6168459999999999E-3</v>
      </c>
      <c r="AA7092">
        <v>0.99714919999999996</v>
      </c>
      <c r="AB7092">
        <v>30</v>
      </c>
      <c r="AC7092">
        <v>45.294600000000003</v>
      </c>
      <c r="AD7092">
        <v>-1.1112618667509999</v>
      </c>
      <c r="AE7092">
        <v>-1.73458</v>
      </c>
      <c r="AF7092">
        <v>-3.42984748733253</v>
      </c>
      <c r="AG7092">
        <v>-1.1112618667509999</v>
      </c>
      <c r="AH7092">
        <v>45.1705448514059</v>
      </c>
      <c r="AI7092">
        <v>91.405232711088999</v>
      </c>
      <c r="AJ7092">
        <v>94.342197218622502</v>
      </c>
      <c r="AK7092">
        <v>45.314201735170499</v>
      </c>
      <c r="AL7092">
        <v>80.213168706493605</v>
      </c>
      <c r="AM7092">
        <v>94.471769639164904</v>
      </c>
      <c r="AN7092">
        <v>0.99999993414148702</v>
      </c>
    </row>
    <row r="7093" spans="1:40" x14ac:dyDescent="0.25">
      <c r="A7093" t="str">
        <f>"20190304154936442"</f>
        <v>20190304154936442</v>
      </c>
      <c r="B7093" t="str">
        <f>"1551685776434380"</f>
        <v>1551685776434380</v>
      </c>
      <c r="C7093" t="s">
        <v>40</v>
      </c>
      <c r="D7093">
        <v>4.2262449999999996</v>
      </c>
      <c r="E7093">
        <v>0.49941609999999997</v>
      </c>
      <c r="F7093" t="s">
        <v>102</v>
      </c>
      <c r="G7093">
        <v>-230.92679999999999</v>
      </c>
      <c r="H7093" s="1">
        <v>-3.000316E-7</v>
      </c>
      <c r="I7093">
        <v>-63.823680000000003</v>
      </c>
      <c r="J7093">
        <v>-275.1182</v>
      </c>
      <c r="K7093">
        <v>1.111259</v>
      </c>
      <c r="L7093">
        <v>-62.140630000000002</v>
      </c>
      <c r="M7093">
        <v>0.99342419999999998</v>
      </c>
      <c r="N7093">
        <v>-1.414197E-2</v>
      </c>
      <c r="O7093">
        <v>-0.1136152</v>
      </c>
      <c r="P7093">
        <v>0.98721080000000005</v>
      </c>
      <c r="Q7093">
        <v>0.15541279999999999</v>
      </c>
      <c r="R7093">
        <v>-3.5521509999999999E-2</v>
      </c>
      <c r="S7093">
        <v>3.0470890000000002</v>
      </c>
      <c r="T7093">
        <v>-7.6366539999999997E-2</v>
      </c>
      <c r="U7093">
        <v>-0.1168213</v>
      </c>
      <c r="V7093">
        <v>-7.7008679999999996E-2</v>
      </c>
      <c r="W7093">
        <v>0.1692678</v>
      </c>
      <c r="X7093">
        <v>0.98255689999999996</v>
      </c>
      <c r="Y7093">
        <v>-7.5437110000000002E-2</v>
      </c>
      <c r="Z7093">
        <v>2.7087489999999999E-3</v>
      </c>
      <c r="AA7093">
        <v>0.99714689999999995</v>
      </c>
      <c r="AB7093">
        <v>30</v>
      </c>
      <c r="AC7093">
        <v>44.191400000000002</v>
      </c>
      <c r="AD7093">
        <v>-1.1112593000316</v>
      </c>
      <c r="AE7093">
        <v>-1.6830499999999999</v>
      </c>
      <c r="AF7093">
        <v>-3.3470535581857002</v>
      </c>
      <c r="AG7093">
        <v>-1.1112593000316</v>
      </c>
      <c r="AH7093">
        <v>44.068608629795897</v>
      </c>
      <c r="AI7093">
        <v>91.440350465018</v>
      </c>
      <c r="AJ7093">
        <v>94.343331247176593</v>
      </c>
      <c r="AK7093">
        <v>44.209500464485998</v>
      </c>
      <c r="AL7093">
        <v>80.254749793380995</v>
      </c>
      <c r="AM7093">
        <v>94.4814412116489</v>
      </c>
      <c r="AN7093">
        <v>0.99999999332489597</v>
      </c>
    </row>
    <row r="7094" spans="1:40" x14ac:dyDescent="0.25">
      <c r="A7094" t="str">
        <f>"20190304154936451"</f>
        <v>20190304154936451</v>
      </c>
      <c r="B7094" t="str">
        <f>"1551685776444140"</f>
        <v>1551685776444140</v>
      </c>
      <c r="C7094" t="s">
        <v>40</v>
      </c>
      <c r="D7094">
        <v>4.3197369999999999</v>
      </c>
      <c r="E7094">
        <v>0.49934580000000001</v>
      </c>
      <c r="F7094" t="s">
        <v>102</v>
      </c>
      <c r="G7094">
        <v>-233.47</v>
      </c>
      <c r="H7094" s="1">
        <v>-1.3654709999999999E-6</v>
      </c>
      <c r="I7094">
        <v>-63.727499999999999</v>
      </c>
      <c r="J7094">
        <v>-274.97410000000002</v>
      </c>
      <c r="K7094">
        <v>1.111259</v>
      </c>
      <c r="L7094">
        <v>-62.156889999999997</v>
      </c>
      <c r="M7094">
        <v>0.99344560000000004</v>
      </c>
      <c r="N7094">
        <v>-1.4135440000000001E-2</v>
      </c>
      <c r="O7094">
        <v>-0.1134294</v>
      </c>
      <c r="P7094">
        <v>0.98730779999999996</v>
      </c>
      <c r="Q7094">
        <v>0.15489259999999999</v>
      </c>
      <c r="R7094">
        <v>-3.5094220000000002E-2</v>
      </c>
      <c r="S7094">
        <v>3.047485</v>
      </c>
      <c r="T7094">
        <v>-8.1313129999999997E-2</v>
      </c>
      <c r="U7094">
        <v>-0.1161194</v>
      </c>
      <c r="V7094">
        <v>-7.7259850000000005E-2</v>
      </c>
      <c r="W7094">
        <v>0.16874140000000001</v>
      </c>
      <c r="X7094">
        <v>0.98262769999999999</v>
      </c>
      <c r="Y7094">
        <v>-7.5478779999999995E-2</v>
      </c>
      <c r="Z7094">
        <v>2.9524099999999999E-3</v>
      </c>
      <c r="AA7094">
        <v>0.997143</v>
      </c>
      <c r="AB7094">
        <v>30</v>
      </c>
      <c r="AC7094">
        <v>41.504100000000001</v>
      </c>
      <c r="AD7094">
        <v>-1.1112603654709901</v>
      </c>
      <c r="AE7094">
        <v>-1.5706099999999901</v>
      </c>
      <c r="AF7094">
        <v>-3.1455319877277002</v>
      </c>
      <c r="AG7094">
        <v>-1.1112603654709901</v>
      </c>
      <c r="AH7094">
        <v>41.384726789162201</v>
      </c>
      <c r="AI7094">
        <v>91.533711772286097</v>
      </c>
      <c r="AJ7094">
        <v>94.346527331864195</v>
      </c>
      <c r="AK7094">
        <v>41.518970152200097</v>
      </c>
      <c r="AL7094">
        <v>80.285350252697398</v>
      </c>
      <c r="AM7094">
        <v>94.495675345309195</v>
      </c>
      <c r="AN7094">
        <v>0.99999997065163504</v>
      </c>
    </row>
    <row r="7095" spans="1:40" x14ac:dyDescent="0.25">
      <c r="A7095" t="str">
        <f>"20190304154936462"</f>
        <v>20190304154936462</v>
      </c>
      <c r="B7095" t="str">
        <f>"1551685776453900"</f>
        <v>1551685776453900</v>
      </c>
      <c r="C7095" t="s">
        <v>40</v>
      </c>
      <c r="D7095">
        <v>4.3189060000000001</v>
      </c>
      <c r="E7095">
        <v>0.4993031</v>
      </c>
      <c r="F7095" t="s">
        <v>102</v>
      </c>
      <c r="G7095">
        <v>-234.11349999999999</v>
      </c>
      <c r="H7095" s="1">
        <v>-1.6313419999999901E-6</v>
      </c>
      <c r="I7095">
        <v>-63.689190000000004</v>
      </c>
      <c r="J7095">
        <v>-274.82459999999998</v>
      </c>
      <c r="K7095">
        <v>1.1112679999999999</v>
      </c>
      <c r="L7095">
        <v>-62.173740000000002</v>
      </c>
      <c r="M7095">
        <v>0.99346920000000005</v>
      </c>
      <c r="N7095">
        <v>-1.412942E-2</v>
      </c>
      <c r="O7095">
        <v>-0.1132222</v>
      </c>
      <c r="P7095">
        <v>0.98733870000000001</v>
      </c>
      <c r="Q7095">
        <v>0.1548059</v>
      </c>
      <c r="R7095">
        <v>-3.4603879999999997E-2</v>
      </c>
      <c r="S7095">
        <v>3.0475159999999999</v>
      </c>
      <c r="T7095">
        <v>-8.2881330000000003E-2</v>
      </c>
      <c r="U7095">
        <v>-0.1142883</v>
      </c>
      <c r="V7095">
        <v>-7.7547389999999994E-2</v>
      </c>
      <c r="W7095">
        <v>0.16864789999999999</v>
      </c>
      <c r="X7095">
        <v>0.98262110000000003</v>
      </c>
      <c r="Y7095">
        <v>-7.5867210000000004E-2</v>
      </c>
      <c r="Z7095">
        <v>3.035865E-3</v>
      </c>
      <c r="AA7095">
        <v>0.99711329999999998</v>
      </c>
      <c r="AB7095">
        <v>30</v>
      </c>
      <c r="AC7095">
        <v>40.711099999999902</v>
      </c>
      <c r="AD7095">
        <v>-1.1112696313420001</v>
      </c>
      <c r="AE7095">
        <v>-1.51545</v>
      </c>
      <c r="AF7095">
        <v>-3.1018493623326502</v>
      </c>
      <c r="AG7095">
        <v>-1.1112696313420001</v>
      </c>
      <c r="AH7095">
        <v>40.590660205463799</v>
      </c>
      <c r="AI7095">
        <v>91.563665091127703</v>
      </c>
      <c r="AJ7095">
        <v>94.369924879482696</v>
      </c>
      <c r="AK7095">
        <v>40.724170778243803</v>
      </c>
      <c r="AL7095">
        <v>80.290785285392005</v>
      </c>
      <c r="AM7095">
        <v>94.512368229519495</v>
      </c>
      <c r="AN7095">
        <v>0.99999996901771504</v>
      </c>
    </row>
    <row r="7096" spans="1:40" x14ac:dyDescent="0.25">
      <c r="A7096" t="str">
        <f>"20190304154936474"</f>
        <v>20190304154936474</v>
      </c>
      <c r="B7096" t="str">
        <f>"1551685776464636"</f>
        <v>1551685776464636</v>
      </c>
      <c r="C7096" t="s">
        <v>40</v>
      </c>
      <c r="D7096">
        <v>4.315874</v>
      </c>
      <c r="E7096">
        <v>0.49924990000000002</v>
      </c>
      <c r="F7096" t="s">
        <v>102</v>
      </c>
      <c r="G7096">
        <v>-234.0291</v>
      </c>
      <c r="H7096" s="1">
        <v>-1.593074E-6</v>
      </c>
      <c r="I7096">
        <v>-63.681510000000003</v>
      </c>
      <c r="J7096">
        <v>-274.68520000000001</v>
      </c>
      <c r="K7096">
        <v>1.111273</v>
      </c>
      <c r="L7096">
        <v>-62.189450000000001</v>
      </c>
      <c r="M7096">
        <v>0.99349169999999998</v>
      </c>
      <c r="N7096">
        <v>-1.412391E-2</v>
      </c>
      <c r="O7096">
        <v>-0.11302619999999999</v>
      </c>
      <c r="P7096">
        <v>0.98735399999999995</v>
      </c>
      <c r="Q7096">
        <v>0.15486989999999901</v>
      </c>
      <c r="R7096">
        <v>-3.3874469999999997E-2</v>
      </c>
      <c r="S7096">
        <v>3.0475460000000001</v>
      </c>
      <c r="T7096">
        <v>-8.3015080000000005E-2</v>
      </c>
      <c r="U7096">
        <v>-0.1126404</v>
      </c>
      <c r="V7096">
        <v>-7.8081239999999996E-2</v>
      </c>
      <c r="W7096">
        <v>0.16870379999999999</v>
      </c>
      <c r="X7096">
        <v>0.98256929999999998</v>
      </c>
      <c r="Y7096">
        <v>-7.6208960000000006E-2</v>
      </c>
      <c r="Z7096">
        <v>3.0474600000000001E-3</v>
      </c>
      <c r="AA7096">
        <v>0.99708719999999995</v>
      </c>
      <c r="AB7096">
        <v>30</v>
      </c>
      <c r="AC7096">
        <v>40.656100000000002</v>
      </c>
      <c r="AD7096">
        <v>-1.111274593074</v>
      </c>
      <c r="AE7096">
        <v>-1.4920599999999899</v>
      </c>
      <c r="AF7096">
        <v>-3.1108444844509902</v>
      </c>
      <c r="AG7096">
        <v>-1.111274593074</v>
      </c>
      <c r="AH7096">
        <v>40.533939555218097</v>
      </c>
      <c r="AI7096">
        <v>91.565819900452993</v>
      </c>
      <c r="AJ7096">
        <v>94.388656742670307</v>
      </c>
      <c r="AK7096">
        <v>40.668323551552099</v>
      </c>
      <c r="AL7096">
        <v>80.287536595873803</v>
      </c>
      <c r="AM7096">
        <v>94.543541078282701</v>
      </c>
      <c r="AN7096">
        <v>1.00000004073843</v>
      </c>
    </row>
    <row r="7097" spans="1:40" x14ac:dyDescent="0.25">
      <c r="A7097" t="str">
        <f>"20190304154936484"</f>
        <v>20190304154936484</v>
      </c>
      <c r="B7097" t="str">
        <f>"1551685776474396"</f>
        <v>1551685776474396</v>
      </c>
      <c r="C7097" t="s">
        <v>40</v>
      </c>
      <c r="D7097">
        <v>4.3006460000000004</v>
      </c>
      <c r="E7097">
        <v>0.49925259999999999</v>
      </c>
      <c r="F7097" t="s">
        <v>102</v>
      </c>
      <c r="G7097">
        <v>-233.8048</v>
      </c>
      <c r="H7097" s="1">
        <v>-1.4923929999999999E-6</v>
      </c>
      <c r="I7097">
        <v>-63.664700000000003</v>
      </c>
      <c r="J7097">
        <v>-274.5446</v>
      </c>
      <c r="K7097">
        <v>1.1112820000000001</v>
      </c>
      <c r="L7097">
        <v>-62.20523</v>
      </c>
      <c r="M7097">
        <v>0.99351529999999999</v>
      </c>
      <c r="N7097">
        <v>-1.4118739999999999E-2</v>
      </c>
      <c r="O7097">
        <v>-0.11281819999999999</v>
      </c>
      <c r="P7097">
        <v>0.98741299999999999</v>
      </c>
      <c r="Q7097">
        <v>0.15468270000000001</v>
      </c>
      <c r="R7097">
        <v>-3.3000950000000001E-2</v>
      </c>
      <c r="S7097">
        <v>3.0476679999999998</v>
      </c>
      <c r="T7097">
        <v>-8.2846400000000001E-2</v>
      </c>
      <c r="U7097">
        <v>-0.1099854</v>
      </c>
      <c r="V7097">
        <v>-7.8752929999999999E-2</v>
      </c>
      <c r="W7097">
        <v>0.16850970000000001</v>
      </c>
      <c r="X7097">
        <v>0.98254900000000001</v>
      </c>
      <c r="Y7097">
        <v>-7.686896E-2</v>
      </c>
      <c r="Z7097">
        <v>3.0503890000000001E-3</v>
      </c>
      <c r="AA7097">
        <v>0.99703649999999999</v>
      </c>
      <c r="AB7097">
        <v>30</v>
      </c>
      <c r="AC7097">
        <v>40.739800000000002</v>
      </c>
      <c r="AD7097">
        <v>-1.1112834923929999</v>
      </c>
      <c r="AE7097">
        <v>-1.4594699999999901</v>
      </c>
      <c r="AF7097">
        <v>-3.1441623864802</v>
      </c>
      <c r="AG7097">
        <v>-1.1112834923929999</v>
      </c>
      <c r="AH7097">
        <v>40.614140985708701</v>
      </c>
      <c r="AI7097">
        <v>91.562661848165504</v>
      </c>
      <c r="AJ7097">
        <v>94.426749790523104</v>
      </c>
      <c r="AK7097">
        <v>40.750817858296301</v>
      </c>
      <c r="AL7097">
        <v>80.298819229894093</v>
      </c>
      <c r="AM7097">
        <v>94.582555178746702</v>
      </c>
      <c r="AN7097">
        <v>1.0000000401893301</v>
      </c>
    </row>
    <row r="7098" spans="1:40" x14ac:dyDescent="0.25">
      <c r="A7098" t="str">
        <f>"20190304154936495"</f>
        <v>20190304154936495</v>
      </c>
      <c r="B7098" t="str">
        <f>"1551685776484156"</f>
        <v>1551685776484156</v>
      </c>
      <c r="C7098" t="s">
        <v>40</v>
      </c>
      <c r="D7098">
        <v>4.2889989999999996</v>
      </c>
      <c r="E7098">
        <v>0.49920619999999999</v>
      </c>
      <c r="F7098" t="s">
        <v>102</v>
      </c>
      <c r="G7098">
        <v>-233.8828</v>
      </c>
      <c r="H7098" s="1">
        <v>-1.518539E-6</v>
      </c>
      <c r="I7098">
        <v>-63.637140000000002</v>
      </c>
      <c r="J7098">
        <v>-274.40100000000001</v>
      </c>
      <c r="K7098">
        <v>1.111294</v>
      </c>
      <c r="L7098">
        <v>-62.221310000000003</v>
      </c>
      <c r="M7098">
        <v>0.99354019999999998</v>
      </c>
      <c r="N7098">
        <v>-1.411364E-2</v>
      </c>
      <c r="O7098">
        <v>-0.11260100000000001</v>
      </c>
      <c r="P7098">
        <v>0.98741480000000004</v>
      </c>
      <c r="Q7098">
        <v>0.15476189999999901</v>
      </c>
      <c r="R7098">
        <v>-3.2576790000000001E-2</v>
      </c>
      <c r="S7098">
        <v>3.0476990000000002</v>
      </c>
      <c r="T7098">
        <v>-8.3293439999999996E-2</v>
      </c>
      <c r="U7098">
        <v>-0.1073303</v>
      </c>
      <c r="V7098">
        <v>-7.8962779999999996E-2</v>
      </c>
      <c r="W7098">
        <v>0.1685816</v>
      </c>
      <c r="X7098">
        <v>0.98251980000000005</v>
      </c>
      <c r="Y7098">
        <v>-7.7517799999999998E-2</v>
      </c>
      <c r="Z7098">
        <v>3.0835789999999999E-3</v>
      </c>
      <c r="AA7098">
        <v>0.99698620000000004</v>
      </c>
      <c r="AB7098">
        <v>30</v>
      </c>
      <c r="AC7098">
        <v>40.5182</v>
      </c>
      <c r="AD7098">
        <v>-1.1112955185390001</v>
      </c>
      <c r="AE7098">
        <v>-1.4158299999999999</v>
      </c>
      <c r="AF7098">
        <v>-3.1536502542079399</v>
      </c>
      <c r="AG7098">
        <v>-1.1112955185390001</v>
      </c>
      <c r="AH7098">
        <v>40.389558319863497</v>
      </c>
      <c r="AI7098">
        <v>91.571282789366293</v>
      </c>
      <c r="AJ7098">
        <v>94.464643675312104</v>
      </c>
      <c r="AK7098">
        <v>40.527730123078001</v>
      </c>
      <c r="AL7098">
        <v>80.294639645159293</v>
      </c>
      <c r="AM7098">
        <v>94.594849895432802</v>
      </c>
      <c r="AN7098">
        <v>1.0000000169379599</v>
      </c>
    </row>
    <row r="7099" spans="1:40" x14ac:dyDescent="0.25">
      <c r="A7099" t="str">
        <f>"20190304154936506"</f>
        <v>20190304154936506</v>
      </c>
      <c r="B7099" t="str">
        <f>"1551685776504652"</f>
        <v>1551685776504652</v>
      </c>
      <c r="C7099" t="s">
        <v>40</v>
      </c>
      <c r="D7099">
        <v>4.291194</v>
      </c>
      <c r="E7099">
        <v>0.49918590000000002</v>
      </c>
      <c r="F7099" t="s">
        <v>102</v>
      </c>
      <c r="G7099">
        <v>-233.6448</v>
      </c>
      <c r="H7099" s="1">
        <v>-1.4149809999999999E-6</v>
      </c>
      <c r="I7099">
        <v>-63.631639999999997</v>
      </c>
      <c r="J7099">
        <v>-274.2527</v>
      </c>
      <c r="K7099">
        <v>1.111305</v>
      </c>
      <c r="L7099">
        <v>-62.237850000000002</v>
      </c>
      <c r="M7099">
        <v>0.99356659999999997</v>
      </c>
      <c r="N7099">
        <v>-1.410869E-2</v>
      </c>
      <c r="O7099">
        <v>-0.1123676</v>
      </c>
      <c r="P7099">
        <v>0.98735890000000004</v>
      </c>
      <c r="Q7099">
        <v>0.1552644</v>
      </c>
      <c r="R7099">
        <v>-3.18699E-2</v>
      </c>
      <c r="S7099">
        <v>3.0477289999999999</v>
      </c>
      <c r="T7099">
        <v>-8.3102110000000007E-2</v>
      </c>
      <c r="U7099">
        <v>-0.1054688</v>
      </c>
      <c r="V7099">
        <v>-7.9432420000000004E-2</v>
      </c>
      <c r="W7099">
        <v>0.16907510000000001</v>
      </c>
      <c r="X7099">
        <v>0.98239710000000002</v>
      </c>
      <c r="Y7099">
        <v>-7.7892279999999994E-2</v>
      </c>
      <c r="Z7099">
        <v>3.0792179999999999E-3</v>
      </c>
      <c r="AA7099">
        <v>0.99695699999999998</v>
      </c>
      <c r="AB7099">
        <v>30</v>
      </c>
      <c r="AC7099">
        <v>40.607900000000001</v>
      </c>
      <c r="AD7099">
        <v>-1.1113064149809999</v>
      </c>
      <c r="AE7099">
        <v>-1.3937900000000001</v>
      </c>
      <c r="AF7099">
        <v>-3.1761293156473598</v>
      </c>
      <c r="AG7099">
        <v>-1.1113064149809999</v>
      </c>
      <c r="AH7099">
        <v>40.477020152745297</v>
      </c>
      <c r="AI7099">
        <v>91.567857521680295</v>
      </c>
      <c r="AJ7099">
        <v>94.486661521687594</v>
      </c>
      <c r="AK7099">
        <v>40.616646338951199</v>
      </c>
      <c r="AL7099">
        <v>80.265952027202701</v>
      </c>
      <c r="AM7099">
        <v>94.622635007088505</v>
      </c>
      <c r="AN7099">
        <v>0.99999998043773797</v>
      </c>
    </row>
    <row r="7100" spans="1:40" x14ac:dyDescent="0.25">
      <c r="A7100" t="str">
        <f>"20190304154936518"</f>
        <v>20190304154936518</v>
      </c>
      <c r="B7100" t="str">
        <f>"1551685776514411"</f>
        <v>1551685776514411</v>
      </c>
      <c r="C7100" t="s">
        <v>40</v>
      </c>
      <c r="D7100">
        <v>4.2922560000000001</v>
      </c>
      <c r="E7100">
        <v>0.49917679999999998</v>
      </c>
      <c r="F7100" t="s">
        <v>102</v>
      </c>
      <c r="G7100">
        <v>-232.6728</v>
      </c>
      <c r="H7100" s="1">
        <v>-1.0012109999999999E-6</v>
      </c>
      <c r="I7100">
        <v>-63.643729999999998</v>
      </c>
      <c r="J7100">
        <v>-274.10910000000001</v>
      </c>
      <c r="K7100">
        <v>1.111318</v>
      </c>
      <c r="L7100">
        <v>-62.253880000000002</v>
      </c>
      <c r="M7100">
        <v>0.99359299999999995</v>
      </c>
      <c r="N7100">
        <v>-1.4104179999999999E-2</v>
      </c>
      <c r="O7100">
        <v>-0.1121346</v>
      </c>
      <c r="P7100">
        <v>0.98731259999999998</v>
      </c>
      <c r="Q7100">
        <v>0.1556507</v>
      </c>
      <c r="R7100">
        <v>-3.1418790000000002E-2</v>
      </c>
      <c r="S7100">
        <v>3.047882</v>
      </c>
      <c r="T7100">
        <v>-8.1460710000000006E-2</v>
      </c>
      <c r="U7100">
        <v>-0.10305789999999999</v>
      </c>
      <c r="V7100">
        <v>-7.9648750000000004E-2</v>
      </c>
      <c r="W7100">
        <v>0.169453399999999</v>
      </c>
      <c r="X7100">
        <v>0.98231440000000003</v>
      </c>
      <c r="Y7100">
        <v>-7.8449790000000005E-2</v>
      </c>
      <c r="Z7100">
        <v>3.0066089999999999E-3</v>
      </c>
      <c r="AA7100">
        <v>0.99691359999999996</v>
      </c>
      <c r="AB7100">
        <v>30</v>
      </c>
      <c r="AC7100">
        <v>41.436300000000003</v>
      </c>
      <c r="AD7100">
        <v>-1.1113190012109999</v>
      </c>
      <c r="AE7100">
        <v>-1.38985</v>
      </c>
      <c r="AF7100">
        <v>-3.2634774931853299</v>
      </c>
      <c r="AG7100">
        <v>-1.1113190012109999</v>
      </c>
      <c r="AH7100">
        <v>41.301101136419398</v>
      </c>
      <c r="AI7100">
        <v>91.536540586994803</v>
      </c>
      <c r="AJ7100">
        <v>94.517937306460098</v>
      </c>
      <c r="AK7100">
        <v>41.444737547144904</v>
      </c>
      <c r="AL7100">
        <v>80.243959688206004</v>
      </c>
      <c r="AM7100">
        <v>94.635558255366902</v>
      </c>
      <c r="AN7100">
        <v>0.99999997929774098</v>
      </c>
    </row>
    <row r="7101" spans="1:40" x14ac:dyDescent="0.25">
      <c r="A7101" t="str">
        <f>"20190304154936530"</f>
        <v>20190304154936530</v>
      </c>
      <c r="B7101" t="str">
        <f>"1551685776524172"</f>
        <v>1551685776524172</v>
      </c>
      <c r="C7101" t="s">
        <v>40</v>
      </c>
      <c r="D7101">
        <v>4.3022640000000001</v>
      </c>
      <c r="E7101">
        <v>0.49919019999999997</v>
      </c>
      <c r="F7101" t="s">
        <v>102</v>
      </c>
      <c r="G7101">
        <v>-231.8974</v>
      </c>
      <c r="H7101" s="1">
        <v>-6.7254469999999996E-7</v>
      </c>
      <c r="I7101">
        <v>-63.658670000000001</v>
      </c>
      <c r="J7101">
        <v>-273.95569999999998</v>
      </c>
      <c r="K7101">
        <v>1.1113280000000001</v>
      </c>
      <c r="L7101">
        <v>-62.270940000000003</v>
      </c>
      <c r="M7101">
        <v>0.99362169999999905</v>
      </c>
      <c r="N7101">
        <v>-1.409959E-2</v>
      </c>
      <c r="O7101">
        <v>-0.1118804</v>
      </c>
      <c r="P7101">
        <v>0.98725940000000001</v>
      </c>
      <c r="Q7101">
        <v>0.15611240000000001</v>
      </c>
      <c r="R7101">
        <v>-3.0788309999999999E-2</v>
      </c>
      <c r="S7101">
        <v>3.047974</v>
      </c>
      <c r="T7101">
        <v>-8.0244780000000002E-2</v>
      </c>
      <c r="U7101">
        <v>-0.1014404</v>
      </c>
      <c r="V7101">
        <v>-8.0021809999999999E-2</v>
      </c>
      <c r="W7101">
        <v>0.1699069</v>
      </c>
      <c r="X7101">
        <v>0.98220569999999896</v>
      </c>
      <c r="Y7101">
        <v>-7.8725630000000005E-2</v>
      </c>
      <c r="Z7101">
        <v>2.9491500000000002E-3</v>
      </c>
      <c r="AA7101">
        <v>0.996892</v>
      </c>
      <c r="AB7101">
        <v>29</v>
      </c>
      <c r="AC7101">
        <v>42.058299999999903</v>
      </c>
      <c r="AD7101">
        <v>-1.11132867254469</v>
      </c>
      <c r="AE7101">
        <v>-1.3877299999999899</v>
      </c>
      <c r="AF7101">
        <v>-3.3246325801119498</v>
      </c>
      <c r="AG7101">
        <v>-1.11132867254469</v>
      </c>
      <c r="AH7101">
        <v>41.920230087014502</v>
      </c>
      <c r="AI7101">
        <v>91.513836155173806</v>
      </c>
      <c r="AJ7101">
        <v>94.534553759260604</v>
      </c>
      <c r="AK7101">
        <v>42.066541618718702</v>
      </c>
      <c r="AL7101">
        <v>80.217593344417395</v>
      </c>
      <c r="AM7101">
        <v>94.657688204540705</v>
      </c>
      <c r="AN7101">
        <v>0.99999994092788602</v>
      </c>
    </row>
    <row r="7102" spans="1:40" x14ac:dyDescent="0.25">
      <c r="A7102" t="str">
        <f>"20190304154936541"</f>
        <v>20190304154936541</v>
      </c>
      <c r="B7102" t="str">
        <f>"1551685776533932"</f>
        <v>1551685776533932</v>
      </c>
      <c r="C7102" t="s">
        <v>40</v>
      </c>
      <c r="D7102">
        <v>4.3113599999999996</v>
      </c>
      <c r="E7102">
        <v>0.4992161</v>
      </c>
      <c r="F7102" t="s">
        <v>102</v>
      </c>
      <c r="G7102">
        <v>-230.8914</v>
      </c>
      <c r="H7102" s="1">
        <v>-2.4603759999999997E-7</v>
      </c>
      <c r="I7102">
        <v>-63.677770000000002</v>
      </c>
      <c r="J7102">
        <v>-273.80970000000002</v>
      </c>
      <c r="K7102">
        <v>1.1113379999999999</v>
      </c>
      <c r="L7102">
        <v>-62.287109999999998</v>
      </c>
      <c r="M7102">
        <v>0.99365000000000003</v>
      </c>
      <c r="N7102">
        <v>-1.4095450000000001E-2</v>
      </c>
      <c r="O7102">
        <v>-0.1116299</v>
      </c>
      <c r="P7102">
        <v>0.98717829999999995</v>
      </c>
      <c r="Q7102">
        <v>0.1567442</v>
      </c>
      <c r="R7102">
        <v>-3.017657E-2</v>
      </c>
      <c r="S7102">
        <v>3.048035</v>
      </c>
      <c r="T7102">
        <v>-7.8658339999999993E-2</v>
      </c>
      <c r="U7102">
        <v>-9.9578860000000005E-2</v>
      </c>
      <c r="V7102">
        <v>-8.0376450000000002E-2</v>
      </c>
      <c r="W7102">
        <v>0.17053090000000001</v>
      </c>
      <c r="X7102">
        <v>0.98206870000000002</v>
      </c>
      <c r="Y7102">
        <v>-7.9085039999999995E-2</v>
      </c>
      <c r="Z7102">
        <v>2.8751710000000002E-3</v>
      </c>
      <c r="AA7102">
        <v>0.99686370000000002</v>
      </c>
      <c r="AB7102">
        <v>29</v>
      </c>
      <c r="AC7102">
        <v>42.918300000000002</v>
      </c>
      <c r="AD7102">
        <v>-1.1113382460376</v>
      </c>
      <c r="AE7102">
        <v>-1.39065999999999</v>
      </c>
      <c r="AF7102">
        <v>-3.4071923657744501</v>
      </c>
      <c r="AG7102">
        <v>-1.1113382460376</v>
      </c>
      <c r="AH7102">
        <v>42.776603236960199</v>
      </c>
      <c r="AI7102">
        <v>91.483516034215199</v>
      </c>
      <c r="AJ7102">
        <v>94.554042515739397</v>
      </c>
      <c r="AK7102">
        <v>42.926469887550901</v>
      </c>
      <c r="AL7102">
        <v>80.181312332050098</v>
      </c>
      <c r="AM7102">
        <v>94.678888411433405</v>
      </c>
      <c r="AN7102">
        <v>1.00000004654455</v>
      </c>
    </row>
    <row r="7103" spans="1:40" x14ac:dyDescent="0.25">
      <c r="A7103" t="str">
        <f>"20190304154936552"</f>
        <v>20190304154936552</v>
      </c>
      <c r="B7103" t="str">
        <f>"1551685776544667"</f>
        <v>1551685776544667</v>
      </c>
      <c r="C7103" t="s">
        <v>40</v>
      </c>
      <c r="D7103">
        <v>4.3155679999999998</v>
      </c>
      <c r="E7103">
        <v>0.49923529999999999</v>
      </c>
      <c r="F7103" t="s">
        <v>103</v>
      </c>
      <c r="G7103">
        <v>-229.6113</v>
      </c>
      <c r="H7103" s="1">
        <v>-3.7233579999999999E-6</v>
      </c>
      <c r="I7103">
        <v>-63.704459999999997</v>
      </c>
      <c r="J7103">
        <v>-273.6651</v>
      </c>
      <c r="K7103">
        <v>1.111348</v>
      </c>
      <c r="L7103">
        <v>-62.303100000000001</v>
      </c>
      <c r="M7103">
        <v>0.99367819999999996</v>
      </c>
      <c r="N7103">
        <v>-1.4091390000000001E-2</v>
      </c>
      <c r="O7103">
        <v>-0.1113796</v>
      </c>
      <c r="P7103">
        <v>0.98712160000000004</v>
      </c>
      <c r="Q7103">
        <v>0.15725939999999999</v>
      </c>
      <c r="R7103">
        <v>-2.9341030000000001E-2</v>
      </c>
      <c r="S7103">
        <v>3.0481569999999998</v>
      </c>
      <c r="T7103">
        <v>-7.6643939999999994E-2</v>
      </c>
      <c r="U7103">
        <v>-9.7747799999999996E-2</v>
      </c>
      <c r="V7103">
        <v>-8.0956910000000007E-2</v>
      </c>
      <c r="W7103">
        <v>0.17103779999999999</v>
      </c>
      <c r="X7103">
        <v>0.98193280000000005</v>
      </c>
      <c r="Y7103">
        <v>-7.9435710000000007E-2</v>
      </c>
      <c r="Z7103">
        <v>2.779835E-3</v>
      </c>
      <c r="AA7103">
        <v>0.9968361</v>
      </c>
      <c r="AB7103">
        <v>29</v>
      </c>
      <c r="AC7103">
        <v>44.053800000000003</v>
      </c>
      <c r="AD7103">
        <v>-1.1113517233579999</v>
      </c>
      <c r="AE7103">
        <v>-1.4013599999999899</v>
      </c>
      <c r="AF7103">
        <v>-3.5123090773589598</v>
      </c>
      <c r="AG7103">
        <v>-1.1113517233579999</v>
      </c>
      <c r="AH7103">
        <v>43.907823194061002</v>
      </c>
      <c r="AI7103">
        <v>91.445290206372505</v>
      </c>
      <c r="AJ7103">
        <v>94.5735105212364</v>
      </c>
      <c r="AK7103">
        <v>44.062096583671902</v>
      </c>
      <c r="AL7103">
        <v>80.151835457503395</v>
      </c>
      <c r="AM7103">
        <v>94.7131758891434</v>
      </c>
      <c r="AN7103">
        <v>0.99999998701071402</v>
      </c>
    </row>
    <row r="7104" spans="1:40" x14ac:dyDescent="0.25">
      <c r="A7104" t="str">
        <f>"20190304154936562"</f>
        <v>20190304154936562</v>
      </c>
      <c r="B7104" t="str">
        <f>"1551685776554428"</f>
        <v>1551685776554428</v>
      </c>
      <c r="C7104" t="s">
        <v>40</v>
      </c>
      <c r="D7104">
        <v>4.2867879999999996</v>
      </c>
      <c r="E7104">
        <v>0.49924639999999998</v>
      </c>
      <c r="F7104" t="s">
        <v>103</v>
      </c>
      <c r="G7104">
        <v>-228.4443</v>
      </c>
      <c r="H7104" s="1">
        <v>-3.3281029999999998E-6</v>
      </c>
      <c r="I7104">
        <v>-63.718330000000002</v>
      </c>
      <c r="J7104">
        <v>-273.52010000000001</v>
      </c>
      <c r="K7104">
        <v>1.1113550000000001</v>
      </c>
      <c r="L7104">
        <v>-62.31906</v>
      </c>
      <c r="M7104">
        <v>0.99370709999999995</v>
      </c>
      <c r="N7104">
        <v>-1.408766E-2</v>
      </c>
      <c r="O7104">
        <v>-0.111121</v>
      </c>
      <c r="P7104">
        <v>0.98713479999999998</v>
      </c>
      <c r="Q7104">
        <v>0.15732109999999999</v>
      </c>
      <c r="R7104">
        <v>-2.855307E-2</v>
      </c>
      <c r="S7104">
        <v>3.0482480000000001</v>
      </c>
      <c r="T7104">
        <v>-7.4914220000000004E-2</v>
      </c>
      <c r="U7104">
        <v>-9.5397949999999995E-2</v>
      </c>
      <c r="V7104">
        <v>-8.1487989999999996E-2</v>
      </c>
      <c r="W7104">
        <v>0.17109369999999999</v>
      </c>
      <c r="X7104">
        <v>0.9818791</v>
      </c>
      <c r="Y7104">
        <v>-7.9946859999999995E-2</v>
      </c>
      <c r="Z7104">
        <v>2.7017159999999998E-3</v>
      </c>
      <c r="AA7104">
        <v>0.99679549999999995</v>
      </c>
      <c r="AB7104">
        <v>29</v>
      </c>
      <c r="AC7104">
        <v>45.075800000000001</v>
      </c>
      <c r="AD7104">
        <v>-1.1113583281029999</v>
      </c>
      <c r="AE7104">
        <v>-1.39927</v>
      </c>
      <c r="AF7104">
        <v>-3.6165659580354199</v>
      </c>
      <c r="AG7104">
        <v>-1.1113583281029999</v>
      </c>
      <c r="AH7104">
        <v>44.924805693685698</v>
      </c>
      <c r="AI7104">
        <v>91.412536937528998</v>
      </c>
      <c r="AJ7104">
        <v>94.602536753670094</v>
      </c>
      <c r="AK7104">
        <v>45.083842263916203</v>
      </c>
      <c r="AL7104">
        <v>80.148584406022493</v>
      </c>
      <c r="AM7104">
        <v>94.744212089021005</v>
      </c>
      <c r="AN7104">
        <v>0.99999995685536902</v>
      </c>
    </row>
    <row r="7105" spans="1:40" x14ac:dyDescent="0.25">
      <c r="A7105" t="str">
        <f>"20190304154936573"</f>
        <v>20190304154936573</v>
      </c>
      <c r="B7105" t="str">
        <f>"1551685776564188"</f>
        <v>1551685776564188</v>
      </c>
      <c r="C7105" t="s">
        <v>40</v>
      </c>
      <c r="D7105">
        <v>4.3030599999999897</v>
      </c>
      <c r="E7105">
        <v>0.49927640000000001</v>
      </c>
      <c r="F7105" t="s">
        <v>103</v>
      </c>
      <c r="G7105">
        <v>-228.20310000000001</v>
      </c>
      <c r="H7105" s="1">
        <v>-3.2436449999999999E-6</v>
      </c>
      <c r="I7105">
        <v>-63.700499999999998</v>
      </c>
      <c r="J7105">
        <v>-273.37689999999998</v>
      </c>
      <c r="K7105">
        <v>1.111362</v>
      </c>
      <c r="L7105">
        <v>-62.334809999999997</v>
      </c>
      <c r="M7105">
        <v>0.9937357</v>
      </c>
      <c r="N7105">
        <v>-1.4084030000000001E-2</v>
      </c>
      <c r="O7105">
        <v>-0.1108649</v>
      </c>
      <c r="P7105">
        <v>0.98711850000000001</v>
      </c>
      <c r="Q7105">
        <v>0.1575453</v>
      </c>
      <c r="R7105">
        <v>-2.7863909999999999E-2</v>
      </c>
      <c r="S7105">
        <v>3.04834</v>
      </c>
      <c r="T7105">
        <v>-7.475793E-2</v>
      </c>
      <c r="U7105">
        <v>-9.2926030000000007E-2</v>
      </c>
      <c r="V7105">
        <v>-8.1919790000000006E-2</v>
      </c>
      <c r="W7105">
        <v>0.17131170000000001</v>
      </c>
      <c r="X7105">
        <v>0.98180520000000004</v>
      </c>
      <c r="Y7105">
        <v>-8.0498319999999998E-2</v>
      </c>
      <c r="Z7105">
        <v>2.7022280000000001E-3</v>
      </c>
      <c r="AA7105">
        <v>0.9967511</v>
      </c>
      <c r="AB7105">
        <v>29</v>
      </c>
      <c r="AC7105">
        <v>45.1737999999999</v>
      </c>
      <c r="AD7105">
        <v>-1.1113652436449999</v>
      </c>
      <c r="AE7105">
        <v>-1.3656900000000001</v>
      </c>
      <c r="AF7105">
        <v>-3.6492093312198901</v>
      </c>
      <c r="AG7105">
        <v>-1.1113652436449999</v>
      </c>
      <c r="AH7105">
        <v>45.019468681130903</v>
      </c>
      <c r="AI7105">
        <v>91.409513893820005</v>
      </c>
      <c r="AJ7105">
        <v>94.634176467135006</v>
      </c>
      <c r="AK7105">
        <v>45.180797046745099</v>
      </c>
      <c r="AL7105">
        <v>80.135907186710995</v>
      </c>
      <c r="AM7105">
        <v>94.769593050256006</v>
      </c>
      <c r="AN7105">
        <v>1.0000000006487799</v>
      </c>
    </row>
    <row r="7106" spans="1:40" x14ac:dyDescent="0.25">
      <c r="A7106" t="str">
        <f>"20190304154936583"</f>
        <v>20190304154936583</v>
      </c>
      <c r="B7106" t="str">
        <f>"1551685776573948"</f>
        <v>1551685776573948</v>
      </c>
      <c r="C7106" t="s">
        <v>40</v>
      </c>
      <c r="D7106">
        <v>4.3255629999999998</v>
      </c>
      <c r="E7106">
        <v>0.49932759999999998</v>
      </c>
      <c r="F7106" t="s">
        <v>103</v>
      </c>
      <c r="G7106">
        <v>-227.55600000000001</v>
      </c>
      <c r="H7106" s="1">
        <v>-3.0234639999999998E-6</v>
      </c>
      <c r="I7106">
        <v>-63.700870000000002</v>
      </c>
      <c r="J7106">
        <v>-273.24169999999998</v>
      </c>
      <c r="K7106">
        <v>1.111367</v>
      </c>
      <c r="L7106">
        <v>-62.349640000000001</v>
      </c>
      <c r="M7106">
        <v>0.99376310000000001</v>
      </c>
      <c r="N7106">
        <v>-1.4080789999999999E-2</v>
      </c>
      <c r="O7106">
        <v>-0.1106191</v>
      </c>
      <c r="P7106">
        <v>0.98712100000000003</v>
      </c>
      <c r="Q7106">
        <v>0.157689</v>
      </c>
      <c r="R7106">
        <v>-2.6947740000000001E-2</v>
      </c>
      <c r="S7106">
        <v>3.0483699999999998</v>
      </c>
      <c r="T7106">
        <v>-7.393682E-2</v>
      </c>
      <c r="U7106">
        <v>-9.088135E-2</v>
      </c>
      <c r="V7106">
        <v>-8.2588629999999996E-2</v>
      </c>
      <c r="W7106">
        <v>0.17144980000000001</v>
      </c>
      <c r="X7106">
        <v>0.98172499999999996</v>
      </c>
      <c r="Y7106">
        <v>-8.0920850000000002E-2</v>
      </c>
      <c r="Z7106">
        <v>2.667502E-3</v>
      </c>
      <c r="AA7106">
        <v>0.99671699999999996</v>
      </c>
      <c r="AB7106">
        <v>29</v>
      </c>
      <c r="AC7106">
        <v>45.685699999999997</v>
      </c>
      <c r="AD7106">
        <v>-1.1113700234639901</v>
      </c>
      <c r="AE7106">
        <v>-1.3512299999999899</v>
      </c>
      <c r="AF7106">
        <v>-3.70908349851348</v>
      </c>
      <c r="AG7106">
        <v>-1.1113700234639901</v>
      </c>
      <c r="AH7106">
        <v>45.527833344945797</v>
      </c>
      <c r="AI7106">
        <v>91.393741354057596</v>
      </c>
      <c r="AJ7106">
        <v>94.657514239804698</v>
      </c>
      <c r="AK7106">
        <v>45.692188093952801</v>
      </c>
      <c r="AL7106">
        <v>80.127875266229793</v>
      </c>
      <c r="AM7106">
        <v>94.808743852605502</v>
      </c>
      <c r="AN7106">
        <v>0.99999994567515604</v>
      </c>
    </row>
    <row r="7107" spans="1:40" x14ac:dyDescent="0.25">
      <c r="A7107" t="str">
        <f>"20190304154936596"</f>
        <v>20190304154936596</v>
      </c>
      <c r="B7107" t="str">
        <f>"1551685776584684"</f>
        <v>1551685776584684</v>
      </c>
      <c r="C7107" t="s">
        <v>40</v>
      </c>
      <c r="D7107">
        <v>4.3252899999999999</v>
      </c>
      <c r="E7107">
        <v>0.4993998</v>
      </c>
      <c r="F7107" t="s">
        <v>103</v>
      </c>
      <c r="G7107">
        <v>-226.99430000000001</v>
      </c>
      <c r="H7107" s="1">
        <v>-2.83106E-6</v>
      </c>
      <c r="I7107">
        <v>-63.69135</v>
      </c>
      <c r="J7107">
        <v>-273.0926</v>
      </c>
      <c r="K7107">
        <v>1.111372</v>
      </c>
      <c r="L7107">
        <v>-62.365969999999997</v>
      </c>
      <c r="M7107">
        <v>0.99379360000000005</v>
      </c>
      <c r="N7107">
        <v>-1.4077370000000001E-2</v>
      </c>
      <c r="O7107">
        <v>-0.110347</v>
      </c>
      <c r="P7107">
        <v>0.98713300000000004</v>
      </c>
      <c r="Q7107">
        <v>0.1578137</v>
      </c>
      <c r="R7107">
        <v>-2.5758799999999998E-2</v>
      </c>
      <c r="S7107">
        <v>3.0484309999999999</v>
      </c>
      <c r="T7107">
        <v>-7.3256849999999998E-2</v>
      </c>
      <c r="U7107">
        <v>-8.8439939999999995E-2</v>
      </c>
      <c r="V7107">
        <v>-8.3503899999999895E-2</v>
      </c>
      <c r="W7107">
        <v>0.1715682</v>
      </c>
      <c r="X7107">
        <v>0.98162689999999997</v>
      </c>
      <c r="Y7107">
        <v>-8.1446630000000006E-2</v>
      </c>
      <c r="Z7107">
        <v>2.6414670000000002E-3</v>
      </c>
      <c r="AA7107">
        <v>0.99667419999999995</v>
      </c>
      <c r="AB7107">
        <v>29</v>
      </c>
      <c r="AC7107">
        <v>46.098300000000002</v>
      </c>
      <c r="AD7107">
        <v>-1.11137483106</v>
      </c>
      <c r="AE7107">
        <v>-1.32538</v>
      </c>
      <c r="AF7107">
        <v>-3.76783967165695</v>
      </c>
      <c r="AG7107">
        <v>-1.11137483106</v>
      </c>
      <c r="AH7107">
        <v>45.9363159331566</v>
      </c>
      <c r="AI7107">
        <v>91.381296303024001</v>
      </c>
      <c r="AJ7107">
        <v>94.689081325939298</v>
      </c>
      <c r="AK7107">
        <v>46.103979126721804</v>
      </c>
      <c r="AL7107">
        <v>80.120989554605302</v>
      </c>
      <c r="AM7107">
        <v>94.862265167024802</v>
      </c>
      <c r="AN7107">
        <v>0.99999995968502897</v>
      </c>
    </row>
    <row r="7108" spans="1:40" x14ac:dyDescent="0.25">
      <c r="A7108" t="str">
        <f>"20190304154936607"</f>
        <v>20190304154936607</v>
      </c>
      <c r="B7108" t="str">
        <f>"1551685776604204"</f>
        <v>1551685776604204</v>
      </c>
      <c r="C7108" t="s">
        <v>40</v>
      </c>
      <c r="D7108">
        <v>4.3346629999999999</v>
      </c>
      <c r="E7108">
        <v>0.49950739999999999</v>
      </c>
      <c r="F7108" t="s">
        <v>103</v>
      </c>
      <c r="G7108">
        <v>-226.59899999999999</v>
      </c>
      <c r="H7108" s="1">
        <v>-2.680208E-6</v>
      </c>
      <c r="I7108">
        <v>-63.671959999999999</v>
      </c>
      <c r="J7108">
        <v>-272.94760000000002</v>
      </c>
      <c r="K7108">
        <v>1.1113740000000001</v>
      </c>
      <c r="L7108">
        <v>-62.381770000000003</v>
      </c>
      <c r="M7108">
        <v>0.99382300000000001</v>
      </c>
      <c r="N7108">
        <v>-1.407427E-2</v>
      </c>
      <c r="O7108">
        <v>-0.110080399999999</v>
      </c>
      <c r="P7108">
        <v>0.98710030000000004</v>
      </c>
      <c r="Q7108">
        <v>0.1582189</v>
      </c>
      <c r="R7108">
        <v>-2.448649E-2</v>
      </c>
      <c r="S7108">
        <v>3.0485229999999999</v>
      </c>
      <c r="T7108">
        <v>-7.2871450000000004E-2</v>
      </c>
      <c r="U7108">
        <v>-8.5632319999999998E-2</v>
      </c>
      <c r="V7108">
        <v>-8.4502380000000002E-2</v>
      </c>
      <c r="W7108">
        <v>0.17196700000000001</v>
      </c>
      <c r="X7108">
        <v>0.98147169999999895</v>
      </c>
      <c r="Y7108">
        <v>-8.2097489999999995E-2</v>
      </c>
      <c r="Z7108">
        <v>2.6323779999999999E-3</v>
      </c>
      <c r="AA7108">
        <v>0.99662079999999997</v>
      </c>
      <c r="AB7108">
        <v>29</v>
      </c>
      <c r="AC7108">
        <v>46.348599999999998</v>
      </c>
      <c r="AD7108">
        <v>-1.1113766802079901</v>
      </c>
      <c r="AE7108">
        <v>-1.2901899999999999</v>
      </c>
      <c r="AF7108">
        <v>-3.8180368617568101</v>
      </c>
      <c r="AG7108">
        <v>-1.1113766802079901</v>
      </c>
      <c r="AH7108">
        <v>46.182374535587897</v>
      </c>
      <c r="AI7108">
        <v>91.3738688952416</v>
      </c>
      <c r="AJ7108">
        <v>94.726067995523707</v>
      </c>
      <c r="AK7108">
        <v>46.353255347907997</v>
      </c>
      <c r="AL7108">
        <v>80.097795670863704</v>
      </c>
      <c r="AM7108">
        <v>94.920895137925001</v>
      </c>
      <c r="AN7108">
        <v>0.99999999960777697</v>
      </c>
    </row>
    <row r="7109" spans="1:40" x14ac:dyDescent="0.25">
      <c r="A7109" t="str">
        <f>"20190304154936618"</f>
        <v>20190304154936618</v>
      </c>
      <c r="B7109" t="str">
        <f>"1551685776613967"</f>
        <v>1551685776613967</v>
      </c>
      <c r="C7109" t="s">
        <v>40</v>
      </c>
      <c r="D7109">
        <v>4.3223960000000003</v>
      </c>
      <c r="E7109">
        <v>0.49958419999999998</v>
      </c>
      <c r="F7109" t="s">
        <v>103</v>
      </c>
      <c r="G7109">
        <v>-225.4324</v>
      </c>
      <c r="H7109" s="1">
        <v>-2.1800840000000001E-6</v>
      </c>
      <c r="I7109">
        <v>-63.673639999999999</v>
      </c>
      <c r="J7109">
        <v>-272.79700000000003</v>
      </c>
      <c r="K7109">
        <v>1.1113770000000001</v>
      </c>
      <c r="L7109">
        <v>-62.398159999999997</v>
      </c>
      <c r="M7109">
        <v>0.99385400000000002</v>
      </c>
      <c r="N7109">
        <v>-1.4069480000000001E-2</v>
      </c>
      <c r="O7109">
        <v>-0.10980189999999999</v>
      </c>
      <c r="P7109">
        <v>0.98709080000000005</v>
      </c>
      <c r="Q7109">
        <v>0.158470899999999</v>
      </c>
      <c r="R7109">
        <v>-2.3219739999999999E-2</v>
      </c>
      <c r="S7109">
        <v>3.0485530000000001</v>
      </c>
      <c r="T7109">
        <v>-7.1305389999999996E-2</v>
      </c>
      <c r="U7109">
        <v>-8.2885739999999999E-2</v>
      </c>
      <c r="V7109">
        <v>-8.5486149999999997E-2</v>
      </c>
      <c r="W7109">
        <v>0.1722109</v>
      </c>
      <c r="X7109">
        <v>0.98134370000000004</v>
      </c>
      <c r="Y7109">
        <v>-8.2717189999999996E-2</v>
      </c>
      <c r="Z7109">
        <v>2.5643189999999998E-3</v>
      </c>
      <c r="AA7109">
        <v>0.99656979999999995</v>
      </c>
      <c r="AB7109">
        <v>29</v>
      </c>
      <c r="AC7109">
        <v>47.364600000000003</v>
      </c>
      <c r="AD7109">
        <v>-1.1113791800839901</v>
      </c>
      <c r="AE7109">
        <v>-1.2754799999999999</v>
      </c>
      <c r="AF7109">
        <v>-3.9313082393065599</v>
      </c>
      <c r="AG7109">
        <v>-1.1113791800839901</v>
      </c>
      <c r="AH7109">
        <v>47.192252624062</v>
      </c>
      <c r="AI7109">
        <v>91.344413180716003</v>
      </c>
      <c r="AJ7109">
        <v>94.761978421036403</v>
      </c>
      <c r="AK7109">
        <v>47.368756115055902</v>
      </c>
      <c r="AL7109">
        <v>80.083609264623703</v>
      </c>
      <c r="AM7109">
        <v>94.978543621262503</v>
      </c>
      <c r="AN7109">
        <v>0.99999996672516001</v>
      </c>
    </row>
    <row r="7110" spans="1:40" x14ac:dyDescent="0.25">
      <c r="A7110" t="str">
        <f>"20190304154936629"</f>
        <v>20190304154936629</v>
      </c>
      <c r="B7110" t="str">
        <f>"1551685776624713"</f>
        <v>1551685776624713</v>
      </c>
      <c r="C7110" t="s">
        <v>40</v>
      </c>
      <c r="D7110">
        <v>4.3487720000000003</v>
      </c>
      <c r="E7110">
        <v>0.4996797</v>
      </c>
      <c r="F7110" t="s">
        <v>103</v>
      </c>
      <c r="G7110">
        <v>-224.67850000000001</v>
      </c>
      <c r="H7110" s="1">
        <v>-1.853896E-6</v>
      </c>
      <c r="I7110">
        <v>-63.661090000000002</v>
      </c>
      <c r="J7110">
        <v>-272.6497</v>
      </c>
      <c r="K7110">
        <v>1.1113820000000001</v>
      </c>
      <c r="L7110">
        <v>-62.414149999999999</v>
      </c>
      <c r="M7110">
        <v>0.99388430000000005</v>
      </c>
      <c r="N7110">
        <v>-1.406378E-2</v>
      </c>
      <c r="O7110">
        <v>-0.109528399999999</v>
      </c>
      <c r="P7110">
        <v>0.98714849999999998</v>
      </c>
      <c r="Q7110">
        <v>0.15831110000000001</v>
      </c>
      <c r="R7110">
        <v>-2.1812049999999999E-2</v>
      </c>
      <c r="S7110">
        <v>3.0486759999999999</v>
      </c>
      <c r="T7110">
        <v>-7.0414299999999999E-2</v>
      </c>
      <c r="U7110">
        <v>-8.0017089999999999E-2</v>
      </c>
      <c r="V7110">
        <v>-8.6621550000000005E-2</v>
      </c>
      <c r="W7110">
        <v>0.17204269999999999</v>
      </c>
      <c r="X7110">
        <v>0.98127370000000003</v>
      </c>
      <c r="Y7110">
        <v>-8.3381799999999895E-2</v>
      </c>
      <c r="Z7110">
        <v>2.530469E-3</v>
      </c>
      <c r="AA7110">
        <v>0.99651440000000002</v>
      </c>
      <c r="AB7110">
        <v>29</v>
      </c>
      <c r="AC7110">
        <v>47.971199999999897</v>
      </c>
      <c r="AD7110">
        <v>-1.1113838538959999</v>
      </c>
      <c r="AE7110">
        <v>-1.2469399999999999</v>
      </c>
      <c r="AF7110">
        <v>-4.0131387057327998</v>
      </c>
      <c r="AG7110">
        <v>-1.1113838538959999</v>
      </c>
      <c r="AH7110">
        <v>47.793485377645503</v>
      </c>
      <c r="AI7110">
        <v>91.327439189119204</v>
      </c>
      <c r="AJ7110">
        <v>94.799770970288904</v>
      </c>
      <c r="AK7110">
        <v>47.974552638720503</v>
      </c>
      <c r="AL7110">
        <v>80.093393053227999</v>
      </c>
      <c r="AM7110">
        <v>95.044686109571998</v>
      </c>
      <c r="AN7110">
        <v>1.00000002892969</v>
      </c>
    </row>
    <row r="7111" spans="1:40" x14ac:dyDescent="0.25">
      <c r="A7111" t="str">
        <f>"20190304154936641"</f>
        <v>20190304154936641</v>
      </c>
      <c r="B7111" t="str">
        <f>"1551685776634460"</f>
        <v>1551685776634460</v>
      </c>
      <c r="C7111" t="s">
        <v>40</v>
      </c>
      <c r="D7111">
        <v>4.26715</v>
      </c>
      <c r="E7111">
        <v>0.4996797</v>
      </c>
      <c r="F7111" t="s">
        <v>103</v>
      </c>
      <c r="G7111">
        <v>-224.82069999999999</v>
      </c>
      <c r="H7111" s="1">
        <v>-1.9056889999999999E-6</v>
      </c>
      <c r="I7111">
        <v>-63.619689999999999</v>
      </c>
      <c r="J7111">
        <v>-272.50790000000001</v>
      </c>
      <c r="K7111">
        <v>1.1113820000000001</v>
      </c>
      <c r="L7111">
        <v>-62.429470000000002</v>
      </c>
      <c r="M7111">
        <v>0.99391370000000001</v>
      </c>
      <c r="N7111">
        <v>-1.405673E-2</v>
      </c>
      <c r="O7111">
        <v>-0.109260999999999</v>
      </c>
      <c r="P7111">
        <v>0.98719330000000005</v>
      </c>
      <c r="Q7111">
        <v>0.1582327</v>
      </c>
      <c r="R7111">
        <v>-2.0296270000000002E-2</v>
      </c>
      <c r="S7111">
        <v>3.0487060000000001</v>
      </c>
      <c r="T7111">
        <v>-7.0841669999999995E-2</v>
      </c>
      <c r="U7111">
        <v>-7.6843259999999997E-2</v>
      </c>
      <c r="V7111">
        <v>-8.7869820000000001E-2</v>
      </c>
      <c r="W7111">
        <v>0.17195439999999901</v>
      </c>
      <c r="X7111">
        <v>0.9811782</v>
      </c>
      <c r="Y7111">
        <v>-8.4149890000000005E-2</v>
      </c>
      <c r="Z7111">
        <v>2.5640720000000001E-3</v>
      </c>
      <c r="AA7111">
        <v>0.99644980000000005</v>
      </c>
      <c r="AB7111">
        <v>29</v>
      </c>
      <c r="AC7111">
        <v>47.687199999999997</v>
      </c>
      <c r="AD7111">
        <v>-1.11138390568899</v>
      </c>
      <c r="AE7111">
        <v>-1.19022000000001</v>
      </c>
      <c r="AF7111">
        <v>-4.0255879794459402</v>
      </c>
      <c r="AG7111">
        <v>-1.11138390568899</v>
      </c>
      <c r="AH7111">
        <v>47.505915110703803</v>
      </c>
      <c r="AI7111">
        <v>91.335385679602197</v>
      </c>
      <c r="AJ7111">
        <v>94.843596789359594</v>
      </c>
      <c r="AK7111">
        <v>47.689123532221501</v>
      </c>
      <c r="AL7111">
        <v>80.098528923739593</v>
      </c>
      <c r="AM7111">
        <v>95.117495333062607</v>
      </c>
      <c r="AN7111">
        <v>1.0000000405507099</v>
      </c>
    </row>
    <row r="7112" spans="1:40" x14ac:dyDescent="0.25">
      <c r="A7112" t="str">
        <f>"20190304154936652"</f>
        <v>20190304154936652</v>
      </c>
      <c r="B7112" t="str">
        <f>"1551685776644221"</f>
        <v>1551685776644221</v>
      </c>
      <c r="C7112" t="s">
        <v>40</v>
      </c>
      <c r="D7112">
        <v>4.3350099999999996</v>
      </c>
      <c r="E7112">
        <v>0.49979859999999998</v>
      </c>
      <c r="F7112" t="s">
        <v>103</v>
      </c>
      <c r="G7112">
        <v>-224.83779999999999</v>
      </c>
      <c r="H7112" s="1">
        <v>-1.900665E-6</v>
      </c>
      <c r="I7112">
        <v>-63.564160000000001</v>
      </c>
      <c r="J7112">
        <v>-272.36099999999999</v>
      </c>
      <c r="K7112">
        <v>1.1113839999999999</v>
      </c>
      <c r="L7112">
        <v>-62.445369999999997</v>
      </c>
      <c r="M7112">
        <v>0.9939443</v>
      </c>
      <c r="N7112">
        <v>-1.4048990000000001E-2</v>
      </c>
      <c r="O7112">
        <v>-0.1089828</v>
      </c>
      <c r="P7112">
        <v>0.98725370000000001</v>
      </c>
      <c r="Q7112">
        <v>0.15802369999999999</v>
      </c>
      <c r="R7112">
        <v>-1.8934260000000001E-2</v>
      </c>
      <c r="S7112">
        <v>3.0488279999999999</v>
      </c>
      <c r="T7112">
        <v>-7.1080569999999996E-2</v>
      </c>
      <c r="U7112">
        <v>-7.2570800000000005E-2</v>
      </c>
      <c r="V7112">
        <v>-8.8955859999999998E-2</v>
      </c>
      <c r="W7112">
        <v>0.171735</v>
      </c>
      <c r="X7112">
        <v>0.98111870000000001</v>
      </c>
      <c r="Y7112">
        <v>-8.5266729999999999E-2</v>
      </c>
      <c r="Z7112">
        <v>2.5947330000000001E-3</v>
      </c>
      <c r="AA7112">
        <v>0.99635479999999998</v>
      </c>
      <c r="AB7112">
        <v>29</v>
      </c>
      <c r="AC7112">
        <v>47.523200000000003</v>
      </c>
      <c r="AD7112">
        <v>-1.111385900665</v>
      </c>
      <c r="AE7112">
        <v>-1.11879</v>
      </c>
      <c r="AF7112">
        <v>-4.0653759313453603</v>
      </c>
      <c r="AG7112">
        <v>-1.111385900665</v>
      </c>
      <c r="AH7112">
        <v>47.336144906501197</v>
      </c>
      <c r="AI7112">
        <v>91.340045828605298</v>
      </c>
      <c r="AJ7112">
        <v>94.908695397327307</v>
      </c>
      <c r="AK7112">
        <v>47.5233950248995</v>
      </c>
      <c r="AL7112">
        <v>80.111288831004003</v>
      </c>
      <c r="AM7112">
        <v>95.180716163383593</v>
      </c>
      <c r="AN7112">
        <v>0.99999997937151397</v>
      </c>
    </row>
    <row r="7113" spans="1:40" x14ac:dyDescent="0.25">
      <c r="A7113" t="str">
        <f>"20190304154936662"</f>
        <v>20190304154936662</v>
      </c>
      <c r="B7113" t="str">
        <f>"1551685776653980"</f>
        <v>1551685776653980</v>
      </c>
      <c r="C7113" t="s">
        <v>40</v>
      </c>
      <c r="D7113">
        <v>4.3440919999999998</v>
      </c>
      <c r="E7113">
        <v>0.49989549999999999</v>
      </c>
      <c r="F7113" t="s">
        <v>103</v>
      </c>
      <c r="G7113">
        <v>-224.91329999999999</v>
      </c>
      <c r="H7113" s="1">
        <v>-1.9253629999999998E-6</v>
      </c>
      <c r="I7113">
        <v>-63.529640000000001</v>
      </c>
      <c r="J7113">
        <v>-272.21600000000001</v>
      </c>
      <c r="K7113">
        <v>1.1113879999999901</v>
      </c>
      <c r="L7113">
        <v>-62.460970000000003</v>
      </c>
      <c r="M7113">
        <v>0.99397579999999996</v>
      </c>
      <c r="N7113">
        <v>-1.4038699999999999E-2</v>
      </c>
      <c r="O7113">
        <v>-0.1086987</v>
      </c>
      <c r="P7113">
        <v>0.98729840000000002</v>
      </c>
      <c r="Q7113">
        <v>0.1578956</v>
      </c>
      <c r="R7113">
        <v>-1.7641879999999999E-2</v>
      </c>
      <c r="S7113">
        <v>3.0488590000000002</v>
      </c>
      <c r="T7113">
        <v>-7.141459E-2</v>
      </c>
      <c r="U7113">
        <v>-6.9671629999999998E-2</v>
      </c>
      <c r="V7113">
        <v>-8.9967190000000002E-2</v>
      </c>
      <c r="W7113">
        <v>0.17159269999999999</v>
      </c>
      <c r="X7113">
        <v>0.98105140000000002</v>
      </c>
      <c r="Y7113">
        <v>-8.5928340000000006E-2</v>
      </c>
      <c r="Z7113">
        <v>2.621815E-3</v>
      </c>
      <c r="AA7113">
        <v>0.99629789999999996</v>
      </c>
      <c r="AB7113">
        <v>29</v>
      </c>
      <c r="AC7113">
        <v>47.302700000000002</v>
      </c>
      <c r="AD7113">
        <v>-1.11138992536299</v>
      </c>
      <c r="AE7113">
        <v>-1.06867</v>
      </c>
      <c r="AF7113">
        <v>-4.0776613260262504</v>
      </c>
      <c r="AG7113">
        <v>-1.11138992536299</v>
      </c>
      <c r="AH7113">
        <v>47.1125442834946</v>
      </c>
      <c r="AI7113">
        <v>91.346331367581598</v>
      </c>
      <c r="AJ7113">
        <v>94.946707981108204</v>
      </c>
      <c r="AK7113">
        <v>47.301737159645697</v>
      </c>
      <c r="AL7113">
        <v>80.119565076566104</v>
      </c>
      <c r="AM7113">
        <v>95.239646645819406</v>
      </c>
      <c r="AN7113">
        <v>0.99999999970587305</v>
      </c>
    </row>
    <row r="7114" spans="1:40" x14ac:dyDescent="0.25">
      <c r="A7114" t="str">
        <f>"20190304154936674"</f>
        <v>20190304154936674</v>
      </c>
      <c r="B7114" t="str">
        <f>"1551685776664716"</f>
        <v>1551685776664716</v>
      </c>
      <c r="C7114" t="s">
        <v>40</v>
      </c>
      <c r="D7114">
        <v>4.350835</v>
      </c>
      <c r="E7114">
        <v>0.49998890000000001</v>
      </c>
      <c r="F7114" t="s">
        <v>103</v>
      </c>
      <c r="G7114">
        <v>-224.81809999999999</v>
      </c>
      <c r="H7114" s="1">
        <v>-1.877429E-6</v>
      </c>
      <c r="I7114">
        <v>-63.497590000000002</v>
      </c>
      <c r="J7114">
        <v>-272.07190000000003</v>
      </c>
      <c r="K7114">
        <v>1.1113919999999999</v>
      </c>
      <c r="L7114">
        <v>-62.476410000000001</v>
      </c>
      <c r="M7114">
        <v>0.99400710000000003</v>
      </c>
      <c r="N7114">
        <v>-1.402809E-2</v>
      </c>
      <c r="O7114">
        <v>-0.10841249999999999</v>
      </c>
      <c r="P7114">
        <v>0.98733990000000005</v>
      </c>
      <c r="Q7114">
        <v>0.15778149999999999</v>
      </c>
      <c r="R7114">
        <v>-1.628945E-2</v>
      </c>
      <c r="S7114">
        <v>3.0488590000000002</v>
      </c>
      <c r="T7114">
        <v>-7.1489929999999993E-2</v>
      </c>
      <c r="U7114">
        <v>-6.6680909999999996E-2</v>
      </c>
      <c r="V7114">
        <v>-9.1036720000000002E-2</v>
      </c>
      <c r="W7114">
        <v>0.171464899999999</v>
      </c>
      <c r="X7114">
        <v>0.98097509999999999</v>
      </c>
      <c r="Y7114">
        <v>-8.6617929999999996E-2</v>
      </c>
      <c r="Z7114">
        <v>2.636607E-3</v>
      </c>
      <c r="AA7114">
        <v>0.99623810000000002</v>
      </c>
      <c r="AB7114">
        <v>29</v>
      </c>
      <c r="AC7114">
        <v>47.253799999999998</v>
      </c>
      <c r="AD7114">
        <v>-1.111393877429</v>
      </c>
      <c r="AE7114">
        <v>-1.02118</v>
      </c>
      <c r="AF7114">
        <v>-4.1059760504487297</v>
      </c>
      <c r="AG7114">
        <v>-1.111393877429</v>
      </c>
      <c r="AH7114">
        <v>47.059930284444597</v>
      </c>
      <c r="AI7114">
        <v>91.347759669146498</v>
      </c>
      <c r="AJ7114">
        <v>94.9864257147497</v>
      </c>
      <c r="AK7114">
        <v>47.251785935077997</v>
      </c>
      <c r="AL7114">
        <v>80.126997852375894</v>
      </c>
      <c r="AM7114">
        <v>95.301992710649998</v>
      </c>
      <c r="AN7114">
        <v>1.0000000215701801</v>
      </c>
    </row>
    <row r="7115" spans="1:40" x14ac:dyDescent="0.25">
      <c r="A7115" t="str">
        <f>"20190304154936684"</f>
        <v>20190304154936684</v>
      </c>
      <c r="B7115" t="str">
        <f>"1551685776674475"</f>
        <v>1551685776674475</v>
      </c>
      <c r="C7115" t="s">
        <v>40</v>
      </c>
      <c r="D7115">
        <v>4.3128780000000004</v>
      </c>
      <c r="E7115">
        <v>0.50026499999999996</v>
      </c>
      <c r="F7115" t="s">
        <v>103</v>
      </c>
      <c r="G7115">
        <v>-224.79300000000001</v>
      </c>
      <c r="H7115" s="1">
        <v>-1.85802E-6</v>
      </c>
      <c r="I7115">
        <v>-63.458849999999998</v>
      </c>
      <c r="J7115">
        <v>-271.93520000000001</v>
      </c>
      <c r="K7115">
        <v>1.111399</v>
      </c>
      <c r="L7115">
        <v>-62.491059999999997</v>
      </c>
      <c r="M7115">
        <v>0.99403779999999997</v>
      </c>
      <c r="N7115">
        <v>-1.401705E-2</v>
      </c>
      <c r="O7115">
        <v>-0.1081317</v>
      </c>
      <c r="P7115">
        <v>0.98733439999999995</v>
      </c>
      <c r="Q7115">
        <v>0.1579352</v>
      </c>
      <c r="R7115">
        <v>-1.5081310000000001E-2</v>
      </c>
      <c r="S7115">
        <v>3.048889</v>
      </c>
      <c r="T7115">
        <v>-7.1670769999999995E-2</v>
      </c>
      <c r="U7115">
        <v>-6.3354489999999999E-2</v>
      </c>
      <c r="V7115">
        <v>-9.1964359999999995E-2</v>
      </c>
      <c r="W7115">
        <v>0.17160210000000001</v>
      </c>
      <c r="X7115">
        <v>0.98086459999999998</v>
      </c>
      <c r="Y7115">
        <v>-8.74225E-2</v>
      </c>
      <c r="Z7115">
        <v>2.6588369999999998E-3</v>
      </c>
      <c r="AA7115">
        <v>0.99616780000000005</v>
      </c>
      <c r="AB7115">
        <v>29</v>
      </c>
      <c r="AC7115">
        <v>47.142200000000003</v>
      </c>
      <c r="AD7115">
        <v>-1.1114008580200001</v>
      </c>
      <c r="AE7115">
        <v>-0.96779000000000004</v>
      </c>
      <c r="AF7115">
        <v>-4.1336559949947</v>
      </c>
      <c r="AG7115">
        <v>-1.1114008580200001</v>
      </c>
      <c r="AH7115">
        <v>46.9443091324246</v>
      </c>
      <c r="AI7115">
        <v>91.350991866554807</v>
      </c>
      <c r="AJ7115">
        <v>95.032170164464603</v>
      </c>
      <c r="AK7115">
        <v>47.1390547600692</v>
      </c>
      <c r="AL7115">
        <v>80.119018828185403</v>
      </c>
      <c r="AM7115">
        <v>95.356305867955001</v>
      </c>
      <c r="AN7115">
        <v>1.0000000438838801</v>
      </c>
    </row>
    <row r="7116" spans="1:40" x14ac:dyDescent="0.25">
      <c r="A7116" t="str">
        <f>"20190304154936695"</f>
        <v>20190304154936695</v>
      </c>
      <c r="B7116" t="str">
        <f>"1551685776684236"</f>
        <v>1551685776684236</v>
      </c>
      <c r="C7116" t="s">
        <v>40</v>
      </c>
      <c r="D7116">
        <v>4.350841</v>
      </c>
      <c r="E7116">
        <v>0.50037879999999901</v>
      </c>
      <c r="F7116" t="s">
        <v>103</v>
      </c>
      <c r="G7116">
        <v>-223.57140000000001</v>
      </c>
      <c r="H7116" s="1">
        <v>-1.3377299999999999E-6</v>
      </c>
      <c r="I7116">
        <v>-63.475749999999998</v>
      </c>
      <c r="J7116">
        <v>-271.78899999999999</v>
      </c>
      <c r="K7116">
        <v>1.1114139999999999</v>
      </c>
      <c r="L7116">
        <v>-62.50665</v>
      </c>
      <c r="M7116">
        <v>0.9940717</v>
      </c>
      <c r="N7116">
        <v>-1.400529E-2</v>
      </c>
      <c r="O7116">
        <v>-0.1078226</v>
      </c>
      <c r="P7116">
        <v>0.98743429999999999</v>
      </c>
      <c r="Q7116">
        <v>0.15743089999999901</v>
      </c>
      <c r="R7116">
        <v>-1.3759510000000001E-2</v>
      </c>
      <c r="S7116">
        <v>3.048737</v>
      </c>
      <c r="T7116">
        <v>-7.0060010000000006E-2</v>
      </c>
      <c r="U7116">
        <v>-6.2072750000000003E-2</v>
      </c>
      <c r="V7116">
        <v>-9.2988269999999998E-2</v>
      </c>
      <c r="W7116">
        <v>0.17108199999999901</v>
      </c>
      <c r="X7116">
        <v>0.98085889999999998</v>
      </c>
      <c r="Y7116">
        <v>-8.753213E-2</v>
      </c>
      <c r="Z7116">
        <v>2.5790190000000001E-3</v>
      </c>
      <c r="AA7116">
        <v>0.9961584</v>
      </c>
      <c r="AB7116">
        <v>29</v>
      </c>
      <c r="AC7116">
        <v>48.217599999999898</v>
      </c>
      <c r="AD7116">
        <v>-1.11141533772999</v>
      </c>
      <c r="AE7116">
        <v>-0.96909999999999696</v>
      </c>
      <c r="AF7116">
        <v>-4.2337582195279397</v>
      </c>
      <c r="AG7116">
        <v>-1.11141533772999</v>
      </c>
      <c r="AH7116">
        <v>48.015444124557902</v>
      </c>
      <c r="AI7116">
        <v>91.3208678520662</v>
      </c>
      <c r="AJ7116">
        <v>95.039018917908706</v>
      </c>
      <c r="AK7116">
        <v>48.214549953234098</v>
      </c>
      <c r="AL7116">
        <v>80.149265480432703</v>
      </c>
      <c r="AM7116">
        <v>95.415620404175399</v>
      </c>
      <c r="AN7116">
        <v>1.0000000253954</v>
      </c>
    </row>
    <row r="7117" spans="1:40" x14ac:dyDescent="0.25">
      <c r="A7117" t="str">
        <f>"20190304154936707"</f>
        <v>20190304154936707</v>
      </c>
      <c r="B7117" t="str">
        <f>"1551685776704732"</f>
        <v>1551685776704732</v>
      </c>
      <c r="C7117" t="s">
        <v>40</v>
      </c>
      <c r="D7117">
        <v>4.3428430000000002</v>
      </c>
      <c r="E7117">
        <v>0.500614</v>
      </c>
      <c r="F7117" t="s">
        <v>103</v>
      </c>
      <c r="G7117">
        <v>-224.25139999999999</v>
      </c>
      <c r="H7117" s="1">
        <v>-1.6188069999999901E-6</v>
      </c>
      <c r="I7117">
        <v>-63.427889999999998</v>
      </c>
      <c r="J7117">
        <v>-271.6379</v>
      </c>
      <c r="K7117">
        <v>1.1114280000000001</v>
      </c>
      <c r="L7117">
        <v>-62.522669999999998</v>
      </c>
      <c r="M7117">
        <v>0.99410790000000004</v>
      </c>
      <c r="N7117">
        <v>-1.3993210000000001E-2</v>
      </c>
      <c r="O7117">
        <v>-0.1074895</v>
      </c>
      <c r="P7117">
        <v>0.98748239999999998</v>
      </c>
      <c r="Q7117">
        <v>0.15721570000000001</v>
      </c>
      <c r="R7117">
        <v>-1.273026E-2</v>
      </c>
      <c r="S7117">
        <v>3.048737</v>
      </c>
      <c r="T7117">
        <v>-7.1278569999999999E-2</v>
      </c>
      <c r="U7117">
        <v>-5.9082030000000001E-2</v>
      </c>
      <c r="V7117">
        <v>-9.369458E-2</v>
      </c>
      <c r="W7117">
        <v>0.17084949999999999</v>
      </c>
      <c r="X7117">
        <v>0.98083220000000004</v>
      </c>
      <c r="Y7117">
        <v>-8.8173479999999999E-2</v>
      </c>
      <c r="Z7117">
        <v>2.649275E-3</v>
      </c>
      <c r="AA7117">
        <v>0.99610160000000003</v>
      </c>
      <c r="AB7117">
        <v>29</v>
      </c>
      <c r="AC7117">
        <v>47.386499999999998</v>
      </c>
      <c r="AD7117">
        <v>-1.1114296188070001</v>
      </c>
      <c r="AE7117">
        <v>-0.90522000000000702</v>
      </c>
      <c r="AF7117">
        <v>-4.1917696890771898</v>
      </c>
      <c r="AG7117">
        <v>-1.1114296188070001</v>
      </c>
      <c r="AH7117">
        <v>47.183263528256603</v>
      </c>
      <c r="AI7117">
        <v>91.344094554604695</v>
      </c>
      <c r="AJ7117">
        <v>95.076838989771403</v>
      </c>
      <c r="AK7117">
        <v>47.382133405965803</v>
      </c>
      <c r="AL7117">
        <v>80.162785708372397</v>
      </c>
      <c r="AM7117">
        <v>95.456656071895196</v>
      </c>
      <c r="AN7117">
        <v>1.0000000152642301</v>
      </c>
    </row>
    <row r="7118" spans="1:40" x14ac:dyDescent="0.25">
      <c r="A7118" t="str">
        <f>"20190304154936720"</f>
        <v>20190304154936720</v>
      </c>
      <c r="B7118" t="str">
        <f>"1551685776714493"</f>
        <v>1551685776714493</v>
      </c>
      <c r="C7118" t="s">
        <v>40</v>
      </c>
      <c r="D7118">
        <v>4.3468359999999997</v>
      </c>
      <c r="E7118">
        <v>0.50071759999999998</v>
      </c>
      <c r="F7118" t="s">
        <v>103</v>
      </c>
      <c r="G7118">
        <v>-224.2551</v>
      </c>
      <c r="H7118" s="1">
        <v>-1.6185320000000001E-6</v>
      </c>
      <c r="I7118">
        <v>-63.419589999999999</v>
      </c>
      <c r="J7118">
        <v>-271.48840000000001</v>
      </c>
      <c r="K7118">
        <v>1.1114459999999999</v>
      </c>
      <c r="L7118">
        <v>-62.538449999999997</v>
      </c>
      <c r="M7118">
        <v>0.99414599999999997</v>
      </c>
      <c r="N7118">
        <v>-1.397987E-2</v>
      </c>
      <c r="O7118">
        <v>-0.1071358</v>
      </c>
      <c r="P7118">
        <v>0.98751849999999997</v>
      </c>
      <c r="Q7118">
        <v>0.15706220000000001</v>
      </c>
      <c r="R7118">
        <v>-1.1777289999999999E-2</v>
      </c>
      <c r="S7118">
        <v>3.0486759999999999</v>
      </c>
      <c r="T7118">
        <v>-7.1510790000000005E-2</v>
      </c>
      <c r="U7118">
        <v>-5.7708740000000001E-2</v>
      </c>
      <c r="V7118">
        <v>-9.4305410000000006E-2</v>
      </c>
      <c r="W7118">
        <v>0.170677</v>
      </c>
      <c r="X7118">
        <v>0.98080369999999995</v>
      </c>
      <c r="Y7118">
        <v>-8.8266860000000003E-2</v>
      </c>
      <c r="Z7118">
        <v>2.6602140000000002E-3</v>
      </c>
      <c r="AA7118">
        <v>0.99609329999999996</v>
      </c>
      <c r="AB7118">
        <v>29</v>
      </c>
      <c r="AC7118">
        <v>47.2333</v>
      </c>
      <c r="AD7118">
        <v>-1.1114476185319999</v>
      </c>
      <c r="AE7118">
        <v>-0.88114000000000203</v>
      </c>
      <c r="AF7118">
        <v>-4.1824899006864502</v>
      </c>
      <c r="AG7118">
        <v>-1.1114476185319999</v>
      </c>
      <c r="AH7118">
        <v>47.029769646381602</v>
      </c>
      <c r="AI7118">
        <v>91.348490557760101</v>
      </c>
      <c r="AJ7118">
        <v>95.0821050188583</v>
      </c>
      <c r="AK7118">
        <v>47.228463563510097</v>
      </c>
      <c r="AL7118">
        <v>80.172816642332407</v>
      </c>
      <c r="AM7118">
        <v>95.492171859863703</v>
      </c>
      <c r="AN7118">
        <v>1.0000000233089701</v>
      </c>
    </row>
    <row r="7119" spans="1:40" x14ac:dyDescent="0.25">
      <c r="A7119" t="str">
        <f>"20190304154936731"</f>
        <v>20190304154936731</v>
      </c>
      <c r="B7119" t="str">
        <f>"1551685776724252"</f>
        <v>1551685776724252</v>
      </c>
      <c r="C7119" t="s">
        <v>40</v>
      </c>
      <c r="D7119">
        <v>4.3619859999999999</v>
      </c>
      <c r="E7119">
        <v>0.50098069999999995</v>
      </c>
      <c r="F7119" t="s">
        <v>103</v>
      </c>
      <c r="G7119">
        <v>-224.1721</v>
      </c>
      <c r="H7119" s="1">
        <v>-1.577755E-6</v>
      </c>
      <c r="I7119">
        <v>-63.3962199999999</v>
      </c>
      <c r="J7119">
        <v>-271.33870000000002</v>
      </c>
      <c r="K7119">
        <v>1.1114649999999999</v>
      </c>
      <c r="L7119">
        <v>-62.554259999999999</v>
      </c>
      <c r="M7119">
        <v>0.9941856</v>
      </c>
      <c r="N7119">
        <v>-1.396585E-2</v>
      </c>
      <c r="O7119">
        <v>-0.1067709</v>
      </c>
      <c r="P7119">
        <v>0.98753369999999996</v>
      </c>
      <c r="Q7119">
        <v>0.15704170000000001</v>
      </c>
      <c r="R7119">
        <v>-1.074047E-2</v>
      </c>
      <c r="S7119">
        <v>3.0486759999999999</v>
      </c>
      <c r="T7119">
        <v>-7.1612599999999998E-2</v>
      </c>
      <c r="U7119">
        <v>-5.5267330000000003E-2</v>
      </c>
      <c r="V7119">
        <v>-9.4987520000000006E-2</v>
      </c>
      <c r="W7119">
        <v>0.17063519999999999</v>
      </c>
      <c r="X7119">
        <v>0.98074510000000004</v>
      </c>
      <c r="Y7119">
        <v>-8.8698360000000004E-2</v>
      </c>
      <c r="Z7119">
        <v>2.6708690000000002E-3</v>
      </c>
      <c r="AA7119">
        <v>0.99605489999999997</v>
      </c>
      <c r="AB7119">
        <v>29</v>
      </c>
      <c r="AC7119">
        <v>47.166600000000003</v>
      </c>
      <c r="AD7119">
        <v>-1.1114665777549999</v>
      </c>
      <c r="AE7119">
        <v>-0.84195999999999305</v>
      </c>
      <c r="AF7119">
        <v>-4.19703536447276</v>
      </c>
      <c r="AG7119">
        <v>-1.1114665777549999</v>
      </c>
      <c r="AH7119">
        <v>46.960763262862898</v>
      </c>
      <c r="AI7119">
        <v>91.350441800719906</v>
      </c>
      <c r="AJ7119">
        <v>95.107140162336805</v>
      </c>
      <c r="AK7119">
        <v>47.1610405953341</v>
      </c>
      <c r="AL7119">
        <v>80.175246790104794</v>
      </c>
      <c r="AM7119">
        <v>95.531979632263202</v>
      </c>
      <c r="AN7119">
        <v>0.99999997580439903</v>
      </c>
    </row>
    <row r="7120" spans="1:40" x14ac:dyDescent="0.25">
      <c r="A7120" t="str">
        <f>"20190304154936742"</f>
        <v>20190304154936742</v>
      </c>
      <c r="B7120" t="str">
        <f>"1551685776734988"</f>
        <v>1551685776734988</v>
      </c>
      <c r="C7120" t="s">
        <v>40</v>
      </c>
      <c r="D7120">
        <v>4.3572030000000002</v>
      </c>
      <c r="E7120">
        <v>0.50107959999999996</v>
      </c>
      <c r="F7120" t="s">
        <v>103</v>
      </c>
      <c r="G7120">
        <v>-223.20650000000001</v>
      </c>
      <c r="H7120" s="1">
        <v>-1.1663350000000001E-6</v>
      </c>
      <c r="I7120">
        <v>-63.409050000000001</v>
      </c>
      <c r="J7120">
        <v>-271.19009999999997</v>
      </c>
      <c r="K7120">
        <v>1.1114980000000001</v>
      </c>
      <c r="L7120">
        <v>-62.569760000000002</v>
      </c>
      <c r="M7120">
        <v>0.9942299</v>
      </c>
      <c r="N7120">
        <v>-1.3948E-2</v>
      </c>
      <c r="O7120">
        <v>-0.1063615</v>
      </c>
      <c r="P7120">
        <v>0.98749790000000004</v>
      </c>
      <c r="Q7120">
        <v>0.15732889999999999</v>
      </c>
      <c r="R7120">
        <v>-9.7928919999999992E-3</v>
      </c>
      <c r="S7120">
        <v>3.0484619999999998</v>
      </c>
      <c r="T7120">
        <v>-7.0394750000000006E-2</v>
      </c>
      <c r="U7120">
        <v>-5.4138180000000001E-2</v>
      </c>
      <c r="V7120">
        <v>-9.5536399999999994E-2</v>
      </c>
      <c r="W7120">
        <v>0.17089409999999999</v>
      </c>
      <c r="X7120">
        <v>0.98064669999999998</v>
      </c>
      <c r="Y7120">
        <v>-8.8657219999999995E-2</v>
      </c>
      <c r="Z7120">
        <v>2.6075489999999998E-3</v>
      </c>
      <c r="AA7120">
        <v>0.99605880000000002</v>
      </c>
      <c r="AB7120">
        <v>29</v>
      </c>
      <c r="AC7120">
        <v>47.983599999999903</v>
      </c>
      <c r="AD7120">
        <v>-1.11149916633499</v>
      </c>
      <c r="AE7120">
        <v>-0.83929000000000498</v>
      </c>
      <c r="AF7120">
        <v>-4.2672858903666198</v>
      </c>
      <c r="AG7120">
        <v>-1.11149916633499</v>
      </c>
      <c r="AH7120">
        <v>47.775010975241599</v>
      </c>
      <c r="AI7120">
        <v>91.327479127971003</v>
      </c>
      <c r="AJ7120">
        <v>95.104140205124096</v>
      </c>
      <c r="AK7120">
        <v>47.978087008042998</v>
      </c>
      <c r="AL7120">
        <v>80.160191760991594</v>
      </c>
      <c r="AM7120">
        <v>95.564300635037497</v>
      </c>
      <c r="AN7120">
        <v>0.999999973680329</v>
      </c>
    </row>
    <row r="7121" spans="1:40" x14ac:dyDescent="0.25">
      <c r="A7121" t="str">
        <f>"20190304154936754"</f>
        <v>20190304154936754</v>
      </c>
      <c r="B7121" t="str">
        <f>"1551685776744748"</f>
        <v>1551685776744748</v>
      </c>
      <c r="C7121" t="s">
        <v>40</v>
      </c>
      <c r="D7121">
        <v>4.3624910000000003</v>
      </c>
      <c r="E7121">
        <v>0.50119999999999998</v>
      </c>
      <c r="F7121" t="s">
        <v>103</v>
      </c>
      <c r="G7121">
        <v>-222.2731</v>
      </c>
      <c r="H7121" s="1">
        <v>-7.6411349999999997E-7</v>
      </c>
      <c r="I7121">
        <v>-63.400770000000001</v>
      </c>
      <c r="J7121">
        <v>-271.04660000000001</v>
      </c>
      <c r="K7121">
        <v>1.111532</v>
      </c>
      <c r="L7121">
        <v>-62.58475</v>
      </c>
      <c r="M7121">
        <v>0.99427350000000003</v>
      </c>
      <c r="N7121">
        <v>-1.3929789999999999E-2</v>
      </c>
      <c r="O7121">
        <v>-0.1059532</v>
      </c>
      <c r="P7121">
        <v>0.98745970000000005</v>
      </c>
      <c r="Q7121">
        <v>0.15761749999999999</v>
      </c>
      <c r="R7121">
        <v>-8.9554470000000001E-3</v>
      </c>
      <c r="S7121">
        <v>3.048492</v>
      </c>
      <c r="T7121">
        <v>-6.9268350000000006E-2</v>
      </c>
      <c r="U7121">
        <v>-5.178833E-2</v>
      </c>
      <c r="V7121">
        <v>-9.5977140000000002E-2</v>
      </c>
      <c r="W7121">
        <v>0.17115439999999901</v>
      </c>
      <c r="X7121">
        <v>0.98055829999999999</v>
      </c>
      <c r="Y7121">
        <v>-8.9017059999999995E-2</v>
      </c>
      <c r="Z7121">
        <v>2.5561749999999999E-3</v>
      </c>
      <c r="AA7121">
        <v>0.99602679999999999</v>
      </c>
      <c r="AB7121">
        <v>29</v>
      </c>
      <c r="AC7121">
        <v>48.773499999999999</v>
      </c>
      <c r="AD7121">
        <v>-1.1115327641135</v>
      </c>
      <c r="AE7121">
        <v>-0.81601999999999397</v>
      </c>
      <c r="AF7121">
        <v>-4.3545232681360497</v>
      </c>
      <c r="AG7121">
        <v>-1.1115327641135</v>
      </c>
      <c r="AH7121">
        <v>48.560160945039797</v>
      </c>
      <c r="AI7121">
        <v>91.306021766950394</v>
      </c>
      <c r="AJ7121">
        <v>95.124164738403906</v>
      </c>
      <c r="AK7121">
        <v>48.767679963133403</v>
      </c>
      <c r="AL7121">
        <v>80.145055011577199</v>
      </c>
      <c r="AM7121">
        <v>95.590309073914995</v>
      </c>
      <c r="AN7121">
        <v>1.00000000987041</v>
      </c>
    </row>
    <row r="7122" spans="1:40" x14ac:dyDescent="0.25">
      <c r="A7122" t="str">
        <f>"20190304154936763"</f>
        <v>20190304154936763</v>
      </c>
      <c r="B7122" t="str">
        <f>"1551685776754509"</f>
        <v>1551685776754509</v>
      </c>
      <c r="C7122" t="s">
        <v>40</v>
      </c>
      <c r="D7122">
        <v>4.348471</v>
      </c>
      <c r="E7122">
        <v>0.50119999999999998</v>
      </c>
      <c r="F7122" t="s">
        <v>103</v>
      </c>
      <c r="G7122">
        <v>-221.3501</v>
      </c>
      <c r="H7122" s="1">
        <v>-3.6777109999999998E-7</v>
      </c>
      <c r="I7122">
        <v>-63.399140000000003</v>
      </c>
      <c r="J7122">
        <v>-270.91669999999999</v>
      </c>
      <c r="K7122">
        <v>1.111577</v>
      </c>
      <c r="L7122">
        <v>-62.598140000000001</v>
      </c>
      <c r="M7122">
        <v>0.99431800000000004</v>
      </c>
      <c r="N7122">
        <v>-1.3910199999999999E-2</v>
      </c>
      <c r="O7122">
        <v>-0.1055392</v>
      </c>
      <c r="P7122">
        <v>0.98742649999999998</v>
      </c>
      <c r="Q7122">
        <v>0.15786310000000001</v>
      </c>
      <c r="R7122">
        <v>-8.2695930000000004E-3</v>
      </c>
      <c r="S7122">
        <v>3.0485229999999999</v>
      </c>
      <c r="T7122">
        <v>-6.818449E-2</v>
      </c>
      <c r="U7122">
        <v>-4.995728E-2</v>
      </c>
      <c r="V7122">
        <v>-9.6264299999999997E-2</v>
      </c>
      <c r="W7122">
        <v>0.17136949999999901</v>
      </c>
      <c r="X7122">
        <v>0.98049260000000005</v>
      </c>
      <c r="Y7122">
        <v>-8.9201730000000007E-2</v>
      </c>
      <c r="Z7122">
        <v>2.503889E-3</v>
      </c>
      <c r="AA7122">
        <v>0.99601039999999996</v>
      </c>
      <c r="AB7122">
        <v>29</v>
      </c>
      <c r="AC7122">
        <v>49.566600000000001</v>
      </c>
      <c r="AD7122">
        <v>-1.1115773677711001</v>
      </c>
      <c r="AE7122">
        <v>-0.80100000000000104</v>
      </c>
      <c r="AF7122">
        <v>-4.4329701774861698</v>
      </c>
      <c r="AG7122">
        <v>-1.1115773677711001</v>
      </c>
      <c r="AH7122">
        <v>49.3494565925591</v>
      </c>
      <c r="AI7122">
        <v>91.285174083508494</v>
      </c>
      <c r="AJ7122">
        <v>95.132996998605094</v>
      </c>
      <c r="AK7122">
        <v>49.560626457097001</v>
      </c>
      <c r="AL7122">
        <v>80.132546072434593</v>
      </c>
      <c r="AM7122">
        <v>95.607301956633194</v>
      </c>
      <c r="AN7122">
        <v>1.00000002981974</v>
      </c>
    </row>
    <row r="7123" spans="1:40" x14ac:dyDescent="0.25">
      <c r="A7123" t="str">
        <f>"20190304154936775"</f>
        <v>20190304154936775</v>
      </c>
      <c r="B7123" t="str">
        <f>"1551685776764268"</f>
        <v>1551685776764268</v>
      </c>
      <c r="C7123" t="s">
        <v>40</v>
      </c>
      <c r="D7123">
        <v>4.3441669999999997</v>
      </c>
      <c r="E7123">
        <v>0.50134069999999997</v>
      </c>
      <c r="F7123" t="s">
        <v>103</v>
      </c>
      <c r="G7123">
        <v>-220.66909999999999</v>
      </c>
      <c r="H7123" s="1">
        <v>-7.1228160000000006E-8</v>
      </c>
      <c r="I7123">
        <v>-63.379300000000001</v>
      </c>
      <c r="J7123">
        <v>-270.77269999999999</v>
      </c>
      <c r="K7123">
        <v>1.1116220000000001</v>
      </c>
      <c r="L7123">
        <v>-62.613010000000003</v>
      </c>
      <c r="M7123">
        <v>0.99436869999999999</v>
      </c>
      <c r="N7123">
        <v>-1.388817E-2</v>
      </c>
      <c r="O7123">
        <v>-0.1050624</v>
      </c>
      <c r="P7123">
        <v>0.98738309999999996</v>
      </c>
      <c r="Q7123">
        <v>0.158165</v>
      </c>
      <c r="R7123">
        <v>-7.6562330000000001E-3</v>
      </c>
      <c r="S7123">
        <v>3.048584</v>
      </c>
      <c r="T7123">
        <v>-6.744087E-2</v>
      </c>
      <c r="U7123">
        <v>-4.73938E-2</v>
      </c>
      <c r="V7123">
        <v>-9.6418690000000001E-2</v>
      </c>
      <c r="W7123">
        <v>0.17163779999999901</v>
      </c>
      <c r="X7123">
        <v>0.98043049999999998</v>
      </c>
      <c r="Y7123">
        <v>-8.9562470000000005E-2</v>
      </c>
      <c r="Z7123">
        <v>2.4712990000000002E-3</v>
      </c>
      <c r="AA7123">
        <v>0.99597809999999998</v>
      </c>
      <c r="AB7123">
        <v>29</v>
      </c>
      <c r="AC7123">
        <v>50.1036</v>
      </c>
      <c r="AD7123">
        <v>-1.1116220712281599</v>
      </c>
      <c r="AE7123">
        <v>-0.76629000000000502</v>
      </c>
      <c r="AF7123">
        <v>-4.5002490059103799</v>
      </c>
      <c r="AG7123">
        <v>-1.1116220712281599</v>
      </c>
      <c r="AH7123">
        <v>49.882222365425299</v>
      </c>
      <c r="AI7123">
        <v>91.271459268915805</v>
      </c>
      <c r="AJ7123">
        <v>95.155125575181103</v>
      </c>
      <c r="AK7123">
        <v>50.097146154827698</v>
      </c>
      <c r="AL7123">
        <v>80.116942442774999</v>
      </c>
      <c r="AM7123">
        <v>95.616591030362102</v>
      </c>
      <c r="AN7123">
        <v>1.0000000317502</v>
      </c>
    </row>
    <row r="7124" spans="1:40" x14ac:dyDescent="0.25">
      <c r="A7124" t="str">
        <f>"20190304154936784"</f>
        <v>20190304154936784</v>
      </c>
      <c r="B7124" t="str">
        <f>"1551685776774029"</f>
        <v>1551685776774029</v>
      </c>
      <c r="C7124" t="s">
        <v>40</v>
      </c>
      <c r="D7124">
        <v>4.3420829999999997</v>
      </c>
      <c r="E7124">
        <v>0.50161460000000002</v>
      </c>
      <c r="F7124" t="s">
        <v>104</v>
      </c>
      <c r="G7124">
        <v>-219.5685</v>
      </c>
      <c r="H7124" s="1">
        <v>-3.6489809999999998E-6</v>
      </c>
      <c r="I7124">
        <v>-63.388979999999997</v>
      </c>
      <c r="J7124">
        <v>-270.63400000000001</v>
      </c>
      <c r="K7124">
        <v>1.1116710000000001</v>
      </c>
      <c r="L7124">
        <v>-62.627110000000002</v>
      </c>
      <c r="M7124">
        <v>0.99442200000000003</v>
      </c>
      <c r="N7124">
        <v>-1.386621E-2</v>
      </c>
      <c r="O7124">
        <v>-0.10456070000000001</v>
      </c>
      <c r="P7124">
        <v>0.98736550000000001</v>
      </c>
      <c r="Q7124">
        <v>0.1583031</v>
      </c>
      <c r="R7124">
        <v>-7.0521799999999999E-3</v>
      </c>
      <c r="S7124">
        <v>3.0486149999999999</v>
      </c>
      <c r="T7124">
        <v>-6.6184279999999998E-2</v>
      </c>
      <c r="U7124">
        <v>-4.6203609999999999E-2</v>
      </c>
      <c r="V7124">
        <v>-9.6543599999999993E-2</v>
      </c>
      <c r="W7124">
        <v>0.17174159999999999</v>
      </c>
      <c r="X7124">
        <v>0.98040000000000005</v>
      </c>
      <c r="Y7124">
        <v>-8.9450370000000001E-2</v>
      </c>
      <c r="Z7124">
        <v>2.4050930000000001E-3</v>
      </c>
      <c r="AA7124">
        <v>0.9959884</v>
      </c>
      <c r="AB7124">
        <v>29</v>
      </c>
      <c r="AC7124">
        <v>51.0655</v>
      </c>
      <c r="AD7124">
        <v>-1.1116746489810001</v>
      </c>
      <c r="AE7124">
        <v>-0.76187000000000804</v>
      </c>
      <c r="AF7124">
        <v>-4.5800938402839497</v>
      </c>
      <c r="AG7124">
        <v>-1.1116746489810001</v>
      </c>
      <c r="AH7124">
        <v>50.841111229312801</v>
      </c>
      <c r="AI7124">
        <v>91.247560163028396</v>
      </c>
      <c r="AJ7124">
        <v>95.147676393753201</v>
      </c>
      <c r="AK7124">
        <v>51.0590997878179</v>
      </c>
      <c r="AL7124">
        <v>80.110905201145499</v>
      </c>
      <c r="AM7124">
        <v>95.623994519645393</v>
      </c>
      <c r="AN7124">
        <v>1.00000000193576</v>
      </c>
    </row>
    <row r="7125" spans="1:40" x14ac:dyDescent="0.25">
      <c r="A7125" t="str">
        <f>"20190304154936796"</f>
        <v>20190304154936796</v>
      </c>
      <c r="B7125" t="str">
        <f>"1551685776794524"</f>
        <v>1551685776794524</v>
      </c>
      <c r="C7125" t="s">
        <v>40</v>
      </c>
      <c r="D7125">
        <v>4.3567</v>
      </c>
      <c r="E7125">
        <v>0.50216229999999995</v>
      </c>
      <c r="F7125" t="s">
        <v>104</v>
      </c>
      <c r="G7125">
        <v>-218.1506</v>
      </c>
      <c r="H7125" s="1">
        <v>-3.171873E-6</v>
      </c>
      <c r="I7125">
        <v>-63.419359999999998</v>
      </c>
      <c r="J7125">
        <v>-270.4905</v>
      </c>
      <c r="K7125">
        <v>1.1117269999999999</v>
      </c>
      <c r="L7125">
        <v>-62.641689999999997</v>
      </c>
      <c r="M7125">
        <v>0.99448000000000003</v>
      </c>
      <c r="N7125">
        <v>-1.384286E-2</v>
      </c>
      <c r="O7125">
        <v>-0.104009199999999</v>
      </c>
      <c r="P7125">
        <v>0.98732189999999997</v>
      </c>
      <c r="Q7125">
        <v>0.15859709999999999</v>
      </c>
      <c r="R7125">
        <v>-6.5378320000000004E-3</v>
      </c>
      <c r="S7125">
        <v>3.0484309999999999</v>
      </c>
      <c r="T7125">
        <v>-6.457019E-2</v>
      </c>
      <c r="U7125">
        <v>-4.6020510000000001E-2</v>
      </c>
      <c r="V7125">
        <v>-9.6529400000000001E-2</v>
      </c>
      <c r="W7125">
        <v>0.1719995</v>
      </c>
      <c r="X7125">
        <v>0.98035620000000001</v>
      </c>
      <c r="Y7125">
        <v>-8.8958800000000005E-2</v>
      </c>
      <c r="Z7125">
        <v>2.315189E-3</v>
      </c>
      <c r="AA7125">
        <v>0.99603260000000005</v>
      </c>
      <c r="AB7125">
        <v>29</v>
      </c>
      <c r="AC7125">
        <v>52.3399</v>
      </c>
      <c r="AD7125">
        <v>-1.1117301718729999</v>
      </c>
      <c r="AE7125">
        <v>-0.77766999999999298</v>
      </c>
      <c r="AF7125">
        <v>-4.6687954758480696</v>
      </c>
      <c r="AG7125">
        <v>-1.1117301718729999</v>
      </c>
      <c r="AH7125">
        <v>52.113357548269299</v>
      </c>
      <c r="AI7125">
        <v>91.217227370749001</v>
      </c>
      <c r="AJ7125">
        <v>95.119417311871203</v>
      </c>
      <c r="AK7125">
        <v>52.3338860598381</v>
      </c>
      <c r="AL7125">
        <v>80.095905556346906</v>
      </c>
      <c r="AM7125">
        <v>95.623422242863697</v>
      </c>
      <c r="AN7125">
        <v>1.0000000159715201</v>
      </c>
    </row>
    <row r="7126" spans="1:40" x14ac:dyDescent="0.25">
      <c r="A7126" t="str">
        <f>"20190304154936808"</f>
        <v>20190304154936808</v>
      </c>
      <c r="B7126" t="str">
        <f>"1551685776804284"</f>
        <v>1551685776804284</v>
      </c>
      <c r="C7126" t="s">
        <v>40</v>
      </c>
      <c r="D7126">
        <v>4.3517869999999998</v>
      </c>
      <c r="E7126">
        <v>0.50243939999999998</v>
      </c>
      <c r="F7126" t="s">
        <v>104</v>
      </c>
      <c r="G7126">
        <v>-215.38759999999999</v>
      </c>
      <c r="H7126" s="1">
        <v>-2.1143240000000001E-6</v>
      </c>
      <c r="I7126">
        <v>-63.518300000000004</v>
      </c>
      <c r="J7126">
        <v>-270.34339999999997</v>
      </c>
      <c r="K7126">
        <v>1.111785</v>
      </c>
      <c r="L7126">
        <v>-62.656460000000003</v>
      </c>
      <c r="M7126">
        <v>0.99454330000000002</v>
      </c>
      <c r="N7126">
        <v>-1.3818159999999999E-2</v>
      </c>
      <c r="O7126">
        <v>-0.1034055</v>
      </c>
      <c r="P7126">
        <v>0.98726769999999997</v>
      </c>
      <c r="Q7126">
        <v>0.1589554</v>
      </c>
      <c r="R7126">
        <v>-5.9725819999999997E-3</v>
      </c>
      <c r="S7126">
        <v>3.0480649999999998</v>
      </c>
      <c r="T7126">
        <v>-6.1496259999999997E-2</v>
      </c>
      <c r="U7126">
        <v>-4.8492430000000003E-2</v>
      </c>
      <c r="V7126">
        <v>-9.6514569999999994E-2</v>
      </c>
      <c r="W7126">
        <v>0.1723189</v>
      </c>
      <c r="X7126">
        <v>0.9803016</v>
      </c>
      <c r="Y7126">
        <v>-8.7548290000000001E-2</v>
      </c>
      <c r="Z7126">
        <v>2.1397299999999998E-3</v>
      </c>
      <c r="AA7126">
        <v>0.99615799999999999</v>
      </c>
      <c r="AB7126">
        <v>29</v>
      </c>
      <c r="AC7126">
        <v>54.955799999999897</v>
      </c>
      <c r="AD7126">
        <v>-1.1117871143239999</v>
      </c>
      <c r="AE7126">
        <v>-0.86184000000000704</v>
      </c>
      <c r="AF7126">
        <v>-4.8240816183255797</v>
      </c>
      <c r="AG7126">
        <v>-1.1117871143239999</v>
      </c>
      <c r="AH7126">
        <v>54.727875289211198</v>
      </c>
      <c r="AI7126">
        <v>91.159299717695305</v>
      </c>
      <c r="AJ7126">
        <v>95.037414189447503</v>
      </c>
      <c r="AK7126">
        <v>54.9513254409691</v>
      </c>
      <c r="AL7126">
        <v>80.077328207648307</v>
      </c>
      <c r="AM7126">
        <v>95.622874995701494</v>
      </c>
      <c r="AN7126">
        <v>1.0000000462410199</v>
      </c>
    </row>
    <row r="7127" spans="1:40" x14ac:dyDescent="0.25">
      <c r="A7127" t="str">
        <f>"20190304154936820"</f>
        <v>20190304154936820</v>
      </c>
      <c r="B7127" t="str">
        <f>"1551685776815019"</f>
        <v>1551685776815019</v>
      </c>
      <c r="C7127" t="s">
        <v>40</v>
      </c>
      <c r="D7127">
        <v>4.3442790000000002</v>
      </c>
      <c r="E7127">
        <v>0.50272689999999998</v>
      </c>
      <c r="F7127" t="s">
        <v>104</v>
      </c>
      <c r="G7127">
        <v>-213.17089999999999</v>
      </c>
      <c r="H7127" s="1">
        <v>-1.1773149999999999E-6</v>
      </c>
      <c r="I7127">
        <v>-63.570610000000002</v>
      </c>
      <c r="J7127">
        <v>-270.19080000000002</v>
      </c>
      <c r="K7127">
        <v>1.1118459999999999</v>
      </c>
      <c r="L7127">
        <v>-62.67163</v>
      </c>
      <c r="M7127">
        <v>0.99461480000000002</v>
      </c>
      <c r="N7127">
        <v>-1.379032E-2</v>
      </c>
      <c r="O7127">
        <v>-0.10272000000000001</v>
      </c>
      <c r="P7127">
        <v>0.98724559999999995</v>
      </c>
      <c r="Q7127">
        <v>0.1591216</v>
      </c>
      <c r="R7127">
        <v>-5.1841819999999999E-3</v>
      </c>
      <c r="S7127">
        <v>3.0479129999999999</v>
      </c>
      <c r="T7127">
        <v>-5.9270259999999998E-2</v>
      </c>
      <c r="U7127">
        <v>-4.873657E-2</v>
      </c>
      <c r="V7127">
        <v>-9.6646129999999997E-2</v>
      </c>
      <c r="W7127">
        <v>0.1724424</v>
      </c>
      <c r="X7127">
        <v>0.98026690000000005</v>
      </c>
      <c r="Y7127">
        <v>-8.6783460000000007E-2</v>
      </c>
      <c r="Z7127">
        <v>2.0177070000000001E-3</v>
      </c>
      <c r="AA7127">
        <v>0.99622520000000003</v>
      </c>
      <c r="AB7127">
        <v>29</v>
      </c>
      <c r="AC7127">
        <v>57.0199</v>
      </c>
      <c r="AD7127">
        <v>-1.1118471773149901</v>
      </c>
      <c r="AE7127">
        <v>-0.89897999999998701</v>
      </c>
      <c r="AF7127">
        <v>-4.9615308505279803</v>
      </c>
      <c r="AG7127">
        <v>-1.1118471773149901</v>
      </c>
      <c r="AH7127">
        <v>56.788989896016503</v>
      </c>
      <c r="AI7127">
        <v>91.117370763361706</v>
      </c>
      <c r="AJ7127">
        <v>94.993129302227601</v>
      </c>
      <c r="AK7127">
        <v>57.016158814289703</v>
      </c>
      <c r="AL7127">
        <v>80.070144436166103</v>
      </c>
      <c r="AM7127">
        <v>95.630688407682598</v>
      </c>
      <c r="AN7127">
        <v>1.0000000254986701</v>
      </c>
    </row>
    <row r="7128" spans="1:40" x14ac:dyDescent="0.25">
      <c r="A7128" t="str">
        <f>"20190304154936830"</f>
        <v>20190304154936830</v>
      </c>
      <c r="B7128" t="str">
        <f>"1551685776824780"</f>
        <v>1551685776824780</v>
      </c>
      <c r="C7128" t="s">
        <v>40</v>
      </c>
      <c r="D7128">
        <v>4.4327880000000004</v>
      </c>
      <c r="E7128">
        <v>0.50272689999999998</v>
      </c>
      <c r="F7128" t="s">
        <v>104</v>
      </c>
      <c r="G7128">
        <v>-211.4494</v>
      </c>
      <c r="H7128" s="1">
        <v>-4.4808919999999999E-7</v>
      </c>
      <c r="I7128">
        <v>-63.605600000000003</v>
      </c>
      <c r="J7128">
        <v>-270.0478</v>
      </c>
      <c r="K7128">
        <v>1.1119019999999999</v>
      </c>
      <c r="L7128">
        <v>-62.685760000000002</v>
      </c>
      <c r="M7128">
        <v>0.99468369999999995</v>
      </c>
      <c r="N7128">
        <v>-1.3763279999999999E-2</v>
      </c>
      <c r="O7128">
        <v>-0.1020542</v>
      </c>
      <c r="P7128">
        <v>0.98721650000000005</v>
      </c>
      <c r="Q7128">
        <v>0.1593263</v>
      </c>
      <c r="R7128">
        <v>-4.3533879999999997E-3</v>
      </c>
      <c r="S7128">
        <v>3.0477910000000001</v>
      </c>
      <c r="T7128">
        <v>-5.7688000000000003E-2</v>
      </c>
      <c r="U7128">
        <v>-4.8461909999999997E-2</v>
      </c>
      <c r="V7128">
        <v>-9.6837300000000001E-2</v>
      </c>
      <c r="W7128">
        <v>0.17260490000000001</v>
      </c>
      <c r="X7128">
        <v>0.98021939999999996</v>
      </c>
      <c r="Y7128">
        <v>-8.6207370000000005E-2</v>
      </c>
      <c r="Z7128">
        <v>1.9309189999999999E-3</v>
      </c>
      <c r="AA7128">
        <v>0.99627540000000003</v>
      </c>
      <c r="AB7128">
        <v>29</v>
      </c>
      <c r="AC7128">
        <v>58.598399999999998</v>
      </c>
      <c r="AD7128">
        <v>-1.1119024480891999</v>
      </c>
      <c r="AE7128">
        <v>-0.91984000000000699</v>
      </c>
      <c r="AF7128">
        <v>-5.0639196050952799</v>
      </c>
      <c r="AG7128">
        <v>-1.1119024480891999</v>
      </c>
      <c r="AH7128">
        <v>58.365263528547999</v>
      </c>
      <c r="AI7128">
        <v>91.087312103802503</v>
      </c>
      <c r="AJ7128">
        <v>94.958710683787999</v>
      </c>
      <c r="AK7128">
        <v>58.595081667131304</v>
      </c>
      <c r="AL7128">
        <v>80.060691813847995</v>
      </c>
      <c r="AM7128">
        <v>95.6420259840245</v>
      </c>
      <c r="AN7128">
        <v>0.99999999315582899</v>
      </c>
    </row>
    <row r="7129" spans="1:40" x14ac:dyDescent="0.25">
      <c r="A7129" t="str">
        <f>"20190304154936842"</f>
        <v>20190304154936842</v>
      </c>
      <c r="B7129" t="str">
        <f>"1551685776834540"</f>
        <v>1551685776834540</v>
      </c>
      <c r="C7129" t="s">
        <v>40</v>
      </c>
      <c r="D7129">
        <v>4.3896160000000002</v>
      </c>
      <c r="E7129">
        <v>0.52409539999999999</v>
      </c>
      <c r="F7129" t="s">
        <v>104</v>
      </c>
      <c r="G7129">
        <v>-210.6542</v>
      </c>
      <c r="H7129" s="1">
        <v>-1.0003200000000001E-7</v>
      </c>
      <c r="I7129">
        <v>-63.579540000000001</v>
      </c>
      <c r="J7129">
        <v>-269.90230000000003</v>
      </c>
      <c r="K7129">
        <v>1.111964</v>
      </c>
      <c r="L7129">
        <v>-62.699890000000003</v>
      </c>
      <c r="M7129">
        <v>0.99476180000000003</v>
      </c>
      <c r="N7129">
        <v>-1.3732499999999899E-2</v>
      </c>
      <c r="O7129">
        <v>-0.10129440000000001</v>
      </c>
      <c r="P7129">
        <v>0.98720370000000002</v>
      </c>
      <c r="Q7129">
        <v>0.15942129999999999</v>
      </c>
      <c r="R7129">
        <v>-3.7463729999999999E-3</v>
      </c>
      <c r="S7129">
        <v>3.0478519999999998</v>
      </c>
      <c r="T7129">
        <v>-5.7058570000000003E-2</v>
      </c>
      <c r="U7129">
        <v>-4.586792E-2</v>
      </c>
      <c r="V7129">
        <v>-9.6717280000000003E-2</v>
      </c>
      <c r="W7129">
        <v>0.17265469999999999</v>
      </c>
      <c r="X7129">
        <v>0.9802225</v>
      </c>
      <c r="Y7129">
        <v>-8.6294969999999999E-2</v>
      </c>
      <c r="Z7129">
        <v>1.900524E-3</v>
      </c>
      <c r="AA7129">
        <v>0.99626780000000004</v>
      </c>
      <c r="AB7129">
        <v>29</v>
      </c>
      <c r="AC7129">
        <v>59.248100000000001</v>
      </c>
      <c r="AD7129">
        <v>-1.111964100032</v>
      </c>
      <c r="AE7129">
        <v>-0.87964999999999705</v>
      </c>
      <c r="AF7129">
        <v>-5.1251366633810198</v>
      </c>
      <c r="AG7129">
        <v>-1.111964100032</v>
      </c>
      <c r="AH7129">
        <v>59.0116301187484</v>
      </c>
      <c r="AI7129">
        <v>91.075456912561094</v>
      </c>
      <c r="AJ7129">
        <v>94.963660667836393</v>
      </c>
      <c r="AK7129">
        <v>59.2442062926837</v>
      </c>
      <c r="AL7129">
        <v>80.057795198667804</v>
      </c>
      <c r="AM7129">
        <v>95.6350605927462</v>
      </c>
      <c r="AN7129">
        <v>1.00000001359446</v>
      </c>
    </row>
    <row r="7130" spans="1:40" x14ac:dyDescent="0.25">
      <c r="A7130" t="str">
        <f>"20190304154936853"</f>
        <v>20190304154936853</v>
      </c>
      <c r="B7130" t="str">
        <f>"1551685776844300"</f>
        <v>1551685776844300</v>
      </c>
      <c r="C7130" t="s">
        <v>40</v>
      </c>
      <c r="D7130">
        <v>4.3778139999999999</v>
      </c>
      <c r="E7130">
        <v>0.52409539999999999</v>
      </c>
      <c r="F7130" t="s">
        <v>71</v>
      </c>
      <c r="G7130">
        <v>-157.9383</v>
      </c>
      <c r="H7130">
        <v>1.1371629999999999</v>
      </c>
      <c r="I7130">
        <v>-70.561709999999906</v>
      </c>
      <c r="J7130">
        <v>-269.76060000000001</v>
      </c>
      <c r="K7130">
        <v>1.112025</v>
      </c>
      <c r="L7130">
        <v>-62.713650000000001</v>
      </c>
      <c r="M7130">
        <v>0.99483920000000003</v>
      </c>
      <c r="N7130">
        <v>-1.3701390000000001E-2</v>
      </c>
      <c r="O7130">
        <v>-0.100536</v>
      </c>
      <c r="P7130">
        <v>0.9871896</v>
      </c>
      <c r="Q7130">
        <v>0.15952160000000001</v>
      </c>
      <c r="R7130">
        <v>-3.1343170000000002E-3</v>
      </c>
      <c r="S7130">
        <v>3.0379640000000001</v>
      </c>
      <c r="T7130">
        <v>6.8318839999999997E-4</v>
      </c>
      <c r="U7130">
        <v>-0.2133179</v>
      </c>
      <c r="V7130">
        <v>-9.6603700000000001E-2</v>
      </c>
      <c r="W7130">
        <v>0.17270920000000001</v>
      </c>
      <c r="X7130">
        <v>0.98022410000000004</v>
      </c>
      <c r="Y7130">
        <v>-3.0598810000000001E-2</v>
      </c>
      <c r="Z7130">
        <v>-1.194896E-3</v>
      </c>
      <c r="AA7130">
        <v>0.99953099999999995</v>
      </c>
      <c r="AB7130">
        <v>29</v>
      </c>
      <c r="AC7130">
        <v>111.8223</v>
      </c>
      <c r="AD7130">
        <v>2.5137999999999799E-2</v>
      </c>
      <c r="AE7130">
        <v>-7.8480599999999896</v>
      </c>
      <c r="AF7130">
        <v>-3.4349308516572301</v>
      </c>
      <c r="AG7130">
        <v>2.5137999999999799E-2</v>
      </c>
      <c r="AH7130">
        <v>112.044717899863</v>
      </c>
      <c r="AI7130">
        <v>89.987151336005198</v>
      </c>
      <c r="AJ7130">
        <v>91.755954439811504</v>
      </c>
      <c r="AK7130">
        <v>112.09736032188501</v>
      </c>
      <c r="AL7130">
        <v>80.0546249624513</v>
      </c>
      <c r="AM7130">
        <v>95.628476443925294</v>
      </c>
      <c r="AN7130">
        <v>1.00000001441957</v>
      </c>
    </row>
    <row r="7131" spans="1:40" x14ac:dyDescent="0.25">
      <c r="A7131" t="str">
        <f>"20190304154936863"</f>
        <v>20190304154936863</v>
      </c>
      <c r="B7131" t="str">
        <f>"1551685776854061"</f>
        <v>1551685776854061</v>
      </c>
      <c r="C7131" t="s">
        <v>40</v>
      </c>
      <c r="D7131">
        <v>4.4046310000000002</v>
      </c>
      <c r="E7131">
        <v>0.50259430000000005</v>
      </c>
      <c r="F7131" t="s">
        <v>71</v>
      </c>
      <c r="G7131">
        <v>-157.9383</v>
      </c>
      <c r="H7131">
        <v>1.1492880000000001</v>
      </c>
      <c r="I7131">
        <v>-70.498949999999994</v>
      </c>
      <c r="J7131">
        <v>-269.62470000000002</v>
      </c>
      <c r="K7131">
        <v>1.112087</v>
      </c>
      <c r="L7131">
        <v>-62.726559999999999</v>
      </c>
      <c r="M7131">
        <v>0.99491980000000002</v>
      </c>
      <c r="N7131">
        <v>-1.3667179999999999E-2</v>
      </c>
      <c r="O7131">
        <v>-9.9738950000000007E-2</v>
      </c>
      <c r="P7131">
        <v>0.9871491</v>
      </c>
      <c r="Q7131">
        <v>0.15978489999999901</v>
      </c>
      <c r="R7131">
        <v>-2.296434E-3</v>
      </c>
      <c r="S7131">
        <v>3.0380859999999998</v>
      </c>
      <c r="T7131">
        <v>1.0118480000000001E-3</v>
      </c>
      <c r="U7131">
        <v>-0.21151729999999999</v>
      </c>
      <c r="V7131">
        <v>-9.6674319999999994E-2</v>
      </c>
      <c r="W7131">
        <v>0.17292289999999999</v>
      </c>
      <c r="X7131">
        <v>0.98017940000000003</v>
      </c>
      <c r="Y7131">
        <v>-3.039029E-2</v>
      </c>
      <c r="Z7131">
        <v>-1.1946789999999999E-3</v>
      </c>
      <c r="AA7131">
        <v>0.99953740000000002</v>
      </c>
      <c r="AB7131">
        <v>29</v>
      </c>
      <c r="AC7131">
        <v>111.68640000000001</v>
      </c>
      <c r="AD7131">
        <v>3.7200999999999797E-2</v>
      </c>
      <c r="AE7131">
        <v>-7.7723899999999899</v>
      </c>
      <c r="AF7131">
        <v>-3.40689729047953</v>
      </c>
      <c r="AG7131">
        <v>3.7200999999999797E-2</v>
      </c>
      <c r="AH7131">
        <v>111.904657071526</v>
      </c>
      <c r="AI7131">
        <v>89.980961711896697</v>
      </c>
      <c r="AJ7131">
        <v>91.743810897560294</v>
      </c>
      <c r="AK7131">
        <v>111.956512125727</v>
      </c>
      <c r="AL7131">
        <v>80.042193217619001</v>
      </c>
      <c r="AM7131">
        <v>95.632819783583798</v>
      </c>
      <c r="AN7131">
        <v>0.99999995483811499</v>
      </c>
    </row>
    <row r="7132" spans="1:40" x14ac:dyDescent="0.25">
      <c r="A7132" t="str">
        <f>"20190304154936875"</f>
        <v>20190304154936875</v>
      </c>
      <c r="B7132" t="str">
        <f>"1551685776864797"</f>
        <v>1551685776864797</v>
      </c>
      <c r="C7132" t="s">
        <v>40</v>
      </c>
      <c r="D7132">
        <v>4.4006489999999996</v>
      </c>
      <c r="E7132">
        <v>0.4959945</v>
      </c>
      <c r="F7132" t="s">
        <v>104</v>
      </c>
      <c r="G7132">
        <v>-210.45650000000001</v>
      </c>
      <c r="H7132" s="1">
        <v>1.270007E-8</v>
      </c>
      <c r="I7132">
        <v>-63.474670000000003</v>
      </c>
      <c r="J7132">
        <v>-269.48129999999998</v>
      </c>
      <c r="K7132">
        <v>1.1121490000000001</v>
      </c>
      <c r="L7132">
        <v>-62.740139999999997</v>
      </c>
      <c r="M7132">
        <v>0.99500659999999996</v>
      </c>
      <c r="N7132">
        <v>-1.3630400000000001E-2</v>
      </c>
      <c r="O7132">
        <v>-9.887464E-2</v>
      </c>
      <c r="P7132">
        <v>0.98709809999999998</v>
      </c>
      <c r="Q7132">
        <v>0.1601071</v>
      </c>
      <c r="R7132">
        <v>-1.7753179999999999E-3</v>
      </c>
      <c r="S7132">
        <v>3.0482480000000001</v>
      </c>
      <c r="T7132">
        <v>-5.7292820000000001E-2</v>
      </c>
      <c r="U7132">
        <v>-3.8543699999999903E-2</v>
      </c>
      <c r="V7132">
        <v>-9.6364000000000005E-2</v>
      </c>
      <c r="W7132">
        <v>0.1731934</v>
      </c>
      <c r="X7132">
        <v>0.98016230000000004</v>
      </c>
      <c r="Y7132">
        <v>-8.6266819999999994E-2</v>
      </c>
      <c r="Z7132">
        <v>1.904696E-3</v>
      </c>
      <c r="AA7132">
        <v>0.99627019999999999</v>
      </c>
      <c r="AB7132">
        <v>29</v>
      </c>
      <c r="AC7132">
        <v>59.0247999999999</v>
      </c>
      <c r="AD7132">
        <v>-1.1121489872999299</v>
      </c>
      <c r="AE7132">
        <v>-0.73452999999999202</v>
      </c>
      <c r="AF7132">
        <v>-5.1038559563498902</v>
      </c>
      <c r="AG7132">
        <v>-1.1121489872999299</v>
      </c>
      <c r="AH7132">
        <v>58.787284080229099</v>
      </c>
      <c r="AI7132">
        <v>91.0797424382298</v>
      </c>
      <c r="AJ7132">
        <v>94.961923002970096</v>
      </c>
      <c r="AK7132">
        <v>59.018903670965301</v>
      </c>
      <c r="AL7132">
        <v>80.026458280812193</v>
      </c>
      <c r="AM7132">
        <v>95.6149517531871</v>
      </c>
      <c r="AN7132">
        <v>1.0000000543204199</v>
      </c>
    </row>
    <row r="7133" spans="1:40" x14ac:dyDescent="0.25">
      <c r="A7133" t="str">
        <f>"20190304154936886"</f>
        <v>20190304154936886</v>
      </c>
      <c r="B7133" t="str">
        <f>"1551685776874556"</f>
        <v>1551685776874556</v>
      </c>
      <c r="C7133" t="s">
        <v>40</v>
      </c>
      <c r="D7133">
        <v>4.4018790000000001</v>
      </c>
      <c r="E7133">
        <v>0.4926952</v>
      </c>
      <c r="F7133" t="s">
        <v>103</v>
      </c>
      <c r="G7133">
        <v>-229.19239999999999</v>
      </c>
      <c r="H7133" s="1">
        <v>-3.425008E-6</v>
      </c>
      <c r="I7133">
        <v>-62.5387699999999</v>
      </c>
      <c r="J7133">
        <v>-269.33839999999998</v>
      </c>
      <c r="K7133">
        <v>1.112212</v>
      </c>
      <c r="L7133">
        <v>-62.753419999999998</v>
      </c>
      <c r="M7133">
        <v>0.99509760000000003</v>
      </c>
      <c r="N7133">
        <v>-1.359233E-2</v>
      </c>
      <c r="O7133">
        <v>-9.7959679999999993E-2</v>
      </c>
      <c r="P7133">
        <v>0.98707</v>
      </c>
      <c r="Q7133">
        <v>0.1602856</v>
      </c>
      <c r="R7133">
        <v>-1.328346E-3</v>
      </c>
      <c r="S7133">
        <v>3.0528559999999998</v>
      </c>
      <c r="T7133">
        <v>-8.4272379999999994E-2</v>
      </c>
      <c r="U7133">
        <v>1.525879E-2</v>
      </c>
      <c r="V7133">
        <v>-9.5931840000000004E-2</v>
      </c>
      <c r="W7133">
        <v>0.17332020000000001</v>
      </c>
      <c r="X7133">
        <v>0.9801822</v>
      </c>
      <c r="Y7133">
        <v>-0.1028736</v>
      </c>
      <c r="Z7133">
        <v>3.4865339999999999E-3</v>
      </c>
      <c r="AA7133">
        <v>0.99468829999999997</v>
      </c>
      <c r="AB7133">
        <v>29</v>
      </c>
      <c r="AC7133">
        <v>40.146000000000001</v>
      </c>
      <c r="AD7133">
        <v>-1.1122154250080001</v>
      </c>
      <c r="AE7133">
        <v>0.214650000000006</v>
      </c>
      <c r="AF7133">
        <v>-4.1434897620592697</v>
      </c>
      <c r="AG7133">
        <v>-1.1122154250080001</v>
      </c>
      <c r="AH7133">
        <v>39.901224069707403</v>
      </c>
      <c r="AI7133">
        <v>91.588126206296707</v>
      </c>
      <c r="AJ7133">
        <v>95.928555059134396</v>
      </c>
      <c r="AK7133">
        <v>40.131199992286803</v>
      </c>
      <c r="AL7133">
        <v>80.019080841401902</v>
      </c>
      <c r="AM7133">
        <v>95.589817663247203</v>
      </c>
      <c r="AN7133">
        <v>0.99999997742533198</v>
      </c>
    </row>
    <row r="7134" spans="1:40" x14ac:dyDescent="0.25">
      <c r="A7134" t="str">
        <f>"20190304154936897"</f>
        <v>20190304154936897</v>
      </c>
      <c r="B7134" t="str">
        <f>"1551685776894076"</f>
        <v>1551685776894076</v>
      </c>
      <c r="C7134" t="s">
        <v>40</v>
      </c>
      <c r="D7134">
        <v>4.3692909999999996</v>
      </c>
      <c r="E7134">
        <v>0.48928830000000001</v>
      </c>
      <c r="F7134" t="s">
        <v>103</v>
      </c>
      <c r="G7134">
        <v>-229.78139999999999</v>
      </c>
      <c r="H7134" s="1">
        <v>-3.579814E-6</v>
      </c>
      <c r="I7134">
        <v>-62.197519999999997</v>
      </c>
      <c r="J7134">
        <v>-269.1927</v>
      </c>
      <c r="K7134">
        <v>1.112274</v>
      </c>
      <c r="L7134">
        <v>-62.766779999999997</v>
      </c>
      <c r="M7134">
        <v>0.99519310000000005</v>
      </c>
      <c r="N7134">
        <v>-1.3554419999999999E-2</v>
      </c>
      <c r="O7134">
        <v>-9.6989329999999999E-2</v>
      </c>
      <c r="P7134">
        <v>0.98703680000000005</v>
      </c>
      <c r="Q7134">
        <v>0.1604931</v>
      </c>
      <c r="R7134">
        <v>-5.5043309999999995E-4</v>
      </c>
      <c r="S7134">
        <v>3.0532530000000002</v>
      </c>
      <c r="T7134">
        <v>-8.5847619999999999E-2</v>
      </c>
      <c r="U7134">
        <v>4.2907710000000002E-2</v>
      </c>
      <c r="V7134">
        <v>-9.5773520000000001E-2</v>
      </c>
      <c r="W7134">
        <v>0.17347560000000001</v>
      </c>
      <c r="X7134">
        <v>0.98017019999999999</v>
      </c>
      <c r="Y7134">
        <v>-0.110899</v>
      </c>
      <c r="Z7134">
        <v>3.7183250000000002E-3</v>
      </c>
      <c r="AA7134">
        <v>0.99382470000000001</v>
      </c>
      <c r="AB7134">
        <v>29</v>
      </c>
      <c r="AC7134">
        <v>39.411299999999997</v>
      </c>
      <c r="AD7134">
        <v>-1.1122775798140001</v>
      </c>
      <c r="AE7134">
        <v>0.56926000000000698</v>
      </c>
      <c r="AF7134">
        <v>-4.3859098891897501</v>
      </c>
      <c r="AG7134">
        <v>-1.1122775798140001</v>
      </c>
      <c r="AH7134">
        <v>39.139073171085201</v>
      </c>
      <c r="AI7134">
        <v>91.617707639669007</v>
      </c>
      <c r="AJ7134">
        <v>96.393869269296303</v>
      </c>
      <c r="AK7134">
        <v>39.399751467010702</v>
      </c>
      <c r="AL7134">
        <v>80.010040212975596</v>
      </c>
      <c r="AM7134">
        <v>95.580718745870698</v>
      </c>
      <c r="AN7134">
        <v>0.99999998594829498</v>
      </c>
    </row>
    <row r="7135" spans="1:40" x14ac:dyDescent="0.25">
      <c r="A7135" t="str">
        <f>"20190304154936908"</f>
        <v>20190304154936908</v>
      </c>
      <c r="B7135" t="str">
        <f>"1551685776904812"</f>
        <v>1551685776904812</v>
      </c>
      <c r="C7135" t="s">
        <v>40</v>
      </c>
      <c r="D7135">
        <v>4.375578</v>
      </c>
      <c r="E7135">
        <v>0.48874109999999998</v>
      </c>
      <c r="F7135" t="s">
        <v>102</v>
      </c>
      <c r="G7135">
        <v>-231.4213</v>
      </c>
      <c r="H7135" s="1">
        <v>6.850996E-9</v>
      </c>
      <c r="I7135">
        <v>-61.872970000000002</v>
      </c>
      <c r="J7135">
        <v>-269.04129999999998</v>
      </c>
      <c r="K7135">
        <v>1.1123369999999999</v>
      </c>
      <c r="L7135">
        <v>-62.780549999999998</v>
      </c>
      <c r="M7135">
        <v>0.99529500000000004</v>
      </c>
      <c r="N7135">
        <v>-1.351582E-2</v>
      </c>
      <c r="O7135">
        <v>-9.5943650000000005E-2</v>
      </c>
      <c r="P7135">
        <v>0.98702219999999996</v>
      </c>
      <c r="Q7135">
        <v>0.1605847</v>
      </c>
      <c r="R7135" s="1">
        <v>-1.2046189999999999E-5</v>
      </c>
      <c r="S7135">
        <v>3.0540769999999999</v>
      </c>
      <c r="T7135">
        <v>-8.9934829999999993E-2</v>
      </c>
      <c r="U7135">
        <v>7.2265629999999997E-2</v>
      </c>
      <c r="V7135">
        <v>-9.5304520000000004E-2</v>
      </c>
      <c r="W7135">
        <v>0.17351549999999999</v>
      </c>
      <c r="X7135">
        <v>0.98020890000000005</v>
      </c>
      <c r="Y7135">
        <v>-0.1193843</v>
      </c>
      <c r="Z7135">
        <v>4.0885599999999998E-3</v>
      </c>
      <c r="AA7135">
        <v>0.99283969999999999</v>
      </c>
      <c r="AB7135">
        <v>29</v>
      </c>
      <c r="AC7135">
        <v>37.619999999999898</v>
      </c>
      <c r="AD7135">
        <v>-1.1123369931489999</v>
      </c>
      <c r="AE7135">
        <v>0.90758000000000205</v>
      </c>
      <c r="AF7135">
        <v>-4.5091823388279</v>
      </c>
      <c r="AG7135">
        <v>-1.1123369931489999</v>
      </c>
      <c r="AH7135">
        <v>37.326720032243102</v>
      </c>
      <c r="AI7135">
        <v>91.694597305203203</v>
      </c>
      <c r="AJ7135">
        <v>96.888128389880606</v>
      </c>
      <c r="AK7135">
        <v>37.614545688025899</v>
      </c>
      <c r="AL7135">
        <v>80.007719392573094</v>
      </c>
      <c r="AM7135">
        <v>95.553343508586195</v>
      </c>
      <c r="AN7135">
        <v>1.0000000339559401</v>
      </c>
    </row>
    <row r="7136" spans="1:40" x14ac:dyDescent="0.25">
      <c r="A7136" t="str">
        <f>"20190304154936921"</f>
        <v>20190304154936921</v>
      </c>
      <c r="B7136" t="str">
        <f>"1551685776914571"</f>
        <v>1551685776914571</v>
      </c>
      <c r="C7136" t="s">
        <v>40</v>
      </c>
      <c r="D7136">
        <v>4.3682040000000004</v>
      </c>
      <c r="E7136">
        <v>0.48827189999999998</v>
      </c>
      <c r="F7136" t="s">
        <v>102</v>
      </c>
      <c r="G7136">
        <v>-230.4495</v>
      </c>
      <c r="H7136" s="1">
        <v>4.4517680000000001E-7</v>
      </c>
      <c r="I7136">
        <v>-61.792430000000003</v>
      </c>
      <c r="J7136">
        <v>-268.88780000000003</v>
      </c>
      <c r="K7136">
        <v>1.112398</v>
      </c>
      <c r="L7136">
        <v>-62.794220000000003</v>
      </c>
      <c r="M7136">
        <v>0.99540300000000004</v>
      </c>
      <c r="N7136">
        <v>-1.3476810000000001E-2</v>
      </c>
      <c r="O7136">
        <v>-9.482256E-2</v>
      </c>
      <c r="P7136">
        <v>0.9869909</v>
      </c>
      <c r="Q7136">
        <v>0.16077529999999901</v>
      </c>
      <c r="R7136">
        <v>6.5934700000000001E-4</v>
      </c>
      <c r="S7136">
        <v>3.0538020000000001</v>
      </c>
      <c r="T7136">
        <v>-8.8020089999999995E-2</v>
      </c>
      <c r="U7136">
        <v>7.8186039999999998E-2</v>
      </c>
      <c r="V7136">
        <v>-9.4891790000000004E-2</v>
      </c>
      <c r="W7136">
        <v>0.17365459999999999</v>
      </c>
      <c r="X7136">
        <v>0.98022430000000005</v>
      </c>
      <c r="Y7136">
        <v>-0.12019489999999899</v>
      </c>
      <c r="Z7136">
        <v>3.993033E-3</v>
      </c>
      <c r="AA7136">
        <v>0.99274229999999997</v>
      </c>
      <c r="AB7136">
        <v>29</v>
      </c>
      <c r="AC7136">
        <v>38.438299999999998</v>
      </c>
      <c r="AD7136">
        <v>-1.1123975548231999</v>
      </c>
      <c r="AE7136">
        <v>1.00178999999999</v>
      </c>
      <c r="AF7136">
        <v>-4.6385420103031096</v>
      </c>
      <c r="AG7136">
        <v>-1.1123975548231999</v>
      </c>
      <c r="AH7136">
        <v>38.138152354130398</v>
      </c>
      <c r="AI7136">
        <v>91.658490735447899</v>
      </c>
      <c r="AJ7136">
        <v>96.934523702736996</v>
      </c>
      <c r="AK7136">
        <v>38.435298428504296</v>
      </c>
      <c r="AL7136">
        <v>79.999626604331496</v>
      </c>
      <c r="AM7136">
        <v>95.529356987102901</v>
      </c>
      <c r="AN7136">
        <v>1.0000000251105201</v>
      </c>
    </row>
    <row r="7137" spans="1:40" x14ac:dyDescent="0.25">
      <c r="A7137" t="str">
        <f>"20190304154936933"</f>
        <v>20190304154936933</v>
      </c>
      <c r="B7137" t="str">
        <f>"1551685776924332"</f>
        <v>1551685776924332</v>
      </c>
      <c r="C7137" t="s">
        <v>40</v>
      </c>
      <c r="D7137">
        <v>4.3663559999999997</v>
      </c>
      <c r="E7137">
        <v>0.48736239999999997</v>
      </c>
      <c r="F7137" t="s">
        <v>103</v>
      </c>
      <c r="G7137">
        <v>-229.8066</v>
      </c>
      <c r="H7137" s="1">
        <v>-3.524948E-6</v>
      </c>
      <c r="I7137">
        <v>-61.722909999999999</v>
      </c>
      <c r="J7137">
        <v>-268.73500000000001</v>
      </c>
      <c r="K7137">
        <v>1.1124529999999999</v>
      </c>
      <c r="L7137">
        <v>-62.807679999999998</v>
      </c>
      <c r="M7137">
        <v>0.99551120000000004</v>
      </c>
      <c r="N7137">
        <v>-1.343803E-2</v>
      </c>
      <c r="O7137">
        <v>-9.3683740000000001E-2</v>
      </c>
      <c r="P7137">
        <v>0.9869694</v>
      </c>
      <c r="Q7137">
        <v>0.16090209999999999</v>
      </c>
      <c r="R7137">
        <v>1.3417030000000001E-3</v>
      </c>
      <c r="S7137">
        <v>3.0537109999999998</v>
      </c>
      <c r="T7137">
        <v>-8.6920380000000005E-2</v>
      </c>
      <c r="U7137">
        <v>8.3709720000000001E-2</v>
      </c>
      <c r="V7137">
        <v>-9.4471680000000002E-2</v>
      </c>
      <c r="W7137">
        <v>0.17373060000000001</v>
      </c>
      <c r="X7137">
        <v>0.98025139999999999</v>
      </c>
      <c r="Y7137">
        <v>-0.120856199999999</v>
      </c>
      <c r="Z7137">
        <v>3.9356950000000003E-3</v>
      </c>
      <c r="AA7137">
        <v>0.9926623</v>
      </c>
      <c r="AB7137">
        <v>29</v>
      </c>
      <c r="AC7137">
        <v>38.928400000000003</v>
      </c>
      <c r="AD7137">
        <v>-1.1124565249480001</v>
      </c>
      <c r="AE7137">
        <v>1.08477</v>
      </c>
      <c r="AF7137">
        <v>-4.7234318012434402</v>
      </c>
      <c r="AG7137">
        <v>-1.1124565249480001</v>
      </c>
      <c r="AH7137">
        <v>38.624010042781599</v>
      </c>
      <c r="AI7137">
        <v>91.637595137404006</v>
      </c>
      <c r="AJ7137">
        <v>96.972231447852494</v>
      </c>
      <c r="AK7137">
        <v>38.9276575108982</v>
      </c>
      <c r="AL7137">
        <v>79.995204797307395</v>
      </c>
      <c r="AM7137">
        <v>95.504876576542898</v>
      </c>
      <c r="AN7137">
        <v>1.0000000134501701</v>
      </c>
    </row>
    <row r="7138" spans="1:40" x14ac:dyDescent="0.25">
      <c r="A7138" t="str">
        <f>"20190304154936943"</f>
        <v>20190304154936943</v>
      </c>
      <c r="B7138" t="str">
        <f>"1551685776934092"</f>
        <v>1551685776934092</v>
      </c>
      <c r="C7138" t="s">
        <v>40</v>
      </c>
      <c r="D7138">
        <v>4.3885449999999997</v>
      </c>
      <c r="E7138">
        <v>0.48670609999999997</v>
      </c>
      <c r="F7138" t="s">
        <v>102</v>
      </c>
      <c r="G7138">
        <v>-231.03290000000001</v>
      </c>
      <c r="H7138" s="1">
        <v>2.2930949999999999E-7</v>
      </c>
      <c r="I7138">
        <v>-61.663130000000002</v>
      </c>
      <c r="J7138">
        <v>-268.59120000000001</v>
      </c>
      <c r="K7138">
        <v>1.1125039999999999</v>
      </c>
      <c r="L7138">
        <v>-62.820039999999999</v>
      </c>
      <c r="M7138">
        <v>0.99561730000000004</v>
      </c>
      <c r="N7138">
        <v>-1.3402209999999999E-2</v>
      </c>
      <c r="O7138">
        <v>-9.2555659999999998E-2</v>
      </c>
      <c r="P7138">
        <v>0.98697789999999996</v>
      </c>
      <c r="Q7138">
        <v>0.16084619999999999</v>
      </c>
      <c r="R7138">
        <v>1.765696E-3</v>
      </c>
      <c r="S7138">
        <v>3.0541689999999999</v>
      </c>
      <c r="T7138">
        <v>-9.0117450000000002E-2</v>
      </c>
      <c r="U7138">
        <v>9.27124E-2</v>
      </c>
      <c r="V7138">
        <v>-9.3805399999999997E-2</v>
      </c>
      <c r="W7138">
        <v>0.1736306</v>
      </c>
      <c r="X7138">
        <v>0.98033309999999996</v>
      </c>
      <c r="Y7138">
        <v>-0.12264369999999999</v>
      </c>
      <c r="Z7138">
        <v>4.1177200000000001E-3</v>
      </c>
      <c r="AA7138">
        <v>0.9924423</v>
      </c>
      <c r="AB7138">
        <v>29</v>
      </c>
      <c r="AC7138">
        <v>37.558300000000003</v>
      </c>
      <c r="AD7138">
        <v>-1.1125037706904899</v>
      </c>
      <c r="AE7138">
        <v>1.1569100000000001</v>
      </c>
      <c r="AF7138">
        <v>-4.6244350366400901</v>
      </c>
      <c r="AG7138">
        <v>-1.1125037706904899</v>
      </c>
      <c r="AH7138">
        <v>37.257306153219602</v>
      </c>
      <c r="AI7138">
        <v>91.697327734195198</v>
      </c>
      <c r="AJ7138">
        <v>97.075454534245594</v>
      </c>
      <c r="AK7138">
        <v>37.559684847488199</v>
      </c>
      <c r="AL7138">
        <v>80.001022788755094</v>
      </c>
      <c r="AM7138">
        <v>95.465835547167103</v>
      </c>
      <c r="AN7138">
        <v>1.0000000126405599</v>
      </c>
    </row>
    <row r="7139" spans="1:40" x14ac:dyDescent="0.25">
      <c r="A7139" t="str">
        <f>"20190304154936955"</f>
        <v>20190304154936955</v>
      </c>
      <c r="B7139" t="str">
        <f>"1551685776944828"</f>
        <v>1551685776944828</v>
      </c>
      <c r="C7139" t="s">
        <v>40</v>
      </c>
      <c r="D7139">
        <v>4.385103</v>
      </c>
      <c r="E7139">
        <v>0.48666029999999999</v>
      </c>
      <c r="F7139" t="s">
        <v>102</v>
      </c>
      <c r="G7139">
        <v>-231.97370000000001</v>
      </c>
      <c r="H7139" s="1">
        <v>-1.6623789999999999E-7</v>
      </c>
      <c r="I7139">
        <v>-61.632809999999999</v>
      </c>
      <c r="J7139">
        <v>-268.44529999999997</v>
      </c>
      <c r="K7139">
        <v>1.112554</v>
      </c>
      <c r="L7139">
        <v>-62.83249</v>
      </c>
      <c r="M7139">
        <v>0.99572550000000004</v>
      </c>
      <c r="N7139">
        <v>-1.336553E-2</v>
      </c>
      <c r="O7139">
        <v>-9.1390280000000004E-2</v>
      </c>
      <c r="P7139">
        <v>0.98693850000000005</v>
      </c>
      <c r="Q7139">
        <v>0.1610781</v>
      </c>
      <c r="R7139">
        <v>2.4944429999999998E-3</v>
      </c>
      <c r="S7139">
        <v>3.054535</v>
      </c>
      <c r="T7139">
        <v>-9.2802049999999997E-2</v>
      </c>
      <c r="U7139">
        <v>9.9029539999999999E-2</v>
      </c>
      <c r="V7139">
        <v>-9.3401219999999993E-2</v>
      </c>
      <c r="W7139">
        <v>0.17381559999999999</v>
      </c>
      <c r="X7139">
        <v>0.98033890000000001</v>
      </c>
      <c r="Y7139">
        <v>-0.1235232</v>
      </c>
      <c r="Z7139">
        <v>4.2529619999999999E-3</v>
      </c>
      <c r="AA7139">
        <v>0.99233260000000001</v>
      </c>
      <c r="AB7139">
        <v>29</v>
      </c>
      <c r="AC7139">
        <v>36.471599999999903</v>
      </c>
      <c r="AD7139">
        <v>-1.1125541662378999</v>
      </c>
      <c r="AE7139">
        <v>1.1996800000000001</v>
      </c>
      <c r="AF7139">
        <v>-4.5239008600363197</v>
      </c>
      <c r="AG7139">
        <v>-1.1125541662378999</v>
      </c>
      <c r="AH7139">
        <v>36.175669358029602</v>
      </c>
      <c r="AI7139">
        <v>91.747925428808898</v>
      </c>
      <c r="AJ7139">
        <v>97.128045086026404</v>
      </c>
      <c r="AK7139">
        <v>36.474408963898703</v>
      </c>
      <c r="AL7139">
        <v>79.990259327972296</v>
      </c>
      <c r="AM7139">
        <v>95.442394565721003</v>
      </c>
      <c r="AN7139">
        <v>1.0000000047770199</v>
      </c>
    </row>
    <row r="7140" spans="1:40" x14ac:dyDescent="0.25">
      <c r="A7140" t="str">
        <f>"20190304154936965"</f>
        <v>20190304154936965</v>
      </c>
      <c r="B7140" t="str">
        <f>"1551685776954589"</f>
        <v>1551685776954589</v>
      </c>
      <c r="C7140" t="s">
        <v>40</v>
      </c>
      <c r="D7140">
        <v>4.3708239999999998</v>
      </c>
      <c r="E7140">
        <v>0.48616549999999997</v>
      </c>
      <c r="F7140" t="s">
        <v>102</v>
      </c>
      <c r="G7140">
        <v>-231.2877</v>
      </c>
      <c r="H7140" s="1">
        <v>1.3772380000000001E-7</v>
      </c>
      <c r="I7140">
        <v>-61.596510000000002</v>
      </c>
      <c r="J7140">
        <v>-268.31880000000001</v>
      </c>
      <c r="K7140">
        <v>1.1125929999999999</v>
      </c>
      <c r="L7140">
        <v>-62.84308</v>
      </c>
      <c r="M7140">
        <v>0.99582090000000001</v>
      </c>
      <c r="N7140">
        <v>-1.333344E-2</v>
      </c>
      <c r="O7140">
        <v>-9.0349860000000004E-2</v>
      </c>
      <c r="P7140">
        <v>0.98688609999999999</v>
      </c>
      <c r="Q7140">
        <v>0.16138729999999901</v>
      </c>
      <c r="R7140">
        <v>3.1638479999999999E-3</v>
      </c>
      <c r="S7140">
        <v>3.0543819999999999</v>
      </c>
      <c r="T7140">
        <v>-9.1452720000000001E-2</v>
      </c>
      <c r="U7140">
        <v>0.101593</v>
      </c>
      <c r="V7140">
        <v>-9.3055929999999995E-2</v>
      </c>
      <c r="W7140">
        <v>0.17408470000000001</v>
      </c>
      <c r="X7140">
        <v>0.98032399999999997</v>
      </c>
      <c r="Y7140">
        <v>-0.1233228</v>
      </c>
      <c r="Z7140">
        <v>4.1650709999999898E-3</v>
      </c>
      <c r="AA7140">
        <v>0.99235790000000001</v>
      </c>
      <c r="AB7140">
        <v>29</v>
      </c>
      <c r="AC7140">
        <v>37.031100000000002</v>
      </c>
      <c r="AD7140">
        <v>-1.11259286227619</v>
      </c>
      <c r="AE7140">
        <v>1.2465700000000099</v>
      </c>
      <c r="AF7140">
        <v>-4.5833899334038604</v>
      </c>
      <c r="AG7140">
        <v>-1.11259286227619</v>
      </c>
      <c r="AH7140">
        <v>36.733859848211601</v>
      </c>
      <c r="AI7140">
        <v>91.721500130813894</v>
      </c>
      <c r="AJ7140">
        <v>97.112203859718903</v>
      </c>
      <c r="AK7140">
        <v>37.035412587236998</v>
      </c>
      <c r="AL7140">
        <v>79.974602457486</v>
      </c>
      <c r="AM7140">
        <v>95.422476930628704</v>
      </c>
      <c r="AN7140">
        <v>1.0000000169291201</v>
      </c>
    </row>
    <row r="7141" spans="1:40" x14ac:dyDescent="0.25">
      <c r="A7141" t="str">
        <f>"20190304154936977"</f>
        <v>20190304154936977</v>
      </c>
      <c r="B7141" t="str">
        <f>"1551685776974109"</f>
        <v>1551685776974109</v>
      </c>
      <c r="C7141" t="s">
        <v>40</v>
      </c>
      <c r="D7141">
        <v>4.3790079999999998</v>
      </c>
      <c r="E7141">
        <v>0.48630760000000001</v>
      </c>
      <c r="F7141" t="s">
        <v>102</v>
      </c>
      <c r="G7141">
        <v>-231.52289999999999</v>
      </c>
      <c r="H7141" s="1">
        <v>4.9240270000000003E-8</v>
      </c>
      <c r="I7141">
        <v>-61.549750000000003</v>
      </c>
      <c r="J7141">
        <v>-268.17070000000001</v>
      </c>
      <c r="K7141">
        <v>1.112636</v>
      </c>
      <c r="L7141">
        <v>-62.855289999999997</v>
      </c>
      <c r="M7141">
        <v>0.99593319999999996</v>
      </c>
      <c r="N7141">
        <v>-1.329495E-2</v>
      </c>
      <c r="O7141">
        <v>-8.9109229999999998E-2</v>
      </c>
      <c r="P7141">
        <v>0.98682309999999995</v>
      </c>
      <c r="Q7141">
        <v>0.16175049999999999</v>
      </c>
      <c r="R7141">
        <v>4.119714E-3</v>
      </c>
      <c r="S7141">
        <v>3.0546259999999998</v>
      </c>
      <c r="T7141">
        <v>-9.2362399999999997E-2</v>
      </c>
      <c r="U7141">
        <v>0.10736080000000001</v>
      </c>
      <c r="V7141">
        <v>-9.280012E-2</v>
      </c>
      <c r="W7141">
        <v>0.17439969999999999</v>
      </c>
      <c r="X7141">
        <v>0.98029230000000001</v>
      </c>
      <c r="Y7141">
        <v>-0.12395340000000001</v>
      </c>
      <c r="Z7141">
        <v>4.2038709999999996E-3</v>
      </c>
      <c r="AA7141">
        <v>0.99227909999999997</v>
      </c>
      <c r="AB7141">
        <v>29</v>
      </c>
      <c r="AC7141">
        <v>36.647799999999997</v>
      </c>
      <c r="AD7141">
        <v>-1.1126359507597301</v>
      </c>
      <c r="AE7141">
        <v>1.3055399999999999</v>
      </c>
      <c r="AF7141">
        <v>-4.5620913537806604</v>
      </c>
      <c r="AG7141">
        <v>-1.1126359507597301</v>
      </c>
      <c r="AH7141">
        <v>36.352173239113597</v>
      </c>
      <c r="AI7141">
        <v>91.739476518305196</v>
      </c>
      <c r="AJ7141">
        <v>97.153056682928394</v>
      </c>
      <c r="AK7141">
        <v>36.654210337772803</v>
      </c>
      <c r="AL7141">
        <v>79.956274304001198</v>
      </c>
      <c r="AM7141">
        <v>95.407832903203101</v>
      </c>
      <c r="AN7141">
        <v>1.00000005553569</v>
      </c>
    </row>
    <row r="7142" spans="1:40" x14ac:dyDescent="0.25">
      <c r="A7142" t="str">
        <f>"20190304154936987"</f>
        <v>20190304154936987</v>
      </c>
      <c r="B7142" t="str">
        <f>"1551685776984844"</f>
        <v>1551685776984844</v>
      </c>
      <c r="C7142" t="s">
        <v>40</v>
      </c>
      <c r="D7142">
        <v>4.3866360000000002</v>
      </c>
      <c r="E7142">
        <v>0.48641259999999997</v>
      </c>
      <c r="F7142" t="s">
        <v>103</v>
      </c>
      <c r="G7142">
        <v>-229.8527</v>
      </c>
      <c r="H7142" s="1">
        <v>-3.5088420000000001E-6</v>
      </c>
      <c r="I7142">
        <v>-61.484969999999997</v>
      </c>
      <c r="J7142">
        <v>-268.02809999999999</v>
      </c>
      <c r="K7142">
        <v>1.1126739999999999</v>
      </c>
      <c r="L7142">
        <v>-62.866849999999999</v>
      </c>
      <c r="M7142">
        <v>0.99604199999999998</v>
      </c>
      <c r="N7142">
        <v>-1.325696E-2</v>
      </c>
      <c r="O7142">
        <v>-8.7890969999999999E-2</v>
      </c>
      <c r="P7142">
        <v>0.98672340000000003</v>
      </c>
      <c r="Q7142">
        <v>0.16232559999999999</v>
      </c>
      <c r="R7142">
        <v>5.2232169999999996E-3</v>
      </c>
      <c r="S7142">
        <v>3.0541689999999999</v>
      </c>
      <c r="T7142">
        <v>-8.8683960000000006E-2</v>
      </c>
      <c r="U7142">
        <v>0.1092224</v>
      </c>
      <c r="V7142">
        <v>-9.2709029999999998E-2</v>
      </c>
      <c r="W7142">
        <v>0.17492750000000001</v>
      </c>
      <c r="X7142">
        <v>0.98020680000000004</v>
      </c>
      <c r="Y7142">
        <v>-0.1233566</v>
      </c>
      <c r="Z7142">
        <v>3.9921039999999998E-3</v>
      </c>
      <c r="AA7142">
        <v>0.99235439999999997</v>
      </c>
      <c r="AB7142">
        <v>29</v>
      </c>
      <c r="AC7142">
        <v>38.175400000000003</v>
      </c>
      <c r="AD7142">
        <v>-1.112677508842</v>
      </c>
      <c r="AE7142">
        <v>1.38188</v>
      </c>
      <c r="AF7142">
        <v>-4.72808741392992</v>
      </c>
      <c r="AG7142">
        <v>-1.112677508842</v>
      </c>
      <c r="AH7142">
        <v>37.8740411359232</v>
      </c>
      <c r="AI7142">
        <v>91.669818701779903</v>
      </c>
      <c r="AJ7142">
        <v>97.115829183798098</v>
      </c>
      <c r="AK7142">
        <v>38.184235671256403</v>
      </c>
      <c r="AL7142">
        <v>79.925560738392704</v>
      </c>
      <c r="AM7142">
        <v>95.403024606092103</v>
      </c>
      <c r="AN7142">
        <v>0.99999998263301504</v>
      </c>
    </row>
    <row r="7143" spans="1:40" x14ac:dyDescent="0.25">
      <c r="A7143" t="str">
        <f>"20190304154936999"</f>
        <v>20190304154936999</v>
      </c>
      <c r="B7143" t="str">
        <f>"1551685776994608"</f>
        <v>1551685776994608</v>
      </c>
      <c r="C7143" t="s">
        <v>40</v>
      </c>
      <c r="D7143">
        <v>4.4107419999999999</v>
      </c>
      <c r="E7143">
        <v>0.48606779999999999</v>
      </c>
      <c r="F7143" t="s">
        <v>103</v>
      </c>
      <c r="G7143">
        <v>-228.62280000000001</v>
      </c>
      <c r="H7143" s="1">
        <v>-3.049354E-6</v>
      </c>
      <c r="I7143">
        <v>-61.427630000000001</v>
      </c>
      <c r="J7143">
        <v>-267.88459999999998</v>
      </c>
      <c r="K7143">
        <v>1.1127129999999901</v>
      </c>
      <c r="L7143">
        <v>-62.878230000000002</v>
      </c>
      <c r="M7143">
        <v>0.99615209999999998</v>
      </c>
      <c r="N7143">
        <v>-1.3219079999999999E-2</v>
      </c>
      <c r="O7143">
        <v>-8.6640099999999998E-2</v>
      </c>
      <c r="P7143">
        <v>0.98667439999999995</v>
      </c>
      <c r="Q7143">
        <v>0.162577799999999</v>
      </c>
      <c r="R7143">
        <v>6.4995469999999996E-3</v>
      </c>
      <c r="S7143">
        <v>3.0539550000000002</v>
      </c>
      <c r="T7143">
        <v>-8.6233850000000001E-2</v>
      </c>
      <c r="U7143">
        <v>0.11154169999999999</v>
      </c>
      <c r="V7143">
        <v>-9.2759809999999998E-2</v>
      </c>
      <c r="W7143">
        <v>0.17513310000000001</v>
      </c>
      <c r="X7143">
        <v>0.98016530000000002</v>
      </c>
      <c r="Y7143">
        <v>-0.12287049999999999</v>
      </c>
      <c r="Z7143">
        <v>3.8447949999999998E-3</v>
      </c>
      <c r="AA7143">
        <v>0.99241520000000005</v>
      </c>
      <c r="AB7143">
        <v>29</v>
      </c>
      <c r="AC7143">
        <v>39.261799999999901</v>
      </c>
      <c r="AD7143">
        <v>-1.11271604935399</v>
      </c>
      <c r="AE7143">
        <v>1.4505999999999899</v>
      </c>
      <c r="AF7143">
        <v>-4.8432026106786097</v>
      </c>
      <c r="AG7143">
        <v>-1.11271604935399</v>
      </c>
      <c r="AH7143">
        <v>38.957197926123101</v>
      </c>
      <c r="AI7143">
        <v>91.623575575214105</v>
      </c>
      <c r="AJ7143">
        <v>97.086714802101994</v>
      </c>
      <c r="AK7143">
        <v>39.2728661901536</v>
      </c>
      <c r="AL7143">
        <v>79.913596206204502</v>
      </c>
      <c r="AM7143">
        <v>95.406194036577304</v>
      </c>
      <c r="AN7143">
        <v>1.0000000001954601</v>
      </c>
    </row>
    <row r="7144" spans="1:40" x14ac:dyDescent="0.25">
      <c r="A7144" t="str">
        <f>"20190304154937010"</f>
        <v>20190304154937010</v>
      </c>
      <c r="B7144" t="str">
        <f>"1551685777004364"</f>
        <v>1551685777004364</v>
      </c>
      <c r="C7144" t="s">
        <v>40</v>
      </c>
      <c r="D7144">
        <v>4.4075499999999996</v>
      </c>
      <c r="E7144">
        <v>0.48584290000000002</v>
      </c>
      <c r="F7144" t="s">
        <v>103</v>
      </c>
      <c r="G7144">
        <v>-229.02619999999999</v>
      </c>
      <c r="H7144" s="1">
        <v>-3.210624E-6</v>
      </c>
      <c r="I7144">
        <v>-61.374789999999997</v>
      </c>
      <c r="J7144">
        <v>-267.7389</v>
      </c>
      <c r="K7144">
        <v>1.1127469999999999</v>
      </c>
      <c r="L7144">
        <v>-62.889710000000001</v>
      </c>
      <c r="M7144">
        <v>0.99626320000000002</v>
      </c>
      <c r="N7144">
        <v>-1.318075E-2</v>
      </c>
      <c r="O7144">
        <v>-8.535885E-2</v>
      </c>
      <c r="P7144">
        <v>0.98667559999999999</v>
      </c>
      <c r="Q7144">
        <v>0.16251070000000001</v>
      </c>
      <c r="R7144">
        <v>7.8711230000000007E-3</v>
      </c>
      <c r="S7144">
        <v>3.0541079999999998</v>
      </c>
      <c r="T7144">
        <v>-8.7454799999999999E-2</v>
      </c>
      <c r="U7144">
        <v>0.11816409999999999</v>
      </c>
      <c r="V7144">
        <v>-9.2878089999999996E-2</v>
      </c>
      <c r="W7144">
        <v>0.17502000000000001</v>
      </c>
      <c r="X7144">
        <v>0.98017430000000005</v>
      </c>
      <c r="Y7144">
        <v>-0.1237385</v>
      </c>
      <c r="Z7144">
        <v>3.903138E-3</v>
      </c>
      <c r="AA7144">
        <v>0.99230719999999994</v>
      </c>
      <c r="AB7144">
        <v>29</v>
      </c>
      <c r="AC7144">
        <v>38.712699999999998</v>
      </c>
      <c r="AD7144">
        <v>-1.1127502106239999</v>
      </c>
      <c r="AE7144">
        <v>1.5149199999999901</v>
      </c>
      <c r="AF7144">
        <v>-4.8101801281097503</v>
      </c>
      <c r="AG7144">
        <v>-1.1127502106239999</v>
      </c>
      <c r="AH7144">
        <v>38.410375238562601</v>
      </c>
      <c r="AI7144">
        <v>91.646543187532501</v>
      </c>
      <c r="AJ7144">
        <v>97.138062995825294</v>
      </c>
      <c r="AK7144">
        <v>38.726385990217203</v>
      </c>
      <c r="AL7144">
        <v>79.920178005853401</v>
      </c>
      <c r="AM7144">
        <v>95.412997261109894</v>
      </c>
      <c r="AN7144">
        <v>0.99999999919126903</v>
      </c>
    </row>
    <row r="7145" spans="1:40" x14ac:dyDescent="0.25">
      <c r="A7145" t="str">
        <f>"20190304154937022"</f>
        <v>20190304154937022</v>
      </c>
      <c r="B7145" t="str">
        <f>"1551685777014125"</f>
        <v>1551685777014125</v>
      </c>
      <c r="C7145" t="s">
        <v>40</v>
      </c>
      <c r="D7145">
        <v>4.3974609999999998</v>
      </c>
      <c r="E7145">
        <v>0.48559360000000001</v>
      </c>
      <c r="F7145" t="s">
        <v>103</v>
      </c>
      <c r="G7145">
        <v>-229.62549999999999</v>
      </c>
      <c r="H7145" s="1">
        <v>-3.412479E-6</v>
      </c>
      <c r="I7145">
        <v>-61.342410000000001</v>
      </c>
      <c r="J7145">
        <v>-267.58999999999997</v>
      </c>
      <c r="K7145">
        <v>1.112771</v>
      </c>
      <c r="L7145">
        <v>-62.901060000000001</v>
      </c>
      <c r="M7145">
        <v>0.99637710000000002</v>
      </c>
      <c r="N7145">
        <v>-1.3141440000000001E-2</v>
      </c>
      <c r="O7145">
        <v>-8.4023550000000002E-2</v>
      </c>
      <c r="P7145">
        <v>0.9866914</v>
      </c>
      <c r="Q7145">
        <v>0.1623271</v>
      </c>
      <c r="R7145">
        <v>9.4909130000000001E-3</v>
      </c>
      <c r="S7145">
        <v>3.0541990000000001</v>
      </c>
      <c r="T7145">
        <v>-8.9169739999999997E-2</v>
      </c>
      <c r="U7145">
        <v>0.1239929</v>
      </c>
      <c r="V7145">
        <v>-9.3188080000000006E-2</v>
      </c>
      <c r="W7145">
        <v>0.17478940000000001</v>
      </c>
      <c r="X7145">
        <v>0.980186</v>
      </c>
      <c r="Y7145">
        <v>-0.1242948</v>
      </c>
      <c r="Z7145">
        <v>3.9769530000000001E-3</v>
      </c>
      <c r="AA7145">
        <v>0.99223740000000005</v>
      </c>
      <c r="AB7145">
        <v>29</v>
      </c>
      <c r="AC7145">
        <v>37.964500000000001</v>
      </c>
      <c r="AD7145">
        <v>-1.112774412479</v>
      </c>
      <c r="AE7145">
        <v>1.5586500000000001</v>
      </c>
      <c r="AF7145">
        <v>-4.7392600873343698</v>
      </c>
      <c r="AG7145">
        <v>-1.112774412479</v>
      </c>
      <c r="AH7145">
        <v>37.666944561480797</v>
      </c>
      <c r="AI7145">
        <v>91.6789368941687</v>
      </c>
      <c r="AJ7145">
        <v>97.171279072204001</v>
      </c>
      <c r="AK7145">
        <v>37.980225982294201</v>
      </c>
      <c r="AL7145">
        <v>79.9335970053273</v>
      </c>
      <c r="AM7145">
        <v>95.430891403822002</v>
      </c>
      <c r="AN7145">
        <v>0.99999997360122295</v>
      </c>
    </row>
    <row r="7146" spans="1:40" x14ac:dyDescent="0.25">
      <c r="A7146" t="str">
        <f>"20190304154937033"</f>
        <v>20190304154937033</v>
      </c>
      <c r="B7146" t="str">
        <f>"1551685777024861"</f>
        <v>1551685777024861</v>
      </c>
      <c r="C7146" t="s">
        <v>40</v>
      </c>
      <c r="D7146">
        <v>4.389894</v>
      </c>
      <c r="E7146">
        <v>0.48535479999999998</v>
      </c>
      <c r="F7146" t="s">
        <v>102</v>
      </c>
      <c r="G7146">
        <v>-230.34899999999999</v>
      </c>
      <c r="H7146" s="1">
        <v>6.1759090000000005E-7</v>
      </c>
      <c r="I7146">
        <v>-61.3065</v>
      </c>
      <c r="J7146">
        <v>-267.44690000000003</v>
      </c>
      <c r="K7146">
        <v>1.112797</v>
      </c>
      <c r="L7146">
        <v>-62.911900000000003</v>
      </c>
      <c r="M7146">
        <v>0.99648539999999997</v>
      </c>
      <c r="N7146">
        <v>-1.310338E-2</v>
      </c>
      <c r="O7146">
        <v>-8.2736100000000007E-2</v>
      </c>
      <c r="P7146">
        <v>0.98670429999999998</v>
      </c>
      <c r="Q7146">
        <v>0.16214909999999999</v>
      </c>
      <c r="R7146">
        <v>1.106014E-2</v>
      </c>
      <c r="S7146">
        <v>3.0541990000000001</v>
      </c>
      <c r="T7146">
        <v>-9.1260190000000005E-2</v>
      </c>
      <c r="U7146">
        <v>0.13076779999999999</v>
      </c>
      <c r="V7146">
        <v>-9.3493770000000004E-2</v>
      </c>
      <c r="W7146">
        <v>0.17456640000000001</v>
      </c>
      <c r="X7146">
        <v>0.98019670000000003</v>
      </c>
      <c r="Y7146">
        <v>-0.1252055</v>
      </c>
      <c r="Z7146">
        <v>4.0757679999999996E-3</v>
      </c>
      <c r="AA7146">
        <v>0.99212250000000002</v>
      </c>
      <c r="AB7146">
        <v>29</v>
      </c>
      <c r="AC7146">
        <v>37.097900000000003</v>
      </c>
      <c r="AD7146">
        <v>-1.1127963824091001</v>
      </c>
      <c r="AE7146">
        <v>1.6053999999999999</v>
      </c>
      <c r="AF7146">
        <v>-4.6653039846077604</v>
      </c>
      <c r="AG7146">
        <v>-1.1127963824091001</v>
      </c>
      <c r="AH7146">
        <v>36.804797691237802</v>
      </c>
      <c r="AI7146">
        <v>91.718076138970801</v>
      </c>
      <c r="AJ7146">
        <v>97.224173350286705</v>
      </c>
      <c r="AK7146">
        <v>37.115987258194302</v>
      </c>
      <c r="AL7146">
        <v>79.946574162906998</v>
      </c>
      <c r="AM7146">
        <v>95.448540499065103</v>
      </c>
      <c r="AN7146">
        <v>1.00000004186433</v>
      </c>
    </row>
    <row r="7147" spans="1:40" x14ac:dyDescent="0.25">
      <c r="A7147" t="str">
        <f>"20190304154937043"</f>
        <v>20190304154937043</v>
      </c>
      <c r="B7147" t="str">
        <f>"1551685777034620"</f>
        <v>1551685777034620</v>
      </c>
      <c r="C7147" t="s">
        <v>40</v>
      </c>
      <c r="D7147">
        <v>4.3595680000000003</v>
      </c>
      <c r="E7147">
        <v>0.48513849999999997</v>
      </c>
      <c r="F7147" t="s">
        <v>102</v>
      </c>
      <c r="G7147">
        <v>-231.01240000000001</v>
      </c>
      <c r="H7147" s="1">
        <v>3.4162460000000002E-7</v>
      </c>
      <c r="I7147">
        <v>-61.273960000000002</v>
      </c>
      <c r="J7147">
        <v>-267.31</v>
      </c>
      <c r="K7147">
        <v>1.112811</v>
      </c>
      <c r="L7147">
        <v>-62.921970000000002</v>
      </c>
      <c r="M7147">
        <v>0.99658860000000005</v>
      </c>
      <c r="N7147">
        <v>-1.3065780000000001E-2</v>
      </c>
      <c r="O7147">
        <v>-8.1489480000000003E-2</v>
      </c>
      <c r="P7147">
        <v>0.98670729999999995</v>
      </c>
      <c r="Q7147">
        <v>0.162012299999999</v>
      </c>
      <c r="R7147">
        <v>1.26876E-2</v>
      </c>
      <c r="S7147">
        <v>3.0541990000000001</v>
      </c>
      <c r="T7147">
        <v>-9.3282580000000004E-2</v>
      </c>
      <c r="U7147">
        <v>0.13729859999999999</v>
      </c>
      <c r="V7147">
        <v>-9.3894560000000002E-2</v>
      </c>
      <c r="W7147">
        <v>0.1743866</v>
      </c>
      <c r="X7147">
        <v>0.98019029999999996</v>
      </c>
      <c r="Y7147">
        <v>-0.1260773</v>
      </c>
      <c r="Z7147">
        <v>4.1699329999999998E-3</v>
      </c>
      <c r="AA7147">
        <v>0.99201170000000005</v>
      </c>
      <c r="AB7147">
        <v>29</v>
      </c>
      <c r="AC7147">
        <v>36.297599999999903</v>
      </c>
      <c r="AD7147">
        <v>-1.1128106583753901</v>
      </c>
      <c r="AE7147">
        <v>1.64800999999999</v>
      </c>
      <c r="AF7147">
        <v>-4.5963417775659199</v>
      </c>
      <c r="AG7147">
        <v>-1.1128106583753901</v>
      </c>
      <c r="AH7147">
        <v>36.0087785148908</v>
      </c>
      <c r="AI7147">
        <v>91.755860513232506</v>
      </c>
      <c r="AJ7147">
        <v>97.274185239242399</v>
      </c>
      <c r="AK7147">
        <v>36.3179960272047</v>
      </c>
      <c r="AL7147">
        <v>79.957035482784605</v>
      </c>
      <c r="AM7147">
        <v>95.471791409859506</v>
      </c>
      <c r="AN7147">
        <v>0.99999994943561998</v>
      </c>
    </row>
    <row r="7148" spans="1:40" x14ac:dyDescent="0.25">
      <c r="A7148" t="str">
        <f>"20190304154937055"</f>
        <v>20190304154937055</v>
      </c>
      <c r="B7148" t="str">
        <f>"1551685777044381"</f>
        <v>1551685777044381</v>
      </c>
      <c r="C7148" t="s">
        <v>40</v>
      </c>
      <c r="D7148">
        <v>4.4218570000000001</v>
      </c>
      <c r="E7148">
        <v>0.48495519999999998</v>
      </c>
      <c r="F7148" t="s">
        <v>102</v>
      </c>
      <c r="G7148">
        <v>-232.13890000000001</v>
      </c>
      <c r="H7148" s="1">
        <v>-1.3962119999999999E-7</v>
      </c>
      <c r="I7148">
        <v>-61.266449999999999</v>
      </c>
      <c r="J7148">
        <v>-267.16820000000001</v>
      </c>
      <c r="K7148">
        <v>1.112822</v>
      </c>
      <c r="L7148">
        <v>-62.932310000000001</v>
      </c>
      <c r="M7148">
        <v>0.99669410000000003</v>
      </c>
      <c r="N7148">
        <v>-1.3026090000000001E-2</v>
      </c>
      <c r="O7148">
        <v>-8.0195199999999994E-2</v>
      </c>
      <c r="P7148">
        <v>0.98671929999999997</v>
      </c>
      <c r="Q7148">
        <v>0.16178719999999999</v>
      </c>
      <c r="R7148">
        <v>1.450045E-2</v>
      </c>
      <c r="S7148">
        <v>3.054443</v>
      </c>
      <c r="T7148">
        <v>-9.6642370000000005E-2</v>
      </c>
      <c r="U7148">
        <v>0.14376829999999999</v>
      </c>
      <c r="V7148">
        <v>-9.4432890000000005E-2</v>
      </c>
      <c r="W7148">
        <v>0.1741161</v>
      </c>
      <c r="X7148">
        <v>0.98018669999999997</v>
      </c>
      <c r="Y7148">
        <v>-0.12687509999999999</v>
      </c>
      <c r="Z7148">
        <v>4.3228659999999999E-3</v>
      </c>
      <c r="AA7148">
        <v>0.99190929999999999</v>
      </c>
      <c r="AB7148">
        <v>29</v>
      </c>
      <c r="AC7148">
        <v>35.029299999999999</v>
      </c>
      <c r="AD7148">
        <v>-1.1128221396211999</v>
      </c>
      <c r="AE7148">
        <v>1.6658599999999999</v>
      </c>
      <c r="AF7148">
        <v>-4.4654171718800502</v>
      </c>
      <c r="AG7148">
        <v>-1.1128221396211999</v>
      </c>
      <c r="AH7148">
        <v>34.747863059497</v>
      </c>
      <c r="AI7148">
        <v>91.819355126845394</v>
      </c>
      <c r="AJ7148">
        <v>97.322894455473005</v>
      </c>
      <c r="AK7148">
        <v>35.051281158253097</v>
      </c>
      <c r="AL7148">
        <v>79.972775062811394</v>
      </c>
      <c r="AM7148">
        <v>95.5029911413435</v>
      </c>
      <c r="AN7148">
        <v>0.99999997692492504</v>
      </c>
    </row>
    <row r="7149" spans="1:40" x14ac:dyDescent="0.25">
      <c r="A7149" t="str">
        <f>"20190304154937066"</f>
        <v>20190304154937066</v>
      </c>
      <c r="B7149" t="str">
        <f>"1551685777054141"</f>
        <v>1551685777054141</v>
      </c>
      <c r="C7149" t="s">
        <v>40</v>
      </c>
      <c r="D7149">
        <v>4.4188280000000004</v>
      </c>
      <c r="E7149">
        <v>0.48477150000000002</v>
      </c>
      <c r="F7149" t="s">
        <v>102</v>
      </c>
      <c r="G7149">
        <v>-232.62450000000001</v>
      </c>
      <c r="H7149" s="1">
        <v>-3.3821320000000002E-7</v>
      </c>
      <c r="I7149">
        <v>-61.229950000000002</v>
      </c>
      <c r="J7149">
        <v>-267.02190000000002</v>
      </c>
      <c r="K7149">
        <v>1.1128290000000001</v>
      </c>
      <c r="L7149">
        <v>-62.942720000000001</v>
      </c>
      <c r="M7149">
        <v>0.99680179999999996</v>
      </c>
      <c r="N7149">
        <v>-1.298353E-2</v>
      </c>
      <c r="O7149">
        <v>-7.8853259999999994E-2</v>
      </c>
      <c r="P7149">
        <v>0.98672760000000004</v>
      </c>
      <c r="Q7149">
        <v>0.16156119999999999</v>
      </c>
      <c r="R7149">
        <v>1.6339380000000001E-2</v>
      </c>
      <c r="S7149">
        <v>3.0542600000000002</v>
      </c>
      <c r="T7149">
        <v>-9.8392610000000005E-2</v>
      </c>
      <c r="U7149">
        <v>0.1505127</v>
      </c>
      <c r="V7149">
        <v>-9.4948870000000005E-2</v>
      </c>
      <c r="W7149">
        <v>0.17384240000000001</v>
      </c>
      <c r="X7149">
        <v>0.98018539999999998</v>
      </c>
      <c r="Y7149">
        <v>-0.12772359999999999</v>
      </c>
      <c r="Z7149">
        <v>4.399455E-3</v>
      </c>
      <c r="AA7149">
        <v>0.99180009999999996</v>
      </c>
      <c r="AB7149">
        <v>29</v>
      </c>
      <c r="AC7149">
        <v>34.397399999999998</v>
      </c>
      <c r="AD7149">
        <v>-1.1128293382132</v>
      </c>
      <c r="AE7149">
        <v>1.7127699999999899</v>
      </c>
      <c r="AF7149">
        <v>-4.4154013843808597</v>
      </c>
      <c r="AG7149">
        <v>-1.1128293382132</v>
      </c>
      <c r="AH7149">
        <v>34.119584312901097</v>
      </c>
      <c r="AI7149">
        <v>91.852634126088006</v>
      </c>
      <c r="AJ7149">
        <v>97.373643758493102</v>
      </c>
      <c r="AK7149">
        <v>34.422088725211701</v>
      </c>
      <c r="AL7149">
        <v>79.988699439406403</v>
      </c>
      <c r="AM7149">
        <v>95.532880623870994</v>
      </c>
      <c r="AN7149">
        <v>0.99999994316259599</v>
      </c>
    </row>
    <row r="7150" spans="1:40" x14ac:dyDescent="0.25">
      <c r="A7150" t="str">
        <f>"20190304154937078"</f>
        <v>20190304154937078</v>
      </c>
      <c r="B7150" t="str">
        <f>"1551685777074637"</f>
        <v>1551685777074637</v>
      </c>
      <c r="C7150" t="s">
        <v>40</v>
      </c>
      <c r="D7150">
        <v>4.4286300000000001</v>
      </c>
      <c r="E7150">
        <v>0.48508410000000002</v>
      </c>
      <c r="F7150" t="s">
        <v>102</v>
      </c>
      <c r="G7150">
        <v>-233.10650000000001</v>
      </c>
      <c r="H7150" s="1">
        <v>-5.3543220000000001E-7</v>
      </c>
      <c r="I7150">
        <v>-61.194000000000003</v>
      </c>
      <c r="J7150">
        <v>-266.87970000000001</v>
      </c>
      <c r="K7150">
        <v>1.112833</v>
      </c>
      <c r="L7150">
        <v>-62.952669999999998</v>
      </c>
      <c r="M7150">
        <v>0.99690489999999998</v>
      </c>
      <c r="N7150">
        <v>-1.2941050000000001E-2</v>
      </c>
      <c r="O7150">
        <v>-7.7545699999999995E-2</v>
      </c>
      <c r="P7150">
        <v>0.98673869999999997</v>
      </c>
      <c r="Q7150">
        <v>0.1613068</v>
      </c>
      <c r="R7150">
        <v>1.808071E-2</v>
      </c>
      <c r="S7150">
        <v>3.0541689999999999</v>
      </c>
      <c r="T7150">
        <v>-0.10021289999999999</v>
      </c>
      <c r="U7150">
        <v>0.15747069999999999</v>
      </c>
      <c r="V7150">
        <v>-9.5399890000000001E-2</v>
      </c>
      <c r="W7150">
        <v>0.1735418</v>
      </c>
      <c r="X7150">
        <v>0.98019489999999998</v>
      </c>
      <c r="Y7150">
        <v>-0.1286735</v>
      </c>
      <c r="Z7150">
        <v>4.4809330000000003E-3</v>
      </c>
      <c r="AA7150">
        <v>0.99167689999999997</v>
      </c>
      <c r="AB7150">
        <v>29</v>
      </c>
      <c r="AC7150">
        <v>33.773200000000003</v>
      </c>
      <c r="AD7150">
        <v>-1.1128335354322001</v>
      </c>
      <c r="AE7150">
        <v>1.75867</v>
      </c>
      <c r="AF7150">
        <v>-4.3678295268120397</v>
      </c>
      <c r="AG7150">
        <v>-1.1128335354322001</v>
      </c>
      <c r="AH7150">
        <v>33.498824510949703</v>
      </c>
      <c r="AI7150">
        <v>91.886711879771696</v>
      </c>
      <c r="AJ7150">
        <v>97.4287467803764</v>
      </c>
      <c r="AK7150">
        <v>33.800703792499299</v>
      </c>
      <c r="AL7150">
        <v>80.006188641194797</v>
      </c>
      <c r="AM7150">
        <v>95.558944776713503</v>
      </c>
      <c r="AN7150">
        <v>0.99999996867262997</v>
      </c>
    </row>
    <row r="7151" spans="1:40" x14ac:dyDescent="0.25">
      <c r="A7151" t="str">
        <f>"20190304154937088"</f>
        <v>20190304154937088</v>
      </c>
      <c r="B7151" t="str">
        <f>"1551685777084400"</f>
        <v>1551685777084400</v>
      </c>
      <c r="C7151" t="s">
        <v>40</v>
      </c>
      <c r="D7151">
        <v>4.3796330000000001</v>
      </c>
      <c r="E7151">
        <v>0.48494959999999998</v>
      </c>
      <c r="F7151" t="s">
        <v>102</v>
      </c>
      <c r="G7151">
        <v>-232.91749999999999</v>
      </c>
      <c r="H7151" s="1">
        <v>-4.4843689999999999E-7</v>
      </c>
      <c r="I7151">
        <v>-61.171759999999999</v>
      </c>
      <c r="J7151">
        <v>-266.73669999999998</v>
      </c>
      <c r="K7151">
        <v>1.1128340000000001</v>
      </c>
      <c r="L7151">
        <v>-62.96246</v>
      </c>
      <c r="M7151">
        <v>0.99700699999999998</v>
      </c>
      <c r="N7151">
        <v>-1.289739E-2</v>
      </c>
      <c r="O7151">
        <v>-7.6229089999999999E-2</v>
      </c>
      <c r="P7151">
        <v>0.9867399</v>
      </c>
      <c r="Q7151">
        <v>0.16110379999999999</v>
      </c>
      <c r="R7151">
        <v>1.9757650000000002E-2</v>
      </c>
      <c r="S7151">
        <v>3.053741</v>
      </c>
      <c r="T7151">
        <v>-0.10006139999999999</v>
      </c>
      <c r="U7151">
        <v>0.16012570000000001</v>
      </c>
      <c r="V7151">
        <v>-9.5776210000000001E-2</v>
      </c>
      <c r="W7151">
        <v>0.17329249999999999</v>
      </c>
      <c r="X7151">
        <v>0.98020229999999997</v>
      </c>
      <c r="Y7151">
        <v>-0.1282317</v>
      </c>
      <c r="Z7151">
        <v>4.4389499999999997E-3</v>
      </c>
      <c r="AA7151">
        <v>0.99173429999999996</v>
      </c>
      <c r="AB7151">
        <v>29</v>
      </c>
      <c r="AC7151">
        <v>33.819199999999903</v>
      </c>
      <c r="AD7151">
        <v>-1.1128344484368999</v>
      </c>
      <c r="AE7151">
        <v>1.7907</v>
      </c>
      <c r="AF7151">
        <v>-4.3590032610496303</v>
      </c>
      <c r="AG7151">
        <v>-1.1128344484368999</v>
      </c>
      <c r="AH7151">
        <v>33.548043018327597</v>
      </c>
      <c r="AI7151">
        <v>91.884056905949194</v>
      </c>
      <c r="AJ7151">
        <v>97.403146125251993</v>
      </c>
      <c r="AK7151">
        <v>33.848345606529001</v>
      </c>
      <c r="AL7151">
        <v>80.020692153295002</v>
      </c>
      <c r="AM7151">
        <v>95.5806928918784</v>
      </c>
      <c r="AN7151">
        <v>0.99999996094175103</v>
      </c>
    </row>
    <row r="7152" spans="1:40" x14ac:dyDescent="0.25">
      <c r="A7152" t="str">
        <f>"20190304154937100"</f>
        <v>20190304154937100</v>
      </c>
      <c r="B7152" t="str">
        <f>"1551685777094156"</f>
        <v>1551685777094156</v>
      </c>
      <c r="C7152" t="s">
        <v>40</v>
      </c>
      <c r="D7152">
        <v>4.4050599999999998</v>
      </c>
      <c r="E7152">
        <v>0.48515380000000002</v>
      </c>
      <c r="F7152" t="s">
        <v>102</v>
      </c>
      <c r="G7152">
        <v>-233.2379</v>
      </c>
      <c r="H7152" s="1">
        <v>-5.7757450000000002E-7</v>
      </c>
      <c r="I7152">
        <v>-61.140479999999997</v>
      </c>
      <c r="J7152">
        <v>-266.58870000000002</v>
      </c>
      <c r="K7152">
        <v>1.112832</v>
      </c>
      <c r="L7152">
        <v>-62.972380000000001</v>
      </c>
      <c r="M7152">
        <v>0.99711070000000002</v>
      </c>
      <c r="N7152">
        <v>-1.2850790000000001E-2</v>
      </c>
      <c r="O7152">
        <v>-7.4866600000000005E-2</v>
      </c>
      <c r="P7152">
        <v>0.98671260000000005</v>
      </c>
      <c r="Q7152">
        <v>0.16102439999999901</v>
      </c>
      <c r="R7152">
        <v>2.1665690000000001E-2</v>
      </c>
      <c r="S7152">
        <v>3.0535580000000002</v>
      </c>
      <c r="T7152">
        <v>-0.10143969999999999</v>
      </c>
      <c r="U7152">
        <v>0.16607669999999999</v>
      </c>
      <c r="V7152">
        <v>-9.633601E-2</v>
      </c>
      <c r="W7152">
        <v>0.17316280000000001</v>
      </c>
      <c r="X7152">
        <v>0.9801704</v>
      </c>
      <c r="Y7152">
        <v>-0.12880369999999999</v>
      </c>
      <c r="Z7152">
        <v>4.4884779999999997E-3</v>
      </c>
      <c r="AA7152">
        <v>0.99165990000000004</v>
      </c>
      <c r="AB7152">
        <v>29</v>
      </c>
      <c r="AC7152">
        <v>33.3508</v>
      </c>
      <c r="AD7152">
        <v>-1.1128325775745</v>
      </c>
      <c r="AE7152">
        <v>1.8318999999999901</v>
      </c>
      <c r="AF7152">
        <v>-4.3190310535743501</v>
      </c>
      <c r="AG7152">
        <v>-1.1128325775745</v>
      </c>
      <c r="AH7152">
        <v>33.0833041613392</v>
      </c>
      <c r="AI7152">
        <v>91.910349722673004</v>
      </c>
      <c r="AJ7152">
        <v>97.437908610173906</v>
      </c>
      <c r="AK7152">
        <v>33.382591867905298</v>
      </c>
      <c r="AL7152">
        <v>80.028237857096101</v>
      </c>
      <c r="AM7152">
        <v>95.613285153763599</v>
      </c>
      <c r="AN7152">
        <v>0.99999999758136005</v>
      </c>
    </row>
    <row r="7153" spans="1:40" x14ac:dyDescent="0.25">
      <c r="A7153" t="str">
        <f>"20190304154937110"</f>
        <v>20190304154937110</v>
      </c>
      <c r="B7153" t="str">
        <f>"1551685777104893"</f>
        <v>1551685777104893</v>
      </c>
      <c r="C7153" t="s">
        <v>40</v>
      </c>
      <c r="D7153">
        <v>4.388096</v>
      </c>
      <c r="E7153">
        <v>0.48507410000000001</v>
      </c>
      <c r="F7153" t="s">
        <v>102</v>
      </c>
      <c r="G7153">
        <v>-232.91300000000001</v>
      </c>
      <c r="H7153" s="1">
        <v>-4.2603860000000003E-7</v>
      </c>
      <c r="I7153">
        <v>-61.094729999999998</v>
      </c>
      <c r="J7153">
        <v>-266.44529999999997</v>
      </c>
      <c r="K7153">
        <v>1.112827</v>
      </c>
      <c r="L7153">
        <v>-62.981900000000003</v>
      </c>
      <c r="M7153">
        <v>0.99720969999999998</v>
      </c>
      <c r="N7153">
        <v>-1.280512E-2</v>
      </c>
      <c r="O7153">
        <v>-7.3545250000000006E-2</v>
      </c>
      <c r="P7153">
        <v>0.98666209999999999</v>
      </c>
      <c r="Q7153">
        <v>0.16110039999999901</v>
      </c>
      <c r="R7153">
        <v>2.3331939999999999E-2</v>
      </c>
      <c r="S7153">
        <v>3.053131</v>
      </c>
      <c r="T7153">
        <v>-0.10089239999999999</v>
      </c>
      <c r="U7153">
        <v>0.17022709999999999</v>
      </c>
      <c r="V7153">
        <v>-9.6693539999999994E-2</v>
      </c>
      <c r="W7153">
        <v>0.17319100000000001</v>
      </c>
      <c r="X7153">
        <v>0.98013019999999995</v>
      </c>
      <c r="Y7153">
        <v>-0.1288425</v>
      </c>
      <c r="Z7153">
        <v>4.4388450000000003E-3</v>
      </c>
      <c r="AA7153">
        <v>0.99165510000000001</v>
      </c>
      <c r="AB7153">
        <v>29</v>
      </c>
      <c r="AC7153">
        <v>33.5322999999999</v>
      </c>
      <c r="AD7153">
        <v>-1.1128274260386</v>
      </c>
      <c r="AE7153">
        <v>1.88716999999999</v>
      </c>
      <c r="AF7153">
        <v>-4.3436332092893197</v>
      </c>
      <c r="AG7153">
        <v>-1.1128274260386</v>
      </c>
      <c r="AH7153">
        <v>33.266149574601101</v>
      </c>
      <c r="AI7153">
        <v>91.899843166617899</v>
      </c>
      <c r="AJ7153">
        <v>97.439147652294807</v>
      </c>
      <c r="AK7153">
        <v>33.566981423069898</v>
      </c>
      <c r="AL7153">
        <v>80.0265972128078</v>
      </c>
      <c r="AM7153">
        <v>95.634213440152607</v>
      </c>
      <c r="AN7153">
        <v>0.99999998605538498</v>
      </c>
    </row>
    <row r="7154" spans="1:40" x14ac:dyDescent="0.25">
      <c r="A7154" t="str">
        <f>"20190304154937122"</f>
        <v>20190304154937122</v>
      </c>
      <c r="B7154" t="str">
        <f>"1551685777114653"</f>
        <v>1551685777114653</v>
      </c>
      <c r="C7154" t="s">
        <v>40</v>
      </c>
      <c r="D7154">
        <v>4.4207340000000004</v>
      </c>
      <c r="E7154">
        <v>0.4852803</v>
      </c>
      <c r="F7154" t="s">
        <v>102</v>
      </c>
      <c r="G7154">
        <v>-233.08510000000001</v>
      </c>
      <c r="H7154" s="1">
        <v>-4.9055339999999995E-7</v>
      </c>
      <c r="I7154">
        <v>-61.059730000000002</v>
      </c>
      <c r="J7154">
        <v>-266.30509999999998</v>
      </c>
      <c r="K7154">
        <v>1.1128209999999901</v>
      </c>
      <c r="L7154">
        <v>-62.990879999999997</v>
      </c>
      <c r="M7154">
        <v>0.99730459999999999</v>
      </c>
      <c r="N7154">
        <v>-1.275894E-2</v>
      </c>
      <c r="O7154">
        <v>-7.2254550000000001E-2</v>
      </c>
      <c r="P7154">
        <v>0.98666949999999998</v>
      </c>
      <c r="Q7154">
        <v>0.16076279999999901</v>
      </c>
      <c r="R7154">
        <v>2.526693E-2</v>
      </c>
      <c r="S7154">
        <v>3.0529790000000001</v>
      </c>
      <c r="T7154">
        <v>-0.1018411</v>
      </c>
      <c r="U7154">
        <v>0.17590329999999901</v>
      </c>
      <c r="V7154">
        <v>-9.7351729999999997E-2</v>
      </c>
      <c r="W7154">
        <v>0.17280409999999999</v>
      </c>
      <c r="X7154">
        <v>0.98013340000000004</v>
      </c>
      <c r="Y7154">
        <v>-0.1293975</v>
      </c>
      <c r="Z7154">
        <v>4.4684959999999998E-3</v>
      </c>
      <c r="AA7154">
        <v>0.99158279999999999</v>
      </c>
      <c r="AB7154">
        <v>29</v>
      </c>
      <c r="AC7154">
        <v>33.219999999999899</v>
      </c>
      <c r="AD7154">
        <v>-1.11282149055339</v>
      </c>
      <c r="AE7154">
        <v>1.9311499999999999</v>
      </c>
      <c r="AF7154">
        <v>-4.3217598217623303</v>
      </c>
      <c r="AG7154">
        <v>-1.11282149055339</v>
      </c>
      <c r="AH7154">
        <v>32.956752536049699</v>
      </c>
      <c r="AI7154">
        <v>91.917516796157301</v>
      </c>
      <c r="AJ7154">
        <v>97.470811894053199</v>
      </c>
      <c r="AK7154">
        <v>33.257533242097999</v>
      </c>
      <c r="AL7154">
        <v>80.049104939869196</v>
      </c>
      <c r="AM7154">
        <v>95.6722976949805</v>
      </c>
      <c r="AN7154">
        <v>1.00000004905318</v>
      </c>
    </row>
    <row r="7155" spans="1:40" x14ac:dyDescent="0.25">
      <c r="A7155" t="str">
        <f>"20190304154937134"</f>
        <v>20190304154937134</v>
      </c>
      <c r="B7155" t="str">
        <f>"1551685777124412"</f>
        <v>1551685777124412</v>
      </c>
      <c r="C7155" t="s">
        <v>40</v>
      </c>
      <c r="D7155">
        <v>4.4322210000000002</v>
      </c>
      <c r="E7155">
        <v>0.48544470000000001</v>
      </c>
      <c r="F7155" t="s">
        <v>102</v>
      </c>
      <c r="G7155">
        <v>-233.07589999999999</v>
      </c>
      <c r="H7155" s="1">
        <v>-4.7844299999999997E-7</v>
      </c>
      <c r="I7155">
        <v>-61.029139999999998</v>
      </c>
      <c r="J7155">
        <v>-266.15449999999998</v>
      </c>
      <c r="K7155">
        <v>1.1128169999999999</v>
      </c>
      <c r="L7155">
        <v>-63.000430000000001</v>
      </c>
      <c r="M7155">
        <v>0.99740459999999997</v>
      </c>
      <c r="N7155">
        <v>-1.270901E-2</v>
      </c>
      <c r="O7155">
        <v>-7.0870269999999999E-2</v>
      </c>
      <c r="P7155">
        <v>0.98663809999999996</v>
      </c>
      <c r="Q7155">
        <v>0.160670799999999</v>
      </c>
      <c r="R7155">
        <v>2.702034E-2</v>
      </c>
      <c r="S7155">
        <v>3.0525509999999998</v>
      </c>
      <c r="T7155">
        <v>-0.10222779999999999</v>
      </c>
      <c r="U7155">
        <v>0.18020630000000001</v>
      </c>
      <c r="V7155">
        <v>-9.7735610000000001E-2</v>
      </c>
      <c r="W7155">
        <v>0.17266029999999999</v>
      </c>
      <c r="X7155">
        <v>0.98012049999999995</v>
      </c>
      <c r="Y7155">
        <v>-0.12942149999999999</v>
      </c>
      <c r="Z7155">
        <v>4.4586360000000002E-3</v>
      </c>
      <c r="AA7155">
        <v>0.99157969999999895</v>
      </c>
      <c r="AB7155">
        <v>29</v>
      </c>
      <c r="AC7155">
        <v>33.078599999999902</v>
      </c>
      <c r="AD7155">
        <v>-1.1128174784430001</v>
      </c>
      <c r="AE7155">
        <v>1.97128999999999</v>
      </c>
      <c r="AF7155">
        <v>-4.3059550181314501</v>
      </c>
      <c r="AG7155">
        <v>-1.1128174784430001</v>
      </c>
      <c r="AH7155">
        <v>32.818683269382902</v>
      </c>
      <c r="AI7155">
        <v>91.925553459606206</v>
      </c>
      <c r="AJ7155">
        <v>97.474760769860595</v>
      </c>
      <c r="AK7155">
        <v>33.118659134913202</v>
      </c>
      <c r="AL7155">
        <v>80.057469430051299</v>
      </c>
      <c r="AM7155">
        <v>95.694592592086806</v>
      </c>
      <c r="AN7155">
        <v>1.0000000115892</v>
      </c>
    </row>
    <row r="7156" spans="1:40" x14ac:dyDescent="0.25">
      <c r="A7156" t="str">
        <f>"20190304154937144"</f>
        <v>20190304154937144</v>
      </c>
      <c r="B7156" t="str">
        <f>"1551685777134173"</f>
        <v>1551685777134173</v>
      </c>
      <c r="C7156" t="s">
        <v>40</v>
      </c>
      <c r="D7156">
        <v>4.3771100000000001</v>
      </c>
      <c r="E7156">
        <v>0.48538940000000003</v>
      </c>
      <c r="F7156" t="s">
        <v>102</v>
      </c>
      <c r="G7156">
        <v>-232.7681</v>
      </c>
      <c r="H7156" s="1">
        <v>-3.33973E-7</v>
      </c>
      <c r="I7156">
        <v>-60.982419999999998</v>
      </c>
      <c r="J7156">
        <v>-266.0093</v>
      </c>
      <c r="K7156">
        <v>1.112814</v>
      </c>
      <c r="L7156">
        <v>-63.009369999999997</v>
      </c>
      <c r="M7156">
        <v>0.99749900000000002</v>
      </c>
      <c r="N7156">
        <v>-1.265957E-2</v>
      </c>
      <c r="O7156">
        <v>-6.9537020000000005E-2</v>
      </c>
      <c r="P7156">
        <v>0.98660119999999896</v>
      </c>
      <c r="Q7156">
        <v>0.16060839999999901</v>
      </c>
      <c r="R7156">
        <v>2.8689010000000001E-2</v>
      </c>
      <c r="S7156">
        <v>3.052155</v>
      </c>
      <c r="T7156">
        <v>-0.10173260000000001</v>
      </c>
      <c r="U7156">
        <v>0.1844788</v>
      </c>
      <c r="V7156">
        <v>-9.8083879999999998E-2</v>
      </c>
      <c r="W7156">
        <v>0.1725476</v>
      </c>
      <c r="X7156">
        <v>0.98010549999999996</v>
      </c>
      <c r="Y7156">
        <v>-0.12948809999999999</v>
      </c>
      <c r="Z7156">
        <v>4.4115359999999998E-3</v>
      </c>
      <c r="AA7156">
        <v>0.99157119999999999</v>
      </c>
      <c r="AB7156">
        <v>29</v>
      </c>
      <c r="AC7156">
        <v>33.2411999999999</v>
      </c>
      <c r="AD7156">
        <v>-1.1128143339729999</v>
      </c>
      <c r="AE7156">
        <v>2.0269499999999998</v>
      </c>
      <c r="AF7156">
        <v>-4.3288886091954302</v>
      </c>
      <c r="AG7156">
        <v>-1.1128143339729999</v>
      </c>
      <c r="AH7156">
        <v>32.982935854454702</v>
      </c>
      <c r="AI7156">
        <v>91.915955744869393</v>
      </c>
      <c r="AJ7156">
        <v>97.477122440472499</v>
      </c>
      <c r="AK7156">
        <v>33.284406107241701</v>
      </c>
      <c r="AL7156">
        <v>80.064024502335499</v>
      </c>
      <c r="AM7156">
        <v>95.714837445570197</v>
      </c>
      <c r="AN7156">
        <v>0.99999995645593098</v>
      </c>
    </row>
    <row r="7157" spans="1:40" x14ac:dyDescent="0.25">
      <c r="A7157" t="str">
        <f>"20190304154937156"</f>
        <v>20190304154937156</v>
      </c>
      <c r="B7157" t="str">
        <f>"1551685777144909"</f>
        <v>1551685777144909</v>
      </c>
      <c r="C7157" t="s">
        <v>40</v>
      </c>
      <c r="D7157">
        <v>4.417643</v>
      </c>
      <c r="E7157">
        <v>0.48535210000000001</v>
      </c>
      <c r="F7157" t="s">
        <v>102</v>
      </c>
      <c r="G7157">
        <v>-232.792</v>
      </c>
      <c r="H7157" s="1">
        <v>-3.3292209999999999E-7</v>
      </c>
      <c r="I7157">
        <v>-60.93994</v>
      </c>
      <c r="J7157">
        <v>-265.86880000000002</v>
      </c>
      <c r="K7157">
        <v>1.1128039999999999</v>
      </c>
      <c r="L7157">
        <v>-63.017879999999998</v>
      </c>
      <c r="M7157">
        <v>0.99758869999999999</v>
      </c>
      <c r="N7157">
        <v>-1.261226E-2</v>
      </c>
      <c r="O7157">
        <v>-6.8248359999999994E-2</v>
      </c>
      <c r="P7157">
        <v>0.98651869999999997</v>
      </c>
      <c r="Q7157">
        <v>0.1608176</v>
      </c>
      <c r="R7157">
        <v>3.0311390000000001E-2</v>
      </c>
      <c r="S7157">
        <v>3.0518800000000001</v>
      </c>
      <c r="T7157">
        <v>-0.102241</v>
      </c>
      <c r="U7157">
        <v>0.1901245</v>
      </c>
      <c r="V7157">
        <v>-9.8428760000000004E-2</v>
      </c>
      <c r="W7157">
        <v>0.17270779999999999</v>
      </c>
      <c r="X7157">
        <v>0.98004279999999999</v>
      </c>
      <c r="Y7157">
        <v>-0.13003870000000001</v>
      </c>
      <c r="Z7157">
        <v>4.4202340000000003E-3</v>
      </c>
      <c r="AA7157">
        <v>0.99149909999999997</v>
      </c>
      <c r="AB7157">
        <v>29</v>
      </c>
      <c r="AC7157">
        <v>33.076799999999999</v>
      </c>
      <c r="AD7157">
        <v>-1.1128043329221</v>
      </c>
      <c r="AE7157">
        <v>2.0779399999999999</v>
      </c>
      <c r="AF7157">
        <v>-4.3258340398327402</v>
      </c>
      <c r="AG7157">
        <v>-1.1128043329221</v>
      </c>
      <c r="AH7157">
        <v>32.820834965012303</v>
      </c>
      <c r="AI7157">
        <v>91.925256098634705</v>
      </c>
      <c r="AJ7157">
        <v>97.508389470938198</v>
      </c>
      <c r="AK7157">
        <v>33.123381189487901</v>
      </c>
      <c r="AL7157">
        <v>80.054706731683297</v>
      </c>
      <c r="AM7157">
        <v>95.735162551510399</v>
      </c>
      <c r="AN7157">
        <v>1.0000000474038999</v>
      </c>
    </row>
    <row r="7158" spans="1:40" x14ac:dyDescent="0.25">
      <c r="A7158" t="str">
        <f>"20190304154937166"</f>
        <v>20190304154937166</v>
      </c>
      <c r="B7158" t="str">
        <f>"1551685777164428"</f>
        <v>1551685777164428</v>
      </c>
      <c r="C7158" t="s">
        <v>40</v>
      </c>
      <c r="D7158">
        <v>4.4228649999999998</v>
      </c>
      <c r="E7158">
        <v>0.48541190000000001</v>
      </c>
      <c r="F7158" t="s">
        <v>102</v>
      </c>
      <c r="G7158">
        <v>-232.6343</v>
      </c>
      <c r="H7158" s="1">
        <v>-2.5138480000000001E-7</v>
      </c>
      <c r="I7158">
        <v>-60.88776</v>
      </c>
      <c r="J7158">
        <v>-265.73110000000003</v>
      </c>
      <c r="K7158">
        <v>1.1127990000000001</v>
      </c>
      <c r="L7158">
        <v>-63.026029999999999</v>
      </c>
      <c r="M7158">
        <v>0.99767479999999997</v>
      </c>
      <c r="N7158">
        <v>-1.2566620000000001E-2</v>
      </c>
      <c r="O7158">
        <v>-6.698701E-2</v>
      </c>
      <c r="P7158">
        <v>0.98646029999999996</v>
      </c>
      <c r="Q7158">
        <v>0.1609052</v>
      </c>
      <c r="R7158">
        <v>3.1715050000000002E-2</v>
      </c>
      <c r="S7158">
        <v>3.051666</v>
      </c>
      <c r="T7158">
        <v>-0.1021801</v>
      </c>
      <c r="U7158">
        <v>0.19558719999999999</v>
      </c>
      <c r="V7158">
        <v>-9.8584149999999995E-2</v>
      </c>
      <c r="W7158">
        <v>0.17274909999999999</v>
      </c>
      <c r="X7158">
        <v>0.98001990000000005</v>
      </c>
      <c r="Y7158">
        <v>-0.13055719999999901</v>
      </c>
      <c r="Z7158">
        <v>4.4035430000000002E-3</v>
      </c>
      <c r="AA7158">
        <v>0.99143099999999995</v>
      </c>
      <c r="AB7158">
        <v>29</v>
      </c>
      <c r="AC7158">
        <v>33.096800000000002</v>
      </c>
      <c r="AD7158">
        <v>-1.1127992513848</v>
      </c>
      <c r="AE7158">
        <v>2.1382699999999999</v>
      </c>
      <c r="AF7158">
        <v>-4.3458044969338303</v>
      </c>
      <c r="AG7158">
        <v>-1.1127992513848</v>
      </c>
      <c r="AH7158">
        <v>32.842227143075803</v>
      </c>
      <c r="AI7158">
        <v>91.923863910397301</v>
      </c>
      <c r="AJ7158">
        <v>97.5377976976214</v>
      </c>
      <c r="AK7158">
        <v>33.147190267303799</v>
      </c>
      <c r="AL7158">
        <v>80.052304285158797</v>
      </c>
      <c r="AM7158">
        <v>95.744289508710395</v>
      </c>
      <c r="AN7158">
        <v>1.0000000452890201</v>
      </c>
    </row>
    <row r="7159" spans="1:40" x14ac:dyDescent="0.25">
      <c r="A7159" t="str">
        <f>"20190304154937178"</f>
        <v>20190304154937178</v>
      </c>
      <c r="B7159" t="str">
        <f>"1551685777174188"</f>
        <v>1551685777174188</v>
      </c>
      <c r="C7159" t="s">
        <v>40</v>
      </c>
      <c r="D7159">
        <v>4.3777379999999999</v>
      </c>
      <c r="E7159">
        <v>0.4854715</v>
      </c>
      <c r="F7159" t="s">
        <v>102</v>
      </c>
      <c r="G7159">
        <v>-232.63730000000001</v>
      </c>
      <c r="H7159" s="1">
        <v>-2.452379E-7</v>
      </c>
      <c r="I7159">
        <v>-60.859789999999997</v>
      </c>
      <c r="J7159">
        <v>-265.59100000000001</v>
      </c>
      <c r="K7159">
        <v>1.1127940000000001</v>
      </c>
      <c r="L7159">
        <v>-63.034149999999997</v>
      </c>
      <c r="M7159">
        <v>0.9977606</v>
      </c>
      <c r="N7159">
        <v>-1.252048E-2</v>
      </c>
      <c r="O7159">
        <v>-6.5705139999999995E-2</v>
      </c>
      <c r="P7159">
        <v>0.98641259999999997</v>
      </c>
      <c r="Q7159">
        <v>0.16087570000000001</v>
      </c>
      <c r="R7159">
        <v>3.3309539999999999E-2</v>
      </c>
      <c r="S7159">
        <v>3.0514830000000002</v>
      </c>
      <c r="T7159">
        <v>-0.1026078</v>
      </c>
      <c r="U7159">
        <v>0.19973750000000001</v>
      </c>
      <c r="V7159">
        <v>-9.8909789999999997E-2</v>
      </c>
      <c r="W7159">
        <v>0.17267260000000001</v>
      </c>
      <c r="X7159">
        <v>0.9800006</v>
      </c>
      <c r="Y7159">
        <v>-0.13062939999999901</v>
      </c>
      <c r="Z7159">
        <v>4.3969819999999998E-3</v>
      </c>
      <c r="AA7159">
        <v>0.99142149999999996</v>
      </c>
      <c r="AB7159">
        <v>29</v>
      </c>
      <c r="AC7159">
        <v>32.953699999999998</v>
      </c>
      <c r="AD7159">
        <v>-1.1127942452378901</v>
      </c>
      <c r="AE7159">
        <v>2.1743599999999899</v>
      </c>
      <c r="AF7159">
        <v>-4.3301414191459804</v>
      </c>
      <c r="AG7159">
        <v>-1.1127942452378901</v>
      </c>
      <c r="AH7159">
        <v>32.702471615257203</v>
      </c>
      <c r="AI7159">
        <v>91.932048995845804</v>
      </c>
      <c r="AJ7159">
        <v>97.542670378870895</v>
      </c>
      <c r="AK7159">
        <v>33.006667288424303</v>
      </c>
      <c r="AL7159">
        <v>80.056754579295301</v>
      </c>
      <c r="AM7159">
        <v>95.763249080764197</v>
      </c>
      <c r="AN7159">
        <v>1.0000000746744699</v>
      </c>
    </row>
    <row r="7160" spans="1:40" x14ac:dyDescent="0.25">
      <c r="A7160" t="str">
        <f>"20190304154937188"</f>
        <v>20190304154937188</v>
      </c>
      <c r="B7160" t="str">
        <f>"1551685777183952"</f>
        <v>1551685777183952</v>
      </c>
      <c r="C7160" t="s">
        <v>40</v>
      </c>
      <c r="D7160">
        <v>4.4378789999999997</v>
      </c>
      <c r="E7160">
        <v>0.4854715</v>
      </c>
      <c r="F7160" t="s">
        <v>102</v>
      </c>
      <c r="G7160">
        <v>-232.78229999999999</v>
      </c>
      <c r="H7160" s="1">
        <v>-3.0126009999999998E-7</v>
      </c>
      <c r="I7160">
        <v>-60.836559999999999</v>
      </c>
      <c r="J7160">
        <v>-265.44060000000002</v>
      </c>
      <c r="K7160">
        <v>1.1127880000000001</v>
      </c>
      <c r="L7160">
        <v>-63.04269</v>
      </c>
      <c r="M7160">
        <v>0.99785089999999999</v>
      </c>
      <c r="N7160">
        <v>-1.247121E-2</v>
      </c>
      <c r="O7160">
        <v>-6.4329819999999996E-2</v>
      </c>
      <c r="P7160">
        <v>0.98635640000000002</v>
      </c>
      <c r="Q7160">
        <v>0.1609391</v>
      </c>
      <c r="R7160">
        <v>3.4643809999999997E-2</v>
      </c>
      <c r="S7160">
        <v>3.0512999999999999</v>
      </c>
      <c r="T7160">
        <v>-0.103493</v>
      </c>
      <c r="U7160">
        <v>0.20437620000000001</v>
      </c>
      <c r="V7160">
        <v>-9.8884280000000005E-2</v>
      </c>
      <c r="W7160">
        <v>0.1726876</v>
      </c>
      <c r="X7160">
        <v>0.98000039999999999</v>
      </c>
      <c r="Y7160">
        <v>-0.13076559999999901</v>
      </c>
      <c r="Z7160">
        <v>4.408833E-3</v>
      </c>
      <c r="AA7160">
        <v>0.99140349999999999</v>
      </c>
      <c r="AB7160">
        <v>29</v>
      </c>
      <c r="AC7160">
        <v>32.658299999999997</v>
      </c>
      <c r="AD7160">
        <v>-1.1127883012601001</v>
      </c>
      <c r="AE7160">
        <v>2.2061299999999999</v>
      </c>
      <c r="AF7160">
        <v>-4.2976584012237602</v>
      </c>
      <c r="AG7160">
        <v>-1.1127883012601001</v>
      </c>
      <c r="AH7160">
        <v>32.411254094463501</v>
      </c>
      <c r="AI7160">
        <v>91.949337301569003</v>
      </c>
      <c r="AJ7160">
        <v>97.553228057225198</v>
      </c>
      <c r="AK7160">
        <v>32.713874082916398</v>
      </c>
      <c r="AL7160">
        <v>80.055880742845304</v>
      </c>
      <c r="AM7160">
        <v>95.761773840997094</v>
      </c>
      <c r="AN7160">
        <v>0.99999994601251696</v>
      </c>
    </row>
    <row r="7161" spans="1:40" x14ac:dyDescent="0.25">
      <c r="A7161" t="str">
        <f>"20190304154937199"</f>
        <v>20190304154937199</v>
      </c>
      <c r="B7161" t="str">
        <f>"1551685777194688"</f>
        <v>1551685777194688</v>
      </c>
      <c r="C7161" t="s">
        <v>40</v>
      </c>
      <c r="D7161">
        <v>4.3040310000000002</v>
      </c>
      <c r="E7161">
        <v>0.4863479</v>
      </c>
      <c r="F7161" t="s">
        <v>102</v>
      </c>
      <c r="G7161">
        <v>-232.56469999999999</v>
      </c>
      <c r="H7161" s="1">
        <v>-1.967962E-7</v>
      </c>
      <c r="I7161">
        <v>-60.794750000000001</v>
      </c>
      <c r="J7161">
        <v>-265.3116</v>
      </c>
      <c r="K7161">
        <v>1.112784</v>
      </c>
      <c r="L7161">
        <v>-63.049799999999998</v>
      </c>
      <c r="M7161">
        <v>0.99792650000000005</v>
      </c>
      <c r="N7161">
        <v>-1.2428379999999999E-2</v>
      </c>
      <c r="O7161">
        <v>-6.315192E-2</v>
      </c>
      <c r="P7161">
        <v>0.98633720000000003</v>
      </c>
      <c r="Q7161">
        <v>0.16081960000000001</v>
      </c>
      <c r="R7161">
        <v>3.571825E-2</v>
      </c>
      <c r="S7161">
        <v>3.0510860000000002</v>
      </c>
      <c r="T7161">
        <v>-0.1032739</v>
      </c>
      <c r="U7161">
        <v>0.2086182</v>
      </c>
      <c r="V7161">
        <v>-9.8795530000000006E-2</v>
      </c>
      <c r="W7161">
        <v>0.1725265</v>
      </c>
      <c r="X7161">
        <v>0.98003779999999996</v>
      </c>
      <c r="Y7161">
        <v>-0.13097259999999999</v>
      </c>
      <c r="Z7161">
        <v>4.3793119999999998E-3</v>
      </c>
      <c r="AA7161">
        <v>0.99137629999999999</v>
      </c>
      <c r="AB7161">
        <v>29</v>
      </c>
      <c r="AC7161">
        <v>32.746899999999997</v>
      </c>
      <c r="AD7161">
        <v>-1.1127841967962</v>
      </c>
      <c r="AE7161">
        <v>2.25504999999999</v>
      </c>
      <c r="AF7161">
        <v>-4.3137797222861796</v>
      </c>
      <c r="AG7161">
        <v>-1.1127841967962</v>
      </c>
      <c r="AH7161">
        <v>32.501749186488503</v>
      </c>
      <c r="AI7161">
        <v>91.943874624851802</v>
      </c>
      <c r="AJ7161">
        <v>97.560368651998601</v>
      </c>
      <c r="AK7161">
        <v>32.805650189296003</v>
      </c>
      <c r="AL7161">
        <v>80.065252484415197</v>
      </c>
      <c r="AM7161">
        <v>95.756419108343394</v>
      </c>
      <c r="AN7161">
        <v>1.00000001968953</v>
      </c>
    </row>
    <row r="7162" spans="1:40" x14ac:dyDescent="0.25">
      <c r="A7162" t="str">
        <f>"20190304154937266"</f>
        <v>20190304154937266</v>
      </c>
      <c r="B7162" t="str">
        <f>"1551685777254221"</f>
        <v>1551685777254221</v>
      </c>
      <c r="C7162" t="s">
        <v>40</v>
      </c>
      <c r="D7162">
        <v>3.1192799999999998</v>
      </c>
      <c r="E7162">
        <v>0.48622880000000002</v>
      </c>
      <c r="F7162" t="s">
        <v>102</v>
      </c>
      <c r="G7162">
        <v>-233.7345</v>
      </c>
      <c r="H7162" s="1">
        <v>-7.3384519999999897E-7</v>
      </c>
      <c r="I7162">
        <v>-60.927069999999901</v>
      </c>
      <c r="J7162">
        <v>-264.44650000000001</v>
      </c>
      <c r="K7162">
        <v>1.1127469999999999</v>
      </c>
      <c r="L7162">
        <v>-63.093809999999998</v>
      </c>
      <c r="M7162">
        <v>0.99839820000000001</v>
      </c>
      <c r="N7162">
        <v>-1.215143E-2</v>
      </c>
      <c r="O7162">
        <v>-5.5258250000000002E-2</v>
      </c>
      <c r="P7162">
        <v>0.98627480000000001</v>
      </c>
      <c r="Q7162">
        <v>0.15973989999999999</v>
      </c>
      <c r="R7162">
        <v>4.1780770000000002E-2</v>
      </c>
      <c r="S7162">
        <v>3.051666</v>
      </c>
      <c r="T7162">
        <v>-0.1075416</v>
      </c>
      <c r="U7162">
        <v>0.20513919999999999</v>
      </c>
      <c r="V7162">
        <v>-9.7070139999999999E-2</v>
      </c>
      <c r="W7162">
        <v>0.1711877</v>
      </c>
      <c r="X7162">
        <v>0.98044480000000001</v>
      </c>
      <c r="Y7162">
        <v>-0.121989899999999</v>
      </c>
      <c r="Z7162">
        <v>4.1628730000000001E-3</v>
      </c>
      <c r="AA7162">
        <v>0.99252260000000003</v>
      </c>
      <c r="AB7162">
        <v>29</v>
      </c>
      <c r="AC7162">
        <v>30.712</v>
      </c>
      <c r="AD7162">
        <v>-1.1127477338452001</v>
      </c>
      <c r="AE7162">
        <v>2.1667399999999999</v>
      </c>
      <c r="AF7162">
        <v>-3.8556092112205</v>
      </c>
      <c r="AG7162">
        <v>-1.1127477338452001</v>
      </c>
      <c r="AH7162">
        <v>30.505481679998599</v>
      </c>
      <c r="AI7162">
        <v>92.072576422183204</v>
      </c>
      <c r="AJ7162">
        <v>97.203458300339094</v>
      </c>
      <c r="AK7162">
        <v>30.7683009351761</v>
      </c>
      <c r="AL7162">
        <v>80.143117619481302</v>
      </c>
      <c r="AM7162">
        <v>95.654212337098599</v>
      </c>
      <c r="AN7162">
        <v>0.99999992327897103</v>
      </c>
    </row>
    <row r="7163" spans="1:40" x14ac:dyDescent="0.25">
      <c r="A7163" t="str">
        <f>"20190304154937278"</f>
        <v>20190304154937278</v>
      </c>
      <c r="B7163" t="str">
        <f>"1551685777274103"</f>
        <v>1551685777274103</v>
      </c>
      <c r="C7163" t="s">
        <v>40</v>
      </c>
      <c r="D7163">
        <v>4.3422289999999997</v>
      </c>
      <c r="E7163">
        <v>0.48443199999999997</v>
      </c>
      <c r="F7163" t="s">
        <v>102</v>
      </c>
      <c r="G7163">
        <v>-237.0266</v>
      </c>
      <c r="H7163" s="1">
        <v>-2.1847969999999999E-6</v>
      </c>
      <c r="I7163">
        <v>-61.072409999999998</v>
      </c>
      <c r="J7163">
        <v>-264.303</v>
      </c>
      <c r="K7163">
        <v>1.112741</v>
      </c>
      <c r="L7163">
        <v>-63.100430000000003</v>
      </c>
      <c r="M7163">
        <v>0.99847039999999998</v>
      </c>
      <c r="N7163">
        <v>-1.2107939999999999E-2</v>
      </c>
      <c r="O7163">
        <v>-5.39491E-2</v>
      </c>
      <c r="P7163">
        <v>0.9861955</v>
      </c>
      <c r="Q7163">
        <v>0.1600395</v>
      </c>
      <c r="R7163">
        <v>4.249812E-2</v>
      </c>
      <c r="S7163">
        <v>3.0522459999999998</v>
      </c>
      <c r="T7163">
        <v>-0.1238658</v>
      </c>
      <c r="U7163">
        <v>0.22500609999999999</v>
      </c>
      <c r="V7163">
        <v>-9.6495339999999999E-2</v>
      </c>
      <c r="W7163">
        <v>0.1714475</v>
      </c>
      <c r="X7163">
        <v>0.9804562</v>
      </c>
      <c r="Y7163">
        <v>-0.1270616</v>
      </c>
      <c r="Z7163">
        <v>4.8780619999999998E-3</v>
      </c>
      <c r="AA7163">
        <v>0.99188279999999995</v>
      </c>
      <c r="AB7163">
        <v>29</v>
      </c>
      <c r="AC7163">
        <v>27.276399999999899</v>
      </c>
      <c r="AD7163">
        <v>-1.112743184797</v>
      </c>
      <c r="AE7163">
        <v>2.0280200000000002</v>
      </c>
      <c r="AF7163">
        <v>-3.4909332530980302</v>
      </c>
      <c r="AG7163">
        <v>-1.112743184797</v>
      </c>
      <c r="AH7163">
        <v>27.082429484024001</v>
      </c>
      <c r="AI7163">
        <v>92.333519404646907</v>
      </c>
      <c r="AJ7163">
        <v>97.344942346422798</v>
      </c>
      <c r="AK7163">
        <v>27.329156575533599</v>
      </c>
      <c r="AL7163">
        <v>80.128009349508005</v>
      </c>
      <c r="AM7163">
        <v>95.620881074004998</v>
      </c>
      <c r="AN7163">
        <v>0.99999997800820195</v>
      </c>
    </row>
    <row r="7164" spans="1:40" x14ac:dyDescent="0.25">
      <c r="A7164" t="str">
        <f>"20190304154937289"</f>
        <v>20190304154937289</v>
      </c>
      <c r="B7164" t="str">
        <f>"1551685777284839"</f>
        <v>1551685777284839</v>
      </c>
      <c r="C7164" t="s">
        <v>40</v>
      </c>
      <c r="D7164">
        <v>4.4038130000000004</v>
      </c>
      <c r="E7164">
        <v>0.48367850000000001</v>
      </c>
      <c r="F7164" t="s">
        <v>102</v>
      </c>
      <c r="G7164">
        <v>-237.1422</v>
      </c>
      <c r="H7164" s="1">
        <v>-2.201217E-6</v>
      </c>
      <c r="I7164">
        <v>-60.947679999999998</v>
      </c>
      <c r="J7164">
        <v>-264.15219999999999</v>
      </c>
      <c r="K7164">
        <v>1.112743</v>
      </c>
      <c r="L7164">
        <v>-63.107239999999997</v>
      </c>
      <c r="M7164">
        <v>0.99854430000000005</v>
      </c>
      <c r="N7164">
        <v>-1.206254E-2</v>
      </c>
      <c r="O7164">
        <v>-5.2573549999999997E-2</v>
      </c>
      <c r="P7164">
        <v>0.98611340000000003</v>
      </c>
      <c r="Q7164">
        <v>0.16025229999999999</v>
      </c>
      <c r="R7164">
        <v>4.35824E-2</v>
      </c>
      <c r="S7164">
        <v>3.0518489999999998</v>
      </c>
      <c r="T7164">
        <v>-0.12503059999999999</v>
      </c>
      <c r="U7164">
        <v>0.24188229999999999</v>
      </c>
      <c r="V7164">
        <v>-9.6220829999999993E-2</v>
      </c>
      <c r="W7164">
        <v>0.17161660000000001</v>
      </c>
      <c r="X7164">
        <v>0.98045360000000004</v>
      </c>
      <c r="Y7164">
        <v>-0.13114999999999999</v>
      </c>
      <c r="Z7164">
        <v>4.9909769999999997E-3</v>
      </c>
      <c r="AA7164">
        <v>0.99134999999999995</v>
      </c>
      <c r="AB7164">
        <v>29</v>
      </c>
      <c r="AC7164">
        <v>27.009999999999899</v>
      </c>
      <c r="AD7164">
        <v>-1.112745201217</v>
      </c>
      <c r="AE7164">
        <v>2.1595599999999902</v>
      </c>
      <c r="AF7164">
        <v>-3.5706660062008302</v>
      </c>
      <c r="AG7164">
        <v>-1.112745201217</v>
      </c>
      <c r="AH7164">
        <v>26.813876824503598</v>
      </c>
      <c r="AI7164">
        <v>92.355575701857703</v>
      </c>
      <c r="AJ7164">
        <v>97.585158647403304</v>
      </c>
      <c r="AK7164">
        <v>27.073452826898901</v>
      </c>
      <c r="AL7164">
        <v>80.118174927823205</v>
      </c>
      <c r="AM7164">
        <v>95.605007522122904</v>
      </c>
      <c r="AN7164">
        <v>0.99999998363720399</v>
      </c>
    </row>
    <row r="7165" spans="1:40" x14ac:dyDescent="0.25">
      <c r="A7165" t="str">
        <f>"20190304154937301"</f>
        <v>20190304154937301</v>
      </c>
      <c r="B7165" t="str">
        <f>"1551685777294599"</f>
        <v>1551685777294599</v>
      </c>
      <c r="C7165" t="s">
        <v>40</v>
      </c>
      <c r="D7165">
        <v>4.3978840000000003</v>
      </c>
      <c r="E7165">
        <v>0.48301490000000002</v>
      </c>
      <c r="F7165" t="s">
        <v>102</v>
      </c>
      <c r="G7165">
        <v>-236.20339999999999</v>
      </c>
      <c r="H7165" s="1">
        <v>-1.7593560000000001E-6</v>
      </c>
      <c r="I7165">
        <v>-60.800759999999997</v>
      </c>
      <c r="J7165">
        <v>-264.0077</v>
      </c>
      <c r="K7165">
        <v>1.1127400000000001</v>
      </c>
      <c r="L7165">
        <v>-63.113489999999999</v>
      </c>
      <c r="M7165">
        <v>0.99861319999999998</v>
      </c>
      <c r="N7165">
        <v>-1.2020579999999999E-2</v>
      </c>
      <c r="O7165">
        <v>-5.1254630000000002E-2</v>
      </c>
      <c r="P7165">
        <v>0.98601260000000002</v>
      </c>
      <c r="Q7165">
        <v>0.16063640000000001</v>
      </c>
      <c r="R7165">
        <v>4.4441229999999998E-2</v>
      </c>
      <c r="S7165">
        <v>3.0509029999999999</v>
      </c>
      <c r="T7165">
        <v>-0.121467699999999</v>
      </c>
      <c r="U7165">
        <v>0.25176999999999999</v>
      </c>
      <c r="V7165">
        <v>-9.5777849999999998E-2</v>
      </c>
      <c r="W7165">
        <v>0.17196139999999999</v>
      </c>
      <c r="X7165">
        <v>0.98043659999999999</v>
      </c>
      <c r="Y7165">
        <v>-0.13306389999999901</v>
      </c>
      <c r="Z7165">
        <v>4.8668749999999997E-3</v>
      </c>
      <c r="AA7165">
        <v>0.99109550000000002</v>
      </c>
      <c r="AB7165">
        <v>29</v>
      </c>
      <c r="AC7165">
        <v>27.804300000000001</v>
      </c>
      <c r="AD7165">
        <v>-1.1127417593560001</v>
      </c>
      <c r="AE7165">
        <v>2.3127300000000002</v>
      </c>
      <c r="AF7165">
        <v>-3.7289605178893499</v>
      </c>
      <c r="AG7165">
        <v>-1.1127417593560001</v>
      </c>
      <c r="AH7165">
        <v>27.6052926010642</v>
      </c>
      <c r="AI7165">
        <v>92.2875324246899</v>
      </c>
      <c r="AJ7165">
        <v>97.693025970587001</v>
      </c>
      <c r="AK7165">
        <v>27.878226635806001</v>
      </c>
      <c r="AL7165">
        <v>80.098121614503597</v>
      </c>
      <c r="AM7165">
        <v>95.579462594874201</v>
      </c>
      <c r="AN7165">
        <v>1.0000000231300701</v>
      </c>
    </row>
    <row r="7166" spans="1:40" x14ac:dyDescent="0.25">
      <c r="A7166" t="str">
        <f>"20190304154937312"</f>
        <v>20190304154937312</v>
      </c>
      <c r="B7166" t="str">
        <f>"1551685777304359"</f>
        <v>1551685777304359</v>
      </c>
      <c r="C7166" t="s">
        <v>40</v>
      </c>
      <c r="D7166">
        <v>3.7948409999999999</v>
      </c>
      <c r="E7166">
        <v>0.48143320000000001</v>
      </c>
      <c r="F7166" t="s">
        <v>102</v>
      </c>
      <c r="G7166">
        <v>-235.226</v>
      </c>
      <c r="H7166" s="1">
        <v>-1.302324E-6</v>
      </c>
      <c r="I7166">
        <v>-60.658990000000003</v>
      </c>
      <c r="J7166">
        <v>-263.86579999999998</v>
      </c>
      <c r="K7166">
        <v>1.112738</v>
      </c>
      <c r="L7166">
        <v>-63.119570000000003</v>
      </c>
      <c r="M7166">
        <v>0.99867939999999999</v>
      </c>
      <c r="N7166">
        <v>-1.1979780000000001E-2</v>
      </c>
      <c r="O7166">
        <v>-4.9960160000000003E-2</v>
      </c>
      <c r="P7166">
        <v>0.98595639999999996</v>
      </c>
      <c r="Q7166">
        <v>0.16066720000000001</v>
      </c>
      <c r="R7166">
        <v>4.5564729999999998E-2</v>
      </c>
      <c r="S7166">
        <v>3.050049</v>
      </c>
      <c r="T7166">
        <v>-0.1179191</v>
      </c>
      <c r="U7166">
        <v>0.26010129999999998</v>
      </c>
      <c r="V7166">
        <v>-9.5624180000000003E-2</v>
      </c>
      <c r="W7166">
        <v>0.17195299999999999</v>
      </c>
      <c r="X7166">
        <v>0.98045309999999997</v>
      </c>
      <c r="Y7166">
        <v>-0.1344977</v>
      </c>
      <c r="Z7166">
        <v>4.7323390000000003E-3</v>
      </c>
      <c r="AA7166">
        <v>0.99090259999999997</v>
      </c>
      <c r="AB7166">
        <v>29</v>
      </c>
      <c r="AC7166">
        <v>28.639799999999902</v>
      </c>
      <c r="AD7166">
        <v>-1.112739302324</v>
      </c>
      <c r="AE7166">
        <v>2.46057999999999</v>
      </c>
      <c r="AF7166">
        <v>-3.88264034933374</v>
      </c>
      <c r="AG7166">
        <v>-1.112739302324</v>
      </c>
      <c r="AH7166">
        <v>28.4384753373532</v>
      </c>
      <c r="AI7166">
        <v>92.220148321219796</v>
      </c>
      <c r="AJ7166">
        <v>97.774395788441595</v>
      </c>
      <c r="AK7166">
        <v>28.723857059079901</v>
      </c>
      <c r="AL7166">
        <v>80.098610441728894</v>
      </c>
      <c r="AM7166">
        <v>95.570473865041095</v>
      </c>
      <c r="AN7166">
        <v>1.00000004965464</v>
      </c>
    </row>
    <row r="7167" spans="1:40" x14ac:dyDescent="0.25">
      <c r="A7167" t="str">
        <f>"20190304154937322"</f>
        <v>20190304154937322</v>
      </c>
      <c r="B7167" t="str">
        <f>"1551685777314119"</f>
        <v>1551685777314119</v>
      </c>
      <c r="C7167" t="s">
        <v>40</v>
      </c>
      <c r="D7167">
        <v>4.3024610000000001</v>
      </c>
      <c r="E7167">
        <v>0.48082730000000001</v>
      </c>
      <c r="F7167" t="s">
        <v>102</v>
      </c>
      <c r="G7167">
        <v>-234.7131</v>
      </c>
      <c r="H7167" s="1">
        <v>-1.033348E-6</v>
      </c>
      <c r="I7167">
        <v>-60.474960000000003</v>
      </c>
      <c r="J7167">
        <v>-263.72149999999999</v>
      </c>
      <c r="K7167">
        <v>1.112738</v>
      </c>
      <c r="L7167">
        <v>-63.125399999999999</v>
      </c>
      <c r="M7167">
        <v>0.99874479999999999</v>
      </c>
      <c r="N7167">
        <v>-1.1941480000000001E-2</v>
      </c>
      <c r="O7167">
        <v>-4.8643760000000001E-2</v>
      </c>
      <c r="P7167">
        <v>0.98588949999999997</v>
      </c>
      <c r="Q7167">
        <v>0.1607777</v>
      </c>
      <c r="R7167">
        <v>4.6609879999999999E-2</v>
      </c>
      <c r="S7167">
        <v>3.04895</v>
      </c>
      <c r="T7167">
        <v>-0.1163764</v>
      </c>
      <c r="U7167">
        <v>0.27658080000000002</v>
      </c>
      <c r="V7167">
        <v>-9.5370469999999999E-2</v>
      </c>
      <c r="W7167">
        <v>0.17202719999999999</v>
      </c>
      <c r="X7167">
        <v>0.98046480000000003</v>
      </c>
      <c r="Y7167">
        <v>-0.13853560000000001</v>
      </c>
      <c r="Z7167">
        <v>4.7400919999999996E-3</v>
      </c>
      <c r="AA7167">
        <v>0.99034610000000001</v>
      </c>
      <c r="AB7167">
        <v>29</v>
      </c>
      <c r="AC7167">
        <v>29.008399999999899</v>
      </c>
      <c r="AD7167">
        <v>-1.1127390333480001</v>
      </c>
      <c r="AE7167">
        <v>2.6504400000000001</v>
      </c>
      <c r="AF7167">
        <v>-4.0525665209426203</v>
      </c>
      <c r="AG7167">
        <v>-1.1127390333480001</v>
      </c>
      <c r="AH7167">
        <v>28.803087351386001</v>
      </c>
      <c r="AI7167">
        <v>92.190829019672407</v>
      </c>
      <c r="AJ7167">
        <v>98.008888304294899</v>
      </c>
      <c r="AK7167">
        <v>29.108062878428999</v>
      </c>
      <c r="AL7167">
        <v>80.094294830244806</v>
      </c>
      <c r="AM7167">
        <v>95.555720996618902</v>
      </c>
      <c r="AN7167">
        <v>1.0000000540634399</v>
      </c>
    </row>
    <row r="7168" spans="1:40" x14ac:dyDescent="0.25">
      <c r="A7168" t="str">
        <f>"20190304154937334"</f>
        <v>20190304154937334</v>
      </c>
      <c r="B7168" t="str">
        <f>"1551685777324855"</f>
        <v>1551685777324855</v>
      </c>
      <c r="C7168" t="s">
        <v>40</v>
      </c>
      <c r="D7168">
        <v>4.1466539999999998</v>
      </c>
      <c r="E7168">
        <v>0.48011470000000001</v>
      </c>
      <c r="F7168" t="s">
        <v>102</v>
      </c>
      <c r="G7168">
        <v>-234.2741</v>
      </c>
      <c r="H7168" s="1">
        <v>-8.2251899999999996E-7</v>
      </c>
      <c r="I7168">
        <v>-60.373550000000002</v>
      </c>
      <c r="J7168">
        <v>-263.57510000000002</v>
      </c>
      <c r="K7168">
        <v>1.1127359999999999</v>
      </c>
      <c r="L7168">
        <v>-63.131230000000002</v>
      </c>
      <c r="M7168">
        <v>0.99880950000000002</v>
      </c>
      <c r="N7168">
        <v>-1.190285E-2</v>
      </c>
      <c r="O7168">
        <v>-4.7308040000000003E-2</v>
      </c>
      <c r="P7168">
        <v>0.98585590000000001</v>
      </c>
      <c r="Q7168">
        <v>0.1606389</v>
      </c>
      <c r="R7168">
        <v>4.7787379999999997E-2</v>
      </c>
      <c r="S7168">
        <v>3.0482480000000001</v>
      </c>
      <c r="T7168">
        <v>-0.1151853</v>
      </c>
      <c r="U7168">
        <v>0.28485110000000002</v>
      </c>
      <c r="V7168">
        <v>-9.523036E-2</v>
      </c>
      <c r="W7168">
        <v>0.17185149999999999</v>
      </c>
      <c r="X7168">
        <v>0.98050919999999997</v>
      </c>
      <c r="Y7168">
        <v>-0.13989789999999999</v>
      </c>
      <c r="Z7168">
        <v>4.6933299999999999E-3</v>
      </c>
      <c r="AA7168">
        <v>0.9901548</v>
      </c>
      <c r="AB7168">
        <v>29</v>
      </c>
      <c r="AC7168">
        <v>29.300999999999998</v>
      </c>
      <c r="AD7168">
        <v>-1.112736822519</v>
      </c>
      <c r="AE7168">
        <v>2.7576800000000001</v>
      </c>
      <c r="AF7168">
        <v>-4.1349519101220196</v>
      </c>
      <c r="AG7168">
        <v>-1.112736822519</v>
      </c>
      <c r="AH7168">
        <v>29.096125276907799</v>
      </c>
      <c r="AI7168">
        <v>92.1683564030144</v>
      </c>
      <c r="AJ7168">
        <v>98.088342010066498</v>
      </c>
      <c r="AK7168">
        <v>29.409531051424899</v>
      </c>
      <c r="AL7168">
        <v>80.104513598572296</v>
      </c>
      <c r="AM7168">
        <v>95.547360324707896</v>
      </c>
      <c r="AN7168">
        <v>1.0000000254013</v>
      </c>
    </row>
    <row r="7169" spans="1:40" x14ac:dyDescent="0.25">
      <c r="A7169" t="str">
        <f>"20190304154937345"</f>
        <v>20190304154937345</v>
      </c>
      <c r="B7169" t="str">
        <f>"1551685777334615"</f>
        <v>1551685777334615</v>
      </c>
      <c r="C7169" t="s">
        <v>40</v>
      </c>
      <c r="D7169">
        <v>4.33216</v>
      </c>
      <c r="E7169">
        <v>0.47962090000000002</v>
      </c>
      <c r="F7169" t="s">
        <v>102</v>
      </c>
      <c r="G7169">
        <v>-234.1764</v>
      </c>
      <c r="H7169" s="1">
        <v>-7.9537189999999996E-7</v>
      </c>
      <c r="I7169">
        <v>-60.290289999999999</v>
      </c>
      <c r="J7169">
        <v>-263.42759999999998</v>
      </c>
      <c r="K7169">
        <v>1.1127309999999999</v>
      </c>
      <c r="L7169">
        <v>-63.136839999999999</v>
      </c>
      <c r="M7169">
        <v>0.99887280000000001</v>
      </c>
      <c r="N7169">
        <v>-1.186476E-2</v>
      </c>
      <c r="O7169">
        <v>-4.5962320000000001E-2</v>
      </c>
      <c r="P7169">
        <v>0.98575040000000003</v>
      </c>
      <c r="Q7169">
        <v>0.16084219999999999</v>
      </c>
      <c r="R7169">
        <v>4.925765E-2</v>
      </c>
      <c r="S7169">
        <v>3.047577</v>
      </c>
      <c r="T7169">
        <v>-0.11535040000000001</v>
      </c>
      <c r="U7169">
        <v>0.2944946</v>
      </c>
      <c r="V7169">
        <v>-9.5372059999999995E-2</v>
      </c>
      <c r="W7169">
        <v>0.17201540000000001</v>
      </c>
      <c r="X7169">
        <v>0.98046670000000002</v>
      </c>
      <c r="Y7169">
        <v>-0.14168729999999999</v>
      </c>
      <c r="Z7169">
        <v>4.7088779999999997E-3</v>
      </c>
      <c r="AA7169">
        <v>0.98990020000000001</v>
      </c>
      <c r="AB7169">
        <v>29</v>
      </c>
      <c r="AC7169">
        <v>29.251199999999901</v>
      </c>
      <c r="AD7169">
        <v>-1.11273179537189</v>
      </c>
      <c r="AE7169">
        <v>2.8465500000000001</v>
      </c>
      <c r="AF7169">
        <v>-4.1820937392794502</v>
      </c>
      <c r="AG7169">
        <v>-1.11273179537189</v>
      </c>
      <c r="AH7169">
        <v>29.047798726096499</v>
      </c>
      <c r="AI7169">
        <v>92.1713851566996</v>
      </c>
      <c r="AJ7169">
        <v>98.192738133076602</v>
      </c>
      <c r="AK7169">
        <v>29.368396124479901</v>
      </c>
      <c r="AL7169">
        <v>80.094980997898404</v>
      </c>
      <c r="AM7169">
        <v>95.555802342142101</v>
      </c>
      <c r="AN7169">
        <v>1.00000003873734</v>
      </c>
    </row>
    <row r="7170" spans="1:40" x14ac:dyDescent="0.25">
      <c r="A7170" t="str">
        <f>"20190304154937357"</f>
        <v>20190304154937357</v>
      </c>
      <c r="B7170" t="str">
        <f>"1551685777344375"</f>
        <v>1551685777344375</v>
      </c>
      <c r="C7170" t="s">
        <v>40</v>
      </c>
      <c r="D7170">
        <v>4.3933839999999904</v>
      </c>
      <c r="E7170">
        <v>0.47917520000000002</v>
      </c>
      <c r="F7170" t="s">
        <v>102</v>
      </c>
      <c r="G7170">
        <v>-233.5771</v>
      </c>
      <c r="H7170" s="1">
        <v>-5.6029509999999997E-7</v>
      </c>
      <c r="I7170">
        <v>-60.1663</v>
      </c>
      <c r="J7170">
        <v>-263.29309999999998</v>
      </c>
      <c r="K7170">
        <v>1.112727</v>
      </c>
      <c r="L7170">
        <v>-63.141820000000003</v>
      </c>
      <c r="M7170">
        <v>0.99892879999999995</v>
      </c>
      <c r="N7170">
        <v>-1.183059E-2</v>
      </c>
      <c r="O7170">
        <v>-4.4735820000000003E-2</v>
      </c>
      <c r="P7170">
        <v>0.98567300000000002</v>
      </c>
      <c r="Q7170">
        <v>0.1609747</v>
      </c>
      <c r="R7170">
        <v>5.035808E-2</v>
      </c>
      <c r="S7170">
        <v>3.046783</v>
      </c>
      <c r="T7170">
        <v>-0.11357449999999999</v>
      </c>
      <c r="U7170">
        <v>0.30319210000000002</v>
      </c>
      <c r="V7170">
        <v>-9.5261910000000005E-2</v>
      </c>
      <c r="W7170">
        <v>0.1721155</v>
      </c>
      <c r="X7170">
        <v>0.98045979999999999</v>
      </c>
      <c r="Y7170">
        <v>-0.1432985</v>
      </c>
      <c r="Z7170">
        <v>4.6492729999999998E-3</v>
      </c>
      <c r="AA7170">
        <v>0.98966860000000001</v>
      </c>
      <c r="AB7170">
        <v>29</v>
      </c>
      <c r="AC7170">
        <v>29.715999999999902</v>
      </c>
      <c r="AD7170">
        <v>-1.1127275602950999</v>
      </c>
      <c r="AE7170">
        <v>2.9755199999999902</v>
      </c>
      <c r="AF7170">
        <v>-4.2960393827977503</v>
      </c>
      <c r="AG7170">
        <v>-1.1127275602950999</v>
      </c>
      <c r="AH7170">
        <v>29.512154152381399</v>
      </c>
      <c r="AI7170">
        <v>92.136760497008197</v>
      </c>
      <c r="AJ7170">
        <v>98.282285367455998</v>
      </c>
      <c r="AK7170">
        <v>29.843950135930601</v>
      </c>
      <c r="AL7170">
        <v>80.089158449829995</v>
      </c>
      <c r="AM7170">
        <v>95.549464554061103</v>
      </c>
      <c r="AN7170">
        <v>0.99999999812656903</v>
      </c>
    </row>
    <row r="7171" spans="1:40" x14ac:dyDescent="0.25">
      <c r="A7171" t="str">
        <f>"20190304154937367"</f>
        <v>20190304154937367</v>
      </c>
      <c r="B7171" t="str">
        <f>"1551685777364402"</f>
        <v>1551685777364402</v>
      </c>
      <c r="C7171" t="s">
        <v>40</v>
      </c>
      <c r="D7171">
        <v>4.3727539999999996</v>
      </c>
      <c r="E7171">
        <v>0.4782034</v>
      </c>
      <c r="F7171" t="s">
        <v>102</v>
      </c>
      <c r="G7171">
        <v>-233.1908</v>
      </c>
      <c r="H7171" s="1">
        <v>-4.1078269999999998E-7</v>
      </c>
      <c r="I7171">
        <v>-60.0747</v>
      </c>
      <c r="J7171">
        <v>-263.14460000000003</v>
      </c>
      <c r="K7171">
        <v>1.112724</v>
      </c>
      <c r="L7171">
        <v>-63.147089999999999</v>
      </c>
      <c r="M7171">
        <v>0.99898889999999996</v>
      </c>
      <c r="N7171">
        <v>-1.179375E-2</v>
      </c>
      <c r="O7171">
        <v>-4.3384739999999998E-2</v>
      </c>
      <c r="P7171">
        <v>0.98554030000000004</v>
      </c>
      <c r="Q7171">
        <v>0.16126270000000001</v>
      </c>
      <c r="R7171">
        <v>5.2009119999999999E-2</v>
      </c>
      <c r="S7171">
        <v>3.0461429999999998</v>
      </c>
      <c r="T7171">
        <v>-0.11260009999999999</v>
      </c>
      <c r="U7171">
        <v>0.31036380000000002</v>
      </c>
      <c r="V7171">
        <v>-9.5577930000000005E-2</v>
      </c>
      <c r="W7171">
        <v>0.1723644</v>
      </c>
      <c r="X7171">
        <v>0.98038530000000002</v>
      </c>
      <c r="Y7171">
        <v>-0.1442889</v>
      </c>
      <c r="Z7171">
        <v>4.6019260000000001E-3</v>
      </c>
      <c r="AA7171">
        <v>0.98952490000000004</v>
      </c>
      <c r="AB7171">
        <v>29</v>
      </c>
      <c r="AC7171">
        <v>29.953800000000001</v>
      </c>
      <c r="AD7171">
        <v>-1.1127244107826999</v>
      </c>
      <c r="AE7171">
        <v>3.07239</v>
      </c>
      <c r="AF7171">
        <v>-4.3631664935025301</v>
      </c>
      <c r="AG7171">
        <v>-1.1127244107826999</v>
      </c>
      <c r="AH7171">
        <v>29.751659532864501</v>
      </c>
      <c r="AI7171">
        <v>92.119240524787401</v>
      </c>
      <c r="AJ7171">
        <v>98.343118182423794</v>
      </c>
      <c r="AK7171">
        <v>30.090473948142801</v>
      </c>
      <c r="AL7171">
        <v>80.074681003644699</v>
      </c>
      <c r="AM7171">
        <v>95.568179188930401</v>
      </c>
      <c r="AN7171">
        <v>0.99999998177326699</v>
      </c>
    </row>
    <row r="7172" spans="1:40" x14ac:dyDescent="0.25">
      <c r="A7172" t="str">
        <f>"20190304154937378"</f>
        <v>20190304154937378</v>
      </c>
      <c r="B7172" t="str">
        <f>"1551685777374161"</f>
        <v>1551685777374161</v>
      </c>
      <c r="C7172" t="s">
        <v>40</v>
      </c>
      <c r="D7172">
        <v>4.2821230000000003</v>
      </c>
      <c r="E7172">
        <v>0.47774509999999998</v>
      </c>
      <c r="F7172" t="s">
        <v>102</v>
      </c>
      <c r="G7172">
        <v>-232.38730000000001</v>
      </c>
      <c r="H7172" s="1">
        <v>-1.002333E-7</v>
      </c>
      <c r="I7172">
        <v>-59.882240000000003</v>
      </c>
      <c r="J7172">
        <v>-263.00979999999998</v>
      </c>
      <c r="K7172">
        <v>1.1127209999999901</v>
      </c>
      <c r="L7172">
        <v>-63.151760000000003</v>
      </c>
      <c r="M7172">
        <v>0.99904150000000003</v>
      </c>
      <c r="N7172">
        <v>-1.1761779999999999E-2</v>
      </c>
      <c r="O7172">
        <v>-4.2164229999999997E-2</v>
      </c>
      <c r="P7172">
        <v>0.98538060000000005</v>
      </c>
      <c r="Q7172">
        <v>0.16175580000000001</v>
      </c>
      <c r="R7172">
        <v>5.3482290000000002E-2</v>
      </c>
      <c r="S7172">
        <v>3.0449519999999999</v>
      </c>
      <c r="T7172">
        <v>-0.11015900000000001</v>
      </c>
      <c r="U7172">
        <v>0.32321169999999999</v>
      </c>
      <c r="V7172">
        <v>-9.5843570000000003E-2</v>
      </c>
      <c r="W7172">
        <v>0.1728247</v>
      </c>
      <c r="X7172">
        <v>0.98027839999999999</v>
      </c>
      <c r="Y7172">
        <v>-0.14725239999999901</v>
      </c>
      <c r="Z7172">
        <v>4.5509649999999997E-3</v>
      </c>
      <c r="AA7172">
        <v>0.98908850000000004</v>
      </c>
      <c r="AB7172">
        <v>29</v>
      </c>
      <c r="AC7172">
        <v>30.622499999999899</v>
      </c>
      <c r="AD7172">
        <v>-1.1127211002333</v>
      </c>
      <c r="AE7172">
        <v>3.2695199999999902</v>
      </c>
      <c r="AF7172">
        <v>-4.5519329573160796</v>
      </c>
      <c r="AG7172">
        <v>-1.1127211002333</v>
      </c>
      <c r="AH7172">
        <v>30.4176875818541</v>
      </c>
      <c r="AI7172">
        <v>92.071973315231503</v>
      </c>
      <c r="AJ7172">
        <v>98.511016040424096</v>
      </c>
      <c r="AK7172">
        <v>30.776516367550201</v>
      </c>
      <c r="AL7172">
        <v>80.047906668874802</v>
      </c>
      <c r="AM7172">
        <v>95.584162227452396</v>
      </c>
      <c r="AN7172">
        <v>1.0000000541734899</v>
      </c>
    </row>
    <row r="7173" spans="1:40" x14ac:dyDescent="0.25">
      <c r="A7173" t="str">
        <f>"20190304154937388"</f>
        <v>20190304154937388</v>
      </c>
      <c r="B7173" t="str">
        <f>"1551685777384898"</f>
        <v>1551685777384898</v>
      </c>
      <c r="C7173" t="s">
        <v>40</v>
      </c>
      <c r="D7173">
        <v>4.3639869999999998</v>
      </c>
      <c r="E7173">
        <v>0.47732419999999998</v>
      </c>
      <c r="F7173" t="s">
        <v>102</v>
      </c>
      <c r="G7173">
        <v>-231.79150000000001</v>
      </c>
      <c r="H7173" s="1">
        <v>1.320005E-7</v>
      </c>
      <c r="I7173">
        <v>-59.750590000000003</v>
      </c>
      <c r="J7173">
        <v>-262.86110000000002</v>
      </c>
      <c r="K7173">
        <v>1.1127149999999999</v>
      </c>
      <c r="L7173">
        <v>-63.156709999999997</v>
      </c>
      <c r="M7173">
        <v>0.99909760000000003</v>
      </c>
      <c r="N7173">
        <v>-1.172758E-2</v>
      </c>
      <c r="O7173">
        <v>-4.0822259999999999E-2</v>
      </c>
      <c r="P7173">
        <v>0.98520430000000003</v>
      </c>
      <c r="Q7173">
        <v>0.16231409999999999</v>
      </c>
      <c r="R7173">
        <v>5.5013090000000001E-2</v>
      </c>
      <c r="S7173">
        <v>3.0443120000000001</v>
      </c>
      <c r="T7173">
        <v>-0.1085091</v>
      </c>
      <c r="U7173">
        <v>0.33166499999999999</v>
      </c>
      <c r="V7173">
        <v>-9.6047250000000001E-2</v>
      </c>
      <c r="W7173">
        <v>0.17334840000000001</v>
      </c>
      <c r="X7173">
        <v>0.98016599999999998</v>
      </c>
      <c r="Y7173">
        <v>-0.14866370000000001</v>
      </c>
      <c r="Z7173">
        <v>4.4891849999999997E-3</v>
      </c>
      <c r="AA7173">
        <v>0.98887769999999997</v>
      </c>
      <c r="AB7173">
        <v>29</v>
      </c>
      <c r="AC7173">
        <v>31.069600000000001</v>
      </c>
      <c r="AD7173">
        <v>-1.11271486799949</v>
      </c>
      <c r="AE7173">
        <v>3.4061199999999898</v>
      </c>
      <c r="AF7173">
        <v>-4.6657855248478199</v>
      </c>
      <c r="AG7173">
        <v>-1.11271486799949</v>
      </c>
      <c r="AH7173">
        <v>30.865524034529301</v>
      </c>
      <c r="AI7173">
        <v>92.041469416991106</v>
      </c>
      <c r="AJ7173">
        <v>98.596032623236496</v>
      </c>
      <c r="AK7173">
        <v>31.236009073942999</v>
      </c>
      <c r="AL7173">
        <v>80.017441148096097</v>
      </c>
      <c r="AM7173">
        <v>95.596591690869303</v>
      </c>
      <c r="AN7173">
        <v>1.00000006478555</v>
      </c>
    </row>
    <row r="7174" spans="1:40" x14ac:dyDescent="0.25">
      <c r="A7174" t="str">
        <f>"20190304154937401"</f>
        <v>20190304154937401</v>
      </c>
      <c r="B7174" t="str">
        <f>"1551685777394657"</f>
        <v>1551685777394657</v>
      </c>
      <c r="C7174" t="s">
        <v>40</v>
      </c>
      <c r="D7174">
        <v>4.3633280000000001</v>
      </c>
      <c r="E7174">
        <v>0.4769274</v>
      </c>
      <c r="F7174" t="s">
        <v>102</v>
      </c>
      <c r="G7174">
        <v>-230.9821</v>
      </c>
      <c r="H7174" s="1">
        <v>4.5207370000000003E-7</v>
      </c>
      <c r="I7174">
        <v>-59.597410000000004</v>
      </c>
      <c r="J7174">
        <v>-262.70960000000002</v>
      </c>
      <c r="K7174">
        <v>1.1127020000000001</v>
      </c>
      <c r="L7174">
        <v>-63.161499999999997</v>
      </c>
      <c r="M7174">
        <v>0.99915240000000005</v>
      </c>
      <c r="N7174">
        <v>-1.169539E-2</v>
      </c>
      <c r="O7174">
        <v>-3.946877E-2</v>
      </c>
      <c r="P7174">
        <v>0.98509480000000005</v>
      </c>
      <c r="Q7174">
        <v>0.16248870000000001</v>
      </c>
      <c r="R7174">
        <v>5.644366E-2</v>
      </c>
      <c r="S7174">
        <v>3.0436100000000001</v>
      </c>
      <c r="T7174">
        <v>-0.1062348</v>
      </c>
      <c r="U7174">
        <v>0.33981319999999998</v>
      </c>
      <c r="V7174">
        <v>-9.6138730000000006E-2</v>
      </c>
      <c r="W7174">
        <v>0.17349249999999999</v>
      </c>
      <c r="X7174">
        <v>0.98013139999999999</v>
      </c>
      <c r="Y7174">
        <v>-0.14996860000000001</v>
      </c>
      <c r="Z7174">
        <v>4.4019460000000003E-3</v>
      </c>
      <c r="AA7174">
        <v>0.98868100000000003</v>
      </c>
      <c r="AB7174">
        <v>29</v>
      </c>
      <c r="AC7174">
        <v>31.727499999999999</v>
      </c>
      <c r="AD7174">
        <v>-1.1127015479263</v>
      </c>
      <c r="AE7174">
        <v>3.5640900000000002</v>
      </c>
      <c r="AF7174">
        <v>-4.8078038523364102</v>
      </c>
      <c r="AG7174">
        <v>-1.1127015479263</v>
      </c>
      <c r="AH7174">
        <v>31.5238054587725</v>
      </c>
      <c r="AI7174">
        <v>91.998450726983705</v>
      </c>
      <c r="AJ7174">
        <v>98.671553721459802</v>
      </c>
      <c r="AK7174">
        <v>31.907732498876101</v>
      </c>
      <c r="AL7174">
        <v>80.0090564622259</v>
      </c>
      <c r="AM7174">
        <v>95.602084760029101</v>
      </c>
      <c r="AN7174">
        <v>0.99999993211410898</v>
      </c>
    </row>
    <row r="7175" spans="1:40" x14ac:dyDescent="0.25">
      <c r="A7175" t="str">
        <f>"20190304154937412"</f>
        <v>20190304154937412</v>
      </c>
      <c r="B7175" t="str">
        <f>"1551685777404418"</f>
        <v>1551685777404418</v>
      </c>
      <c r="C7175" t="s">
        <v>40</v>
      </c>
      <c r="D7175">
        <v>4.3678619999999997</v>
      </c>
      <c r="E7175">
        <v>0.47656910000000002</v>
      </c>
      <c r="F7175" t="s">
        <v>102</v>
      </c>
      <c r="G7175">
        <v>-230.5265</v>
      </c>
      <c r="H7175" s="1">
        <v>5.9455419999999998E-7</v>
      </c>
      <c r="I7175">
        <v>-59.48498</v>
      </c>
      <c r="J7175">
        <v>-262.56959999999998</v>
      </c>
      <c r="K7175">
        <v>1.1126910000000001</v>
      </c>
      <c r="L7175">
        <v>-63.16583</v>
      </c>
      <c r="M7175">
        <v>0.99920120000000001</v>
      </c>
      <c r="N7175">
        <v>-1.1666360000000001E-2</v>
      </c>
      <c r="O7175">
        <v>-3.8223050000000001E-2</v>
      </c>
      <c r="P7175">
        <v>0.98488200000000004</v>
      </c>
      <c r="Q7175">
        <v>0.163211299999999</v>
      </c>
      <c r="R7175">
        <v>5.8048910000000002E-2</v>
      </c>
      <c r="S7175">
        <v>3.042786</v>
      </c>
      <c r="T7175">
        <v>-0.1052017</v>
      </c>
      <c r="U7175">
        <v>0.34759519999999999</v>
      </c>
      <c r="V7175">
        <v>-9.6509029999999996E-2</v>
      </c>
      <c r="W7175">
        <v>0.17418510000000001</v>
      </c>
      <c r="X7175">
        <v>0.97997219999999996</v>
      </c>
      <c r="Y7175">
        <v>-0.1512637</v>
      </c>
      <c r="Z7175">
        <v>4.3643359999999999E-3</v>
      </c>
      <c r="AA7175">
        <v>0.98848380000000002</v>
      </c>
      <c r="AB7175">
        <v>29</v>
      </c>
      <c r="AC7175">
        <v>32.043099999999903</v>
      </c>
      <c r="AD7175">
        <v>-1.11269040544579</v>
      </c>
      <c r="AE7175">
        <v>3.68085</v>
      </c>
      <c r="AF7175">
        <v>-4.89719987391448</v>
      </c>
      <c r="AG7175">
        <v>-1.11269040544579</v>
      </c>
      <c r="AH7175">
        <v>31.841083543015401</v>
      </c>
      <c r="AI7175">
        <v>91.978152452327393</v>
      </c>
      <c r="AJ7175">
        <v>98.743651434002103</v>
      </c>
      <c r="AK7175">
        <v>32.234690129373497</v>
      </c>
      <c r="AL7175">
        <v>79.968760308870699</v>
      </c>
      <c r="AM7175">
        <v>95.624432111568694</v>
      </c>
      <c r="AN7175">
        <v>0.99999997735319501</v>
      </c>
    </row>
    <row r="7176" spans="1:40" x14ac:dyDescent="0.25">
      <c r="A7176" t="str">
        <f>"20190304154937422"</f>
        <v>20190304154937422</v>
      </c>
      <c r="B7176" t="str">
        <f>"1551685777414178"</f>
        <v>1551685777414178</v>
      </c>
      <c r="C7176" t="s">
        <v>40</v>
      </c>
      <c r="D7176">
        <v>4.3812829999999998</v>
      </c>
      <c r="E7176">
        <v>0.47624280000000002</v>
      </c>
      <c r="F7176" t="s">
        <v>103</v>
      </c>
      <c r="G7176">
        <v>-229.3415</v>
      </c>
      <c r="H7176" s="1">
        <v>-3.369912E-6</v>
      </c>
      <c r="I7176">
        <v>-59.278289999999998</v>
      </c>
      <c r="J7176">
        <v>-262.42219999999998</v>
      </c>
      <c r="K7176">
        <v>1.112671</v>
      </c>
      <c r="L7176">
        <v>-63.170140000000004</v>
      </c>
      <c r="M7176">
        <v>0.99925010000000003</v>
      </c>
      <c r="N7176">
        <v>-1.1638509999999999E-2</v>
      </c>
      <c r="O7176">
        <v>-3.6934010000000003E-2</v>
      </c>
      <c r="P7176">
        <v>0.98477230000000004</v>
      </c>
      <c r="Q7176">
        <v>0.1632962</v>
      </c>
      <c r="R7176">
        <v>5.9652690000000001E-2</v>
      </c>
      <c r="S7176">
        <v>3.0419619999999998</v>
      </c>
      <c r="T7176">
        <v>-0.1018647</v>
      </c>
      <c r="U7176">
        <v>0.35589599999999999</v>
      </c>
      <c r="V7176">
        <v>-9.6833699999999995E-2</v>
      </c>
      <c r="W7176">
        <v>0.17424479999999901</v>
      </c>
      <c r="X7176">
        <v>0.97992959999999996</v>
      </c>
      <c r="Y7176">
        <v>-0.15268709999999999</v>
      </c>
      <c r="Z7176">
        <v>4.2435149999999998E-3</v>
      </c>
      <c r="AA7176">
        <v>0.98826550000000002</v>
      </c>
      <c r="AB7176">
        <v>29</v>
      </c>
      <c r="AC7176">
        <v>33.080699999999901</v>
      </c>
      <c r="AD7176">
        <v>-1.1126743699120001</v>
      </c>
      <c r="AE7176">
        <v>3.89184999999999</v>
      </c>
      <c r="AF7176">
        <v>-5.1053827256937403</v>
      </c>
      <c r="AG7176">
        <v>-1.1126743699120001</v>
      </c>
      <c r="AH7176">
        <v>32.877687357746701</v>
      </c>
      <c r="AI7176">
        <v>91.915374318808702</v>
      </c>
      <c r="AJ7176">
        <v>98.826629214910795</v>
      </c>
      <c r="AK7176">
        <v>33.290318457818998</v>
      </c>
      <c r="AL7176">
        <v>79.965287045879094</v>
      </c>
      <c r="AM7176">
        <v>95.643475307610402</v>
      </c>
      <c r="AN7176">
        <v>1.00000001836944</v>
      </c>
    </row>
    <row r="7177" spans="1:40" x14ac:dyDescent="0.25">
      <c r="A7177" t="str">
        <f>"20190304154937433"</f>
        <v>20190304154937433</v>
      </c>
      <c r="B7177" t="str">
        <f>"1551685777423938"</f>
        <v>1551685777423938</v>
      </c>
      <c r="C7177" t="s">
        <v>40</v>
      </c>
      <c r="D7177">
        <v>4.3618810000000003</v>
      </c>
      <c r="E7177">
        <v>0.4759429</v>
      </c>
      <c r="F7177" t="s">
        <v>103</v>
      </c>
      <c r="G7177">
        <v>-228.78210000000001</v>
      </c>
      <c r="H7177" s="1">
        <v>-3.158304E-6</v>
      </c>
      <c r="I7177">
        <v>-59.149859999999997</v>
      </c>
      <c r="J7177">
        <v>-262.2894</v>
      </c>
      <c r="K7177">
        <v>1.1126529999999999</v>
      </c>
      <c r="L7177">
        <v>-63.173920000000003</v>
      </c>
      <c r="M7177">
        <v>0.99929239999999997</v>
      </c>
      <c r="N7177">
        <v>-1.161388E-2</v>
      </c>
      <c r="O7177">
        <v>-3.5778009999999999E-2</v>
      </c>
      <c r="P7177">
        <v>0.98467309999999997</v>
      </c>
      <c r="Q7177">
        <v>0.16332279999999999</v>
      </c>
      <c r="R7177">
        <v>6.119687E-2</v>
      </c>
      <c r="S7177">
        <v>3.041077</v>
      </c>
      <c r="T7177">
        <v>-0.1005861</v>
      </c>
      <c r="U7177">
        <v>0.36343379999999997</v>
      </c>
      <c r="V7177">
        <v>-9.7230330000000004E-2</v>
      </c>
      <c r="W7177">
        <v>0.17424899999999999</v>
      </c>
      <c r="X7177">
        <v>0.97988960000000003</v>
      </c>
      <c r="Y7177">
        <v>-0.15399479999999999</v>
      </c>
      <c r="Z7177">
        <v>4.2002790000000003E-3</v>
      </c>
      <c r="AA7177">
        <v>0.98806269999999996</v>
      </c>
      <c r="AB7177">
        <v>29</v>
      </c>
      <c r="AC7177">
        <v>33.507299999999901</v>
      </c>
      <c r="AD7177">
        <v>-1.112656158304</v>
      </c>
      <c r="AE7177">
        <v>4.0240599999999898</v>
      </c>
      <c r="AF7177">
        <v>-5.2147201910435799</v>
      </c>
      <c r="AG7177">
        <v>-1.112656158304</v>
      </c>
      <c r="AH7177">
        <v>33.305659118020102</v>
      </c>
      <c r="AI7177">
        <v>91.890378898557898</v>
      </c>
      <c r="AJ7177">
        <v>98.898645204796793</v>
      </c>
      <c r="AK7177">
        <v>33.729782680640596</v>
      </c>
      <c r="AL7177">
        <v>79.965042880633504</v>
      </c>
      <c r="AM7177">
        <v>95.666670609383004</v>
      </c>
      <c r="AN7177">
        <v>1.00000003963053</v>
      </c>
    </row>
    <row r="7178" spans="1:40" x14ac:dyDescent="0.25">
      <c r="A7178" t="str">
        <f>"20190304154937444"</f>
        <v>20190304154937444</v>
      </c>
      <c r="B7178" t="str">
        <f>"1551685777434674"</f>
        <v>1551685777434674</v>
      </c>
      <c r="C7178" t="s">
        <v>40</v>
      </c>
      <c r="D7178">
        <v>4.36592</v>
      </c>
      <c r="E7178">
        <v>0.47563810000000001</v>
      </c>
      <c r="F7178" t="s">
        <v>103</v>
      </c>
      <c r="G7178">
        <v>-228.32660000000001</v>
      </c>
      <c r="H7178" s="1">
        <v>-2.9883479999999999E-6</v>
      </c>
      <c r="I7178">
        <v>-59.03481</v>
      </c>
      <c r="J7178">
        <v>-262.14429999999999</v>
      </c>
      <c r="K7178">
        <v>1.112628</v>
      </c>
      <c r="L7178">
        <v>-63.177860000000003</v>
      </c>
      <c r="M7178">
        <v>0.99933609999999995</v>
      </c>
      <c r="N7178">
        <v>-1.1588960000000001E-2</v>
      </c>
      <c r="O7178">
        <v>-3.4538850000000003E-2</v>
      </c>
      <c r="P7178">
        <v>0.98456980000000005</v>
      </c>
      <c r="Q7178">
        <v>0.16335229999999901</v>
      </c>
      <c r="R7178">
        <v>6.2756450000000005E-2</v>
      </c>
      <c r="S7178">
        <v>3.0401919999999998</v>
      </c>
      <c r="T7178">
        <v>-9.9599839999999995E-2</v>
      </c>
      <c r="U7178">
        <v>0.37051390000000001</v>
      </c>
      <c r="V7178">
        <v>-9.7558199999999998E-2</v>
      </c>
      <c r="W7178">
        <v>0.174257</v>
      </c>
      <c r="X7178">
        <v>0.97985549999999999</v>
      </c>
      <c r="Y7178">
        <v>-0.15507299999999999</v>
      </c>
      <c r="Z7178">
        <v>4.1612690000000004E-3</v>
      </c>
      <c r="AA7178">
        <v>0.98789419999999994</v>
      </c>
      <c r="AB7178">
        <v>29</v>
      </c>
      <c r="AC7178">
        <v>33.817699999999903</v>
      </c>
      <c r="AD7178">
        <v>-1.1126309883479999</v>
      </c>
      <c r="AE7178">
        <v>4.1430499999999899</v>
      </c>
      <c r="AF7178">
        <v>-5.30302526357102</v>
      </c>
      <c r="AG7178">
        <v>-1.1126309883479999</v>
      </c>
      <c r="AH7178">
        <v>33.618561528596302</v>
      </c>
      <c r="AI7178">
        <v>91.872418975581994</v>
      </c>
      <c r="AJ7178">
        <v>98.9640317827605</v>
      </c>
      <c r="AK7178">
        <v>34.052425815414701</v>
      </c>
      <c r="AL7178">
        <v>79.964576511039496</v>
      </c>
      <c r="AM7178">
        <v>95.685850746867999</v>
      </c>
      <c r="AN7178">
        <v>0.99999995265824304</v>
      </c>
    </row>
    <row r="7179" spans="1:40" x14ac:dyDescent="0.25">
      <c r="A7179" t="str">
        <f>"20190304154937456"</f>
        <v>20190304154937456</v>
      </c>
      <c r="B7179" t="str">
        <f>"1551685777444434"</f>
        <v>1551685777444434</v>
      </c>
      <c r="C7179" t="s">
        <v>40</v>
      </c>
      <c r="D7179">
        <v>4.346241</v>
      </c>
      <c r="E7179">
        <v>0.47532140000000001</v>
      </c>
      <c r="F7179" t="s">
        <v>103</v>
      </c>
      <c r="G7179">
        <v>-227.90899999999999</v>
      </c>
      <c r="H7179" s="1">
        <v>-2.8339000000000001E-6</v>
      </c>
      <c r="I7179">
        <v>-58.923180000000002</v>
      </c>
      <c r="J7179">
        <v>-261.99779999999998</v>
      </c>
      <c r="K7179">
        <v>1.1125959999999999</v>
      </c>
      <c r="L7179">
        <v>-63.181640000000002</v>
      </c>
      <c r="M7179">
        <v>0.99937849999999995</v>
      </c>
      <c r="N7179">
        <v>-1.156482E-2</v>
      </c>
      <c r="O7179">
        <v>-3.3302089999999999E-2</v>
      </c>
      <c r="P7179">
        <v>0.98451480000000002</v>
      </c>
      <c r="Q7179">
        <v>0.1629708</v>
      </c>
      <c r="R7179">
        <v>6.4585909999999996E-2</v>
      </c>
      <c r="S7179">
        <v>3.039307</v>
      </c>
      <c r="T7179">
        <v>-9.8775979999999999E-2</v>
      </c>
      <c r="U7179">
        <v>0.3777161</v>
      </c>
      <c r="V7179">
        <v>-9.8156770000000004E-2</v>
      </c>
      <c r="W7179">
        <v>0.17385510000000001</v>
      </c>
      <c r="X7179">
        <v>0.97986719999999905</v>
      </c>
      <c r="Y7179">
        <v>-0.1561922</v>
      </c>
      <c r="Z7179">
        <v>4.129499E-3</v>
      </c>
      <c r="AA7179">
        <v>0.98771799999999998</v>
      </c>
      <c r="AB7179">
        <v>29</v>
      </c>
      <c r="AC7179">
        <v>34.0887999999999</v>
      </c>
      <c r="AD7179">
        <v>-1.1125988338999999</v>
      </c>
      <c r="AE7179">
        <v>4.2584600000000004</v>
      </c>
      <c r="AF7179">
        <v>-5.3857527231249902</v>
      </c>
      <c r="AG7179">
        <v>-1.1125988338999999</v>
      </c>
      <c r="AH7179">
        <v>33.892514985208201</v>
      </c>
      <c r="AI7179">
        <v>91.856907037351405</v>
      </c>
      <c r="AJ7179">
        <v>99.029196907068595</v>
      </c>
      <c r="AK7179">
        <v>34.335794451015801</v>
      </c>
      <c r="AL7179">
        <v>79.987961495135806</v>
      </c>
      <c r="AM7179">
        <v>95.720437853859494</v>
      </c>
      <c r="AN7179">
        <v>1.0000000384643399</v>
      </c>
    </row>
    <row r="7180" spans="1:40" x14ac:dyDescent="0.25">
      <c r="A7180" t="str">
        <f>"20190304154937466"</f>
        <v>20190304154937466</v>
      </c>
      <c r="B7180" t="str">
        <f>"1551685777464930"</f>
        <v>1551685777464930</v>
      </c>
      <c r="C7180" t="s">
        <v>40</v>
      </c>
      <c r="D7180">
        <v>4.3507040000000003</v>
      </c>
      <c r="E7180">
        <v>0.47475590000000001</v>
      </c>
      <c r="F7180" t="s">
        <v>103</v>
      </c>
      <c r="G7180">
        <v>-228.06319999999999</v>
      </c>
      <c r="H7180" s="1">
        <v>-2.9115789999999998E-6</v>
      </c>
      <c r="I7180">
        <v>-58.871000000000002</v>
      </c>
      <c r="J7180">
        <v>-261.85669999999999</v>
      </c>
      <c r="K7180">
        <v>1.112565</v>
      </c>
      <c r="L7180">
        <v>-63.185209999999998</v>
      </c>
      <c r="M7180">
        <v>0.99941709999999995</v>
      </c>
      <c r="N7180">
        <v>-1.1543100000000001E-2</v>
      </c>
      <c r="O7180">
        <v>-3.2132000000000001E-2</v>
      </c>
      <c r="P7180">
        <v>0.9844233</v>
      </c>
      <c r="Q7180">
        <v>0.1629227</v>
      </c>
      <c r="R7180">
        <v>6.6084249999999997E-2</v>
      </c>
      <c r="S7180">
        <v>3.0383610000000001</v>
      </c>
      <c r="T7180">
        <v>-9.9617360000000002E-2</v>
      </c>
      <c r="U7180">
        <v>0.38595580000000002</v>
      </c>
      <c r="V7180">
        <v>-9.8490099999999997E-2</v>
      </c>
      <c r="W7180">
        <v>0.17379020000000001</v>
      </c>
      <c r="X7180">
        <v>0.97984519999999997</v>
      </c>
      <c r="Y7180">
        <v>-0.1577076</v>
      </c>
      <c r="Z7180">
        <v>4.168705E-3</v>
      </c>
      <c r="AA7180">
        <v>0.9874771</v>
      </c>
      <c r="AB7180">
        <v>29</v>
      </c>
      <c r="AC7180">
        <v>33.793499999999902</v>
      </c>
      <c r="AD7180">
        <v>-1.1125679115789999</v>
      </c>
      <c r="AE7180">
        <v>4.3142099999999903</v>
      </c>
      <c r="AF7180">
        <v>-5.3921561502735802</v>
      </c>
      <c r="AG7180">
        <v>-1.1125679115789999</v>
      </c>
      <c r="AH7180">
        <v>33.601577973260603</v>
      </c>
      <c r="AI7180">
        <v>91.872465047448003</v>
      </c>
      <c r="AJ7180">
        <v>99.116716243800496</v>
      </c>
      <c r="AK7180">
        <v>34.049657819131198</v>
      </c>
      <c r="AL7180">
        <v>79.991736828034206</v>
      </c>
      <c r="AM7180">
        <v>95.739862377830306</v>
      </c>
      <c r="AN7180">
        <v>0.99999997468854396</v>
      </c>
    </row>
    <row r="7181" spans="1:40" x14ac:dyDescent="0.25">
      <c r="A7181" t="str">
        <f>"20190304154937478"</f>
        <v>20190304154937478</v>
      </c>
      <c r="B7181" t="str">
        <f>"1551685777474690"</f>
        <v>1551685777474690</v>
      </c>
      <c r="C7181" t="s">
        <v>40</v>
      </c>
      <c r="D7181">
        <v>4.3759110000000003</v>
      </c>
      <c r="E7181">
        <v>0.47447669999999997</v>
      </c>
      <c r="F7181" t="s">
        <v>103</v>
      </c>
      <c r="G7181">
        <v>-227.6268</v>
      </c>
      <c r="H7181" s="1">
        <v>-2.7550080000000001E-6</v>
      </c>
      <c r="I7181">
        <v>-58.732309999999998</v>
      </c>
      <c r="J7181">
        <v>-261.70679999999999</v>
      </c>
      <c r="K7181">
        <v>1.11253</v>
      </c>
      <c r="L7181">
        <v>-63.188780000000001</v>
      </c>
      <c r="M7181">
        <v>0.9994556</v>
      </c>
      <c r="N7181">
        <v>-1.1521470000000001E-2</v>
      </c>
      <c r="O7181">
        <v>-3.0917839999999999E-2</v>
      </c>
      <c r="P7181">
        <v>0.98436509999999999</v>
      </c>
      <c r="Q7181">
        <v>0.16257829999999901</v>
      </c>
      <c r="R7181">
        <v>6.7777149999999994E-2</v>
      </c>
      <c r="S7181">
        <v>3.0372620000000001</v>
      </c>
      <c r="T7181">
        <v>-9.8719479999999998E-2</v>
      </c>
      <c r="U7181">
        <v>0.39511109999999999</v>
      </c>
      <c r="V7181">
        <v>-9.8972099999999993E-2</v>
      </c>
      <c r="W7181">
        <v>0.17343049999999999</v>
      </c>
      <c r="X7181">
        <v>0.97986039999999996</v>
      </c>
      <c r="Y7181">
        <v>-0.1594815</v>
      </c>
      <c r="Z7181">
        <v>4.1494699999999997E-3</v>
      </c>
      <c r="AA7181">
        <v>0.98719219999999996</v>
      </c>
      <c r="AB7181">
        <v>29</v>
      </c>
      <c r="AC7181">
        <v>34.079999999999899</v>
      </c>
      <c r="AD7181">
        <v>-1.112532755008</v>
      </c>
      <c r="AE7181">
        <v>4.4564700000000004</v>
      </c>
      <c r="AF7181">
        <v>-5.5023239272151399</v>
      </c>
      <c r="AG7181">
        <v>-1.112532755008</v>
      </c>
      <c r="AH7181">
        <v>33.890402522113099</v>
      </c>
      <c r="AI7181">
        <v>91.855910413517506</v>
      </c>
      <c r="AJ7181">
        <v>99.221870355269004</v>
      </c>
      <c r="AK7181">
        <v>34.352185968899001</v>
      </c>
      <c r="AL7181">
        <v>80.012664258619196</v>
      </c>
      <c r="AM7181">
        <v>95.767674848298199</v>
      </c>
      <c r="AN7181">
        <v>1.0000000091984</v>
      </c>
    </row>
    <row r="7182" spans="1:40" x14ac:dyDescent="0.25">
      <c r="A7182" t="str">
        <f>"20190304154937489"</f>
        <v>20190304154937489</v>
      </c>
      <c r="B7182" t="str">
        <f>"1551685777484453"</f>
        <v>1551685777484453</v>
      </c>
      <c r="C7182" t="s">
        <v>40</v>
      </c>
      <c r="D7182">
        <v>4.3552119999999999</v>
      </c>
      <c r="E7182">
        <v>0.47419139999999999</v>
      </c>
      <c r="F7182" t="s">
        <v>103</v>
      </c>
      <c r="G7182">
        <v>-227.71719999999999</v>
      </c>
      <c r="H7182" s="1">
        <v>-2.8051270000000002E-6</v>
      </c>
      <c r="I7182">
        <v>-58.681080000000001</v>
      </c>
      <c r="J7182">
        <v>-261.55680000000001</v>
      </c>
      <c r="K7182">
        <v>1.112495</v>
      </c>
      <c r="L7182">
        <v>-63.192230000000002</v>
      </c>
      <c r="M7182">
        <v>0.99949209999999999</v>
      </c>
      <c r="N7182">
        <v>-1.150084E-2</v>
      </c>
      <c r="O7182">
        <v>-2.9722189999999999E-2</v>
      </c>
      <c r="P7182">
        <v>0.98427220000000004</v>
      </c>
      <c r="Q7182">
        <v>0.16247110000000001</v>
      </c>
      <c r="R7182">
        <v>6.9365099999999999E-2</v>
      </c>
      <c r="S7182">
        <v>3.036346</v>
      </c>
      <c r="T7182">
        <v>-9.9384310000000003E-2</v>
      </c>
      <c r="U7182">
        <v>0.40267940000000002</v>
      </c>
      <c r="V7182">
        <v>-9.9366720000000006E-2</v>
      </c>
      <c r="W7182">
        <v>0.1733094</v>
      </c>
      <c r="X7182">
        <v>0.97984190000000004</v>
      </c>
      <c r="Y7182">
        <v>-0.16075529999999999</v>
      </c>
      <c r="Z7182">
        <v>4.1760879999999997E-3</v>
      </c>
      <c r="AA7182">
        <v>0.98698540000000001</v>
      </c>
      <c r="AB7182">
        <v>29</v>
      </c>
      <c r="AC7182">
        <v>33.839599999999997</v>
      </c>
      <c r="AD7182">
        <v>-1.112497805127</v>
      </c>
      <c r="AE7182">
        <v>4.5111499999999998</v>
      </c>
      <c r="AF7182">
        <v>-5.5091598132676101</v>
      </c>
      <c r="AG7182">
        <v>-1.112497805127</v>
      </c>
      <c r="AH7182">
        <v>33.654818306432603</v>
      </c>
      <c r="AI7182">
        <v>91.868436715091505</v>
      </c>
      <c r="AJ7182">
        <v>99.296637492028907</v>
      </c>
      <c r="AK7182">
        <v>34.120892257582099</v>
      </c>
      <c r="AL7182">
        <v>80.019709584455001</v>
      </c>
      <c r="AM7182">
        <v>95.790624252310906</v>
      </c>
      <c r="AN7182">
        <v>1.0000000210837601</v>
      </c>
    </row>
    <row r="7183" spans="1:40" x14ac:dyDescent="0.25">
      <c r="A7183" t="str">
        <f>"20190304154937501"</f>
        <v>20190304154937501</v>
      </c>
      <c r="B7183" t="str">
        <f>"1551685777494210"</f>
        <v>1551685777494210</v>
      </c>
      <c r="C7183" t="s">
        <v>40</v>
      </c>
      <c r="D7183">
        <v>4.3146089999999999</v>
      </c>
      <c r="E7183">
        <v>0.47396159999999998</v>
      </c>
      <c r="F7183" t="s">
        <v>103</v>
      </c>
      <c r="G7183">
        <v>-227.5763</v>
      </c>
      <c r="H7183" s="1">
        <v>-2.7615569999999998E-6</v>
      </c>
      <c r="I7183">
        <v>-58.604790000000001</v>
      </c>
      <c r="J7183">
        <v>-261.41109999999998</v>
      </c>
      <c r="K7183">
        <v>1.112455</v>
      </c>
      <c r="L7183">
        <v>-63.195369999999997</v>
      </c>
      <c r="M7183">
        <v>0.99952470000000004</v>
      </c>
      <c r="N7183">
        <v>-1.148244E-2</v>
      </c>
      <c r="O7183">
        <v>-2.8609559999999999E-2</v>
      </c>
      <c r="P7183">
        <v>0.9841995</v>
      </c>
      <c r="Q7183">
        <v>0.16236589999999901</v>
      </c>
      <c r="R7183">
        <v>7.0630070000000003E-2</v>
      </c>
      <c r="S7183">
        <v>3.035431</v>
      </c>
      <c r="T7183">
        <v>-9.9377989999999999E-2</v>
      </c>
      <c r="U7183">
        <v>0.40978999999999999</v>
      </c>
      <c r="V7183">
        <v>-9.9518280000000001E-2</v>
      </c>
      <c r="W7183">
        <v>0.17319479999999901</v>
      </c>
      <c r="X7183">
        <v>0.97984680000000002</v>
      </c>
      <c r="Y7183">
        <v>-0.161966</v>
      </c>
      <c r="Z7183">
        <v>4.1787869999999998E-3</v>
      </c>
      <c r="AA7183">
        <v>0.98678750000000004</v>
      </c>
      <c r="AB7183">
        <v>29</v>
      </c>
      <c r="AC7183">
        <v>33.834799999999902</v>
      </c>
      <c r="AD7183">
        <v>-1.1124577615569999</v>
      </c>
      <c r="AE7183">
        <v>4.5905799999999903</v>
      </c>
      <c r="AF7183">
        <v>-5.5508710048383003</v>
      </c>
      <c r="AG7183">
        <v>-1.1124577615569999</v>
      </c>
      <c r="AH7183">
        <v>33.6538817634775</v>
      </c>
      <c r="AI7183">
        <v>91.868049890023002</v>
      </c>
      <c r="AJ7183">
        <v>99.366038009888996</v>
      </c>
      <c r="AK7183">
        <v>34.126726900388903</v>
      </c>
      <c r="AL7183">
        <v>80.026376682911405</v>
      </c>
      <c r="AM7183">
        <v>95.799367494890404</v>
      </c>
      <c r="AN7183">
        <v>1.00000003913571</v>
      </c>
    </row>
    <row r="7184" spans="1:40" x14ac:dyDescent="0.25">
      <c r="A7184" t="str">
        <f>"20190304154937512"</f>
        <v>20190304154937512</v>
      </c>
      <c r="B7184" t="str">
        <f>"1551685777504947"</f>
        <v>1551685777504947</v>
      </c>
      <c r="C7184" t="s">
        <v>40</v>
      </c>
      <c r="D7184">
        <v>4.3733449999999996</v>
      </c>
      <c r="E7184">
        <v>0.47372710000000001</v>
      </c>
      <c r="F7184" t="s">
        <v>103</v>
      </c>
      <c r="G7184">
        <v>-227.60380000000001</v>
      </c>
      <c r="H7184" s="1">
        <v>-2.7817360000000001E-6</v>
      </c>
      <c r="I7184">
        <v>-58.566809999999997</v>
      </c>
      <c r="J7184">
        <v>-261.2654</v>
      </c>
      <c r="K7184">
        <v>1.1124099999999999</v>
      </c>
      <c r="L7184">
        <v>-63.19849</v>
      </c>
      <c r="M7184">
        <v>0.99955590000000005</v>
      </c>
      <c r="N7184">
        <v>-1.1464530000000001E-2</v>
      </c>
      <c r="O7184">
        <v>-2.750994E-2</v>
      </c>
      <c r="P7184">
        <v>0.98404530000000001</v>
      </c>
      <c r="Q7184">
        <v>0.16269910000000001</v>
      </c>
      <c r="R7184">
        <v>7.1999530000000006E-2</v>
      </c>
      <c r="S7184">
        <v>3.034821</v>
      </c>
      <c r="T7184">
        <v>-9.9863289999999993E-2</v>
      </c>
      <c r="U7184">
        <v>0.4154968</v>
      </c>
      <c r="V7184">
        <v>-9.9787230000000005E-2</v>
      </c>
      <c r="W7184">
        <v>0.1735188</v>
      </c>
      <c r="X7184">
        <v>0.97976209999999997</v>
      </c>
      <c r="Y7184">
        <v>-0.16272729999999999</v>
      </c>
      <c r="Z7184">
        <v>4.1890590000000002E-3</v>
      </c>
      <c r="AA7184">
        <v>0.98666220000000004</v>
      </c>
      <c r="AB7184">
        <v>29</v>
      </c>
      <c r="AC7184">
        <v>33.6615999999999</v>
      </c>
      <c r="AD7184">
        <v>-1.1124127817359999</v>
      </c>
      <c r="AE7184">
        <v>4.6316800000000002</v>
      </c>
      <c r="AF7184">
        <v>-5.5500675632280601</v>
      </c>
      <c r="AG7184">
        <v>-1.1124127817359999</v>
      </c>
      <c r="AH7184">
        <v>33.4855427478685</v>
      </c>
      <c r="AI7184">
        <v>91.877115320902504</v>
      </c>
      <c r="AJ7184">
        <v>99.410944622922401</v>
      </c>
      <c r="AK7184">
        <v>33.960599012277399</v>
      </c>
      <c r="AL7184">
        <v>80.007527252321907</v>
      </c>
      <c r="AM7184">
        <v>95.815432388743503</v>
      </c>
      <c r="AN7184">
        <v>1.0000000189104601</v>
      </c>
    </row>
    <row r="7185" spans="1:40" x14ac:dyDescent="0.25">
      <c r="A7185" t="str">
        <f>"20190304154937522"</f>
        <v>20190304154937522</v>
      </c>
      <c r="B7185" t="str">
        <f>"1551685777514706"</f>
        <v>1551685777514706</v>
      </c>
      <c r="C7185" t="s">
        <v>40</v>
      </c>
      <c r="D7185">
        <v>4.3940000000000001</v>
      </c>
      <c r="E7185">
        <v>0.47350979999999998</v>
      </c>
      <c r="F7185" t="s">
        <v>103</v>
      </c>
      <c r="G7185">
        <v>-227.10319999999999</v>
      </c>
      <c r="H7185" s="1">
        <v>-2.5919239999999999E-6</v>
      </c>
      <c r="I7185">
        <v>-58.453989999999997</v>
      </c>
      <c r="J7185">
        <v>-261.12259999999998</v>
      </c>
      <c r="K7185">
        <v>1.112366</v>
      </c>
      <c r="L7185">
        <v>-63.201349999999998</v>
      </c>
      <c r="M7185">
        <v>0.99958349999999996</v>
      </c>
      <c r="N7185">
        <v>-1.14485E-2</v>
      </c>
      <c r="O7185">
        <v>-2.648965E-2</v>
      </c>
      <c r="P7185">
        <v>0.98390219999999995</v>
      </c>
      <c r="Q7185">
        <v>0.16293460000000001</v>
      </c>
      <c r="R7185">
        <v>7.3408189999999998E-2</v>
      </c>
      <c r="S7185">
        <v>3.0341490000000002</v>
      </c>
      <c r="T7185">
        <v>-9.8799819999999997E-2</v>
      </c>
      <c r="U7185">
        <v>0.4213867</v>
      </c>
      <c r="V7185">
        <v>-0.10017040000000001</v>
      </c>
      <c r="W7185">
        <v>0.1737475</v>
      </c>
      <c r="X7185">
        <v>0.97968239999999995</v>
      </c>
      <c r="Y7185">
        <v>-0.1636309</v>
      </c>
      <c r="Z7185">
        <v>4.1490900000000002E-3</v>
      </c>
      <c r="AA7185">
        <v>0.98651290000000003</v>
      </c>
      <c r="AB7185">
        <v>29</v>
      </c>
      <c r="AC7185">
        <v>34.019399999999898</v>
      </c>
      <c r="AD7185">
        <v>-1.1123685919239901</v>
      </c>
      <c r="AE7185">
        <v>4.7473599999999898</v>
      </c>
      <c r="AF7185">
        <v>-5.6409990172664202</v>
      </c>
      <c r="AG7185">
        <v>-1.1123685919239901</v>
      </c>
      <c r="AH7185">
        <v>33.846200573072899</v>
      </c>
      <c r="AI7185">
        <v>91.856777293166104</v>
      </c>
      <c r="AJ7185">
        <v>99.462265529550294</v>
      </c>
      <c r="AK7185">
        <v>34.331086889723998</v>
      </c>
      <c r="AL7185">
        <v>79.994220942402706</v>
      </c>
      <c r="AM7185">
        <v>95.838080595291899</v>
      </c>
      <c r="AN7185">
        <v>0.99999995383108298</v>
      </c>
    </row>
    <row r="7186" spans="1:40" x14ac:dyDescent="0.25">
      <c r="A7186" t="str">
        <f>"20190304154937534"</f>
        <v>20190304154937534</v>
      </c>
      <c r="B7186" t="str">
        <f>"1551685777524466"</f>
        <v>1551685777524466</v>
      </c>
      <c r="C7186" t="s">
        <v>40</v>
      </c>
      <c r="D7186">
        <v>4.3967349999999996</v>
      </c>
      <c r="E7186">
        <v>0.47331440000000002</v>
      </c>
      <c r="F7186" t="s">
        <v>103</v>
      </c>
      <c r="G7186">
        <v>-226.67160000000001</v>
      </c>
      <c r="H7186" s="1">
        <v>-2.431003E-6</v>
      </c>
      <c r="I7186">
        <v>-58.34449</v>
      </c>
      <c r="J7186">
        <v>-260.98239999999998</v>
      </c>
      <c r="K7186">
        <v>1.112317</v>
      </c>
      <c r="L7186">
        <v>-63.204099999999997</v>
      </c>
      <c r="M7186">
        <v>0.99960950000000004</v>
      </c>
      <c r="N7186">
        <v>-1.1433230000000001E-2</v>
      </c>
      <c r="O7186">
        <v>-2.550239E-2</v>
      </c>
      <c r="P7186">
        <v>0.98379930000000004</v>
      </c>
      <c r="Q7186">
        <v>0.16294339999999999</v>
      </c>
      <c r="R7186">
        <v>7.4758980000000003E-2</v>
      </c>
      <c r="S7186">
        <v>3.0333860000000001</v>
      </c>
      <c r="T7186">
        <v>-9.7943310000000006E-2</v>
      </c>
      <c r="U7186">
        <v>0.42764279999999999</v>
      </c>
      <c r="V7186">
        <v>-0.1005282</v>
      </c>
      <c r="W7186">
        <v>0.1737504</v>
      </c>
      <c r="X7186">
        <v>0.97964530000000005</v>
      </c>
      <c r="Y7186">
        <v>-0.16468720000000001</v>
      </c>
      <c r="Z7186">
        <v>4.1209059999999997E-3</v>
      </c>
      <c r="AA7186">
        <v>0.98633720000000003</v>
      </c>
      <c r="AB7186">
        <v>29</v>
      </c>
      <c r="AC7186">
        <v>34.310799999999901</v>
      </c>
      <c r="AD7186">
        <v>-1.112319431003</v>
      </c>
      <c r="AE7186">
        <v>4.8596099999999902</v>
      </c>
      <c r="AF7186">
        <v>-5.7271929197320501</v>
      </c>
      <c r="AG7186">
        <v>-1.112319431003</v>
      </c>
      <c r="AH7186">
        <v>34.1405239747479</v>
      </c>
      <c r="AI7186">
        <v>91.840374424931298</v>
      </c>
      <c r="AJ7186">
        <v>99.522900340119193</v>
      </c>
      <c r="AK7186">
        <v>34.635435186045399</v>
      </c>
      <c r="AL7186">
        <v>79.9940528584616</v>
      </c>
      <c r="AM7186">
        <v>95.859009244958898</v>
      </c>
      <c r="AN7186">
        <v>1.00000001715374</v>
      </c>
    </row>
    <row r="7187" spans="1:40" x14ac:dyDescent="0.25">
      <c r="A7187" t="str">
        <f>"20190304154937545"</f>
        <v>20190304154937545</v>
      </c>
      <c r="B7187" t="str">
        <f>"1551685777534226"</f>
        <v>1551685777534226</v>
      </c>
      <c r="C7187" t="s">
        <v>40</v>
      </c>
      <c r="D7187">
        <v>4.3822130000000001</v>
      </c>
      <c r="E7187">
        <v>0.47314079999999897</v>
      </c>
      <c r="F7187" t="s">
        <v>103</v>
      </c>
      <c r="G7187">
        <v>-226.4247</v>
      </c>
      <c r="H7187" s="1">
        <v>-2.3422619999999998E-6</v>
      </c>
      <c r="I7187">
        <v>-58.266680000000001</v>
      </c>
      <c r="J7187">
        <v>-260.83260000000001</v>
      </c>
      <c r="K7187">
        <v>1.1122620000000001</v>
      </c>
      <c r="L7187">
        <v>-63.206850000000003</v>
      </c>
      <c r="M7187">
        <v>0.99963469999999999</v>
      </c>
      <c r="N7187">
        <v>-1.141823E-2</v>
      </c>
      <c r="O7187">
        <v>-2.449397E-2</v>
      </c>
      <c r="P7187">
        <v>0.98370919999999895</v>
      </c>
      <c r="Q7187">
        <v>0.1629101</v>
      </c>
      <c r="R7187">
        <v>7.6000769999999995E-2</v>
      </c>
      <c r="S7187">
        <v>3.032654</v>
      </c>
      <c r="T7187">
        <v>-9.7612859999999996E-2</v>
      </c>
      <c r="U7187">
        <v>0.43328860000000002</v>
      </c>
      <c r="V7187">
        <v>-0.10075489999999999</v>
      </c>
      <c r="W7187">
        <v>0.17371420000000001</v>
      </c>
      <c r="X7187">
        <v>0.97962839999999995</v>
      </c>
      <c r="Y7187">
        <v>-0.16552539999999999</v>
      </c>
      <c r="Z7187">
        <v>4.1062750000000004E-3</v>
      </c>
      <c r="AA7187">
        <v>0.98619699999999999</v>
      </c>
      <c r="AB7187">
        <v>29</v>
      </c>
      <c r="AC7187">
        <v>34.407899999999998</v>
      </c>
      <c r="AD7187">
        <v>-1.112264342262</v>
      </c>
      <c r="AE7187">
        <v>4.9401699999999904</v>
      </c>
      <c r="AF7187">
        <v>-5.7756153306178</v>
      </c>
      <c r="AG7187">
        <v>-1.112264342262</v>
      </c>
      <c r="AH7187">
        <v>34.241504937788001</v>
      </c>
      <c r="AI7187">
        <v>91.834584152016603</v>
      </c>
      <c r="AJ7187">
        <v>99.574129938266793</v>
      </c>
      <c r="AK7187">
        <v>34.742992456305402</v>
      </c>
      <c r="AL7187">
        <v>79.996158695341094</v>
      </c>
      <c r="AM7187">
        <v>95.872230200236999</v>
      </c>
      <c r="AN7187">
        <v>0.99999998762110398</v>
      </c>
    </row>
    <row r="7188" spans="1:40" x14ac:dyDescent="0.25">
      <c r="A7188" t="str">
        <f>"20190304154937557"</f>
        <v>20190304154937557</v>
      </c>
      <c r="B7188" t="str">
        <f>"1551685777554722"</f>
        <v>1551685777554722</v>
      </c>
      <c r="C7188" t="s">
        <v>40</v>
      </c>
      <c r="D7188">
        <v>4.4540189999999997</v>
      </c>
      <c r="E7188">
        <v>0.47279009999999999</v>
      </c>
      <c r="F7188" t="s">
        <v>103</v>
      </c>
      <c r="G7188">
        <v>-226.20480000000001</v>
      </c>
      <c r="H7188" s="1">
        <v>-2.262518E-6</v>
      </c>
      <c r="I7188">
        <v>-58.200780000000002</v>
      </c>
      <c r="J7188">
        <v>-260.67930000000001</v>
      </c>
      <c r="K7188">
        <v>1.1122069999999999</v>
      </c>
      <c r="L7188">
        <v>-63.209589999999999</v>
      </c>
      <c r="M7188">
        <v>0.99965899999999996</v>
      </c>
      <c r="N7188">
        <v>-1.140379E-2</v>
      </c>
      <c r="O7188">
        <v>-2.3496179999999998E-2</v>
      </c>
      <c r="P7188">
        <v>0.9836165</v>
      </c>
      <c r="Q7188">
        <v>0.16286339999999999</v>
      </c>
      <c r="R7188">
        <v>7.7291650000000003E-2</v>
      </c>
      <c r="S7188">
        <v>3.031952</v>
      </c>
      <c r="T7188">
        <v>-9.7388150000000007E-2</v>
      </c>
      <c r="U7188">
        <v>0.43832399999999999</v>
      </c>
      <c r="V7188">
        <v>-0.1010403</v>
      </c>
      <c r="W7188">
        <v>0.173665299999999</v>
      </c>
      <c r="X7188">
        <v>0.97960769999999997</v>
      </c>
      <c r="Y7188">
        <v>-0.16617789999999999</v>
      </c>
      <c r="Z7188">
        <v>4.0916329999999999E-3</v>
      </c>
      <c r="AA7188">
        <v>0.9860873</v>
      </c>
      <c r="AB7188">
        <v>29</v>
      </c>
      <c r="AC7188">
        <v>34.474499999999999</v>
      </c>
      <c r="AD7188">
        <v>-1.112209262518</v>
      </c>
      <c r="AE7188">
        <v>5.0088100000000004</v>
      </c>
      <c r="AF7188">
        <v>-5.8115748828878697</v>
      </c>
      <c r="AG7188">
        <v>-1.112209262518</v>
      </c>
      <c r="AH7188">
        <v>34.312310967067901</v>
      </c>
      <c r="AI7188">
        <v>91.830499916556406</v>
      </c>
      <c r="AJ7188">
        <v>99.613119547317396</v>
      </c>
      <c r="AK7188">
        <v>34.818760689660003</v>
      </c>
      <c r="AL7188">
        <v>79.999003950980693</v>
      </c>
      <c r="AM7188">
        <v>95.888870808777995</v>
      </c>
      <c r="AN7188">
        <v>1.00000001227373</v>
      </c>
    </row>
    <row r="7189" spans="1:40" x14ac:dyDescent="0.25">
      <c r="A7189" t="str">
        <f>"20190304154937567"</f>
        <v>20190304154937567</v>
      </c>
      <c r="B7189" t="str">
        <f>"1551685777564482"</f>
        <v>1551685777564482</v>
      </c>
      <c r="C7189" t="s">
        <v>40</v>
      </c>
      <c r="D7189">
        <v>4.4459</v>
      </c>
      <c r="E7189">
        <v>0.47261720000000002</v>
      </c>
      <c r="F7189" t="s">
        <v>103</v>
      </c>
      <c r="G7189">
        <v>-226.11799999999999</v>
      </c>
      <c r="H7189" s="1">
        <v>-2.2395919999999999E-6</v>
      </c>
      <c r="I7189">
        <v>-58.135959999999997</v>
      </c>
      <c r="J7189">
        <v>-260.54230000000001</v>
      </c>
      <c r="K7189">
        <v>1.112155</v>
      </c>
      <c r="L7189">
        <v>-63.211910000000003</v>
      </c>
      <c r="M7189">
        <v>0.99967899999999998</v>
      </c>
      <c r="N7189">
        <v>-1.139167E-2</v>
      </c>
      <c r="O7189">
        <v>-2.2634370000000001E-2</v>
      </c>
      <c r="P7189">
        <v>0.98356759999999999</v>
      </c>
      <c r="Q7189">
        <v>0.16257969999999999</v>
      </c>
      <c r="R7189">
        <v>7.8504710000000005E-2</v>
      </c>
      <c r="S7189">
        <v>3.031158</v>
      </c>
      <c r="T7189">
        <v>-9.7545030000000005E-2</v>
      </c>
      <c r="U7189">
        <v>0.44497680000000001</v>
      </c>
      <c r="V7189">
        <v>-0.1013836</v>
      </c>
      <c r="W7189">
        <v>0.1733808</v>
      </c>
      <c r="X7189">
        <v>0.97962260000000001</v>
      </c>
      <c r="Y7189">
        <v>-0.16748250000000001</v>
      </c>
      <c r="Z7189">
        <v>4.1074420000000002E-3</v>
      </c>
      <c r="AA7189">
        <v>0.98586649999999998</v>
      </c>
      <c r="AB7189">
        <v>29</v>
      </c>
      <c r="AC7189">
        <v>34.424300000000002</v>
      </c>
      <c r="AD7189">
        <v>-1.1121572395919901</v>
      </c>
      <c r="AE7189">
        <v>5.07594999999999</v>
      </c>
      <c r="AF7189">
        <v>-5.8478983178684496</v>
      </c>
      <c r="AG7189">
        <v>-1.1121572395919901</v>
      </c>
      <c r="AH7189">
        <v>34.265577219787801</v>
      </c>
      <c r="AI7189">
        <v>91.832518378612505</v>
      </c>
      <c r="AJ7189">
        <v>99.685013554092905</v>
      </c>
      <c r="AK7189">
        <v>34.778795129603701</v>
      </c>
      <c r="AL7189">
        <v>80.015555441249504</v>
      </c>
      <c r="AM7189">
        <v>95.908648596772807</v>
      </c>
      <c r="AN7189">
        <v>0.99999998729417905</v>
      </c>
    </row>
    <row r="7190" spans="1:40" x14ac:dyDescent="0.25">
      <c r="A7190" t="str">
        <f>"20190304154937579"</f>
        <v>20190304154937579</v>
      </c>
      <c r="B7190" t="str">
        <f>"1551685777574242"</f>
        <v>1551685777574242</v>
      </c>
      <c r="C7190" t="s">
        <v>40</v>
      </c>
      <c r="D7190">
        <v>4.39689</v>
      </c>
      <c r="E7190">
        <v>0.4725665</v>
      </c>
      <c r="F7190" t="s">
        <v>103</v>
      </c>
      <c r="G7190">
        <v>-226.34800000000001</v>
      </c>
      <c r="H7190" s="1">
        <v>-2.3388890000000001E-6</v>
      </c>
      <c r="I7190">
        <v>-58.133189999999999</v>
      </c>
      <c r="J7190">
        <v>-260.39839999999998</v>
      </c>
      <c r="K7190">
        <v>1.1121019999999999</v>
      </c>
      <c r="L7190">
        <v>-63.214289999999998</v>
      </c>
      <c r="M7190">
        <v>0.99969819999999998</v>
      </c>
      <c r="N7190">
        <v>-1.1380009999999999E-2</v>
      </c>
      <c r="O7190">
        <v>-2.1774269999999998E-2</v>
      </c>
      <c r="P7190">
        <v>0.98354209999999997</v>
      </c>
      <c r="Q7190">
        <v>0.16211149999999999</v>
      </c>
      <c r="R7190">
        <v>7.9779749999999997E-2</v>
      </c>
      <c r="S7190">
        <v>3.0304869999999999</v>
      </c>
      <c r="T7190">
        <v>-9.8565459999999994E-2</v>
      </c>
      <c r="U7190">
        <v>0.4501038</v>
      </c>
      <c r="V7190">
        <v>-0.1017897</v>
      </c>
      <c r="W7190">
        <v>0.1729126</v>
      </c>
      <c r="X7190">
        <v>0.97966330000000001</v>
      </c>
      <c r="Y7190">
        <v>-0.16829520000000001</v>
      </c>
      <c r="Z7190">
        <v>4.1425000000000003E-3</v>
      </c>
      <c r="AA7190">
        <v>0.98572789999999999</v>
      </c>
      <c r="AB7190">
        <v>29</v>
      </c>
      <c r="AC7190">
        <v>34.050400000000003</v>
      </c>
      <c r="AD7190">
        <v>-1.112104338889</v>
      </c>
      <c r="AE7190">
        <v>5.0811000000000002</v>
      </c>
      <c r="AF7190">
        <v>-5.8152976346406202</v>
      </c>
      <c r="AG7190">
        <v>-1.112104338889</v>
      </c>
      <c r="AH7190">
        <v>33.8963116714026</v>
      </c>
      <c r="AI7190">
        <v>91.852103749254994</v>
      </c>
      <c r="AJ7190">
        <v>99.734969908486093</v>
      </c>
      <c r="AK7190">
        <v>34.409510423208502</v>
      </c>
      <c r="AL7190">
        <v>80.042793305062503</v>
      </c>
      <c r="AM7190">
        <v>95.931903018592095</v>
      </c>
      <c r="AN7190">
        <v>1.00000004581586</v>
      </c>
    </row>
    <row r="7191" spans="1:40" x14ac:dyDescent="0.25">
      <c r="A7191" t="str">
        <f>"20190304154937589"</f>
        <v>20190304154937589</v>
      </c>
      <c r="B7191" t="str">
        <f>"1551685777584002"</f>
        <v>1551685777584002</v>
      </c>
      <c r="C7191" t="s">
        <v>40</v>
      </c>
      <c r="D7191">
        <v>4.3879299999999999</v>
      </c>
      <c r="E7191">
        <v>0.47251409999999999</v>
      </c>
      <c r="F7191" t="s">
        <v>103</v>
      </c>
      <c r="G7191">
        <v>-226.46520000000001</v>
      </c>
      <c r="H7191" s="1">
        <v>-2.3907869999999999E-6</v>
      </c>
      <c r="I7191">
        <v>-58.1258699999999</v>
      </c>
      <c r="J7191">
        <v>-260.24979999999999</v>
      </c>
      <c r="K7191">
        <v>1.1120429999999999</v>
      </c>
      <c r="L7191">
        <v>-63.216669999999901</v>
      </c>
      <c r="M7191">
        <v>0.99971679999999996</v>
      </c>
      <c r="N7191">
        <v>-1.136855E-2</v>
      </c>
      <c r="O7191">
        <v>-2.090788E-2</v>
      </c>
      <c r="P7191">
        <v>0.98345260000000001</v>
      </c>
      <c r="Q7191">
        <v>0.16206119999999999</v>
      </c>
      <c r="R7191">
        <v>8.0978149999999999E-2</v>
      </c>
      <c r="S7191">
        <v>3.0296940000000001</v>
      </c>
      <c r="T7191">
        <v>-9.9293110000000004E-2</v>
      </c>
      <c r="U7191">
        <v>0.45431519999999997</v>
      </c>
      <c r="V7191">
        <v>-0.10211240000000001</v>
      </c>
      <c r="W7191">
        <v>0.17286319999999999</v>
      </c>
      <c r="X7191">
        <v>0.97963840000000002</v>
      </c>
      <c r="Y7191">
        <v>-0.16881699999999999</v>
      </c>
      <c r="Z7191">
        <v>4.160754E-3</v>
      </c>
      <c r="AA7191">
        <v>0.98563860000000003</v>
      </c>
      <c r="AB7191">
        <v>29</v>
      </c>
      <c r="AC7191">
        <v>33.784599999999898</v>
      </c>
      <c r="AD7191">
        <v>-1.112045390787</v>
      </c>
      <c r="AE7191">
        <v>5.0907999999999998</v>
      </c>
      <c r="AF7191">
        <v>-5.7899631888820604</v>
      </c>
      <c r="AG7191">
        <v>-1.112045390787</v>
      </c>
      <c r="AH7191">
        <v>33.635136433513601</v>
      </c>
      <c r="AI7191">
        <v>91.866196020337497</v>
      </c>
      <c r="AJ7191">
        <v>99.767189881014005</v>
      </c>
      <c r="AK7191">
        <v>34.147953402522603</v>
      </c>
      <c r="AL7191">
        <v>80.045666644235496</v>
      </c>
      <c r="AM7191">
        <v>95.950724140973307</v>
      </c>
      <c r="AN7191">
        <v>1.0000000114512799</v>
      </c>
    </row>
    <row r="7192" spans="1:40" x14ac:dyDescent="0.25">
      <c r="A7192" t="str">
        <f>"20190304154937601"</f>
        <v>20190304154937601</v>
      </c>
      <c r="B7192" t="str">
        <f>"1551685777594737"</f>
        <v>1551685777594737</v>
      </c>
      <c r="C7192" t="s">
        <v>40</v>
      </c>
      <c r="D7192">
        <v>4.401789</v>
      </c>
      <c r="E7192">
        <v>0.47245239999999999</v>
      </c>
      <c r="F7192" t="s">
        <v>103</v>
      </c>
      <c r="G7192">
        <v>-226.15620000000001</v>
      </c>
      <c r="H7192" s="1">
        <v>-2.2736819999999999E-6</v>
      </c>
      <c r="I7192">
        <v>-58.055950000000003</v>
      </c>
      <c r="J7192">
        <v>-260.10980000000001</v>
      </c>
      <c r="K7192">
        <v>1.11199</v>
      </c>
      <c r="L7192">
        <v>-63.21875</v>
      </c>
      <c r="M7192">
        <v>0.99973250000000002</v>
      </c>
      <c r="N7192">
        <v>-1.135861E-2</v>
      </c>
      <c r="O7192">
        <v>-2.0151160000000001E-2</v>
      </c>
      <c r="P7192">
        <v>0.98338599999999998</v>
      </c>
      <c r="Q7192">
        <v>0.16188649999999999</v>
      </c>
      <c r="R7192">
        <v>8.2128110000000004E-2</v>
      </c>
      <c r="S7192">
        <v>3.0289920000000001</v>
      </c>
      <c r="T7192">
        <v>-9.8797919999999997E-2</v>
      </c>
      <c r="U7192">
        <v>0.45849609999999902</v>
      </c>
      <c r="V7192">
        <v>-0.1024953</v>
      </c>
      <c r="W7192">
        <v>0.17269039999999999</v>
      </c>
      <c r="X7192">
        <v>0.97962890000000002</v>
      </c>
      <c r="Y7192">
        <v>-0.16943549999999999</v>
      </c>
      <c r="Z7192">
        <v>4.1411180000000001E-3</v>
      </c>
      <c r="AA7192">
        <v>0.98553259999999998</v>
      </c>
      <c r="AB7192">
        <v>29</v>
      </c>
      <c r="AC7192">
        <v>33.953599999999902</v>
      </c>
      <c r="AD7192">
        <v>-1.111992273682</v>
      </c>
      <c r="AE7192">
        <v>5.1627999999999901</v>
      </c>
      <c r="AF7192">
        <v>-5.8398778263243498</v>
      </c>
      <c r="AG7192">
        <v>-1.111992273682</v>
      </c>
      <c r="AH7192">
        <v>33.807219844862701</v>
      </c>
      <c r="AI7192">
        <v>91.856428389159007</v>
      </c>
      <c r="AJ7192">
        <v>99.800587485871603</v>
      </c>
      <c r="AK7192">
        <v>34.325920431679599</v>
      </c>
      <c r="AL7192">
        <v>80.055718623416496</v>
      </c>
      <c r="AM7192">
        <v>95.972934594177801</v>
      </c>
      <c r="AN7192">
        <v>1.00000002124472</v>
      </c>
    </row>
    <row r="7193" spans="1:40" x14ac:dyDescent="0.25">
      <c r="A7193" t="str">
        <f>"20190304154937612"</f>
        <v>20190304154937612</v>
      </c>
      <c r="B7193" t="str">
        <f>"1551685777604499"</f>
        <v>1551685777604499</v>
      </c>
      <c r="C7193" t="s">
        <v>40</v>
      </c>
      <c r="D7193">
        <v>4.3709910000000001</v>
      </c>
      <c r="E7193">
        <v>0.47223969999999998</v>
      </c>
      <c r="F7193" t="s">
        <v>103</v>
      </c>
      <c r="G7193">
        <v>-225.97550000000001</v>
      </c>
      <c r="H7193" s="1">
        <v>-2.207291E-6</v>
      </c>
      <c r="I7193">
        <v>-58.005609999999997</v>
      </c>
      <c r="J7193">
        <v>-259.96140000000003</v>
      </c>
      <c r="K7193">
        <v>1.111934</v>
      </c>
      <c r="L7193">
        <v>-63.220950000000002</v>
      </c>
      <c r="M7193">
        <v>0.99974810000000003</v>
      </c>
      <c r="N7193">
        <v>-1.134813E-2</v>
      </c>
      <c r="O7193">
        <v>-1.9362999999999998E-2</v>
      </c>
      <c r="P7193">
        <v>0.98337090000000005</v>
      </c>
      <c r="Q7193">
        <v>0.161486299999999</v>
      </c>
      <c r="R7193">
        <v>8.3090540000000004E-2</v>
      </c>
      <c r="S7193">
        <v>3.0282900000000001</v>
      </c>
      <c r="T7193">
        <v>-9.8652599999999993E-2</v>
      </c>
      <c r="U7193">
        <v>0.46249390000000001</v>
      </c>
      <c r="V7193">
        <v>-0.1026586</v>
      </c>
      <c r="W7193">
        <v>0.17229349999999999</v>
      </c>
      <c r="X7193">
        <v>0.97968169999999999</v>
      </c>
      <c r="Y7193">
        <v>-0.16996410000000001</v>
      </c>
      <c r="Z7193">
        <v>4.130926E-3</v>
      </c>
      <c r="AA7193">
        <v>0.98544160000000003</v>
      </c>
      <c r="AB7193">
        <v>29</v>
      </c>
      <c r="AC7193">
        <v>33.985900000000001</v>
      </c>
      <c r="AD7193">
        <v>-1.111936207291</v>
      </c>
      <c r="AE7193">
        <v>5.2153400000000003</v>
      </c>
      <c r="AF7193">
        <v>-5.8663383809683598</v>
      </c>
      <c r="AG7193">
        <v>-1.111936207291</v>
      </c>
      <c r="AH7193">
        <v>33.843142785478598</v>
      </c>
      <c r="AI7193">
        <v>91.854179492096904</v>
      </c>
      <c r="AJ7193">
        <v>99.833882216499802</v>
      </c>
      <c r="AK7193">
        <v>34.365806286589503</v>
      </c>
      <c r="AL7193">
        <v>80.078805512769705</v>
      </c>
      <c r="AM7193">
        <v>95.982061892991197</v>
      </c>
      <c r="AN7193">
        <v>1.0000000358055401</v>
      </c>
    </row>
    <row r="7194" spans="1:40" x14ac:dyDescent="0.25">
      <c r="A7194" t="str">
        <f>"20190304154937624"</f>
        <v>20190304154937624</v>
      </c>
      <c r="B7194" t="str">
        <f>"1551685777614258"</f>
        <v>1551685777614258</v>
      </c>
      <c r="C7194" t="s">
        <v>40</v>
      </c>
      <c r="D7194">
        <v>4.2525620000000002</v>
      </c>
      <c r="E7194">
        <v>0.47210819999999998</v>
      </c>
      <c r="F7194" t="s">
        <v>103</v>
      </c>
      <c r="G7194">
        <v>-226.1053</v>
      </c>
      <c r="H7194" s="1">
        <v>-2.2649589999999998E-6</v>
      </c>
      <c r="I7194">
        <v>-57.99653</v>
      </c>
      <c r="J7194">
        <v>-259.81270000000001</v>
      </c>
      <c r="K7194">
        <v>1.111874</v>
      </c>
      <c r="L7194">
        <v>-63.223019999999998</v>
      </c>
      <c r="M7194">
        <v>0.99976220000000005</v>
      </c>
      <c r="N7194">
        <v>-1.1336239999999999E-2</v>
      </c>
      <c r="O7194">
        <v>-1.8634919999999999E-2</v>
      </c>
      <c r="P7194">
        <v>0.98329140000000004</v>
      </c>
      <c r="Q7194">
        <v>0.16138089999999999</v>
      </c>
      <c r="R7194">
        <v>8.4228780000000003E-2</v>
      </c>
      <c r="S7194">
        <v>3.0275880000000002</v>
      </c>
      <c r="T7194">
        <v>-9.9434850000000005E-2</v>
      </c>
      <c r="U7194">
        <v>0.46719359999999999</v>
      </c>
      <c r="V7194">
        <v>-0.1030561</v>
      </c>
      <c r="W7194">
        <v>0.17218919999999999</v>
      </c>
      <c r="X7194">
        <v>0.97965820000000003</v>
      </c>
      <c r="Y7194">
        <v>-0.170772799999999</v>
      </c>
      <c r="Z7194">
        <v>4.159678E-3</v>
      </c>
      <c r="AA7194">
        <v>0.98530169999999995</v>
      </c>
      <c r="AB7194">
        <v>29</v>
      </c>
      <c r="AC7194">
        <v>33.7074</v>
      </c>
      <c r="AD7194">
        <v>-1.1118762649589999</v>
      </c>
      <c r="AE7194">
        <v>5.2264899999999903</v>
      </c>
      <c r="AF7194">
        <v>-5.8475440840038697</v>
      </c>
      <c r="AG7194">
        <v>-1.1118762649589999</v>
      </c>
      <c r="AH7194">
        <v>33.568476852287901</v>
      </c>
      <c r="AI7194">
        <v>91.868969000561407</v>
      </c>
      <c r="AJ7194">
        <v>99.881624765768393</v>
      </c>
      <c r="AK7194">
        <v>34.092120480039597</v>
      </c>
      <c r="AL7194">
        <v>80.084871115531598</v>
      </c>
      <c r="AM7194">
        <v>96.005198846628801</v>
      </c>
      <c r="AN7194">
        <v>0.99999993458554204</v>
      </c>
    </row>
    <row r="7195" spans="1:40" x14ac:dyDescent="0.25">
      <c r="A7195" t="str">
        <f>"20190304154937634"</f>
        <v>20190304154937634</v>
      </c>
      <c r="B7195" t="str">
        <f>"1551685777624018"</f>
        <v>1551685777624018</v>
      </c>
      <c r="C7195" t="s">
        <v>40</v>
      </c>
      <c r="D7195">
        <v>4.3609739999999997</v>
      </c>
      <c r="E7195">
        <v>0.47200690000000001</v>
      </c>
      <c r="F7195" t="s">
        <v>103</v>
      </c>
      <c r="G7195">
        <v>-225.73310000000001</v>
      </c>
      <c r="H7195" s="1">
        <v>-2.1245499999999998E-6</v>
      </c>
      <c r="I7195">
        <v>-57.909439999999996</v>
      </c>
      <c r="J7195">
        <v>-259.67540000000002</v>
      </c>
      <c r="K7195">
        <v>1.1118209999999999</v>
      </c>
      <c r="L7195">
        <v>-63.224910000000001</v>
      </c>
      <c r="M7195">
        <v>0.9997743</v>
      </c>
      <c r="N7195">
        <v>-1.132504E-2</v>
      </c>
      <c r="O7195">
        <v>-1.7977380000000001E-2</v>
      </c>
      <c r="P7195">
        <v>0.98322370000000003</v>
      </c>
      <c r="Q7195">
        <v>0.161407299999999</v>
      </c>
      <c r="R7195">
        <v>8.4966490000000006E-2</v>
      </c>
      <c r="S7195">
        <v>3.026764</v>
      </c>
      <c r="T7195">
        <v>-9.8750710000000005E-2</v>
      </c>
      <c r="U7195">
        <v>0.4719238</v>
      </c>
      <c r="V7195">
        <v>-0.1031253</v>
      </c>
      <c r="W7195">
        <v>0.17221700000000001</v>
      </c>
      <c r="X7195">
        <v>0.97964609999999996</v>
      </c>
      <c r="Y7195">
        <v>-0.17166989999999999</v>
      </c>
      <c r="Z7195">
        <v>4.1419389999999999E-3</v>
      </c>
      <c r="AA7195">
        <v>0.98514579999999996</v>
      </c>
      <c r="AB7195">
        <v>29</v>
      </c>
      <c r="AC7195">
        <v>33.942300000000003</v>
      </c>
      <c r="AD7195">
        <v>-1.1118231245500001</v>
      </c>
      <c r="AE7195">
        <v>5.3154699999999897</v>
      </c>
      <c r="AF7195">
        <v>-5.91864507686509</v>
      </c>
      <c r="AG7195">
        <v>-1.1118231245500001</v>
      </c>
      <c r="AH7195">
        <v>33.805845177259798</v>
      </c>
      <c r="AI7195">
        <v>91.855490007824798</v>
      </c>
      <c r="AJ7195">
        <v>99.930557572902799</v>
      </c>
      <c r="AK7195">
        <v>34.338050008045599</v>
      </c>
      <c r="AL7195">
        <v>80.083254811931198</v>
      </c>
      <c r="AM7195">
        <v>96.0092753944799</v>
      </c>
      <c r="AN7195">
        <v>1.00000000191715</v>
      </c>
    </row>
    <row r="7196" spans="1:40" x14ac:dyDescent="0.25">
      <c r="A7196" t="str">
        <f>"20190304154937645"</f>
        <v>20190304154937645</v>
      </c>
      <c r="B7196" t="str">
        <f>"1551685777634754"</f>
        <v>1551685777634754</v>
      </c>
      <c r="C7196" t="s">
        <v>40</v>
      </c>
      <c r="D7196">
        <v>4.4134390000000003</v>
      </c>
      <c r="E7196">
        <v>0.47165550000000001</v>
      </c>
      <c r="F7196" t="s">
        <v>103</v>
      </c>
      <c r="G7196">
        <v>-225.2629</v>
      </c>
      <c r="H7196" s="1">
        <v>-1.9422560000000001E-6</v>
      </c>
      <c r="I7196">
        <v>-57.82161</v>
      </c>
      <c r="J7196">
        <v>-259.52999999999997</v>
      </c>
      <c r="K7196">
        <v>1.111772</v>
      </c>
      <c r="L7196">
        <v>-63.226840000000003</v>
      </c>
      <c r="M7196">
        <v>0.99978610000000001</v>
      </c>
      <c r="N7196">
        <v>-1.131248E-2</v>
      </c>
      <c r="O7196">
        <v>-1.732247E-2</v>
      </c>
      <c r="P7196">
        <v>0.98315269999999999</v>
      </c>
      <c r="Q7196">
        <v>0.16142599999999999</v>
      </c>
      <c r="R7196">
        <v>8.5748279999999996E-2</v>
      </c>
      <c r="S7196">
        <v>3.0261840000000002</v>
      </c>
      <c r="T7196">
        <v>-9.7772120000000004E-2</v>
      </c>
      <c r="U7196">
        <v>0.47515869999999999</v>
      </c>
      <c r="V7196">
        <v>-0.10324120000000001</v>
      </c>
      <c r="W7196">
        <v>0.17223620000000001</v>
      </c>
      <c r="X7196">
        <v>0.97963049999999996</v>
      </c>
      <c r="Y7196">
        <v>-0.17208319999999999</v>
      </c>
      <c r="Z7196">
        <v>4.1035009999999999E-3</v>
      </c>
      <c r="AA7196">
        <v>0.98507389999999995</v>
      </c>
      <c r="AB7196">
        <v>29</v>
      </c>
      <c r="AC7196">
        <v>34.2670999999999</v>
      </c>
      <c r="AD7196">
        <v>-1.111773942256</v>
      </c>
      <c r="AE7196">
        <v>5.4052300000000004</v>
      </c>
      <c r="AF7196">
        <v>-5.9918934195815101</v>
      </c>
      <c r="AG7196">
        <v>-1.111773942256</v>
      </c>
      <c r="AH7196">
        <v>34.133262190253902</v>
      </c>
      <c r="AI7196">
        <v>91.837476874407201</v>
      </c>
      <c r="AJ7196">
        <v>99.956492012753102</v>
      </c>
      <c r="AK7196">
        <v>34.673021440291599</v>
      </c>
      <c r="AL7196">
        <v>80.082137878543094</v>
      </c>
      <c r="AM7196">
        <v>96.016074668645999</v>
      </c>
      <c r="AN7196">
        <v>0.99999998524906497</v>
      </c>
    </row>
    <row r="7197" spans="1:40" x14ac:dyDescent="0.25">
      <c r="A7197" t="str">
        <f>"20190304154937657"</f>
        <v>20190304154937657</v>
      </c>
      <c r="B7197" t="str">
        <f>"1551685777654275"</f>
        <v>1551685777654275</v>
      </c>
      <c r="C7197" t="s">
        <v>40</v>
      </c>
      <c r="D7197">
        <v>4.3541280000000002</v>
      </c>
      <c r="E7197">
        <v>0.43636920000000001</v>
      </c>
      <c r="F7197" t="s">
        <v>103</v>
      </c>
      <c r="G7197">
        <v>-225.1138</v>
      </c>
      <c r="H7197" s="1">
        <v>-1.8918489999999999E-6</v>
      </c>
      <c r="I7197">
        <v>-57.760350000000003</v>
      </c>
      <c r="J7197">
        <v>-259.38400000000001</v>
      </c>
      <c r="K7197">
        <v>1.1117220000000001</v>
      </c>
      <c r="L7197">
        <v>-63.228729999999999</v>
      </c>
      <c r="M7197">
        <v>0.99979689999999999</v>
      </c>
      <c r="N7197">
        <v>-1.130022E-2</v>
      </c>
      <c r="O7197">
        <v>-1.6689120000000002E-2</v>
      </c>
      <c r="P7197">
        <v>0.98305379999999998</v>
      </c>
      <c r="Q7197">
        <v>0.16165470000000001</v>
      </c>
      <c r="R7197">
        <v>8.6448419999999998E-2</v>
      </c>
      <c r="S7197">
        <v>3.0255429999999999</v>
      </c>
      <c r="T7197">
        <v>-9.7736480000000001E-2</v>
      </c>
      <c r="U7197">
        <v>0.4805603</v>
      </c>
      <c r="V7197">
        <v>-0.10329729999999999</v>
      </c>
      <c r="W7197">
        <v>0.17246400000000001</v>
      </c>
      <c r="X7197">
        <v>0.97958449999999997</v>
      </c>
      <c r="Y7197">
        <v>-0.17320639999999901</v>
      </c>
      <c r="Z7197">
        <v>4.1130230000000004E-3</v>
      </c>
      <c r="AA7197">
        <v>0.98487690000000006</v>
      </c>
      <c r="AB7197">
        <v>29</v>
      </c>
      <c r="AC7197">
        <v>34.270200000000003</v>
      </c>
      <c r="AD7197">
        <v>-1.11172389184899</v>
      </c>
      <c r="AE7197">
        <v>5.4683799999999998</v>
      </c>
      <c r="AF7197">
        <v>-6.0334026779871701</v>
      </c>
      <c r="AG7197">
        <v>-1.11172389184899</v>
      </c>
      <c r="AH7197">
        <v>34.139123887140101</v>
      </c>
      <c r="AI7197">
        <v>91.836707103403</v>
      </c>
      <c r="AJ7197">
        <v>100.022385844648</v>
      </c>
      <c r="AK7197">
        <v>34.685986473905501</v>
      </c>
      <c r="AL7197">
        <v>80.068887547547604</v>
      </c>
      <c r="AM7197">
        <v>96.019600319519498</v>
      </c>
      <c r="AN7197">
        <v>0.99999997806176899</v>
      </c>
    </row>
    <row r="7198" spans="1:40" x14ac:dyDescent="0.25">
      <c r="A7198" t="str">
        <f>"20190304154937667"</f>
        <v>20190304154937667</v>
      </c>
      <c r="B7198" t="str">
        <f>"1551685777664037"</f>
        <v>1551685777664037</v>
      </c>
      <c r="C7198" t="s">
        <v>40</v>
      </c>
      <c r="D7198">
        <v>4.3209269999999904</v>
      </c>
      <c r="E7198">
        <v>0.43666300000000002</v>
      </c>
      <c r="F7198" t="s">
        <v>104</v>
      </c>
      <c r="G7198">
        <v>-217.07919999999999</v>
      </c>
      <c r="H7198" s="1">
        <v>-3.4908769999999999E-6</v>
      </c>
      <c r="I7198">
        <v>-52.457239999999999</v>
      </c>
      <c r="J7198">
        <v>-259.23390000000001</v>
      </c>
      <c r="K7198">
        <v>1.111672</v>
      </c>
      <c r="L7198">
        <v>-63.230559999999997</v>
      </c>
      <c r="M7198">
        <v>0.99980720000000001</v>
      </c>
      <c r="N7198">
        <v>-1.1288050000000001E-2</v>
      </c>
      <c r="O7198">
        <v>-1.6067459999999999E-2</v>
      </c>
      <c r="P7198">
        <v>0.98296209999999995</v>
      </c>
      <c r="Q7198">
        <v>0.16185250000000001</v>
      </c>
      <c r="R7198">
        <v>8.7116070000000004E-2</v>
      </c>
      <c r="S7198">
        <v>2.997528</v>
      </c>
      <c r="T7198">
        <v>-7.8771830000000001E-2</v>
      </c>
      <c r="U7198">
        <v>0.76321410000000001</v>
      </c>
      <c r="V7198">
        <v>-0.10333339999999901</v>
      </c>
      <c r="W7198">
        <v>0.17266219999999999</v>
      </c>
      <c r="X7198">
        <v>0.97954580000000002</v>
      </c>
      <c r="Y7198">
        <v>-0.26215660000000002</v>
      </c>
      <c r="Z7198">
        <v>5.1305109999999999E-3</v>
      </c>
      <c r="AA7198">
        <v>0.96501170000000003</v>
      </c>
      <c r="AB7198">
        <v>29</v>
      </c>
      <c r="AC7198">
        <v>42.154699999999998</v>
      </c>
      <c r="AD7198">
        <v>-1.1116754908769999</v>
      </c>
      <c r="AE7198">
        <v>10.773319999999901</v>
      </c>
      <c r="AF7198">
        <v>-11.441821872136501</v>
      </c>
      <c r="AG7198">
        <v>-1.1116754908769999</v>
      </c>
      <c r="AH7198">
        <v>41.948762097695102</v>
      </c>
      <c r="AI7198">
        <v>91.464551460226502</v>
      </c>
      <c r="AJ7198">
        <v>105.256708303721</v>
      </c>
      <c r="AK7198">
        <v>43.495399201291796</v>
      </c>
      <c r="AL7198">
        <v>80.057358797610206</v>
      </c>
      <c r="AM7198">
        <v>96.021924732622495</v>
      </c>
      <c r="AN7198">
        <v>1.0000000005810199</v>
      </c>
    </row>
    <row r="7199" spans="1:40" x14ac:dyDescent="0.25">
      <c r="A7199" t="str">
        <f>"20190304154937680"</f>
        <v>20190304154937680</v>
      </c>
      <c r="B7199" t="str">
        <f>"1551685777674769"</f>
        <v>1551685777674769</v>
      </c>
      <c r="C7199" t="s">
        <v>40</v>
      </c>
      <c r="D7199">
        <v>4.3037369999999999</v>
      </c>
      <c r="E7199">
        <v>0.43674790000000002</v>
      </c>
      <c r="F7199" t="s">
        <v>104</v>
      </c>
      <c r="G7199">
        <v>-217.84460000000001</v>
      </c>
      <c r="H7199" s="1">
        <v>-3.6981709999999998E-6</v>
      </c>
      <c r="I7199">
        <v>-52.6950199999999</v>
      </c>
      <c r="J7199">
        <v>-259.08100000000002</v>
      </c>
      <c r="K7199">
        <v>1.1116239999999999</v>
      </c>
      <c r="L7199">
        <v>-63.23236</v>
      </c>
      <c r="M7199">
        <v>0.99981679999999995</v>
      </c>
      <c r="N7199">
        <v>-1.127652E-2</v>
      </c>
      <c r="O7199">
        <v>-1.547104E-2</v>
      </c>
      <c r="P7199">
        <v>0.98292159999999995</v>
      </c>
      <c r="Q7199">
        <v>0.1618125</v>
      </c>
      <c r="R7199">
        <v>8.7646929999999998E-2</v>
      </c>
      <c r="S7199">
        <v>2.99762</v>
      </c>
      <c r="T7199">
        <v>-8.0513000000000001E-2</v>
      </c>
      <c r="U7199">
        <v>0.76303100000000001</v>
      </c>
      <c r="V7199">
        <v>-0.103258</v>
      </c>
      <c r="W7199">
        <v>0.17262279999999999</v>
      </c>
      <c r="X7199">
        <v>0.97956069999999995</v>
      </c>
      <c r="Y7199">
        <v>-0.26151419999999997</v>
      </c>
      <c r="Z7199">
        <v>5.1918270000000004E-3</v>
      </c>
      <c r="AA7199">
        <v>0.96518559999999998</v>
      </c>
      <c r="AB7199">
        <v>29</v>
      </c>
      <c r="AC7199">
        <v>41.236399999999897</v>
      </c>
      <c r="AD7199">
        <v>-1.111627698171</v>
      </c>
      <c r="AE7199">
        <v>10.53734</v>
      </c>
      <c r="AF7199">
        <v>-11.1664718874908</v>
      </c>
      <c r="AG7199">
        <v>-1.111627698171</v>
      </c>
      <c r="AH7199">
        <v>41.040433953748703</v>
      </c>
      <c r="AI7199">
        <v>91.497141925181893</v>
      </c>
      <c r="AJ7199">
        <v>105.220842306015</v>
      </c>
      <c r="AK7199">
        <v>42.546950885644797</v>
      </c>
      <c r="AL7199">
        <v>80.059650712260904</v>
      </c>
      <c r="AM7199">
        <v>96.0174720649471</v>
      </c>
      <c r="AN7199">
        <v>1.00000000531416</v>
      </c>
    </row>
    <row r="7200" spans="1:40" x14ac:dyDescent="0.25">
      <c r="A7200" t="str">
        <f>"20190304154937690"</f>
        <v>20190304154937690</v>
      </c>
      <c r="B7200" t="str">
        <f>"1551685777684530"</f>
        <v>1551685777684530</v>
      </c>
      <c r="C7200" t="s">
        <v>40</v>
      </c>
      <c r="D7200">
        <v>4.3096120000000004</v>
      </c>
      <c r="E7200">
        <v>0.43673060000000002</v>
      </c>
      <c r="F7200" t="s">
        <v>104</v>
      </c>
      <c r="G7200">
        <v>-217.90610000000001</v>
      </c>
      <c r="H7200" s="1">
        <v>-3.7174549999999998E-6</v>
      </c>
      <c r="I7200">
        <v>-52.734920000000002</v>
      </c>
      <c r="J7200">
        <v>-258.9391</v>
      </c>
      <c r="K7200">
        <v>1.1115809999999999</v>
      </c>
      <c r="L7200">
        <v>-63.233980000000003</v>
      </c>
      <c r="M7200">
        <v>0.99982519999999997</v>
      </c>
      <c r="N7200">
        <v>-1.1266170000000001E-2</v>
      </c>
      <c r="O7200">
        <v>-1.4931099999999999E-2</v>
      </c>
      <c r="P7200">
        <v>0.98284550000000004</v>
      </c>
      <c r="Q7200">
        <v>0.162067299999999</v>
      </c>
      <c r="R7200">
        <v>8.803134E-2</v>
      </c>
      <c r="S7200">
        <v>2.9973450000000001</v>
      </c>
      <c r="T7200">
        <v>-8.0921290000000007E-2</v>
      </c>
      <c r="U7200">
        <v>0.76416019999999996</v>
      </c>
      <c r="V7200">
        <v>-0.10309400000000001</v>
      </c>
      <c r="W7200">
        <v>0.17287829999999901</v>
      </c>
      <c r="X7200">
        <v>0.97953290000000004</v>
      </c>
      <c r="Y7200">
        <v>-0.26135459999999999</v>
      </c>
      <c r="Z7200">
        <v>5.1990439999999999E-3</v>
      </c>
      <c r="AA7200">
        <v>0.96522889999999995</v>
      </c>
      <c r="AB7200">
        <v>29</v>
      </c>
      <c r="AC7200">
        <v>41.032999999999902</v>
      </c>
      <c r="AD7200">
        <v>-1.111584717455</v>
      </c>
      <c r="AE7200">
        <v>10.49906</v>
      </c>
      <c r="AF7200">
        <v>-11.1029486476745</v>
      </c>
      <c r="AG7200">
        <v>-1.111584717455</v>
      </c>
      <c r="AH7200">
        <v>40.843520794568498</v>
      </c>
      <c r="AI7200">
        <v>91.504391164744803</v>
      </c>
      <c r="AJ7200">
        <v>105.207850584921</v>
      </c>
      <c r="AK7200">
        <v>42.340338687276997</v>
      </c>
      <c r="AL7200">
        <v>80.044788045842694</v>
      </c>
      <c r="AM7200">
        <v>96.008154010193493</v>
      </c>
      <c r="AN7200">
        <v>0.99999999081464996</v>
      </c>
    </row>
    <row r="7201" spans="1:40" x14ac:dyDescent="0.25">
      <c r="A7201" t="str">
        <f>"20190304154937702"</f>
        <v>20190304154937702</v>
      </c>
      <c r="B7201" t="str">
        <f>"1551685777694290"</f>
        <v>1551685777694290</v>
      </c>
      <c r="C7201" t="s">
        <v>40</v>
      </c>
      <c r="D7201">
        <v>4.2932439999999996</v>
      </c>
      <c r="E7201">
        <v>0.4368166</v>
      </c>
      <c r="F7201" t="s">
        <v>104</v>
      </c>
      <c r="G7201">
        <v>-217.05889999999999</v>
      </c>
      <c r="H7201" s="1">
        <v>-3.4634900000000001E-6</v>
      </c>
      <c r="I7201">
        <v>-52.534260000000003</v>
      </c>
      <c r="J7201">
        <v>-258.79079999999999</v>
      </c>
      <c r="K7201">
        <v>1.11154</v>
      </c>
      <c r="L7201">
        <v>-63.23563</v>
      </c>
      <c r="M7201">
        <v>0.99983290000000002</v>
      </c>
      <c r="N7201">
        <v>-1.1256230000000001E-2</v>
      </c>
      <c r="O7201">
        <v>-1.4409979999999999E-2</v>
      </c>
      <c r="P7201">
        <v>0.98280489999999998</v>
      </c>
      <c r="Q7201">
        <v>0.1620819</v>
      </c>
      <c r="R7201">
        <v>8.8454459999999999E-2</v>
      </c>
      <c r="S7201">
        <v>2.996902</v>
      </c>
      <c r="T7201">
        <v>-7.9543710000000004E-2</v>
      </c>
      <c r="U7201">
        <v>0.76565550000000004</v>
      </c>
      <c r="V7201">
        <v>-0.1029877</v>
      </c>
      <c r="W7201">
        <v>0.1728933</v>
      </c>
      <c r="X7201">
        <v>0.97954140000000001</v>
      </c>
      <c r="Y7201">
        <v>-0.26134160000000001</v>
      </c>
      <c r="Z7201">
        <v>5.124343E-3</v>
      </c>
      <c r="AA7201">
        <v>0.9652328</v>
      </c>
      <c r="AB7201">
        <v>29</v>
      </c>
      <c r="AC7201">
        <v>41.731900000000003</v>
      </c>
      <c r="AD7201">
        <v>-1.1115434634900001</v>
      </c>
      <c r="AE7201">
        <v>10.701370000000001</v>
      </c>
      <c r="AF7201">
        <v>-11.2941344806417</v>
      </c>
      <c r="AG7201">
        <v>-1.1115434634900001</v>
      </c>
      <c r="AH7201">
        <v>41.545694497137497</v>
      </c>
      <c r="AI7201">
        <v>91.478918858459096</v>
      </c>
      <c r="AJ7201">
        <v>105.208243734788</v>
      </c>
      <c r="AK7201">
        <v>43.067827131021197</v>
      </c>
      <c r="AL7201">
        <v>80.043915128938806</v>
      </c>
      <c r="AM7201">
        <v>96.001952557665604</v>
      </c>
      <c r="AN7201">
        <v>0.99999995692506904</v>
      </c>
    </row>
    <row r="7202" spans="1:40" x14ac:dyDescent="0.25">
      <c r="A7202" t="str">
        <f>"20190304154937713"</f>
        <v>20190304154937713</v>
      </c>
      <c r="B7202" t="str">
        <f>"1551685777704051"</f>
        <v>1551685777704051</v>
      </c>
      <c r="C7202" t="s">
        <v>40</v>
      </c>
      <c r="D7202">
        <v>4.3079239999999999</v>
      </c>
      <c r="E7202">
        <v>0.43706460000000003</v>
      </c>
      <c r="F7202" t="s">
        <v>104</v>
      </c>
      <c r="G7202">
        <v>-217.5343</v>
      </c>
      <c r="H7202" s="1">
        <v>-3.5855249999999999E-6</v>
      </c>
      <c r="I7202">
        <v>-52.6836699999999</v>
      </c>
      <c r="J7202">
        <v>-258.64519999999999</v>
      </c>
      <c r="K7202">
        <v>1.1115010000000001</v>
      </c>
      <c r="L7202">
        <v>-63.237209999999997</v>
      </c>
      <c r="M7202">
        <v>0.99983999999999995</v>
      </c>
      <c r="N7202">
        <v>-1.124669E-2</v>
      </c>
      <c r="O7202">
        <v>-1.390804E-2</v>
      </c>
      <c r="P7202">
        <v>0.98274119999999998</v>
      </c>
      <c r="Q7202">
        <v>0.16232579999999999</v>
      </c>
      <c r="R7202">
        <v>8.8711579999999998E-2</v>
      </c>
      <c r="S7202">
        <v>2.996826</v>
      </c>
      <c r="T7202">
        <v>-8.074141E-2</v>
      </c>
      <c r="U7202">
        <v>0.76647949999999998</v>
      </c>
      <c r="V7202">
        <v>-0.102734199999999</v>
      </c>
      <c r="W7202">
        <v>0.1731384</v>
      </c>
      <c r="X7202">
        <v>0.97952479999999997</v>
      </c>
      <c r="Y7202">
        <v>-0.26110899999999998</v>
      </c>
      <c r="Z7202">
        <v>5.1680989999999998E-3</v>
      </c>
      <c r="AA7202">
        <v>0.96529549999999997</v>
      </c>
      <c r="AB7202">
        <v>29</v>
      </c>
      <c r="AC7202">
        <v>41.110900000000001</v>
      </c>
      <c r="AD7202">
        <v>-1.1115045855249901</v>
      </c>
      <c r="AE7202">
        <v>10.55354</v>
      </c>
      <c r="AF7202">
        <v>-11.1167035943218</v>
      </c>
      <c r="AG7202">
        <v>-1.1115045855249901</v>
      </c>
      <c r="AH7202">
        <v>40.932063973087701</v>
      </c>
      <c r="AI7202">
        <v>91.501125901233607</v>
      </c>
      <c r="AJ7202">
        <v>105.194404937949</v>
      </c>
      <c r="AK7202">
        <v>42.429357788500603</v>
      </c>
      <c r="AL7202">
        <v>80.029657616964499</v>
      </c>
      <c r="AM7202">
        <v>95.987387172818401</v>
      </c>
      <c r="AN7202">
        <v>1.0000000276096099</v>
      </c>
    </row>
    <row r="7203" spans="1:40" x14ac:dyDescent="0.25">
      <c r="A7203" t="str">
        <f>"20190304154937724"</f>
        <v>20190304154937724</v>
      </c>
      <c r="B7203" t="str">
        <f>"1551685777714786"</f>
        <v>1551685777714786</v>
      </c>
      <c r="C7203" t="s">
        <v>40</v>
      </c>
      <c r="D7203">
        <v>4.352875</v>
      </c>
      <c r="E7203">
        <v>0.43749729999999998</v>
      </c>
      <c r="F7203" t="s">
        <v>104</v>
      </c>
      <c r="G7203">
        <v>-217.16759999999999</v>
      </c>
      <c r="H7203" s="1">
        <v>-3.4713940000000002E-6</v>
      </c>
      <c r="I7203">
        <v>-52.643590000000003</v>
      </c>
      <c r="J7203">
        <v>-258.50380000000001</v>
      </c>
      <c r="K7203">
        <v>1.1114649999999999</v>
      </c>
      <c r="L7203">
        <v>-63.23865</v>
      </c>
      <c r="M7203">
        <v>0.99984640000000002</v>
      </c>
      <c r="N7203">
        <v>-1.1238E-2</v>
      </c>
      <c r="O7203">
        <v>-1.3455430000000001E-2</v>
      </c>
      <c r="P7203">
        <v>0.9826954</v>
      </c>
      <c r="Q7203">
        <v>0.1625935</v>
      </c>
      <c r="R7203">
        <v>8.8732179999999994E-2</v>
      </c>
      <c r="S7203">
        <v>2.9968569999999999</v>
      </c>
      <c r="T7203">
        <v>-8.0308909999999997E-2</v>
      </c>
      <c r="U7203">
        <v>0.76541139999999996</v>
      </c>
      <c r="V7203">
        <v>-0.10229539999999999</v>
      </c>
      <c r="W7203">
        <v>0.17340749999999999</v>
      </c>
      <c r="X7203">
        <v>0.97952309999999998</v>
      </c>
      <c r="Y7203">
        <v>-0.26034829999999998</v>
      </c>
      <c r="Z7203">
        <v>5.1252950000000002E-3</v>
      </c>
      <c r="AA7203">
        <v>0.96550119999999895</v>
      </c>
      <c r="AB7203">
        <v>29</v>
      </c>
      <c r="AC7203">
        <v>41.336199999999998</v>
      </c>
      <c r="AD7203">
        <v>-1.111468471394</v>
      </c>
      <c r="AE7203">
        <v>10.595059999999901</v>
      </c>
      <c r="AF7203">
        <v>-11.1427726563065</v>
      </c>
      <c r="AG7203">
        <v>-1.111468471394</v>
      </c>
      <c r="AH7203">
        <v>41.161962198892702</v>
      </c>
      <c r="AI7203">
        <v>91.493030127273101</v>
      </c>
      <c r="AJ7203">
        <v>105.14724806706499</v>
      </c>
      <c r="AK7203">
        <v>42.657987255566901</v>
      </c>
      <c r="AL7203">
        <v>80.014002310449001</v>
      </c>
      <c r="AM7203">
        <v>95.962008612297694</v>
      </c>
      <c r="AN7203">
        <v>1.0000000066755099</v>
      </c>
    </row>
    <row r="7204" spans="1:40" x14ac:dyDescent="0.25">
      <c r="A7204" t="str">
        <f>"20190304154937735"</f>
        <v>20190304154937735</v>
      </c>
      <c r="B7204" t="str">
        <f>"1551685777724548"</f>
        <v>1551685777724548</v>
      </c>
      <c r="C7204" t="s">
        <v>40</v>
      </c>
      <c r="D7204">
        <v>4.2563420000000001</v>
      </c>
      <c r="E7204">
        <v>0.4375926</v>
      </c>
      <c r="F7204" t="s">
        <v>104</v>
      </c>
      <c r="G7204">
        <v>-216.63229999999999</v>
      </c>
      <c r="H7204" s="1">
        <v>-3.303522E-6</v>
      </c>
      <c r="I7204">
        <v>-52.589820000000003</v>
      </c>
      <c r="J7204">
        <v>-258.36059999999998</v>
      </c>
      <c r="K7204">
        <v>1.1114280000000001</v>
      </c>
      <c r="L7204">
        <v>-63.240079999999999</v>
      </c>
      <c r="M7204">
        <v>0.99985250000000003</v>
      </c>
      <c r="N7204">
        <v>-1.122949E-2</v>
      </c>
      <c r="O7204">
        <v>-1.300723E-2</v>
      </c>
      <c r="P7204">
        <v>0.98263769999999995</v>
      </c>
      <c r="Q7204">
        <v>0.16273199999999999</v>
      </c>
      <c r="R7204">
        <v>8.911463E-2</v>
      </c>
      <c r="S7204">
        <v>2.9971619999999999</v>
      </c>
      <c r="T7204">
        <v>-7.9558729999999994E-2</v>
      </c>
      <c r="U7204">
        <v>0.76223750000000001</v>
      </c>
      <c r="V7204">
        <v>-0.1022223</v>
      </c>
      <c r="W7204">
        <v>0.17354700000000001</v>
      </c>
      <c r="X7204">
        <v>0.97950599999999999</v>
      </c>
      <c r="Y7204">
        <v>-0.25893440000000001</v>
      </c>
      <c r="Z7204">
        <v>5.0555089999999997E-3</v>
      </c>
      <c r="AA7204">
        <v>0.96588169999999995</v>
      </c>
      <c r="AB7204">
        <v>29</v>
      </c>
      <c r="AC7204">
        <v>41.728299999999898</v>
      </c>
      <c r="AD7204">
        <v>-1.111431303522</v>
      </c>
      <c r="AE7204">
        <v>10.650259999999999</v>
      </c>
      <c r="AF7204">
        <v>-11.1847132359668</v>
      </c>
      <c r="AG7204">
        <v>-1.111431303522</v>
      </c>
      <c r="AH7204">
        <v>41.558550933915001</v>
      </c>
      <c r="AI7204">
        <v>91.479324713179494</v>
      </c>
      <c r="AJ7204">
        <v>105.063182268525</v>
      </c>
      <c r="AK7204">
        <v>43.051669484934799</v>
      </c>
      <c r="AL7204">
        <v>80.005886246443893</v>
      </c>
      <c r="AM7204">
        <v>95.957882094403104</v>
      </c>
      <c r="AN7204">
        <v>0.99999998193114403</v>
      </c>
    </row>
    <row r="7205" spans="1:40" x14ac:dyDescent="0.25">
      <c r="A7205" t="str">
        <f>"20190304154937746"</f>
        <v>20190304154937746</v>
      </c>
      <c r="B7205" t="str">
        <f>"1551685777744067"</f>
        <v>1551685777744067</v>
      </c>
      <c r="C7205" t="s">
        <v>40</v>
      </c>
      <c r="D7205">
        <v>4.2882490000000004</v>
      </c>
      <c r="E7205">
        <v>0.43785180000000001</v>
      </c>
      <c r="F7205" t="s">
        <v>104</v>
      </c>
      <c r="G7205">
        <v>-216.488</v>
      </c>
      <c r="H7205" s="1">
        <v>-3.255831E-6</v>
      </c>
      <c r="I7205">
        <v>-52.58446</v>
      </c>
      <c r="J7205">
        <v>-258.20429999999999</v>
      </c>
      <c r="K7205">
        <v>1.111391</v>
      </c>
      <c r="L7205">
        <v>-63.241639999999997</v>
      </c>
      <c r="M7205">
        <v>0.99985849999999998</v>
      </c>
      <c r="N7205">
        <v>-1.1220829999999999E-2</v>
      </c>
      <c r="O7205">
        <v>-1.2543179999999999E-2</v>
      </c>
      <c r="P7205">
        <v>0.98258509999999999</v>
      </c>
      <c r="Q7205">
        <v>0.16296169999999999</v>
      </c>
      <c r="R7205">
        <v>8.9277319999999993E-2</v>
      </c>
      <c r="S7205">
        <v>2.9970089999999998</v>
      </c>
      <c r="T7205">
        <v>-7.9550029999999994E-2</v>
      </c>
      <c r="U7205">
        <v>0.76266480000000003</v>
      </c>
      <c r="V7205">
        <v>-0.10191359999999999</v>
      </c>
      <c r="W7205">
        <v>0.17377709999999999</v>
      </c>
      <c r="X7205">
        <v>0.97949739999999996</v>
      </c>
      <c r="Y7205">
        <v>-0.25862740000000001</v>
      </c>
      <c r="Z7205">
        <v>5.0414530000000004E-3</v>
      </c>
      <c r="AA7205">
        <v>0.96596400000000004</v>
      </c>
      <c r="AB7205">
        <v>29</v>
      </c>
      <c r="AC7205">
        <v>41.716299999999897</v>
      </c>
      <c r="AD7205">
        <v>-1.1113942558309999</v>
      </c>
      <c r="AE7205">
        <v>10.65718</v>
      </c>
      <c r="AF7205">
        <v>-11.1721854555181</v>
      </c>
      <c r="AG7205">
        <v>-1.1113942558309999</v>
      </c>
      <c r="AH7205">
        <v>41.551648773990998</v>
      </c>
      <c r="AI7205">
        <v>91.479616304870703</v>
      </c>
      <c r="AJ7205">
        <v>105.049461926709</v>
      </c>
      <c r="AK7205">
        <v>43.041752297989603</v>
      </c>
      <c r="AL7205">
        <v>79.992499351825501</v>
      </c>
      <c r="AM7205">
        <v>95.940070568566</v>
      </c>
      <c r="AN7205">
        <v>1.0000000094780599</v>
      </c>
    </row>
    <row r="7206" spans="1:40" x14ac:dyDescent="0.25">
      <c r="A7206" t="str">
        <f>"20190304154937758"</f>
        <v>20190304154937758</v>
      </c>
      <c r="B7206" t="str">
        <f>"1551685777754803"</f>
        <v>1551685777754803</v>
      </c>
      <c r="C7206" t="s">
        <v>40</v>
      </c>
      <c r="D7206">
        <v>4.2013299999999996</v>
      </c>
      <c r="E7206">
        <v>0.43793280000000001</v>
      </c>
      <c r="F7206" t="s">
        <v>104</v>
      </c>
      <c r="G7206">
        <v>-215.82650000000001</v>
      </c>
      <c r="H7206" s="1">
        <v>-3.0576920000000002E-6</v>
      </c>
      <c r="I7206">
        <v>-52.483139999999999</v>
      </c>
      <c r="J7206">
        <v>-258.0598</v>
      </c>
      <c r="K7206">
        <v>1.1113550000000001</v>
      </c>
      <c r="L7206">
        <v>-63.243009999999998</v>
      </c>
      <c r="M7206">
        <v>0.99986350000000002</v>
      </c>
      <c r="N7206">
        <v>-1.121337E-2</v>
      </c>
      <c r="O7206">
        <v>-1.213142E-2</v>
      </c>
      <c r="P7206">
        <v>0.9825661</v>
      </c>
      <c r="Q7206">
        <v>0.1630064</v>
      </c>
      <c r="R7206">
        <v>8.9402850000000006E-2</v>
      </c>
      <c r="S7206">
        <v>2.9970699999999999</v>
      </c>
      <c r="T7206">
        <v>-7.8600649999999994E-2</v>
      </c>
      <c r="U7206">
        <v>0.76086430000000005</v>
      </c>
      <c r="V7206">
        <v>-0.1016218</v>
      </c>
      <c r="W7206">
        <v>0.17382359999999999</v>
      </c>
      <c r="X7206">
        <v>0.97951949999999999</v>
      </c>
      <c r="Y7206">
        <v>-0.25768269999999999</v>
      </c>
      <c r="Z7206">
        <v>4.9727560000000001E-3</v>
      </c>
      <c r="AA7206">
        <v>0.96621679999999999</v>
      </c>
      <c r="AB7206">
        <v>29</v>
      </c>
      <c r="AC7206">
        <v>42.2332999999999</v>
      </c>
      <c r="AD7206">
        <v>-1.1113580576919999</v>
      </c>
      <c r="AE7206">
        <v>10.759869999999999</v>
      </c>
      <c r="AF7206">
        <v>-11.264135640284</v>
      </c>
      <c r="AG7206">
        <v>-1.1113580576919999</v>
      </c>
      <c r="AH7206">
        <v>42.072293180485303</v>
      </c>
      <c r="AI7206">
        <v>91.461683948304795</v>
      </c>
      <c r="AJ7206">
        <v>104.988435073416</v>
      </c>
      <c r="AK7206">
        <v>43.568265078148599</v>
      </c>
      <c r="AL7206">
        <v>79.989794258075605</v>
      </c>
      <c r="AM7206">
        <v>95.923051301547204</v>
      </c>
      <c r="AN7206">
        <v>1.0000000425162201</v>
      </c>
    </row>
    <row r="7207" spans="1:40" x14ac:dyDescent="0.25">
      <c r="A7207" t="str">
        <f>"20190304154937769"</f>
        <v>20190304154937769</v>
      </c>
      <c r="B7207" t="str">
        <f>"1551685777764562"</f>
        <v>1551685777764562</v>
      </c>
      <c r="C7207" t="s">
        <v>40</v>
      </c>
      <c r="D7207">
        <v>4.3482379999999896</v>
      </c>
      <c r="E7207">
        <v>0.43821870000000002</v>
      </c>
      <c r="F7207" t="s">
        <v>104</v>
      </c>
      <c r="G7207">
        <v>-215.76179999999999</v>
      </c>
      <c r="H7207" s="1">
        <v>-3.028405E-6</v>
      </c>
      <c r="I7207">
        <v>-52.510469999999998</v>
      </c>
      <c r="J7207">
        <v>-257.90949999999998</v>
      </c>
      <c r="K7207">
        <v>1.1113219999999999</v>
      </c>
      <c r="L7207">
        <v>-63.24438</v>
      </c>
      <c r="M7207">
        <v>0.9998686</v>
      </c>
      <c r="N7207">
        <v>-1.1206000000000001E-2</v>
      </c>
      <c r="O7207">
        <v>-1.1716320000000001E-2</v>
      </c>
      <c r="P7207">
        <v>0.98251319999999998</v>
      </c>
      <c r="Q7207">
        <v>0.16322700000000001</v>
      </c>
      <c r="R7207">
        <v>8.9581069999999999E-2</v>
      </c>
      <c r="S7207">
        <v>2.9971009999999998</v>
      </c>
      <c r="T7207">
        <v>-7.8747150000000002E-2</v>
      </c>
      <c r="U7207">
        <v>0.76046749999999996</v>
      </c>
      <c r="V7207">
        <v>-0.1013786</v>
      </c>
      <c r="W7207">
        <v>0.1740448</v>
      </c>
      <c r="X7207">
        <v>0.97950539999999997</v>
      </c>
      <c r="Y7207">
        <v>-0.25715900000000003</v>
      </c>
      <c r="Z7207">
        <v>4.9627400000000002E-3</v>
      </c>
      <c r="AA7207">
        <v>0.96635629999999995</v>
      </c>
      <c r="AB7207">
        <v>29</v>
      </c>
      <c r="AC7207">
        <v>42.147699999999901</v>
      </c>
      <c r="AD7207">
        <v>-1.111325028405</v>
      </c>
      <c r="AE7207">
        <v>10.73391</v>
      </c>
      <c r="AF7207">
        <v>-11.2196948140598</v>
      </c>
      <c r="AG7207">
        <v>-1.111325028405</v>
      </c>
      <c r="AH7207">
        <v>41.991620804294698</v>
      </c>
      <c r="AI7207">
        <v>91.464646107656705</v>
      </c>
      <c r="AJ7207">
        <v>104.959348601952</v>
      </c>
      <c r="AK7207">
        <v>43.478877777733302</v>
      </c>
      <c r="AL7207">
        <v>79.976924038287194</v>
      </c>
      <c r="AM7207">
        <v>95.909061204008097</v>
      </c>
      <c r="AN7207">
        <v>1.0000000207870701</v>
      </c>
    </row>
    <row r="7208" spans="1:40" x14ac:dyDescent="0.25">
      <c r="A7208" t="str">
        <f>"20190304154937781"</f>
        <v>20190304154937781</v>
      </c>
      <c r="B7208" t="str">
        <f>"1551685777774322"</f>
        <v>1551685777774322</v>
      </c>
      <c r="C7208" t="s">
        <v>40</v>
      </c>
      <c r="D7208">
        <v>4.2442039999999999</v>
      </c>
      <c r="E7208">
        <v>0.43830789999999997</v>
      </c>
      <c r="F7208" t="s">
        <v>104</v>
      </c>
      <c r="G7208">
        <v>-215.2012</v>
      </c>
      <c r="H7208" s="1">
        <v>-2.8574529999999999E-6</v>
      </c>
      <c r="I7208">
        <v>-52.435929999999999</v>
      </c>
      <c r="J7208">
        <v>-257.76069999999999</v>
      </c>
      <c r="K7208">
        <v>1.111291</v>
      </c>
      <c r="L7208">
        <v>-63.245699999999999</v>
      </c>
      <c r="M7208">
        <v>0.99987300000000001</v>
      </c>
      <c r="N7208">
        <v>-1.119938E-2</v>
      </c>
      <c r="O7208">
        <v>-1.132933E-2</v>
      </c>
      <c r="P7208">
        <v>0.98254580000000002</v>
      </c>
      <c r="Q7208">
        <v>0.16297239999999999</v>
      </c>
      <c r="R7208">
        <v>8.968545E-2</v>
      </c>
      <c r="S7208">
        <v>2.9971920000000001</v>
      </c>
      <c r="T7208">
        <v>-7.7990770000000001E-2</v>
      </c>
      <c r="U7208">
        <v>0.75851440000000003</v>
      </c>
      <c r="V7208">
        <v>-0.10109029999999999</v>
      </c>
      <c r="W7208">
        <v>0.17379259999999999</v>
      </c>
      <c r="X7208">
        <v>0.97957989999999995</v>
      </c>
      <c r="Y7208">
        <v>-0.25618849999999999</v>
      </c>
      <c r="Z7208">
        <v>4.9035570000000002E-3</v>
      </c>
      <c r="AA7208">
        <v>0.96661439999999998</v>
      </c>
      <c r="AB7208">
        <v>29</v>
      </c>
      <c r="AC7208">
        <v>42.5594999999999</v>
      </c>
      <c r="AD7208">
        <v>-1.111293857453</v>
      </c>
      <c r="AE7208">
        <v>10.809769999999901</v>
      </c>
      <c r="AF7208">
        <v>-11.284049711154699</v>
      </c>
      <c r="AG7208">
        <v>-1.111293857453</v>
      </c>
      <c r="AH7208">
        <v>42.407131625411999</v>
      </c>
      <c r="AI7208">
        <v>91.450657965942</v>
      </c>
      <c r="AJ7208">
        <v>104.900485069936</v>
      </c>
      <c r="AK7208">
        <v>43.896805858928303</v>
      </c>
      <c r="AL7208">
        <v>79.991596928728995</v>
      </c>
      <c r="AM7208">
        <v>95.891930463252905</v>
      </c>
      <c r="AN7208">
        <v>0.99999994852642804</v>
      </c>
    </row>
    <row r="7209" spans="1:40" x14ac:dyDescent="0.25">
      <c r="A7209" t="str">
        <f>"20190304154937792"</f>
        <v>20190304154937792</v>
      </c>
      <c r="B7209" t="str">
        <f>"1551685777784082"</f>
        <v>1551685777784082</v>
      </c>
      <c r="C7209" t="s">
        <v>40</v>
      </c>
      <c r="D7209">
        <v>4.2139889999999998</v>
      </c>
      <c r="E7209">
        <v>0.43838260000000001</v>
      </c>
      <c r="F7209" t="s">
        <v>104</v>
      </c>
      <c r="G7209">
        <v>-215.69560000000001</v>
      </c>
      <c r="H7209" s="1">
        <v>-2.9801929999999999E-6</v>
      </c>
      <c r="I7209">
        <v>-52.607039999999998</v>
      </c>
      <c r="J7209">
        <v>-257.61070000000001</v>
      </c>
      <c r="K7209">
        <v>1.1112610000000001</v>
      </c>
      <c r="L7209">
        <v>-63.247010000000003</v>
      </c>
      <c r="M7209">
        <v>0.99987749999999997</v>
      </c>
      <c r="N7209">
        <v>-1.119292E-2</v>
      </c>
      <c r="O7209">
        <v>-1.094674E-2</v>
      </c>
      <c r="P7209">
        <v>0.9825178</v>
      </c>
      <c r="Q7209">
        <v>0.16309949999999901</v>
      </c>
      <c r="R7209">
        <v>8.9763770000000007E-2</v>
      </c>
      <c r="S7209">
        <v>2.9972379999999998</v>
      </c>
      <c r="T7209">
        <v>-7.9182390000000005E-2</v>
      </c>
      <c r="U7209">
        <v>0.75802609999999904</v>
      </c>
      <c r="V7209">
        <v>-0.1007806</v>
      </c>
      <c r="W7209">
        <v>0.17392079999999999</v>
      </c>
      <c r="X7209">
        <v>0.97958909999999999</v>
      </c>
      <c r="Y7209">
        <v>-0.25566430000000001</v>
      </c>
      <c r="Z7209">
        <v>4.9417910000000001E-3</v>
      </c>
      <c r="AA7209">
        <v>0.96675299999999997</v>
      </c>
      <c r="AB7209">
        <v>29</v>
      </c>
      <c r="AC7209">
        <v>41.915100000000002</v>
      </c>
      <c r="AD7209">
        <v>-1.111263980193</v>
      </c>
      <c r="AE7209">
        <v>10.6399699999999</v>
      </c>
      <c r="AF7209">
        <v>-11.090870977668301</v>
      </c>
      <c r="AG7209">
        <v>-1.111263980193</v>
      </c>
      <c r="AH7209">
        <v>41.7685261836764</v>
      </c>
      <c r="AI7209">
        <v>91.472991509765706</v>
      </c>
      <c r="AJ7209">
        <v>104.87069262387899</v>
      </c>
      <c r="AK7209">
        <v>43.230222139533502</v>
      </c>
      <c r="AL7209">
        <v>79.984138431203704</v>
      </c>
      <c r="AM7209">
        <v>95.873951584210999</v>
      </c>
      <c r="AN7209">
        <v>0.999999989423904</v>
      </c>
    </row>
    <row r="7210" spans="1:40" x14ac:dyDescent="0.25">
      <c r="A7210" t="str">
        <f>"20190304154937802"</f>
        <v>20190304154937802</v>
      </c>
      <c r="B7210" t="str">
        <f>"1551685777794818"</f>
        <v>1551685777794818</v>
      </c>
      <c r="C7210" t="s">
        <v>40</v>
      </c>
      <c r="D7210">
        <v>4.2539300000000004</v>
      </c>
      <c r="E7210">
        <v>0.43844300000000003</v>
      </c>
      <c r="F7210" t="s">
        <v>104</v>
      </c>
      <c r="G7210">
        <v>-215.18530000000001</v>
      </c>
      <c r="H7210" s="1">
        <v>-2.8290899999999999E-6</v>
      </c>
      <c r="I7210">
        <v>-52.52223</v>
      </c>
      <c r="J7210">
        <v>-257.46530000000001</v>
      </c>
      <c r="K7210">
        <v>1.1112340000000001</v>
      </c>
      <c r="L7210">
        <v>-63.248199999999997</v>
      </c>
      <c r="M7210">
        <v>0.99988129999999997</v>
      </c>
      <c r="N7210">
        <v>-1.1187320000000001E-2</v>
      </c>
      <c r="O7210">
        <v>-1.0600490000000001E-2</v>
      </c>
      <c r="P7210">
        <v>0.98250340000000003</v>
      </c>
      <c r="Q7210">
        <v>0.16324350000000001</v>
      </c>
      <c r="R7210">
        <v>8.9659039999999995E-2</v>
      </c>
      <c r="S7210">
        <v>2.9971920000000001</v>
      </c>
      <c r="T7210">
        <v>-7.8506469999999995E-2</v>
      </c>
      <c r="U7210">
        <v>0.75765990000000005</v>
      </c>
      <c r="V7210">
        <v>-0.1003254</v>
      </c>
      <c r="W7210">
        <v>0.17406640000000001</v>
      </c>
      <c r="X7210">
        <v>0.97960999999999998</v>
      </c>
      <c r="Y7210">
        <v>-0.25522399999999901</v>
      </c>
      <c r="Z7210">
        <v>4.897106E-3</v>
      </c>
      <c r="AA7210">
        <v>0.96686950000000005</v>
      </c>
      <c r="AB7210">
        <v>29</v>
      </c>
      <c r="AC7210">
        <v>42.28</v>
      </c>
      <c r="AD7210">
        <v>-1.1112368290899901</v>
      </c>
      <c r="AE7210">
        <v>10.725969999999901</v>
      </c>
      <c r="AF7210">
        <v>-11.166336868756201</v>
      </c>
      <c r="AG7210">
        <v>-1.1112368290899901</v>
      </c>
      <c r="AH7210">
        <v>42.136569165303897</v>
      </c>
      <c r="AI7210">
        <v>91.460286662099904</v>
      </c>
      <c r="AJ7210">
        <v>104.84241260736199</v>
      </c>
      <c r="AK7210">
        <v>43.605187620044802</v>
      </c>
      <c r="AL7210">
        <v>79.975667306496803</v>
      </c>
      <c r="AM7210">
        <v>95.847480829621603</v>
      </c>
      <c r="AN7210">
        <v>1.00000002479705</v>
      </c>
    </row>
    <row r="7211" spans="1:40" x14ac:dyDescent="0.25">
      <c r="A7211" t="str">
        <f>"20190304154937815"</f>
        <v>20190304154937815</v>
      </c>
      <c r="B7211" t="str">
        <f>"1551685777804578"</f>
        <v>1551685777804578</v>
      </c>
      <c r="C7211" t="s">
        <v>40</v>
      </c>
      <c r="D7211">
        <v>4.2208860000000001</v>
      </c>
      <c r="E7211">
        <v>0.43848340000000002</v>
      </c>
      <c r="F7211" t="s">
        <v>104</v>
      </c>
      <c r="G7211">
        <v>-214.60679999999999</v>
      </c>
      <c r="H7211" s="1">
        <v>-2.6580249999999998E-6</v>
      </c>
      <c r="I7211">
        <v>-52.425220000000003</v>
      </c>
      <c r="J7211">
        <v>-257.31659999999999</v>
      </c>
      <c r="K7211">
        <v>1.1112089999999999</v>
      </c>
      <c r="L7211">
        <v>-63.249419999999901</v>
      </c>
      <c r="M7211">
        <v>0.99988500000000002</v>
      </c>
      <c r="N7211">
        <v>-1.118179E-2</v>
      </c>
      <c r="O7211">
        <v>-1.0252799999999999E-2</v>
      </c>
      <c r="P7211">
        <v>0.98247949999999995</v>
      </c>
      <c r="Q7211">
        <v>0.163328</v>
      </c>
      <c r="R7211">
        <v>8.9766960000000007E-2</v>
      </c>
      <c r="S7211">
        <v>2.9972989999999999</v>
      </c>
      <c r="T7211">
        <v>-7.7713969999999993E-2</v>
      </c>
      <c r="U7211">
        <v>0.75689700000000004</v>
      </c>
      <c r="V7211">
        <v>-0.1000809</v>
      </c>
      <c r="W7211">
        <v>0.17415229999999901</v>
      </c>
      <c r="X7211">
        <v>0.97961969999999998</v>
      </c>
      <c r="Y7211">
        <v>-0.25465070000000001</v>
      </c>
      <c r="Z7211">
        <v>4.8447869999999997E-3</v>
      </c>
      <c r="AA7211">
        <v>0.96702100000000002</v>
      </c>
      <c r="AB7211">
        <v>29</v>
      </c>
      <c r="AC7211">
        <v>42.709800000000001</v>
      </c>
      <c r="AD7211">
        <v>-1.111211658025</v>
      </c>
      <c r="AE7211">
        <v>10.8241999999999</v>
      </c>
      <c r="AF7211">
        <v>-11.254394820985601</v>
      </c>
      <c r="AG7211">
        <v>-1.111211658025</v>
      </c>
      <c r="AH7211">
        <v>42.569492484995699</v>
      </c>
      <c r="AI7211">
        <v>91.445633346549897</v>
      </c>
      <c r="AJ7211">
        <v>104.808868996957</v>
      </c>
      <c r="AK7211">
        <v>44.046088186871501</v>
      </c>
      <c r="AL7211">
        <v>79.970668840991195</v>
      </c>
      <c r="AM7211">
        <v>95.833271140061598</v>
      </c>
      <c r="AN7211">
        <v>0.99999998338409402</v>
      </c>
    </row>
    <row r="7212" spans="1:40" x14ac:dyDescent="0.25">
      <c r="A7212" t="str">
        <f>"20190304154937825"</f>
        <v>20190304154937825</v>
      </c>
      <c r="B7212" t="str">
        <f>"1551685777814338"</f>
        <v>1551685777814338</v>
      </c>
      <c r="C7212" t="s">
        <v>40</v>
      </c>
      <c r="D7212">
        <v>4.2079259999999996</v>
      </c>
      <c r="E7212">
        <v>0.4385502</v>
      </c>
      <c r="F7212" t="s">
        <v>104</v>
      </c>
      <c r="G7212">
        <v>-214.024</v>
      </c>
      <c r="H7212" s="1">
        <v>-2.489438E-6</v>
      </c>
      <c r="I7212">
        <v>-52.313519999999997</v>
      </c>
      <c r="J7212">
        <v>-257.17430000000002</v>
      </c>
      <c r="K7212">
        <v>1.1111869999999999</v>
      </c>
      <c r="L7212">
        <v>-63.250520000000002</v>
      </c>
      <c r="M7212">
        <v>0.9998882</v>
      </c>
      <c r="N7212">
        <v>-1.117697E-2</v>
      </c>
      <c r="O7212">
        <v>-9.9360779999999992E-3</v>
      </c>
      <c r="P7212">
        <v>0.98243400000000003</v>
      </c>
      <c r="Q7212">
        <v>0.1636727</v>
      </c>
      <c r="R7212">
        <v>8.9636919999999995E-2</v>
      </c>
      <c r="S7212">
        <v>2.9971160000000001</v>
      </c>
      <c r="T7212">
        <v>-7.6928380000000005E-2</v>
      </c>
      <c r="U7212">
        <v>0.75708009999999903</v>
      </c>
      <c r="V7212">
        <v>-9.9630969999999999E-2</v>
      </c>
      <c r="W7212">
        <v>0.17449790000000001</v>
      </c>
      <c r="X7212">
        <v>0.97960409999999998</v>
      </c>
      <c r="Y7212">
        <v>-0.25441609999999998</v>
      </c>
      <c r="Z7212">
        <v>4.8000959999999898E-3</v>
      </c>
      <c r="AA7212">
        <v>0.96708289999999997</v>
      </c>
      <c r="AB7212">
        <v>29</v>
      </c>
      <c r="AC7212">
        <v>43.150300000000001</v>
      </c>
      <c r="AD7212">
        <v>-1.1111894894380001</v>
      </c>
      <c r="AE7212">
        <v>10.9369999999999</v>
      </c>
      <c r="AF7212">
        <v>-11.358154127212799</v>
      </c>
      <c r="AG7212">
        <v>-1.1111894894380001</v>
      </c>
      <c r="AH7212">
        <v>43.012690173823202</v>
      </c>
      <c r="AI7212">
        <v>91.430825543261193</v>
      </c>
      <c r="AJ7212">
        <v>104.792169214211</v>
      </c>
      <c r="AK7212">
        <v>44.500942947855201</v>
      </c>
      <c r="AL7212">
        <v>79.950559880034902</v>
      </c>
      <c r="AM7212">
        <v>95.807318197491298</v>
      </c>
      <c r="AN7212">
        <v>1.0000000200121799</v>
      </c>
    </row>
    <row r="7213" spans="1:40" x14ac:dyDescent="0.25">
      <c r="A7213" t="str">
        <f>"20190304154937837"</f>
        <v>20190304154937837</v>
      </c>
      <c r="B7213" t="str">
        <f>"1551685777834834"</f>
        <v>1551685777834834</v>
      </c>
      <c r="C7213" t="s">
        <v>40</v>
      </c>
      <c r="D7213">
        <v>4.1755879999999896</v>
      </c>
      <c r="E7213">
        <v>0.43858619999999998</v>
      </c>
      <c r="F7213" t="s">
        <v>104</v>
      </c>
      <c r="G7213">
        <v>-213.44649999999999</v>
      </c>
      <c r="H7213" s="1">
        <v>-2.317729E-6</v>
      </c>
      <c r="I7213">
        <v>-52.220239999999997</v>
      </c>
      <c r="J7213">
        <v>-257.02600000000001</v>
      </c>
      <c r="K7213">
        <v>1.111164</v>
      </c>
      <c r="L7213">
        <v>-63.25168</v>
      </c>
      <c r="M7213">
        <v>0.99989150000000004</v>
      </c>
      <c r="N7213">
        <v>-1.117225E-2</v>
      </c>
      <c r="O7213">
        <v>-9.6162569999999996E-3</v>
      </c>
      <c r="P7213">
        <v>0.98235850000000002</v>
      </c>
      <c r="Q7213">
        <v>0.16409079999999901</v>
      </c>
      <c r="R7213">
        <v>8.9700360000000007E-2</v>
      </c>
      <c r="S7213">
        <v>2.9973450000000001</v>
      </c>
      <c r="T7213">
        <v>-7.6167109999999996E-2</v>
      </c>
      <c r="U7213">
        <v>0.756073</v>
      </c>
      <c r="V7213">
        <v>-9.9370739999999999E-2</v>
      </c>
      <c r="W7213">
        <v>0.17491719999999999</v>
      </c>
      <c r="X7213">
        <v>0.97955570000000003</v>
      </c>
      <c r="Y7213">
        <v>-0.25378600000000001</v>
      </c>
      <c r="Z7213">
        <v>4.7491199999999999E-3</v>
      </c>
      <c r="AA7213">
        <v>0.96724869999999996</v>
      </c>
      <c r="AB7213">
        <v>29</v>
      </c>
      <c r="AC7213">
        <v>43.579500000000003</v>
      </c>
      <c r="AD7213">
        <v>-1.1111663177290001</v>
      </c>
      <c r="AE7213">
        <v>11.03144</v>
      </c>
      <c r="AF7213">
        <v>-11.4430362722754</v>
      </c>
      <c r="AG7213">
        <v>-1.1111663177290001</v>
      </c>
      <c r="AH7213">
        <v>43.444853431248099</v>
      </c>
      <c r="AI7213">
        <v>91.416803841503295</v>
      </c>
      <c r="AJ7213">
        <v>104.756118262336</v>
      </c>
      <c r="AK7213">
        <v>44.940327762232599</v>
      </c>
      <c r="AL7213">
        <v>79.926159998715605</v>
      </c>
      <c r="AM7213">
        <v>95.792537356942006</v>
      </c>
      <c r="AN7213">
        <v>0.99999997011323805</v>
      </c>
    </row>
    <row r="7214" spans="1:40" x14ac:dyDescent="0.25">
      <c r="A7214" t="str">
        <f>"20190304154937847"</f>
        <v>20190304154937847</v>
      </c>
      <c r="B7214" t="str">
        <f>"1551685777844595"</f>
        <v>1551685777844595</v>
      </c>
      <c r="C7214" t="s">
        <v>40</v>
      </c>
      <c r="D7214">
        <v>4.1723720000000002</v>
      </c>
      <c r="E7214">
        <v>0.43857170000000001</v>
      </c>
      <c r="F7214" t="s">
        <v>104</v>
      </c>
      <c r="G7214">
        <v>-212.7518</v>
      </c>
      <c r="H7214" s="1">
        <v>-2.1174109999999999E-6</v>
      </c>
      <c r="I7214">
        <v>-52.084569999999999</v>
      </c>
      <c r="J7214">
        <v>-256.88260000000002</v>
      </c>
      <c r="K7214">
        <v>1.111145</v>
      </c>
      <c r="L7214">
        <v>-63.252719999999997</v>
      </c>
      <c r="M7214">
        <v>0.99989419999999996</v>
      </c>
      <c r="N7214">
        <v>-1.1168020000000001E-2</v>
      </c>
      <c r="O7214">
        <v>-9.3178740000000003E-3</v>
      </c>
      <c r="P7214">
        <v>0.98227560000000003</v>
      </c>
      <c r="Q7214">
        <v>0.164537299999999</v>
      </c>
      <c r="R7214">
        <v>8.9790930000000005E-2</v>
      </c>
      <c r="S7214">
        <v>2.9973749999999999</v>
      </c>
      <c r="T7214">
        <v>-7.5226189999999998E-2</v>
      </c>
      <c r="U7214">
        <v>0.75601200000000002</v>
      </c>
      <c r="V7214">
        <v>-9.9159549999999999E-2</v>
      </c>
      <c r="W7214">
        <v>0.17536360000000001</v>
      </c>
      <c r="X7214">
        <v>0.97949730000000002</v>
      </c>
      <c r="Y7214">
        <v>-0.25347900000000001</v>
      </c>
      <c r="Z7214">
        <v>4.6967750000000003E-3</v>
      </c>
      <c r="AA7214">
        <v>0.96732949999999995</v>
      </c>
      <c r="AB7214">
        <v>29</v>
      </c>
      <c r="AC7214">
        <v>44.130800000000001</v>
      </c>
      <c r="AD7214">
        <v>-1.1111471174109999</v>
      </c>
      <c r="AE7214">
        <v>11.168149999999899</v>
      </c>
      <c r="AF7214">
        <v>-11.5720014034708</v>
      </c>
      <c r="AG7214">
        <v>-1.1111471174109999</v>
      </c>
      <c r="AH7214">
        <v>43.998599702745601</v>
      </c>
      <c r="AI7214">
        <v>91.399087683911304</v>
      </c>
      <c r="AJ7214">
        <v>104.735551993087</v>
      </c>
      <c r="AK7214">
        <v>45.5084897596141</v>
      </c>
      <c r="AL7214">
        <v>79.900181774362096</v>
      </c>
      <c r="AM7214">
        <v>95.780652382282696</v>
      </c>
      <c r="AN7214">
        <v>0.99999998463422601</v>
      </c>
    </row>
    <row r="7215" spans="1:40" x14ac:dyDescent="0.25">
      <c r="A7215" t="str">
        <f>"20190304154937860"</f>
        <v>20190304154937860</v>
      </c>
      <c r="B7215" t="str">
        <f>"1551685777854354"</f>
        <v>1551685777854354</v>
      </c>
      <c r="C7215" t="s">
        <v>40</v>
      </c>
      <c r="D7215">
        <v>4.1941940000000004</v>
      </c>
      <c r="E7215">
        <v>0.43854110000000002</v>
      </c>
      <c r="F7215" t="s">
        <v>104</v>
      </c>
      <c r="G7215">
        <v>-211.57689999999999</v>
      </c>
      <c r="H7215" s="1">
        <v>-1.7882099999999999E-6</v>
      </c>
      <c r="I7215">
        <v>-51.81915</v>
      </c>
      <c r="J7215">
        <v>-256.72899999999998</v>
      </c>
      <c r="K7215">
        <v>1.11113</v>
      </c>
      <c r="L7215">
        <v>-63.253810000000001</v>
      </c>
      <c r="M7215">
        <v>0.99989709999999998</v>
      </c>
      <c r="N7215">
        <v>-1.1163879999999999E-2</v>
      </c>
      <c r="O7215">
        <v>-9.0131800000000008E-3</v>
      </c>
      <c r="P7215">
        <v>0.98213879999999998</v>
      </c>
      <c r="Q7215">
        <v>0.16524150000000001</v>
      </c>
      <c r="R7215">
        <v>8.9992520000000006E-2</v>
      </c>
      <c r="S7215">
        <v>2.9972989999999999</v>
      </c>
      <c r="T7215">
        <v>-7.3510290000000006E-2</v>
      </c>
      <c r="U7215">
        <v>0.75640869999999905</v>
      </c>
      <c r="V7215">
        <v>-9.9052089999999995E-2</v>
      </c>
      <c r="W7215">
        <v>0.17606769999999999</v>
      </c>
      <c r="X7215">
        <v>0.97938190000000003</v>
      </c>
      <c r="Y7215">
        <v>-0.25331479999999901</v>
      </c>
      <c r="Z7215">
        <v>4.6127399999999997E-3</v>
      </c>
      <c r="AA7215">
        <v>0.96737289999999998</v>
      </c>
      <c r="AB7215">
        <v>29</v>
      </c>
      <c r="AC7215">
        <v>45.152099999999997</v>
      </c>
      <c r="AD7215">
        <v>-1.11113178821</v>
      </c>
      <c r="AE7215">
        <v>11.4346599999999</v>
      </c>
      <c r="AF7215">
        <v>-11.8344499893087</v>
      </c>
      <c r="AG7215">
        <v>-1.11113178821</v>
      </c>
      <c r="AH7215">
        <v>45.021575446501402</v>
      </c>
      <c r="AI7215">
        <v>91.367340401960902</v>
      </c>
      <c r="AJ7215">
        <v>104.72769264701201</v>
      </c>
      <c r="AK7215">
        <v>46.564268233112401</v>
      </c>
      <c r="AL7215">
        <v>79.859202664340799</v>
      </c>
      <c r="AM7215">
        <v>95.775105998577203</v>
      </c>
      <c r="AN7215">
        <v>1.00000002878213</v>
      </c>
    </row>
    <row r="7216" spans="1:40" x14ac:dyDescent="0.25">
      <c r="A7216" t="str">
        <f>"20190304154937870"</f>
        <v>20190304154937870</v>
      </c>
      <c r="B7216" t="str">
        <f>"1551685777864114"</f>
        <v>1551685777864114</v>
      </c>
      <c r="C7216" t="s">
        <v>40</v>
      </c>
      <c r="D7216">
        <v>4.2247149999999998</v>
      </c>
      <c r="E7216">
        <v>0.43854589999999999</v>
      </c>
      <c r="F7216" t="s">
        <v>68</v>
      </c>
      <c r="G7216">
        <v>-209.56229999999999</v>
      </c>
      <c r="H7216" s="1">
        <v>-2.657111E-6</v>
      </c>
      <c r="I7216">
        <v>-51.33625</v>
      </c>
      <c r="J7216">
        <v>-256.57299999999998</v>
      </c>
      <c r="K7216">
        <v>1.11111</v>
      </c>
      <c r="L7216">
        <v>-63.25488</v>
      </c>
      <c r="M7216">
        <v>0.99989980000000001</v>
      </c>
      <c r="N7216">
        <v>-1.115988E-2</v>
      </c>
      <c r="O7216">
        <v>-8.7102729999999993E-3</v>
      </c>
      <c r="P7216">
        <v>0.98201229999999995</v>
      </c>
      <c r="Q7216">
        <v>0.16584450000000001</v>
      </c>
      <c r="R7216">
        <v>9.0262289999999995E-2</v>
      </c>
      <c r="S7216">
        <v>2.997055</v>
      </c>
      <c r="T7216">
        <v>-7.0603250000000006E-2</v>
      </c>
      <c r="U7216">
        <v>0.75726319999999903</v>
      </c>
      <c r="V7216">
        <v>-9.9015530000000004E-2</v>
      </c>
      <c r="W7216">
        <v>0.17667079999999999</v>
      </c>
      <c r="X7216">
        <v>0.97927699999999995</v>
      </c>
      <c r="Y7216">
        <v>-0.2533067</v>
      </c>
      <c r="Z7216">
        <v>4.479093E-3</v>
      </c>
      <c r="AA7216">
        <v>0.9673756</v>
      </c>
      <c r="AB7216">
        <v>29</v>
      </c>
      <c r="AC7216">
        <v>47.0106999999999</v>
      </c>
      <c r="AD7216">
        <v>-1.1111126571109999</v>
      </c>
      <c r="AE7216">
        <v>11.91863</v>
      </c>
      <c r="AF7216">
        <v>-12.321212061791099</v>
      </c>
      <c r="AG7216">
        <v>-1.1111126571109999</v>
      </c>
      <c r="AH7216">
        <v>46.8804883603243</v>
      </c>
      <c r="AI7216">
        <v>91.313132075138398</v>
      </c>
      <c r="AJ7216">
        <v>104.725549140429</v>
      </c>
      <c r="AK7216">
        <v>48.4853279550724</v>
      </c>
      <c r="AL7216">
        <v>79.824097434815798</v>
      </c>
      <c r="AM7216">
        <v>95.773603038504902</v>
      </c>
      <c r="AN7216">
        <v>1.0000000447413999</v>
      </c>
    </row>
    <row r="7217" spans="1:40" x14ac:dyDescent="0.25">
      <c r="A7217" t="str">
        <f>"20190304154937881"</f>
        <v>20190304154937881</v>
      </c>
      <c r="B7217" t="str">
        <f>"1551685777874850"</f>
        <v>1551685777874850</v>
      </c>
      <c r="C7217" t="s">
        <v>40</v>
      </c>
      <c r="D7217">
        <v>4.2269990000000002</v>
      </c>
      <c r="E7217">
        <v>0.43860260000000001</v>
      </c>
      <c r="F7217" t="s">
        <v>68</v>
      </c>
      <c r="G7217">
        <v>-207.83009999999999</v>
      </c>
      <c r="H7217" s="1">
        <v>-3.703586E-6</v>
      </c>
      <c r="I7217">
        <v>-50.921729999999997</v>
      </c>
      <c r="J7217">
        <v>-256.43599999999998</v>
      </c>
      <c r="K7217">
        <v>1.111094</v>
      </c>
      <c r="L7217">
        <v>-63.255800000000001</v>
      </c>
      <c r="M7217">
        <v>0.99990210000000002</v>
      </c>
      <c r="N7217">
        <v>-1.115682E-2</v>
      </c>
      <c r="O7217">
        <v>-8.4630019999999903E-3</v>
      </c>
      <c r="P7217">
        <v>0.98194970000000004</v>
      </c>
      <c r="Q7217">
        <v>0.1661897</v>
      </c>
      <c r="R7217">
        <v>9.0311069999999993E-2</v>
      </c>
      <c r="S7217">
        <v>2.996826</v>
      </c>
      <c r="T7217">
        <v>-6.8313840000000001E-2</v>
      </c>
      <c r="U7217">
        <v>0.75827029999999995</v>
      </c>
      <c r="V7217">
        <v>-9.8814109999999997E-2</v>
      </c>
      <c r="W7217">
        <v>0.1770168</v>
      </c>
      <c r="X7217">
        <v>0.97923479999999996</v>
      </c>
      <c r="Y7217">
        <v>-0.25339600000000001</v>
      </c>
      <c r="Z7217">
        <v>4.3757800000000001E-3</v>
      </c>
      <c r="AA7217">
        <v>0.96735269999999995</v>
      </c>
      <c r="AB7217">
        <v>29</v>
      </c>
      <c r="AC7217">
        <v>48.605899999999899</v>
      </c>
      <c r="AD7217">
        <v>-1.1110977035859999</v>
      </c>
      <c r="AE7217">
        <v>12.334070000000001</v>
      </c>
      <c r="AF7217">
        <v>-12.738751699194699</v>
      </c>
      <c r="AG7217">
        <v>-1.1110977035859999</v>
      </c>
      <c r="AH7217">
        <v>48.4759707850694</v>
      </c>
      <c r="AI7217">
        <v>91.269921972471195</v>
      </c>
      <c r="AJ7217">
        <v>104.72357252422999</v>
      </c>
      <c r="AK7217">
        <v>50.134120881048197</v>
      </c>
      <c r="AL7217">
        <v>79.803955020658904</v>
      </c>
      <c r="AM7217">
        <v>95.762183967524606</v>
      </c>
      <c r="AN7217">
        <v>0.99999998467418505</v>
      </c>
    </row>
    <row r="7218" spans="1:40" x14ac:dyDescent="0.25">
      <c r="A7218" t="str">
        <f>"20190304154937893"</f>
        <v>20190304154937893</v>
      </c>
      <c r="B7218" t="str">
        <f>"1551685777884610"</f>
        <v>1551685777884610</v>
      </c>
      <c r="C7218" t="s">
        <v>40</v>
      </c>
      <c r="D7218">
        <v>4.173781</v>
      </c>
      <c r="E7218">
        <v>0.43859090000000001</v>
      </c>
      <c r="F7218" t="s">
        <v>68</v>
      </c>
      <c r="G7218">
        <v>-206.80779999999999</v>
      </c>
      <c r="H7218" s="1">
        <v>-4.3119180000000002E-6</v>
      </c>
      <c r="I7218">
        <v>-50.699959999999997</v>
      </c>
      <c r="J7218">
        <v>-256.28199999999998</v>
      </c>
      <c r="K7218">
        <v>1.111078</v>
      </c>
      <c r="L7218">
        <v>-63.256810000000002</v>
      </c>
      <c r="M7218">
        <v>0.99990440000000003</v>
      </c>
      <c r="N7218">
        <v>-1.115348E-2</v>
      </c>
      <c r="O7218">
        <v>-8.1891729999999992E-3</v>
      </c>
      <c r="P7218">
        <v>0.98189539999999997</v>
      </c>
      <c r="Q7218">
        <v>0.1663599</v>
      </c>
      <c r="R7218">
        <v>9.0587109999999998E-2</v>
      </c>
      <c r="S7218">
        <v>2.9967800000000002</v>
      </c>
      <c r="T7218">
        <v>-6.7093249999999993E-2</v>
      </c>
      <c r="U7218">
        <v>0.75817869999999998</v>
      </c>
      <c r="V7218">
        <v>-9.8812419999999998E-2</v>
      </c>
      <c r="W7218">
        <v>0.17718800000000001</v>
      </c>
      <c r="X7218">
        <v>0.97920399999999996</v>
      </c>
      <c r="Y7218">
        <v>-0.2531098</v>
      </c>
      <c r="Z7218">
        <v>4.3134339999999997E-3</v>
      </c>
      <c r="AA7218">
        <v>0.96742799999999995</v>
      </c>
      <c r="AB7218">
        <v>29</v>
      </c>
      <c r="AC7218">
        <v>49.474200000000003</v>
      </c>
      <c r="AD7218">
        <v>-1.111082311918</v>
      </c>
      <c r="AE7218">
        <v>12.556849999999899</v>
      </c>
      <c r="AF7218">
        <v>-12.9554681297166</v>
      </c>
      <c r="AG7218">
        <v>-1.111082311918</v>
      </c>
      <c r="AH7218">
        <v>49.346322446794701</v>
      </c>
      <c r="AI7218">
        <v>91.247587950277307</v>
      </c>
      <c r="AJ7218">
        <v>104.710539900688</v>
      </c>
      <c r="AK7218">
        <v>51.030757366386297</v>
      </c>
      <c r="AL7218">
        <v>79.793988363124399</v>
      </c>
      <c r="AM7218">
        <v>95.762266102795607</v>
      </c>
      <c r="AN7218">
        <v>0.99999997765312698</v>
      </c>
    </row>
    <row r="7219" spans="1:40" x14ac:dyDescent="0.25">
      <c r="A7219" t="str">
        <f>"20190304154937903"</f>
        <v>20190304154937903</v>
      </c>
      <c r="B7219" t="str">
        <f>"1551685777894370"</f>
        <v>1551685777894370</v>
      </c>
      <c r="C7219" t="s">
        <v>40</v>
      </c>
      <c r="D7219">
        <v>4.1646619999999999</v>
      </c>
      <c r="E7219">
        <v>0.43858180000000002</v>
      </c>
      <c r="F7219" t="s">
        <v>68</v>
      </c>
      <c r="G7219">
        <v>-206.44640000000001</v>
      </c>
      <c r="H7219" s="1">
        <v>-4.52413E-6</v>
      </c>
      <c r="I7219">
        <v>-50.634120000000003</v>
      </c>
      <c r="J7219">
        <v>-256.1454</v>
      </c>
      <c r="K7219">
        <v>1.111062</v>
      </c>
      <c r="L7219">
        <v>-63.257689999999997</v>
      </c>
      <c r="M7219">
        <v>0.99990630000000003</v>
      </c>
      <c r="N7219">
        <v>-1.115085E-2</v>
      </c>
      <c r="O7219">
        <v>-7.9624080000000007E-3</v>
      </c>
      <c r="P7219">
        <v>0.98184700000000003</v>
      </c>
      <c r="Q7219">
        <v>0.16663410000000001</v>
      </c>
      <c r="R7219">
        <v>9.06082E-2</v>
      </c>
      <c r="S7219">
        <v>2.996613</v>
      </c>
      <c r="T7219">
        <v>-6.6809419999999994E-2</v>
      </c>
      <c r="U7219">
        <v>0.75900269999999903</v>
      </c>
      <c r="V7219">
        <v>-9.8603380000000004E-2</v>
      </c>
      <c r="W7219">
        <v>0.17746400000000001</v>
      </c>
      <c r="X7219">
        <v>0.97917509999999996</v>
      </c>
      <c r="Y7219">
        <v>-0.25315379999999998</v>
      </c>
      <c r="Z7219">
        <v>4.2989120000000002E-3</v>
      </c>
      <c r="AA7219">
        <v>0.96741650000000001</v>
      </c>
      <c r="AB7219">
        <v>29</v>
      </c>
      <c r="AC7219">
        <v>49.698999999999899</v>
      </c>
      <c r="AD7219">
        <v>-1.11106652413</v>
      </c>
      <c r="AE7219">
        <v>12.6235699999999</v>
      </c>
      <c r="AF7219">
        <v>-13.0128085573569</v>
      </c>
      <c r="AG7219">
        <v>-1.11106652413</v>
      </c>
      <c r="AH7219">
        <v>49.573629421312802</v>
      </c>
      <c r="AI7219">
        <v>91.241865989630199</v>
      </c>
      <c r="AJ7219">
        <v>104.708012859699</v>
      </c>
      <c r="AK7219">
        <v>51.265118641949002</v>
      </c>
      <c r="AL7219">
        <v>79.777920178245594</v>
      </c>
      <c r="AM7219">
        <v>95.750326243600099</v>
      </c>
      <c r="AN7219">
        <v>0.99999998715171701</v>
      </c>
    </row>
    <row r="7220" spans="1:40" x14ac:dyDescent="0.25">
      <c r="A7220" t="str">
        <f>"20190304154937914"</f>
        <v>20190304154937914</v>
      </c>
      <c r="B7220" t="str">
        <f>"1551685777904132"</f>
        <v>1551685777904132</v>
      </c>
      <c r="C7220" t="s">
        <v>40</v>
      </c>
      <c r="D7220">
        <v>4.1669619999999998</v>
      </c>
      <c r="E7220">
        <v>0.43855850000000002</v>
      </c>
      <c r="F7220" t="s">
        <v>68</v>
      </c>
      <c r="G7220">
        <v>-205.94880000000001</v>
      </c>
      <c r="H7220" s="1">
        <v>-4.8161060000000001E-6</v>
      </c>
      <c r="I7220">
        <v>-50.544899999999998</v>
      </c>
      <c r="J7220">
        <v>-255.9992</v>
      </c>
      <c r="K7220">
        <v>1.1110420000000001</v>
      </c>
      <c r="L7220">
        <v>-63.258609999999997</v>
      </c>
      <c r="M7220">
        <v>0.99990809999999997</v>
      </c>
      <c r="N7220">
        <v>-1.1148180000000001E-2</v>
      </c>
      <c r="O7220">
        <v>-7.7251630000000002E-3</v>
      </c>
      <c r="P7220">
        <v>0.98174799999999995</v>
      </c>
      <c r="Q7220">
        <v>0.16713499999999901</v>
      </c>
      <c r="R7220">
        <v>9.0758610000000003E-2</v>
      </c>
      <c r="S7220">
        <v>2.9966889999999999</v>
      </c>
      <c r="T7220">
        <v>-6.6329600000000002E-2</v>
      </c>
      <c r="U7220">
        <v>0.75894169999999905</v>
      </c>
      <c r="V7220">
        <v>-9.851261E-2</v>
      </c>
      <c r="W7220">
        <v>0.17796609999999999</v>
      </c>
      <c r="X7220">
        <v>0.97909310000000005</v>
      </c>
      <c r="Y7220">
        <v>-0.25290109999999999</v>
      </c>
      <c r="Z7220">
        <v>4.2705640000000001E-3</v>
      </c>
      <c r="AA7220">
        <v>0.96748270000000003</v>
      </c>
      <c r="AB7220">
        <v>29</v>
      </c>
      <c r="AC7220">
        <v>50.050400000000003</v>
      </c>
      <c r="AD7220">
        <v>-1.1110468161059901</v>
      </c>
      <c r="AE7220">
        <v>12.713710000000001</v>
      </c>
      <c r="AF7220">
        <v>-13.093940800868401</v>
      </c>
      <c r="AG7220">
        <v>-1.1110468161059901</v>
      </c>
      <c r="AH7220">
        <v>49.927572939072803</v>
      </c>
      <c r="AI7220">
        <v>91.233114462922103</v>
      </c>
      <c r="AJ7220">
        <v>104.69536936983999</v>
      </c>
      <c r="AK7220">
        <v>51.627979335924699</v>
      </c>
      <c r="AL7220">
        <v>79.748686581256905</v>
      </c>
      <c r="AM7220">
        <v>95.745546104375606</v>
      </c>
      <c r="AN7220">
        <v>0.99999998277291502</v>
      </c>
    </row>
    <row r="7221" spans="1:40" x14ac:dyDescent="0.25">
      <c r="A7221" t="str">
        <f>"20190304154937925"</f>
        <v>20190304154937925</v>
      </c>
      <c r="B7221" t="str">
        <f>"1551685777914866"</f>
        <v>1551685777914866</v>
      </c>
      <c r="C7221" t="s">
        <v>40</v>
      </c>
      <c r="D7221">
        <v>4.415584</v>
      </c>
      <c r="E7221">
        <v>0.43855850000000002</v>
      </c>
      <c r="F7221" t="s">
        <v>68</v>
      </c>
      <c r="G7221">
        <v>-205.19589999999999</v>
      </c>
      <c r="H7221">
        <v>6.9640319999999898E-3</v>
      </c>
      <c r="I7221">
        <v>-50.383670000000002</v>
      </c>
      <c r="J7221">
        <v>-255.85220000000001</v>
      </c>
      <c r="K7221">
        <v>1.111022</v>
      </c>
      <c r="L7221">
        <v>-63.25949</v>
      </c>
      <c r="M7221">
        <v>0.99990990000000002</v>
      </c>
      <c r="N7221">
        <v>-1.1145810000000001E-2</v>
      </c>
      <c r="O7221">
        <v>-7.4992380000000001E-3</v>
      </c>
      <c r="P7221">
        <v>0.98174550000000005</v>
      </c>
      <c r="Q7221">
        <v>0.16708239999999999</v>
      </c>
      <c r="R7221">
        <v>9.0882500000000005E-2</v>
      </c>
      <c r="S7221">
        <v>2.9966430000000002</v>
      </c>
      <c r="T7221">
        <v>-6.5124150000000006E-2</v>
      </c>
      <c r="U7221">
        <v>0.75942989999999999</v>
      </c>
      <c r="V7221">
        <v>-9.8407540000000002E-2</v>
      </c>
      <c r="W7221">
        <v>0.17791589999999999</v>
      </c>
      <c r="X7221">
        <v>0.97911280000000001</v>
      </c>
      <c r="Y7221">
        <v>-0.25283689999999998</v>
      </c>
      <c r="Z7221">
        <v>4.2137609999999999E-3</v>
      </c>
      <c r="AA7221">
        <v>0.96749969999999996</v>
      </c>
      <c r="AB7221">
        <v>29</v>
      </c>
      <c r="AC7221">
        <v>50.656300000000002</v>
      </c>
      <c r="AD7221">
        <v>-1.104057968</v>
      </c>
      <c r="AE7221">
        <v>12.8758199999999</v>
      </c>
      <c r="AF7221">
        <v>-13.2494532119228</v>
      </c>
      <c r="AG7221">
        <v>-1.104057968</v>
      </c>
      <c r="AH7221">
        <v>50.535761621388502</v>
      </c>
      <c r="AI7221">
        <v>91.2106410179384</v>
      </c>
      <c r="AJ7221">
        <v>104.691136285322</v>
      </c>
      <c r="AK7221">
        <v>52.255431842684501</v>
      </c>
      <c r="AL7221">
        <v>79.751609584112003</v>
      </c>
      <c r="AM7221">
        <v>95.739344337229397</v>
      </c>
      <c r="AN7221">
        <v>0.99999999326275002</v>
      </c>
    </row>
    <row r="7222" spans="1:40" x14ac:dyDescent="0.25">
      <c r="A7222" t="str">
        <f>"20190304154937938"</f>
        <v>20190304154937938</v>
      </c>
      <c r="B7222" t="str">
        <f>"1551685777934386"</f>
        <v>1551685777934386</v>
      </c>
      <c r="C7222" t="s">
        <v>40</v>
      </c>
      <c r="D7222">
        <v>4.2173210000000001</v>
      </c>
      <c r="E7222">
        <v>0.43892819999999999</v>
      </c>
      <c r="F7222" t="s">
        <v>68</v>
      </c>
      <c r="G7222">
        <v>-205.06960000000001</v>
      </c>
      <c r="H7222">
        <v>4.2753820000000003E-3</v>
      </c>
      <c r="I7222">
        <v>-50.383670000000002</v>
      </c>
      <c r="J7222">
        <v>-255.703</v>
      </c>
      <c r="K7222">
        <v>1.111003</v>
      </c>
      <c r="L7222">
        <v>-63.260379999999998</v>
      </c>
      <c r="M7222">
        <v>0.99991149999999995</v>
      </c>
      <c r="N7222">
        <v>-1.114361E-2</v>
      </c>
      <c r="O7222">
        <v>-7.2795119999999897E-3</v>
      </c>
      <c r="P7222">
        <v>0.98171180000000002</v>
      </c>
      <c r="Q7222">
        <v>0.16726849999999999</v>
      </c>
      <c r="R7222">
        <v>9.0902239999999995E-2</v>
      </c>
      <c r="S7222">
        <v>2.9965359999999999</v>
      </c>
      <c r="T7222">
        <v>-6.5305950000000001E-2</v>
      </c>
      <c r="U7222">
        <v>0.75976560000000004</v>
      </c>
      <c r="V7222">
        <v>-9.8203840000000001E-2</v>
      </c>
      <c r="W7222">
        <v>0.17810399999999901</v>
      </c>
      <c r="X7222">
        <v>0.97909900000000005</v>
      </c>
      <c r="Y7222">
        <v>-0.25273400000000001</v>
      </c>
      <c r="Z7222">
        <v>4.2175789999999999E-3</v>
      </c>
      <c r="AA7222">
        <v>0.96752660000000001</v>
      </c>
      <c r="AB7222">
        <v>29</v>
      </c>
      <c r="AC7222">
        <v>50.633400000000002</v>
      </c>
      <c r="AD7222">
        <v>-1.1067276180000001</v>
      </c>
      <c r="AE7222">
        <v>12.876709999999999</v>
      </c>
      <c r="AF7222">
        <v>-13.239037249631799</v>
      </c>
      <c r="AG7222">
        <v>-1.1067276180000001</v>
      </c>
      <c r="AH7222">
        <v>50.515648115759802</v>
      </c>
      <c r="AI7222">
        <v>91.214080874834707</v>
      </c>
      <c r="AJ7222">
        <v>104.685678459551</v>
      </c>
      <c r="AK7222">
        <v>52.233396001723399</v>
      </c>
      <c r="AL7222">
        <v>79.740656777785802</v>
      </c>
      <c r="AM7222">
        <v>95.727623363832095</v>
      </c>
      <c r="AN7222">
        <v>0.99999994040387097</v>
      </c>
    </row>
    <row r="7223" spans="1:40" x14ac:dyDescent="0.25">
      <c r="A7223" t="str">
        <f>"20190304154937949"</f>
        <v>20190304154937949</v>
      </c>
      <c r="B7223" t="str">
        <f>"1551685777944146"</f>
        <v>1551685777944146</v>
      </c>
      <c r="C7223" t="s">
        <v>40</v>
      </c>
      <c r="D7223">
        <v>5.1920199999999896</v>
      </c>
      <c r="E7223">
        <v>0.43892819999999999</v>
      </c>
      <c r="F7223" t="s">
        <v>68</v>
      </c>
      <c r="G7223">
        <v>-204.9812</v>
      </c>
      <c r="H7223" s="1">
        <v>-5.3657920000000001E-6</v>
      </c>
      <c r="I7223">
        <v>-50.452550000000002</v>
      </c>
      <c r="J7223">
        <v>-255.5504</v>
      </c>
      <c r="K7223">
        <v>1.1109869999999999</v>
      </c>
      <c r="L7223">
        <v>-63.261229999999998</v>
      </c>
      <c r="M7223">
        <v>0.99991300000000005</v>
      </c>
      <c r="N7223">
        <v>-1.114156E-2</v>
      </c>
      <c r="O7223">
        <v>-7.0636029999999999E-3</v>
      </c>
      <c r="P7223">
        <v>0.98169910000000005</v>
      </c>
      <c r="Q7223">
        <v>0.16733999999999999</v>
      </c>
      <c r="R7223">
        <v>9.0909610000000002E-2</v>
      </c>
      <c r="S7223">
        <v>2.9969939999999999</v>
      </c>
      <c r="T7223">
        <v>-6.5646049999999997E-2</v>
      </c>
      <c r="U7223">
        <v>0.75677490000000003</v>
      </c>
      <c r="V7223">
        <v>-9.7991960000000003E-2</v>
      </c>
      <c r="W7223">
        <v>0.17817769999999999</v>
      </c>
      <c r="X7223">
        <v>0.9791069</v>
      </c>
      <c r="Y7223">
        <v>-0.25158190000000002</v>
      </c>
      <c r="Z7223">
        <v>4.2107669999999998E-3</v>
      </c>
      <c r="AA7223">
        <v>0.96782679999999999</v>
      </c>
      <c r="AB7223">
        <v>29</v>
      </c>
      <c r="AC7223">
        <v>50.569200000000002</v>
      </c>
      <c r="AD7223">
        <v>-1.110992365792</v>
      </c>
      <c r="AE7223">
        <v>12.808680000000001</v>
      </c>
      <c r="AF7223">
        <v>-13.1596145219977</v>
      </c>
      <c r="AG7223">
        <v>-1.110992365792</v>
      </c>
      <c r="AH7223">
        <v>50.454572518825302</v>
      </c>
      <c r="AI7223">
        <v>91.220608040816302</v>
      </c>
      <c r="AJ7223">
        <v>104.61827129188001</v>
      </c>
      <c r="AK7223">
        <v>52.154325290064101</v>
      </c>
      <c r="AL7223">
        <v>79.7363662572875</v>
      </c>
      <c r="AM7223">
        <v>95.715301802972903</v>
      </c>
      <c r="AN7223">
        <v>1.00000001931477</v>
      </c>
    </row>
    <row r="7224" spans="1:40" x14ac:dyDescent="0.25">
      <c r="A7224" t="str">
        <f>"20190304154937961"</f>
        <v>20190304154937961</v>
      </c>
      <c r="B7224" t="str">
        <f>"1551685777954883"</f>
        <v>1551685777954883</v>
      </c>
      <c r="C7224" t="s">
        <v>40</v>
      </c>
      <c r="D7224">
        <v>4.7648929999999998</v>
      </c>
      <c r="E7224">
        <v>0.43892819999999999</v>
      </c>
      <c r="F7224" t="s">
        <v>68</v>
      </c>
      <c r="G7224">
        <v>-204.61179999999999</v>
      </c>
      <c r="H7224" s="1">
        <v>-5.5227109999999997E-6</v>
      </c>
      <c r="I7224">
        <v>-50.397060000000003</v>
      </c>
      <c r="J7224">
        <v>-255.39230000000001</v>
      </c>
      <c r="K7224">
        <v>1.1109690000000001</v>
      </c>
      <c r="L7224">
        <v>-63.262149999999998</v>
      </c>
      <c r="M7224">
        <v>0.99991459999999999</v>
      </c>
      <c r="N7224">
        <v>-1.1139710000000001E-2</v>
      </c>
      <c r="O7224">
        <v>-6.8561619999999998E-3</v>
      </c>
      <c r="P7224">
        <v>0.98164839999999998</v>
      </c>
      <c r="Q7224">
        <v>0.1676067</v>
      </c>
      <c r="R7224">
        <v>9.096506E-2</v>
      </c>
      <c r="S7224">
        <v>2.9969790000000001</v>
      </c>
      <c r="T7224">
        <v>-6.5365430000000002E-2</v>
      </c>
      <c r="U7224">
        <v>0.7568665</v>
      </c>
      <c r="V7224">
        <v>-9.7835370000000005E-2</v>
      </c>
      <c r="W7224">
        <v>0.17844649999999901</v>
      </c>
      <c r="X7224">
        <v>0.97907359999999999</v>
      </c>
      <c r="Y7224">
        <v>-0.25141079999999999</v>
      </c>
      <c r="Z7224">
        <v>4.1933220000000002E-3</v>
      </c>
      <c r="AA7224">
        <v>0.96787140000000005</v>
      </c>
      <c r="AB7224">
        <v>29</v>
      </c>
      <c r="AC7224">
        <v>50.780500000000004</v>
      </c>
      <c r="AD7224">
        <v>-1.1109745227109999</v>
      </c>
      <c r="AE7224">
        <v>12.86509</v>
      </c>
      <c r="AF7224">
        <v>-13.2070282522862</v>
      </c>
      <c r="AG7224">
        <v>-1.1109745227109999</v>
      </c>
      <c r="AH7224">
        <v>50.668306280693201</v>
      </c>
      <c r="AI7224">
        <v>91.215489977132293</v>
      </c>
      <c r="AJ7224">
        <v>104.609448657619</v>
      </c>
      <c r="AK7224">
        <v>52.3730572050261</v>
      </c>
      <c r="AL7224">
        <v>79.720714254290101</v>
      </c>
      <c r="AM7224">
        <v>95.706421935204006</v>
      </c>
      <c r="AN7224">
        <v>1.00000001360112</v>
      </c>
    </row>
    <row r="7225" spans="1:40" x14ac:dyDescent="0.25">
      <c r="A7225" t="str">
        <f>"20190304154937972"</f>
        <v>20190304154937972</v>
      </c>
      <c r="B7225" t="str">
        <f>"1551685777964642"</f>
        <v>1551685777964642</v>
      </c>
      <c r="C7225" t="s">
        <v>40</v>
      </c>
      <c r="D7225">
        <v>4.2547389999999998</v>
      </c>
      <c r="E7225">
        <v>0.51649499999999904</v>
      </c>
      <c r="F7225" t="s">
        <v>68</v>
      </c>
      <c r="G7225">
        <v>-204.40190000000001</v>
      </c>
      <c r="H7225">
        <v>1.163425E-2</v>
      </c>
      <c r="I7225">
        <v>-50.383319999999998</v>
      </c>
      <c r="J7225">
        <v>-255.24680000000001</v>
      </c>
      <c r="K7225">
        <v>1.1109530000000001</v>
      </c>
      <c r="L7225">
        <v>-63.26294</v>
      </c>
      <c r="M7225">
        <v>0.99991580000000002</v>
      </c>
      <c r="N7225">
        <v>-1.11381E-2</v>
      </c>
      <c r="O7225">
        <v>-6.6698019999999998E-3</v>
      </c>
      <c r="P7225">
        <v>0.98162559999999999</v>
      </c>
      <c r="Q7225">
        <v>0.16777800000000001</v>
      </c>
      <c r="R7225">
        <v>9.0895489999999995E-2</v>
      </c>
      <c r="S7225">
        <v>2.9969790000000001</v>
      </c>
      <c r="T7225">
        <v>-6.4613820000000002E-2</v>
      </c>
      <c r="U7225">
        <v>0.75695800000000002</v>
      </c>
      <c r="V7225">
        <v>-9.7576389999999999E-2</v>
      </c>
      <c r="W7225">
        <v>0.1786201</v>
      </c>
      <c r="X7225">
        <v>0.97906769999999999</v>
      </c>
      <c r="Y7225">
        <v>-0.25125999999999998</v>
      </c>
      <c r="Z7225">
        <v>4.156028E-3</v>
      </c>
      <c r="AA7225">
        <v>0.96791070000000001</v>
      </c>
      <c r="AB7225">
        <v>29</v>
      </c>
      <c r="AC7225">
        <v>50.844900000000003</v>
      </c>
      <c r="AD7225">
        <v>-1.0993187499999999</v>
      </c>
      <c r="AE7225">
        <v>12.879619999999999</v>
      </c>
      <c r="AF7225">
        <v>-13.2126758244752</v>
      </c>
      <c r="AG7225">
        <v>-1.0993187499999999</v>
      </c>
      <c r="AH7225">
        <v>50.735571871891104</v>
      </c>
      <c r="AI7225">
        <v>91.201215946436307</v>
      </c>
      <c r="AJ7225">
        <v>104.596879384964</v>
      </c>
      <c r="AK7225">
        <v>52.439313089747898</v>
      </c>
      <c r="AL7225">
        <v>79.710604390267406</v>
      </c>
      <c r="AM7225">
        <v>95.691449838693899</v>
      </c>
      <c r="AN7225">
        <v>0.99999992659636305</v>
      </c>
    </row>
    <row r="7226" spans="1:40" x14ac:dyDescent="0.25">
      <c r="A7226" t="str">
        <f>"20190304154937982"</f>
        <v>20190304154937982</v>
      </c>
      <c r="B7226" t="str">
        <f>"1551685777974403"</f>
        <v>1551685777974403</v>
      </c>
      <c r="C7226" t="s">
        <v>40</v>
      </c>
      <c r="D7226">
        <v>4.2872700000000004</v>
      </c>
      <c r="E7226">
        <v>0.52116130000000005</v>
      </c>
      <c r="F7226" t="s">
        <v>68</v>
      </c>
      <c r="G7226">
        <v>-194.5284</v>
      </c>
      <c r="H7226" s="1">
        <v>-7.9403409999999997E-6</v>
      </c>
      <c r="I7226">
        <v>-60.464649999999999</v>
      </c>
      <c r="J7226">
        <v>-255.1028</v>
      </c>
      <c r="K7226">
        <v>1.1109340000000001</v>
      </c>
      <c r="L7226">
        <v>-63.263730000000002</v>
      </c>
      <c r="M7226">
        <v>0.9999169</v>
      </c>
      <c r="N7226">
        <v>-1.1136750000000001E-2</v>
      </c>
      <c r="O7226">
        <v>-6.5029919999999904E-3</v>
      </c>
      <c r="P7226">
        <v>0.98150470000000001</v>
      </c>
      <c r="Q7226">
        <v>0.1684312</v>
      </c>
      <c r="R7226">
        <v>9.0992829999999997E-2</v>
      </c>
      <c r="S7226">
        <v>3.0526580000000001</v>
      </c>
      <c r="T7226">
        <v>-5.5854319999999999E-2</v>
      </c>
      <c r="U7226">
        <v>0.14068599999999901</v>
      </c>
      <c r="V7226">
        <v>-9.7502510000000001E-2</v>
      </c>
      <c r="W7226">
        <v>0.17927460000000001</v>
      </c>
      <c r="X7226">
        <v>0.97895549999999998</v>
      </c>
      <c r="Y7226">
        <v>-5.2518780000000001E-2</v>
      </c>
      <c r="Z7226">
        <v>8.1935380000000004E-4</v>
      </c>
      <c r="AA7226">
        <v>0.99861960000000005</v>
      </c>
      <c r="AB7226">
        <v>30</v>
      </c>
      <c r="AC7226">
        <v>60.574399999999997</v>
      </c>
      <c r="AD7226">
        <v>-1.1109419403409999</v>
      </c>
      <c r="AE7226">
        <v>2.79908</v>
      </c>
      <c r="AF7226">
        <v>-3.1918887153060198</v>
      </c>
      <c r="AG7226">
        <v>-1.1109419403409999</v>
      </c>
      <c r="AH7226">
        <v>60.534597453317701</v>
      </c>
      <c r="AI7226">
        <v>91.049926335692504</v>
      </c>
      <c r="AJ7226">
        <v>93.018316046922706</v>
      </c>
      <c r="AK7226">
        <v>60.628869644756897</v>
      </c>
      <c r="AL7226">
        <v>79.672489794221605</v>
      </c>
      <c r="AM7226">
        <v>95.687816358897095</v>
      </c>
      <c r="AN7226">
        <v>0.99999999632085501</v>
      </c>
    </row>
    <row r="7227" spans="1:40" x14ac:dyDescent="0.25">
      <c r="A7227" t="str">
        <f>"20190304154937992"</f>
        <v>20190304154937992</v>
      </c>
      <c r="B7227" t="str">
        <f>"1551685777984162"</f>
        <v>1551685777984162</v>
      </c>
      <c r="C7227" t="s">
        <v>40</v>
      </c>
      <c r="D7227">
        <v>4.3019660000000002</v>
      </c>
      <c r="E7227">
        <v>0.52255770000000001</v>
      </c>
      <c r="F7227" t="s">
        <v>68</v>
      </c>
      <c r="G7227">
        <v>-197.1232</v>
      </c>
      <c r="H7227" s="1">
        <v>-6.9315109999999997E-6</v>
      </c>
      <c r="I7227">
        <v>-61.292879999999997</v>
      </c>
      <c r="J7227">
        <v>-254.96629999999999</v>
      </c>
      <c r="K7227">
        <v>1.1109169999999999</v>
      </c>
      <c r="L7227">
        <v>-63.264470000000003</v>
      </c>
      <c r="M7227">
        <v>0.99991790000000003</v>
      </c>
      <c r="N7227">
        <v>-1.1135529999999999E-2</v>
      </c>
      <c r="O7227">
        <v>-6.3476139999999997E-3</v>
      </c>
      <c r="P7227">
        <v>0.98148360000000001</v>
      </c>
      <c r="Q7227">
        <v>0.16863</v>
      </c>
      <c r="R7227">
        <v>9.0851219999999996E-2</v>
      </c>
      <c r="S7227">
        <v>3.0569459999999999</v>
      </c>
      <c r="T7227">
        <v>-5.8573840000000002E-2</v>
      </c>
      <c r="U7227">
        <v>0.1039124</v>
      </c>
      <c r="V7227">
        <v>-9.7201999999999997E-2</v>
      </c>
      <c r="W7227">
        <v>0.17947630000000001</v>
      </c>
      <c r="X7227">
        <v>0.97894840000000005</v>
      </c>
      <c r="Y7227">
        <v>-4.0304369999999999E-2</v>
      </c>
      <c r="Z7227">
        <v>6.614174E-4</v>
      </c>
      <c r="AA7227">
        <v>0.99918720000000005</v>
      </c>
      <c r="AB7227">
        <v>30</v>
      </c>
      <c r="AC7227">
        <v>57.8430999999999</v>
      </c>
      <c r="AD7227">
        <v>-1.110923931511</v>
      </c>
      <c r="AE7227">
        <v>1.97158999999999</v>
      </c>
      <c r="AF7227">
        <v>-2.3378773378275799</v>
      </c>
      <c r="AG7227">
        <v>-1.110923931511</v>
      </c>
      <c r="AH7227">
        <v>57.808120309986599</v>
      </c>
      <c r="AI7227">
        <v>91.100043534706799</v>
      </c>
      <c r="AJ7227">
        <v>92.315895196636006</v>
      </c>
      <c r="AK7227">
        <v>57.866040094361203</v>
      </c>
      <c r="AL7227">
        <v>79.660742435490306</v>
      </c>
      <c r="AM7227">
        <v>95.670441360271596</v>
      </c>
      <c r="AN7227">
        <v>0.99999997046412403</v>
      </c>
    </row>
    <row r="7228" spans="1:40" x14ac:dyDescent="0.25">
      <c r="A7228" t="str">
        <f>"20190304154938003"</f>
        <v>20190304154938003</v>
      </c>
      <c r="B7228" t="str">
        <f>"1551685777994900"</f>
        <v>1551685777994900</v>
      </c>
      <c r="C7228" t="s">
        <v>40</v>
      </c>
      <c r="D7228">
        <v>4.2805519999999904</v>
      </c>
      <c r="E7228">
        <v>0.52414539999999998</v>
      </c>
      <c r="F7228" t="s">
        <v>68</v>
      </c>
      <c r="G7228">
        <v>-205.53469999999999</v>
      </c>
      <c r="H7228" s="1">
        <v>-3.0034969999999998E-6</v>
      </c>
      <c r="I7228">
        <v>-61.774590000000003</v>
      </c>
      <c r="J7228">
        <v>-254.82320000000001</v>
      </c>
      <c r="K7228">
        <v>1.110903</v>
      </c>
      <c r="L7228">
        <v>-63.2652</v>
      </c>
      <c r="M7228">
        <v>0.9999188</v>
      </c>
      <c r="N7228">
        <v>-1.1134460000000001E-2</v>
      </c>
      <c r="O7228">
        <v>-6.19748E-3</v>
      </c>
      <c r="P7228">
        <v>0.98146610000000001</v>
      </c>
      <c r="Q7228">
        <v>0.16889770000000001</v>
      </c>
      <c r="R7228">
        <v>9.0545039999999993E-2</v>
      </c>
      <c r="S7228">
        <v>3.0598749999999999</v>
      </c>
      <c r="T7228">
        <v>-6.8767309999999998E-2</v>
      </c>
      <c r="U7228">
        <v>9.2224120000000007E-2</v>
      </c>
      <c r="V7228">
        <v>-9.674199E-2</v>
      </c>
      <c r="W7228">
        <v>0.17974699999999999</v>
      </c>
      <c r="X7228">
        <v>0.97894440000000005</v>
      </c>
      <c r="Y7228">
        <v>-3.6306520000000002E-2</v>
      </c>
      <c r="Z7228">
        <v>6.8029590000000001E-4</v>
      </c>
      <c r="AA7228">
        <v>0.99934049999999996</v>
      </c>
      <c r="AB7228">
        <v>30</v>
      </c>
      <c r="AC7228">
        <v>49.288499999999999</v>
      </c>
      <c r="AD7228">
        <v>-1.110906003497</v>
      </c>
      <c r="AE7228">
        <v>1.49060999999999</v>
      </c>
      <c r="AF7228">
        <v>-1.7951536969633199</v>
      </c>
      <c r="AG7228">
        <v>-1.110906003497</v>
      </c>
      <c r="AH7228">
        <v>49.253316914959498</v>
      </c>
      <c r="AI7228">
        <v>91.2912271889805</v>
      </c>
      <c r="AJ7228">
        <v>92.087356317986803</v>
      </c>
      <c r="AK7228">
        <v>49.298538680875303</v>
      </c>
      <c r="AL7228">
        <v>79.644977083921503</v>
      </c>
      <c r="AM7228">
        <v>95.643802474996306</v>
      </c>
      <c r="AN7228">
        <v>1.00000006746475</v>
      </c>
    </row>
    <row r="7229" spans="1:40" x14ac:dyDescent="0.25">
      <c r="A7229" t="str">
        <f>"20190304154938015"</f>
        <v>20190304154938015</v>
      </c>
      <c r="B7229" t="str">
        <f>"1551685778004659"</f>
        <v>1551685778004659</v>
      </c>
      <c r="C7229" t="s">
        <v>40</v>
      </c>
      <c r="D7229">
        <v>4.2650030000000001</v>
      </c>
      <c r="E7229">
        <v>0.52548139999999999</v>
      </c>
      <c r="F7229" t="s">
        <v>68</v>
      </c>
      <c r="G7229">
        <v>-204.93879999999999</v>
      </c>
      <c r="H7229" s="1">
        <v>-3.4059939999999999E-6</v>
      </c>
      <c r="I7229">
        <v>-61.984119999999997</v>
      </c>
      <c r="J7229">
        <v>-254.6746</v>
      </c>
      <c r="K7229">
        <v>1.110887</v>
      </c>
      <c r="L7229">
        <v>-63.26596</v>
      </c>
      <c r="M7229">
        <v>0.99991980000000003</v>
      </c>
      <c r="N7229">
        <v>-1.113345E-2</v>
      </c>
      <c r="O7229">
        <v>-6.0468709999999997E-3</v>
      </c>
      <c r="P7229">
        <v>0.98144469999999995</v>
      </c>
      <c r="Q7229">
        <v>0.16915839999999999</v>
      </c>
      <c r="R7229">
        <v>9.0286989999999998E-2</v>
      </c>
      <c r="S7229">
        <v>3.0611269999999999</v>
      </c>
      <c r="T7229">
        <v>-6.8170069999999999E-2</v>
      </c>
      <c r="U7229">
        <v>7.8613279999999994E-2</v>
      </c>
      <c r="V7229">
        <v>-9.6329269999999995E-2</v>
      </c>
      <c r="W7229">
        <v>0.18001059999999999</v>
      </c>
      <c r="X7229">
        <v>0.97893660000000005</v>
      </c>
      <c r="Y7229">
        <v>-3.1705320000000002E-2</v>
      </c>
      <c r="Z7229">
        <v>5.9680870000000002E-4</v>
      </c>
      <c r="AA7229">
        <v>0.99949710000000003</v>
      </c>
      <c r="AB7229">
        <v>30</v>
      </c>
      <c r="AC7229">
        <v>49.735799999999998</v>
      </c>
      <c r="AD7229">
        <v>-1.1108904059939999</v>
      </c>
      <c r="AE7229">
        <v>1.2818400000000001</v>
      </c>
      <c r="AF7229">
        <v>-1.58179253521993</v>
      </c>
      <c r="AG7229">
        <v>-1.1108904059939999</v>
      </c>
      <c r="AH7229">
        <v>49.702359474826601</v>
      </c>
      <c r="AI7229">
        <v>91.279748962456694</v>
      </c>
      <c r="AJ7229">
        <v>91.822840156251303</v>
      </c>
      <c r="AK7229">
        <v>49.739930463195201</v>
      </c>
      <c r="AL7229">
        <v>79.629622832760006</v>
      </c>
      <c r="AM7229">
        <v>95.619923875253704</v>
      </c>
      <c r="AN7229">
        <v>1.00000000559532</v>
      </c>
    </row>
    <row r="7230" spans="1:40" x14ac:dyDescent="0.25">
      <c r="A7230" t="str">
        <f>"20190304154938027"</f>
        <v>20190304154938027</v>
      </c>
      <c r="B7230" t="str">
        <f>"1551685778014417"</f>
        <v>1551685778014417</v>
      </c>
      <c r="C7230" t="s">
        <v>40</v>
      </c>
      <c r="D7230">
        <v>4.2246870000000003</v>
      </c>
      <c r="E7230">
        <v>0.5260475</v>
      </c>
      <c r="F7230" t="s">
        <v>68</v>
      </c>
      <c r="G7230">
        <v>-203.1183</v>
      </c>
      <c r="H7230" s="1">
        <v>-4.2155529999999997E-6</v>
      </c>
      <c r="I7230">
        <v>-62.136490000000002</v>
      </c>
      <c r="J7230">
        <v>-254.52510000000001</v>
      </c>
      <c r="K7230">
        <v>1.1108720000000001</v>
      </c>
      <c r="L7230">
        <v>-63.266689999999997</v>
      </c>
      <c r="M7230">
        <v>0.9999207</v>
      </c>
      <c r="N7230">
        <v>-1.113258E-2</v>
      </c>
      <c r="O7230">
        <v>-5.9048369999999996E-3</v>
      </c>
      <c r="P7230">
        <v>0.98145970000000005</v>
      </c>
      <c r="Q7230">
        <v>0.16917070000000001</v>
      </c>
      <c r="R7230">
        <v>9.0101210000000001E-2</v>
      </c>
      <c r="S7230">
        <v>3.0619200000000002</v>
      </c>
      <c r="T7230">
        <v>-6.597567E-2</v>
      </c>
      <c r="U7230">
        <v>6.7077639999999994E-2</v>
      </c>
      <c r="V7230">
        <v>-9.5998520000000004E-2</v>
      </c>
      <c r="W7230">
        <v>0.18002560000000001</v>
      </c>
      <c r="X7230">
        <v>0.97896640000000001</v>
      </c>
      <c r="Y7230">
        <v>-2.77951E-2</v>
      </c>
      <c r="Z7230">
        <v>5.1562629999999895E-4</v>
      </c>
      <c r="AA7230">
        <v>0.99961350000000004</v>
      </c>
      <c r="AB7230">
        <v>30</v>
      </c>
      <c r="AC7230">
        <v>51.406799999999997</v>
      </c>
      <c r="AD7230">
        <v>-1.1108762155530001</v>
      </c>
      <c r="AE7230">
        <v>1.1302000000000001</v>
      </c>
      <c r="AF7230">
        <v>-1.4330789655105101</v>
      </c>
      <c r="AG7230">
        <v>-1.1108762155530001</v>
      </c>
      <c r="AH7230">
        <v>51.375250441319103</v>
      </c>
      <c r="AI7230">
        <v>91.238220060306006</v>
      </c>
      <c r="AJ7230">
        <v>91.597813915843702</v>
      </c>
      <c r="AK7230">
        <v>51.407238003961403</v>
      </c>
      <c r="AL7230">
        <v>79.628749823183199</v>
      </c>
      <c r="AM7230">
        <v>95.600581156874</v>
      </c>
      <c r="AN7230">
        <v>1.0000000724132501</v>
      </c>
    </row>
    <row r="7231" spans="1:40" x14ac:dyDescent="0.25">
      <c r="A7231" t="str">
        <f>"20190304154938037"</f>
        <v>20190304154938037</v>
      </c>
      <c r="B7231" t="str">
        <f>"1551685778034915"</f>
        <v>1551685778034915</v>
      </c>
      <c r="C7231" t="s">
        <v>40</v>
      </c>
      <c r="D7231">
        <v>4.276993</v>
      </c>
      <c r="E7231">
        <v>0.52590550000000003</v>
      </c>
      <c r="F7231" t="s">
        <v>68</v>
      </c>
      <c r="G7231">
        <v>-202.63130000000001</v>
      </c>
      <c r="H7231" s="1">
        <v>-4.4685030000000004E-6</v>
      </c>
      <c r="I7231">
        <v>-62.219459999999998</v>
      </c>
      <c r="J7231">
        <v>-254.38290000000001</v>
      </c>
      <c r="K7231">
        <v>1.11086</v>
      </c>
      <c r="L7231">
        <v>-63.267359999999996</v>
      </c>
      <c r="M7231">
        <v>0.99992139999999996</v>
      </c>
      <c r="N7231">
        <v>-1.113185E-2</v>
      </c>
      <c r="O7231">
        <v>-5.7774489999999996E-3</v>
      </c>
      <c r="P7231">
        <v>0.981429</v>
      </c>
      <c r="Q7231">
        <v>0.16954729999999901</v>
      </c>
      <c r="R7231">
        <v>8.9727849999999998E-2</v>
      </c>
      <c r="S7231">
        <v>3.0622859999999998</v>
      </c>
      <c r="T7231">
        <v>-6.5553669999999994E-2</v>
      </c>
      <c r="U7231">
        <v>6.1798100000000002E-2</v>
      </c>
      <c r="V7231">
        <v>-9.5494629999999997E-2</v>
      </c>
      <c r="W7231">
        <v>0.1804046</v>
      </c>
      <c r="X7231">
        <v>0.97894590000000004</v>
      </c>
      <c r="Y7231">
        <v>-2.5943230000000001E-2</v>
      </c>
      <c r="Z7231">
        <v>4.8140880000000001E-4</v>
      </c>
      <c r="AA7231">
        <v>0.99966330000000003</v>
      </c>
      <c r="AB7231">
        <v>30</v>
      </c>
      <c r="AC7231">
        <v>51.751600000000003</v>
      </c>
      <c r="AD7231">
        <v>-1.110864468503</v>
      </c>
      <c r="AE7231">
        <v>1.0478999999999901</v>
      </c>
      <c r="AF7231">
        <v>-1.34627319568695</v>
      </c>
      <c r="AG7231">
        <v>-1.110864468503</v>
      </c>
      <c r="AH7231">
        <v>51.720860489095898</v>
      </c>
      <c r="AI7231">
        <v>91.229997327731795</v>
      </c>
      <c r="AJ7231">
        <v>91.491049407873902</v>
      </c>
      <c r="AK7231">
        <v>51.750303198313098</v>
      </c>
      <c r="AL7231">
        <v>79.6066731350613</v>
      </c>
      <c r="AM7231">
        <v>95.571485445181196</v>
      </c>
      <c r="AN7231">
        <v>1.0000000595934</v>
      </c>
    </row>
    <row r="7232" spans="1:40" x14ac:dyDescent="0.25">
      <c r="A7232" t="str">
        <f>"20190304154938048"</f>
        <v>20190304154938048</v>
      </c>
      <c r="B7232" t="str">
        <f>"1551685778044674"</f>
        <v>1551685778044674</v>
      </c>
      <c r="C7232" t="s">
        <v>40</v>
      </c>
      <c r="D7232">
        <v>4.249161</v>
      </c>
      <c r="E7232">
        <v>0.52602669999999996</v>
      </c>
      <c r="F7232" t="s">
        <v>68</v>
      </c>
      <c r="G7232">
        <v>-207.23</v>
      </c>
      <c r="H7232" s="1">
        <v>-2.0014910000000002E-6</v>
      </c>
      <c r="I7232">
        <v>-62.317140000000002</v>
      </c>
      <c r="J7232">
        <v>-254.232</v>
      </c>
      <c r="K7232">
        <v>1.1108480000000001</v>
      </c>
      <c r="L7232">
        <v>-63.268099999999997</v>
      </c>
      <c r="M7232">
        <v>0.99992219999999998</v>
      </c>
      <c r="N7232">
        <v>-1.1131169999999999E-2</v>
      </c>
      <c r="O7232">
        <v>-5.6485140000000003E-3</v>
      </c>
      <c r="P7232">
        <v>0.9814098</v>
      </c>
      <c r="Q7232">
        <v>0.169879799999999</v>
      </c>
      <c r="R7232">
        <v>8.9307700000000004E-2</v>
      </c>
      <c r="S7232">
        <v>3.0636139999999998</v>
      </c>
      <c r="T7232">
        <v>-7.2174790000000003E-2</v>
      </c>
      <c r="U7232">
        <v>6.1737060000000003E-2</v>
      </c>
      <c r="V7232">
        <v>-9.494205E-2</v>
      </c>
      <c r="W7232">
        <v>0.18073939999999999</v>
      </c>
      <c r="X7232">
        <v>0.97893779999999997</v>
      </c>
      <c r="Y7232">
        <v>-2.5784049999999999E-2</v>
      </c>
      <c r="Z7232">
        <v>5.1737449999999998E-4</v>
      </c>
      <c r="AA7232">
        <v>0.99966739999999998</v>
      </c>
      <c r="AB7232">
        <v>30</v>
      </c>
      <c r="AC7232">
        <v>47.002000000000002</v>
      </c>
      <c r="AD7232">
        <v>-1.1108500014910001</v>
      </c>
      <c r="AE7232">
        <v>0.95095999999999403</v>
      </c>
      <c r="AF7232">
        <v>-1.2157738852936</v>
      </c>
      <c r="AG7232">
        <v>-1.1108500014910001</v>
      </c>
      <c r="AH7232">
        <v>46.969653104469899</v>
      </c>
      <c r="AI7232">
        <v>91.354360758710897</v>
      </c>
      <c r="AJ7232">
        <v>91.482726763859404</v>
      </c>
      <c r="AK7232">
        <v>46.9985149405831</v>
      </c>
      <c r="AL7232">
        <v>79.587168966470699</v>
      </c>
      <c r="AM7232">
        <v>95.539492679728099</v>
      </c>
      <c r="AN7232">
        <v>0.99999996991969997</v>
      </c>
    </row>
    <row r="7233" spans="1:40" x14ac:dyDescent="0.25">
      <c r="A7233" t="str">
        <f>"20190304154938060"</f>
        <v>20190304154938060</v>
      </c>
      <c r="B7233" t="str">
        <f>"1551685778054434"</f>
        <v>1551685778054434</v>
      </c>
      <c r="C7233" t="s">
        <v>40</v>
      </c>
      <c r="D7233">
        <v>4.2347650000000003</v>
      </c>
      <c r="E7233">
        <v>0.52647239999999995</v>
      </c>
      <c r="F7233" t="s">
        <v>68</v>
      </c>
      <c r="G7233">
        <v>-207.5231</v>
      </c>
      <c r="H7233" s="1">
        <v>-1.821445E-6</v>
      </c>
      <c r="I7233">
        <v>-62.362319999999997</v>
      </c>
      <c r="J7233">
        <v>-254.0778</v>
      </c>
      <c r="K7233">
        <v>1.110843</v>
      </c>
      <c r="L7233">
        <v>-63.268859999999997</v>
      </c>
      <c r="M7233">
        <v>0.99992289999999995</v>
      </c>
      <c r="N7233">
        <v>-1.1130650000000001E-2</v>
      </c>
      <c r="O7233">
        <v>-5.5274419999999996E-3</v>
      </c>
      <c r="P7233">
        <v>0.9813151</v>
      </c>
      <c r="Q7233">
        <v>0.17059070000000001</v>
      </c>
      <c r="R7233">
        <v>8.8993779999999995E-2</v>
      </c>
      <c r="S7233">
        <v>3.064041</v>
      </c>
      <c r="T7233">
        <v>-7.2870370000000004E-2</v>
      </c>
      <c r="U7233">
        <v>5.941772E-2</v>
      </c>
      <c r="V7233">
        <v>-9.4504179999999993E-2</v>
      </c>
      <c r="W7233">
        <v>0.18145220000000001</v>
      </c>
      <c r="X7233">
        <v>0.9788483</v>
      </c>
      <c r="Y7233">
        <v>-2.4903979999999999E-2</v>
      </c>
      <c r="Z7233">
        <v>5.0462510000000001E-4</v>
      </c>
      <c r="AA7233">
        <v>0.99968970000000001</v>
      </c>
      <c r="AB7233">
        <v>30</v>
      </c>
      <c r="AC7233">
        <v>46.554699999999997</v>
      </c>
      <c r="AD7233">
        <v>-1.110844821445</v>
      </c>
      <c r="AE7233">
        <v>0.90653999999999901</v>
      </c>
      <c r="AF7233">
        <v>-1.1632084410688099</v>
      </c>
      <c r="AG7233">
        <v>-1.110844821445</v>
      </c>
      <c r="AH7233">
        <v>46.522499995679603</v>
      </c>
      <c r="AI7233">
        <v>91.367397589102396</v>
      </c>
      <c r="AJ7233">
        <v>91.432275808861604</v>
      </c>
      <c r="AK7233">
        <v>46.550295766436498</v>
      </c>
      <c r="AL7233">
        <v>79.545641877860106</v>
      </c>
      <c r="AM7233">
        <v>95.514603586968093</v>
      </c>
      <c r="AN7233">
        <v>0.99999996766760002</v>
      </c>
    </row>
    <row r="7234" spans="1:40" x14ac:dyDescent="0.25">
      <c r="A7234" t="str">
        <f>"20190304154938072"</f>
        <v>20190304154938072</v>
      </c>
      <c r="B7234" t="str">
        <f>"1551685778064194"</f>
        <v>1551685778064194</v>
      </c>
      <c r="C7234" t="s">
        <v>40</v>
      </c>
      <c r="D7234">
        <v>4.2522409999999997</v>
      </c>
      <c r="E7234">
        <v>0.52696409999999905</v>
      </c>
      <c r="F7234" t="s">
        <v>68</v>
      </c>
      <c r="G7234">
        <v>-205.81819999999999</v>
      </c>
      <c r="H7234" s="1">
        <v>-2.9108959999999998E-6</v>
      </c>
      <c r="I7234">
        <v>-62.403770000000002</v>
      </c>
      <c r="J7234">
        <v>-253.92939999999999</v>
      </c>
      <c r="K7234">
        <v>1.1108340000000001</v>
      </c>
      <c r="L7234">
        <v>-63.269559999999998</v>
      </c>
      <c r="M7234">
        <v>0.99992340000000002</v>
      </c>
      <c r="N7234">
        <v>-1.113018E-2</v>
      </c>
      <c r="O7234">
        <v>-5.4138709999999998E-3</v>
      </c>
      <c r="P7234">
        <v>0.98130550000000005</v>
      </c>
      <c r="Q7234">
        <v>0.1709774</v>
      </c>
      <c r="R7234">
        <v>8.8356539999999997E-2</v>
      </c>
      <c r="S7234">
        <v>3.0644070000000001</v>
      </c>
      <c r="T7234">
        <v>-7.0536970000000004E-2</v>
      </c>
      <c r="U7234">
        <v>5.4931639999999997E-2</v>
      </c>
      <c r="V7234">
        <v>-9.3750479999999997E-2</v>
      </c>
      <c r="W7234">
        <v>0.18184139999999999</v>
      </c>
      <c r="X7234">
        <v>0.97884859999999896</v>
      </c>
      <c r="Y7234">
        <v>-2.3326349999999999E-2</v>
      </c>
      <c r="Z7234">
        <v>4.626028E-4</v>
      </c>
      <c r="AA7234">
        <v>0.99972780000000006</v>
      </c>
      <c r="AB7234">
        <v>30</v>
      </c>
      <c r="AC7234">
        <v>48.111199999999997</v>
      </c>
      <c r="AD7234">
        <v>-1.1108369108959999</v>
      </c>
      <c r="AE7234">
        <v>0.86579000000000395</v>
      </c>
      <c r="AF7234">
        <v>-1.12566138087337</v>
      </c>
      <c r="AG7234">
        <v>-1.1108369108959999</v>
      </c>
      <c r="AH7234">
        <v>48.080184050840401</v>
      </c>
      <c r="AI7234">
        <v>91.323154649703795</v>
      </c>
      <c r="AJ7234">
        <v>91.341173446815901</v>
      </c>
      <c r="AK7234">
        <v>48.106186406216899</v>
      </c>
      <c r="AL7234">
        <v>79.522965601208995</v>
      </c>
      <c r="AM7234">
        <v>95.470889156166393</v>
      </c>
      <c r="AN7234">
        <v>1.0000000144880701</v>
      </c>
    </row>
    <row r="7235" spans="1:40" x14ac:dyDescent="0.25">
      <c r="A7235" t="str">
        <f>"20190304154938081"</f>
        <v>20190304154938081</v>
      </c>
      <c r="B7235" t="str">
        <f>"1551685778074930"</f>
        <v>1551685778074930</v>
      </c>
      <c r="C7235" t="s">
        <v>40</v>
      </c>
      <c r="D7235">
        <v>4.1092209999999998</v>
      </c>
      <c r="E7235">
        <v>0.52698129999999999</v>
      </c>
      <c r="F7235" t="s">
        <v>68</v>
      </c>
      <c r="G7235">
        <v>-205.672</v>
      </c>
      <c r="H7235" s="1">
        <v>-3.016789E-6</v>
      </c>
      <c r="I7235">
        <v>-62.496929999999999</v>
      </c>
      <c r="J7235">
        <v>-253.78960000000001</v>
      </c>
      <c r="K7235">
        <v>1.1108260000000001</v>
      </c>
      <c r="L7235">
        <v>-63.270169999999901</v>
      </c>
      <c r="M7235">
        <v>0.99992389999999998</v>
      </c>
      <c r="N7235">
        <v>-1.112987E-2</v>
      </c>
      <c r="O7235">
        <v>-5.3174440000000002E-3</v>
      </c>
      <c r="P7235">
        <v>0.98124999999999996</v>
      </c>
      <c r="Q7235">
        <v>0.1715101</v>
      </c>
      <c r="R7235">
        <v>8.7937169999999995E-2</v>
      </c>
      <c r="S7235">
        <v>3.0650179999999998</v>
      </c>
      <c r="T7235">
        <v>-7.0553660000000004E-2</v>
      </c>
      <c r="U7235">
        <v>4.9072270000000001E-2</v>
      </c>
      <c r="V7235">
        <v>-9.3231869999999994E-2</v>
      </c>
      <c r="W7235">
        <v>0.18237590000000001</v>
      </c>
      <c r="X7235">
        <v>0.97879870000000002</v>
      </c>
      <c r="Y7235">
        <v>-2.1316499999999999E-2</v>
      </c>
      <c r="Z7235">
        <v>4.2715670000000001E-4</v>
      </c>
      <c r="AA7235">
        <v>0.99977269999999896</v>
      </c>
      <c r="AB7235">
        <v>30</v>
      </c>
      <c r="AC7235">
        <v>48.117600000000003</v>
      </c>
      <c r="AD7235">
        <v>-1.110829016789</v>
      </c>
      <c r="AE7235">
        <v>0.77323999999998705</v>
      </c>
      <c r="AF7235">
        <v>-1.02855953546988</v>
      </c>
      <c r="AG7235">
        <v>-1.110829016789</v>
      </c>
      <c r="AH7235">
        <v>48.0871862756374</v>
      </c>
      <c r="AI7235">
        <v>91.323012541546206</v>
      </c>
      <c r="AJ7235">
        <v>91.225339639409697</v>
      </c>
      <c r="AK7235">
        <v>48.111010795143301</v>
      </c>
      <c r="AL7235">
        <v>79.491820295080998</v>
      </c>
      <c r="AM7235">
        <v>95.441083047157306</v>
      </c>
      <c r="AN7235">
        <v>1.0000000228030901</v>
      </c>
    </row>
    <row r="7236" spans="1:40" x14ac:dyDescent="0.25">
      <c r="A7236" t="str">
        <f>"20190304154938093"</f>
        <v>20190304154938093</v>
      </c>
      <c r="B7236" t="str">
        <f>"1551685778084691"</f>
        <v>1551685778084691</v>
      </c>
      <c r="C7236" t="s">
        <v>40</v>
      </c>
      <c r="D7236">
        <v>4.2503690000000001</v>
      </c>
      <c r="E7236">
        <v>0.52739099999999905</v>
      </c>
      <c r="F7236" t="s">
        <v>68</v>
      </c>
      <c r="G7236">
        <v>-207.34970000000001</v>
      </c>
      <c r="H7236" s="1">
        <v>-1.957904E-6</v>
      </c>
      <c r="I7236">
        <v>-62.550449999999998</v>
      </c>
      <c r="J7236">
        <v>-253.63849999999999</v>
      </c>
      <c r="K7236">
        <v>1.1108209999999901</v>
      </c>
      <c r="L7236">
        <v>-63.270870000000002</v>
      </c>
      <c r="M7236">
        <v>0.99992449999999999</v>
      </c>
      <c r="N7236">
        <v>-1.112956E-2</v>
      </c>
      <c r="O7236">
        <v>-5.2153039999999996E-3</v>
      </c>
      <c r="P7236">
        <v>0.98121369999999997</v>
      </c>
      <c r="Q7236">
        <v>0.1718596</v>
      </c>
      <c r="R7236">
        <v>8.7658749999999994E-2</v>
      </c>
      <c r="S7236">
        <v>3.065887</v>
      </c>
      <c r="T7236">
        <v>-7.3335049999999999E-2</v>
      </c>
      <c r="U7236">
        <v>4.7515870000000002E-2</v>
      </c>
      <c r="V7236">
        <v>-9.2848120000000006E-2</v>
      </c>
      <c r="W7236">
        <v>0.18272759999999999</v>
      </c>
      <c r="X7236">
        <v>0.97876949999999996</v>
      </c>
      <c r="Y7236">
        <v>-2.070207E-2</v>
      </c>
      <c r="Z7236">
        <v>4.2946670000000001E-4</v>
      </c>
      <c r="AA7236">
        <v>0.99978560000000005</v>
      </c>
      <c r="AB7236">
        <v>30</v>
      </c>
      <c r="AC7236">
        <v>46.288799999999902</v>
      </c>
      <c r="AD7236">
        <v>-1.1108229579040001</v>
      </c>
      <c r="AE7236">
        <v>0.72041999999999695</v>
      </c>
      <c r="AF7236">
        <v>-0.96128185268919997</v>
      </c>
      <c r="AG7236">
        <v>-1.1108229579040001</v>
      </c>
      <c r="AH7236">
        <v>46.257780123875001</v>
      </c>
      <c r="AI7236">
        <v>91.375325559179799</v>
      </c>
      <c r="AJ7236">
        <v>91.190490910189595</v>
      </c>
      <c r="AK7236">
        <v>46.281099948390199</v>
      </c>
      <c r="AL7236">
        <v>79.471324107330602</v>
      </c>
      <c r="AM7236">
        <v>95.418981387534004</v>
      </c>
      <c r="AN7236">
        <v>0.99999994165977002</v>
      </c>
    </row>
    <row r="7237" spans="1:40" x14ac:dyDescent="0.25">
      <c r="A7237" t="str">
        <f>"20190304154938104"</f>
        <v>20190304154938104</v>
      </c>
      <c r="B7237" t="str">
        <f>"1551685778094451"</f>
        <v>1551685778094451</v>
      </c>
      <c r="C7237" t="s">
        <v>40</v>
      </c>
      <c r="D7237">
        <v>4.2279119999999999</v>
      </c>
      <c r="E7237">
        <v>0.52751789999999998</v>
      </c>
      <c r="F7237" t="s">
        <v>68</v>
      </c>
      <c r="G7237">
        <v>-204.18090000000001</v>
      </c>
      <c r="H7237" s="1">
        <v>-3.7511739999999999E-6</v>
      </c>
      <c r="I7237">
        <v>-62.573729999999998</v>
      </c>
      <c r="J7237">
        <v>-253.49760000000001</v>
      </c>
      <c r="K7237">
        <v>1.110814</v>
      </c>
      <c r="L7237">
        <v>-63.271509999999999</v>
      </c>
      <c r="M7237">
        <v>0.99992499999999995</v>
      </c>
      <c r="N7237">
        <v>-1.1129379999999999E-2</v>
      </c>
      <c r="O7237">
        <v>-5.1268490000000002E-3</v>
      </c>
      <c r="P7237">
        <v>0.98112109999999997</v>
      </c>
      <c r="Q7237">
        <v>0.17255770000000001</v>
      </c>
      <c r="R7237">
        <v>8.7324520000000003E-2</v>
      </c>
      <c r="S7237">
        <v>3.0656590000000001</v>
      </c>
      <c r="T7237">
        <v>-6.8855169999999993E-2</v>
      </c>
      <c r="U7237">
        <v>4.3212889999999997E-2</v>
      </c>
      <c r="V7237">
        <v>-9.2422829999999997E-2</v>
      </c>
      <c r="W7237">
        <v>0.18342649999999999</v>
      </c>
      <c r="X7237">
        <v>0.97867910000000002</v>
      </c>
      <c r="Y7237">
        <v>-1.9213290000000001E-2</v>
      </c>
      <c r="Z7237">
        <v>3.8075030000000001E-4</v>
      </c>
      <c r="AA7237">
        <v>0.99981529999999996</v>
      </c>
      <c r="AB7237">
        <v>30</v>
      </c>
      <c r="AC7237">
        <v>49.316699999999997</v>
      </c>
      <c r="AD7237">
        <v>-1.1108177511740001</v>
      </c>
      <c r="AE7237">
        <v>0.69777999999999396</v>
      </c>
      <c r="AF7237">
        <v>-0.95014379544740601</v>
      </c>
      <c r="AG7237">
        <v>-1.1108177511740001</v>
      </c>
      <c r="AH7237">
        <v>49.287473731438098</v>
      </c>
      <c r="AI7237">
        <v>91.290846834900904</v>
      </c>
      <c r="AJ7237">
        <v>91.104387851975503</v>
      </c>
      <c r="AK7237">
        <v>49.309144751613303</v>
      </c>
      <c r="AL7237">
        <v>79.430592490617101</v>
      </c>
      <c r="AM7237">
        <v>95.394801871723502</v>
      </c>
      <c r="AN7237">
        <v>1.00000002059213</v>
      </c>
    </row>
    <row r="7238" spans="1:40" x14ac:dyDescent="0.25">
      <c r="A7238" t="str">
        <f>"20190304154938115"</f>
        <v>20190304154938115</v>
      </c>
      <c r="B7238" t="str">
        <f>"1551685778104210"</f>
        <v>1551685778104210</v>
      </c>
      <c r="C7238" t="s">
        <v>40</v>
      </c>
      <c r="D7238">
        <v>4.1947099999999997</v>
      </c>
      <c r="E7238">
        <v>0.52746269999999995</v>
      </c>
      <c r="F7238" t="s">
        <v>68</v>
      </c>
      <c r="G7238">
        <v>-202.63040000000001</v>
      </c>
      <c r="H7238" s="1">
        <v>-4.4904299999999998E-6</v>
      </c>
      <c r="I7238">
        <v>-62.588979999999999</v>
      </c>
      <c r="J7238">
        <v>-253.3503</v>
      </c>
      <c r="K7238">
        <v>1.1108070000000001</v>
      </c>
      <c r="L7238">
        <v>-63.272219999999997</v>
      </c>
      <c r="M7238">
        <v>0.99992550000000002</v>
      </c>
      <c r="N7238">
        <v>-1.112922E-2</v>
      </c>
      <c r="O7238">
        <v>-5.0374419999999996E-3</v>
      </c>
      <c r="P7238">
        <v>0.98109279999999999</v>
      </c>
      <c r="Q7238">
        <v>0.1728809</v>
      </c>
      <c r="R7238">
        <v>8.7002720000000006E-2</v>
      </c>
      <c r="S7238">
        <v>3.065842</v>
      </c>
      <c r="T7238">
        <v>-6.6950679999999999E-2</v>
      </c>
      <c r="U7238">
        <v>4.1137699999999902E-2</v>
      </c>
      <c r="V7238">
        <v>-9.2009729999999998E-2</v>
      </c>
      <c r="W7238">
        <v>0.18375130000000001</v>
      </c>
      <c r="X7238">
        <v>0.97865709999999995</v>
      </c>
      <c r="Y7238">
        <v>-1.8447069999999999E-2</v>
      </c>
      <c r="Z7238">
        <v>3.5799390000000001E-4</v>
      </c>
      <c r="AA7238">
        <v>0.99982979999999999</v>
      </c>
      <c r="AB7238">
        <v>30</v>
      </c>
      <c r="AC7238">
        <v>50.719900000000003</v>
      </c>
      <c r="AD7238">
        <v>-1.1108114904299999</v>
      </c>
      <c r="AE7238">
        <v>0.68323999999998997</v>
      </c>
      <c r="AF7238">
        <v>-0.938295706770225</v>
      </c>
      <c r="AG7238">
        <v>-1.1108114904299999</v>
      </c>
      <c r="AH7238">
        <v>50.691504651219901</v>
      </c>
      <c r="AI7238">
        <v>91.255116248806701</v>
      </c>
      <c r="AJ7238">
        <v>91.060419212681893</v>
      </c>
      <c r="AK7238">
        <v>50.7123549522723</v>
      </c>
      <c r="AL7238">
        <v>79.411661093529602</v>
      </c>
      <c r="AM7238">
        <v>95.370950209027299</v>
      </c>
      <c r="AN7238">
        <v>1.00000002502338</v>
      </c>
    </row>
    <row r="7239" spans="1:40" x14ac:dyDescent="0.25">
      <c r="A7239" t="str">
        <f>"20190304154938126"</f>
        <v>20190304154938126</v>
      </c>
      <c r="B7239" t="str">
        <f>"1551685778114947"</f>
        <v>1551685778114947</v>
      </c>
      <c r="C7239" t="s">
        <v>40</v>
      </c>
      <c r="D7239">
        <v>4.21394</v>
      </c>
      <c r="E7239">
        <v>0.52748790000000001</v>
      </c>
      <c r="F7239" t="s">
        <v>68</v>
      </c>
      <c r="G7239">
        <v>-202.3081</v>
      </c>
      <c r="H7239" s="1">
        <v>-4.655186E-6</v>
      </c>
      <c r="I7239">
        <v>-62.598019999999998</v>
      </c>
      <c r="J7239">
        <v>-253.1996</v>
      </c>
      <c r="K7239">
        <v>1.1108020000000001</v>
      </c>
      <c r="L7239">
        <v>-63.272860000000001</v>
      </c>
      <c r="M7239">
        <v>0.99992579999999998</v>
      </c>
      <c r="N7239">
        <v>-1.1129139999999999E-2</v>
      </c>
      <c r="O7239">
        <v>-4.951128E-3</v>
      </c>
      <c r="P7239">
        <v>0.98106910000000003</v>
      </c>
      <c r="Q7239">
        <v>0.1731994</v>
      </c>
      <c r="R7239">
        <v>8.6632619999999994E-2</v>
      </c>
      <c r="S7239">
        <v>3.0659640000000001</v>
      </c>
      <c r="T7239">
        <v>-6.6723350000000001E-2</v>
      </c>
      <c r="U7239">
        <v>4.0496829999999998E-2</v>
      </c>
      <c r="V7239">
        <v>-9.1551010000000002E-2</v>
      </c>
      <c r="W7239">
        <v>0.1840715</v>
      </c>
      <c r="X7239">
        <v>0.97863999999999995</v>
      </c>
      <c r="Y7239">
        <v>-1.815143E-2</v>
      </c>
      <c r="Z7239">
        <v>3.511446E-4</v>
      </c>
      <c r="AA7239">
        <v>0.99983520000000004</v>
      </c>
      <c r="AB7239">
        <v>30</v>
      </c>
      <c r="AC7239">
        <v>50.891500000000001</v>
      </c>
      <c r="AD7239">
        <v>-1.1108066551860001</v>
      </c>
      <c r="AE7239">
        <v>0.674839999999996</v>
      </c>
      <c r="AF7239">
        <v>-0.92637640367473695</v>
      </c>
      <c r="AG7239">
        <v>-1.1108066551860001</v>
      </c>
      <c r="AH7239">
        <v>50.863306885140297</v>
      </c>
      <c r="AI7239">
        <v>91.250879531880301</v>
      </c>
      <c r="AJ7239">
        <v>91.043416044234107</v>
      </c>
      <c r="AK7239">
        <v>50.883868288077799</v>
      </c>
      <c r="AL7239">
        <v>79.392997180633898</v>
      </c>
      <c r="AM7239">
        <v>95.344421288458904</v>
      </c>
      <c r="AN7239">
        <v>1.00000007707213</v>
      </c>
    </row>
    <row r="7240" spans="1:40" x14ac:dyDescent="0.25">
      <c r="A7240" t="str">
        <f>"20190304154938138"</f>
        <v>20190304154938138</v>
      </c>
      <c r="B7240" t="str">
        <f>"1551685778134466"</f>
        <v>1551685778134466</v>
      </c>
      <c r="C7240" t="s">
        <v>40</v>
      </c>
      <c r="D7240">
        <v>4.1796800000000003</v>
      </c>
      <c r="E7240">
        <v>0.52761959999999997</v>
      </c>
      <c r="F7240" t="s">
        <v>68</v>
      </c>
      <c r="G7240">
        <v>-201.60169999999999</v>
      </c>
      <c r="H7240" s="1">
        <v>-5.0160230000000003E-6</v>
      </c>
      <c r="I7240">
        <v>-62.613430000000001</v>
      </c>
      <c r="J7240">
        <v>-253.05160000000001</v>
      </c>
      <c r="K7240">
        <v>1.110795</v>
      </c>
      <c r="L7240">
        <v>-63.273499999999999</v>
      </c>
      <c r="M7240">
        <v>0.99992630000000005</v>
      </c>
      <c r="N7240">
        <v>-1.1129109999999999E-2</v>
      </c>
      <c r="O7240">
        <v>-4.871004E-3</v>
      </c>
      <c r="P7240">
        <v>0.98100129999999996</v>
      </c>
      <c r="Q7240">
        <v>0.1737446</v>
      </c>
      <c r="R7240">
        <v>8.6310300000000006E-2</v>
      </c>
      <c r="S7240">
        <v>3.0660859999999999</v>
      </c>
      <c r="T7240">
        <v>-6.600702E-2</v>
      </c>
      <c r="U7240">
        <v>3.9184570000000002E-2</v>
      </c>
      <c r="V7240">
        <v>-9.1146249999999998E-2</v>
      </c>
      <c r="W7240">
        <v>0.1846179</v>
      </c>
      <c r="X7240">
        <v>0.97857479999999997</v>
      </c>
      <c r="Y7240">
        <v>-1.7643249999999999E-2</v>
      </c>
      <c r="Z7240">
        <v>3.3872569999999997E-4</v>
      </c>
      <c r="AA7240">
        <v>0.99984430000000002</v>
      </c>
      <c r="AB7240">
        <v>30</v>
      </c>
      <c r="AC7240">
        <v>51.4499</v>
      </c>
      <c r="AD7240">
        <v>-1.110800016023</v>
      </c>
      <c r="AE7240">
        <v>0.66006999999999005</v>
      </c>
      <c r="AF7240">
        <v>-0.91026610661128504</v>
      </c>
      <c r="AG7240">
        <v>-1.110800016023</v>
      </c>
      <c r="AH7240">
        <v>51.422108948845903</v>
      </c>
      <c r="AI7240">
        <v>91.2372944797728</v>
      </c>
      <c r="AJ7240">
        <v>91.0141349822797</v>
      </c>
      <c r="AK7240">
        <v>51.4421592646287</v>
      </c>
      <c r="AL7240">
        <v>79.361144296766895</v>
      </c>
      <c r="AM7240">
        <v>95.321281247666604</v>
      </c>
      <c r="AN7240">
        <v>1.0000000235422499</v>
      </c>
    </row>
    <row r="7241" spans="1:40" x14ac:dyDescent="0.25">
      <c r="A7241" t="str">
        <f>"20190304154938150"</f>
        <v>20190304154938150</v>
      </c>
      <c r="B7241" t="str">
        <f>"1551685778144226"</f>
        <v>1551685778144226</v>
      </c>
      <c r="C7241" t="s">
        <v>40</v>
      </c>
      <c r="D7241">
        <v>4.1958359999999999</v>
      </c>
      <c r="E7241">
        <v>0.52767679999999995</v>
      </c>
      <c r="F7241" t="s">
        <v>68</v>
      </c>
      <c r="G7241">
        <v>-200.0778</v>
      </c>
      <c r="H7241" s="1">
        <v>-5.7935399999999999E-6</v>
      </c>
      <c r="I7241">
        <v>-62.631340000000002</v>
      </c>
      <c r="J7241">
        <v>-252.89060000000001</v>
      </c>
      <c r="K7241">
        <v>1.110789</v>
      </c>
      <c r="L7241">
        <v>-63.274169999999998</v>
      </c>
      <c r="M7241">
        <v>0.9999266</v>
      </c>
      <c r="N7241">
        <v>-1.1129109999999999E-2</v>
      </c>
      <c r="O7241">
        <v>-4.787309E-3</v>
      </c>
      <c r="P7241">
        <v>0.98102409999999995</v>
      </c>
      <c r="Q7241">
        <v>0.17380300000000001</v>
      </c>
      <c r="R7241">
        <v>8.5931789999999994E-2</v>
      </c>
      <c r="S7241">
        <v>3.0662229999999999</v>
      </c>
      <c r="T7241">
        <v>-6.4295169999999999E-2</v>
      </c>
      <c r="U7241">
        <v>3.7170410000000001E-2</v>
      </c>
      <c r="V7241">
        <v>-9.0682299999999993E-2</v>
      </c>
      <c r="W7241">
        <v>0.18467890000000001</v>
      </c>
      <c r="X7241">
        <v>0.97860639999999999</v>
      </c>
      <c r="Y7241">
        <v>-1.6902839999999999E-2</v>
      </c>
      <c r="Z7241">
        <v>3.1836450000000002E-4</v>
      </c>
      <c r="AA7241">
        <v>0.99985710000000005</v>
      </c>
      <c r="AB7241">
        <v>30</v>
      </c>
      <c r="AC7241">
        <v>52.812800000000003</v>
      </c>
      <c r="AD7241">
        <v>-1.11079479354</v>
      </c>
      <c r="AE7241">
        <v>0.64282999999999602</v>
      </c>
      <c r="AF7241">
        <v>-0.89527350008567197</v>
      </c>
      <c r="AG7241">
        <v>-1.11079479354</v>
      </c>
      <c r="AH7241">
        <v>52.785769538228401</v>
      </c>
      <c r="AI7241">
        <v>91.205349744636806</v>
      </c>
      <c r="AJ7241">
        <v>90.971672400300207</v>
      </c>
      <c r="AK7241">
        <v>52.805045643918099</v>
      </c>
      <c r="AL7241">
        <v>79.357588183304998</v>
      </c>
      <c r="AM7241">
        <v>95.294179339006106</v>
      </c>
      <c r="AN7241">
        <v>1.0000000308797199</v>
      </c>
    </row>
    <row r="7242" spans="1:40" x14ac:dyDescent="0.25">
      <c r="A7242" t="str">
        <f>"20190304154938161"</f>
        <v>20190304154938161</v>
      </c>
      <c r="B7242" t="str">
        <f>"1551685778154964"</f>
        <v>1551685778154964</v>
      </c>
      <c r="C7242" t="s">
        <v>40</v>
      </c>
      <c r="D7242">
        <v>4.1891309999999997</v>
      </c>
      <c r="E7242">
        <v>0.52768019999999904</v>
      </c>
      <c r="F7242" t="s">
        <v>68</v>
      </c>
      <c r="G7242">
        <v>-199.58189999999999</v>
      </c>
      <c r="H7242" s="1">
        <v>-6.0094100000000003E-6</v>
      </c>
      <c r="I7242">
        <v>-62.659239999999997</v>
      </c>
      <c r="J7242">
        <v>-252.7457</v>
      </c>
      <c r="K7242">
        <v>1.1107800000000001</v>
      </c>
      <c r="L7242">
        <v>-63.27478</v>
      </c>
      <c r="M7242">
        <v>0.99992700000000001</v>
      </c>
      <c r="N7242">
        <v>-1.112921E-2</v>
      </c>
      <c r="O7242">
        <v>-4.7182600000000002E-3</v>
      </c>
      <c r="P7242">
        <v>0.98099329999999996</v>
      </c>
      <c r="Q7242">
        <v>0.17396719999999999</v>
      </c>
      <c r="R7242">
        <v>8.5953680000000005E-2</v>
      </c>
      <c r="S7242">
        <v>3.0662379999999998</v>
      </c>
      <c r="T7242">
        <v>-6.3891290000000003E-2</v>
      </c>
      <c r="U7242">
        <v>3.5369869999999998E-2</v>
      </c>
      <c r="V7242">
        <v>-9.0633229999999995E-2</v>
      </c>
      <c r="W7242">
        <v>0.18484429999999999</v>
      </c>
      <c r="X7242">
        <v>0.97857969999999905</v>
      </c>
      <c r="Y7242">
        <v>-1.6246980000000001E-2</v>
      </c>
      <c r="Z7242">
        <v>3.0546769999999999E-4</v>
      </c>
      <c r="AA7242">
        <v>0.99986799999999998</v>
      </c>
      <c r="AB7242">
        <v>30</v>
      </c>
      <c r="AC7242">
        <v>53.163800000000002</v>
      </c>
      <c r="AD7242">
        <v>-1.1107860094099999</v>
      </c>
      <c r="AE7242">
        <v>0.61554000000000197</v>
      </c>
      <c r="AF7242">
        <v>-0.86601129655349995</v>
      </c>
      <c r="AG7242">
        <v>-1.1107860094099999</v>
      </c>
      <c r="AH7242">
        <v>53.137110083052903</v>
      </c>
      <c r="AI7242">
        <v>91.197386070398693</v>
      </c>
      <c r="AJ7242">
        <v>90.933705272530801</v>
      </c>
      <c r="AK7242">
        <v>53.155773807771197</v>
      </c>
      <c r="AL7242">
        <v>79.347945258254597</v>
      </c>
      <c r="AM7242">
        <v>95.291474369808597</v>
      </c>
      <c r="AN7242">
        <v>1.0000000134374001</v>
      </c>
    </row>
    <row r="7243" spans="1:40" x14ac:dyDescent="0.25">
      <c r="A7243" t="str">
        <f>"20190304154938173"</f>
        <v>20190304154938173</v>
      </c>
      <c r="B7243" t="str">
        <f>"1551685778164723"</f>
        <v>1551685778164723</v>
      </c>
      <c r="C7243" t="s">
        <v>40</v>
      </c>
      <c r="D7243">
        <v>4.1749169999999998</v>
      </c>
      <c r="E7243">
        <v>0.52767350000000002</v>
      </c>
      <c r="F7243" t="s">
        <v>68</v>
      </c>
      <c r="G7243">
        <v>-198.69229999999999</v>
      </c>
      <c r="H7243" s="1">
        <v>-6.37151899999999E-6</v>
      </c>
      <c r="I7243">
        <v>-62.655560000000001</v>
      </c>
      <c r="J7243">
        <v>-252.5916</v>
      </c>
      <c r="K7243">
        <v>1.110773</v>
      </c>
      <c r="L7243">
        <v>-63.275449999999999</v>
      </c>
      <c r="M7243">
        <v>0.99992740000000002</v>
      </c>
      <c r="N7243">
        <v>-1.112933E-2</v>
      </c>
      <c r="O7243">
        <v>-4.6465959999999898E-3</v>
      </c>
      <c r="P7243">
        <v>0.98096209999999995</v>
      </c>
      <c r="Q7243">
        <v>0.1741916</v>
      </c>
      <c r="R7243">
        <v>8.5854340000000001E-2</v>
      </c>
      <c r="S7243">
        <v>3.066208</v>
      </c>
      <c r="T7243">
        <v>-6.3009979999999993E-2</v>
      </c>
      <c r="U7243">
        <v>3.5125730000000001E-2</v>
      </c>
      <c r="V7243">
        <v>-9.0460399999999996E-2</v>
      </c>
      <c r="W7243">
        <v>0.18507009999999999</v>
      </c>
      <c r="X7243">
        <v>0.97855300000000001</v>
      </c>
      <c r="Y7243">
        <v>-1.6096019999999999E-2</v>
      </c>
      <c r="Z7243">
        <v>2.9871450000000001E-4</v>
      </c>
      <c r="AA7243">
        <v>0.99987040000000005</v>
      </c>
      <c r="AB7243">
        <v>30</v>
      </c>
      <c r="AC7243">
        <v>53.899299999999997</v>
      </c>
      <c r="AD7243">
        <v>-1.110779371519</v>
      </c>
      <c r="AE7243">
        <v>0.61989000000000505</v>
      </c>
      <c r="AF7243">
        <v>-0.86997762189405103</v>
      </c>
      <c r="AG7243">
        <v>-1.110779371519</v>
      </c>
      <c r="AH7243">
        <v>53.872960308184702</v>
      </c>
      <c r="AI7243">
        <v>91.181031447842201</v>
      </c>
      <c r="AJ7243">
        <v>90.925171244450695</v>
      </c>
      <c r="AK7243">
        <v>53.891432939216102</v>
      </c>
      <c r="AL7243">
        <v>79.334780591698205</v>
      </c>
      <c r="AM7243">
        <v>95.281584375202698</v>
      </c>
      <c r="AN7243">
        <v>0.99999999984558496</v>
      </c>
    </row>
    <row r="7244" spans="1:40" x14ac:dyDescent="0.25">
      <c r="A7244" t="str">
        <f>"20190304154938183"</f>
        <v>20190304154938183</v>
      </c>
      <c r="B7244" t="str">
        <f>"1551685778174482"</f>
        <v>1551685778174482</v>
      </c>
      <c r="C7244" t="s">
        <v>40</v>
      </c>
      <c r="D7244">
        <v>4.1803589999999904</v>
      </c>
      <c r="E7244">
        <v>0.52768470000000001</v>
      </c>
      <c r="F7244" t="s">
        <v>68</v>
      </c>
      <c r="G7244">
        <v>-198.3117</v>
      </c>
      <c r="H7244" s="1">
        <v>-6.527048E-6</v>
      </c>
      <c r="I7244">
        <v>-62.664470000000001</v>
      </c>
      <c r="J7244">
        <v>-252.4452</v>
      </c>
      <c r="K7244">
        <v>1.110768</v>
      </c>
      <c r="L7244">
        <v>-63.276029999999999</v>
      </c>
      <c r="M7244">
        <v>0.99992769999999997</v>
      </c>
      <c r="N7244">
        <v>-1.112952E-2</v>
      </c>
      <c r="O7244">
        <v>-4.585418E-3</v>
      </c>
      <c r="P7244">
        <v>0.98095940000000004</v>
      </c>
      <c r="Q7244">
        <v>0.1743943</v>
      </c>
      <c r="R7244">
        <v>8.5472850000000003E-2</v>
      </c>
      <c r="S7244">
        <v>3.0663450000000001</v>
      </c>
      <c r="T7244">
        <v>-6.2749509999999994E-2</v>
      </c>
      <c r="U7244">
        <v>3.4515379999999998E-2</v>
      </c>
      <c r="V7244">
        <v>-9.0015899999999996E-2</v>
      </c>
      <c r="W7244">
        <v>0.18527489999999999</v>
      </c>
      <c r="X7244">
        <v>0.97855519999999996</v>
      </c>
      <c r="Y7244">
        <v>-1.5835459999999999E-2</v>
      </c>
      <c r="Z7244">
        <v>2.9293860000000001E-4</v>
      </c>
      <c r="AA7244">
        <v>0.99987459999999995</v>
      </c>
      <c r="AB7244">
        <v>30</v>
      </c>
      <c r="AC7244">
        <v>54.133499999999998</v>
      </c>
      <c r="AD7244">
        <v>-1.1107745270479901</v>
      </c>
      <c r="AE7244">
        <v>0.61156000000001098</v>
      </c>
      <c r="AF7244">
        <v>-0.85943182707623</v>
      </c>
      <c r="AG7244">
        <v>-1.1107745270479901</v>
      </c>
      <c r="AH7244">
        <v>54.1073481340065</v>
      </c>
      <c r="AI7244">
        <v>91.175916631424997</v>
      </c>
      <c r="AJ7244">
        <v>90.909999798999095</v>
      </c>
      <c r="AK7244">
        <v>54.1255721929099</v>
      </c>
      <c r="AL7244">
        <v>79.322839539374101</v>
      </c>
      <c r="AM7244">
        <v>95.255765923055606</v>
      </c>
      <c r="AN7244">
        <v>0.99999996513492895</v>
      </c>
    </row>
    <row r="7245" spans="1:40" x14ac:dyDescent="0.25">
      <c r="A7245" t="str">
        <f>"20190304154938194"</f>
        <v>20190304154938194</v>
      </c>
      <c r="B7245" t="str">
        <f>"1551685778184243"</f>
        <v>1551685778184243</v>
      </c>
      <c r="C7245" t="s">
        <v>40</v>
      </c>
      <c r="D7245">
        <v>4.1457949999999997</v>
      </c>
      <c r="E7245">
        <v>0.52774290000000001</v>
      </c>
      <c r="F7245" t="s">
        <v>68</v>
      </c>
      <c r="G7245">
        <v>-197.791</v>
      </c>
      <c r="H7245" s="1">
        <v>-6.7407149999999999E-6</v>
      </c>
      <c r="I7245">
        <v>-62.691310000000001</v>
      </c>
      <c r="J7245">
        <v>-252.3047</v>
      </c>
      <c r="K7245">
        <v>1.110762</v>
      </c>
      <c r="L7245">
        <v>-63.276609999999998</v>
      </c>
      <c r="M7245">
        <v>0.99992780000000003</v>
      </c>
      <c r="N7245">
        <v>-1.1129719999999999E-2</v>
      </c>
      <c r="O7245">
        <v>-4.5284080000000003E-3</v>
      </c>
      <c r="P7245">
        <v>0.98096649999999996</v>
      </c>
      <c r="Q7245">
        <v>0.17442360000000001</v>
      </c>
      <c r="R7245">
        <v>8.5329459999999996E-2</v>
      </c>
      <c r="S7245">
        <v>3.066452</v>
      </c>
      <c r="T7245">
        <v>-6.2321540000000002E-2</v>
      </c>
      <c r="U7245">
        <v>3.2806399999999999E-2</v>
      </c>
      <c r="V7245">
        <v>-8.9813799999999999E-2</v>
      </c>
      <c r="W7245">
        <v>0.18530579999999999</v>
      </c>
      <c r="X7245">
        <v>0.97856799999999999</v>
      </c>
      <c r="Y7245">
        <v>-1.5221139999999999E-2</v>
      </c>
      <c r="Z7245">
        <v>2.8100089999999998E-4</v>
      </c>
      <c r="AA7245">
        <v>0.99988410000000005</v>
      </c>
      <c r="AB7245">
        <v>30</v>
      </c>
      <c r="AC7245">
        <v>54.5137</v>
      </c>
      <c r="AD7245">
        <v>-1.110768740715</v>
      </c>
      <c r="AE7245">
        <v>0.58530000000000304</v>
      </c>
      <c r="AF7245">
        <v>-0.83182424953582801</v>
      </c>
      <c r="AG7245">
        <v>-1.110768740715</v>
      </c>
      <c r="AH7245">
        <v>54.487870701052501</v>
      </c>
      <c r="AI7245">
        <v>91.167711903943598</v>
      </c>
      <c r="AJ7245">
        <v>90.874622483644004</v>
      </c>
      <c r="AK7245">
        <v>54.505539097527297</v>
      </c>
      <c r="AL7245">
        <v>79.321038758698904</v>
      </c>
      <c r="AM7245">
        <v>95.243963543869</v>
      </c>
      <c r="AN7245">
        <v>1.00000004440403</v>
      </c>
    </row>
    <row r="7246" spans="1:40" x14ac:dyDescent="0.25">
      <c r="A7246" t="str">
        <f>"20190304154938204"</f>
        <v>20190304154938204</v>
      </c>
      <c r="B7246" t="str">
        <f>"1551685778194002"</f>
        <v>1551685778194002</v>
      </c>
      <c r="C7246" t="s">
        <v>40</v>
      </c>
      <c r="D7246">
        <v>4.1671319999999996</v>
      </c>
      <c r="E7246">
        <v>0.52762129999999996</v>
      </c>
      <c r="F7246" t="s">
        <v>68</v>
      </c>
      <c r="G7246">
        <v>-197.7978</v>
      </c>
      <c r="H7246" s="1">
        <v>-6.73920499999999E-6</v>
      </c>
      <c r="I7246">
        <v>-62.713019999999901</v>
      </c>
      <c r="J7246">
        <v>-252.16419999999999</v>
      </c>
      <c r="K7246">
        <v>1.1107549999999999</v>
      </c>
      <c r="L7246">
        <v>-63.2772199999999</v>
      </c>
      <c r="M7246">
        <v>0.99992820000000004</v>
      </c>
      <c r="N7246">
        <v>-1.1129969999999999E-2</v>
      </c>
      <c r="O7246">
        <v>-4.4761640000000004E-3</v>
      </c>
      <c r="P7246">
        <v>0.98097049999999997</v>
      </c>
      <c r="Q7246">
        <v>0.1745207</v>
      </c>
      <c r="R7246">
        <v>8.5087670000000004E-2</v>
      </c>
      <c r="S7246">
        <v>3.066589</v>
      </c>
      <c r="T7246">
        <v>-6.2492369999999998E-2</v>
      </c>
      <c r="U7246">
        <v>3.1707760000000001E-2</v>
      </c>
      <c r="V7246">
        <v>-8.9517659999999999E-2</v>
      </c>
      <c r="W7246">
        <v>0.18540470000000001</v>
      </c>
      <c r="X7246">
        <v>0.97857640000000001</v>
      </c>
      <c r="Y7246">
        <v>-1.481035E-2</v>
      </c>
      <c r="Z7246">
        <v>2.747122E-4</v>
      </c>
      <c r="AA7246">
        <v>0.99989030000000001</v>
      </c>
      <c r="AB7246">
        <v>30</v>
      </c>
      <c r="AC7246">
        <v>54.366399999999999</v>
      </c>
      <c r="AD7246">
        <v>-1.110761739205</v>
      </c>
      <c r="AE7246">
        <v>0.56419999999999904</v>
      </c>
      <c r="AF7246">
        <v>-0.807225383696479</v>
      </c>
      <c r="AG7246">
        <v>-1.110761739205</v>
      </c>
      <c r="AH7246">
        <v>54.340648860001501</v>
      </c>
      <c r="AI7246">
        <v>91.170874507035705</v>
      </c>
      <c r="AJ7246">
        <v>90.851060983032795</v>
      </c>
      <c r="AK7246">
        <v>54.357994103787</v>
      </c>
      <c r="AL7246">
        <v>79.315272261150994</v>
      </c>
      <c r="AM7246">
        <v>95.226724108076596</v>
      </c>
      <c r="AN7246">
        <v>1.00000004243546</v>
      </c>
    </row>
    <row r="7247" spans="1:40" x14ac:dyDescent="0.25">
      <c r="A7247" t="str">
        <f>"20190304154938216"</f>
        <v>20190304154938216</v>
      </c>
      <c r="B7247" t="str">
        <f>"1551685778204739"</f>
        <v>1551685778204739</v>
      </c>
      <c r="C7247" t="s">
        <v>40</v>
      </c>
      <c r="D7247">
        <v>4.1440099999999997</v>
      </c>
      <c r="E7247">
        <v>0.52767710000000001</v>
      </c>
      <c r="F7247" t="s">
        <v>68</v>
      </c>
      <c r="G7247">
        <v>-198.1377</v>
      </c>
      <c r="H7247" s="1">
        <v>-6.6010640000000001E-6</v>
      </c>
      <c r="I7247">
        <v>-62.718609999999998</v>
      </c>
      <c r="J7247">
        <v>-252.01400000000001</v>
      </c>
      <c r="K7247">
        <v>1.1107479999999901</v>
      </c>
      <c r="L7247">
        <v>-63.277799999999999</v>
      </c>
      <c r="M7247">
        <v>0.99992829999999999</v>
      </c>
      <c r="N7247">
        <v>-1.1130279999999999E-2</v>
      </c>
      <c r="O7247">
        <v>-4.4232100000000003E-3</v>
      </c>
      <c r="P7247">
        <v>0.98097599999999996</v>
      </c>
      <c r="Q7247">
        <v>0.17457339999999999</v>
      </c>
      <c r="R7247">
        <v>8.4914039999999996E-2</v>
      </c>
      <c r="S7247">
        <v>3.0666500000000001</v>
      </c>
      <c r="T7247">
        <v>-6.3049079999999993E-2</v>
      </c>
      <c r="U7247">
        <v>3.1707760000000001E-2</v>
      </c>
      <c r="V7247">
        <v>-8.9289469999999996E-2</v>
      </c>
      <c r="W7247">
        <v>0.18545909999999999</v>
      </c>
      <c r="X7247">
        <v>0.97858690000000004</v>
      </c>
      <c r="Y7247">
        <v>-1.475713E-2</v>
      </c>
      <c r="Z7247">
        <v>2.7552229999999999E-4</v>
      </c>
      <c r="AA7247">
        <v>0.99989099999999997</v>
      </c>
      <c r="AB7247">
        <v>30</v>
      </c>
      <c r="AC7247">
        <v>53.876300000000001</v>
      </c>
      <c r="AD7247">
        <v>-1.1107546010639999</v>
      </c>
      <c r="AE7247">
        <v>0.55919000000000096</v>
      </c>
      <c r="AF7247">
        <v>-0.79716667436866895</v>
      </c>
      <c r="AG7247">
        <v>-1.1107546010639999</v>
      </c>
      <c r="AH7247">
        <v>53.850412635959501</v>
      </c>
      <c r="AI7247">
        <v>91.181524062693398</v>
      </c>
      <c r="AJ7247">
        <v>90.848107709294993</v>
      </c>
      <c r="AK7247">
        <v>53.867765793223803</v>
      </c>
      <c r="AL7247">
        <v>79.312099945781597</v>
      </c>
      <c r="AM7247">
        <v>95.213418516777196</v>
      </c>
      <c r="AN7247">
        <v>1.0000000040386501</v>
      </c>
    </row>
    <row r="7248" spans="1:40" x14ac:dyDescent="0.25">
      <c r="A7248" t="str">
        <f>"20190304154938227"</f>
        <v>20190304154938227</v>
      </c>
      <c r="B7248" t="str">
        <f>"1551685778224259"</f>
        <v>1551685778224259</v>
      </c>
      <c r="C7248" t="s">
        <v>40</v>
      </c>
      <c r="D7248">
        <v>4.155049</v>
      </c>
      <c r="E7248">
        <v>0.52777159999999901</v>
      </c>
      <c r="F7248" t="s">
        <v>68</v>
      </c>
      <c r="G7248">
        <v>-198.14349999999999</v>
      </c>
      <c r="H7248" s="1">
        <v>-6.6000250000000004E-6</v>
      </c>
      <c r="I7248">
        <v>-62.741199999999999</v>
      </c>
      <c r="J7248">
        <v>-251.86170000000001</v>
      </c>
      <c r="K7248">
        <v>1.110741</v>
      </c>
      <c r="L7248">
        <v>-63.278440000000003</v>
      </c>
      <c r="M7248">
        <v>0.99992859999999995</v>
      </c>
      <c r="N7248">
        <v>-1.1130620000000001E-2</v>
      </c>
      <c r="O7248">
        <v>-4.3739529999999999E-3</v>
      </c>
      <c r="P7248">
        <v>0.9809677</v>
      </c>
      <c r="Q7248">
        <v>0.17468149999999999</v>
      </c>
      <c r="R7248">
        <v>8.4789619999999996E-2</v>
      </c>
      <c r="S7248">
        <v>3.0667719999999998</v>
      </c>
      <c r="T7248">
        <v>-6.3233730000000002E-2</v>
      </c>
      <c r="U7248">
        <v>3.0548100000000002E-2</v>
      </c>
      <c r="V7248">
        <v>-8.9113529999999996E-2</v>
      </c>
      <c r="W7248">
        <v>0.1855696</v>
      </c>
      <c r="X7248">
        <v>0.97858199999999995</v>
      </c>
      <c r="Y7248">
        <v>-1.432952E-2</v>
      </c>
      <c r="Z7248">
        <v>2.6896880000000002E-4</v>
      </c>
      <c r="AA7248">
        <v>0.99989729999999999</v>
      </c>
      <c r="AB7248">
        <v>30</v>
      </c>
      <c r="AC7248">
        <v>53.718200000000003</v>
      </c>
      <c r="AD7248">
        <v>-1.1107476000250001</v>
      </c>
      <c r="AE7248">
        <v>0.53724000000000405</v>
      </c>
      <c r="AF7248">
        <v>-0.77188028653824803</v>
      </c>
      <c r="AG7248">
        <v>-1.1107476000250001</v>
      </c>
      <c r="AH7248">
        <v>53.692382139789899</v>
      </c>
      <c r="AI7248">
        <v>91.185000520160898</v>
      </c>
      <c r="AJ7248">
        <v>90.823625897195797</v>
      </c>
      <c r="AK7248">
        <v>53.709416858246897</v>
      </c>
      <c r="AL7248">
        <v>79.305657031216597</v>
      </c>
      <c r="AM7248">
        <v>95.203228114144096</v>
      </c>
      <c r="AN7248">
        <v>1.0000000141986101</v>
      </c>
    </row>
    <row r="7249" spans="1:40" x14ac:dyDescent="0.25">
      <c r="A7249" t="str">
        <f>"20190304154938239"</f>
        <v>20190304154938239</v>
      </c>
      <c r="B7249" t="str">
        <f>"1551685778234995"</f>
        <v>1551685778234995</v>
      </c>
      <c r="C7249" t="s">
        <v>40</v>
      </c>
      <c r="D7249">
        <v>4.2054460000000002</v>
      </c>
      <c r="E7249">
        <v>0.5276864</v>
      </c>
      <c r="F7249" t="s">
        <v>68</v>
      </c>
      <c r="G7249">
        <v>-198.34270000000001</v>
      </c>
      <c r="H7249" s="1">
        <v>-6.5202909999999996E-6</v>
      </c>
      <c r="I7249">
        <v>-62.765619999999998</v>
      </c>
      <c r="J7249">
        <v>-251.70509999999999</v>
      </c>
      <c r="K7249">
        <v>1.110733</v>
      </c>
      <c r="L7249">
        <v>-63.279049999999998</v>
      </c>
      <c r="M7249">
        <v>0.9999287</v>
      </c>
      <c r="N7249">
        <v>-1.113102E-2</v>
      </c>
      <c r="O7249">
        <v>-4.3295920000000002E-3</v>
      </c>
      <c r="P7249">
        <v>0.98097699999999999</v>
      </c>
      <c r="Q7249">
        <v>0.1746984</v>
      </c>
      <c r="R7249">
        <v>8.4644179999999999E-2</v>
      </c>
      <c r="S7249">
        <v>3.0670009999999999</v>
      </c>
      <c r="T7249">
        <v>-6.3653349999999997E-2</v>
      </c>
      <c r="U7249">
        <v>2.938843E-2</v>
      </c>
      <c r="V7249">
        <v>-8.8920959999999993E-2</v>
      </c>
      <c r="W7249">
        <v>0.18558839999999999</v>
      </c>
      <c r="X7249">
        <v>0.97859589999999996</v>
      </c>
      <c r="Y7249">
        <v>-1.3906470000000001E-2</v>
      </c>
      <c r="Z7249">
        <v>2.6335939999999998E-4</v>
      </c>
      <c r="AA7249">
        <v>0.99990330000000005</v>
      </c>
      <c r="AB7249">
        <v>30</v>
      </c>
      <c r="AC7249">
        <v>53.362399999999901</v>
      </c>
      <c r="AD7249">
        <v>-1.110739520291</v>
      </c>
      <c r="AE7249">
        <v>0.51342999999999905</v>
      </c>
      <c r="AF7249">
        <v>-0.74415452920806202</v>
      </c>
      <c r="AG7249">
        <v>-1.110739520291</v>
      </c>
      <c r="AH7249">
        <v>53.336569969731599</v>
      </c>
      <c r="AI7249">
        <v>91.192901953176005</v>
      </c>
      <c r="AJ7249">
        <v>90.799341757694805</v>
      </c>
      <c r="AK7249">
        <v>53.353324211161798</v>
      </c>
      <c r="AL7249">
        <v>79.3045602793228</v>
      </c>
      <c r="AM7249">
        <v>95.191972365852095</v>
      </c>
      <c r="AN7249">
        <v>0.99999996341934505</v>
      </c>
    </row>
    <row r="7250" spans="1:40" x14ac:dyDescent="0.25">
      <c r="A7250" t="str">
        <f>"20190304154938250"</f>
        <v>20190304154938250</v>
      </c>
      <c r="B7250" t="str">
        <f>"1551685778244754"</f>
        <v>1551685778244754</v>
      </c>
      <c r="C7250" t="s">
        <v>40</v>
      </c>
      <c r="D7250">
        <v>4.1274730000000002</v>
      </c>
      <c r="E7250">
        <v>0.52781279999999997</v>
      </c>
      <c r="F7250" t="s">
        <v>68</v>
      </c>
      <c r="G7250">
        <v>-199.35409999999999</v>
      </c>
      <c r="H7250" s="1">
        <v>-6.1091209999999996E-6</v>
      </c>
      <c r="I7250">
        <v>-62.779020000000003</v>
      </c>
      <c r="J7250">
        <v>-251.5583</v>
      </c>
      <c r="K7250">
        <v>1.1107260000000001</v>
      </c>
      <c r="L7250">
        <v>-63.27966</v>
      </c>
      <c r="M7250">
        <v>0.99992879999999995</v>
      </c>
      <c r="N7250">
        <v>-1.113142E-2</v>
      </c>
      <c r="O7250">
        <v>-4.2908310000000002E-3</v>
      </c>
      <c r="P7250">
        <v>0.98092999999999997</v>
      </c>
      <c r="Q7250">
        <v>0.17491219999999999</v>
      </c>
      <c r="R7250">
        <v>8.4746479999999999E-2</v>
      </c>
      <c r="S7250">
        <v>3.0672299999999999</v>
      </c>
      <c r="T7250">
        <v>-6.5077899999999994E-2</v>
      </c>
      <c r="U7250">
        <v>2.9296880000000001E-2</v>
      </c>
      <c r="V7250">
        <v>-8.8981690000000002E-2</v>
      </c>
      <c r="W7250">
        <v>0.18580350000000001</v>
      </c>
      <c r="X7250">
        <v>0.97854960000000002</v>
      </c>
      <c r="Y7250">
        <v>-1.383699E-2</v>
      </c>
      <c r="Z7250">
        <v>2.670673E-4</v>
      </c>
      <c r="AA7250">
        <v>0.99990420000000002</v>
      </c>
      <c r="AB7250">
        <v>30</v>
      </c>
      <c r="AC7250">
        <v>52.2042</v>
      </c>
      <c r="AD7250">
        <v>-1.1107321091210001</v>
      </c>
      <c r="AE7250">
        <v>0.50064000000000397</v>
      </c>
      <c r="AF7250">
        <v>-0.72432081001151005</v>
      </c>
      <c r="AG7250">
        <v>-1.1107321091210001</v>
      </c>
      <c r="AH7250">
        <v>52.177952433237202</v>
      </c>
      <c r="AI7250">
        <v>91.219375628702494</v>
      </c>
      <c r="AJ7250">
        <v>90.795314075109005</v>
      </c>
      <c r="AK7250">
        <v>52.194799420815897</v>
      </c>
      <c r="AL7250">
        <v>79.292018212703297</v>
      </c>
      <c r="AM7250">
        <v>95.195743386705203</v>
      </c>
      <c r="AN7250">
        <v>1.0000000007138301</v>
      </c>
    </row>
    <row r="7251" spans="1:40" x14ac:dyDescent="0.25">
      <c r="A7251" t="str">
        <f>"20190304154938262"</f>
        <v>20190304154938262</v>
      </c>
      <c r="B7251" t="str">
        <f>"1551685778254515"</f>
        <v>1551685778254515</v>
      </c>
      <c r="C7251" t="s">
        <v>40</v>
      </c>
      <c r="D7251">
        <v>4.1989640000000001</v>
      </c>
      <c r="E7251">
        <v>0.52821300000000004</v>
      </c>
      <c r="F7251" t="s">
        <v>68</v>
      </c>
      <c r="G7251">
        <v>-198.54669999999999</v>
      </c>
      <c r="H7251" s="1">
        <v>-6.4384640000000001E-6</v>
      </c>
      <c r="I7251">
        <v>-62.787050000000001</v>
      </c>
      <c r="J7251">
        <v>-251.411</v>
      </c>
      <c r="K7251">
        <v>1.1107180000000001</v>
      </c>
      <c r="L7251">
        <v>-63.280239999999999</v>
      </c>
      <c r="M7251">
        <v>0.99992899999999996</v>
      </c>
      <c r="N7251">
        <v>-1.113184E-2</v>
      </c>
      <c r="O7251">
        <v>-4.2613809999999998E-3</v>
      </c>
      <c r="P7251">
        <v>0.98091899999999999</v>
      </c>
      <c r="Q7251">
        <v>0.1750795</v>
      </c>
      <c r="R7251">
        <v>8.4528619999999999E-2</v>
      </c>
      <c r="S7251">
        <v>3.0673520000000001</v>
      </c>
      <c r="T7251">
        <v>-6.4269069999999998E-2</v>
      </c>
      <c r="U7251">
        <v>2.8503420000000002E-2</v>
      </c>
      <c r="V7251">
        <v>-8.8730999999999893E-2</v>
      </c>
      <c r="W7251">
        <v>0.185973</v>
      </c>
      <c r="X7251">
        <v>0.97854019999999997</v>
      </c>
      <c r="Y7251">
        <v>-1.354873E-2</v>
      </c>
      <c r="Z7251">
        <v>2.591906E-4</v>
      </c>
      <c r="AA7251">
        <v>0.99990809999999997</v>
      </c>
      <c r="AB7251">
        <v>30</v>
      </c>
      <c r="AC7251">
        <v>52.864299999999901</v>
      </c>
      <c r="AD7251">
        <v>-1.11072443846399</v>
      </c>
      <c r="AE7251">
        <v>0.49318999999999802</v>
      </c>
      <c r="AF7251">
        <v>-0.71815738735080004</v>
      </c>
      <c r="AG7251">
        <v>-1.11072443846399</v>
      </c>
      <c r="AH7251">
        <v>52.838394336494297</v>
      </c>
      <c r="AI7251">
        <v>91.204135310587901</v>
      </c>
      <c r="AJ7251">
        <v>90.778692357794398</v>
      </c>
      <c r="AK7251">
        <v>52.854946550631198</v>
      </c>
      <c r="AL7251">
        <v>79.282134682870407</v>
      </c>
      <c r="AM7251">
        <v>95.181234590814995</v>
      </c>
      <c r="AN7251">
        <v>1.0000000350530101</v>
      </c>
    </row>
    <row r="7252" spans="1:40" x14ac:dyDescent="0.25">
      <c r="A7252" t="str">
        <f>"20190304154938273"</f>
        <v>20190304154938273</v>
      </c>
      <c r="B7252" t="str">
        <f>"1551685778264275"</f>
        <v>1551685778264275</v>
      </c>
      <c r="C7252" t="s">
        <v>40</v>
      </c>
      <c r="D7252">
        <v>4.1332259999999996</v>
      </c>
      <c r="E7252">
        <v>0.52835089999999996</v>
      </c>
      <c r="F7252" t="s">
        <v>68</v>
      </c>
      <c r="G7252">
        <v>-197.8502</v>
      </c>
      <c r="H7252" s="1">
        <v>-6.7257629999999997E-6</v>
      </c>
      <c r="I7252">
        <v>-62.849699999999999</v>
      </c>
      <c r="J7252">
        <v>-251.2603</v>
      </c>
      <c r="K7252">
        <v>1.110714</v>
      </c>
      <c r="L7252">
        <v>-63.280850000000001</v>
      </c>
      <c r="M7252">
        <v>0.99992919999999996</v>
      </c>
      <c r="N7252">
        <v>-1.113227E-2</v>
      </c>
      <c r="O7252">
        <v>-4.2337240000000003E-3</v>
      </c>
      <c r="P7252">
        <v>0.98089099999999996</v>
      </c>
      <c r="Q7252">
        <v>0.1752165</v>
      </c>
      <c r="R7252">
        <v>8.4570999999999993E-2</v>
      </c>
      <c r="S7252">
        <v>3.0675810000000001</v>
      </c>
      <c r="T7252">
        <v>-6.3614489999999996E-2</v>
      </c>
      <c r="U7252">
        <v>2.4658200000000002E-2</v>
      </c>
      <c r="V7252">
        <v>-8.874216E-2</v>
      </c>
      <c r="W7252">
        <v>0.18611220000000001</v>
      </c>
      <c r="X7252">
        <v>0.97851270000000001</v>
      </c>
      <c r="Y7252">
        <v>-1.226759E-2</v>
      </c>
      <c r="Z7252">
        <v>2.3614020000000001E-4</v>
      </c>
      <c r="AA7252">
        <v>0.9999247</v>
      </c>
      <c r="AB7252">
        <v>30</v>
      </c>
      <c r="AC7252">
        <v>53.4101</v>
      </c>
      <c r="AD7252">
        <v>-1.1107207257629901</v>
      </c>
      <c r="AE7252">
        <v>0.43115000000000198</v>
      </c>
      <c r="AF7252">
        <v>-0.65699962269499801</v>
      </c>
      <c r="AG7252">
        <v>-1.1107207257629901</v>
      </c>
      <c r="AH7252">
        <v>53.384709630955797</v>
      </c>
      <c r="AI7252">
        <v>91.191832135062</v>
      </c>
      <c r="AJ7252">
        <v>90.705097123810802</v>
      </c>
      <c r="AK7252">
        <v>53.400304974937498</v>
      </c>
      <c r="AL7252">
        <v>79.274017157172693</v>
      </c>
      <c r="AM7252">
        <v>95.182027542950095</v>
      </c>
      <c r="AN7252">
        <v>1.00000001300579</v>
      </c>
    </row>
    <row r="7253" spans="1:40" x14ac:dyDescent="0.25">
      <c r="A7253" t="str">
        <f>"20190304154938283"</f>
        <v>20190304154938283</v>
      </c>
      <c r="B7253" t="str">
        <f>"1551685778275011"</f>
        <v>1551685778275011</v>
      </c>
      <c r="C7253" t="s">
        <v>40</v>
      </c>
      <c r="D7253">
        <v>4.1602949999999996</v>
      </c>
      <c r="E7253">
        <v>0.52863559999999998</v>
      </c>
      <c r="F7253" t="s">
        <v>68</v>
      </c>
      <c r="G7253">
        <v>-196.9436</v>
      </c>
      <c r="H7253" s="1">
        <v>-7.0959449999999999E-6</v>
      </c>
      <c r="I7253">
        <v>-62.865319999999997</v>
      </c>
      <c r="J7253">
        <v>-251.11109999999999</v>
      </c>
      <c r="K7253">
        <v>1.1107049999999901</v>
      </c>
      <c r="L7253">
        <v>-63.281460000000003</v>
      </c>
      <c r="M7253">
        <v>0.99992919999999996</v>
      </c>
      <c r="N7253">
        <v>-1.1132660000000001E-2</v>
      </c>
      <c r="O7253">
        <v>-4.2150139999999996E-3</v>
      </c>
      <c r="P7253">
        <v>0.98081759999999996</v>
      </c>
      <c r="Q7253">
        <v>0.17568110000000001</v>
      </c>
      <c r="R7253">
        <v>8.4458439999999996E-2</v>
      </c>
      <c r="S7253">
        <v>3.0676269999999999</v>
      </c>
      <c r="T7253">
        <v>-6.2729839999999995E-2</v>
      </c>
      <c r="U7253">
        <v>2.3468019999999999E-2</v>
      </c>
      <c r="V7253">
        <v>-8.8607270000000002E-2</v>
      </c>
      <c r="W7253">
        <v>0.18657789999999999</v>
      </c>
      <c r="X7253">
        <v>0.97843619999999998</v>
      </c>
      <c r="Y7253">
        <v>-1.186107E-2</v>
      </c>
      <c r="Z7253">
        <v>2.26555E-4</v>
      </c>
      <c r="AA7253">
        <v>0.99992959999999997</v>
      </c>
      <c r="AB7253">
        <v>30</v>
      </c>
      <c r="AC7253">
        <v>54.167499999999897</v>
      </c>
      <c r="AD7253">
        <v>-1.1107120959450001</v>
      </c>
      <c r="AE7253">
        <v>0.41613999999999801</v>
      </c>
      <c r="AF7253">
        <v>-0.64419636784213896</v>
      </c>
      <c r="AG7253">
        <v>-1.1107120959450001</v>
      </c>
      <c r="AH7253">
        <v>54.142501163587198</v>
      </c>
      <c r="AI7253">
        <v>91.175152358052799</v>
      </c>
      <c r="AJ7253">
        <v>90.681682424801707</v>
      </c>
      <c r="AK7253">
        <v>54.157724311213997</v>
      </c>
      <c r="AL7253">
        <v>79.246858449984003</v>
      </c>
      <c r="AM7253">
        <v>95.174595889986094</v>
      </c>
      <c r="AN7253">
        <v>0.999999979267851</v>
      </c>
    </row>
    <row r="7254" spans="1:40" x14ac:dyDescent="0.25">
      <c r="A7254" t="str">
        <f>"20190304154938295"</f>
        <v>20190304154938295</v>
      </c>
      <c r="B7254" t="str">
        <f>"1551685778284770"</f>
        <v>1551685778284770</v>
      </c>
      <c r="C7254" t="s">
        <v>40</v>
      </c>
      <c r="D7254">
        <v>4.1213110000000004</v>
      </c>
      <c r="E7254">
        <v>0.52874390000000004</v>
      </c>
      <c r="F7254" t="s">
        <v>68</v>
      </c>
      <c r="G7254">
        <v>-195.30080000000001</v>
      </c>
      <c r="H7254" s="1">
        <v>-7.7671340000000002E-6</v>
      </c>
      <c r="I7254">
        <v>-62.901159999999997</v>
      </c>
      <c r="J7254">
        <v>-250.97020000000001</v>
      </c>
      <c r="K7254">
        <v>1.110689</v>
      </c>
      <c r="L7254">
        <v>-63.282040000000002</v>
      </c>
      <c r="M7254">
        <v>0.99992919999999996</v>
      </c>
      <c r="N7254">
        <v>-1.113305E-2</v>
      </c>
      <c r="O7254">
        <v>-4.1996309999999997E-3</v>
      </c>
      <c r="P7254">
        <v>0.98082800000000003</v>
      </c>
      <c r="Q7254">
        <v>0.17570439999999901</v>
      </c>
      <c r="R7254">
        <v>8.4289600000000006E-2</v>
      </c>
      <c r="S7254">
        <v>3.0677949999999998</v>
      </c>
      <c r="T7254">
        <v>-6.1053990000000002E-2</v>
      </c>
      <c r="U7254">
        <v>2.0904539999999999E-2</v>
      </c>
      <c r="V7254">
        <v>-8.8419739999999997E-2</v>
      </c>
      <c r="W7254">
        <v>0.18660360000000001</v>
      </c>
      <c r="X7254">
        <v>0.97844830000000005</v>
      </c>
      <c r="Y7254">
        <v>-1.1010209999999999E-2</v>
      </c>
      <c r="Z7254">
        <v>2.0766560000000001E-4</v>
      </c>
      <c r="AA7254">
        <v>0.99993940000000003</v>
      </c>
      <c r="AB7254">
        <v>30</v>
      </c>
      <c r="AC7254">
        <v>55.669400000000003</v>
      </c>
      <c r="AD7254">
        <v>-1.110696767134</v>
      </c>
      <c r="AE7254">
        <v>0.38088000000000399</v>
      </c>
      <c r="AF7254">
        <v>-0.61443749344341303</v>
      </c>
      <c r="AG7254">
        <v>-1.110696767134</v>
      </c>
      <c r="AH7254">
        <v>55.6451598098378</v>
      </c>
      <c r="AI7254">
        <v>91.143422179204194</v>
      </c>
      <c r="AJ7254">
        <v>90.632638033052402</v>
      </c>
      <c r="AK7254">
        <v>55.6596352036578</v>
      </c>
      <c r="AL7254">
        <v>79.245360013041804</v>
      </c>
      <c r="AM7254">
        <v>95.163640038747403</v>
      </c>
      <c r="AN7254">
        <v>1.00000001486375</v>
      </c>
    </row>
    <row r="7255" spans="1:40" x14ac:dyDescent="0.25">
      <c r="A7255" t="str">
        <f>"20190304154938305"</f>
        <v>20190304154938305</v>
      </c>
      <c r="B7255" t="str">
        <f>"1551685778294531"</f>
        <v>1551685778294531</v>
      </c>
      <c r="C7255" t="s">
        <v>40</v>
      </c>
      <c r="D7255">
        <v>4.1189720000000003</v>
      </c>
      <c r="E7255">
        <v>0.52892139999999999</v>
      </c>
      <c r="F7255" t="s">
        <v>68</v>
      </c>
      <c r="G7255">
        <v>-194.84989999999999</v>
      </c>
      <c r="H7255" s="1">
        <v>-7.952197E-6</v>
      </c>
      <c r="I7255">
        <v>-62.9253199999999</v>
      </c>
      <c r="J7255">
        <v>-250.8263</v>
      </c>
      <c r="K7255">
        <v>1.1106780000000001</v>
      </c>
      <c r="L7255">
        <v>-63.282620000000001</v>
      </c>
      <c r="M7255">
        <v>0.99992919999999996</v>
      </c>
      <c r="N7255">
        <v>-1.1133540000000001E-2</v>
      </c>
      <c r="O7255">
        <v>-4.1891319999999999E-3</v>
      </c>
      <c r="P7255">
        <v>0.98079620000000001</v>
      </c>
      <c r="Q7255">
        <v>0.17593120000000001</v>
      </c>
      <c r="R7255">
        <v>8.418544E-2</v>
      </c>
      <c r="S7255">
        <v>3.067841</v>
      </c>
      <c r="T7255">
        <v>-6.071675E-2</v>
      </c>
      <c r="U7255">
        <v>1.9500730000000001E-2</v>
      </c>
      <c r="V7255">
        <v>-8.8301080000000004E-2</v>
      </c>
      <c r="W7255">
        <v>0.1868322</v>
      </c>
      <c r="X7255">
        <v>0.97841540000000005</v>
      </c>
      <c r="Y7255">
        <v>-1.054224E-2</v>
      </c>
      <c r="Z7255">
        <v>1.9927009999999999E-4</v>
      </c>
      <c r="AA7255">
        <v>0.99994439999999996</v>
      </c>
      <c r="AB7255">
        <v>30</v>
      </c>
      <c r="AC7255">
        <v>55.976399999999998</v>
      </c>
      <c r="AD7255">
        <v>-1.1106859521969901</v>
      </c>
      <c r="AE7255">
        <v>0.357300000000002</v>
      </c>
      <c r="AF7255">
        <v>-0.591571042386837</v>
      </c>
      <c r="AG7255">
        <v>-1.1106859521969901</v>
      </c>
      <c r="AH7255">
        <v>55.952383985098102</v>
      </c>
      <c r="AI7255">
        <v>91.137140208748207</v>
      </c>
      <c r="AJ7255">
        <v>90.605751868558102</v>
      </c>
      <c r="AK7255">
        <v>55.9665333319696</v>
      </c>
      <c r="AL7255">
        <v>79.232027822948993</v>
      </c>
      <c r="AM7255">
        <v>95.156920243494895</v>
      </c>
      <c r="AN7255">
        <v>1.00000002332158</v>
      </c>
    </row>
    <row r="7256" spans="1:40" x14ac:dyDescent="0.25">
      <c r="A7256" t="str">
        <f>"20190304154938316"</f>
        <v>20190304154938316</v>
      </c>
      <c r="B7256" t="str">
        <f>"1551685778314051"</f>
        <v>1551685778314051</v>
      </c>
      <c r="C7256" t="s">
        <v>40</v>
      </c>
      <c r="D7256">
        <v>4.1242229999999998</v>
      </c>
      <c r="E7256">
        <v>0.5290338</v>
      </c>
      <c r="F7256" t="s">
        <v>68</v>
      </c>
      <c r="G7256">
        <v>-193.66890000000001</v>
      </c>
      <c r="H7256" s="1">
        <v>-8.4348469999999995E-6</v>
      </c>
      <c r="I7256">
        <v>-62.953429999999997</v>
      </c>
      <c r="J7256">
        <v>-250.67910000000001</v>
      </c>
      <c r="K7256">
        <v>1.11067</v>
      </c>
      <c r="L7256">
        <v>-63.283230000000003</v>
      </c>
      <c r="M7256">
        <v>0.99992930000000002</v>
      </c>
      <c r="N7256">
        <v>-1.1134109999999999E-2</v>
      </c>
      <c r="O7256">
        <v>-4.1808899999999996E-3</v>
      </c>
      <c r="P7256">
        <v>0.98081510000000005</v>
      </c>
      <c r="Q7256">
        <v>0.17590790000000001</v>
      </c>
      <c r="R7256">
        <v>8.4014729999999996E-2</v>
      </c>
      <c r="S7256">
        <v>3.067917</v>
      </c>
      <c r="T7256">
        <v>-5.9615969999999997E-2</v>
      </c>
      <c r="U7256">
        <v>1.766968E-2</v>
      </c>
      <c r="V7256">
        <v>-8.8119009999999998E-2</v>
      </c>
      <c r="W7256">
        <v>0.18681120000000001</v>
      </c>
      <c r="X7256">
        <v>0.97843579999999997</v>
      </c>
      <c r="Y7256">
        <v>-9.9373440000000007E-3</v>
      </c>
      <c r="Z7256">
        <v>1.865592E-4</v>
      </c>
      <c r="AA7256">
        <v>0.99995060000000002</v>
      </c>
      <c r="AB7256">
        <v>30</v>
      </c>
      <c r="AC7256">
        <v>57.010199999999998</v>
      </c>
      <c r="AD7256">
        <v>-1.110678434847</v>
      </c>
      <c r="AE7256">
        <v>0.32979999999999798</v>
      </c>
      <c r="AF7256">
        <v>-0.56794970208982498</v>
      </c>
      <c r="AG7256">
        <v>-1.110678434847</v>
      </c>
      <c r="AH7256">
        <v>56.986694025373602</v>
      </c>
      <c r="AI7256">
        <v>91.116505751589898</v>
      </c>
      <c r="AJ7256">
        <v>90.571011252864395</v>
      </c>
      <c r="AK7256">
        <v>57.000346221679102</v>
      </c>
      <c r="AL7256">
        <v>79.233252338825494</v>
      </c>
      <c r="AM7256">
        <v>95.146237506350602</v>
      </c>
      <c r="AN7256">
        <v>0.99999999954523</v>
      </c>
    </row>
    <row r="7257" spans="1:40" x14ac:dyDescent="0.25">
      <c r="A7257" t="str">
        <f>"20190304154938327"</f>
        <v>20190304154938327</v>
      </c>
      <c r="B7257" t="str">
        <f>"1551685778324786"</f>
        <v>1551685778324786</v>
      </c>
      <c r="C7257" t="s">
        <v>40</v>
      </c>
      <c r="D7257">
        <v>4.1112489999999999</v>
      </c>
      <c r="E7257">
        <v>0.52904719999999905</v>
      </c>
      <c r="F7257" t="s">
        <v>68</v>
      </c>
      <c r="G7257">
        <v>-193.84630000000001</v>
      </c>
      <c r="H7257" s="1">
        <v>-8.3645210000000001E-6</v>
      </c>
      <c r="I7257">
        <v>-62.987009999999998</v>
      </c>
      <c r="J7257">
        <v>-250.5291</v>
      </c>
      <c r="K7257">
        <v>1.110662</v>
      </c>
      <c r="L7257">
        <v>-63.283810000000003</v>
      </c>
      <c r="M7257">
        <v>0.99992939999999997</v>
      </c>
      <c r="N7257">
        <v>-1.113477E-2</v>
      </c>
      <c r="O7257">
        <v>-4.1759750000000002E-3</v>
      </c>
      <c r="P7257">
        <v>0.98083129999999996</v>
      </c>
      <c r="Q7257">
        <v>0.17582339999999999</v>
      </c>
      <c r="R7257">
        <v>8.4002590000000002E-2</v>
      </c>
      <c r="S7257">
        <v>3.068085</v>
      </c>
      <c r="T7257">
        <v>-5.9959409999999998E-2</v>
      </c>
      <c r="U7257">
        <v>1.5991209999999999E-2</v>
      </c>
      <c r="V7257">
        <v>-8.8099860000000002E-2</v>
      </c>
      <c r="W7257">
        <v>0.18672910000000001</v>
      </c>
      <c r="X7257">
        <v>0.97845320000000002</v>
      </c>
      <c r="Y7257">
        <v>-9.385216E-3</v>
      </c>
      <c r="Z7257">
        <v>1.790638E-4</v>
      </c>
      <c r="AA7257">
        <v>0.99995599999999996</v>
      </c>
      <c r="AB7257">
        <v>30</v>
      </c>
      <c r="AC7257">
        <v>56.682799999999901</v>
      </c>
      <c r="AD7257">
        <v>-1.1106703645209901</v>
      </c>
      <c r="AE7257">
        <v>0.29679999999999701</v>
      </c>
      <c r="AF7257">
        <v>-0.53331325900427395</v>
      </c>
      <c r="AG7257">
        <v>-1.1106703645209901</v>
      </c>
      <c r="AH7257">
        <v>56.659312790141499</v>
      </c>
      <c r="AI7257">
        <v>91.122953213455801</v>
      </c>
      <c r="AJ7257">
        <v>90.539288159852205</v>
      </c>
      <c r="AK7257">
        <v>56.672707166165601</v>
      </c>
      <c r="AL7257">
        <v>79.238040619392507</v>
      </c>
      <c r="AM7257">
        <v>95.145034125121498</v>
      </c>
      <c r="AN7257">
        <v>1.00000000335453</v>
      </c>
    </row>
    <row r="7258" spans="1:40" x14ac:dyDescent="0.25">
      <c r="A7258" t="str">
        <f>"20190304154938341"</f>
        <v>20190304154938341</v>
      </c>
      <c r="B7258" t="str">
        <f>"1551685778334561"</f>
        <v>1551685778334561</v>
      </c>
      <c r="C7258" t="s">
        <v>40</v>
      </c>
      <c r="D7258">
        <v>4.1172019999999998</v>
      </c>
      <c r="E7258">
        <v>0.52921370000000001</v>
      </c>
      <c r="F7258" t="s">
        <v>68</v>
      </c>
      <c r="G7258">
        <v>-194.10339999999999</v>
      </c>
      <c r="H7258" s="1">
        <v>-8.2603760000000008E-6</v>
      </c>
      <c r="I7258">
        <v>-62.996450000000003</v>
      </c>
      <c r="J7258">
        <v>-250.36089999999999</v>
      </c>
      <c r="K7258">
        <v>1.110657</v>
      </c>
      <c r="L7258">
        <v>-63.284519999999901</v>
      </c>
      <c r="M7258">
        <v>0.99992930000000002</v>
      </c>
      <c r="N7258">
        <v>-1.1135549999999999E-2</v>
      </c>
      <c r="O7258">
        <v>-4.1734320000000004E-3</v>
      </c>
      <c r="P7258">
        <v>0.98086229999999996</v>
      </c>
      <c r="Q7258">
        <v>0.17579929999999999</v>
      </c>
      <c r="R7258">
        <v>8.3689429999999995E-2</v>
      </c>
      <c r="S7258">
        <v>3.0680999999999998</v>
      </c>
      <c r="T7258">
        <v>-6.0391779999999999E-2</v>
      </c>
      <c r="U7258">
        <v>1.5625E-2</v>
      </c>
      <c r="V7258">
        <v>-8.7781579999999998E-2</v>
      </c>
      <c r="W7258">
        <v>0.18670719999999999</v>
      </c>
      <c r="X7258">
        <v>0.97848599999999997</v>
      </c>
      <c r="Y7258">
        <v>-9.263294E-3</v>
      </c>
      <c r="Z7258">
        <v>1.784124E-4</v>
      </c>
      <c r="AA7258">
        <v>0.99995710000000004</v>
      </c>
      <c r="AB7258">
        <v>30</v>
      </c>
      <c r="AC7258">
        <v>56.257499999999901</v>
      </c>
      <c r="AD7258">
        <v>-1.1106652603759899</v>
      </c>
      <c r="AE7258">
        <v>0.28806999999999</v>
      </c>
      <c r="AF7258">
        <v>-0.52266518466456602</v>
      </c>
      <c r="AG7258">
        <v>-1.1106652603759899</v>
      </c>
      <c r="AH7258">
        <v>56.233890125760396</v>
      </c>
      <c r="AI7258">
        <v>91.1314424713064</v>
      </c>
      <c r="AJ7258">
        <v>90.532519568231507</v>
      </c>
      <c r="AK7258">
        <v>56.247285755776304</v>
      </c>
      <c r="AL7258">
        <v>79.239318021384094</v>
      </c>
      <c r="AM7258">
        <v>95.126374857404002</v>
      </c>
      <c r="AN7258">
        <v>1.0000000182575599</v>
      </c>
    </row>
    <row r="7259" spans="1:40" x14ac:dyDescent="0.25">
      <c r="A7259" t="str">
        <f>"20190304154938351"</f>
        <v>20190304154938351</v>
      </c>
      <c r="B7259" t="str">
        <f>"1551685778344306"</f>
        <v>1551685778344306</v>
      </c>
      <c r="C7259" t="s">
        <v>40</v>
      </c>
      <c r="D7259">
        <v>4.101877</v>
      </c>
      <c r="E7259">
        <v>0.52921370000000001</v>
      </c>
      <c r="F7259" t="s">
        <v>68</v>
      </c>
      <c r="G7259">
        <v>-193.63290000000001</v>
      </c>
      <c r="H7259" s="1">
        <v>-8.4546310000000001E-6</v>
      </c>
      <c r="I7259">
        <v>-63.041319999999899</v>
      </c>
      <c r="J7259">
        <v>-250.2183</v>
      </c>
      <c r="K7259">
        <v>1.110652</v>
      </c>
      <c r="L7259">
        <v>-63.285130000000002</v>
      </c>
      <c r="M7259">
        <v>0.99992939999999997</v>
      </c>
      <c r="N7259">
        <v>-1.113622E-2</v>
      </c>
      <c r="O7259">
        <v>-4.1728959999999997E-3</v>
      </c>
      <c r="P7259">
        <v>0.98082800000000003</v>
      </c>
      <c r="Q7259">
        <v>0.17603929999999901</v>
      </c>
      <c r="R7259">
        <v>8.3586350000000004E-2</v>
      </c>
      <c r="S7259">
        <v>3.0681609999999999</v>
      </c>
      <c r="T7259">
        <v>-6.0070749999999999E-2</v>
      </c>
      <c r="U7259">
        <v>1.3153079999999999E-2</v>
      </c>
      <c r="V7259">
        <v>-8.767577E-2</v>
      </c>
      <c r="W7259">
        <v>0.18694839999999999</v>
      </c>
      <c r="X7259">
        <v>0.97844940000000002</v>
      </c>
      <c r="Y7259">
        <v>-8.4573059999999995E-3</v>
      </c>
      <c r="Z7259">
        <v>1.6510569999999999E-4</v>
      </c>
      <c r="AA7259">
        <v>0.99996419999999997</v>
      </c>
      <c r="AB7259">
        <v>30</v>
      </c>
      <c r="AC7259">
        <v>56.5853999999999</v>
      </c>
      <c r="AD7259">
        <v>-1.1106604546309999</v>
      </c>
      <c r="AE7259">
        <v>0.24381000000000999</v>
      </c>
      <c r="AF7259">
        <v>-0.47976265177777999</v>
      </c>
      <c r="AG7259">
        <v>-1.1106604546309999</v>
      </c>
      <c r="AH7259">
        <v>56.562099112002699</v>
      </c>
      <c r="AI7259">
        <v>91.124882074260299</v>
      </c>
      <c r="AJ7259">
        <v>90.485974112629606</v>
      </c>
      <c r="AK7259">
        <v>56.575036851985701</v>
      </c>
      <c r="AL7259">
        <v>79.225250244975797</v>
      </c>
      <c r="AM7259">
        <v>95.1204190124717</v>
      </c>
      <c r="AN7259">
        <v>0.99999998663400602</v>
      </c>
    </row>
    <row r="7260" spans="1:40" x14ac:dyDescent="0.25">
      <c r="A7260" t="str">
        <f>"20190304154938362"</f>
        <v>20190304154938362</v>
      </c>
      <c r="B7260" t="str">
        <f>"1551685778354067"</f>
        <v>1551685778354067</v>
      </c>
      <c r="C7260" t="s">
        <v>40</v>
      </c>
      <c r="D7260">
        <v>4.1522249999999996</v>
      </c>
      <c r="E7260">
        <v>0.53089919999999902</v>
      </c>
      <c r="F7260" t="s">
        <v>68</v>
      </c>
      <c r="G7260">
        <v>-192.72</v>
      </c>
      <c r="H7260" s="1">
        <v>-8.8268409999999903E-6</v>
      </c>
      <c r="I7260">
        <v>-63.048360000000002</v>
      </c>
      <c r="J7260">
        <v>-250.06970000000001</v>
      </c>
      <c r="K7260">
        <v>1.1106579999999999</v>
      </c>
      <c r="L7260">
        <v>-63.285739999999997</v>
      </c>
      <c r="M7260">
        <v>0.99992939999999997</v>
      </c>
      <c r="N7260">
        <v>-1.113692E-2</v>
      </c>
      <c r="O7260">
        <v>-4.1774799999999999E-3</v>
      </c>
      <c r="P7260">
        <v>0.98082639999999999</v>
      </c>
      <c r="Q7260">
        <v>0.17620379999999899</v>
      </c>
      <c r="R7260">
        <v>8.3257620000000004E-2</v>
      </c>
      <c r="S7260">
        <v>3.0682070000000001</v>
      </c>
      <c r="T7260">
        <v>-5.9266810000000003E-2</v>
      </c>
      <c r="U7260">
        <v>1.2634279999999999E-2</v>
      </c>
      <c r="V7260">
        <v>-8.7350079999999997E-2</v>
      </c>
      <c r="W7260">
        <v>0.18711469999999999</v>
      </c>
      <c r="X7260">
        <v>0.97844679999999995</v>
      </c>
      <c r="Y7260">
        <v>-8.2928600000000009E-3</v>
      </c>
      <c r="Z7260">
        <v>1.6043580000000001E-4</v>
      </c>
      <c r="AA7260">
        <v>0.99996560000000001</v>
      </c>
      <c r="AB7260">
        <v>30</v>
      </c>
      <c r="AC7260">
        <v>57.349699999999999</v>
      </c>
      <c r="AD7260">
        <v>-1.1106668268409901</v>
      </c>
      <c r="AE7260">
        <v>0.237380000000008</v>
      </c>
      <c r="AF7260">
        <v>-0.47679115355001001</v>
      </c>
      <c r="AG7260">
        <v>-1.1106668268409901</v>
      </c>
      <c r="AH7260">
        <v>57.326706998110701</v>
      </c>
      <c r="AI7260">
        <v>91.109890387731198</v>
      </c>
      <c r="AJ7260">
        <v>90.476522939545902</v>
      </c>
      <c r="AK7260">
        <v>57.339447554468002</v>
      </c>
      <c r="AL7260">
        <v>79.215551424703193</v>
      </c>
      <c r="AM7260">
        <v>95.101512183581406</v>
      </c>
      <c r="AN7260">
        <v>1.00000004393116</v>
      </c>
    </row>
    <row r="7261" spans="1:40" x14ac:dyDescent="0.25">
      <c r="A7261" t="str">
        <f>"20190304154938373"</f>
        <v>20190304154938373</v>
      </c>
      <c r="B7261" t="str">
        <f>"1551685778364802"</f>
        <v>1551685778364802</v>
      </c>
      <c r="C7261" t="s">
        <v>40</v>
      </c>
      <c r="D7261">
        <v>4.1585619999999999</v>
      </c>
      <c r="E7261">
        <v>0.53159049999999997</v>
      </c>
      <c r="F7261" t="s">
        <v>68</v>
      </c>
      <c r="G7261">
        <v>-186.94909999999999</v>
      </c>
      <c r="H7261" s="1">
        <v>-9.8648980000000006E-6</v>
      </c>
      <c r="I7261">
        <v>-63.322780000000002</v>
      </c>
      <c r="J7261">
        <v>-249.92189999999999</v>
      </c>
      <c r="K7261">
        <v>1.110654</v>
      </c>
      <c r="L7261">
        <v>-63.286380000000001</v>
      </c>
      <c r="M7261">
        <v>0.99992919999999996</v>
      </c>
      <c r="N7261">
        <v>-1.1137620000000001E-2</v>
      </c>
      <c r="O7261">
        <v>-4.1834960000000001E-3</v>
      </c>
      <c r="P7261">
        <v>0.98082639999999999</v>
      </c>
      <c r="Q7261">
        <v>0.1764068</v>
      </c>
      <c r="R7261">
        <v>8.2827689999999995E-2</v>
      </c>
      <c r="S7261">
        <v>3.0684659999999999</v>
      </c>
      <c r="T7261">
        <v>-5.399263E-2</v>
      </c>
      <c r="U7261">
        <v>-1.8005370000000001E-3</v>
      </c>
      <c r="V7261">
        <v>-8.6923929999999996E-2</v>
      </c>
      <c r="W7261">
        <v>0.18731890000000001</v>
      </c>
      <c r="X7261">
        <v>0.97844560000000003</v>
      </c>
      <c r="Y7261">
        <v>-3.5959770000000002E-3</v>
      </c>
      <c r="Z7261" s="1">
        <v>7.8675739999999999E-5</v>
      </c>
      <c r="AA7261">
        <v>0.99999349999999998</v>
      </c>
      <c r="AB7261">
        <v>30</v>
      </c>
      <c r="AC7261">
        <v>62.972799999999999</v>
      </c>
      <c r="AD7261">
        <v>-1.1106638648980001</v>
      </c>
      <c r="AE7261">
        <v>-3.6400000000000397E-2</v>
      </c>
      <c r="AF7261">
        <v>-0.226992512253748</v>
      </c>
      <c r="AG7261">
        <v>-1.1106638648980001</v>
      </c>
      <c r="AH7261">
        <v>62.952818375883503</v>
      </c>
      <c r="AI7261">
        <v>91.010746438046695</v>
      </c>
      <c r="AJ7261">
        <v>90.206593714224198</v>
      </c>
      <c r="AK7261">
        <v>62.9630243975651</v>
      </c>
      <c r="AL7261">
        <v>79.203640183770204</v>
      </c>
      <c r="AM7261">
        <v>95.076760290840895</v>
      </c>
      <c r="AN7261">
        <v>0.99999996603160701</v>
      </c>
    </row>
    <row r="7262" spans="1:40" x14ac:dyDescent="0.25">
      <c r="A7262" t="str">
        <f>"20190304154938384"</f>
        <v>20190304154938384</v>
      </c>
      <c r="B7262" t="str">
        <f>"1551685778374562"</f>
        <v>1551685778374562</v>
      </c>
      <c r="C7262" t="s">
        <v>40</v>
      </c>
      <c r="D7262">
        <v>4.3249029999999999</v>
      </c>
      <c r="E7262">
        <v>0.5322306</v>
      </c>
      <c r="F7262" t="s">
        <v>68</v>
      </c>
      <c r="G7262">
        <v>-188.0667</v>
      </c>
      <c r="H7262" s="1">
        <v>-9.9398999999999995E-6</v>
      </c>
      <c r="I7262">
        <v>-63.464730000000003</v>
      </c>
      <c r="J7262">
        <v>-249.77340000000001</v>
      </c>
      <c r="K7262">
        <v>1.110646</v>
      </c>
      <c r="L7262">
        <v>-63.286990000000003</v>
      </c>
      <c r="M7262">
        <v>0.99992919999999996</v>
      </c>
      <c r="N7262">
        <v>-1.113834E-2</v>
      </c>
      <c r="O7262">
        <v>-4.1958450000000001E-3</v>
      </c>
      <c r="P7262">
        <v>0.98087089999999999</v>
      </c>
      <c r="Q7262">
        <v>0.17631369999999999</v>
      </c>
      <c r="R7262">
        <v>8.2498589999999997E-2</v>
      </c>
      <c r="S7262">
        <v>3.0693049999999999</v>
      </c>
      <c r="T7262">
        <v>-5.5112000000000001E-2</v>
      </c>
      <c r="U7262">
        <v>-8.8500980000000007E-3</v>
      </c>
      <c r="V7262">
        <v>-8.6604940000000005E-2</v>
      </c>
      <c r="W7262">
        <v>0.18722849999999999</v>
      </c>
      <c r="X7262">
        <v>0.97849120000000001</v>
      </c>
      <c r="Y7262">
        <v>-1.3122639999999901E-3</v>
      </c>
      <c r="Z7262" s="1">
        <v>4.7688490000000002E-5</v>
      </c>
      <c r="AA7262">
        <v>0.99999919999999998</v>
      </c>
      <c r="AB7262">
        <v>30</v>
      </c>
      <c r="AC7262">
        <v>61.706699999999998</v>
      </c>
      <c r="AD7262">
        <v>-1.1106559399</v>
      </c>
      <c r="AE7262">
        <v>-0.17774000000000001</v>
      </c>
      <c r="AF7262">
        <v>-8.1163072583352397E-2</v>
      </c>
      <c r="AG7262">
        <v>-1.1106559399</v>
      </c>
      <c r="AH7262">
        <v>61.686918500354899</v>
      </c>
      <c r="AI7262">
        <v>91.031482352877603</v>
      </c>
      <c r="AJ7262">
        <v>90.075385494055496</v>
      </c>
      <c r="AK7262">
        <v>61.696969602490299</v>
      </c>
      <c r="AL7262">
        <v>79.208913137467903</v>
      </c>
      <c r="AM7262">
        <v>95.057992122001806</v>
      </c>
      <c r="AN7262">
        <v>0.99999997766104598</v>
      </c>
    </row>
    <row r="7263" spans="1:40" x14ac:dyDescent="0.25">
      <c r="A7263" t="str">
        <f>"20190304154938395"</f>
        <v>20190304154938395</v>
      </c>
      <c r="B7263" t="str">
        <f>"1551685778384322"</f>
        <v>1551685778384322</v>
      </c>
      <c r="C7263" t="s">
        <v>40</v>
      </c>
      <c r="D7263">
        <v>4.2697349999999998</v>
      </c>
      <c r="E7263">
        <v>0.53307780000000005</v>
      </c>
      <c r="F7263" t="s">
        <v>68</v>
      </c>
      <c r="G7263">
        <v>-189.7817</v>
      </c>
      <c r="H7263" s="1">
        <v>-1.0090329999999999E-5</v>
      </c>
      <c r="I7263">
        <v>-63.585749999999997</v>
      </c>
      <c r="J7263">
        <v>-249.63409999999999</v>
      </c>
      <c r="K7263">
        <v>1.110644</v>
      </c>
      <c r="L7263">
        <v>-63.287570000000002</v>
      </c>
      <c r="M7263">
        <v>0.99992910000000002</v>
      </c>
      <c r="N7263">
        <v>-1.1139029999999999E-2</v>
      </c>
      <c r="O7263">
        <v>-4.2096269999999996E-3</v>
      </c>
      <c r="P7263">
        <v>0.98093359999999996</v>
      </c>
      <c r="Q7263">
        <v>0.1761655</v>
      </c>
      <c r="R7263">
        <v>8.2066890000000003E-2</v>
      </c>
      <c r="S7263">
        <v>3.0700069999999999</v>
      </c>
      <c r="T7263">
        <v>-5.6836610000000003E-2</v>
      </c>
      <c r="U7263">
        <v>-1.528931E-2</v>
      </c>
      <c r="V7263">
        <v>-8.6184640000000007E-2</v>
      </c>
      <c r="W7263">
        <v>0.18708240000000001</v>
      </c>
      <c r="X7263">
        <v>0.97855630000000005</v>
      </c>
      <c r="Y7263">
        <v>7.7017939999999999E-4</v>
      </c>
      <c r="Z7263" s="1">
        <v>1.961751E-5</v>
      </c>
      <c r="AA7263">
        <v>0.99999970000000005</v>
      </c>
      <c r="AB7263">
        <v>30</v>
      </c>
      <c r="AC7263">
        <v>59.852399999999903</v>
      </c>
      <c r="AD7263">
        <v>-1.11065409033</v>
      </c>
      <c r="AE7263">
        <v>-0.298180000000002</v>
      </c>
      <c r="AF7263">
        <v>4.6189541750348E-2</v>
      </c>
      <c r="AG7263">
        <v>-1.11065409033</v>
      </c>
      <c r="AH7263">
        <v>59.832522362595597</v>
      </c>
      <c r="AI7263">
        <v>91.063442803833695</v>
      </c>
      <c r="AJ7263">
        <v>89.955768783101306</v>
      </c>
      <c r="AK7263">
        <v>59.842847678337002</v>
      </c>
      <c r="AL7263">
        <v>79.217435133239704</v>
      </c>
      <c r="AM7263">
        <v>95.033238588823806</v>
      </c>
      <c r="AN7263">
        <v>1.0000000244156799</v>
      </c>
    </row>
    <row r="7264" spans="1:40" x14ac:dyDescent="0.25">
      <c r="A7264" t="str">
        <f>"20190304154938405"</f>
        <v>20190304154938405</v>
      </c>
      <c r="B7264" t="str">
        <f>"1551685778394082"</f>
        <v>1551685778394082</v>
      </c>
      <c r="C7264" t="s">
        <v>40</v>
      </c>
      <c r="D7264">
        <v>4.3420540000000001</v>
      </c>
      <c r="E7264">
        <v>0.53400919999999996</v>
      </c>
      <c r="F7264" t="s">
        <v>68</v>
      </c>
      <c r="G7264">
        <v>-190.51349999999999</v>
      </c>
      <c r="H7264" s="1">
        <v>-9.8494430000000002E-6</v>
      </c>
      <c r="I7264">
        <v>-63.742930000000001</v>
      </c>
      <c r="J7264">
        <v>-249.48849999999999</v>
      </c>
      <c r="K7264">
        <v>1.1106339999999999</v>
      </c>
      <c r="L7264">
        <v>-63.288209999999999</v>
      </c>
      <c r="M7264">
        <v>0.99992899999999996</v>
      </c>
      <c r="N7264">
        <v>-1.113976E-2</v>
      </c>
      <c r="O7264">
        <v>-4.2291509999999996E-3</v>
      </c>
      <c r="P7264">
        <v>0.98100940000000003</v>
      </c>
      <c r="Q7264">
        <v>0.17601320000000001</v>
      </c>
      <c r="R7264">
        <v>8.1487770000000001E-2</v>
      </c>
      <c r="S7264">
        <v>3.0706630000000001</v>
      </c>
      <c r="T7264">
        <v>-5.7686210000000002E-2</v>
      </c>
      <c r="U7264">
        <v>-2.3651120000000001E-2</v>
      </c>
      <c r="V7264">
        <v>-8.5622030000000002E-2</v>
      </c>
      <c r="W7264">
        <v>0.1869334</v>
      </c>
      <c r="X7264">
        <v>0.97863409999999995</v>
      </c>
      <c r="Y7264">
        <v>3.4718470000000001E-3</v>
      </c>
      <c r="Z7264" s="1">
        <v>-1.9619469999999999E-5</v>
      </c>
      <c r="AA7264">
        <v>0.99999400000000005</v>
      </c>
      <c r="AB7264">
        <v>30</v>
      </c>
      <c r="AC7264">
        <v>58.975000000000001</v>
      </c>
      <c r="AD7264">
        <v>-1.110643849443</v>
      </c>
      <c r="AE7264">
        <v>-0.45472000000000101</v>
      </c>
      <c r="AF7264">
        <v>0.20521349706459099</v>
      </c>
      <c r="AG7264">
        <v>-1.110643849443</v>
      </c>
      <c r="AH7264">
        <v>58.9554877423272</v>
      </c>
      <c r="AI7264">
        <v>91.079242931033207</v>
      </c>
      <c r="AJ7264">
        <v>89.800564455575298</v>
      </c>
      <c r="AK7264">
        <v>58.966305440271398</v>
      </c>
      <c r="AL7264">
        <v>79.2261248671484</v>
      </c>
      <c r="AM7264">
        <v>95.0001534187613</v>
      </c>
      <c r="AN7264">
        <v>0.99999996486984399</v>
      </c>
    </row>
    <row r="7265" spans="1:40" x14ac:dyDescent="0.25">
      <c r="A7265" t="str">
        <f>"20190304154938417"</f>
        <v>20190304154938417</v>
      </c>
      <c r="B7265" t="str">
        <f>"1551685778414578"</f>
        <v>1551685778414578</v>
      </c>
      <c r="C7265" t="s">
        <v>40</v>
      </c>
      <c r="D7265">
        <v>4.1982359999999996</v>
      </c>
      <c r="E7265">
        <v>0.53559349999999994</v>
      </c>
      <c r="F7265" t="s">
        <v>68</v>
      </c>
      <c r="G7265">
        <v>-190.55170000000001</v>
      </c>
      <c r="H7265" s="1">
        <v>-9.8485500000000008E-6</v>
      </c>
      <c r="I7265">
        <v>-63.923029999999997</v>
      </c>
      <c r="J7265">
        <v>-249.33949999999999</v>
      </c>
      <c r="K7265">
        <v>1.110625</v>
      </c>
      <c r="L7265">
        <v>-63.288820000000001</v>
      </c>
      <c r="M7265">
        <v>0.99992899999999996</v>
      </c>
      <c r="N7265">
        <v>-1.1140529999999999E-2</v>
      </c>
      <c r="O7265">
        <v>-4.2535769999999997E-3</v>
      </c>
      <c r="P7265">
        <v>0.98110160000000002</v>
      </c>
      <c r="Q7265">
        <v>0.17579839999999999</v>
      </c>
      <c r="R7265">
        <v>8.0835699999999996E-2</v>
      </c>
      <c r="S7265">
        <v>3.0712130000000002</v>
      </c>
      <c r="T7265">
        <v>-5.7875990000000002E-2</v>
      </c>
      <c r="U7265">
        <v>-3.3081050000000001E-2</v>
      </c>
      <c r="V7265">
        <v>-8.4990860000000001E-2</v>
      </c>
      <c r="W7265">
        <v>0.1867212</v>
      </c>
      <c r="X7265">
        <v>0.97872969999999904</v>
      </c>
      <c r="Y7265">
        <v>6.5153030000000001E-3</v>
      </c>
      <c r="Z7265" s="1">
        <v>-6.492007E-5</v>
      </c>
      <c r="AA7265">
        <v>0.99997879999999995</v>
      </c>
      <c r="AB7265">
        <v>30</v>
      </c>
      <c r="AC7265">
        <v>58.787799999999898</v>
      </c>
      <c r="AD7265">
        <v>-1.1106348485499999</v>
      </c>
      <c r="AE7265">
        <v>-0.63421000000001004</v>
      </c>
      <c r="AF7265">
        <v>0.383993297048914</v>
      </c>
      <c r="AG7265">
        <v>-1.1106348485499999</v>
      </c>
      <c r="AH7265">
        <v>58.768992681354902</v>
      </c>
      <c r="AI7265">
        <v>91.082641622064301</v>
      </c>
      <c r="AJ7265">
        <v>89.625637922454203</v>
      </c>
      <c r="AK7265">
        <v>58.780740565257801</v>
      </c>
      <c r="AL7265">
        <v>79.238501750216798</v>
      </c>
      <c r="AM7265">
        <v>94.9629967774802</v>
      </c>
      <c r="AN7265">
        <v>1.0000000392375299</v>
      </c>
    </row>
    <row r="7266" spans="1:40" x14ac:dyDescent="0.25">
      <c r="A7266" t="str">
        <f>"20190304154938429"</f>
        <v>20190304154938429</v>
      </c>
      <c r="B7266" t="str">
        <f>"1551685778424338"</f>
        <v>1551685778424338</v>
      </c>
      <c r="C7266" t="s">
        <v>40</v>
      </c>
      <c r="D7266">
        <v>4.3512810000000002</v>
      </c>
      <c r="E7266">
        <v>0.5361262</v>
      </c>
      <c r="F7266" t="s">
        <v>68</v>
      </c>
      <c r="G7266">
        <v>-190.3648</v>
      </c>
      <c r="H7266" s="1">
        <v>-9.9552540000000002E-6</v>
      </c>
      <c r="I7266">
        <v>-64.208010000000002</v>
      </c>
      <c r="J7266">
        <v>-249.1858</v>
      </c>
      <c r="K7266">
        <v>1.110609</v>
      </c>
      <c r="L7266">
        <v>-63.289520000000003</v>
      </c>
      <c r="M7266">
        <v>0.99992879999999995</v>
      </c>
      <c r="N7266">
        <v>-1.114133E-2</v>
      </c>
      <c r="O7266">
        <v>-4.2829069999999999E-3</v>
      </c>
      <c r="P7266">
        <v>0.98121990000000003</v>
      </c>
      <c r="Q7266">
        <v>0.17540720000000001</v>
      </c>
      <c r="R7266">
        <v>8.0249619999999994E-2</v>
      </c>
      <c r="S7266">
        <v>3.072098</v>
      </c>
      <c r="T7266">
        <v>-5.7855009999999998E-2</v>
      </c>
      <c r="U7266">
        <v>-4.788208E-2</v>
      </c>
      <c r="V7266">
        <v>-8.4430119999999997E-2</v>
      </c>
      <c r="W7266">
        <v>0.18633430000000001</v>
      </c>
      <c r="X7266">
        <v>0.9788519</v>
      </c>
      <c r="Y7266">
        <v>1.129837E-2</v>
      </c>
      <c r="Z7266">
        <v>-1.36396E-4</v>
      </c>
      <c r="AA7266">
        <v>0.99993620000000005</v>
      </c>
      <c r="AB7266">
        <v>30</v>
      </c>
      <c r="AC7266">
        <v>58.820999999999998</v>
      </c>
      <c r="AD7266">
        <v>-1.110618955254</v>
      </c>
      <c r="AE7266">
        <v>-0.91849000000000502</v>
      </c>
      <c r="AF7266">
        <v>0.666303592393517</v>
      </c>
      <c r="AG7266">
        <v>-1.110618955254</v>
      </c>
      <c r="AH7266">
        <v>58.803435900854197</v>
      </c>
      <c r="AI7266">
        <v>91.081945804714707</v>
      </c>
      <c r="AJ7266">
        <v>89.350807492646894</v>
      </c>
      <c r="AK7266">
        <v>58.817697240599898</v>
      </c>
      <c r="AL7266">
        <v>79.261064836065898</v>
      </c>
      <c r="AM7266">
        <v>94.929802116645007</v>
      </c>
      <c r="AN7266">
        <v>0.99999997932665696</v>
      </c>
    </row>
    <row r="7267" spans="1:40" x14ac:dyDescent="0.25">
      <c r="A7267" t="str">
        <f>"20190304154938440"</f>
        <v>20190304154938440</v>
      </c>
      <c r="B7267" t="str">
        <f>"1551685778434098"</f>
        <v>1551685778434098</v>
      </c>
      <c r="C7267" t="s">
        <v>40</v>
      </c>
      <c r="D7267">
        <v>4.1973089999999997</v>
      </c>
      <c r="E7267">
        <v>0.53672959999999903</v>
      </c>
      <c r="F7267" t="s">
        <v>68</v>
      </c>
      <c r="G7267">
        <v>-191.6712</v>
      </c>
      <c r="H7267" s="1">
        <v>-9.3926239999999995E-6</v>
      </c>
      <c r="I7267">
        <v>-64.303529999999995</v>
      </c>
      <c r="J7267">
        <v>-249.0257</v>
      </c>
      <c r="K7267">
        <v>1.1106</v>
      </c>
      <c r="L7267">
        <v>-63.29025</v>
      </c>
      <c r="M7267">
        <v>0.9999287</v>
      </c>
      <c r="N7267">
        <v>-1.114216E-2</v>
      </c>
      <c r="O7267">
        <v>-4.3217919999999996E-3</v>
      </c>
      <c r="P7267">
        <v>0.98131469999999998</v>
      </c>
      <c r="Q7267">
        <v>0.17520239999999901</v>
      </c>
      <c r="R7267">
        <v>7.9535140000000004E-2</v>
      </c>
      <c r="S7267">
        <v>3.0724490000000002</v>
      </c>
      <c r="T7267">
        <v>-5.9329630000000001E-2</v>
      </c>
      <c r="U7267">
        <v>-5.41687E-2</v>
      </c>
      <c r="V7267">
        <v>-8.3750030000000003E-2</v>
      </c>
      <c r="W7267">
        <v>0.1861333</v>
      </c>
      <c r="X7267">
        <v>0.97894859999999995</v>
      </c>
      <c r="Y7267">
        <v>1.3302410000000001E-2</v>
      </c>
      <c r="Z7267">
        <v>-1.6725299999999999E-4</v>
      </c>
      <c r="AA7267">
        <v>0.99991149999999995</v>
      </c>
      <c r="AB7267">
        <v>30</v>
      </c>
      <c r="AC7267">
        <v>57.354500000000002</v>
      </c>
      <c r="AD7267">
        <v>-1.1106093926239999</v>
      </c>
      <c r="AE7267">
        <v>-1.01328</v>
      </c>
      <c r="AF7267">
        <v>0.76509416519972095</v>
      </c>
      <c r="AG7267">
        <v>-1.1106093926239999</v>
      </c>
      <c r="AH7267">
        <v>57.336851303944101</v>
      </c>
      <c r="AI7267">
        <v>91.109576313423801</v>
      </c>
      <c r="AJ7267">
        <v>89.235499263555894</v>
      </c>
      <c r="AK7267">
        <v>57.352709959994002</v>
      </c>
      <c r="AL7267">
        <v>79.272786761305994</v>
      </c>
      <c r="AM7267">
        <v>94.889804878598198</v>
      </c>
      <c r="AN7267">
        <v>1.00000001716792</v>
      </c>
    </row>
    <row r="7268" spans="1:40" x14ac:dyDescent="0.25">
      <c r="A7268" t="str">
        <f>"20190304154938450"</f>
        <v>20190304154938450</v>
      </c>
      <c r="B7268" t="str">
        <f>"1551685778444835"</f>
        <v>1551685778444835</v>
      </c>
      <c r="C7268" t="s">
        <v>40</v>
      </c>
      <c r="D7268">
        <v>4.1070010000000003</v>
      </c>
      <c r="E7268">
        <v>0.53740639999999995</v>
      </c>
      <c r="F7268" t="s">
        <v>68</v>
      </c>
      <c r="G7268">
        <v>-192.18279999999999</v>
      </c>
      <c r="H7268" s="1">
        <v>-9.1796730000000007E-6</v>
      </c>
      <c r="I7268">
        <v>-64.424959999999999</v>
      </c>
      <c r="J7268">
        <v>-248.8853</v>
      </c>
      <c r="K7268">
        <v>1.11059</v>
      </c>
      <c r="L7268">
        <v>-63.290889999999997</v>
      </c>
      <c r="M7268">
        <v>0.99992840000000005</v>
      </c>
      <c r="N7268">
        <v>-1.1142890000000001E-2</v>
      </c>
      <c r="O7268">
        <v>-4.3578030000000004E-3</v>
      </c>
      <c r="P7268">
        <v>0.98138979999999998</v>
      </c>
      <c r="Q7268">
        <v>0.17515520000000001</v>
      </c>
      <c r="R7268">
        <v>7.8708189999999997E-2</v>
      </c>
      <c r="S7268">
        <v>3.0728300000000002</v>
      </c>
      <c r="T7268">
        <v>-6.0037609999999998E-2</v>
      </c>
      <c r="U7268">
        <v>-6.1340329999999998E-2</v>
      </c>
      <c r="V7268">
        <v>-8.2954330000000007E-2</v>
      </c>
      <c r="W7268">
        <v>0.1860897</v>
      </c>
      <c r="X7268">
        <v>0.97902460000000002</v>
      </c>
      <c r="Y7268">
        <v>1.5596270000000001E-2</v>
      </c>
      <c r="Z7268">
        <v>-2.02678E-4</v>
      </c>
      <c r="AA7268">
        <v>0.9998783</v>
      </c>
      <c r="AB7268">
        <v>30</v>
      </c>
      <c r="AC7268">
        <v>56.702500000000001</v>
      </c>
      <c r="AD7268">
        <v>-1.1105991796729999</v>
      </c>
      <c r="AE7268">
        <v>-1.1340699999999899</v>
      </c>
      <c r="AF7268">
        <v>0.88660556826541903</v>
      </c>
      <c r="AG7268">
        <v>-1.1105991796729999</v>
      </c>
      <c r="AH7268">
        <v>56.685166567172402</v>
      </c>
      <c r="AI7268">
        <v>91.122281724718206</v>
      </c>
      <c r="AJ7268">
        <v>89.103916978272295</v>
      </c>
      <c r="AK7268">
        <v>56.702977071046703</v>
      </c>
      <c r="AL7268">
        <v>79.275328900764706</v>
      </c>
      <c r="AM7268">
        <v>94.843195231483804</v>
      </c>
      <c r="AN7268">
        <v>0.99999998235849896</v>
      </c>
    </row>
    <row r="7269" spans="1:40" x14ac:dyDescent="0.25">
      <c r="A7269" t="str">
        <f>"20190304154938462"</f>
        <v>20190304154938462</v>
      </c>
      <c r="B7269" t="str">
        <f>"1551685778454594"</f>
        <v>1551685778454594</v>
      </c>
      <c r="C7269" t="s">
        <v>40</v>
      </c>
      <c r="D7269">
        <v>4.2268299999999996</v>
      </c>
      <c r="E7269">
        <v>0.53793269999999904</v>
      </c>
      <c r="F7269" t="s">
        <v>68</v>
      </c>
      <c r="G7269">
        <v>-192.0453</v>
      </c>
      <c r="H7269" s="1">
        <v>-9.2531889999999997E-6</v>
      </c>
      <c r="I7269">
        <v>-64.577799999999996</v>
      </c>
      <c r="J7269">
        <v>-248.73320000000001</v>
      </c>
      <c r="K7269">
        <v>1.1105780000000001</v>
      </c>
      <c r="L7269">
        <v>-63.291600000000003</v>
      </c>
      <c r="M7269">
        <v>0.99992829999999999</v>
      </c>
      <c r="N7269">
        <v>-1.1143699999999999E-2</v>
      </c>
      <c r="O7269">
        <v>-4.4072989999999999E-3</v>
      </c>
      <c r="P7269">
        <v>0.98145059999999995</v>
      </c>
      <c r="Q7269">
        <v>0.17509089999999999</v>
      </c>
      <c r="R7269">
        <v>7.8088779999999997E-2</v>
      </c>
      <c r="S7269">
        <v>3.0731959999999998</v>
      </c>
      <c r="T7269">
        <v>-6.0047389999999999E-2</v>
      </c>
      <c r="U7269">
        <v>-6.9580080000000002E-2</v>
      </c>
      <c r="V7269">
        <v>-8.2379220000000003E-2</v>
      </c>
      <c r="W7269">
        <v>0.18602830000000001</v>
      </c>
      <c r="X7269">
        <v>0.97908479999999998</v>
      </c>
      <c r="Y7269">
        <v>1.8223179999999999E-2</v>
      </c>
      <c r="Z7269">
        <v>-2.4257400000000001E-4</v>
      </c>
      <c r="AA7269">
        <v>0.99983390000000005</v>
      </c>
      <c r="AB7269">
        <v>30</v>
      </c>
      <c r="AC7269">
        <v>56.687899999999999</v>
      </c>
      <c r="AD7269">
        <v>-1.110587253189</v>
      </c>
      <c r="AE7269">
        <v>-1.28619999999999</v>
      </c>
      <c r="AF7269">
        <v>1.0359340888542301</v>
      </c>
      <c r="AG7269">
        <v>-1.110587253189</v>
      </c>
      <c r="AH7269">
        <v>56.671278158066301</v>
      </c>
      <c r="AI7269">
        <v>91.122494428413702</v>
      </c>
      <c r="AJ7269">
        <v>88.952766845403005</v>
      </c>
      <c r="AK7269">
        <v>56.691624880155899</v>
      </c>
      <c r="AL7269">
        <v>79.278909084564305</v>
      </c>
      <c r="AM7269">
        <v>94.809481803612002</v>
      </c>
      <c r="AN7269">
        <v>0.99999995493986804</v>
      </c>
    </row>
    <row r="7270" spans="1:40" x14ac:dyDescent="0.25">
      <c r="A7270" t="str">
        <f>"20190304154938473"</f>
        <v>20190304154938473</v>
      </c>
      <c r="B7270" t="str">
        <f>"1551685778464355"</f>
        <v>1551685778464355</v>
      </c>
      <c r="C7270" t="s">
        <v>40</v>
      </c>
      <c r="D7270">
        <v>4.2576850000000004</v>
      </c>
      <c r="E7270">
        <v>0.53838839999999999</v>
      </c>
      <c r="F7270" t="s">
        <v>68</v>
      </c>
      <c r="G7270">
        <v>-192.52340000000001</v>
      </c>
      <c r="H7270" s="1">
        <v>-9.0531580000000001E-6</v>
      </c>
      <c r="I7270">
        <v>-64.679599999999994</v>
      </c>
      <c r="J7270">
        <v>-248.59049999999999</v>
      </c>
      <c r="K7270">
        <v>1.1105689999999999</v>
      </c>
      <c r="L7270">
        <v>-63.292270000000002</v>
      </c>
      <c r="M7270">
        <v>0.99992789999999998</v>
      </c>
      <c r="N7270">
        <v>-1.114445E-2</v>
      </c>
      <c r="O7270">
        <v>-4.4552339999999998E-3</v>
      </c>
      <c r="P7270">
        <v>0.98147479999999998</v>
      </c>
      <c r="Q7270">
        <v>0.17522889999999999</v>
      </c>
      <c r="R7270">
        <v>7.7473390000000003E-2</v>
      </c>
      <c r="S7270">
        <v>3.0735929999999998</v>
      </c>
      <c r="T7270">
        <v>-6.0727719999999999E-2</v>
      </c>
      <c r="U7270">
        <v>-7.5897220000000001E-2</v>
      </c>
      <c r="V7270">
        <v>-8.1806500000000004E-2</v>
      </c>
      <c r="W7270">
        <v>0.18616940000000001</v>
      </c>
      <c r="X7270">
        <v>0.97910609999999998</v>
      </c>
      <c r="Y7270">
        <v>2.0225389999999999E-2</v>
      </c>
      <c r="Z7270">
        <v>-2.7413509999999998E-4</v>
      </c>
      <c r="AA7270">
        <v>0.9997954</v>
      </c>
      <c r="AB7270">
        <v>30</v>
      </c>
      <c r="AC7270">
        <v>56.067099999999897</v>
      </c>
      <c r="AD7270">
        <v>-1.1105780531580001</v>
      </c>
      <c r="AE7270">
        <v>-1.38732999999999</v>
      </c>
      <c r="AF7270">
        <v>1.1370627855012501</v>
      </c>
      <c r="AG7270">
        <v>-1.1105780531580001</v>
      </c>
      <c r="AH7270">
        <v>56.050746275780398</v>
      </c>
      <c r="AI7270">
        <v>91.134864929017198</v>
      </c>
      <c r="AJ7270">
        <v>88.837839490433794</v>
      </c>
      <c r="AK7270">
        <v>56.073277534510503</v>
      </c>
      <c r="AL7270">
        <v>79.270681965673106</v>
      </c>
      <c r="AM7270">
        <v>94.776096937140196</v>
      </c>
      <c r="AN7270">
        <v>1.0000000519979</v>
      </c>
    </row>
    <row r="7271" spans="1:40" x14ac:dyDescent="0.25">
      <c r="A7271" t="str">
        <f>"20190304154938483"</f>
        <v>20190304154938483</v>
      </c>
      <c r="B7271" t="str">
        <f>"1551685778474115"</f>
        <v>1551685778474115</v>
      </c>
      <c r="C7271" t="s">
        <v>40</v>
      </c>
      <c r="D7271">
        <v>4.2327219999999999</v>
      </c>
      <c r="E7271">
        <v>0.53891099999999903</v>
      </c>
      <c r="F7271" t="s">
        <v>68</v>
      </c>
      <c r="G7271">
        <v>-192.60939999999999</v>
      </c>
      <c r="H7271" s="1">
        <v>-9.0243980000000007E-6</v>
      </c>
      <c r="I7271">
        <v>-64.780069999999995</v>
      </c>
      <c r="J7271">
        <v>-248.44479999999999</v>
      </c>
      <c r="K7271">
        <v>1.11056</v>
      </c>
      <c r="L7271">
        <v>-63.292999999999999</v>
      </c>
      <c r="M7271">
        <v>0.99992780000000003</v>
      </c>
      <c r="N7271">
        <v>-1.114515E-2</v>
      </c>
      <c r="O7271">
        <v>-4.5126990000000002E-3</v>
      </c>
      <c r="P7271">
        <v>0.98148040000000003</v>
      </c>
      <c r="Q7271">
        <v>0.17544119999999999</v>
      </c>
      <c r="R7271">
        <v>7.6920219999999997E-2</v>
      </c>
      <c r="S7271">
        <v>3.073944</v>
      </c>
      <c r="T7271">
        <v>-6.0982229999999998E-2</v>
      </c>
      <c r="U7271">
        <v>-8.169556E-2</v>
      </c>
      <c r="V7271">
        <v>-8.13054E-2</v>
      </c>
      <c r="W7271">
        <v>0.18638389999999999</v>
      </c>
      <c r="X7271">
        <v>0.97910699999999995</v>
      </c>
      <c r="Y7271">
        <v>2.204915E-2</v>
      </c>
      <c r="Z7271">
        <v>-3.0235249999999999E-4</v>
      </c>
      <c r="AA7271">
        <v>0.9997568</v>
      </c>
      <c r="AB7271">
        <v>30</v>
      </c>
      <c r="AC7271">
        <v>55.8353999999999</v>
      </c>
      <c r="AD7271">
        <v>-1.110569024398</v>
      </c>
      <c r="AE7271">
        <v>-1.4870699999999899</v>
      </c>
      <c r="AF7271">
        <v>1.23458280304184</v>
      </c>
      <c r="AG7271">
        <v>-1.110569024398</v>
      </c>
      <c r="AH7271">
        <v>55.819475190398599</v>
      </c>
      <c r="AI7271">
        <v>91.139512190198104</v>
      </c>
      <c r="AJ7271">
        <v>88.732971728323605</v>
      </c>
      <c r="AK7271">
        <v>55.844170410053003</v>
      </c>
      <c r="AL7271">
        <v>79.258172755086704</v>
      </c>
      <c r="AM7271">
        <v>94.7469710482073</v>
      </c>
      <c r="AN7271">
        <v>1.00000002184868</v>
      </c>
    </row>
    <row r="7272" spans="1:40" x14ac:dyDescent="0.25">
      <c r="A7272" t="str">
        <f>"20190304154938495"</f>
        <v>20190304154938495</v>
      </c>
      <c r="B7272" t="str">
        <f>"1551685778484851"</f>
        <v>1551685778484851</v>
      </c>
      <c r="C7272" t="s">
        <v>40</v>
      </c>
      <c r="D7272">
        <v>4.2658709999999997</v>
      </c>
      <c r="E7272">
        <v>0.53934419999999905</v>
      </c>
      <c r="F7272" t="s">
        <v>68</v>
      </c>
      <c r="G7272">
        <v>-192.3021</v>
      </c>
      <c r="H7272" s="1">
        <v>-9.1688389999999994E-6</v>
      </c>
      <c r="I7272">
        <v>-64.895240000000001</v>
      </c>
      <c r="J7272">
        <v>-248.29089999999999</v>
      </c>
      <c r="K7272">
        <v>1.110549</v>
      </c>
      <c r="L7272">
        <v>-63.293729999999996</v>
      </c>
      <c r="M7272">
        <v>0.99992749999999997</v>
      </c>
      <c r="N7272">
        <v>-1.114591E-2</v>
      </c>
      <c r="O7272">
        <v>-4.5761229999999996E-3</v>
      </c>
      <c r="P7272">
        <v>0.98146180000000005</v>
      </c>
      <c r="Q7272">
        <v>0.17574879999999901</v>
      </c>
      <c r="R7272">
        <v>7.6456410000000002E-2</v>
      </c>
      <c r="S7272">
        <v>3.0743559999999999</v>
      </c>
      <c r="T7272">
        <v>-6.0814380000000001E-2</v>
      </c>
      <c r="U7272">
        <v>-8.7738040000000003E-2</v>
      </c>
      <c r="V7272">
        <v>-8.0900449999999999E-2</v>
      </c>
      <c r="W7272">
        <v>0.18669359999999999</v>
      </c>
      <c r="X7272">
        <v>0.97908150000000005</v>
      </c>
      <c r="Y7272">
        <v>2.3945069999999999E-2</v>
      </c>
      <c r="Z7272">
        <v>-3.3075879999999898E-4</v>
      </c>
      <c r="AA7272">
        <v>0.99971319999999997</v>
      </c>
      <c r="AB7272">
        <v>30</v>
      </c>
      <c r="AC7272">
        <v>55.988799999999998</v>
      </c>
      <c r="AD7272">
        <v>-1.110558168839</v>
      </c>
      <c r="AE7272">
        <v>-1.60150999999999</v>
      </c>
      <c r="AF7272">
        <v>1.3447370573826101</v>
      </c>
      <c r="AG7272">
        <v>-1.110558168839</v>
      </c>
      <c r="AH7272">
        <v>55.973538541554802</v>
      </c>
      <c r="AI7272">
        <v>91.136315521687195</v>
      </c>
      <c r="AJ7272">
        <v>88.6237614830778</v>
      </c>
      <c r="AK7272">
        <v>56.000702442583602</v>
      </c>
      <c r="AL7272">
        <v>79.240110810443497</v>
      </c>
      <c r="AM7272">
        <v>94.723557971736795</v>
      </c>
      <c r="AN7272">
        <v>0.99999998336670604</v>
      </c>
    </row>
    <row r="7273" spans="1:40" x14ac:dyDescent="0.25">
      <c r="A7273" t="str">
        <f>"20190304154938506"</f>
        <v>20190304154938506</v>
      </c>
      <c r="B7273" t="str">
        <f>"1551685778494610"</f>
        <v>1551685778494610</v>
      </c>
      <c r="C7273" t="s">
        <v>40</v>
      </c>
      <c r="D7273">
        <v>4.2158230000000003</v>
      </c>
      <c r="E7273">
        <v>0.5398136</v>
      </c>
      <c r="F7273" t="s">
        <v>68</v>
      </c>
      <c r="G7273">
        <v>-191.7413</v>
      </c>
      <c r="H7273" s="1">
        <v>-9.4233009999999994E-6</v>
      </c>
      <c r="I7273">
        <v>-65.001669999999905</v>
      </c>
      <c r="J7273">
        <v>-248.1403</v>
      </c>
      <c r="K7273">
        <v>1.110541</v>
      </c>
      <c r="L7273">
        <v>-63.294490000000003</v>
      </c>
      <c r="M7273">
        <v>0.99992720000000002</v>
      </c>
      <c r="N7273">
        <v>-1.1146659999999999E-2</v>
      </c>
      <c r="O7273">
        <v>-4.6435799999999996E-3</v>
      </c>
      <c r="P7273">
        <v>0.98151180000000005</v>
      </c>
      <c r="Q7273">
        <v>0.17576339999999999</v>
      </c>
      <c r="R7273">
        <v>7.5776650000000001E-2</v>
      </c>
      <c r="S7273">
        <v>3.074738</v>
      </c>
      <c r="T7273">
        <v>-6.0383800000000001E-2</v>
      </c>
      <c r="U7273">
        <v>-9.2864989999999994E-2</v>
      </c>
      <c r="V7273">
        <v>-8.0283450000000006E-2</v>
      </c>
      <c r="W7273">
        <v>0.18671090000000001</v>
      </c>
      <c r="X7273">
        <v>0.97912900000000003</v>
      </c>
      <c r="Y7273">
        <v>2.5539180000000002E-2</v>
      </c>
      <c r="Z7273">
        <v>-3.5367999999999999E-4</v>
      </c>
      <c r="AA7273">
        <v>0.99967379999999995</v>
      </c>
      <c r="AB7273">
        <v>30</v>
      </c>
      <c r="AC7273">
        <v>56.398999999999901</v>
      </c>
      <c r="AD7273">
        <v>-1.110550423301</v>
      </c>
      <c r="AE7273">
        <v>-1.7071799999999799</v>
      </c>
      <c r="AF7273">
        <v>1.4446924368751199</v>
      </c>
      <c r="AG7273">
        <v>-1.110550423301</v>
      </c>
      <c r="AH7273">
        <v>56.384477619102903</v>
      </c>
      <c r="AI7273">
        <v>91.127983458521499</v>
      </c>
      <c r="AJ7273">
        <v>88.532279162634097</v>
      </c>
      <c r="AK7273">
        <v>56.413914727299101</v>
      </c>
      <c r="AL7273">
        <v>79.239101985488404</v>
      </c>
      <c r="AM7273">
        <v>94.687467776097193</v>
      </c>
      <c r="AN7273">
        <v>0.99999999558185604</v>
      </c>
    </row>
    <row r="7274" spans="1:40" x14ac:dyDescent="0.25">
      <c r="A7274" t="str">
        <f>"20190304154938518"</f>
        <v>20190304154938518</v>
      </c>
      <c r="B7274" t="str">
        <f>"1551685778514130"</f>
        <v>1551685778514130</v>
      </c>
      <c r="C7274" t="s">
        <v>40</v>
      </c>
      <c r="D7274">
        <v>4.2486230000000003</v>
      </c>
      <c r="E7274">
        <v>0.54064269999999903</v>
      </c>
      <c r="F7274" t="s">
        <v>68</v>
      </c>
      <c r="G7274">
        <v>-192.0359</v>
      </c>
      <c r="H7274" s="1">
        <v>-9.3028750000000003E-6</v>
      </c>
      <c r="I7274">
        <v>-65.096279999999993</v>
      </c>
      <c r="J7274">
        <v>-247.99279999999999</v>
      </c>
      <c r="K7274">
        <v>1.110535</v>
      </c>
      <c r="L7274">
        <v>-63.295229999999997</v>
      </c>
      <c r="M7274">
        <v>0.9999268</v>
      </c>
      <c r="N7274">
        <v>-1.114741E-2</v>
      </c>
      <c r="O7274">
        <v>-4.7125680000000003E-3</v>
      </c>
      <c r="P7274">
        <v>0.98152349999999999</v>
      </c>
      <c r="Q7274">
        <v>0.17590910000000001</v>
      </c>
      <c r="R7274">
        <v>7.5286149999999996E-2</v>
      </c>
      <c r="S7274">
        <v>3.0750579999999998</v>
      </c>
      <c r="T7274">
        <v>-6.0868739999999998E-2</v>
      </c>
      <c r="U7274">
        <v>-9.8754880000000003E-2</v>
      </c>
      <c r="V7274">
        <v>-7.9857700000000004E-2</v>
      </c>
      <c r="W7274">
        <v>0.18685850000000001</v>
      </c>
      <c r="X7274">
        <v>0.97913570000000005</v>
      </c>
      <c r="Y7274">
        <v>2.7379270000000001E-2</v>
      </c>
      <c r="Z7274">
        <v>-3.8282509999999997E-4</v>
      </c>
      <c r="AA7274">
        <v>0.99962499999999999</v>
      </c>
      <c r="AB7274">
        <v>30</v>
      </c>
      <c r="AC7274">
        <v>55.956899999999898</v>
      </c>
      <c r="AD7274">
        <v>-1.1105443028749999</v>
      </c>
      <c r="AE7274">
        <v>-1.80105</v>
      </c>
      <c r="AF7274">
        <v>1.5367082733917199</v>
      </c>
      <c r="AG7274">
        <v>-1.1105443028749999</v>
      </c>
      <c r="AH7274">
        <v>55.942754706528497</v>
      </c>
      <c r="AI7274">
        <v>91.136825711767699</v>
      </c>
      <c r="AJ7274">
        <v>88.426520766375404</v>
      </c>
      <c r="AK7274">
        <v>55.974874587809197</v>
      </c>
      <c r="AL7274">
        <v>79.230494059968706</v>
      </c>
      <c r="AM7274">
        <v>94.662687864399899</v>
      </c>
      <c r="AN7274">
        <v>1.0000000351430101</v>
      </c>
    </row>
    <row r="7275" spans="1:40" x14ac:dyDescent="0.25">
      <c r="A7275" t="str">
        <f>"20190304154938528"</f>
        <v>20190304154938528</v>
      </c>
      <c r="B7275" t="str">
        <f>"1551685778524866"</f>
        <v>1551685778524866</v>
      </c>
      <c r="C7275" t="s">
        <v>40</v>
      </c>
      <c r="D7275">
        <v>4.2189199999999998</v>
      </c>
      <c r="E7275">
        <v>0.54102740000000005</v>
      </c>
      <c r="F7275" t="s">
        <v>68</v>
      </c>
      <c r="G7275">
        <v>-192.02770000000001</v>
      </c>
      <c r="H7275" s="1">
        <v>-9.3195230000000007E-6</v>
      </c>
      <c r="I7275">
        <v>-65.245459999999994</v>
      </c>
      <c r="J7275">
        <v>-247.84309999999999</v>
      </c>
      <c r="K7275">
        <v>1.110538</v>
      </c>
      <c r="L7275">
        <v>-63.295990000000003</v>
      </c>
      <c r="M7275">
        <v>0.99992650000000005</v>
      </c>
      <c r="N7275">
        <v>-1.1148180000000001E-2</v>
      </c>
      <c r="O7275">
        <v>-4.7852399999999996E-3</v>
      </c>
      <c r="P7275">
        <v>0.98156339999999997</v>
      </c>
      <c r="Q7275">
        <v>0.17600879999999999</v>
      </c>
      <c r="R7275">
        <v>7.4527709999999997E-2</v>
      </c>
      <c r="S7275">
        <v>3.0756380000000001</v>
      </c>
      <c r="T7275">
        <v>-6.1031460000000003E-2</v>
      </c>
      <c r="U7275">
        <v>-0.1071777</v>
      </c>
      <c r="V7275">
        <v>-7.9168859999999994E-2</v>
      </c>
      <c r="W7275">
        <v>0.18696009999999999</v>
      </c>
      <c r="X7275">
        <v>0.97917220000000005</v>
      </c>
      <c r="Y7275">
        <v>3.0034100000000001E-2</v>
      </c>
      <c r="Z7275">
        <v>-4.237814E-4</v>
      </c>
      <c r="AA7275">
        <v>0.99954880000000002</v>
      </c>
      <c r="AB7275">
        <v>30</v>
      </c>
      <c r="AC7275">
        <v>55.815399999999897</v>
      </c>
      <c r="AD7275">
        <v>-1.110547319523</v>
      </c>
      <c r="AE7275">
        <v>-1.94946999999999</v>
      </c>
      <c r="AF7275">
        <v>1.68167608386417</v>
      </c>
      <c r="AG7275">
        <v>-1.110547319523</v>
      </c>
      <c r="AH7275">
        <v>55.802026015903202</v>
      </c>
      <c r="AI7275">
        <v>91.139607589370399</v>
      </c>
      <c r="AJ7275">
        <v>88.273829905309299</v>
      </c>
      <c r="AK7275">
        <v>55.838404859733203</v>
      </c>
      <c r="AL7275">
        <v>79.224567914825897</v>
      </c>
      <c r="AM7275">
        <v>94.622471742013602</v>
      </c>
      <c r="AN7275">
        <v>0.99999999231927394</v>
      </c>
    </row>
    <row r="7276" spans="1:40" x14ac:dyDescent="0.25">
      <c r="A7276" t="str">
        <f>"20190304154938541"</f>
        <v>20190304154938541</v>
      </c>
      <c r="B7276" t="str">
        <f>"1551685778534630"</f>
        <v>1551685778534630</v>
      </c>
      <c r="C7276" t="s">
        <v>40</v>
      </c>
      <c r="D7276">
        <v>4.2234600000000002</v>
      </c>
      <c r="E7276">
        <v>0.54139780000000004</v>
      </c>
      <c r="F7276" t="s">
        <v>68</v>
      </c>
      <c r="G7276">
        <v>-192.03729999999999</v>
      </c>
      <c r="H7276" s="1">
        <v>-9.3232299999999995E-6</v>
      </c>
      <c r="I7276">
        <v>-65.3352</v>
      </c>
      <c r="J7276">
        <v>-247.68709999999999</v>
      </c>
      <c r="K7276">
        <v>1.110535</v>
      </c>
      <c r="L7276">
        <v>-63.296810000000001</v>
      </c>
      <c r="M7276">
        <v>0.99992610000000004</v>
      </c>
      <c r="N7276">
        <v>-1.115114E-2</v>
      </c>
      <c r="O7276">
        <v>-4.863628E-3</v>
      </c>
      <c r="P7276">
        <v>0.98155440000000005</v>
      </c>
      <c r="Q7276">
        <v>0.17631740000000001</v>
      </c>
      <c r="R7276">
        <v>7.3914809999999997E-2</v>
      </c>
      <c r="S7276">
        <v>3.075882</v>
      </c>
      <c r="T7276">
        <v>-6.1210750000000001E-2</v>
      </c>
      <c r="U7276">
        <v>-0.1123962</v>
      </c>
      <c r="V7276">
        <v>-7.8630409999999998E-2</v>
      </c>
      <c r="W7276">
        <v>0.18727160000000001</v>
      </c>
      <c r="X7276">
        <v>0.97915609999999997</v>
      </c>
      <c r="Y7276">
        <v>3.1646069999999998E-2</v>
      </c>
      <c r="Z7276">
        <v>-4.4875680000000003E-4</v>
      </c>
      <c r="AA7276">
        <v>0.99949900000000003</v>
      </c>
      <c r="AB7276">
        <v>30</v>
      </c>
      <c r="AC7276">
        <v>55.649799999999999</v>
      </c>
      <c r="AD7276">
        <v>-1.1105443232300001</v>
      </c>
      <c r="AE7276">
        <v>-2.0383900000000001</v>
      </c>
      <c r="AF7276">
        <v>1.76698641974509</v>
      </c>
      <c r="AG7276">
        <v>-1.1105443232300001</v>
      </c>
      <c r="AH7276">
        <v>55.636929158070899</v>
      </c>
      <c r="AI7276">
        <v>91.142927948327298</v>
      </c>
      <c r="AJ7276">
        <v>88.180941191611296</v>
      </c>
      <c r="AK7276">
        <v>55.6760580127726</v>
      </c>
      <c r="AL7276">
        <v>79.206399804965798</v>
      </c>
      <c r="AM7276">
        <v>94.591243024335398</v>
      </c>
      <c r="AN7276">
        <v>1.0000000308552599</v>
      </c>
    </row>
    <row r="7277" spans="1:40" x14ac:dyDescent="0.25">
      <c r="A7277" t="str">
        <f>"20190304154938552"</f>
        <v>20190304154938552</v>
      </c>
      <c r="B7277" t="str">
        <f>"1551685778544387"</f>
        <v>1551685778544387</v>
      </c>
      <c r="C7277" t="s">
        <v>40</v>
      </c>
      <c r="D7277">
        <v>4.2194260000000003</v>
      </c>
      <c r="E7277">
        <v>0.54175069999999903</v>
      </c>
      <c r="F7277" t="s">
        <v>68</v>
      </c>
      <c r="G7277">
        <v>-190.84809999999999</v>
      </c>
      <c r="H7277" s="1">
        <v>-9.8541269999999999E-6</v>
      </c>
      <c r="I7277">
        <v>-65.461669999999998</v>
      </c>
      <c r="J7277">
        <v>-247.5377</v>
      </c>
      <c r="K7277">
        <v>1.110533</v>
      </c>
      <c r="L7277">
        <v>-63.297640000000001</v>
      </c>
      <c r="M7277">
        <v>0.99992550000000002</v>
      </c>
      <c r="N7277">
        <v>-1.115466E-2</v>
      </c>
      <c r="O7277">
        <v>-4.9393889999999998E-3</v>
      </c>
      <c r="P7277">
        <v>0.98161580000000004</v>
      </c>
      <c r="Q7277">
        <v>0.1762244</v>
      </c>
      <c r="R7277">
        <v>7.3316580000000006E-2</v>
      </c>
      <c r="S7277">
        <v>3.0759889999999999</v>
      </c>
      <c r="T7277">
        <v>-6.010008E-2</v>
      </c>
      <c r="U7277">
        <v>-0.117157</v>
      </c>
      <c r="V7277">
        <v>-7.8105540000000001E-2</v>
      </c>
      <c r="W7277">
        <v>0.18718360000000001</v>
      </c>
      <c r="X7277">
        <v>0.9792149</v>
      </c>
      <c r="Y7277">
        <v>3.3113669999999998E-2</v>
      </c>
      <c r="Z7277">
        <v>-4.6674990000000001E-4</v>
      </c>
      <c r="AA7277">
        <v>0.99945150000000005</v>
      </c>
      <c r="AB7277">
        <v>30</v>
      </c>
      <c r="AC7277">
        <v>56.689599999999999</v>
      </c>
      <c r="AD7277">
        <v>-1.1105428541269999</v>
      </c>
      <c r="AE7277">
        <v>-2.1640299999999901</v>
      </c>
      <c r="AF7277">
        <v>1.8832524931580601</v>
      </c>
      <c r="AG7277">
        <v>-1.1105428541269999</v>
      </c>
      <c r="AH7277">
        <v>56.677878756085398</v>
      </c>
      <c r="AI7277">
        <v>91.121887343968297</v>
      </c>
      <c r="AJ7277">
        <v>88.096916499521896</v>
      </c>
      <c r="AK7277">
        <v>56.720030727013501</v>
      </c>
      <c r="AL7277">
        <v>79.211532239432898</v>
      </c>
      <c r="AM7277">
        <v>94.5604527917301</v>
      </c>
      <c r="AN7277">
        <v>0.99999999793482997</v>
      </c>
    </row>
    <row r="7278" spans="1:40" x14ac:dyDescent="0.25">
      <c r="A7278" t="str">
        <f>"20190304154938562"</f>
        <v>20190304154938562</v>
      </c>
      <c r="B7278" t="str">
        <f>"1551685778554146"</f>
        <v>1551685778554146</v>
      </c>
      <c r="C7278" t="s">
        <v>40</v>
      </c>
      <c r="D7278">
        <v>4.2013389999999999</v>
      </c>
      <c r="E7278">
        <v>0.54212209999999905</v>
      </c>
      <c r="F7278" t="s">
        <v>68</v>
      </c>
      <c r="G7278">
        <v>-191.36920000000001</v>
      </c>
      <c r="H7278" s="1">
        <v>-9.6313069999999996E-6</v>
      </c>
      <c r="I7278">
        <v>-65.517650000000003</v>
      </c>
      <c r="J7278">
        <v>-247.3871</v>
      </c>
      <c r="K7278">
        <v>1.110538</v>
      </c>
      <c r="L7278">
        <v>-63.298459999999999</v>
      </c>
      <c r="M7278">
        <v>0.99992510000000001</v>
      </c>
      <c r="N7278">
        <v>-1.116264E-2</v>
      </c>
      <c r="O7278">
        <v>-5.0176609999999996E-3</v>
      </c>
      <c r="P7278">
        <v>0.98165009999999997</v>
      </c>
      <c r="Q7278">
        <v>0.17626120000000001</v>
      </c>
      <c r="R7278">
        <v>7.2769210000000001E-2</v>
      </c>
      <c r="S7278">
        <v>3.0761569999999998</v>
      </c>
      <c r="T7278">
        <v>-6.0820579999999999E-2</v>
      </c>
      <c r="U7278">
        <v>-0.121582</v>
      </c>
      <c r="V7278">
        <v>-7.7634649999999999E-2</v>
      </c>
      <c r="W7278">
        <v>0.18722900000000001</v>
      </c>
      <c r="X7278">
        <v>0.97924370000000005</v>
      </c>
      <c r="Y7278">
        <v>3.4468270000000002E-2</v>
      </c>
      <c r="Z7278">
        <v>-4.8990269999999998E-4</v>
      </c>
      <c r="AA7278">
        <v>0.99940569999999895</v>
      </c>
      <c r="AB7278">
        <v>30</v>
      </c>
      <c r="AC7278">
        <v>56.017899999999997</v>
      </c>
      <c r="AD7278">
        <v>-1.110547631307</v>
      </c>
      <c r="AE7278">
        <v>-2.2191900000000002</v>
      </c>
      <c r="AF7278">
        <v>1.9373054953431901</v>
      </c>
      <c r="AG7278">
        <v>-1.110547631307</v>
      </c>
      <c r="AH7278">
        <v>56.006353131917898</v>
      </c>
      <c r="AI7278">
        <v>91.135287926917002</v>
      </c>
      <c r="AJ7278">
        <v>88.018882093200205</v>
      </c>
      <c r="AK7278">
        <v>56.0508524445505</v>
      </c>
      <c r="AL7278">
        <v>79.208884552588302</v>
      </c>
      <c r="AM7278">
        <v>94.532940478680104</v>
      </c>
      <c r="AN7278">
        <v>1.00000003065565</v>
      </c>
    </row>
    <row r="7279" spans="1:40" x14ac:dyDescent="0.25">
      <c r="A7279" t="str">
        <f>"20190304154938574"</f>
        <v>20190304154938574</v>
      </c>
      <c r="B7279" t="str">
        <f>"1551685778564883"</f>
        <v>1551685778564883</v>
      </c>
      <c r="C7279" t="s">
        <v>40</v>
      </c>
      <c r="D7279">
        <v>4.2423390000000003</v>
      </c>
      <c r="E7279">
        <v>0.54243999999999903</v>
      </c>
      <c r="F7279" t="s">
        <v>68</v>
      </c>
      <c r="G7279">
        <v>-191.25620000000001</v>
      </c>
      <c r="H7279" s="1">
        <v>-9.6883270000000006E-6</v>
      </c>
      <c r="I7279">
        <v>-65.604789999999994</v>
      </c>
      <c r="J7279">
        <v>-247.23320000000001</v>
      </c>
      <c r="K7279">
        <v>1.110535</v>
      </c>
      <c r="L7279">
        <v>-63.299289999999999</v>
      </c>
      <c r="M7279">
        <v>0.99992460000000005</v>
      </c>
      <c r="N7279">
        <v>-1.117142E-2</v>
      </c>
      <c r="O7279">
        <v>-5.0977239999999997E-3</v>
      </c>
      <c r="P7279">
        <v>0.98170029999999997</v>
      </c>
      <c r="Q7279">
        <v>0.17622470000000001</v>
      </c>
      <c r="R7279">
        <v>7.2175680000000006E-2</v>
      </c>
      <c r="S7279">
        <v>3.0763850000000001</v>
      </c>
      <c r="T7279">
        <v>-6.0866240000000002E-2</v>
      </c>
      <c r="U7279">
        <v>-0.12640380000000001</v>
      </c>
      <c r="V7279">
        <v>-7.7119069999999998E-2</v>
      </c>
      <c r="W7279">
        <v>0.1872018</v>
      </c>
      <c r="X7279">
        <v>0.97928959999999998</v>
      </c>
      <c r="Y7279">
        <v>3.5948689999999998E-2</v>
      </c>
      <c r="Z7279">
        <v>-5.1248089999999895E-4</v>
      </c>
      <c r="AA7279">
        <v>0.99935350000000001</v>
      </c>
      <c r="AB7279">
        <v>30</v>
      </c>
      <c r="AC7279">
        <v>55.976999999999997</v>
      </c>
      <c r="AD7279">
        <v>-1.110544688327</v>
      </c>
      <c r="AE7279">
        <v>-2.3054999999999999</v>
      </c>
      <c r="AF7279">
        <v>2.0193034867516402</v>
      </c>
      <c r="AG7279">
        <v>-1.110544688327</v>
      </c>
      <c r="AH7279">
        <v>55.966035295755098</v>
      </c>
      <c r="AI7279">
        <v>91.136042835474598</v>
      </c>
      <c r="AJ7279">
        <v>87.933614561996606</v>
      </c>
      <c r="AK7279">
        <v>56.013462692482101</v>
      </c>
      <c r="AL7279">
        <v>79.210470635140794</v>
      </c>
      <c r="AM7279">
        <v>94.502750765644606</v>
      </c>
      <c r="AN7279">
        <v>0.999999992774532</v>
      </c>
    </row>
    <row r="7280" spans="1:40" x14ac:dyDescent="0.25">
      <c r="A7280" t="str">
        <f>"20190304154938585"</f>
        <v>20190304154938585</v>
      </c>
      <c r="B7280" t="str">
        <f>"1551685778574643"</f>
        <v>1551685778574643</v>
      </c>
      <c r="C7280" t="s">
        <v>40</v>
      </c>
      <c r="D7280">
        <v>4.1819519999999999</v>
      </c>
      <c r="E7280">
        <v>0.54274630000000001</v>
      </c>
      <c r="F7280" t="s">
        <v>68</v>
      </c>
      <c r="G7280">
        <v>-191.47739999999999</v>
      </c>
      <c r="H7280" s="1">
        <v>-9.5976279999999993E-6</v>
      </c>
      <c r="I7280">
        <v>-65.673059999999893</v>
      </c>
      <c r="J7280">
        <v>-247.0907</v>
      </c>
      <c r="K7280">
        <v>1.110536</v>
      </c>
      <c r="L7280">
        <v>-63.300080000000001</v>
      </c>
      <c r="M7280">
        <v>0.99992409999999998</v>
      </c>
      <c r="N7280">
        <v>-1.1181129999999999E-2</v>
      </c>
      <c r="O7280">
        <v>-5.171943E-3</v>
      </c>
      <c r="P7280">
        <v>0.98172219999999999</v>
      </c>
      <c r="Q7280">
        <v>0.1762608</v>
      </c>
      <c r="R7280">
        <v>7.1788039999999997E-2</v>
      </c>
      <c r="S7280">
        <v>3.0765229999999999</v>
      </c>
      <c r="T7280">
        <v>-6.1278340000000001E-2</v>
      </c>
      <c r="U7280">
        <v>-0.1309814</v>
      </c>
      <c r="V7280">
        <v>-7.6803679999999999E-2</v>
      </c>
      <c r="W7280">
        <v>0.18724730000000001</v>
      </c>
      <c r="X7280">
        <v>0.97930569999999895</v>
      </c>
      <c r="Y7280">
        <v>3.7356460000000001E-2</v>
      </c>
      <c r="Z7280">
        <v>-5.3565379999999895E-4</v>
      </c>
      <c r="AA7280">
        <v>0.99930189999999997</v>
      </c>
      <c r="AB7280">
        <v>30</v>
      </c>
      <c r="AC7280">
        <v>55.613300000000002</v>
      </c>
      <c r="AD7280">
        <v>-1.1105455976280001</v>
      </c>
      <c r="AE7280">
        <v>-2.3729799999999899</v>
      </c>
      <c r="AF7280">
        <v>2.0844717550134302</v>
      </c>
      <c r="AG7280">
        <v>-1.1105455976280001</v>
      </c>
      <c r="AH7280">
        <v>55.602697752542902</v>
      </c>
      <c r="AI7280">
        <v>91.143406195814194</v>
      </c>
      <c r="AJ7280">
        <v>87.853062237228897</v>
      </c>
      <c r="AK7280">
        <v>55.652837586079102</v>
      </c>
      <c r="AL7280">
        <v>79.207816886047794</v>
      </c>
      <c r="AM7280">
        <v>94.484337931938896</v>
      </c>
      <c r="AN7280">
        <v>1.0000000053356599</v>
      </c>
    </row>
    <row r="7281" spans="1:40" x14ac:dyDescent="0.25">
      <c r="A7281" t="str">
        <f>"20190304154938596"</f>
        <v>20190304154938596</v>
      </c>
      <c r="B7281" t="str">
        <f>"1551685778584402"</f>
        <v>1551685778584402</v>
      </c>
      <c r="C7281" t="s">
        <v>40</v>
      </c>
      <c r="D7281">
        <v>4.2831080000000004</v>
      </c>
      <c r="E7281">
        <v>0.54308440000000002</v>
      </c>
      <c r="F7281" t="s">
        <v>68</v>
      </c>
      <c r="G7281">
        <v>-191.45339999999999</v>
      </c>
      <c r="H7281" s="1">
        <v>-9.6137659999999997E-6</v>
      </c>
      <c r="I7281">
        <v>-65.737089999999995</v>
      </c>
      <c r="J7281">
        <v>-246.94890000000001</v>
      </c>
      <c r="K7281">
        <v>1.1105419999999999</v>
      </c>
      <c r="L7281">
        <v>-63.300899999999999</v>
      </c>
      <c r="M7281">
        <v>0.99992360000000002</v>
      </c>
      <c r="N7281">
        <v>-1.1190780000000001E-2</v>
      </c>
      <c r="O7281">
        <v>-5.2455640000000003E-3</v>
      </c>
      <c r="P7281">
        <v>0.98176969999999997</v>
      </c>
      <c r="Q7281">
        <v>0.1761412</v>
      </c>
      <c r="R7281">
        <v>7.1432960000000004E-2</v>
      </c>
      <c r="S7281">
        <v>3.076721</v>
      </c>
      <c r="T7281">
        <v>-6.1412689999999999E-2</v>
      </c>
      <c r="U7281">
        <v>-0.13476560000000001</v>
      </c>
      <c r="V7281">
        <v>-7.6520439999999995E-2</v>
      </c>
      <c r="W7281">
        <v>0.18713769999999999</v>
      </c>
      <c r="X7281">
        <v>0.97934880000000002</v>
      </c>
      <c r="Y7281">
        <v>3.8506520000000002E-2</v>
      </c>
      <c r="Z7281">
        <v>-5.5371879999999997E-4</v>
      </c>
      <c r="AA7281">
        <v>0.99925819999999999</v>
      </c>
      <c r="AB7281">
        <v>30</v>
      </c>
      <c r="AC7281">
        <v>55.4955</v>
      </c>
      <c r="AD7281">
        <v>-1.1105516137660001</v>
      </c>
      <c r="AE7281">
        <v>-2.4361900000000101</v>
      </c>
      <c r="AF7281">
        <v>2.1441760345477898</v>
      </c>
      <c r="AG7281">
        <v>-1.1105516137660001</v>
      </c>
      <c r="AH7281">
        <v>55.485339319401497</v>
      </c>
      <c r="AI7281">
        <v>91.1457798992096</v>
      </c>
      <c r="AJ7281">
        <v>87.786962477503494</v>
      </c>
      <c r="AK7281">
        <v>55.537858215302897</v>
      </c>
      <c r="AL7281">
        <v>79.214209274341798</v>
      </c>
      <c r="AM7281">
        <v>94.467671644843506</v>
      </c>
      <c r="AN7281">
        <v>0.99999998428026105</v>
      </c>
    </row>
    <row r="7282" spans="1:40" x14ac:dyDescent="0.25">
      <c r="A7282" t="str">
        <f>"20190304154938606"</f>
        <v>20190304154938606</v>
      </c>
      <c r="B7282" t="str">
        <f>"1551685778604899"</f>
        <v>1551685778604899</v>
      </c>
      <c r="C7282" t="s">
        <v>40</v>
      </c>
      <c r="D7282">
        <v>4.188123</v>
      </c>
      <c r="E7282">
        <v>0.5436571</v>
      </c>
      <c r="F7282" t="s">
        <v>68</v>
      </c>
      <c r="G7282">
        <v>-191.8347</v>
      </c>
      <c r="H7282" s="1">
        <v>-9.4513649999999999E-6</v>
      </c>
      <c r="I7282">
        <v>-65.785919999999905</v>
      </c>
      <c r="J7282">
        <v>-246.79939999999999</v>
      </c>
      <c r="K7282">
        <v>1.1105400000000001</v>
      </c>
      <c r="L7282">
        <v>-63.301760000000002</v>
      </c>
      <c r="M7282">
        <v>0.99992329999999996</v>
      </c>
      <c r="N7282">
        <v>-1.120094E-2</v>
      </c>
      <c r="O7282">
        <v>-5.3228800000000003E-3</v>
      </c>
      <c r="P7282">
        <v>0.98173449999999995</v>
      </c>
      <c r="Q7282">
        <v>0.17646319999999999</v>
      </c>
      <c r="R7282">
        <v>7.112359E-2</v>
      </c>
      <c r="S7282">
        <v>3.0769039999999999</v>
      </c>
      <c r="T7282">
        <v>-6.1999680000000001E-2</v>
      </c>
      <c r="U7282">
        <v>-0.13873289999999999</v>
      </c>
      <c r="V7282">
        <v>-7.6286229999999997E-2</v>
      </c>
      <c r="W7282">
        <v>0.18746979999999999</v>
      </c>
      <c r="X7282">
        <v>0.97930360000000005</v>
      </c>
      <c r="Y7282">
        <v>3.9711950000000003E-2</v>
      </c>
      <c r="Z7282">
        <v>-5.7482010000000001E-4</v>
      </c>
      <c r="AA7282">
        <v>0.99921099999999996</v>
      </c>
      <c r="AB7282">
        <v>30</v>
      </c>
      <c r="AC7282">
        <v>54.964699999999901</v>
      </c>
      <c r="AD7282">
        <v>-1.1105494513649901</v>
      </c>
      <c r="AE7282">
        <v>-2.4841599999999899</v>
      </c>
      <c r="AF7282">
        <v>2.1906435348604099</v>
      </c>
      <c r="AG7282">
        <v>-1.1105494513649901</v>
      </c>
      <c r="AH7282">
        <v>54.954756339004</v>
      </c>
      <c r="AI7282">
        <v>91.156781814419006</v>
      </c>
      <c r="AJ7282">
        <v>87.717245633508</v>
      </c>
      <c r="AK7282">
        <v>55.009612645973498</v>
      </c>
      <c r="AL7282">
        <v>79.194838999679803</v>
      </c>
      <c r="AM7282">
        <v>94.454257074478093</v>
      </c>
      <c r="AN7282">
        <v>1.0000000278862999</v>
      </c>
    </row>
    <row r="7283" spans="1:40" x14ac:dyDescent="0.25">
      <c r="A7283" t="str">
        <f>"20190304154938618"</f>
        <v>20190304154938618</v>
      </c>
      <c r="B7283" t="str">
        <f>"1551685778614658"</f>
        <v>1551685778614658</v>
      </c>
      <c r="C7283" t="s">
        <v>40</v>
      </c>
      <c r="D7283">
        <v>4.1632629999999997</v>
      </c>
      <c r="E7283">
        <v>0.5439252</v>
      </c>
      <c r="F7283" t="s">
        <v>68</v>
      </c>
      <c r="G7283">
        <v>-190.91849999999999</v>
      </c>
      <c r="H7283" s="1">
        <v>-9.8638670000000003E-6</v>
      </c>
      <c r="I7283">
        <v>-65.922449999999998</v>
      </c>
      <c r="J7283">
        <v>-246.64830000000001</v>
      </c>
      <c r="K7283">
        <v>1.1105419999999999</v>
      </c>
      <c r="L7283">
        <v>-63.302639999999997</v>
      </c>
      <c r="M7283">
        <v>0.99992259999999999</v>
      </c>
      <c r="N7283">
        <v>-1.1210940000000001E-2</v>
      </c>
      <c r="O7283">
        <v>-5.4000740000000004E-3</v>
      </c>
      <c r="P7283">
        <v>0.98180420000000002</v>
      </c>
      <c r="Q7283">
        <v>0.1762707</v>
      </c>
      <c r="R7283">
        <v>7.0636039999999997E-2</v>
      </c>
      <c r="S7283">
        <v>3.0772710000000001</v>
      </c>
      <c r="T7283">
        <v>-6.1156149999999999E-2</v>
      </c>
      <c r="U7283">
        <v>-0.14431759999999999</v>
      </c>
      <c r="V7283">
        <v>-7.5874720000000007E-2</v>
      </c>
      <c r="W7283">
        <v>0.1872876</v>
      </c>
      <c r="X7283">
        <v>0.97937039999999997</v>
      </c>
      <c r="Y7283">
        <v>4.1438700000000002E-2</v>
      </c>
      <c r="Z7283">
        <v>-5.9721649999999998E-4</v>
      </c>
      <c r="AA7283">
        <v>0.9991409</v>
      </c>
      <c r="AB7283">
        <v>30</v>
      </c>
      <c r="AC7283">
        <v>55.729799999999997</v>
      </c>
      <c r="AD7283">
        <v>-1.110551863867</v>
      </c>
      <c r="AE7283">
        <v>-2.61980999999999</v>
      </c>
      <c r="AF7283">
        <v>2.3178894365673202</v>
      </c>
      <c r="AG7283">
        <v>-1.110551863867</v>
      </c>
      <c r="AH7283">
        <v>55.721057199299601</v>
      </c>
      <c r="AI7283">
        <v>91.140799461821999</v>
      </c>
      <c r="AJ7283">
        <v>87.617978443509998</v>
      </c>
      <c r="AK7283">
        <v>55.780302547495197</v>
      </c>
      <c r="AL7283">
        <v>79.20546621583</v>
      </c>
      <c r="AM7283">
        <v>94.430024462741997</v>
      </c>
      <c r="AN7283">
        <v>0.99999999932249894</v>
      </c>
    </row>
    <row r="7284" spans="1:40" x14ac:dyDescent="0.25">
      <c r="A7284" t="str">
        <f>"20190304154938629"</f>
        <v>20190304154938629</v>
      </c>
      <c r="B7284" t="str">
        <f>"1551685778624422"</f>
        <v>1551685778624422</v>
      </c>
      <c r="C7284" t="s">
        <v>40</v>
      </c>
      <c r="D7284">
        <v>4.2494500000000004</v>
      </c>
      <c r="E7284">
        <v>0.54421249999999999</v>
      </c>
      <c r="F7284" t="s">
        <v>68</v>
      </c>
      <c r="G7284">
        <v>-191.4753</v>
      </c>
      <c r="H7284" s="1">
        <v>-9.6233710000000007E-6</v>
      </c>
      <c r="I7284">
        <v>-65.955719999999999</v>
      </c>
      <c r="J7284">
        <v>-246.49690000000001</v>
      </c>
      <c r="K7284">
        <v>1.110538</v>
      </c>
      <c r="L7284">
        <v>-63.303530000000002</v>
      </c>
      <c r="M7284">
        <v>0.99992199999999998</v>
      </c>
      <c r="N7284">
        <v>-1.122079E-2</v>
      </c>
      <c r="O7284">
        <v>-5.4770269999999998E-3</v>
      </c>
      <c r="P7284">
        <v>0.98183750000000003</v>
      </c>
      <c r="Q7284">
        <v>0.17622489999999999</v>
      </c>
      <c r="R7284">
        <v>7.0286319999999999E-2</v>
      </c>
      <c r="S7284">
        <v>3.0773619999999999</v>
      </c>
      <c r="T7284">
        <v>-6.1942820000000003E-2</v>
      </c>
      <c r="U7284">
        <v>-0.14797969999999999</v>
      </c>
      <c r="V7284">
        <v>-7.5600180000000003E-2</v>
      </c>
      <c r="W7284">
        <v>0.187252</v>
      </c>
      <c r="X7284">
        <v>0.9793984</v>
      </c>
      <c r="Y7284">
        <v>4.2546100000000003E-2</v>
      </c>
      <c r="Z7284">
        <v>-6.1804510000000004E-4</v>
      </c>
      <c r="AA7284">
        <v>0.99909429999999999</v>
      </c>
      <c r="AB7284">
        <v>30</v>
      </c>
      <c r="AC7284">
        <v>55.021599999999999</v>
      </c>
      <c r="AD7284">
        <v>-1.1105476233709899</v>
      </c>
      <c r="AE7284">
        <v>-2.6521899999999898</v>
      </c>
      <c r="AF7284">
        <v>2.3498213700958899</v>
      </c>
      <c r="AG7284">
        <v>-1.1105476233709899</v>
      </c>
      <c r="AH7284">
        <v>55.012942012238902</v>
      </c>
      <c r="AI7284">
        <v>91.155420986733603</v>
      </c>
      <c r="AJ7284">
        <v>87.554156312641396</v>
      </c>
      <c r="AK7284">
        <v>55.074302222879702</v>
      </c>
      <c r="AL7284">
        <v>79.207542277212198</v>
      </c>
      <c r="AM7284">
        <v>94.413932927655594</v>
      </c>
      <c r="AN7284">
        <v>0.99999996232129496</v>
      </c>
    </row>
    <row r="7285" spans="1:40" x14ac:dyDescent="0.25">
      <c r="A7285" t="str">
        <f>"20190304154938641"</f>
        <v>20190304154938641</v>
      </c>
      <c r="B7285" t="str">
        <f>"1551685778634178"</f>
        <v>1551685778634178</v>
      </c>
      <c r="C7285" t="s">
        <v>40</v>
      </c>
      <c r="D7285">
        <v>4.1761309999999998</v>
      </c>
      <c r="E7285">
        <v>0.54449269999999905</v>
      </c>
      <c r="F7285" t="s">
        <v>68</v>
      </c>
      <c r="G7285">
        <v>-191.56899999999999</v>
      </c>
      <c r="H7285" s="1">
        <v>-9.5866379999999996E-6</v>
      </c>
      <c r="I7285">
        <v>-66.003519999999995</v>
      </c>
      <c r="J7285">
        <v>-246.34010000000001</v>
      </c>
      <c r="K7285">
        <v>1.110538</v>
      </c>
      <c r="L7285">
        <v>-63.304470000000002</v>
      </c>
      <c r="M7285">
        <v>0.99992150000000002</v>
      </c>
      <c r="N7285">
        <v>-1.123061E-2</v>
      </c>
      <c r="O7285">
        <v>-5.5562419999999899E-3</v>
      </c>
      <c r="P7285">
        <v>0.98190310000000003</v>
      </c>
      <c r="Q7285">
        <v>0.17597889999999999</v>
      </c>
      <c r="R7285">
        <v>6.9984439999999995E-2</v>
      </c>
      <c r="S7285">
        <v>3.077499</v>
      </c>
      <c r="T7285">
        <v>-6.2221770000000003E-2</v>
      </c>
      <c r="U7285">
        <v>-0.15127560000000001</v>
      </c>
      <c r="V7285">
        <v>-7.5376180000000001E-2</v>
      </c>
      <c r="W7285">
        <v>0.18701580000000001</v>
      </c>
      <c r="X7285">
        <v>0.97946080000000002</v>
      </c>
      <c r="Y7285">
        <v>4.3531849999999997E-2</v>
      </c>
      <c r="Z7285">
        <v>-6.345077E-4</v>
      </c>
      <c r="AA7285">
        <v>0.99905180000000005</v>
      </c>
      <c r="AB7285">
        <v>30</v>
      </c>
      <c r="AC7285">
        <v>54.771099999999898</v>
      </c>
      <c r="AD7285">
        <v>-1.1105475866379999</v>
      </c>
      <c r="AE7285">
        <v>-2.6990500000000002</v>
      </c>
      <c r="AF7285">
        <v>2.39368593873087</v>
      </c>
      <c r="AG7285">
        <v>-1.1105475866379999</v>
      </c>
      <c r="AH7285">
        <v>54.762792281556699</v>
      </c>
      <c r="AI7285">
        <v>91.160647476547595</v>
      </c>
      <c r="AJ7285">
        <v>87.497190111715696</v>
      </c>
      <c r="AK7285">
        <v>54.826330050336097</v>
      </c>
      <c r="AL7285">
        <v>79.221318978974594</v>
      </c>
      <c r="AM7285">
        <v>94.400626820076099</v>
      </c>
      <c r="AN7285">
        <v>0.99999996834883498</v>
      </c>
    </row>
    <row r="7286" spans="1:40" x14ac:dyDescent="0.25">
      <c r="A7286" t="str">
        <f>"20190304154938652"</f>
        <v>20190304154938652</v>
      </c>
      <c r="B7286" t="str">
        <f>"1551685778644915"</f>
        <v>1551685778644915</v>
      </c>
      <c r="C7286" t="s">
        <v>40</v>
      </c>
      <c r="D7286">
        <v>4.2400399999999996</v>
      </c>
      <c r="E7286">
        <v>0.54468079999999996</v>
      </c>
      <c r="F7286" t="s">
        <v>68</v>
      </c>
      <c r="G7286">
        <v>-192.2801</v>
      </c>
      <c r="H7286" s="1">
        <v>-9.2766550000000007E-6</v>
      </c>
      <c r="I7286">
        <v>-66.013170000000002</v>
      </c>
      <c r="J7286">
        <v>-246.1917</v>
      </c>
      <c r="K7286">
        <v>1.1105370000000001</v>
      </c>
      <c r="L7286">
        <v>-63.30536</v>
      </c>
      <c r="M7286">
        <v>0.99992110000000001</v>
      </c>
      <c r="N7286">
        <v>-1.1239809999999999E-2</v>
      </c>
      <c r="O7286">
        <v>-5.6309219999999896E-3</v>
      </c>
      <c r="P7286">
        <v>0.98192619999999997</v>
      </c>
      <c r="Q7286">
        <v>0.17587230000000001</v>
      </c>
      <c r="R7286">
        <v>6.9930030000000004E-2</v>
      </c>
      <c r="S7286">
        <v>3.0776210000000002</v>
      </c>
      <c r="T7286">
        <v>-6.3223119999999994E-2</v>
      </c>
      <c r="U7286">
        <v>-0.15420529999999999</v>
      </c>
      <c r="V7286">
        <v>-7.539535E-2</v>
      </c>
      <c r="W7286">
        <v>0.18691840000000001</v>
      </c>
      <c r="X7286">
        <v>0.97947790000000001</v>
      </c>
      <c r="Y7286">
        <v>4.4403339999999999E-2</v>
      </c>
      <c r="Z7286">
        <v>-6.5316560000000003E-4</v>
      </c>
      <c r="AA7286">
        <v>0.9990135</v>
      </c>
      <c r="AB7286">
        <v>30</v>
      </c>
      <c r="AC7286">
        <v>53.9115999999999</v>
      </c>
      <c r="AD7286">
        <v>-1.1105462766550001</v>
      </c>
      <c r="AE7286">
        <v>-2.7078099999999998</v>
      </c>
      <c r="AF7286">
        <v>2.4031587327837198</v>
      </c>
      <c r="AG7286">
        <v>-1.1105462766550001</v>
      </c>
      <c r="AH7286">
        <v>53.903178169525198</v>
      </c>
      <c r="AI7286">
        <v>91.179104848205498</v>
      </c>
      <c r="AJ7286">
        <v>87.447279735386502</v>
      </c>
      <c r="AK7286">
        <v>53.968148955686203</v>
      </c>
      <c r="AL7286">
        <v>79.226999581866906</v>
      </c>
      <c r="AM7286">
        <v>94.401665063992198</v>
      </c>
      <c r="AN7286">
        <v>0.99999995182429502</v>
      </c>
    </row>
    <row r="7287" spans="1:40" x14ac:dyDescent="0.25">
      <c r="A7287" t="str">
        <f>"20190304154938662"</f>
        <v>20190304154938662</v>
      </c>
      <c r="B7287" t="str">
        <f>"1551685778654675"</f>
        <v>1551685778654675</v>
      </c>
      <c r="C7287" t="s">
        <v>40</v>
      </c>
      <c r="D7287">
        <v>4.1900009999999996</v>
      </c>
      <c r="E7287">
        <v>0.54490729999999998</v>
      </c>
      <c r="F7287" t="s">
        <v>68</v>
      </c>
      <c r="G7287">
        <v>-192.88720000000001</v>
      </c>
      <c r="H7287" s="1">
        <v>-9.0103560000000006E-6</v>
      </c>
      <c r="I7287">
        <v>-66.002489999999995</v>
      </c>
      <c r="J7287">
        <v>-246.04589999999999</v>
      </c>
      <c r="K7287">
        <v>1.110538</v>
      </c>
      <c r="L7287">
        <v>-63.306269999999998</v>
      </c>
      <c r="M7287">
        <v>0.99992060000000005</v>
      </c>
      <c r="N7287">
        <v>-1.124842E-2</v>
      </c>
      <c r="O7287">
        <v>-5.7040469999999899E-3</v>
      </c>
      <c r="P7287">
        <v>0.98195900000000003</v>
      </c>
      <c r="Q7287">
        <v>0.17570669999999999</v>
      </c>
      <c r="R7287">
        <v>6.9885580000000003E-2</v>
      </c>
      <c r="S7287">
        <v>3.0777739999999998</v>
      </c>
      <c r="T7287">
        <v>-6.4122319999999997E-2</v>
      </c>
      <c r="U7287">
        <v>-0.15573119999999999</v>
      </c>
      <c r="V7287">
        <v>-7.542285E-2</v>
      </c>
      <c r="W7287">
        <v>0.1867615</v>
      </c>
      <c r="X7287">
        <v>0.97950579999999998</v>
      </c>
      <c r="Y7287">
        <v>4.4821369999999999E-2</v>
      </c>
      <c r="Z7287">
        <v>-6.6422859999999999E-4</v>
      </c>
      <c r="AA7287">
        <v>0.99899479999999996</v>
      </c>
      <c r="AB7287">
        <v>30</v>
      </c>
      <c r="AC7287">
        <v>53.158699999999897</v>
      </c>
      <c r="AD7287">
        <v>-1.110547010356</v>
      </c>
      <c r="AE7287">
        <v>-2.6962200000000101</v>
      </c>
      <c r="AF7287">
        <v>2.3918960228190498</v>
      </c>
      <c r="AG7287">
        <v>-1.110547010356</v>
      </c>
      <c r="AH7287">
        <v>53.150078097760897</v>
      </c>
      <c r="AI7287">
        <v>91.195785491387397</v>
      </c>
      <c r="AJ7287">
        <v>87.423274856145596</v>
      </c>
      <c r="AK7287">
        <v>53.215460939883599</v>
      </c>
      <c r="AL7287">
        <v>79.236151374194606</v>
      </c>
      <c r="AM7287">
        <v>94.403139303710304</v>
      </c>
      <c r="AN7287">
        <v>1.000000038209</v>
      </c>
    </row>
    <row r="7288" spans="1:40" x14ac:dyDescent="0.25">
      <c r="A7288" t="str">
        <f>"20190304154938674"</f>
        <v>20190304154938674</v>
      </c>
      <c r="B7288" t="str">
        <f>"1551685778664435"</f>
        <v>1551685778664435</v>
      </c>
      <c r="C7288" t="s">
        <v>40</v>
      </c>
      <c r="D7288">
        <v>4.1886469999999996</v>
      </c>
      <c r="E7288">
        <v>0.54508639999999997</v>
      </c>
      <c r="F7288" t="s">
        <v>68</v>
      </c>
      <c r="G7288">
        <v>-193.346</v>
      </c>
      <c r="H7288" s="1">
        <v>-8.8100649999999998E-6</v>
      </c>
      <c r="I7288">
        <v>-66.005579999999995</v>
      </c>
      <c r="J7288">
        <v>-245.89779999999999</v>
      </c>
      <c r="K7288">
        <v>1.1105389999999999</v>
      </c>
      <c r="L7288">
        <v>-63.307160000000003</v>
      </c>
      <c r="M7288">
        <v>0.99992000000000003</v>
      </c>
      <c r="N7288">
        <v>-1.1257029999999999E-2</v>
      </c>
      <c r="O7288">
        <v>-5.7777669999999996E-3</v>
      </c>
      <c r="P7288">
        <v>0.98196819999999896</v>
      </c>
      <c r="Q7288">
        <v>0.17560010000000001</v>
      </c>
      <c r="R7288">
        <v>7.0021829999999993E-2</v>
      </c>
      <c r="S7288">
        <v>3.0779570000000001</v>
      </c>
      <c r="T7288">
        <v>-6.4862009999999998E-2</v>
      </c>
      <c r="U7288">
        <v>-0.15765379999999901</v>
      </c>
      <c r="V7288">
        <v>-7.5631210000000004E-2</v>
      </c>
      <c r="W7288">
        <v>0.18666360000000001</v>
      </c>
      <c r="X7288">
        <v>0.9795083</v>
      </c>
      <c r="Y7288">
        <v>4.5366650000000001E-2</v>
      </c>
      <c r="Z7288">
        <v>-6.7654939999999995E-4</v>
      </c>
      <c r="AA7288">
        <v>0.99897020000000003</v>
      </c>
      <c r="AB7288">
        <v>30</v>
      </c>
      <c r="AC7288">
        <v>52.5518</v>
      </c>
      <c r="AD7288">
        <v>-1.1105478100649999</v>
      </c>
      <c r="AE7288">
        <v>-2.6984200000000098</v>
      </c>
      <c r="AF7288">
        <v>2.3936575258412298</v>
      </c>
      <c r="AG7288">
        <v>-1.1105478100649999</v>
      </c>
      <c r="AH7288">
        <v>52.543111551457301</v>
      </c>
      <c r="AI7288">
        <v>91.209565496929798</v>
      </c>
      <c r="AJ7288">
        <v>87.391633044487094</v>
      </c>
      <c r="AK7288">
        <v>52.609328871392599</v>
      </c>
      <c r="AL7288">
        <v>79.241860018832696</v>
      </c>
      <c r="AM7288">
        <v>94.415243974217304</v>
      </c>
      <c r="AN7288">
        <v>0.99999994462995501</v>
      </c>
    </row>
    <row r="7289" spans="1:40" x14ac:dyDescent="0.25">
      <c r="A7289" t="str">
        <f>"20190304154938684"</f>
        <v>20190304154938684</v>
      </c>
      <c r="B7289" t="str">
        <f>"1551685778674195"</f>
        <v>1551685778674195</v>
      </c>
      <c r="C7289" t="s">
        <v>40</v>
      </c>
      <c r="D7289">
        <v>4.2514979999999998</v>
      </c>
      <c r="E7289">
        <v>0.54522029999999999</v>
      </c>
      <c r="F7289" t="s">
        <v>68</v>
      </c>
      <c r="G7289">
        <v>-193.82</v>
      </c>
      <c r="H7289" s="1">
        <v>-8.6016409999999996E-6</v>
      </c>
      <c r="I7289">
        <v>-65.991489999999999</v>
      </c>
      <c r="J7289">
        <v>-245.74979999999999</v>
      </c>
      <c r="K7289">
        <v>1.110538</v>
      </c>
      <c r="L7289">
        <v>-63.308140000000002</v>
      </c>
      <c r="M7289">
        <v>0.99991940000000001</v>
      </c>
      <c r="N7289">
        <v>-1.1265209999999999E-2</v>
      </c>
      <c r="O7289">
        <v>-5.8517219999999898E-3</v>
      </c>
      <c r="P7289">
        <v>0.98190489999999997</v>
      </c>
      <c r="Q7289">
        <v>0.17581559999999999</v>
      </c>
      <c r="R7289">
        <v>7.0368799999999995E-2</v>
      </c>
      <c r="S7289">
        <v>3.078125</v>
      </c>
      <c r="T7289">
        <v>-6.5640329999999997E-2</v>
      </c>
      <c r="U7289">
        <v>-0.15866089999999999</v>
      </c>
      <c r="V7289">
        <v>-7.6050590000000001E-2</v>
      </c>
      <c r="W7289">
        <v>0.18688660000000001</v>
      </c>
      <c r="X7289">
        <v>0.97943340000000001</v>
      </c>
      <c r="Y7289">
        <v>4.5615580000000003E-2</v>
      </c>
      <c r="Z7289">
        <v>-6.8434509999999997E-4</v>
      </c>
      <c r="AA7289">
        <v>0.99895880000000004</v>
      </c>
      <c r="AB7289">
        <v>30</v>
      </c>
      <c r="AC7289">
        <v>51.9298</v>
      </c>
      <c r="AD7289">
        <v>-1.1105466016409999</v>
      </c>
      <c r="AE7289">
        <v>-2.6833499999999901</v>
      </c>
      <c r="AF7289">
        <v>2.3783211998418898</v>
      </c>
      <c r="AG7289">
        <v>-1.1105466016409999</v>
      </c>
      <c r="AH7289">
        <v>51.9209316425233</v>
      </c>
      <c r="AI7289">
        <v>91.224040294943194</v>
      </c>
      <c r="AJ7289">
        <v>87.377308632821496</v>
      </c>
      <c r="AK7289">
        <v>51.987237550302702</v>
      </c>
      <c r="AL7289">
        <v>79.228855223310305</v>
      </c>
      <c r="AM7289">
        <v>94.439967331333193</v>
      </c>
      <c r="AN7289">
        <v>1.0000000392672299</v>
      </c>
    </row>
    <row r="7290" spans="1:40" x14ac:dyDescent="0.25">
      <c r="A7290" t="str">
        <f>"20190304154938696"</f>
        <v>20190304154938696</v>
      </c>
      <c r="B7290" t="str">
        <f>"1551685778694690"</f>
        <v>1551685778694690</v>
      </c>
      <c r="C7290" t="s">
        <v>40</v>
      </c>
      <c r="D7290">
        <v>4.2002160000000002</v>
      </c>
      <c r="E7290">
        <v>0.54561000000000004</v>
      </c>
      <c r="F7290" t="s">
        <v>68</v>
      </c>
      <c r="G7290">
        <v>-193.5042</v>
      </c>
      <c r="H7290" s="1">
        <v>-8.7405450000000002E-6</v>
      </c>
      <c r="I7290">
        <v>-66.000910000000005</v>
      </c>
      <c r="J7290">
        <v>-245.59989999999999</v>
      </c>
      <c r="K7290">
        <v>1.1105370000000001</v>
      </c>
      <c r="L7290">
        <v>-63.309080000000002</v>
      </c>
      <c r="M7290">
        <v>0.99991890000000005</v>
      </c>
      <c r="N7290">
        <v>-1.127324E-2</v>
      </c>
      <c r="O7290">
        <v>-5.9266299999999996E-3</v>
      </c>
      <c r="P7290">
        <v>0.9818422</v>
      </c>
      <c r="Q7290">
        <v>0.1760747</v>
      </c>
      <c r="R7290">
        <v>7.0595779999999997E-2</v>
      </c>
      <c r="S7290">
        <v>3.0783689999999999</v>
      </c>
      <c r="T7290">
        <v>-6.5434580000000006E-2</v>
      </c>
      <c r="U7290">
        <v>-0.15866089999999999</v>
      </c>
      <c r="V7290">
        <v>-7.6350689999999999E-2</v>
      </c>
      <c r="W7290">
        <v>0.18715309999999999</v>
      </c>
      <c r="X7290">
        <v>0.97935910000000004</v>
      </c>
      <c r="Y7290">
        <v>4.5536769999999997E-2</v>
      </c>
      <c r="Z7290">
        <v>-6.8138589999999896E-4</v>
      </c>
      <c r="AA7290">
        <v>0.99896240000000003</v>
      </c>
      <c r="AB7290">
        <v>30</v>
      </c>
      <c r="AC7290">
        <v>52.095700000000001</v>
      </c>
      <c r="AD7290">
        <v>-1.1105457405449899</v>
      </c>
      <c r="AE7290">
        <v>-2.6918299999999999</v>
      </c>
      <c r="AF7290">
        <v>2.3819316174141401</v>
      </c>
      <c r="AG7290">
        <v>-1.1105457405449899</v>
      </c>
      <c r="AH7290">
        <v>52.087132395682303</v>
      </c>
      <c r="AI7290">
        <v>91.220139118456999</v>
      </c>
      <c r="AJ7290">
        <v>87.381702364787202</v>
      </c>
      <c r="AK7290">
        <v>52.153391752379903</v>
      </c>
      <c r="AL7290">
        <v>79.213310989082601</v>
      </c>
      <c r="AM7290">
        <v>94.457754031762093</v>
      </c>
      <c r="AN7290">
        <v>0.99999997872794699</v>
      </c>
    </row>
    <row r="7291" spans="1:40" x14ac:dyDescent="0.25">
      <c r="A7291" t="str">
        <f>"20190304154938707"</f>
        <v>20190304154938707</v>
      </c>
      <c r="B7291" t="str">
        <f>"1551685778704450"</f>
        <v>1551685778704450</v>
      </c>
      <c r="C7291" t="s">
        <v>40</v>
      </c>
      <c r="D7291">
        <v>4.2047929999999996</v>
      </c>
      <c r="E7291">
        <v>0.54580379999999995</v>
      </c>
      <c r="F7291" t="s">
        <v>68</v>
      </c>
      <c r="G7291">
        <v>-193.29640000000001</v>
      </c>
      <c r="H7291" s="1">
        <v>-8.8351229999999906E-6</v>
      </c>
      <c r="I7291">
        <v>-66.043880000000001</v>
      </c>
      <c r="J7291">
        <v>-245.44980000000001</v>
      </c>
      <c r="K7291">
        <v>1.1105389999999999</v>
      </c>
      <c r="L7291">
        <v>-63.310029999999998</v>
      </c>
      <c r="M7291">
        <v>0.99991850000000004</v>
      </c>
      <c r="N7291">
        <v>-1.128092E-2</v>
      </c>
      <c r="O7291">
        <v>-6.0014159999999999E-3</v>
      </c>
      <c r="P7291">
        <v>0.9817728</v>
      </c>
      <c r="Q7291">
        <v>0.17634749999999999</v>
      </c>
      <c r="R7291">
        <v>7.0880589999999993E-2</v>
      </c>
      <c r="S7291">
        <v>3.0787810000000002</v>
      </c>
      <c r="T7291">
        <v>-6.5370919999999999E-2</v>
      </c>
      <c r="U7291">
        <v>-0.16098019999999999</v>
      </c>
      <c r="V7291">
        <v>-7.6708910000000005E-2</v>
      </c>
      <c r="W7291">
        <v>0.1874323</v>
      </c>
      <c r="X7291">
        <v>0.97927770000000003</v>
      </c>
      <c r="Y7291">
        <v>4.6205509999999998E-2</v>
      </c>
      <c r="Z7291">
        <v>-6.9133319999999999E-4</v>
      </c>
      <c r="AA7291">
        <v>0.99893169999999998</v>
      </c>
      <c r="AB7291">
        <v>30</v>
      </c>
      <c r="AC7291">
        <v>52.153399999999998</v>
      </c>
      <c r="AD7291">
        <v>-1.110547835123</v>
      </c>
      <c r="AE7291">
        <v>-2.7338499999999901</v>
      </c>
      <c r="AF7291">
        <v>2.4196924860071798</v>
      </c>
      <c r="AG7291">
        <v>-1.110547835123</v>
      </c>
      <c r="AH7291">
        <v>52.145289286055799</v>
      </c>
      <c r="AI7291">
        <v>91.218743321972894</v>
      </c>
      <c r="AJ7291">
        <v>87.343215641212396</v>
      </c>
      <c r="AK7291">
        <v>52.213211191683897</v>
      </c>
      <c r="AL7291">
        <v>79.197025719124795</v>
      </c>
      <c r="AM7291">
        <v>94.478954661543</v>
      </c>
      <c r="AN7291">
        <v>0.99999996883698306</v>
      </c>
    </row>
    <row r="7292" spans="1:40" x14ac:dyDescent="0.25">
      <c r="A7292" t="str">
        <f>"20190304154938719"</f>
        <v>20190304154938719</v>
      </c>
      <c r="B7292" t="str">
        <f>"1551685778714211"</f>
        <v>1551685778714211</v>
      </c>
      <c r="C7292" t="s">
        <v>40</v>
      </c>
      <c r="D7292">
        <v>4.2022300000000001</v>
      </c>
      <c r="E7292">
        <v>0.54596480000000003</v>
      </c>
      <c r="F7292" t="s">
        <v>68</v>
      </c>
      <c r="G7292">
        <v>-192.7064</v>
      </c>
      <c r="H7292" s="1">
        <v>-9.0961189999999995E-6</v>
      </c>
      <c r="I7292">
        <v>-66.079130000000006</v>
      </c>
      <c r="J7292">
        <v>-245.29820000000001</v>
      </c>
      <c r="K7292">
        <v>1.1105400000000001</v>
      </c>
      <c r="L7292">
        <v>-63.311</v>
      </c>
      <c r="M7292">
        <v>0.99991770000000002</v>
      </c>
      <c r="N7292">
        <v>-1.128822E-2</v>
      </c>
      <c r="O7292">
        <v>-6.0767959999999998E-3</v>
      </c>
      <c r="P7292">
        <v>0.98165709999999995</v>
      </c>
      <c r="Q7292">
        <v>0.17681279999999999</v>
      </c>
      <c r="R7292">
        <v>7.1317409999999998E-2</v>
      </c>
      <c r="S7292">
        <v>3.0789949999999999</v>
      </c>
      <c r="T7292">
        <v>-6.4830299999999993E-2</v>
      </c>
      <c r="U7292">
        <v>-0.16165160000000001</v>
      </c>
      <c r="V7292">
        <v>-7.721828E-2</v>
      </c>
      <c r="W7292">
        <v>0.18790390000000001</v>
      </c>
      <c r="X7292">
        <v>0.97914730000000005</v>
      </c>
      <c r="Y7292">
        <v>4.6343969999999998E-2</v>
      </c>
      <c r="Z7292">
        <v>-6.9002279999999896E-4</v>
      </c>
      <c r="AA7292">
        <v>0.99892530000000002</v>
      </c>
      <c r="AB7292">
        <v>30</v>
      </c>
      <c r="AC7292">
        <v>52.591799999999999</v>
      </c>
      <c r="AD7292">
        <v>-1.1105490961190001</v>
      </c>
      <c r="AE7292">
        <v>-2.76812999999999</v>
      </c>
      <c r="AF7292">
        <v>2.4473805638025201</v>
      </c>
      <c r="AG7292">
        <v>-1.1105490961190001</v>
      </c>
      <c r="AH7292">
        <v>52.584268607720503</v>
      </c>
      <c r="AI7292">
        <v>91.208565722076997</v>
      </c>
      <c r="AJ7292">
        <v>87.335258957517595</v>
      </c>
      <c r="AK7292">
        <v>52.652903964813397</v>
      </c>
      <c r="AL7292">
        <v>79.169516450268802</v>
      </c>
      <c r="AM7292">
        <v>94.5091719965653</v>
      </c>
      <c r="AN7292">
        <v>0.999999986749329</v>
      </c>
    </row>
    <row r="7293" spans="1:40" x14ac:dyDescent="0.25">
      <c r="A7293" t="str">
        <f>"20190304154938730"</f>
        <v>20190304154938730</v>
      </c>
      <c r="B7293" t="str">
        <f>"1551685778723971"</f>
        <v>1551685778723971</v>
      </c>
      <c r="C7293" t="s">
        <v>40</v>
      </c>
      <c r="D7293">
        <v>3.960413</v>
      </c>
      <c r="E7293">
        <v>0.5466394</v>
      </c>
      <c r="F7293" t="s">
        <v>68</v>
      </c>
      <c r="G7293">
        <v>-191.77610000000001</v>
      </c>
      <c r="H7293" s="1">
        <v>-9.5060410000000006E-6</v>
      </c>
      <c r="I7293">
        <v>-66.116469999999893</v>
      </c>
      <c r="J7293">
        <v>-245.13669999999999</v>
      </c>
      <c r="K7293">
        <v>1.110541</v>
      </c>
      <c r="L7293">
        <v>-63.312040000000003</v>
      </c>
      <c r="M7293">
        <v>0.99991730000000001</v>
      </c>
      <c r="N7293">
        <v>-1.129572E-2</v>
      </c>
      <c r="O7293">
        <v>-6.1570640000000003E-3</v>
      </c>
      <c r="P7293">
        <v>0.98160650000000005</v>
      </c>
      <c r="Q7293">
        <v>0.1769617</v>
      </c>
      <c r="R7293">
        <v>7.1648899999999904E-2</v>
      </c>
      <c r="S7293">
        <v>3.0792999999999999</v>
      </c>
      <c r="T7293">
        <v>-6.3893560000000002E-2</v>
      </c>
      <c r="U7293">
        <v>-0.16140750000000001</v>
      </c>
      <c r="V7293">
        <v>-7.7628180000000005E-2</v>
      </c>
      <c r="W7293">
        <v>0.1880599</v>
      </c>
      <c r="X7293">
        <v>0.97908499999999998</v>
      </c>
      <c r="Y7293">
        <v>4.6180020000000002E-2</v>
      </c>
      <c r="Z7293">
        <v>-6.8162669999999998E-4</v>
      </c>
      <c r="AA7293">
        <v>0.99893290000000001</v>
      </c>
      <c r="AB7293">
        <v>30</v>
      </c>
      <c r="AC7293">
        <v>53.360599999999899</v>
      </c>
      <c r="AD7293">
        <v>-1.1105505060409999</v>
      </c>
      <c r="AE7293">
        <v>-2.80442999999998</v>
      </c>
      <c r="AF7293">
        <v>2.4747422879068002</v>
      </c>
      <c r="AG7293">
        <v>-1.1105505060409999</v>
      </c>
      <c r="AH7293">
        <v>53.353810201665098</v>
      </c>
      <c r="AI7293">
        <v>91.191149453869897</v>
      </c>
      <c r="AJ7293">
        <v>87.344318368728494</v>
      </c>
      <c r="AK7293">
        <v>53.422717404240402</v>
      </c>
      <c r="AL7293">
        <v>79.160416751893806</v>
      </c>
      <c r="AM7293">
        <v>94.533295903595999</v>
      </c>
      <c r="AN7293">
        <v>1.0000000487715599</v>
      </c>
    </row>
    <row r="7294" spans="1:40" x14ac:dyDescent="0.25">
      <c r="A7294" t="str">
        <f>"20190304154938741"</f>
        <v>20190304154938741</v>
      </c>
      <c r="B7294" t="str">
        <f>"1551685778734707"</f>
        <v>1551685778734707</v>
      </c>
      <c r="C7294" t="s">
        <v>40</v>
      </c>
      <c r="D7294">
        <v>4.1982809999999997</v>
      </c>
      <c r="E7294">
        <v>0.54680649999999997</v>
      </c>
      <c r="F7294" t="s">
        <v>68</v>
      </c>
      <c r="G7294">
        <v>-188.9308</v>
      </c>
      <c r="H7294" s="1">
        <v>-9.0299729999999994E-6</v>
      </c>
      <c r="I7294">
        <v>-66.333950000000002</v>
      </c>
      <c r="J7294">
        <v>-244.99420000000001</v>
      </c>
      <c r="K7294">
        <v>1.1105430000000001</v>
      </c>
      <c r="L7294">
        <v>-63.313020000000002</v>
      </c>
      <c r="M7294">
        <v>0.9999169</v>
      </c>
      <c r="N7294">
        <v>-1.1301759999999999E-2</v>
      </c>
      <c r="O7294">
        <v>-6.2277890000000001E-3</v>
      </c>
      <c r="P7294">
        <v>0.98145309999999997</v>
      </c>
      <c r="Q7294">
        <v>0.17759220000000001</v>
      </c>
      <c r="R7294">
        <v>7.2186340000000002E-2</v>
      </c>
      <c r="S7294">
        <v>3.079285</v>
      </c>
      <c r="T7294">
        <v>-6.0842390000000003E-2</v>
      </c>
      <c r="U7294">
        <v>-0.16555790000000001</v>
      </c>
      <c r="V7294">
        <v>-7.8233800000000006E-2</v>
      </c>
      <c r="W7294">
        <v>0.18869440000000001</v>
      </c>
      <c r="X7294">
        <v>0.97891459999999997</v>
      </c>
      <c r="Y7294">
        <v>4.7452950000000001E-2</v>
      </c>
      <c r="Z7294">
        <v>-6.8420310000000002E-4</v>
      </c>
      <c r="AA7294">
        <v>0.99887320000000002</v>
      </c>
      <c r="AB7294">
        <v>30</v>
      </c>
      <c r="AC7294">
        <v>56.063400000000001</v>
      </c>
      <c r="AD7294">
        <v>-1.1105520299730001</v>
      </c>
      <c r="AE7294">
        <v>-3.0209299999999999</v>
      </c>
      <c r="AF7294">
        <v>2.6706532316192599</v>
      </c>
      <c r="AG7294">
        <v>-1.1105520299730001</v>
      </c>
      <c r="AH7294">
        <v>56.059194109426201</v>
      </c>
      <c r="AI7294">
        <v>91.133615428414601</v>
      </c>
      <c r="AJ7294">
        <v>87.272498149847394</v>
      </c>
      <c r="AK7294">
        <v>56.133759527517498</v>
      </c>
      <c r="AL7294">
        <v>79.123398761076302</v>
      </c>
      <c r="AM7294">
        <v>94.569305370087207</v>
      </c>
      <c r="AN7294">
        <v>0.999999949073478</v>
      </c>
    </row>
    <row r="7295" spans="1:40" x14ac:dyDescent="0.25">
      <c r="A7295" t="str">
        <f>"20190304154938753"</f>
        <v>20190304154938753</v>
      </c>
      <c r="B7295" t="str">
        <f>"1551685778744467"</f>
        <v>1551685778744467</v>
      </c>
      <c r="C7295" t="s">
        <v>40</v>
      </c>
      <c r="D7295">
        <v>4.1302979999999998</v>
      </c>
      <c r="E7295">
        <v>0.54657979999999995</v>
      </c>
      <c r="F7295" t="s">
        <v>68</v>
      </c>
      <c r="G7295">
        <v>-185.25059999999999</v>
      </c>
      <c r="H7295" s="1">
        <v>-8.5515969999999997E-6</v>
      </c>
      <c r="I7295">
        <v>-66.517519999999905</v>
      </c>
      <c r="J7295">
        <v>-244.8382</v>
      </c>
      <c r="K7295">
        <v>1.1105449999999999</v>
      </c>
      <c r="L7295">
        <v>-63.314059999999998</v>
      </c>
      <c r="M7295">
        <v>0.99991629999999998</v>
      </c>
      <c r="N7295">
        <v>-1.1308260000000001E-2</v>
      </c>
      <c r="O7295">
        <v>-6.3053099999999997E-3</v>
      </c>
      <c r="P7295">
        <v>0.98135170000000005</v>
      </c>
      <c r="Q7295">
        <v>0.17787410000000001</v>
      </c>
      <c r="R7295">
        <v>7.2871329999999998E-2</v>
      </c>
      <c r="S7295">
        <v>3.0792079999999999</v>
      </c>
      <c r="T7295">
        <v>-5.7238219999999999E-2</v>
      </c>
      <c r="U7295">
        <v>-0.16516110000000001</v>
      </c>
      <c r="V7295">
        <v>-7.8994389999999998E-2</v>
      </c>
      <c r="W7295">
        <v>0.1889815</v>
      </c>
      <c r="X7295">
        <v>0.97879819999999995</v>
      </c>
      <c r="Y7295">
        <v>4.7249869999999999E-2</v>
      </c>
      <c r="Z7295">
        <v>-6.6034299999999998E-4</v>
      </c>
      <c r="AA7295">
        <v>0.99888290000000002</v>
      </c>
      <c r="AB7295">
        <v>30</v>
      </c>
      <c r="AC7295">
        <v>59.587600000000002</v>
      </c>
      <c r="AD7295">
        <v>-1.110553551597</v>
      </c>
      <c r="AE7295">
        <v>-3.20345999999999</v>
      </c>
      <c r="AF7295">
        <v>2.82667502546661</v>
      </c>
      <c r="AG7295">
        <v>-1.110553551597</v>
      </c>
      <c r="AH7295">
        <v>59.585977885281402</v>
      </c>
      <c r="AI7295">
        <v>91.066546455687401</v>
      </c>
      <c r="AJ7295">
        <v>87.284004921303804</v>
      </c>
      <c r="AK7295">
        <v>59.663323586905499</v>
      </c>
      <c r="AL7295">
        <v>79.106648529561198</v>
      </c>
      <c r="AM7295">
        <v>94.614083643820905</v>
      </c>
      <c r="AN7295">
        <v>1.0000000186584801</v>
      </c>
    </row>
    <row r="7296" spans="1:40" x14ac:dyDescent="0.25">
      <c r="A7296" t="str">
        <f>"20190304154938763"</f>
        <v>20190304154938763</v>
      </c>
      <c r="B7296" t="str">
        <f>"1551685778754227"</f>
        <v>1551685778754227</v>
      </c>
      <c r="C7296" t="s">
        <v>40</v>
      </c>
      <c r="D7296">
        <v>4.086652</v>
      </c>
      <c r="E7296">
        <v>0.54657979999999995</v>
      </c>
      <c r="F7296" t="s">
        <v>68</v>
      </c>
      <c r="G7296">
        <v>-182.0873</v>
      </c>
      <c r="H7296" s="1">
        <v>-8.1878770000000004E-6</v>
      </c>
      <c r="I7296">
        <v>-66.599379999999996</v>
      </c>
      <c r="J7296">
        <v>-244.68469999999999</v>
      </c>
      <c r="K7296">
        <v>1.110552</v>
      </c>
      <c r="L7296">
        <v>-63.315089999999998</v>
      </c>
      <c r="M7296">
        <v>0.99991569999999996</v>
      </c>
      <c r="N7296">
        <v>-1.131416E-2</v>
      </c>
      <c r="O7296">
        <v>-6.3816360000000004E-3</v>
      </c>
      <c r="P7296">
        <v>0.98120269999999998</v>
      </c>
      <c r="Q7296">
        <v>0.1784211</v>
      </c>
      <c r="R7296">
        <v>7.3535729999999994E-2</v>
      </c>
      <c r="S7296">
        <v>3.0788730000000002</v>
      </c>
      <c r="T7296">
        <v>-5.4489370000000002E-2</v>
      </c>
      <c r="U7296">
        <v>-0.1611938</v>
      </c>
      <c r="V7296">
        <v>-7.9732020000000001E-2</v>
      </c>
      <c r="W7296">
        <v>0.18953249999999999</v>
      </c>
      <c r="X7296">
        <v>0.97863180000000005</v>
      </c>
      <c r="Y7296">
        <v>4.5897220000000002E-2</v>
      </c>
      <c r="Z7296">
        <v>-6.2500169999999897E-4</v>
      </c>
      <c r="AA7296">
        <v>0.998946</v>
      </c>
      <c r="AB7296">
        <v>30</v>
      </c>
      <c r="AC7296">
        <v>62.597399999999901</v>
      </c>
      <c r="AD7296">
        <v>-1.1105601878769999</v>
      </c>
      <c r="AE7296">
        <v>-3.2842899999999999</v>
      </c>
      <c r="AF7296">
        <v>2.8838185479319098</v>
      </c>
      <c r="AG7296">
        <v>-1.1105601878769999</v>
      </c>
      <c r="AH7296">
        <v>62.597436937966499</v>
      </c>
      <c r="AI7296">
        <v>91.015318592014907</v>
      </c>
      <c r="AJ7296">
        <v>87.362289984598206</v>
      </c>
      <c r="AK7296">
        <v>62.673669627292398</v>
      </c>
      <c r="AL7296">
        <v>79.074497100724997</v>
      </c>
      <c r="AM7296">
        <v>94.657768532306605</v>
      </c>
      <c r="AN7296">
        <v>0.99999998177038496</v>
      </c>
    </row>
    <row r="7297" spans="1:40" x14ac:dyDescent="0.25">
      <c r="A7297" t="str">
        <f>"20190304154938775"</f>
        <v>20190304154938775</v>
      </c>
      <c r="B7297" t="str">
        <f>"1551685778764964"</f>
        <v>1551685778764964</v>
      </c>
      <c r="C7297" t="s">
        <v>40</v>
      </c>
      <c r="D7297">
        <v>4.0282150000000003</v>
      </c>
      <c r="E7297">
        <v>0.47521669999999999</v>
      </c>
      <c r="F7297" t="s">
        <v>68</v>
      </c>
      <c r="G7297">
        <v>-179.96260000000001</v>
      </c>
      <c r="H7297">
        <v>2.504858E-3</v>
      </c>
      <c r="I7297">
        <v>-66.661760000000001</v>
      </c>
      <c r="J7297">
        <v>-244.5378</v>
      </c>
      <c r="K7297">
        <v>1.110554</v>
      </c>
      <c r="L7297">
        <v>-63.316099999999999</v>
      </c>
      <c r="M7297">
        <v>0.99991509999999995</v>
      </c>
      <c r="N7297">
        <v>-1.1319579999999999E-2</v>
      </c>
      <c r="O7297">
        <v>-6.4545019999999896E-3</v>
      </c>
      <c r="P7297">
        <v>0.98103879999999999</v>
      </c>
      <c r="Q7297">
        <v>0.17897969999999999</v>
      </c>
      <c r="R7297">
        <v>7.4358629999999995E-2</v>
      </c>
      <c r="S7297">
        <v>3.0790099999999998</v>
      </c>
      <c r="T7297">
        <v>-5.2712920000000003E-2</v>
      </c>
      <c r="U7297">
        <v>-0.1592102</v>
      </c>
      <c r="V7297">
        <v>-8.0625569999999994E-2</v>
      </c>
      <c r="W7297">
        <v>0.19009480000000001</v>
      </c>
      <c r="X7297">
        <v>0.97844949999999997</v>
      </c>
      <c r="Y7297">
        <v>4.5181010000000001E-2</v>
      </c>
      <c r="Z7297">
        <v>-6.0499269999999996E-4</v>
      </c>
      <c r="AA7297">
        <v>0.99897860000000005</v>
      </c>
      <c r="AB7297">
        <v>30</v>
      </c>
      <c r="AC7297">
        <v>64.575199999999995</v>
      </c>
      <c r="AD7297">
        <v>-1.108049142</v>
      </c>
      <c r="AE7297">
        <v>-3.3456600000000001</v>
      </c>
      <c r="AF7297">
        <v>2.9279030728377302</v>
      </c>
      <c r="AG7297">
        <v>-1.108049142</v>
      </c>
      <c r="AH7297">
        <v>64.576488096160304</v>
      </c>
      <c r="AI7297">
        <v>90.982016457341999</v>
      </c>
      <c r="AJ7297">
        <v>87.403982752730897</v>
      </c>
      <c r="AK7297">
        <v>64.652325589560604</v>
      </c>
      <c r="AL7297">
        <v>79.041682996310797</v>
      </c>
      <c r="AM7297">
        <v>94.710607769416896</v>
      </c>
      <c r="AN7297">
        <v>0.99999996978755701</v>
      </c>
    </row>
    <row r="7298" spans="1:40" x14ac:dyDescent="0.25">
      <c r="A7298" t="str">
        <f>"20190304154938785"</f>
        <v>20190304154938785</v>
      </c>
      <c r="B7298" t="str">
        <f>"1551685778774723"</f>
        <v>1551685778774723</v>
      </c>
      <c r="C7298" t="s">
        <v>40</v>
      </c>
      <c r="D7298">
        <v>4.0494250000000003</v>
      </c>
      <c r="E7298">
        <v>0.46989110000000001</v>
      </c>
      <c r="F7298" t="s">
        <v>68</v>
      </c>
      <c r="G7298">
        <v>-203.61750000000001</v>
      </c>
      <c r="H7298" s="1">
        <v>-4.4337450000000002E-6</v>
      </c>
      <c r="I7298">
        <v>-57.793729999999996</v>
      </c>
      <c r="J7298">
        <v>-244.39320000000001</v>
      </c>
      <c r="K7298">
        <v>1.1105560000000001</v>
      </c>
      <c r="L7298">
        <v>-63.31711</v>
      </c>
      <c r="M7298">
        <v>0.99991470000000005</v>
      </c>
      <c r="N7298">
        <v>-1.1324509999999999E-2</v>
      </c>
      <c r="O7298">
        <v>-6.5264110000000002E-3</v>
      </c>
      <c r="P7298">
        <v>0.98096559999999999</v>
      </c>
      <c r="Q7298">
        <v>0.17912890000000001</v>
      </c>
      <c r="R7298">
        <v>7.4962669999999995E-2</v>
      </c>
      <c r="S7298">
        <v>3.0419459999999998</v>
      </c>
      <c r="T7298">
        <v>-8.2556959999999999E-2</v>
      </c>
      <c r="U7298">
        <v>0.41052250000000001</v>
      </c>
      <c r="V7298">
        <v>-8.1299609999999994E-2</v>
      </c>
      <c r="W7298">
        <v>0.1902479</v>
      </c>
      <c r="X7298">
        <v>0.97836400000000001</v>
      </c>
      <c r="Y7298">
        <v>-0.14013390000000001</v>
      </c>
      <c r="Z7298">
        <v>2.7926930000000002E-3</v>
      </c>
      <c r="AA7298">
        <v>0.99012860000000003</v>
      </c>
      <c r="AB7298">
        <v>30</v>
      </c>
      <c r="AC7298">
        <v>40.775700000000001</v>
      </c>
      <c r="AD7298">
        <v>-1.1105604337449999</v>
      </c>
      <c r="AE7298">
        <v>5.5233799999999897</v>
      </c>
      <c r="AF7298">
        <v>-5.7851842878596997</v>
      </c>
      <c r="AG7298">
        <v>-1.1105604337449999</v>
      </c>
      <c r="AH7298">
        <v>40.709127766367502</v>
      </c>
      <c r="AI7298">
        <v>91.547126400354202</v>
      </c>
      <c r="AJ7298">
        <v>98.088159993575999</v>
      </c>
      <c r="AK7298">
        <v>41.133134881989399</v>
      </c>
      <c r="AL7298">
        <v>79.0327483276061</v>
      </c>
      <c r="AM7298">
        <v>94.750222799148801</v>
      </c>
      <c r="AN7298">
        <v>1.0000000032682801</v>
      </c>
    </row>
    <row r="7299" spans="1:40" x14ac:dyDescent="0.25">
      <c r="A7299" t="str">
        <f>"20190304154938797"</f>
        <v>20190304154938797</v>
      </c>
      <c r="B7299" t="str">
        <f>"1551685778794243"</f>
        <v>1551685778794243</v>
      </c>
      <c r="C7299" t="s">
        <v>40</v>
      </c>
      <c r="D7299">
        <v>4.0047430000000004</v>
      </c>
      <c r="E7299">
        <v>0.46597420000000001</v>
      </c>
      <c r="F7299" t="s">
        <v>68</v>
      </c>
      <c r="G7299">
        <v>-200.23079999999999</v>
      </c>
      <c r="H7299" s="1">
        <v>-6.1957520000000004E-6</v>
      </c>
      <c r="I7299">
        <v>-56.703139999999998</v>
      </c>
      <c r="J7299">
        <v>-244.24529999999999</v>
      </c>
      <c r="K7299">
        <v>1.1105579999999999</v>
      </c>
      <c r="L7299">
        <v>-63.318150000000003</v>
      </c>
      <c r="M7299">
        <v>0.99991410000000003</v>
      </c>
      <c r="N7299">
        <v>-1.132932E-2</v>
      </c>
      <c r="O7299">
        <v>-6.5997499999999997E-3</v>
      </c>
      <c r="P7299">
        <v>0.98082990000000003</v>
      </c>
      <c r="Q7299">
        <v>0.17962259999999999</v>
      </c>
      <c r="R7299">
        <v>7.555692E-2</v>
      </c>
      <c r="S7299">
        <v>3.0373990000000002</v>
      </c>
      <c r="T7299">
        <v>-7.6382160000000004E-2</v>
      </c>
      <c r="U7299">
        <v>0.45489499999999999</v>
      </c>
      <c r="V7299">
        <v>-8.1964720000000005E-2</v>
      </c>
      <c r="W7299">
        <v>0.190745</v>
      </c>
      <c r="X7299">
        <v>0.97821170000000002</v>
      </c>
      <c r="Y7299">
        <v>-0.1545666</v>
      </c>
      <c r="Z7299">
        <v>2.903727E-3</v>
      </c>
      <c r="AA7299">
        <v>0.98797809999999997</v>
      </c>
      <c r="AB7299">
        <v>30</v>
      </c>
      <c r="AC7299">
        <v>44.014499999999998</v>
      </c>
      <c r="AD7299">
        <v>-1.1105641957519901</v>
      </c>
      <c r="AE7299">
        <v>6.6150099999999901</v>
      </c>
      <c r="AF7299">
        <v>-6.9010727683638002</v>
      </c>
      <c r="AG7299">
        <v>-1.1105641957519901</v>
      </c>
      <c r="AH7299">
        <v>43.942523348146203</v>
      </c>
      <c r="AI7299">
        <v>91.430211799711898</v>
      </c>
      <c r="AJ7299">
        <v>98.925270001834406</v>
      </c>
      <c r="AK7299">
        <v>44.494983047412397</v>
      </c>
      <c r="AL7299">
        <v>79.003735271210502</v>
      </c>
      <c r="AM7299">
        <v>94.789646366085904</v>
      </c>
      <c r="AN7299">
        <v>1.0000000001832801</v>
      </c>
    </row>
    <row r="7300" spans="1:40" x14ac:dyDescent="0.25">
      <c r="A7300" t="str">
        <f>"20190304154938808"</f>
        <v>20190304154938808</v>
      </c>
      <c r="B7300" t="str">
        <f>"1551685778804003"</f>
        <v>1551685778804003</v>
      </c>
      <c r="C7300" t="s">
        <v>40</v>
      </c>
      <c r="D7300">
        <v>3.9880119999999999</v>
      </c>
      <c r="E7300">
        <v>0.46527390000000002</v>
      </c>
      <c r="F7300" t="s">
        <v>68</v>
      </c>
      <c r="G7300">
        <v>-198.49709999999999</v>
      </c>
      <c r="H7300" s="1">
        <v>-8.6756569999999997E-6</v>
      </c>
      <c r="I7300">
        <v>-55.959139999999998</v>
      </c>
      <c r="J7300">
        <v>-244.08789999999999</v>
      </c>
      <c r="K7300">
        <v>1.1105590000000001</v>
      </c>
      <c r="L7300">
        <v>-63.319270000000003</v>
      </c>
      <c r="M7300">
        <v>0.99991350000000001</v>
      </c>
      <c r="N7300">
        <v>-1.1334199999999999E-2</v>
      </c>
      <c r="O7300">
        <v>-6.6780969999999896E-3</v>
      </c>
      <c r="P7300">
        <v>0.98071609999999998</v>
      </c>
      <c r="Q7300">
        <v>0.1799934</v>
      </c>
      <c r="R7300">
        <v>7.61487E-2</v>
      </c>
      <c r="S7300">
        <v>3.0345149999999999</v>
      </c>
      <c r="T7300">
        <v>-7.3664779999999999E-2</v>
      </c>
      <c r="U7300">
        <v>0.48812870000000003</v>
      </c>
      <c r="V7300">
        <v>-8.2632120000000003E-2</v>
      </c>
      <c r="W7300">
        <v>0.1911195</v>
      </c>
      <c r="X7300">
        <v>0.97808240000000002</v>
      </c>
      <c r="Y7300">
        <v>-0.1653367</v>
      </c>
      <c r="Z7300">
        <v>3.0227980000000002E-3</v>
      </c>
      <c r="AA7300">
        <v>0.98623249999999996</v>
      </c>
      <c r="AB7300">
        <v>30</v>
      </c>
      <c r="AC7300">
        <v>45.590800000000002</v>
      </c>
      <c r="AD7300">
        <v>-1.110567675657</v>
      </c>
      <c r="AE7300">
        <v>7.3601299999999901</v>
      </c>
      <c r="AF7300">
        <v>-7.6600153148454897</v>
      </c>
      <c r="AG7300">
        <v>-1.110567675657</v>
      </c>
      <c r="AH7300">
        <v>45.514306988678896</v>
      </c>
      <c r="AI7300">
        <v>91.378385907294003</v>
      </c>
      <c r="AJ7300">
        <v>99.553299763839803</v>
      </c>
      <c r="AK7300">
        <v>46.167752120344602</v>
      </c>
      <c r="AL7300">
        <v>78.981875364340297</v>
      </c>
      <c r="AM7300">
        <v>94.829097839553</v>
      </c>
      <c r="AN7300">
        <v>0.99999995586285095</v>
      </c>
    </row>
    <row r="7301" spans="1:40" x14ac:dyDescent="0.25">
      <c r="A7301" t="str">
        <f>"20190304154938820"</f>
        <v>20190304154938820</v>
      </c>
      <c r="B7301" t="str">
        <f>"1551685778814739"</f>
        <v>1551685778814739</v>
      </c>
      <c r="C7301" t="s">
        <v>40</v>
      </c>
      <c r="D7301">
        <v>3.9943029999999999</v>
      </c>
      <c r="E7301">
        <v>0.46483089999999999</v>
      </c>
      <c r="F7301" t="s">
        <v>68</v>
      </c>
      <c r="G7301">
        <v>-198.6163</v>
      </c>
      <c r="H7301" s="1">
        <v>-8.7119000000000004E-6</v>
      </c>
      <c r="I7301">
        <v>-55.894089999999998</v>
      </c>
      <c r="J7301">
        <v>-243.93879999999999</v>
      </c>
      <c r="K7301">
        <v>1.1105609999999999</v>
      </c>
      <c r="L7301">
        <v>-63.320340000000002</v>
      </c>
      <c r="M7301">
        <v>0.99991300000000005</v>
      </c>
      <c r="N7301">
        <v>-1.133848E-2</v>
      </c>
      <c r="O7301">
        <v>-6.7521480000000004E-3</v>
      </c>
      <c r="P7301">
        <v>0.98063549999999999</v>
      </c>
      <c r="Q7301">
        <v>0.1802523</v>
      </c>
      <c r="R7301">
        <v>7.6574050000000005E-2</v>
      </c>
      <c r="S7301">
        <v>3.0341339999999999</v>
      </c>
      <c r="T7301">
        <v>-7.4103710000000003E-2</v>
      </c>
      <c r="U7301">
        <v>0.49545289999999997</v>
      </c>
      <c r="V7301">
        <v>-8.3129610000000007E-2</v>
      </c>
      <c r="W7301">
        <v>0.19138160000000001</v>
      </c>
      <c r="X7301">
        <v>0.977989</v>
      </c>
      <c r="Y7301">
        <v>-0.1677467</v>
      </c>
      <c r="Z7301">
        <v>3.0799629999999998E-3</v>
      </c>
      <c r="AA7301">
        <v>0.98582530000000002</v>
      </c>
      <c r="AB7301">
        <v>30</v>
      </c>
      <c r="AC7301">
        <v>45.322499999999899</v>
      </c>
      <c r="AD7301">
        <v>-1.1105697119</v>
      </c>
      <c r="AE7301">
        <v>7.4262499999999898</v>
      </c>
      <c r="AF7301">
        <v>-7.7276059777780901</v>
      </c>
      <c r="AG7301">
        <v>-1.1105697119</v>
      </c>
      <c r="AH7301">
        <v>45.244864160231998</v>
      </c>
      <c r="AI7301">
        <v>91.386023748529595</v>
      </c>
      <c r="AJ7301">
        <v>99.692321784428202</v>
      </c>
      <c r="AK7301">
        <v>45.913472882266603</v>
      </c>
      <c r="AL7301">
        <v>78.966575846463599</v>
      </c>
      <c r="AM7301">
        <v>94.858494618989397</v>
      </c>
      <c r="AN7301">
        <v>0.99999996649915501</v>
      </c>
    </row>
    <row r="7302" spans="1:40" x14ac:dyDescent="0.25">
      <c r="A7302" t="str">
        <f>"20190304154938831"</f>
        <v>20190304154938831</v>
      </c>
      <c r="B7302" t="str">
        <f>"1551685778824499"</f>
        <v>1551685778824499</v>
      </c>
      <c r="C7302" t="s">
        <v>40</v>
      </c>
      <c r="D7302">
        <v>3.9837159999999998</v>
      </c>
      <c r="E7302">
        <v>0.46453349999999999</v>
      </c>
      <c r="F7302" t="s">
        <v>68</v>
      </c>
      <c r="G7302">
        <v>-198.73240000000001</v>
      </c>
      <c r="H7302" s="1">
        <v>-8.7351399999999897E-6</v>
      </c>
      <c r="I7302">
        <v>-55.86506</v>
      </c>
      <c r="J7302">
        <v>-243.78559999999999</v>
      </c>
      <c r="K7302">
        <v>1.110562</v>
      </c>
      <c r="L7302">
        <v>-63.321440000000003</v>
      </c>
      <c r="M7302">
        <v>0.99991240000000003</v>
      </c>
      <c r="N7302">
        <v>-1.134276E-2</v>
      </c>
      <c r="O7302">
        <v>-6.8284640000000002E-3</v>
      </c>
      <c r="P7302">
        <v>0.98051790000000005</v>
      </c>
      <c r="Q7302">
        <v>0.18051130000000001</v>
      </c>
      <c r="R7302">
        <v>7.7464450000000004E-2</v>
      </c>
      <c r="S7302">
        <v>3.0338750000000001</v>
      </c>
      <c r="T7302">
        <v>-7.4532029999999999E-2</v>
      </c>
      <c r="U7302">
        <v>0.50033570000000005</v>
      </c>
      <c r="V7302">
        <v>-8.4094260000000004E-2</v>
      </c>
      <c r="W7302">
        <v>0.19164320000000001</v>
      </c>
      <c r="X7302">
        <v>0.97785529999999998</v>
      </c>
      <c r="Y7302">
        <v>-0.16937869999999999</v>
      </c>
      <c r="Z7302">
        <v>3.1232679999999998E-3</v>
      </c>
      <c r="AA7302">
        <v>0.98554609999999998</v>
      </c>
      <c r="AB7302">
        <v>30</v>
      </c>
      <c r="AC7302">
        <v>45.053199999999897</v>
      </c>
      <c r="AD7302">
        <v>-1.11057073514</v>
      </c>
      <c r="AE7302">
        <v>7.4563800000000002</v>
      </c>
      <c r="AF7302">
        <v>-7.75928097595102</v>
      </c>
      <c r="AG7302">
        <v>-1.11057073514</v>
      </c>
      <c r="AH7302">
        <v>44.974631111359599</v>
      </c>
      <c r="AI7302">
        <v>91.393947635376406</v>
      </c>
      <c r="AJ7302">
        <v>99.788635170338594</v>
      </c>
      <c r="AK7302">
        <v>45.6525711458224</v>
      </c>
      <c r="AL7302">
        <v>78.9513046884082</v>
      </c>
      <c r="AM7302">
        <v>94.915267519357499</v>
      </c>
      <c r="AN7302">
        <v>0.99999997420463804</v>
      </c>
    </row>
    <row r="7303" spans="1:40" x14ac:dyDescent="0.25">
      <c r="A7303" t="str">
        <f>"20190304154938842"</f>
        <v>20190304154938842</v>
      </c>
      <c r="B7303" t="str">
        <f>"1551685778834259"</f>
        <v>1551685778834259</v>
      </c>
      <c r="C7303" t="s">
        <v>40</v>
      </c>
      <c r="D7303">
        <v>3.9713319999999999</v>
      </c>
      <c r="E7303">
        <v>0.4644818</v>
      </c>
      <c r="F7303" t="s">
        <v>68</v>
      </c>
      <c r="G7303">
        <v>-198.87450000000001</v>
      </c>
      <c r="H7303" s="1">
        <v>-8.7594889999999996E-6</v>
      </c>
      <c r="I7303">
        <v>-55.841230000000003</v>
      </c>
      <c r="J7303">
        <v>-243.64109999999999</v>
      </c>
      <c r="K7303">
        <v>1.110562</v>
      </c>
      <c r="L7303">
        <v>-63.322479999999999</v>
      </c>
      <c r="M7303">
        <v>0.99991189999999996</v>
      </c>
      <c r="N7303">
        <v>-1.1346409999999999E-2</v>
      </c>
      <c r="O7303">
        <v>-6.9003659999999998E-3</v>
      </c>
      <c r="P7303">
        <v>0.98038389999999997</v>
      </c>
      <c r="Q7303">
        <v>0.18084819999999999</v>
      </c>
      <c r="R7303">
        <v>7.8368090000000001E-2</v>
      </c>
      <c r="S7303">
        <v>3.0335079999999999</v>
      </c>
      <c r="T7303">
        <v>-7.5013159999999995E-2</v>
      </c>
      <c r="U7303">
        <v>0.50524899999999995</v>
      </c>
      <c r="V7303">
        <v>-8.5066710000000004E-2</v>
      </c>
      <c r="W7303">
        <v>0.1919825</v>
      </c>
      <c r="X7303">
        <v>0.97770460000000003</v>
      </c>
      <c r="Y7303">
        <v>-0.17102059999999999</v>
      </c>
      <c r="Z7303">
        <v>3.1685709999999998E-3</v>
      </c>
      <c r="AA7303">
        <v>0.98526239999999998</v>
      </c>
      <c r="AB7303">
        <v>30</v>
      </c>
      <c r="AC7303">
        <v>44.766599999999897</v>
      </c>
      <c r="AD7303">
        <v>-1.110570759489</v>
      </c>
      <c r="AE7303">
        <v>7.4812500000000002</v>
      </c>
      <c r="AF7303">
        <v>-7.7853364377662899</v>
      </c>
      <c r="AG7303">
        <v>-1.110570759489</v>
      </c>
      <c r="AH7303">
        <v>44.687152431055097</v>
      </c>
      <c r="AI7303">
        <v>91.402512017610505</v>
      </c>
      <c r="AJ7303">
        <v>99.882803305838493</v>
      </c>
      <c r="AK7303">
        <v>45.373851756902901</v>
      </c>
      <c r="AL7303">
        <v>78.931496206912797</v>
      </c>
      <c r="AM7303">
        <v>94.972585951890693</v>
      </c>
      <c r="AN7303">
        <v>0.99999995515881601</v>
      </c>
    </row>
    <row r="7304" spans="1:40" x14ac:dyDescent="0.25">
      <c r="A7304" t="str">
        <f>"20190304154938853"</f>
        <v>20190304154938853</v>
      </c>
      <c r="B7304" t="str">
        <f>"1551685778844020"</f>
        <v>1551685778844020</v>
      </c>
      <c r="C7304" t="s">
        <v>40</v>
      </c>
      <c r="D7304">
        <v>3.9963989999999998</v>
      </c>
      <c r="E7304">
        <v>0.46432329999999999</v>
      </c>
      <c r="F7304" t="s">
        <v>68</v>
      </c>
      <c r="G7304">
        <v>-199.45359999999999</v>
      </c>
      <c r="H7304" s="1">
        <v>-8.7969640000000005E-6</v>
      </c>
      <c r="I7304">
        <v>-55.920029999999997</v>
      </c>
      <c r="J7304">
        <v>-243.48660000000001</v>
      </c>
      <c r="K7304">
        <v>1.110562</v>
      </c>
      <c r="L7304">
        <v>-63.323610000000002</v>
      </c>
      <c r="M7304">
        <v>0.9999112</v>
      </c>
      <c r="N7304">
        <v>-1.1350229999999999E-2</v>
      </c>
      <c r="O7304">
        <v>-6.9771570000000003E-3</v>
      </c>
      <c r="P7304">
        <v>0.98023020000000005</v>
      </c>
      <c r="Q7304">
        <v>0.1813536</v>
      </c>
      <c r="R7304">
        <v>7.9119399999999895E-2</v>
      </c>
      <c r="S7304">
        <v>3.0334780000000001</v>
      </c>
      <c r="T7304">
        <v>-7.6240779999999994E-2</v>
      </c>
      <c r="U7304">
        <v>0.50817869999999998</v>
      </c>
      <c r="V7304">
        <v>-8.5892029999999994E-2</v>
      </c>
      <c r="W7304">
        <v>0.1924902</v>
      </c>
      <c r="X7304">
        <v>0.97753259999999997</v>
      </c>
      <c r="Y7304">
        <v>-0.172020799999999</v>
      </c>
      <c r="Z7304">
        <v>3.225178E-3</v>
      </c>
      <c r="AA7304">
        <v>0.98508810000000002</v>
      </c>
      <c r="AB7304">
        <v>30</v>
      </c>
      <c r="AC7304">
        <v>44.033000000000001</v>
      </c>
      <c r="AD7304">
        <v>-1.110570796964</v>
      </c>
      <c r="AE7304">
        <v>7.4035799999999901</v>
      </c>
      <c r="AF7304">
        <v>-7.7058776646227196</v>
      </c>
      <c r="AG7304">
        <v>-1.110570796964</v>
      </c>
      <c r="AH7304">
        <v>43.953078246468898</v>
      </c>
      <c r="AI7304">
        <v>91.425659946471598</v>
      </c>
      <c r="AJ7304">
        <v>99.944064710746503</v>
      </c>
      <c r="AK7304">
        <v>44.637282684068197</v>
      </c>
      <c r="AL7304">
        <v>78.901854229231901</v>
      </c>
      <c r="AM7304">
        <v>95.021463614542</v>
      </c>
      <c r="AN7304">
        <v>0.99999995098815897</v>
      </c>
    </row>
    <row r="7305" spans="1:40" x14ac:dyDescent="0.25">
      <c r="A7305" t="str">
        <f>"20190304154938863"</f>
        <v>20190304154938863</v>
      </c>
      <c r="B7305" t="str">
        <f>"1551685778854755"</f>
        <v>1551685778854755</v>
      </c>
      <c r="C7305" t="s">
        <v>40</v>
      </c>
      <c r="D7305">
        <v>3.9810219999999998</v>
      </c>
      <c r="E7305">
        <v>0.4642154</v>
      </c>
      <c r="F7305" t="s">
        <v>68</v>
      </c>
      <c r="G7305">
        <v>-199.38919999999999</v>
      </c>
      <c r="H7305" s="1">
        <v>-8.8012540000000008E-6</v>
      </c>
      <c r="I7305">
        <v>-55.887180000000001</v>
      </c>
      <c r="J7305">
        <v>-243.34360000000001</v>
      </c>
      <c r="K7305">
        <v>1.1105659999999999</v>
      </c>
      <c r="L7305">
        <v>-63.324680000000001</v>
      </c>
      <c r="M7305">
        <v>0.99991079999999999</v>
      </c>
      <c r="N7305">
        <v>-1.1353469999999999E-2</v>
      </c>
      <c r="O7305">
        <v>-7.0482219999999998E-3</v>
      </c>
      <c r="P7305">
        <v>0.9800951</v>
      </c>
      <c r="Q7305">
        <v>0.18176519999999999</v>
      </c>
      <c r="R7305">
        <v>7.9843269999999994E-2</v>
      </c>
      <c r="S7305">
        <v>3.0333709999999998</v>
      </c>
      <c r="T7305">
        <v>-7.6393840000000005E-2</v>
      </c>
      <c r="U7305">
        <v>0.51153559999999998</v>
      </c>
      <c r="V7305">
        <v>-8.6684230000000001E-2</v>
      </c>
      <c r="W7305">
        <v>0.19290379999999999</v>
      </c>
      <c r="X7305">
        <v>0.97738119999999995</v>
      </c>
      <c r="Y7305">
        <v>-0.1731558</v>
      </c>
      <c r="Z7305">
        <v>3.251716E-3</v>
      </c>
      <c r="AA7305">
        <v>0.98488909999999996</v>
      </c>
      <c r="AB7305">
        <v>30</v>
      </c>
      <c r="AC7305">
        <v>43.9544</v>
      </c>
      <c r="AD7305">
        <v>-1.110574801254</v>
      </c>
      <c r="AE7305">
        <v>7.4375</v>
      </c>
      <c r="AF7305">
        <v>-7.7423304423632704</v>
      </c>
      <c r="AG7305">
        <v>-1.110574801254</v>
      </c>
      <c r="AH7305">
        <v>43.873654357207201</v>
      </c>
      <c r="AI7305">
        <v>91.427965218085404</v>
      </c>
      <c r="AJ7305">
        <v>100.007879558933</v>
      </c>
      <c r="AK7305">
        <v>44.5653969321896</v>
      </c>
      <c r="AL7305">
        <v>78.877704866782693</v>
      </c>
      <c r="AM7305">
        <v>95.068318447974093</v>
      </c>
      <c r="AN7305">
        <v>1.0000000209492801</v>
      </c>
    </row>
    <row r="7306" spans="1:40" x14ac:dyDescent="0.25">
      <c r="A7306" t="str">
        <f>"20190304154938875"</f>
        <v>20190304154938875</v>
      </c>
      <c r="B7306" t="str">
        <f>"1551685778864515"</f>
        <v>1551685778864515</v>
      </c>
      <c r="C7306" t="s">
        <v>40</v>
      </c>
      <c r="D7306">
        <v>3.9739740000000001</v>
      </c>
      <c r="E7306">
        <v>0.46416109999999999</v>
      </c>
      <c r="F7306" t="s">
        <v>68</v>
      </c>
      <c r="G7306">
        <v>-198.8057</v>
      </c>
      <c r="H7306" s="1">
        <v>-8.7771799999999999E-6</v>
      </c>
      <c r="I7306">
        <v>-55.76878</v>
      </c>
      <c r="J7306">
        <v>-243.1926</v>
      </c>
      <c r="K7306">
        <v>1.110568</v>
      </c>
      <c r="L7306">
        <v>-63.325809999999997</v>
      </c>
      <c r="M7306">
        <v>0.99991019999999997</v>
      </c>
      <c r="N7306">
        <v>-1.135678E-2</v>
      </c>
      <c r="O7306">
        <v>-7.1232219999999898E-3</v>
      </c>
      <c r="P7306">
        <v>0.97995149999999998</v>
      </c>
      <c r="Q7306">
        <v>0.18209919999999999</v>
      </c>
      <c r="R7306">
        <v>8.0839709999999995E-2</v>
      </c>
      <c r="S7306">
        <v>3.0330349999999999</v>
      </c>
      <c r="T7306">
        <v>-7.563019E-2</v>
      </c>
      <c r="U7306">
        <v>0.51455689999999998</v>
      </c>
      <c r="V7306">
        <v>-8.7752979999999994E-2</v>
      </c>
      <c r="W7306">
        <v>0.19323979999999999</v>
      </c>
      <c r="X7306">
        <v>0.97721939999999996</v>
      </c>
      <c r="Y7306">
        <v>-0.1742021</v>
      </c>
      <c r="Z7306">
        <v>3.2486809999999998E-3</v>
      </c>
      <c r="AA7306">
        <v>0.98470460000000004</v>
      </c>
      <c r="AB7306">
        <v>30</v>
      </c>
      <c r="AC7306">
        <v>44.386899999999997</v>
      </c>
      <c r="AD7306">
        <v>-1.1105767771799999</v>
      </c>
      <c r="AE7306">
        <v>7.5570299999999904</v>
      </c>
      <c r="AF7306">
        <v>-7.8682494455004903</v>
      </c>
      <c r="AG7306">
        <v>-1.1105767771799999</v>
      </c>
      <c r="AH7306">
        <v>44.304985412726197</v>
      </c>
      <c r="AI7306">
        <v>91.413798745358307</v>
      </c>
      <c r="AJ7306">
        <v>100.0703277165</v>
      </c>
      <c r="AK7306">
        <v>45.0119368894131</v>
      </c>
      <c r="AL7306">
        <v>78.858083863893</v>
      </c>
      <c r="AM7306">
        <v>95.131320374831006</v>
      </c>
      <c r="AN7306">
        <v>0.99999998076963903</v>
      </c>
    </row>
    <row r="7307" spans="1:40" x14ac:dyDescent="0.25">
      <c r="A7307" t="str">
        <f>"20190304154938885"</f>
        <v>20190304154938885</v>
      </c>
      <c r="B7307" t="str">
        <f>"1551685778874276"</f>
        <v>1551685778874276</v>
      </c>
      <c r="C7307" t="s">
        <v>40</v>
      </c>
      <c r="D7307">
        <v>3.9855109999999998</v>
      </c>
      <c r="E7307">
        <v>0.46410580000000001</v>
      </c>
      <c r="F7307" t="s">
        <v>68</v>
      </c>
      <c r="G7307">
        <v>-198.72649999999999</v>
      </c>
      <c r="H7307" s="1">
        <v>-8.7808579999999993E-6</v>
      </c>
      <c r="I7307">
        <v>-55.732939999999999</v>
      </c>
      <c r="J7307">
        <v>-243.04259999999999</v>
      </c>
      <c r="K7307">
        <v>1.110568</v>
      </c>
      <c r="L7307">
        <v>-63.326970000000003</v>
      </c>
      <c r="M7307">
        <v>0.99990959999999995</v>
      </c>
      <c r="N7307">
        <v>-1.1359849999999999E-2</v>
      </c>
      <c r="O7307">
        <v>-7.1978629999999997E-3</v>
      </c>
      <c r="P7307">
        <v>0.97980679999999998</v>
      </c>
      <c r="Q7307">
        <v>0.18241940000000001</v>
      </c>
      <c r="R7307">
        <v>8.1865850000000004E-2</v>
      </c>
      <c r="S7307">
        <v>3.0327000000000002</v>
      </c>
      <c r="T7307">
        <v>-7.5744149999999996E-2</v>
      </c>
      <c r="U7307">
        <v>0.5178528</v>
      </c>
      <c r="V7307">
        <v>-8.8851089999999994E-2</v>
      </c>
      <c r="W7307">
        <v>0.19356119999999999</v>
      </c>
      <c r="X7307">
        <v>0.97705660000000005</v>
      </c>
      <c r="Y7307">
        <v>-0.17533280000000001</v>
      </c>
      <c r="Z7307">
        <v>3.2740790000000001E-3</v>
      </c>
      <c r="AA7307">
        <v>0.98450380000000004</v>
      </c>
      <c r="AB7307">
        <v>30</v>
      </c>
      <c r="AC7307">
        <v>44.316099999999999</v>
      </c>
      <c r="AD7307">
        <v>-1.110576780858</v>
      </c>
      <c r="AE7307">
        <v>7.5940299999999903</v>
      </c>
      <c r="AF7307">
        <v>-7.9080103208855297</v>
      </c>
      <c r="AG7307">
        <v>-1.110576780858</v>
      </c>
      <c r="AH7307">
        <v>44.2333005515707</v>
      </c>
      <c r="AI7307">
        <v>91.415798957921197</v>
      </c>
      <c r="AJ7307">
        <v>100.13622816960201</v>
      </c>
      <c r="AK7307">
        <v>44.948357986771803</v>
      </c>
      <c r="AL7307">
        <v>78.839315157133797</v>
      </c>
      <c r="AM7307">
        <v>95.196043598878902</v>
      </c>
      <c r="AN7307">
        <v>1.0000000269715901</v>
      </c>
    </row>
    <row r="7308" spans="1:40" x14ac:dyDescent="0.25">
      <c r="A7308" t="str">
        <f>"20190304154938897"</f>
        <v>20190304154938897</v>
      </c>
      <c r="B7308" t="str">
        <f>"1551685778894771"</f>
        <v>1551685778894771</v>
      </c>
      <c r="C7308" t="s">
        <v>40</v>
      </c>
      <c r="D7308">
        <v>3.9740419999999999</v>
      </c>
      <c r="E7308">
        <v>0.4640512</v>
      </c>
      <c r="F7308" t="s">
        <v>68</v>
      </c>
      <c r="G7308">
        <v>-198.34</v>
      </c>
      <c r="H7308" s="1">
        <v>-8.769675E-6</v>
      </c>
      <c r="I7308">
        <v>-55.640929999999997</v>
      </c>
      <c r="J7308">
        <v>-242.8929</v>
      </c>
      <c r="K7308">
        <v>1.1105670000000001</v>
      </c>
      <c r="L7308">
        <v>-63.328130000000002</v>
      </c>
      <c r="M7308">
        <v>0.99990900000000005</v>
      </c>
      <c r="N7308">
        <v>-1.136275E-2</v>
      </c>
      <c r="O7308">
        <v>-7.2723839999999998E-3</v>
      </c>
      <c r="P7308">
        <v>0.97967539999999997</v>
      </c>
      <c r="Q7308">
        <v>0.18267069999999999</v>
      </c>
      <c r="R7308">
        <v>8.2869700000000004E-2</v>
      </c>
      <c r="S7308">
        <v>3.0322879999999999</v>
      </c>
      <c r="T7308">
        <v>-7.5333120000000003E-2</v>
      </c>
      <c r="U7308">
        <v>0.52136229999999995</v>
      </c>
      <c r="V7308">
        <v>-8.9926870000000006E-2</v>
      </c>
      <c r="W7308">
        <v>0.19381380000000001</v>
      </c>
      <c r="X7308">
        <v>0.97690809999999995</v>
      </c>
      <c r="Y7308">
        <v>-0.17653529999999901</v>
      </c>
      <c r="Z7308">
        <v>3.284454E-3</v>
      </c>
      <c r="AA7308">
        <v>0.98428879999999996</v>
      </c>
      <c r="AB7308">
        <v>30</v>
      </c>
      <c r="AC7308">
        <v>44.552900000000001</v>
      </c>
      <c r="AD7308">
        <v>-1.110575769675</v>
      </c>
      <c r="AE7308">
        <v>7.68719999999999</v>
      </c>
      <c r="AF7308">
        <v>-8.0061924843781505</v>
      </c>
      <c r="AG7308">
        <v>-1.110575769675</v>
      </c>
      <c r="AH7308">
        <v>44.4689813008249</v>
      </c>
      <c r="AI7308">
        <v>91.407988767339603</v>
      </c>
      <c r="AJ7308">
        <v>100.206189982034</v>
      </c>
      <c r="AK7308">
        <v>45.197597221204397</v>
      </c>
      <c r="AL7308">
        <v>78.824562956996601</v>
      </c>
      <c r="AM7308">
        <v>95.259399868388797</v>
      </c>
      <c r="AN7308">
        <v>1.00000003343202</v>
      </c>
    </row>
    <row r="7309" spans="1:40" x14ac:dyDescent="0.25">
      <c r="A7309" t="str">
        <f>"20190304154938908"</f>
        <v>20190304154938908</v>
      </c>
      <c r="B7309" t="str">
        <f>"1551685778904531"</f>
        <v>1551685778904531</v>
      </c>
      <c r="C7309" t="s">
        <v>40</v>
      </c>
      <c r="D7309">
        <v>3.9925739999999998</v>
      </c>
      <c r="E7309">
        <v>0.4639915</v>
      </c>
      <c r="F7309" t="s">
        <v>68</v>
      </c>
      <c r="G7309">
        <v>-198.83150000000001</v>
      </c>
      <c r="H7309" s="1">
        <v>-8.8042389999999995E-6</v>
      </c>
      <c r="I7309">
        <v>-55.699969999999901</v>
      </c>
      <c r="J7309">
        <v>-242.73759999999999</v>
      </c>
      <c r="K7309">
        <v>1.1105659999999999</v>
      </c>
      <c r="L7309">
        <v>-63.329349999999998</v>
      </c>
      <c r="M7309">
        <v>0.99990840000000003</v>
      </c>
      <c r="N7309">
        <v>-1.136562E-2</v>
      </c>
      <c r="O7309">
        <v>-7.3498849999999996E-3</v>
      </c>
      <c r="P7309">
        <v>0.97957720000000004</v>
      </c>
      <c r="Q7309">
        <v>0.18277860000000001</v>
      </c>
      <c r="R7309">
        <v>8.3790110000000001E-2</v>
      </c>
      <c r="S7309">
        <v>3.032089</v>
      </c>
      <c r="T7309">
        <v>-7.6424480000000003E-2</v>
      </c>
      <c r="U7309">
        <v>0.52493290000000004</v>
      </c>
      <c r="V7309">
        <v>-9.0922149999999993E-2</v>
      </c>
      <c r="W7309">
        <v>0.1939237</v>
      </c>
      <c r="X7309">
        <v>0.9767941</v>
      </c>
      <c r="Y7309">
        <v>-0.1777454</v>
      </c>
      <c r="Z7309">
        <v>3.3419690000000002E-3</v>
      </c>
      <c r="AA7309">
        <v>0.98407080000000002</v>
      </c>
      <c r="AB7309">
        <v>30</v>
      </c>
      <c r="AC7309">
        <v>43.906099999999903</v>
      </c>
      <c r="AD7309">
        <v>-1.110574804239</v>
      </c>
      <c r="AE7309">
        <v>7.6293800000000003</v>
      </c>
      <c r="AF7309">
        <v>-7.9469640647544599</v>
      </c>
      <c r="AG7309">
        <v>-1.110574804239</v>
      </c>
      <c r="AH7309">
        <v>43.821619799142297</v>
      </c>
      <c r="AI7309">
        <v>91.428451833261093</v>
      </c>
      <c r="AJ7309">
        <v>100.278768152476</v>
      </c>
      <c r="AK7309">
        <v>44.550218586028201</v>
      </c>
      <c r="AL7309">
        <v>78.818143727118695</v>
      </c>
      <c r="AM7309">
        <v>95.317894293075497</v>
      </c>
      <c r="AN7309">
        <v>0.99999997628855997</v>
      </c>
    </row>
    <row r="7310" spans="1:40" x14ac:dyDescent="0.25">
      <c r="A7310" t="str">
        <f>"20190304154938920"</f>
        <v>20190304154938920</v>
      </c>
      <c r="B7310" t="str">
        <f>"1551685778914291"</f>
        <v>1551685778914291</v>
      </c>
      <c r="C7310" t="s">
        <v>40</v>
      </c>
      <c r="D7310">
        <v>3.974485</v>
      </c>
      <c r="E7310">
        <v>0.46397850000000002</v>
      </c>
      <c r="F7310" t="s">
        <v>68</v>
      </c>
      <c r="G7310">
        <v>-198.761</v>
      </c>
      <c r="H7310" s="1">
        <v>-8.8077569999999996E-6</v>
      </c>
      <c r="I7310">
        <v>-55.667349999999999</v>
      </c>
      <c r="J7310">
        <v>-242.58690000000001</v>
      </c>
      <c r="K7310">
        <v>1.1105659999999999</v>
      </c>
      <c r="L7310">
        <v>-63.330509999999997</v>
      </c>
      <c r="M7310">
        <v>0.99990800000000002</v>
      </c>
      <c r="N7310">
        <v>-1.136819E-2</v>
      </c>
      <c r="O7310">
        <v>-7.4247609999999898E-3</v>
      </c>
      <c r="P7310">
        <v>0.97946690000000003</v>
      </c>
      <c r="Q7310">
        <v>0.1829161</v>
      </c>
      <c r="R7310">
        <v>8.4773119999999993E-2</v>
      </c>
      <c r="S7310">
        <v>3.031631</v>
      </c>
      <c r="T7310">
        <v>-7.6560139999999999E-2</v>
      </c>
      <c r="U7310">
        <v>0.52819819999999995</v>
      </c>
      <c r="V7310">
        <v>-9.1977749999999997E-2</v>
      </c>
      <c r="W7310">
        <v>0.1940627</v>
      </c>
      <c r="X7310">
        <v>0.97666770000000003</v>
      </c>
      <c r="Y7310">
        <v>-0.178872</v>
      </c>
      <c r="Z7310">
        <v>3.3682959999999998E-3</v>
      </c>
      <c r="AA7310">
        <v>0.98386660000000004</v>
      </c>
      <c r="AB7310">
        <v>30</v>
      </c>
      <c r="AC7310">
        <v>43.825899999999997</v>
      </c>
      <c r="AD7310">
        <v>-1.1105748077569999</v>
      </c>
      <c r="AE7310">
        <v>7.6631599999999898</v>
      </c>
      <c r="AF7310">
        <v>-7.98339213041438</v>
      </c>
      <c r="AG7310">
        <v>-1.1105748077569999</v>
      </c>
      <c r="AH7310">
        <v>43.740536495347598</v>
      </c>
      <c r="AI7310">
        <v>91.430804248319006</v>
      </c>
      <c r="AJ7310">
        <v>100.343600570101</v>
      </c>
      <c r="AK7310">
        <v>44.476987973697398</v>
      </c>
      <c r="AL7310">
        <v>78.810025851315103</v>
      </c>
      <c r="AM7310">
        <v>95.379966671900405</v>
      </c>
      <c r="AN7310">
        <v>1.00000001712482</v>
      </c>
    </row>
    <row r="7311" spans="1:40" x14ac:dyDescent="0.25">
      <c r="A7311" t="str">
        <f>"20190304154938930"</f>
        <v>20190304154938930</v>
      </c>
      <c r="B7311" t="str">
        <f>"1551685778925027"</f>
        <v>1551685778925027</v>
      </c>
      <c r="C7311" t="s">
        <v>40</v>
      </c>
      <c r="D7311">
        <v>3.9927350000000001</v>
      </c>
      <c r="E7311">
        <v>0.46397240000000001</v>
      </c>
      <c r="F7311" t="s">
        <v>68</v>
      </c>
      <c r="G7311">
        <v>-199.077</v>
      </c>
      <c r="H7311" s="1">
        <v>-8.8299699999999998E-6</v>
      </c>
      <c r="I7311">
        <v>-55.70534</v>
      </c>
      <c r="J7311">
        <v>-242.4367</v>
      </c>
      <c r="K7311">
        <v>1.110568</v>
      </c>
      <c r="L7311">
        <v>-63.331699999999998</v>
      </c>
      <c r="M7311">
        <v>0.99990730000000005</v>
      </c>
      <c r="N7311">
        <v>-1.1370679999999999E-2</v>
      </c>
      <c r="O7311">
        <v>-7.4996369999999904E-3</v>
      </c>
      <c r="P7311">
        <v>0.97933130000000002</v>
      </c>
      <c r="Q7311">
        <v>0.18310770000000001</v>
      </c>
      <c r="R7311">
        <v>8.5919499999999996E-2</v>
      </c>
      <c r="S7311">
        <v>3.0313569999999999</v>
      </c>
      <c r="T7311">
        <v>-7.7374460000000006E-2</v>
      </c>
      <c r="U7311">
        <v>0.53125</v>
      </c>
      <c r="V7311">
        <v>-9.319653E-2</v>
      </c>
      <c r="W7311">
        <v>0.19425529999999999</v>
      </c>
      <c r="X7311">
        <v>0.97651390000000005</v>
      </c>
      <c r="Y7311">
        <v>-0.17991989999999999</v>
      </c>
      <c r="Z7311">
        <v>3.4147470000000001E-3</v>
      </c>
      <c r="AA7311">
        <v>0.98367539999999998</v>
      </c>
      <c r="AB7311">
        <v>30</v>
      </c>
      <c r="AC7311">
        <v>43.359699999999997</v>
      </c>
      <c r="AD7311">
        <v>-1.1105768299700001</v>
      </c>
      <c r="AE7311">
        <v>7.6263599999999903</v>
      </c>
      <c r="AF7311">
        <v>-7.9462919214465</v>
      </c>
      <c r="AG7311">
        <v>-1.1105768299700001</v>
      </c>
      <c r="AH7311">
        <v>43.273744770027903</v>
      </c>
      <c r="AI7311">
        <v>91.445949788718707</v>
      </c>
      <c r="AJ7311">
        <v>100.40521764384</v>
      </c>
      <c r="AK7311">
        <v>44.011293125942402</v>
      </c>
      <c r="AL7311">
        <v>78.798777051390701</v>
      </c>
      <c r="AM7311">
        <v>95.451682352631295</v>
      </c>
      <c r="AN7311">
        <v>1.0000000558376601</v>
      </c>
    </row>
    <row r="7312" spans="1:40" x14ac:dyDescent="0.25">
      <c r="A7312" t="str">
        <f>"20190304154938942"</f>
        <v>20190304154938942</v>
      </c>
      <c r="B7312" t="str">
        <f>"1551685778934787"</f>
        <v>1551685778934787</v>
      </c>
      <c r="C7312" t="s">
        <v>40</v>
      </c>
      <c r="D7312">
        <v>3.9915129999999999</v>
      </c>
      <c r="E7312">
        <v>0.4639819</v>
      </c>
      <c r="F7312" t="s">
        <v>68</v>
      </c>
      <c r="G7312">
        <v>-198.70519999999999</v>
      </c>
      <c r="H7312" s="1">
        <v>-8.8190109999999999E-6</v>
      </c>
      <c r="I7312">
        <v>-55.617400000000004</v>
      </c>
      <c r="J7312">
        <v>-242.28219999999999</v>
      </c>
      <c r="K7312">
        <v>1.1105689999999999</v>
      </c>
      <c r="L7312">
        <v>-63.332920000000001</v>
      </c>
      <c r="M7312">
        <v>0.99990650000000003</v>
      </c>
      <c r="N7312">
        <v>-1.1375629999999999E-2</v>
      </c>
      <c r="O7312">
        <v>-7.5764350000000003E-3</v>
      </c>
      <c r="P7312">
        <v>0.97920070000000003</v>
      </c>
      <c r="Q7312">
        <v>0.18329719999999999</v>
      </c>
      <c r="R7312">
        <v>8.6995879999999998E-2</v>
      </c>
      <c r="S7312">
        <v>3.0308069999999998</v>
      </c>
      <c r="T7312">
        <v>-7.6968309999999998E-2</v>
      </c>
      <c r="U7312">
        <v>0.53463749999999999</v>
      </c>
      <c r="V7312">
        <v>-9.4347100000000003E-2</v>
      </c>
      <c r="W7312">
        <v>0.19444900000000001</v>
      </c>
      <c r="X7312">
        <v>0.97636480000000003</v>
      </c>
      <c r="Y7312">
        <v>-0.18109220000000001</v>
      </c>
      <c r="Z7312">
        <v>3.4250750000000001E-3</v>
      </c>
      <c r="AA7312">
        <v>0.98346020000000001</v>
      </c>
      <c r="AB7312">
        <v>30</v>
      </c>
      <c r="AC7312">
        <v>43.576999999999998</v>
      </c>
      <c r="AD7312">
        <v>-1.1105778190110001</v>
      </c>
      <c r="AE7312">
        <v>7.7155199999999899</v>
      </c>
      <c r="AF7312">
        <v>-8.0404146612874694</v>
      </c>
      <c r="AG7312">
        <v>-1.1105778190110001</v>
      </c>
      <c r="AH7312">
        <v>43.489900804979797</v>
      </c>
      <c r="AI7312">
        <v>91.438446630991805</v>
      </c>
      <c r="AJ7312">
        <v>100.474572328204</v>
      </c>
      <c r="AK7312">
        <v>44.2408535523955</v>
      </c>
      <c r="AL7312">
        <v>78.787462554987798</v>
      </c>
      <c r="AM7312">
        <v>95.519411370982098</v>
      </c>
      <c r="AN7312">
        <v>1.00000000577922</v>
      </c>
    </row>
    <row r="7313" spans="1:40" x14ac:dyDescent="0.25">
      <c r="A7313" t="str">
        <f>"20190304154938954"</f>
        <v>20190304154938954</v>
      </c>
      <c r="B7313" t="str">
        <f>"1551685778944548"</f>
        <v>1551685778944548</v>
      </c>
      <c r="C7313" t="s">
        <v>40</v>
      </c>
      <c r="D7313">
        <v>3.988534</v>
      </c>
      <c r="E7313">
        <v>0.464007</v>
      </c>
      <c r="F7313" t="s">
        <v>68</v>
      </c>
      <c r="G7313">
        <v>-198.43129999999999</v>
      </c>
      <c r="H7313" s="1">
        <v>-8.8119070000000003E-6</v>
      </c>
      <c r="I7313">
        <v>-55.549889999999998</v>
      </c>
      <c r="J7313">
        <v>-242.1345</v>
      </c>
      <c r="K7313">
        <v>1.1105700000000001</v>
      </c>
      <c r="L7313">
        <v>-63.334110000000003</v>
      </c>
      <c r="M7313">
        <v>0.99990599999999996</v>
      </c>
      <c r="N7313">
        <v>-1.138076E-2</v>
      </c>
      <c r="O7313">
        <v>-7.6501360000000001E-3</v>
      </c>
      <c r="P7313">
        <v>0.97905850000000005</v>
      </c>
      <c r="Q7313">
        <v>0.1834288</v>
      </c>
      <c r="R7313">
        <v>8.8308979999999995E-2</v>
      </c>
      <c r="S7313">
        <v>3.0302889999999998</v>
      </c>
      <c r="T7313">
        <v>-7.6745869999999994E-2</v>
      </c>
      <c r="U7313">
        <v>0.53784180000000004</v>
      </c>
      <c r="V7313">
        <v>-9.5730869999999996E-2</v>
      </c>
      <c r="W7313">
        <v>0.1945837</v>
      </c>
      <c r="X7313">
        <v>0.9762033</v>
      </c>
      <c r="Y7313">
        <v>-0.18220159999999999</v>
      </c>
      <c r="Z7313">
        <v>3.439976E-3</v>
      </c>
      <c r="AA7313">
        <v>0.98325510000000005</v>
      </c>
      <c r="AB7313">
        <v>30</v>
      </c>
      <c r="AC7313">
        <v>43.703200000000002</v>
      </c>
      <c r="AD7313">
        <v>-1.1105788119069999</v>
      </c>
      <c r="AE7313">
        <v>7.7842199999999897</v>
      </c>
      <c r="AF7313">
        <v>-8.1132711162055493</v>
      </c>
      <c r="AG7313">
        <v>-1.1105788119069999</v>
      </c>
      <c r="AH7313">
        <v>43.615067883272602</v>
      </c>
      <c r="AI7313">
        <v>91.434028600580405</v>
      </c>
      <c r="AJ7313">
        <v>100.53771069648801</v>
      </c>
      <c r="AK7313">
        <v>44.377164172184202</v>
      </c>
      <c r="AL7313">
        <v>78.779595023796404</v>
      </c>
      <c r="AM7313">
        <v>95.6007731495054</v>
      </c>
      <c r="AN7313">
        <v>1.00000004935376</v>
      </c>
    </row>
    <row r="7314" spans="1:40" x14ac:dyDescent="0.25">
      <c r="A7314" t="str">
        <f>"20190304154938965"</f>
        <v>20190304154938965</v>
      </c>
      <c r="B7314" t="str">
        <f>"1551685778954307"</f>
        <v>1551685778954307</v>
      </c>
      <c r="C7314" t="s">
        <v>40</v>
      </c>
      <c r="D7314">
        <v>4.0036620000000003</v>
      </c>
      <c r="E7314">
        <v>0.4640186</v>
      </c>
      <c r="F7314" t="s">
        <v>68</v>
      </c>
      <c r="G7314">
        <v>-198.5094</v>
      </c>
      <c r="H7314" s="1">
        <v>-8.8243770000000002E-6</v>
      </c>
      <c r="I7314">
        <v>-55.539369999999998</v>
      </c>
      <c r="J7314">
        <v>-241.9736</v>
      </c>
      <c r="K7314">
        <v>1.1105689999999999</v>
      </c>
      <c r="L7314">
        <v>-63.3354199999999</v>
      </c>
      <c r="M7314">
        <v>0.9999053</v>
      </c>
      <c r="N7314">
        <v>-1.138779E-2</v>
      </c>
      <c r="O7314">
        <v>-7.7301660000000001E-3</v>
      </c>
      <c r="P7314">
        <v>0.97893430000000003</v>
      </c>
      <c r="Q7314">
        <v>0.1835029</v>
      </c>
      <c r="R7314">
        <v>8.9522009999999999E-2</v>
      </c>
      <c r="S7314">
        <v>3.0297999999999998</v>
      </c>
      <c r="T7314">
        <v>-7.7130679999999993E-2</v>
      </c>
      <c r="U7314">
        <v>0.54135129999999998</v>
      </c>
      <c r="V7314">
        <v>-9.702094E-2</v>
      </c>
      <c r="W7314">
        <v>0.1946637</v>
      </c>
      <c r="X7314">
        <v>0.97605989999999998</v>
      </c>
      <c r="Y7314">
        <v>-0.18341009999999999</v>
      </c>
      <c r="Z7314">
        <v>3.4765820000000002E-3</v>
      </c>
      <c r="AA7314">
        <v>0.98303030000000002</v>
      </c>
      <c r="AB7314">
        <v>30</v>
      </c>
      <c r="AC7314">
        <v>43.464199999999998</v>
      </c>
      <c r="AD7314">
        <v>-1.1105778243769999</v>
      </c>
      <c r="AE7314">
        <v>7.7960499999999904</v>
      </c>
      <c r="AF7314">
        <v>-8.1266839138128706</v>
      </c>
      <c r="AG7314">
        <v>-1.1105778243769999</v>
      </c>
      <c r="AH7314">
        <v>43.375196346401601</v>
      </c>
      <c r="AI7314">
        <v>91.441606527938205</v>
      </c>
      <c r="AJ7314">
        <v>100.611787576236</v>
      </c>
      <c r="AK7314">
        <v>44.143901420557697</v>
      </c>
      <c r="AL7314">
        <v>78.774921143189502</v>
      </c>
      <c r="AM7314">
        <v>95.676588081439107</v>
      </c>
      <c r="AN7314">
        <v>0.99999997364209103</v>
      </c>
    </row>
    <row r="7315" spans="1:40" x14ac:dyDescent="0.25">
      <c r="A7315" t="str">
        <f>"20190304154938975"</f>
        <v>20190304154938975</v>
      </c>
      <c r="B7315" t="str">
        <f>"1551685778965044"</f>
        <v>1551685778965044</v>
      </c>
      <c r="C7315" t="s">
        <v>40</v>
      </c>
      <c r="D7315">
        <v>3.9577149999999999</v>
      </c>
      <c r="E7315">
        <v>0.46399970000000001</v>
      </c>
      <c r="F7315" t="s">
        <v>68</v>
      </c>
      <c r="G7315">
        <v>-198.66560000000001</v>
      </c>
      <c r="H7315" s="1">
        <v>-8.8392169999999998E-6</v>
      </c>
      <c r="I7315">
        <v>-55.547150000000002</v>
      </c>
      <c r="J7315">
        <v>-241.8338</v>
      </c>
      <c r="K7315">
        <v>1.1105719999999999</v>
      </c>
      <c r="L7315">
        <v>-63.336550000000003</v>
      </c>
      <c r="M7315">
        <v>0.99990480000000004</v>
      </c>
      <c r="N7315">
        <v>-1.139397E-2</v>
      </c>
      <c r="O7315">
        <v>-7.7998199999999998E-3</v>
      </c>
      <c r="P7315">
        <v>0.97879059999999996</v>
      </c>
      <c r="Q7315">
        <v>0.18374289999999999</v>
      </c>
      <c r="R7315">
        <v>9.059826E-2</v>
      </c>
      <c r="S7315">
        <v>3.0292819999999998</v>
      </c>
      <c r="T7315">
        <v>-7.7682020000000004E-2</v>
      </c>
      <c r="U7315">
        <v>0.54476930000000001</v>
      </c>
      <c r="V7315">
        <v>-9.8164219999999996E-2</v>
      </c>
      <c r="W7315">
        <v>0.19490779999999999</v>
      </c>
      <c r="X7315">
        <v>0.97589689999999996</v>
      </c>
      <c r="Y7315">
        <v>-0.18458060000000001</v>
      </c>
      <c r="Z7315">
        <v>3.517938E-3</v>
      </c>
      <c r="AA7315">
        <v>0.98281110000000005</v>
      </c>
      <c r="AB7315">
        <v>30</v>
      </c>
      <c r="AC7315">
        <v>43.168199999999899</v>
      </c>
      <c r="AD7315">
        <v>-1.11058083921699</v>
      </c>
      <c r="AE7315">
        <v>7.7893999999999997</v>
      </c>
      <c r="AF7315">
        <v>-8.1206836759593592</v>
      </c>
      <c r="AG7315">
        <v>-1.11058083921699</v>
      </c>
      <c r="AH7315">
        <v>43.078513558540003</v>
      </c>
      <c r="AI7315">
        <v>91.451231489046506</v>
      </c>
      <c r="AJ7315">
        <v>100.67548816001499</v>
      </c>
      <c r="AK7315">
        <v>43.851308117076002</v>
      </c>
      <c r="AL7315">
        <v>78.760662559908695</v>
      </c>
      <c r="AM7315">
        <v>95.743988385125107</v>
      </c>
      <c r="AN7315">
        <v>1.00000001200932</v>
      </c>
    </row>
    <row r="7316" spans="1:40" x14ac:dyDescent="0.25">
      <c r="A7316" t="str">
        <f>"20190304154938987"</f>
        <v>20190304154938987</v>
      </c>
      <c r="B7316" t="str">
        <f>"1551685778984563"</f>
        <v>1551685778984563</v>
      </c>
      <c r="C7316" t="s">
        <v>40</v>
      </c>
      <c r="D7316">
        <v>4.0132760000000003</v>
      </c>
      <c r="E7316">
        <v>0.46410560000000001</v>
      </c>
      <c r="F7316" t="s">
        <v>68</v>
      </c>
      <c r="G7316">
        <v>-199.01130000000001</v>
      </c>
      <c r="H7316" s="1">
        <v>-8.8634980000000003E-6</v>
      </c>
      <c r="I7316">
        <v>-55.588749999999997</v>
      </c>
      <c r="J7316">
        <v>-241.68119999999999</v>
      </c>
      <c r="K7316">
        <v>1.110574</v>
      </c>
      <c r="L7316">
        <v>-63.337800000000001</v>
      </c>
      <c r="M7316">
        <v>0.99990409999999996</v>
      </c>
      <c r="N7316">
        <v>-1.1400820000000001E-2</v>
      </c>
      <c r="O7316">
        <v>-7.8756759999999999E-3</v>
      </c>
      <c r="P7316">
        <v>0.97863619999999996</v>
      </c>
      <c r="Q7316">
        <v>0.1838591</v>
      </c>
      <c r="R7316">
        <v>9.201753E-2</v>
      </c>
      <c r="S7316">
        <v>3.0290219999999999</v>
      </c>
      <c r="T7316">
        <v>-7.8556180000000003E-2</v>
      </c>
      <c r="U7316">
        <v>0.54803469999999999</v>
      </c>
      <c r="V7316">
        <v>-9.9656309999999998E-2</v>
      </c>
      <c r="W7316">
        <v>0.19502990000000001</v>
      </c>
      <c r="X7316">
        <v>0.97572119999999996</v>
      </c>
      <c r="Y7316">
        <v>-0.18569359999999999</v>
      </c>
      <c r="Z7316">
        <v>3.5690549999999998E-3</v>
      </c>
      <c r="AA7316">
        <v>0.98260119999999895</v>
      </c>
      <c r="AB7316">
        <v>30</v>
      </c>
      <c r="AC7316">
        <v>42.669899999999899</v>
      </c>
      <c r="AD7316">
        <v>-1.110582863498</v>
      </c>
      <c r="AE7316">
        <v>7.7490500000000004</v>
      </c>
      <c r="AF7316">
        <v>-8.0795872206629191</v>
      </c>
      <c r="AG7316">
        <v>-1.110582863498</v>
      </c>
      <c r="AH7316">
        <v>42.579620102770598</v>
      </c>
      <c r="AI7316">
        <v>91.467897230538995</v>
      </c>
      <c r="AJ7316">
        <v>100.744277065644</v>
      </c>
      <c r="AK7316">
        <v>43.353629283478199</v>
      </c>
      <c r="AL7316">
        <v>78.753529170607095</v>
      </c>
      <c r="AM7316">
        <v>95.831742278365496</v>
      </c>
      <c r="AN7316">
        <v>0.999999951073131</v>
      </c>
    </row>
    <row r="7317" spans="1:40" x14ac:dyDescent="0.25">
      <c r="A7317" t="str">
        <f>"20190304154938998"</f>
        <v>20190304154938998</v>
      </c>
      <c r="B7317" t="str">
        <f>"1551685778994323"</f>
        <v>1551685778994323</v>
      </c>
      <c r="C7317" t="s">
        <v>40</v>
      </c>
      <c r="D7317">
        <v>4.028359</v>
      </c>
      <c r="E7317">
        <v>0.46418939999999997</v>
      </c>
      <c r="F7317" t="s">
        <v>68</v>
      </c>
      <c r="G7317">
        <v>-198.94739999999999</v>
      </c>
      <c r="H7317" s="1">
        <v>-8.8672629999999994E-6</v>
      </c>
      <c r="I7317">
        <v>-55.557560000000002</v>
      </c>
      <c r="J7317">
        <v>-241.5343</v>
      </c>
      <c r="K7317">
        <v>1.110574</v>
      </c>
      <c r="L7317">
        <v>-63.339019999999998</v>
      </c>
      <c r="M7317">
        <v>0.99990330000000005</v>
      </c>
      <c r="N7317">
        <v>-1.140715E-2</v>
      </c>
      <c r="O7317">
        <v>-7.9484299999999994E-3</v>
      </c>
      <c r="P7317">
        <v>0.97850079999999995</v>
      </c>
      <c r="Q7317">
        <v>0.1839944</v>
      </c>
      <c r="R7317">
        <v>9.317752E-2</v>
      </c>
      <c r="S7317">
        <v>3.0284119999999999</v>
      </c>
      <c r="T7317">
        <v>-7.8703519999999999E-2</v>
      </c>
      <c r="U7317">
        <v>0.55136109999999905</v>
      </c>
      <c r="V7317">
        <v>-0.1008863</v>
      </c>
      <c r="W7317">
        <v>0.1951697</v>
      </c>
      <c r="X7317">
        <v>0.97556690000000001</v>
      </c>
      <c r="Y7317">
        <v>-0.1868436</v>
      </c>
      <c r="Z7317">
        <v>3.5973210000000001E-3</v>
      </c>
      <c r="AA7317">
        <v>0.98238309999999995</v>
      </c>
      <c r="AB7317">
        <v>30</v>
      </c>
      <c r="AC7317">
        <v>42.5869</v>
      </c>
      <c r="AD7317">
        <v>-1.110582867263</v>
      </c>
      <c r="AE7317">
        <v>7.78146</v>
      </c>
      <c r="AF7317">
        <v>-8.1143951667303202</v>
      </c>
      <c r="AG7317">
        <v>-1.110582867263</v>
      </c>
      <c r="AH7317">
        <v>42.4957339828172</v>
      </c>
      <c r="AI7317">
        <v>91.470471256375703</v>
      </c>
      <c r="AJ7317">
        <v>100.81027747097799</v>
      </c>
      <c r="AK7317">
        <v>43.277756526479997</v>
      </c>
      <c r="AL7317">
        <v>78.745363030285304</v>
      </c>
      <c r="AM7317">
        <v>95.904141358928399</v>
      </c>
      <c r="AN7317">
        <v>1.00000001685069</v>
      </c>
    </row>
    <row r="7318" spans="1:40" x14ac:dyDescent="0.25">
      <c r="A7318" t="str">
        <f>"20190304154939008"</f>
        <v>20190304154939008</v>
      </c>
      <c r="B7318" t="str">
        <f>"1551685779005060"</f>
        <v>1551685779005060</v>
      </c>
      <c r="C7318" t="s">
        <v>40</v>
      </c>
      <c r="D7318">
        <v>3.963854</v>
      </c>
      <c r="E7318">
        <v>0.46422959999999902</v>
      </c>
      <c r="F7318" t="s">
        <v>68</v>
      </c>
      <c r="G7318">
        <v>-198.91929999999999</v>
      </c>
      <c r="H7318" s="1">
        <v>-8.8703409999999992E-6</v>
      </c>
      <c r="I7318">
        <v>-55.539769999999997</v>
      </c>
      <c r="J7318">
        <v>-241.38059999999999</v>
      </c>
      <c r="K7318">
        <v>1.1105769999999999</v>
      </c>
      <c r="L7318">
        <v>-63.340299999999999</v>
      </c>
      <c r="M7318">
        <v>0.99990279999999998</v>
      </c>
      <c r="N7318">
        <v>-1.141358E-2</v>
      </c>
      <c r="O7318">
        <v>-8.0249989999999997E-3</v>
      </c>
      <c r="P7318">
        <v>0.97834900000000002</v>
      </c>
      <c r="Q7318">
        <v>0.18411440000000001</v>
      </c>
      <c r="R7318">
        <v>9.4527710000000001E-2</v>
      </c>
      <c r="S7318">
        <v>3.0279690000000001</v>
      </c>
      <c r="T7318">
        <v>-7.8911419999999996E-2</v>
      </c>
      <c r="U7318">
        <v>0.55416869999999996</v>
      </c>
      <c r="V7318">
        <v>-0.1023099</v>
      </c>
      <c r="W7318">
        <v>0.19529460000000001</v>
      </c>
      <c r="X7318">
        <v>0.97539359999999997</v>
      </c>
      <c r="Y7318">
        <v>-0.18782470000000001</v>
      </c>
      <c r="Z7318">
        <v>3.6244699999999999E-3</v>
      </c>
      <c r="AA7318">
        <v>0.98219590000000001</v>
      </c>
      <c r="AB7318">
        <v>30</v>
      </c>
      <c r="AC7318">
        <v>42.461300000000001</v>
      </c>
      <c r="AD7318">
        <v>-1.1105858703409901</v>
      </c>
      <c r="AE7318">
        <v>7.8005300000000002</v>
      </c>
      <c r="AF7318">
        <v>-8.1356689372134792</v>
      </c>
      <c r="AG7318">
        <v>-1.1105858703409901</v>
      </c>
      <c r="AH7318">
        <v>42.369290783105598</v>
      </c>
      <c r="AI7318">
        <v>91.474569789996494</v>
      </c>
      <c r="AJ7318">
        <v>100.86952320170801</v>
      </c>
      <c r="AK7318">
        <v>43.157610122603998</v>
      </c>
      <c r="AL7318">
        <v>78.738066022798094</v>
      </c>
      <c r="AM7318">
        <v>95.987909345289395</v>
      </c>
      <c r="AN7318">
        <v>0.99999998567406401</v>
      </c>
    </row>
    <row r="7319" spans="1:40" x14ac:dyDescent="0.25">
      <c r="A7319" t="str">
        <f>"20190304154939021"</f>
        <v>20190304154939021</v>
      </c>
      <c r="B7319" t="str">
        <f>"1551685779014819"</f>
        <v>1551685779014819</v>
      </c>
      <c r="C7319" t="s">
        <v>40</v>
      </c>
      <c r="D7319">
        <v>4.0029300000000001</v>
      </c>
      <c r="E7319">
        <v>0.46431820000000001</v>
      </c>
      <c r="F7319" t="s">
        <v>68</v>
      </c>
      <c r="G7319">
        <v>-199.25559999999999</v>
      </c>
      <c r="H7319" s="1">
        <v>-8.8957470000000005E-6</v>
      </c>
      <c r="I7319">
        <v>-55.575159999999997</v>
      </c>
      <c r="J7319">
        <v>-241.22389999999999</v>
      </c>
      <c r="K7319">
        <v>1.1105780000000001</v>
      </c>
      <c r="L7319">
        <v>-63.341639999999998</v>
      </c>
      <c r="M7319">
        <v>0.99990199999999996</v>
      </c>
      <c r="N7319">
        <v>-1.1419739999999999E-2</v>
      </c>
      <c r="O7319">
        <v>-8.1022769999999997E-3</v>
      </c>
      <c r="P7319">
        <v>0.97813890000000003</v>
      </c>
      <c r="Q7319">
        <v>0.18459349999999999</v>
      </c>
      <c r="R7319">
        <v>9.5758949999999995E-2</v>
      </c>
      <c r="S7319">
        <v>3.0274960000000002</v>
      </c>
      <c r="T7319">
        <v>-7.9817059999999995E-2</v>
      </c>
      <c r="U7319">
        <v>0.55807499999999999</v>
      </c>
      <c r="V7319">
        <v>-0.1036154</v>
      </c>
      <c r="W7319">
        <v>0.1957777</v>
      </c>
      <c r="X7319">
        <v>0.97515890000000005</v>
      </c>
      <c r="Y7319">
        <v>-0.18915100000000001</v>
      </c>
      <c r="Z7319">
        <v>3.6815889999999999E-3</v>
      </c>
      <c r="AA7319">
        <v>0.98194110000000001</v>
      </c>
      <c r="AB7319">
        <v>30</v>
      </c>
      <c r="AC7319">
        <v>41.968299999999999</v>
      </c>
      <c r="AD7319">
        <v>-1.110586895747</v>
      </c>
      <c r="AE7319">
        <v>7.7664799999999996</v>
      </c>
      <c r="AF7319">
        <v>-8.1008011216551292</v>
      </c>
      <c r="AG7319">
        <v>-1.110586895747</v>
      </c>
      <c r="AH7319">
        <v>41.8756389113301</v>
      </c>
      <c r="AI7319">
        <v>91.491549853912105</v>
      </c>
      <c r="AJ7319">
        <v>100.94857455504901</v>
      </c>
      <c r="AK7319">
        <v>42.6664448518707</v>
      </c>
      <c r="AL7319">
        <v>78.709841416740304</v>
      </c>
      <c r="AM7319">
        <v>96.065199398065502</v>
      </c>
      <c r="AN7319">
        <v>0.99999996959182902</v>
      </c>
    </row>
    <row r="7320" spans="1:40" x14ac:dyDescent="0.25">
      <c r="A7320" t="str">
        <f>"20190304154939030"</f>
        <v>20190304154939030</v>
      </c>
      <c r="B7320" t="str">
        <f>"1551685779024579"</f>
        <v>1551685779024579</v>
      </c>
      <c r="C7320" t="s">
        <v>40</v>
      </c>
      <c r="D7320">
        <v>3.9979019999999998</v>
      </c>
      <c r="E7320">
        <v>0.46437479999999998</v>
      </c>
      <c r="F7320" t="s">
        <v>68</v>
      </c>
      <c r="G7320">
        <v>-198.54159999999999</v>
      </c>
      <c r="H7320" s="1">
        <v>-8.8667540000000004E-6</v>
      </c>
      <c r="I7320">
        <v>-55.4289699999999</v>
      </c>
      <c r="J7320">
        <v>-241.0898</v>
      </c>
      <c r="K7320">
        <v>1.110584</v>
      </c>
      <c r="L7320">
        <v>-63.342770000000002</v>
      </c>
      <c r="M7320">
        <v>0.9999015</v>
      </c>
      <c r="N7320">
        <v>-1.142493E-2</v>
      </c>
      <c r="O7320">
        <v>-8.1684640000000003E-3</v>
      </c>
      <c r="P7320">
        <v>0.97806099999999996</v>
      </c>
      <c r="Q7320">
        <v>0.1845243</v>
      </c>
      <c r="R7320">
        <v>9.6685030000000005E-2</v>
      </c>
      <c r="S7320">
        <v>3.0269780000000002</v>
      </c>
      <c r="T7320">
        <v>-7.8761460000000005E-2</v>
      </c>
      <c r="U7320">
        <v>0.56115719999999902</v>
      </c>
      <c r="V7320">
        <v>-0.1046053</v>
      </c>
      <c r="W7320">
        <v>0.19571269999999999</v>
      </c>
      <c r="X7320">
        <v>0.97506630000000005</v>
      </c>
      <c r="Y7320">
        <v>-0.1902143</v>
      </c>
      <c r="Z7320">
        <v>3.667666E-3</v>
      </c>
      <c r="AA7320">
        <v>0.98173580000000005</v>
      </c>
      <c r="AB7320">
        <v>30</v>
      </c>
      <c r="AC7320">
        <v>42.548200000000001</v>
      </c>
      <c r="AD7320">
        <v>-1.1105928667539999</v>
      </c>
      <c r="AE7320">
        <v>7.9138000000000002</v>
      </c>
      <c r="AF7320">
        <v>-8.2556753910143694</v>
      </c>
      <c r="AG7320">
        <v>-1.1105928667539999</v>
      </c>
      <c r="AH7320">
        <v>42.454175048909697</v>
      </c>
      <c r="AI7320">
        <v>91.470962827885899</v>
      </c>
      <c r="AJ7320">
        <v>101.00444712644899</v>
      </c>
      <c r="AK7320">
        <v>43.263686525317603</v>
      </c>
      <c r="AL7320">
        <v>78.713639566746593</v>
      </c>
      <c r="AM7320">
        <v>96.123282863549306</v>
      </c>
      <c r="AN7320">
        <v>1.0000000095625301</v>
      </c>
    </row>
    <row r="7321" spans="1:40" x14ac:dyDescent="0.25">
      <c r="A7321" t="str">
        <f>"20190304154939043"</f>
        <v>20190304154939043</v>
      </c>
      <c r="B7321" t="str">
        <f>"1551685779034341"</f>
        <v>1551685779034341</v>
      </c>
      <c r="C7321" t="s">
        <v>40</v>
      </c>
      <c r="D7321">
        <v>3.9914239999999999</v>
      </c>
      <c r="E7321">
        <v>0.46445690000000001</v>
      </c>
      <c r="F7321" t="s">
        <v>68</v>
      </c>
      <c r="G7321">
        <v>-198.5403</v>
      </c>
      <c r="H7321" s="1">
        <v>-8.8702250000000003E-6</v>
      </c>
      <c r="I7321">
        <v>-55.41865</v>
      </c>
      <c r="J7321">
        <v>-240.9281</v>
      </c>
      <c r="K7321">
        <v>1.1105830000000001</v>
      </c>
      <c r="L7321">
        <v>-63.344180000000001</v>
      </c>
      <c r="M7321">
        <v>0.99990080000000003</v>
      </c>
      <c r="N7321">
        <v>-1.143098E-2</v>
      </c>
      <c r="O7321">
        <v>-8.2475229999999997E-3</v>
      </c>
      <c r="P7321">
        <v>0.97782219999999997</v>
      </c>
      <c r="Q7321">
        <v>0.18488650000000001</v>
      </c>
      <c r="R7321">
        <v>9.8392549999999995E-2</v>
      </c>
      <c r="S7321">
        <v>3.0264739999999999</v>
      </c>
      <c r="T7321">
        <v>-7.8994510000000004E-2</v>
      </c>
      <c r="U7321">
        <v>0.56362919999999905</v>
      </c>
      <c r="V7321">
        <v>-0.1063882</v>
      </c>
      <c r="W7321">
        <v>0.19607830000000001</v>
      </c>
      <c r="X7321">
        <v>0.97479990000000005</v>
      </c>
      <c r="Y7321">
        <v>-0.1910953</v>
      </c>
      <c r="Z7321">
        <v>3.6940359999999999E-3</v>
      </c>
      <c r="AA7321">
        <v>0.98156449999999995</v>
      </c>
      <c r="AB7321">
        <v>30</v>
      </c>
      <c r="AC7321">
        <v>42.387799999999999</v>
      </c>
      <c r="AD7321">
        <v>-1.1105918702249999</v>
      </c>
      <c r="AE7321">
        <v>7.9255300000000002</v>
      </c>
      <c r="AF7321">
        <v>-8.2693925456219706</v>
      </c>
      <c r="AG7321">
        <v>-1.1105918702249999</v>
      </c>
      <c r="AH7321">
        <v>42.292935404258301</v>
      </c>
      <c r="AI7321">
        <v>91.476271555568303</v>
      </c>
      <c r="AJ7321">
        <v>101.063271102187</v>
      </c>
      <c r="AK7321">
        <v>43.108104255285497</v>
      </c>
      <c r="AL7321">
        <v>78.692278206847405</v>
      </c>
      <c r="AM7321">
        <v>96.228523804501904</v>
      </c>
      <c r="AN7321">
        <v>0.99999999693506902</v>
      </c>
    </row>
    <row r="7322" spans="1:40" x14ac:dyDescent="0.25">
      <c r="A7322" t="str">
        <f>"20190304154939053"</f>
        <v>20190304154939053</v>
      </c>
      <c r="B7322" t="str">
        <f>"1551685779044099"</f>
        <v>1551685779044099</v>
      </c>
      <c r="C7322" t="s">
        <v>40</v>
      </c>
      <c r="D7322">
        <v>4.0135370000000004</v>
      </c>
      <c r="E7322">
        <v>0.46441670000000002</v>
      </c>
      <c r="F7322" t="s">
        <v>68</v>
      </c>
      <c r="G7322">
        <v>-197.845</v>
      </c>
      <c r="H7322" s="1">
        <v>-8.8499600000000006E-6</v>
      </c>
      <c r="I7322">
        <v>-55.253599999999999</v>
      </c>
      <c r="J7322">
        <v>-240.77860000000001</v>
      </c>
      <c r="K7322">
        <v>1.110584</v>
      </c>
      <c r="L7322">
        <v>-63.345489999999998</v>
      </c>
      <c r="M7322">
        <v>0.99990000000000001</v>
      </c>
      <c r="N7322">
        <v>-1.14365E-2</v>
      </c>
      <c r="O7322">
        <v>-8.3200210000000004E-3</v>
      </c>
      <c r="P7322">
        <v>0.97767530000000002</v>
      </c>
      <c r="Q7322">
        <v>0.18494169999999999</v>
      </c>
      <c r="R7322">
        <v>9.9738540000000001E-2</v>
      </c>
      <c r="S7322">
        <v>3.0255890000000001</v>
      </c>
      <c r="T7322">
        <v>-7.7993389999999996E-2</v>
      </c>
      <c r="U7322">
        <v>0.56817629999999997</v>
      </c>
      <c r="V7322">
        <v>-0.107804</v>
      </c>
      <c r="W7322">
        <v>0.19613720000000001</v>
      </c>
      <c r="X7322">
        <v>0.97463250000000001</v>
      </c>
      <c r="Y7322">
        <v>-0.19264439999999999</v>
      </c>
      <c r="Z7322">
        <v>3.6908179999999998E-3</v>
      </c>
      <c r="AA7322">
        <v>0.98126170000000001</v>
      </c>
      <c r="AB7322">
        <v>30</v>
      </c>
      <c r="AC7322">
        <v>42.933599999999998</v>
      </c>
      <c r="AD7322">
        <v>-1.11059284996</v>
      </c>
      <c r="AE7322">
        <v>8.0918899999999994</v>
      </c>
      <c r="AF7322">
        <v>-8.4433857261876195</v>
      </c>
      <c r="AG7322">
        <v>-1.11059284996</v>
      </c>
      <c r="AH7322">
        <v>42.837104083189899</v>
      </c>
      <c r="AI7322">
        <v>91.457093103787997</v>
      </c>
      <c r="AJ7322">
        <v>101.150324520705</v>
      </c>
      <c r="AK7322">
        <v>43.675412593742202</v>
      </c>
      <c r="AL7322">
        <v>78.6888367722607</v>
      </c>
      <c r="AM7322">
        <v>96.311822921839195</v>
      </c>
      <c r="AN7322">
        <v>1.0000000068480399</v>
      </c>
    </row>
    <row r="7323" spans="1:40" x14ac:dyDescent="0.25">
      <c r="A7323" t="str">
        <f>"20190304154939064"</f>
        <v>20190304154939064</v>
      </c>
      <c r="B7323" t="str">
        <f>"1551685779054836"</f>
        <v>1551685779054836</v>
      </c>
      <c r="C7323" t="s">
        <v>40</v>
      </c>
      <c r="D7323">
        <v>4.1940419999999996</v>
      </c>
      <c r="E7323">
        <v>0.46441670000000002</v>
      </c>
      <c r="F7323" t="s">
        <v>68</v>
      </c>
      <c r="G7323">
        <v>-197.9375</v>
      </c>
      <c r="H7323" s="1">
        <v>-8.8667290000000003E-6</v>
      </c>
      <c r="I7323">
        <v>-55.235439999999997</v>
      </c>
      <c r="J7323">
        <v>-240.63220000000001</v>
      </c>
      <c r="K7323">
        <v>1.1105799999999999</v>
      </c>
      <c r="L7323">
        <v>-63.3467699999999</v>
      </c>
      <c r="M7323">
        <v>0.99989939999999999</v>
      </c>
      <c r="N7323">
        <v>-1.1441700000000001E-2</v>
      </c>
      <c r="O7323">
        <v>-8.3906109999999992E-3</v>
      </c>
      <c r="P7323">
        <v>0.97753909999999999</v>
      </c>
      <c r="Q7323">
        <v>0.18482380000000001</v>
      </c>
      <c r="R7323">
        <v>0.1012801</v>
      </c>
      <c r="S7323">
        <v>3.024918</v>
      </c>
      <c r="T7323">
        <v>-7.8416470000000002E-2</v>
      </c>
      <c r="U7323">
        <v>0.57263180000000002</v>
      </c>
      <c r="V7323">
        <v>-0.10941389999999999</v>
      </c>
      <c r="W7323">
        <v>0.19602269999999999</v>
      </c>
      <c r="X7323">
        <v>0.97447609999999996</v>
      </c>
      <c r="Y7323">
        <v>-0.19414719999999999</v>
      </c>
      <c r="Z7323">
        <v>3.7351620000000002E-3</v>
      </c>
      <c r="AA7323">
        <v>0.98096530000000004</v>
      </c>
      <c r="AB7323">
        <v>30</v>
      </c>
      <c r="AC7323">
        <v>42.694699999999997</v>
      </c>
      <c r="AD7323">
        <v>-1.11058886672899</v>
      </c>
      <c r="AE7323">
        <v>8.1113299999999793</v>
      </c>
      <c r="AF7323">
        <v>-8.4637750427714895</v>
      </c>
      <c r="AG7323">
        <v>-1.11058886672899</v>
      </c>
      <c r="AH7323">
        <v>42.5973143944924</v>
      </c>
      <c r="AI7323">
        <v>91.464843658266901</v>
      </c>
      <c r="AJ7323">
        <v>101.237892029245</v>
      </c>
      <c r="AK7323">
        <v>43.444218133472802</v>
      </c>
      <c r="AL7323">
        <v>78.695526759654598</v>
      </c>
      <c r="AM7323">
        <v>96.406322838494305</v>
      </c>
      <c r="AN7323">
        <v>0.99999998494985398</v>
      </c>
    </row>
    <row r="7324" spans="1:40" x14ac:dyDescent="0.25">
      <c r="A7324" t="str">
        <f>"20190304154939076"</f>
        <v>20190304154939076</v>
      </c>
      <c r="B7324" t="str">
        <f>"1551685779064596"</f>
        <v>1551685779064596</v>
      </c>
      <c r="C7324" t="s">
        <v>40</v>
      </c>
      <c r="D7324">
        <v>4.0134059999999998</v>
      </c>
      <c r="E7324">
        <v>0.44222519999999998</v>
      </c>
      <c r="F7324" t="s">
        <v>68</v>
      </c>
      <c r="G7324">
        <v>-198.05330000000001</v>
      </c>
      <c r="H7324" s="1">
        <v>-8.8849819999999996E-6</v>
      </c>
      <c r="I7324">
        <v>-55.22054</v>
      </c>
      <c r="J7324">
        <v>-240.48339999999999</v>
      </c>
      <c r="K7324">
        <v>1.1105799999999999</v>
      </c>
      <c r="L7324">
        <v>-63.348080000000003</v>
      </c>
      <c r="M7324">
        <v>0.99989870000000003</v>
      </c>
      <c r="N7324">
        <v>-1.144682E-2</v>
      </c>
      <c r="O7324">
        <v>-8.4619139999999992E-3</v>
      </c>
      <c r="P7324">
        <v>0.97741679999999997</v>
      </c>
      <c r="Q7324">
        <v>0.18464900000000001</v>
      </c>
      <c r="R7324">
        <v>0.1027672</v>
      </c>
      <c r="S7324">
        <v>3.0240779999999998</v>
      </c>
      <c r="T7324">
        <v>-7.8877210000000003E-2</v>
      </c>
      <c r="U7324">
        <v>0.57714840000000001</v>
      </c>
      <c r="V7324">
        <v>-0.1109701</v>
      </c>
      <c r="W7324">
        <v>0.195852</v>
      </c>
      <c r="X7324">
        <v>0.97433440000000004</v>
      </c>
      <c r="Y7324">
        <v>-0.19567889999999999</v>
      </c>
      <c r="Z7324">
        <v>3.7817549999999999E-3</v>
      </c>
      <c r="AA7324">
        <v>0.98066070000000005</v>
      </c>
      <c r="AB7324">
        <v>30</v>
      </c>
      <c r="AC7324">
        <v>42.430099999999896</v>
      </c>
      <c r="AD7324">
        <v>-1.11058888498199</v>
      </c>
      <c r="AE7324">
        <v>8.1275399999999998</v>
      </c>
      <c r="AF7324">
        <v>-8.4807077962287405</v>
      </c>
      <c r="AG7324">
        <v>-1.11058888498199</v>
      </c>
      <c r="AH7324">
        <v>42.331826272517397</v>
      </c>
      <c r="AI7324">
        <v>91.473561251890899</v>
      </c>
      <c r="AJ7324">
        <v>101.32859713468299</v>
      </c>
      <c r="AK7324">
        <v>43.187258861417099</v>
      </c>
      <c r="AL7324">
        <v>78.705500030165297</v>
      </c>
      <c r="AM7324">
        <v>96.497603476029795</v>
      </c>
      <c r="AN7324">
        <v>0.99999994601068298</v>
      </c>
    </row>
    <row r="7325" spans="1:40" x14ac:dyDescent="0.25">
      <c r="A7325" t="str">
        <f>"20190304154939087"</f>
        <v>20190304154939087</v>
      </c>
      <c r="B7325" t="str">
        <f>"1551685779084163"</f>
        <v>1551685779084163</v>
      </c>
      <c r="C7325" t="s">
        <v>40</v>
      </c>
      <c r="D7325">
        <v>3.9555539999999998</v>
      </c>
      <c r="E7325">
        <v>0.43148979999999998</v>
      </c>
      <c r="F7325" t="s">
        <v>68</v>
      </c>
      <c r="G7325">
        <v>-178.96870000000001</v>
      </c>
      <c r="H7325">
        <v>7.9986570000000007E-2</v>
      </c>
      <c r="I7325">
        <v>-47.799550000000004</v>
      </c>
      <c r="J7325">
        <v>-240.33029999999999</v>
      </c>
      <c r="K7325">
        <v>1.110574</v>
      </c>
      <c r="L7325">
        <v>-63.349460000000001</v>
      </c>
      <c r="M7325">
        <v>0.99989810000000001</v>
      </c>
      <c r="N7325">
        <v>-1.145185E-2</v>
      </c>
      <c r="O7325">
        <v>-8.5346459999999999E-3</v>
      </c>
      <c r="P7325">
        <v>0.97737909999999995</v>
      </c>
      <c r="Q7325">
        <v>0.18409710000000001</v>
      </c>
      <c r="R7325">
        <v>0.10410949999999999</v>
      </c>
      <c r="S7325">
        <v>2.9990999999999999</v>
      </c>
      <c r="T7325">
        <v>-5.024576E-2</v>
      </c>
      <c r="U7325">
        <v>0.75805659999999997</v>
      </c>
      <c r="V7325">
        <v>-0.11238330000000001</v>
      </c>
      <c r="W7325">
        <v>0.19530439999999999</v>
      </c>
      <c r="X7325">
        <v>0.97428239999999999</v>
      </c>
      <c r="Y7325">
        <v>-0.25326290000000001</v>
      </c>
      <c r="Z7325">
        <v>3.6059780000000001E-3</v>
      </c>
      <c r="AA7325">
        <v>0.9673908</v>
      </c>
      <c r="AB7325">
        <v>30</v>
      </c>
      <c r="AC7325">
        <v>61.361599999999903</v>
      </c>
      <c r="AD7325">
        <v>-1.03058743</v>
      </c>
      <c r="AE7325">
        <v>15.549909999999899</v>
      </c>
      <c r="AF7325">
        <v>-16.068818200114801</v>
      </c>
      <c r="AG7325">
        <v>-1.03058743</v>
      </c>
      <c r="AH7325">
        <v>61.210418725825903</v>
      </c>
      <c r="AI7325">
        <v>90.932979368162194</v>
      </c>
      <c r="AJ7325">
        <v>104.709252532929</v>
      </c>
      <c r="AK7325">
        <v>63.292846273415101</v>
      </c>
      <c r="AL7325">
        <v>78.737493718394006</v>
      </c>
      <c r="AM7325">
        <v>96.579977243167406</v>
      </c>
      <c r="AN7325">
        <v>1.0000000048640001</v>
      </c>
    </row>
    <row r="7326" spans="1:40" x14ac:dyDescent="0.25">
      <c r="A7326" t="str">
        <f>"20190304154939098"</f>
        <v>20190304154939098</v>
      </c>
      <c r="B7326" t="str">
        <f>"1551685779094899"</f>
        <v>1551685779094899</v>
      </c>
      <c r="C7326" t="s">
        <v>40</v>
      </c>
      <c r="D7326">
        <v>3.9643929999999998</v>
      </c>
      <c r="E7326">
        <v>0.42925449999999998</v>
      </c>
      <c r="F7326" t="s">
        <v>71</v>
      </c>
      <c r="G7326">
        <v>-157.3501</v>
      </c>
      <c r="H7326">
        <v>0.28329559999999998</v>
      </c>
      <c r="I7326">
        <v>-39.788670000000003</v>
      </c>
      <c r="J7326">
        <v>-240.1765</v>
      </c>
      <c r="K7326">
        <v>1.110573</v>
      </c>
      <c r="L7326">
        <v>-63.350830000000002</v>
      </c>
      <c r="M7326">
        <v>0.99989749999999999</v>
      </c>
      <c r="N7326">
        <v>-1.1456630000000001E-2</v>
      </c>
      <c r="O7326">
        <v>-8.6067790000000002E-3</v>
      </c>
      <c r="P7326">
        <v>0.97723439999999995</v>
      </c>
      <c r="Q7326">
        <v>0.18404609999999999</v>
      </c>
      <c r="R7326">
        <v>0.1055475</v>
      </c>
      <c r="S7326">
        <v>2.984772</v>
      </c>
      <c r="T7326">
        <v>-2.9757619999999999E-2</v>
      </c>
      <c r="U7326">
        <v>0.84747309999999998</v>
      </c>
      <c r="V7326">
        <v>-0.1138909</v>
      </c>
      <c r="W7326">
        <v>0.19525670000000001</v>
      </c>
      <c r="X7326">
        <v>0.97411689999999995</v>
      </c>
      <c r="Y7326">
        <v>-0.28137679999999998</v>
      </c>
      <c r="Z7326">
        <v>3.0061110000000001E-3</v>
      </c>
      <c r="AA7326">
        <v>0.95959260000000002</v>
      </c>
      <c r="AB7326">
        <v>30</v>
      </c>
      <c r="AC7326">
        <v>82.826400000000007</v>
      </c>
      <c r="AD7326">
        <v>-0.82727739999999905</v>
      </c>
      <c r="AE7326">
        <v>23.562159999999999</v>
      </c>
      <c r="AF7326">
        <v>-24.271962222694398</v>
      </c>
      <c r="AG7326">
        <v>-0.82727739999999905</v>
      </c>
      <c r="AH7326">
        <v>82.612899624464006</v>
      </c>
      <c r="AI7326">
        <v>90.550469895293503</v>
      </c>
      <c r="AJ7326">
        <v>106.37297471279</v>
      </c>
      <c r="AK7326">
        <v>86.108673909184205</v>
      </c>
      <c r="AL7326">
        <v>78.740280612046305</v>
      </c>
      <c r="AM7326">
        <v>96.668579395482098</v>
      </c>
      <c r="AN7326">
        <v>1.0000000254316499</v>
      </c>
    </row>
    <row r="7327" spans="1:40" x14ac:dyDescent="0.25">
      <c r="A7327" t="str">
        <f>"20190304154939109"</f>
        <v>20190304154939109</v>
      </c>
      <c r="B7327" t="str">
        <f>"1551685779104660"</f>
        <v>1551685779104660</v>
      </c>
      <c r="C7327" t="s">
        <v>40</v>
      </c>
      <c r="D7327">
        <v>3.9178700000000002</v>
      </c>
      <c r="E7327">
        <v>0.42783589999999999</v>
      </c>
      <c r="F7327" t="s">
        <v>71</v>
      </c>
      <c r="G7327">
        <v>-157.3501</v>
      </c>
      <c r="H7327">
        <v>0.39442060000000001</v>
      </c>
      <c r="I7327">
        <v>-39.188850000000002</v>
      </c>
      <c r="J7327">
        <v>-240.01849999999999</v>
      </c>
      <c r="K7327">
        <v>1.1105750000000001</v>
      </c>
      <c r="L7327">
        <v>-63.352260000000001</v>
      </c>
      <c r="M7327">
        <v>0.99989669999999997</v>
      </c>
      <c r="N7327">
        <v>-1.146137E-2</v>
      </c>
      <c r="O7327">
        <v>-8.6801039999999993E-3</v>
      </c>
      <c r="P7327">
        <v>0.97716099999999995</v>
      </c>
      <c r="Q7327">
        <v>0.1836682</v>
      </c>
      <c r="R7327">
        <v>0.1068751</v>
      </c>
      <c r="S7327">
        <v>2.9808500000000002</v>
      </c>
      <c r="T7327">
        <v>-2.577436E-2</v>
      </c>
      <c r="U7327">
        <v>0.86956789999999995</v>
      </c>
      <c r="V7327">
        <v>-0.1152902</v>
      </c>
      <c r="W7327">
        <v>0.19488259999999999</v>
      </c>
      <c r="X7327">
        <v>0.97402719999999998</v>
      </c>
      <c r="Y7327">
        <v>-0.28834389999999999</v>
      </c>
      <c r="Z7327">
        <v>2.8835150000000001E-3</v>
      </c>
      <c r="AA7327">
        <v>0.9575226</v>
      </c>
      <c r="AB7327">
        <v>30</v>
      </c>
      <c r="AC7327">
        <v>82.668399999999906</v>
      </c>
      <c r="AD7327">
        <v>-0.71615439999999997</v>
      </c>
      <c r="AE7327">
        <v>24.163409999999999</v>
      </c>
      <c r="AF7327">
        <v>-24.878396883744301</v>
      </c>
      <c r="AG7327">
        <v>-0.71615439999999997</v>
      </c>
      <c r="AH7327">
        <v>82.449829969534207</v>
      </c>
      <c r="AI7327">
        <v>90.476439553293503</v>
      </c>
      <c r="AJ7327">
        <v>106.79065392963101</v>
      </c>
      <c r="AK7327">
        <v>86.124456286439596</v>
      </c>
      <c r="AL7327">
        <v>78.762134757739105</v>
      </c>
      <c r="AM7327">
        <v>96.750376132086899</v>
      </c>
      <c r="AN7327">
        <v>1.0000000221693099</v>
      </c>
    </row>
    <row r="7328" spans="1:40" x14ac:dyDescent="0.25">
      <c r="A7328" t="str">
        <f>"20190304154939122"</f>
        <v>20190304154939122</v>
      </c>
      <c r="B7328" t="str">
        <f>"1551685779114419"</f>
        <v>1551685779114419</v>
      </c>
      <c r="C7328" t="s">
        <v>40</v>
      </c>
      <c r="D7328">
        <v>3.9680569999999999</v>
      </c>
      <c r="E7328">
        <v>0.42700450000000001</v>
      </c>
      <c r="F7328" t="s">
        <v>71</v>
      </c>
      <c r="G7328">
        <v>-157.3501</v>
      </c>
      <c r="H7328">
        <v>0.4118986</v>
      </c>
      <c r="I7328">
        <v>-38.795529999999999</v>
      </c>
      <c r="J7328">
        <v>-239.86760000000001</v>
      </c>
      <c r="K7328">
        <v>1.110574</v>
      </c>
      <c r="L7328">
        <v>-63.353639999999999</v>
      </c>
      <c r="M7328">
        <v>0.99989600000000001</v>
      </c>
      <c r="N7328">
        <v>-1.146553E-2</v>
      </c>
      <c r="O7328">
        <v>-8.7485369999999903E-3</v>
      </c>
      <c r="P7328">
        <v>0.97704389999999997</v>
      </c>
      <c r="Q7328">
        <v>0.1836748</v>
      </c>
      <c r="R7328">
        <v>0.1079302</v>
      </c>
      <c r="S7328">
        <v>2.9780880000000001</v>
      </c>
      <c r="T7328">
        <v>-2.5170209999999998E-2</v>
      </c>
      <c r="U7328">
        <v>0.88464359999999997</v>
      </c>
      <c r="V7328">
        <v>-0.1164116</v>
      </c>
      <c r="W7328">
        <v>0.1948915</v>
      </c>
      <c r="X7328">
        <v>0.97389199999999998</v>
      </c>
      <c r="Y7328">
        <v>-0.29310520000000001</v>
      </c>
      <c r="Z7328">
        <v>2.902618E-3</v>
      </c>
      <c r="AA7328">
        <v>0.95607580000000003</v>
      </c>
      <c r="AB7328">
        <v>30</v>
      </c>
      <c r="AC7328">
        <v>82.517499999999998</v>
      </c>
      <c r="AD7328">
        <v>-0.69867539999999995</v>
      </c>
      <c r="AE7328">
        <v>24.558109999999999</v>
      </c>
      <c r="AF7328">
        <v>-25.277460216364499</v>
      </c>
      <c r="AG7328">
        <v>-0.69867539999999995</v>
      </c>
      <c r="AH7328">
        <v>82.294060416522498</v>
      </c>
      <c r="AI7328">
        <v>90.464988760710796</v>
      </c>
      <c r="AJ7328">
        <v>107.07487414081901</v>
      </c>
      <c r="AK7328">
        <v>86.091524101636793</v>
      </c>
      <c r="AL7328">
        <v>78.761614519078904</v>
      </c>
      <c r="AM7328">
        <v>96.816357978052807</v>
      </c>
      <c r="AN7328">
        <v>0.99999999252540495</v>
      </c>
    </row>
    <row r="7329" spans="1:40" x14ac:dyDescent="0.25">
      <c r="A7329" t="str">
        <f>"20190304154939132"</f>
        <v>20190304154939132</v>
      </c>
      <c r="B7329" t="str">
        <f>"1551685779124178"</f>
        <v>1551685779124178</v>
      </c>
      <c r="C7329" t="s">
        <v>40</v>
      </c>
      <c r="D7329">
        <v>3.9547430000000001</v>
      </c>
      <c r="E7329">
        <v>0.42647489999999999</v>
      </c>
      <c r="F7329" t="s">
        <v>71</v>
      </c>
      <c r="G7329">
        <v>-157.3501</v>
      </c>
      <c r="H7329">
        <v>0.46894649999999999</v>
      </c>
      <c r="I7329">
        <v>-38.554940000000002</v>
      </c>
      <c r="J7329">
        <v>-239.71770000000001</v>
      </c>
      <c r="K7329">
        <v>1.1105750000000001</v>
      </c>
      <c r="L7329">
        <v>-63.35501</v>
      </c>
      <c r="M7329">
        <v>0.99989550000000005</v>
      </c>
      <c r="N7329">
        <v>-1.146959E-2</v>
      </c>
      <c r="O7329">
        <v>-8.8164929999999999E-3</v>
      </c>
      <c r="P7329">
        <v>0.97694939999999997</v>
      </c>
      <c r="Q7329">
        <v>0.18353420000000001</v>
      </c>
      <c r="R7329">
        <v>0.1090202</v>
      </c>
      <c r="S7329">
        <v>2.9760439999999999</v>
      </c>
      <c r="T7329">
        <v>-2.314138E-2</v>
      </c>
      <c r="U7329">
        <v>0.89437869999999997</v>
      </c>
      <c r="V7329">
        <v>-0.1175674</v>
      </c>
      <c r="W7329">
        <v>0.1947535</v>
      </c>
      <c r="X7329">
        <v>0.9737808</v>
      </c>
      <c r="Y7329">
        <v>-0.29622120000000002</v>
      </c>
      <c r="Z7329">
        <v>2.8305740000000002E-3</v>
      </c>
      <c r="AA7329">
        <v>0.95511509999999999</v>
      </c>
      <c r="AB7329">
        <v>30</v>
      </c>
      <c r="AC7329">
        <v>82.367599999999996</v>
      </c>
      <c r="AD7329">
        <v>-0.64162850000000005</v>
      </c>
      <c r="AE7329">
        <v>24.800070000000002</v>
      </c>
      <c r="AF7329">
        <v>-25.523926940854299</v>
      </c>
      <c r="AG7329">
        <v>-0.64162850000000005</v>
      </c>
      <c r="AH7329">
        <v>82.141164161030304</v>
      </c>
      <c r="AI7329">
        <v>90.427387903302005</v>
      </c>
      <c r="AJ7329">
        <v>107.261716293018</v>
      </c>
      <c r="AK7329">
        <v>86.017750396900198</v>
      </c>
      <c r="AL7329">
        <v>78.7696762619384</v>
      </c>
      <c r="AM7329">
        <v>96.884166954357994</v>
      </c>
      <c r="AN7329">
        <v>1.0000000328768199</v>
      </c>
    </row>
    <row r="7330" spans="1:40" x14ac:dyDescent="0.25">
      <c r="A7330" t="str">
        <f>"20190304154939142"</f>
        <v>20190304154939142</v>
      </c>
      <c r="B7330" t="str">
        <f>"1551685779134915"</f>
        <v>1551685779134915</v>
      </c>
      <c r="C7330" t="s">
        <v>40</v>
      </c>
      <c r="D7330">
        <v>3.93675</v>
      </c>
      <c r="E7330">
        <v>0.42590250000000002</v>
      </c>
      <c r="F7330" t="s">
        <v>71</v>
      </c>
      <c r="G7330">
        <v>-157.3501</v>
      </c>
      <c r="H7330">
        <v>0.47603889999999999</v>
      </c>
      <c r="I7330">
        <v>-38.385330000000003</v>
      </c>
      <c r="J7330">
        <v>-239.5692</v>
      </c>
      <c r="K7330">
        <v>1.110576</v>
      </c>
      <c r="L7330">
        <v>-63.356349999999999</v>
      </c>
      <c r="M7330">
        <v>0.99989470000000003</v>
      </c>
      <c r="N7330">
        <v>-1.1473280000000001E-2</v>
      </c>
      <c r="O7330">
        <v>-8.880621E-3</v>
      </c>
      <c r="P7330">
        <v>0.97683359999999997</v>
      </c>
      <c r="Q7330">
        <v>0.18351500000000001</v>
      </c>
      <c r="R7330">
        <v>0.1100817</v>
      </c>
      <c r="S7330">
        <v>2.9744570000000001</v>
      </c>
      <c r="T7330">
        <v>-2.291501E-2</v>
      </c>
      <c r="U7330">
        <v>0.90170289999999997</v>
      </c>
      <c r="V7330">
        <v>-0.1186909</v>
      </c>
      <c r="W7330">
        <v>0.1947362</v>
      </c>
      <c r="X7330">
        <v>0.97364799999999996</v>
      </c>
      <c r="Y7330">
        <v>-0.2985775</v>
      </c>
      <c r="Z7330">
        <v>2.8427230000000001E-3</v>
      </c>
      <c r="AA7330">
        <v>0.95438120000000004</v>
      </c>
      <c r="AB7330">
        <v>30</v>
      </c>
      <c r="AC7330">
        <v>82.219099999999997</v>
      </c>
      <c r="AD7330">
        <v>-0.63453709999999997</v>
      </c>
      <c r="AE7330">
        <v>24.971019999999999</v>
      </c>
      <c r="AF7330">
        <v>-25.698838531933902</v>
      </c>
      <c r="AG7330">
        <v>-0.63453709999999997</v>
      </c>
      <c r="AH7330">
        <v>81.989613573685403</v>
      </c>
      <c r="AI7330">
        <v>90.423119802380995</v>
      </c>
      <c r="AJ7330">
        <v>107.403086831907</v>
      </c>
      <c r="AK7330">
        <v>85.925139936947204</v>
      </c>
      <c r="AL7330">
        <v>78.770687279314501</v>
      </c>
      <c r="AM7330">
        <v>96.9502518552884</v>
      </c>
      <c r="AN7330">
        <v>1.00000007261862</v>
      </c>
    </row>
    <row r="7331" spans="1:40" x14ac:dyDescent="0.25">
      <c r="A7331" t="str">
        <f>"20190304154939154"</f>
        <v>20190304154939154</v>
      </c>
      <c r="B7331" t="str">
        <f>"1551685779144676"</f>
        <v>1551685779144676</v>
      </c>
      <c r="C7331" t="s">
        <v>40</v>
      </c>
      <c r="D7331">
        <v>3.9322509999999999</v>
      </c>
      <c r="E7331">
        <v>0.42548589999999997</v>
      </c>
      <c r="F7331" t="s">
        <v>71</v>
      </c>
      <c r="G7331">
        <v>-157.3501</v>
      </c>
      <c r="H7331">
        <v>0.51295950000000001</v>
      </c>
      <c r="I7331">
        <v>-38.205379999999998</v>
      </c>
      <c r="J7331">
        <v>-239.4213</v>
      </c>
      <c r="K7331">
        <v>1.110582</v>
      </c>
      <c r="L7331">
        <v>-63.357759999999999</v>
      </c>
      <c r="M7331">
        <v>0.99989419999999996</v>
      </c>
      <c r="N7331">
        <v>-1.147687E-2</v>
      </c>
      <c r="O7331">
        <v>-8.943912E-3</v>
      </c>
      <c r="P7331">
        <v>0.97671589999999997</v>
      </c>
      <c r="Q7331">
        <v>0.1836612</v>
      </c>
      <c r="R7331">
        <v>0.1108817</v>
      </c>
      <c r="S7331">
        <v>2.9727329999999998</v>
      </c>
      <c r="T7331">
        <v>-2.1608229999999999E-2</v>
      </c>
      <c r="U7331">
        <v>0.90936280000000003</v>
      </c>
      <c r="V7331">
        <v>-0.1195527</v>
      </c>
      <c r="W7331">
        <v>0.194884</v>
      </c>
      <c r="X7331">
        <v>0.97351290000000001</v>
      </c>
      <c r="Y7331">
        <v>-0.30104249999999999</v>
      </c>
      <c r="Z7331">
        <v>2.799143E-3</v>
      </c>
      <c r="AA7331">
        <v>0.95360659999999997</v>
      </c>
      <c r="AB7331">
        <v>30</v>
      </c>
      <c r="AC7331">
        <v>82.071200000000005</v>
      </c>
      <c r="AD7331">
        <v>-0.59762249999999995</v>
      </c>
      <c r="AE7331">
        <v>25.152379999999901</v>
      </c>
      <c r="AF7331">
        <v>-25.8842050839752</v>
      </c>
      <c r="AG7331">
        <v>-0.59762249999999995</v>
      </c>
      <c r="AH7331">
        <v>81.838974595859597</v>
      </c>
      <c r="AI7331">
        <v>90.398913969792503</v>
      </c>
      <c r="AJ7331">
        <v>107.551232155017</v>
      </c>
      <c r="AK7331">
        <v>85.836862642943501</v>
      </c>
      <c r="AL7331">
        <v>78.762052654904593</v>
      </c>
      <c r="AM7331">
        <v>97.001179671646696</v>
      </c>
      <c r="AN7331">
        <v>0.99999999399984996</v>
      </c>
    </row>
    <row r="7332" spans="1:40" x14ac:dyDescent="0.25">
      <c r="A7332" t="str">
        <f>"20190304154939165"</f>
        <v>20190304154939165</v>
      </c>
      <c r="B7332" t="str">
        <f>"1551685779154436"</f>
        <v>1551685779154436</v>
      </c>
      <c r="C7332" t="s">
        <v>40</v>
      </c>
      <c r="D7332">
        <v>3.9661650000000002</v>
      </c>
      <c r="E7332">
        <v>0.42530639999999997</v>
      </c>
      <c r="F7332" t="s">
        <v>71</v>
      </c>
      <c r="G7332">
        <v>-165.59020000000001</v>
      </c>
      <c r="H7332">
        <v>0.60586739999999994</v>
      </c>
      <c r="I7332">
        <v>-40.619770000000003</v>
      </c>
      <c r="J7332">
        <v>-239.2664</v>
      </c>
      <c r="K7332">
        <v>1.110584</v>
      </c>
      <c r="L7332">
        <v>-63.359189999999998</v>
      </c>
      <c r="M7332">
        <v>0.99989349999999999</v>
      </c>
      <c r="N7332">
        <v>-1.148036E-2</v>
      </c>
      <c r="O7332">
        <v>-9.0077899999999999E-3</v>
      </c>
      <c r="P7332">
        <v>0.97660789999999997</v>
      </c>
      <c r="Q7332">
        <v>0.1838658</v>
      </c>
      <c r="R7332">
        <v>0.1114918</v>
      </c>
      <c r="S7332">
        <v>2.9714659999999999</v>
      </c>
      <c r="T7332">
        <v>-2.0313979999999999E-2</v>
      </c>
      <c r="U7332">
        <v>0.91513060000000002</v>
      </c>
      <c r="V7332">
        <v>-0.1202254</v>
      </c>
      <c r="W7332">
        <v>0.19509019999999999</v>
      </c>
      <c r="X7332">
        <v>0.9733887</v>
      </c>
      <c r="Y7332">
        <v>-0.3029095</v>
      </c>
      <c r="Z7332">
        <v>2.7493499999999998E-3</v>
      </c>
      <c r="AA7332">
        <v>0.95301530000000001</v>
      </c>
      <c r="AB7332">
        <v>30</v>
      </c>
      <c r="AC7332">
        <v>73.676199999999994</v>
      </c>
      <c r="AD7332">
        <v>-0.50471659999999996</v>
      </c>
      <c r="AE7332">
        <v>22.739419999999999</v>
      </c>
      <c r="AF7332">
        <v>-23.401198131787002</v>
      </c>
      <c r="AG7332">
        <v>-0.50471659999999996</v>
      </c>
      <c r="AH7332">
        <v>73.465217276091906</v>
      </c>
      <c r="AI7332">
        <v>90.3750568190612</v>
      </c>
      <c r="AJ7332">
        <v>107.66846608375999</v>
      </c>
      <c r="AK7332">
        <v>77.103884222993997</v>
      </c>
      <c r="AL7332">
        <v>78.750006525243194</v>
      </c>
      <c r="AM7332">
        <v>97.041069003992504</v>
      </c>
      <c r="AN7332">
        <v>0.99999994711444296</v>
      </c>
    </row>
    <row r="7333" spans="1:40" x14ac:dyDescent="0.25">
      <c r="A7333" t="str">
        <f>"20190304154939177"</f>
        <v>20190304154939177</v>
      </c>
      <c r="B7333" t="str">
        <f>"1551685779174931"</f>
        <v>1551685779174931</v>
      </c>
      <c r="C7333" t="s">
        <v>40</v>
      </c>
      <c r="D7333">
        <v>3.9552489999999998</v>
      </c>
      <c r="E7333">
        <v>0.4248072</v>
      </c>
      <c r="F7333" t="s">
        <v>71</v>
      </c>
      <c r="G7333">
        <v>-165.7072</v>
      </c>
      <c r="H7333">
        <v>0.625729599999999</v>
      </c>
      <c r="I7333">
        <v>-40.619770000000003</v>
      </c>
      <c r="J7333">
        <v>-239.1148</v>
      </c>
      <c r="K7333">
        <v>1.110587</v>
      </c>
      <c r="L7333">
        <v>-63.360599999999998</v>
      </c>
      <c r="M7333">
        <v>0.99989300000000003</v>
      </c>
      <c r="N7333">
        <v>-1.148362E-2</v>
      </c>
      <c r="O7333">
        <v>-9.068085E-3</v>
      </c>
      <c r="P7333">
        <v>0.97647360000000005</v>
      </c>
      <c r="Q7333">
        <v>0.18413979999999999</v>
      </c>
      <c r="R7333">
        <v>0.11221440000000001</v>
      </c>
      <c r="S7333">
        <v>2.9707029999999999</v>
      </c>
      <c r="T7333">
        <v>-1.9581790000000002E-2</v>
      </c>
      <c r="U7333">
        <v>0.91833500000000001</v>
      </c>
      <c r="V7333">
        <v>-0.12100669999999999</v>
      </c>
      <c r="W7333">
        <v>0.19536519999999999</v>
      </c>
      <c r="X7333">
        <v>0.97323669999999995</v>
      </c>
      <c r="Y7333">
        <v>-0.303975</v>
      </c>
      <c r="Z7333">
        <v>2.7209769999999999E-3</v>
      </c>
      <c r="AA7333">
        <v>0.95267610000000003</v>
      </c>
      <c r="AB7333">
        <v>30</v>
      </c>
      <c r="AC7333">
        <v>73.407600000000002</v>
      </c>
      <c r="AD7333">
        <v>-0.48485739999999999</v>
      </c>
      <c r="AE7333">
        <v>22.7408299999999</v>
      </c>
      <c r="AF7333">
        <v>-23.404673436015202</v>
      </c>
      <c r="AG7333">
        <v>-0.48485739999999999</v>
      </c>
      <c r="AH7333">
        <v>73.195438402114505</v>
      </c>
      <c r="AI7333">
        <v>90.361499783823206</v>
      </c>
      <c r="AJ7333">
        <v>107.731984061413</v>
      </c>
      <c r="AK7333">
        <v>76.847810822577102</v>
      </c>
      <c r="AL7333">
        <v>78.733940840012806</v>
      </c>
      <c r="AM7333">
        <v>97.087458051593003</v>
      </c>
      <c r="AN7333">
        <v>0.99999992852140696</v>
      </c>
    </row>
    <row r="7334" spans="1:40" x14ac:dyDescent="0.25">
      <c r="A7334" t="str">
        <f>"20190304154939188"</f>
        <v>20190304154939188</v>
      </c>
      <c r="B7334" t="str">
        <f>"1551685779174931"</f>
        <v>1551685779174931</v>
      </c>
      <c r="C7334" t="s">
        <v>40</v>
      </c>
      <c r="D7334">
        <v>3.9552489999999998</v>
      </c>
      <c r="E7334">
        <v>0.4248072</v>
      </c>
      <c r="F7334" t="s">
        <v>71</v>
      </c>
      <c r="G7334">
        <v>-166.05699999999999</v>
      </c>
      <c r="H7334">
        <v>0.67586610000000003</v>
      </c>
      <c r="I7334">
        <v>-40.619770000000003</v>
      </c>
      <c r="J7334">
        <v>-238.9588</v>
      </c>
      <c r="K7334">
        <v>1.1105910000000001</v>
      </c>
      <c r="L7334">
        <v>-63.362090000000002</v>
      </c>
      <c r="M7334">
        <v>0.99989260000000002</v>
      </c>
      <c r="N7334">
        <v>-1.148682E-2</v>
      </c>
      <c r="O7334">
        <v>-9.1278929999999998E-3</v>
      </c>
      <c r="P7334">
        <v>0.97641239999999996</v>
      </c>
      <c r="Q7334">
        <v>0.18419479999999999</v>
      </c>
      <c r="R7334">
        <v>0.11265650000000001</v>
      </c>
      <c r="S7334">
        <v>2.9693909999999999</v>
      </c>
      <c r="T7334">
        <v>-1.7669799999999999E-2</v>
      </c>
      <c r="U7334">
        <v>0.92428589999999999</v>
      </c>
      <c r="V7334">
        <v>-0.1215088</v>
      </c>
      <c r="W7334">
        <v>0.19542129999999999</v>
      </c>
      <c r="X7334">
        <v>0.97316290000000005</v>
      </c>
      <c r="Y7334">
        <v>-0.3058939</v>
      </c>
      <c r="Z7334">
        <v>2.6373600000000001E-3</v>
      </c>
      <c r="AA7334">
        <v>0.95206199999999996</v>
      </c>
      <c r="AB7334">
        <v>30</v>
      </c>
      <c r="AC7334">
        <v>72.901799999999895</v>
      </c>
      <c r="AD7334">
        <v>-0.43472489999999903</v>
      </c>
      <c r="AE7334">
        <v>22.742319999999999</v>
      </c>
      <c r="AF7334">
        <v>-23.406097516813801</v>
      </c>
      <c r="AG7334">
        <v>-0.43472489999999903</v>
      </c>
      <c r="AH7334">
        <v>72.688803870680204</v>
      </c>
      <c r="AI7334">
        <v>90.326168513171794</v>
      </c>
      <c r="AJ7334">
        <v>107.848774712039</v>
      </c>
      <c r="AK7334">
        <v>76.365545862355305</v>
      </c>
      <c r="AL7334">
        <v>78.730663635109394</v>
      </c>
      <c r="AM7334">
        <v>97.117099676705706</v>
      </c>
      <c r="AN7334">
        <v>0.99999995145376797</v>
      </c>
    </row>
    <row r="7335" spans="1:40" x14ac:dyDescent="0.25">
      <c r="A7335" t="str">
        <f>"20190304154939200"</f>
        <v>20190304154939200</v>
      </c>
      <c r="B7335" t="str">
        <f>"1551685779194452"</f>
        <v>1551685779194452</v>
      </c>
      <c r="C7335" t="s">
        <v>40</v>
      </c>
      <c r="D7335">
        <v>3.9552830000000001</v>
      </c>
      <c r="E7335">
        <v>0.4245254</v>
      </c>
      <c r="F7335" t="s">
        <v>71</v>
      </c>
      <c r="G7335">
        <v>-166.00640000000001</v>
      </c>
      <c r="H7335">
        <v>0.67890740000000005</v>
      </c>
      <c r="I7335">
        <v>-40.619770000000003</v>
      </c>
      <c r="J7335">
        <v>-238.8048</v>
      </c>
      <c r="K7335">
        <v>1.110595</v>
      </c>
      <c r="L7335">
        <v>-63.36356</v>
      </c>
      <c r="M7335">
        <v>0.999892</v>
      </c>
      <c r="N7335">
        <v>-1.1485799999999999E-2</v>
      </c>
      <c r="O7335">
        <v>-9.1822989999999997E-3</v>
      </c>
      <c r="P7335">
        <v>0.97635629999999995</v>
      </c>
      <c r="Q7335">
        <v>0.1842154</v>
      </c>
      <c r="R7335">
        <v>0.11310679999999999</v>
      </c>
      <c r="S7335">
        <v>2.9690249999999998</v>
      </c>
      <c r="T7335">
        <v>-1.7569540000000002E-2</v>
      </c>
      <c r="U7335">
        <v>0.92556760000000005</v>
      </c>
      <c r="V7335">
        <v>-0.1220132</v>
      </c>
      <c r="W7335">
        <v>0.1954391</v>
      </c>
      <c r="X7335">
        <v>0.97309630000000003</v>
      </c>
      <c r="Y7335">
        <v>-0.306353599999999</v>
      </c>
      <c r="Z7335">
        <v>2.6357749999999999E-3</v>
      </c>
      <c r="AA7335">
        <v>0.95191409999999999</v>
      </c>
      <c r="AB7335">
        <v>30</v>
      </c>
      <c r="AC7335">
        <v>72.798399999999901</v>
      </c>
      <c r="AD7335">
        <v>-0.4316876</v>
      </c>
      <c r="AE7335">
        <v>22.743790000000001</v>
      </c>
      <c r="AF7335">
        <v>-23.4105817264557</v>
      </c>
      <c r="AG7335">
        <v>-0.4316876</v>
      </c>
      <c r="AH7335">
        <v>72.584151155020194</v>
      </c>
      <c r="AI7335">
        <v>90.324306883605502</v>
      </c>
      <c r="AJ7335">
        <v>107.87607934512501</v>
      </c>
      <c r="AK7335">
        <v>76.267297643550194</v>
      </c>
      <c r="AL7335">
        <v>78.729624682633499</v>
      </c>
      <c r="AM7335">
        <v>97.146822963283299</v>
      </c>
      <c r="AN7335">
        <v>1.0000000359283601</v>
      </c>
    </row>
    <row r="7336" spans="1:40" x14ac:dyDescent="0.25">
      <c r="A7336" t="str">
        <f>"20190304154939211"</f>
        <v>20190304154939211</v>
      </c>
      <c r="B7336" t="str">
        <f>"1551685779204211"</f>
        <v>1551685779204211</v>
      </c>
      <c r="C7336" t="s">
        <v>40</v>
      </c>
      <c r="D7336">
        <v>3.9312429999999998</v>
      </c>
      <c r="E7336">
        <v>0.42427900000000002</v>
      </c>
      <c r="F7336" t="s">
        <v>71</v>
      </c>
      <c r="G7336">
        <v>-166.14250000000001</v>
      </c>
      <c r="H7336">
        <v>0.70699209999999901</v>
      </c>
      <c r="I7336">
        <v>-40.619770000000003</v>
      </c>
      <c r="J7336">
        <v>-238.65199999999999</v>
      </c>
      <c r="K7336">
        <v>1.110595</v>
      </c>
      <c r="L7336">
        <v>-63.365020000000001</v>
      </c>
      <c r="M7336">
        <v>0.99989150000000004</v>
      </c>
      <c r="N7336">
        <v>-1.148331E-2</v>
      </c>
      <c r="O7336">
        <v>-9.2345459999999997E-3</v>
      </c>
      <c r="P7336">
        <v>0.97625329999999999</v>
      </c>
      <c r="Q7336">
        <v>0.1844895</v>
      </c>
      <c r="R7336">
        <v>0.1135475</v>
      </c>
      <c r="S7336">
        <v>2.96814</v>
      </c>
      <c r="T7336">
        <v>-1.648736E-2</v>
      </c>
      <c r="U7336">
        <v>0.92904659999999994</v>
      </c>
      <c r="V7336">
        <v>-0.1225063</v>
      </c>
      <c r="W7336">
        <v>0.19570850000000001</v>
      </c>
      <c r="X7336">
        <v>0.97298010000000001</v>
      </c>
      <c r="Y7336">
        <v>-0.30750149999999998</v>
      </c>
      <c r="Z7336">
        <v>2.5875910000000002E-3</v>
      </c>
      <c r="AA7336">
        <v>0.9515441</v>
      </c>
      <c r="AB7336">
        <v>30</v>
      </c>
      <c r="AC7336">
        <v>72.509500000000003</v>
      </c>
      <c r="AD7336">
        <v>-0.40360289999999999</v>
      </c>
      <c r="AE7336">
        <v>22.745249999999899</v>
      </c>
      <c r="AF7336">
        <v>-23.4132560238696</v>
      </c>
      <c r="AG7336">
        <v>-0.40360289999999999</v>
      </c>
      <c r="AH7336">
        <v>72.294312731744995</v>
      </c>
      <c r="AI7336">
        <v>90.304305681423699</v>
      </c>
      <c r="AJ7336">
        <v>107.945078936057</v>
      </c>
      <c r="AK7336">
        <v>75.992177928359794</v>
      </c>
      <c r="AL7336">
        <v>78.713884190484293</v>
      </c>
      <c r="AM7336">
        <v>97.176253441933795</v>
      </c>
      <c r="AN7336">
        <v>0.99999994275397297</v>
      </c>
    </row>
    <row r="7337" spans="1:40" x14ac:dyDescent="0.25">
      <c r="A7337" t="str">
        <f>"20190304154939222"</f>
        <v>20190304154939222</v>
      </c>
      <c r="B7337" t="str">
        <f>"1551685779214948"</f>
        <v>1551685779214948</v>
      </c>
      <c r="C7337" t="s">
        <v>40</v>
      </c>
      <c r="D7337">
        <v>3.8656039999999998</v>
      </c>
      <c r="E7337">
        <v>0.42437320000000001</v>
      </c>
      <c r="F7337" t="s">
        <v>71</v>
      </c>
      <c r="G7337">
        <v>-166.25700000000001</v>
      </c>
      <c r="H7337">
        <v>0.75059219999999904</v>
      </c>
      <c r="I7337">
        <v>-40.619770000000003</v>
      </c>
      <c r="J7337">
        <v>-238.50309999999999</v>
      </c>
      <c r="K7337">
        <v>1.1105989999999999</v>
      </c>
      <c r="L7337">
        <v>-63.366419999999998</v>
      </c>
      <c r="M7337">
        <v>0.99989130000000004</v>
      </c>
      <c r="N7337">
        <v>-1.147695E-2</v>
      </c>
      <c r="O7337">
        <v>-9.2776860000000003E-3</v>
      </c>
      <c r="P7337">
        <v>0.97622569999999997</v>
      </c>
      <c r="Q7337">
        <v>0.1846014</v>
      </c>
      <c r="R7337">
        <v>0.11360389999999999</v>
      </c>
      <c r="S7337">
        <v>2.9673310000000002</v>
      </c>
      <c r="T7337">
        <v>-1.4756679999999999E-2</v>
      </c>
      <c r="U7337">
        <v>0.93228149999999999</v>
      </c>
      <c r="V7337">
        <v>-0.1226076</v>
      </c>
      <c r="W7337">
        <v>0.19581129999999999</v>
      </c>
      <c r="X7337">
        <v>0.97294669999999905</v>
      </c>
      <c r="Y7337">
        <v>-0.30856250000000002</v>
      </c>
      <c r="Z7337">
        <v>2.5027560000000001E-3</v>
      </c>
      <c r="AA7337">
        <v>0.95120079999999996</v>
      </c>
      <c r="AB7337">
        <v>30</v>
      </c>
      <c r="AC7337">
        <v>72.246099999999899</v>
      </c>
      <c r="AD7337">
        <v>-0.36000680000000002</v>
      </c>
      <c r="AE7337">
        <v>22.746649999999899</v>
      </c>
      <c r="AF7337">
        <v>-23.415462540549001</v>
      </c>
      <c r="AG7337">
        <v>-0.36000680000000002</v>
      </c>
      <c r="AH7337">
        <v>72.030312816453502</v>
      </c>
      <c r="AI7337">
        <v>90.2723333915269</v>
      </c>
      <c r="AJ7337">
        <v>108.00819824708501</v>
      </c>
      <c r="AK7337">
        <v>75.7415305847463</v>
      </c>
      <c r="AL7337">
        <v>78.7078784571966</v>
      </c>
      <c r="AM7337">
        <v>97.182369496486302</v>
      </c>
      <c r="AN7337">
        <v>0.99999998491316899</v>
      </c>
    </row>
    <row r="7338" spans="1:40" x14ac:dyDescent="0.25">
      <c r="A7338" t="str">
        <f>"20190304154939233"</f>
        <v>20190304154939233</v>
      </c>
      <c r="B7338" t="str">
        <f>"1551685779224707"</f>
        <v>1551685779224707</v>
      </c>
      <c r="C7338" t="s">
        <v>40</v>
      </c>
      <c r="D7338">
        <v>3.9763959999999998</v>
      </c>
      <c r="E7338">
        <v>0.42433539999999997</v>
      </c>
      <c r="F7338" t="s">
        <v>71</v>
      </c>
      <c r="G7338">
        <v>-166.04740000000001</v>
      </c>
      <c r="H7338">
        <v>0.69193169999999904</v>
      </c>
      <c r="I7338">
        <v>-40.619770000000003</v>
      </c>
      <c r="J7338">
        <v>-238.35230000000001</v>
      </c>
      <c r="K7338">
        <v>1.110608</v>
      </c>
      <c r="L7338">
        <v>-63.36786</v>
      </c>
      <c r="M7338">
        <v>0.99989079999999997</v>
      </c>
      <c r="N7338">
        <v>-1.147024E-2</v>
      </c>
      <c r="O7338">
        <v>-9.3192710000000005E-3</v>
      </c>
      <c r="P7338">
        <v>0.97622949999999997</v>
      </c>
      <c r="Q7338">
        <v>0.1843765</v>
      </c>
      <c r="R7338">
        <v>0.1139366</v>
      </c>
      <c r="S7338">
        <v>2.9678800000000001</v>
      </c>
      <c r="T7338">
        <v>-1.7150039999999998E-2</v>
      </c>
      <c r="U7338">
        <v>0.93173220000000001</v>
      </c>
      <c r="V7338">
        <v>-0.1229846</v>
      </c>
      <c r="W7338">
        <v>0.19557849999999999</v>
      </c>
      <c r="X7338">
        <v>0.97294599999999998</v>
      </c>
      <c r="Y7338">
        <v>-0.30838890000000002</v>
      </c>
      <c r="Z7338">
        <v>2.6286399999999998E-3</v>
      </c>
      <c r="AA7338">
        <v>0.95125680000000001</v>
      </c>
      <c r="AB7338">
        <v>30</v>
      </c>
      <c r="AC7338">
        <v>72.304900000000004</v>
      </c>
      <c r="AD7338">
        <v>-0.4186763</v>
      </c>
      <c r="AE7338">
        <v>22.748090000000001</v>
      </c>
      <c r="AF7338">
        <v>-23.4202607723612</v>
      </c>
      <c r="AG7338">
        <v>-0.4186763</v>
      </c>
      <c r="AH7338">
        <v>72.087550827917099</v>
      </c>
      <c r="AI7338">
        <v>90.316480462667201</v>
      </c>
      <c r="AJ7338">
        <v>107.998271473579</v>
      </c>
      <c r="AK7338">
        <v>75.797749893101198</v>
      </c>
      <c r="AL7338">
        <v>78.721480532983904</v>
      </c>
      <c r="AM7338">
        <v>97.204227648614506</v>
      </c>
      <c r="AN7338">
        <v>1.0000000402077001</v>
      </c>
    </row>
    <row r="7339" spans="1:40" x14ac:dyDescent="0.25">
      <c r="A7339" t="str">
        <f>"20190304154939245"</f>
        <v>20190304154939245</v>
      </c>
      <c r="B7339" t="str">
        <f>"1551685779234469"</f>
        <v>1551685779234469</v>
      </c>
      <c r="C7339" t="s">
        <v>40</v>
      </c>
      <c r="D7339">
        <v>4.0426799999999998</v>
      </c>
      <c r="E7339">
        <v>0.42440369999999999</v>
      </c>
      <c r="F7339" t="s">
        <v>71</v>
      </c>
      <c r="G7339">
        <v>-166.00569999999999</v>
      </c>
      <c r="H7339">
        <v>0.67531109999999905</v>
      </c>
      <c r="I7339">
        <v>-40.619770000000003</v>
      </c>
      <c r="J7339">
        <v>-238.18700000000001</v>
      </c>
      <c r="K7339">
        <v>1.1106149999999999</v>
      </c>
      <c r="L7339">
        <v>-63.369450000000001</v>
      </c>
      <c r="M7339">
        <v>0.99989059999999996</v>
      </c>
      <c r="N7339">
        <v>-1.1462109999999999E-2</v>
      </c>
      <c r="O7339">
        <v>-9.3553300000000002E-3</v>
      </c>
      <c r="P7339">
        <v>0.97630229999999996</v>
      </c>
      <c r="Q7339">
        <v>0.1838118</v>
      </c>
      <c r="R7339">
        <v>0.1142242</v>
      </c>
      <c r="S7339">
        <v>2.9674990000000001</v>
      </c>
      <c r="T7339">
        <v>-1.7855759999999998E-2</v>
      </c>
      <c r="U7339">
        <v>0.93307499999999999</v>
      </c>
      <c r="V7339">
        <v>-0.12331259999999999</v>
      </c>
      <c r="W7339">
        <v>0.1950037</v>
      </c>
      <c r="X7339">
        <v>0.97301979999999999</v>
      </c>
      <c r="Y7339">
        <v>-0.30884899999999998</v>
      </c>
      <c r="Z7339">
        <v>2.6694459999999998E-3</v>
      </c>
      <c r="AA7339">
        <v>0.95110729999999999</v>
      </c>
      <c r="AB7339">
        <v>30</v>
      </c>
      <c r="AC7339">
        <v>72.181299999999993</v>
      </c>
      <c r="AD7339">
        <v>-0.43530390000000002</v>
      </c>
      <c r="AE7339">
        <v>22.749680000000001</v>
      </c>
      <c r="AF7339">
        <v>-23.4232335903741</v>
      </c>
      <c r="AG7339">
        <v>-0.43530390000000002</v>
      </c>
      <c r="AH7339">
        <v>71.962915295298501</v>
      </c>
      <c r="AI7339">
        <v>90.329560453446007</v>
      </c>
      <c r="AJ7339">
        <v>108.02956825045899</v>
      </c>
      <c r="AK7339">
        <v>75.680238762261396</v>
      </c>
      <c r="AL7339">
        <v>78.755060101710598</v>
      </c>
      <c r="AM7339">
        <v>97.222696587664402</v>
      </c>
      <c r="AN7339">
        <v>0.99999998576224403</v>
      </c>
    </row>
    <row r="7340" spans="1:40" x14ac:dyDescent="0.25">
      <c r="A7340" t="str">
        <f>"20190304154939255"</f>
        <v>20190304154939255</v>
      </c>
      <c r="B7340" t="str">
        <f>"1551685779244227"</f>
        <v>1551685779244227</v>
      </c>
      <c r="C7340" t="s">
        <v>40</v>
      </c>
      <c r="D7340">
        <v>3.9629569999999998</v>
      </c>
      <c r="E7340">
        <v>0.42429420000000001</v>
      </c>
      <c r="F7340" t="s">
        <v>71</v>
      </c>
      <c r="G7340">
        <v>-165.8544</v>
      </c>
      <c r="H7340">
        <v>0.62384609999999996</v>
      </c>
      <c r="I7340">
        <v>-40.619770000000003</v>
      </c>
      <c r="J7340">
        <v>-238.05619999999999</v>
      </c>
      <c r="K7340">
        <v>1.1106180000000001</v>
      </c>
      <c r="L7340">
        <v>-63.370699999999999</v>
      </c>
      <c r="M7340">
        <v>0.99989050000000002</v>
      </c>
      <c r="N7340">
        <v>-1.145578E-2</v>
      </c>
      <c r="O7340">
        <v>-9.3802179999999992E-3</v>
      </c>
      <c r="P7340">
        <v>0.9762864</v>
      </c>
      <c r="Q7340">
        <v>0.18378630000000001</v>
      </c>
      <c r="R7340">
        <v>0.1144009</v>
      </c>
      <c r="S7340">
        <v>2.9673919999999998</v>
      </c>
      <c r="T7340">
        <v>-1.9970180000000001E-2</v>
      </c>
      <c r="U7340">
        <v>0.93328860000000002</v>
      </c>
      <c r="V7340">
        <v>-0.12351719999999999</v>
      </c>
      <c r="W7340">
        <v>0.19496910000000001</v>
      </c>
      <c r="X7340">
        <v>0.9730008</v>
      </c>
      <c r="Y7340">
        <v>-0.3089423</v>
      </c>
      <c r="Z7340">
        <v>2.7832439999999998E-3</v>
      </c>
      <c r="AA7340">
        <v>0.9510767</v>
      </c>
      <c r="AB7340">
        <v>30</v>
      </c>
      <c r="AC7340">
        <v>72.201799999999906</v>
      </c>
      <c r="AD7340">
        <v>-0.48677189999999998</v>
      </c>
      <c r="AE7340">
        <v>22.75093</v>
      </c>
      <c r="AF7340">
        <v>-23.426273322330101</v>
      </c>
      <c r="AG7340">
        <v>-0.48677189999999998</v>
      </c>
      <c r="AH7340">
        <v>71.982224145663594</v>
      </c>
      <c r="AI7340">
        <v>90.368430933053006</v>
      </c>
      <c r="AJ7340">
        <v>108.02723264362101</v>
      </c>
      <c r="AK7340">
        <v>75.699853511164093</v>
      </c>
      <c r="AL7340">
        <v>78.757081524505296</v>
      </c>
      <c r="AM7340">
        <v>97.234693378006895</v>
      </c>
      <c r="AN7340">
        <v>1.0000000027256399</v>
      </c>
    </row>
    <row r="7341" spans="1:40" x14ac:dyDescent="0.25">
      <c r="A7341" t="str">
        <f>"20190304154939265"</f>
        <v>20190304154939265</v>
      </c>
      <c r="B7341" t="str">
        <f>"1551685779254964"</f>
        <v>1551685779254964</v>
      </c>
      <c r="C7341" t="s">
        <v>40</v>
      </c>
      <c r="D7341">
        <v>4.032883</v>
      </c>
      <c r="E7341">
        <v>0.4243304</v>
      </c>
      <c r="F7341" t="s">
        <v>71</v>
      </c>
      <c r="G7341">
        <v>-165.82159999999999</v>
      </c>
      <c r="H7341">
        <v>0.62920569999999998</v>
      </c>
      <c r="I7341">
        <v>-40.619779999999999</v>
      </c>
      <c r="J7341">
        <v>-237.9059</v>
      </c>
      <c r="K7341">
        <v>1.110635</v>
      </c>
      <c r="L7341">
        <v>-63.372129999999999</v>
      </c>
      <c r="M7341">
        <v>0.99989030000000001</v>
      </c>
      <c r="N7341">
        <v>-1.1448699999999999E-2</v>
      </c>
      <c r="O7341">
        <v>-9.4022150000000002E-3</v>
      </c>
      <c r="P7341">
        <v>0.97630380000000005</v>
      </c>
      <c r="Q7341">
        <v>0.1835215</v>
      </c>
      <c r="R7341">
        <v>0.1146783</v>
      </c>
      <c r="S7341">
        <v>2.9670869999999998</v>
      </c>
      <c r="T7341">
        <v>-1.9775149999999998E-2</v>
      </c>
      <c r="U7341">
        <v>0.93450929999999999</v>
      </c>
      <c r="V7341">
        <v>-0.1238205</v>
      </c>
      <c r="W7341">
        <v>0.19469500000000001</v>
      </c>
      <c r="X7341">
        <v>0.97301720000000003</v>
      </c>
      <c r="Y7341">
        <v>-0.3093475</v>
      </c>
      <c r="Z7341">
        <v>2.775423E-3</v>
      </c>
      <c r="AA7341">
        <v>0.95094500000000004</v>
      </c>
      <c r="AB7341">
        <v>30</v>
      </c>
      <c r="AC7341">
        <v>72.084299999999999</v>
      </c>
      <c r="AD7341">
        <v>-0.4814293</v>
      </c>
      <c r="AE7341">
        <v>22.75235</v>
      </c>
      <c r="AF7341">
        <v>-23.428190315822501</v>
      </c>
      <c r="AG7341">
        <v>-0.4814293</v>
      </c>
      <c r="AH7341">
        <v>71.864261739752905</v>
      </c>
      <c r="AI7341">
        <v>90.364925136194202</v>
      </c>
      <c r="AJ7341">
        <v>108.05628624999299</v>
      </c>
      <c r="AK7341">
        <v>75.588252996381698</v>
      </c>
      <c r="AL7341">
        <v>78.773093846717998</v>
      </c>
      <c r="AM7341">
        <v>97.252148526553498</v>
      </c>
      <c r="AN7341">
        <v>1.0000000653705401</v>
      </c>
    </row>
    <row r="7342" spans="1:40" x14ac:dyDescent="0.25">
      <c r="A7342" t="str">
        <f>"20190304154939277"</f>
        <v>20190304154939277</v>
      </c>
      <c r="B7342" t="str">
        <f>"1551685779274807"</f>
        <v>1551685779274807</v>
      </c>
      <c r="C7342" t="s">
        <v>40</v>
      </c>
      <c r="D7342">
        <v>4.0125900000000003</v>
      </c>
      <c r="E7342">
        <v>0.42430079999999998</v>
      </c>
      <c r="F7342" t="s">
        <v>71</v>
      </c>
      <c r="G7342">
        <v>-165.70820000000001</v>
      </c>
      <c r="H7342">
        <v>0.59949869999999905</v>
      </c>
      <c r="I7342">
        <v>-40.619770000000003</v>
      </c>
      <c r="J7342">
        <v>-237.74870000000001</v>
      </c>
      <c r="K7342">
        <v>1.1106419999999999</v>
      </c>
      <c r="L7342">
        <v>-63.373629999999999</v>
      </c>
      <c r="M7342">
        <v>0.99989019999999995</v>
      </c>
      <c r="N7342">
        <v>-1.1441430000000001E-2</v>
      </c>
      <c r="O7342">
        <v>-9.4201560000000007E-3</v>
      </c>
      <c r="P7342">
        <v>0.97630490000000003</v>
      </c>
      <c r="Q7342">
        <v>0.18342349999999999</v>
      </c>
      <c r="R7342">
        <v>0.1148231</v>
      </c>
      <c r="S7342">
        <v>2.9669340000000002</v>
      </c>
      <c r="T7342">
        <v>-2.100575E-2</v>
      </c>
      <c r="U7342">
        <v>0.93499759999999998</v>
      </c>
      <c r="V7342">
        <v>-0.1239874</v>
      </c>
      <c r="W7342">
        <v>0.1945875</v>
      </c>
      <c r="X7342">
        <v>0.97301740000000003</v>
      </c>
      <c r="Y7342">
        <v>-0.3095194</v>
      </c>
      <c r="Z7342">
        <v>2.8423849999999998E-3</v>
      </c>
      <c r="AA7342">
        <v>0.95088890000000004</v>
      </c>
      <c r="AB7342">
        <v>30</v>
      </c>
      <c r="AC7342">
        <v>72.040499999999994</v>
      </c>
      <c r="AD7342">
        <v>-0.51114329999999997</v>
      </c>
      <c r="AE7342">
        <v>22.75386</v>
      </c>
      <c r="AF7342">
        <v>-23.430454873051801</v>
      </c>
      <c r="AG7342">
        <v>-0.51114329999999997</v>
      </c>
      <c r="AH7342">
        <v>71.819656574798799</v>
      </c>
      <c r="AI7342">
        <v>90.387661673434707</v>
      </c>
      <c r="AJ7342">
        <v>108.068404826727</v>
      </c>
      <c r="AK7342">
        <v>75.546744162493795</v>
      </c>
      <c r="AL7342">
        <v>78.779372673516804</v>
      </c>
      <c r="AM7342">
        <v>97.2618180781256</v>
      </c>
      <c r="AN7342">
        <v>1.00000001560888</v>
      </c>
    </row>
    <row r="7343" spans="1:40" x14ac:dyDescent="0.25">
      <c r="A7343" t="str">
        <f>"20190304154939287"</f>
        <v>20190304154939287</v>
      </c>
      <c r="B7343" t="str">
        <f>"1551685779284568"</f>
        <v>1551685779284568</v>
      </c>
      <c r="C7343" t="s">
        <v>40</v>
      </c>
      <c r="D7343">
        <v>4.0567029999999997</v>
      </c>
      <c r="E7343">
        <v>0.42429040000000001</v>
      </c>
      <c r="F7343" t="s">
        <v>71</v>
      </c>
      <c r="G7343">
        <v>-165.60650000000001</v>
      </c>
      <c r="H7343">
        <v>0.5879316</v>
      </c>
      <c r="I7343">
        <v>-40.619770000000003</v>
      </c>
      <c r="J7343">
        <v>-237.6104</v>
      </c>
      <c r="K7343">
        <v>1.110649</v>
      </c>
      <c r="L7343">
        <v>-63.374940000000002</v>
      </c>
      <c r="M7343">
        <v>0.99989019999999995</v>
      </c>
      <c r="N7343">
        <v>-1.143512E-2</v>
      </c>
      <c r="O7343">
        <v>-9.4324040000000001E-3</v>
      </c>
      <c r="P7343">
        <v>0.97633939999999997</v>
      </c>
      <c r="Q7343">
        <v>0.183111</v>
      </c>
      <c r="R7343">
        <v>0.1150296</v>
      </c>
      <c r="S7343">
        <v>2.9667819999999998</v>
      </c>
      <c r="T7343">
        <v>-2.1496769999999998E-2</v>
      </c>
      <c r="U7343">
        <v>0.93572999999999995</v>
      </c>
      <c r="V7343">
        <v>-0.1242098</v>
      </c>
      <c r="W7343">
        <v>0.19426660000000001</v>
      </c>
      <c r="X7343">
        <v>0.97305319999999995</v>
      </c>
      <c r="Y7343">
        <v>-0.30975799999999998</v>
      </c>
      <c r="Z7343">
        <v>2.8702490000000001E-3</v>
      </c>
      <c r="AA7343">
        <v>0.95081110000000002</v>
      </c>
      <c r="AB7343">
        <v>30</v>
      </c>
      <c r="AC7343">
        <v>72.003899999999902</v>
      </c>
      <c r="AD7343">
        <v>-0.5227174</v>
      </c>
      <c r="AE7343">
        <v>22.75517</v>
      </c>
      <c r="AF7343">
        <v>-23.432249036763402</v>
      </c>
      <c r="AG7343">
        <v>-0.5227174</v>
      </c>
      <c r="AH7343">
        <v>71.782606906768294</v>
      </c>
      <c r="AI7343">
        <v>90.3966214238784</v>
      </c>
      <c r="AJ7343">
        <v>108.078418244186</v>
      </c>
      <c r="AK7343">
        <v>75.512159171439194</v>
      </c>
      <c r="AL7343">
        <v>78.798117062109498</v>
      </c>
      <c r="AM7343">
        <v>97.274439627726906</v>
      </c>
      <c r="AN7343">
        <v>1.0000000581609101</v>
      </c>
    </row>
    <row r="7344" spans="1:40" x14ac:dyDescent="0.25">
      <c r="A7344" t="str">
        <f>"20190304154939300"</f>
        <v>20190304154939300</v>
      </c>
      <c r="B7344" t="str">
        <f>"1551685779294330"</f>
        <v>1551685779294330</v>
      </c>
      <c r="C7344" t="s">
        <v>40</v>
      </c>
      <c r="D7344">
        <v>4.0025680000000001</v>
      </c>
      <c r="E7344">
        <v>0.4241897</v>
      </c>
      <c r="F7344" t="s">
        <v>71</v>
      </c>
      <c r="G7344">
        <v>-157.3501</v>
      </c>
      <c r="H7344">
        <v>0.4994383</v>
      </c>
      <c r="I7344">
        <v>-38.04034</v>
      </c>
      <c r="J7344">
        <v>-237.44730000000001</v>
      </c>
      <c r="K7344">
        <v>1.110657</v>
      </c>
      <c r="L7344">
        <v>-63.3765</v>
      </c>
      <c r="M7344">
        <v>0.9998901</v>
      </c>
      <c r="N7344">
        <v>-1.142778E-2</v>
      </c>
      <c r="O7344">
        <v>-9.4414270000000005E-3</v>
      </c>
      <c r="P7344">
        <v>0.97630240000000001</v>
      </c>
      <c r="Q7344">
        <v>0.18310570000000001</v>
      </c>
      <c r="R7344">
        <v>0.11535189999999999</v>
      </c>
      <c r="S7344">
        <v>2.9666290000000002</v>
      </c>
      <c r="T7344">
        <v>-2.2592660000000001E-2</v>
      </c>
      <c r="U7344">
        <v>0.93643189999999998</v>
      </c>
      <c r="V7344">
        <v>-0.12454469999999999</v>
      </c>
      <c r="W7344">
        <v>0.19425120000000001</v>
      </c>
      <c r="X7344">
        <v>0.97301340000000003</v>
      </c>
      <c r="Y7344">
        <v>-0.30998369999999997</v>
      </c>
      <c r="Z7344">
        <v>2.9306240000000002E-3</v>
      </c>
      <c r="AA7344">
        <v>0.95073739999999995</v>
      </c>
      <c r="AB7344">
        <v>30</v>
      </c>
      <c r="AC7344">
        <v>80.097200000000001</v>
      </c>
      <c r="AD7344">
        <v>-0.6112187</v>
      </c>
      <c r="AE7344">
        <v>25.33616</v>
      </c>
      <c r="AF7344">
        <v>-26.089930786928601</v>
      </c>
      <c r="AG7344">
        <v>-0.6112187</v>
      </c>
      <c r="AH7344">
        <v>79.850177492877194</v>
      </c>
      <c r="AI7344">
        <v>90.416878681723801</v>
      </c>
      <c r="AJ7344">
        <v>108.094080836687</v>
      </c>
      <c r="AK7344">
        <v>84.006600469307998</v>
      </c>
      <c r="AL7344">
        <v>78.799015821729299</v>
      </c>
      <c r="AM7344">
        <v>97.294137492246605</v>
      </c>
      <c r="AN7344">
        <v>0.99999999378954496</v>
      </c>
    </row>
    <row r="7345" spans="1:40" x14ac:dyDescent="0.25">
      <c r="A7345" t="str">
        <f>"20190304154939310"</f>
        <v>20190304154939310</v>
      </c>
      <c r="B7345" t="str">
        <f>"1551685779305066"</f>
        <v>1551685779305066</v>
      </c>
      <c r="C7345" t="s">
        <v>40</v>
      </c>
      <c r="D7345">
        <v>3.8766020000000001</v>
      </c>
      <c r="E7345">
        <v>0.42410310000000001</v>
      </c>
      <c r="F7345" t="s">
        <v>71</v>
      </c>
      <c r="G7345">
        <v>-157.3501</v>
      </c>
      <c r="H7345">
        <v>0.50979419999999998</v>
      </c>
      <c r="I7345">
        <v>-38.037990000000001</v>
      </c>
      <c r="J7345">
        <v>-237.2971</v>
      </c>
      <c r="K7345">
        <v>1.1106640000000001</v>
      </c>
      <c r="L7345">
        <v>-63.377960000000002</v>
      </c>
      <c r="M7345">
        <v>0.9998901</v>
      </c>
      <c r="N7345">
        <v>-1.142107E-2</v>
      </c>
      <c r="O7345">
        <v>-9.4478489999999995E-3</v>
      </c>
      <c r="P7345">
        <v>0.97634869999999996</v>
      </c>
      <c r="Q7345">
        <v>0.1828437</v>
      </c>
      <c r="R7345">
        <v>0.1153747</v>
      </c>
      <c r="S7345">
        <v>2.9661249999999999</v>
      </c>
      <c r="T7345">
        <v>-2.2251610000000002E-2</v>
      </c>
      <c r="U7345">
        <v>0.93832400000000005</v>
      </c>
      <c r="V7345">
        <v>-0.12457749999999999</v>
      </c>
      <c r="W7345">
        <v>0.1939813</v>
      </c>
      <c r="X7345">
        <v>0.97306309999999996</v>
      </c>
      <c r="Y7345">
        <v>-0.31058799999999998</v>
      </c>
      <c r="Z7345">
        <v>2.9171539999999999E-3</v>
      </c>
      <c r="AA7345">
        <v>0.95054019999999995</v>
      </c>
      <c r="AB7345">
        <v>30</v>
      </c>
      <c r="AC7345">
        <v>79.947000000000003</v>
      </c>
      <c r="AD7345">
        <v>-0.60086979999999901</v>
      </c>
      <c r="AE7345">
        <v>25.339969999999902</v>
      </c>
      <c r="AF7345">
        <v>-26.092875987820399</v>
      </c>
      <c r="AG7345">
        <v>-0.60086979999999901</v>
      </c>
      <c r="AH7345">
        <v>79.699916423084602</v>
      </c>
      <c r="AI7345">
        <v>90.410513929177299</v>
      </c>
      <c r="AJ7345">
        <v>108.12787749902699</v>
      </c>
      <c r="AK7345">
        <v>83.864628417939102</v>
      </c>
      <c r="AL7345">
        <v>78.814780414496695</v>
      </c>
      <c r="AM7345">
        <v>97.2956691384462</v>
      </c>
      <c r="AN7345">
        <v>1.00000004741877</v>
      </c>
    </row>
    <row r="7346" spans="1:40" x14ac:dyDescent="0.25">
      <c r="A7346" t="str">
        <f>"20190304154939322"</f>
        <v>20190304154939322</v>
      </c>
      <c r="B7346" t="str">
        <f>"1551685779314823"</f>
        <v>1551685779314823</v>
      </c>
      <c r="C7346" t="s">
        <v>40</v>
      </c>
      <c r="D7346">
        <v>4.0766410000000004</v>
      </c>
      <c r="E7346">
        <v>0.42405159999999997</v>
      </c>
      <c r="F7346" t="s">
        <v>71</v>
      </c>
      <c r="G7346">
        <v>-157.3501</v>
      </c>
      <c r="H7346">
        <v>0.57941339999999997</v>
      </c>
      <c r="I7346">
        <v>-38.054810000000003</v>
      </c>
      <c r="J7346">
        <v>-237.14510000000001</v>
      </c>
      <c r="K7346">
        <v>1.1106659999999999</v>
      </c>
      <c r="L7346">
        <v>-63.379359999999998</v>
      </c>
      <c r="M7346">
        <v>0.99989030000000001</v>
      </c>
      <c r="N7346">
        <v>-1.141468E-2</v>
      </c>
      <c r="O7346">
        <v>-9.4494139999999997E-3</v>
      </c>
      <c r="P7346">
        <v>0.97635499999999997</v>
      </c>
      <c r="Q7346">
        <v>0.18276429999999999</v>
      </c>
      <c r="R7346">
        <v>0.1154477</v>
      </c>
      <c r="S7346">
        <v>2.965347</v>
      </c>
      <c r="T7346">
        <v>-1.9705529999999999E-2</v>
      </c>
      <c r="U7346">
        <v>0.93927000000000005</v>
      </c>
      <c r="V7346">
        <v>-0.1246539</v>
      </c>
      <c r="W7346">
        <v>0.19389380000000001</v>
      </c>
      <c r="X7346">
        <v>0.97307069999999996</v>
      </c>
      <c r="Y7346">
        <v>-0.31093989999999999</v>
      </c>
      <c r="Z7346">
        <v>2.7816669999999998E-3</v>
      </c>
      <c r="AA7346">
        <v>0.95042550000000003</v>
      </c>
      <c r="AB7346">
        <v>30</v>
      </c>
      <c r="AC7346">
        <v>79.795000000000002</v>
      </c>
      <c r="AD7346">
        <v>-0.53125259999999996</v>
      </c>
      <c r="AE7346">
        <v>25.324549999999999</v>
      </c>
      <c r="AF7346">
        <v>-26.076434161679899</v>
      </c>
      <c r="AG7346">
        <v>-0.53125259999999996</v>
      </c>
      <c r="AH7346">
        <v>79.548915860353702</v>
      </c>
      <c r="AI7346">
        <v>90.363597175749604</v>
      </c>
      <c r="AJ7346">
        <v>108.14933858568401</v>
      </c>
      <c r="AK7346">
        <v>83.715546121798994</v>
      </c>
      <c r="AL7346">
        <v>78.819890214942703</v>
      </c>
      <c r="AM7346">
        <v>97.300038723128395</v>
      </c>
      <c r="AN7346">
        <v>0.99999999383106997</v>
      </c>
    </row>
    <row r="7347" spans="1:40" x14ac:dyDescent="0.25">
      <c r="A7347" t="str">
        <f>"20190304154939333"</f>
        <v>20190304154939333</v>
      </c>
      <c r="B7347" t="str">
        <f>"1551685779324584"</f>
        <v>1551685779324584</v>
      </c>
      <c r="C7347" t="s">
        <v>40</v>
      </c>
      <c r="D7347">
        <v>4.041544</v>
      </c>
      <c r="E7347">
        <v>0.42397770000000001</v>
      </c>
      <c r="F7347" t="s">
        <v>71</v>
      </c>
      <c r="G7347">
        <v>-157.3501</v>
      </c>
      <c r="H7347">
        <v>0.59798909999999905</v>
      </c>
      <c r="I7347">
        <v>-38.084069999999997</v>
      </c>
      <c r="J7347">
        <v>-236.9924</v>
      </c>
      <c r="K7347">
        <v>1.1106689999999999</v>
      </c>
      <c r="L7347">
        <v>-63.380800000000001</v>
      </c>
      <c r="M7347">
        <v>0.99989039999999996</v>
      </c>
      <c r="N7347">
        <v>-1.1408369999999999E-2</v>
      </c>
      <c r="O7347">
        <v>-9.4499100000000006E-3</v>
      </c>
      <c r="P7347">
        <v>0.97635910000000004</v>
      </c>
      <c r="Q7347">
        <v>0.18271560000000001</v>
      </c>
      <c r="R7347">
        <v>0.11549039999999999</v>
      </c>
      <c r="S7347">
        <v>2.9650880000000002</v>
      </c>
      <c r="T7347">
        <v>-1.9051189999999999E-2</v>
      </c>
      <c r="U7347">
        <v>0.93994140000000004</v>
      </c>
      <c r="V7347">
        <v>-0.1246994</v>
      </c>
      <c r="W7347">
        <v>0.19383810000000001</v>
      </c>
      <c r="X7347">
        <v>0.97307600000000005</v>
      </c>
      <c r="Y7347">
        <v>-0.31116070000000001</v>
      </c>
      <c r="Z7347">
        <v>2.7472960000000002E-3</v>
      </c>
      <c r="AA7347">
        <v>0.95035329999999996</v>
      </c>
      <c r="AB7347">
        <v>30</v>
      </c>
      <c r="AC7347">
        <v>79.642300000000006</v>
      </c>
      <c r="AD7347">
        <v>-0.51267989999999997</v>
      </c>
      <c r="AE7347">
        <v>25.29673</v>
      </c>
      <c r="AF7347">
        <v>-26.047281321307299</v>
      </c>
      <c r="AG7347">
        <v>-0.51267989999999997</v>
      </c>
      <c r="AH7347">
        <v>79.396687475430198</v>
      </c>
      <c r="AI7347">
        <v>90.351531608902306</v>
      </c>
      <c r="AJ7347">
        <v>108.162857468748</v>
      </c>
      <c r="AK7347">
        <v>83.561699880880397</v>
      </c>
      <c r="AL7347">
        <v>78.823143666815696</v>
      </c>
      <c r="AM7347">
        <v>97.302635210541098</v>
      </c>
      <c r="AN7347">
        <v>1.00000002557398</v>
      </c>
    </row>
    <row r="7348" spans="1:40" x14ac:dyDescent="0.25">
      <c r="A7348" t="str">
        <f>"20190304154939344"</f>
        <v>20190304154939344</v>
      </c>
      <c r="B7348" t="str">
        <f>"1551685779334344"</f>
        <v>1551685779334344</v>
      </c>
      <c r="C7348" t="s">
        <v>40</v>
      </c>
      <c r="D7348">
        <v>4.0524889999999996</v>
      </c>
      <c r="E7348">
        <v>0.42392600000000003</v>
      </c>
      <c r="F7348" t="s">
        <v>71</v>
      </c>
      <c r="G7348">
        <v>-157.3501</v>
      </c>
      <c r="H7348">
        <v>0.63992879999999996</v>
      </c>
      <c r="I7348">
        <v>-38.103679999999997</v>
      </c>
      <c r="J7348">
        <v>-236.84700000000001</v>
      </c>
      <c r="K7348">
        <v>1.11067</v>
      </c>
      <c r="L7348">
        <v>-63.382199999999997</v>
      </c>
      <c r="M7348">
        <v>0.99989039999999996</v>
      </c>
      <c r="N7348">
        <v>-1.140276E-2</v>
      </c>
      <c r="O7348">
        <v>-9.446734E-3</v>
      </c>
      <c r="P7348">
        <v>0.97635369999999999</v>
      </c>
      <c r="Q7348">
        <v>0.1825</v>
      </c>
      <c r="R7348">
        <v>0.11587699999999999</v>
      </c>
      <c r="S7348">
        <v>2.9646150000000002</v>
      </c>
      <c r="T7348">
        <v>-1.7523650000000002E-2</v>
      </c>
      <c r="U7348">
        <v>0.94091800000000003</v>
      </c>
      <c r="V7348">
        <v>-0.12508449999999999</v>
      </c>
      <c r="W7348">
        <v>0.19361590000000001</v>
      </c>
      <c r="X7348">
        <v>0.97307080000000001</v>
      </c>
      <c r="Y7348">
        <v>-0.31148749999999997</v>
      </c>
      <c r="Z7348">
        <v>2.666533E-3</v>
      </c>
      <c r="AA7348">
        <v>0.95024649999999999</v>
      </c>
      <c r="AB7348">
        <v>30</v>
      </c>
      <c r="AC7348">
        <v>79.496899999999997</v>
      </c>
      <c r="AD7348">
        <v>-0.47074120000000003</v>
      </c>
      <c r="AE7348">
        <v>25.27852</v>
      </c>
      <c r="AF7348">
        <v>-26.027597925737599</v>
      </c>
      <c r="AG7348">
        <v>-0.47074120000000003</v>
      </c>
      <c r="AH7348">
        <v>79.252013575875495</v>
      </c>
      <c r="AI7348">
        <v>90.323331570264003</v>
      </c>
      <c r="AJ7348">
        <v>108.18098719965</v>
      </c>
      <c r="AK7348">
        <v>83.4178584410556</v>
      </c>
      <c r="AL7348">
        <v>78.8361205154239</v>
      </c>
      <c r="AM7348">
        <v>97.324981562388302</v>
      </c>
      <c r="AN7348">
        <v>1.0000000153428401</v>
      </c>
    </row>
    <row r="7349" spans="1:40" x14ac:dyDescent="0.25">
      <c r="A7349" t="str">
        <f>"20190304154939354"</f>
        <v>20190304154939354</v>
      </c>
      <c r="B7349" t="str">
        <f>"1551685779344104"</f>
        <v>1551685779344104</v>
      </c>
      <c r="C7349" t="s">
        <v>40</v>
      </c>
      <c r="D7349">
        <v>4.0332540000000003</v>
      </c>
      <c r="E7349">
        <v>0.42388019999999998</v>
      </c>
      <c r="F7349" t="s">
        <v>71</v>
      </c>
      <c r="G7349">
        <v>-157.3501</v>
      </c>
      <c r="H7349">
        <v>0.66202740000000004</v>
      </c>
      <c r="I7349">
        <v>-38.101869999999998</v>
      </c>
      <c r="J7349">
        <v>-236.6985</v>
      </c>
      <c r="K7349">
        <v>1.110668</v>
      </c>
      <c r="L7349">
        <v>-63.383609999999997</v>
      </c>
      <c r="M7349">
        <v>0.99989050000000002</v>
      </c>
      <c r="N7349">
        <v>-1.139722E-2</v>
      </c>
      <c r="O7349">
        <v>-9.4422470000000008E-3</v>
      </c>
      <c r="P7349">
        <v>0.97641489999999997</v>
      </c>
      <c r="Q7349">
        <v>0.1822444</v>
      </c>
      <c r="R7349">
        <v>0.11576350000000001</v>
      </c>
      <c r="S7349">
        <v>2.9639129999999998</v>
      </c>
      <c r="T7349">
        <v>-1.672769E-2</v>
      </c>
      <c r="U7349">
        <v>0.94253540000000002</v>
      </c>
      <c r="V7349">
        <v>-0.1249686</v>
      </c>
      <c r="W7349">
        <v>0.1933549</v>
      </c>
      <c r="X7349">
        <v>0.97313760000000005</v>
      </c>
      <c r="Y7349">
        <v>-0.31201990000000002</v>
      </c>
      <c r="Z7349">
        <v>2.6273109999999998E-3</v>
      </c>
      <c r="AA7349">
        <v>0.95007189999999997</v>
      </c>
      <c r="AB7349">
        <v>30</v>
      </c>
      <c r="AC7349">
        <v>79.348399999999998</v>
      </c>
      <c r="AD7349">
        <v>-0.4486406</v>
      </c>
      <c r="AE7349">
        <v>25.281739999999999</v>
      </c>
      <c r="AF7349">
        <v>-26.029133230562401</v>
      </c>
      <c r="AG7349">
        <v>-0.4486406</v>
      </c>
      <c r="AH7349">
        <v>79.103834572043397</v>
      </c>
      <c r="AI7349">
        <v>90.3086710412245</v>
      </c>
      <c r="AJ7349">
        <v>108.213801261846</v>
      </c>
      <c r="AK7349">
        <v>83.277450123809302</v>
      </c>
      <c r="AL7349">
        <v>78.851362891570204</v>
      </c>
      <c r="AM7349">
        <v>97.317771129993204</v>
      </c>
      <c r="AN7349">
        <v>1.00000002843686</v>
      </c>
    </row>
    <row r="7350" spans="1:40" x14ac:dyDescent="0.25">
      <c r="A7350" t="str">
        <f>"20190304154939366"</f>
        <v>20190304154939366</v>
      </c>
      <c r="B7350" t="str">
        <f>"1551685779354840"</f>
        <v>1551685779354840</v>
      </c>
      <c r="C7350" t="s">
        <v>40</v>
      </c>
      <c r="D7350">
        <v>4.0331989999999998</v>
      </c>
      <c r="E7350">
        <v>0.42383419999999999</v>
      </c>
      <c r="F7350" t="s">
        <v>71</v>
      </c>
      <c r="G7350">
        <v>-157.3501</v>
      </c>
      <c r="H7350">
        <v>0.64034559999999996</v>
      </c>
      <c r="I7350">
        <v>-38.148820000000001</v>
      </c>
      <c r="J7350">
        <v>-236.5419</v>
      </c>
      <c r="K7350">
        <v>1.1106720000000001</v>
      </c>
      <c r="L7350">
        <v>-63.385069999999899</v>
      </c>
      <c r="M7350">
        <v>0.99989070000000002</v>
      </c>
      <c r="N7350">
        <v>-1.139182E-2</v>
      </c>
      <c r="O7350">
        <v>-9.4350189999999994E-3</v>
      </c>
      <c r="P7350">
        <v>0.9764351</v>
      </c>
      <c r="Q7350">
        <v>0.1820013</v>
      </c>
      <c r="R7350">
        <v>0.1159758</v>
      </c>
      <c r="S7350">
        <v>2.9640049999999998</v>
      </c>
      <c r="T7350">
        <v>-1.75693E-2</v>
      </c>
      <c r="U7350">
        <v>0.94262699999999999</v>
      </c>
      <c r="V7350">
        <v>-0.1251758</v>
      </c>
      <c r="W7350">
        <v>0.19310550000000001</v>
      </c>
      <c r="X7350">
        <v>0.97316040000000004</v>
      </c>
      <c r="Y7350">
        <v>-0.31203029999999998</v>
      </c>
      <c r="Z7350">
        <v>2.6724510000000002E-3</v>
      </c>
      <c r="AA7350">
        <v>0.95006840000000004</v>
      </c>
      <c r="AB7350">
        <v>30</v>
      </c>
      <c r="AC7350">
        <v>79.191800000000001</v>
      </c>
      <c r="AD7350">
        <v>-0.47032639999999898</v>
      </c>
      <c r="AE7350">
        <v>25.236249999999899</v>
      </c>
      <c r="AF7350">
        <v>-25.9815191657732</v>
      </c>
      <c r="AG7350">
        <v>-0.47032639999999898</v>
      </c>
      <c r="AH7350">
        <v>78.947626756887203</v>
      </c>
      <c r="AI7350">
        <v>90.324226501393298</v>
      </c>
      <c r="AJ7350">
        <v>108.216280555361</v>
      </c>
      <c r="AK7350">
        <v>83.114308729777406</v>
      </c>
      <c r="AL7350">
        <v>78.865925938740901</v>
      </c>
      <c r="AM7350">
        <v>97.329602417810406</v>
      </c>
      <c r="AN7350">
        <v>0.99999993958202305</v>
      </c>
    </row>
    <row r="7351" spans="1:40" x14ac:dyDescent="0.25">
      <c r="A7351" t="str">
        <f>"20190304154939378"</f>
        <v>20190304154939378</v>
      </c>
      <c r="B7351" t="str">
        <f>"1551685779374359"</f>
        <v>1551685779374359</v>
      </c>
      <c r="C7351" t="s">
        <v>40</v>
      </c>
      <c r="D7351">
        <v>4.0344579999999999</v>
      </c>
      <c r="E7351">
        <v>0.42366500000000001</v>
      </c>
      <c r="F7351" t="s">
        <v>71</v>
      </c>
      <c r="G7351">
        <v>-157.3501</v>
      </c>
      <c r="H7351">
        <v>0.6059561</v>
      </c>
      <c r="I7351">
        <v>-38.175809999999998</v>
      </c>
      <c r="J7351">
        <v>-236.38730000000001</v>
      </c>
      <c r="K7351">
        <v>1.110676</v>
      </c>
      <c r="L7351">
        <v>-63.386539999999997</v>
      </c>
      <c r="M7351">
        <v>0.99989070000000002</v>
      </c>
      <c r="N7351">
        <v>-1.1386769999999999E-2</v>
      </c>
      <c r="O7351">
        <v>-9.4248040000000002E-3</v>
      </c>
      <c r="P7351">
        <v>0.97642549999999995</v>
      </c>
      <c r="Q7351">
        <v>0.18201110000000001</v>
      </c>
      <c r="R7351">
        <v>0.11603810000000001</v>
      </c>
      <c r="S7351">
        <v>2.9638369999999998</v>
      </c>
      <c r="T7351">
        <v>-1.8890259999999999E-2</v>
      </c>
      <c r="U7351">
        <v>0.94348140000000003</v>
      </c>
      <c r="V7351">
        <v>-0.1252296</v>
      </c>
      <c r="W7351">
        <v>0.19310920000000001</v>
      </c>
      <c r="X7351">
        <v>0.97315280000000004</v>
      </c>
      <c r="Y7351">
        <v>-0.31228339999999999</v>
      </c>
      <c r="Z7351">
        <v>2.7460620000000001E-3</v>
      </c>
      <c r="AA7351">
        <v>0.94998499999999997</v>
      </c>
      <c r="AB7351">
        <v>30</v>
      </c>
      <c r="AC7351">
        <v>79.037199999999999</v>
      </c>
      <c r="AD7351">
        <v>-0.5047199</v>
      </c>
      <c r="AE7351">
        <v>25.210730000000002</v>
      </c>
      <c r="AF7351">
        <v>-25.953607960272802</v>
      </c>
      <c r="AG7351">
        <v>-0.5047199</v>
      </c>
      <c r="AH7351">
        <v>78.793151153812502</v>
      </c>
      <c r="AI7351">
        <v>90.348587598191997</v>
      </c>
      <c r="AJ7351">
        <v>108.23132144681399</v>
      </c>
      <c r="AK7351">
        <v>82.959057233556706</v>
      </c>
      <c r="AL7351">
        <v>78.8657104911467</v>
      </c>
      <c r="AM7351">
        <v>97.332775012570494</v>
      </c>
      <c r="AN7351">
        <v>0.99999999399432005</v>
      </c>
    </row>
    <row r="7352" spans="1:40" x14ac:dyDescent="0.25">
      <c r="A7352" t="str">
        <f>"20190304154939389"</f>
        <v>20190304154939389</v>
      </c>
      <c r="B7352" t="str">
        <f>"1551685779384119"</f>
        <v>1551685779384119</v>
      </c>
      <c r="C7352" t="s">
        <v>40</v>
      </c>
      <c r="D7352">
        <v>4.0925739999999999</v>
      </c>
      <c r="E7352">
        <v>0.42359960000000002</v>
      </c>
      <c r="F7352" t="s">
        <v>71</v>
      </c>
      <c r="G7352">
        <v>-157.3501</v>
      </c>
      <c r="H7352">
        <v>0.60529419999999901</v>
      </c>
      <c r="I7352">
        <v>-38.179099999999998</v>
      </c>
      <c r="J7352">
        <v>-236.22630000000001</v>
      </c>
      <c r="K7352">
        <v>1.1106799999999999</v>
      </c>
      <c r="L7352">
        <v>-63.388030000000001</v>
      </c>
      <c r="M7352">
        <v>0.99989099999999997</v>
      </c>
      <c r="N7352">
        <v>-1.138174E-2</v>
      </c>
      <c r="O7352">
        <v>-9.4125549999999995E-3</v>
      </c>
      <c r="P7352">
        <v>0.97635159999999999</v>
      </c>
      <c r="Q7352">
        <v>0.18224670000000001</v>
      </c>
      <c r="R7352">
        <v>0.11629249999999999</v>
      </c>
      <c r="S7352">
        <v>2.9636230000000001</v>
      </c>
      <c r="T7352">
        <v>-1.895082E-2</v>
      </c>
      <c r="U7352">
        <v>0.94519039999999999</v>
      </c>
      <c r="V7352">
        <v>-0.12547349999999999</v>
      </c>
      <c r="W7352">
        <v>0.1933375</v>
      </c>
      <c r="X7352">
        <v>0.97307600000000005</v>
      </c>
      <c r="Y7352">
        <v>-0.31278869999999998</v>
      </c>
      <c r="Z7352">
        <v>2.7533340000000001E-3</v>
      </c>
      <c r="AA7352">
        <v>0.94981870000000002</v>
      </c>
      <c r="AB7352">
        <v>30</v>
      </c>
      <c r="AC7352">
        <v>78.876199999999997</v>
      </c>
      <c r="AD7352">
        <v>-0.5053858</v>
      </c>
      <c r="AE7352">
        <v>25.208929999999999</v>
      </c>
      <c r="AF7352">
        <v>-25.9493211425028</v>
      </c>
      <c r="AG7352">
        <v>-0.5053858</v>
      </c>
      <c r="AH7352">
        <v>78.632480625724497</v>
      </c>
      <c r="AI7352">
        <v>90.349696363642295</v>
      </c>
      <c r="AJ7352">
        <v>108.263285864793</v>
      </c>
      <c r="AK7352">
        <v>82.805130830876195</v>
      </c>
      <c r="AL7352">
        <v>78.852378068993403</v>
      </c>
      <c r="AM7352">
        <v>97.347474124869805</v>
      </c>
      <c r="AN7352">
        <v>0.99999994494224798</v>
      </c>
    </row>
    <row r="7353" spans="1:40" x14ac:dyDescent="0.25">
      <c r="A7353" t="str">
        <f>"20190304154939401"</f>
        <v>20190304154939401</v>
      </c>
      <c r="B7353" t="str">
        <f>"1551685779394856"</f>
        <v>1551685779394856</v>
      </c>
      <c r="C7353" t="s">
        <v>40</v>
      </c>
      <c r="D7353">
        <v>4.0814879999999896</v>
      </c>
      <c r="E7353">
        <v>0.42349150000000002</v>
      </c>
      <c r="F7353" t="s">
        <v>71</v>
      </c>
      <c r="G7353">
        <v>-157.3501</v>
      </c>
      <c r="H7353">
        <v>0.61886019999999997</v>
      </c>
      <c r="I7353">
        <v>-38.19332</v>
      </c>
      <c r="J7353">
        <v>-236.07980000000001</v>
      </c>
      <c r="K7353">
        <v>1.110687</v>
      </c>
      <c r="L7353">
        <v>-63.389429999999997</v>
      </c>
      <c r="M7353">
        <v>0.99989119999999998</v>
      </c>
      <c r="N7353">
        <v>-1.137547E-2</v>
      </c>
      <c r="O7353">
        <v>-9.3961129999999993E-3</v>
      </c>
      <c r="P7353">
        <v>0.97633939999999997</v>
      </c>
      <c r="Q7353">
        <v>0.18217240000000001</v>
      </c>
      <c r="R7353">
        <v>0.1165108</v>
      </c>
      <c r="S7353">
        <v>2.9633790000000002</v>
      </c>
      <c r="T7353">
        <v>-1.8478390000000001E-2</v>
      </c>
      <c r="U7353">
        <v>0.94656370000000001</v>
      </c>
      <c r="V7353">
        <v>-0.12567829999999999</v>
      </c>
      <c r="W7353">
        <v>0.19325519999999999</v>
      </c>
      <c r="X7353">
        <v>0.97306599999999999</v>
      </c>
      <c r="Y7353">
        <v>-0.31319560000000002</v>
      </c>
      <c r="Z7353">
        <v>2.7304289999999999E-3</v>
      </c>
      <c r="AA7353">
        <v>0.94968470000000005</v>
      </c>
      <c r="AB7353">
        <v>30</v>
      </c>
      <c r="AC7353">
        <v>78.729699999999994</v>
      </c>
      <c r="AD7353">
        <v>-0.49182680000000001</v>
      </c>
      <c r="AE7353">
        <v>25.196110000000001</v>
      </c>
      <c r="AF7353">
        <v>-25.9338805239727</v>
      </c>
      <c r="AG7353">
        <v>-0.49182680000000001</v>
      </c>
      <c r="AH7353">
        <v>78.486684862310796</v>
      </c>
      <c r="AI7353">
        <v>90.340904472763896</v>
      </c>
      <c r="AJ7353">
        <v>108.28479231891799</v>
      </c>
      <c r="AK7353">
        <v>82.661767179927693</v>
      </c>
      <c r="AL7353">
        <v>78.857185043571306</v>
      </c>
      <c r="AM7353">
        <v>97.359410235691001</v>
      </c>
      <c r="AN7353">
        <v>1.00000002388696</v>
      </c>
    </row>
    <row r="7354" spans="1:40" x14ac:dyDescent="0.25">
      <c r="A7354" t="str">
        <f>"20190304154939411"</f>
        <v>20190304154939411</v>
      </c>
      <c r="B7354" t="str">
        <f>"1551685779404615"</f>
        <v>1551685779404615</v>
      </c>
      <c r="C7354" t="s">
        <v>40</v>
      </c>
      <c r="D7354">
        <v>4.0729949999999997</v>
      </c>
      <c r="E7354">
        <v>0.42340169999999999</v>
      </c>
      <c r="F7354" t="s">
        <v>71</v>
      </c>
      <c r="G7354">
        <v>-157.3501</v>
      </c>
      <c r="H7354">
        <v>0.6149635</v>
      </c>
      <c r="I7354">
        <v>-38.198410000000003</v>
      </c>
      <c r="J7354">
        <v>-235.92859999999999</v>
      </c>
      <c r="K7354">
        <v>1.110692</v>
      </c>
      <c r="L7354">
        <v>-63.390839999999997</v>
      </c>
      <c r="M7354">
        <v>0.99989139999999999</v>
      </c>
      <c r="N7354">
        <v>-1.1368659999999999E-2</v>
      </c>
      <c r="O7354">
        <v>-9.3778739999999996E-3</v>
      </c>
      <c r="P7354">
        <v>0.9762866</v>
      </c>
      <c r="Q7354">
        <v>0.18234330000000001</v>
      </c>
      <c r="R7354">
        <v>0.11668480000000001</v>
      </c>
      <c r="S7354">
        <v>2.9630740000000002</v>
      </c>
      <c r="T7354">
        <v>-1.8657799999999999E-2</v>
      </c>
      <c r="U7354">
        <v>0.94808959999999998</v>
      </c>
      <c r="V7354">
        <v>-0.12583710000000001</v>
      </c>
      <c r="W7354">
        <v>0.1934176</v>
      </c>
      <c r="X7354">
        <v>0.97301320000000002</v>
      </c>
      <c r="Y7354">
        <v>-0.31365009999999999</v>
      </c>
      <c r="Z7354">
        <v>2.7435099999999998E-3</v>
      </c>
      <c r="AA7354">
        <v>0.94953469999999995</v>
      </c>
      <c r="AB7354">
        <v>30</v>
      </c>
      <c r="AC7354">
        <v>78.578499999999906</v>
      </c>
      <c r="AD7354">
        <v>-0.49572849999999902</v>
      </c>
      <c r="AE7354">
        <v>25.192430000000002</v>
      </c>
      <c r="AF7354">
        <v>-25.9273332384501</v>
      </c>
      <c r="AG7354">
        <v>-0.49572849999999902</v>
      </c>
      <c r="AH7354">
        <v>78.335950340898293</v>
      </c>
      <c r="AI7354">
        <v>90.344213321171296</v>
      </c>
      <c r="AJ7354">
        <v>108.313313309064</v>
      </c>
      <c r="AK7354">
        <v>82.516625424304905</v>
      </c>
      <c r="AL7354">
        <v>78.847701180277596</v>
      </c>
      <c r="AM7354">
        <v>97.369002497278004</v>
      </c>
      <c r="AN7354">
        <v>1.0000000155502</v>
      </c>
    </row>
    <row r="7355" spans="1:40" x14ac:dyDescent="0.25">
      <c r="A7355" t="str">
        <f>"20190304154939422"</f>
        <v>20190304154939422</v>
      </c>
      <c r="B7355" t="str">
        <f>"1551685779414376"</f>
        <v>1551685779414376</v>
      </c>
      <c r="C7355" t="s">
        <v>40</v>
      </c>
      <c r="D7355">
        <v>4.1458589999999997</v>
      </c>
      <c r="E7355">
        <v>0.42332370000000002</v>
      </c>
      <c r="F7355" t="s">
        <v>71</v>
      </c>
      <c r="G7355">
        <v>-157.3501</v>
      </c>
      <c r="H7355">
        <v>0.62862969999999996</v>
      </c>
      <c r="I7355">
        <v>-38.213459999999998</v>
      </c>
      <c r="J7355">
        <v>-235.779</v>
      </c>
      <c r="K7355">
        <v>1.1106929999999999</v>
      </c>
      <c r="L7355">
        <v>-63.392209999999999</v>
      </c>
      <c r="M7355">
        <v>0.9998918</v>
      </c>
      <c r="N7355">
        <v>-1.136057E-2</v>
      </c>
      <c r="O7355">
        <v>-9.3530509999999994E-3</v>
      </c>
      <c r="P7355">
        <v>0.97625229999999996</v>
      </c>
      <c r="Q7355">
        <v>0.1824452</v>
      </c>
      <c r="R7355">
        <v>0.1168134</v>
      </c>
      <c r="S7355">
        <v>2.962799</v>
      </c>
      <c r="T7355">
        <v>-1.8176910000000001E-2</v>
      </c>
      <c r="U7355">
        <v>0.94931030000000005</v>
      </c>
      <c r="V7355">
        <v>-0.12594379999999999</v>
      </c>
      <c r="W7355">
        <v>0.19350829999999999</v>
      </c>
      <c r="X7355">
        <v>0.97298130000000005</v>
      </c>
      <c r="Y7355">
        <v>-0.31400749999999999</v>
      </c>
      <c r="Z7355">
        <v>2.719389E-3</v>
      </c>
      <c r="AA7355">
        <v>0.94941660000000005</v>
      </c>
      <c r="AB7355">
        <v>30</v>
      </c>
      <c r="AC7355">
        <v>78.428899999999999</v>
      </c>
      <c r="AD7355">
        <v>-0.48206329999999997</v>
      </c>
      <c r="AE7355">
        <v>25.178750000000001</v>
      </c>
      <c r="AF7355">
        <v>-25.910357890512401</v>
      </c>
      <c r="AG7355">
        <v>-0.48206329999999997</v>
      </c>
      <c r="AH7355">
        <v>78.187277830755605</v>
      </c>
      <c r="AI7355">
        <v>90.335320197681</v>
      </c>
      <c r="AJ7355">
        <v>108.33459820179201</v>
      </c>
      <c r="AK7355">
        <v>82.370076154046501</v>
      </c>
      <c r="AL7355">
        <v>78.842403716984407</v>
      </c>
      <c r="AM7355">
        <v>97.375421210399395</v>
      </c>
      <c r="AN7355">
        <v>0.99999995653850904</v>
      </c>
    </row>
    <row r="7356" spans="1:40" x14ac:dyDescent="0.25">
      <c r="A7356" t="str">
        <f>"20190304154939433"</f>
        <v>20190304154939433</v>
      </c>
      <c r="B7356" t="str">
        <f>"1551685779424136"</f>
        <v>1551685779424136</v>
      </c>
      <c r="C7356" t="s">
        <v>40</v>
      </c>
      <c r="D7356">
        <v>4.0823429999999998</v>
      </c>
      <c r="E7356">
        <v>0.42322330000000002</v>
      </c>
      <c r="F7356" t="s">
        <v>71</v>
      </c>
      <c r="G7356">
        <v>-157.3501</v>
      </c>
      <c r="H7356">
        <v>0.63823319999999995</v>
      </c>
      <c r="I7356">
        <v>-38.228540000000002</v>
      </c>
      <c r="J7356">
        <v>-235.62649999999999</v>
      </c>
      <c r="K7356">
        <v>1.1106990000000001</v>
      </c>
      <c r="L7356">
        <v>-63.393619999999999</v>
      </c>
      <c r="M7356">
        <v>0.99989209999999995</v>
      </c>
      <c r="N7356">
        <v>-1.1352370000000001E-2</v>
      </c>
      <c r="O7356">
        <v>-9.3259599999999995E-3</v>
      </c>
      <c r="P7356">
        <v>0.97622759999999997</v>
      </c>
      <c r="Q7356">
        <v>0.18243619999999999</v>
      </c>
      <c r="R7356">
        <v>0.1170327</v>
      </c>
      <c r="S7356">
        <v>2.9625699999999999</v>
      </c>
      <c r="T7356">
        <v>-1.7847419999999999E-2</v>
      </c>
      <c r="U7356">
        <v>0.95053100000000001</v>
      </c>
      <c r="V7356">
        <v>-0.12614049999999999</v>
      </c>
      <c r="W7356">
        <v>0.1934891</v>
      </c>
      <c r="X7356">
        <v>0.97295969999999998</v>
      </c>
      <c r="Y7356">
        <v>-0.31435809999999997</v>
      </c>
      <c r="Z7356">
        <v>2.7034379999999998E-3</v>
      </c>
      <c r="AA7356">
        <v>0.94930060000000005</v>
      </c>
      <c r="AB7356">
        <v>30</v>
      </c>
      <c r="AC7356">
        <v>78.276399999999995</v>
      </c>
      <c r="AD7356">
        <v>-0.47246579999999999</v>
      </c>
      <c r="AE7356">
        <v>25.16508</v>
      </c>
      <c r="AF7356">
        <v>-25.893180118710301</v>
      </c>
      <c r="AG7356">
        <v>-0.47246579999999999</v>
      </c>
      <c r="AH7356">
        <v>78.035715194729704</v>
      </c>
      <c r="AI7356">
        <v>90.329241013359905</v>
      </c>
      <c r="AJ7356">
        <v>108.35645929718901</v>
      </c>
      <c r="AK7356">
        <v>82.220756786501994</v>
      </c>
      <c r="AL7356">
        <v>78.843525678423802</v>
      </c>
      <c r="AM7356">
        <v>97.386975258067395</v>
      </c>
      <c r="AN7356">
        <v>1.00000001769157</v>
      </c>
    </row>
    <row r="7357" spans="1:40" x14ac:dyDescent="0.25">
      <c r="A7357" t="str">
        <f>"20190304154939444"</f>
        <v>20190304154939444</v>
      </c>
      <c r="B7357" t="str">
        <f>"1551685779434873"</f>
        <v>1551685779434873</v>
      </c>
      <c r="C7357" t="s">
        <v>40</v>
      </c>
      <c r="D7357">
        <v>4.076511</v>
      </c>
      <c r="E7357">
        <v>0.42315039999999998</v>
      </c>
      <c r="F7357" t="s">
        <v>71</v>
      </c>
      <c r="G7357">
        <v>-157.3501</v>
      </c>
      <c r="H7357">
        <v>0.63181399999999999</v>
      </c>
      <c r="I7357">
        <v>-38.241289999999999</v>
      </c>
      <c r="J7357">
        <v>-235.47890000000001</v>
      </c>
      <c r="K7357">
        <v>1.1107039999999999</v>
      </c>
      <c r="L7357">
        <v>-63.39499</v>
      </c>
      <c r="M7357">
        <v>0.99989249999999996</v>
      </c>
      <c r="N7357">
        <v>-1.134457E-2</v>
      </c>
      <c r="O7357">
        <v>-9.2940999999999996E-3</v>
      </c>
      <c r="P7357">
        <v>0.97613320000000003</v>
      </c>
      <c r="Q7357">
        <v>0.1825975</v>
      </c>
      <c r="R7357">
        <v>0.1175688</v>
      </c>
      <c r="S7357">
        <v>2.962326</v>
      </c>
      <c r="T7357">
        <v>-1.812387E-2</v>
      </c>
      <c r="U7357">
        <v>0.95187379999999999</v>
      </c>
      <c r="V7357">
        <v>-0.12664790000000001</v>
      </c>
      <c r="W7357">
        <v>0.1936388</v>
      </c>
      <c r="X7357">
        <v>0.97286399999999995</v>
      </c>
      <c r="Y7357">
        <v>-0.31474039999999998</v>
      </c>
      <c r="Z7357">
        <v>2.7210770000000001E-3</v>
      </c>
      <c r="AA7357">
        <v>0.94917390000000001</v>
      </c>
      <c r="AB7357">
        <v>30</v>
      </c>
      <c r="AC7357">
        <v>78.128799999999998</v>
      </c>
      <c r="AD7357">
        <v>-0.47888999999999998</v>
      </c>
      <c r="AE7357">
        <v>25.153700000000001</v>
      </c>
      <c r="AF7357">
        <v>-25.8779160835551</v>
      </c>
      <c r="AG7357">
        <v>-0.47888999999999998</v>
      </c>
      <c r="AH7357">
        <v>77.8889775543269</v>
      </c>
      <c r="AI7357">
        <v>90.334303442422197</v>
      </c>
      <c r="AJ7357">
        <v>108.378605739001</v>
      </c>
      <c r="AK7357">
        <v>82.076724477272194</v>
      </c>
      <c r="AL7357">
        <v>78.834783173313795</v>
      </c>
      <c r="AM7357">
        <v>97.417080637374994</v>
      </c>
      <c r="AN7357">
        <v>1.0000000189679199</v>
      </c>
    </row>
    <row r="7358" spans="1:40" x14ac:dyDescent="0.25">
      <c r="A7358" t="str">
        <f>"20190304154939456"</f>
        <v>20190304154939456</v>
      </c>
      <c r="B7358" t="str">
        <f>"1551685779444632"</f>
        <v>1551685779444632</v>
      </c>
      <c r="C7358" t="s">
        <v>40</v>
      </c>
      <c r="D7358">
        <v>4.0957800000000004</v>
      </c>
      <c r="E7358">
        <v>0.42307610000000001</v>
      </c>
      <c r="F7358" t="s">
        <v>71</v>
      </c>
      <c r="G7358">
        <v>-157.3501</v>
      </c>
      <c r="H7358">
        <v>0.64223580000000002</v>
      </c>
      <c r="I7358">
        <v>-38.227379999999997</v>
      </c>
      <c r="J7358">
        <v>-235.327</v>
      </c>
      <c r="K7358">
        <v>1.1107070000000001</v>
      </c>
      <c r="L7358">
        <v>-63.396329999999999</v>
      </c>
      <c r="M7358">
        <v>0.99989289999999997</v>
      </c>
      <c r="N7358">
        <v>-1.1336819999999999E-2</v>
      </c>
      <c r="O7358">
        <v>-9.2580660000000006E-3</v>
      </c>
      <c r="P7358">
        <v>0.97614319999999999</v>
      </c>
      <c r="Q7358">
        <v>0.1825551</v>
      </c>
      <c r="R7358">
        <v>0.1175504</v>
      </c>
      <c r="S7358">
        <v>2.9617610000000001</v>
      </c>
      <c r="T7358">
        <v>-1.7759799999999999E-2</v>
      </c>
      <c r="U7358">
        <v>0.954071</v>
      </c>
      <c r="V7358">
        <v>-0.12659870000000001</v>
      </c>
      <c r="W7358">
        <v>0.19358739999999999</v>
      </c>
      <c r="X7358">
        <v>0.97288059999999998</v>
      </c>
      <c r="Y7358">
        <v>-0.31539719999999999</v>
      </c>
      <c r="Z7358">
        <v>2.7061300000000002E-3</v>
      </c>
      <c r="AA7358">
        <v>0.94895589999999996</v>
      </c>
      <c r="AB7358">
        <v>30</v>
      </c>
      <c r="AC7358">
        <v>77.976900000000001</v>
      </c>
      <c r="AD7358">
        <v>-0.46847119999999898</v>
      </c>
      <c r="AE7358">
        <v>25.168949999999999</v>
      </c>
      <c r="AF7358">
        <v>-25.8889865986398</v>
      </c>
      <c r="AG7358">
        <v>-0.46847119999999898</v>
      </c>
      <c r="AH7358">
        <v>77.737985834458001</v>
      </c>
      <c r="AI7358">
        <v>90.3275883383088</v>
      </c>
      <c r="AJ7358">
        <v>108.419242740708</v>
      </c>
      <c r="AK7358">
        <v>81.936887504763007</v>
      </c>
      <c r="AL7358">
        <v>78.8377846159147</v>
      </c>
      <c r="AM7358">
        <v>97.414106225138198</v>
      </c>
      <c r="AN7358">
        <v>0.99999998706840398</v>
      </c>
    </row>
    <row r="7359" spans="1:40" x14ac:dyDescent="0.25">
      <c r="A7359" t="str">
        <f>"20190304154939467"</f>
        <v>20190304154939467</v>
      </c>
      <c r="B7359" t="str">
        <f>"1551685779464152"</f>
        <v>1551685779464152</v>
      </c>
      <c r="C7359" t="s">
        <v>40</v>
      </c>
      <c r="D7359">
        <v>4.2701260000000003</v>
      </c>
      <c r="E7359">
        <v>0.42305569999999998</v>
      </c>
      <c r="F7359" t="s">
        <v>71</v>
      </c>
      <c r="G7359">
        <v>-157.3501</v>
      </c>
      <c r="H7359">
        <v>0.64221479999999997</v>
      </c>
      <c r="I7359">
        <v>-38.260240000000003</v>
      </c>
      <c r="J7359">
        <v>-235.17519999999999</v>
      </c>
      <c r="K7359">
        <v>1.110714</v>
      </c>
      <c r="L7359">
        <v>-63.397739999999999</v>
      </c>
      <c r="M7359">
        <v>0.99989349999999999</v>
      </c>
      <c r="N7359">
        <v>-1.1329489999999999E-2</v>
      </c>
      <c r="O7359">
        <v>-9.2169090000000006E-3</v>
      </c>
      <c r="P7359">
        <v>0.97612030000000005</v>
      </c>
      <c r="Q7359">
        <v>0.18241170000000001</v>
      </c>
      <c r="R7359">
        <v>0.1179634</v>
      </c>
      <c r="S7359">
        <v>2.9617</v>
      </c>
      <c r="T7359">
        <v>-1.779497E-2</v>
      </c>
      <c r="U7359">
        <v>0.95471189999999995</v>
      </c>
      <c r="V7359">
        <v>-0.12697510000000001</v>
      </c>
      <c r="W7359">
        <v>0.19343350000000001</v>
      </c>
      <c r="X7359">
        <v>0.97286220000000001</v>
      </c>
      <c r="Y7359">
        <v>-0.31554989999999999</v>
      </c>
      <c r="Z7359">
        <v>2.7085410000000001E-3</v>
      </c>
      <c r="AA7359">
        <v>0.94890509999999995</v>
      </c>
      <c r="AB7359">
        <v>30</v>
      </c>
      <c r="AC7359">
        <v>77.825099999999907</v>
      </c>
      <c r="AD7359">
        <v>-0.4684992</v>
      </c>
      <c r="AE7359">
        <v>25.137499999999999</v>
      </c>
      <c r="AF7359">
        <v>-25.852936518854701</v>
      </c>
      <c r="AG7359">
        <v>-0.4684992</v>
      </c>
      <c r="AH7359">
        <v>77.587542867515296</v>
      </c>
      <c r="AI7359">
        <v>90.328225314138905</v>
      </c>
      <c r="AJ7359">
        <v>108.428583013341</v>
      </c>
      <c r="AK7359">
        <v>81.782764849122401</v>
      </c>
      <c r="AL7359">
        <v>78.846772777638506</v>
      </c>
      <c r="AM7359">
        <v>97.436042390137203</v>
      </c>
      <c r="AN7359">
        <v>1.0000000275655401</v>
      </c>
    </row>
    <row r="7360" spans="1:40" x14ac:dyDescent="0.25">
      <c r="A7360" t="str">
        <f>"20190304154939478"</f>
        <v>20190304154939478</v>
      </c>
      <c r="B7360" t="str">
        <f>"1551685779474888"</f>
        <v>1551685779474888</v>
      </c>
      <c r="C7360" t="s">
        <v>40</v>
      </c>
      <c r="D7360">
        <v>4.0736470000000002</v>
      </c>
      <c r="E7360">
        <v>0.45392109999999902</v>
      </c>
      <c r="F7360" t="s">
        <v>71</v>
      </c>
      <c r="G7360">
        <v>-157.3501</v>
      </c>
      <c r="H7360">
        <v>0.63024999999999998</v>
      </c>
      <c r="I7360">
        <v>-38.264989999999997</v>
      </c>
      <c r="J7360">
        <v>-235.0214</v>
      </c>
      <c r="K7360">
        <v>1.110722</v>
      </c>
      <c r="L7360">
        <v>-63.399079999999998</v>
      </c>
      <c r="M7360">
        <v>0.99989380000000005</v>
      </c>
      <c r="N7360">
        <v>-1.132243E-2</v>
      </c>
      <c r="O7360">
        <v>-9.1696769999999993E-3</v>
      </c>
      <c r="P7360">
        <v>0.97610220000000003</v>
      </c>
      <c r="Q7360">
        <v>0.18250440000000001</v>
      </c>
      <c r="R7360">
        <v>0.11797000000000001</v>
      </c>
      <c r="S7360">
        <v>2.9612430000000001</v>
      </c>
      <c r="T7360">
        <v>-1.8282409999999999E-2</v>
      </c>
      <c r="U7360">
        <v>0.9562988</v>
      </c>
      <c r="V7360">
        <v>-0.1269391</v>
      </c>
      <c r="W7360">
        <v>0.1935172</v>
      </c>
      <c r="X7360">
        <v>0.9728502</v>
      </c>
      <c r="Y7360">
        <v>-0.31600780000000001</v>
      </c>
      <c r="Z7360">
        <v>2.7387710000000001E-3</v>
      </c>
      <c r="AA7360">
        <v>0.94875259999999995</v>
      </c>
      <c r="AB7360">
        <v>30</v>
      </c>
      <c r="AC7360">
        <v>77.671300000000002</v>
      </c>
      <c r="AD7360">
        <v>-0.48047200000000001</v>
      </c>
      <c r="AE7360">
        <v>25.13409</v>
      </c>
      <c r="AF7360">
        <v>-25.8444043723546</v>
      </c>
      <c r="AG7360">
        <v>-0.48047200000000001</v>
      </c>
      <c r="AH7360">
        <v>77.434865556538597</v>
      </c>
      <c r="AI7360">
        <v>90.337221473016001</v>
      </c>
      <c r="AJ7360">
        <v>108.456776913862</v>
      </c>
      <c r="AK7360">
        <v>81.635301766232004</v>
      </c>
      <c r="AL7360">
        <v>78.841884188056397</v>
      </c>
      <c r="AM7360">
        <v>97.434048378184499</v>
      </c>
      <c r="AN7360">
        <v>0.99999997672234398</v>
      </c>
    </row>
    <row r="7361" spans="1:40" x14ac:dyDescent="0.25">
      <c r="A7361" t="str">
        <f>"20190304154939489"</f>
        <v>20190304154939489</v>
      </c>
      <c r="B7361" t="str">
        <f>"1551685779484652"</f>
        <v>1551685779484652</v>
      </c>
      <c r="C7361" t="s">
        <v>40</v>
      </c>
      <c r="D7361">
        <v>4.2409119999999998</v>
      </c>
      <c r="E7361">
        <v>0.45392109999999902</v>
      </c>
      <c r="F7361" t="s">
        <v>104</v>
      </c>
      <c r="G7361">
        <v>-214.607</v>
      </c>
      <c r="H7361" s="1">
        <v>-1.2626560000000001E-6</v>
      </c>
      <c r="I7361">
        <v>-58.595320000000001</v>
      </c>
      <c r="J7361">
        <v>-234.86949999999999</v>
      </c>
      <c r="K7361">
        <v>1.1107320000000001</v>
      </c>
      <c r="L7361">
        <v>-63.400449999999999</v>
      </c>
      <c r="M7361">
        <v>0.99989450000000002</v>
      </c>
      <c r="N7361">
        <v>-1.131571E-2</v>
      </c>
      <c r="O7361">
        <v>-9.1195900000000003E-3</v>
      </c>
      <c r="P7361">
        <v>0.97609159999999995</v>
      </c>
      <c r="Q7361">
        <v>0.1823949</v>
      </c>
      <c r="R7361">
        <v>0.1182261</v>
      </c>
      <c r="S7361">
        <v>3.0182950000000002</v>
      </c>
      <c r="T7361">
        <v>-0.16422239999999999</v>
      </c>
      <c r="U7361">
        <v>0.71023559999999997</v>
      </c>
      <c r="V7361">
        <v>-0.1271495</v>
      </c>
      <c r="W7361">
        <v>0.1933984</v>
      </c>
      <c r="X7361">
        <v>0.9728464</v>
      </c>
      <c r="Y7361">
        <v>-0.2375089</v>
      </c>
      <c r="Z7361">
        <v>8.1203779999999993E-3</v>
      </c>
      <c r="AA7361">
        <v>0.97135139999999998</v>
      </c>
      <c r="AB7361">
        <v>30</v>
      </c>
      <c r="AC7361">
        <v>20.2624999999999</v>
      </c>
      <c r="AD7361">
        <v>-1.110733262656</v>
      </c>
      <c r="AE7361">
        <v>4.8051300000000001</v>
      </c>
      <c r="AF7361">
        <v>-4.9755724903420999</v>
      </c>
      <c r="AG7361">
        <v>-1.110733262656</v>
      </c>
      <c r="AH7361">
        <v>20.160478467086001</v>
      </c>
      <c r="AI7361">
        <v>93.061813563429894</v>
      </c>
      <c r="AJ7361">
        <v>103.86346256202</v>
      </c>
      <c r="AK7361">
        <v>20.7950701371565</v>
      </c>
      <c r="AL7361">
        <v>78.848822562147305</v>
      </c>
      <c r="AM7361">
        <v>97.4462608180594</v>
      </c>
      <c r="AN7361">
        <v>1.00000002723288</v>
      </c>
    </row>
    <row r="7362" spans="1:40" x14ac:dyDescent="0.25">
      <c r="A7362" t="str">
        <f>"20190304154939502"</f>
        <v>20190304154939502</v>
      </c>
      <c r="B7362" t="str">
        <f>"1551685779494407"</f>
        <v>1551685779494407</v>
      </c>
      <c r="C7362" t="s">
        <v>40</v>
      </c>
      <c r="D7362">
        <v>4.2364769999999998</v>
      </c>
      <c r="E7362">
        <v>0.50834760000000001</v>
      </c>
      <c r="F7362" t="s">
        <v>104</v>
      </c>
      <c r="G7362">
        <v>-214.48560000000001</v>
      </c>
      <c r="H7362" s="1">
        <v>-1.2102840000000001E-6</v>
      </c>
      <c r="I7362">
        <v>-58.596910000000001</v>
      </c>
      <c r="J7362">
        <v>-234.71619999999999</v>
      </c>
      <c r="K7362">
        <v>1.1107370000000001</v>
      </c>
      <c r="L7362">
        <v>-63.401789999999998</v>
      </c>
      <c r="M7362">
        <v>0.99989499999999998</v>
      </c>
      <c r="N7362">
        <v>-1.1309380000000001E-2</v>
      </c>
      <c r="O7362">
        <v>-9.0605619999999994E-3</v>
      </c>
      <c r="P7362">
        <v>0.97604040000000003</v>
      </c>
      <c r="Q7362">
        <v>0.18248220000000001</v>
      </c>
      <c r="R7362">
        <v>0.1185137</v>
      </c>
      <c r="S7362">
        <v>3.0180660000000001</v>
      </c>
      <c r="T7362">
        <v>-0.16445679999999999</v>
      </c>
      <c r="U7362">
        <v>0.71121219999999996</v>
      </c>
      <c r="V7362">
        <v>-0.127383199999999</v>
      </c>
      <c r="W7362">
        <v>0.1934765</v>
      </c>
      <c r="X7362">
        <v>0.97280029999999995</v>
      </c>
      <c r="Y7362">
        <v>-0.23776430000000001</v>
      </c>
      <c r="Z7362">
        <v>8.1355760000000003E-3</v>
      </c>
      <c r="AA7362">
        <v>0.97128879999999995</v>
      </c>
      <c r="AB7362">
        <v>30</v>
      </c>
      <c r="AC7362">
        <v>20.2305999999999</v>
      </c>
      <c r="AD7362">
        <v>-1.110738210284</v>
      </c>
      <c r="AE7362">
        <v>4.8048799999999998</v>
      </c>
      <c r="AF7362">
        <v>-4.9738024599680397</v>
      </c>
      <c r="AG7362">
        <v>-1.110738210284</v>
      </c>
      <c r="AH7362">
        <v>20.128794792756</v>
      </c>
      <c r="AI7362">
        <v>93.066423346498993</v>
      </c>
      <c r="AJ7362">
        <v>103.87969231481399</v>
      </c>
      <c r="AK7362">
        <v>20.7639309884099</v>
      </c>
      <c r="AL7362">
        <v>78.844261645284007</v>
      </c>
      <c r="AM7362">
        <v>97.4601425245759</v>
      </c>
      <c r="AN7362">
        <v>1.00000002968728</v>
      </c>
    </row>
    <row r="7363" spans="1:40" x14ac:dyDescent="0.25">
      <c r="A7363" t="str">
        <f>"20190304154939512"</f>
        <v>20190304154939512</v>
      </c>
      <c r="B7363" t="str">
        <f>"1551685779504168"</f>
        <v>1551685779504168</v>
      </c>
      <c r="C7363" t="s">
        <v>40</v>
      </c>
      <c r="D7363">
        <v>4.2316949999999904</v>
      </c>
      <c r="E7363">
        <v>0.50803750000000003</v>
      </c>
      <c r="F7363" t="s">
        <v>68</v>
      </c>
      <c r="G7363">
        <v>-202.53569999999999</v>
      </c>
      <c r="H7363" s="1">
        <v>-4.4138239999999998E-6</v>
      </c>
      <c r="I7363">
        <v>-60.437449999999998</v>
      </c>
      <c r="J7363">
        <v>-234.5609</v>
      </c>
      <c r="K7363">
        <v>1.110743</v>
      </c>
      <c r="L7363">
        <v>-63.40314</v>
      </c>
      <c r="M7363">
        <v>0.9998956</v>
      </c>
      <c r="N7363">
        <v>-1.13031E-2</v>
      </c>
      <c r="O7363">
        <v>-8.9985519999999999E-3</v>
      </c>
      <c r="P7363">
        <v>0.97602730000000004</v>
      </c>
      <c r="Q7363">
        <v>0.1824307</v>
      </c>
      <c r="R7363">
        <v>0.1187</v>
      </c>
      <c r="S7363">
        <v>3.0591740000000001</v>
      </c>
      <c r="T7363">
        <v>-0.1055905</v>
      </c>
      <c r="U7363">
        <v>0.28179929999999997</v>
      </c>
      <c r="V7363">
        <v>-0.1275123</v>
      </c>
      <c r="W7363">
        <v>0.19341610000000001</v>
      </c>
      <c r="X7363">
        <v>0.97279539999999998</v>
      </c>
      <c r="Y7363">
        <v>-0.1006039</v>
      </c>
      <c r="Z7363">
        <v>2.5104569999999998E-3</v>
      </c>
      <c r="AA7363">
        <v>0.99492340000000001</v>
      </c>
      <c r="AB7363">
        <v>30</v>
      </c>
      <c r="AC7363">
        <v>32.025199999999998</v>
      </c>
      <c r="AD7363">
        <v>-1.1107474138240001</v>
      </c>
      <c r="AE7363">
        <v>2.9656899999999999</v>
      </c>
      <c r="AF7363">
        <v>-3.2498925453696201</v>
      </c>
      <c r="AG7363">
        <v>-1.1107474138240001</v>
      </c>
      <c r="AH7363">
        <v>31.959096335852902</v>
      </c>
      <c r="AI7363">
        <v>91.980325348141704</v>
      </c>
      <c r="AJ7363">
        <v>95.8063985497283</v>
      </c>
      <c r="AK7363">
        <v>32.143108125663503</v>
      </c>
      <c r="AL7363">
        <v>78.847788967567894</v>
      </c>
      <c r="AM7363">
        <v>97.467655110998194</v>
      </c>
      <c r="AN7363">
        <v>1.00000003232582</v>
      </c>
    </row>
    <row r="7364" spans="1:40" x14ac:dyDescent="0.25">
      <c r="A7364" t="str">
        <f>"20190304154939522"</f>
        <v>20190304154939522</v>
      </c>
      <c r="B7364" t="str">
        <f>"1551685779514904"</f>
        <v>1551685779514904</v>
      </c>
      <c r="C7364" t="s">
        <v>40</v>
      </c>
      <c r="D7364">
        <v>4.2319570000000004</v>
      </c>
      <c r="E7364">
        <v>0.50836689999999995</v>
      </c>
      <c r="F7364" t="s">
        <v>68</v>
      </c>
      <c r="G7364">
        <v>-202.48230000000001</v>
      </c>
      <c r="H7364" s="1">
        <v>-4.4397400000000003E-6</v>
      </c>
      <c r="I7364">
        <v>-60.415550000000003</v>
      </c>
      <c r="J7364">
        <v>-234.4091</v>
      </c>
      <c r="K7364">
        <v>1.1107450000000001</v>
      </c>
      <c r="L7364">
        <v>-63.404449999999997</v>
      </c>
      <c r="M7364">
        <v>0.99989649999999997</v>
      </c>
      <c r="N7364">
        <v>-1.129751E-2</v>
      </c>
      <c r="O7364">
        <v>-8.9281989999999995E-3</v>
      </c>
      <c r="P7364">
        <v>0.97598779999999996</v>
      </c>
      <c r="Q7364">
        <v>0.18238109999999999</v>
      </c>
      <c r="R7364">
        <v>0.1191012</v>
      </c>
      <c r="S7364">
        <v>3.058853</v>
      </c>
      <c r="T7364">
        <v>-0.1059152</v>
      </c>
      <c r="U7364">
        <v>0.28488160000000001</v>
      </c>
      <c r="V7364">
        <v>-0.12784870000000001</v>
      </c>
      <c r="W7364">
        <v>0.1933581</v>
      </c>
      <c r="X7364">
        <v>0.97276280000000004</v>
      </c>
      <c r="Y7364">
        <v>-0.10153619999999999</v>
      </c>
      <c r="Z7364">
        <v>2.5363970000000001E-3</v>
      </c>
      <c r="AA7364">
        <v>0.99482859999999995</v>
      </c>
      <c r="AB7364">
        <v>31</v>
      </c>
      <c r="AC7364">
        <v>31.926799999999901</v>
      </c>
      <c r="AD7364">
        <v>-1.11074943974</v>
      </c>
      <c r="AE7364">
        <v>2.9888999999999899</v>
      </c>
      <c r="AF7364">
        <v>-3.2699243591648299</v>
      </c>
      <c r="AG7364">
        <v>-1.11074943974</v>
      </c>
      <c r="AH7364">
        <v>31.860611755753599</v>
      </c>
      <c r="AI7364">
        <v>91.986256225779698</v>
      </c>
      <c r="AJ7364">
        <v>95.859874071082601</v>
      </c>
      <c r="AK7364">
        <v>32.047226886010101</v>
      </c>
      <c r="AL7364">
        <v>78.851176318411703</v>
      </c>
      <c r="AM7364">
        <v>97.487380951382093</v>
      </c>
      <c r="AN7364">
        <v>1.0000000549955601</v>
      </c>
    </row>
    <row r="7365" spans="1:40" x14ac:dyDescent="0.25">
      <c r="A7365" t="str">
        <f>"20190304154939533"</f>
        <v>20190304154939533</v>
      </c>
      <c r="B7365" t="str">
        <f>"1551685779524664"</f>
        <v>1551685779524664</v>
      </c>
      <c r="C7365" t="s">
        <v>40</v>
      </c>
      <c r="D7365">
        <v>4.216475</v>
      </c>
      <c r="E7365">
        <v>0.50880809999999999</v>
      </c>
      <c r="F7365" t="s">
        <v>68</v>
      </c>
      <c r="G7365">
        <v>-202.37289999999999</v>
      </c>
      <c r="H7365" s="1">
        <v>-4.4966469999999997E-6</v>
      </c>
      <c r="I7365">
        <v>-60.435679999999998</v>
      </c>
      <c r="J7365">
        <v>-234.26499999999999</v>
      </c>
      <c r="K7365">
        <v>1.110752</v>
      </c>
      <c r="L7365">
        <v>-63.405669999999901</v>
      </c>
      <c r="M7365">
        <v>0.99989720000000004</v>
      </c>
      <c r="N7365">
        <v>-1.129233E-2</v>
      </c>
      <c r="O7365">
        <v>-8.8592830000000008E-3</v>
      </c>
      <c r="P7365">
        <v>0.97597690000000004</v>
      </c>
      <c r="Q7365">
        <v>0.1822646</v>
      </c>
      <c r="R7365">
        <v>0.11936910000000001</v>
      </c>
      <c r="S7365">
        <v>3.059021</v>
      </c>
      <c r="T7365">
        <v>-0.1060615</v>
      </c>
      <c r="U7365">
        <v>0.2834778</v>
      </c>
      <c r="V7365">
        <v>-0.12805269999999999</v>
      </c>
      <c r="W7365">
        <v>0.19323460000000001</v>
      </c>
      <c r="X7365">
        <v>0.97276039999999997</v>
      </c>
      <c r="Y7365">
        <v>-0.10101019999999999</v>
      </c>
      <c r="Z7365">
        <v>2.525261E-3</v>
      </c>
      <c r="AA7365">
        <v>0.99488220000000005</v>
      </c>
      <c r="AB7365">
        <v>31</v>
      </c>
      <c r="AC7365">
        <v>31.892099999999999</v>
      </c>
      <c r="AD7365">
        <v>-1.110756496647</v>
      </c>
      <c r="AE7365">
        <v>2.9699899999999801</v>
      </c>
      <c r="AF7365">
        <v>-3.24852584895712</v>
      </c>
      <c r="AG7365">
        <v>-1.110756496647</v>
      </c>
      <c r="AH7365">
        <v>31.826260335374201</v>
      </c>
      <c r="AI7365">
        <v>91.988523996468899</v>
      </c>
      <c r="AJ7365">
        <v>95.8280315607348</v>
      </c>
      <c r="AK7365">
        <v>32.010897318275902</v>
      </c>
      <c r="AL7365">
        <v>78.858387180515606</v>
      </c>
      <c r="AM7365">
        <v>97.499210506639898</v>
      </c>
      <c r="AN7365">
        <v>0.99999995021130295</v>
      </c>
    </row>
    <row r="7366" spans="1:40" x14ac:dyDescent="0.25">
      <c r="A7366" t="str">
        <f>"20190304154939544"</f>
        <v>20190304154939544</v>
      </c>
      <c r="B7366" t="str">
        <f>"1551685779534424"</f>
        <v>1551685779534424</v>
      </c>
      <c r="C7366" t="s">
        <v>40</v>
      </c>
      <c r="D7366">
        <v>4.2097949999999997</v>
      </c>
      <c r="E7366">
        <v>0.50887289999999996</v>
      </c>
      <c r="F7366" t="s">
        <v>68</v>
      </c>
      <c r="G7366">
        <v>-201.7552</v>
      </c>
      <c r="H7366" s="1">
        <v>-4.8104359999999999E-6</v>
      </c>
      <c r="I7366">
        <v>-60.419240000000002</v>
      </c>
      <c r="J7366">
        <v>-234.1155</v>
      </c>
      <c r="K7366">
        <v>1.1107590000000001</v>
      </c>
      <c r="L7366">
        <v>-63.4069199999999</v>
      </c>
      <c r="M7366">
        <v>0.99989779999999995</v>
      </c>
      <c r="N7366">
        <v>-1.1287409999999999E-2</v>
      </c>
      <c r="O7366">
        <v>-8.780108E-3</v>
      </c>
      <c r="P7366">
        <v>0.97594329999999996</v>
      </c>
      <c r="Q7366">
        <v>0.1822464</v>
      </c>
      <c r="R7366">
        <v>0.1196714</v>
      </c>
      <c r="S7366">
        <v>3.0589900000000001</v>
      </c>
      <c r="T7366">
        <v>-0.104515899999999</v>
      </c>
      <c r="U7366">
        <v>0.28100589999999998</v>
      </c>
      <c r="V7366">
        <v>-0.12828200000000001</v>
      </c>
      <c r="W7366">
        <v>0.1932084</v>
      </c>
      <c r="X7366">
        <v>0.97273540000000003</v>
      </c>
      <c r="Y7366">
        <v>-0.1001379</v>
      </c>
      <c r="Z7366">
        <v>2.4736070000000001E-3</v>
      </c>
      <c r="AA7366">
        <v>0.99497049999999998</v>
      </c>
      <c r="AB7366">
        <v>31</v>
      </c>
      <c r="AC7366">
        <v>32.360299999999903</v>
      </c>
      <c r="AD7366">
        <v>-1.110763810436</v>
      </c>
      <c r="AE7366">
        <v>2.9876799999999899</v>
      </c>
      <c r="AF7366">
        <v>-3.26789215491972</v>
      </c>
      <c r="AG7366">
        <v>-1.110763810436</v>
      </c>
      <c r="AH7366">
        <v>32.2950902404122</v>
      </c>
      <c r="AI7366">
        <v>91.959865789967097</v>
      </c>
      <c r="AJ7366">
        <v>95.778007720155799</v>
      </c>
      <c r="AK7366">
        <v>32.479005049648997</v>
      </c>
      <c r="AL7366">
        <v>78.859917248841398</v>
      </c>
      <c r="AM7366">
        <v>97.512676736066297</v>
      </c>
      <c r="AN7366">
        <v>0.99999995788385898</v>
      </c>
    </row>
    <row r="7367" spans="1:40" x14ac:dyDescent="0.25">
      <c r="A7367" t="str">
        <f>"20190304154939555"</f>
        <v>20190304154939555</v>
      </c>
      <c r="B7367" t="str">
        <f>"1551685779544184"</f>
        <v>1551685779544184</v>
      </c>
      <c r="C7367" t="s">
        <v>40</v>
      </c>
      <c r="D7367">
        <v>4.2311170000000002</v>
      </c>
      <c r="E7367">
        <v>0.50879049999999904</v>
      </c>
      <c r="F7367" t="s">
        <v>68</v>
      </c>
      <c r="G7367">
        <v>-201.52119999999999</v>
      </c>
      <c r="H7367" s="1">
        <v>-4.9289520000000001E-6</v>
      </c>
      <c r="I7367">
        <v>-60.406750000000002</v>
      </c>
      <c r="J7367">
        <v>-233.96369999999999</v>
      </c>
      <c r="K7367">
        <v>1.1107720000000001</v>
      </c>
      <c r="L7367">
        <v>-63.408169999999998</v>
      </c>
      <c r="M7367">
        <v>0.99989859999999997</v>
      </c>
      <c r="N7367">
        <v>-1.128265E-2</v>
      </c>
      <c r="O7367">
        <v>-8.6950840000000005E-3</v>
      </c>
      <c r="P7367">
        <v>0.97592109999999999</v>
      </c>
      <c r="Q7367">
        <v>0.1822067</v>
      </c>
      <c r="R7367">
        <v>0.1199115</v>
      </c>
      <c r="S7367">
        <v>3.058853</v>
      </c>
      <c r="T7367">
        <v>-0.104241</v>
      </c>
      <c r="U7367">
        <v>0.28155520000000001</v>
      </c>
      <c r="V7367">
        <v>-0.1284428</v>
      </c>
      <c r="W7367">
        <v>0.19316069999999999</v>
      </c>
      <c r="X7367">
        <v>0.97272369999999997</v>
      </c>
      <c r="Y7367">
        <v>-0.1002349</v>
      </c>
      <c r="Z7367">
        <v>2.4684770000000002E-3</v>
      </c>
      <c r="AA7367">
        <v>0.99496070000000003</v>
      </c>
      <c r="AB7367">
        <v>31</v>
      </c>
      <c r="AC7367">
        <v>32.442499999999903</v>
      </c>
      <c r="AD7367">
        <v>-1.110776928952</v>
      </c>
      <c r="AE7367">
        <v>3.0014199999999902</v>
      </c>
      <c r="AF7367">
        <v>-3.2796027955452698</v>
      </c>
      <c r="AG7367">
        <v>-1.110776928952</v>
      </c>
      <c r="AH7367">
        <v>32.377541268919799</v>
      </c>
      <c r="AI7367">
        <v>91.954881480799301</v>
      </c>
      <c r="AJ7367">
        <v>95.7839065150648</v>
      </c>
      <c r="AK7367">
        <v>32.562168209488902</v>
      </c>
      <c r="AL7367">
        <v>78.862703235033294</v>
      </c>
      <c r="AM7367">
        <v>97.522075462897305</v>
      </c>
      <c r="AN7367">
        <v>1.0000000027190099</v>
      </c>
    </row>
    <row r="7368" spans="1:40" x14ac:dyDescent="0.25">
      <c r="A7368" t="str">
        <f>"20190304154939567"</f>
        <v>20190304154939567</v>
      </c>
      <c r="B7368" t="str">
        <f>"1551685779564680"</f>
        <v>1551685779564680</v>
      </c>
      <c r="C7368" t="s">
        <v>40</v>
      </c>
      <c r="D7368">
        <v>4.2046049999999999</v>
      </c>
      <c r="E7368">
        <v>0.50885340000000001</v>
      </c>
      <c r="F7368" t="s">
        <v>68</v>
      </c>
      <c r="G7368">
        <v>-201.58920000000001</v>
      </c>
      <c r="H7368" s="1">
        <v>-4.8944829999999996E-6</v>
      </c>
      <c r="I7368">
        <v>-60.409439999999996</v>
      </c>
      <c r="J7368">
        <v>-233.8092</v>
      </c>
      <c r="K7368">
        <v>1.1107800000000001</v>
      </c>
      <c r="L7368">
        <v>-63.409419999999997</v>
      </c>
      <c r="M7368">
        <v>0.99989939999999999</v>
      </c>
      <c r="N7368">
        <v>-1.1278160000000001E-2</v>
      </c>
      <c r="O7368">
        <v>-8.6017060000000006E-3</v>
      </c>
      <c r="P7368">
        <v>0.97595169999999998</v>
      </c>
      <c r="Q7368">
        <v>0.18199709999999999</v>
      </c>
      <c r="R7368">
        <v>0.1199812</v>
      </c>
      <c r="S7368">
        <v>3.0588069999999998</v>
      </c>
      <c r="T7368">
        <v>-0.10494820000000001</v>
      </c>
      <c r="U7368">
        <v>0.2833252</v>
      </c>
      <c r="V7368">
        <v>-0.1284266</v>
      </c>
      <c r="W7368">
        <v>0.19294449999999999</v>
      </c>
      <c r="X7368">
        <v>0.97276870000000004</v>
      </c>
      <c r="Y7368">
        <v>-0.10071289999999999</v>
      </c>
      <c r="Z7368">
        <v>2.4905800000000001E-3</v>
      </c>
      <c r="AA7368">
        <v>0.99491240000000003</v>
      </c>
      <c r="AB7368">
        <v>31</v>
      </c>
      <c r="AC7368">
        <v>32.22</v>
      </c>
      <c r="AD7368">
        <v>-1.1107848944830001</v>
      </c>
      <c r="AE7368">
        <v>2.9999799999999901</v>
      </c>
      <c r="AF7368">
        <v>-3.27317677499981</v>
      </c>
      <c r="AG7368">
        <v>-1.1107848944830001</v>
      </c>
      <c r="AH7368">
        <v>32.155112538254699</v>
      </c>
      <c r="AI7368">
        <v>91.968308614392797</v>
      </c>
      <c r="AJ7368">
        <v>95.812309280466295</v>
      </c>
      <c r="AK7368">
        <v>32.340358557536597</v>
      </c>
      <c r="AL7368">
        <v>78.875327568507203</v>
      </c>
      <c r="AM7368">
        <v>97.520793651238407</v>
      </c>
      <c r="AN7368">
        <v>0.99999995768374905</v>
      </c>
    </row>
    <row r="7369" spans="1:40" x14ac:dyDescent="0.25">
      <c r="A7369" t="str">
        <f>"20190304154939579"</f>
        <v>20190304154939579</v>
      </c>
      <c r="B7369" t="str">
        <f>"1551685779574439"</f>
        <v>1551685779574439</v>
      </c>
      <c r="C7369" t="s">
        <v>40</v>
      </c>
      <c r="D7369">
        <v>4.2357469999999999</v>
      </c>
      <c r="E7369">
        <v>0.50936479999999995</v>
      </c>
      <c r="F7369" t="s">
        <v>68</v>
      </c>
      <c r="G7369">
        <v>-202.0746</v>
      </c>
      <c r="H7369" s="1">
        <v>-4.6505919999999998E-6</v>
      </c>
      <c r="I7369">
        <v>-60.468919999999997</v>
      </c>
      <c r="J7369">
        <v>-233.6507</v>
      </c>
      <c r="K7369">
        <v>1.1107899999999999</v>
      </c>
      <c r="L7369">
        <v>-63.410739999999997</v>
      </c>
      <c r="M7369">
        <v>0.99990040000000002</v>
      </c>
      <c r="N7369">
        <v>-1.127391E-2</v>
      </c>
      <c r="O7369">
        <v>-8.496867E-3</v>
      </c>
      <c r="P7369">
        <v>0.97594899999999996</v>
      </c>
      <c r="Q7369">
        <v>0.18186330000000001</v>
      </c>
      <c r="R7369">
        <v>0.1202059</v>
      </c>
      <c r="S7369">
        <v>3.0590359999999999</v>
      </c>
      <c r="T7369">
        <v>-0.1070734</v>
      </c>
      <c r="U7369">
        <v>0.28344730000000001</v>
      </c>
      <c r="V7369">
        <v>-0.12855459999999999</v>
      </c>
      <c r="W7369">
        <v>0.1928028</v>
      </c>
      <c r="X7369">
        <v>0.97277990000000003</v>
      </c>
      <c r="Y7369">
        <v>-0.1006383</v>
      </c>
      <c r="Z7369">
        <v>2.52689E-3</v>
      </c>
      <c r="AA7369">
        <v>0.99491989999999997</v>
      </c>
      <c r="AB7369">
        <v>31</v>
      </c>
      <c r="AC7369">
        <v>31.5761</v>
      </c>
      <c r="AD7369">
        <v>-1.1107946505920001</v>
      </c>
      <c r="AE7369">
        <v>2.9418199999999999</v>
      </c>
      <c r="AF7369">
        <v>-3.2060952993636</v>
      </c>
      <c r="AG7369">
        <v>-1.1107946505920001</v>
      </c>
      <c r="AH7369">
        <v>31.511301996041599</v>
      </c>
      <c r="AI7369">
        <v>92.008518258540803</v>
      </c>
      <c r="AJ7369">
        <v>95.809527350238298</v>
      </c>
      <c r="AK7369">
        <v>31.6934546130604</v>
      </c>
      <c r="AL7369">
        <v>78.883601871385906</v>
      </c>
      <c r="AM7369">
        <v>97.528117850079596</v>
      </c>
      <c r="AN7369">
        <v>0.99999996935650404</v>
      </c>
    </row>
    <row r="7370" spans="1:40" x14ac:dyDescent="0.25">
      <c r="A7370" t="str">
        <f>"20190304154939591"</f>
        <v>20190304154939591</v>
      </c>
      <c r="B7370" t="str">
        <f>"1551685779584200"</f>
        <v>1551685779584200</v>
      </c>
      <c r="C7370" t="s">
        <v>40</v>
      </c>
      <c r="D7370">
        <v>4.2403139999999997</v>
      </c>
      <c r="E7370">
        <v>0.50982689999999997</v>
      </c>
      <c r="F7370" t="s">
        <v>68</v>
      </c>
      <c r="G7370">
        <v>-201.53139999999999</v>
      </c>
      <c r="H7370" s="1">
        <v>-4.9271480000000003E-6</v>
      </c>
      <c r="I7370">
        <v>-60.465429999999998</v>
      </c>
      <c r="J7370">
        <v>-233.4855</v>
      </c>
      <c r="K7370">
        <v>1.1108049999999901</v>
      </c>
      <c r="L7370">
        <v>-63.412019999999998</v>
      </c>
      <c r="M7370">
        <v>0.9999015</v>
      </c>
      <c r="N7370">
        <v>-1.126971E-2</v>
      </c>
      <c r="O7370">
        <v>-8.3822389999999997E-3</v>
      </c>
      <c r="P7370">
        <v>0.97596070000000001</v>
      </c>
      <c r="Q7370">
        <v>0.18169489999999999</v>
      </c>
      <c r="R7370">
        <v>0.1203661</v>
      </c>
      <c r="S7370">
        <v>3.059113</v>
      </c>
      <c r="T7370">
        <v>-0.1057945</v>
      </c>
      <c r="U7370">
        <v>0.28051759999999998</v>
      </c>
      <c r="V7370">
        <v>-0.12860869999999999</v>
      </c>
      <c r="W7370">
        <v>0.19262679999999999</v>
      </c>
      <c r="X7370">
        <v>0.97280759999999999</v>
      </c>
      <c r="Y7370">
        <v>-9.9579730000000005E-2</v>
      </c>
      <c r="Z7370">
        <v>2.4752939999999998E-3</v>
      </c>
      <c r="AA7370">
        <v>0.99502650000000004</v>
      </c>
      <c r="AB7370">
        <v>31</v>
      </c>
      <c r="AC7370">
        <v>31.9541</v>
      </c>
      <c r="AD7370">
        <v>-1.1108099271480001</v>
      </c>
      <c r="AE7370">
        <v>2.9465899999999898</v>
      </c>
      <c r="AF7370">
        <v>-3.2105033456768299</v>
      </c>
      <c r="AG7370">
        <v>-1.1108099271480001</v>
      </c>
      <c r="AH7370">
        <v>31.8900642648209</v>
      </c>
      <c r="AI7370">
        <v>91.984921936317704</v>
      </c>
      <c r="AJ7370">
        <v>95.748830949970596</v>
      </c>
      <c r="AK7370">
        <v>32.070507155972102</v>
      </c>
      <c r="AL7370">
        <v>78.893878397113696</v>
      </c>
      <c r="AM7370">
        <v>97.531037585738403</v>
      </c>
      <c r="AN7370">
        <v>0.99999995420584398</v>
      </c>
    </row>
    <row r="7371" spans="1:40" x14ac:dyDescent="0.25">
      <c r="A7371" t="str">
        <f>"20190304154939601"</f>
        <v>20190304154939601</v>
      </c>
      <c r="B7371" t="str">
        <f>"1551685779594936"</f>
        <v>1551685779594936</v>
      </c>
      <c r="C7371" t="s">
        <v>40</v>
      </c>
      <c r="D7371">
        <v>4.2414139999999998</v>
      </c>
      <c r="E7371">
        <v>0.51022979999999996</v>
      </c>
      <c r="F7371" t="s">
        <v>68</v>
      </c>
      <c r="G7371">
        <v>-201.25739999999999</v>
      </c>
      <c r="H7371" s="1">
        <v>-5.0679789999999996E-6</v>
      </c>
      <c r="I7371">
        <v>-60.486469999999997</v>
      </c>
      <c r="J7371">
        <v>-233.34110000000001</v>
      </c>
      <c r="K7371">
        <v>1.1108169999999999</v>
      </c>
      <c r="L7371">
        <v>-63.413150000000002</v>
      </c>
      <c r="M7371">
        <v>0.99990239999999997</v>
      </c>
      <c r="N7371">
        <v>-1.12665E-2</v>
      </c>
      <c r="O7371">
        <v>-8.2677340000000005E-3</v>
      </c>
      <c r="P7371">
        <v>0.97598430000000003</v>
      </c>
      <c r="Q7371">
        <v>0.18139</v>
      </c>
      <c r="R7371">
        <v>0.1206344</v>
      </c>
      <c r="S7371">
        <v>3.0592800000000002</v>
      </c>
      <c r="T7371">
        <v>-0.1054447</v>
      </c>
      <c r="U7371">
        <v>0.27771000000000001</v>
      </c>
      <c r="V7371">
        <v>-0.1287712</v>
      </c>
      <c r="W7371">
        <v>0.19231519999999999</v>
      </c>
      <c r="X7371">
        <v>0.97284780000000004</v>
      </c>
      <c r="Y7371">
        <v>-9.8556439999999995E-2</v>
      </c>
      <c r="Z7371">
        <v>2.4424490000000002E-3</v>
      </c>
      <c r="AA7371">
        <v>0.99512849999999997</v>
      </c>
      <c r="AB7371">
        <v>31</v>
      </c>
      <c r="AC7371">
        <v>32.0837</v>
      </c>
      <c r="AD7371">
        <v>-1.110822067979</v>
      </c>
      <c r="AE7371">
        <v>2.9266800000000002</v>
      </c>
      <c r="AF7371">
        <v>-3.1880661977018301</v>
      </c>
      <c r="AG7371">
        <v>-1.110822067979</v>
      </c>
      <c r="AH7371">
        <v>32.020337879717196</v>
      </c>
      <c r="AI7371">
        <v>91.977091773872402</v>
      </c>
      <c r="AJ7371">
        <v>95.685846535972104</v>
      </c>
      <c r="AK7371">
        <v>32.197821815751702</v>
      </c>
      <c r="AL7371">
        <v>78.912072448211404</v>
      </c>
      <c r="AM7371">
        <v>97.540135794774002</v>
      </c>
      <c r="AN7371">
        <v>1.0000000000326601</v>
      </c>
    </row>
    <row r="7372" spans="1:40" x14ac:dyDescent="0.25">
      <c r="A7372" t="str">
        <f>"20190304154939612"</f>
        <v>20190304154939612</v>
      </c>
      <c r="B7372" t="str">
        <f>"1551685779604695"</f>
        <v>1551685779604695</v>
      </c>
      <c r="C7372" t="s">
        <v>40</v>
      </c>
      <c r="D7372">
        <v>4.2209219999999998</v>
      </c>
      <c r="E7372">
        <v>0.5105845</v>
      </c>
      <c r="F7372" t="s">
        <v>68</v>
      </c>
      <c r="G7372">
        <v>-201.1808</v>
      </c>
      <c r="H7372" s="1">
        <v>-5.1087220000000001E-6</v>
      </c>
      <c r="I7372">
        <v>-60.515320000000003</v>
      </c>
      <c r="J7372">
        <v>-233.19159999999999</v>
      </c>
      <c r="K7372">
        <v>1.1108290000000001</v>
      </c>
      <c r="L7372">
        <v>-63.414250000000003</v>
      </c>
      <c r="M7372">
        <v>0.99990330000000005</v>
      </c>
      <c r="N7372">
        <v>-1.1263260000000001E-2</v>
      </c>
      <c r="O7372">
        <v>-8.1467810000000005E-3</v>
      </c>
      <c r="P7372">
        <v>0.97599449999999999</v>
      </c>
      <c r="Q7372">
        <v>0.18121809999999999</v>
      </c>
      <c r="R7372">
        <v>0.1208081</v>
      </c>
      <c r="S7372">
        <v>3.0593720000000002</v>
      </c>
      <c r="T7372">
        <v>-0.105670899999999</v>
      </c>
      <c r="U7372">
        <v>0.2756653</v>
      </c>
      <c r="V7372">
        <v>-0.1288338</v>
      </c>
      <c r="W7372">
        <v>0.19213649999999999</v>
      </c>
      <c r="X7372">
        <v>0.97287480000000004</v>
      </c>
      <c r="Y7372">
        <v>-9.7774029999999998E-2</v>
      </c>
      <c r="Z7372">
        <v>2.4258330000000001E-3</v>
      </c>
      <c r="AA7372">
        <v>0.99520569999999997</v>
      </c>
      <c r="AB7372">
        <v>31</v>
      </c>
      <c r="AC7372">
        <v>32.010799999999897</v>
      </c>
      <c r="AD7372">
        <v>-1.1108341087219999</v>
      </c>
      <c r="AE7372">
        <v>2.89893</v>
      </c>
      <c r="AF7372">
        <v>-3.15586588812041</v>
      </c>
      <c r="AG7372">
        <v>-1.1108341087219999</v>
      </c>
      <c r="AH7372">
        <v>31.947959747042699</v>
      </c>
      <c r="AI7372">
        <v>91.9817409037896</v>
      </c>
      <c r="AJ7372">
        <v>95.641458500172305</v>
      </c>
      <c r="AK7372">
        <v>32.122664489726901</v>
      </c>
      <c r="AL7372">
        <v>78.922505548587395</v>
      </c>
      <c r="AM7372">
        <v>97.543552153301704</v>
      </c>
      <c r="AN7372">
        <v>0.99999997956486397</v>
      </c>
    </row>
    <row r="7373" spans="1:40" x14ac:dyDescent="0.25">
      <c r="A7373" t="str">
        <f>"20190304154939623"</f>
        <v>20190304154939623</v>
      </c>
      <c r="B7373" t="str">
        <f>"1551685779614455"</f>
        <v>1551685779614455</v>
      </c>
      <c r="C7373" t="s">
        <v>40</v>
      </c>
      <c r="D7373">
        <v>4.2337889999999998</v>
      </c>
      <c r="E7373">
        <v>0.51076179999999904</v>
      </c>
      <c r="F7373" t="s">
        <v>68</v>
      </c>
      <c r="G7373">
        <v>-201.04589999999999</v>
      </c>
      <c r="H7373" s="1">
        <v>-5.1787769999999999E-6</v>
      </c>
      <c r="I7373">
        <v>-60.538089999999997</v>
      </c>
      <c r="J7373">
        <v>-233.042</v>
      </c>
      <c r="K7373">
        <v>1.1108439999999999</v>
      </c>
      <c r="L7373">
        <v>-63.41534</v>
      </c>
      <c r="M7373">
        <v>0.99990460000000003</v>
      </c>
      <c r="N7373">
        <v>-1.126045E-2</v>
      </c>
      <c r="O7373">
        <v>-8.0080369999999904E-3</v>
      </c>
      <c r="P7373">
        <v>0.97600419999999999</v>
      </c>
      <c r="Q7373">
        <v>0.18109430000000001</v>
      </c>
      <c r="R7373">
        <v>0.1209157</v>
      </c>
      <c r="S7373">
        <v>3.0595249999999998</v>
      </c>
      <c r="T7373">
        <v>-0.1057255</v>
      </c>
      <c r="U7373">
        <v>0.27374270000000001</v>
      </c>
      <c r="V7373">
        <v>-0.1288135</v>
      </c>
      <c r="W7373">
        <v>0.19200449999999999</v>
      </c>
      <c r="X7373">
        <v>0.97290350000000003</v>
      </c>
      <c r="Y7373">
        <v>-9.701166E-2</v>
      </c>
      <c r="Z7373">
        <v>2.406002E-3</v>
      </c>
      <c r="AA7373">
        <v>0.99528030000000001</v>
      </c>
      <c r="AB7373">
        <v>31</v>
      </c>
      <c r="AC7373">
        <v>31.996099999999998</v>
      </c>
      <c r="AD7373">
        <v>-1.1108491787769901</v>
      </c>
      <c r="AE7373">
        <v>2.8772499999999899</v>
      </c>
      <c r="AF7373">
        <v>-3.1296578130051902</v>
      </c>
      <c r="AG7373">
        <v>-1.1108491787769901</v>
      </c>
      <c r="AH7373">
        <v>31.933848379025001</v>
      </c>
      <c r="AI7373">
        <v>91.982792816919698</v>
      </c>
      <c r="AJ7373">
        <v>95.597363818285004</v>
      </c>
      <c r="AK7373">
        <v>32.106065100212</v>
      </c>
      <c r="AL7373">
        <v>78.930211557195193</v>
      </c>
      <c r="AM7373">
        <v>97.5421572873108</v>
      </c>
      <c r="AN7373">
        <v>0.999999933057372</v>
      </c>
    </row>
    <row r="7374" spans="1:40" x14ac:dyDescent="0.25">
      <c r="A7374" t="str">
        <f>"20190304154939633"</f>
        <v>20190304154939633</v>
      </c>
      <c r="B7374" t="str">
        <f>"1551685779624216"</f>
        <v>1551685779624216</v>
      </c>
      <c r="C7374" t="s">
        <v>40</v>
      </c>
      <c r="D7374">
        <v>4.256653</v>
      </c>
      <c r="E7374">
        <v>0.51086229999999999</v>
      </c>
      <c r="F7374" t="s">
        <v>68</v>
      </c>
      <c r="G7374">
        <v>-200.9854</v>
      </c>
      <c r="H7374" s="1">
        <v>-5.210601E-6</v>
      </c>
      <c r="I7374">
        <v>-60.55556</v>
      </c>
      <c r="J7374">
        <v>-232.89279999999999</v>
      </c>
      <c r="K7374">
        <v>1.11086</v>
      </c>
      <c r="L7374">
        <v>-63.416409999999999</v>
      </c>
      <c r="M7374">
        <v>0.99990570000000001</v>
      </c>
      <c r="N7374">
        <v>-1.125774E-2</v>
      </c>
      <c r="O7374">
        <v>-7.8646410000000003E-3</v>
      </c>
      <c r="P7374">
        <v>0.97604709999999995</v>
      </c>
      <c r="Q7374">
        <v>0.1808247</v>
      </c>
      <c r="R7374">
        <v>0.12097239999999999</v>
      </c>
      <c r="S7374">
        <v>3.0596160000000001</v>
      </c>
      <c r="T7374">
        <v>-0.10602399999999999</v>
      </c>
      <c r="U7374">
        <v>0.2729492</v>
      </c>
      <c r="V7374">
        <v>-0.12873799999999999</v>
      </c>
      <c r="W7374">
        <v>0.19172790000000001</v>
      </c>
      <c r="X7374">
        <v>0.9729681</v>
      </c>
      <c r="Y7374">
        <v>-9.6610180000000004E-2</v>
      </c>
      <c r="Z7374">
        <v>2.398795E-3</v>
      </c>
      <c r="AA7374">
        <v>0.99531939999999997</v>
      </c>
      <c r="AB7374">
        <v>31</v>
      </c>
      <c r="AC7374">
        <v>31.907399999999999</v>
      </c>
      <c r="AD7374">
        <v>-1.110865210601</v>
      </c>
      <c r="AE7374">
        <v>2.8608499999999899</v>
      </c>
      <c r="AF7374">
        <v>-3.1079805092039199</v>
      </c>
      <c r="AG7374">
        <v>-1.110865210601</v>
      </c>
      <c r="AH7374">
        <v>31.845619729875501</v>
      </c>
      <c r="AI7374">
        <v>91.988389187334306</v>
      </c>
      <c r="AJ7374">
        <v>95.574141795242497</v>
      </c>
      <c r="AK7374">
        <v>32.016199967228303</v>
      </c>
      <c r="AL7374">
        <v>78.946360242830707</v>
      </c>
      <c r="AM7374">
        <v>97.537292818072501</v>
      </c>
      <c r="AN7374">
        <v>0.99999999195000899</v>
      </c>
    </row>
    <row r="7375" spans="1:40" x14ac:dyDescent="0.25">
      <c r="A7375" t="str">
        <f>"20190304154939644"</f>
        <v>20190304154939644</v>
      </c>
      <c r="B7375" t="str">
        <f>"1551685779634952"</f>
        <v>1551685779634952</v>
      </c>
      <c r="C7375" t="s">
        <v>40</v>
      </c>
      <c r="D7375">
        <v>4.2621250000000002</v>
      </c>
      <c r="E7375">
        <v>0.51103310000000002</v>
      </c>
      <c r="F7375" t="s">
        <v>68</v>
      </c>
      <c r="G7375">
        <v>-201.15360000000001</v>
      </c>
      <c r="H7375" s="1">
        <v>-5.1268580000000001E-6</v>
      </c>
      <c r="I7375">
        <v>-60.589109999999998</v>
      </c>
      <c r="J7375">
        <v>-232.74080000000001</v>
      </c>
      <c r="K7375">
        <v>1.1108750000000001</v>
      </c>
      <c r="L7375">
        <v>-63.417479999999998</v>
      </c>
      <c r="M7375">
        <v>0.99990699999999999</v>
      </c>
      <c r="N7375">
        <v>-1.1255329999999999E-2</v>
      </c>
      <c r="O7375">
        <v>-7.7043049999999998E-3</v>
      </c>
      <c r="P7375">
        <v>0.97605629999999999</v>
      </c>
      <c r="Q7375">
        <v>0.18061450000000001</v>
      </c>
      <c r="R7375">
        <v>0.1212126</v>
      </c>
      <c r="S7375">
        <v>3.0596619999999999</v>
      </c>
      <c r="T7375">
        <v>-0.1070875</v>
      </c>
      <c r="U7375">
        <v>0.27255249999999998</v>
      </c>
      <c r="V7375">
        <v>-0.12883039999999901</v>
      </c>
      <c r="W7375">
        <v>0.19151029999999999</v>
      </c>
      <c r="X7375">
        <v>0.97299869999999999</v>
      </c>
      <c r="Y7375">
        <v>-9.6320089999999997E-2</v>
      </c>
      <c r="Z7375">
        <v>2.4076459999999998E-3</v>
      </c>
      <c r="AA7375">
        <v>0.99534750000000005</v>
      </c>
      <c r="AB7375">
        <v>31</v>
      </c>
      <c r="AC7375">
        <v>31.587199999999999</v>
      </c>
      <c r="AD7375">
        <v>-1.110880126858</v>
      </c>
      <c r="AE7375">
        <v>2.8283700000000001</v>
      </c>
      <c r="AF7375">
        <v>-3.06789457891841</v>
      </c>
      <c r="AG7375">
        <v>-1.110880126858</v>
      </c>
      <c r="AH7375">
        <v>31.525788322670898</v>
      </c>
      <c r="AI7375">
        <v>92.008626571643902</v>
      </c>
      <c r="AJ7375">
        <v>95.558169450820003</v>
      </c>
      <c r="AK7375">
        <v>31.694184974052501</v>
      </c>
      <c r="AL7375">
        <v>78.959062937176597</v>
      </c>
      <c r="AM7375">
        <v>97.542405868334498</v>
      </c>
      <c r="AN7375">
        <v>0.99999996858596896</v>
      </c>
    </row>
    <row r="7376" spans="1:40" x14ac:dyDescent="0.25">
      <c r="A7376" t="str">
        <f>"20190304154939657"</f>
        <v>20190304154939657</v>
      </c>
      <c r="B7376" t="str">
        <f>"1551685779654471"</f>
        <v>1551685779654471</v>
      </c>
      <c r="C7376" t="s">
        <v>40</v>
      </c>
      <c r="D7376">
        <v>4.2596109999999996</v>
      </c>
      <c r="E7376">
        <v>0.51130829999999905</v>
      </c>
      <c r="F7376" t="s">
        <v>68</v>
      </c>
      <c r="G7376">
        <v>-201.25319999999999</v>
      </c>
      <c r="H7376" s="1">
        <v>-5.0776439999999998E-6</v>
      </c>
      <c r="I7376">
        <v>-60.6158</v>
      </c>
      <c r="J7376">
        <v>-232.58670000000001</v>
      </c>
      <c r="K7376">
        <v>1.1108880000000001</v>
      </c>
      <c r="L7376">
        <v>-63.418520000000001</v>
      </c>
      <c r="M7376">
        <v>0.99990840000000003</v>
      </c>
      <c r="N7376">
        <v>-1.1253050000000001E-2</v>
      </c>
      <c r="O7376">
        <v>-7.5322799999999997E-3</v>
      </c>
      <c r="P7376">
        <v>0.97602869999999997</v>
      </c>
      <c r="Q7376">
        <v>0.18058070000000001</v>
      </c>
      <c r="R7376">
        <v>0.1214852</v>
      </c>
      <c r="S7376">
        <v>3.0597530000000002</v>
      </c>
      <c r="T7376">
        <v>-0.10794769999999899</v>
      </c>
      <c r="U7376">
        <v>0.27224730000000003</v>
      </c>
      <c r="V7376">
        <v>-0.12894320000000001</v>
      </c>
      <c r="W7376">
        <v>0.19146820000000001</v>
      </c>
      <c r="X7376">
        <v>0.97299210000000003</v>
      </c>
      <c r="Y7376">
        <v>-9.6046859999999998E-2</v>
      </c>
      <c r="Z7376">
        <v>2.4126899999999999E-3</v>
      </c>
      <c r="AA7376">
        <v>0.99537390000000003</v>
      </c>
      <c r="AB7376">
        <v>31</v>
      </c>
      <c r="AC7376">
        <v>31.333500000000001</v>
      </c>
      <c r="AD7376">
        <v>-1.11089307764399</v>
      </c>
      <c r="AE7376">
        <v>2.8027199999999901</v>
      </c>
      <c r="AF7376">
        <v>-3.0348836079394998</v>
      </c>
      <c r="AG7376">
        <v>-1.11089307764399</v>
      </c>
      <c r="AH7376">
        <v>31.272502063465001</v>
      </c>
      <c r="AI7376">
        <v>92.024957282883307</v>
      </c>
      <c r="AJ7376">
        <v>95.542991073694097</v>
      </c>
      <c r="AK7376">
        <v>31.439051945838401</v>
      </c>
      <c r="AL7376">
        <v>78.961521183094703</v>
      </c>
      <c r="AM7376">
        <v>97.548984258687994</v>
      </c>
      <c r="AN7376">
        <v>1.00000002354994</v>
      </c>
    </row>
    <row r="7377" spans="1:40" x14ac:dyDescent="0.25">
      <c r="A7377" t="str">
        <f>"20190304154939667"</f>
        <v>20190304154939667</v>
      </c>
      <c r="B7377" t="str">
        <f>"1551685779664231"</f>
        <v>1551685779664231</v>
      </c>
      <c r="C7377" t="s">
        <v>40</v>
      </c>
      <c r="D7377">
        <v>4.2430389999999996</v>
      </c>
      <c r="E7377">
        <v>0.51136269999999995</v>
      </c>
      <c r="F7377" t="s">
        <v>68</v>
      </c>
      <c r="G7377">
        <v>-201.036</v>
      </c>
      <c r="H7377" s="1">
        <v>-5.1887379999999998E-6</v>
      </c>
      <c r="I7377">
        <v>-60.623280000000001</v>
      </c>
      <c r="J7377">
        <v>-232.43639999999999</v>
      </c>
      <c r="K7377">
        <v>1.110905</v>
      </c>
      <c r="L7377">
        <v>-63.419460000000001</v>
      </c>
      <c r="M7377">
        <v>0.99990970000000001</v>
      </c>
      <c r="N7377">
        <v>-1.125105E-2</v>
      </c>
      <c r="O7377">
        <v>-7.3526269999999996E-3</v>
      </c>
      <c r="P7377">
        <v>0.97602259999999996</v>
      </c>
      <c r="Q7377">
        <v>0.18062300000000001</v>
      </c>
      <c r="R7377">
        <v>0.1214717</v>
      </c>
      <c r="S7377">
        <v>3.05986</v>
      </c>
      <c r="T7377">
        <v>-0.1077371</v>
      </c>
      <c r="U7377">
        <v>0.27108759999999998</v>
      </c>
      <c r="V7377">
        <v>-0.12876279999999901</v>
      </c>
      <c r="W7377">
        <v>0.19150329999999999</v>
      </c>
      <c r="X7377">
        <v>0.97300900000000001</v>
      </c>
      <c r="Y7377">
        <v>-9.5491430000000002E-2</v>
      </c>
      <c r="Z7377">
        <v>2.391565E-3</v>
      </c>
      <c r="AA7377">
        <v>0.99542739999999996</v>
      </c>
      <c r="AB7377">
        <v>31</v>
      </c>
      <c r="AC7377">
        <v>31.400400000000001</v>
      </c>
      <c r="AD7377">
        <v>-1.110910188738</v>
      </c>
      <c r="AE7377">
        <v>2.7961800000000001</v>
      </c>
      <c r="AF7377">
        <v>-3.0232401356001501</v>
      </c>
      <c r="AG7377">
        <v>-1.110910188738</v>
      </c>
      <c r="AH7377">
        <v>31.3400719366551</v>
      </c>
      <c r="AI7377">
        <v>92.020738550223399</v>
      </c>
      <c r="AJ7377">
        <v>95.510024918112904</v>
      </c>
      <c r="AK7377">
        <v>31.505145791753801</v>
      </c>
      <c r="AL7377">
        <v>78.959471288564998</v>
      </c>
      <c r="AM7377">
        <v>97.538414855965499</v>
      </c>
      <c r="AN7377">
        <v>0.99999994332786302</v>
      </c>
    </row>
    <row r="7378" spans="1:40" x14ac:dyDescent="0.25">
      <c r="A7378" t="str">
        <f>"20190304154939679"</f>
        <v>20190304154939679</v>
      </c>
      <c r="B7378" t="str">
        <f>"1551685779674968"</f>
        <v>1551685779674968</v>
      </c>
      <c r="C7378" t="s">
        <v>40</v>
      </c>
      <c r="D7378">
        <v>4.2513779999999999</v>
      </c>
      <c r="E7378">
        <v>0.5114805</v>
      </c>
      <c r="F7378" t="s">
        <v>68</v>
      </c>
      <c r="G7378">
        <v>-200.7861</v>
      </c>
      <c r="H7378" s="1">
        <v>-5.3157169999999996E-6</v>
      </c>
      <c r="I7378">
        <v>-60.6166699999999</v>
      </c>
      <c r="J7378">
        <v>-232.27670000000001</v>
      </c>
      <c r="K7378">
        <v>1.110927</v>
      </c>
      <c r="L7378">
        <v>-63.420439999999999</v>
      </c>
      <c r="M7378">
        <v>0.99991129999999995</v>
      </c>
      <c r="N7378">
        <v>-1.1249169999999999E-2</v>
      </c>
      <c r="O7378">
        <v>-7.1456530000000001E-3</v>
      </c>
      <c r="P7378">
        <v>0.97601700000000002</v>
      </c>
      <c r="Q7378">
        <v>0.18053669999999999</v>
      </c>
      <c r="R7378">
        <v>0.1216455</v>
      </c>
      <c r="S7378">
        <v>3.05986</v>
      </c>
      <c r="T7378">
        <v>-0.1073996</v>
      </c>
      <c r="U7378">
        <v>0.27096559999999997</v>
      </c>
      <c r="V7378">
        <v>-0.12874479999999999</v>
      </c>
      <c r="W7378">
        <v>0.1914092</v>
      </c>
      <c r="X7378">
        <v>0.97302999999999995</v>
      </c>
      <c r="Y7378">
        <v>-9.524668E-2</v>
      </c>
      <c r="Z7378">
        <v>2.3748390000000001E-3</v>
      </c>
      <c r="AA7378">
        <v>0.99545090000000003</v>
      </c>
      <c r="AB7378">
        <v>31</v>
      </c>
      <c r="AC7378">
        <v>31.490600000000001</v>
      </c>
      <c r="AD7378">
        <v>-1.1109323157169999</v>
      </c>
      <c r="AE7378">
        <v>2.8037700000000001</v>
      </c>
      <c r="AF7378">
        <v>-3.0249983640129501</v>
      </c>
      <c r="AG7378">
        <v>-1.1109323157169999</v>
      </c>
      <c r="AH7378">
        <v>31.430950072588399</v>
      </c>
      <c r="AI7378">
        <v>92.014983650989606</v>
      </c>
      <c r="AJ7378">
        <v>95.497366778103199</v>
      </c>
      <c r="AK7378">
        <v>31.595718193735198</v>
      </c>
      <c r="AL7378">
        <v>78.9649655539137</v>
      </c>
      <c r="AM7378">
        <v>97.5372123614858</v>
      </c>
      <c r="AN7378">
        <v>1.00000004313583</v>
      </c>
    </row>
    <row r="7379" spans="1:40" x14ac:dyDescent="0.25">
      <c r="A7379" t="str">
        <f>"20190304154939690"</f>
        <v>20190304154939690</v>
      </c>
      <c r="B7379" t="str">
        <f>"1551685779684727"</f>
        <v>1551685779684727</v>
      </c>
      <c r="C7379" t="s">
        <v>40</v>
      </c>
      <c r="D7379">
        <v>4.2573780000000001</v>
      </c>
      <c r="E7379">
        <v>0.51160879999999997</v>
      </c>
      <c r="F7379" t="s">
        <v>68</v>
      </c>
      <c r="G7379">
        <v>-200.63159999999999</v>
      </c>
      <c r="H7379" s="1">
        <v>-5.39454399999999E-6</v>
      </c>
      <c r="I7379">
        <v>-60.619010000000003</v>
      </c>
      <c r="J7379">
        <v>-232.1181</v>
      </c>
      <c r="K7379">
        <v>1.110948</v>
      </c>
      <c r="L7379">
        <v>-63.421390000000002</v>
      </c>
      <c r="M7379">
        <v>0.99991269999999999</v>
      </c>
      <c r="N7379">
        <v>-1.1247429999999999E-2</v>
      </c>
      <c r="O7379">
        <v>-6.9314060000000002E-3</v>
      </c>
      <c r="P7379">
        <v>0.97604570000000002</v>
      </c>
      <c r="Q7379">
        <v>0.1804606</v>
      </c>
      <c r="R7379">
        <v>0.1215268</v>
      </c>
      <c r="S7379">
        <v>3.0598139999999998</v>
      </c>
      <c r="T7379">
        <v>-0.1074177</v>
      </c>
      <c r="U7379">
        <v>0.270874</v>
      </c>
      <c r="V7379">
        <v>-0.1284264</v>
      </c>
      <c r="W7379">
        <v>0.19132540000000001</v>
      </c>
      <c r="X7379">
        <v>0.97308850000000002</v>
      </c>
      <c r="Y7379">
        <v>-9.5005389999999995E-2</v>
      </c>
      <c r="Z7379">
        <v>2.3644339999999999E-3</v>
      </c>
      <c r="AA7379">
        <v>0.99547399999999997</v>
      </c>
      <c r="AB7379">
        <v>31</v>
      </c>
      <c r="AC7379">
        <v>31.486499999999999</v>
      </c>
      <c r="AD7379">
        <v>-1.110953394544</v>
      </c>
      <c r="AE7379">
        <v>2.8023799999999999</v>
      </c>
      <c r="AF7379">
        <v>-3.01684596960476</v>
      </c>
      <c r="AG7379">
        <v>-1.110953394544</v>
      </c>
      <c r="AH7379">
        <v>31.427500492319201</v>
      </c>
      <c r="AI7379">
        <v>92.015290565003198</v>
      </c>
      <c r="AJ7379">
        <v>95.483239850479194</v>
      </c>
      <c r="AK7379">
        <v>31.591507786807099</v>
      </c>
      <c r="AL7379">
        <v>78.969856741637301</v>
      </c>
      <c r="AM7379">
        <v>97.518338690293106</v>
      </c>
      <c r="AN7379">
        <v>0.999999988867184</v>
      </c>
    </row>
    <row r="7380" spans="1:40" x14ac:dyDescent="0.25">
      <c r="A7380" t="str">
        <f>"20190304154939702"</f>
        <v>20190304154939702</v>
      </c>
      <c r="B7380" t="str">
        <f>"1551685779694488"</f>
        <v>1551685779694488</v>
      </c>
      <c r="C7380" t="s">
        <v>40</v>
      </c>
      <c r="D7380">
        <v>4.2475040000000002</v>
      </c>
      <c r="E7380">
        <v>0.5116406</v>
      </c>
      <c r="F7380" t="s">
        <v>68</v>
      </c>
      <c r="G7380">
        <v>-200.49680000000001</v>
      </c>
      <c r="H7380" s="1">
        <v>-5.46415E-6</v>
      </c>
      <c r="I7380">
        <v>-60.634779999999999</v>
      </c>
      <c r="J7380">
        <v>-231.9649</v>
      </c>
      <c r="K7380">
        <v>1.110968</v>
      </c>
      <c r="L7380">
        <v>-63.42221</v>
      </c>
      <c r="M7380">
        <v>0.99991439999999998</v>
      </c>
      <c r="N7380">
        <v>-1.124605E-2</v>
      </c>
      <c r="O7380">
        <v>-6.7002240000000003E-3</v>
      </c>
      <c r="P7380">
        <v>0.97601380000000004</v>
      </c>
      <c r="Q7380">
        <v>0.18040059999999999</v>
      </c>
      <c r="R7380">
        <v>0.1218736</v>
      </c>
      <c r="S7380">
        <v>3.0599370000000001</v>
      </c>
      <c r="T7380">
        <v>-0.1075048</v>
      </c>
      <c r="U7380">
        <v>0.26965329999999998</v>
      </c>
      <c r="V7380">
        <v>-0.12855800000000001</v>
      </c>
      <c r="W7380">
        <v>0.1912576</v>
      </c>
      <c r="X7380">
        <v>0.97308439999999996</v>
      </c>
      <c r="Y7380">
        <v>-9.4378139999999999E-2</v>
      </c>
      <c r="Z7380">
        <v>2.345831E-3</v>
      </c>
      <c r="AA7380">
        <v>0.99553360000000002</v>
      </c>
      <c r="AB7380">
        <v>31</v>
      </c>
      <c r="AC7380">
        <v>31.4681</v>
      </c>
      <c r="AD7380">
        <v>-1.11097346415</v>
      </c>
      <c r="AE7380">
        <v>2.7874299999999899</v>
      </c>
      <c r="AF7380">
        <v>-2.99452066926602</v>
      </c>
      <c r="AG7380">
        <v>-1.11097346415</v>
      </c>
      <c r="AH7380">
        <v>31.409870698188101</v>
      </c>
      <c r="AI7380">
        <v>92.016582643972498</v>
      </c>
      <c r="AJ7380">
        <v>95.445943937220704</v>
      </c>
      <c r="AK7380">
        <v>31.571844946939699</v>
      </c>
      <c r="AL7380">
        <v>78.973813927803903</v>
      </c>
      <c r="AM7380">
        <v>97.525985898374699</v>
      </c>
      <c r="AN7380">
        <v>0.99999993922255803</v>
      </c>
    </row>
    <row r="7381" spans="1:40" x14ac:dyDescent="0.25">
      <c r="A7381" t="str">
        <f>"20190304154939713"</f>
        <v>20190304154939713</v>
      </c>
      <c r="B7381" t="str">
        <f>"1551685779704248"</f>
        <v>1551685779704248</v>
      </c>
      <c r="C7381" t="s">
        <v>40</v>
      </c>
      <c r="D7381">
        <v>4.2192540000000003</v>
      </c>
      <c r="E7381">
        <v>0.51166210000000001</v>
      </c>
      <c r="F7381" t="s">
        <v>68</v>
      </c>
      <c r="G7381">
        <v>-200.3631</v>
      </c>
      <c r="H7381" s="1">
        <v>-5.5318579999999996E-6</v>
      </c>
      <c r="I7381">
        <v>-60.62715</v>
      </c>
      <c r="J7381">
        <v>-231.82069999999999</v>
      </c>
      <c r="K7381">
        <v>1.1109880000000001</v>
      </c>
      <c r="L7381">
        <v>-63.423000000000002</v>
      </c>
      <c r="M7381">
        <v>0.99991589999999997</v>
      </c>
      <c r="N7381">
        <v>-1.1244799999999999E-2</v>
      </c>
      <c r="O7381">
        <v>-6.4785930000000004E-3</v>
      </c>
      <c r="P7381">
        <v>0.97606800000000005</v>
      </c>
      <c r="Q7381">
        <v>0.18013419999999999</v>
      </c>
      <c r="R7381">
        <v>0.1218323</v>
      </c>
      <c r="S7381">
        <v>3.0598299999999998</v>
      </c>
      <c r="T7381">
        <v>-0.1075695</v>
      </c>
      <c r="U7381">
        <v>0.27062989999999998</v>
      </c>
      <c r="V7381">
        <v>-0.1283097</v>
      </c>
      <c r="W7381">
        <v>0.19098470000000001</v>
      </c>
      <c r="X7381">
        <v>0.9731708</v>
      </c>
      <c r="Y7381">
        <v>-9.4475690000000001E-2</v>
      </c>
      <c r="Z7381">
        <v>2.3439350000000001E-3</v>
      </c>
      <c r="AA7381">
        <v>0.99552439999999998</v>
      </c>
      <c r="AB7381">
        <v>31</v>
      </c>
      <c r="AC7381">
        <v>31.4575999999999</v>
      </c>
      <c r="AD7381">
        <v>-1.11099353185799</v>
      </c>
      <c r="AE7381">
        <v>2.7958500000000002</v>
      </c>
      <c r="AF7381">
        <v>-2.99589766277942</v>
      </c>
      <c r="AG7381">
        <v>-1.11099353185799</v>
      </c>
      <c r="AH7381">
        <v>31.399967099288901</v>
      </c>
      <c r="AI7381">
        <v>92.017240476826998</v>
      </c>
      <c r="AJ7381">
        <v>95.450141220146904</v>
      </c>
      <c r="AK7381">
        <v>31.562123554509199</v>
      </c>
      <c r="AL7381">
        <v>78.989743934283595</v>
      </c>
      <c r="AM7381">
        <v>97.510956893758006</v>
      </c>
      <c r="AN7381">
        <v>0.999999970360409</v>
      </c>
    </row>
    <row r="7382" spans="1:40" x14ac:dyDescent="0.25">
      <c r="A7382" t="str">
        <f>"20190304154939723"</f>
        <v>20190304154939723</v>
      </c>
      <c r="B7382" t="str">
        <f>"1551685779714984"</f>
        <v>1551685779714984</v>
      </c>
      <c r="C7382" t="s">
        <v>40</v>
      </c>
      <c r="D7382">
        <v>4.2528129999999997</v>
      </c>
      <c r="E7382">
        <v>0.5116214</v>
      </c>
      <c r="F7382" t="s">
        <v>68</v>
      </c>
      <c r="G7382">
        <v>-200.4485</v>
      </c>
      <c r="H7382" s="1">
        <v>-5.4897339999999998E-6</v>
      </c>
      <c r="I7382">
        <v>-60.651369999999901</v>
      </c>
      <c r="J7382">
        <v>-231.6661</v>
      </c>
      <c r="K7382">
        <v>1.111011</v>
      </c>
      <c r="L7382">
        <v>-63.423769999999998</v>
      </c>
      <c r="M7382">
        <v>0.99991739999999996</v>
      </c>
      <c r="N7382">
        <v>-1.124374E-2</v>
      </c>
      <c r="O7382">
        <v>-6.2153190000000004E-3</v>
      </c>
      <c r="P7382">
        <v>0.97610030000000003</v>
      </c>
      <c r="Q7382">
        <v>0.17995420000000001</v>
      </c>
      <c r="R7382">
        <v>0.12183819999999999</v>
      </c>
      <c r="S7382">
        <v>3.0598139999999998</v>
      </c>
      <c r="T7382">
        <v>-0.1083581</v>
      </c>
      <c r="U7382">
        <v>0.27032469999999997</v>
      </c>
      <c r="V7382">
        <v>-0.12806989999999999</v>
      </c>
      <c r="W7382">
        <v>0.19079740000000001</v>
      </c>
      <c r="X7382">
        <v>0.97323910000000002</v>
      </c>
      <c r="Y7382">
        <v>-9.4114809999999993E-2</v>
      </c>
      <c r="Z7382">
        <v>2.3429570000000001E-3</v>
      </c>
      <c r="AA7382">
        <v>0.99555859999999996</v>
      </c>
      <c r="AB7382">
        <v>31</v>
      </c>
      <c r="AC7382">
        <v>31.217600000000001</v>
      </c>
      <c r="AD7382">
        <v>-1.111016489734</v>
      </c>
      <c r="AE7382">
        <v>2.7724000000000002</v>
      </c>
      <c r="AF7382">
        <v>-2.9626628996715199</v>
      </c>
      <c r="AG7382">
        <v>-1.111016489734</v>
      </c>
      <c r="AH7382">
        <v>31.160605106969602</v>
      </c>
      <c r="AI7382">
        <v>92.032829012049604</v>
      </c>
      <c r="AJ7382">
        <v>95.431195802577193</v>
      </c>
      <c r="AK7382">
        <v>31.320840342015899</v>
      </c>
      <c r="AL7382">
        <v>79.000676203750004</v>
      </c>
      <c r="AM7382">
        <v>97.496559228125705</v>
      </c>
      <c r="AN7382">
        <v>0.99999994645078805</v>
      </c>
    </row>
    <row r="7383" spans="1:40" x14ac:dyDescent="0.25">
      <c r="A7383" t="str">
        <f>"20190304154939735"</f>
        <v>20190304154939735</v>
      </c>
      <c r="B7383" t="str">
        <f>"1551685779724744"</f>
        <v>1551685779724744</v>
      </c>
      <c r="C7383" t="s">
        <v>40</v>
      </c>
      <c r="D7383">
        <v>4.2611829999999999</v>
      </c>
      <c r="E7383">
        <v>0.51164030000000005</v>
      </c>
      <c r="F7383" t="s">
        <v>68</v>
      </c>
      <c r="G7383">
        <v>-200.50040000000001</v>
      </c>
      <c r="H7383" s="1">
        <v>-5.4641080000000001E-6</v>
      </c>
      <c r="I7383">
        <v>-60.665990000000001</v>
      </c>
      <c r="J7383">
        <v>-231.5093</v>
      </c>
      <c r="K7383">
        <v>1.1110340000000001</v>
      </c>
      <c r="L7383">
        <v>-63.4244699999999</v>
      </c>
      <c r="M7383">
        <v>0.99991929999999996</v>
      </c>
      <c r="N7383">
        <v>-1.1242759999999999E-2</v>
      </c>
      <c r="O7383">
        <v>-5.9398810000000002E-3</v>
      </c>
      <c r="P7383">
        <v>0.97611760000000003</v>
      </c>
      <c r="Q7383">
        <v>0.17972669999999999</v>
      </c>
      <c r="R7383">
        <v>0.12203749999999999</v>
      </c>
      <c r="S7383">
        <v>3.0597690000000002</v>
      </c>
      <c r="T7383">
        <v>-0.10907699999999999</v>
      </c>
      <c r="U7383">
        <v>0.27075199999999999</v>
      </c>
      <c r="V7383">
        <v>-0.1280114</v>
      </c>
      <c r="W7383">
        <v>0.19056149999999999</v>
      </c>
      <c r="X7383">
        <v>0.97329310000000002</v>
      </c>
      <c r="Y7383">
        <v>-9.3979060000000003E-2</v>
      </c>
      <c r="Z7383">
        <v>2.3455310000000001E-3</v>
      </c>
      <c r="AA7383">
        <v>0.9955714</v>
      </c>
      <c r="AB7383">
        <v>31</v>
      </c>
      <c r="AC7383">
        <v>31.008899999999901</v>
      </c>
      <c r="AD7383">
        <v>-1.1110394641079999</v>
      </c>
      <c r="AE7383">
        <v>2.7584799999999898</v>
      </c>
      <c r="AF7383">
        <v>-2.93888889500756</v>
      </c>
      <c r="AG7383">
        <v>-1.1110394641079999</v>
      </c>
      <c r="AH7383">
        <v>30.952542941704898</v>
      </c>
      <c r="AI7383">
        <v>92.046549169551895</v>
      </c>
      <c r="AJ7383">
        <v>95.423872314557102</v>
      </c>
      <c r="AK7383">
        <v>31.111595767271201</v>
      </c>
      <c r="AL7383">
        <v>79.014445844255306</v>
      </c>
      <c r="AM7383">
        <v>97.492762846115895</v>
      </c>
      <c r="AN7383">
        <v>1.0000000311599</v>
      </c>
    </row>
    <row r="7384" spans="1:40" x14ac:dyDescent="0.25">
      <c r="A7384" t="str">
        <f>"20190304154939746"</f>
        <v>20190304154939746</v>
      </c>
      <c r="B7384" t="str">
        <f>"1551685779734504"</f>
        <v>1551685779734504</v>
      </c>
      <c r="C7384" t="s">
        <v>40</v>
      </c>
      <c r="D7384">
        <v>4.2229559999999999</v>
      </c>
      <c r="E7384">
        <v>0.51165850000000002</v>
      </c>
      <c r="F7384" t="s">
        <v>68</v>
      </c>
      <c r="G7384">
        <v>-200.5609</v>
      </c>
      <c r="H7384" s="1">
        <v>-5.4341469999999996E-6</v>
      </c>
      <c r="I7384">
        <v>-60.68094</v>
      </c>
      <c r="J7384">
        <v>-231.3571</v>
      </c>
      <c r="K7384">
        <v>1.111056</v>
      </c>
      <c r="L7384">
        <v>-63.425139999999999</v>
      </c>
      <c r="M7384">
        <v>0.9999209</v>
      </c>
      <c r="N7384">
        <v>-1.124197E-2</v>
      </c>
      <c r="O7384">
        <v>-5.6550350000000001E-3</v>
      </c>
      <c r="P7384">
        <v>0.97616230000000004</v>
      </c>
      <c r="Q7384">
        <v>0.17936060000000001</v>
      </c>
      <c r="R7384">
        <v>0.1222182</v>
      </c>
      <c r="S7384">
        <v>3.059723</v>
      </c>
      <c r="T7384">
        <v>-0.10984339999999999</v>
      </c>
      <c r="U7384">
        <v>0.27124019999999999</v>
      </c>
      <c r="V7384">
        <v>-0.1279257</v>
      </c>
      <c r="W7384">
        <v>0.19018850000000001</v>
      </c>
      <c r="X7384">
        <v>0.9733773</v>
      </c>
      <c r="Y7384">
        <v>-9.3853610000000004E-2</v>
      </c>
      <c r="Z7384">
        <v>2.3487790000000001E-3</v>
      </c>
      <c r="AA7384">
        <v>0.9955832</v>
      </c>
      <c r="AB7384">
        <v>31</v>
      </c>
      <c r="AC7384">
        <v>30.796199999999999</v>
      </c>
      <c r="AD7384">
        <v>-1.111061434147</v>
      </c>
      <c r="AE7384">
        <v>2.7442000000000002</v>
      </c>
      <c r="AF7384">
        <v>-2.9145569553673898</v>
      </c>
      <c r="AG7384">
        <v>-1.111061434147</v>
      </c>
      <c r="AH7384">
        <v>30.740490968366501</v>
      </c>
      <c r="AI7384">
        <v>92.060721559839607</v>
      </c>
      <c r="AJ7384">
        <v>95.416117698752004</v>
      </c>
      <c r="AK7384">
        <v>30.898331423116598</v>
      </c>
      <c r="AL7384">
        <v>79.036215057699295</v>
      </c>
      <c r="AM7384">
        <v>97.487163224257003</v>
      </c>
      <c r="AN7384">
        <v>1.00000000920401</v>
      </c>
    </row>
    <row r="7385" spans="1:40" x14ac:dyDescent="0.25">
      <c r="A7385" t="str">
        <f>"20190304154939756"</f>
        <v>20190304154939756</v>
      </c>
      <c r="B7385" t="str">
        <f>"1551685779755000"</f>
        <v>1551685779755000</v>
      </c>
      <c r="C7385" t="s">
        <v>40</v>
      </c>
      <c r="D7385">
        <v>4.239738</v>
      </c>
      <c r="E7385">
        <v>0.51171759999999999</v>
      </c>
      <c r="F7385" t="s">
        <v>68</v>
      </c>
      <c r="G7385">
        <v>-200.71279999999999</v>
      </c>
      <c r="H7385" s="1">
        <v>-5.3582319999999998E-6</v>
      </c>
      <c r="I7385">
        <v>-60.705730000000003</v>
      </c>
      <c r="J7385">
        <v>-231.20849999999999</v>
      </c>
      <c r="K7385">
        <v>1.1110799999999901</v>
      </c>
      <c r="L7385">
        <v>-63.425690000000003</v>
      </c>
      <c r="M7385">
        <v>0.99992250000000005</v>
      </c>
      <c r="N7385">
        <v>-1.1241269999999999E-2</v>
      </c>
      <c r="O7385">
        <v>-5.3639999999999998E-3</v>
      </c>
      <c r="P7385">
        <v>0.97619299999999998</v>
      </c>
      <c r="Q7385">
        <v>0.1789645</v>
      </c>
      <c r="R7385">
        <v>0.1225522</v>
      </c>
      <c r="S7385">
        <v>3.059647</v>
      </c>
      <c r="T7385">
        <v>-0.11093260000000001</v>
      </c>
      <c r="U7385">
        <v>0.2715149</v>
      </c>
      <c r="V7385">
        <v>-0.12798599999999999</v>
      </c>
      <c r="W7385">
        <v>0.18978539999999999</v>
      </c>
      <c r="X7385">
        <v>0.97344799999999998</v>
      </c>
      <c r="Y7385">
        <v>-9.3653529999999999E-2</v>
      </c>
      <c r="Z7385">
        <v>2.355448E-3</v>
      </c>
      <c r="AA7385">
        <v>0.99560210000000005</v>
      </c>
      <c r="AB7385">
        <v>31</v>
      </c>
      <c r="AC7385">
        <v>30.495699999999999</v>
      </c>
      <c r="AD7385">
        <v>-1.1110853582319999</v>
      </c>
      <c r="AE7385">
        <v>2.7199599999999999</v>
      </c>
      <c r="AF7385">
        <v>-2.8797176176124601</v>
      </c>
      <c r="AG7385">
        <v>-1.1110853582319999</v>
      </c>
      <c r="AH7385">
        <v>30.440581053653698</v>
      </c>
      <c r="AI7385">
        <v>92.081092486562895</v>
      </c>
      <c r="AJ7385">
        <v>95.404170422593296</v>
      </c>
      <c r="AK7385">
        <v>30.5966707194512</v>
      </c>
      <c r="AL7385">
        <v>79.059738916497807</v>
      </c>
      <c r="AM7385">
        <v>97.490114503916701</v>
      </c>
      <c r="AN7385">
        <v>0.99999996147657899</v>
      </c>
    </row>
    <row r="7386" spans="1:40" x14ac:dyDescent="0.25">
      <c r="A7386" t="str">
        <f>"20190304154939767"</f>
        <v>20190304154939767</v>
      </c>
      <c r="B7386" t="str">
        <f>"1551685779764759"</f>
        <v>1551685779764759</v>
      </c>
      <c r="C7386" t="s">
        <v>40</v>
      </c>
      <c r="D7386">
        <v>4.2222900000000001</v>
      </c>
      <c r="E7386">
        <v>0.51172879999999998</v>
      </c>
      <c r="F7386" t="s">
        <v>68</v>
      </c>
      <c r="G7386">
        <v>-200.91730000000001</v>
      </c>
      <c r="H7386" s="1">
        <v>-5.2556119999999996E-6</v>
      </c>
      <c r="I7386">
        <v>-60.733080000000001</v>
      </c>
      <c r="J7386">
        <v>-231.0581</v>
      </c>
      <c r="K7386">
        <v>1.111102</v>
      </c>
      <c r="L7386">
        <v>-63.42624</v>
      </c>
      <c r="M7386">
        <v>0.99992420000000004</v>
      </c>
      <c r="N7386">
        <v>-1.124062E-2</v>
      </c>
      <c r="O7386">
        <v>-5.0573470000000002E-3</v>
      </c>
      <c r="P7386">
        <v>0.97620099999999999</v>
      </c>
      <c r="Q7386">
        <v>0.1788824</v>
      </c>
      <c r="R7386">
        <v>0.1226097</v>
      </c>
      <c r="S7386">
        <v>3.059631</v>
      </c>
      <c r="T7386">
        <v>-0.1122276</v>
      </c>
      <c r="U7386">
        <v>0.27197270000000001</v>
      </c>
      <c r="V7386">
        <v>-0.1277557</v>
      </c>
      <c r="W7386">
        <v>0.189696</v>
      </c>
      <c r="X7386">
        <v>0.97349569999999996</v>
      </c>
      <c r="Y7386">
        <v>-9.3494939999999999E-2</v>
      </c>
      <c r="Z7386">
        <v>2.3658709999999999E-3</v>
      </c>
      <c r="AA7386">
        <v>0.99561699999999997</v>
      </c>
      <c r="AB7386">
        <v>31</v>
      </c>
      <c r="AC7386">
        <v>30.140799999999899</v>
      </c>
      <c r="AD7386">
        <v>-1.1111072556119901</v>
      </c>
      <c r="AE7386">
        <v>2.69315999999999</v>
      </c>
      <c r="AF7386">
        <v>-2.8417364636418201</v>
      </c>
      <c r="AG7386">
        <v>-1.1111072556119901</v>
      </c>
      <c r="AH7386">
        <v>30.086231650120101</v>
      </c>
      <c r="AI7386">
        <v>92.105651901829404</v>
      </c>
      <c r="AJ7386">
        <v>95.395753499648094</v>
      </c>
      <c r="AK7386">
        <v>30.240558201973599</v>
      </c>
      <c r="AL7386">
        <v>79.064956186502599</v>
      </c>
      <c r="AM7386">
        <v>97.476427089683199</v>
      </c>
      <c r="AN7386">
        <v>0.99999998460848905</v>
      </c>
    </row>
    <row r="7387" spans="1:40" x14ac:dyDescent="0.25">
      <c r="A7387" t="str">
        <f>"20190304154939780"</f>
        <v>20190304154939780</v>
      </c>
      <c r="B7387" t="str">
        <f>"1551685779774521"</f>
        <v>1551685779774521</v>
      </c>
      <c r="C7387" t="s">
        <v>40</v>
      </c>
      <c r="D7387">
        <v>4.2316060000000002</v>
      </c>
      <c r="E7387">
        <v>0.51176960000000005</v>
      </c>
      <c r="F7387" t="s">
        <v>68</v>
      </c>
      <c r="G7387">
        <v>-200.80279999999999</v>
      </c>
      <c r="H7387" s="1">
        <v>-5.3141139999999996E-6</v>
      </c>
      <c r="I7387">
        <v>-60.736460000000001</v>
      </c>
      <c r="J7387">
        <v>-230.8965</v>
      </c>
      <c r="K7387">
        <v>1.111127</v>
      </c>
      <c r="L7387">
        <v>-63.426699999999997</v>
      </c>
      <c r="M7387">
        <v>0.99992590000000003</v>
      </c>
      <c r="N7387">
        <v>-1.1240119999999999E-2</v>
      </c>
      <c r="O7387">
        <v>-4.707765E-3</v>
      </c>
      <c r="P7387">
        <v>0.97620220000000002</v>
      </c>
      <c r="Q7387">
        <v>0.17863370000000001</v>
      </c>
      <c r="R7387">
        <v>0.1229615</v>
      </c>
      <c r="S7387">
        <v>3.059555</v>
      </c>
      <c r="T7387">
        <v>-0.1123605</v>
      </c>
      <c r="U7387">
        <v>0.2720032</v>
      </c>
      <c r="V7387">
        <v>-0.12777740000000001</v>
      </c>
      <c r="W7387">
        <v>0.18943940000000001</v>
      </c>
      <c r="X7387">
        <v>0.97354280000000004</v>
      </c>
      <c r="Y7387">
        <v>-9.3159130000000007E-2</v>
      </c>
      <c r="Z7387">
        <v>2.351208E-3</v>
      </c>
      <c r="AA7387">
        <v>0.99564839999999999</v>
      </c>
      <c r="AB7387">
        <v>31</v>
      </c>
      <c r="AC7387">
        <v>30.093699999999998</v>
      </c>
      <c r="AD7387">
        <v>-1.1111323141139999</v>
      </c>
      <c r="AE7387">
        <v>2.69023999999999</v>
      </c>
      <c r="AF7387">
        <v>-2.8280683391889898</v>
      </c>
      <c r="AG7387">
        <v>-1.1111323141139999</v>
      </c>
      <c r="AH7387">
        <v>30.040072747100901</v>
      </c>
      <c r="AI7387">
        <v>92.1089930227037</v>
      </c>
      <c r="AJ7387">
        <v>95.378156196248099</v>
      </c>
      <c r="AK7387">
        <v>30.1933528479648</v>
      </c>
      <c r="AL7387">
        <v>79.079929593839694</v>
      </c>
      <c r="AM7387">
        <v>97.477324954962398</v>
      </c>
      <c r="AN7387">
        <v>0.99999996682747905</v>
      </c>
    </row>
    <row r="7388" spans="1:40" x14ac:dyDescent="0.25">
      <c r="A7388" t="str">
        <f>"20190304154939792"</f>
        <v>20190304154939792</v>
      </c>
      <c r="B7388" t="str">
        <f>"1551685779784279"</f>
        <v>1551685779784279</v>
      </c>
      <c r="C7388" t="s">
        <v>40</v>
      </c>
      <c r="D7388">
        <v>4.1548860000000003</v>
      </c>
      <c r="E7388">
        <v>0.51176630000000001</v>
      </c>
      <c r="F7388" t="s">
        <v>68</v>
      </c>
      <c r="G7388">
        <v>-200.85040000000001</v>
      </c>
      <c r="H7388" s="1">
        <v>-5.2905499999999997E-6</v>
      </c>
      <c r="I7388">
        <v>-60.74794</v>
      </c>
      <c r="J7388">
        <v>-230.7373</v>
      </c>
      <c r="K7388">
        <v>1.111157</v>
      </c>
      <c r="L7388">
        <v>-63.427120000000002</v>
      </c>
      <c r="M7388">
        <v>0.99992749999999997</v>
      </c>
      <c r="N7388">
        <v>-1.123971E-2</v>
      </c>
      <c r="O7388">
        <v>-4.3555690000000001E-3</v>
      </c>
      <c r="P7388">
        <v>0.97620620000000002</v>
      </c>
      <c r="Q7388">
        <v>0.17840320000000001</v>
      </c>
      <c r="R7388">
        <v>0.1232637</v>
      </c>
      <c r="S7388">
        <v>3.0594640000000002</v>
      </c>
      <c r="T7388">
        <v>-0.1131419</v>
      </c>
      <c r="U7388">
        <v>0.27276610000000001</v>
      </c>
      <c r="V7388">
        <v>-0.12774669999999999</v>
      </c>
      <c r="W7388">
        <v>0.18920149999999999</v>
      </c>
      <c r="X7388">
        <v>0.97359309999999999</v>
      </c>
      <c r="Y7388">
        <v>-9.3056600000000003E-2</v>
      </c>
      <c r="Z7388">
        <v>2.352781E-3</v>
      </c>
      <c r="AA7388">
        <v>0.99565800000000004</v>
      </c>
      <c r="AB7388">
        <v>31</v>
      </c>
      <c r="AC7388">
        <v>29.886900000000001</v>
      </c>
      <c r="AD7388">
        <v>-1.11116229055</v>
      </c>
      <c r="AE7388">
        <v>2.6791799999999899</v>
      </c>
      <c r="AF7388">
        <v>-2.8054902084956099</v>
      </c>
      <c r="AG7388">
        <v>-1.11116229055</v>
      </c>
      <c r="AH7388">
        <v>29.834036408236599</v>
      </c>
      <c r="AI7388">
        <v>92.123622951993099</v>
      </c>
      <c r="AJ7388">
        <v>95.372100342354202</v>
      </c>
      <c r="AK7388">
        <v>29.986249938161599</v>
      </c>
      <c r="AL7388">
        <v>79.093811403679297</v>
      </c>
      <c r="AM7388">
        <v>97.475166911350897</v>
      </c>
      <c r="AN7388">
        <v>0.99999997566537402</v>
      </c>
    </row>
    <row r="7389" spans="1:40" x14ac:dyDescent="0.25">
      <c r="A7389" t="str">
        <f>"20190304154939802"</f>
        <v>20190304154939802</v>
      </c>
      <c r="B7389" t="str">
        <f>"1551685779794039"</f>
        <v>1551685779794039</v>
      </c>
      <c r="C7389" t="s">
        <v>40</v>
      </c>
      <c r="D7389">
        <v>4.2137169999999999</v>
      </c>
      <c r="E7389">
        <v>0.5118182</v>
      </c>
      <c r="F7389" t="s">
        <v>68</v>
      </c>
      <c r="G7389">
        <v>-201.16579999999999</v>
      </c>
      <c r="H7389" s="1">
        <v>-5.131709E-6</v>
      </c>
      <c r="I7389">
        <v>-60.780450000000002</v>
      </c>
      <c r="J7389">
        <v>-230.58879999999999</v>
      </c>
      <c r="K7389">
        <v>1.1111789999999999</v>
      </c>
      <c r="L7389">
        <v>-63.427430000000001</v>
      </c>
      <c r="M7389">
        <v>0.99992879999999995</v>
      </c>
      <c r="N7389">
        <v>-1.1239600000000001E-2</v>
      </c>
      <c r="O7389">
        <v>-4.0011309999999998E-3</v>
      </c>
      <c r="P7389">
        <v>0.97617699999999996</v>
      </c>
      <c r="Q7389">
        <v>0.17849300000000001</v>
      </c>
      <c r="R7389">
        <v>0.12336510000000001</v>
      </c>
      <c r="S7389">
        <v>3.0595699999999999</v>
      </c>
      <c r="T7389">
        <v>-0.114965</v>
      </c>
      <c r="U7389">
        <v>0.27383420000000003</v>
      </c>
      <c r="V7389">
        <v>-0.1275134</v>
      </c>
      <c r="W7389">
        <v>0.18928490000000001</v>
      </c>
      <c r="X7389">
        <v>0.97360749999999996</v>
      </c>
      <c r="Y7389">
        <v>-9.3043139999999996E-2</v>
      </c>
      <c r="Z7389">
        <v>2.3732839999999998E-3</v>
      </c>
      <c r="AA7389">
        <v>0.99565919999999997</v>
      </c>
      <c r="AB7389">
        <v>31</v>
      </c>
      <c r="AC7389">
        <v>29.422999999999998</v>
      </c>
      <c r="AD7389">
        <v>-1.1111841317090001</v>
      </c>
      <c r="AE7389">
        <v>2.6469800000000001</v>
      </c>
      <c r="AF7389">
        <v>-2.76078554628964</v>
      </c>
      <c r="AG7389">
        <v>-1.1111841317090001</v>
      </c>
      <c r="AH7389">
        <v>29.370619090977101</v>
      </c>
      <c r="AI7389">
        <v>92.157148686561698</v>
      </c>
      <c r="AJ7389">
        <v>95.369922054431498</v>
      </c>
      <c r="AK7389">
        <v>29.521008329568101</v>
      </c>
      <c r="AL7389">
        <v>79.088945295049498</v>
      </c>
      <c r="AM7389">
        <v>97.4615600898167</v>
      </c>
      <c r="AN7389">
        <v>1.0000000023019</v>
      </c>
    </row>
    <row r="7390" spans="1:40" x14ac:dyDescent="0.25">
      <c r="A7390" t="str">
        <f>"20190304154939814"</f>
        <v>20190304154939814</v>
      </c>
      <c r="B7390" t="str">
        <f>"1551685779804776"</f>
        <v>1551685779804776</v>
      </c>
      <c r="C7390" t="s">
        <v>40</v>
      </c>
      <c r="D7390">
        <v>4.2337499999999997</v>
      </c>
      <c r="E7390">
        <v>0.51184759999999996</v>
      </c>
      <c r="F7390" t="s">
        <v>68</v>
      </c>
      <c r="G7390">
        <v>-200.88560000000001</v>
      </c>
      <c r="H7390" s="1">
        <v>-5.2738320000000003E-6</v>
      </c>
      <c r="I7390">
        <v>-60.768630000000002</v>
      </c>
      <c r="J7390">
        <v>-230.4332</v>
      </c>
      <c r="K7390">
        <v>1.111202</v>
      </c>
      <c r="L7390">
        <v>-63.427729999999997</v>
      </c>
      <c r="M7390">
        <v>0.99993030000000005</v>
      </c>
      <c r="N7390">
        <v>-1.1239519999999999E-2</v>
      </c>
      <c r="O7390">
        <v>-3.6254669999999998E-3</v>
      </c>
      <c r="P7390">
        <v>0.97609270000000004</v>
      </c>
      <c r="Q7390">
        <v>0.178584299999999</v>
      </c>
      <c r="R7390">
        <v>0.1238973</v>
      </c>
      <c r="S7390">
        <v>3.0595400000000001</v>
      </c>
      <c r="T7390">
        <v>-0.1144559</v>
      </c>
      <c r="U7390">
        <v>0.27386470000000002</v>
      </c>
      <c r="V7390">
        <v>-0.1276892</v>
      </c>
      <c r="W7390">
        <v>0.1893678</v>
      </c>
      <c r="X7390">
        <v>0.97356830000000005</v>
      </c>
      <c r="Y7390">
        <v>-9.2680949999999998E-2</v>
      </c>
      <c r="Z7390">
        <v>2.3463080000000001E-3</v>
      </c>
      <c r="AA7390">
        <v>0.9956931</v>
      </c>
      <c r="AB7390">
        <v>31</v>
      </c>
      <c r="AC7390">
        <v>29.5475999999999</v>
      </c>
      <c r="AD7390">
        <v>-1.111207273832</v>
      </c>
      <c r="AE7390">
        <v>2.6591</v>
      </c>
      <c r="AF7390">
        <v>-2.76233770844954</v>
      </c>
      <c r="AG7390">
        <v>-1.111207273832</v>
      </c>
      <c r="AH7390">
        <v>29.496382711351298</v>
      </c>
      <c r="AI7390">
        <v>92.148074075220293</v>
      </c>
      <c r="AJ7390">
        <v>95.350148156866993</v>
      </c>
      <c r="AK7390">
        <v>29.646279433943199</v>
      </c>
      <c r="AL7390">
        <v>79.084107577603703</v>
      </c>
      <c r="AM7390">
        <v>97.472028475327207</v>
      </c>
      <c r="AN7390">
        <v>0.99999996511918399</v>
      </c>
    </row>
    <row r="7391" spans="1:40" x14ac:dyDescent="0.25">
      <c r="A7391" t="str">
        <f>"20190304154939824"</f>
        <v>20190304154939824</v>
      </c>
      <c r="B7391" t="str">
        <f>"1551685779814536"</f>
        <v>1551685779814536</v>
      </c>
      <c r="C7391" t="s">
        <v>40</v>
      </c>
      <c r="D7391">
        <v>4.2222189999999999</v>
      </c>
      <c r="E7391">
        <v>0.51183089999999998</v>
      </c>
      <c r="F7391" t="s">
        <v>68</v>
      </c>
      <c r="G7391">
        <v>-200.61799999999999</v>
      </c>
      <c r="H7391" s="1">
        <v>-5.4088749999999999E-6</v>
      </c>
      <c r="I7391">
        <v>-60.746020000000001</v>
      </c>
      <c r="J7391">
        <v>-230.2809</v>
      </c>
      <c r="K7391">
        <v>1.1112280000000001</v>
      </c>
      <c r="L7391">
        <v>-63.427889999999998</v>
      </c>
      <c r="M7391">
        <v>0.99993160000000003</v>
      </c>
      <c r="N7391">
        <v>-1.123964E-2</v>
      </c>
      <c r="O7391">
        <v>-3.2390940000000001E-3</v>
      </c>
      <c r="P7391">
        <v>0.97601309999999997</v>
      </c>
      <c r="Q7391">
        <v>0.1787407</v>
      </c>
      <c r="R7391">
        <v>0.1242989</v>
      </c>
      <c r="S7391">
        <v>3.059418</v>
      </c>
      <c r="T7391">
        <v>-0.1140239</v>
      </c>
      <c r="U7391">
        <v>0.275177</v>
      </c>
      <c r="V7391">
        <v>-0.127724</v>
      </c>
      <c r="W7391">
        <v>0.18951709999999999</v>
      </c>
      <c r="X7391">
        <v>0.97353469999999998</v>
      </c>
      <c r="Y7391">
        <v>-9.2724070000000006E-2</v>
      </c>
      <c r="Z7391">
        <v>2.330337E-3</v>
      </c>
      <c r="AA7391">
        <v>0.99568909999999999</v>
      </c>
      <c r="AB7391">
        <v>31</v>
      </c>
      <c r="AC7391">
        <v>29.6629</v>
      </c>
      <c r="AD7391">
        <v>-1.111233408875</v>
      </c>
      <c r="AE7391">
        <v>2.68187</v>
      </c>
      <c r="AF7391">
        <v>-2.7740813221207601</v>
      </c>
      <c r="AG7391">
        <v>-1.111233408875</v>
      </c>
      <c r="AH7391">
        <v>29.612835118987899</v>
      </c>
      <c r="AI7391">
        <v>92.139679306110494</v>
      </c>
      <c r="AJ7391">
        <v>95.351755136016394</v>
      </c>
      <c r="AK7391">
        <v>29.763238578069799</v>
      </c>
      <c r="AL7391">
        <v>79.075395742416703</v>
      </c>
      <c r="AM7391">
        <v>97.474296896044606</v>
      </c>
      <c r="AN7391">
        <v>0.99999998173624904</v>
      </c>
    </row>
    <row r="7392" spans="1:40" x14ac:dyDescent="0.25">
      <c r="A7392" t="str">
        <f>"20190304154939835"</f>
        <v>20190304154939835</v>
      </c>
      <c r="B7392" t="str">
        <f>"1551685779824297"</f>
        <v>1551685779824297</v>
      </c>
      <c r="C7392" t="s">
        <v>40</v>
      </c>
      <c r="D7392">
        <v>4.2257350000000002</v>
      </c>
      <c r="E7392">
        <v>0.51181690000000002</v>
      </c>
      <c r="F7392" t="s">
        <v>68</v>
      </c>
      <c r="G7392">
        <v>-200.30019999999999</v>
      </c>
      <c r="H7392" s="1">
        <v>-5.5691450000000004E-6</v>
      </c>
      <c r="I7392">
        <v>-60.71801</v>
      </c>
      <c r="J7392">
        <v>-230.14099999999999</v>
      </c>
      <c r="K7392">
        <v>1.111248</v>
      </c>
      <c r="L7392">
        <v>-63.42801</v>
      </c>
      <c r="M7392">
        <v>0.99993279999999995</v>
      </c>
      <c r="N7392">
        <v>-1.123977E-2</v>
      </c>
      <c r="O7392">
        <v>-2.8774249999999999E-3</v>
      </c>
      <c r="P7392">
        <v>0.97595069999999995</v>
      </c>
      <c r="Q7392">
        <v>0.1788632</v>
      </c>
      <c r="R7392">
        <v>0.1246138</v>
      </c>
      <c r="S7392">
        <v>3.0592649999999999</v>
      </c>
      <c r="T7392">
        <v>-0.1133916</v>
      </c>
      <c r="U7392">
        <v>0.27651979999999998</v>
      </c>
      <c r="V7392">
        <v>-0.12769549999999999</v>
      </c>
      <c r="W7392">
        <v>0.18963369999999999</v>
      </c>
      <c r="X7392">
        <v>0.97351569999999998</v>
      </c>
      <c r="Y7392">
        <v>-9.2802759999999998E-2</v>
      </c>
      <c r="Z7392">
        <v>2.312766E-3</v>
      </c>
      <c r="AA7392">
        <v>0.99568179999999995</v>
      </c>
      <c r="AB7392">
        <v>31</v>
      </c>
      <c r="AC7392">
        <v>29.840800000000002</v>
      </c>
      <c r="AD7392">
        <v>-1.1112535691450001</v>
      </c>
      <c r="AE7392">
        <v>2.71</v>
      </c>
      <c r="AF7392">
        <v>-2.7920186341699198</v>
      </c>
      <c r="AG7392">
        <v>-1.1112535691450001</v>
      </c>
      <c r="AH7392">
        <v>29.7919014793823</v>
      </c>
      <c r="AI7392">
        <v>92.126861304018206</v>
      </c>
      <c r="AJ7392">
        <v>95.353971726776706</v>
      </c>
      <c r="AK7392">
        <v>29.943073427851601</v>
      </c>
      <c r="AL7392">
        <v>79.068591313991007</v>
      </c>
      <c r="AM7392">
        <v>97.472792146115594</v>
      </c>
      <c r="AN7392">
        <v>0.99999994952121296</v>
      </c>
    </row>
    <row r="7393" spans="1:40" x14ac:dyDescent="0.25">
      <c r="A7393" t="str">
        <f>"20190304154939845"</f>
        <v>20190304154939845</v>
      </c>
      <c r="B7393" t="str">
        <f>"1551685779835033"</f>
        <v>1551685779835033</v>
      </c>
      <c r="C7393" t="s">
        <v>40</v>
      </c>
      <c r="D7393">
        <v>4.2396599999999998</v>
      </c>
      <c r="E7393">
        <v>0.51180619999999999</v>
      </c>
      <c r="F7393" t="s">
        <v>68</v>
      </c>
      <c r="G7393">
        <v>-200.0752</v>
      </c>
      <c r="H7393" s="1">
        <v>-5.6827839999999996E-6</v>
      </c>
      <c r="I7393">
        <v>-60.700490000000002</v>
      </c>
      <c r="J7393">
        <v>-229.98439999999999</v>
      </c>
      <c r="K7393">
        <v>1.1112709999999999</v>
      </c>
      <c r="L7393">
        <v>-63.428069999999998</v>
      </c>
      <c r="M7393">
        <v>0.99993379999999998</v>
      </c>
      <c r="N7393">
        <v>-1.123997E-2</v>
      </c>
      <c r="O7393">
        <v>-2.4574470000000002E-3</v>
      </c>
      <c r="P7393">
        <v>0.97590809999999995</v>
      </c>
      <c r="Q7393">
        <v>0.17876539999999999</v>
      </c>
      <c r="R7393">
        <v>0.12508530000000001</v>
      </c>
      <c r="S7393">
        <v>3.0592190000000001</v>
      </c>
      <c r="T7393">
        <v>-0.1130708</v>
      </c>
      <c r="U7393">
        <v>0.27752690000000002</v>
      </c>
      <c r="V7393">
        <v>-0.12776680000000001</v>
      </c>
      <c r="W7393">
        <v>0.1895288</v>
      </c>
      <c r="X7393">
        <v>0.97352680000000003</v>
      </c>
      <c r="Y7393">
        <v>-9.2711630000000003E-2</v>
      </c>
      <c r="Z7393">
        <v>2.29466E-3</v>
      </c>
      <c r="AA7393">
        <v>0.99569030000000003</v>
      </c>
      <c r="AB7393">
        <v>31</v>
      </c>
      <c r="AC7393">
        <v>29.909199999999998</v>
      </c>
      <c r="AD7393">
        <v>-1.1112766827839999</v>
      </c>
      <c r="AE7393">
        <v>2.7275799999999899</v>
      </c>
      <c r="AF7393">
        <v>-2.7972469459978</v>
      </c>
      <c r="AG7393">
        <v>-1.1112766827839999</v>
      </c>
      <c r="AH7393">
        <v>29.861522702777599</v>
      </c>
      <c r="AI7393">
        <v>92.121959773294606</v>
      </c>
      <c r="AJ7393">
        <v>95.3515059386243</v>
      </c>
      <c r="AK7393">
        <v>30.0128316636584</v>
      </c>
      <c r="AL7393">
        <v>79.074712942065503</v>
      </c>
      <c r="AM7393">
        <v>97.476833168542697</v>
      </c>
      <c r="AN7393">
        <v>0.99999997576495903</v>
      </c>
    </row>
    <row r="7394" spans="1:40" x14ac:dyDescent="0.25">
      <c r="A7394" t="str">
        <f>"20190304154939858"</f>
        <v>20190304154939858</v>
      </c>
      <c r="B7394" t="str">
        <f>"1551685779854551"</f>
        <v>1551685779854551</v>
      </c>
      <c r="C7394" t="s">
        <v>40</v>
      </c>
      <c r="D7394">
        <v>4.233943</v>
      </c>
      <c r="E7394">
        <v>0.51181659999999995</v>
      </c>
      <c r="F7394" t="s">
        <v>68</v>
      </c>
      <c r="G7394">
        <v>-200.06</v>
      </c>
      <c r="H7394" s="1">
        <v>-5.690401E-6</v>
      </c>
      <c r="I7394">
        <v>-60.698030000000003</v>
      </c>
      <c r="J7394">
        <v>-229.8253</v>
      </c>
      <c r="K7394">
        <v>1.1112930000000001</v>
      </c>
      <c r="L7394">
        <v>-63.428040000000003</v>
      </c>
      <c r="M7394">
        <v>0.99993480000000001</v>
      </c>
      <c r="N7394">
        <v>-1.124023E-2</v>
      </c>
      <c r="O7394">
        <v>-2.0182799999999999E-3</v>
      </c>
      <c r="P7394">
        <v>0.97584230000000005</v>
      </c>
      <c r="Q7394">
        <v>0.17885019999999999</v>
      </c>
      <c r="R7394">
        <v>0.12547809999999901</v>
      </c>
      <c r="S7394">
        <v>3.0590820000000001</v>
      </c>
      <c r="T7394">
        <v>-0.1136023</v>
      </c>
      <c r="U7394">
        <v>0.27908329999999998</v>
      </c>
      <c r="V7394">
        <v>-0.1277412</v>
      </c>
      <c r="W7394">
        <v>0.18960750000000001</v>
      </c>
      <c r="X7394">
        <v>0.97351489999999996</v>
      </c>
      <c r="Y7394">
        <v>-9.2780169999999995E-2</v>
      </c>
      <c r="Z7394">
        <v>2.29349E-3</v>
      </c>
      <c r="AA7394">
        <v>0.99568400000000001</v>
      </c>
      <c r="AB7394">
        <v>31</v>
      </c>
      <c r="AC7394">
        <v>29.7653</v>
      </c>
      <c r="AD7394">
        <v>-1.111298690401</v>
      </c>
      <c r="AE7394">
        <v>2.73001</v>
      </c>
      <c r="AF7394">
        <v>-2.78623152946333</v>
      </c>
      <c r="AG7394">
        <v>-1.111298690401</v>
      </c>
      <c r="AH7394">
        <v>29.718648942028501</v>
      </c>
      <c r="AI7394">
        <v>92.132178215628798</v>
      </c>
      <c r="AJ7394">
        <v>95.356031811551006</v>
      </c>
      <c r="AK7394">
        <v>29.869652924910099</v>
      </c>
      <c r="AL7394">
        <v>79.0701211956398</v>
      </c>
      <c r="AM7394">
        <v>97.475442360489794</v>
      </c>
      <c r="AN7394">
        <v>1.0000000393778401</v>
      </c>
    </row>
    <row r="7395" spans="1:40" x14ac:dyDescent="0.25">
      <c r="A7395" t="str">
        <f>"20190304154939869"</f>
        <v>20190304154939869</v>
      </c>
      <c r="B7395" t="str">
        <f>"1551685779864312"</f>
        <v>1551685779864312</v>
      </c>
      <c r="C7395" t="s">
        <v>40</v>
      </c>
      <c r="D7395">
        <v>4.2392349999999999</v>
      </c>
      <c r="E7395">
        <v>0.51182429999999901</v>
      </c>
      <c r="F7395" t="s">
        <v>68</v>
      </c>
      <c r="G7395">
        <v>-199.99270000000001</v>
      </c>
      <c r="H7395" s="1">
        <v>-5.7244370000000002E-6</v>
      </c>
      <c r="I7395">
        <v>-60.694209999999998</v>
      </c>
      <c r="J7395">
        <v>-229.67</v>
      </c>
      <c r="K7395">
        <v>1.111316</v>
      </c>
      <c r="L7395">
        <v>-63.427950000000003</v>
      </c>
      <c r="M7395">
        <v>0.99993560000000004</v>
      </c>
      <c r="N7395">
        <v>-1.124054E-2</v>
      </c>
      <c r="O7395">
        <v>-1.579839E-3</v>
      </c>
      <c r="P7395">
        <v>0.97578759999999998</v>
      </c>
      <c r="Q7395">
        <v>0.17896919999999999</v>
      </c>
      <c r="R7395">
        <v>0.12573309999999999</v>
      </c>
      <c r="S7395">
        <v>3.059113</v>
      </c>
      <c r="T7395">
        <v>-0.11395569999999999</v>
      </c>
      <c r="U7395">
        <v>0.28033449999999999</v>
      </c>
      <c r="V7395">
        <v>-0.1275782</v>
      </c>
      <c r="W7395">
        <v>0.1897208</v>
      </c>
      <c r="X7395">
        <v>0.97351410000000005</v>
      </c>
      <c r="Y7395">
        <v>-9.2746289999999995E-2</v>
      </c>
      <c r="Z7395">
        <v>2.2868430000000002E-3</v>
      </c>
      <c r="AA7395">
        <v>0.99568710000000005</v>
      </c>
      <c r="AB7395">
        <v>31</v>
      </c>
      <c r="AC7395">
        <v>29.677299999999899</v>
      </c>
      <c r="AD7395">
        <v>-1.1113217244369999</v>
      </c>
      <c r="AE7395">
        <v>2.7337400000000001</v>
      </c>
      <c r="AF7395">
        <v>-2.7767639012423802</v>
      </c>
      <c r="AG7395">
        <v>-1.1113217244369999</v>
      </c>
      <c r="AH7395">
        <v>29.631741802778201</v>
      </c>
      <c r="AI7395">
        <v>92.138479022388395</v>
      </c>
      <c r="AJ7395">
        <v>95.3535021406244</v>
      </c>
      <c r="AK7395">
        <v>29.782303067509101</v>
      </c>
      <c r="AL7395">
        <v>79.0635084874082</v>
      </c>
      <c r="AM7395">
        <v>97.466017310859598</v>
      </c>
      <c r="AN7395">
        <v>0.99999994098334299</v>
      </c>
    </row>
    <row r="7396" spans="1:40" x14ac:dyDescent="0.25">
      <c r="A7396" t="str">
        <f>"20190304154939880"</f>
        <v>20190304154939880</v>
      </c>
      <c r="B7396" t="str">
        <f>"1551685779875048"</f>
        <v>1551685779875048</v>
      </c>
      <c r="C7396" t="s">
        <v>40</v>
      </c>
      <c r="D7396">
        <v>4.249428</v>
      </c>
      <c r="E7396">
        <v>0.51181390000000004</v>
      </c>
      <c r="F7396" t="s">
        <v>68</v>
      </c>
      <c r="G7396">
        <v>-199.8409</v>
      </c>
      <c r="H7396" s="1">
        <v>-5.7893069999999998E-6</v>
      </c>
      <c r="I7396">
        <v>-60.684899999999999</v>
      </c>
      <c r="J7396">
        <v>-229.51490000000001</v>
      </c>
      <c r="K7396">
        <v>1.111335</v>
      </c>
      <c r="L7396">
        <v>-63.427729999999997</v>
      </c>
      <c r="M7396">
        <v>0.99993620000000005</v>
      </c>
      <c r="N7396">
        <v>-1.1240959999999999E-2</v>
      </c>
      <c r="O7396">
        <v>-1.1251950000000001E-3</v>
      </c>
      <c r="P7396">
        <v>0.97569950000000005</v>
      </c>
      <c r="Q7396">
        <v>0.17927509999999999</v>
      </c>
      <c r="R7396">
        <v>0.12598000000000001</v>
      </c>
      <c r="S7396">
        <v>3.059097</v>
      </c>
      <c r="T7396">
        <v>-0.1139708</v>
      </c>
      <c r="U7396">
        <v>0.28131099999999998</v>
      </c>
      <c r="V7396">
        <v>-0.12739049999999999</v>
      </c>
      <c r="W7396">
        <v>0.19002040000000001</v>
      </c>
      <c r="X7396">
        <v>0.97348029999999997</v>
      </c>
      <c r="Y7396">
        <v>-9.2609490000000003E-2</v>
      </c>
      <c r="Z7396">
        <v>2.2719760000000002E-3</v>
      </c>
      <c r="AA7396">
        <v>0.99569989999999997</v>
      </c>
      <c r="AB7396">
        <v>31</v>
      </c>
      <c r="AC7396">
        <v>29.673999999999999</v>
      </c>
      <c r="AD7396">
        <v>-1.111340789307</v>
      </c>
      <c r="AE7396">
        <v>2.7428300000000001</v>
      </c>
      <c r="AF7396">
        <v>-2.7723637572108299</v>
      </c>
      <c r="AG7396">
        <v>-1.111340789307</v>
      </c>
      <c r="AH7396">
        <v>29.629687450361502</v>
      </c>
      <c r="AI7396">
        <v>92.138691974201095</v>
      </c>
      <c r="AJ7396">
        <v>95.345436441336204</v>
      </c>
      <c r="AK7396">
        <v>29.7798498578886</v>
      </c>
      <c r="AL7396">
        <v>79.046025202964003</v>
      </c>
      <c r="AM7396">
        <v>97.455412487220798</v>
      </c>
      <c r="AN7396">
        <v>0.99999999319724997</v>
      </c>
    </row>
    <row r="7397" spans="1:40" x14ac:dyDescent="0.25">
      <c r="A7397" t="str">
        <f>"20190304154939891"</f>
        <v>20190304154939891</v>
      </c>
      <c r="B7397" t="str">
        <f>"1551685779884808"</f>
        <v>1551685779884808</v>
      </c>
      <c r="C7397" t="s">
        <v>40</v>
      </c>
      <c r="D7397">
        <v>4.2410420000000002</v>
      </c>
      <c r="E7397">
        <v>0.51181390000000004</v>
      </c>
      <c r="F7397" t="s">
        <v>68</v>
      </c>
      <c r="G7397">
        <v>-199.50720000000001</v>
      </c>
      <c r="H7397" s="1">
        <v>-5.9235869999999998E-6</v>
      </c>
      <c r="I7397">
        <v>-60.6562699999999</v>
      </c>
      <c r="J7397">
        <v>-229.36279999999999</v>
      </c>
      <c r="K7397">
        <v>1.1113470000000001</v>
      </c>
      <c r="L7397">
        <v>-63.427520000000001</v>
      </c>
      <c r="M7397">
        <v>0.99993679999999996</v>
      </c>
      <c r="N7397">
        <v>-1.124139E-2</v>
      </c>
      <c r="O7397">
        <v>-6.7556490000000001E-4</v>
      </c>
      <c r="P7397">
        <v>0.97571059999999998</v>
      </c>
      <c r="Q7397">
        <v>0.17904619999999999</v>
      </c>
      <c r="R7397">
        <v>0.12622050000000001</v>
      </c>
      <c r="S7397">
        <v>3.0590820000000001</v>
      </c>
      <c r="T7397">
        <v>-0.11329350000000001</v>
      </c>
      <c r="U7397">
        <v>0.2825317</v>
      </c>
      <c r="V7397">
        <v>-0.12720139999999999</v>
      </c>
      <c r="W7397">
        <v>0.18978729999999999</v>
      </c>
      <c r="X7397">
        <v>0.97355049999999999</v>
      </c>
      <c r="Y7397">
        <v>-9.2557269999999997E-2</v>
      </c>
      <c r="Z7397">
        <v>2.2486839999999999E-3</v>
      </c>
      <c r="AA7397">
        <v>0.99570479999999995</v>
      </c>
      <c r="AB7397">
        <v>31</v>
      </c>
      <c r="AC7397">
        <v>29.8555999999999</v>
      </c>
      <c r="AD7397">
        <v>-1.1113529235870001</v>
      </c>
      <c r="AE7397">
        <v>2.7712500000000002</v>
      </c>
      <c r="AF7397">
        <v>-2.7875904143611101</v>
      </c>
      <c r="AG7397">
        <v>-1.1113529235870001</v>
      </c>
      <c r="AH7397">
        <v>29.812763844592698</v>
      </c>
      <c r="AI7397">
        <v>92.125606380620795</v>
      </c>
      <c r="AJ7397">
        <v>95.341810360008594</v>
      </c>
      <c r="AK7397">
        <v>29.963421928952901</v>
      </c>
      <c r="AL7397">
        <v>79.059628418697301</v>
      </c>
      <c r="AM7397">
        <v>97.443939027904904</v>
      </c>
      <c r="AN7397">
        <v>0.99999999572674902</v>
      </c>
    </row>
    <row r="7398" spans="1:40" x14ac:dyDescent="0.25">
      <c r="A7398" t="str">
        <f>"20190304154939902"</f>
        <v>20190304154939902</v>
      </c>
      <c r="B7398" t="str">
        <f>"1551685779894568"</f>
        <v>1551685779894568</v>
      </c>
      <c r="C7398" t="s">
        <v>40</v>
      </c>
      <c r="D7398">
        <v>4.2313710000000002</v>
      </c>
      <c r="E7398">
        <v>0.51180919999999996</v>
      </c>
      <c r="F7398" t="s">
        <v>68</v>
      </c>
      <c r="G7398">
        <v>-199.60740000000001</v>
      </c>
      <c r="H7398" s="1">
        <v>-5.8835249999999997E-6</v>
      </c>
      <c r="I7398">
        <v>-60.669469999999997</v>
      </c>
      <c r="J7398">
        <v>-229.20509999999999</v>
      </c>
      <c r="K7398">
        <v>1.1113649999999999</v>
      </c>
      <c r="L7398">
        <v>-63.427120000000002</v>
      </c>
      <c r="M7398">
        <v>0.99993690000000002</v>
      </c>
      <c r="N7398">
        <v>-1.1241910000000001E-2</v>
      </c>
      <c r="O7398">
        <v>-1.9017599999999999E-4</v>
      </c>
      <c r="P7398">
        <v>0.97567630000000005</v>
      </c>
      <c r="Q7398">
        <v>0.17880109999999999</v>
      </c>
      <c r="R7398">
        <v>0.12683259999999999</v>
      </c>
      <c r="S7398">
        <v>3.0589750000000002</v>
      </c>
      <c r="T7398">
        <v>-0.11425150000000001</v>
      </c>
      <c r="U7398">
        <v>0.28353879999999998</v>
      </c>
      <c r="V7398">
        <v>-0.1273483</v>
      </c>
      <c r="W7398">
        <v>0.18953680000000001</v>
      </c>
      <c r="X7398">
        <v>0.97358009999999995</v>
      </c>
      <c r="Y7398">
        <v>-9.2401209999999998E-2</v>
      </c>
      <c r="Z7398">
        <v>2.246984E-3</v>
      </c>
      <c r="AA7398">
        <v>0.99571929999999997</v>
      </c>
      <c r="AB7398">
        <v>31</v>
      </c>
      <c r="AC7398">
        <v>29.5976999999999</v>
      </c>
      <c r="AD7398">
        <v>-1.111370883525</v>
      </c>
      <c r="AE7398">
        <v>2.7576499999999902</v>
      </c>
      <c r="AF7398">
        <v>-2.7594219282378698</v>
      </c>
      <c r="AG7398">
        <v>-1.111370883525</v>
      </c>
      <c r="AH7398">
        <v>29.5558614967285</v>
      </c>
      <c r="AI7398">
        <v>92.144127641204904</v>
      </c>
      <c r="AJ7398">
        <v>95.333840189343803</v>
      </c>
      <c r="AK7398">
        <v>29.705193206451</v>
      </c>
      <c r="AL7398">
        <v>79.074246377805096</v>
      </c>
      <c r="AM7398">
        <v>97.452215137093006</v>
      </c>
      <c r="AN7398">
        <v>0.99999999959156904</v>
      </c>
    </row>
    <row r="7399" spans="1:40" x14ac:dyDescent="0.25">
      <c r="A7399" t="str">
        <f>"20190304154939914"</f>
        <v>20190304154939914</v>
      </c>
      <c r="B7399" t="str">
        <f>"1551685779904328"</f>
        <v>1551685779904328</v>
      </c>
      <c r="C7399" t="s">
        <v>40</v>
      </c>
      <c r="D7399">
        <v>4.2309950000000001</v>
      </c>
      <c r="E7399">
        <v>0.51181319999999997</v>
      </c>
      <c r="F7399" t="s">
        <v>68</v>
      </c>
      <c r="G7399">
        <v>-199.72669999999999</v>
      </c>
      <c r="H7399" s="1">
        <v>-5.8354029999999999E-6</v>
      </c>
      <c r="I7399">
        <v>-60.677860000000003</v>
      </c>
      <c r="J7399">
        <v>-229.05690000000001</v>
      </c>
      <c r="K7399">
        <v>1.111383</v>
      </c>
      <c r="L7399">
        <v>-63.426729999999999</v>
      </c>
      <c r="M7399">
        <v>0.99993690000000002</v>
      </c>
      <c r="N7399">
        <v>-1.12424E-2</v>
      </c>
      <c r="O7399">
        <v>2.6980389999999997E-4</v>
      </c>
      <c r="P7399">
        <v>0.97569189999999995</v>
      </c>
      <c r="Q7399">
        <v>0.1784434</v>
      </c>
      <c r="R7399">
        <v>0.12721540000000001</v>
      </c>
      <c r="S7399">
        <v>3.0588380000000002</v>
      </c>
      <c r="T7399">
        <v>-0.1153219</v>
      </c>
      <c r="U7399">
        <v>0.28527829999999998</v>
      </c>
      <c r="V7399">
        <v>-0.12729009999999999</v>
      </c>
      <c r="W7399">
        <v>0.1891748</v>
      </c>
      <c r="X7399">
        <v>0.97365809999999997</v>
      </c>
      <c r="Y7399">
        <v>-9.2507350000000002E-2</v>
      </c>
      <c r="Z7399">
        <v>2.2536919999999998E-3</v>
      </c>
      <c r="AA7399">
        <v>0.99570950000000003</v>
      </c>
      <c r="AB7399">
        <v>31</v>
      </c>
      <c r="AC7399">
        <v>29.330200000000001</v>
      </c>
      <c r="AD7399">
        <v>-1.1113888354029999</v>
      </c>
      <c r="AE7399">
        <v>2.7488700000000099</v>
      </c>
      <c r="AF7399">
        <v>-2.7370602733687299</v>
      </c>
      <c r="AG7399">
        <v>-1.1113888354029999</v>
      </c>
      <c r="AH7399">
        <v>29.289252522155401</v>
      </c>
      <c r="AI7399">
        <v>92.163643985338695</v>
      </c>
      <c r="AJ7399">
        <v>95.338746078798394</v>
      </c>
      <c r="AK7399">
        <v>29.437849741278601</v>
      </c>
      <c r="AL7399">
        <v>79.095369440144296</v>
      </c>
      <c r="AM7399">
        <v>97.448257593973096</v>
      </c>
      <c r="AN7399">
        <v>0.99999998510432897</v>
      </c>
    </row>
    <row r="7400" spans="1:40" x14ac:dyDescent="0.25">
      <c r="A7400" t="str">
        <f>"20190304154939923"</f>
        <v>20190304154939923</v>
      </c>
      <c r="B7400" t="str">
        <f>"1551685779914088"</f>
        <v>1551685779914088</v>
      </c>
      <c r="C7400" t="s">
        <v>40</v>
      </c>
      <c r="D7400">
        <v>4.3218009999999998</v>
      </c>
      <c r="E7400">
        <v>0.51174940000000002</v>
      </c>
      <c r="F7400" t="s">
        <v>68</v>
      </c>
      <c r="G7400">
        <v>-199.911</v>
      </c>
      <c r="H7400" s="1">
        <v>-5.7616780000000001E-6</v>
      </c>
      <c r="I7400">
        <v>-60.700850000000003</v>
      </c>
      <c r="J7400">
        <v>-228.90819999999999</v>
      </c>
      <c r="K7400">
        <v>1.1113980000000001</v>
      </c>
      <c r="L7400">
        <v>-63.426209999999998</v>
      </c>
      <c r="M7400">
        <v>0.99993659999999995</v>
      </c>
      <c r="N7400">
        <v>-1.124296E-2</v>
      </c>
      <c r="O7400">
        <v>7.4323979999999998E-4</v>
      </c>
      <c r="P7400">
        <v>0.97567459999999995</v>
      </c>
      <c r="Q7400">
        <v>0.1782572</v>
      </c>
      <c r="R7400">
        <v>0.12760850000000001</v>
      </c>
      <c r="S7400">
        <v>3.0587620000000002</v>
      </c>
      <c r="T7400">
        <v>-0.11663660000000001</v>
      </c>
      <c r="U7400">
        <v>0.28607179999999999</v>
      </c>
      <c r="V7400">
        <v>-0.12722839999999999</v>
      </c>
      <c r="W7400">
        <v>0.18898429999999999</v>
      </c>
      <c r="X7400">
        <v>0.97370310000000004</v>
      </c>
      <c r="Y7400">
        <v>-9.2292929999999995E-2</v>
      </c>
      <c r="Z7400">
        <v>2.2554699999999999E-3</v>
      </c>
      <c r="AA7400">
        <v>0.99572930000000004</v>
      </c>
      <c r="AB7400">
        <v>31</v>
      </c>
      <c r="AC7400">
        <v>28.997199999999999</v>
      </c>
      <c r="AD7400">
        <v>-1.1114037616779999</v>
      </c>
      <c r="AE7400">
        <v>2.72535999999999</v>
      </c>
      <c r="AF7400">
        <v>-2.6998745372218802</v>
      </c>
      <c r="AG7400">
        <v>-1.1114037616779999</v>
      </c>
      <c r="AH7400">
        <v>28.957051324603601</v>
      </c>
      <c r="AI7400">
        <v>92.188514027069999</v>
      </c>
      <c r="AJ7400">
        <v>95.326698662675994</v>
      </c>
      <c r="AK7400">
        <v>29.103871946081998</v>
      </c>
      <c r="AL7400">
        <v>79.106484170840503</v>
      </c>
      <c r="AM7400">
        <v>97.444347586225405</v>
      </c>
      <c r="AN7400">
        <v>0.99999992918132696</v>
      </c>
    </row>
    <row r="7401" spans="1:40" x14ac:dyDescent="0.25">
      <c r="A7401" t="str">
        <f>"20190304154939936"</f>
        <v>20190304154939936</v>
      </c>
      <c r="B7401" t="str">
        <f>"1551685779924824"</f>
        <v>1551685779924824</v>
      </c>
      <c r="C7401" t="s">
        <v>40</v>
      </c>
      <c r="D7401">
        <v>4.1959660000000003</v>
      </c>
      <c r="E7401">
        <v>0.51173900000000005</v>
      </c>
      <c r="F7401" t="s">
        <v>68</v>
      </c>
      <c r="G7401">
        <v>-199.9838</v>
      </c>
      <c r="H7401" s="1">
        <v>-5.7297320000000004E-6</v>
      </c>
      <c r="I7401">
        <v>-60.706789999999998</v>
      </c>
      <c r="J7401">
        <v>-228.75360000000001</v>
      </c>
      <c r="K7401">
        <v>1.111413</v>
      </c>
      <c r="L7401">
        <v>-63.425660000000001</v>
      </c>
      <c r="M7401">
        <v>0.99993609999999999</v>
      </c>
      <c r="N7401">
        <v>-1.124352E-2</v>
      </c>
      <c r="O7401">
        <v>1.2416489999999901E-3</v>
      </c>
      <c r="P7401">
        <v>0.97562979999999999</v>
      </c>
      <c r="Q7401">
        <v>0.178011999999999</v>
      </c>
      <c r="R7401">
        <v>0.12829080000000001</v>
      </c>
      <c r="S7401">
        <v>3.05864</v>
      </c>
      <c r="T7401">
        <v>-0.1175264</v>
      </c>
      <c r="U7401">
        <v>0.28756710000000002</v>
      </c>
      <c r="V7401">
        <v>-0.1274315</v>
      </c>
      <c r="W7401">
        <v>0.18873519999999999</v>
      </c>
      <c r="X7401">
        <v>0.9737249</v>
      </c>
      <c r="Y7401">
        <v>-9.2281909999999995E-2</v>
      </c>
      <c r="Z7401">
        <v>2.2549200000000001E-3</v>
      </c>
      <c r="AA7401">
        <v>0.99573029999999996</v>
      </c>
      <c r="AB7401">
        <v>31</v>
      </c>
      <c r="AC7401">
        <v>28.7698</v>
      </c>
      <c r="AD7401">
        <v>-1.111418729732</v>
      </c>
      <c r="AE7401">
        <v>2.7188699999999901</v>
      </c>
      <c r="AF7401">
        <v>-2.6791806719414599</v>
      </c>
      <c r="AG7401">
        <v>-1.111418729732</v>
      </c>
      <c r="AH7401">
        <v>28.7306561800469</v>
      </c>
      <c r="AI7401">
        <v>92.205769102845494</v>
      </c>
      <c r="AJ7401">
        <v>95.327518318065898</v>
      </c>
      <c r="AK7401">
        <v>28.8767010789282</v>
      </c>
      <c r="AL7401">
        <v>79.121018572563997</v>
      </c>
      <c r="AM7401">
        <v>97.455932651187894</v>
      </c>
      <c r="AN7401">
        <v>0.99999997189564904</v>
      </c>
    </row>
    <row r="7402" spans="1:40" x14ac:dyDescent="0.25">
      <c r="A7402" t="str">
        <f>"20190304154939946"</f>
        <v>20190304154939946</v>
      </c>
      <c r="B7402" t="str">
        <f>"1551685779944344"</f>
        <v>1551685779944344</v>
      </c>
      <c r="C7402" t="s">
        <v>40</v>
      </c>
      <c r="D7402">
        <v>4.2138140000000002</v>
      </c>
      <c r="E7402">
        <v>0.51169160000000002</v>
      </c>
      <c r="F7402" t="s">
        <v>68</v>
      </c>
      <c r="G7402">
        <v>-200.05719999999999</v>
      </c>
      <c r="H7402" s="1">
        <v>-5.6923100000000004E-6</v>
      </c>
      <c r="I7402">
        <v>-60.706330000000001</v>
      </c>
      <c r="J7402">
        <v>-228.6026</v>
      </c>
      <c r="K7402">
        <v>1.1114280000000001</v>
      </c>
      <c r="L7402">
        <v>-63.424990000000001</v>
      </c>
      <c r="M7402">
        <v>0.99993540000000003</v>
      </c>
      <c r="N7402">
        <v>-1.124403E-2</v>
      </c>
      <c r="O7402">
        <v>1.7377779999999999E-3</v>
      </c>
      <c r="P7402">
        <v>0.97558449999999997</v>
      </c>
      <c r="Q7402">
        <v>0.17773599999999901</v>
      </c>
      <c r="R7402">
        <v>0.12901599999999999</v>
      </c>
      <c r="S7402">
        <v>3.0584560000000001</v>
      </c>
      <c r="T7402">
        <v>-0.11845459999999999</v>
      </c>
      <c r="U7402">
        <v>0.28982540000000001</v>
      </c>
      <c r="V7402">
        <v>-0.12767909999999999</v>
      </c>
      <c r="W7402">
        <v>0.18845419999999999</v>
      </c>
      <c r="X7402">
        <v>0.97374689999999997</v>
      </c>
      <c r="Y7402">
        <v>-9.2520859999999996E-2</v>
      </c>
      <c r="Z7402">
        <v>2.2609520000000001E-3</v>
      </c>
      <c r="AA7402">
        <v>0.99570820000000004</v>
      </c>
      <c r="AB7402">
        <v>31</v>
      </c>
      <c r="AC7402">
        <v>28.545400000000001</v>
      </c>
      <c r="AD7402">
        <v>-1.1114336923100001</v>
      </c>
      <c r="AE7402">
        <v>2.7186599999999999</v>
      </c>
      <c r="AF7402">
        <v>-2.6650433487362202</v>
      </c>
      <c r="AG7402">
        <v>-1.1114336923100001</v>
      </c>
      <c r="AH7402">
        <v>28.507253532861299</v>
      </c>
      <c r="AI7402">
        <v>92.223019385094304</v>
      </c>
      <c r="AJ7402">
        <v>95.340858757784602</v>
      </c>
      <c r="AK7402">
        <v>28.653119287258701</v>
      </c>
      <c r="AL7402">
        <v>79.137412990334596</v>
      </c>
      <c r="AM7402">
        <v>97.470089229603502</v>
      </c>
      <c r="AN7402">
        <v>0.99999998166702897</v>
      </c>
    </row>
    <row r="7403" spans="1:40" x14ac:dyDescent="0.25">
      <c r="A7403" t="str">
        <f>"20190304154939958"</f>
        <v>20190304154939958</v>
      </c>
      <c r="B7403" t="str">
        <f>"1551685779954104"</f>
        <v>1551685779954104</v>
      </c>
      <c r="C7403" t="s">
        <v>40</v>
      </c>
      <c r="D7403">
        <v>4.2492359999999998</v>
      </c>
      <c r="E7403">
        <v>0.51167099999999999</v>
      </c>
      <c r="F7403" t="s">
        <v>68</v>
      </c>
      <c r="G7403">
        <v>-200.19380000000001</v>
      </c>
      <c r="H7403" s="1">
        <v>-5.622847E-6</v>
      </c>
      <c r="I7403">
        <v>-60.708599999999997</v>
      </c>
      <c r="J7403">
        <v>-228.44220000000001</v>
      </c>
      <c r="K7403">
        <v>1.111443</v>
      </c>
      <c r="L7403">
        <v>-63.424190000000003</v>
      </c>
      <c r="M7403">
        <v>0.99993430000000005</v>
      </c>
      <c r="N7403">
        <v>-1.124463E-2</v>
      </c>
      <c r="O7403">
        <v>2.2740220000000001E-3</v>
      </c>
      <c r="P7403">
        <v>0.97558109999999998</v>
      </c>
      <c r="Q7403">
        <v>0.17755750000000001</v>
      </c>
      <c r="R7403">
        <v>0.1292876</v>
      </c>
      <c r="S7403">
        <v>3.0582120000000002</v>
      </c>
      <c r="T7403">
        <v>-0.119646</v>
      </c>
      <c r="U7403">
        <v>0.2924194</v>
      </c>
      <c r="V7403">
        <v>-0.12743470000000001</v>
      </c>
      <c r="W7403">
        <v>0.18827250000000001</v>
      </c>
      <c r="X7403">
        <v>0.97381410000000002</v>
      </c>
      <c r="Y7403">
        <v>-9.2829670000000003E-2</v>
      </c>
      <c r="Z7403">
        <v>2.2712169999999999E-3</v>
      </c>
      <c r="AA7403">
        <v>0.99567939999999999</v>
      </c>
      <c r="AB7403">
        <v>31</v>
      </c>
      <c r="AC7403">
        <v>28.2484</v>
      </c>
      <c r="AD7403">
        <v>-1.111448622847</v>
      </c>
      <c r="AE7403">
        <v>2.7155900000000002</v>
      </c>
      <c r="AF7403">
        <v>-2.6472807859622298</v>
      </c>
      <c r="AG7403">
        <v>-1.111448622847</v>
      </c>
      <c r="AH7403">
        <v>28.2112295533421</v>
      </c>
      <c r="AI7403">
        <v>92.246278978512805</v>
      </c>
      <c r="AJ7403">
        <v>95.360813895729294</v>
      </c>
      <c r="AK7403">
        <v>28.3569548173339</v>
      </c>
      <c r="AL7403">
        <v>79.148013799191105</v>
      </c>
      <c r="AM7403">
        <v>97.455442488081005</v>
      </c>
      <c r="AN7403">
        <v>1.0000000191895699</v>
      </c>
    </row>
    <row r="7404" spans="1:40" x14ac:dyDescent="0.25">
      <c r="A7404" t="str">
        <f>"20190304154939969"</f>
        <v>20190304154939969</v>
      </c>
      <c r="B7404" t="str">
        <f>"1551685779964844"</f>
        <v>1551685779964844</v>
      </c>
      <c r="C7404" t="s">
        <v>40</v>
      </c>
      <c r="D7404">
        <v>4.2338680000000002</v>
      </c>
      <c r="E7404">
        <v>0.51167689999999999</v>
      </c>
      <c r="F7404" t="s">
        <v>68</v>
      </c>
      <c r="G7404">
        <v>-200.2039</v>
      </c>
      <c r="H7404" s="1">
        <v>-5.6179949999999999E-6</v>
      </c>
      <c r="I7404">
        <v>-60.714449999999999</v>
      </c>
      <c r="J7404">
        <v>-228.28710000000001</v>
      </c>
      <c r="K7404">
        <v>1.1114569999999999</v>
      </c>
      <c r="L7404">
        <v>-63.423340000000003</v>
      </c>
      <c r="M7404">
        <v>0.99993279999999995</v>
      </c>
      <c r="N7404">
        <v>-1.124522E-2</v>
      </c>
      <c r="O7404">
        <v>2.7982739999999999E-3</v>
      </c>
      <c r="P7404">
        <v>0.97549509999999995</v>
      </c>
      <c r="Q7404">
        <v>0.17750270000000001</v>
      </c>
      <c r="R7404">
        <v>0.13000880000000001</v>
      </c>
      <c r="S7404">
        <v>3.0581049999999999</v>
      </c>
      <c r="T7404">
        <v>-0.12036620000000001</v>
      </c>
      <c r="U7404">
        <v>0.29345700000000002</v>
      </c>
      <c r="V7404">
        <v>-0.12765119999999999</v>
      </c>
      <c r="W7404">
        <v>0.18821299999999999</v>
      </c>
      <c r="X7404">
        <v>0.97379720000000003</v>
      </c>
      <c r="Y7404">
        <v>-9.2645140000000001E-2</v>
      </c>
      <c r="Z7404">
        <v>2.2622900000000001E-3</v>
      </c>
      <c r="AA7404">
        <v>0.99569660000000004</v>
      </c>
      <c r="AB7404">
        <v>31</v>
      </c>
      <c r="AC7404">
        <v>28.083200000000001</v>
      </c>
      <c r="AD7404">
        <v>-1.111462617995</v>
      </c>
      <c r="AE7404">
        <v>2.7088899999999998</v>
      </c>
      <c r="AF7404">
        <v>-2.6262142094366299</v>
      </c>
      <c r="AG7404">
        <v>-1.111462617995</v>
      </c>
      <c r="AH7404">
        <v>28.047143305036201</v>
      </c>
      <c r="AI7404">
        <v>92.259477781152896</v>
      </c>
      <c r="AJ7404">
        <v>95.349333757595105</v>
      </c>
      <c r="AK7404">
        <v>28.191746980247299</v>
      </c>
      <c r="AL7404">
        <v>79.151484462533006</v>
      </c>
      <c r="AM7404">
        <v>97.468093902524501</v>
      </c>
      <c r="AN7404">
        <v>0.99999997447913902</v>
      </c>
    </row>
    <row r="7405" spans="1:40" x14ac:dyDescent="0.25">
      <c r="A7405" t="str">
        <f>"20190304154939982"</f>
        <v>20190304154939982</v>
      </c>
      <c r="B7405" t="str">
        <f>"1551685779974600"</f>
        <v>1551685779974600</v>
      </c>
      <c r="C7405" t="s">
        <v>40</v>
      </c>
      <c r="D7405">
        <v>4.2518750000000001</v>
      </c>
      <c r="E7405">
        <v>0.51165729999999998</v>
      </c>
      <c r="F7405" t="s">
        <v>68</v>
      </c>
      <c r="G7405">
        <v>-200.14160000000001</v>
      </c>
      <c r="H7405" s="1">
        <v>-5.6491109999999999E-6</v>
      </c>
      <c r="I7405">
        <v>-60.702939999999998</v>
      </c>
      <c r="J7405">
        <v>-228.12989999999999</v>
      </c>
      <c r="K7405">
        <v>1.111469</v>
      </c>
      <c r="L7405">
        <v>-63.422359999999998</v>
      </c>
      <c r="M7405">
        <v>0.99993129999999997</v>
      </c>
      <c r="N7405">
        <v>-1.12459E-2</v>
      </c>
      <c r="O7405">
        <v>3.3433270000000001E-3</v>
      </c>
      <c r="P7405">
        <v>0.97539589999999998</v>
      </c>
      <c r="Q7405">
        <v>0.17759849999999999</v>
      </c>
      <c r="R7405">
        <v>0.13062119999999999</v>
      </c>
      <c r="S7405">
        <v>3.057922</v>
      </c>
      <c r="T7405">
        <v>-0.12075669999999999</v>
      </c>
      <c r="U7405">
        <v>0.29556270000000001</v>
      </c>
      <c r="V7405">
        <v>-0.1277385</v>
      </c>
      <c r="W7405">
        <v>0.18830430000000001</v>
      </c>
      <c r="X7405">
        <v>0.97376810000000003</v>
      </c>
      <c r="Y7405">
        <v>-9.2786950000000007E-2</v>
      </c>
      <c r="Z7405">
        <v>2.2561679999999998E-3</v>
      </c>
      <c r="AA7405">
        <v>0.9956834</v>
      </c>
      <c r="AB7405">
        <v>31</v>
      </c>
      <c r="AC7405">
        <v>27.988299999999899</v>
      </c>
      <c r="AD7405">
        <v>-1.1114746491109999</v>
      </c>
      <c r="AE7405">
        <v>2.7194199999999902</v>
      </c>
      <c r="AF7405">
        <v>-2.6217289190434001</v>
      </c>
      <c r="AG7405">
        <v>-1.1114746491109999</v>
      </c>
      <c r="AH7405">
        <v>27.953564097760299</v>
      </c>
      <c r="AI7405">
        <v>92.267026204639507</v>
      </c>
      <c r="AJ7405">
        <v>95.358024042233794</v>
      </c>
      <c r="AK7405">
        <v>28.098230979692602</v>
      </c>
      <c r="AL7405">
        <v>79.146158105688301</v>
      </c>
      <c r="AM7405">
        <v>97.473364386696005</v>
      </c>
      <c r="AN7405">
        <v>0.999999973179174</v>
      </c>
    </row>
    <row r="7406" spans="1:40" x14ac:dyDescent="0.25">
      <c r="A7406" t="str">
        <f>"20190304154939993"</f>
        <v>20190304154939993</v>
      </c>
      <c r="B7406" t="str">
        <f>"1551685779984360"</f>
        <v>1551685779984360</v>
      </c>
      <c r="C7406" t="s">
        <v>40</v>
      </c>
      <c r="D7406">
        <v>4.2420070000000001</v>
      </c>
      <c r="E7406">
        <v>0.51163760000000003</v>
      </c>
      <c r="F7406" t="s">
        <v>68</v>
      </c>
      <c r="G7406">
        <v>-199.96180000000001</v>
      </c>
      <c r="H7406" s="1">
        <v>-5.7393390000000003E-6</v>
      </c>
      <c r="I7406">
        <v>-60.679419999999901</v>
      </c>
      <c r="J7406">
        <v>-227.96899999999999</v>
      </c>
      <c r="K7406">
        <v>1.111477</v>
      </c>
      <c r="L7406">
        <v>-63.421300000000002</v>
      </c>
      <c r="M7406">
        <v>0.99992919999999996</v>
      </c>
      <c r="N7406">
        <v>-1.1246610000000001E-2</v>
      </c>
      <c r="O7406">
        <v>3.9051899999999998E-3</v>
      </c>
      <c r="P7406">
        <v>0.97538950000000002</v>
      </c>
      <c r="Q7406">
        <v>0.17720439999999901</v>
      </c>
      <c r="R7406">
        <v>0.1312026</v>
      </c>
      <c r="S7406">
        <v>3.057785</v>
      </c>
      <c r="T7406">
        <v>-0.12065629999999999</v>
      </c>
      <c r="U7406">
        <v>0.29776000000000002</v>
      </c>
      <c r="V7406">
        <v>-0.12777810000000001</v>
      </c>
      <c r="W7406">
        <v>0.18790770000000001</v>
      </c>
      <c r="X7406">
        <v>0.97383949999999997</v>
      </c>
      <c r="Y7406">
        <v>-9.2940780000000001E-2</v>
      </c>
      <c r="Z7406">
        <v>2.2429170000000001E-3</v>
      </c>
      <c r="AA7406">
        <v>0.99566909999999997</v>
      </c>
      <c r="AB7406">
        <v>31</v>
      </c>
      <c r="AC7406">
        <v>28.007200000000001</v>
      </c>
      <c r="AD7406">
        <v>-1.1114827393389899</v>
      </c>
      <c r="AE7406">
        <v>2.7418800000000001</v>
      </c>
      <c r="AF7406">
        <v>-2.6283784823016298</v>
      </c>
      <c r="AG7406">
        <v>-1.1114827393389899</v>
      </c>
      <c r="AH7406">
        <v>27.974055233284499</v>
      </c>
      <c r="AI7406">
        <v>92.265348210512101</v>
      </c>
      <c r="AJ7406">
        <v>95.367622670640799</v>
      </c>
      <c r="AK7406">
        <v>28.119237783427302</v>
      </c>
      <c r="AL7406">
        <v>79.169294475234295</v>
      </c>
      <c r="AM7406">
        <v>97.475113089931796</v>
      </c>
      <c r="AN7406">
        <v>0.99999995915957396</v>
      </c>
    </row>
    <row r="7407" spans="1:40" x14ac:dyDescent="0.25">
      <c r="A7407" t="str">
        <f>"20190304154940003"</f>
        <v>20190304154940003</v>
      </c>
      <c r="B7407" t="str">
        <f>"1551685779995096"</f>
        <v>1551685779995096</v>
      </c>
      <c r="C7407" t="s">
        <v>40</v>
      </c>
      <c r="D7407">
        <v>4.2310949999999998</v>
      </c>
      <c r="E7407">
        <v>0.51161499999999904</v>
      </c>
      <c r="F7407" t="s">
        <v>68</v>
      </c>
      <c r="G7407">
        <v>-200.11680000000001</v>
      </c>
      <c r="H7407" s="1">
        <v>-5.6610359999999998E-6</v>
      </c>
      <c r="I7407">
        <v>-60.691130000000001</v>
      </c>
      <c r="J7407">
        <v>-227.8116</v>
      </c>
      <c r="K7407">
        <v>1.1114900000000001</v>
      </c>
      <c r="L7407">
        <v>-63.420140000000004</v>
      </c>
      <c r="M7407">
        <v>0.9999268</v>
      </c>
      <c r="N7407">
        <v>-1.1247399999999999E-2</v>
      </c>
      <c r="O7407">
        <v>4.4690820000000001E-3</v>
      </c>
      <c r="P7407">
        <v>0.97533789999999998</v>
      </c>
      <c r="Q7407">
        <v>0.17713999999999999</v>
      </c>
      <c r="R7407">
        <v>0.1316707</v>
      </c>
      <c r="S7407">
        <v>3.0575559999999999</v>
      </c>
      <c r="T7407">
        <v>-0.1220164</v>
      </c>
      <c r="U7407">
        <v>0.29971310000000001</v>
      </c>
      <c r="V7407">
        <v>-0.12770229999999999</v>
      </c>
      <c r="W7407">
        <v>0.18783929999999999</v>
      </c>
      <c r="X7407">
        <v>0.97386269999999997</v>
      </c>
      <c r="Y7407">
        <v>-9.3014799999999995E-2</v>
      </c>
      <c r="Z7407">
        <v>2.247696E-3</v>
      </c>
      <c r="AA7407">
        <v>0.99566220000000005</v>
      </c>
      <c r="AB7407">
        <v>31</v>
      </c>
      <c r="AC7407">
        <v>27.694799999999901</v>
      </c>
      <c r="AD7407">
        <v>-1.1114956610359901</v>
      </c>
      <c r="AE7407">
        <v>2.7290100000000002</v>
      </c>
      <c r="AF7407">
        <v>-2.6010553135437502</v>
      </c>
      <c r="AG7407">
        <v>-1.1114956610359901</v>
      </c>
      <c r="AH7407">
        <v>27.662592222256801</v>
      </c>
      <c r="AI7407">
        <v>92.290839194505494</v>
      </c>
      <c r="AJ7407">
        <v>95.3716081165323</v>
      </c>
      <c r="AK7407">
        <v>27.806832250428599</v>
      </c>
      <c r="AL7407">
        <v>79.173285215620496</v>
      </c>
      <c r="AM7407">
        <v>97.470552875333595</v>
      </c>
      <c r="AN7407">
        <v>1.0000000192505301</v>
      </c>
    </row>
    <row r="7408" spans="1:40" x14ac:dyDescent="0.25">
      <c r="A7408" t="str">
        <f>"20190304154940015"</f>
        <v>20190304154940015</v>
      </c>
      <c r="B7408" t="str">
        <f>"1551685780004856"</f>
        <v>1551685780004856</v>
      </c>
      <c r="C7408" t="s">
        <v>40</v>
      </c>
      <c r="D7408">
        <v>4.2444689999999996</v>
      </c>
      <c r="E7408">
        <v>0.51158669999999995</v>
      </c>
      <c r="F7408" t="s">
        <v>68</v>
      </c>
      <c r="G7408">
        <v>-200.0403</v>
      </c>
      <c r="H7408" s="1">
        <v>-5.69946E-6</v>
      </c>
      <c r="I7408">
        <v>-60.681089999999998</v>
      </c>
      <c r="J7408">
        <v>-227.65960000000001</v>
      </c>
      <c r="K7408">
        <v>1.1115060000000001</v>
      </c>
      <c r="L7408">
        <v>-63.418950000000002</v>
      </c>
      <c r="M7408">
        <v>0.99992420000000004</v>
      </c>
      <c r="N7408">
        <v>-1.124816E-2</v>
      </c>
      <c r="O7408">
        <v>5.018364E-3</v>
      </c>
      <c r="P7408">
        <v>0.97529980000000005</v>
      </c>
      <c r="Q7408">
        <v>0.17683199999999999</v>
      </c>
      <c r="R7408">
        <v>0.13236609999999999</v>
      </c>
      <c r="S7408">
        <v>3.0573579999999998</v>
      </c>
      <c r="T7408">
        <v>-0.12236519999999999</v>
      </c>
      <c r="U7408">
        <v>0.30154419999999998</v>
      </c>
      <c r="V7408">
        <v>-0.12786839999999999</v>
      </c>
      <c r="W7408">
        <v>0.1875279</v>
      </c>
      <c r="X7408">
        <v>0.97390089999999996</v>
      </c>
      <c r="Y7408">
        <v>-9.3064430000000004E-2</v>
      </c>
      <c r="Z7408">
        <v>2.2381020000000001E-3</v>
      </c>
      <c r="AA7408">
        <v>0.99565760000000003</v>
      </c>
      <c r="AB7408">
        <v>31</v>
      </c>
      <c r="AC7408">
        <v>27.619299999999999</v>
      </c>
      <c r="AD7408">
        <v>-1.1115116994599901</v>
      </c>
      <c r="AE7408">
        <v>2.7378599999999902</v>
      </c>
      <c r="AF7408">
        <v>-2.5950510598598999</v>
      </c>
      <c r="AG7408">
        <v>-1.1115116994599901</v>
      </c>
      <c r="AH7408">
        <v>27.588445679797601</v>
      </c>
      <c r="AI7408">
        <v>92.297015061456705</v>
      </c>
      <c r="AJ7408">
        <v>95.373599992761996</v>
      </c>
      <c r="AK7408">
        <v>27.732509502179202</v>
      </c>
      <c r="AL7408">
        <v>79.191449727600499</v>
      </c>
      <c r="AM7408">
        <v>97.479869642688598</v>
      </c>
      <c r="AN7408">
        <v>1.0000000020088899</v>
      </c>
    </row>
    <row r="7409" spans="1:40" x14ac:dyDescent="0.25">
      <c r="A7409" t="str">
        <f>"20190304154940027"</f>
        <v>20190304154940027</v>
      </c>
      <c r="B7409" t="str">
        <f>"1551685780014615"</f>
        <v>1551685780014615</v>
      </c>
      <c r="C7409" t="s">
        <v>40</v>
      </c>
      <c r="D7409">
        <v>4.2215540000000003</v>
      </c>
      <c r="E7409">
        <v>0.511575</v>
      </c>
      <c r="F7409" t="s">
        <v>68</v>
      </c>
      <c r="G7409">
        <v>-200.1429</v>
      </c>
      <c r="H7409" s="1">
        <v>-5.6472540000000001E-6</v>
      </c>
      <c r="I7409">
        <v>-60.682830000000003</v>
      </c>
      <c r="J7409">
        <v>-227.5001</v>
      </c>
      <c r="K7409">
        <v>1.1115200000000001</v>
      </c>
      <c r="L7409">
        <v>-63.417569999999998</v>
      </c>
      <c r="M7409">
        <v>0.99992110000000001</v>
      </c>
      <c r="N7409">
        <v>-1.124898E-2</v>
      </c>
      <c r="O7409">
        <v>5.6035909999999998E-3</v>
      </c>
      <c r="P7409">
        <v>0.97524529999999998</v>
      </c>
      <c r="Q7409">
        <v>0.17669760000000001</v>
      </c>
      <c r="R7409">
        <v>0.132946799999999</v>
      </c>
      <c r="S7409">
        <v>3.0571290000000002</v>
      </c>
      <c r="T7409">
        <v>-0.12349</v>
      </c>
      <c r="U7409">
        <v>0.30398560000000002</v>
      </c>
      <c r="V7409">
        <v>-0.12788479999999999</v>
      </c>
      <c r="W7409">
        <v>0.18738969999999999</v>
      </c>
      <c r="X7409">
        <v>0.97392540000000005</v>
      </c>
      <c r="Y7409">
        <v>-9.3274940000000001E-2</v>
      </c>
      <c r="Z7409">
        <v>2.2418669999999998E-3</v>
      </c>
      <c r="AA7409">
        <v>0.99563789999999996</v>
      </c>
      <c r="AB7409">
        <v>31</v>
      </c>
      <c r="AC7409">
        <v>27.357199999999999</v>
      </c>
      <c r="AD7409">
        <v>-1.111525647254</v>
      </c>
      <c r="AE7409">
        <v>2.7347399999999902</v>
      </c>
      <c r="AF7409">
        <v>-2.5771764880011401</v>
      </c>
      <c r="AG7409">
        <v>-1.111525647254</v>
      </c>
      <c r="AH7409">
        <v>27.327429854805299</v>
      </c>
      <c r="AI7409">
        <v>92.318907211243598</v>
      </c>
      <c r="AJ7409">
        <v>95.387476893623003</v>
      </c>
      <c r="AK7409">
        <v>27.4711803602268</v>
      </c>
      <c r="AL7409">
        <v>79.199511469278306</v>
      </c>
      <c r="AM7409">
        <v>97.480632066756101</v>
      </c>
      <c r="AN7409">
        <v>1.0000000532511399</v>
      </c>
    </row>
    <row r="7410" spans="1:40" x14ac:dyDescent="0.25">
      <c r="A7410" t="str">
        <f>"20190304154940037"</f>
        <v>20190304154940037</v>
      </c>
      <c r="B7410" t="str">
        <f>"1551685780034136"</f>
        <v>1551685780034136</v>
      </c>
      <c r="C7410" t="s">
        <v>40</v>
      </c>
      <c r="D7410">
        <v>4.2270580000000004</v>
      </c>
      <c r="E7410">
        <v>0.51153000000000004</v>
      </c>
      <c r="F7410" t="s">
        <v>68</v>
      </c>
      <c r="G7410">
        <v>-200.09559999999999</v>
      </c>
      <c r="H7410" s="1">
        <v>-5.6710259999999999E-6</v>
      </c>
      <c r="I7410">
        <v>-60.676569999999998</v>
      </c>
      <c r="J7410">
        <v>-227.3691</v>
      </c>
      <c r="K7410">
        <v>1.111531</v>
      </c>
      <c r="L7410">
        <v>-63.416350000000001</v>
      </c>
      <c r="M7410">
        <v>0.99991819999999998</v>
      </c>
      <c r="N7410">
        <v>-1.124966E-2</v>
      </c>
      <c r="O7410">
        <v>6.0913989999999999E-3</v>
      </c>
      <c r="P7410">
        <v>0.97513309999999997</v>
      </c>
      <c r="Q7410">
        <v>0.1767099</v>
      </c>
      <c r="R7410">
        <v>0.1337499</v>
      </c>
      <c r="S7410">
        <v>3.0569459999999999</v>
      </c>
      <c r="T7410">
        <v>-0.1239895</v>
      </c>
      <c r="U7410">
        <v>0.30575560000000002</v>
      </c>
      <c r="V7410">
        <v>-0.128218</v>
      </c>
      <c r="W7410">
        <v>0.18739720000000001</v>
      </c>
      <c r="X7410">
        <v>0.97388010000000003</v>
      </c>
      <c r="Y7410">
        <v>-9.336535E-2</v>
      </c>
      <c r="Z7410">
        <v>2.236736E-3</v>
      </c>
      <c r="AA7410">
        <v>0.9956294</v>
      </c>
      <c r="AB7410">
        <v>31</v>
      </c>
      <c r="AC7410">
        <v>27.273499999999999</v>
      </c>
      <c r="AD7410">
        <v>-1.111536671026</v>
      </c>
      <c r="AE7410">
        <v>2.7397800000000001</v>
      </c>
      <c r="AF7410">
        <v>-2.5693598513962601</v>
      </c>
      <c r="AG7410">
        <v>-1.111536671026</v>
      </c>
      <c r="AH7410">
        <v>27.244882836577801</v>
      </c>
      <c r="AI7410">
        <v>92.325948668155903</v>
      </c>
      <c r="AJ7410">
        <v>95.387410505652994</v>
      </c>
      <c r="AK7410">
        <v>27.388332636286101</v>
      </c>
      <c r="AL7410">
        <v>79.1990735025514</v>
      </c>
      <c r="AM7410">
        <v>97.500245921642204</v>
      </c>
      <c r="AN7410">
        <v>1.0000000076339199</v>
      </c>
    </row>
    <row r="7411" spans="1:40" x14ac:dyDescent="0.25">
      <c r="A7411" t="str">
        <f>"20190304154940046"</f>
        <v>20190304154940046</v>
      </c>
      <c r="B7411" t="str">
        <f>"1551685780044872"</f>
        <v>1551685780044872</v>
      </c>
      <c r="C7411" t="s">
        <v>40</v>
      </c>
      <c r="D7411">
        <v>4.2590459999999997</v>
      </c>
      <c r="E7411">
        <v>0.51153040000000005</v>
      </c>
      <c r="F7411" t="s">
        <v>68</v>
      </c>
      <c r="G7411">
        <v>-200.02289999999999</v>
      </c>
      <c r="H7411" s="1">
        <v>-5.7068549999999998E-6</v>
      </c>
      <c r="I7411">
        <v>-60.655859999999997</v>
      </c>
      <c r="J7411">
        <v>-227.21619999999999</v>
      </c>
      <c r="K7411">
        <v>1.111545</v>
      </c>
      <c r="L7411">
        <v>-63.41489</v>
      </c>
      <c r="M7411">
        <v>0.99991459999999999</v>
      </c>
      <c r="N7411">
        <v>-1.125047E-2</v>
      </c>
      <c r="O7411">
        <v>6.6675619999999897E-3</v>
      </c>
      <c r="P7411">
        <v>0.97504159999999995</v>
      </c>
      <c r="Q7411">
        <v>0.17682979999999901</v>
      </c>
      <c r="R7411">
        <v>0.1342583</v>
      </c>
      <c r="S7411">
        <v>3.056702</v>
      </c>
      <c r="T7411">
        <v>-0.1242453</v>
      </c>
      <c r="U7411">
        <v>0.30856319999999998</v>
      </c>
      <c r="V7411">
        <v>-0.12817200000000001</v>
      </c>
      <c r="W7411">
        <v>0.18751290000000001</v>
      </c>
      <c r="X7411">
        <v>0.9738639</v>
      </c>
      <c r="Y7411">
        <v>-9.3704399999999993E-2</v>
      </c>
      <c r="Z7411">
        <v>2.2321440000000001E-3</v>
      </c>
      <c r="AA7411">
        <v>0.99559750000000002</v>
      </c>
      <c r="AB7411">
        <v>31</v>
      </c>
      <c r="AC7411">
        <v>27.193299999999901</v>
      </c>
      <c r="AD7411">
        <v>-1.1115507068549999</v>
      </c>
      <c r="AE7411">
        <v>2.7590300000000001</v>
      </c>
      <c r="AF7411">
        <v>-2.5733882873311398</v>
      </c>
      <c r="AG7411">
        <v>-1.1115507068549999</v>
      </c>
      <c r="AH7411">
        <v>27.166164815895101</v>
      </c>
      <c r="AI7411">
        <v>92.332618422467604</v>
      </c>
      <c r="AJ7411">
        <v>95.411349958061706</v>
      </c>
      <c r="AK7411">
        <v>27.310407962087702</v>
      </c>
      <c r="AL7411">
        <v>79.192324909404704</v>
      </c>
      <c r="AM7411">
        <v>97.497709023415894</v>
      </c>
      <c r="AN7411">
        <v>1.0000000224868</v>
      </c>
    </row>
    <row r="7412" spans="1:40" x14ac:dyDescent="0.25">
      <c r="A7412" t="str">
        <f>"20190304154940060"</f>
        <v>20190304154940060</v>
      </c>
      <c r="B7412" t="str">
        <f>"1551685780054632"</f>
        <v>1551685780054632</v>
      </c>
      <c r="C7412" t="s">
        <v>40</v>
      </c>
      <c r="D7412">
        <v>4.235646</v>
      </c>
      <c r="E7412">
        <v>0.5115227</v>
      </c>
      <c r="F7412" t="s">
        <v>68</v>
      </c>
      <c r="G7412">
        <v>-199.81970000000001</v>
      </c>
      <c r="H7412" s="1">
        <v>-5.795122E-6</v>
      </c>
      <c r="I7412">
        <v>-60.636060000000001</v>
      </c>
      <c r="J7412">
        <v>-227.04839999999999</v>
      </c>
      <c r="K7412">
        <v>1.1115619999999999</v>
      </c>
      <c r="L7412">
        <v>-63.413150000000002</v>
      </c>
      <c r="M7412">
        <v>0.99991010000000002</v>
      </c>
      <c r="N7412">
        <v>-1.12514E-2</v>
      </c>
      <c r="O7412">
        <v>7.3128259999999997E-3</v>
      </c>
      <c r="P7412">
        <v>0.97493359999999996</v>
      </c>
      <c r="Q7412">
        <v>0.17695069999999999</v>
      </c>
      <c r="R7412">
        <v>0.13488249999999999</v>
      </c>
      <c r="S7412">
        <v>3.0565799999999999</v>
      </c>
      <c r="T7412">
        <v>-0.1240137</v>
      </c>
      <c r="U7412">
        <v>0.31002809999999997</v>
      </c>
      <c r="V7412">
        <v>-0.12817509999999999</v>
      </c>
      <c r="W7412">
        <v>0.18762899999999999</v>
      </c>
      <c r="X7412">
        <v>0.97384110000000002</v>
      </c>
      <c r="Y7412">
        <v>-9.3538949999999996E-2</v>
      </c>
      <c r="Z7412">
        <v>2.2060589999999998E-3</v>
      </c>
      <c r="AA7412">
        <v>0.99561319999999998</v>
      </c>
      <c r="AB7412">
        <v>31</v>
      </c>
      <c r="AC7412">
        <v>27.2286999999999</v>
      </c>
      <c r="AD7412">
        <v>-1.111567795122</v>
      </c>
      <c r="AE7412">
        <v>2.7770899999999998</v>
      </c>
      <c r="AF7412">
        <v>-2.5736394719407198</v>
      </c>
      <c r="AG7412">
        <v>-1.111567795122</v>
      </c>
      <c r="AH7412">
        <v>27.2034124139455</v>
      </c>
      <c r="AI7412">
        <v>92.329490136687895</v>
      </c>
      <c r="AJ7412">
        <v>95.404508846000596</v>
      </c>
      <c r="AK7412">
        <v>27.3474834318971</v>
      </c>
      <c r="AL7412">
        <v>79.185552346454699</v>
      </c>
      <c r="AM7412">
        <v>97.498061848193998</v>
      </c>
      <c r="AN7412">
        <v>0.999999992975109</v>
      </c>
    </row>
    <row r="7413" spans="1:40" x14ac:dyDescent="0.25">
      <c r="A7413" t="str">
        <f>"20190304154940070"</f>
        <v>20190304154940070</v>
      </c>
      <c r="B7413" t="str">
        <f>"1551685780064392"</f>
        <v>1551685780064392</v>
      </c>
      <c r="C7413" t="s">
        <v>40</v>
      </c>
      <c r="D7413">
        <v>4.2393029999999996</v>
      </c>
      <c r="E7413">
        <v>0.51151820000000003</v>
      </c>
      <c r="F7413" t="s">
        <v>68</v>
      </c>
      <c r="G7413">
        <v>-199.608</v>
      </c>
      <c r="H7413" s="1">
        <v>-5.8799269999999999E-6</v>
      </c>
      <c r="I7413">
        <v>-60.61168</v>
      </c>
      <c r="J7413">
        <v>-226.90190000000001</v>
      </c>
      <c r="K7413">
        <v>1.111577</v>
      </c>
      <c r="L7413">
        <v>-63.411560000000001</v>
      </c>
      <c r="M7413">
        <v>0.99990579999999996</v>
      </c>
      <c r="N7413">
        <v>-1.12522E-2</v>
      </c>
      <c r="O7413">
        <v>7.8814790000000003E-3</v>
      </c>
      <c r="P7413">
        <v>0.97483129999999996</v>
      </c>
      <c r="Q7413">
        <v>0.17713599999999999</v>
      </c>
      <c r="R7413">
        <v>0.13537739999999901</v>
      </c>
      <c r="S7413">
        <v>3.0564580000000001</v>
      </c>
      <c r="T7413">
        <v>-0.1238123</v>
      </c>
      <c r="U7413">
        <v>0.31204219999999999</v>
      </c>
      <c r="V7413">
        <v>-0.12812319999999999</v>
      </c>
      <c r="W7413">
        <v>0.1878107</v>
      </c>
      <c r="X7413">
        <v>0.97381289999999998</v>
      </c>
      <c r="Y7413">
        <v>-9.3626520000000005E-2</v>
      </c>
      <c r="Z7413">
        <v>2.1892209999999999E-3</v>
      </c>
      <c r="AA7413">
        <v>0.99560499999999996</v>
      </c>
      <c r="AB7413">
        <v>31</v>
      </c>
      <c r="AC7413">
        <v>27.293900000000001</v>
      </c>
      <c r="AD7413">
        <v>-1.111582879927</v>
      </c>
      <c r="AE7413">
        <v>2.7998799999999799</v>
      </c>
      <c r="AF7413">
        <v>-2.5804277099167798</v>
      </c>
      <c r="AG7413">
        <v>-1.111582879927</v>
      </c>
      <c r="AH7413">
        <v>27.270360028425699</v>
      </c>
      <c r="AI7413">
        <v>92.323805483782493</v>
      </c>
      <c r="AJ7413">
        <v>95.405455310523195</v>
      </c>
      <c r="AK7413">
        <v>27.414717940278202</v>
      </c>
      <c r="AL7413">
        <v>79.174953233853799</v>
      </c>
      <c r="AM7413">
        <v>97.495274872855603</v>
      </c>
      <c r="AN7413">
        <v>0.99999998880956897</v>
      </c>
    </row>
    <row r="7414" spans="1:40" x14ac:dyDescent="0.25">
      <c r="A7414" t="str">
        <f>"20190304154940082"</f>
        <v>20190304154940082</v>
      </c>
      <c r="B7414" t="str">
        <f>"1551685780074153"</f>
        <v>1551685780074153</v>
      </c>
      <c r="C7414" t="s">
        <v>40</v>
      </c>
      <c r="D7414">
        <v>4.1791669999999996</v>
      </c>
      <c r="E7414">
        <v>0.51151820000000003</v>
      </c>
      <c r="F7414" t="s">
        <v>68</v>
      </c>
      <c r="G7414">
        <v>-199.3442</v>
      </c>
      <c r="H7414" s="1">
        <v>-5.9857390000000002E-6</v>
      </c>
      <c r="I7414">
        <v>-60.583680000000001</v>
      </c>
      <c r="J7414">
        <v>-226.7414</v>
      </c>
      <c r="K7414">
        <v>1.111594</v>
      </c>
      <c r="L7414">
        <v>-63.409640000000003</v>
      </c>
      <c r="M7414">
        <v>0.99990040000000002</v>
      </c>
      <c r="N7414">
        <v>-1.125315E-2</v>
      </c>
      <c r="O7414">
        <v>8.5211430000000001E-3</v>
      </c>
      <c r="P7414">
        <v>0.97471790000000003</v>
      </c>
      <c r="Q7414">
        <v>0.17725550000000001</v>
      </c>
      <c r="R7414">
        <v>0.13603499999999999</v>
      </c>
      <c r="S7414">
        <v>3.056305</v>
      </c>
      <c r="T7414">
        <v>-0.1232811</v>
      </c>
      <c r="U7414">
        <v>0.3136292</v>
      </c>
      <c r="V7414">
        <v>-0.12816540000000001</v>
      </c>
      <c r="W7414">
        <v>0.1879255</v>
      </c>
      <c r="X7414">
        <v>0.97378520000000002</v>
      </c>
      <c r="Y7414">
        <v>-9.3507309999999996E-2</v>
      </c>
      <c r="Z7414">
        <v>2.1609709999999998E-3</v>
      </c>
      <c r="AA7414">
        <v>0.99561630000000001</v>
      </c>
      <c r="AB7414">
        <v>31</v>
      </c>
      <c r="AC7414">
        <v>27.397200000000002</v>
      </c>
      <c r="AD7414">
        <v>-1.111599985739</v>
      </c>
      <c r="AE7414">
        <v>2.82595999999999</v>
      </c>
      <c r="AF7414">
        <v>-2.5881713386833201</v>
      </c>
      <c r="AG7414">
        <v>-1.111599985739</v>
      </c>
      <c r="AH7414">
        <v>27.3756954784584</v>
      </c>
      <c r="AI7414">
        <v>92.314926946632895</v>
      </c>
      <c r="AJ7414">
        <v>95.400842660639896</v>
      </c>
      <c r="AK7414">
        <v>27.520228711548999</v>
      </c>
      <c r="AL7414">
        <v>79.168256444726595</v>
      </c>
      <c r="AM7414">
        <v>97.497926363792303</v>
      </c>
      <c r="AN7414">
        <v>0.999999989523225</v>
      </c>
    </row>
    <row r="7415" spans="1:40" x14ac:dyDescent="0.25">
      <c r="A7415" t="str">
        <f>"20190304154940092"</f>
        <v>20190304154940092</v>
      </c>
      <c r="B7415" t="str">
        <f>"1551685780085008"</f>
        <v>1551685780085008</v>
      </c>
      <c r="C7415" t="s">
        <v>40</v>
      </c>
      <c r="D7415">
        <v>4.2491269999999997</v>
      </c>
      <c r="E7415">
        <v>0.51152619999999904</v>
      </c>
      <c r="F7415" t="s">
        <v>68</v>
      </c>
      <c r="G7415">
        <v>-199.09569999999999</v>
      </c>
      <c r="H7415" s="1">
        <v>-6.0853080000000002E-6</v>
      </c>
      <c r="I7415">
        <v>-60.555149999999998</v>
      </c>
      <c r="J7415">
        <v>-226.5942</v>
      </c>
      <c r="K7415">
        <v>1.111615</v>
      </c>
      <c r="L7415">
        <v>-63.40784</v>
      </c>
      <c r="M7415">
        <v>0.99989530000000004</v>
      </c>
      <c r="N7415">
        <v>-1.125402E-2</v>
      </c>
      <c r="O7415">
        <v>9.1114430000000003E-3</v>
      </c>
      <c r="P7415">
        <v>0.97458789999999995</v>
      </c>
      <c r="Q7415">
        <v>0.1774964</v>
      </c>
      <c r="R7415">
        <v>0.13665289999999999</v>
      </c>
      <c r="S7415">
        <v>3.0561219999999998</v>
      </c>
      <c r="T7415">
        <v>-0.1228828</v>
      </c>
      <c r="U7415">
        <v>0.31555179999999999</v>
      </c>
      <c r="V7415">
        <v>-0.12821659999999999</v>
      </c>
      <c r="W7415">
        <v>0.18816099999999999</v>
      </c>
      <c r="X7415">
        <v>0.97373299999999996</v>
      </c>
      <c r="Y7415">
        <v>-9.3546110000000002E-2</v>
      </c>
      <c r="Z7415">
        <v>2.1400759999999999E-3</v>
      </c>
      <c r="AA7415">
        <v>0.99561259999999996</v>
      </c>
      <c r="AB7415">
        <v>31</v>
      </c>
      <c r="AC7415">
        <v>27.4985</v>
      </c>
      <c r="AD7415">
        <v>-1.111621085308</v>
      </c>
      <c r="AE7415">
        <v>2.8526899999999999</v>
      </c>
      <c r="AF7415">
        <v>-2.5978046843764302</v>
      </c>
      <c r="AG7415">
        <v>-1.111621085308</v>
      </c>
      <c r="AH7415">
        <v>27.4789252164712</v>
      </c>
      <c r="AI7415">
        <v>92.306284617134907</v>
      </c>
      <c r="AJ7415">
        <v>95.400581711191194</v>
      </c>
      <c r="AK7415">
        <v>27.623823444047101</v>
      </c>
      <c r="AL7415">
        <v>79.154518398955901</v>
      </c>
      <c r="AM7415">
        <v>97.501285093224695</v>
      </c>
      <c r="AN7415">
        <v>1.0000000068627799</v>
      </c>
    </row>
    <row r="7416" spans="1:40" x14ac:dyDescent="0.25">
      <c r="A7416" t="str">
        <f>"20190304154940103"</f>
        <v>20190304154940103</v>
      </c>
      <c r="B7416" t="str">
        <f>"1551685780094769"</f>
        <v>1551685780094769</v>
      </c>
      <c r="C7416" t="s">
        <v>40</v>
      </c>
      <c r="D7416">
        <v>4.249098</v>
      </c>
      <c r="E7416">
        <v>0.51154750000000004</v>
      </c>
      <c r="F7416" t="s">
        <v>68</v>
      </c>
      <c r="G7416">
        <v>-198.8228</v>
      </c>
      <c r="H7416" s="1">
        <v>-6.1947930000000004E-6</v>
      </c>
      <c r="I7416">
        <v>-60.526429999999998</v>
      </c>
      <c r="J7416">
        <v>-226.44550000000001</v>
      </c>
      <c r="K7416">
        <v>1.1116330000000001</v>
      </c>
      <c r="L7416">
        <v>-63.405880000000003</v>
      </c>
      <c r="M7416">
        <v>0.99988949999999999</v>
      </c>
      <c r="N7416">
        <v>-1.1254999999999999E-2</v>
      </c>
      <c r="O7416">
        <v>9.7250570000000005E-3</v>
      </c>
      <c r="P7416">
        <v>0.97451449999999995</v>
      </c>
      <c r="Q7416">
        <v>0.1774406</v>
      </c>
      <c r="R7416">
        <v>0.13724639999999999</v>
      </c>
      <c r="S7416">
        <v>3.0560459999999998</v>
      </c>
      <c r="T7416">
        <v>-0.1223259</v>
      </c>
      <c r="U7416">
        <v>0.31707760000000001</v>
      </c>
      <c r="V7416">
        <v>-0.12821949999999999</v>
      </c>
      <c r="W7416">
        <v>0.18810109999999999</v>
      </c>
      <c r="X7416">
        <v>0.97374419999999995</v>
      </c>
      <c r="Y7416">
        <v>-9.3430589999999994E-2</v>
      </c>
      <c r="Z7416">
        <v>2.1127530000000002E-3</v>
      </c>
      <c r="AA7416">
        <v>0.99562349999999999</v>
      </c>
      <c r="AB7416">
        <v>31</v>
      </c>
      <c r="AC7416">
        <v>27.622699999999998</v>
      </c>
      <c r="AD7416">
        <v>-1.111639194793</v>
      </c>
      <c r="AE7416">
        <v>2.8794499999999901</v>
      </c>
      <c r="AF7416">
        <v>-2.6064885312405899</v>
      </c>
      <c r="AG7416">
        <v>-1.111639194793</v>
      </c>
      <c r="AH7416">
        <v>27.605170685540401</v>
      </c>
      <c r="AI7416">
        <v>92.295811354655399</v>
      </c>
      <c r="AJ7416">
        <v>95.3938934896604</v>
      </c>
      <c r="AK7416">
        <v>27.750224733156799</v>
      </c>
      <c r="AL7416">
        <v>79.158012907575198</v>
      </c>
      <c r="AM7416">
        <v>97.501367525855301</v>
      </c>
      <c r="AN7416">
        <v>1.0000000155175399</v>
      </c>
    </row>
    <row r="7417" spans="1:40" x14ac:dyDescent="0.25">
      <c r="A7417" t="str">
        <f>"20190304154940114"</f>
        <v>20190304154940114</v>
      </c>
      <c r="B7417" t="str">
        <f>"1551685780104529"</f>
        <v>1551685780104529</v>
      </c>
      <c r="C7417" t="s">
        <v>40</v>
      </c>
      <c r="D7417">
        <v>4.2571389999999996</v>
      </c>
      <c r="E7417">
        <v>0.51155589999999995</v>
      </c>
      <c r="F7417" t="s">
        <v>68</v>
      </c>
      <c r="G7417">
        <v>-198.7287</v>
      </c>
      <c r="H7417" s="1">
        <v>-6.2324580000000002E-6</v>
      </c>
      <c r="I7417">
        <v>-60.515039999999999</v>
      </c>
      <c r="J7417">
        <v>-226.29300000000001</v>
      </c>
      <c r="K7417">
        <v>1.11165</v>
      </c>
      <c r="L7417">
        <v>-63.403840000000002</v>
      </c>
      <c r="M7417">
        <v>0.99988319999999997</v>
      </c>
      <c r="N7417">
        <v>-1.125599E-2</v>
      </c>
      <c r="O7417">
        <v>1.035924E-2</v>
      </c>
      <c r="P7417">
        <v>0.97443619999999997</v>
      </c>
      <c r="Q7417">
        <v>0.1772859</v>
      </c>
      <c r="R7417">
        <v>0.13799929999999999</v>
      </c>
      <c r="S7417">
        <v>3.0558779999999999</v>
      </c>
      <c r="T7417">
        <v>-0.1225622</v>
      </c>
      <c r="U7417">
        <v>0.3187256</v>
      </c>
      <c r="V7417">
        <v>-0.12836230000000001</v>
      </c>
      <c r="W7417">
        <v>0.18794140000000001</v>
      </c>
      <c r="X7417">
        <v>0.97375619999999996</v>
      </c>
      <c r="Y7417">
        <v>-9.3335929999999998E-2</v>
      </c>
      <c r="Z7417">
        <v>2.0950539999999998E-3</v>
      </c>
      <c r="AA7417">
        <v>0.99563250000000003</v>
      </c>
      <c r="AB7417">
        <v>31</v>
      </c>
      <c r="AC7417">
        <v>27.564299999999999</v>
      </c>
      <c r="AD7417">
        <v>-1.1116562324579999</v>
      </c>
      <c r="AE7417">
        <v>2.8887999999999998</v>
      </c>
      <c r="AF7417">
        <v>-2.59890062257085</v>
      </c>
      <c r="AG7417">
        <v>-1.1116562324579999</v>
      </c>
      <c r="AH7417">
        <v>27.5484284113803</v>
      </c>
      <c r="AI7417">
        <v>92.300587652491799</v>
      </c>
      <c r="AJ7417">
        <v>95.389295849264101</v>
      </c>
      <c r="AK7417">
        <v>27.6930672183871</v>
      </c>
      <c r="AL7417">
        <v>79.167328958113401</v>
      </c>
      <c r="AM7417">
        <v>97.509535126189405</v>
      </c>
      <c r="AN7417">
        <v>0.99999999346684398</v>
      </c>
    </row>
    <row r="7418" spans="1:40" x14ac:dyDescent="0.25">
      <c r="A7418" t="str">
        <f>"20190304154940125"</f>
        <v>20190304154940125</v>
      </c>
      <c r="B7418" t="str">
        <f>"1551685780114289"</f>
        <v>1551685780114289</v>
      </c>
      <c r="C7418" t="s">
        <v>40</v>
      </c>
      <c r="D7418">
        <v>4.2709039999999998</v>
      </c>
      <c r="E7418">
        <v>0.51155099999999998</v>
      </c>
      <c r="F7418" t="s">
        <v>68</v>
      </c>
      <c r="G7418">
        <v>-198.75309999999999</v>
      </c>
      <c r="H7418" s="1">
        <v>-6.2222349999999901E-6</v>
      </c>
      <c r="I7418">
        <v>-60.510069999999899</v>
      </c>
      <c r="J7418">
        <v>-226.1387</v>
      </c>
      <c r="K7418">
        <v>1.1116649999999999</v>
      </c>
      <c r="L7418">
        <v>-63.401580000000003</v>
      </c>
      <c r="M7418">
        <v>0.99987599999999999</v>
      </c>
      <c r="N7418">
        <v>-1.125701E-2</v>
      </c>
      <c r="O7418">
        <v>1.1014400000000001E-2</v>
      </c>
      <c r="P7418">
        <v>0.97435329999999998</v>
      </c>
      <c r="Q7418">
        <v>0.1772377</v>
      </c>
      <c r="R7418">
        <v>0.1386455</v>
      </c>
      <c r="S7418">
        <v>3.0556640000000002</v>
      </c>
      <c r="T7418">
        <v>-0.12334290000000001</v>
      </c>
      <c r="U7418">
        <v>0.32107540000000001</v>
      </c>
      <c r="V7418">
        <v>-0.12837809999999999</v>
      </c>
      <c r="W7418">
        <v>0.18788850000000001</v>
      </c>
      <c r="X7418">
        <v>0.97376439999999997</v>
      </c>
      <c r="Y7418">
        <v>-9.3447249999999996E-2</v>
      </c>
      <c r="Z7418">
        <v>2.0882850000000001E-3</v>
      </c>
      <c r="AA7418">
        <v>0.99562200000000001</v>
      </c>
      <c r="AB7418">
        <v>31</v>
      </c>
      <c r="AC7418">
        <v>27.3856</v>
      </c>
      <c r="AD7418">
        <v>-1.11167122223499</v>
      </c>
      <c r="AE7418">
        <v>2.89151000000001</v>
      </c>
      <c r="AF7418">
        <v>-2.5854661239269401</v>
      </c>
      <c r="AG7418">
        <v>-1.11167122223499</v>
      </c>
      <c r="AH7418">
        <v>27.371183483042699</v>
      </c>
      <c r="AI7418">
        <v>92.315474384380096</v>
      </c>
      <c r="AJ7418">
        <v>95.396115032707101</v>
      </c>
      <c r="AK7418">
        <v>27.515488969791299</v>
      </c>
      <c r="AL7418">
        <v>79.170415672969199</v>
      </c>
      <c r="AM7418">
        <v>97.510386393760797</v>
      </c>
      <c r="AN7418">
        <v>1.0000000658496</v>
      </c>
    </row>
    <row r="7419" spans="1:40" x14ac:dyDescent="0.25">
      <c r="A7419" t="str">
        <f>"20190304154940136"</f>
        <v>20190304154940136</v>
      </c>
      <c r="B7419" t="str">
        <f>"1551685780134785"</f>
        <v>1551685780134785</v>
      </c>
      <c r="C7419" t="s">
        <v>40</v>
      </c>
      <c r="D7419">
        <v>4.2658500000000004</v>
      </c>
      <c r="E7419">
        <v>0.51155280000000003</v>
      </c>
      <c r="F7419" t="s">
        <v>68</v>
      </c>
      <c r="G7419">
        <v>-198.68539999999999</v>
      </c>
      <c r="H7419" s="1">
        <v>-6.2490029999999997E-6</v>
      </c>
      <c r="I7419">
        <v>-60.4961699999999</v>
      </c>
      <c r="J7419">
        <v>-225.98490000000001</v>
      </c>
      <c r="K7419">
        <v>1.1116839999999999</v>
      </c>
      <c r="L7419">
        <v>-63.399259999999998</v>
      </c>
      <c r="M7419">
        <v>0.99986850000000005</v>
      </c>
      <c r="N7419">
        <v>-1.1258000000000001E-2</v>
      </c>
      <c r="O7419">
        <v>1.1676539999999999E-2</v>
      </c>
      <c r="P7419">
        <v>0.97427980000000003</v>
      </c>
      <c r="Q7419">
        <v>0.1772029</v>
      </c>
      <c r="R7419">
        <v>0.13920569999999999</v>
      </c>
      <c r="S7419">
        <v>3.0554809999999999</v>
      </c>
      <c r="T7419">
        <v>-0.123726</v>
      </c>
      <c r="U7419">
        <v>0.32336429999999999</v>
      </c>
      <c r="V7419">
        <v>-0.12830050000000001</v>
      </c>
      <c r="W7419">
        <v>0.18785009999999999</v>
      </c>
      <c r="X7419">
        <v>0.97378189999999998</v>
      </c>
      <c r="Y7419">
        <v>-9.3531420000000004E-2</v>
      </c>
      <c r="Z7419">
        <v>2.0757409999999999E-3</v>
      </c>
      <c r="AA7419">
        <v>0.9956142</v>
      </c>
      <c r="AB7419">
        <v>31</v>
      </c>
      <c r="AC7419">
        <v>27.299499999999998</v>
      </c>
      <c r="AD7419">
        <v>-1.1116902490030001</v>
      </c>
      <c r="AE7419">
        <v>2.9030900000000002</v>
      </c>
      <c r="AF7419">
        <v>-2.5798778484120501</v>
      </c>
      <c r="AG7419">
        <v>-1.1116902490030001</v>
      </c>
      <c r="AH7419">
        <v>27.286795668197801</v>
      </c>
      <c r="AI7419">
        <v>92.322648178130393</v>
      </c>
      <c r="AJ7419">
        <v>95.401074366789601</v>
      </c>
      <c r="AK7419">
        <v>27.4310197178383</v>
      </c>
      <c r="AL7419">
        <v>79.172654267347497</v>
      </c>
      <c r="AM7419">
        <v>97.505765057604705</v>
      </c>
      <c r="AN7419">
        <v>0.99999993356893202</v>
      </c>
    </row>
    <row r="7420" spans="1:40" x14ac:dyDescent="0.25">
      <c r="A7420" t="str">
        <f>"20190304154940148"</f>
        <v>20190304154940148</v>
      </c>
      <c r="B7420" t="str">
        <f>"1551685780144544"</f>
        <v>1551685780144544</v>
      </c>
      <c r="C7420" t="s">
        <v>40</v>
      </c>
      <c r="D7420">
        <v>4.2577170000000004</v>
      </c>
      <c r="E7420">
        <v>0.51158340000000002</v>
      </c>
      <c r="F7420" t="s">
        <v>68</v>
      </c>
      <c r="G7420">
        <v>-198.66890000000001</v>
      </c>
      <c r="H7420" s="1">
        <v>-6.2555300000000001E-6</v>
      </c>
      <c r="I7420">
        <v>-60.492730000000002</v>
      </c>
      <c r="J7420">
        <v>-225.82679999999999</v>
      </c>
      <c r="K7420">
        <v>1.1117030000000001</v>
      </c>
      <c r="L7420">
        <v>-63.396729999999998</v>
      </c>
      <c r="M7420">
        <v>0.99986030000000004</v>
      </c>
      <c r="N7420">
        <v>-1.125901E-2</v>
      </c>
      <c r="O7420">
        <v>1.2366749999999999E-2</v>
      </c>
      <c r="P7420">
        <v>0.97412650000000001</v>
      </c>
      <c r="Q7420">
        <v>0.17728969999999999</v>
      </c>
      <c r="R7420">
        <v>0.14016500000000001</v>
      </c>
      <c r="S7420">
        <v>3.055374</v>
      </c>
      <c r="T7420">
        <v>-0.1243457</v>
      </c>
      <c r="U7420">
        <v>0.3251038</v>
      </c>
      <c r="V7420">
        <v>-0.12859660000000001</v>
      </c>
      <c r="W7420">
        <v>0.1879306</v>
      </c>
      <c r="X7420">
        <v>0.97372729999999996</v>
      </c>
      <c r="Y7420">
        <v>-9.3407939999999995E-2</v>
      </c>
      <c r="Z7420">
        <v>2.0594680000000001E-3</v>
      </c>
      <c r="AA7420">
        <v>0.99562580000000001</v>
      </c>
      <c r="AB7420">
        <v>31</v>
      </c>
      <c r="AC7420">
        <v>27.157899999999898</v>
      </c>
      <c r="AD7420">
        <v>-1.1117092555299899</v>
      </c>
      <c r="AE7420">
        <v>2.9039999999999999</v>
      </c>
      <c r="AF7420">
        <v>-2.5636544137727499</v>
      </c>
      <c r="AG7420">
        <v>-1.1117092555299899</v>
      </c>
      <c r="AH7420">
        <v>27.146763317826601</v>
      </c>
      <c r="AI7420">
        <v>92.334679851457594</v>
      </c>
      <c r="AJ7420">
        <v>95.394832444983194</v>
      </c>
      <c r="AK7420">
        <v>27.290199340719099</v>
      </c>
      <c r="AL7420">
        <v>79.167958232008601</v>
      </c>
      <c r="AM7420">
        <v>97.523306161894297</v>
      </c>
      <c r="AN7420">
        <v>0.99999992535660198</v>
      </c>
    </row>
    <row r="7421" spans="1:40" x14ac:dyDescent="0.25">
      <c r="A7421" t="str">
        <f>"20190304154940160"</f>
        <v>20190304154940160</v>
      </c>
      <c r="B7421" t="str">
        <f>"1551685780154304"</f>
        <v>1551685780154304</v>
      </c>
      <c r="C7421" t="s">
        <v>40</v>
      </c>
      <c r="D7421">
        <v>4.2713400000000004</v>
      </c>
      <c r="E7421">
        <v>0.51160220000000001</v>
      </c>
      <c r="F7421" t="s">
        <v>68</v>
      </c>
      <c r="G7421">
        <v>-198.4897</v>
      </c>
      <c r="H7421" s="1">
        <v>-6.3268540000000004E-6</v>
      </c>
      <c r="I7421">
        <v>-60.463979999999999</v>
      </c>
      <c r="J7421">
        <v>-225.6704</v>
      </c>
      <c r="K7421">
        <v>1.11172</v>
      </c>
      <c r="L7421">
        <v>-63.394100000000002</v>
      </c>
      <c r="M7421">
        <v>0.9998513</v>
      </c>
      <c r="N7421">
        <v>-1.1260050000000001E-2</v>
      </c>
      <c r="O7421">
        <v>1.306393E-2</v>
      </c>
      <c r="P7421">
        <v>0.97398850000000003</v>
      </c>
      <c r="Q7421">
        <v>0.17736360000000001</v>
      </c>
      <c r="R7421">
        <v>0.1410275</v>
      </c>
      <c r="S7421">
        <v>3.055145</v>
      </c>
      <c r="T7421">
        <v>-0.12424250000000001</v>
      </c>
      <c r="U7421">
        <v>0.32775880000000002</v>
      </c>
      <c r="V7421">
        <v>-0.12878899999999999</v>
      </c>
      <c r="W7421">
        <v>0.187999</v>
      </c>
      <c r="X7421">
        <v>0.97368869999999996</v>
      </c>
      <c r="Y7421">
        <v>-9.3577270000000004E-2</v>
      </c>
      <c r="Z7421">
        <v>2.0424029999999999E-3</v>
      </c>
      <c r="AA7421">
        <v>0.99560990000000005</v>
      </c>
      <c r="AB7421">
        <v>31</v>
      </c>
      <c r="AC7421">
        <v>27.180700000000002</v>
      </c>
      <c r="AD7421">
        <v>-1.1117263268539901</v>
      </c>
      <c r="AE7421">
        <v>2.9301199999999898</v>
      </c>
      <c r="AF7421">
        <v>-2.5705098093794199</v>
      </c>
      <c r="AG7421">
        <v>-1.1117263268539901</v>
      </c>
      <c r="AH7421">
        <v>27.1717276277796</v>
      </c>
      <c r="AI7421">
        <v>92.332536856330293</v>
      </c>
      <c r="AJ7421">
        <v>95.404232862506106</v>
      </c>
      <c r="AK7421">
        <v>27.315677520138099</v>
      </c>
      <c r="AL7421">
        <v>79.163968431644193</v>
      </c>
      <c r="AM7421">
        <v>97.534728204684896</v>
      </c>
      <c r="AN7421">
        <v>0.99999995751484405</v>
      </c>
    </row>
    <row r="7422" spans="1:40" x14ac:dyDescent="0.25">
      <c r="A7422" t="str">
        <f>"20190304154940170"</f>
        <v>20190304154940170</v>
      </c>
      <c r="B7422" t="str">
        <f>"1551685780165040"</f>
        <v>1551685780165040</v>
      </c>
      <c r="C7422" t="s">
        <v>40</v>
      </c>
      <c r="D7422">
        <v>4.2690729999999997</v>
      </c>
      <c r="E7422">
        <v>0.51162429999999903</v>
      </c>
      <c r="F7422" t="s">
        <v>68</v>
      </c>
      <c r="G7422">
        <v>-198.31970000000001</v>
      </c>
      <c r="H7422" s="1">
        <v>-6.3946849999999997E-6</v>
      </c>
      <c r="I7422">
        <v>-60.43976</v>
      </c>
      <c r="J7422">
        <v>-225.51410000000001</v>
      </c>
      <c r="K7422">
        <v>1.111737</v>
      </c>
      <c r="L7422">
        <v>-63.391449999999999</v>
      </c>
      <c r="M7422">
        <v>0.99984189999999995</v>
      </c>
      <c r="N7422">
        <v>-1.126111E-2</v>
      </c>
      <c r="O7422">
        <v>1.3766179999999999E-2</v>
      </c>
      <c r="P7422">
        <v>0.97382950000000001</v>
      </c>
      <c r="Q7422">
        <v>0.1774345</v>
      </c>
      <c r="R7422">
        <v>0.14203270000000001</v>
      </c>
      <c r="S7422">
        <v>3.0549469999999999</v>
      </c>
      <c r="T7422">
        <v>-0.1241747</v>
      </c>
      <c r="U7422">
        <v>0.32998660000000002</v>
      </c>
      <c r="V7422">
        <v>-0.12911929999999999</v>
      </c>
      <c r="W7422">
        <v>0.18806310000000001</v>
      </c>
      <c r="X7422">
        <v>0.97363259999999996</v>
      </c>
      <c r="Y7422">
        <v>-9.3602920000000006E-2</v>
      </c>
      <c r="Z7422">
        <v>2.0218850000000002E-3</v>
      </c>
      <c r="AA7422">
        <v>0.99560760000000004</v>
      </c>
      <c r="AB7422">
        <v>31</v>
      </c>
      <c r="AC7422">
        <v>27.194400000000002</v>
      </c>
      <c r="AD7422">
        <v>-1.1117433946849999</v>
      </c>
      <c r="AE7422">
        <v>2.9516900000000001</v>
      </c>
      <c r="AF7422">
        <v>-2.5727737818026899</v>
      </c>
      <c r="AG7422">
        <v>-1.1117433946849999</v>
      </c>
      <c r="AH7422">
        <v>27.1875498142116</v>
      </c>
      <c r="AI7422">
        <v>92.331210489139195</v>
      </c>
      <c r="AJ7422">
        <v>95.405835243112904</v>
      </c>
      <c r="AK7422">
        <v>27.3316300869194</v>
      </c>
      <c r="AL7422">
        <v>79.1602293365207</v>
      </c>
      <c r="AM7422">
        <v>97.554259576719105</v>
      </c>
      <c r="AN7422">
        <v>0.99999998149842895</v>
      </c>
    </row>
    <row r="7423" spans="1:40" x14ac:dyDescent="0.25">
      <c r="A7423" t="str">
        <f>"20190304154940181"</f>
        <v>20190304154940181</v>
      </c>
      <c r="B7423" t="str">
        <f>"1551685780174801"</f>
        <v>1551685780174801</v>
      </c>
      <c r="C7423" t="s">
        <v>40</v>
      </c>
      <c r="D7423">
        <v>4.2840829999999999</v>
      </c>
      <c r="E7423">
        <v>0.51164889999999996</v>
      </c>
      <c r="F7423" t="s">
        <v>68</v>
      </c>
      <c r="G7423">
        <v>-198.14189999999999</v>
      </c>
      <c r="H7423" s="1">
        <v>-6.465333E-6</v>
      </c>
      <c r="I7423">
        <v>-60.409649999999999</v>
      </c>
      <c r="J7423">
        <v>-225.3638</v>
      </c>
      <c r="K7423">
        <v>1.1117549999999901</v>
      </c>
      <c r="L7423">
        <v>-63.388640000000002</v>
      </c>
      <c r="M7423">
        <v>0.9998321</v>
      </c>
      <c r="N7423">
        <v>-1.12622E-2</v>
      </c>
      <c r="O7423">
        <v>1.4460560000000001E-2</v>
      </c>
      <c r="P7423">
        <v>0.97370319999999999</v>
      </c>
      <c r="Q7423">
        <v>0.1773247</v>
      </c>
      <c r="R7423">
        <v>0.1430331</v>
      </c>
      <c r="S7423">
        <v>3.0546880000000001</v>
      </c>
      <c r="T7423">
        <v>-0.124068899999999</v>
      </c>
      <c r="U7423">
        <v>0.3327637</v>
      </c>
      <c r="V7423">
        <v>-0.12945190000000001</v>
      </c>
      <c r="W7423">
        <v>0.18794839999999999</v>
      </c>
      <c r="X7423">
        <v>0.97361059999999999</v>
      </c>
      <c r="Y7423">
        <v>-9.3815319999999994E-2</v>
      </c>
      <c r="Z7423">
        <v>2.0060799999999999E-3</v>
      </c>
      <c r="AA7423">
        <v>0.99558760000000002</v>
      </c>
      <c r="AB7423">
        <v>31</v>
      </c>
      <c r="AC7423">
        <v>27.221900000000002</v>
      </c>
      <c r="AD7423">
        <v>-1.1117614653329999</v>
      </c>
      <c r="AE7423">
        <v>2.97899</v>
      </c>
      <c r="AF7423">
        <v>-2.5807559640008302</v>
      </c>
      <c r="AG7423">
        <v>-1.1117614653329999</v>
      </c>
      <c r="AH7423">
        <v>27.2172737586151</v>
      </c>
      <c r="AI7423">
        <v>92.328663713444996</v>
      </c>
      <c r="AJ7423">
        <v>95.416620676915997</v>
      </c>
      <c r="AK7423">
        <v>27.361949962547001</v>
      </c>
      <c r="AL7423">
        <v>79.166920659929801</v>
      </c>
      <c r="AM7423">
        <v>97.573662247175605</v>
      </c>
      <c r="AN7423">
        <v>0.99999999795426497</v>
      </c>
    </row>
    <row r="7424" spans="1:40" x14ac:dyDescent="0.25">
      <c r="A7424" t="str">
        <f>"20190304154940194"</f>
        <v>20190304154940194</v>
      </c>
      <c r="B7424" t="str">
        <f>"1551685780184561"</f>
        <v>1551685780184561</v>
      </c>
      <c r="C7424" t="s">
        <v>40</v>
      </c>
      <c r="D7424">
        <v>4.2871639999999998</v>
      </c>
      <c r="E7424">
        <v>0.51167470000000004</v>
      </c>
      <c r="F7424" t="s">
        <v>68</v>
      </c>
      <c r="G7424">
        <v>-198.10390000000001</v>
      </c>
      <c r="H7424" s="1">
        <v>-6.4798479999999998E-6</v>
      </c>
      <c r="I7424">
        <v>-60.392899999999997</v>
      </c>
      <c r="J7424">
        <v>-225.1979</v>
      </c>
      <c r="K7424">
        <v>1.111783</v>
      </c>
      <c r="L7424">
        <v>-63.385559999999998</v>
      </c>
      <c r="M7424">
        <v>0.9998205</v>
      </c>
      <c r="N7424">
        <v>-1.12634E-2</v>
      </c>
      <c r="O7424">
        <v>1.523327E-2</v>
      </c>
      <c r="P7424">
        <v>0.97354660000000004</v>
      </c>
      <c r="Q7424">
        <v>0.1772204</v>
      </c>
      <c r="R7424">
        <v>0.14422170000000001</v>
      </c>
      <c r="S7424">
        <v>3.0543819999999999</v>
      </c>
      <c r="T7424">
        <v>-0.12456929999999999</v>
      </c>
      <c r="U7424">
        <v>0.33566279999999998</v>
      </c>
      <c r="V7424">
        <v>-0.1298976</v>
      </c>
      <c r="W7424">
        <v>0.187837</v>
      </c>
      <c r="X7424">
        <v>0.97357269999999896</v>
      </c>
      <c r="Y7424">
        <v>-9.3989920000000005E-2</v>
      </c>
      <c r="Z7424">
        <v>1.9933559999999999E-3</v>
      </c>
      <c r="AA7424">
        <v>0.99557110000000004</v>
      </c>
      <c r="AB7424">
        <v>31</v>
      </c>
      <c r="AC7424">
        <v>27.093999999999902</v>
      </c>
      <c r="AD7424">
        <v>-1.1117894798479999</v>
      </c>
      <c r="AE7424">
        <v>2.9926599999999999</v>
      </c>
      <c r="AF7424">
        <v>-2.57527223756956</v>
      </c>
      <c r="AG7424">
        <v>-1.1117894798479999</v>
      </c>
      <c r="AH7424">
        <v>27.091379186043302</v>
      </c>
      <c r="AI7424">
        <v>92.339479603142706</v>
      </c>
      <c r="AJ7424">
        <v>95.430147653587696</v>
      </c>
      <c r="AK7424">
        <v>27.236206217957001</v>
      </c>
      <c r="AL7424">
        <v>79.1734187745501</v>
      </c>
      <c r="AM7424">
        <v>97.599726343371998</v>
      </c>
      <c r="AN7424">
        <v>0.99999996362002397</v>
      </c>
    </row>
    <row r="7425" spans="1:40" x14ac:dyDescent="0.25">
      <c r="A7425" t="str">
        <f>"20190304154940204"</f>
        <v>20190304154940204</v>
      </c>
      <c r="B7425" t="str">
        <f>"1551685780194321"</f>
        <v>1551685780194321</v>
      </c>
      <c r="C7425" t="s">
        <v>40</v>
      </c>
      <c r="D7425">
        <v>4.3005849999999999</v>
      </c>
      <c r="E7425">
        <v>0.51169739999999997</v>
      </c>
      <c r="F7425" t="s">
        <v>68</v>
      </c>
      <c r="G7425">
        <v>-198.04150000000001</v>
      </c>
      <c r="H7425" s="1">
        <v>-7.0756129999999901E-6</v>
      </c>
      <c r="I7425">
        <v>-60.371569999999998</v>
      </c>
      <c r="J7425">
        <v>-225.0455</v>
      </c>
      <c r="K7425">
        <v>1.111802</v>
      </c>
      <c r="L7425">
        <v>-63.382510000000003</v>
      </c>
      <c r="M7425">
        <v>0.99980919999999895</v>
      </c>
      <c r="N7425">
        <v>-1.126461E-2</v>
      </c>
      <c r="O7425">
        <v>1.5960740000000001E-2</v>
      </c>
      <c r="P7425">
        <v>0.97342030000000002</v>
      </c>
      <c r="Q7425">
        <v>0.17715359999999999</v>
      </c>
      <c r="R7425">
        <v>0.14515349999999999</v>
      </c>
      <c r="S7425">
        <v>3.0540620000000001</v>
      </c>
      <c r="T7425">
        <v>-0.12503410000000001</v>
      </c>
      <c r="U7425">
        <v>0.3389587</v>
      </c>
      <c r="V7425">
        <v>-0.13012969999999999</v>
      </c>
      <c r="W7425">
        <v>0.18776480000000001</v>
      </c>
      <c r="X7425">
        <v>0.97355570000000002</v>
      </c>
      <c r="Y7425">
        <v>-9.4337690000000002E-2</v>
      </c>
      <c r="Z7425">
        <v>1.9858950000000001E-3</v>
      </c>
      <c r="AA7425">
        <v>0.99553829999999999</v>
      </c>
      <c r="AB7425">
        <v>31</v>
      </c>
      <c r="AC7425">
        <v>27.003999999999898</v>
      </c>
      <c r="AD7425">
        <v>-1.1118090756129999</v>
      </c>
      <c r="AE7425">
        <v>3.01093999999999</v>
      </c>
      <c r="AF7425">
        <v>-2.5752135307758501</v>
      </c>
      <c r="AG7425">
        <v>-1.1118090756129999</v>
      </c>
      <c r="AH7425">
        <v>27.003407326797301</v>
      </c>
      <c r="AI7425">
        <v>92.347065959570898</v>
      </c>
      <c r="AJ7425">
        <v>95.447608324729501</v>
      </c>
      <c r="AK7425">
        <v>27.148698889756002</v>
      </c>
      <c r="AL7425">
        <v>79.177631194903896</v>
      </c>
      <c r="AM7425">
        <v>97.613277724535706</v>
      </c>
      <c r="AN7425">
        <v>1.0000000299717999</v>
      </c>
    </row>
    <row r="7426" spans="1:40" x14ac:dyDescent="0.25">
      <c r="A7426" t="str">
        <f>"20190304154940216"</f>
        <v>20190304154940216</v>
      </c>
      <c r="B7426" t="str">
        <f>"1551685780205058"</f>
        <v>1551685780205058</v>
      </c>
      <c r="C7426" t="s">
        <v>40</v>
      </c>
      <c r="D7426">
        <v>4.276211</v>
      </c>
      <c r="E7426">
        <v>0.51170689999999996</v>
      </c>
      <c r="F7426" t="s">
        <v>68</v>
      </c>
      <c r="G7426">
        <v>-197.9717</v>
      </c>
      <c r="H7426" s="1">
        <v>-7.0742589999999997E-6</v>
      </c>
      <c r="I7426">
        <v>-60.353059999999999</v>
      </c>
      <c r="J7426">
        <v>-224.89189999999999</v>
      </c>
      <c r="K7426">
        <v>1.11182</v>
      </c>
      <c r="L7426">
        <v>-63.379330000000003</v>
      </c>
      <c r="M7426">
        <v>0.99979700000000005</v>
      </c>
      <c r="N7426">
        <v>-1.126578E-2</v>
      </c>
      <c r="O7426">
        <v>1.6701919999999999E-2</v>
      </c>
      <c r="P7426">
        <v>0.97328289999999995</v>
      </c>
      <c r="Q7426">
        <v>0.1771037</v>
      </c>
      <c r="R7426">
        <v>0.14613229999999999</v>
      </c>
      <c r="S7426">
        <v>3.0537869999999998</v>
      </c>
      <c r="T7426">
        <v>-0.125406399999999</v>
      </c>
      <c r="U7426">
        <v>0.34170529999999999</v>
      </c>
      <c r="V7426">
        <v>-0.13039609999999999</v>
      </c>
      <c r="W7426">
        <v>0.18770809999999999</v>
      </c>
      <c r="X7426">
        <v>0.97353089999999998</v>
      </c>
      <c r="Y7426">
        <v>-9.4493579999999994E-2</v>
      </c>
      <c r="Z7426">
        <v>1.9719130000000001E-3</v>
      </c>
      <c r="AA7426">
        <v>0.99552350000000001</v>
      </c>
      <c r="AB7426">
        <v>31</v>
      </c>
      <c r="AC7426">
        <v>26.920199999999902</v>
      </c>
      <c r="AD7426">
        <v>-1.111827074259</v>
      </c>
      <c r="AE7426">
        <v>3.0262699999999998</v>
      </c>
      <c r="AF7426">
        <v>-2.5718679991500899</v>
      </c>
      <c r="AG7426">
        <v>-1.111827074259</v>
      </c>
      <c r="AH7426">
        <v>26.9216434693572</v>
      </c>
      <c r="AI7426">
        <v>92.354187523007596</v>
      </c>
      <c r="AJ7426">
        <v>95.456997675795606</v>
      </c>
      <c r="AK7426">
        <v>27.0670565732459</v>
      </c>
      <c r="AL7426">
        <v>79.1809377272765</v>
      </c>
      <c r="AM7426">
        <v>97.628872219164904</v>
      </c>
      <c r="AN7426">
        <v>0.99999994347781296</v>
      </c>
    </row>
    <row r="7427" spans="1:40" x14ac:dyDescent="0.25">
      <c r="A7427" t="str">
        <f>"20190304154940226"</f>
        <v>20190304154940226</v>
      </c>
      <c r="B7427" t="str">
        <f>"1551685780224577"</f>
        <v>1551685780224577</v>
      </c>
      <c r="C7427" t="s">
        <v>40</v>
      </c>
      <c r="D7427">
        <v>4.283423</v>
      </c>
      <c r="E7427">
        <v>0.51171889999999998</v>
      </c>
      <c r="F7427" t="s">
        <v>68</v>
      </c>
      <c r="G7427">
        <v>-197.9118</v>
      </c>
      <c r="H7427" s="1">
        <v>-7.0748219999999998E-6</v>
      </c>
      <c r="I7427">
        <v>-60.332279999999997</v>
      </c>
      <c r="J7427">
        <v>-224.7355</v>
      </c>
      <c r="K7427">
        <v>1.111842</v>
      </c>
      <c r="L7427">
        <v>-63.376010000000001</v>
      </c>
      <c r="M7427">
        <v>0.99978389999999995</v>
      </c>
      <c r="N7427">
        <v>-1.126695E-2</v>
      </c>
      <c r="O7427">
        <v>1.74688E-2</v>
      </c>
      <c r="P7427">
        <v>0.97307909999999997</v>
      </c>
      <c r="Q7427">
        <v>0.1772388</v>
      </c>
      <c r="R7427">
        <v>0.14732029999999999</v>
      </c>
      <c r="S7427">
        <v>3.0534520000000001</v>
      </c>
      <c r="T7427">
        <v>-0.12583050000000001</v>
      </c>
      <c r="U7427">
        <v>0.34484860000000001</v>
      </c>
      <c r="V7427">
        <v>-0.1308492</v>
      </c>
      <c r="W7427">
        <v>0.187836</v>
      </c>
      <c r="X7427">
        <v>0.97344549999999996</v>
      </c>
      <c r="Y7427">
        <v>-9.4753619999999997E-2</v>
      </c>
      <c r="Z7427">
        <v>1.9602550000000002E-3</v>
      </c>
      <c r="AA7427">
        <v>0.99549880000000002</v>
      </c>
      <c r="AB7427">
        <v>31</v>
      </c>
      <c r="AC7427">
        <v>26.823699999999999</v>
      </c>
      <c r="AD7427">
        <v>-1.111849074822</v>
      </c>
      <c r="AE7427">
        <v>3.0437299999999898</v>
      </c>
      <c r="AF7427">
        <v>-2.57029793737687</v>
      </c>
      <c r="AG7427">
        <v>-1.111849074822</v>
      </c>
      <c r="AH7427">
        <v>26.827273481709</v>
      </c>
      <c r="AI7427">
        <v>92.362444062561394</v>
      </c>
      <c r="AJ7427">
        <v>95.472754502103996</v>
      </c>
      <c r="AK7427">
        <v>26.973046589409901</v>
      </c>
      <c r="AL7427">
        <v>79.173477603198805</v>
      </c>
      <c r="AM7427">
        <v>97.655730807580795</v>
      </c>
      <c r="AN7427">
        <v>1.00000000875344</v>
      </c>
    </row>
    <row r="7428" spans="1:40" x14ac:dyDescent="0.25">
      <c r="A7428" t="str">
        <f>"20190304154940238"</f>
        <v>20190304154940238</v>
      </c>
      <c r="B7428" t="str">
        <f>"1551685780234336"</f>
        <v>1551685780234336</v>
      </c>
      <c r="C7428" t="s">
        <v>40</v>
      </c>
      <c r="D7428">
        <v>4.2802110000000004</v>
      </c>
      <c r="E7428">
        <v>0.51173639999999998</v>
      </c>
      <c r="F7428" t="s">
        <v>68</v>
      </c>
      <c r="G7428">
        <v>-197.79949999999999</v>
      </c>
      <c r="H7428" s="1">
        <v>-7.0730400000000001E-6</v>
      </c>
      <c r="I7428">
        <v>-60.301360000000003</v>
      </c>
      <c r="J7428">
        <v>-224.58189999999999</v>
      </c>
      <c r="K7428">
        <v>1.1118619999999999</v>
      </c>
      <c r="L7428">
        <v>-63.372590000000002</v>
      </c>
      <c r="M7428">
        <v>0.9997703</v>
      </c>
      <c r="N7428">
        <v>-1.1268149999999999E-2</v>
      </c>
      <c r="O7428">
        <v>1.8234650000000002E-2</v>
      </c>
      <c r="P7428">
        <v>0.97297009999999995</v>
      </c>
      <c r="Q7428">
        <v>0.17716100000000001</v>
      </c>
      <c r="R7428">
        <v>0.14813280000000001</v>
      </c>
      <c r="S7428">
        <v>3.0531920000000001</v>
      </c>
      <c r="T7428">
        <v>-0.1260281</v>
      </c>
      <c r="U7428">
        <v>0.34851070000000001</v>
      </c>
      <c r="V7428">
        <v>-0.13092509999999999</v>
      </c>
      <c r="W7428">
        <v>0.18775269999999999</v>
      </c>
      <c r="X7428">
        <v>0.97345139999999997</v>
      </c>
      <c r="Y7428">
        <v>-9.517892E-2</v>
      </c>
      <c r="Z7428">
        <v>1.9505849999999999E-3</v>
      </c>
      <c r="AA7428">
        <v>0.99545819999999996</v>
      </c>
      <c r="AB7428">
        <v>31</v>
      </c>
      <c r="AC7428">
        <v>26.782399999999999</v>
      </c>
      <c r="AD7428">
        <v>-1.1118690730399901</v>
      </c>
      <c r="AE7428">
        <v>3.0712299999999999</v>
      </c>
      <c r="AF7428">
        <v>-2.57793525707782</v>
      </c>
      <c r="AG7428">
        <v>-1.1118690730399901</v>
      </c>
      <c r="AH7428">
        <v>26.7883826008634</v>
      </c>
      <c r="AI7428">
        <v>92.365817049946102</v>
      </c>
      <c r="AJ7428">
        <v>95.496836879938897</v>
      </c>
      <c r="AK7428">
        <v>26.935096907111902</v>
      </c>
      <c r="AL7428">
        <v>79.178337171403101</v>
      </c>
      <c r="AM7428">
        <v>97.660072979376494</v>
      </c>
      <c r="AN7428">
        <v>1.0000000431646201</v>
      </c>
    </row>
    <row r="7429" spans="1:40" x14ac:dyDescent="0.25">
      <c r="A7429" t="str">
        <f>"20190304154940250"</f>
        <v>20190304154940250</v>
      </c>
      <c r="B7429" t="str">
        <f>"1551685780245073"</f>
        <v>1551685780245073</v>
      </c>
      <c r="C7429" t="s">
        <v>40</v>
      </c>
      <c r="D7429">
        <v>4.2906789999999999</v>
      </c>
      <c r="E7429">
        <v>0.51174520000000001</v>
      </c>
      <c r="F7429" t="s">
        <v>68</v>
      </c>
      <c r="G7429">
        <v>-197.7508</v>
      </c>
      <c r="H7429" s="1">
        <v>-7.0717009999999998E-6</v>
      </c>
      <c r="I7429">
        <v>-60.289580000000001</v>
      </c>
      <c r="J7429">
        <v>-224.42359999999999</v>
      </c>
      <c r="K7429">
        <v>1.1118809999999999</v>
      </c>
      <c r="L7429">
        <v>-63.368929999999999</v>
      </c>
      <c r="M7429">
        <v>0.99975530000000001</v>
      </c>
      <c r="N7429">
        <v>-1.126942E-2</v>
      </c>
      <c r="O7429">
        <v>1.9033000000000001E-2</v>
      </c>
      <c r="P7429">
        <v>0.97278260000000005</v>
      </c>
      <c r="Q7429">
        <v>0.17714189999999999</v>
      </c>
      <c r="R7429">
        <v>0.14938189999999901</v>
      </c>
      <c r="S7429">
        <v>3.0529630000000001</v>
      </c>
      <c r="T7429">
        <v>-0.1265135</v>
      </c>
      <c r="U7429">
        <v>0.35079959999999999</v>
      </c>
      <c r="V7429">
        <v>-0.1314081</v>
      </c>
      <c r="W7429">
        <v>0.18772639999999999</v>
      </c>
      <c r="X7429">
        <v>0.97339140000000002</v>
      </c>
      <c r="Y7429">
        <v>-9.5128870000000004E-2</v>
      </c>
      <c r="Z7429">
        <v>1.930087E-3</v>
      </c>
      <c r="AA7429">
        <v>0.99546310000000005</v>
      </c>
      <c r="AB7429">
        <v>31</v>
      </c>
      <c r="AC7429">
        <v>26.672799999999899</v>
      </c>
      <c r="AD7429">
        <v>-1.11188807170099</v>
      </c>
      <c r="AE7429">
        <v>3.07934999999999</v>
      </c>
      <c r="AF7429">
        <v>-2.56669487657271</v>
      </c>
      <c r="AG7429">
        <v>-1.11188807170099</v>
      </c>
      <c r="AH7429">
        <v>26.6808262484533</v>
      </c>
      <c r="AI7429">
        <v>92.375391368700207</v>
      </c>
      <c r="AJ7429">
        <v>95.494943446214705</v>
      </c>
      <c r="AK7429">
        <v>26.8270517756531</v>
      </c>
      <c r="AL7429">
        <v>79.1798714458821</v>
      </c>
      <c r="AM7429">
        <v>97.6884628579094</v>
      </c>
      <c r="AN7429">
        <v>1.0000000537982601</v>
      </c>
    </row>
    <row r="7430" spans="1:40" x14ac:dyDescent="0.25">
      <c r="A7430" t="str">
        <f>"20190304154940261"</f>
        <v>20190304154940261</v>
      </c>
      <c r="B7430" t="str">
        <f>"1551685780254833"</f>
        <v>1551685780254833</v>
      </c>
      <c r="C7430" t="s">
        <v>40</v>
      </c>
      <c r="D7430">
        <v>4.2791889999999997</v>
      </c>
      <c r="E7430">
        <v>0.51176739999999998</v>
      </c>
      <c r="F7430" t="s">
        <v>68</v>
      </c>
      <c r="G7430">
        <v>-197.67789999999999</v>
      </c>
      <c r="H7430" s="1">
        <v>-7.0726379999999996E-6</v>
      </c>
      <c r="I7430">
        <v>-60.263550000000002</v>
      </c>
      <c r="J7430">
        <v>-224.26740000000001</v>
      </c>
      <c r="K7430">
        <v>1.1119019999999999</v>
      </c>
      <c r="L7430">
        <v>-63.3651699999999</v>
      </c>
      <c r="M7430">
        <v>0.99973959999999995</v>
      </c>
      <c r="N7430">
        <v>-1.127067E-2</v>
      </c>
      <c r="O7430">
        <v>1.9839329999999999E-2</v>
      </c>
      <c r="P7430">
        <v>0.9726148</v>
      </c>
      <c r="Q7430">
        <v>0.17721300000000001</v>
      </c>
      <c r="R7430">
        <v>0.1503864</v>
      </c>
      <c r="S7430">
        <v>3.052597</v>
      </c>
      <c r="T7430">
        <v>-0.1269045</v>
      </c>
      <c r="U7430">
        <v>0.3544312</v>
      </c>
      <c r="V7430">
        <v>-0.13163849999999999</v>
      </c>
      <c r="W7430">
        <v>0.1877906</v>
      </c>
      <c r="X7430">
        <v>0.97334779999999999</v>
      </c>
      <c r="Y7430">
        <v>-9.5507649999999999E-2</v>
      </c>
      <c r="Z7430">
        <v>1.919572E-3</v>
      </c>
      <c r="AA7430">
        <v>0.99542679999999995</v>
      </c>
      <c r="AB7430">
        <v>31</v>
      </c>
      <c r="AC7430">
        <v>26.589500000000001</v>
      </c>
      <c r="AD7430">
        <v>-1.1119090726380001</v>
      </c>
      <c r="AE7430">
        <v>3.1016199999999898</v>
      </c>
      <c r="AF7430">
        <v>-2.56902588661002</v>
      </c>
      <c r="AG7430">
        <v>-1.1119090726380001</v>
      </c>
      <c r="AH7430">
        <v>26.599912848641399</v>
      </c>
      <c r="AI7430">
        <v>92.382567202189506</v>
      </c>
      <c r="AJ7430">
        <v>95.516530163675995</v>
      </c>
      <c r="AK7430">
        <v>26.746805404519002</v>
      </c>
      <c r="AL7430">
        <v>79.176125556552705</v>
      </c>
      <c r="AM7430">
        <v>97.702122358457103</v>
      </c>
      <c r="AN7430">
        <v>0.99999997194772405</v>
      </c>
    </row>
    <row r="7431" spans="1:40" x14ac:dyDescent="0.25">
      <c r="A7431" t="str">
        <f>"20190304154940272"</f>
        <v>20190304154940272</v>
      </c>
      <c r="B7431" t="str">
        <f>"1551685780264593"</f>
        <v>1551685780264593</v>
      </c>
      <c r="C7431" t="s">
        <v>40</v>
      </c>
      <c r="D7431">
        <v>4.3078649999999996</v>
      </c>
      <c r="E7431">
        <v>0.51178590000000002</v>
      </c>
      <c r="F7431" t="s">
        <v>68</v>
      </c>
      <c r="G7431">
        <v>-197.5385</v>
      </c>
      <c r="H7431" s="1">
        <v>-7.0671630000000003E-6</v>
      </c>
      <c r="I7431">
        <v>-60.234459999999999</v>
      </c>
      <c r="J7431">
        <v>-224.113</v>
      </c>
      <c r="K7431">
        <v>1.1119220000000001</v>
      </c>
      <c r="L7431">
        <v>-63.36139</v>
      </c>
      <c r="M7431">
        <v>0.99972349999999999</v>
      </c>
      <c r="N7431">
        <v>-1.1272020000000001E-2</v>
      </c>
      <c r="O7431">
        <v>2.0640769999999999E-2</v>
      </c>
      <c r="P7431">
        <v>0.97244410000000003</v>
      </c>
      <c r="Q7431">
        <v>0.17718919999999999</v>
      </c>
      <c r="R7431">
        <v>0.1515147</v>
      </c>
      <c r="S7431">
        <v>3.0523220000000002</v>
      </c>
      <c r="T7431">
        <v>-0.12697510000000001</v>
      </c>
      <c r="U7431">
        <v>0.35751339999999998</v>
      </c>
      <c r="V7431">
        <v>-0.13199759999999999</v>
      </c>
      <c r="W7431">
        <v>0.18776019999999999</v>
      </c>
      <c r="X7431">
        <v>0.97330499999999998</v>
      </c>
      <c r="Y7431">
        <v>-9.5711690000000002E-2</v>
      </c>
      <c r="Z7431">
        <v>1.9015659999999999E-3</v>
      </c>
      <c r="AA7431">
        <v>0.99540729999999999</v>
      </c>
      <c r="AB7431">
        <v>31</v>
      </c>
      <c r="AC7431">
        <v>26.5745</v>
      </c>
      <c r="AD7431">
        <v>-1.11192906716299</v>
      </c>
      <c r="AE7431">
        <v>3.1269300000000002</v>
      </c>
      <c r="AF7431">
        <v>-2.5732671775220899</v>
      </c>
      <c r="AG7431">
        <v>-1.11192906716299</v>
      </c>
      <c r="AH7431">
        <v>26.587471775573199</v>
      </c>
      <c r="AI7431">
        <v>92.383676916985806</v>
      </c>
      <c r="AJ7431">
        <v>95.528150841157</v>
      </c>
      <c r="AK7431">
        <v>26.7348414177869</v>
      </c>
      <c r="AL7431">
        <v>79.177898554189596</v>
      </c>
      <c r="AM7431">
        <v>97.723215454330997</v>
      </c>
      <c r="AN7431">
        <v>0.99999994106739798</v>
      </c>
    </row>
    <row r="7432" spans="1:40" x14ac:dyDescent="0.25">
      <c r="A7432" t="str">
        <f>"20190304154940282"</f>
        <v>20190304154940282</v>
      </c>
      <c r="B7432" t="str">
        <f>"1551685780274354"</f>
        <v>1551685780274354</v>
      </c>
      <c r="C7432" t="s">
        <v>40</v>
      </c>
      <c r="D7432">
        <v>4.2963180000000003</v>
      </c>
      <c r="E7432">
        <v>0.51180079999999994</v>
      </c>
      <c r="F7432" t="s">
        <v>68</v>
      </c>
      <c r="G7432">
        <v>-197.4402</v>
      </c>
      <c r="H7432" s="1">
        <v>-7.0646019999999997E-6</v>
      </c>
      <c r="I7432">
        <v>-60.210250000000002</v>
      </c>
      <c r="J7432">
        <v>-223.96350000000001</v>
      </c>
      <c r="K7432">
        <v>1.111945</v>
      </c>
      <c r="L7432">
        <v>-63.357480000000002</v>
      </c>
      <c r="M7432">
        <v>0.99970669999999995</v>
      </c>
      <c r="N7432">
        <v>-1.1275790000000001E-2</v>
      </c>
      <c r="O7432">
        <v>2.1437250000000001E-2</v>
      </c>
      <c r="P7432">
        <v>0.9722942</v>
      </c>
      <c r="Q7432">
        <v>0.17705460000000001</v>
      </c>
      <c r="R7432">
        <v>0.15262990000000001</v>
      </c>
      <c r="S7432">
        <v>3.0520019999999999</v>
      </c>
      <c r="T7432">
        <v>-0.12723090000000001</v>
      </c>
      <c r="U7432">
        <v>0.36056519999999997</v>
      </c>
      <c r="V7432">
        <v>-0.1323473</v>
      </c>
      <c r="W7432">
        <v>0.1876215</v>
      </c>
      <c r="X7432">
        <v>0.97328429999999999</v>
      </c>
      <c r="Y7432">
        <v>-9.5912259999999999E-2</v>
      </c>
      <c r="Z7432">
        <v>1.8853749999999999E-3</v>
      </c>
      <c r="AA7432">
        <v>0.99538800000000005</v>
      </c>
      <c r="AB7432">
        <v>31</v>
      </c>
      <c r="AC7432">
        <v>26.523299999999999</v>
      </c>
      <c r="AD7432">
        <v>-1.111952064602</v>
      </c>
      <c r="AE7432">
        <v>3.14723</v>
      </c>
      <c r="AF7432">
        <v>-2.5734237333137999</v>
      </c>
      <c r="AG7432">
        <v>-1.111952064602</v>
      </c>
      <c r="AH7432">
        <v>26.538679868482301</v>
      </c>
      <c r="AI7432">
        <v>92.388061533382896</v>
      </c>
      <c r="AJ7432">
        <v>95.538586175966302</v>
      </c>
      <c r="AK7432">
        <v>26.686335010018599</v>
      </c>
      <c r="AL7432">
        <v>79.185989712564606</v>
      </c>
      <c r="AM7432">
        <v>97.743591268966696</v>
      </c>
      <c r="AN7432">
        <v>0.99999998185301398</v>
      </c>
    </row>
    <row r="7433" spans="1:40" x14ac:dyDescent="0.25">
      <c r="A7433" t="str">
        <f>"20190304154940294"</f>
        <v>20190304154940294</v>
      </c>
      <c r="B7433" t="str">
        <f>"1551685780285089"</f>
        <v>1551685780285089</v>
      </c>
      <c r="C7433" t="s">
        <v>40</v>
      </c>
      <c r="D7433">
        <v>4.3056179999999999</v>
      </c>
      <c r="E7433">
        <v>0.51181980000000005</v>
      </c>
      <c r="F7433" t="s">
        <v>68</v>
      </c>
      <c r="G7433">
        <v>-197.44130000000001</v>
      </c>
      <c r="H7433" s="1">
        <v>-7.0700289999999901E-6</v>
      </c>
      <c r="I7433">
        <v>-60.195140000000002</v>
      </c>
      <c r="J7433">
        <v>-223.80510000000001</v>
      </c>
      <c r="K7433">
        <v>1.1119650000000001</v>
      </c>
      <c r="L7433">
        <v>-63.353299999999997</v>
      </c>
      <c r="M7433">
        <v>0.99968800000000002</v>
      </c>
      <c r="N7433">
        <v>-1.128023E-2</v>
      </c>
      <c r="O7433">
        <v>2.2285949999999999E-2</v>
      </c>
      <c r="P7433">
        <v>0.97209199999999996</v>
      </c>
      <c r="Q7433">
        <v>0.17713139999999999</v>
      </c>
      <c r="R7433">
        <v>0.1538243</v>
      </c>
      <c r="S7433">
        <v>3.051666</v>
      </c>
      <c r="T7433">
        <v>-0.1279421</v>
      </c>
      <c r="U7433">
        <v>0.36386109999999999</v>
      </c>
      <c r="V7433">
        <v>-0.1327274</v>
      </c>
      <c r="W7433">
        <v>0.1876941</v>
      </c>
      <c r="X7433">
        <v>0.97321860000000004</v>
      </c>
      <c r="Y7433">
        <v>-9.6139349999999998E-2</v>
      </c>
      <c r="Z7433">
        <v>1.872072E-3</v>
      </c>
      <c r="AA7433">
        <v>0.99536610000000003</v>
      </c>
      <c r="AB7433">
        <v>31</v>
      </c>
      <c r="AC7433">
        <v>26.363800000000001</v>
      </c>
      <c r="AD7433">
        <v>-1.1119720700289999</v>
      </c>
      <c r="AE7433">
        <v>3.1581599999999899</v>
      </c>
      <c r="AF7433">
        <v>-2.5652967626964802</v>
      </c>
      <c r="AG7433">
        <v>-1.1119720700289999</v>
      </c>
      <c r="AH7433">
        <v>26.381370401845501</v>
      </c>
      <c r="AI7433">
        <v>92.402265482614197</v>
      </c>
      <c r="AJ7433">
        <v>95.553920499474401</v>
      </c>
      <c r="AK7433">
        <v>26.529114829647</v>
      </c>
      <c r="AL7433">
        <v>79.181755447072305</v>
      </c>
      <c r="AM7433">
        <v>97.766077644053695</v>
      </c>
      <c r="AN7433">
        <v>1.0000000406357601</v>
      </c>
    </row>
    <row r="7434" spans="1:40" x14ac:dyDescent="0.25">
      <c r="A7434" t="str">
        <f>"20190304154940304"</f>
        <v>20190304154940304</v>
      </c>
      <c r="B7434" t="str">
        <f>"1551685780294849"</f>
        <v>1551685780294849</v>
      </c>
      <c r="C7434" t="s">
        <v>40</v>
      </c>
      <c r="D7434">
        <v>4.3142019999999999</v>
      </c>
      <c r="E7434">
        <v>0.51184730000000001</v>
      </c>
      <c r="F7434" t="s">
        <v>68</v>
      </c>
      <c r="G7434">
        <v>-197.28489999999999</v>
      </c>
      <c r="H7434" s="1">
        <v>-7.06484799999999E-6</v>
      </c>
      <c r="I7434">
        <v>-60.159799999999997</v>
      </c>
      <c r="J7434">
        <v>-223.661</v>
      </c>
      <c r="K7434">
        <v>1.111985</v>
      </c>
      <c r="L7434">
        <v>-63.349299999999999</v>
      </c>
      <c r="M7434">
        <v>0.99967010000000001</v>
      </c>
      <c r="N7434">
        <v>-1.128558E-2</v>
      </c>
      <c r="O7434">
        <v>2.3071370000000001E-2</v>
      </c>
      <c r="P7434">
        <v>0.97184649999999995</v>
      </c>
      <c r="Q7434">
        <v>0.17728260000000001</v>
      </c>
      <c r="R7434">
        <v>0.1551939</v>
      </c>
      <c r="S7434">
        <v>3.0512999999999999</v>
      </c>
      <c r="T7434">
        <v>-0.127939</v>
      </c>
      <c r="U7434">
        <v>0.36743160000000002</v>
      </c>
      <c r="V7434">
        <v>-0.1333454</v>
      </c>
      <c r="W7434">
        <v>0.18784120000000001</v>
      </c>
      <c r="X7434">
        <v>0.97310569999999996</v>
      </c>
      <c r="Y7434">
        <v>-9.6519519999999998E-2</v>
      </c>
      <c r="Z7434">
        <v>1.8586589999999999E-3</v>
      </c>
      <c r="AA7434">
        <v>0.99532940000000003</v>
      </c>
      <c r="AB7434">
        <v>31</v>
      </c>
      <c r="AC7434">
        <v>26.376099999999902</v>
      </c>
      <c r="AD7434">
        <v>-1.111992064848</v>
      </c>
      <c r="AE7434">
        <v>3.1894999999999998</v>
      </c>
      <c r="AF7434">
        <v>-2.5755675736122901</v>
      </c>
      <c r="AG7434">
        <v>-1.111992064848</v>
      </c>
      <c r="AH7434">
        <v>26.3964286149203</v>
      </c>
      <c r="AI7434">
        <v>92.400862602799705</v>
      </c>
      <c r="AJ7434">
        <v>95.572856268388406</v>
      </c>
      <c r="AK7434">
        <v>26.5450846354106</v>
      </c>
      <c r="AL7434">
        <v>79.173174254668993</v>
      </c>
      <c r="AM7434">
        <v>97.802687453198999</v>
      </c>
      <c r="AN7434">
        <v>1.00000000774554</v>
      </c>
    </row>
    <row r="7435" spans="1:40" x14ac:dyDescent="0.25">
      <c r="A7435" t="str">
        <f>"20190304154940316"</f>
        <v>20190304154940316</v>
      </c>
      <c r="B7435" t="str">
        <f>"1551685780304609"</f>
        <v>1551685780304609</v>
      </c>
      <c r="C7435" t="s">
        <v>40</v>
      </c>
      <c r="D7435">
        <v>4.2982969999999998</v>
      </c>
      <c r="E7435">
        <v>0.51186069999999995</v>
      </c>
      <c r="F7435" t="s">
        <v>68</v>
      </c>
      <c r="G7435">
        <v>-197.08799999999999</v>
      </c>
      <c r="H7435" s="1">
        <v>-7.0584269999999997E-6</v>
      </c>
      <c r="I7435">
        <v>-60.115000000000002</v>
      </c>
      <c r="J7435">
        <v>-223.49879999999999</v>
      </c>
      <c r="K7435">
        <v>1.1120080000000001</v>
      </c>
      <c r="L7435">
        <v>-63.344729999999998</v>
      </c>
      <c r="M7435">
        <v>0.99964909999999996</v>
      </c>
      <c r="N7435">
        <v>-1.129285E-2</v>
      </c>
      <c r="O7435">
        <v>2.39638E-2</v>
      </c>
      <c r="P7435">
        <v>0.97163239999999995</v>
      </c>
      <c r="Q7435">
        <v>0.1773352</v>
      </c>
      <c r="R7435">
        <v>0.15647039999999901</v>
      </c>
      <c r="S7435">
        <v>3.0509029999999999</v>
      </c>
      <c r="T7435">
        <v>-0.12767029999999999</v>
      </c>
      <c r="U7435">
        <v>0.3713379</v>
      </c>
      <c r="V7435">
        <v>-0.13376540000000001</v>
      </c>
      <c r="W7435">
        <v>0.1878918</v>
      </c>
      <c r="X7435">
        <v>0.97303830000000002</v>
      </c>
      <c r="Y7435">
        <v>-9.690261E-2</v>
      </c>
      <c r="Z7435">
        <v>1.840097E-3</v>
      </c>
      <c r="AA7435">
        <v>0.99529219999999896</v>
      </c>
      <c r="AB7435">
        <v>31</v>
      </c>
      <c r="AC7435">
        <v>26.410799999999899</v>
      </c>
      <c r="AD7435">
        <v>-1.1120150584270001</v>
      </c>
      <c r="AE7435">
        <v>3.22973</v>
      </c>
      <c r="AF7435">
        <v>-2.5913327255124399</v>
      </c>
      <c r="AG7435">
        <v>-1.1120150584270001</v>
      </c>
      <c r="AH7435">
        <v>26.434443759446602</v>
      </c>
      <c r="AI7435">
        <v>92.397357693182997</v>
      </c>
      <c r="AJ7435">
        <v>95.598739494333898</v>
      </c>
      <c r="AK7435">
        <v>26.584420242988699</v>
      </c>
      <c r="AL7435">
        <v>79.170222687855997</v>
      </c>
      <c r="AM7435">
        <v>97.827494987433695</v>
      </c>
      <c r="AN7435">
        <v>1.00000002200564</v>
      </c>
    </row>
    <row r="7436" spans="1:40" x14ac:dyDescent="0.25">
      <c r="A7436" t="str">
        <f>"20190304154940327"</f>
        <v>20190304154940327</v>
      </c>
      <c r="B7436" t="str">
        <f>"1551685780325105"</f>
        <v>1551685780325105</v>
      </c>
      <c r="C7436" t="s">
        <v>40</v>
      </c>
      <c r="D7436">
        <v>4.3063789999999997</v>
      </c>
      <c r="E7436">
        <v>0.51188990000000001</v>
      </c>
      <c r="F7436" t="s">
        <v>68</v>
      </c>
      <c r="G7436">
        <v>-196.94450000000001</v>
      </c>
      <c r="H7436" s="1">
        <v>-7.0548139999999997E-6</v>
      </c>
      <c r="I7436">
        <v>-60.079300000000003</v>
      </c>
      <c r="J7436">
        <v>-223.34710000000001</v>
      </c>
      <c r="K7436">
        <v>1.1120239999999999</v>
      </c>
      <c r="L7436">
        <v>-63.340299999999999</v>
      </c>
      <c r="M7436">
        <v>0.99962839999999997</v>
      </c>
      <c r="N7436">
        <v>-1.130131E-2</v>
      </c>
      <c r="O7436">
        <v>2.4809350000000001E-2</v>
      </c>
      <c r="P7436">
        <v>0.97145320000000002</v>
      </c>
      <c r="Q7436">
        <v>0.17734</v>
      </c>
      <c r="R7436">
        <v>0.15757370000000001</v>
      </c>
      <c r="S7436">
        <v>3.0504760000000002</v>
      </c>
      <c r="T7436">
        <v>-0.12774489999999999</v>
      </c>
      <c r="U7436">
        <v>0.37512210000000001</v>
      </c>
      <c r="V7436">
        <v>-0.13405619999999999</v>
      </c>
      <c r="W7436">
        <v>0.18789739999999999</v>
      </c>
      <c r="X7436">
        <v>0.97299720000000001</v>
      </c>
      <c r="Y7436">
        <v>-9.7293760000000007E-2</v>
      </c>
      <c r="Z7436">
        <v>1.8260730000000001E-3</v>
      </c>
      <c r="AA7436">
        <v>0.99525399999999997</v>
      </c>
      <c r="AB7436">
        <v>31</v>
      </c>
      <c r="AC7436">
        <v>26.4026</v>
      </c>
      <c r="AD7436">
        <v>-1.112031054814</v>
      </c>
      <c r="AE7436">
        <v>3.2609999999999899</v>
      </c>
      <c r="AF7436">
        <v>-2.6003793920734601</v>
      </c>
      <c r="AG7436">
        <v>-1.112031054814</v>
      </c>
      <c r="AH7436">
        <v>26.429201193855</v>
      </c>
      <c r="AI7436">
        <v>92.397782862598902</v>
      </c>
      <c r="AJ7436">
        <v>95.619267863815793</v>
      </c>
      <c r="AK7436">
        <v>26.5800914557278</v>
      </c>
      <c r="AL7436">
        <v>79.169896039913795</v>
      </c>
      <c r="AM7436">
        <v>97.844627215181603</v>
      </c>
      <c r="AN7436">
        <v>1.0000000244465099</v>
      </c>
    </row>
    <row r="7437" spans="1:40" x14ac:dyDescent="0.25">
      <c r="A7437" t="str">
        <f>"20190304154940338"</f>
        <v>20190304154940338</v>
      </c>
      <c r="B7437" t="str">
        <f>"1551685780334864"</f>
        <v>1551685780334864</v>
      </c>
      <c r="C7437" t="s">
        <v>40</v>
      </c>
      <c r="D7437">
        <v>4.3323219999999996</v>
      </c>
      <c r="E7437">
        <v>0.511959099999999</v>
      </c>
      <c r="F7437" t="s">
        <v>68</v>
      </c>
      <c r="G7437">
        <v>-196.84649999999999</v>
      </c>
      <c r="H7437" s="1">
        <v>-7.0527320000000003E-6</v>
      </c>
      <c r="I7437">
        <v>-60.053840000000001</v>
      </c>
      <c r="J7437">
        <v>-223.19479999999999</v>
      </c>
      <c r="K7437">
        <v>1.112042</v>
      </c>
      <c r="L7437">
        <v>-63.335659999999997</v>
      </c>
      <c r="M7437">
        <v>0.99960649999999995</v>
      </c>
      <c r="N7437">
        <v>-1.1310829999999999E-2</v>
      </c>
      <c r="O7437">
        <v>2.5668960000000001E-2</v>
      </c>
      <c r="P7437">
        <v>0.97125170000000005</v>
      </c>
      <c r="Q7437">
        <v>0.17732010000000001</v>
      </c>
      <c r="R7437">
        <v>0.15883329999999901</v>
      </c>
      <c r="S7437">
        <v>3.0501559999999999</v>
      </c>
      <c r="T7437">
        <v>-0.12799240000000001</v>
      </c>
      <c r="U7437">
        <v>0.37826539999999997</v>
      </c>
      <c r="V7437">
        <v>-0.13449</v>
      </c>
      <c r="W7437">
        <v>0.18787909999999999</v>
      </c>
      <c r="X7437">
        <v>0.9729409</v>
      </c>
      <c r="Y7437">
        <v>-9.7460660000000005E-2</v>
      </c>
      <c r="Z7437">
        <v>1.8070079999999999E-3</v>
      </c>
      <c r="AA7437">
        <v>0.9952377</v>
      </c>
      <c r="AB7437">
        <v>31</v>
      </c>
      <c r="AC7437">
        <v>26.348299999999899</v>
      </c>
      <c r="AD7437">
        <v>-1.1120490527319999</v>
      </c>
      <c r="AE7437">
        <v>3.28181999999999</v>
      </c>
      <c r="AF7437">
        <v>-2.5998014269065299</v>
      </c>
      <c r="AG7437">
        <v>-1.1120490527319999</v>
      </c>
      <c r="AH7437">
        <v>26.377594170821801</v>
      </c>
      <c r="AI7437">
        <v>92.402467479697705</v>
      </c>
      <c r="AJ7437">
        <v>95.628947896899902</v>
      </c>
      <c r="AK7437">
        <v>26.528722072417999</v>
      </c>
      <c r="AL7437">
        <v>79.170963906321404</v>
      </c>
      <c r="AM7437">
        <v>97.870144203660601</v>
      </c>
      <c r="AN7437">
        <v>1.0000000556048001</v>
      </c>
    </row>
    <row r="7438" spans="1:40" x14ac:dyDescent="0.25">
      <c r="A7438" t="str">
        <f>"20190304154940349"</f>
        <v>20190304154940349</v>
      </c>
      <c r="B7438" t="str">
        <f>"1551685780344624"</f>
        <v>1551685780344624</v>
      </c>
      <c r="C7438" t="s">
        <v>40</v>
      </c>
      <c r="D7438">
        <v>4.3157180000000004</v>
      </c>
      <c r="E7438">
        <v>0.51200709999999905</v>
      </c>
      <c r="F7438" t="s">
        <v>68</v>
      </c>
      <c r="G7438">
        <v>-196.80289999999999</v>
      </c>
      <c r="H7438" s="1">
        <v>-7.0550379999999898E-6</v>
      </c>
      <c r="I7438">
        <v>-60.033270000000002</v>
      </c>
      <c r="J7438">
        <v>-223.0376</v>
      </c>
      <c r="K7438">
        <v>1.1120620000000001</v>
      </c>
      <c r="L7438">
        <v>-63.33081</v>
      </c>
      <c r="M7438">
        <v>0.99958309999999995</v>
      </c>
      <c r="N7438">
        <v>-1.132128E-2</v>
      </c>
      <c r="O7438">
        <v>2.6564330000000001E-2</v>
      </c>
      <c r="P7438">
        <v>0.97101680000000001</v>
      </c>
      <c r="Q7438">
        <v>0.1774801</v>
      </c>
      <c r="R7438">
        <v>0.16008649999999999</v>
      </c>
      <c r="S7438">
        <v>3.0498349999999999</v>
      </c>
      <c r="T7438">
        <v>-0.1285075</v>
      </c>
      <c r="U7438">
        <v>0.38162230000000003</v>
      </c>
      <c r="V7438">
        <v>-0.1348847</v>
      </c>
      <c r="W7438">
        <v>0.18804070000000001</v>
      </c>
      <c r="X7438">
        <v>0.97285500000000003</v>
      </c>
      <c r="Y7438">
        <v>-9.7660220000000006E-2</v>
      </c>
      <c r="Z7438">
        <v>1.789625E-3</v>
      </c>
      <c r="AA7438">
        <v>0.99521820000000005</v>
      </c>
      <c r="AB7438">
        <v>31</v>
      </c>
      <c r="AC7438">
        <v>26.2347</v>
      </c>
      <c r="AD7438">
        <v>-1.1120690550379999</v>
      </c>
      <c r="AE7438">
        <v>3.2975400000000001</v>
      </c>
      <c r="AF7438">
        <v>-2.5948343418238702</v>
      </c>
      <c r="AG7438">
        <v>-1.1120690550379999</v>
      </c>
      <c r="AH7438">
        <v>26.266580307616799</v>
      </c>
      <c r="AI7438">
        <v>92.412599147100906</v>
      </c>
      <c r="AJ7438">
        <v>95.641854624027502</v>
      </c>
      <c r="AK7438">
        <v>26.417855777885599</v>
      </c>
      <c r="AL7438">
        <v>79.161536487755299</v>
      </c>
      <c r="AM7438">
        <v>97.893638876923802</v>
      </c>
      <c r="AN7438">
        <v>1.00000001908779</v>
      </c>
    </row>
    <row r="7439" spans="1:40" x14ac:dyDescent="0.25">
      <c r="A7439" t="str">
        <f>"20190304154940361"</f>
        <v>20190304154940361</v>
      </c>
      <c r="B7439" t="str">
        <f>"1551685780354384"</f>
        <v>1551685780354384</v>
      </c>
      <c r="C7439" t="s">
        <v>40</v>
      </c>
      <c r="D7439">
        <v>4.3299539999999999</v>
      </c>
      <c r="E7439">
        <v>0.51204349999999998</v>
      </c>
      <c r="F7439" t="s">
        <v>68</v>
      </c>
      <c r="G7439">
        <v>-196.5796</v>
      </c>
      <c r="H7439" s="1">
        <v>-7.0453470000000004E-6</v>
      </c>
      <c r="I7439">
        <v>-59.989350000000002</v>
      </c>
      <c r="J7439">
        <v>-222.87799999999999</v>
      </c>
      <c r="K7439">
        <v>1.1120779999999999</v>
      </c>
      <c r="L7439">
        <v>-63.325650000000003</v>
      </c>
      <c r="M7439">
        <v>0.9995579</v>
      </c>
      <c r="N7439">
        <v>-1.1332E-2</v>
      </c>
      <c r="O7439">
        <v>2.7488479999999999E-2</v>
      </c>
      <c r="P7439">
        <v>0.97078699999999996</v>
      </c>
      <c r="Q7439">
        <v>0.177533</v>
      </c>
      <c r="R7439">
        <v>0.16141459999999999</v>
      </c>
      <c r="S7439">
        <v>3.0495000000000001</v>
      </c>
      <c r="T7439">
        <v>-0.12817539999999999</v>
      </c>
      <c r="U7439">
        <v>0.38513180000000002</v>
      </c>
      <c r="V7439">
        <v>-0.135325799999999</v>
      </c>
      <c r="W7439">
        <v>0.1880964</v>
      </c>
      <c r="X7439">
        <v>0.97278299999999995</v>
      </c>
      <c r="Y7439">
        <v>-9.7881679999999999E-2</v>
      </c>
      <c r="Z7439">
        <v>1.7657839999999901E-3</v>
      </c>
      <c r="AA7439">
        <v>0.99519650000000004</v>
      </c>
      <c r="AB7439">
        <v>31</v>
      </c>
      <c r="AC7439">
        <v>26.298399999999901</v>
      </c>
      <c r="AD7439">
        <v>-1.1120850453469999</v>
      </c>
      <c r="AE7439">
        <v>3.3363</v>
      </c>
      <c r="AF7439">
        <v>-2.6075007737430398</v>
      </c>
      <c r="AG7439">
        <v>-1.1120850453469999</v>
      </c>
      <c r="AH7439">
        <v>26.333832381386099</v>
      </c>
      <c r="AI7439">
        <v>92.406425755712306</v>
      </c>
      <c r="AJ7439">
        <v>95.654831573753896</v>
      </c>
      <c r="AK7439">
        <v>26.485968385620598</v>
      </c>
      <c r="AL7439">
        <v>79.158287431464302</v>
      </c>
      <c r="AM7439">
        <v>97.919704374525594</v>
      </c>
      <c r="AN7439">
        <v>1.0000000464637899</v>
      </c>
    </row>
    <row r="7440" spans="1:40" x14ac:dyDescent="0.25">
      <c r="A7440" t="str">
        <f>"20190304154940372"</f>
        <v>20190304154940372</v>
      </c>
      <c r="B7440" t="str">
        <f>"1551685780364145"</f>
        <v>1551685780364145</v>
      </c>
      <c r="C7440" t="s">
        <v>40</v>
      </c>
      <c r="D7440">
        <v>4.3156919999999896</v>
      </c>
      <c r="E7440">
        <v>0.51208729999999902</v>
      </c>
      <c r="F7440" t="s">
        <v>68</v>
      </c>
      <c r="G7440">
        <v>-196.4204</v>
      </c>
      <c r="H7440" s="1">
        <v>-7.0407430000000003E-6</v>
      </c>
      <c r="I7440">
        <v>-59.951450000000001</v>
      </c>
      <c r="J7440">
        <v>-222.72559999999999</v>
      </c>
      <c r="K7440">
        <v>1.112096</v>
      </c>
      <c r="L7440">
        <v>-63.320650000000001</v>
      </c>
      <c r="M7440">
        <v>0.999533</v>
      </c>
      <c r="N7440">
        <v>-1.134221E-2</v>
      </c>
      <c r="O7440">
        <v>2.8374360000000001E-2</v>
      </c>
      <c r="P7440">
        <v>0.97054680000000004</v>
      </c>
      <c r="Q7440">
        <v>0.17770369999999999</v>
      </c>
      <c r="R7440">
        <v>0.1626658</v>
      </c>
      <c r="S7440">
        <v>3.0490569999999999</v>
      </c>
      <c r="T7440">
        <v>-0.12816060000000001</v>
      </c>
      <c r="U7440">
        <v>0.38885500000000001</v>
      </c>
      <c r="V7440">
        <v>-0.1357275</v>
      </c>
      <c r="W7440">
        <v>0.18826870000000001</v>
      </c>
      <c r="X7440">
        <v>0.97269360000000005</v>
      </c>
      <c r="Y7440">
        <v>-9.8213579999999995E-2</v>
      </c>
      <c r="Z7440">
        <v>1.748372E-3</v>
      </c>
      <c r="AA7440">
        <v>0.99516380000000004</v>
      </c>
      <c r="AB7440">
        <v>31</v>
      </c>
      <c r="AC7440">
        <v>26.3051999999999</v>
      </c>
      <c r="AD7440">
        <v>-1.1121030407429999</v>
      </c>
      <c r="AE7440">
        <v>3.3692000000000002</v>
      </c>
      <c r="AF7440">
        <v>-2.6168004123316302</v>
      </c>
      <c r="AG7440">
        <v>-1.1121030407429999</v>
      </c>
      <c r="AH7440">
        <v>26.343886847514199</v>
      </c>
      <c r="AI7440">
        <v>92.405472892052998</v>
      </c>
      <c r="AJ7440">
        <v>95.672716341414201</v>
      </c>
      <c r="AK7440">
        <v>26.496882680908701</v>
      </c>
      <c r="AL7440">
        <v>79.148234711898198</v>
      </c>
      <c r="AM7440">
        <v>97.943634264363993</v>
      </c>
      <c r="AN7440">
        <v>0.99999994856844798</v>
      </c>
    </row>
    <row r="7441" spans="1:40" x14ac:dyDescent="0.25">
      <c r="A7441" t="str">
        <f>"20190304154940382"</f>
        <v>20190304154940382</v>
      </c>
      <c r="B7441" t="str">
        <f>"1551685780374881"</f>
        <v>1551685780374881</v>
      </c>
      <c r="C7441" t="s">
        <v>40</v>
      </c>
      <c r="D7441">
        <v>4.3292210000000004</v>
      </c>
      <c r="E7441">
        <v>0.51213030000000004</v>
      </c>
      <c r="F7441" t="s">
        <v>68</v>
      </c>
      <c r="G7441">
        <v>-196.18940000000001</v>
      </c>
      <c r="H7441" s="1">
        <v>-7.0308090000000001E-6</v>
      </c>
      <c r="I7441">
        <v>-59.905720000000002</v>
      </c>
      <c r="J7441">
        <v>-222.57329999999999</v>
      </c>
      <c r="K7441">
        <v>1.1121129999999999</v>
      </c>
      <c r="L7441">
        <v>-63.315429999999999</v>
      </c>
      <c r="M7441">
        <v>0.99950700000000003</v>
      </c>
      <c r="N7441">
        <v>-1.1352040000000001E-2</v>
      </c>
      <c r="O7441">
        <v>2.9276400000000001E-2</v>
      </c>
      <c r="P7441">
        <v>0.97033340000000001</v>
      </c>
      <c r="Q7441">
        <v>0.17780190000000001</v>
      </c>
      <c r="R7441">
        <v>0.1638281</v>
      </c>
      <c r="S7441">
        <v>3.0486909999999998</v>
      </c>
      <c r="T7441">
        <v>-0.1277673</v>
      </c>
      <c r="U7441">
        <v>0.39233400000000002</v>
      </c>
      <c r="V7441">
        <v>-0.13602449999999999</v>
      </c>
      <c r="W7441">
        <v>0.18836939999999999</v>
      </c>
      <c r="X7441">
        <v>0.97263259999999996</v>
      </c>
      <c r="Y7441">
        <v>-9.8448369999999993E-2</v>
      </c>
      <c r="Z7441">
        <v>1.725395E-3</v>
      </c>
      <c r="AA7441">
        <v>0.99514069999999999</v>
      </c>
      <c r="AB7441">
        <v>31</v>
      </c>
      <c r="AC7441">
        <v>26.383899999999901</v>
      </c>
      <c r="AD7441">
        <v>-1.112120030809</v>
      </c>
      <c r="AE7441">
        <v>3.4097100000000098</v>
      </c>
      <c r="AF7441">
        <v>-2.6311748203963599</v>
      </c>
      <c r="AG7441">
        <v>-1.112120030809</v>
      </c>
      <c r="AH7441">
        <v>26.426238244545601</v>
      </c>
      <c r="AI7441">
        <v>92.397966849199094</v>
      </c>
      <c r="AJ7441">
        <v>95.686014815765404</v>
      </c>
      <c r="AK7441">
        <v>26.5801798273808</v>
      </c>
      <c r="AL7441">
        <v>79.142359765252095</v>
      </c>
      <c r="AM7441">
        <v>97.961286850268607</v>
      </c>
      <c r="AN7441">
        <v>0.99999993501968198</v>
      </c>
    </row>
    <row r="7442" spans="1:40" x14ac:dyDescent="0.25">
      <c r="A7442" t="str">
        <f>"20190304154940395"</f>
        <v>20190304154940395</v>
      </c>
      <c r="B7442" t="str">
        <f>"1551685780384643"</f>
        <v>1551685780384643</v>
      </c>
      <c r="C7442" t="s">
        <v>40</v>
      </c>
      <c r="D7442">
        <v>4.3284649999999996</v>
      </c>
      <c r="E7442">
        <v>0.51213030000000004</v>
      </c>
      <c r="F7442" t="s">
        <v>68</v>
      </c>
      <c r="G7442">
        <v>-196.00790000000001</v>
      </c>
      <c r="H7442" s="1">
        <v>-7.0235830000000001E-6</v>
      </c>
      <c r="I7442">
        <v>-59.868119999999998</v>
      </c>
      <c r="J7442">
        <v>-222.41130000000001</v>
      </c>
      <c r="K7442">
        <v>1.112133</v>
      </c>
      <c r="L7442">
        <v>-63.309780000000003</v>
      </c>
      <c r="M7442">
        <v>0.99947799999999998</v>
      </c>
      <c r="N7442">
        <v>-1.136234E-2</v>
      </c>
      <c r="O7442">
        <v>3.0240960000000001E-2</v>
      </c>
      <c r="P7442">
        <v>0.97014990000000001</v>
      </c>
      <c r="Q7442">
        <v>0.1775534</v>
      </c>
      <c r="R7442">
        <v>0.1651791</v>
      </c>
      <c r="S7442">
        <v>3.0483090000000002</v>
      </c>
      <c r="T7442">
        <v>-0.12761259999999999</v>
      </c>
      <c r="U7442">
        <v>0.3955688</v>
      </c>
      <c r="V7442">
        <v>-0.13644709999999999</v>
      </c>
      <c r="W7442">
        <v>0.18812309999999999</v>
      </c>
      <c r="X7442">
        <v>0.97262110000000002</v>
      </c>
      <c r="Y7442">
        <v>-9.8542939999999996E-2</v>
      </c>
      <c r="Z7442">
        <v>1.6985590000000001E-3</v>
      </c>
      <c r="AA7442">
        <v>0.9951314</v>
      </c>
      <c r="AB7442">
        <v>31</v>
      </c>
      <c r="AC7442">
        <v>26.403400000000001</v>
      </c>
      <c r="AD7442">
        <v>-1.1121400235829999</v>
      </c>
      <c r="AE7442">
        <v>3.4416600000000002</v>
      </c>
      <c r="AF7442">
        <v>-2.6369696447031199</v>
      </c>
      <c r="AG7442">
        <v>-1.1121400235829999</v>
      </c>
      <c r="AH7442">
        <v>26.449266408914401</v>
      </c>
      <c r="AI7442">
        <v>92.395893245130196</v>
      </c>
      <c r="AJ7442">
        <v>95.693526431745696</v>
      </c>
      <c r="AK7442">
        <v>26.603649334421601</v>
      </c>
      <c r="AL7442">
        <v>79.156728857147698</v>
      </c>
      <c r="AM7442">
        <v>97.985795530481397</v>
      </c>
      <c r="AN7442">
        <v>0.99999995800861396</v>
      </c>
    </row>
    <row r="7443" spans="1:40" x14ac:dyDescent="0.25">
      <c r="A7443" t="str">
        <f>"20190304154940406"</f>
        <v>20190304154940406</v>
      </c>
      <c r="B7443" t="str">
        <f>"1551685780394401"</f>
        <v>1551685780394401</v>
      </c>
      <c r="C7443" t="s">
        <v>40</v>
      </c>
      <c r="D7443">
        <v>4.3296359999999998</v>
      </c>
      <c r="E7443">
        <v>0.51507550000000002</v>
      </c>
      <c r="F7443" t="s">
        <v>68</v>
      </c>
      <c r="G7443">
        <v>-196.00919999999999</v>
      </c>
      <c r="H7443" s="1">
        <v>-7.0310199999999998E-6</v>
      </c>
      <c r="I7443">
        <v>-59.847380000000001</v>
      </c>
      <c r="J7443">
        <v>-222.2552</v>
      </c>
      <c r="K7443">
        <v>1.1121479999999999</v>
      </c>
      <c r="L7443">
        <v>-63.304139999999997</v>
      </c>
      <c r="M7443">
        <v>0.99944909999999998</v>
      </c>
      <c r="N7443">
        <v>-1.137196E-2</v>
      </c>
      <c r="O7443">
        <v>3.1181500000000001E-2</v>
      </c>
      <c r="P7443">
        <v>0.96996309999999997</v>
      </c>
      <c r="Q7443">
        <v>0.17745929999999999</v>
      </c>
      <c r="R7443">
        <v>0.1663741</v>
      </c>
      <c r="S7443">
        <v>3.0477599999999998</v>
      </c>
      <c r="T7443">
        <v>-0.12838160000000001</v>
      </c>
      <c r="U7443">
        <v>0.39968870000000001</v>
      </c>
      <c r="V7443">
        <v>-0.136737</v>
      </c>
      <c r="W7443">
        <v>0.18803130000000001</v>
      </c>
      <c r="X7443">
        <v>0.97259819999999997</v>
      </c>
      <c r="Y7443">
        <v>-9.8951059999999993E-2</v>
      </c>
      <c r="Z7443">
        <v>1.686377E-3</v>
      </c>
      <c r="AA7443">
        <v>0.9950909</v>
      </c>
      <c r="AB7443">
        <v>31</v>
      </c>
      <c r="AC7443">
        <v>26.245999999999999</v>
      </c>
      <c r="AD7443">
        <v>-1.1121550310199999</v>
      </c>
      <c r="AE7443">
        <v>3.4567600000000001</v>
      </c>
      <c r="AF7443">
        <v>-2.63199100232936</v>
      </c>
      <c r="AG7443">
        <v>-1.1121550310199999</v>
      </c>
      <c r="AH7443">
        <v>26.294620842381299</v>
      </c>
      <c r="AI7443">
        <v>92.409905513895296</v>
      </c>
      <c r="AJ7443">
        <v>95.716049019542496</v>
      </c>
      <c r="AK7443">
        <v>26.449411159682999</v>
      </c>
      <c r="AL7443">
        <v>79.162084835507002</v>
      </c>
      <c r="AM7443">
        <v>98.002728823381403</v>
      </c>
      <c r="AN7443">
        <v>1.00000001779596</v>
      </c>
    </row>
    <row r="7444" spans="1:40" x14ac:dyDescent="0.25">
      <c r="A7444" t="str">
        <f>"20190304154940416"</f>
        <v>20190304154940416</v>
      </c>
      <c r="B7444" t="str">
        <f>"1551685780414896"</f>
        <v>1551685780414896</v>
      </c>
      <c r="C7444" t="s">
        <v>40</v>
      </c>
      <c r="D7444">
        <v>4.3308920000000004</v>
      </c>
      <c r="E7444">
        <v>0.51507329999999996</v>
      </c>
      <c r="F7444" t="s">
        <v>68</v>
      </c>
      <c r="G7444">
        <v>-199.6276</v>
      </c>
      <c r="H7444" s="1">
        <v>-5.8648290000000003E-6</v>
      </c>
      <c r="I7444">
        <v>-60.48901</v>
      </c>
      <c r="J7444">
        <v>-222.1087</v>
      </c>
      <c r="K7444">
        <v>1.112161</v>
      </c>
      <c r="L7444">
        <v>-63.29871</v>
      </c>
      <c r="M7444">
        <v>0.9994208</v>
      </c>
      <c r="N7444">
        <v>-1.138078E-2</v>
      </c>
      <c r="O7444">
        <v>3.207231E-2</v>
      </c>
      <c r="P7444">
        <v>0.96977040000000003</v>
      </c>
      <c r="Q7444">
        <v>0.1774367</v>
      </c>
      <c r="R7444">
        <v>0.1675159</v>
      </c>
      <c r="S7444">
        <v>3.055161</v>
      </c>
      <c r="T7444">
        <v>-0.15016209999999999</v>
      </c>
      <c r="U7444">
        <v>0.3800964</v>
      </c>
      <c r="V7444">
        <v>-0.13702230000000001</v>
      </c>
      <c r="W7444">
        <v>0.18801119999999999</v>
      </c>
      <c r="X7444">
        <v>0.97256189999999998</v>
      </c>
      <c r="Y7444">
        <v>-9.1455300000000003E-2</v>
      </c>
      <c r="Z7444">
        <v>1.5556630000000001E-3</v>
      </c>
      <c r="AA7444">
        <v>0.99580789999999997</v>
      </c>
      <c r="AB7444">
        <v>31</v>
      </c>
      <c r="AC7444">
        <v>22.481100000000001</v>
      </c>
      <c r="AD7444">
        <v>-1.112166864829</v>
      </c>
      <c r="AE7444">
        <v>2.8096999999999901</v>
      </c>
      <c r="AF7444">
        <v>-2.08216936667979</v>
      </c>
      <c r="AG7444">
        <v>-1.112166864829</v>
      </c>
      <c r="AH7444">
        <v>22.505419905283599</v>
      </c>
      <c r="AI7444">
        <v>92.817114487860195</v>
      </c>
      <c r="AJ7444">
        <v>95.285876298773502</v>
      </c>
      <c r="AK7444">
        <v>22.628881313929298</v>
      </c>
      <c r="AL7444">
        <v>79.163257040994196</v>
      </c>
      <c r="AM7444">
        <v>98.019504842630397</v>
      </c>
      <c r="AN7444">
        <v>0.99999998567716897</v>
      </c>
    </row>
    <row r="7445" spans="1:40" x14ac:dyDescent="0.25">
      <c r="A7445" t="str">
        <f>"20190304154940428"</f>
        <v>20190304154940428</v>
      </c>
      <c r="B7445" t="str">
        <f>"1551685780424657"</f>
        <v>1551685780424657</v>
      </c>
      <c r="C7445" t="s">
        <v>40</v>
      </c>
      <c r="D7445">
        <v>4.3109590000000004</v>
      </c>
      <c r="E7445">
        <v>0.51492280000000001</v>
      </c>
      <c r="F7445" t="s">
        <v>68</v>
      </c>
      <c r="G7445">
        <v>-199.4539</v>
      </c>
      <c r="H7445" s="1">
        <v>-5.9335540000000002E-6</v>
      </c>
      <c r="I7445">
        <v>-60.453949999999999</v>
      </c>
      <c r="J7445">
        <v>-221.9393</v>
      </c>
      <c r="K7445">
        <v>1.112185</v>
      </c>
      <c r="L7445">
        <v>-63.292299999999997</v>
      </c>
      <c r="M7445">
        <v>0.99938669999999996</v>
      </c>
      <c r="N7445">
        <v>-1.139073E-2</v>
      </c>
      <c r="O7445">
        <v>3.3112219999999998E-2</v>
      </c>
      <c r="P7445">
        <v>0.9695743</v>
      </c>
      <c r="Q7445">
        <v>0.177373799999999</v>
      </c>
      <c r="R7445">
        <v>0.168714</v>
      </c>
      <c r="S7445">
        <v>3.0546880000000001</v>
      </c>
      <c r="T7445">
        <v>-0.14995990000000001</v>
      </c>
      <c r="U7445">
        <v>0.38357540000000001</v>
      </c>
      <c r="V7445">
        <v>-0.13722010000000001</v>
      </c>
      <c r="W7445">
        <v>0.1879507</v>
      </c>
      <c r="X7445">
        <v>0.97254569999999996</v>
      </c>
      <c r="Y7445">
        <v>-9.1555510000000007E-2</v>
      </c>
      <c r="Z7445">
        <v>1.5196980000000001E-3</v>
      </c>
      <c r="AA7445">
        <v>0.99579879999999998</v>
      </c>
      <c r="AB7445">
        <v>31</v>
      </c>
      <c r="AC7445">
        <v>22.485399999999998</v>
      </c>
      <c r="AD7445">
        <v>-1.1121909335539999</v>
      </c>
      <c r="AE7445">
        <v>2.8383499999999899</v>
      </c>
      <c r="AF7445">
        <v>-2.0871771894275</v>
      </c>
      <c r="AG7445">
        <v>-1.1121909335539999</v>
      </c>
      <c r="AH7445">
        <v>22.512843132276</v>
      </c>
      <c r="AI7445">
        <v>92.816198379849794</v>
      </c>
      <c r="AJ7445">
        <v>95.296779924913693</v>
      </c>
      <c r="AK7445">
        <v>22.636726423915899</v>
      </c>
      <c r="AL7445">
        <v>79.166786292017093</v>
      </c>
      <c r="AM7445">
        <v>98.0310625864972</v>
      </c>
      <c r="AN7445">
        <v>0.99999998003149404</v>
      </c>
    </row>
    <row r="7446" spans="1:40" x14ac:dyDescent="0.25">
      <c r="A7446" t="str">
        <f>"20190304154940438"</f>
        <v>20190304154940438</v>
      </c>
      <c r="B7446" t="str">
        <f>"1551685780434417"</f>
        <v>1551685780434417</v>
      </c>
      <c r="C7446" t="s">
        <v>40</v>
      </c>
      <c r="D7446">
        <v>4.3308150000000003</v>
      </c>
      <c r="E7446">
        <v>0.5147408</v>
      </c>
      <c r="F7446" t="s">
        <v>68</v>
      </c>
      <c r="G7446">
        <v>-199.41489999999999</v>
      </c>
      <c r="H7446" s="1">
        <v>-5.947867E-6</v>
      </c>
      <c r="I7446">
        <v>-60.427419999999998</v>
      </c>
      <c r="J7446">
        <v>-221.81440000000001</v>
      </c>
      <c r="K7446">
        <v>1.112198</v>
      </c>
      <c r="L7446">
        <v>-63.287410000000001</v>
      </c>
      <c r="M7446">
        <v>0.99936069999999999</v>
      </c>
      <c r="N7446">
        <v>-1.139919E-2</v>
      </c>
      <c r="O7446">
        <v>3.388882E-2</v>
      </c>
      <c r="P7446">
        <v>0.96944200000000003</v>
      </c>
      <c r="Q7446">
        <v>0.177319</v>
      </c>
      <c r="R7446">
        <v>0.16953089999999901</v>
      </c>
      <c r="S7446">
        <v>3.0541529999999999</v>
      </c>
      <c r="T7446">
        <v>-0.15080569999999999</v>
      </c>
      <c r="U7446">
        <v>0.38845829999999998</v>
      </c>
      <c r="V7446">
        <v>-0.13729059999999901</v>
      </c>
      <c r="W7446">
        <v>0.1878997</v>
      </c>
      <c r="X7446">
        <v>0.97254560000000001</v>
      </c>
      <c r="Y7446">
        <v>-9.2368459999999999E-2</v>
      </c>
      <c r="Z7446">
        <v>1.5192809999999999E-3</v>
      </c>
      <c r="AA7446">
        <v>0.99572369999999999</v>
      </c>
      <c r="AB7446">
        <v>31</v>
      </c>
      <c r="AC7446">
        <v>22.3995</v>
      </c>
      <c r="AD7446">
        <v>-1.1122039478670001</v>
      </c>
      <c r="AE7446">
        <v>2.85998999999999</v>
      </c>
      <c r="AF7446">
        <v>-2.0941250683999502</v>
      </c>
      <c r="AG7446">
        <v>-1.1122039478670001</v>
      </c>
      <c r="AH7446">
        <v>22.4291498143917</v>
      </c>
      <c r="AI7446">
        <v>92.826552216513903</v>
      </c>
      <c r="AJ7446">
        <v>95.3340272062037</v>
      </c>
      <c r="AK7446">
        <v>22.5541375100042</v>
      </c>
      <c r="AL7446">
        <v>79.169761328887503</v>
      </c>
      <c r="AM7446">
        <v>98.035135672376299</v>
      </c>
      <c r="AN7446">
        <v>0.99999997509390404</v>
      </c>
    </row>
    <row r="7447" spans="1:40" x14ac:dyDescent="0.25">
      <c r="A7447" t="str">
        <f>"20190304154940450"</f>
        <v>20190304154940450</v>
      </c>
      <c r="B7447" t="str">
        <f>"1551685780444177"</f>
        <v>1551685780444177</v>
      </c>
      <c r="C7447" t="s">
        <v>40</v>
      </c>
      <c r="D7447">
        <v>4.2722449999999998</v>
      </c>
      <c r="E7447">
        <v>0.5147408</v>
      </c>
      <c r="F7447" t="s">
        <v>68</v>
      </c>
      <c r="G7447">
        <v>-199.50190000000001</v>
      </c>
      <c r="H7447" s="1">
        <v>-5.9120929999999997E-6</v>
      </c>
      <c r="I7447">
        <v>-60.421300000000002</v>
      </c>
      <c r="J7447">
        <v>-221.65199999999999</v>
      </c>
      <c r="K7447">
        <v>1.1122160000000001</v>
      </c>
      <c r="L7447">
        <v>-63.280940000000001</v>
      </c>
      <c r="M7447">
        <v>0.99932560000000004</v>
      </c>
      <c r="N7447">
        <v>-1.1410770000000001E-2</v>
      </c>
      <c r="O7447">
        <v>3.490439E-2</v>
      </c>
      <c r="P7447">
        <v>0.96926080000000003</v>
      </c>
      <c r="Q7447">
        <v>0.1769705</v>
      </c>
      <c r="R7447">
        <v>0.17092479999999999</v>
      </c>
      <c r="S7447">
        <v>3.0538180000000001</v>
      </c>
      <c r="T7447">
        <v>-0.15222249999999901</v>
      </c>
      <c r="U7447">
        <v>0.39227289999999998</v>
      </c>
      <c r="V7447">
        <v>-0.137706</v>
      </c>
      <c r="W7447">
        <v>0.187555</v>
      </c>
      <c r="X7447">
        <v>0.97255340000000001</v>
      </c>
      <c r="Y7447">
        <v>-9.2592709999999995E-2</v>
      </c>
      <c r="Z7447">
        <v>1.494029E-3</v>
      </c>
      <c r="AA7447">
        <v>0.99570289999999995</v>
      </c>
      <c r="AB7447">
        <v>31</v>
      </c>
      <c r="AC7447">
        <v>22.150099999999998</v>
      </c>
      <c r="AD7447">
        <v>-1.1122219120929999</v>
      </c>
      <c r="AE7447">
        <v>2.85963999999999</v>
      </c>
      <c r="AF7447">
        <v>-2.0795539662114799</v>
      </c>
      <c r="AG7447">
        <v>-1.1122219120929999</v>
      </c>
      <c r="AH7447">
        <v>22.181411684487799</v>
      </c>
      <c r="AI7447">
        <v>92.858013121512599</v>
      </c>
      <c r="AJ7447">
        <v>95.355944417649297</v>
      </c>
      <c r="AK7447">
        <v>22.306425231239</v>
      </c>
      <c r="AL7447">
        <v>79.189868593643595</v>
      </c>
      <c r="AM7447">
        <v>98.059064854466897</v>
      </c>
      <c r="AN7447">
        <v>0.99999996815627901</v>
      </c>
    </row>
    <row r="7448" spans="1:40" x14ac:dyDescent="0.25">
      <c r="A7448" t="str">
        <f>"20190304154940460"</f>
        <v>20190304154940460</v>
      </c>
      <c r="B7448" t="str">
        <f>"1551685780454913"</f>
        <v>1551685780454913</v>
      </c>
      <c r="C7448" t="s">
        <v>40</v>
      </c>
      <c r="D7448">
        <v>4.3287250000000004</v>
      </c>
      <c r="E7448">
        <v>0.51468879999999995</v>
      </c>
      <c r="F7448" t="s">
        <v>68</v>
      </c>
      <c r="G7448">
        <v>-199.49780000000001</v>
      </c>
      <c r="H7448" s="1">
        <v>-5.912777E-6</v>
      </c>
      <c r="I7448">
        <v>-60.404029999999999</v>
      </c>
      <c r="J7448">
        <v>-221.49850000000001</v>
      </c>
      <c r="K7448">
        <v>1.1122369999999999</v>
      </c>
      <c r="L7448">
        <v>-63.2746</v>
      </c>
      <c r="M7448">
        <v>0.99929089999999998</v>
      </c>
      <c r="N7448">
        <v>-1.142279E-2</v>
      </c>
      <c r="O7448">
        <v>3.588069E-2</v>
      </c>
      <c r="P7448">
        <v>0.96906049999999999</v>
      </c>
      <c r="Q7448">
        <v>0.17691419999999999</v>
      </c>
      <c r="R7448">
        <v>0.172114299999999</v>
      </c>
      <c r="S7448">
        <v>3.053207</v>
      </c>
      <c r="T7448">
        <v>-0.1532819</v>
      </c>
      <c r="U7448">
        <v>0.39648440000000001</v>
      </c>
      <c r="V7448">
        <v>-0.13795739999999901</v>
      </c>
      <c r="W7448">
        <v>0.187503</v>
      </c>
      <c r="X7448">
        <v>0.97252780000000005</v>
      </c>
      <c r="Y7448">
        <v>-9.29947E-2</v>
      </c>
      <c r="Z7448">
        <v>1.473802E-3</v>
      </c>
      <c r="AA7448">
        <v>0.99566549999999998</v>
      </c>
      <c r="AB7448">
        <v>31</v>
      </c>
      <c r="AC7448">
        <v>22.000699999999899</v>
      </c>
      <c r="AD7448">
        <v>-1.1122429127769999</v>
      </c>
      <c r="AE7448">
        <v>2.8705699999999901</v>
      </c>
      <c r="AF7448">
        <v>-2.0740574859603602</v>
      </c>
      <c r="AG7448">
        <v>-1.1122429127769999</v>
      </c>
      <c r="AH7448">
        <v>22.034164037865601</v>
      </c>
      <c r="AI7448">
        <v>92.877033757582595</v>
      </c>
      <c r="AJ7448">
        <v>95.377359623188298</v>
      </c>
      <c r="AK7448">
        <v>22.159494209021599</v>
      </c>
      <c r="AL7448">
        <v>79.192901811554094</v>
      </c>
      <c r="AM7448">
        <v>98.073793621002807</v>
      </c>
      <c r="AN7448">
        <v>0.99999997049829903</v>
      </c>
    </row>
    <row r="7449" spans="1:40" x14ac:dyDescent="0.25">
      <c r="A7449" t="str">
        <f>"20190304154940472"</f>
        <v>20190304154940472</v>
      </c>
      <c r="B7449" t="str">
        <f>"1551685780464673"</f>
        <v>1551685780464673</v>
      </c>
      <c r="C7449" t="s">
        <v>40</v>
      </c>
      <c r="D7449">
        <v>4.3349549999999999</v>
      </c>
      <c r="E7449">
        <v>0.51467629999999998</v>
      </c>
      <c r="F7449" t="s">
        <v>68</v>
      </c>
      <c r="G7449">
        <v>-199.59700000000001</v>
      </c>
      <c r="H7449" s="1">
        <v>-5.8721430000000002E-6</v>
      </c>
      <c r="I7449">
        <v>-60.400019999999998</v>
      </c>
      <c r="J7449">
        <v>-221.33840000000001</v>
      </c>
      <c r="K7449">
        <v>1.1122590000000001</v>
      </c>
      <c r="L7449">
        <v>-63.267910000000001</v>
      </c>
      <c r="M7449">
        <v>0.99925350000000002</v>
      </c>
      <c r="N7449">
        <v>-1.1435519999999999E-2</v>
      </c>
      <c r="O7449">
        <v>3.6903360000000003E-2</v>
      </c>
      <c r="P7449">
        <v>0.96886039999999995</v>
      </c>
      <c r="Q7449">
        <v>0.176807399999999</v>
      </c>
      <c r="R7449">
        <v>0.173345899999999</v>
      </c>
      <c r="S7449">
        <v>3.0529169999999999</v>
      </c>
      <c r="T7449">
        <v>-0.1550388</v>
      </c>
      <c r="U7449">
        <v>0.40069579999999999</v>
      </c>
      <c r="V7449">
        <v>-0.13820639999999901</v>
      </c>
      <c r="W7449">
        <v>0.18740090000000001</v>
      </c>
      <c r="X7449">
        <v>0.97251209999999999</v>
      </c>
      <c r="Y7449">
        <v>-9.3336299999999997E-2</v>
      </c>
      <c r="Z7449">
        <v>1.45163E-3</v>
      </c>
      <c r="AA7449">
        <v>0.99563360000000001</v>
      </c>
      <c r="AB7449">
        <v>31</v>
      </c>
      <c r="AC7449">
        <v>21.741399999999999</v>
      </c>
      <c r="AD7449">
        <v>-1.112264872143</v>
      </c>
      <c r="AE7449">
        <v>2.8678900000000001</v>
      </c>
      <c r="AF7449">
        <v>-2.05825834758341</v>
      </c>
      <c r="AG7449">
        <v>-1.112264872143</v>
      </c>
      <c r="AH7449">
        <v>21.7764112769419</v>
      </c>
      <c r="AI7449">
        <v>92.910980832334005</v>
      </c>
      <c r="AJ7449">
        <v>95.399429984959298</v>
      </c>
      <c r="AK7449">
        <v>21.901727070569599</v>
      </c>
      <c r="AL7449">
        <v>79.198857005355407</v>
      </c>
      <c r="AM7449">
        <v>98.088302241276494</v>
      </c>
      <c r="AN7449">
        <v>0.99999994548408799</v>
      </c>
    </row>
    <row r="7450" spans="1:40" x14ac:dyDescent="0.25">
      <c r="A7450" t="str">
        <f>"20190304154940482"</f>
        <v>20190304154940482</v>
      </c>
      <c r="B7450" t="str">
        <f>"1551685780474433"</f>
        <v>1551685780474433</v>
      </c>
      <c r="C7450" t="s">
        <v>40</v>
      </c>
      <c r="D7450">
        <v>4.3517250000000001</v>
      </c>
      <c r="E7450">
        <v>0.51479640000000004</v>
      </c>
      <c r="F7450" t="s">
        <v>68</v>
      </c>
      <c r="G7450">
        <v>-199.6001</v>
      </c>
      <c r="H7450" s="1">
        <v>-5.8701059999999997E-6</v>
      </c>
      <c r="I7450">
        <v>-60.3870199999999</v>
      </c>
      <c r="J7450">
        <v>-221.1876</v>
      </c>
      <c r="K7450">
        <v>1.1122780000000001</v>
      </c>
      <c r="L7450">
        <v>-63.261380000000003</v>
      </c>
      <c r="M7450">
        <v>0.99921660000000001</v>
      </c>
      <c r="N7450">
        <v>-1.1447189999999999E-2</v>
      </c>
      <c r="O7450">
        <v>3.7886110000000001E-2</v>
      </c>
      <c r="P7450">
        <v>0.96860849999999998</v>
      </c>
      <c r="Q7450">
        <v>0.17694589999999999</v>
      </c>
      <c r="R7450">
        <v>0.1746085</v>
      </c>
      <c r="S7450">
        <v>3.0525359999999999</v>
      </c>
      <c r="T7450">
        <v>-0.15618660000000001</v>
      </c>
      <c r="U7450">
        <v>0.40454099999999998</v>
      </c>
      <c r="V7450">
        <v>-0.13852809999999999</v>
      </c>
      <c r="W7450">
        <v>0.1875423</v>
      </c>
      <c r="X7450">
        <v>0.9724391</v>
      </c>
      <c r="Y7450">
        <v>-9.3604770000000004E-2</v>
      </c>
      <c r="Z7450">
        <v>1.4259609999999999E-3</v>
      </c>
      <c r="AA7450">
        <v>0.99560839999999995</v>
      </c>
      <c r="AB7450">
        <v>31</v>
      </c>
      <c r="AC7450">
        <v>21.587499999999999</v>
      </c>
      <c r="AD7450">
        <v>-1.112283870106</v>
      </c>
      <c r="AE7450">
        <v>2.8743599999999998</v>
      </c>
      <c r="AF7450">
        <v>-2.0490312734555798</v>
      </c>
      <c r="AG7450">
        <v>-1.112283870106</v>
      </c>
      <c r="AH7450">
        <v>21.624496981891799</v>
      </c>
      <c r="AI7450">
        <v>92.931380074015294</v>
      </c>
      <c r="AJ7450">
        <v>95.412905681595902</v>
      </c>
      <c r="AK7450">
        <v>21.749817798941301</v>
      </c>
      <c r="AL7450">
        <v>79.1906094810996</v>
      </c>
      <c r="AM7450">
        <v>98.107479701418896</v>
      </c>
      <c r="AN7450">
        <v>0.99999997599385404</v>
      </c>
    </row>
    <row r="7451" spans="1:40" x14ac:dyDescent="0.25">
      <c r="A7451" t="str">
        <f>"20190304154940493"</f>
        <v>20190304154940493</v>
      </c>
      <c r="B7451" t="str">
        <f>"1551685780484193"</f>
        <v>1551685780484193</v>
      </c>
      <c r="C7451" t="s">
        <v>40</v>
      </c>
      <c r="D7451">
        <v>4.3453039999999996</v>
      </c>
      <c r="E7451">
        <v>0.51479889999999995</v>
      </c>
      <c r="F7451" t="s">
        <v>68</v>
      </c>
      <c r="G7451">
        <v>-199.41290000000001</v>
      </c>
      <c r="H7451" s="1">
        <v>-7.2358609999999996E-6</v>
      </c>
      <c r="I7451">
        <v>-60.354520000000001</v>
      </c>
      <c r="J7451">
        <v>-221.03720000000001</v>
      </c>
      <c r="K7451">
        <v>1.1122939999999999</v>
      </c>
      <c r="L7451">
        <v>-63.254730000000002</v>
      </c>
      <c r="M7451">
        <v>0.99917869999999998</v>
      </c>
      <c r="N7451">
        <v>-1.1458650000000001E-2</v>
      </c>
      <c r="O7451">
        <v>3.8870410000000001E-2</v>
      </c>
      <c r="P7451">
        <v>0.968283</v>
      </c>
      <c r="Q7451">
        <v>0.17742920000000001</v>
      </c>
      <c r="R7451">
        <v>0.1759182</v>
      </c>
      <c r="S7451">
        <v>3.0522610000000001</v>
      </c>
      <c r="T7451">
        <v>-0.15591469999999999</v>
      </c>
      <c r="U7451">
        <v>0.40747070000000002</v>
      </c>
      <c r="V7451">
        <v>-0.1389003</v>
      </c>
      <c r="W7451">
        <v>0.1880271</v>
      </c>
      <c r="X7451">
        <v>0.97229239999999995</v>
      </c>
      <c r="Y7451">
        <v>-9.3575779999999997E-2</v>
      </c>
      <c r="Z7451">
        <v>1.386576E-3</v>
      </c>
      <c r="AA7451">
        <v>0.99561120000000003</v>
      </c>
      <c r="AB7451">
        <v>31</v>
      </c>
      <c r="AC7451">
        <v>21.624300000000002</v>
      </c>
      <c r="AD7451">
        <v>-1.112301235861</v>
      </c>
      <c r="AE7451">
        <v>2.90021</v>
      </c>
      <c r="AF7451">
        <v>-2.0520839203874699</v>
      </c>
      <c r="AG7451">
        <v>-1.112301235861</v>
      </c>
      <c r="AH7451">
        <v>21.664387956734899</v>
      </c>
      <c r="AI7451">
        <v>92.926046676179496</v>
      </c>
      <c r="AJ7451">
        <v>95.410999496078006</v>
      </c>
      <c r="AK7451">
        <v>21.789767506688399</v>
      </c>
      <c r="AL7451">
        <v>79.162329624084705</v>
      </c>
      <c r="AM7451">
        <v>98.130182379108405</v>
      </c>
      <c r="AN7451">
        <v>0.99999999738612899</v>
      </c>
    </row>
    <row r="7452" spans="1:40" x14ac:dyDescent="0.25">
      <c r="A7452" t="str">
        <f>"20190304154940505"</f>
        <v>20190304154940505</v>
      </c>
      <c r="B7452" t="str">
        <f>"1551685780494929"</f>
        <v>1551685780494929</v>
      </c>
      <c r="C7452" t="s">
        <v>40</v>
      </c>
      <c r="D7452">
        <v>4.3573510000000004</v>
      </c>
      <c r="E7452">
        <v>0.51488979999999995</v>
      </c>
      <c r="F7452" t="s">
        <v>68</v>
      </c>
      <c r="G7452">
        <v>-199.17949999999999</v>
      </c>
      <c r="H7452" s="1">
        <v>-7.2258289999999997E-6</v>
      </c>
      <c r="I7452">
        <v>-60.308280000000003</v>
      </c>
      <c r="J7452">
        <v>-220.88069999999999</v>
      </c>
      <c r="K7452">
        <v>1.1123149999999999</v>
      </c>
      <c r="L7452">
        <v>-63.24765</v>
      </c>
      <c r="M7452">
        <v>0.99913750000000001</v>
      </c>
      <c r="N7452">
        <v>-1.1470040000000001E-2</v>
      </c>
      <c r="O7452">
        <v>3.9910620000000001E-2</v>
      </c>
      <c r="P7452">
        <v>0.96807030000000005</v>
      </c>
      <c r="Q7452">
        <v>0.1773641</v>
      </c>
      <c r="R7452">
        <v>0.17715049999999999</v>
      </c>
      <c r="S7452">
        <v>3.0519560000000001</v>
      </c>
      <c r="T7452">
        <v>-0.15530910000000001</v>
      </c>
      <c r="U7452">
        <v>0.41140749999999998</v>
      </c>
      <c r="V7452">
        <v>-0.1391347</v>
      </c>
      <c r="W7452">
        <v>0.18796479999999999</v>
      </c>
      <c r="X7452">
        <v>0.97227090000000005</v>
      </c>
      <c r="Y7452">
        <v>-9.3814969999999998E-2</v>
      </c>
      <c r="Z7452">
        <v>1.35278E-3</v>
      </c>
      <c r="AA7452">
        <v>0.99558869999999999</v>
      </c>
      <c r="AB7452">
        <v>31</v>
      </c>
      <c r="AC7452">
        <v>21.7012</v>
      </c>
      <c r="AD7452">
        <v>-1.112322225829</v>
      </c>
      <c r="AE7452">
        <v>2.93936999999999</v>
      </c>
      <c r="AF7452">
        <v>-2.0655336900222099</v>
      </c>
      <c r="AG7452">
        <v>-1.112322225829</v>
      </c>
      <c r="AH7452">
        <v>21.7451274918824</v>
      </c>
      <c r="AI7452">
        <v>92.915182976618894</v>
      </c>
      <c r="AJ7452">
        <v>95.426150734729006</v>
      </c>
      <c r="AK7452">
        <v>21.871311341501901</v>
      </c>
      <c r="AL7452">
        <v>79.165963617492494</v>
      </c>
      <c r="AM7452">
        <v>98.143896179049605</v>
      </c>
      <c r="AN7452">
        <v>0.99999996688496895</v>
      </c>
    </row>
    <row r="7453" spans="1:40" x14ac:dyDescent="0.25">
      <c r="A7453" t="str">
        <f>"20190304154940516"</f>
        <v>20190304154940516</v>
      </c>
      <c r="B7453" t="str">
        <f>"1551685780504689"</f>
        <v>1551685780504689</v>
      </c>
      <c r="C7453" t="s">
        <v>40</v>
      </c>
      <c r="D7453">
        <v>4.3632350000000004</v>
      </c>
      <c r="E7453">
        <v>0.51491030000000004</v>
      </c>
      <c r="F7453" t="s">
        <v>68</v>
      </c>
      <c r="G7453">
        <v>-199.0694</v>
      </c>
      <c r="H7453" s="1">
        <v>-7.2219880000000001E-6</v>
      </c>
      <c r="I7453">
        <v>-60.28396</v>
      </c>
      <c r="J7453">
        <v>-220.7287</v>
      </c>
      <c r="K7453">
        <v>1.1123379999999901</v>
      </c>
      <c r="L7453">
        <v>-63.240600000000001</v>
      </c>
      <c r="M7453">
        <v>0.99909610000000004</v>
      </c>
      <c r="N7453">
        <v>-1.1480840000000001E-2</v>
      </c>
      <c r="O7453">
        <v>4.0930210000000002E-2</v>
      </c>
      <c r="P7453">
        <v>0.96777860000000004</v>
      </c>
      <c r="Q7453">
        <v>0.1775727</v>
      </c>
      <c r="R7453">
        <v>0.17852870000000001</v>
      </c>
      <c r="S7453">
        <v>3.0515590000000001</v>
      </c>
      <c r="T7453">
        <v>-0.15562210000000001</v>
      </c>
      <c r="U7453">
        <v>0.41464230000000002</v>
      </c>
      <c r="V7453">
        <v>-0.13953929999999901</v>
      </c>
      <c r="W7453">
        <v>0.1881746</v>
      </c>
      <c r="X7453">
        <v>0.97217240000000005</v>
      </c>
      <c r="Y7453">
        <v>-9.3852820000000003E-2</v>
      </c>
      <c r="Z7453">
        <v>1.315699E-3</v>
      </c>
      <c r="AA7453">
        <v>0.99558519999999995</v>
      </c>
      <c r="AB7453">
        <v>31</v>
      </c>
      <c r="AC7453">
        <v>21.659300000000002</v>
      </c>
      <c r="AD7453">
        <v>-1.1123452219879999</v>
      </c>
      <c r="AE7453">
        <v>2.9566400000000002</v>
      </c>
      <c r="AF7453">
        <v>-2.06224430792828</v>
      </c>
      <c r="AG7453">
        <v>-1.1123452219879999</v>
      </c>
      <c r="AH7453">
        <v>21.705969207193199</v>
      </c>
      <c r="AI7453">
        <v>92.920487799290399</v>
      </c>
      <c r="AJ7453">
        <v>95.427276144424397</v>
      </c>
      <c r="AK7453">
        <v>21.8320695927363</v>
      </c>
      <c r="AL7453">
        <v>79.153725321806405</v>
      </c>
      <c r="AM7453">
        <v>98.168075700042905</v>
      </c>
      <c r="AN7453">
        <v>1.0000000358257</v>
      </c>
    </row>
    <row r="7454" spans="1:40" x14ac:dyDescent="0.25">
      <c r="A7454" t="str">
        <f>"20190304154940527"</f>
        <v>20190304154940527</v>
      </c>
      <c r="B7454" t="str">
        <f>"1551685780524209"</f>
        <v>1551685780524209</v>
      </c>
      <c r="C7454" t="s">
        <v>40</v>
      </c>
      <c r="D7454">
        <v>4.2965169999999997</v>
      </c>
      <c r="E7454">
        <v>0.51541079999999995</v>
      </c>
      <c r="F7454" t="s">
        <v>68</v>
      </c>
      <c r="G7454">
        <v>-198.89259999999999</v>
      </c>
      <c r="H7454" s="1">
        <v>-7.2157869999999999E-6</v>
      </c>
      <c r="I7454">
        <v>-60.244950000000003</v>
      </c>
      <c r="J7454">
        <v>-220.5692</v>
      </c>
      <c r="K7454">
        <v>1.112365</v>
      </c>
      <c r="L7454">
        <v>-63.233029999999999</v>
      </c>
      <c r="M7454">
        <v>0.99905100000000002</v>
      </c>
      <c r="N7454">
        <v>-1.14918E-2</v>
      </c>
      <c r="O7454">
        <v>4.2013880000000003E-2</v>
      </c>
      <c r="P7454">
        <v>0.96750400000000003</v>
      </c>
      <c r="Q7454">
        <v>0.1779598</v>
      </c>
      <c r="R7454">
        <v>0.17962939999999999</v>
      </c>
      <c r="S7454">
        <v>3.0511469999999998</v>
      </c>
      <c r="T7454">
        <v>-0.15542700000000001</v>
      </c>
      <c r="U7454">
        <v>0.41857909999999998</v>
      </c>
      <c r="V7454">
        <v>-0.13960520000000001</v>
      </c>
      <c r="W7454">
        <v>0.1885638</v>
      </c>
      <c r="X7454">
        <v>0.97208749999999999</v>
      </c>
      <c r="Y7454">
        <v>-9.4052629999999998E-2</v>
      </c>
      <c r="Z7454">
        <v>1.280151E-3</v>
      </c>
      <c r="AA7454">
        <v>0.99556639999999996</v>
      </c>
      <c r="AB7454">
        <v>31</v>
      </c>
      <c r="AC7454">
        <v>21.676600000000001</v>
      </c>
      <c r="AD7454">
        <v>-1.112372215787</v>
      </c>
      <c r="AE7454">
        <v>2.9880800000000001</v>
      </c>
      <c r="AF7454">
        <v>-2.0693153731873499</v>
      </c>
      <c r="AG7454">
        <v>-1.112372215787</v>
      </c>
      <c r="AH7454">
        <v>21.726858031243399</v>
      </c>
      <c r="AI7454">
        <v>92.917691212215004</v>
      </c>
      <c r="AJ7454">
        <v>95.440569323576398</v>
      </c>
      <c r="AK7454">
        <v>21.853507681147399</v>
      </c>
      <c r="AL7454">
        <v>79.131019078862394</v>
      </c>
      <c r="AM7454">
        <v>98.172585207922495</v>
      </c>
      <c r="AN7454">
        <v>1.00000001309686</v>
      </c>
    </row>
    <row r="7455" spans="1:40" x14ac:dyDescent="0.25">
      <c r="A7455" t="str">
        <f>"20190304154940538"</f>
        <v>20190304154940538</v>
      </c>
      <c r="B7455" t="str">
        <f>"1551685780534945"</f>
        <v>1551685780534945</v>
      </c>
      <c r="C7455" t="s">
        <v>40</v>
      </c>
      <c r="D7455">
        <v>4.2914149999999998</v>
      </c>
      <c r="E7455">
        <v>0.51526519999999998</v>
      </c>
      <c r="F7455" t="s">
        <v>68</v>
      </c>
      <c r="G7455">
        <v>-198.33179999999999</v>
      </c>
      <c r="H7455" s="1">
        <v>-7.1745370000000001E-6</v>
      </c>
      <c r="I7455">
        <v>-60.182780000000001</v>
      </c>
      <c r="J7455">
        <v>-220.41659999999999</v>
      </c>
      <c r="K7455">
        <v>1.1123879999999999</v>
      </c>
      <c r="L7455">
        <v>-63.225589999999997</v>
      </c>
      <c r="M7455">
        <v>0.99900619999999996</v>
      </c>
      <c r="N7455">
        <v>-1.1501839999999999E-2</v>
      </c>
      <c r="O7455">
        <v>4.306579E-2</v>
      </c>
      <c r="P7455">
        <v>0.96728289999999995</v>
      </c>
      <c r="Q7455">
        <v>0.1781819</v>
      </c>
      <c r="R7455">
        <v>0.1805976</v>
      </c>
      <c r="S7455">
        <v>3.051132</v>
      </c>
      <c r="T7455">
        <v>-0.15262590000000001</v>
      </c>
      <c r="U7455">
        <v>0.4185181</v>
      </c>
      <c r="V7455">
        <v>-0.1395671</v>
      </c>
      <c r="W7455">
        <v>0.18878900000000001</v>
      </c>
      <c r="X7455">
        <v>0.97204919999999995</v>
      </c>
      <c r="Y7455">
        <v>-9.299106E-2</v>
      </c>
      <c r="Z7455">
        <v>1.2037199999999999E-3</v>
      </c>
      <c r="AA7455">
        <v>0.99566619999999995</v>
      </c>
      <c r="AB7455">
        <v>31</v>
      </c>
      <c r="AC7455">
        <v>22.084800000000001</v>
      </c>
      <c r="AD7455">
        <v>-1.112395174537</v>
      </c>
      <c r="AE7455">
        <v>3.04280999999999</v>
      </c>
      <c r="AF7455">
        <v>-2.08363667399948</v>
      </c>
      <c r="AG7455">
        <v>-1.112395174537</v>
      </c>
      <c r="AH7455">
        <v>22.1402327927001</v>
      </c>
      <c r="AI7455">
        <v>92.863669740260505</v>
      </c>
      <c r="AJ7455">
        <v>95.376320806779404</v>
      </c>
      <c r="AK7455">
        <v>22.265867890754301</v>
      </c>
      <c r="AL7455">
        <v>79.117879439468695</v>
      </c>
      <c r="AM7455">
        <v>98.170702502344398</v>
      </c>
      <c r="AN7455">
        <v>0.99999995457202295</v>
      </c>
    </row>
    <row r="7456" spans="1:40" x14ac:dyDescent="0.25">
      <c r="A7456" t="str">
        <f>"20190304154940549"</f>
        <v>20190304154940549</v>
      </c>
      <c r="B7456" t="str">
        <f>"1551685780544705"</f>
        <v>1551685780544705</v>
      </c>
      <c r="C7456" t="s">
        <v>40</v>
      </c>
      <c r="D7456">
        <v>4.3510660000000003</v>
      </c>
      <c r="E7456">
        <v>0.51526519999999998</v>
      </c>
      <c r="F7456" t="s">
        <v>68</v>
      </c>
      <c r="G7456">
        <v>-202.85730000000001</v>
      </c>
      <c r="H7456" s="1">
        <v>-4.2707989999999996E-6</v>
      </c>
      <c r="I7456">
        <v>-60.796999999999997</v>
      </c>
      <c r="J7456">
        <v>-220.25360000000001</v>
      </c>
      <c r="K7456">
        <v>1.112414</v>
      </c>
      <c r="L7456">
        <v>-63.217500000000001</v>
      </c>
      <c r="M7456">
        <v>0.99895639999999997</v>
      </c>
      <c r="N7456">
        <v>-1.15123E-2</v>
      </c>
      <c r="O7456">
        <v>4.4198710000000002E-2</v>
      </c>
      <c r="P7456">
        <v>0.96702809999999995</v>
      </c>
      <c r="Q7456">
        <v>0.17814189999999999</v>
      </c>
      <c r="R7456">
        <v>0.18199489999999999</v>
      </c>
      <c r="S7456">
        <v>3.0581969999999998</v>
      </c>
      <c r="T7456">
        <v>-0.1937393</v>
      </c>
      <c r="U7456">
        <v>0.42297360000000001</v>
      </c>
      <c r="V7456">
        <v>-0.13987959999999999</v>
      </c>
      <c r="W7456">
        <v>0.18874969999999999</v>
      </c>
      <c r="X7456">
        <v>0.97201199999999999</v>
      </c>
      <c r="Y7456">
        <v>-9.2926999999999996E-2</v>
      </c>
      <c r="Z7456">
        <v>1.1900649999999999E-3</v>
      </c>
      <c r="AA7456">
        <v>0.99567220000000001</v>
      </c>
      <c r="AB7456">
        <v>31</v>
      </c>
      <c r="AC7456">
        <v>17.396299999999901</v>
      </c>
      <c r="AD7456">
        <v>-1.112418270799</v>
      </c>
      <c r="AE7456">
        <v>2.4205000000000001</v>
      </c>
      <c r="AF7456">
        <v>-1.64260016779825</v>
      </c>
      <c r="AG7456">
        <v>-1.112418270799</v>
      </c>
      <c r="AH7456">
        <v>17.4164233567077</v>
      </c>
      <c r="AI7456">
        <v>93.638517224743197</v>
      </c>
      <c r="AJ7456">
        <v>95.387816254458201</v>
      </c>
      <c r="AK7456">
        <v>17.529044818829501</v>
      </c>
      <c r="AL7456">
        <v>79.120173327759204</v>
      </c>
      <c r="AM7456">
        <v>98.189058547314801</v>
      </c>
      <c r="AN7456">
        <v>1.0000000399451201</v>
      </c>
    </row>
    <row r="7457" spans="1:40" x14ac:dyDescent="0.25">
      <c r="A7457" t="str">
        <f>"20190304154940561"</f>
        <v>20190304154940561</v>
      </c>
      <c r="B7457" t="str">
        <f>"1551685780554464"</f>
        <v>1551685780554464</v>
      </c>
      <c r="C7457" t="s">
        <v>40</v>
      </c>
      <c r="D7457">
        <v>4.3781400000000001</v>
      </c>
      <c r="E7457">
        <v>0.51661539999999995</v>
      </c>
      <c r="F7457" t="s">
        <v>68</v>
      </c>
      <c r="G7457">
        <v>-202.71100000000001</v>
      </c>
      <c r="H7457" s="1">
        <v>-4.3435120000000003E-6</v>
      </c>
      <c r="I7457">
        <v>-60.764960000000002</v>
      </c>
      <c r="J7457">
        <v>-220.10120000000001</v>
      </c>
      <c r="K7457">
        <v>1.112439</v>
      </c>
      <c r="L7457">
        <v>-63.209690000000002</v>
      </c>
      <c r="M7457">
        <v>0.99890789999999996</v>
      </c>
      <c r="N7457">
        <v>-1.1523729999999999E-2</v>
      </c>
      <c r="O7457">
        <v>4.5281429999999998E-2</v>
      </c>
      <c r="P7457">
        <v>0.96676890000000004</v>
      </c>
      <c r="Q7457">
        <v>0.178151799999999</v>
      </c>
      <c r="R7457">
        <v>0.18335699999999999</v>
      </c>
      <c r="S7457">
        <v>3.0575559999999999</v>
      </c>
      <c r="T7457">
        <v>-0.19388659999999999</v>
      </c>
      <c r="U7457">
        <v>0.4274597</v>
      </c>
      <c r="V7457">
        <v>-0.14020650000000001</v>
      </c>
      <c r="W7457">
        <v>0.1887605</v>
      </c>
      <c r="X7457">
        <v>0.97196269999999996</v>
      </c>
      <c r="Y7457">
        <v>-9.3309530000000002E-2</v>
      </c>
      <c r="Z7457">
        <v>1.149869E-3</v>
      </c>
      <c r="AA7457">
        <v>0.99563650000000004</v>
      </c>
      <c r="AB7457">
        <v>31</v>
      </c>
      <c r="AC7457">
        <v>17.3902</v>
      </c>
      <c r="AD7457">
        <v>-1.112443343512</v>
      </c>
      <c r="AE7457">
        <v>2.4447299999999998</v>
      </c>
      <c r="AF7457">
        <v>-1.6481031904593899</v>
      </c>
      <c r="AG7457">
        <v>-1.112443343512</v>
      </c>
      <c r="AH7457">
        <v>17.413192552470701</v>
      </c>
      <c r="AI7457">
        <v>93.639158939135996</v>
      </c>
      <c r="AJ7457">
        <v>95.406756742091702</v>
      </c>
      <c r="AK7457">
        <v>17.526352991662201</v>
      </c>
      <c r="AL7457">
        <v>79.119542101274206</v>
      </c>
      <c r="AM7457">
        <v>98.2083466445293</v>
      </c>
      <c r="AN7457">
        <v>0.99999993959689304</v>
      </c>
    </row>
    <row r="7458" spans="1:40" x14ac:dyDescent="0.25">
      <c r="A7458" t="str">
        <f>"20190304154940573"</f>
        <v>20190304154940573</v>
      </c>
      <c r="B7458" t="str">
        <f>"1551685780564225"</f>
        <v>1551685780564225</v>
      </c>
      <c r="C7458" t="s">
        <v>40</v>
      </c>
      <c r="D7458">
        <v>4.4078080000000002</v>
      </c>
      <c r="E7458">
        <v>0.51673789999999997</v>
      </c>
      <c r="F7458" t="s">
        <v>68</v>
      </c>
      <c r="G7458">
        <v>-199.03720000000001</v>
      </c>
      <c r="H7458" s="1">
        <v>-7.2099560000000001E-6</v>
      </c>
      <c r="I7458">
        <v>-60.307899999999997</v>
      </c>
      <c r="J7458">
        <v>-219.9479</v>
      </c>
      <c r="K7458">
        <v>1.1124639999999999</v>
      </c>
      <c r="L7458">
        <v>-63.201749999999997</v>
      </c>
      <c r="M7458">
        <v>0.99885749999999995</v>
      </c>
      <c r="N7458">
        <v>-1.1535490000000001E-2</v>
      </c>
      <c r="O7458">
        <v>4.6376500000000001E-2</v>
      </c>
      <c r="P7458">
        <v>0.96655899999999995</v>
      </c>
      <c r="Q7458">
        <v>0.17802809999999999</v>
      </c>
      <c r="R7458">
        <v>0.1845803</v>
      </c>
      <c r="S7458">
        <v>3.0530849999999998</v>
      </c>
      <c r="T7458">
        <v>-0.16124089999999999</v>
      </c>
      <c r="U7458">
        <v>0.4205933</v>
      </c>
      <c r="V7458">
        <v>-0.1403809</v>
      </c>
      <c r="W7458">
        <v>0.18863959999999999</v>
      </c>
      <c r="X7458">
        <v>0.97196110000000002</v>
      </c>
      <c r="Y7458">
        <v>-9.0266620000000006E-2</v>
      </c>
      <c r="Z7458">
        <v>9.9358499999999995E-4</v>
      </c>
      <c r="AA7458">
        <v>0.9959171</v>
      </c>
      <c r="AB7458">
        <v>31</v>
      </c>
      <c r="AC7458">
        <v>20.910699999999899</v>
      </c>
      <c r="AD7458">
        <v>-1.1124712099559999</v>
      </c>
      <c r="AE7458">
        <v>2.89385</v>
      </c>
      <c r="AF7458">
        <v>-1.9155864639065201</v>
      </c>
      <c r="AG7458">
        <v>-1.1124712099559999</v>
      </c>
      <c r="AH7458">
        <v>20.964192313681</v>
      </c>
      <c r="AI7458">
        <v>93.024990434433704</v>
      </c>
      <c r="AJ7458">
        <v>95.220858593461102</v>
      </c>
      <c r="AK7458">
        <v>21.080901855914099</v>
      </c>
      <c r="AL7458">
        <v>79.126596965567003</v>
      </c>
      <c r="AM7458">
        <v>98.218430796043705</v>
      </c>
      <c r="AN7458">
        <v>1.00000003784308</v>
      </c>
    </row>
    <row r="7459" spans="1:40" x14ac:dyDescent="0.25">
      <c r="A7459" t="str">
        <f>"20190304154940583"</f>
        <v>20190304154940583</v>
      </c>
      <c r="B7459" t="str">
        <f>"1551685780574962"</f>
        <v>1551685780574962</v>
      </c>
      <c r="C7459" t="s">
        <v>40</v>
      </c>
      <c r="D7459">
        <v>4.3543849999999997</v>
      </c>
      <c r="E7459">
        <v>0.5166037</v>
      </c>
      <c r="F7459" t="s">
        <v>68</v>
      </c>
      <c r="G7459">
        <v>-198.73240000000001</v>
      </c>
      <c r="H7459" s="1">
        <v>-7.1920090000000004E-6</v>
      </c>
      <c r="I7459">
        <v>-60.261380000000003</v>
      </c>
      <c r="J7459">
        <v>-219.7937</v>
      </c>
      <c r="K7459">
        <v>1.1124889999999901</v>
      </c>
      <c r="L7459">
        <v>-63.193480000000001</v>
      </c>
      <c r="M7459">
        <v>0.99880429999999998</v>
      </c>
      <c r="N7459">
        <v>-1.154851E-2</v>
      </c>
      <c r="O7459">
        <v>4.7504009999999999E-2</v>
      </c>
      <c r="P7459">
        <v>0.9662811</v>
      </c>
      <c r="Q7459">
        <v>0.17815249999999999</v>
      </c>
      <c r="R7459">
        <v>0.1859102</v>
      </c>
      <c r="S7459">
        <v>3.052505</v>
      </c>
      <c r="T7459">
        <v>-0.16006400000000001</v>
      </c>
      <c r="U7459">
        <v>0.42306519999999997</v>
      </c>
      <c r="V7459">
        <v>-0.14063510000000001</v>
      </c>
      <c r="W7459">
        <v>0.18876660000000001</v>
      </c>
      <c r="X7459">
        <v>0.97189970000000003</v>
      </c>
      <c r="Y7459">
        <v>-8.9962E-2</v>
      </c>
      <c r="Z7459">
        <v>9.3985230000000002E-4</v>
      </c>
      <c r="AA7459">
        <v>0.99594470000000002</v>
      </c>
      <c r="AB7459">
        <v>31</v>
      </c>
      <c r="AC7459">
        <v>21.0612999999999</v>
      </c>
      <c r="AD7459">
        <v>-1.11249619200899</v>
      </c>
      <c r="AE7459">
        <v>2.9321000000000002</v>
      </c>
      <c r="AF7459">
        <v>-1.9229631067778401</v>
      </c>
      <c r="AG7459">
        <v>-1.11249619200899</v>
      </c>
      <c r="AH7459">
        <v>21.119010657573099</v>
      </c>
      <c r="AI7459">
        <v>93.003009927230906</v>
      </c>
      <c r="AJ7459">
        <v>95.2026438105285</v>
      </c>
      <c r="AK7459">
        <v>21.235537338196799</v>
      </c>
      <c r="AL7459">
        <v>79.119187345809607</v>
      </c>
      <c r="AM7459">
        <v>98.233621795889306</v>
      </c>
      <c r="AN7459">
        <v>1.0000000437438199</v>
      </c>
    </row>
    <row r="7460" spans="1:40" x14ac:dyDescent="0.25">
      <c r="A7460" t="str">
        <f>"20190304154940595"</f>
        <v>20190304154940595</v>
      </c>
      <c r="B7460" t="str">
        <f>"1551685780584302"</f>
        <v>1551685780584302</v>
      </c>
      <c r="C7460" t="s">
        <v>40</v>
      </c>
      <c r="D7460">
        <v>4.5520500000000004</v>
      </c>
      <c r="E7460">
        <v>0.5166037</v>
      </c>
      <c r="F7460" t="s">
        <v>68</v>
      </c>
      <c r="G7460">
        <v>-198.4871</v>
      </c>
      <c r="H7460" s="1">
        <v>-7.1842200000000003E-6</v>
      </c>
      <c r="I7460">
        <v>-60.20496</v>
      </c>
      <c r="J7460">
        <v>-219.63659999999999</v>
      </c>
      <c r="K7460">
        <v>1.1125160000000001</v>
      </c>
      <c r="L7460">
        <v>-63.184910000000002</v>
      </c>
      <c r="M7460">
        <v>0.99874850000000004</v>
      </c>
      <c r="N7460">
        <v>-1.156165E-2</v>
      </c>
      <c r="O7460">
        <v>4.8661320000000001E-2</v>
      </c>
      <c r="P7460">
        <v>0.96599520000000005</v>
      </c>
      <c r="Q7460">
        <v>0.1780485</v>
      </c>
      <c r="R7460">
        <v>0.1874893</v>
      </c>
      <c r="S7460">
        <v>3.0516969999999999</v>
      </c>
      <c r="T7460">
        <v>-0.1593406</v>
      </c>
      <c r="U7460">
        <v>0.42803960000000002</v>
      </c>
      <c r="V7460">
        <v>-0.1411087</v>
      </c>
      <c r="W7460">
        <v>0.188664</v>
      </c>
      <c r="X7460">
        <v>0.97185089999999996</v>
      </c>
      <c r="Y7460">
        <v>-9.0437169999999997E-2</v>
      </c>
      <c r="Z7460">
        <v>9.1015810000000003E-4</v>
      </c>
      <c r="AA7460">
        <v>0.99590179999999995</v>
      </c>
      <c r="AB7460">
        <v>31</v>
      </c>
      <c r="AC7460">
        <v>21.1494999999999</v>
      </c>
      <c r="AD7460">
        <v>-1.1125231842200001</v>
      </c>
      <c r="AE7460">
        <v>2.9799499999999899</v>
      </c>
      <c r="AF7460">
        <v>-1.94191919431121</v>
      </c>
      <c r="AG7460">
        <v>-1.1125231842200001</v>
      </c>
      <c r="AH7460">
        <v>21.211907611510298</v>
      </c>
      <c r="AI7460">
        <v>92.989820921242099</v>
      </c>
      <c r="AJ7460">
        <v>95.230764291330303</v>
      </c>
      <c r="AK7460">
        <v>21.329645625558499</v>
      </c>
      <c r="AL7460">
        <v>79.125172650801105</v>
      </c>
      <c r="AM7460">
        <v>98.261376219963793</v>
      </c>
      <c r="AN7460">
        <v>0.99999997097124904</v>
      </c>
    </row>
    <row r="7461" spans="1:40" x14ac:dyDescent="0.25">
      <c r="A7461" t="str">
        <f>"20190304154940605"</f>
        <v>20190304154940605</v>
      </c>
      <c r="B7461" t="str">
        <f>"1551685780595038"</f>
        <v>1551685780595038</v>
      </c>
      <c r="C7461" t="s">
        <v>40</v>
      </c>
      <c r="D7461">
        <v>4.62514</v>
      </c>
      <c r="E7461">
        <v>0.51008529999999996</v>
      </c>
      <c r="F7461" t="s">
        <v>68</v>
      </c>
      <c r="G7461">
        <v>-198.37459999999999</v>
      </c>
      <c r="H7461" s="1">
        <v>-7.1846300000000002E-6</v>
      </c>
      <c r="I7461">
        <v>-60.167729999999999</v>
      </c>
      <c r="J7461">
        <v>-219.47890000000001</v>
      </c>
      <c r="K7461">
        <v>1.1125449999999999</v>
      </c>
      <c r="L7461">
        <v>-63.17606</v>
      </c>
      <c r="M7461">
        <v>0.99869010000000003</v>
      </c>
      <c r="N7461">
        <v>-1.1574620000000001E-2</v>
      </c>
      <c r="O7461">
        <v>4.9841700000000003E-2</v>
      </c>
      <c r="P7461">
        <v>0.96564159999999999</v>
      </c>
      <c r="Q7461">
        <v>0.1782009</v>
      </c>
      <c r="R7461">
        <v>0.18915789999999999</v>
      </c>
      <c r="S7461">
        <v>3.0510100000000002</v>
      </c>
      <c r="T7461">
        <v>-0.1596426</v>
      </c>
      <c r="U7461">
        <v>0.43295289999999997</v>
      </c>
      <c r="V7461">
        <v>-0.14165459999999999</v>
      </c>
      <c r="W7461">
        <v>0.18881619999999999</v>
      </c>
      <c r="X7461">
        <v>0.97174199999999999</v>
      </c>
      <c r="Y7461">
        <v>-9.0863289999999999E-2</v>
      </c>
      <c r="Z7461">
        <v>8.7698970000000002E-4</v>
      </c>
      <c r="AA7461">
        <v>0.99586300000000005</v>
      </c>
      <c r="AB7461">
        <v>31</v>
      </c>
      <c r="AC7461">
        <v>21.104299999999999</v>
      </c>
      <c r="AD7461">
        <v>-1.1125521846299999</v>
      </c>
      <c r="AE7461">
        <v>3.0083299999999902</v>
      </c>
      <c r="AF7461">
        <v>-1.9473419047184</v>
      </c>
      <c r="AG7461">
        <v>-1.1125521846299999</v>
      </c>
      <c r="AH7461">
        <v>21.170354746565501</v>
      </c>
      <c r="AI7461">
        <v>92.995637970186905</v>
      </c>
      <c r="AJ7461">
        <v>95.255527354535701</v>
      </c>
      <c r="AK7461">
        <v>21.288819435394402</v>
      </c>
      <c r="AL7461">
        <v>79.116293490651699</v>
      </c>
      <c r="AM7461">
        <v>98.293809355384298</v>
      </c>
      <c r="AN7461">
        <v>1.0000000488237899</v>
      </c>
    </row>
    <row r="7462" spans="1:40" x14ac:dyDescent="0.25">
      <c r="A7462" t="str">
        <f>"20190304154940617"</f>
        <v>20190304154940617</v>
      </c>
      <c r="B7462" t="str">
        <f>"1551685780614560"</f>
        <v>1551685780614560</v>
      </c>
      <c r="C7462" t="s">
        <v>40</v>
      </c>
      <c r="D7462">
        <v>4.4098470000000001</v>
      </c>
      <c r="E7462">
        <v>0.43494119999999997</v>
      </c>
      <c r="F7462" t="s">
        <v>68</v>
      </c>
      <c r="G7462">
        <v>-196.19649999999999</v>
      </c>
      <c r="H7462" s="1">
        <v>-7.1998640000000002E-6</v>
      </c>
      <c r="I7462">
        <v>-59.426380000000002</v>
      </c>
      <c r="J7462">
        <v>-219.33199999999999</v>
      </c>
      <c r="K7462">
        <v>1.1125700000000001</v>
      </c>
      <c r="L7462">
        <v>-63.167659999999998</v>
      </c>
      <c r="M7462">
        <v>0.99863369999999996</v>
      </c>
      <c r="N7462">
        <v>-1.1586269999999999E-2</v>
      </c>
      <c r="O7462">
        <v>5.0954720000000002E-2</v>
      </c>
      <c r="P7462">
        <v>0.96528320000000001</v>
      </c>
      <c r="Q7462">
        <v>0.178453</v>
      </c>
      <c r="R7462">
        <v>0.1907433</v>
      </c>
      <c r="S7462">
        <v>3.0376889999999999</v>
      </c>
      <c r="T7462">
        <v>-0.1451567</v>
      </c>
      <c r="U7462">
        <v>0.48922729999999998</v>
      </c>
      <c r="V7462">
        <v>-0.1421837</v>
      </c>
      <c r="W7462">
        <v>0.18906719999999999</v>
      </c>
      <c r="X7462">
        <v>0.97161589999999998</v>
      </c>
      <c r="Y7462">
        <v>-0.1083693</v>
      </c>
      <c r="Z7462">
        <v>1.375954E-3</v>
      </c>
      <c r="AA7462">
        <v>0.99410969999999999</v>
      </c>
      <c r="AB7462">
        <v>31</v>
      </c>
      <c r="AC7462">
        <v>23.1355</v>
      </c>
      <c r="AD7462">
        <v>-1.1125771998639999</v>
      </c>
      <c r="AE7462">
        <v>3.7412799999999899</v>
      </c>
      <c r="AF7462">
        <v>-2.5517264049934698</v>
      </c>
      <c r="AG7462">
        <v>-1.1125771998639999</v>
      </c>
      <c r="AH7462">
        <v>23.243707030124899</v>
      </c>
      <c r="AI7462">
        <v>92.724072032930295</v>
      </c>
      <c r="AJ7462">
        <v>96.264922361308905</v>
      </c>
      <c r="AK7462">
        <v>23.409806752168599</v>
      </c>
      <c r="AL7462">
        <v>79.101648304370798</v>
      </c>
      <c r="AM7462">
        <v>98.3254198200313</v>
      </c>
      <c r="AN7462">
        <v>1.00000003389716</v>
      </c>
    </row>
    <row r="7463" spans="1:40" x14ac:dyDescent="0.25">
      <c r="A7463" t="str">
        <f>"20190304154940629"</f>
        <v>20190304154940629</v>
      </c>
      <c r="B7463" t="str">
        <f>"1551685780624319"</f>
        <v>1551685780624319</v>
      </c>
      <c r="C7463" t="s">
        <v>40</v>
      </c>
      <c r="D7463">
        <v>4.251779</v>
      </c>
      <c r="E7463">
        <v>0.42448580000000002</v>
      </c>
      <c r="F7463" t="s">
        <v>68</v>
      </c>
      <c r="G7463">
        <v>-184.66890000000001</v>
      </c>
      <c r="H7463" s="1">
        <v>-2.4192850000000001E-6</v>
      </c>
      <c r="I7463">
        <v>-50.279780000000002</v>
      </c>
      <c r="J7463">
        <v>-219.16239999999999</v>
      </c>
      <c r="K7463">
        <v>1.112598</v>
      </c>
      <c r="L7463">
        <v>-63.157809999999998</v>
      </c>
      <c r="M7463">
        <v>0.99856639999999997</v>
      </c>
      <c r="N7463">
        <v>-1.15992E-2</v>
      </c>
      <c r="O7463">
        <v>5.225515E-2</v>
      </c>
      <c r="P7463">
        <v>0.96490319999999996</v>
      </c>
      <c r="Q7463">
        <v>0.1785214</v>
      </c>
      <c r="R7463">
        <v>0.1925926</v>
      </c>
      <c r="S7463">
        <v>2.9112849999999999</v>
      </c>
      <c r="T7463">
        <v>-9.3442800000000006E-2</v>
      </c>
      <c r="U7463">
        <v>1.0824279999999999</v>
      </c>
      <c r="V7463">
        <v>-0.14279559999999999</v>
      </c>
      <c r="W7463">
        <v>0.1891341</v>
      </c>
      <c r="X7463">
        <v>0.97151310000000002</v>
      </c>
      <c r="Y7463">
        <v>-0.298857599999999</v>
      </c>
      <c r="Z7463">
        <v>5.3997489999999997E-3</v>
      </c>
      <c r="AA7463">
        <v>0.95428250000000003</v>
      </c>
      <c r="AB7463">
        <v>31</v>
      </c>
      <c r="AC7463">
        <v>34.493499999999898</v>
      </c>
      <c r="AD7463">
        <v>-1.1126004192849901</v>
      </c>
      <c r="AE7463">
        <v>12.8780299999999</v>
      </c>
      <c r="AF7463">
        <v>-11.047760911828799</v>
      </c>
      <c r="AG7463">
        <v>-1.1126004192849901</v>
      </c>
      <c r="AH7463">
        <v>35.087316872192801</v>
      </c>
      <c r="AI7463">
        <v>91.732418606919296</v>
      </c>
      <c r="AJ7463">
        <v>107.477379767906</v>
      </c>
      <c r="AK7463">
        <v>36.8023193039188</v>
      </c>
      <c r="AL7463">
        <v>79.097744384798204</v>
      </c>
      <c r="AM7463">
        <v>98.361615778596999</v>
      </c>
      <c r="AN7463">
        <v>0.99999999731688904</v>
      </c>
    </row>
    <row r="7464" spans="1:40" x14ac:dyDescent="0.25">
      <c r="A7464" t="str">
        <f>"20190304154940639"</f>
        <v>20190304154940639</v>
      </c>
      <c r="B7464" t="str">
        <f>"1551685780635054"</f>
        <v>1551685780635054</v>
      </c>
      <c r="C7464" t="s">
        <v>40</v>
      </c>
      <c r="D7464">
        <v>4.2557830000000001</v>
      </c>
      <c r="E7464">
        <v>0.41938639999999999</v>
      </c>
      <c r="F7464" t="s">
        <v>48</v>
      </c>
      <c r="G7464">
        <v>-178.0574</v>
      </c>
      <c r="H7464">
        <v>0.16260829999999901</v>
      </c>
      <c r="I7464">
        <v>-46.509309999999999</v>
      </c>
      <c r="J7464">
        <v>-219.01920000000001</v>
      </c>
      <c r="K7464">
        <v>1.112622</v>
      </c>
      <c r="L7464">
        <v>-63.1492</v>
      </c>
      <c r="M7464">
        <v>0.99850729999999999</v>
      </c>
      <c r="N7464">
        <v>-1.160955E-2</v>
      </c>
      <c r="O7464">
        <v>5.3373299999999999E-2</v>
      </c>
      <c r="P7464">
        <v>0.96454320000000004</v>
      </c>
      <c r="Q7464">
        <v>0.17868989999999901</v>
      </c>
      <c r="R7464">
        <v>0.19423270000000001</v>
      </c>
      <c r="S7464">
        <v>2.8879999999999999</v>
      </c>
      <c r="T7464">
        <v>-6.6745520000000003E-2</v>
      </c>
      <c r="U7464">
        <v>1.169708</v>
      </c>
      <c r="V7464">
        <v>-0.14337369999999999</v>
      </c>
      <c r="W7464">
        <v>0.18929989999999999</v>
      </c>
      <c r="X7464">
        <v>0.97139569999999997</v>
      </c>
      <c r="Y7464">
        <v>-0.32527889999999998</v>
      </c>
      <c r="Z7464">
        <v>4.9908900000000004E-3</v>
      </c>
      <c r="AA7464">
        <v>0.94560500000000003</v>
      </c>
      <c r="AB7464">
        <v>31</v>
      </c>
      <c r="AC7464">
        <v>40.961799999999997</v>
      </c>
      <c r="AD7464">
        <v>-0.95001369999999896</v>
      </c>
      <c r="AE7464">
        <v>16.639890000000001</v>
      </c>
      <c r="AF7464">
        <v>-14.423096101835201</v>
      </c>
      <c r="AG7464">
        <v>-0.95001369999999896</v>
      </c>
      <c r="AH7464">
        <v>41.772305353790202</v>
      </c>
      <c r="AI7464">
        <v>91.231515601302306</v>
      </c>
      <c r="AJ7464">
        <v>109.048713792619</v>
      </c>
      <c r="AK7464">
        <v>44.2024176008875</v>
      </c>
      <c r="AL7464">
        <v>79.088070428462999</v>
      </c>
      <c r="AM7464">
        <v>98.395985984082898</v>
      </c>
      <c r="AN7464">
        <v>1.00000003798509</v>
      </c>
    </row>
    <row r="7465" spans="1:40" x14ac:dyDescent="0.25">
      <c r="A7465" t="str">
        <f>"20190304154940650"</f>
        <v>20190304154940650</v>
      </c>
      <c r="B7465" t="str">
        <f>"1551685780644814"</f>
        <v>1551685780644814</v>
      </c>
      <c r="C7465" t="s">
        <v>40</v>
      </c>
      <c r="D7465">
        <v>4.2886340000000001</v>
      </c>
      <c r="E7465">
        <v>0.41834929999999898</v>
      </c>
      <c r="F7465" t="s">
        <v>71</v>
      </c>
      <c r="G7465">
        <v>-165.68870000000001</v>
      </c>
      <c r="H7465">
        <v>0.160948799999999</v>
      </c>
      <c r="I7465">
        <v>-40.619770000000003</v>
      </c>
      <c r="J7465">
        <v>-218.86269999999999</v>
      </c>
      <c r="K7465">
        <v>1.112649</v>
      </c>
      <c r="L7465">
        <v>-63.139710000000001</v>
      </c>
      <c r="M7465">
        <v>0.99844049999999995</v>
      </c>
      <c r="N7465">
        <v>-1.162062E-2</v>
      </c>
      <c r="O7465">
        <v>5.4603390000000002E-2</v>
      </c>
      <c r="P7465">
        <v>0.96422470000000005</v>
      </c>
      <c r="Q7465">
        <v>0.17859430000000001</v>
      </c>
      <c r="R7465">
        <v>0.1958947</v>
      </c>
      <c r="S7465">
        <v>2.8752140000000002</v>
      </c>
      <c r="T7465">
        <v>-5.130875E-2</v>
      </c>
      <c r="U7465">
        <v>1.2146300000000001</v>
      </c>
      <c r="V7465">
        <v>-0.14386370000000001</v>
      </c>
      <c r="W7465">
        <v>0.18920290000000001</v>
      </c>
      <c r="X7465">
        <v>0.97134209999999999</v>
      </c>
      <c r="Y7465">
        <v>-0.3381866</v>
      </c>
      <c r="Z7465">
        <v>4.6185080000000003E-3</v>
      </c>
      <c r="AA7465">
        <v>0.94106780000000001</v>
      </c>
      <c r="AB7465">
        <v>31</v>
      </c>
      <c r="AC7465">
        <v>53.1739999999999</v>
      </c>
      <c r="AD7465">
        <v>-0.9517002</v>
      </c>
      <c r="AE7465">
        <v>22.519939999999998</v>
      </c>
      <c r="AF7465">
        <v>-19.577344237835199</v>
      </c>
      <c r="AG7465">
        <v>-0.9517002</v>
      </c>
      <c r="AH7465">
        <v>54.309656944419302</v>
      </c>
      <c r="AI7465">
        <v>90.944448099482898</v>
      </c>
      <c r="AJ7465">
        <v>109.823031707908</v>
      </c>
      <c r="AK7465">
        <v>57.738349284491001</v>
      </c>
      <c r="AL7465">
        <v>79.093729854592098</v>
      </c>
      <c r="AM7465">
        <v>98.424727572473998</v>
      </c>
      <c r="AN7465">
        <v>0.99999998838925397</v>
      </c>
    </row>
    <row r="7466" spans="1:40" x14ac:dyDescent="0.25">
      <c r="A7466" t="str">
        <f>"20190304154940661"</f>
        <v>20190304154940661</v>
      </c>
      <c r="B7466" t="str">
        <f>"1551685780654575"</f>
        <v>1551685780654575</v>
      </c>
      <c r="C7466" t="s">
        <v>40</v>
      </c>
      <c r="D7466">
        <v>4.2471870000000003</v>
      </c>
      <c r="E7466">
        <v>0.41764240000000002</v>
      </c>
      <c r="F7466" t="s">
        <v>71</v>
      </c>
      <c r="G7466">
        <v>-166.18770000000001</v>
      </c>
      <c r="H7466">
        <v>0.1076965</v>
      </c>
      <c r="I7466">
        <v>-40.619770000000003</v>
      </c>
      <c r="J7466">
        <v>-218.71100000000001</v>
      </c>
      <c r="K7466">
        <v>1.1126750000000001</v>
      </c>
      <c r="L7466">
        <v>-63.130189999999999</v>
      </c>
      <c r="M7466">
        <v>0.99837290000000001</v>
      </c>
      <c r="N7466">
        <v>-1.1630710000000001E-2</v>
      </c>
      <c r="O7466">
        <v>5.5822579999999997E-2</v>
      </c>
      <c r="P7466">
        <v>0.96395869999999995</v>
      </c>
      <c r="Q7466">
        <v>0.1780784</v>
      </c>
      <c r="R7466">
        <v>0.19766539999999999</v>
      </c>
      <c r="S7466">
        <v>2.8719790000000001</v>
      </c>
      <c r="T7466">
        <v>-5.4793719999999997E-2</v>
      </c>
      <c r="U7466">
        <v>1.2278439999999999</v>
      </c>
      <c r="V7466">
        <v>-0.14446700000000001</v>
      </c>
      <c r="W7466">
        <v>0.18868460000000001</v>
      </c>
      <c r="X7466">
        <v>0.97135340000000003</v>
      </c>
      <c r="Y7466">
        <v>-0.34107349999999997</v>
      </c>
      <c r="Z7466">
        <v>4.791142E-3</v>
      </c>
      <c r="AA7466">
        <v>0.94002439999999998</v>
      </c>
      <c r="AB7466">
        <v>31</v>
      </c>
      <c r="AC7466">
        <v>52.5232999999999</v>
      </c>
      <c r="AD7466">
        <v>-1.0049785</v>
      </c>
      <c r="AE7466">
        <v>22.51042</v>
      </c>
      <c r="AF7466">
        <v>-19.537087464132998</v>
      </c>
      <c r="AG7466">
        <v>-1.0049785</v>
      </c>
      <c r="AH7466">
        <v>53.681460841518401</v>
      </c>
      <c r="AI7466">
        <v>91.007858701293301</v>
      </c>
      <c r="AJ7466">
        <v>109.998712178031</v>
      </c>
      <c r="AK7466">
        <v>57.134989336186301</v>
      </c>
      <c r="AL7466">
        <v>79.123971201587494</v>
      </c>
      <c r="AM7466">
        <v>98.459449952836394</v>
      </c>
      <c r="AN7466">
        <v>1.00000001002886</v>
      </c>
    </row>
    <row r="7467" spans="1:40" x14ac:dyDescent="0.25">
      <c r="A7467" t="str">
        <f>"20190304154940673"</f>
        <v>20190304154940673</v>
      </c>
      <c r="B7467" t="str">
        <f>"1551685780664334"</f>
        <v>1551685780664334</v>
      </c>
      <c r="C7467" t="s">
        <v>40</v>
      </c>
      <c r="D7467">
        <v>4.1237050000000002</v>
      </c>
      <c r="E7467">
        <v>0.41510370000000002</v>
      </c>
      <c r="F7467" t="s">
        <v>71</v>
      </c>
      <c r="G7467">
        <v>-166.5693</v>
      </c>
      <c r="H7467">
        <v>4.8468589999999999E-2</v>
      </c>
      <c r="I7467">
        <v>-40.619770000000003</v>
      </c>
      <c r="J7467">
        <v>-218.5532</v>
      </c>
      <c r="K7467">
        <v>1.112703</v>
      </c>
      <c r="L7467">
        <v>-63.12021</v>
      </c>
      <c r="M7467">
        <v>0.99830090000000005</v>
      </c>
      <c r="N7467">
        <v>-1.1641E-2</v>
      </c>
      <c r="O7467">
        <v>5.7096609999999999E-2</v>
      </c>
      <c r="P7467">
        <v>0.9635686</v>
      </c>
      <c r="Q7467">
        <v>0.177891299999999</v>
      </c>
      <c r="R7467">
        <v>0.19972609999999999</v>
      </c>
      <c r="S7467">
        <v>2.8689879999999999</v>
      </c>
      <c r="T7467">
        <v>-5.8556799999999999E-2</v>
      </c>
      <c r="U7467">
        <v>1.238586</v>
      </c>
      <c r="V7467">
        <v>-0.14531540000000001</v>
      </c>
      <c r="W7467">
        <v>0.1884931</v>
      </c>
      <c r="X7467">
        <v>0.97126400000000002</v>
      </c>
      <c r="Y7467">
        <v>-0.34318799999999999</v>
      </c>
      <c r="Z7467">
        <v>4.9624389999999999E-3</v>
      </c>
      <c r="AA7467">
        <v>0.93925360000000002</v>
      </c>
      <c r="AB7467">
        <v>31</v>
      </c>
      <c r="AC7467">
        <v>51.983899999999998</v>
      </c>
      <c r="AD7467">
        <v>-1.0642344100000001</v>
      </c>
      <c r="AE7467">
        <v>22.500440000000001</v>
      </c>
      <c r="AF7467">
        <v>-19.488544635163599</v>
      </c>
      <c r="AG7467">
        <v>-1.0642344100000001</v>
      </c>
      <c r="AH7467">
        <v>53.165104123475601</v>
      </c>
      <c r="AI7467">
        <v>91.076724458864604</v>
      </c>
      <c r="AJ7467">
        <v>110.131242858148</v>
      </c>
      <c r="AK7467">
        <v>56.634479456742604</v>
      </c>
      <c r="AL7467">
        <v>79.135143558642596</v>
      </c>
      <c r="AM7467">
        <v>98.509175724748502</v>
      </c>
      <c r="AN7467">
        <v>0.99999998596038397</v>
      </c>
    </row>
    <row r="7468" spans="1:40" x14ac:dyDescent="0.25">
      <c r="A7468" t="str">
        <f>"20190304154940683"</f>
        <v>20190304154940683</v>
      </c>
      <c r="B7468" t="str">
        <f>"1551685780675070"</f>
        <v>1551685780675070</v>
      </c>
      <c r="C7468" t="s">
        <v>40</v>
      </c>
      <c r="D7468">
        <v>4.2707110000000004</v>
      </c>
      <c r="E7468">
        <v>0.41504209999999903</v>
      </c>
      <c r="F7468" t="s">
        <v>71</v>
      </c>
      <c r="G7468">
        <v>-167.66309999999999</v>
      </c>
      <c r="H7468">
        <v>0.29995539999999998</v>
      </c>
      <c r="I7468">
        <v>-40.619770000000003</v>
      </c>
      <c r="J7468">
        <v>-218.39660000000001</v>
      </c>
      <c r="K7468">
        <v>1.1127290000000001</v>
      </c>
      <c r="L7468">
        <v>-63.109990000000003</v>
      </c>
      <c r="M7468">
        <v>0.99822619999999895</v>
      </c>
      <c r="N7468">
        <v>-1.1650550000000001E-2</v>
      </c>
      <c r="O7468">
        <v>5.8387920000000003E-2</v>
      </c>
      <c r="P7468">
        <v>0.96316109999999999</v>
      </c>
      <c r="Q7468">
        <v>0.177863299999999</v>
      </c>
      <c r="R7468">
        <v>0.20170660000000001</v>
      </c>
      <c r="S7468">
        <v>2.859756</v>
      </c>
      <c r="T7468">
        <v>-4.5673249999999999E-2</v>
      </c>
      <c r="U7468">
        <v>1.2644040000000001</v>
      </c>
      <c r="V7468">
        <v>-0.146069899999999</v>
      </c>
      <c r="W7468">
        <v>0.1884594</v>
      </c>
      <c r="X7468">
        <v>0.97115739999999995</v>
      </c>
      <c r="Y7468">
        <v>-0.35021190000000002</v>
      </c>
      <c r="Z7468">
        <v>4.5677280000000001E-3</v>
      </c>
      <c r="AA7468">
        <v>0.93665940000000003</v>
      </c>
      <c r="AB7468">
        <v>31</v>
      </c>
      <c r="AC7468">
        <v>50.733499999999999</v>
      </c>
      <c r="AD7468">
        <v>-0.81277359999999998</v>
      </c>
      <c r="AE7468">
        <v>22.490220000000001</v>
      </c>
      <c r="AF7468">
        <v>-19.485242235096901</v>
      </c>
      <c r="AG7468">
        <v>-0.81277359999999998</v>
      </c>
      <c r="AH7468">
        <v>51.949038259308502</v>
      </c>
      <c r="AI7468">
        <v>90.839267176984393</v>
      </c>
      <c r="AJ7468">
        <v>110.560254111259</v>
      </c>
      <c r="AK7468">
        <v>55.489078582657697</v>
      </c>
      <c r="AL7468">
        <v>79.137110129588194</v>
      </c>
      <c r="AM7468">
        <v>98.553629850752699</v>
      </c>
      <c r="AN7468">
        <v>1.00000002835456</v>
      </c>
    </row>
    <row r="7469" spans="1:40" x14ac:dyDescent="0.25">
      <c r="A7469" t="str">
        <f>"20190304154940695"</f>
        <v>20190304154940695</v>
      </c>
      <c r="B7469" t="str">
        <f>"1551685780684567"</f>
        <v>1551685780684567</v>
      </c>
      <c r="C7469" t="s">
        <v>40</v>
      </c>
      <c r="D7469">
        <v>4.2473970000000003</v>
      </c>
      <c r="E7469">
        <v>0.41517809999999999</v>
      </c>
      <c r="F7469" t="s">
        <v>71</v>
      </c>
      <c r="G7469">
        <v>-167.81479999999999</v>
      </c>
      <c r="H7469">
        <v>0.24261089999999999</v>
      </c>
      <c r="I7469">
        <v>-40.619770000000003</v>
      </c>
      <c r="J7469">
        <v>-218.24529999999999</v>
      </c>
      <c r="K7469">
        <v>1.112754</v>
      </c>
      <c r="L7469">
        <v>-63.099910000000001</v>
      </c>
      <c r="M7469">
        <v>0.99815149999999997</v>
      </c>
      <c r="N7469">
        <v>-1.165951E-2</v>
      </c>
      <c r="O7469">
        <v>5.9643700000000001E-2</v>
      </c>
      <c r="P7469">
        <v>0.9627945</v>
      </c>
      <c r="Q7469">
        <v>0.17752860000000001</v>
      </c>
      <c r="R7469">
        <v>0.2037409</v>
      </c>
      <c r="S7469">
        <v>2.8577270000000001</v>
      </c>
      <c r="T7469">
        <v>-4.9160240000000001E-2</v>
      </c>
      <c r="U7469">
        <v>1.2706299999999999</v>
      </c>
      <c r="V7469">
        <v>-0.14690799999999901</v>
      </c>
      <c r="W7469">
        <v>0.18811939999999999</v>
      </c>
      <c r="X7469">
        <v>0.97109690000000004</v>
      </c>
      <c r="Y7469">
        <v>-0.35097620000000002</v>
      </c>
      <c r="Z7469">
        <v>4.7117249999999999E-3</v>
      </c>
      <c r="AA7469">
        <v>0.93637250000000005</v>
      </c>
      <c r="AB7469">
        <v>31</v>
      </c>
      <c r="AC7469">
        <v>50.430500000000002</v>
      </c>
      <c r="AD7469">
        <v>-0.87014309999999995</v>
      </c>
      <c r="AE7469">
        <v>22.480139999999899</v>
      </c>
      <c r="AF7469">
        <v>-19.427222383991399</v>
      </c>
      <c r="AG7469">
        <v>-0.87014309999999995</v>
      </c>
      <c r="AH7469">
        <v>51.668765429744198</v>
      </c>
      <c r="AI7469">
        <v>90.903099368936694</v>
      </c>
      <c r="AJ7469">
        <v>110.606033836295</v>
      </c>
      <c r="AK7469">
        <v>55.2072045987249</v>
      </c>
      <c r="AL7469">
        <v>79.156945486122794</v>
      </c>
      <c r="AM7469">
        <v>98.602503486011997</v>
      </c>
      <c r="AN7469">
        <v>1.00000002915498</v>
      </c>
    </row>
    <row r="7470" spans="1:40" x14ac:dyDescent="0.25">
      <c r="A7470" t="str">
        <f>"20190304154940706"</f>
        <v>20190304154940706</v>
      </c>
      <c r="B7470" t="str">
        <f>"1551685780694326"</f>
        <v>1551685780694326</v>
      </c>
      <c r="C7470" t="s">
        <v>40</v>
      </c>
      <c r="D7470">
        <v>4.2495640000000003</v>
      </c>
      <c r="E7470">
        <v>0.41510229999999998</v>
      </c>
      <c r="F7470" t="s">
        <v>71</v>
      </c>
      <c r="G7470">
        <v>-167.91220000000001</v>
      </c>
      <c r="H7470">
        <v>0.1586428</v>
      </c>
      <c r="I7470">
        <v>-40.619770000000003</v>
      </c>
      <c r="J7470">
        <v>-218.08629999999999</v>
      </c>
      <c r="K7470">
        <v>1.112781</v>
      </c>
      <c r="L7470">
        <v>-63.08914</v>
      </c>
      <c r="M7470">
        <v>0.99807080000000004</v>
      </c>
      <c r="N7470">
        <v>-1.166847E-2</v>
      </c>
      <c r="O7470">
        <v>6.0980300000000001E-2</v>
      </c>
      <c r="P7470">
        <v>0.9622387</v>
      </c>
      <c r="Q7470">
        <v>0.17796129999999999</v>
      </c>
      <c r="R7470">
        <v>0.20597689999999999</v>
      </c>
      <c r="S7470">
        <v>2.8560180000000002</v>
      </c>
      <c r="T7470">
        <v>-5.4139609999999998E-2</v>
      </c>
      <c r="U7470">
        <v>1.275574</v>
      </c>
      <c r="V7470">
        <v>-0.14788479999999901</v>
      </c>
      <c r="W7470">
        <v>0.18854409999999999</v>
      </c>
      <c r="X7470">
        <v>0.97086620000000001</v>
      </c>
      <c r="Y7470">
        <v>-0.35127029999999998</v>
      </c>
      <c r="Z7470">
        <v>4.9034179999999997E-3</v>
      </c>
      <c r="AA7470">
        <v>0.93626120000000002</v>
      </c>
      <c r="AB7470">
        <v>31</v>
      </c>
      <c r="AC7470">
        <v>50.174099999999903</v>
      </c>
      <c r="AD7470">
        <v>-0.95413819999999905</v>
      </c>
      <c r="AE7470">
        <v>22.469370000000001</v>
      </c>
      <c r="AF7470">
        <v>-19.361876081054699</v>
      </c>
      <c r="AG7470">
        <v>-0.95413819999999905</v>
      </c>
      <c r="AH7470">
        <v>51.435500547399798</v>
      </c>
      <c r="AI7470">
        <v>90.994606688525295</v>
      </c>
      <c r="AJ7470">
        <v>110.62785341942001</v>
      </c>
      <c r="AK7470">
        <v>54.967293381104199</v>
      </c>
      <c r="AL7470">
        <v>79.132168112690294</v>
      </c>
      <c r="AM7470">
        <v>98.660864248305899</v>
      </c>
      <c r="AN7470">
        <v>0.999999985009144</v>
      </c>
    </row>
    <row r="7471" spans="1:40" x14ac:dyDescent="0.25">
      <c r="A7471" t="str">
        <f>"20190304154940716"</f>
        <v>20190304154940716</v>
      </c>
      <c r="B7471" t="str">
        <f>"1551685780714822"</f>
        <v>1551685780714822</v>
      </c>
      <c r="C7471" t="s">
        <v>40</v>
      </c>
      <c r="D7471">
        <v>4.252319</v>
      </c>
      <c r="E7471">
        <v>0.41536139999999999</v>
      </c>
      <c r="F7471" t="s">
        <v>71</v>
      </c>
      <c r="G7471">
        <v>-168.0985</v>
      </c>
      <c r="H7471">
        <v>0.1509132</v>
      </c>
      <c r="I7471">
        <v>-40.619770000000003</v>
      </c>
      <c r="J7471">
        <v>-217.93969999999999</v>
      </c>
      <c r="K7471">
        <v>1.1128049999999901</v>
      </c>
      <c r="L7471">
        <v>-63.078980000000001</v>
      </c>
      <c r="M7471">
        <v>0.99799380000000004</v>
      </c>
      <c r="N7471">
        <v>-1.167762E-2</v>
      </c>
      <c r="O7471">
        <v>6.222569E-2</v>
      </c>
      <c r="P7471">
        <v>0.9618101</v>
      </c>
      <c r="Q7471">
        <v>0.17811459999999901</v>
      </c>
      <c r="R7471">
        <v>0.2078381</v>
      </c>
      <c r="S7471">
        <v>2.8533330000000001</v>
      </c>
      <c r="T7471">
        <v>-5.4905059999999999E-2</v>
      </c>
      <c r="U7471">
        <v>1.282562</v>
      </c>
      <c r="V7471">
        <v>-0.148566</v>
      </c>
      <c r="W7471">
        <v>0.18869250000000001</v>
      </c>
      <c r="X7471">
        <v>0.97073330000000002</v>
      </c>
      <c r="Y7471">
        <v>-0.35233700000000001</v>
      </c>
      <c r="Z7471">
        <v>4.9442000000000002E-3</v>
      </c>
      <c r="AA7471">
        <v>0.93586009999999997</v>
      </c>
      <c r="AB7471">
        <v>31</v>
      </c>
      <c r="AC7471">
        <v>49.841199999999901</v>
      </c>
      <c r="AD7471">
        <v>-0.96189179999999996</v>
      </c>
      <c r="AE7471">
        <v>22.459209999999999</v>
      </c>
      <c r="AF7471">
        <v>-19.308088307199899</v>
      </c>
      <c r="AG7471">
        <v>-0.96189179999999996</v>
      </c>
      <c r="AH7471">
        <v>51.126406528319301</v>
      </c>
      <c r="AI7471">
        <v>91.008340850782901</v>
      </c>
      <c r="AJ7471">
        <v>110.689240708464</v>
      </c>
      <c r="AK7471">
        <v>54.659280588135303</v>
      </c>
      <c r="AL7471">
        <v>79.123509380454095</v>
      </c>
      <c r="AM7471">
        <v>98.701322514599497</v>
      </c>
      <c r="AN7471">
        <v>0.99999992782056701</v>
      </c>
    </row>
    <row r="7472" spans="1:40" x14ac:dyDescent="0.25">
      <c r="A7472" t="str">
        <f>"20190304154940729"</f>
        <v>20190304154940729</v>
      </c>
      <c r="B7472" t="str">
        <f>"1551685780724581"</f>
        <v>1551685780724581</v>
      </c>
      <c r="C7472" t="s">
        <v>40</v>
      </c>
      <c r="D7472">
        <v>4.2292889999999996</v>
      </c>
      <c r="E7472">
        <v>0.41548639999999998</v>
      </c>
      <c r="F7472" t="s">
        <v>71</v>
      </c>
      <c r="G7472">
        <v>-168.1206</v>
      </c>
      <c r="H7472">
        <v>7.1534159999999999E-2</v>
      </c>
      <c r="I7472">
        <v>-40.619770000000003</v>
      </c>
      <c r="J7472">
        <v>-217.77199999999999</v>
      </c>
      <c r="K7472">
        <v>1.112832</v>
      </c>
      <c r="L7472">
        <v>-63.067169999999997</v>
      </c>
      <c r="M7472">
        <v>0.99790319999999999</v>
      </c>
      <c r="N7472">
        <v>-1.168901E-2</v>
      </c>
      <c r="O7472">
        <v>6.3661750000000003E-2</v>
      </c>
      <c r="P7472">
        <v>0.96113059999999995</v>
      </c>
      <c r="Q7472">
        <v>0.17847639999999901</v>
      </c>
      <c r="R7472">
        <v>0.2106518</v>
      </c>
      <c r="S7472">
        <v>2.8522949999999998</v>
      </c>
      <c r="T7472">
        <v>-5.9617160000000002E-2</v>
      </c>
      <c r="U7472">
        <v>1.2858579999999999</v>
      </c>
      <c r="V7472">
        <v>-0.1500311</v>
      </c>
      <c r="W7472">
        <v>0.18904509999999999</v>
      </c>
      <c r="X7472">
        <v>0.97043939999999995</v>
      </c>
      <c r="Y7472">
        <v>-0.3520047</v>
      </c>
      <c r="Z7472">
        <v>5.1098559999999899E-3</v>
      </c>
      <c r="AA7472">
        <v>0.93598429999999999</v>
      </c>
      <c r="AB7472">
        <v>31</v>
      </c>
      <c r="AC7472">
        <v>49.651400000000002</v>
      </c>
      <c r="AD7472">
        <v>-1.0412978399999999</v>
      </c>
      <c r="AE7472">
        <v>22.447399999999899</v>
      </c>
      <c r="AF7472">
        <v>-19.233725444295001</v>
      </c>
      <c r="AG7472">
        <v>-1.0412978399999999</v>
      </c>
      <c r="AH7472">
        <v>50.961197780449801</v>
      </c>
      <c r="AI7472">
        <v>91.095184788198907</v>
      </c>
      <c r="AJ7472">
        <v>110.677460605032</v>
      </c>
      <c r="AK7472">
        <v>54.479942867776899</v>
      </c>
      <c r="AL7472">
        <v>79.1029374759311</v>
      </c>
      <c r="AM7472">
        <v>98.788418408559096</v>
      </c>
      <c r="AN7472">
        <v>1.0000000049367801</v>
      </c>
    </row>
    <row r="7473" spans="1:40" x14ac:dyDescent="0.25">
      <c r="A7473" t="str">
        <f>"20190304154940741"</f>
        <v>20190304154940741</v>
      </c>
      <c r="B7473" t="str">
        <f>"1551685780734342"</f>
        <v>1551685780734342</v>
      </c>
      <c r="C7473" t="s">
        <v>40</v>
      </c>
      <c r="D7473">
        <v>4.2632789999999998</v>
      </c>
      <c r="E7473">
        <v>0.41560000000000002</v>
      </c>
      <c r="F7473" t="s">
        <v>71</v>
      </c>
      <c r="G7473">
        <v>-168.31010000000001</v>
      </c>
      <c r="H7473">
        <v>5.8346750000000003E-2</v>
      </c>
      <c r="I7473">
        <v>-40.619770000000003</v>
      </c>
      <c r="J7473">
        <v>-217.61619999999999</v>
      </c>
      <c r="K7473">
        <v>1.112857</v>
      </c>
      <c r="L7473">
        <v>-63.055880000000002</v>
      </c>
      <c r="M7473">
        <v>0.99781569999999997</v>
      </c>
      <c r="N7473">
        <v>-1.1700439999999999E-2</v>
      </c>
      <c r="O7473">
        <v>6.5016679999999993E-2</v>
      </c>
      <c r="P7473">
        <v>0.96051359999999997</v>
      </c>
      <c r="Q7473">
        <v>0.17898</v>
      </c>
      <c r="R7473">
        <v>0.2130254</v>
      </c>
      <c r="S7473">
        <v>2.8492130000000002</v>
      </c>
      <c r="T7473">
        <v>-6.0743810000000002E-2</v>
      </c>
      <c r="U7473">
        <v>1.2930600000000001</v>
      </c>
      <c r="V7473">
        <v>-0.15113289999999999</v>
      </c>
      <c r="W7473">
        <v>0.18954190000000001</v>
      </c>
      <c r="X7473">
        <v>0.97017149999999996</v>
      </c>
      <c r="Y7473">
        <v>-0.35307319999999998</v>
      </c>
      <c r="Z7473">
        <v>5.1623299999999997E-3</v>
      </c>
      <c r="AA7473">
        <v>0.93558140000000001</v>
      </c>
      <c r="AB7473">
        <v>31</v>
      </c>
      <c r="AC7473">
        <v>49.306100000000001</v>
      </c>
      <c r="AD7473">
        <v>-1.0545102500000001</v>
      </c>
      <c r="AE7473">
        <v>22.436109999999999</v>
      </c>
      <c r="AF7473">
        <v>-19.1754283186165</v>
      </c>
      <c r="AG7473">
        <v>-1.0545102500000001</v>
      </c>
      <c r="AH7473">
        <v>50.6413937180373</v>
      </c>
      <c r="AI7473">
        <v>91.115624935724696</v>
      </c>
      <c r="AJ7473">
        <v>110.73923524924299</v>
      </c>
      <c r="AK7473">
        <v>54.1605003741197</v>
      </c>
      <c r="AL7473">
        <v>79.073948915996993</v>
      </c>
      <c r="AM7473">
        <v>98.854346028307901</v>
      </c>
      <c r="AN7473">
        <v>1.00000001236513</v>
      </c>
    </row>
    <row r="7474" spans="1:40" x14ac:dyDescent="0.25">
      <c r="A7474" t="str">
        <f>"20190304154940751"</f>
        <v>20190304154940751</v>
      </c>
      <c r="B7474" t="str">
        <f>"1551685780745078"</f>
        <v>1551685780745078</v>
      </c>
      <c r="C7474" t="s">
        <v>40</v>
      </c>
      <c r="D7474">
        <v>4.2391300000000003</v>
      </c>
      <c r="E7474">
        <v>0.41564420000000002</v>
      </c>
      <c r="F7474" t="s">
        <v>71</v>
      </c>
      <c r="G7474">
        <v>-168.45060000000001</v>
      </c>
      <c r="H7474">
        <v>5.36499E-2</v>
      </c>
      <c r="I7474">
        <v>-40.618519999999997</v>
      </c>
      <c r="J7474">
        <v>-217.4599</v>
      </c>
      <c r="K7474">
        <v>1.1128819999999999</v>
      </c>
      <c r="L7474">
        <v>-63.044460000000001</v>
      </c>
      <c r="M7474">
        <v>0.99772559999999999</v>
      </c>
      <c r="N7474">
        <v>-1.171209E-2</v>
      </c>
      <c r="O7474">
        <v>6.6382040000000003E-2</v>
      </c>
      <c r="P7474">
        <v>0.95988180000000001</v>
      </c>
      <c r="Q7474">
        <v>0.17921409999999999</v>
      </c>
      <c r="R7474">
        <v>0.21566099999999999</v>
      </c>
      <c r="S7474">
        <v>2.8466490000000002</v>
      </c>
      <c r="T7474">
        <v>-6.1328290000000001E-2</v>
      </c>
      <c r="U7474">
        <v>1.2991029999999999</v>
      </c>
      <c r="V7474">
        <v>-0.15248610000000001</v>
      </c>
      <c r="W7474">
        <v>0.18976860000000001</v>
      </c>
      <c r="X7474">
        <v>0.96991539999999998</v>
      </c>
      <c r="Y7474">
        <v>-0.35375309999999999</v>
      </c>
      <c r="Z7474">
        <v>5.1873919999999999E-3</v>
      </c>
      <c r="AA7474">
        <v>0.9353245</v>
      </c>
      <c r="AB7474">
        <v>31</v>
      </c>
      <c r="AC7474">
        <v>49.009300000000003</v>
      </c>
      <c r="AD7474">
        <v>-1.0592321</v>
      </c>
      <c r="AE7474">
        <v>22.425940000000001</v>
      </c>
      <c r="AF7474">
        <v>-19.115524346788899</v>
      </c>
      <c r="AG7474">
        <v>-1.0592321</v>
      </c>
      <c r="AH7474">
        <v>50.370510762066601</v>
      </c>
      <c r="AI7474">
        <v>91.1263279174091</v>
      </c>
      <c r="AJ7474">
        <v>110.78166974369</v>
      </c>
      <c r="AK7474">
        <v>53.886116933082299</v>
      </c>
      <c r="AL7474">
        <v>79.060719813827006</v>
      </c>
      <c r="AM7474">
        <v>98.934672948450697</v>
      </c>
      <c r="AN7474">
        <v>1.0000000076981601</v>
      </c>
    </row>
    <row r="7475" spans="1:40" x14ac:dyDescent="0.25">
      <c r="A7475" t="str">
        <f>"20190304154940761"</f>
        <v>20190304154940761</v>
      </c>
      <c r="B7475" t="str">
        <f>"1551685780754838"</f>
        <v>1551685780754838</v>
      </c>
      <c r="C7475" t="s">
        <v>40</v>
      </c>
      <c r="D7475">
        <v>4.2671140000000003</v>
      </c>
      <c r="E7475">
        <v>0.41571209999999997</v>
      </c>
      <c r="F7475" t="s">
        <v>45</v>
      </c>
      <c r="G7475">
        <v>-164.3329</v>
      </c>
      <c r="H7475">
        <v>-0.05</v>
      </c>
      <c r="I7475">
        <v>-38.644170000000003</v>
      </c>
      <c r="J7475">
        <v>-217.31180000000001</v>
      </c>
      <c r="K7475">
        <v>1.112908</v>
      </c>
      <c r="L7475">
        <v>-63.033259999999999</v>
      </c>
      <c r="M7475">
        <v>0.99763679999999999</v>
      </c>
      <c r="N7475">
        <v>-1.1722979999999999E-2</v>
      </c>
      <c r="O7475">
        <v>6.7699819999999994E-2</v>
      </c>
      <c r="P7475">
        <v>0.95922070000000004</v>
      </c>
      <c r="Q7475">
        <v>0.17944879999999999</v>
      </c>
      <c r="R7475">
        <v>0.21838830000000001</v>
      </c>
      <c r="S7475">
        <v>2.8435670000000002</v>
      </c>
      <c r="T7475">
        <v>-6.2242029999999997E-2</v>
      </c>
      <c r="U7475">
        <v>1.306</v>
      </c>
      <c r="V7475">
        <v>-0.15397930000000001</v>
      </c>
      <c r="W7475">
        <v>0.1899942</v>
      </c>
      <c r="X7475">
        <v>0.96963529999999998</v>
      </c>
      <c r="Y7475">
        <v>-0.35477249999999999</v>
      </c>
      <c r="Z7475">
        <v>5.2304229999999997E-3</v>
      </c>
      <c r="AA7475">
        <v>0.93493800000000005</v>
      </c>
      <c r="AB7475">
        <v>31</v>
      </c>
      <c r="AC7475">
        <v>52.978900000000003</v>
      </c>
      <c r="AD7475">
        <v>-1.1629080000000001</v>
      </c>
      <c r="AE7475">
        <v>24.389089999999999</v>
      </c>
      <c r="AF7475">
        <v>-20.737973875091299</v>
      </c>
      <c r="AG7475">
        <v>-1.1629080000000001</v>
      </c>
      <c r="AH7475">
        <v>54.486924099780097</v>
      </c>
      <c r="AI7475">
        <v>91.142725568921193</v>
      </c>
      <c r="AJ7475">
        <v>110.83705489851</v>
      </c>
      <c r="AK7475">
        <v>58.311583869036099</v>
      </c>
      <c r="AL7475">
        <v>79.047554481031</v>
      </c>
      <c r="AM7475">
        <v>99.023295646894795</v>
      </c>
      <c r="AN7475">
        <v>1.0000000179341</v>
      </c>
    </row>
    <row r="7476" spans="1:40" x14ac:dyDescent="0.25">
      <c r="A7476" t="str">
        <f>"20190304154940773"</f>
        <v>20190304154940773</v>
      </c>
      <c r="B7476" t="str">
        <f>"1551685780764598"</f>
        <v>1551685780764598</v>
      </c>
      <c r="C7476" t="s">
        <v>40</v>
      </c>
      <c r="D7476">
        <v>4.2475899999999998</v>
      </c>
      <c r="E7476">
        <v>0.41489930000000003</v>
      </c>
      <c r="F7476" t="s">
        <v>45</v>
      </c>
      <c r="G7476">
        <v>-165.0686</v>
      </c>
      <c r="H7476">
        <v>-0.05</v>
      </c>
      <c r="I7476">
        <v>-38.88214</v>
      </c>
      <c r="J7476">
        <v>-217.15700000000001</v>
      </c>
      <c r="K7476">
        <v>1.1129359999999999</v>
      </c>
      <c r="L7476">
        <v>-63.021509999999999</v>
      </c>
      <c r="M7476">
        <v>0.99754209999999999</v>
      </c>
      <c r="N7476">
        <v>-1.173419E-2</v>
      </c>
      <c r="O7476">
        <v>6.9080730000000007E-2</v>
      </c>
      <c r="P7476">
        <v>0.9584916</v>
      </c>
      <c r="Q7476">
        <v>0.1797792</v>
      </c>
      <c r="R7476">
        <v>0.22129940000000001</v>
      </c>
      <c r="S7476">
        <v>2.8404240000000001</v>
      </c>
      <c r="T7476">
        <v>-6.3226459999999998E-2</v>
      </c>
      <c r="U7476">
        <v>1.31308</v>
      </c>
      <c r="V7476">
        <v>-0.15560099999999999</v>
      </c>
      <c r="W7476">
        <v>0.19031390000000001</v>
      </c>
      <c r="X7476">
        <v>0.96931369999999895</v>
      </c>
      <c r="Y7476">
        <v>-0.35578929999999998</v>
      </c>
      <c r="Z7476">
        <v>5.2750660000000001E-3</v>
      </c>
      <c r="AA7476">
        <v>0.93455129999999997</v>
      </c>
      <c r="AB7476">
        <v>31</v>
      </c>
      <c r="AC7476">
        <v>52.0884</v>
      </c>
      <c r="AD7476">
        <v>-1.162936</v>
      </c>
      <c r="AE7476">
        <v>24.13937</v>
      </c>
      <c r="AF7476">
        <v>-20.474741094796599</v>
      </c>
      <c r="AG7476">
        <v>-1.162936</v>
      </c>
      <c r="AH7476">
        <v>53.6096297253982</v>
      </c>
      <c r="AI7476">
        <v>91.1609391699958</v>
      </c>
      <c r="AJ7476">
        <v>110.902997943313</v>
      </c>
      <c r="AK7476">
        <v>57.398256439837503</v>
      </c>
      <c r="AL7476">
        <v>79.028896953989701</v>
      </c>
      <c r="AM7476">
        <v>99.1197145085427</v>
      </c>
      <c r="AN7476">
        <v>1.0000000503709401</v>
      </c>
    </row>
    <row r="7477" spans="1:40" x14ac:dyDescent="0.25">
      <c r="A7477" t="str">
        <f>"20190304154940783"</f>
        <v>20190304154940783</v>
      </c>
      <c r="B7477" t="str">
        <f>"1551685780774358"</f>
        <v>1551685780774358</v>
      </c>
      <c r="C7477" t="s">
        <v>40</v>
      </c>
      <c r="D7477">
        <v>4.2283949999999999</v>
      </c>
      <c r="E7477">
        <v>0.4149891</v>
      </c>
      <c r="F7477" t="s">
        <v>71</v>
      </c>
      <c r="G7477">
        <v>-168.45060000000001</v>
      </c>
      <c r="H7477">
        <v>0.1040001</v>
      </c>
      <c r="I7477">
        <v>-40.206119999999999</v>
      </c>
      <c r="J7477">
        <v>-217.0078</v>
      </c>
      <c r="K7477">
        <v>1.112962</v>
      </c>
      <c r="L7477">
        <v>-63.009830000000001</v>
      </c>
      <c r="M7477">
        <v>0.99744739999999998</v>
      </c>
      <c r="N7477">
        <v>-1.174445E-2</v>
      </c>
      <c r="O7477">
        <v>7.0431899999999895E-2</v>
      </c>
      <c r="P7477">
        <v>0.95783629999999997</v>
      </c>
      <c r="Q7477">
        <v>0.18020169999999999</v>
      </c>
      <c r="R7477">
        <v>0.2237789</v>
      </c>
      <c r="S7477">
        <v>2.834381</v>
      </c>
      <c r="T7477">
        <v>-5.8714269999999999E-2</v>
      </c>
      <c r="U7477">
        <v>1.327698</v>
      </c>
      <c r="V7477">
        <v>-0.15681789999999901</v>
      </c>
      <c r="W7477">
        <v>0.19072819999999999</v>
      </c>
      <c r="X7477">
        <v>0.96903600000000001</v>
      </c>
      <c r="Y7477">
        <v>-0.35925099999999999</v>
      </c>
      <c r="Z7477">
        <v>5.1605619999999996E-3</v>
      </c>
      <c r="AA7477">
        <v>0.93322669999999996</v>
      </c>
      <c r="AB7477">
        <v>31</v>
      </c>
      <c r="AC7477">
        <v>48.557200000000002</v>
      </c>
      <c r="AD7477">
        <v>-1.0089619000000001</v>
      </c>
      <c r="AE7477">
        <v>22.803709999999999</v>
      </c>
      <c r="AF7477">
        <v>-19.3200249861295</v>
      </c>
      <c r="AG7477">
        <v>-1.0089619000000001</v>
      </c>
      <c r="AH7477">
        <v>50.025119367502498</v>
      </c>
      <c r="AI7477">
        <v>91.077875595437504</v>
      </c>
      <c r="AJ7477">
        <v>111.11688362014399</v>
      </c>
      <c r="AK7477">
        <v>53.635752416771403</v>
      </c>
      <c r="AL7477">
        <v>79.004715113005403</v>
      </c>
      <c r="AM7477">
        <v>99.192412813969398</v>
      </c>
      <c r="AN7477">
        <v>0.99999993466582204</v>
      </c>
    </row>
    <row r="7478" spans="1:40" x14ac:dyDescent="0.25">
      <c r="A7478" t="str">
        <f>"20190304154940795"</f>
        <v>20190304154940795</v>
      </c>
      <c r="B7478" t="str">
        <f>"1551685780784716"</f>
        <v>1551685780784716</v>
      </c>
      <c r="C7478" t="s">
        <v>40</v>
      </c>
      <c r="D7478">
        <v>4.2404000000000002</v>
      </c>
      <c r="E7478">
        <v>0.41510249999999999</v>
      </c>
      <c r="F7478" t="s">
        <v>71</v>
      </c>
      <c r="G7478">
        <v>-168.45060000000001</v>
      </c>
      <c r="H7478">
        <v>0.1054668</v>
      </c>
      <c r="I7478">
        <v>-40.129350000000002</v>
      </c>
      <c r="J7478">
        <v>-216.8502</v>
      </c>
      <c r="K7478">
        <v>1.1129910000000001</v>
      </c>
      <c r="L7478">
        <v>-62.99738</v>
      </c>
      <c r="M7478">
        <v>0.99734500000000004</v>
      </c>
      <c r="N7478">
        <v>-1.175503E-2</v>
      </c>
      <c r="O7478">
        <v>7.1868009999999996E-2</v>
      </c>
      <c r="P7478">
        <v>0.95719149999999997</v>
      </c>
      <c r="Q7478">
        <v>0.180258</v>
      </c>
      <c r="R7478">
        <v>0.22647709999999999</v>
      </c>
      <c r="S7478">
        <v>2.8313899999999999</v>
      </c>
      <c r="T7478">
        <v>-5.8748479999999999E-2</v>
      </c>
      <c r="U7478">
        <v>1.3341670000000001</v>
      </c>
      <c r="V7478">
        <v>-0.1581688</v>
      </c>
      <c r="W7478">
        <v>0.190775</v>
      </c>
      <c r="X7478">
        <v>0.96880730000000004</v>
      </c>
      <c r="Y7478">
        <v>-0.36003180000000001</v>
      </c>
      <c r="Z7478">
        <v>5.1670220000000003E-3</v>
      </c>
      <c r="AA7478">
        <v>0.93292569999999997</v>
      </c>
      <c r="AB7478">
        <v>31</v>
      </c>
      <c r="AC7478">
        <v>48.3995999999999</v>
      </c>
      <c r="AD7478">
        <v>-1.0075242</v>
      </c>
      <c r="AE7478">
        <v>22.868030000000001</v>
      </c>
      <c r="AF7478">
        <v>-19.3234202901061</v>
      </c>
      <c r="AG7478">
        <v>-1.0075242</v>
      </c>
      <c r="AH7478">
        <v>49.900344415774398</v>
      </c>
      <c r="AI7478">
        <v>91.078655700705099</v>
      </c>
      <c r="AJ7478">
        <v>111.16840719912599</v>
      </c>
      <c r="AK7478">
        <v>53.520594629867297</v>
      </c>
      <c r="AL7478">
        <v>79.001984544304904</v>
      </c>
      <c r="AM7478">
        <v>99.272381702305395</v>
      </c>
      <c r="AN7478">
        <v>1.00000002722586</v>
      </c>
    </row>
    <row r="7479" spans="1:40" x14ac:dyDescent="0.25">
      <c r="A7479" t="str">
        <f>"20190304154940807"</f>
        <v>20190304154940807</v>
      </c>
      <c r="B7479" t="str">
        <f>"1551685780804236"</f>
        <v>1551685780804236</v>
      </c>
      <c r="C7479" t="s">
        <v>40</v>
      </c>
      <c r="D7479">
        <v>4.2067540000000001</v>
      </c>
      <c r="E7479">
        <v>0.41481479999999998</v>
      </c>
      <c r="F7479" t="s">
        <v>71</v>
      </c>
      <c r="G7479">
        <v>-168.45060000000001</v>
      </c>
      <c r="H7479">
        <v>8.8706019999999997E-2</v>
      </c>
      <c r="I7479">
        <v>-40.043419999999998</v>
      </c>
      <c r="J7479">
        <v>-216.6857</v>
      </c>
      <c r="K7479">
        <v>1.113019</v>
      </c>
      <c r="L7479">
        <v>-62.98404</v>
      </c>
      <c r="M7479">
        <v>0.99723430000000002</v>
      </c>
      <c r="N7479">
        <v>-1.1765650000000001E-2</v>
      </c>
      <c r="O7479">
        <v>7.3385430000000001E-2</v>
      </c>
      <c r="P7479">
        <v>0.95647349999999998</v>
      </c>
      <c r="Q7479">
        <v>0.18050930000000001</v>
      </c>
      <c r="R7479">
        <v>0.22929240000000001</v>
      </c>
      <c r="S7479">
        <v>2.8280940000000001</v>
      </c>
      <c r="T7479">
        <v>-5.9852240000000001E-2</v>
      </c>
      <c r="U7479">
        <v>1.341248</v>
      </c>
      <c r="V7479">
        <v>-0.15956500000000001</v>
      </c>
      <c r="W7479">
        <v>0.19101509999999999</v>
      </c>
      <c r="X7479">
        <v>0.96853100000000003</v>
      </c>
      <c r="Y7479">
        <v>-0.3609366</v>
      </c>
      <c r="Z7479">
        <v>5.2135609999999898E-3</v>
      </c>
      <c r="AA7479">
        <v>0.93257579999999995</v>
      </c>
      <c r="AB7479">
        <v>31</v>
      </c>
      <c r="AC7479">
        <v>48.235099999999903</v>
      </c>
      <c r="AD7479">
        <v>-1.0243129799999999</v>
      </c>
      <c r="AE7479">
        <v>22.940619999999999</v>
      </c>
      <c r="AF7479">
        <v>-19.331647531212699</v>
      </c>
      <c r="AG7479">
        <v>-1.0243129799999999</v>
      </c>
      <c r="AH7479">
        <v>49.770343022864402</v>
      </c>
      <c r="AI7479">
        <v>91.099053135488006</v>
      </c>
      <c r="AJ7479">
        <v>111.227016537024</v>
      </c>
      <c r="AK7479">
        <v>53.402704594108599</v>
      </c>
      <c r="AL7479">
        <v>78.9879701153436</v>
      </c>
      <c r="AM7479">
        <v>99.355412450989803</v>
      </c>
      <c r="AN7479">
        <v>1.000000027807</v>
      </c>
    </row>
    <row r="7480" spans="1:40" x14ac:dyDescent="0.25">
      <c r="A7480" t="str">
        <f>"20190304154940818"</f>
        <v>20190304154940818</v>
      </c>
      <c r="B7480" t="str">
        <f>"1551685780814972"</f>
        <v>1551685780814972</v>
      </c>
      <c r="C7480" t="s">
        <v>40</v>
      </c>
      <c r="D7480">
        <v>4.236872</v>
      </c>
      <c r="E7480">
        <v>0.41441800000000001</v>
      </c>
      <c r="F7480" t="s">
        <v>71</v>
      </c>
      <c r="G7480">
        <v>-168.45060000000001</v>
      </c>
      <c r="H7480">
        <v>0.1187763</v>
      </c>
      <c r="I7480">
        <v>-39.891300000000001</v>
      </c>
      <c r="J7480">
        <v>-216.53309999999999</v>
      </c>
      <c r="K7480">
        <v>1.1130469999999999</v>
      </c>
      <c r="L7480">
        <v>-62.971440000000001</v>
      </c>
      <c r="M7480">
        <v>0.99712809999999996</v>
      </c>
      <c r="N7480">
        <v>-1.177509E-2</v>
      </c>
      <c r="O7480">
        <v>7.4812980000000001E-2</v>
      </c>
      <c r="P7480">
        <v>0.95574530000000002</v>
      </c>
      <c r="Q7480">
        <v>0.18092279999999999</v>
      </c>
      <c r="R7480">
        <v>0.2319871</v>
      </c>
      <c r="S7480">
        <v>2.8234710000000001</v>
      </c>
      <c r="T7480">
        <v>-5.8199760000000003E-2</v>
      </c>
      <c r="U7480">
        <v>1.3517459999999999</v>
      </c>
      <c r="V7480">
        <v>-0.160931399999999</v>
      </c>
      <c r="W7480">
        <v>0.1914167</v>
      </c>
      <c r="X7480">
        <v>0.96822549999999996</v>
      </c>
      <c r="Y7480">
        <v>-0.36302040000000002</v>
      </c>
      <c r="Z7480">
        <v>5.1808990000000001E-3</v>
      </c>
      <c r="AA7480">
        <v>0.93176680000000001</v>
      </c>
      <c r="AB7480">
        <v>31</v>
      </c>
      <c r="AC7480">
        <v>48.082499999999897</v>
      </c>
      <c r="AD7480">
        <v>-0.99427069999999995</v>
      </c>
      <c r="AE7480">
        <v>23.08014</v>
      </c>
      <c r="AF7480">
        <v>-19.411260577203201</v>
      </c>
      <c r="AG7480">
        <v>-0.99427069999999995</v>
      </c>
      <c r="AH7480">
        <v>49.657290634979702</v>
      </c>
      <c r="AI7480">
        <v>91.068355363195806</v>
      </c>
      <c r="AJ7480">
        <v>111.35075428676301</v>
      </c>
      <c r="AK7480">
        <v>53.325717291263899</v>
      </c>
      <c r="AL7480">
        <v>78.964526629111404</v>
      </c>
      <c r="AM7480">
        <v>99.437014420288094</v>
      </c>
      <c r="AN7480">
        <v>0.99999994369754797</v>
      </c>
    </row>
    <row r="7481" spans="1:40" x14ac:dyDescent="0.25">
      <c r="A7481" t="str">
        <f>"20190304154940830"</f>
        <v>20190304154940830</v>
      </c>
      <c r="B7481" t="str">
        <f>"1551685780824731"</f>
        <v>1551685780824731</v>
      </c>
      <c r="C7481" t="s">
        <v>40</v>
      </c>
      <c r="D7481">
        <v>4.208418</v>
      </c>
      <c r="E7481">
        <v>0.41413149999999999</v>
      </c>
      <c r="F7481" t="s">
        <v>71</v>
      </c>
      <c r="G7481">
        <v>-168.45060000000001</v>
      </c>
      <c r="H7481">
        <v>0.1705055</v>
      </c>
      <c r="I7481">
        <v>-39.729390000000002</v>
      </c>
      <c r="J7481">
        <v>-216.3663</v>
      </c>
      <c r="K7481">
        <v>1.113083</v>
      </c>
      <c r="L7481">
        <v>-62.957459999999998</v>
      </c>
      <c r="M7481">
        <v>0.99700889999999998</v>
      </c>
      <c r="N7481">
        <v>-1.178509E-2</v>
      </c>
      <c r="O7481">
        <v>7.6385030000000007E-2</v>
      </c>
      <c r="P7481">
        <v>0.95501119999999995</v>
      </c>
      <c r="Q7481">
        <v>0.1810542</v>
      </c>
      <c r="R7481">
        <v>0.2348894</v>
      </c>
      <c r="S7481">
        <v>2.8186800000000001</v>
      </c>
      <c r="T7481">
        <v>-5.5254579999999998E-2</v>
      </c>
      <c r="U7481">
        <v>1.3624879999999999</v>
      </c>
      <c r="V7481">
        <v>-0.1623656</v>
      </c>
      <c r="W7481">
        <v>0.19153410000000001</v>
      </c>
      <c r="X7481">
        <v>0.96796289999999996</v>
      </c>
      <c r="Y7481">
        <v>-0.36505700000000002</v>
      </c>
      <c r="Z7481">
        <v>5.1007370000000002E-3</v>
      </c>
      <c r="AA7481">
        <v>0.9309712</v>
      </c>
      <c r="AB7481">
        <v>31</v>
      </c>
      <c r="AC7481">
        <v>47.915700000000001</v>
      </c>
      <c r="AD7481">
        <v>-0.94257749999999996</v>
      </c>
      <c r="AE7481">
        <v>23.228069999999899</v>
      </c>
      <c r="AF7481">
        <v>-19.493793420831398</v>
      </c>
      <c r="AG7481">
        <v>-0.94257749999999996</v>
      </c>
      <c r="AH7481">
        <v>49.534568642501597</v>
      </c>
      <c r="AI7481">
        <v>91.014422336511004</v>
      </c>
      <c r="AJ7481">
        <v>111.481581438978</v>
      </c>
      <c r="AK7481">
        <v>53.240679230042304</v>
      </c>
      <c r="AL7481">
        <v>78.957674350383201</v>
      </c>
      <c r="AM7481">
        <v>99.522118545198893</v>
      </c>
      <c r="AN7481">
        <v>1.0000000376512801</v>
      </c>
    </row>
    <row r="7482" spans="1:40" x14ac:dyDescent="0.25">
      <c r="A7482" t="str">
        <f>"20190304154940842"</f>
        <v>20190304154940842</v>
      </c>
      <c r="B7482" t="str">
        <f>"1551685780834492"</f>
        <v>1551685780834492</v>
      </c>
      <c r="C7482" t="s">
        <v>40</v>
      </c>
      <c r="D7482">
        <v>4.2173389999999999</v>
      </c>
      <c r="E7482">
        <v>0.41386309999999898</v>
      </c>
      <c r="F7482" t="s">
        <v>71</v>
      </c>
      <c r="G7482">
        <v>-168.45060000000001</v>
      </c>
      <c r="H7482">
        <v>0.194767</v>
      </c>
      <c r="I7482">
        <v>-39.577559999999998</v>
      </c>
      <c r="J7482">
        <v>-216.21</v>
      </c>
      <c r="K7482">
        <v>1.1131180000000001</v>
      </c>
      <c r="L7482">
        <v>-62.943969999999901</v>
      </c>
      <c r="M7482">
        <v>0.99689190000000005</v>
      </c>
      <c r="N7482">
        <v>-1.179417E-2</v>
      </c>
      <c r="O7482">
        <v>7.7895290000000006E-2</v>
      </c>
      <c r="P7482">
        <v>0.9541056</v>
      </c>
      <c r="Q7482">
        <v>0.18174670000000001</v>
      </c>
      <c r="R7482">
        <v>0.23801410000000001</v>
      </c>
      <c r="S7482">
        <v>2.8138580000000002</v>
      </c>
      <c r="T7482">
        <v>-5.3929329999999998E-2</v>
      </c>
      <c r="U7482">
        <v>1.372986</v>
      </c>
      <c r="V7482">
        <v>-0.164101</v>
      </c>
      <c r="W7482">
        <v>0.19220760000000001</v>
      </c>
      <c r="X7482">
        <v>0.96753659999999997</v>
      </c>
      <c r="Y7482">
        <v>-0.36708299999999999</v>
      </c>
      <c r="Z7482">
        <v>5.0793160000000004E-3</v>
      </c>
      <c r="AA7482">
        <v>0.93017430000000001</v>
      </c>
      <c r="AB7482">
        <v>31</v>
      </c>
      <c r="AC7482">
        <v>47.759399999999999</v>
      </c>
      <c r="AD7482">
        <v>-0.91835100000000003</v>
      </c>
      <c r="AE7482">
        <v>23.366409999999899</v>
      </c>
      <c r="AF7482">
        <v>-19.5690736409416</v>
      </c>
      <c r="AG7482">
        <v>-0.91835100000000003</v>
      </c>
      <c r="AH7482">
        <v>49.419781250786997</v>
      </c>
      <c r="AI7482">
        <v>90.989825536825606</v>
      </c>
      <c r="AJ7482">
        <v>111.602403426664</v>
      </c>
      <c r="AK7482">
        <v>53.1611398542152</v>
      </c>
      <c r="AL7482">
        <v>78.918354519666394</v>
      </c>
      <c r="AM7482">
        <v>99.626160269121499</v>
      </c>
      <c r="AN7482">
        <v>0.99999998601915896</v>
      </c>
    </row>
    <row r="7483" spans="1:40" x14ac:dyDescent="0.25">
      <c r="A7483" t="str">
        <f>"20190304154940852"</f>
        <v>20190304154940852</v>
      </c>
      <c r="B7483" t="str">
        <f>"1551685780844252"</f>
        <v>1551685780844252</v>
      </c>
      <c r="C7483" t="s">
        <v>40</v>
      </c>
      <c r="D7483">
        <v>4.2230449999999999</v>
      </c>
      <c r="E7483">
        <v>0.41363830000000001</v>
      </c>
      <c r="F7483" t="s">
        <v>71</v>
      </c>
      <c r="G7483">
        <v>-168.45060000000001</v>
      </c>
      <c r="H7483">
        <v>0.244751</v>
      </c>
      <c r="I7483">
        <v>-39.416699999999999</v>
      </c>
      <c r="J7483">
        <v>-216.0686</v>
      </c>
      <c r="K7483">
        <v>1.1131500000000001</v>
      </c>
      <c r="L7483">
        <v>-62.931699999999999</v>
      </c>
      <c r="M7483">
        <v>0.99678370000000005</v>
      </c>
      <c r="N7483">
        <v>-1.180225E-2</v>
      </c>
      <c r="O7483">
        <v>7.9266130000000004E-2</v>
      </c>
      <c r="P7483">
        <v>0.95334019999999997</v>
      </c>
      <c r="Q7483">
        <v>0.1822298</v>
      </c>
      <c r="R7483">
        <v>0.24069699999999999</v>
      </c>
      <c r="S7483">
        <v>2.808853</v>
      </c>
      <c r="T7483">
        <v>-5.1071999999999999E-2</v>
      </c>
      <c r="U7483">
        <v>1.3836980000000001</v>
      </c>
      <c r="V7483">
        <v>-0.16552020000000001</v>
      </c>
      <c r="W7483">
        <v>0.1926736</v>
      </c>
      <c r="X7483">
        <v>0.96720209999999995</v>
      </c>
      <c r="Y7483">
        <v>-0.36932120000000002</v>
      </c>
      <c r="Z7483">
        <v>5.0076060000000004E-3</v>
      </c>
      <c r="AA7483">
        <v>0.92928829999999996</v>
      </c>
      <c r="AB7483">
        <v>31</v>
      </c>
      <c r="AC7483">
        <v>47.618000000000002</v>
      </c>
      <c r="AD7483">
        <v>-0.86839900000000003</v>
      </c>
      <c r="AE7483">
        <v>23.515000000000001</v>
      </c>
      <c r="AF7483">
        <v>-19.660985428479101</v>
      </c>
      <c r="AG7483">
        <v>-0.86839900000000003</v>
      </c>
      <c r="AH7483">
        <v>49.319034581171401</v>
      </c>
      <c r="AI7483">
        <v>90.937047770274603</v>
      </c>
      <c r="AJ7483">
        <v>111.734650204861</v>
      </c>
      <c r="AK7483">
        <v>53.100618045940401</v>
      </c>
      <c r="AL7483">
        <v>78.891146027477902</v>
      </c>
      <c r="AM7483">
        <v>99.711126393774805</v>
      </c>
      <c r="AN7483">
        <v>0.99999997749470404</v>
      </c>
    </row>
    <row r="7484" spans="1:40" x14ac:dyDescent="0.25">
      <c r="A7484" t="str">
        <f>"20190304154940862"</f>
        <v>20190304154940862</v>
      </c>
      <c r="B7484" t="str">
        <f>"1551685780854988"</f>
        <v>1551685780854988</v>
      </c>
      <c r="C7484" t="s">
        <v>40</v>
      </c>
      <c r="D7484">
        <v>4.2118500000000001</v>
      </c>
      <c r="E7484">
        <v>0.41339510000000002</v>
      </c>
      <c r="F7484" t="s">
        <v>71</v>
      </c>
      <c r="G7484">
        <v>-168.45060000000001</v>
      </c>
      <c r="H7484">
        <v>0.28127960000000002</v>
      </c>
      <c r="I7484">
        <v>-39.279559999999996</v>
      </c>
      <c r="J7484">
        <v>-215.91040000000001</v>
      </c>
      <c r="K7484">
        <v>1.113194</v>
      </c>
      <c r="L7484">
        <v>-62.917540000000002</v>
      </c>
      <c r="M7484">
        <v>0.99665649999999995</v>
      </c>
      <c r="N7484">
        <v>-1.181113E-2</v>
      </c>
      <c r="O7484">
        <v>8.0847920000000004E-2</v>
      </c>
      <c r="P7484">
        <v>0.95250250000000003</v>
      </c>
      <c r="Q7484">
        <v>0.1826411</v>
      </c>
      <c r="R7484">
        <v>0.2436827</v>
      </c>
      <c r="S7484">
        <v>2.8044889999999998</v>
      </c>
      <c r="T7484">
        <v>-4.8994660000000002E-2</v>
      </c>
      <c r="U7484">
        <v>1.3930049999999901</v>
      </c>
      <c r="V7484">
        <v>-0.1670469</v>
      </c>
      <c r="W7484">
        <v>0.1930634</v>
      </c>
      <c r="X7484">
        <v>0.96686179999999999</v>
      </c>
      <c r="Y7484">
        <v>-0.37090079999999997</v>
      </c>
      <c r="Z7484">
        <v>4.9532609999999996E-3</v>
      </c>
      <c r="AA7484">
        <v>0.92865929999999997</v>
      </c>
      <c r="AB7484">
        <v>31</v>
      </c>
      <c r="AC7484">
        <v>47.459800000000001</v>
      </c>
      <c r="AD7484">
        <v>-0.83191440000000005</v>
      </c>
      <c r="AE7484">
        <v>23.637979999999999</v>
      </c>
      <c r="AF7484">
        <v>-19.718440953957799</v>
      </c>
      <c r="AG7484">
        <v>-0.83191440000000005</v>
      </c>
      <c r="AH7484">
        <v>49.203517645666899</v>
      </c>
      <c r="AI7484">
        <v>90.899140748909801</v>
      </c>
      <c r="AJ7484">
        <v>111.838576282573</v>
      </c>
      <c r="AK7484">
        <v>53.014103254993401</v>
      </c>
      <c r="AL7484">
        <v>78.868384377852095</v>
      </c>
      <c r="AM7484">
        <v>99.802351655508701</v>
      </c>
      <c r="AN7484">
        <v>0.99999994175920304</v>
      </c>
    </row>
    <row r="7485" spans="1:40" x14ac:dyDescent="0.25">
      <c r="A7485" t="str">
        <f>"20190304154940874"</f>
        <v>20190304154940874</v>
      </c>
      <c r="B7485" t="str">
        <f>"1551685780864748"</f>
        <v>1551685780864748</v>
      </c>
      <c r="C7485" t="s">
        <v>40</v>
      </c>
      <c r="D7485">
        <v>4.2080010000000003</v>
      </c>
      <c r="E7485">
        <v>0.41321910000000001</v>
      </c>
      <c r="F7485" t="s">
        <v>71</v>
      </c>
      <c r="G7485">
        <v>-168.45060000000001</v>
      </c>
      <c r="H7485">
        <v>0.3196678</v>
      </c>
      <c r="I7485">
        <v>-39.124110000000002</v>
      </c>
      <c r="J7485">
        <v>-215.7586</v>
      </c>
      <c r="K7485">
        <v>1.1132359999999999</v>
      </c>
      <c r="L7485">
        <v>-62.903840000000002</v>
      </c>
      <c r="M7485">
        <v>0.99653119999999995</v>
      </c>
      <c r="N7485">
        <v>-1.181948E-2</v>
      </c>
      <c r="O7485">
        <v>8.2377019999999995E-2</v>
      </c>
      <c r="P7485">
        <v>0.95179080000000005</v>
      </c>
      <c r="Q7485">
        <v>0.18277170000000001</v>
      </c>
      <c r="R7485">
        <v>0.24635099999999999</v>
      </c>
      <c r="S7485">
        <v>2.799515</v>
      </c>
      <c r="T7485">
        <v>-4.6808959999999997E-2</v>
      </c>
      <c r="U7485">
        <v>1.4035029999999999</v>
      </c>
      <c r="V7485">
        <v>-0.1682979</v>
      </c>
      <c r="W7485">
        <v>0.19317519999999999</v>
      </c>
      <c r="X7485">
        <v>0.96662250000000005</v>
      </c>
      <c r="Y7485">
        <v>-0.37292409999999998</v>
      </c>
      <c r="Z7485">
        <v>4.902778E-3</v>
      </c>
      <c r="AA7485">
        <v>0.92784889999999998</v>
      </c>
      <c r="AB7485">
        <v>31</v>
      </c>
      <c r="AC7485">
        <v>47.3079999999999</v>
      </c>
      <c r="AD7485">
        <v>-0.79356819999999995</v>
      </c>
      <c r="AE7485">
        <v>23.779730000000001</v>
      </c>
      <c r="AF7485">
        <v>-19.797085960421398</v>
      </c>
      <c r="AG7485">
        <v>-0.79356819999999995</v>
      </c>
      <c r="AH7485">
        <v>49.095200718856098</v>
      </c>
      <c r="AI7485">
        <v>90.858855074391798</v>
      </c>
      <c r="AJ7485">
        <v>111.961200498134</v>
      </c>
      <c r="AK7485">
        <v>52.942356357052397</v>
      </c>
      <c r="AL7485">
        <v>78.861855895644098</v>
      </c>
      <c r="AM7485">
        <v>99.876717287726294</v>
      </c>
      <c r="AN7485">
        <v>0.99999994927284797</v>
      </c>
    </row>
    <row r="7486" spans="1:40" x14ac:dyDescent="0.25">
      <c r="A7486" t="str">
        <f>"20190304154940884"</f>
        <v>20190304154940884</v>
      </c>
      <c r="B7486" t="str">
        <f>"1551685780874509"</f>
        <v>1551685780874509</v>
      </c>
      <c r="C7486" t="s">
        <v>40</v>
      </c>
      <c r="D7486">
        <v>4.189629</v>
      </c>
      <c r="E7486">
        <v>0.4131029</v>
      </c>
      <c r="F7486" t="s">
        <v>71</v>
      </c>
      <c r="G7486">
        <v>-168.45060000000001</v>
      </c>
      <c r="H7486">
        <v>0.34305000000000002</v>
      </c>
      <c r="I7486">
        <v>-38.997860000000003</v>
      </c>
      <c r="J7486">
        <v>-215.60759999999999</v>
      </c>
      <c r="K7486">
        <v>1.1132820000000001</v>
      </c>
      <c r="L7486">
        <v>-62.889830000000003</v>
      </c>
      <c r="M7486">
        <v>0.99640130000000005</v>
      </c>
      <c r="N7486">
        <v>-1.1827610000000001E-2</v>
      </c>
      <c r="O7486">
        <v>8.3934079999999994E-2</v>
      </c>
      <c r="P7486">
        <v>0.95105059999999997</v>
      </c>
      <c r="Q7486">
        <v>0.1828891</v>
      </c>
      <c r="R7486">
        <v>0.24910769999999999</v>
      </c>
      <c r="S7486">
        <v>2.7951199999999998</v>
      </c>
      <c r="T7486">
        <v>-4.5506360000000003E-2</v>
      </c>
      <c r="U7486">
        <v>1.412445</v>
      </c>
      <c r="V7486">
        <v>-0.1696146</v>
      </c>
      <c r="W7486">
        <v>0.19327159999999999</v>
      </c>
      <c r="X7486">
        <v>0.96637309999999998</v>
      </c>
      <c r="Y7486">
        <v>-0.37442829999999999</v>
      </c>
      <c r="Z7486">
        <v>4.8762700000000003E-3</v>
      </c>
      <c r="AA7486">
        <v>0.92724309999999999</v>
      </c>
      <c r="AB7486">
        <v>31</v>
      </c>
      <c r="AC7486">
        <v>47.156999999999897</v>
      </c>
      <c r="AD7486">
        <v>-0.77023199999999903</v>
      </c>
      <c r="AE7486">
        <v>23.891970000000001</v>
      </c>
      <c r="AF7486">
        <v>-19.845082447676401</v>
      </c>
      <c r="AG7486">
        <v>-0.77023199999999903</v>
      </c>
      <c r="AH7486">
        <v>48.985665711232002</v>
      </c>
      <c r="AI7486">
        <v>90.834920483835702</v>
      </c>
      <c r="AJ7486">
        <v>112.053863471529</v>
      </c>
      <c r="AK7486">
        <v>52.858452492117699</v>
      </c>
      <c r="AL7486">
        <v>78.856227024050597</v>
      </c>
      <c r="AM7486">
        <v>99.954967004179807</v>
      </c>
      <c r="AN7486">
        <v>0.99999999615166402</v>
      </c>
    </row>
    <row r="7487" spans="1:40" x14ac:dyDescent="0.25">
      <c r="A7487" t="str">
        <f>"20190304154940897"</f>
        <v>20190304154940897</v>
      </c>
      <c r="B7487" t="str">
        <f>"1551685780884412"</f>
        <v>1551685780884412</v>
      </c>
      <c r="C7487" t="s">
        <v>40</v>
      </c>
      <c r="D7487">
        <v>4.174029</v>
      </c>
      <c r="E7487">
        <v>0.41299560000000002</v>
      </c>
      <c r="F7487" t="s">
        <v>71</v>
      </c>
      <c r="G7487">
        <v>-168.45060000000001</v>
      </c>
      <c r="H7487">
        <v>0.35961340000000003</v>
      </c>
      <c r="I7487">
        <v>-38.867010000000001</v>
      </c>
      <c r="J7487">
        <v>-215.45240000000001</v>
      </c>
      <c r="K7487">
        <v>1.1133329999999999</v>
      </c>
      <c r="L7487">
        <v>-62.875210000000003</v>
      </c>
      <c r="M7487">
        <v>0.9962628</v>
      </c>
      <c r="N7487">
        <v>-1.1835750000000001E-2</v>
      </c>
      <c r="O7487">
        <v>8.55596E-2</v>
      </c>
      <c r="P7487">
        <v>0.95031540000000003</v>
      </c>
      <c r="Q7487">
        <v>0.1830966</v>
      </c>
      <c r="R7487">
        <v>0.25174669999999999</v>
      </c>
      <c r="S7487">
        <v>2.790619</v>
      </c>
      <c r="T7487">
        <v>-4.4601080000000001E-2</v>
      </c>
      <c r="U7487">
        <v>1.4216</v>
      </c>
      <c r="V7487">
        <v>-0.1707495</v>
      </c>
      <c r="W7487">
        <v>0.19345780000000001</v>
      </c>
      <c r="X7487">
        <v>0.96613599999999999</v>
      </c>
      <c r="Y7487">
        <v>-0.37593700000000002</v>
      </c>
      <c r="Z7487">
        <v>4.864101E-3</v>
      </c>
      <c r="AA7487">
        <v>0.92663249999999997</v>
      </c>
      <c r="AB7487">
        <v>31</v>
      </c>
      <c r="AC7487">
        <v>47.001800000000003</v>
      </c>
      <c r="AD7487">
        <v>-0.75371959999999905</v>
      </c>
      <c r="AE7487">
        <v>24.008199999999899</v>
      </c>
      <c r="AF7487">
        <v>-19.894356873125201</v>
      </c>
      <c r="AG7487">
        <v>-0.75371959999999905</v>
      </c>
      <c r="AH7487">
        <v>48.873731145612197</v>
      </c>
      <c r="AI7487">
        <v>90.818342276072698</v>
      </c>
      <c r="AJ7487">
        <v>112.14908713038</v>
      </c>
      <c r="AK7487">
        <v>52.773053016897499</v>
      </c>
      <c r="AL7487">
        <v>78.845353840306402</v>
      </c>
      <c r="AM7487">
        <v>100.022639876909</v>
      </c>
      <c r="AN7487">
        <v>1.0000000413135399</v>
      </c>
    </row>
    <row r="7488" spans="1:40" x14ac:dyDescent="0.25">
      <c r="A7488" t="str">
        <f>"20190304154940907"</f>
        <v>20190304154940907</v>
      </c>
      <c r="B7488" t="str">
        <f>"1551685780904908"</f>
        <v>1551685780904908</v>
      </c>
      <c r="C7488" t="s">
        <v>40</v>
      </c>
      <c r="D7488">
        <v>4.1721009999999996</v>
      </c>
      <c r="E7488">
        <v>0.41276930000000001</v>
      </c>
      <c r="F7488" t="s">
        <v>71</v>
      </c>
      <c r="G7488">
        <v>-168.45060000000001</v>
      </c>
      <c r="H7488">
        <v>0.37941930000000001</v>
      </c>
      <c r="I7488">
        <v>-38.753309999999999</v>
      </c>
      <c r="J7488">
        <v>-215.2878</v>
      </c>
      <c r="K7488">
        <v>1.1133869999999999</v>
      </c>
      <c r="L7488">
        <v>-62.859409999999997</v>
      </c>
      <c r="M7488">
        <v>0.9961101</v>
      </c>
      <c r="N7488">
        <v>-1.18441E-2</v>
      </c>
      <c r="O7488">
        <v>8.7318060000000003E-2</v>
      </c>
      <c r="P7488">
        <v>0.94957820000000004</v>
      </c>
      <c r="Q7488">
        <v>0.18309539999999999</v>
      </c>
      <c r="R7488">
        <v>0.25451439999999997</v>
      </c>
      <c r="S7488">
        <v>2.7864230000000001</v>
      </c>
      <c r="T7488">
        <v>-4.350996E-2</v>
      </c>
      <c r="U7488">
        <v>1.430023</v>
      </c>
      <c r="V7488">
        <v>-0.1718867</v>
      </c>
      <c r="W7488">
        <v>0.19343250000000001</v>
      </c>
      <c r="X7488">
        <v>0.96593929999999995</v>
      </c>
      <c r="Y7488">
        <v>-0.37708740000000002</v>
      </c>
      <c r="Z7488">
        <v>4.8406270000000001E-3</v>
      </c>
      <c r="AA7488">
        <v>0.92616500000000002</v>
      </c>
      <c r="AB7488">
        <v>31</v>
      </c>
      <c r="AC7488">
        <v>46.837200000000003</v>
      </c>
      <c r="AD7488">
        <v>-0.7339677</v>
      </c>
      <c r="AE7488">
        <v>24.106100000000001</v>
      </c>
      <c r="AF7488">
        <v>-19.920125893391301</v>
      </c>
      <c r="AG7488">
        <v>-0.7339677</v>
      </c>
      <c r="AH7488">
        <v>48.753859764614504</v>
      </c>
      <c r="AI7488">
        <v>90.798431733231496</v>
      </c>
      <c r="AJ7488">
        <v>112.224218694935</v>
      </c>
      <c r="AK7488">
        <v>52.671519497171403</v>
      </c>
      <c r="AL7488">
        <v>78.846830305689593</v>
      </c>
      <c r="AM7488">
        <v>100.090036599363</v>
      </c>
      <c r="AN7488">
        <v>0.99999995048881296</v>
      </c>
    </row>
    <row r="7489" spans="1:40" x14ac:dyDescent="0.25">
      <c r="A7489" t="str">
        <f>"20190304154940919"</f>
        <v>20190304154940919</v>
      </c>
      <c r="B7489" t="str">
        <f>"1551685780914671"</f>
        <v>1551685780914671</v>
      </c>
      <c r="C7489" t="s">
        <v>40</v>
      </c>
      <c r="D7489">
        <v>4.1740130000000004</v>
      </c>
      <c r="E7489">
        <v>0.41274319999999998</v>
      </c>
      <c r="F7489" t="s">
        <v>71</v>
      </c>
      <c r="G7489">
        <v>-168.45060000000001</v>
      </c>
      <c r="H7489">
        <v>0.40098089999999997</v>
      </c>
      <c r="I7489">
        <v>-38.613849999999999</v>
      </c>
      <c r="J7489">
        <v>-215.13730000000001</v>
      </c>
      <c r="K7489">
        <v>1.11344</v>
      </c>
      <c r="L7489">
        <v>-62.8446</v>
      </c>
      <c r="M7489">
        <v>0.99596379999999995</v>
      </c>
      <c r="N7489">
        <v>-1.185165E-2</v>
      </c>
      <c r="O7489">
        <v>8.8970720000000003E-2</v>
      </c>
      <c r="P7489">
        <v>0.94885079999999999</v>
      </c>
      <c r="Q7489">
        <v>0.1832298</v>
      </c>
      <c r="R7489">
        <v>0.25711709999999999</v>
      </c>
      <c r="S7489">
        <v>2.7815400000000001</v>
      </c>
      <c r="T7489">
        <v>-4.230917E-2</v>
      </c>
      <c r="U7489">
        <v>1.4398799999999901</v>
      </c>
      <c r="V7489">
        <v>-0.17296239999999999</v>
      </c>
      <c r="W7489">
        <v>0.19354289999999999</v>
      </c>
      <c r="X7489">
        <v>0.96572519999999995</v>
      </c>
      <c r="Y7489">
        <v>-0.3788048</v>
      </c>
      <c r="Z7489">
        <v>4.8222489999999998E-3</v>
      </c>
      <c r="AA7489">
        <v>0.92546399999999995</v>
      </c>
      <c r="AB7489">
        <v>31</v>
      </c>
      <c r="AC7489">
        <v>46.686700000000002</v>
      </c>
      <c r="AD7489">
        <v>-0.71245909999999901</v>
      </c>
      <c r="AE7489">
        <v>24.23075</v>
      </c>
      <c r="AF7489">
        <v>-19.976937417183098</v>
      </c>
      <c r="AG7489">
        <v>-0.71245909999999901</v>
      </c>
      <c r="AH7489">
        <v>48.648579190458499</v>
      </c>
      <c r="AI7489">
        <v>90.776155213046493</v>
      </c>
      <c r="AJ7489">
        <v>112.324898325666</v>
      </c>
      <c r="AK7489">
        <v>52.595340894318099</v>
      </c>
      <c r="AL7489">
        <v>78.840383619013906</v>
      </c>
      <c r="AM7489">
        <v>100.15407644979</v>
      </c>
      <c r="AN7489">
        <v>1.0000000039346</v>
      </c>
    </row>
    <row r="7490" spans="1:40" x14ac:dyDescent="0.25">
      <c r="A7490" t="str">
        <f>"20190304154940931"</f>
        <v>20190304154940931</v>
      </c>
      <c r="B7490" t="str">
        <f>"1551685780924428"</f>
        <v>1551685780924428</v>
      </c>
      <c r="C7490" t="s">
        <v>40</v>
      </c>
      <c r="D7490">
        <v>4.1702839999999997</v>
      </c>
      <c r="E7490">
        <v>0.41271400000000003</v>
      </c>
      <c r="F7490" t="s">
        <v>71</v>
      </c>
      <c r="G7490">
        <v>-168.45060000000001</v>
      </c>
      <c r="H7490">
        <v>0.40668300000000002</v>
      </c>
      <c r="I7490">
        <v>-38.515090000000001</v>
      </c>
      <c r="J7490">
        <v>-214.9717</v>
      </c>
      <c r="K7490">
        <v>1.1135010000000001</v>
      </c>
      <c r="L7490">
        <v>-62.828159999999997</v>
      </c>
      <c r="M7490">
        <v>0.99579779999999996</v>
      </c>
      <c r="N7490">
        <v>-1.1859740000000001E-2</v>
      </c>
      <c r="O7490">
        <v>9.0809799999999996E-2</v>
      </c>
      <c r="P7490">
        <v>0.94812560000000001</v>
      </c>
      <c r="Q7490">
        <v>0.18289369999999999</v>
      </c>
      <c r="R7490">
        <v>0.2600151</v>
      </c>
      <c r="S7490">
        <v>2.7776179999999999</v>
      </c>
      <c r="T7490">
        <v>-4.2049650000000001E-2</v>
      </c>
      <c r="U7490">
        <v>1.447479</v>
      </c>
      <c r="V7490">
        <v>-0.174152</v>
      </c>
      <c r="W7490">
        <v>0.1931803</v>
      </c>
      <c r="X7490">
        <v>0.965584</v>
      </c>
      <c r="Y7490">
        <v>-0.37962259999999998</v>
      </c>
      <c r="Z7490">
        <v>4.8235370000000001E-3</v>
      </c>
      <c r="AA7490">
        <v>0.92512890000000003</v>
      </c>
      <c r="AB7490">
        <v>31</v>
      </c>
      <c r="AC7490">
        <v>46.521099999999898</v>
      </c>
      <c r="AD7490">
        <v>-0.70681799999999995</v>
      </c>
      <c r="AE7490">
        <v>24.31307</v>
      </c>
      <c r="AF7490">
        <v>-19.984108762868601</v>
      </c>
      <c r="AG7490">
        <v>-0.70681799999999995</v>
      </c>
      <c r="AH7490">
        <v>48.528080564836998</v>
      </c>
      <c r="AI7490">
        <v>90.771605412369595</v>
      </c>
      <c r="AJ7490">
        <v>112.382111586126</v>
      </c>
      <c r="AK7490">
        <v>52.486558260554602</v>
      </c>
      <c r="AL7490">
        <v>78.861558697394301</v>
      </c>
      <c r="AM7490">
        <v>100.223909657135</v>
      </c>
      <c r="AN7490">
        <v>1.00000000423404</v>
      </c>
    </row>
    <row r="7491" spans="1:40" x14ac:dyDescent="0.25">
      <c r="A7491" t="str">
        <f>"20190304154940942"</f>
        <v>20190304154940942</v>
      </c>
      <c r="B7491" t="str">
        <f>"1551685780934188"</f>
        <v>1551685780934188</v>
      </c>
      <c r="C7491" t="s">
        <v>40</v>
      </c>
      <c r="D7491">
        <v>4.1823639999999997</v>
      </c>
      <c r="E7491">
        <v>0.41264669999999998</v>
      </c>
      <c r="F7491" t="s">
        <v>71</v>
      </c>
      <c r="G7491">
        <v>-168.45060000000001</v>
      </c>
      <c r="H7491">
        <v>0.38884350000000001</v>
      </c>
      <c r="I7491">
        <v>-38.402749999999997</v>
      </c>
      <c r="J7491">
        <v>-214.8141</v>
      </c>
      <c r="K7491">
        <v>1.1135660000000001</v>
      </c>
      <c r="L7491">
        <v>-62.811950000000003</v>
      </c>
      <c r="M7491">
        <v>0.99562930000000005</v>
      </c>
      <c r="N7491">
        <v>-1.186769E-2</v>
      </c>
      <c r="O7491">
        <v>9.2637460000000005E-2</v>
      </c>
      <c r="P7491">
        <v>0.94740619999999998</v>
      </c>
      <c r="Q7491">
        <v>0.18274670000000001</v>
      </c>
      <c r="R7491">
        <v>0.26272689999999999</v>
      </c>
      <c r="S7491">
        <v>2.7731780000000001</v>
      </c>
      <c r="T7491">
        <v>-4.3198819999999999E-2</v>
      </c>
      <c r="U7491">
        <v>1.456024</v>
      </c>
      <c r="V7491">
        <v>-0.1751714</v>
      </c>
      <c r="W7491">
        <v>0.19300490000000001</v>
      </c>
      <c r="X7491">
        <v>0.96543469999999998</v>
      </c>
      <c r="Y7491">
        <v>-0.38076549999999998</v>
      </c>
      <c r="Z7491">
        <v>4.8765800000000002E-3</v>
      </c>
      <c r="AA7491">
        <v>0.9246588</v>
      </c>
      <c r="AB7491">
        <v>31</v>
      </c>
      <c r="AC7491">
        <v>46.363499999999902</v>
      </c>
      <c r="AD7491">
        <v>-0.72472250000000005</v>
      </c>
      <c r="AE7491">
        <v>24.409199999999998</v>
      </c>
      <c r="AF7491">
        <v>-20.005097289264199</v>
      </c>
      <c r="AG7491">
        <v>-0.72472250000000005</v>
      </c>
      <c r="AH7491">
        <v>48.416207155241104</v>
      </c>
      <c r="AI7491">
        <v>90.792589413429496</v>
      </c>
      <c r="AJ7491">
        <v>112.449929271546</v>
      </c>
      <c r="AK7491">
        <v>52.391394861696099</v>
      </c>
      <c r="AL7491">
        <v>78.871801485301901</v>
      </c>
      <c r="AM7491">
        <v>100.284038466491</v>
      </c>
      <c r="AN7491">
        <v>1.0000000353830201</v>
      </c>
    </row>
    <row r="7492" spans="1:40" x14ac:dyDescent="0.25">
      <c r="A7492" t="str">
        <f>"20190304154940953"</f>
        <v>20190304154940953</v>
      </c>
      <c r="B7492" t="str">
        <f>"1551685780944925"</f>
        <v>1551685780944925</v>
      </c>
      <c r="C7492" t="s">
        <v>40</v>
      </c>
      <c r="D7492">
        <v>4.1678629999999997</v>
      </c>
      <c r="E7492">
        <v>0.4125684</v>
      </c>
      <c r="F7492" t="s">
        <v>71</v>
      </c>
      <c r="G7492">
        <v>-168.45060000000001</v>
      </c>
      <c r="H7492">
        <v>0.38714979999999999</v>
      </c>
      <c r="I7492">
        <v>-38.291469999999997</v>
      </c>
      <c r="J7492">
        <v>-214.66470000000001</v>
      </c>
      <c r="K7492">
        <v>1.1136299999999999</v>
      </c>
      <c r="L7492">
        <v>-62.796480000000003</v>
      </c>
      <c r="M7492">
        <v>0.99546509999999999</v>
      </c>
      <c r="N7492">
        <v>-1.1875480000000001E-2</v>
      </c>
      <c r="O7492">
        <v>9.4383679999999998E-2</v>
      </c>
      <c r="P7492">
        <v>0.94663019999999998</v>
      </c>
      <c r="Q7492">
        <v>0.18273439999999999</v>
      </c>
      <c r="R7492">
        <v>0.26551770000000002</v>
      </c>
      <c r="S7492">
        <v>2.7688139999999999</v>
      </c>
      <c r="T7492">
        <v>-4.3382530000000002E-2</v>
      </c>
      <c r="U7492">
        <v>1.4643550000000001</v>
      </c>
      <c r="V7492">
        <v>-0.17635410000000001</v>
      </c>
      <c r="W7492">
        <v>0.1929633</v>
      </c>
      <c r="X7492">
        <v>0.96522770000000002</v>
      </c>
      <c r="Y7492">
        <v>-0.38191910000000001</v>
      </c>
      <c r="Z7492">
        <v>4.8972740000000001E-3</v>
      </c>
      <c r="AA7492">
        <v>0.92418279999999997</v>
      </c>
      <c r="AB7492">
        <v>31</v>
      </c>
      <c r="AC7492">
        <v>46.214100000000002</v>
      </c>
      <c r="AD7492">
        <v>-0.72648019999999902</v>
      </c>
      <c r="AE7492">
        <v>24.505009999999999</v>
      </c>
      <c r="AF7492">
        <v>-20.029574005681301</v>
      </c>
      <c r="AG7492">
        <v>-0.72648019999999902</v>
      </c>
      <c r="AH7492">
        <v>48.311483908237399</v>
      </c>
      <c r="AI7492">
        <v>90.795839085417697</v>
      </c>
      <c r="AJ7492">
        <v>112.51852451887</v>
      </c>
      <c r="AK7492">
        <v>52.304025521425601</v>
      </c>
      <c r="AL7492">
        <v>78.874230911542</v>
      </c>
      <c r="AM7492">
        <v>100.354148596382</v>
      </c>
      <c r="AN7492">
        <v>1.00000005829049</v>
      </c>
    </row>
    <row r="7493" spans="1:40" x14ac:dyDescent="0.25">
      <c r="A7493" t="str">
        <f>"20190304154940963"</f>
        <v>20190304154940963</v>
      </c>
      <c r="B7493" t="str">
        <f>"1551685780954685"</f>
        <v>1551685780954685</v>
      </c>
      <c r="C7493" t="s">
        <v>40</v>
      </c>
      <c r="D7493">
        <v>4.1495369999999996</v>
      </c>
      <c r="E7493">
        <v>0.41249170000000002</v>
      </c>
      <c r="F7493" t="s">
        <v>71</v>
      </c>
      <c r="G7493">
        <v>-168.45060000000001</v>
      </c>
      <c r="H7493">
        <v>0.3969994</v>
      </c>
      <c r="I7493">
        <v>-38.168300000000002</v>
      </c>
      <c r="J7493">
        <v>-214.51310000000001</v>
      </c>
      <c r="K7493">
        <v>1.1136999999999999</v>
      </c>
      <c r="L7493">
        <v>-62.780299999999997</v>
      </c>
      <c r="M7493">
        <v>0.99528859999999997</v>
      </c>
      <c r="N7493">
        <v>-1.188576E-2</v>
      </c>
      <c r="O7493">
        <v>9.6225050000000006E-2</v>
      </c>
      <c r="P7493">
        <v>0.94598760000000004</v>
      </c>
      <c r="Q7493">
        <v>0.18240219999999999</v>
      </c>
      <c r="R7493">
        <v>0.26802399999999998</v>
      </c>
      <c r="S7493">
        <v>2.7642060000000002</v>
      </c>
      <c r="T7493">
        <v>-4.286504E-2</v>
      </c>
      <c r="U7493">
        <v>1.4730829999999999</v>
      </c>
      <c r="V7493">
        <v>-0.17715049999999999</v>
      </c>
      <c r="W7493">
        <v>0.19260530000000001</v>
      </c>
      <c r="X7493">
        <v>0.96515329999999999</v>
      </c>
      <c r="Y7493">
        <v>-0.38312210000000002</v>
      </c>
      <c r="Z7493">
        <v>4.896231E-3</v>
      </c>
      <c r="AA7493">
        <v>0.92368470000000003</v>
      </c>
      <c r="AB7493">
        <v>31</v>
      </c>
      <c r="AC7493">
        <v>46.0625</v>
      </c>
      <c r="AD7493">
        <v>-0.71670059999999902</v>
      </c>
      <c r="AE7493">
        <v>24.611999999999899</v>
      </c>
      <c r="AF7493">
        <v>-20.0613166669742</v>
      </c>
      <c r="AG7493">
        <v>-0.71670059999999902</v>
      </c>
      <c r="AH7493">
        <v>48.208100921637197</v>
      </c>
      <c r="AI7493">
        <v>90.786379487862504</v>
      </c>
      <c r="AJ7493">
        <v>112.594145753764</v>
      </c>
      <c r="AK7493">
        <v>52.220600155814203</v>
      </c>
      <c r="AL7493">
        <v>78.8951342439819</v>
      </c>
      <c r="AM7493">
        <v>100.40067317238901</v>
      </c>
      <c r="AN7493">
        <v>0.99999999686961405</v>
      </c>
    </row>
    <row r="7494" spans="1:40" x14ac:dyDescent="0.25">
      <c r="A7494" t="str">
        <f>"20190304154940975"</f>
        <v>20190304154940975</v>
      </c>
      <c r="B7494" t="str">
        <f>"1551685780964444"</f>
        <v>1551685780964444</v>
      </c>
      <c r="C7494" t="s">
        <v>40</v>
      </c>
      <c r="D7494">
        <v>4.1660339999999998</v>
      </c>
      <c r="E7494">
        <v>0.41243010000000002</v>
      </c>
      <c r="F7494" t="s">
        <v>71</v>
      </c>
      <c r="G7494">
        <v>-168.45060000000001</v>
      </c>
      <c r="H7494">
        <v>0.39260010000000001</v>
      </c>
      <c r="I7494">
        <v>-38.05921</v>
      </c>
      <c r="J7494">
        <v>-214.3579</v>
      </c>
      <c r="K7494">
        <v>1.113772</v>
      </c>
      <c r="L7494">
        <v>-62.7635199999999</v>
      </c>
      <c r="M7494">
        <v>0.99510169999999998</v>
      </c>
      <c r="N7494">
        <v>-1.1896840000000001E-2</v>
      </c>
      <c r="O7494">
        <v>9.8137710000000003E-2</v>
      </c>
      <c r="P7494">
        <v>0.94521299999999997</v>
      </c>
      <c r="Q7494">
        <v>0.18228610000000001</v>
      </c>
      <c r="R7494">
        <v>0.27082119999999998</v>
      </c>
      <c r="S7494">
        <v>2.7599640000000001</v>
      </c>
      <c r="T7494">
        <v>-4.3207879999999997E-2</v>
      </c>
      <c r="U7494">
        <v>1.4812320000000001</v>
      </c>
      <c r="V7494">
        <v>-0.17818329999999999</v>
      </c>
      <c r="W7494">
        <v>0.19245979999999999</v>
      </c>
      <c r="X7494">
        <v>0.96499219999999997</v>
      </c>
      <c r="Y7494">
        <v>-0.38405450000000002</v>
      </c>
      <c r="Z7494">
        <v>4.9194520000000004E-3</v>
      </c>
      <c r="AA7494">
        <v>0.92329729999999999</v>
      </c>
      <c r="AB7494">
        <v>31</v>
      </c>
      <c r="AC7494">
        <v>45.9072999999999</v>
      </c>
      <c r="AD7494">
        <v>-0.72117189999999998</v>
      </c>
      <c r="AE7494">
        <v>24.7043099999999</v>
      </c>
      <c r="AF7494">
        <v>-20.075643449086598</v>
      </c>
      <c r="AG7494">
        <v>-0.72117189999999998</v>
      </c>
      <c r="AH7494">
        <v>48.1010580617206</v>
      </c>
      <c r="AI7494">
        <v>90.792701024476401</v>
      </c>
      <c r="AJ7494">
        <v>112.653893739257</v>
      </c>
      <c r="AK7494">
        <v>52.127376065376801</v>
      </c>
      <c r="AL7494">
        <v>78.9036298115726</v>
      </c>
      <c r="AM7494">
        <v>100.461682927011</v>
      </c>
      <c r="AN7494">
        <v>1.0000000045378801</v>
      </c>
    </row>
    <row r="7495" spans="1:40" x14ac:dyDescent="0.25">
      <c r="A7495" t="str">
        <f>"20190304154940985"</f>
        <v>20190304154940985</v>
      </c>
      <c r="B7495" t="str">
        <f>"1551685780974203"</f>
        <v>1551685780974203</v>
      </c>
      <c r="C7495" t="s">
        <v>40</v>
      </c>
      <c r="D7495">
        <v>4.2047429999999997</v>
      </c>
      <c r="E7495">
        <v>0.41235270000000002</v>
      </c>
      <c r="F7495" t="s">
        <v>71</v>
      </c>
      <c r="G7495">
        <v>-168.45060000000001</v>
      </c>
      <c r="H7495">
        <v>0.39977839999999998</v>
      </c>
      <c r="I7495">
        <v>-37.937130000000003</v>
      </c>
      <c r="J7495">
        <v>-214.21360000000001</v>
      </c>
      <c r="K7495">
        <v>1.113845</v>
      </c>
      <c r="L7495">
        <v>-62.747529999999998</v>
      </c>
      <c r="M7495">
        <v>0.99491989999999997</v>
      </c>
      <c r="N7495">
        <v>-1.190834E-2</v>
      </c>
      <c r="O7495">
        <v>9.9964040000000004E-2</v>
      </c>
      <c r="P7495">
        <v>0.94448889999999996</v>
      </c>
      <c r="Q7495">
        <v>0.18177299999999999</v>
      </c>
      <c r="R7495">
        <v>0.27367740000000002</v>
      </c>
      <c r="S7495">
        <v>2.7552490000000001</v>
      </c>
      <c r="T7495">
        <v>-4.285336E-2</v>
      </c>
      <c r="U7495">
        <v>1.49002099999999</v>
      </c>
      <c r="V7495">
        <v>-0.1793496</v>
      </c>
      <c r="W7495">
        <v>0.19191839999999999</v>
      </c>
      <c r="X7495">
        <v>0.96488399999999996</v>
      </c>
      <c r="Y7495">
        <v>-0.38529989999999997</v>
      </c>
      <c r="Z7495">
        <v>4.9251720000000002E-3</v>
      </c>
      <c r="AA7495">
        <v>0.92277830000000005</v>
      </c>
      <c r="AB7495">
        <v>31</v>
      </c>
      <c r="AC7495">
        <v>45.762999999999998</v>
      </c>
      <c r="AD7495">
        <v>-0.7140666</v>
      </c>
      <c r="AE7495">
        <v>24.810400000000001</v>
      </c>
      <c r="AF7495">
        <v>-20.107346575476399</v>
      </c>
      <c r="AG7495">
        <v>-0.7140666</v>
      </c>
      <c r="AH7495">
        <v>48.005033448525197</v>
      </c>
      <c r="AI7495">
        <v>90.786043437231399</v>
      </c>
      <c r="AJ7495">
        <v>112.726817821678</v>
      </c>
      <c r="AK7495">
        <v>52.050922314687</v>
      </c>
      <c r="AL7495">
        <v>78.935239432203502</v>
      </c>
      <c r="AM7495">
        <v>100.529787846414</v>
      </c>
      <c r="AN7495">
        <v>1.0000000423673501</v>
      </c>
    </row>
    <row r="7496" spans="1:40" x14ac:dyDescent="0.25">
      <c r="A7496" t="str">
        <f>"20190304154940997"</f>
        <v>20190304154940997</v>
      </c>
      <c r="B7496" t="str">
        <f>"1551685780995015"</f>
        <v>1551685780995015</v>
      </c>
      <c r="C7496" t="s">
        <v>40</v>
      </c>
      <c r="D7496">
        <v>4.1465290000000001</v>
      </c>
      <c r="E7496">
        <v>0.41225309999999998</v>
      </c>
      <c r="F7496" t="s">
        <v>71</v>
      </c>
      <c r="G7496">
        <v>-168.45060000000001</v>
      </c>
      <c r="H7496">
        <v>0.38849739999999999</v>
      </c>
      <c r="I7496">
        <v>-37.806469999999997</v>
      </c>
      <c r="J7496">
        <v>-214.05410000000001</v>
      </c>
      <c r="K7496">
        <v>1.1139190000000001</v>
      </c>
      <c r="L7496">
        <v>-62.729579999999999</v>
      </c>
      <c r="M7496">
        <v>0.99471030000000005</v>
      </c>
      <c r="N7496">
        <v>-1.1921090000000001E-2</v>
      </c>
      <c r="O7496">
        <v>0.1020269</v>
      </c>
      <c r="P7496">
        <v>0.94364170000000003</v>
      </c>
      <c r="Q7496">
        <v>0.1814858</v>
      </c>
      <c r="R7496">
        <v>0.27677279999999999</v>
      </c>
      <c r="S7496">
        <v>2.7503660000000001</v>
      </c>
      <c r="T7496">
        <v>-4.3594720000000003E-2</v>
      </c>
      <c r="U7496">
        <v>1.4989619999999999</v>
      </c>
      <c r="V7496">
        <v>-0.18054249999999999</v>
      </c>
      <c r="W7496">
        <v>0.1916001</v>
      </c>
      <c r="X7496">
        <v>0.96472469999999999</v>
      </c>
      <c r="Y7496">
        <v>-0.38638539999999999</v>
      </c>
      <c r="Z7496">
        <v>4.9630669999999998E-3</v>
      </c>
      <c r="AA7496">
        <v>0.92232409999999998</v>
      </c>
      <c r="AB7496">
        <v>31</v>
      </c>
      <c r="AC7496">
        <v>45.603499999999997</v>
      </c>
      <c r="AD7496">
        <v>-0.7254216</v>
      </c>
      <c r="AE7496">
        <v>24.923110000000001</v>
      </c>
      <c r="AF7496">
        <v>-20.135996445895799</v>
      </c>
      <c r="AG7496">
        <v>-0.7254216</v>
      </c>
      <c r="AH7496">
        <v>47.899166025893301</v>
      </c>
      <c r="AI7496">
        <v>90.799871148943694</v>
      </c>
      <c r="AJ7496">
        <v>112.80105829621</v>
      </c>
      <c r="AK7496">
        <v>51.964552296185197</v>
      </c>
      <c r="AL7496">
        <v>78.9538207119692</v>
      </c>
      <c r="AM7496">
        <v>100.59995293265401</v>
      </c>
      <c r="AN7496">
        <v>0.99999996970817395</v>
      </c>
    </row>
    <row r="7497" spans="1:40" x14ac:dyDescent="0.25">
      <c r="A7497" t="str">
        <f>"20190304154941008"</f>
        <v>20190304154941008</v>
      </c>
      <c r="B7497" t="str">
        <f>"1551685781004774"</f>
        <v>1551685781004774</v>
      </c>
      <c r="C7497" t="s">
        <v>40</v>
      </c>
      <c r="D7497">
        <v>4.1625699999999997</v>
      </c>
      <c r="E7497">
        <v>0.41223110000000002</v>
      </c>
      <c r="F7497" t="s">
        <v>45</v>
      </c>
      <c r="G7497">
        <v>-140.11070000000001</v>
      </c>
      <c r="H7497">
        <v>-0.05</v>
      </c>
      <c r="I7497">
        <v>-22.082979999999999</v>
      </c>
      <c r="J7497">
        <v>-213.8931</v>
      </c>
      <c r="K7497">
        <v>1.114007</v>
      </c>
      <c r="L7497">
        <v>-62.711089999999999</v>
      </c>
      <c r="M7497">
        <v>0.99449010000000004</v>
      </c>
      <c r="N7497">
        <v>-1.193395E-2</v>
      </c>
      <c r="O7497">
        <v>0.1041504</v>
      </c>
      <c r="P7497">
        <v>0.94254009999999999</v>
      </c>
      <c r="Q7497">
        <v>0.1822831</v>
      </c>
      <c r="R7497">
        <v>0.27998459999999997</v>
      </c>
      <c r="S7497">
        <v>2.7449189999999999</v>
      </c>
      <c r="T7497">
        <v>-4.3206929999999998E-2</v>
      </c>
      <c r="U7497">
        <v>1.5088809999999999</v>
      </c>
      <c r="V7497">
        <v>-0.18182899999999999</v>
      </c>
      <c r="W7497">
        <v>0.19236110000000001</v>
      </c>
      <c r="X7497">
        <v>0.96433159999999896</v>
      </c>
      <c r="Y7497">
        <v>-0.38774829999999999</v>
      </c>
      <c r="Z7497">
        <v>4.9694270000000002E-3</v>
      </c>
      <c r="AA7497">
        <v>0.92175189999999996</v>
      </c>
      <c r="AB7497">
        <v>31</v>
      </c>
      <c r="AC7497">
        <v>73.782399999999996</v>
      </c>
      <c r="AD7497">
        <v>-1.164007</v>
      </c>
      <c r="AE7497">
        <v>40.62811</v>
      </c>
      <c r="AF7497">
        <v>-32.715864158289598</v>
      </c>
      <c r="AG7497">
        <v>-1.164007</v>
      </c>
      <c r="AH7497">
        <v>77.597996467733594</v>
      </c>
      <c r="AI7497">
        <v>90.791904915726093</v>
      </c>
      <c r="AJ7497">
        <v>112.860632218205</v>
      </c>
      <c r="AK7497">
        <v>84.220732220315597</v>
      </c>
      <c r="AL7497">
        <v>78.909392605956299</v>
      </c>
      <c r="AM7497">
        <v>100.67800696791799</v>
      </c>
      <c r="AN7497">
        <v>1.0000000063963801</v>
      </c>
    </row>
    <row r="7498" spans="1:40" x14ac:dyDescent="0.25">
      <c r="A7498" t="str">
        <f>"20190304154941021"</f>
        <v>20190304154941021</v>
      </c>
      <c r="B7498" t="str">
        <f>"1551685781014535"</f>
        <v>1551685781014535</v>
      </c>
      <c r="C7498" t="s">
        <v>40</v>
      </c>
      <c r="D7498">
        <v>4.1767149999999997</v>
      </c>
      <c r="E7498">
        <v>0.41220990000000002</v>
      </c>
      <c r="F7498" t="s">
        <v>105</v>
      </c>
      <c r="G7498">
        <v>-141.62350000000001</v>
      </c>
      <c r="H7498">
        <v>5.5461879999999998E-2</v>
      </c>
      <c r="I7498">
        <v>-22.65</v>
      </c>
      <c r="J7498">
        <v>-213.7346</v>
      </c>
      <c r="K7498">
        <v>1.1140969999999999</v>
      </c>
      <c r="L7498">
        <v>-62.69238</v>
      </c>
      <c r="M7498">
        <v>0.99426079999999994</v>
      </c>
      <c r="N7498">
        <v>-1.194653E-2</v>
      </c>
      <c r="O7498">
        <v>0.10631500000000001</v>
      </c>
      <c r="P7498">
        <v>0.94115839999999995</v>
      </c>
      <c r="Q7498">
        <v>0.1845571</v>
      </c>
      <c r="R7498">
        <v>0.28312520000000002</v>
      </c>
      <c r="S7498">
        <v>2.739563</v>
      </c>
      <c r="T7498">
        <v>-4.0126920000000003E-2</v>
      </c>
      <c r="U7498">
        <v>1.518616</v>
      </c>
      <c r="V7498">
        <v>-0.1830493</v>
      </c>
      <c r="W7498">
        <v>0.19459489999999999</v>
      </c>
      <c r="X7498">
        <v>0.96365230000000002</v>
      </c>
      <c r="Y7498">
        <v>-0.38901799999999997</v>
      </c>
      <c r="Z7498">
        <v>4.8929749999999999E-3</v>
      </c>
      <c r="AA7498">
        <v>0.92121710000000001</v>
      </c>
      <c r="AB7498">
        <v>31</v>
      </c>
      <c r="AC7498">
        <v>72.111099999999993</v>
      </c>
      <c r="AD7498">
        <v>-1.0586351199999999</v>
      </c>
      <c r="AE7498">
        <v>40.042380000000001</v>
      </c>
      <c r="AF7498">
        <v>-32.143074301190602</v>
      </c>
      <c r="AG7498">
        <v>-1.0586351199999999</v>
      </c>
      <c r="AH7498">
        <v>75.947250449381897</v>
      </c>
      <c r="AI7498">
        <v>90.735450613803494</v>
      </c>
      <c r="AJ7498">
        <v>112.93948762575</v>
      </c>
      <c r="AK7498">
        <v>82.475952766065603</v>
      </c>
      <c r="AL7498">
        <v>78.778940111788799</v>
      </c>
      <c r="AM7498">
        <v>100.755405559351</v>
      </c>
      <c r="AN7498">
        <v>0.99999998831589398</v>
      </c>
    </row>
    <row r="7499" spans="1:40" x14ac:dyDescent="0.25">
      <c r="A7499" t="str">
        <f>"20190304154941032"</f>
        <v>20190304154941032</v>
      </c>
      <c r="B7499" t="str">
        <f>"1551685781024295"</f>
        <v>1551685781024295</v>
      </c>
      <c r="C7499" t="s">
        <v>40</v>
      </c>
      <c r="D7499">
        <v>4.18567</v>
      </c>
      <c r="E7499">
        <v>0.41221550000000001</v>
      </c>
      <c r="F7499" t="s">
        <v>105</v>
      </c>
      <c r="G7499">
        <v>-142.125</v>
      </c>
      <c r="H7499">
        <v>0.27449990000000002</v>
      </c>
      <c r="I7499">
        <v>-22.65</v>
      </c>
      <c r="J7499">
        <v>-213.58179999999999</v>
      </c>
      <c r="K7499">
        <v>1.114182</v>
      </c>
      <c r="L7499">
        <v>-62.674190000000003</v>
      </c>
      <c r="M7499">
        <v>0.99403319999999995</v>
      </c>
      <c r="N7499">
        <v>-1.195834E-2</v>
      </c>
      <c r="O7499">
        <v>0.1084218</v>
      </c>
      <c r="P7499">
        <v>0.9398936</v>
      </c>
      <c r="Q7499">
        <v>0.1865967</v>
      </c>
      <c r="R7499">
        <v>0.28597549999999999</v>
      </c>
      <c r="S7499">
        <v>2.7339319999999998</v>
      </c>
      <c r="T7499">
        <v>-3.2054310000000003E-2</v>
      </c>
      <c r="U7499">
        <v>1.528748</v>
      </c>
      <c r="V7499">
        <v>-0.18402560000000001</v>
      </c>
      <c r="W7499">
        <v>0.19659779999999999</v>
      </c>
      <c r="X7499">
        <v>0.96305969999999996</v>
      </c>
      <c r="Y7499">
        <v>-0.39049149999999999</v>
      </c>
      <c r="Z7499">
        <v>4.6726739999999999E-3</v>
      </c>
      <c r="AA7499">
        <v>0.92059469999999999</v>
      </c>
      <c r="AB7499">
        <v>31</v>
      </c>
      <c r="AC7499">
        <v>71.456799999999902</v>
      </c>
      <c r="AD7499">
        <v>-0.83968209999999999</v>
      </c>
      <c r="AE7499">
        <v>40.024189999999997</v>
      </c>
      <c r="AF7499">
        <v>-32.0368177749098</v>
      </c>
      <c r="AG7499">
        <v>-0.83968209999999999</v>
      </c>
      <c r="AH7499">
        <v>75.3673831872146</v>
      </c>
      <c r="AI7499">
        <v>90.587450262548899</v>
      </c>
      <c r="AJ7499">
        <v>113.029149284083</v>
      </c>
      <c r="AK7499">
        <v>81.898139219766605</v>
      </c>
      <c r="AL7499">
        <v>78.661922830013395</v>
      </c>
      <c r="AM7499">
        <v>100.817917012621</v>
      </c>
      <c r="AN7499">
        <v>1.0000000510921401</v>
      </c>
    </row>
    <row r="7500" spans="1:40" x14ac:dyDescent="0.25">
      <c r="A7500" t="str">
        <f>"20190304154941042"</f>
        <v>20190304154941042</v>
      </c>
      <c r="B7500" t="str">
        <f>"1551685781035031"</f>
        <v>1551685781035031</v>
      </c>
      <c r="C7500" t="s">
        <v>40</v>
      </c>
      <c r="D7500">
        <v>4.1493149999999996</v>
      </c>
      <c r="E7500">
        <v>0.41221869999999999</v>
      </c>
      <c r="F7500" t="s">
        <v>105</v>
      </c>
      <c r="G7500">
        <v>-142.57239999999999</v>
      </c>
      <c r="H7500">
        <v>0.47381970000000001</v>
      </c>
      <c r="I7500">
        <v>-22.650010000000002</v>
      </c>
      <c r="J7500">
        <v>-213.42609999999999</v>
      </c>
      <c r="K7500">
        <v>1.114269</v>
      </c>
      <c r="L7500">
        <v>-62.654940000000003</v>
      </c>
      <c r="M7500">
        <v>0.99378599999999995</v>
      </c>
      <c r="N7500">
        <v>-1.197081E-2</v>
      </c>
      <c r="O7500">
        <v>0.1106616</v>
      </c>
      <c r="P7500">
        <v>0.93854749999999998</v>
      </c>
      <c r="Q7500">
        <v>0.18876219999999999</v>
      </c>
      <c r="R7500">
        <v>0.28895949999999998</v>
      </c>
      <c r="S7500">
        <v>2.7287599999999999</v>
      </c>
      <c r="T7500">
        <v>-2.4607779999999999E-2</v>
      </c>
      <c r="U7500">
        <v>1.5380549999999999</v>
      </c>
      <c r="V7500">
        <v>-0.1850214</v>
      </c>
      <c r="W7500">
        <v>0.19872319999999999</v>
      </c>
      <c r="X7500">
        <v>0.96243239999999997</v>
      </c>
      <c r="Y7500">
        <v>-0.39156059999999998</v>
      </c>
      <c r="Z7500">
        <v>4.4738950000000003E-3</v>
      </c>
      <c r="AA7500">
        <v>0.92014149999999995</v>
      </c>
      <c r="AB7500">
        <v>31</v>
      </c>
      <c r="AC7500">
        <v>70.853700000000003</v>
      </c>
      <c r="AD7500">
        <v>-0.6404493</v>
      </c>
      <c r="AE7500">
        <v>40.004930000000002</v>
      </c>
      <c r="AF7500">
        <v>-31.915866776412901</v>
      </c>
      <c r="AG7500">
        <v>-0.6404493</v>
      </c>
      <c r="AH7500">
        <v>74.841154464125793</v>
      </c>
      <c r="AI7500">
        <v>90.450998706691195</v>
      </c>
      <c r="AJ7500">
        <v>113.09573083830099</v>
      </c>
      <c r="AK7500">
        <v>81.3648027645784</v>
      </c>
      <c r="AL7500">
        <v>78.537694554761998</v>
      </c>
      <c r="AM7500">
        <v>100.88198177699699</v>
      </c>
      <c r="AN7500">
        <v>0.99999997662297901</v>
      </c>
    </row>
    <row r="7501" spans="1:40" x14ac:dyDescent="0.25">
      <c r="A7501" t="str">
        <f>"20190304154941053"</f>
        <v>20190304154941053</v>
      </c>
      <c r="B7501" t="str">
        <f>"1551685781044791"</f>
        <v>1551685781044791</v>
      </c>
      <c r="C7501" t="s">
        <v>40</v>
      </c>
      <c r="D7501">
        <v>4.202553</v>
      </c>
      <c r="E7501">
        <v>0.41226689999999999</v>
      </c>
      <c r="F7501" t="s">
        <v>105</v>
      </c>
      <c r="G7501">
        <v>-143.0241</v>
      </c>
      <c r="H7501">
        <v>0.676656699999999</v>
      </c>
      <c r="I7501">
        <v>-22.650010000000002</v>
      </c>
      <c r="J7501">
        <v>-213.28149999999999</v>
      </c>
      <c r="K7501">
        <v>1.1143479999999999</v>
      </c>
      <c r="L7501">
        <v>-62.636960000000002</v>
      </c>
      <c r="M7501">
        <v>0.9935503</v>
      </c>
      <c r="N7501">
        <v>-1.1982120000000001E-2</v>
      </c>
      <c r="O7501">
        <v>0.1127572</v>
      </c>
      <c r="P7501">
        <v>0.93732760000000004</v>
      </c>
      <c r="Q7501">
        <v>0.19015190000000001</v>
      </c>
      <c r="R7501">
        <v>0.29199190000000003</v>
      </c>
      <c r="S7501">
        <v>2.723373</v>
      </c>
      <c r="T7501">
        <v>-1.692832E-2</v>
      </c>
      <c r="U7501">
        <v>1.5475159999999999</v>
      </c>
      <c r="V7501">
        <v>-0.18618570000000001</v>
      </c>
      <c r="W7501">
        <v>0.200074</v>
      </c>
      <c r="X7501">
        <v>0.96192789999999995</v>
      </c>
      <c r="Y7501">
        <v>-0.39283089999999998</v>
      </c>
      <c r="Z7501">
        <v>4.2772130000000002E-3</v>
      </c>
      <c r="AA7501">
        <v>0.9196008</v>
      </c>
      <c r="AB7501">
        <v>31</v>
      </c>
      <c r="AC7501">
        <v>70.257399999999905</v>
      </c>
      <c r="AD7501">
        <v>-0.43769129999999901</v>
      </c>
      <c r="AE7501">
        <v>39.986949999999901</v>
      </c>
      <c r="AF7501">
        <v>-31.808370242529399</v>
      </c>
      <c r="AG7501">
        <v>-0.43769129999999901</v>
      </c>
      <c r="AH7501">
        <v>74.3162356223431</v>
      </c>
      <c r="AI7501">
        <v>90.310223216482001</v>
      </c>
      <c r="AJ7501">
        <v>113.17159030732201</v>
      </c>
      <c r="AK7501">
        <v>80.838523416967206</v>
      </c>
      <c r="AL7501">
        <v>78.458713646756095</v>
      </c>
      <c r="AM7501">
        <v>100.954413231155</v>
      </c>
      <c r="AN7501">
        <v>1.00000000257945</v>
      </c>
    </row>
    <row r="7502" spans="1:40" x14ac:dyDescent="0.25">
      <c r="A7502" t="str">
        <f>"20190304154941064"</f>
        <v>20190304154941064</v>
      </c>
      <c r="B7502" t="str">
        <f>"1551685781054551"</f>
        <v>1551685781054551</v>
      </c>
      <c r="C7502" t="s">
        <v>40</v>
      </c>
      <c r="D7502">
        <v>4.243671</v>
      </c>
      <c r="E7502">
        <v>0.41230529999999999</v>
      </c>
      <c r="F7502" t="s">
        <v>105</v>
      </c>
      <c r="G7502">
        <v>-143.4641</v>
      </c>
      <c r="H7502">
        <v>0.80602649999999998</v>
      </c>
      <c r="I7502">
        <v>-22.650010000000002</v>
      </c>
      <c r="J7502">
        <v>-213.1198</v>
      </c>
      <c r="K7502">
        <v>1.114433</v>
      </c>
      <c r="L7502">
        <v>-62.616239999999998</v>
      </c>
      <c r="M7502">
        <v>0.99327270000000001</v>
      </c>
      <c r="N7502">
        <v>-1.1994980000000001E-2</v>
      </c>
      <c r="O7502">
        <v>0.1151763</v>
      </c>
      <c r="P7502">
        <v>0.93632689999999996</v>
      </c>
      <c r="Q7502">
        <v>0.19010260000000001</v>
      </c>
      <c r="R7502">
        <v>0.2952169</v>
      </c>
      <c r="S7502">
        <v>2.7180629999999999</v>
      </c>
      <c r="T7502">
        <v>-1.200318E-2</v>
      </c>
      <c r="U7502">
        <v>1.556732</v>
      </c>
      <c r="V7502">
        <v>-0.18719659999999999</v>
      </c>
      <c r="W7502">
        <v>0.1999881</v>
      </c>
      <c r="X7502">
        <v>0.96174959999999998</v>
      </c>
      <c r="Y7502">
        <v>-0.39372180000000001</v>
      </c>
      <c r="Z7502">
        <v>4.1656260000000004E-3</v>
      </c>
      <c r="AA7502">
        <v>0.91922020000000004</v>
      </c>
      <c r="AB7502">
        <v>31</v>
      </c>
      <c r="AC7502">
        <v>69.655699999999996</v>
      </c>
      <c r="AD7502">
        <v>-0.30840649999999997</v>
      </c>
      <c r="AE7502">
        <v>39.966229999999896</v>
      </c>
      <c r="AF7502">
        <v>-31.676489283209602</v>
      </c>
      <c r="AG7502">
        <v>-0.30840649999999997</v>
      </c>
      <c r="AH7502">
        <v>73.794484107305394</v>
      </c>
      <c r="AI7502">
        <v>90.220037631177803</v>
      </c>
      <c r="AJ7502">
        <v>113.23156442996699</v>
      </c>
      <c r="AK7502">
        <v>80.306419248662095</v>
      </c>
      <c r="AL7502">
        <v>78.4637374321685</v>
      </c>
      <c r="AM7502">
        <v>101.014431930904</v>
      </c>
      <c r="AN7502">
        <v>1.0000000501466599</v>
      </c>
    </row>
    <row r="7503" spans="1:40" x14ac:dyDescent="0.25">
      <c r="A7503" t="str">
        <f>"20190304154941076"</f>
        <v>20190304154941076</v>
      </c>
      <c r="B7503" t="str">
        <f>"1551685781064312"</f>
        <v>1551685781064312</v>
      </c>
      <c r="C7503" t="s">
        <v>40</v>
      </c>
      <c r="D7503">
        <v>4.2839019999999897</v>
      </c>
      <c r="E7503">
        <v>0.41246820000000001</v>
      </c>
      <c r="F7503" t="s">
        <v>105</v>
      </c>
      <c r="G7503">
        <v>-143.90520000000001</v>
      </c>
      <c r="H7503">
        <v>0.82585909999999996</v>
      </c>
      <c r="I7503">
        <v>-22.650010000000002</v>
      </c>
      <c r="J7503">
        <v>-212.97730000000001</v>
      </c>
      <c r="K7503">
        <v>1.1145069999999999</v>
      </c>
      <c r="L7503">
        <v>-62.597749999999998</v>
      </c>
      <c r="M7503">
        <v>0.99301919999999999</v>
      </c>
      <c r="N7503">
        <v>-1.200611E-2</v>
      </c>
      <c r="O7503">
        <v>0.11733970000000001</v>
      </c>
      <c r="P7503">
        <v>0.93538270000000001</v>
      </c>
      <c r="Q7503">
        <v>0.18984770000000001</v>
      </c>
      <c r="R7503">
        <v>0.29835689999999998</v>
      </c>
      <c r="S7503">
        <v>2.7124790000000001</v>
      </c>
      <c r="T7503">
        <v>-1.130891E-2</v>
      </c>
      <c r="U7503">
        <v>1.566254</v>
      </c>
      <c r="V7503">
        <v>-0.18835950000000001</v>
      </c>
      <c r="W7503">
        <v>0.1996975</v>
      </c>
      <c r="X7503">
        <v>0.96158290000000002</v>
      </c>
      <c r="Y7503">
        <v>-0.39495940000000002</v>
      </c>
      <c r="Z7503">
        <v>4.1777799999999999E-3</v>
      </c>
      <c r="AA7503">
        <v>0.91868910000000004</v>
      </c>
      <c r="AB7503">
        <v>31</v>
      </c>
      <c r="AC7503">
        <v>69.072100000000006</v>
      </c>
      <c r="AD7503">
        <v>-0.28864789999999901</v>
      </c>
      <c r="AE7503">
        <v>39.947740000000003</v>
      </c>
      <c r="AF7503">
        <v>-31.5658372507622</v>
      </c>
      <c r="AG7503">
        <v>-0.28864789999999901</v>
      </c>
      <c r="AH7503">
        <v>73.281704512289707</v>
      </c>
      <c r="AI7503">
        <v>90.207269312308696</v>
      </c>
      <c r="AJ7503">
        <v>113.30379168096501</v>
      </c>
      <c r="AK7503">
        <v>79.791563558927194</v>
      </c>
      <c r="AL7503">
        <v>78.480730168483007</v>
      </c>
      <c r="AM7503">
        <v>101.083040596136</v>
      </c>
      <c r="AN7503">
        <v>1.0000000331594501</v>
      </c>
    </row>
    <row r="7504" spans="1:40" x14ac:dyDescent="0.25">
      <c r="A7504" t="str">
        <f>"20190304154941087"</f>
        <v>20190304154941087</v>
      </c>
      <c r="B7504" t="str">
        <f>"1551685781084807"</f>
        <v>1551685781084807</v>
      </c>
      <c r="C7504" t="s">
        <v>40</v>
      </c>
      <c r="D7504">
        <v>4.364636</v>
      </c>
      <c r="E7504">
        <v>0.43786049999999899</v>
      </c>
      <c r="F7504" t="s">
        <v>105</v>
      </c>
      <c r="G7504">
        <v>-144.29239999999999</v>
      </c>
      <c r="H7504">
        <v>0.81064609999999904</v>
      </c>
      <c r="I7504">
        <v>-22.650010000000002</v>
      </c>
      <c r="J7504">
        <v>-212.80680000000001</v>
      </c>
      <c r="K7504">
        <v>1.1145929999999999</v>
      </c>
      <c r="L7504">
        <v>-62.575099999999999</v>
      </c>
      <c r="M7504">
        <v>0.99270230000000004</v>
      </c>
      <c r="N7504">
        <v>-1.201929E-2</v>
      </c>
      <c r="O7504">
        <v>0.1199905</v>
      </c>
      <c r="P7504">
        <v>0.93432269999999995</v>
      </c>
      <c r="Q7504">
        <v>0.1895221</v>
      </c>
      <c r="R7504">
        <v>0.30186540000000001</v>
      </c>
      <c r="S7504">
        <v>2.7073969999999998</v>
      </c>
      <c r="T7504">
        <v>-1.197755E-2</v>
      </c>
      <c r="U7504">
        <v>1.574646</v>
      </c>
      <c r="V7504">
        <v>-0.18943660000000001</v>
      </c>
      <c r="W7504">
        <v>0.1993316</v>
      </c>
      <c r="X7504">
        <v>0.96144719999999995</v>
      </c>
      <c r="Y7504">
        <v>-0.39538259999999997</v>
      </c>
      <c r="Z7504">
        <v>4.2251049999999998E-3</v>
      </c>
      <c r="AA7504">
        <v>0.91850679999999996</v>
      </c>
      <c r="AB7504">
        <v>31</v>
      </c>
      <c r="AC7504">
        <v>68.514399999999995</v>
      </c>
      <c r="AD7504">
        <v>-0.30394690000000002</v>
      </c>
      <c r="AE7504">
        <v>39.925089999999997</v>
      </c>
      <c r="AF7504">
        <v>-31.414458639511</v>
      </c>
      <c r="AG7504">
        <v>-0.30394690000000002</v>
      </c>
      <c r="AH7504">
        <v>72.809222244782902</v>
      </c>
      <c r="AI7504">
        <v>90.219614087006207</v>
      </c>
      <c r="AJ7504">
        <v>113.338392734126</v>
      </c>
      <c r="AK7504">
        <v>79.297814845188299</v>
      </c>
      <c r="AL7504">
        <v>78.502124627982397</v>
      </c>
      <c r="AM7504">
        <v>101.146368377786</v>
      </c>
      <c r="AN7504">
        <v>1.00000001528297</v>
      </c>
    </row>
    <row r="7505" spans="1:40" x14ac:dyDescent="0.25">
      <c r="A7505" t="str">
        <f>"20190304154941098"</f>
        <v>20190304154941098</v>
      </c>
      <c r="B7505" t="str">
        <f>"1551685781094567"</f>
        <v>1551685781094567</v>
      </c>
      <c r="C7505" t="s">
        <v>40</v>
      </c>
      <c r="D7505">
        <v>4.3241319999999996</v>
      </c>
      <c r="E7505">
        <v>0.44191079999999999</v>
      </c>
      <c r="F7505" t="s">
        <v>68</v>
      </c>
      <c r="G7505">
        <v>-178.24529999999999</v>
      </c>
      <c r="H7505">
        <v>7.9986589999999996E-2</v>
      </c>
      <c r="I7505">
        <v>-45.224020000000003</v>
      </c>
      <c r="J7505">
        <v>-212.66900000000001</v>
      </c>
      <c r="K7505">
        <v>1.1146659999999999</v>
      </c>
      <c r="L7505">
        <v>-62.556339999999999</v>
      </c>
      <c r="M7505">
        <v>0.99243409999999999</v>
      </c>
      <c r="N7505">
        <v>-1.20299E-2</v>
      </c>
      <c r="O7505">
        <v>0.12218710000000001</v>
      </c>
      <c r="P7505">
        <v>0.93358890000000005</v>
      </c>
      <c r="Q7505">
        <v>0.18853600000000001</v>
      </c>
      <c r="R7505">
        <v>0.30473869999999997</v>
      </c>
      <c r="S7505">
        <v>2.7772670000000002</v>
      </c>
      <c r="T7505">
        <v>-8.3138229999999994E-2</v>
      </c>
      <c r="U7505">
        <v>1.3942870000000001</v>
      </c>
      <c r="V7505">
        <v>-0.190272</v>
      </c>
      <c r="W7505">
        <v>0.1983143</v>
      </c>
      <c r="X7505">
        <v>0.96149260000000003</v>
      </c>
      <c r="Y7505">
        <v>-0.33593790000000001</v>
      </c>
      <c r="Z7505">
        <v>4.8604140000000004E-3</v>
      </c>
      <c r="AA7505">
        <v>0.94187160000000003</v>
      </c>
      <c r="AB7505">
        <v>31</v>
      </c>
      <c r="AC7505">
        <v>34.423699999999997</v>
      </c>
      <c r="AD7505">
        <v>-1.0346794100000001</v>
      </c>
      <c r="AE7505">
        <v>17.332319999999999</v>
      </c>
      <c r="AF7505">
        <v>-12.9866349634929</v>
      </c>
      <c r="AG7505">
        <v>-1.0346794100000001</v>
      </c>
      <c r="AH7505">
        <v>36.257536322056097</v>
      </c>
      <c r="AI7505">
        <v>91.538916674381994</v>
      </c>
      <c r="AJ7505">
        <v>109.706383277626</v>
      </c>
      <c r="AK7505">
        <v>38.527031929564899</v>
      </c>
      <c r="AL7505">
        <v>78.561598919415303</v>
      </c>
      <c r="AM7505">
        <v>101.193768967944</v>
      </c>
      <c r="AN7505">
        <v>1.00000000771162</v>
      </c>
    </row>
    <row r="7506" spans="1:40" x14ac:dyDescent="0.25">
      <c r="A7506" t="str">
        <f>"20190304154941109"</f>
        <v>20190304154941109</v>
      </c>
      <c r="B7506" t="str">
        <f>"1551685781104330"</f>
        <v>1551685781104330</v>
      </c>
      <c r="C7506" t="s">
        <v>40</v>
      </c>
      <c r="D7506">
        <v>4.335267</v>
      </c>
      <c r="E7506">
        <v>0.4442334</v>
      </c>
      <c r="F7506" t="s">
        <v>68</v>
      </c>
      <c r="G7506">
        <v>-182.5204</v>
      </c>
      <c r="H7506" s="1">
        <v>-3.4676270000000002E-6</v>
      </c>
      <c r="I7506">
        <v>-47.701529999999998</v>
      </c>
      <c r="J7506">
        <v>-212.51589999999999</v>
      </c>
      <c r="K7506">
        <v>1.1147450000000001</v>
      </c>
      <c r="L7506">
        <v>-62.535249999999998</v>
      </c>
      <c r="M7506">
        <v>0.99212599999999995</v>
      </c>
      <c r="N7506">
        <v>-1.204146E-2</v>
      </c>
      <c r="O7506">
        <v>0.1246636</v>
      </c>
      <c r="P7506">
        <v>0.93268150000000005</v>
      </c>
      <c r="Q7506">
        <v>0.18817300000000001</v>
      </c>
      <c r="R7506">
        <v>0.30772759999999999</v>
      </c>
      <c r="S7506">
        <v>2.7861180000000001</v>
      </c>
      <c r="T7506">
        <v>-0.10300960000000001</v>
      </c>
      <c r="U7506">
        <v>1.3727720000000001</v>
      </c>
      <c r="V7506">
        <v>-0.19098129999999999</v>
      </c>
      <c r="W7506">
        <v>0.1979156</v>
      </c>
      <c r="X7506">
        <v>0.96143409999999996</v>
      </c>
      <c r="Y7506">
        <v>-0.32648139999999998</v>
      </c>
      <c r="Z7506">
        <v>4.8952420000000002E-3</v>
      </c>
      <c r="AA7506">
        <v>0.945191</v>
      </c>
      <c r="AB7506">
        <v>31</v>
      </c>
      <c r="AC7506">
        <v>29.9955</v>
      </c>
      <c r="AD7506">
        <v>-1.1147484676270001</v>
      </c>
      <c r="AE7506">
        <v>14.83372</v>
      </c>
      <c r="AF7506">
        <v>-10.9661984232233</v>
      </c>
      <c r="AG7506">
        <v>-1.1147484676270001</v>
      </c>
      <c r="AH7506">
        <v>31.575790792407702</v>
      </c>
      <c r="AI7506">
        <v>91.910099554334096</v>
      </c>
      <c r="AJ7506">
        <v>109.15199486684701</v>
      </c>
      <c r="AK7506">
        <v>33.444442530403798</v>
      </c>
      <c r="AL7506">
        <v>78.584904434390893</v>
      </c>
      <c r="AM7506">
        <v>101.235104070907</v>
      </c>
      <c r="AN7506">
        <v>0.99999998515792898</v>
      </c>
    </row>
    <row r="7507" spans="1:40" x14ac:dyDescent="0.25">
      <c r="A7507" t="str">
        <f>"20190304154941120"</f>
        <v>20190304154941120</v>
      </c>
      <c r="B7507" t="str">
        <f>"1551685781115063"</f>
        <v>1551685781115063</v>
      </c>
      <c r="C7507" t="s">
        <v>40</v>
      </c>
      <c r="D7507">
        <v>4.3371050000000002</v>
      </c>
      <c r="E7507">
        <v>0.44598450000000001</v>
      </c>
      <c r="F7507" t="s">
        <v>68</v>
      </c>
      <c r="G7507">
        <v>-184.51570000000001</v>
      </c>
      <c r="H7507" s="1">
        <v>-3.239829E-6</v>
      </c>
      <c r="I7507">
        <v>-48.835979999999999</v>
      </c>
      <c r="J7507">
        <v>-212.35579999999999</v>
      </c>
      <c r="K7507">
        <v>1.114832</v>
      </c>
      <c r="L7507">
        <v>-62.512509999999999</v>
      </c>
      <c r="M7507">
        <v>0.99178639999999996</v>
      </c>
      <c r="N7507">
        <v>-1.2053899999999999E-2</v>
      </c>
      <c r="O7507">
        <v>0.12733649999999999</v>
      </c>
      <c r="P7507">
        <v>0.93144490000000002</v>
      </c>
      <c r="Q7507">
        <v>0.18857199999999999</v>
      </c>
      <c r="R7507">
        <v>0.31120879999999901</v>
      </c>
      <c r="S7507">
        <v>2.7887420000000001</v>
      </c>
      <c r="T7507">
        <v>-0.1110259</v>
      </c>
      <c r="U7507">
        <v>1.3644099999999999</v>
      </c>
      <c r="V7507">
        <v>-0.19204270000000001</v>
      </c>
      <c r="W7507">
        <v>0.19827030000000001</v>
      </c>
      <c r="X7507">
        <v>0.96114960000000005</v>
      </c>
      <c r="Y7507">
        <v>-0.32127169999999999</v>
      </c>
      <c r="Z7507">
        <v>4.8072740000000003E-3</v>
      </c>
      <c r="AA7507">
        <v>0.94697489999999995</v>
      </c>
      <c r="AB7507">
        <v>31</v>
      </c>
      <c r="AC7507">
        <v>27.8400999999999</v>
      </c>
      <c r="AD7507">
        <v>-1.114835239829</v>
      </c>
      <c r="AE7507">
        <v>13.67653</v>
      </c>
      <c r="AF7507">
        <v>-10.0069359057998</v>
      </c>
      <c r="AG7507">
        <v>-1.114835239829</v>
      </c>
      <c r="AH7507">
        <v>29.317212822229401</v>
      </c>
      <c r="AI7507">
        <v>92.061067798129997</v>
      </c>
      <c r="AJ7507">
        <v>108.84647303117499</v>
      </c>
      <c r="AK7507">
        <v>30.998073996599199</v>
      </c>
      <c r="AL7507">
        <v>78.564171289718601</v>
      </c>
      <c r="AM7507">
        <v>101.299200816415</v>
      </c>
      <c r="AN7507">
        <v>1.00000003203276</v>
      </c>
    </row>
    <row r="7508" spans="1:40" x14ac:dyDescent="0.25">
      <c r="A7508" t="str">
        <f>"20190304154941131"</f>
        <v>20190304154941131</v>
      </c>
      <c r="B7508" t="str">
        <f>"1551685781124823"</f>
        <v>1551685781124823</v>
      </c>
      <c r="C7508" t="s">
        <v>40</v>
      </c>
      <c r="D7508">
        <v>4.2966290000000003</v>
      </c>
      <c r="E7508">
        <v>0.44685780000000003</v>
      </c>
      <c r="F7508" t="s">
        <v>68</v>
      </c>
      <c r="G7508">
        <v>-185.5352</v>
      </c>
      <c r="H7508" s="1">
        <v>-3.1227810000000001E-6</v>
      </c>
      <c r="I7508">
        <v>-49.416730000000001</v>
      </c>
      <c r="J7508">
        <v>-212.1996</v>
      </c>
      <c r="K7508">
        <v>1.114924</v>
      </c>
      <c r="L7508">
        <v>-62.490110000000001</v>
      </c>
      <c r="M7508">
        <v>0.9914442</v>
      </c>
      <c r="N7508">
        <v>-1.206576E-2</v>
      </c>
      <c r="O7508">
        <v>0.12997249999999999</v>
      </c>
      <c r="P7508">
        <v>0.93035210000000002</v>
      </c>
      <c r="Q7508">
        <v>0.18863060000000001</v>
      </c>
      <c r="R7508">
        <v>0.31442579999999998</v>
      </c>
      <c r="S7508">
        <v>2.7892299999999999</v>
      </c>
      <c r="T7508">
        <v>-0.11593829999999999</v>
      </c>
      <c r="U7508">
        <v>1.3619079999999999</v>
      </c>
      <c r="V7508">
        <v>-0.19285720000000001</v>
      </c>
      <c r="W7508">
        <v>0.19828760000000001</v>
      </c>
      <c r="X7508">
        <v>0.96098289999999997</v>
      </c>
      <c r="Y7508">
        <v>-0.31798870000000001</v>
      </c>
      <c r="Z7508">
        <v>4.7118940000000003E-3</v>
      </c>
      <c r="AA7508">
        <v>0.9480828</v>
      </c>
      <c r="AB7508">
        <v>31</v>
      </c>
      <c r="AC7508">
        <v>26.664400000000001</v>
      </c>
      <c r="AD7508">
        <v>-1.114927122781</v>
      </c>
      <c r="AE7508">
        <v>13.073379999999901</v>
      </c>
      <c r="AF7508">
        <v>-9.4832123756526308</v>
      </c>
      <c r="AG7508">
        <v>-1.114927122781</v>
      </c>
      <c r="AH7508">
        <v>28.0978877596778</v>
      </c>
      <c r="AI7508">
        <v>92.153107922557197</v>
      </c>
      <c r="AJ7508">
        <v>108.64985958354001</v>
      </c>
      <c r="AK7508">
        <v>29.676011794146</v>
      </c>
      <c r="AL7508">
        <v>78.563159657594099</v>
      </c>
      <c r="AM7508">
        <v>101.347800082449</v>
      </c>
      <c r="AN7508">
        <v>1.0000000029989999</v>
      </c>
    </row>
    <row r="7509" spans="1:40" x14ac:dyDescent="0.25">
      <c r="A7509" t="str">
        <f>"20190304154941142"</f>
        <v>20190304154941142</v>
      </c>
      <c r="B7509" t="str">
        <f>"1551685781134583"</f>
        <v>1551685781134583</v>
      </c>
      <c r="C7509" t="s">
        <v>40</v>
      </c>
      <c r="D7509">
        <v>4.3113419999999998</v>
      </c>
      <c r="E7509">
        <v>0.44755630000000002</v>
      </c>
      <c r="F7509" t="s">
        <v>68</v>
      </c>
      <c r="G7509">
        <v>-186.23439999999999</v>
      </c>
      <c r="H7509" s="1">
        <v>-3.0662629999999998E-6</v>
      </c>
      <c r="I7509">
        <v>-49.774880000000003</v>
      </c>
      <c r="J7509">
        <v>-212.05170000000001</v>
      </c>
      <c r="K7509">
        <v>1.1150180000000001</v>
      </c>
      <c r="L7509">
        <v>-62.468169999999901</v>
      </c>
      <c r="M7509">
        <v>0.9911008</v>
      </c>
      <c r="N7509">
        <v>-1.207772E-2</v>
      </c>
      <c r="O7509">
        <v>0.13256409999999999</v>
      </c>
      <c r="P7509">
        <v>0.92940900000000004</v>
      </c>
      <c r="Q7509">
        <v>0.18753929999999999</v>
      </c>
      <c r="R7509">
        <v>0.31784869999999998</v>
      </c>
      <c r="S7509">
        <v>2.787506</v>
      </c>
      <c r="T7509">
        <v>-0.1196936</v>
      </c>
      <c r="U7509">
        <v>1.365051</v>
      </c>
      <c r="V7509">
        <v>-0.19388839999999999</v>
      </c>
      <c r="W7509">
        <v>0.19715550000000001</v>
      </c>
      <c r="X7509">
        <v>0.96100830000000004</v>
      </c>
      <c r="Y7509">
        <v>-0.31659330000000002</v>
      </c>
      <c r="Z7509">
        <v>4.6446450000000002E-3</v>
      </c>
      <c r="AA7509">
        <v>0.94855</v>
      </c>
      <c r="AB7509">
        <v>31</v>
      </c>
      <c r="AC7509">
        <v>25.817299999999999</v>
      </c>
      <c r="AD7509">
        <v>-1.115021066263</v>
      </c>
      <c r="AE7509">
        <v>12.6932899999999</v>
      </c>
      <c r="AF7509">
        <v>-9.1448141335272908</v>
      </c>
      <c r="AG7509">
        <v>-1.115021066263</v>
      </c>
      <c r="AH7509">
        <v>27.231305742189999</v>
      </c>
      <c r="AI7509">
        <v>92.222877789312193</v>
      </c>
      <c r="AJ7509">
        <v>108.563075378797</v>
      </c>
      <c r="AK7509">
        <v>28.747433101750101</v>
      </c>
      <c r="AL7509">
        <v>78.629330253237598</v>
      </c>
      <c r="AM7509">
        <v>101.406596153424</v>
      </c>
      <c r="AN7509">
        <v>0.99999997775184901</v>
      </c>
    </row>
    <row r="7510" spans="1:40" x14ac:dyDescent="0.25">
      <c r="A7510" t="str">
        <f>"20190304154941154"</f>
        <v>20190304154941154</v>
      </c>
      <c r="B7510" t="str">
        <f>"1551685781144343"</f>
        <v>1551685781144343</v>
      </c>
      <c r="C7510" t="s">
        <v>40</v>
      </c>
      <c r="D7510">
        <v>4.3405570000000004</v>
      </c>
      <c r="E7510">
        <v>0.44816640000000002</v>
      </c>
      <c r="F7510" t="s">
        <v>68</v>
      </c>
      <c r="G7510">
        <v>-187.0838</v>
      </c>
      <c r="H7510" s="1">
        <v>-3.0119630000000002E-6</v>
      </c>
      <c r="I7510">
        <v>-50.185720000000003</v>
      </c>
      <c r="J7510">
        <v>-211.899</v>
      </c>
      <c r="K7510">
        <v>1.1151150000000001</v>
      </c>
      <c r="L7510">
        <v>-62.445309999999999</v>
      </c>
      <c r="M7510">
        <v>0.99073639999999996</v>
      </c>
      <c r="N7510">
        <v>-1.20897E-2</v>
      </c>
      <c r="O7510">
        <v>0.13525980000000001</v>
      </c>
      <c r="P7510">
        <v>0.92851189999999995</v>
      </c>
      <c r="Q7510">
        <v>0.1858139</v>
      </c>
      <c r="R7510">
        <v>0.32146400000000003</v>
      </c>
      <c r="S7510">
        <v>2.7845</v>
      </c>
      <c r="T7510">
        <v>-0.124351</v>
      </c>
      <c r="U7510">
        <v>1.3697809999999999</v>
      </c>
      <c r="V7510">
        <v>-0.194997</v>
      </c>
      <c r="W7510">
        <v>0.19538759999999999</v>
      </c>
      <c r="X7510">
        <v>0.96114500000000003</v>
      </c>
      <c r="Y7510">
        <v>-0.31570150000000002</v>
      </c>
      <c r="Z7510">
        <v>4.5876880000000004E-3</v>
      </c>
      <c r="AA7510">
        <v>0.94884749999999995</v>
      </c>
      <c r="AB7510">
        <v>31</v>
      </c>
      <c r="AC7510">
        <v>24.815200000000001</v>
      </c>
      <c r="AD7510">
        <v>-1.11511801196299</v>
      </c>
      <c r="AE7510">
        <v>12.2595899999999</v>
      </c>
      <c r="AF7510">
        <v>-8.7759208259223396</v>
      </c>
      <c r="AG7510">
        <v>-1.11511801196299</v>
      </c>
      <c r="AH7510">
        <v>26.2029383344858</v>
      </c>
      <c r="AI7510">
        <v>92.310850602165004</v>
      </c>
      <c r="AJ7510">
        <v>108.516792541497</v>
      </c>
      <c r="AK7510">
        <v>27.655998479250801</v>
      </c>
      <c r="AL7510">
        <v>78.732632184547597</v>
      </c>
      <c r="AM7510">
        <v>101.468503889077</v>
      </c>
      <c r="AN7510">
        <v>0.99999992763387702</v>
      </c>
    </row>
    <row r="7511" spans="1:40" x14ac:dyDescent="0.25">
      <c r="A7511" t="str">
        <f>"20190304154941164"</f>
        <v>20190304154941164</v>
      </c>
      <c r="B7511" t="str">
        <f>"1551685781155080"</f>
        <v>1551685781155080</v>
      </c>
      <c r="C7511" t="s">
        <v>40</v>
      </c>
      <c r="D7511">
        <v>4.7148859999999999</v>
      </c>
      <c r="E7511">
        <v>0.44781609999999999</v>
      </c>
      <c r="F7511" t="s">
        <v>68</v>
      </c>
      <c r="G7511">
        <v>-188.22210000000001</v>
      </c>
      <c r="H7511" s="1">
        <v>-1.024397E-5</v>
      </c>
      <c r="I7511">
        <v>-50.73301</v>
      </c>
      <c r="J7511">
        <v>-211.74789999999999</v>
      </c>
      <c r="K7511">
        <v>1.1152200000000001</v>
      </c>
      <c r="L7511">
        <v>-62.422029999999999</v>
      </c>
      <c r="M7511">
        <v>0.99035790000000001</v>
      </c>
      <c r="N7511">
        <v>-1.2101870000000001E-2</v>
      </c>
      <c r="O7511">
        <v>0.1380035</v>
      </c>
      <c r="P7511">
        <v>0.92749570000000003</v>
      </c>
      <c r="Q7511">
        <v>0.18508079999999999</v>
      </c>
      <c r="R7511">
        <v>0.32480300000000001</v>
      </c>
      <c r="S7511">
        <v>2.7809140000000001</v>
      </c>
      <c r="T7511">
        <v>-0.13097439999999999</v>
      </c>
      <c r="U7511">
        <v>1.3756409999999999</v>
      </c>
      <c r="V7511">
        <v>-0.19581100000000001</v>
      </c>
      <c r="W7511">
        <v>0.19461410000000001</v>
      </c>
      <c r="X7511">
        <v>0.96113649999999995</v>
      </c>
      <c r="Y7511">
        <v>-0.31514389999999998</v>
      </c>
      <c r="Z7511">
        <v>4.543226E-3</v>
      </c>
      <c r="AA7511">
        <v>0.94903300000000002</v>
      </c>
      <c r="AB7511">
        <v>31</v>
      </c>
      <c r="AC7511">
        <v>23.525799999999901</v>
      </c>
      <c r="AD7511">
        <v>-1.1152302439699999</v>
      </c>
      <c r="AE7511">
        <v>11.689019999999999</v>
      </c>
      <c r="AF7511">
        <v>-8.3152934077262994</v>
      </c>
      <c r="AG7511">
        <v>-1.1152302439699999</v>
      </c>
      <c r="AH7511">
        <v>24.8690888710344</v>
      </c>
      <c r="AI7511">
        <v>92.435300972280103</v>
      </c>
      <c r="AJ7511">
        <v>108.48800819689799</v>
      </c>
      <c r="AK7511">
        <v>26.246131605039398</v>
      </c>
      <c r="AL7511">
        <v>78.777818538146605</v>
      </c>
      <c r="AM7511">
        <v>101.515201166819</v>
      </c>
      <c r="AN7511">
        <v>0.99999998363602904</v>
      </c>
    </row>
    <row r="7512" spans="1:40" x14ac:dyDescent="0.25">
      <c r="A7512" t="str">
        <f>"20190304154941176"</f>
        <v>20190304154941176</v>
      </c>
      <c r="B7512" t="str">
        <f>"1551685781164839"</f>
        <v>1551685781164839</v>
      </c>
      <c r="C7512" t="s">
        <v>40</v>
      </c>
      <c r="D7512">
        <v>4.2699360000000004</v>
      </c>
      <c r="E7512">
        <v>0.44844869999999998</v>
      </c>
      <c r="F7512" t="s">
        <v>68</v>
      </c>
      <c r="G7512">
        <v>-188.57759999999999</v>
      </c>
      <c r="H7512" s="1">
        <v>-1.0211239999999999E-5</v>
      </c>
      <c r="I7512">
        <v>-50.832239999999999</v>
      </c>
      <c r="J7512">
        <v>-211.59540000000001</v>
      </c>
      <c r="K7512">
        <v>1.115326</v>
      </c>
      <c r="L7512">
        <v>-62.398130000000002</v>
      </c>
      <c r="M7512">
        <v>0.98996220000000001</v>
      </c>
      <c r="N7512">
        <v>-1.211486E-2</v>
      </c>
      <c r="O7512">
        <v>0.14081260000000001</v>
      </c>
      <c r="P7512">
        <v>0.92620690000000006</v>
      </c>
      <c r="Q7512">
        <v>0.18558430000000001</v>
      </c>
      <c r="R7512">
        <v>0.32817580000000002</v>
      </c>
      <c r="S7512">
        <v>2.7750699999999999</v>
      </c>
      <c r="T7512">
        <v>-0.13356960000000001</v>
      </c>
      <c r="U7512">
        <v>1.3880920000000001</v>
      </c>
      <c r="V7512">
        <v>-0.19664680000000001</v>
      </c>
      <c r="W7512">
        <v>0.19507389999999999</v>
      </c>
      <c r="X7512">
        <v>0.96087270000000002</v>
      </c>
      <c r="Y7512">
        <v>-0.31664740000000002</v>
      </c>
      <c r="Z7512">
        <v>4.5195440000000003E-3</v>
      </c>
      <c r="AA7512">
        <v>0.9485325</v>
      </c>
      <c r="AB7512">
        <v>31</v>
      </c>
      <c r="AC7512">
        <v>23.017800000000001</v>
      </c>
      <c r="AD7512">
        <v>-1.11533621124</v>
      </c>
      <c r="AE7512">
        <v>11.5658899999999</v>
      </c>
      <c r="AF7512">
        <v>-8.1938393164291998</v>
      </c>
      <c r="AG7512">
        <v>-1.11533621124</v>
      </c>
      <c r="AH7512">
        <v>24.3714782962196</v>
      </c>
      <c r="AI7512">
        <v>92.483819701919899</v>
      </c>
      <c r="AJ7512">
        <v>108.582957853979</v>
      </c>
      <c r="AK7512">
        <v>25.736198863675799</v>
      </c>
      <c r="AL7512">
        <v>78.750960119190296</v>
      </c>
      <c r="AM7512">
        <v>101.566120623866</v>
      </c>
      <c r="AN7512">
        <v>1.0000000680083601</v>
      </c>
    </row>
    <row r="7513" spans="1:40" x14ac:dyDescent="0.25">
      <c r="A7513" t="str">
        <f>"20190304154941186"</f>
        <v>20190304154941186</v>
      </c>
      <c r="B7513" t="str">
        <f>"1551685781174600"</f>
        <v>1551685781174600</v>
      </c>
      <c r="C7513" t="s">
        <v>40</v>
      </c>
      <c r="D7513">
        <v>4.3312910000000002</v>
      </c>
      <c r="E7513">
        <v>0.44883840000000003</v>
      </c>
      <c r="F7513" t="s">
        <v>68</v>
      </c>
      <c r="G7513">
        <v>-189.01140000000001</v>
      </c>
      <c r="H7513" s="1">
        <v>-1.020311E-5</v>
      </c>
      <c r="I7513">
        <v>-51.04654</v>
      </c>
      <c r="J7513">
        <v>-211.44470000000001</v>
      </c>
      <c r="K7513">
        <v>1.115435</v>
      </c>
      <c r="L7513">
        <v>-62.374020000000002</v>
      </c>
      <c r="M7513">
        <v>0.98955459999999995</v>
      </c>
      <c r="N7513">
        <v>-1.2129010000000001E-2</v>
      </c>
      <c r="O7513">
        <v>0.14364689999999999</v>
      </c>
      <c r="P7513">
        <v>0.92460070000000005</v>
      </c>
      <c r="Q7513">
        <v>0.1878851</v>
      </c>
      <c r="R7513">
        <v>0.33138030000000002</v>
      </c>
      <c r="S7513">
        <v>2.772659</v>
      </c>
      <c r="T7513">
        <v>-0.13693089999999999</v>
      </c>
      <c r="U7513">
        <v>1.3936459999999999</v>
      </c>
      <c r="V7513">
        <v>-0.19735910000000001</v>
      </c>
      <c r="W7513">
        <v>0.1973299</v>
      </c>
      <c r="X7513">
        <v>0.96026579999999995</v>
      </c>
      <c r="Y7513">
        <v>-0.31576969999999999</v>
      </c>
      <c r="Z7513">
        <v>4.4246550000000004E-3</v>
      </c>
      <c r="AA7513">
        <v>0.94882549999999999</v>
      </c>
      <c r="AB7513">
        <v>31</v>
      </c>
      <c r="AC7513">
        <v>22.433299999999999</v>
      </c>
      <c r="AD7513">
        <v>-1.1154452031099999</v>
      </c>
      <c r="AE7513">
        <v>11.3274799999999</v>
      </c>
      <c r="AF7513">
        <v>-7.9715696307375801</v>
      </c>
      <c r="AG7513">
        <v>-1.1154452031099999</v>
      </c>
      <c r="AH7513">
        <v>23.781037150004</v>
      </c>
      <c r="AI7513">
        <v>92.546423297080196</v>
      </c>
      <c r="AJ7513">
        <v>108.531511266509</v>
      </c>
      <c r="AK7513">
        <v>25.106331239524199</v>
      </c>
      <c r="AL7513">
        <v>78.619138525247607</v>
      </c>
      <c r="AM7513">
        <v>101.614017373804</v>
      </c>
      <c r="AN7513">
        <v>1.00000005521822</v>
      </c>
    </row>
    <row r="7514" spans="1:40" x14ac:dyDescent="0.25">
      <c r="A7514" t="str">
        <f>"20190304154941199"</f>
        <v>20190304154941199</v>
      </c>
      <c r="B7514" t="str">
        <f>"1551685781195095"</f>
        <v>1551685781195095</v>
      </c>
      <c r="C7514" t="s">
        <v>40</v>
      </c>
      <c r="D7514">
        <v>4.5040300000000002</v>
      </c>
      <c r="E7514">
        <v>0.44897179999999998</v>
      </c>
      <c r="F7514" t="s">
        <v>68</v>
      </c>
      <c r="G7514">
        <v>-187.5616</v>
      </c>
      <c r="H7514" s="1">
        <v>-3.05744E-6</v>
      </c>
      <c r="I7514">
        <v>-50.28837</v>
      </c>
      <c r="J7514">
        <v>-211.29040000000001</v>
      </c>
      <c r="K7514">
        <v>1.1155469999999901</v>
      </c>
      <c r="L7514">
        <v>-62.348820000000003</v>
      </c>
      <c r="M7514">
        <v>0.98911950000000004</v>
      </c>
      <c r="N7514">
        <v>-1.214463E-2</v>
      </c>
      <c r="O7514">
        <v>0.1466121</v>
      </c>
      <c r="P7514">
        <v>0.92279219999999895</v>
      </c>
      <c r="Q7514">
        <v>0.19100149999999999</v>
      </c>
      <c r="R7514">
        <v>0.33462360000000002</v>
      </c>
      <c r="S7514">
        <v>2.7687680000000001</v>
      </c>
      <c r="T7514">
        <v>-0.12931300000000001</v>
      </c>
      <c r="U7514">
        <v>1.4010929999999999</v>
      </c>
      <c r="V7514">
        <v>-0.19802800000000001</v>
      </c>
      <c r="W7514">
        <v>0.20039969999999999</v>
      </c>
      <c r="X7514">
        <v>0.95949200000000001</v>
      </c>
      <c r="Y7514">
        <v>-0.31552259999999999</v>
      </c>
      <c r="Z7514">
        <v>4.290019E-3</v>
      </c>
      <c r="AA7514">
        <v>0.94890839999999999</v>
      </c>
      <c r="AB7514">
        <v>31</v>
      </c>
      <c r="AC7514">
        <v>23.7288</v>
      </c>
      <c r="AD7514">
        <v>-1.1155500574399999</v>
      </c>
      <c r="AE7514">
        <v>12.0604499999999</v>
      </c>
      <c r="AF7514">
        <v>-8.4361029226128892</v>
      </c>
      <c r="AG7514">
        <v>-1.1155500574399999</v>
      </c>
      <c r="AH7514">
        <v>25.196432472296699</v>
      </c>
      <c r="AI7514">
        <v>92.404062481624294</v>
      </c>
      <c r="AJ7514">
        <v>108.511235704607</v>
      </c>
      <c r="AK7514">
        <v>26.594595198697501</v>
      </c>
      <c r="AL7514">
        <v>78.439666788357201</v>
      </c>
      <c r="AM7514">
        <v>101.66144548318201</v>
      </c>
      <c r="AN7514">
        <v>1.0000000133040401</v>
      </c>
    </row>
    <row r="7515" spans="1:40" x14ac:dyDescent="0.25">
      <c r="A7515" t="str">
        <f>"20190304154941209"</f>
        <v>20190304154941209</v>
      </c>
      <c r="B7515" t="str">
        <f>"1551685781204855"</f>
        <v>1551685781204855</v>
      </c>
      <c r="C7515" t="s">
        <v>40</v>
      </c>
      <c r="D7515">
        <v>4.3629150000000001</v>
      </c>
      <c r="E7515">
        <v>0.44939630000000003</v>
      </c>
      <c r="F7515" t="s">
        <v>68</v>
      </c>
      <c r="G7515">
        <v>-185.76300000000001</v>
      </c>
      <c r="H7515" s="1">
        <v>-3.2314449999999999E-6</v>
      </c>
      <c r="I7515">
        <v>-49.318730000000002</v>
      </c>
      <c r="J7515">
        <v>-211.1275</v>
      </c>
      <c r="K7515">
        <v>1.1156619999999999</v>
      </c>
      <c r="L7515">
        <v>-62.321809999999999</v>
      </c>
      <c r="M7515">
        <v>0.9886431</v>
      </c>
      <c r="N7515">
        <v>-1.216165E-2</v>
      </c>
      <c r="O7515">
        <v>0.14978910000000001</v>
      </c>
      <c r="P7515">
        <v>0.92105780000000004</v>
      </c>
      <c r="Q7515">
        <v>0.19414770000000001</v>
      </c>
      <c r="R7515">
        <v>0.3375784</v>
      </c>
      <c r="S7515">
        <v>2.7643279999999999</v>
      </c>
      <c r="T7515">
        <v>-0.1208014</v>
      </c>
      <c r="U7515">
        <v>1.411011</v>
      </c>
      <c r="V7515">
        <v>-0.1982044</v>
      </c>
      <c r="W7515">
        <v>0.20350480000000001</v>
      </c>
      <c r="X7515">
        <v>0.95880169999999998</v>
      </c>
      <c r="Y7515">
        <v>-0.31582169999999998</v>
      </c>
      <c r="Z7515">
        <v>4.1772670000000001E-3</v>
      </c>
      <c r="AA7515">
        <v>0.94880929999999997</v>
      </c>
      <c r="AB7515">
        <v>31</v>
      </c>
      <c r="AC7515">
        <v>25.3644999999999</v>
      </c>
      <c r="AD7515">
        <v>-1.115665231445</v>
      </c>
      <c r="AE7515">
        <v>13.003079999999899</v>
      </c>
      <c r="AF7515">
        <v>-9.0428958108880906</v>
      </c>
      <c r="AG7515">
        <v>-1.115665231445</v>
      </c>
      <c r="AH7515">
        <v>26.984815666196202</v>
      </c>
      <c r="AI7515">
        <v>92.244936018651998</v>
      </c>
      <c r="AJ7515">
        <v>108.526543060376</v>
      </c>
      <c r="AK7515">
        <v>28.481554558938999</v>
      </c>
      <c r="AL7515">
        <v>78.258013880752202</v>
      </c>
      <c r="AM7515">
        <v>101.679720704009</v>
      </c>
      <c r="AN7515">
        <v>0.99999994386264301</v>
      </c>
    </row>
    <row r="7516" spans="1:40" x14ac:dyDescent="0.25">
      <c r="A7516" t="str">
        <f>"20190304154941223"</f>
        <v>20190304154941223</v>
      </c>
      <c r="B7516" t="str">
        <f>"1551685781214616"</f>
        <v>1551685781214616</v>
      </c>
      <c r="C7516" t="s">
        <v>40</v>
      </c>
      <c r="D7516">
        <v>4.3792819999999999</v>
      </c>
      <c r="E7516">
        <v>0.44981480000000001</v>
      </c>
      <c r="F7516" t="s">
        <v>68</v>
      </c>
      <c r="G7516">
        <v>-183.08359999999999</v>
      </c>
      <c r="H7516" s="1">
        <v>-3.4661390000000002E-6</v>
      </c>
      <c r="I7516">
        <v>-47.915619999999997</v>
      </c>
      <c r="J7516">
        <v>-210.9605</v>
      </c>
      <c r="K7516">
        <v>1.1157820000000001</v>
      </c>
      <c r="L7516">
        <v>-62.293149999999997</v>
      </c>
      <c r="M7516">
        <v>0.98812710000000004</v>
      </c>
      <c r="N7516">
        <v>-1.218283E-2</v>
      </c>
      <c r="O7516">
        <v>0.15315619999999999</v>
      </c>
      <c r="P7516">
        <v>0.91910289999999994</v>
      </c>
      <c r="Q7516">
        <v>0.1972554</v>
      </c>
      <c r="R7516">
        <v>0.34108699999999997</v>
      </c>
      <c r="S7516">
        <v>2.7605439999999999</v>
      </c>
      <c r="T7516">
        <v>-0.1098219</v>
      </c>
      <c r="U7516">
        <v>1.418091</v>
      </c>
      <c r="V7516">
        <v>-0.1987855</v>
      </c>
      <c r="W7516">
        <v>0.206566</v>
      </c>
      <c r="X7516">
        <v>0.9580265</v>
      </c>
      <c r="Y7516">
        <v>-0.3150792</v>
      </c>
      <c r="Z7516">
        <v>4.0459449999999996E-3</v>
      </c>
      <c r="AA7516">
        <v>0.94905669999999998</v>
      </c>
      <c r="AB7516">
        <v>31</v>
      </c>
      <c r="AC7516">
        <v>27.876899999999999</v>
      </c>
      <c r="AD7516">
        <v>-1.1157854661390001</v>
      </c>
      <c r="AE7516">
        <v>14.377529999999901</v>
      </c>
      <c r="AF7516">
        <v>-9.9254824241932695</v>
      </c>
      <c r="AG7516">
        <v>-1.1157854661390001</v>
      </c>
      <c r="AH7516">
        <v>29.712530775567298</v>
      </c>
      <c r="AI7516">
        <v>92.039895337376393</v>
      </c>
      <c r="AJ7516">
        <v>108.471916633795</v>
      </c>
      <c r="AK7516">
        <v>31.346366035769599</v>
      </c>
      <c r="AL7516">
        <v>78.078813191557799</v>
      </c>
      <c r="AM7516">
        <v>101.722234354882</v>
      </c>
      <c r="AN7516">
        <v>0.99999998103424903</v>
      </c>
    </row>
    <row r="7517" spans="1:40" x14ac:dyDescent="0.25">
      <c r="A7517" t="str">
        <f>"20190304154941234"</f>
        <v>20190304154941234</v>
      </c>
      <c r="B7517" t="str">
        <f>"1551685781224375"</f>
        <v>1551685781224375</v>
      </c>
      <c r="C7517" t="s">
        <v>40</v>
      </c>
      <c r="D7517">
        <v>4.357799</v>
      </c>
      <c r="E7517">
        <v>0.45020870000000002</v>
      </c>
      <c r="F7517" t="s">
        <v>68</v>
      </c>
      <c r="G7517">
        <v>-180.19460000000001</v>
      </c>
      <c r="H7517" s="1">
        <v>-3.7409909999999998E-6</v>
      </c>
      <c r="I7517">
        <v>-46.365969999999997</v>
      </c>
      <c r="J7517">
        <v>-210.80529999999999</v>
      </c>
      <c r="K7517">
        <v>1.1158980000000001</v>
      </c>
      <c r="L7517">
        <v>-62.266240000000003</v>
      </c>
      <c r="M7517">
        <v>0.98763100000000004</v>
      </c>
      <c r="N7517">
        <v>-1.220303E-2</v>
      </c>
      <c r="O7517">
        <v>0.1563204</v>
      </c>
      <c r="P7517">
        <v>0.91732440000000004</v>
      </c>
      <c r="Q7517">
        <v>0.19963790000000001</v>
      </c>
      <c r="R7517">
        <v>0.34447169999999999</v>
      </c>
      <c r="S7517">
        <v>2.7560120000000001</v>
      </c>
      <c r="T7517">
        <v>-9.9952219999999994E-2</v>
      </c>
      <c r="U7517">
        <v>1.426758</v>
      </c>
      <c r="V7517">
        <v>-0.19940869999999999</v>
      </c>
      <c r="W7517">
        <v>0.20890420000000001</v>
      </c>
      <c r="X7517">
        <v>0.95738979999999996</v>
      </c>
      <c r="Y7517">
        <v>-0.31505949999999999</v>
      </c>
      <c r="Z7517">
        <v>3.9639710000000002E-3</v>
      </c>
      <c r="AA7517">
        <v>0.94906369999999896</v>
      </c>
      <c r="AB7517">
        <v>31</v>
      </c>
      <c r="AC7517">
        <v>30.610699999999898</v>
      </c>
      <c r="AD7517">
        <v>-1.1159017409909999</v>
      </c>
      <c r="AE7517">
        <v>15.900270000000001</v>
      </c>
      <c r="AF7517">
        <v>-10.9079200532901</v>
      </c>
      <c r="AG7517">
        <v>-1.1159017409909999</v>
      </c>
      <c r="AH7517">
        <v>32.685841758982498</v>
      </c>
      <c r="AI7517">
        <v>91.854846646538505</v>
      </c>
      <c r="AJ7517">
        <v>108.454886925707</v>
      </c>
      <c r="AK7517">
        <v>34.475965658379501</v>
      </c>
      <c r="AL7517">
        <v>77.941856842751307</v>
      </c>
      <c r="AM7517">
        <v>101.76556399828701</v>
      </c>
      <c r="AN7517">
        <v>1.00000001177868</v>
      </c>
    </row>
    <row r="7518" spans="1:40" x14ac:dyDescent="0.25">
      <c r="A7518" t="str">
        <f>"20190304154941246"</f>
        <v>20190304154941246</v>
      </c>
      <c r="B7518" t="str">
        <f>"1551685781235112"</f>
        <v>1551685781235112</v>
      </c>
      <c r="C7518" t="s">
        <v>40</v>
      </c>
      <c r="D7518">
        <v>4.3674839999999904</v>
      </c>
      <c r="E7518">
        <v>0.45077679999999998</v>
      </c>
      <c r="F7518" t="s">
        <v>68</v>
      </c>
      <c r="G7518">
        <v>-179.95060000000001</v>
      </c>
      <c r="H7518">
        <v>5.7171590000000001E-2</v>
      </c>
      <c r="I7518">
        <v>-46.180599999999998</v>
      </c>
      <c r="J7518">
        <v>-210.63800000000001</v>
      </c>
      <c r="K7518">
        <v>1.116017</v>
      </c>
      <c r="L7518">
        <v>-62.236359999999998</v>
      </c>
      <c r="M7518">
        <v>0.98706769999999999</v>
      </c>
      <c r="N7518">
        <v>-1.2227419999999999E-2</v>
      </c>
      <c r="O7518">
        <v>0.1598369</v>
      </c>
      <c r="P7518">
        <v>0.91570169999999995</v>
      </c>
      <c r="Q7518">
        <v>0.201265</v>
      </c>
      <c r="R7518">
        <v>0.34782570000000002</v>
      </c>
      <c r="S7518">
        <v>2.7521360000000001</v>
      </c>
      <c r="T7518">
        <v>-9.4434740000000003E-2</v>
      </c>
      <c r="U7518">
        <v>1.4347840000000001</v>
      </c>
      <c r="V7518">
        <v>-0.19963819999999999</v>
      </c>
      <c r="W7518">
        <v>0.2104927</v>
      </c>
      <c r="X7518">
        <v>0.95699389999999995</v>
      </c>
      <c r="Y7518">
        <v>-0.31441989999999997</v>
      </c>
      <c r="Z7518">
        <v>3.8833000000000001E-3</v>
      </c>
      <c r="AA7518">
        <v>0.94927600000000001</v>
      </c>
      <c r="AB7518">
        <v>31</v>
      </c>
      <c r="AC7518">
        <v>30.6874</v>
      </c>
      <c r="AD7518">
        <v>-1.05884541</v>
      </c>
      <c r="AE7518">
        <v>16.055759999999999</v>
      </c>
      <c r="AF7518">
        <v>-10.9337418553364</v>
      </c>
      <c r="AG7518">
        <v>-1.05884541</v>
      </c>
      <c r="AH7518">
        <v>32.828616626712297</v>
      </c>
      <c r="AI7518">
        <v>91.752768582435607</v>
      </c>
      <c r="AJ7518">
        <v>108.4206059423</v>
      </c>
      <c r="AK7518">
        <v>34.617711278839103</v>
      </c>
      <c r="AL7518">
        <v>77.848772181244996</v>
      </c>
      <c r="AM7518">
        <v>101.78346346327299</v>
      </c>
      <c r="AN7518">
        <v>0.99999995614486903</v>
      </c>
    </row>
    <row r="7519" spans="1:40" x14ac:dyDescent="0.25">
      <c r="A7519" t="str">
        <f>"20190304154941259"</f>
        <v>20190304154941259</v>
      </c>
      <c r="B7519" t="str">
        <f>"1551685781254632"</f>
        <v>1551685781254632</v>
      </c>
      <c r="C7519" t="s">
        <v>40</v>
      </c>
      <c r="D7519">
        <v>4.3962059999999896</v>
      </c>
      <c r="E7519">
        <v>0.45163560000000003</v>
      </c>
      <c r="F7519" t="s">
        <v>68</v>
      </c>
      <c r="G7519">
        <v>-178.64500000000001</v>
      </c>
      <c r="H7519">
        <v>7.9986570000000007E-2</v>
      </c>
      <c r="I7519">
        <v>-45.458120000000001</v>
      </c>
      <c r="J7519">
        <v>-210.46799999999999</v>
      </c>
      <c r="K7519">
        <v>1.116139</v>
      </c>
      <c r="L7519">
        <v>-62.205319999999901</v>
      </c>
      <c r="M7519">
        <v>0.98647079999999998</v>
      </c>
      <c r="N7519">
        <v>-1.225422E-2</v>
      </c>
      <c r="O7519">
        <v>0.16347900000000001</v>
      </c>
      <c r="P7519">
        <v>0.91419859999999997</v>
      </c>
      <c r="Q7519">
        <v>0.2017832</v>
      </c>
      <c r="R7519">
        <v>0.35145999999999999</v>
      </c>
      <c r="S7519">
        <v>2.7482600000000001</v>
      </c>
      <c r="T7519">
        <v>-8.8997129999999994E-2</v>
      </c>
      <c r="U7519">
        <v>1.441284</v>
      </c>
      <c r="V7519">
        <v>-0.19999249999999999</v>
      </c>
      <c r="W7519">
        <v>0.2109742</v>
      </c>
      <c r="X7519">
        <v>0.95681389999999999</v>
      </c>
      <c r="Y7519">
        <v>-0.31324279999999999</v>
      </c>
      <c r="Z7519">
        <v>3.8034710000000001E-3</v>
      </c>
      <c r="AA7519">
        <v>0.94966550000000005</v>
      </c>
      <c r="AB7519">
        <v>31</v>
      </c>
      <c r="AC7519">
        <v>31.822999999999901</v>
      </c>
      <c r="AD7519">
        <v>-1.03615243</v>
      </c>
      <c r="AE7519">
        <v>16.7471999999999</v>
      </c>
      <c r="AF7519">
        <v>-11.3096909150816</v>
      </c>
      <c r="AG7519">
        <v>-1.03615243</v>
      </c>
      <c r="AH7519">
        <v>34.104521336042801</v>
      </c>
      <c r="AI7519">
        <v>91.651802792496696</v>
      </c>
      <c r="AJ7519">
        <v>108.346477006201</v>
      </c>
      <c r="AK7519">
        <v>35.945807766879703</v>
      </c>
      <c r="AL7519">
        <v>77.820550751160297</v>
      </c>
      <c r="AM7519">
        <v>101.805947754485</v>
      </c>
      <c r="AN7519">
        <v>0.99999997617754899</v>
      </c>
    </row>
    <row r="7520" spans="1:40" x14ac:dyDescent="0.25">
      <c r="A7520" t="str">
        <f>"20190304154941270"</f>
        <v>20190304154941270</v>
      </c>
      <c r="B7520" t="str">
        <f>"1551685781264393"</f>
        <v>1551685781264393</v>
      </c>
      <c r="C7520" t="s">
        <v>40</v>
      </c>
      <c r="D7520">
        <v>4.3908610000000001</v>
      </c>
      <c r="E7520">
        <v>0.45210739999999999</v>
      </c>
      <c r="F7520" t="s">
        <v>68</v>
      </c>
      <c r="G7520">
        <v>-177.9265</v>
      </c>
      <c r="H7520">
        <v>7.9986630000000003E-2</v>
      </c>
      <c r="I7520">
        <v>-45.058250000000001</v>
      </c>
      <c r="J7520">
        <v>-210.30670000000001</v>
      </c>
      <c r="K7520">
        <v>1.116255</v>
      </c>
      <c r="L7520">
        <v>-62.175449999999998</v>
      </c>
      <c r="M7520">
        <v>0.98588310000000001</v>
      </c>
      <c r="N7520">
        <v>-1.2280910000000001E-2</v>
      </c>
      <c r="O7520">
        <v>0.1669842</v>
      </c>
      <c r="P7520">
        <v>0.91283110000000001</v>
      </c>
      <c r="Q7520">
        <v>0.2019164</v>
      </c>
      <c r="R7520">
        <v>0.3549213</v>
      </c>
      <c r="S7520">
        <v>2.744812</v>
      </c>
      <c r="T7520">
        <v>-8.7397340000000004E-2</v>
      </c>
      <c r="U7520">
        <v>1.4463200000000001</v>
      </c>
      <c r="V7520">
        <v>-0.20028180000000001</v>
      </c>
      <c r="W7520">
        <v>0.21107490000000001</v>
      </c>
      <c r="X7520">
        <v>0.9567312</v>
      </c>
      <c r="Y7520">
        <v>-0.31172739999999999</v>
      </c>
      <c r="Z7520">
        <v>3.7224670000000001E-3</v>
      </c>
      <c r="AA7520">
        <v>0.95016429999999996</v>
      </c>
      <c r="AB7520">
        <v>31</v>
      </c>
      <c r="AC7520">
        <v>32.380200000000002</v>
      </c>
      <c r="AD7520">
        <v>-1.0362683699999999</v>
      </c>
      <c r="AE7520">
        <v>17.117199999999901</v>
      </c>
      <c r="AF7520">
        <v>-11.4602672283042</v>
      </c>
      <c r="AG7520">
        <v>-1.0362683699999999</v>
      </c>
      <c r="AH7520">
        <v>34.756194192896402</v>
      </c>
      <c r="AI7520">
        <v>91.621940519764294</v>
      </c>
      <c r="AJ7520">
        <v>108.249097749751</v>
      </c>
      <c r="AK7520">
        <v>36.6115365950834</v>
      </c>
      <c r="AL7520">
        <v>77.814648450133504</v>
      </c>
      <c r="AM7520">
        <v>101.823538565102</v>
      </c>
      <c r="AN7520">
        <v>1.00000000093734</v>
      </c>
    </row>
    <row r="7521" spans="1:40" x14ac:dyDescent="0.25">
      <c r="A7521" t="str">
        <f>"20190304154941281"</f>
        <v>20190304154941281</v>
      </c>
      <c r="B7521" t="str">
        <f>"1551685781275128"</f>
        <v>1551685781275128</v>
      </c>
      <c r="C7521" t="s">
        <v>40</v>
      </c>
      <c r="D7521">
        <v>4.5173579999999998</v>
      </c>
      <c r="E7521">
        <v>0.4524648</v>
      </c>
      <c r="F7521" t="s">
        <v>68</v>
      </c>
      <c r="G7521">
        <v>-177.54859999999999</v>
      </c>
      <c r="H7521">
        <v>7.9986650000000006E-2</v>
      </c>
      <c r="I7521">
        <v>-44.800579999999997</v>
      </c>
      <c r="J7521">
        <v>-210.15549999999999</v>
      </c>
      <c r="K7521">
        <v>1.1163639999999999</v>
      </c>
      <c r="L7521">
        <v>-62.146450000000002</v>
      </c>
      <c r="M7521">
        <v>0.98530249999999997</v>
      </c>
      <c r="N7521">
        <v>-1.23079E-2</v>
      </c>
      <c r="O7521">
        <v>0.1703749</v>
      </c>
      <c r="P7521">
        <v>0.91155719999999996</v>
      </c>
      <c r="Q7521">
        <v>0.20206450000000001</v>
      </c>
      <c r="R7521">
        <v>0.3580972</v>
      </c>
      <c r="S7521">
        <v>2.740494</v>
      </c>
      <c r="T7521">
        <v>-8.6692450000000004E-2</v>
      </c>
      <c r="U7521">
        <v>1.453552</v>
      </c>
      <c r="V7521">
        <v>-0.2003837</v>
      </c>
      <c r="W7521">
        <v>0.21119560000000001</v>
      </c>
      <c r="X7521">
        <v>0.95668319999999996</v>
      </c>
      <c r="Y7521">
        <v>-0.31103740000000002</v>
      </c>
      <c r="Z7521">
        <v>3.6618089999999998E-3</v>
      </c>
      <c r="AA7521">
        <v>0.95039059999999997</v>
      </c>
      <c r="AB7521">
        <v>31</v>
      </c>
      <c r="AC7521">
        <v>32.606900000000003</v>
      </c>
      <c r="AD7521">
        <v>-1.03637735</v>
      </c>
      <c r="AE7521">
        <v>17.345870000000001</v>
      </c>
      <c r="AF7521">
        <v>-11.527328385182299</v>
      </c>
      <c r="AG7521">
        <v>-1.03637735</v>
      </c>
      <c r="AH7521">
        <v>35.058012100749004</v>
      </c>
      <c r="AI7521">
        <v>91.608595575936803</v>
      </c>
      <c r="AJ7521">
        <v>108.201239613932</v>
      </c>
      <c r="AK7521">
        <v>36.919068110770198</v>
      </c>
      <c r="AL7521">
        <v>77.807573057368799</v>
      </c>
      <c r="AM7521">
        <v>101.82996152052399</v>
      </c>
      <c r="AN7521">
        <v>0.99999997692364395</v>
      </c>
    </row>
    <row r="7522" spans="1:40" x14ac:dyDescent="0.25">
      <c r="A7522" t="str">
        <f>"20190304154941292"</f>
        <v>20190304154941292</v>
      </c>
      <c r="B7522" t="str">
        <f>"1551685781284887"</f>
        <v>1551685781284887</v>
      </c>
      <c r="C7522" t="s">
        <v>40</v>
      </c>
      <c r="D7522">
        <v>4.4513509999999998</v>
      </c>
      <c r="E7522">
        <v>0.45290809999999998</v>
      </c>
      <c r="F7522" t="s">
        <v>68</v>
      </c>
      <c r="G7522">
        <v>-177.58869999999999</v>
      </c>
      <c r="H7522">
        <v>7.9986669999999996E-2</v>
      </c>
      <c r="I7522">
        <v>-44.761569999999999</v>
      </c>
      <c r="J7522">
        <v>-210.01429999999999</v>
      </c>
      <c r="K7522">
        <v>1.11646</v>
      </c>
      <c r="L7522">
        <v>-62.119230000000002</v>
      </c>
      <c r="M7522">
        <v>0.98474680000000003</v>
      </c>
      <c r="N7522">
        <v>-1.233276E-2</v>
      </c>
      <c r="O7522">
        <v>0.173556399999999</v>
      </c>
      <c r="P7522">
        <v>0.91018759999999999</v>
      </c>
      <c r="Q7522">
        <v>0.20294499999999999</v>
      </c>
      <c r="R7522">
        <v>0.36107050000000002</v>
      </c>
      <c r="S7522">
        <v>2.736526</v>
      </c>
      <c r="T7522">
        <v>-8.7084529999999993E-2</v>
      </c>
      <c r="U7522">
        <v>1.460815</v>
      </c>
      <c r="V7522">
        <v>-0.2005142</v>
      </c>
      <c r="W7522">
        <v>0.2120475</v>
      </c>
      <c r="X7522">
        <v>0.95646739999999997</v>
      </c>
      <c r="Y7522">
        <v>-0.31050270000000002</v>
      </c>
      <c r="Z7522">
        <v>3.6031489999999999E-3</v>
      </c>
      <c r="AA7522">
        <v>0.95056560000000001</v>
      </c>
      <c r="AB7522">
        <v>31</v>
      </c>
      <c r="AC7522">
        <v>32.425600000000003</v>
      </c>
      <c r="AD7522">
        <v>-1.03647333</v>
      </c>
      <c r="AE7522">
        <v>17.357659999999999</v>
      </c>
      <c r="AF7522">
        <v>-11.457001930028101</v>
      </c>
      <c r="AG7522">
        <v>-1.03647333</v>
      </c>
      <c r="AH7522">
        <v>34.918462246269101</v>
      </c>
      <c r="AI7522">
        <v>91.615505372385599</v>
      </c>
      <c r="AJ7522">
        <v>108.165040315418</v>
      </c>
      <c r="AK7522">
        <v>36.764604932361102</v>
      </c>
      <c r="AL7522">
        <v>77.757631816953904</v>
      </c>
      <c r="AM7522">
        <v>101.84004389402099</v>
      </c>
      <c r="AN7522">
        <v>0.99999998696032499</v>
      </c>
    </row>
    <row r="7523" spans="1:40" x14ac:dyDescent="0.25">
      <c r="A7523" t="str">
        <f>"20190304154941302"</f>
        <v>20190304154941302</v>
      </c>
      <c r="B7523" t="str">
        <f>"1551685781294647"</f>
        <v>1551685781294647</v>
      </c>
      <c r="C7523" t="s">
        <v>40</v>
      </c>
      <c r="D7523">
        <v>4.5458150000000002</v>
      </c>
      <c r="E7523">
        <v>0.45319559999999998</v>
      </c>
      <c r="F7523" t="s">
        <v>68</v>
      </c>
      <c r="G7523">
        <v>-176.22319999999999</v>
      </c>
      <c r="H7523">
        <v>7.9986769999999999E-2</v>
      </c>
      <c r="I7523">
        <v>-43.972369999999998</v>
      </c>
      <c r="J7523">
        <v>-209.85900000000001</v>
      </c>
      <c r="K7523">
        <v>1.1165670000000001</v>
      </c>
      <c r="L7523">
        <v>-62.088259999999998</v>
      </c>
      <c r="M7523">
        <v>0.9841008</v>
      </c>
      <c r="N7523">
        <v>-1.236366E-2</v>
      </c>
      <c r="O7523">
        <v>0.17718</v>
      </c>
      <c r="P7523">
        <v>0.9086033</v>
      </c>
      <c r="Q7523">
        <v>0.2038122</v>
      </c>
      <c r="R7523">
        <v>0.36455539999999997</v>
      </c>
      <c r="S7523">
        <v>2.7325590000000002</v>
      </c>
      <c r="T7523">
        <v>-8.3815689999999998E-2</v>
      </c>
      <c r="U7523">
        <v>1.467468</v>
      </c>
      <c r="V7523">
        <v>-0.2007641</v>
      </c>
      <c r="W7523">
        <v>0.21288389999999999</v>
      </c>
      <c r="X7523">
        <v>0.9562292</v>
      </c>
      <c r="Y7523">
        <v>-0.30938359999999998</v>
      </c>
      <c r="Z7523">
        <v>3.5504339999999999E-3</v>
      </c>
      <c r="AA7523">
        <v>0.95093070000000002</v>
      </c>
      <c r="AB7523">
        <v>31</v>
      </c>
      <c r="AC7523">
        <v>33.635800000000003</v>
      </c>
      <c r="AD7523">
        <v>-1.03658023</v>
      </c>
      <c r="AE7523">
        <v>18.11589</v>
      </c>
      <c r="AF7523">
        <v>-11.8604465458628</v>
      </c>
      <c r="AG7523">
        <v>-1.03658023</v>
      </c>
      <c r="AH7523">
        <v>36.286852901232997</v>
      </c>
      <c r="AI7523">
        <v>91.555351663625302</v>
      </c>
      <c r="AJ7523">
        <v>108.10010674537</v>
      </c>
      <c r="AK7523">
        <v>38.190056092079999</v>
      </c>
      <c r="AL7523">
        <v>77.708590473588799</v>
      </c>
      <c r="AM7523">
        <v>101.857252203993</v>
      </c>
      <c r="AN7523">
        <v>1.0000000308303201</v>
      </c>
    </row>
    <row r="7524" spans="1:40" x14ac:dyDescent="0.25">
      <c r="A7524" t="str">
        <f>"20190304154941314"</f>
        <v>20190304154941314</v>
      </c>
      <c r="B7524" t="str">
        <f>"1551685781304407"</f>
        <v>1551685781304407</v>
      </c>
      <c r="C7524" t="s">
        <v>40</v>
      </c>
      <c r="D7524">
        <v>4.5426029999999997</v>
      </c>
      <c r="E7524">
        <v>0.45351029999999998</v>
      </c>
      <c r="F7524" t="s">
        <v>68</v>
      </c>
      <c r="G7524">
        <v>-175.28039999999999</v>
      </c>
      <c r="H7524">
        <v>7.9986860000000007E-2</v>
      </c>
      <c r="I7524">
        <v>-43.375729999999997</v>
      </c>
      <c r="J7524">
        <v>-209.7175</v>
      </c>
      <c r="K7524">
        <v>1.1166689999999999</v>
      </c>
      <c r="L7524">
        <v>-62.059750000000001</v>
      </c>
      <c r="M7524">
        <v>0.98349609999999998</v>
      </c>
      <c r="N7524">
        <v>-1.2392159999999999E-2</v>
      </c>
      <c r="O7524">
        <v>0.18050450000000001</v>
      </c>
      <c r="P7524">
        <v>0.90709410000000001</v>
      </c>
      <c r="Q7524">
        <v>0.2045932</v>
      </c>
      <c r="R7524">
        <v>0.36786160000000001</v>
      </c>
      <c r="S7524">
        <v>2.7278440000000002</v>
      </c>
      <c r="T7524">
        <v>-8.1773879999999993E-2</v>
      </c>
      <c r="U7524">
        <v>1.4761959999999901</v>
      </c>
      <c r="V7524">
        <v>-0.2011116</v>
      </c>
      <c r="W7524">
        <v>0.21363480000000001</v>
      </c>
      <c r="X7524">
        <v>0.95598859999999997</v>
      </c>
      <c r="Y7524">
        <v>-0.30921670000000001</v>
      </c>
      <c r="Z7524">
        <v>3.5202290000000002E-3</v>
      </c>
      <c r="AA7524">
        <v>0.95098510000000003</v>
      </c>
      <c r="AB7524">
        <v>31</v>
      </c>
      <c r="AC7524">
        <v>34.437100000000001</v>
      </c>
      <c r="AD7524">
        <v>-1.0366821399999999</v>
      </c>
      <c r="AE7524">
        <v>18.68402</v>
      </c>
      <c r="AF7524">
        <v>-12.152034877233801</v>
      </c>
      <c r="AG7524">
        <v>-1.0366821399999999</v>
      </c>
      <c r="AH7524">
        <v>37.218105051314801</v>
      </c>
      <c r="AI7524">
        <v>91.516755705152605</v>
      </c>
      <c r="AJ7524">
        <v>108.08231055565</v>
      </c>
      <c r="AK7524">
        <v>39.165469550710199</v>
      </c>
      <c r="AL7524">
        <v>77.664553071864006</v>
      </c>
      <c r="AM7524">
        <v>101.880097607808</v>
      </c>
      <c r="AN7524">
        <v>0.99999995337777803</v>
      </c>
    </row>
    <row r="7525" spans="1:40" x14ac:dyDescent="0.25">
      <c r="A7525" t="str">
        <f>"20190304154941323"</f>
        <v>20190304154941323</v>
      </c>
      <c r="B7525" t="str">
        <f>"1551685781315143"</f>
        <v>1551685781315143</v>
      </c>
      <c r="C7525" t="s">
        <v>40</v>
      </c>
      <c r="D7525">
        <v>4.4015389999999996</v>
      </c>
      <c r="E7525">
        <v>0.45351029999999998</v>
      </c>
      <c r="F7525" t="s">
        <v>45</v>
      </c>
      <c r="G7525">
        <v>-169.99160000000001</v>
      </c>
      <c r="H7525">
        <v>-0.05</v>
      </c>
      <c r="I7525">
        <v>-40.417050000000003</v>
      </c>
      <c r="J7525">
        <v>-209.57929999999999</v>
      </c>
      <c r="K7525">
        <v>1.116773</v>
      </c>
      <c r="L7525">
        <v>-62.031129999999997</v>
      </c>
      <c r="M7525">
        <v>0.98287869999999999</v>
      </c>
      <c r="N7525">
        <v>-1.242356E-2</v>
      </c>
      <c r="O7525">
        <v>0.18383450000000001</v>
      </c>
      <c r="P7525">
        <v>0.90568970000000004</v>
      </c>
      <c r="Q7525">
        <v>0.204733</v>
      </c>
      <c r="R7525">
        <v>0.37122850000000002</v>
      </c>
      <c r="S7525">
        <v>2.723557</v>
      </c>
      <c r="T7525">
        <v>-7.9985260000000002E-2</v>
      </c>
      <c r="U7525">
        <v>1.483795</v>
      </c>
      <c r="V7525">
        <v>-0.20148469999999999</v>
      </c>
      <c r="W7525">
        <v>0.21375040000000001</v>
      </c>
      <c r="X7525">
        <v>0.95588430000000002</v>
      </c>
      <c r="Y7525">
        <v>-0.30867509999999998</v>
      </c>
      <c r="Z7525">
        <v>3.485751E-3</v>
      </c>
      <c r="AA7525">
        <v>0.95116109999999998</v>
      </c>
      <c r="AB7525">
        <v>31</v>
      </c>
      <c r="AC7525">
        <v>39.587699999999899</v>
      </c>
      <c r="AD7525">
        <v>-1.1667730000000001</v>
      </c>
      <c r="AE7525">
        <v>21.614079999999898</v>
      </c>
      <c r="AF7525">
        <v>-13.9581711177757</v>
      </c>
      <c r="AG7525">
        <v>-1.1667730000000001</v>
      </c>
      <c r="AH7525">
        <v>42.8579504489283</v>
      </c>
      <c r="AI7525">
        <v>91.482822755271499</v>
      </c>
      <c r="AJ7525">
        <v>108.039627828497</v>
      </c>
      <c r="AK7525">
        <v>45.088754882669299</v>
      </c>
      <c r="AL7525">
        <v>77.657774359486993</v>
      </c>
      <c r="AM7525">
        <v>101.902771033531</v>
      </c>
      <c r="AN7525">
        <v>1.0000000564103599</v>
      </c>
    </row>
    <row r="7526" spans="1:40" x14ac:dyDescent="0.25">
      <c r="A7526" t="str">
        <f>"20190304154941332"</f>
        <v>20190304154941332</v>
      </c>
      <c r="B7526" t="str">
        <f>"1551685781324904"</f>
        <v>1551685781324904</v>
      </c>
      <c r="C7526" t="s">
        <v>40</v>
      </c>
      <c r="D7526">
        <v>4.4416169999999999</v>
      </c>
      <c r="E7526">
        <v>0.46642139999999999</v>
      </c>
      <c r="F7526" t="s">
        <v>45</v>
      </c>
      <c r="G7526">
        <v>-169.87309999999999</v>
      </c>
      <c r="H7526">
        <v>-0.05</v>
      </c>
      <c r="I7526">
        <v>-40.217100000000002</v>
      </c>
      <c r="J7526">
        <v>-209.4597</v>
      </c>
      <c r="K7526">
        <v>1.116862</v>
      </c>
      <c r="L7526">
        <v>-62.0062</v>
      </c>
      <c r="M7526">
        <v>0.9823326</v>
      </c>
      <c r="N7526">
        <v>-1.245047E-2</v>
      </c>
      <c r="O7526">
        <v>0.18672910000000001</v>
      </c>
      <c r="P7526">
        <v>0.90429139999999997</v>
      </c>
      <c r="Q7526">
        <v>0.2050352</v>
      </c>
      <c r="R7526">
        <v>0.37445650000000003</v>
      </c>
      <c r="S7526">
        <v>2.7183229999999998</v>
      </c>
      <c r="T7526">
        <v>-7.9878329999999997E-2</v>
      </c>
      <c r="U7526">
        <v>1.4934080000000001</v>
      </c>
      <c r="V7526">
        <v>-0.20214170000000001</v>
      </c>
      <c r="W7526">
        <v>0.2140252</v>
      </c>
      <c r="X7526">
        <v>0.95568399999999998</v>
      </c>
      <c r="Y7526">
        <v>-0.3092298</v>
      </c>
      <c r="Z7526">
        <v>3.4652849999999998E-3</v>
      </c>
      <c r="AA7526">
        <v>0.95098099999999997</v>
      </c>
      <c r="AB7526">
        <v>31</v>
      </c>
      <c r="AC7526">
        <v>39.586599999999997</v>
      </c>
      <c r="AD7526">
        <v>-1.1668620000000001</v>
      </c>
      <c r="AE7526">
        <v>21.789100000000001</v>
      </c>
      <c r="AF7526">
        <v>-14.003920305087901</v>
      </c>
      <c r="AG7526">
        <v>-1.1668620000000001</v>
      </c>
      <c r="AH7526">
        <v>42.9305669886595</v>
      </c>
      <c r="AI7526">
        <v>91.480204142076602</v>
      </c>
      <c r="AJ7526">
        <v>108.066289173323</v>
      </c>
      <c r="AK7526">
        <v>45.171948516818198</v>
      </c>
      <c r="AL7526">
        <v>77.641655530904103</v>
      </c>
      <c r="AM7526">
        <v>101.94290191655701</v>
      </c>
      <c r="AN7526">
        <v>0.99999998048496397</v>
      </c>
    </row>
    <row r="7527" spans="1:40" x14ac:dyDescent="0.25">
      <c r="A7527" t="str">
        <f>"20190304154941343"</f>
        <v>20190304154941343</v>
      </c>
      <c r="B7527" t="str">
        <f>"1551685781334664"</f>
        <v>1551685781334664</v>
      </c>
      <c r="C7527" t="s">
        <v>40</v>
      </c>
      <c r="D7527">
        <v>4.5568799999999996</v>
      </c>
      <c r="E7527">
        <v>0.46573809999999899</v>
      </c>
      <c r="F7527" t="s">
        <v>68</v>
      </c>
      <c r="G7527">
        <v>-185.80950000000001</v>
      </c>
      <c r="H7527" s="1">
        <v>-2.8756769999999998E-6</v>
      </c>
      <c r="I7527">
        <v>-49.937240000000003</v>
      </c>
      <c r="J7527">
        <v>-209.3117</v>
      </c>
      <c r="K7527">
        <v>1.1169720000000001</v>
      </c>
      <c r="L7527">
        <v>-61.974429999999998</v>
      </c>
      <c r="M7527">
        <v>0.98162499999999997</v>
      </c>
      <c r="N7527">
        <v>-1.248575E-2</v>
      </c>
      <c r="O7527">
        <v>0.1904119</v>
      </c>
      <c r="P7527">
        <v>0.90263409999999999</v>
      </c>
      <c r="Q7527">
        <v>0.20563119999999999</v>
      </c>
      <c r="R7527">
        <v>0.37811070000000002</v>
      </c>
      <c r="S7527">
        <v>2.7631990000000002</v>
      </c>
      <c r="T7527">
        <v>-0.13049079999999999</v>
      </c>
      <c r="U7527">
        <v>1.4100950000000001</v>
      </c>
      <c r="V7527">
        <v>-0.2025141</v>
      </c>
      <c r="W7527">
        <v>0.2145957</v>
      </c>
      <c r="X7527">
        <v>0.95547720000000003</v>
      </c>
      <c r="Y7527">
        <v>-0.27638200000000002</v>
      </c>
      <c r="Z7527">
        <v>1.9166389999999999E-3</v>
      </c>
      <c r="AA7527">
        <v>0.96104590000000001</v>
      </c>
      <c r="AB7527">
        <v>31</v>
      </c>
      <c r="AC7527">
        <v>23.502199999999899</v>
      </c>
      <c r="AD7527">
        <v>-1.1169748756769999</v>
      </c>
      <c r="AE7527">
        <v>12.037190000000001</v>
      </c>
      <c r="AF7527">
        <v>-7.3283663630092999</v>
      </c>
      <c r="AG7527">
        <v>-1.1169748756769999</v>
      </c>
      <c r="AH7527">
        <v>25.319040466095899</v>
      </c>
      <c r="AI7527">
        <v>92.426550067562601</v>
      </c>
      <c r="AJ7527">
        <v>106.14260664993699</v>
      </c>
      <c r="AK7527">
        <v>26.3819331465148</v>
      </c>
      <c r="AL7527">
        <v>77.608190715005605</v>
      </c>
      <c r="AM7527">
        <v>101.966785372914</v>
      </c>
      <c r="AN7527">
        <v>0.99999997743856905</v>
      </c>
    </row>
    <row r="7528" spans="1:40" x14ac:dyDescent="0.25">
      <c r="A7528" t="str">
        <f>"20190304154941354"</f>
        <v>20190304154941354</v>
      </c>
      <c r="B7528" t="str">
        <f>"1551685781344424"</f>
        <v>1551685781344424</v>
      </c>
      <c r="C7528" t="s">
        <v>40</v>
      </c>
      <c r="D7528">
        <v>4.6757289999999996</v>
      </c>
      <c r="E7528">
        <v>0.46449689999999999</v>
      </c>
      <c r="F7528" t="s">
        <v>68</v>
      </c>
      <c r="G7528">
        <v>-183.18870000000001</v>
      </c>
      <c r="H7528" s="1">
        <v>-3.1734099999999998E-6</v>
      </c>
      <c r="I7528">
        <v>-48.449680000000001</v>
      </c>
      <c r="J7528">
        <v>-209.16730000000001</v>
      </c>
      <c r="K7528">
        <v>1.117078</v>
      </c>
      <c r="L7528">
        <v>-61.943080000000002</v>
      </c>
      <c r="M7528">
        <v>0.98091490000000003</v>
      </c>
      <c r="N7528">
        <v>-1.252033E-2</v>
      </c>
      <c r="O7528">
        <v>0.1940344</v>
      </c>
      <c r="P7528">
        <v>0.90093679999999998</v>
      </c>
      <c r="Q7528">
        <v>0.2063836</v>
      </c>
      <c r="R7528">
        <v>0.3817315</v>
      </c>
      <c r="S7528">
        <v>2.7532960000000002</v>
      </c>
      <c r="T7528">
        <v>-0.11772639999999999</v>
      </c>
      <c r="U7528">
        <v>1.425476</v>
      </c>
      <c r="V7528">
        <v>-0.2029223</v>
      </c>
      <c r="W7528">
        <v>0.21532270000000001</v>
      </c>
      <c r="X7528">
        <v>0.95522700000000005</v>
      </c>
      <c r="Y7528">
        <v>-0.27850429999999998</v>
      </c>
      <c r="Z7528">
        <v>2.0994070000000002E-3</v>
      </c>
      <c r="AA7528">
        <v>0.96043270000000003</v>
      </c>
      <c r="AB7528">
        <v>31</v>
      </c>
      <c r="AC7528">
        <v>25.9786</v>
      </c>
      <c r="AD7528">
        <v>-1.1170811734099999</v>
      </c>
      <c r="AE7528">
        <v>13.493399999999999</v>
      </c>
      <c r="AF7528">
        <v>-8.1838598343609306</v>
      </c>
      <c r="AG7528">
        <v>-1.1170811734099999</v>
      </c>
      <c r="AH7528">
        <v>28.062317077682099</v>
      </c>
      <c r="AI7528">
        <v>92.188506680494598</v>
      </c>
      <c r="AJ7528">
        <v>106.25835568226999</v>
      </c>
      <c r="AK7528">
        <v>29.252642135452</v>
      </c>
      <c r="AL7528">
        <v>77.565539575117398</v>
      </c>
      <c r="AM7528">
        <v>101.993258592412</v>
      </c>
      <c r="AN7528">
        <v>0.99999997325078904</v>
      </c>
    </row>
    <row r="7529" spans="1:40" x14ac:dyDescent="0.25">
      <c r="A7529" t="str">
        <f>"20190304154941364"</f>
        <v>20190304154941364</v>
      </c>
      <c r="B7529" t="str">
        <f>"1551685781355160"</f>
        <v>1551685781355160</v>
      </c>
      <c r="C7529" t="s">
        <v>40</v>
      </c>
      <c r="D7529">
        <v>4.8341560000000001</v>
      </c>
      <c r="E7529">
        <v>0.4634356</v>
      </c>
      <c r="F7529" t="s">
        <v>68</v>
      </c>
      <c r="G7529">
        <v>-184.6919</v>
      </c>
      <c r="H7529" s="1">
        <v>-3.1494560000000001E-6</v>
      </c>
      <c r="I7529">
        <v>-49.054839999999999</v>
      </c>
      <c r="J7529">
        <v>-209.01949999999999</v>
      </c>
      <c r="K7529">
        <v>1.1171960000000001</v>
      </c>
      <c r="L7529">
        <v>-61.910159999999998</v>
      </c>
      <c r="M7529">
        <v>0.98015560000000002</v>
      </c>
      <c r="N7529">
        <v>-1.255774E-2</v>
      </c>
      <c r="O7529">
        <v>0.1978316</v>
      </c>
      <c r="P7529">
        <v>0.89917219999999998</v>
      </c>
      <c r="Q7529">
        <v>0.20769000000000001</v>
      </c>
      <c r="R7529">
        <v>0.38516800000000001</v>
      </c>
      <c r="S7529">
        <v>2.7459410000000002</v>
      </c>
      <c r="T7529">
        <v>-0.1253271</v>
      </c>
      <c r="U7529">
        <v>1.445953</v>
      </c>
      <c r="V7529">
        <v>-0.2030053</v>
      </c>
      <c r="W7529">
        <v>0.2166082</v>
      </c>
      <c r="X7529">
        <v>0.95491870000000001</v>
      </c>
      <c r="Y7529">
        <v>-0.28143820000000003</v>
      </c>
      <c r="Z7529">
        <v>1.9496889999999999E-3</v>
      </c>
      <c r="AA7529">
        <v>0.95957740000000002</v>
      </c>
      <c r="AB7529">
        <v>31</v>
      </c>
      <c r="AC7529">
        <v>24.327599999999901</v>
      </c>
      <c r="AD7529">
        <v>-1.1171991494560001</v>
      </c>
      <c r="AE7529">
        <v>12.855319999999899</v>
      </c>
      <c r="AF7529">
        <v>-7.77524161167449</v>
      </c>
      <c r="AG7529">
        <v>-1.1171991494560001</v>
      </c>
      <c r="AH7529">
        <v>26.3466674080241</v>
      </c>
      <c r="AI7529">
        <v>92.328923322708704</v>
      </c>
      <c r="AJ7529">
        <v>106.44201024061699</v>
      </c>
      <c r="AK7529">
        <v>27.492715390963099</v>
      </c>
      <c r="AL7529">
        <v>77.490105940458506</v>
      </c>
      <c r="AM7529">
        <v>102.001783305988</v>
      </c>
      <c r="AN7529">
        <v>0.99999999387250904</v>
      </c>
    </row>
    <row r="7530" spans="1:40" x14ac:dyDescent="0.25">
      <c r="A7530" t="str">
        <f>"20190304154941378"</f>
        <v>20190304154941378</v>
      </c>
      <c r="B7530" t="str">
        <f>"1551685781374679"</f>
        <v>1551685781374679</v>
      </c>
      <c r="C7530" t="s">
        <v>40</v>
      </c>
      <c r="D7530">
        <v>4.4328560000000001</v>
      </c>
      <c r="E7530">
        <v>0.46410180000000001</v>
      </c>
      <c r="F7530" t="s">
        <v>68</v>
      </c>
      <c r="G7530">
        <v>-183.9102</v>
      </c>
      <c r="H7530" s="1">
        <v>-3.3207190000000001E-6</v>
      </c>
      <c r="I7530">
        <v>-48.471850000000003</v>
      </c>
      <c r="J7530">
        <v>-208.86689999999999</v>
      </c>
      <c r="K7530">
        <v>1.117316</v>
      </c>
      <c r="L7530">
        <v>-61.875549999999997</v>
      </c>
      <c r="M7530">
        <v>0.97934370000000004</v>
      </c>
      <c r="N7530">
        <v>-1.259684E-2</v>
      </c>
      <c r="O7530">
        <v>0.2018105</v>
      </c>
      <c r="P7530">
        <v>0.89720800000000001</v>
      </c>
      <c r="Q7530">
        <v>0.2095419</v>
      </c>
      <c r="R7530">
        <v>0.3887292</v>
      </c>
      <c r="S7530">
        <v>2.7370450000000002</v>
      </c>
      <c r="T7530">
        <v>-0.121780399999999</v>
      </c>
      <c r="U7530">
        <v>1.464844</v>
      </c>
      <c r="V7530">
        <v>-0.20308660000000001</v>
      </c>
      <c r="W7530">
        <v>0.2184373</v>
      </c>
      <c r="X7530">
        <v>0.95448469999999996</v>
      </c>
      <c r="Y7530">
        <v>-0.28399479999999999</v>
      </c>
      <c r="Z7530">
        <v>1.9858620000000001E-3</v>
      </c>
      <c r="AA7530">
        <v>0.9588238</v>
      </c>
      <c r="AB7530">
        <v>31</v>
      </c>
      <c r="AC7530">
        <v>24.956699999999898</v>
      </c>
      <c r="AD7530">
        <v>-1.117319320719</v>
      </c>
      <c r="AE7530">
        <v>13.403699999999899</v>
      </c>
      <c r="AF7530">
        <v>-8.0783789089061209</v>
      </c>
      <c r="AG7530">
        <v>-1.117319320719</v>
      </c>
      <c r="AH7530">
        <v>27.106177377553902</v>
      </c>
      <c r="AI7530">
        <v>92.262183460474802</v>
      </c>
      <c r="AJ7530">
        <v>106.59548938610099</v>
      </c>
      <c r="AK7530">
        <v>28.306420831389602</v>
      </c>
      <c r="AL7530">
        <v>77.382735734425196</v>
      </c>
      <c r="AM7530">
        <v>102.011751109096</v>
      </c>
      <c r="AN7530">
        <v>1.00000003183246</v>
      </c>
    </row>
    <row r="7531" spans="1:40" x14ac:dyDescent="0.25">
      <c r="A7531" t="str">
        <f>"20190304154941388"</f>
        <v>20190304154941388</v>
      </c>
      <c r="B7531" t="str">
        <f>"1551685781384440"</f>
        <v>1551685781384440</v>
      </c>
      <c r="C7531" t="s">
        <v>40</v>
      </c>
      <c r="D7531">
        <v>4.1252180000000003</v>
      </c>
      <c r="E7531">
        <v>0.46410180000000001</v>
      </c>
      <c r="F7531" t="s">
        <v>68</v>
      </c>
      <c r="G7531">
        <v>-182.91749999999999</v>
      </c>
      <c r="H7531" s="1">
        <v>-3.4389260000000001E-6</v>
      </c>
      <c r="I7531">
        <v>-47.899209999999997</v>
      </c>
      <c r="J7531">
        <v>-208.71860000000001</v>
      </c>
      <c r="K7531">
        <v>1.1174329999999999</v>
      </c>
      <c r="L7531">
        <v>-61.84131</v>
      </c>
      <c r="M7531">
        <v>0.97852519999999998</v>
      </c>
      <c r="N7531">
        <v>-1.2635479999999999E-2</v>
      </c>
      <c r="O7531">
        <v>0.2057398</v>
      </c>
      <c r="P7531">
        <v>0.89523779999999997</v>
      </c>
      <c r="Q7531">
        <v>0.2115184</v>
      </c>
      <c r="R7531">
        <v>0.39218570000000003</v>
      </c>
      <c r="S7531">
        <v>2.7333219999999998</v>
      </c>
      <c r="T7531">
        <v>-0.1176904</v>
      </c>
      <c r="U7531">
        <v>1.4721679999999999</v>
      </c>
      <c r="V7531">
        <v>-0.20311979999999999</v>
      </c>
      <c r="W7531">
        <v>0.22039259999999999</v>
      </c>
      <c r="X7531">
        <v>0.95402799999999999</v>
      </c>
      <c r="Y7531">
        <v>-0.28269470000000002</v>
      </c>
      <c r="Z7531">
        <v>1.9385170000000001E-3</v>
      </c>
      <c r="AA7531">
        <v>0.95920799999999995</v>
      </c>
      <c r="AB7531">
        <v>31</v>
      </c>
      <c r="AC7531">
        <v>25.801100000000002</v>
      </c>
      <c r="AD7531">
        <v>-1.1174364389260001</v>
      </c>
      <c r="AE7531">
        <v>13.9421</v>
      </c>
      <c r="AF7531">
        <v>-8.3229647697228799</v>
      </c>
      <c r="AG7531">
        <v>-1.1174364389260001</v>
      </c>
      <c r="AH7531">
        <v>28.076952658767802</v>
      </c>
      <c r="AI7531">
        <v>92.185222765094196</v>
      </c>
      <c r="AJ7531">
        <v>106.51161679034099</v>
      </c>
      <c r="AK7531">
        <v>29.305898337293399</v>
      </c>
      <c r="AL7531">
        <v>77.267906525196295</v>
      </c>
      <c r="AM7531">
        <v>102.019241530911</v>
      </c>
      <c r="AN7531">
        <v>0.99999998803539902</v>
      </c>
    </row>
    <row r="7532" spans="1:40" x14ac:dyDescent="0.25">
      <c r="A7532" t="str">
        <f>"20190304154941400"</f>
        <v>20190304154941400</v>
      </c>
      <c r="B7532" t="str">
        <f>"1551685781394198"</f>
        <v>1551685781394198</v>
      </c>
      <c r="C7532" t="s">
        <v>40</v>
      </c>
      <c r="D7532">
        <v>4.3780279999999996</v>
      </c>
      <c r="E7532">
        <v>0.46473510000000001</v>
      </c>
      <c r="F7532" t="s">
        <v>68</v>
      </c>
      <c r="G7532">
        <v>-181.31100000000001</v>
      </c>
      <c r="H7532" s="1">
        <v>-3.6557029999999999E-6</v>
      </c>
      <c r="I7532">
        <v>-46.929450000000003</v>
      </c>
      <c r="J7532">
        <v>-208.56030000000001</v>
      </c>
      <c r="K7532">
        <v>1.117559</v>
      </c>
      <c r="L7532">
        <v>-61.803800000000003</v>
      </c>
      <c r="M7532">
        <v>0.97761350000000002</v>
      </c>
      <c r="N7532">
        <v>-1.267688E-2</v>
      </c>
      <c r="O7532">
        <v>0.2100263</v>
      </c>
      <c r="P7532">
        <v>0.89309850000000002</v>
      </c>
      <c r="Q7532">
        <v>0.21361079999999999</v>
      </c>
      <c r="R7532">
        <v>0.39591090000000001</v>
      </c>
      <c r="S7532">
        <v>2.7272949999999998</v>
      </c>
      <c r="T7532">
        <v>-0.1111944</v>
      </c>
      <c r="U7532">
        <v>1.4838559999999901</v>
      </c>
      <c r="V7532">
        <v>-0.20311280000000001</v>
      </c>
      <c r="W7532">
        <v>0.2224623</v>
      </c>
      <c r="X7532">
        <v>0.95354899999999998</v>
      </c>
      <c r="Y7532">
        <v>-0.282568599999999</v>
      </c>
      <c r="Z7532">
        <v>1.979298E-3</v>
      </c>
      <c r="AA7532">
        <v>0.95924509999999996</v>
      </c>
      <c r="AB7532">
        <v>31</v>
      </c>
      <c r="AC7532">
        <v>27.249300000000002</v>
      </c>
      <c r="AD7532">
        <v>-1.1175626557030001</v>
      </c>
      <c r="AE7532">
        <v>14.87435</v>
      </c>
      <c r="AF7532">
        <v>-8.8075910545255507</v>
      </c>
      <c r="AG7532">
        <v>-1.1175626557030001</v>
      </c>
      <c r="AH7532">
        <v>29.7271581686921</v>
      </c>
      <c r="AI7532">
        <v>92.064344255067098</v>
      </c>
      <c r="AJ7532">
        <v>106.503553757224</v>
      </c>
      <c r="AK7532">
        <v>31.024611830925799</v>
      </c>
      <c r="AL7532">
        <v>77.146302860940693</v>
      </c>
      <c r="AM7532">
        <v>102.0247011483</v>
      </c>
      <c r="AN7532">
        <v>0.99999998992306405</v>
      </c>
    </row>
    <row r="7533" spans="1:40" x14ac:dyDescent="0.25">
      <c r="A7533" t="str">
        <f>"20190304154941409"</f>
        <v>20190304154941409</v>
      </c>
      <c r="B7533" t="str">
        <f>"1551685781404935"</f>
        <v>1551685781404935</v>
      </c>
      <c r="C7533" t="s">
        <v>40</v>
      </c>
      <c r="D7533">
        <v>4.4171769999999997</v>
      </c>
      <c r="E7533">
        <v>0.46527829999999898</v>
      </c>
      <c r="F7533" t="s">
        <v>68</v>
      </c>
      <c r="G7533">
        <v>-179.95779999999999</v>
      </c>
      <c r="H7533">
        <v>4.643419E-2</v>
      </c>
      <c r="I7533">
        <v>-46.137169999999998</v>
      </c>
      <c r="J7533">
        <v>-208.41569999999999</v>
      </c>
      <c r="K7533">
        <v>1.117675</v>
      </c>
      <c r="L7533">
        <v>-61.769170000000003</v>
      </c>
      <c r="M7533">
        <v>0.97675619999999996</v>
      </c>
      <c r="N7533">
        <v>-1.2714130000000001E-2</v>
      </c>
      <c r="O7533">
        <v>0.21397559999999999</v>
      </c>
      <c r="P7533">
        <v>0.89149029999999996</v>
      </c>
      <c r="Q7533">
        <v>0.21375040000000001</v>
      </c>
      <c r="R7533">
        <v>0.39944439999999998</v>
      </c>
      <c r="S7533">
        <v>2.7224430000000002</v>
      </c>
      <c r="T7533">
        <v>-0.1019518</v>
      </c>
      <c r="U7533">
        <v>1.4911799999999999</v>
      </c>
      <c r="V7533">
        <v>-0.20310239999999999</v>
      </c>
      <c r="W7533">
        <v>0.2225859</v>
      </c>
      <c r="X7533">
        <v>0.95352239999999999</v>
      </c>
      <c r="Y7533">
        <v>-0.28141759999999999</v>
      </c>
      <c r="Z7533">
        <v>2.084776E-3</v>
      </c>
      <c r="AA7533">
        <v>0.95958310000000002</v>
      </c>
      <c r="AB7533">
        <v>31</v>
      </c>
      <c r="AC7533">
        <v>28.457899999999899</v>
      </c>
      <c r="AD7533">
        <v>-1.0712408099999999</v>
      </c>
      <c r="AE7533">
        <v>15.6319999999999</v>
      </c>
      <c r="AF7533">
        <v>-9.1701171589265709</v>
      </c>
      <c r="AG7533">
        <v>-1.0712408099999999</v>
      </c>
      <c r="AH7533">
        <v>31.109951398651098</v>
      </c>
      <c r="AI7533">
        <v>91.891735910112104</v>
      </c>
      <c r="AJ7533">
        <v>106.42365887921299</v>
      </c>
      <c r="AK7533">
        <v>32.451004323562699</v>
      </c>
      <c r="AL7533">
        <v>77.139039337693802</v>
      </c>
      <c r="AM7533">
        <v>102.02442903465599</v>
      </c>
      <c r="AN7533">
        <v>1.00000001753316</v>
      </c>
    </row>
    <row r="7534" spans="1:40" x14ac:dyDescent="0.25">
      <c r="A7534" t="str">
        <f>"20190304154941423"</f>
        <v>20190304154941423</v>
      </c>
      <c r="B7534" t="str">
        <f>"1551685781414695"</f>
        <v>1551685781414695</v>
      </c>
      <c r="C7534" t="s">
        <v>40</v>
      </c>
      <c r="D7534">
        <v>4.3794559999999896</v>
      </c>
      <c r="E7534">
        <v>0.46554400000000001</v>
      </c>
      <c r="F7534" t="s">
        <v>68</v>
      </c>
      <c r="G7534">
        <v>-179.8879</v>
      </c>
      <c r="H7534">
        <v>7.9986559999999998E-2</v>
      </c>
      <c r="I7534">
        <v>-46.044449999999998</v>
      </c>
      <c r="J7534">
        <v>-208.24299999999999</v>
      </c>
      <c r="K7534">
        <v>1.1178090000000001</v>
      </c>
      <c r="L7534">
        <v>-61.726410000000001</v>
      </c>
      <c r="M7534">
        <v>0.9756804</v>
      </c>
      <c r="N7534">
        <v>-1.2761049999999999E-2</v>
      </c>
      <c r="O7534">
        <v>0.21882650000000001</v>
      </c>
      <c r="P7534">
        <v>0.88924319999999901</v>
      </c>
      <c r="Q7534">
        <v>0.2146199</v>
      </c>
      <c r="R7534">
        <v>0.40396140000000003</v>
      </c>
      <c r="S7534">
        <v>2.717651</v>
      </c>
      <c r="T7534">
        <v>-9.8853590000000005E-2</v>
      </c>
      <c r="U7534">
        <v>1.497986</v>
      </c>
      <c r="V7534">
        <v>-0.20333209999999999</v>
      </c>
      <c r="W7534">
        <v>0.2234305</v>
      </c>
      <c r="X7534">
        <v>0.95327589999999995</v>
      </c>
      <c r="Y7534">
        <v>-0.27921469999999998</v>
      </c>
      <c r="Z7534">
        <v>2.0237409999999999E-3</v>
      </c>
      <c r="AA7534">
        <v>0.96022660000000004</v>
      </c>
      <c r="AB7534">
        <v>31</v>
      </c>
      <c r="AC7534">
        <v>28.3551</v>
      </c>
      <c r="AD7534">
        <v>-1.03782244</v>
      </c>
      <c r="AE7534">
        <v>15.681959999999901</v>
      </c>
      <c r="AF7534">
        <v>-9.0871517882878496</v>
      </c>
      <c r="AG7534">
        <v>-1.03782244</v>
      </c>
      <c r="AH7534">
        <v>31.067803224827401</v>
      </c>
      <c r="AI7534">
        <v>91.836373057757996</v>
      </c>
      <c r="AJ7534">
        <v>106.303891094313</v>
      </c>
      <c r="AK7534">
        <v>32.386135926611402</v>
      </c>
      <c r="AL7534">
        <v>77.089397408524306</v>
      </c>
      <c r="AM7534">
        <v>102.04065358168801</v>
      </c>
      <c r="AN7534">
        <v>1.00000003637073</v>
      </c>
    </row>
    <row r="7535" spans="1:40" x14ac:dyDescent="0.25">
      <c r="A7535" t="str">
        <f>"20190304154941434"</f>
        <v>20190304154941434</v>
      </c>
      <c r="B7535" t="str">
        <f>"1551685781424456"</f>
        <v>1551685781424456</v>
      </c>
      <c r="C7535" t="s">
        <v>40</v>
      </c>
      <c r="D7535">
        <v>4.5410629999999896</v>
      </c>
      <c r="E7535">
        <v>0.46509679999999998</v>
      </c>
      <c r="F7535" t="s">
        <v>68</v>
      </c>
      <c r="G7535">
        <v>-177.95230000000001</v>
      </c>
      <c r="H7535">
        <v>7.9986650000000006E-2</v>
      </c>
      <c r="I7535">
        <v>-44.850830000000002</v>
      </c>
      <c r="J7535">
        <v>-208.1</v>
      </c>
      <c r="K7535">
        <v>1.117917</v>
      </c>
      <c r="L7535">
        <v>-61.69061</v>
      </c>
      <c r="M7535">
        <v>0.97476240000000003</v>
      </c>
      <c r="N7535">
        <v>-1.2799670000000001E-2</v>
      </c>
      <c r="O7535">
        <v>0.22287789999999999</v>
      </c>
      <c r="P7535">
        <v>0.88748280000000002</v>
      </c>
      <c r="Q7535">
        <v>0.2147242</v>
      </c>
      <c r="R7535">
        <v>0.40775939999999999</v>
      </c>
      <c r="S7535">
        <v>2.710159</v>
      </c>
      <c r="T7535">
        <v>-9.2855809999999997E-2</v>
      </c>
      <c r="U7535">
        <v>1.5098879999999999</v>
      </c>
      <c r="V7535">
        <v>-0.203514</v>
      </c>
      <c r="W7535">
        <v>0.22351650000000001</v>
      </c>
      <c r="X7535">
        <v>0.95321690000000003</v>
      </c>
      <c r="Y7535">
        <v>-0.27958309999999997</v>
      </c>
      <c r="Z7535">
        <v>2.1243550000000001E-3</v>
      </c>
      <c r="AA7535">
        <v>0.96011919999999995</v>
      </c>
      <c r="AB7535">
        <v>31</v>
      </c>
      <c r="AC7535">
        <v>30.147699999999901</v>
      </c>
      <c r="AD7535">
        <v>-1.0379303499999999</v>
      </c>
      <c r="AE7535">
        <v>16.839779999999902</v>
      </c>
      <c r="AF7535">
        <v>-9.6875700160149005</v>
      </c>
      <c r="AG7535">
        <v>-1.0379303499999999</v>
      </c>
      <c r="AH7535">
        <v>33.112857176077497</v>
      </c>
      <c r="AI7535">
        <v>91.723176544581705</v>
      </c>
      <c r="AJ7535">
        <v>106.307480349396</v>
      </c>
      <c r="AK7535">
        <v>34.516483346221001</v>
      </c>
      <c r="AL7535">
        <v>77.084341858612007</v>
      </c>
      <c r="AM7535">
        <v>102.051834451502</v>
      </c>
      <c r="AN7535">
        <v>1.00000001620693</v>
      </c>
    </row>
    <row r="7536" spans="1:40" x14ac:dyDescent="0.25">
      <c r="A7536" t="str">
        <f>"20190304154941444"</f>
        <v>20190304154941444</v>
      </c>
      <c r="B7536" t="str">
        <f>"1551685781435192"</f>
        <v>1551685781435192</v>
      </c>
      <c r="C7536" t="s">
        <v>40</v>
      </c>
      <c r="D7536">
        <v>4.4053319999999996</v>
      </c>
      <c r="E7536">
        <v>0.46509679999999998</v>
      </c>
      <c r="F7536" t="s">
        <v>68</v>
      </c>
      <c r="G7536">
        <v>-179.86529999999999</v>
      </c>
      <c r="H7536">
        <v>7.9986559999999998E-2</v>
      </c>
      <c r="I7536">
        <v>-45.756790000000002</v>
      </c>
      <c r="J7536">
        <v>-207.94489999999999</v>
      </c>
      <c r="K7536">
        <v>1.1180380000000001</v>
      </c>
      <c r="L7536">
        <v>-61.650700000000001</v>
      </c>
      <c r="M7536">
        <v>0.97372309999999995</v>
      </c>
      <c r="N7536">
        <v>-1.284274E-2</v>
      </c>
      <c r="O7536">
        <v>0.22737309999999999</v>
      </c>
      <c r="P7536">
        <v>0.88526009999999999</v>
      </c>
      <c r="Q7536">
        <v>0.21515629999999999</v>
      </c>
      <c r="R7536">
        <v>0.41233779999999998</v>
      </c>
      <c r="S7536">
        <v>2.7034150000000001</v>
      </c>
      <c r="T7536">
        <v>-9.9379540000000002E-2</v>
      </c>
      <c r="U7536">
        <v>1.5256350000000001</v>
      </c>
      <c r="V7536">
        <v>-0.20413629999999999</v>
      </c>
      <c r="W7536">
        <v>0.22391949999999999</v>
      </c>
      <c r="X7536">
        <v>0.95298919999999998</v>
      </c>
      <c r="Y7536">
        <v>-0.28040999999999999</v>
      </c>
      <c r="Z7536">
        <v>1.8917490000000001E-3</v>
      </c>
      <c r="AA7536">
        <v>0.95987840000000002</v>
      </c>
      <c r="AB7536">
        <v>31</v>
      </c>
      <c r="AC7536">
        <v>28.079599999999999</v>
      </c>
      <c r="AD7536">
        <v>-1.0380514399999901</v>
      </c>
      <c r="AE7536">
        <v>15.893909999999901</v>
      </c>
      <c r="AF7536">
        <v>-9.0830695965193406</v>
      </c>
      <c r="AG7536">
        <v>-1.0380514399999901</v>
      </c>
      <c r="AH7536">
        <v>30.926144241625899</v>
      </c>
      <c r="AI7536">
        <v>91.844584640149606</v>
      </c>
      <c r="AJ7536">
        <v>106.36761773320301</v>
      </c>
      <c r="AK7536">
        <v>32.249125596535997</v>
      </c>
      <c r="AL7536">
        <v>77.060650893709607</v>
      </c>
      <c r="AM7536">
        <v>102.090407211185</v>
      </c>
      <c r="AN7536">
        <v>0.99999999338728995</v>
      </c>
    </row>
    <row r="7537" spans="1:40" x14ac:dyDescent="0.25">
      <c r="A7537" t="str">
        <f>"20190304154941458"</f>
        <v>20190304154941458</v>
      </c>
      <c r="B7537" t="str">
        <f>"1551685781454711"</f>
        <v>1551685781454711</v>
      </c>
      <c r="C7537" t="s">
        <v>40</v>
      </c>
      <c r="D7537">
        <v>4.339817</v>
      </c>
      <c r="E7537">
        <v>0.44243149999999998</v>
      </c>
      <c r="F7537" t="s">
        <v>68</v>
      </c>
      <c r="G7537">
        <v>-179.37629999999999</v>
      </c>
      <c r="H7537">
        <v>7.9986589999999996E-2</v>
      </c>
      <c r="I7537">
        <v>-45.330219999999997</v>
      </c>
      <c r="J7537">
        <v>-207.79650000000001</v>
      </c>
      <c r="K7537">
        <v>1.118153</v>
      </c>
      <c r="L7537">
        <v>-61.611849999999997</v>
      </c>
      <c r="M7537">
        <v>0.97269439999999996</v>
      </c>
      <c r="N7537">
        <v>-1.2883439999999999E-2</v>
      </c>
      <c r="O7537">
        <v>0.23173189999999999</v>
      </c>
      <c r="P7537">
        <v>0.88315460000000001</v>
      </c>
      <c r="Q7537">
        <v>0.21539710000000001</v>
      </c>
      <c r="R7537">
        <v>0.41670390000000002</v>
      </c>
      <c r="S7537">
        <v>2.6954349999999998</v>
      </c>
      <c r="T7537">
        <v>-9.7939490000000004E-2</v>
      </c>
      <c r="U7537">
        <v>1.539825</v>
      </c>
      <c r="V7537">
        <v>-0.2046531</v>
      </c>
      <c r="W7537">
        <v>0.22413369999999999</v>
      </c>
      <c r="X7537">
        <v>0.95282800000000001</v>
      </c>
      <c r="Y7537">
        <v>-0.2811477</v>
      </c>
      <c r="Z7537">
        <v>1.8766329999999999E-3</v>
      </c>
      <c r="AA7537">
        <v>0.95966269999999998</v>
      </c>
      <c r="AB7537">
        <v>31</v>
      </c>
      <c r="AC7537">
        <v>28.420200000000001</v>
      </c>
      <c r="AD7537">
        <v>-1.0381664100000001</v>
      </c>
      <c r="AE7537">
        <v>16.2816299999999</v>
      </c>
      <c r="AF7537">
        <v>-9.2426653441483193</v>
      </c>
      <c r="AG7537">
        <v>-1.0381664100000001</v>
      </c>
      <c r="AH7537">
        <v>31.388215079966699</v>
      </c>
      <c r="AI7537">
        <v>91.817275638957796</v>
      </c>
      <c r="AJ7537">
        <v>106.407746055041</v>
      </c>
      <c r="AK7537">
        <v>32.737206631981003</v>
      </c>
      <c r="AL7537">
        <v>77.048058182225105</v>
      </c>
      <c r="AM7537">
        <v>102.122101763459</v>
      </c>
      <c r="AN7537">
        <v>1.00000000219965</v>
      </c>
    </row>
    <row r="7538" spans="1:40" x14ac:dyDescent="0.25">
      <c r="A7538" t="str">
        <f>"20190304154941468"</f>
        <v>20190304154941468</v>
      </c>
      <c r="B7538" t="str">
        <f>"1551685781464471"</f>
        <v>1551685781464471</v>
      </c>
      <c r="C7538" t="s">
        <v>40</v>
      </c>
      <c r="D7538">
        <v>4.4467790000000003</v>
      </c>
      <c r="E7538">
        <v>0.4295273</v>
      </c>
      <c r="F7538" t="s">
        <v>68</v>
      </c>
      <c r="G7538">
        <v>-177.86320000000001</v>
      </c>
      <c r="H7538">
        <v>7.9987089999999997E-2</v>
      </c>
      <c r="I7538">
        <v>-41.918489999999998</v>
      </c>
      <c r="J7538">
        <v>-207.64189999999999</v>
      </c>
      <c r="K7538">
        <v>1.1182650000000001</v>
      </c>
      <c r="L7538">
        <v>-61.570619999999998</v>
      </c>
      <c r="M7538">
        <v>0.97158650000000002</v>
      </c>
      <c r="N7538">
        <v>-1.292534E-2</v>
      </c>
      <c r="O7538">
        <v>0.23633190000000001</v>
      </c>
      <c r="P7538">
        <v>0.88090409999999997</v>
      </c>
      <c r="Q7538">
        <v>0.2157095</v>
      </c>
      <c r="R7538">
        <v>0.42128080000000001</v>
      </c>
      <c r="S7538">
        <v>2.6090550000000001</v>
      </c>
      <c r="T7538">
        <v>-9.0489150000000004E-2</v>
      </c>
      <c r="U7538">
        <v>1.7165220000000001</v>
      </c>
      <c r="V7538">
        <v>-0.20517579999999999</v>
      </c>
      <c r="W7538">
        <v>0.22441949999999999</v>
      </c>
      <c r="X7538">
        <v>0.9526483</v>
      </c>
      <c r="Y7538">
        <v>-0.33643060000000002</v>
      </c>
      <c r="Z7538">
        <v>3.2621199999999999E-3</v>
      </c>
      <c r="AA7538">
        <v>0.94170259999999995</v>
      </c>
      <c r="AB7538">
        <v>31</v>
      </c>
      <c r="AC7538">
        <v>29.778699999999901</v>
      </c>
      <c r="AD7538">
        <v>-1.0382779099999999</v>
      </c>
      <c r="AE7538">
        <v>19.65213</v>
      </c>
      <c r="AF7538">
        <v>-12.046891783679801</v>
      </c>
      <c r="AG7538">
        <v>-1.0382779099999999</v>
      </c>
      <c r="AH7538">
        <v>33.55139757477</v>
      </c>
      <c r="AI7538">
        <v>91.668287156084006</v>
      </c>
      <c r="AJ7538">
        <v>109.75107275409501</v>
      </c>
      <c r="AK7538">
        <v>35.663733706475099</v>
      </c>
      <c r="AL7538">
        <v>77.031254995998196</v>
      </c>
      <c r="AM7538">
        <v>102.154367630561</v>
      </c>
      <c r="AN7538">
        <v>1.00000000218939</v>
      </c>
    </row>
    <row r="7539" spans="1:40" x14ac:dyDescent="0.25">
      <c r="A7539" t="str">
        <f>"20190304154941477"</f>
        <v>20190304154941477</v>
      </c>
      <c r="B7539" t="str">
        <f>"1551685781474232"</f>
        <v>1551685781474232</v>
      </c>
      <c r="C7539" t="s">
        <v>40</v>
      </c>
      <c r="D7539">
        <v>4.4397320000000002</v>
      </c>
      <c r="E7539">
        <v>0.42916789999999999</v>
      </c>
      <c r="F7539" t="s">
        <v>105</v>
      </c>
      <c r="G7539">
        <v>-153.28799999999899</v>
      </c>
      <c r="H7539">
        <v>0.93406299999999998</v>
      </c>
      <c r="I7539">
        <v>-22.650010000000002</v>
      </c>
      <c r="J7539">
        <v>-207.52510000000001</v>
      </c>
      <c r="K7539">
        <v>1.118339</v>
      </c>
      <c r="L7539">
        <v>-61.538760000000003</v>
      </c>
      <c r="M7539">
        <v>0.97071839999999998</v>
      </c>
      <c r="N7539">
        <v>-1.29563E-2</v>
      </c>
      <c r="O7539">
        <v>0.23987030000000001</v>
      </c>
      <c r="P7539">
        <v>0.87918989999999997</v>
      </c>
      <c r="Q7539">
        <v>0.21560480000000001</v>
      </c>
      <c r="R7539">
        <v>0.42489959999999999</v>
      </c>
      <c r="S7539">
        <v>2.5384220000000002</v>
      </c>
      <c r="T7539">
        <v>-8.6023809999999992E-3</v>
      </c>
      <c r="U7539">
        <v>1.8176570000000001</v>
      </c>
      <c r="V7539">
        <v>-0.20566110000000001</v>
      </c>
      <c r="W7539">
        <v>0.22429350000000001</v>
      </c>
      <c r="X7539">
        <v>0.95257329999999996</v>
      </c>
      <c r="Y7539">
        <v>-0.37014429999999998</v>
      </c>
      <c r="Z7539">
        <v>5.3740599999999999E-3</v>
      </c>
      <c r="AA7539">
        <v>0.92895870000000003</v>
      </c>
      <c r="AB7539">
        <v>31</v>
      </c>
      <c r="AC7539">
        <v>54.237099999999998</v>
      </c>
      <c r="AD7539">
        <v>-0.184276</v>
      </c>
      <c r="AE7539">
        <v>38.888750000000002</v>
      </c>
      <c r="AF7539">
        <v>-24.7420458645148</v>
      </c>
      <c r="AG7539">
        <v>-0.184276</v>
      </c>
      <c r="AH7539">
        <v>61.981942087184301</v>
      </c>
      <c r="AI7539">
        <v>90.158204419968001</v>
      </c>
      <c r="AJ7539">
        <v>111.760970975837</v>
      </c>
      <c r="AK7539">
        <v>66.7380246643921</v>
      </c>
      <c r="AL7539">
        <v>77.038662786730399</v>
      </c>
      <c r="AM7539">
        <v>102.183189058651</v>
      </c>
      <c r="AN7539">
        <v>0.99999997703417398</v>
      </c>
    </row>
    <row r="7540" spans="1:40" x14ac:dyDescent="0.25">
      <c r="A7540" t="str">
        <f>"20190304154941488"</f>
        <v>20190304154941488</v>
      </c>
      <c r="B7540" t="str">
        <f>"1551685781484967"</f>
        <v>1551685781484967</v>
      </c>
      <c r="C7540" t="s">
        <v>40</v>
      </c>
      <c r="D7540">
        <v>4.4791679999999996</v>
      </c>
      <c r="E7540">
        <v>0.42935849999999998</v>
      </c>
      <c r="F7540" t="s">
        <v>105</v>
      </c>
      <c r="G7540">
        <v>-153.8212</v>
      </c>
      <c r="H7540">
        <v>1.0578989999999999</v>
      </c>
      <c r="I7540">
        <v>-22.650010000000002</v>
      </c>
      <c r="J7540">
        <v>-207.37309999999999</v>
      </c>
      <c r="K7540">
        <v>1.1184379999999901</v>
      </c>
      <c r="L7540">
        <v>-61.496830000000003</v>
      </c>
      <c r="M7540">
        <v>0.96955999999999998</v>
      </c>
      <c r="N7540">
        <v>-1.299553E-2</v>
      </c>
      <c r="O7540">
        <v>0.24450849999999999</v>
      </c>
      <c r="P7540">
        <v>0.87713209999999997</v>
      </c>
      <c r="Q7540">
        <v>0.21471660000000001</v>
      </c>
      <c r="R7540">
        <v>0.42957659999999998</v>
      </c>
      <c r="S7540">
        <v>2.528152</v>
      </c>
      <c r="T7540">
        <v>-2.8451679999999999E-3</v>
      </c>
      <c r="U7540">
        <v>1.830719</v>
      </c>
      <c r="V7540">
        <v>-0.2061723</v>
      </c>
      <c r="W7540">
        <v>0.22338179999999999</v>
      </c>
      <c r="X7540">
        <v>0.95267710000000005</v>
      </c>
      <c r="Y7540">
        <v>-0.3706526</v>
      </c>
      <c r="Z7540">
        <v>5.5463369999999897E-3</v>
      </c>
      <c r="AA7540">
        <v>0.928755</v>
      </c>
      <c r="AB7540">
        <v>31</v>
      </c>
      <c r="AC7540">
        <v>53.551899999999897</v>
      </c>
      <c r="AD7540">
        <v>-6.0538999999999898E-2</v>
      </c>
      <c r="AE7540">
        <v>38.846820000000001</v>
      </c>
      <c r="AF7540">
        <v>-24.5724839445928</v>
      </c>
      <c r="AG7540">
        <v>-6.0538999999999898E-2</v>
      </c>
      <c r="AH7540">
        <v>61.425297073626602</v>
      </c>
      <c r="AI7540">
        <v>90.052429501382306</v>
      </c>
      <c r="AJ7540">
        <v>111.803311282221</v>
      </c>
      <c r="AK7540">
        <v>66.157975730527596</v>
      </c>
      <c r="AL7540">
        <v>77.092260262094399</v>
      </c>
      <c r="AM7540">
        <v>102.21127355582399</v>
      </c>
      <c r="AN7540">
        <v>1.00000005136146</v>
      </c>
    </row>
    <row r="7541" spans="1:40" x14ac:dyDescent="0.25">
      <c r="A7541" t="str">
        <f>"20190304154941500"</f>
        <v>20190304154941500</v>
      </c>
      <c r="B7541" t="str">
        <f>"1551685781494731"</f>
        <v>1551685781494731</v>
      </c>
      <c r="C7541" t="s">
        <v>40</v>
      </c>
      <c r="D7541">
        <v>4.3413969999999997</v>
      </c>
      <c r="E7541">
        <v>0.43020580000000003</v>
      </c>
      <c r="F7541" t="s">
        <v>105</v>
      </c>
      <c r="G7541">
        <v>-154.27709999999999</v>
      </c>
      <c r="H7541">
        <v>0.9698715</v>
      </c>
      <c r="I7541">
        <v>-22.650010000000002</v>
      </c>
      <c r="J7541">
        <v>-207.22409999999999</v>
      </c>
      <c r="K7541">
        <v>1.118527</v>
      </c>
      <c r="L7541">
        <v>-61.454590000000003</v>
      </c>
      <c r="M7541">
        <v>0.96837850000000003</v>
      </c>
      <c r="N7541">
        <v>-1.3034759999999999E-2</v>
      </c>
      <c r="O7541">
        <v>0.24914520000000001</v>
      </c>
      <c r="P7541">
        <v>0.87508569999999997</v>
      </c>
      <c r="Q7541">
        <v>0.21388270000000001</v>
      </c>
      <c r="R7541">
        <v>0.43414209999999898</v>
      </c>
      <c r="S7541">
        <v>2.5192570000000001</v>
      </c>
      <c r="T7541">
        <v>-7.0490839999999997E-3</v>
      </c>
      <c r="U7541">
        <v>1.84317</v>
      </c>
      <c r="V7541">
        <v>-0.2065698</v>
      </c>
      <c r="W7541">
        <v>0.2225288</v>
      </c>
      <c r="X7541">
        <v>0.95279060000000004</v>
      </c>
      <c r="Y7541">
        <v>-0.37075409999999998</v>
      </c>
      <c r="Z7541">
        <v>5.5322660000000001E-3</v>
      </c>
      <c r="AA7541">
        <v>0.92871459999999995</v>
      </c>
      <c r="AB7541">
        <v>31</v>
      </c>
      <c r="AC7541">
        <v>52.946999999999903</v>
      </c>
      <c r="AD7541">
        <v>-0.1486555</v>
      </c>
      <c r="AE7541">
        <v>38.804580000000001</v>
      </c>
      <c r="AF7541">
        <v>-24.3879750305531</v>
      </c>
      <c r="AG7541">
        <v>-0.1486555</v>
      </c>
      <c r="AH7541">
        <v>60.9455717448784</v>
      </c>
      <c r="AI7541">
        <v>90.129750120370204</v>
      </c>
      <c r="AJ7541">
        <v>111.80930789800099</v>
      </c>
      <c r="AK7541">
        <v>65.644178263260201</v>
      </c>
      <c r="AL7541">
        <v>77.142395361519803</v>
      </c>
      <c r="AM7541">
        <v>102.232694932068</v>
      </c>
      <c r="AN7541">
        <v>1.0000000382749099</v>
      </c>
    </row>
    <row r="7542" spans="1:40" x14ac:dyDescent="0.25">
      <c r="A7542" t="str">
        <f>"20190304154941512"</f>
        <v>20190304154941512</v>
      </c>
      <c r="B7542" t="str">
        <f>"1551685781504487"</f>
        <v>1551685781504487</v>
      </c>
      <c r="C7542" t="s">
        <v>40</v>
      </c>
      <c r="D7542">
        <v>4.4213149999999999</v>
      </c>
      <c r="E7542">
        <v>0.43035800000000002</v>
      </c>
      <c r="F7542" t="s">
        <v>105</v>
      </c>
      <c r="G7542">
        <v>-155.13570000000001</v>
      </c>
      <c r="H7542">
        <v>0.73456949999999999</v>
      </c>
      <c r="I7542">
        <v>-23.107939999999999</v>
      </c>
      <c r="J7542">
        <v>-207.05799999999999</v>
      </c>
      <c r="K7542">
        <v>1.11863</v>
      </c>
      <c r="L7542">
        <v>-61.406950000000002</v>
      </c>
      <c r="M7542">
        <v>0.96702299999999997</v>
      </c>
      <c r="N7542">
        <v>-1.3078050000000001E-2</v>
      </c>
      <c r="O7542">
        <v>0.25435360000000001</v>
      </c>
      <c r="P7542">
        <v>0.87290100000000004</v>
      </c>
      <c r="Q7542">
        <v>0.2123099</v>
      </c>
      <c r="R7542">
        <v>0.4392819</v>
      </c>
      <c r="S7542">
        <v>2.5144199999999999</v>
      </c>
      <c r="T7542">
        <v>-1.8534539999999999E-2</v>
      </c>
      <c r="U7542">
        <v>1.8510740000000001</v>
      </c>
      <c r="V7542">
        <v>-0.20698279999999999</v>
      </c>
      <c r="W7542">
        <v>0.2209372</v>
      </c>
      <c r="X7542">
        <v>0.95307129999999995</v>
      </c>
      <c r="Y7542">
        <v>-0.36848039999999999</v>
      </c>
      <c r="Z7542">
        <v>5.3284650000000001E-3</v>
      </c>
      <c r="AA7542">
        <v>0.92962029999999995</v>
      </c>
      <c r="AB7542">
        <v>31</v>
      </c>
      <c r="AC7542">
        <v>51.9222999999999</v>
      </c>
      <c r="AD7542">
        <v>-0.38406050000000003</v>
      </c>
      <c r="AE7542">
        <v>38.299009999999903</v>
      </c>
      <c r="AF7542">
        <v>-23.830590067152201</v>
      </c>
      <c r="AG7542">
        <v>-0.38406050000000003</v>
      </c>
      <c r="AH7542">
        <v>59.954544382099897</v>
      </c>
      <c r="AI7542">
        <v>90.341069529419997</v>
      </c>
      <c r="AJ7542">
        <v>111.676713905345</v>
      </c>
      <c r="AK7542">
        <v>64.518151844899407</v>
      </c>
      <c r="AL7542">
        <v>77.235914974182606</v>
      </c>
      <c r="AM7542">
        <v>102.25291275206401</v>
      </c>
      <c r="AN7542">
        <v>1.0000000143616801</v>
      </c>
    </row>
    <row r="7543" spans="1:40" x14ac:dyDescent="0.25">
      <c r="A7543" t="str">
        <f>"20190304154941521"</f>
        <v>20190304154941521</v>
      </c>
      <c r="B7543" t="str">
        <f>"1551685781514248"</f>
        <v>1551685781514248</v>
      </c>
      <c r="C7543" t="s">
        <v>40</v>
      </c>
      <c r="D7543">
        <v>4.4103389999999996</v>
      </c>
      <c r="E7543">
        <v>0.43039149999999998</v>
      </c>
      <c r="F7543" t="s">
        <v>105</v>
      </c>
      <c r="G7543">
        <v>-155.61600000000001</v>
      </c>
      <c r="H7543">
        <v>0.67831419999999998</v>
      </c>
      <c r="I7543">
        <v>-23.107939999999999</v>
      </c>
      <c r="J7543">
        <v>-206.93559999999999</v>
      </c>
      <c r="K7543">
        <v>1.1186959999999999</v>
      </c>
      <c r="L7543">
        <v>-61.370699999999999</v>
      </c>
      <c r="M7543">
        <v>0.96598130000000004</v>
      </c>
      <c r="N7543">
        <v>-1.311094E-2</v>
      </c>
      <c r="O7543">
        <v>0.25827929999999999</v>
      </c>
      <c r="P7543">
        <v>0.87134249999999902</v>
      </c>
      <c r="Q7543">
        <v>0.21098639999999999</v>
      </c>
      <c r="R7543">
        <v>0.44299769999999999</v>
      </c>
      <c r="S7543">
        <v>2.5038909999999999</v>
      </c>
      <c r="T7543">
        <v>-2.1432039999999999E-2</v>
      </c>
      <c r="U7543">
        <v>1.864166</v>
      </c>
      <c r="V7543">
        <v>-0.2071094</v>
      </c>
      <c r="W7543">
        <v>0.21960550000000001</v>
      </c>
      <c r="X7543">
        <v>0.95335150000000002</v>
      </c>
      <c r="Y7543">
        <v>-0.36969679999999999</v>
      </c>
      <c r="Z7543">
        <v>5.3118059999999996E-3</v>
      </c>
      <c r="AA7543">
        <v>0.92913730000000005</v>
      </c>
      <c r="AB7543">
        <v>31</v>
      </c>
      <c r="AC7543">
        <v>51.319599999999902</v>
      </c>
      <c r="AD7543">
        <v>-0.44038179999999899</v>
      </c>
      <c r="AE7543">
        <v>38.26276</v>
      </c>
      <c r="AF7543">
        <v>-23.7072364673156</v>
      </c>
      <c r="AG7543">
        <v>-0.44038179999999899</v>
      </c>
      <c r="AH7543">
        <v>59.458550615825501</v>
      </c>
      <c r="AI7543">
        <v>90.394179005130198</v>
      </c>
      <c r="AJ7543">
        <v>111.73809478189</v>
      </c>
      <c r="AK7543">
        <v>64.012078847524293</v>
      </c>
      <c r="AL7543">
        <v>77.314136577445396</v>
      </c>
      <c r="AM7543">
        <v>102.256686117859</v>
      </c>
      <c r="AN7543">
        <v>0.99999998087542896</v>
      </c>
    </row>
    <row r="7544" spans="1:40" x14ac:dyDescent="0.25">
      <c r="A7544" t="str">
        <f>"20190304154941533"</f>
        <v>20190304154941533</v>
      </c>
      <c r="B7544" t="str">
        <f>"1551685781524984"</f>
        <v>1551685781524984</v>
      </c>
      <c r="C7544" t="s">
        <v>40</v>
      </c>
      <c r="D7544">
        <v>4.575024</v>
      </c>
      <c r="E7544">
        <v>0.43057440000000002</v>
      </c>
      <c r="F7544" t="s">
        <v>105</v>
      </c>
      <c r="G7544">
        <v>-155.98519999999999</v>
      </c>
      <c r="H7544">
        <v>0.62044719999999998</v>
      </c>
      <c r="I7544">
        <v>-23.107939999999999</v>
      </c>
      <c r="J7544">
        <v>-206.78469999999999</v>
      </c>
      <c r="K7544">
        <v>1.1187830000000001</v>
      </c>
      <c r="L7544">
        <v>-61.325839999999999</v>
      </c>
      <c r="M7544">
        <v>0.96467099999999995</v>
      </c>
      <c r="N7544">
        <v>-1.3150530000000001E-2</v>
      </c>
      <c r="O7544">
        <v>0.26312950000000002</v>
      </c>
      <c r="P7544">
        <v>0.86923099999999998</v>
      </c>
      <c r="Q7544">
        <v>0.20959069999999999</v>
      </c>
      <c r="R7544">
        <v>0.44778269999999998</v>
      </c>
      <c r="S7544">
        <v>2.4959259999999999</v>
      </c>
      <c r="T7544">
        <v>-2.4407979999999999E-2</v>
      </c>
      <c r="U7544">
        <v>1.87439</v>
      </c>
      <c r="V7544">
        <v>-0.2075022</v>
      </c>
      <c r="W7544">
        <v>0.21819340000000001</v>
      </c>
      <c r="X7544">
        <v>0.9535903</v>
      </c>
      <c r="Y7544">
        <v>-0.36887930000000002</v>
      </c>
      <c r="Z7544">
        <v>5.2709719999999996E-3</v>
      </c>
      <c r="AA7544">
        <v>0.92946240000000002</v>
      </c>
      <c r="AB7544">
        <v>31</v>
      </c>
      <c r="AC7544">
        <v>50.799500000000002</v>
      </c>
      <c r="AD7544">
        <v>-0.4983358</v>
      </c>
      <c r="AE7544">
        <v>38.2179</v>
      </c>
      <c r="AF7544">
        <v>-23.501438461981</v>
      </c>
      <c r="AG7544">
        <v>-0.4983358</v>
      </c>
      <c r="AH7544">
        <v>59.062533297491903</v>
      </c>
      <c r="AI7544">
        <v>90.449166641866498</v>
      </c>
      <c r="AJ7544">
        <v>111.697991598849</v>
      </c>
      <c r="AK7544">
        <v>63.568457491661597</v>
      </c>
      <c r="AL7544">
        <v>77.397055078076306</v>
      </c>
      <c r="AM7544">
        <v>102.276245561051</v>
      </c>
      <c r="AN7544">
        <v>0.99999999153124497</v>
      </c>
    </row>
    <row r="7545" spans="1:40" x14ac:dyDescent="0.25">
      <c r="A7545" t="str">
        <f>"20190304154941543"</f>
        <v>20190304154941543</v>
      </c>
      <c r="B7545" t="str">
        <f>"1551685781534743"</f>
        <v>1551685781534743</v>
      </c>
      <c r="C7545" t="s">
        <v>40</v>
      </c>
      <c r="D7545">
        <v>4.3987080000000001</v>
      </c>
      <c r="E7545">
        <v>0.43142799999999998</v>
      </c>
      <c r="F7545" t="s">
        <v>105</v>
      </c>
      <c r="G7545">
        <v>-156.4237</v>
      </c>
      <c r="H7545">
        <v>0.50295639999999997</v>
      </c>
      <c r="I7545">
        <v>-23.107939999999999</v>
      </c>
      <c r="J7545">
        <v>-206.63929999999999</v>
      </c>
      <c r="K7545">
        <v>1.1188670000000001</v>
      </c>
      <c r="L7545">
        <v>-61.281309999999998</v>
      </c>
      <c r="M7545">
        <v>0.96335839999999995</v>
      </c>
      <c r="N7545">
        <v>-1.3188450000000001E-2</v>
      </c>
      <c r="O7545">
        <v>0.267893099999999</v>
      </c>
      <c r="P7545">
        <v>0.86731270000000005</v>
      </c>
      <c r="Q7545">
        <v>0.20754130000000001</v>
      </c>
      <c r="R7545">
        <v>0.45243280000000002</v>
      </c>
      <c r="S7545">
        <v>2.4865569999999999</v>
      </c>
      <c r="T7545">
        <v>-3.040636E-2</v>
      </c>
      <c r="U7545">
        <v>1.8869929999999999</v>
      </c>
      <c r="V7545">
        <v>-0.20777699999999999</v>
      </c>
      <c r="W7545">
        <v>0.2161342</v>
      </c>
      <c r="X7545">
        <v>0.95399929999999999</v>
      </c>
      <c r="Y7545">
        <v>-0.3689501</v>
      </c>
      <c r="Z7545">
        <v>5.1483470000000002E-3</v>
      </c>
      <c r="AA7545">
        <v>0.92943500000000001</v>
      </c>
      <c r="AB7545">
        <v>31</v>
      </c>
      <c r="AC7545">
        <v>50.215600000000002</v>
      </c>
      <c r="AD7545">
        <v>-0.61591059999999997</v>
      </c>
      <c r="AE7545">
        <v>38.173369999999998</v>
      </c>
      <c r="AF7545">
        <v>-23.322028236907901</v>
      </c>
      <c r="AG7545">
        <v>-0.61591059999999997</v>
      </c>
      <c r="AH7545">
        <v>58.601510869496998</v>
      </c>
      <c r="AI7545">
        <v>90.559488501541594</v>
      </c>
      <c r="AJ7545">
        <v>111.701396655727</v>
      </c>
      <c r="AK7545">
        <v>63.074824004020002</v>
      </c>
      <c r="AL7545">
        <v>77.517922784210199</v>
      </c>
      <c r="AM7545">
        <v>102.28689958276</v>
      </c>
      <c r="AN7545">
        <v>0.99999996926956403</v>
      </c>
    </row>
    <row r="7546" spans="1:40" x14ac:dyDescent="0.25">
      <c r="A7546" t="str">
        <f>"20190304154941555"</f>
        <v>20190304154941555</v>
      </c>
      <c r="B7546" t="str">
        <f>"1551685781544504"</f>
        <v>1551685781544504</v>
      </c>
      <c r="C7546" t="s">
        <v>40</v>
      </c>
      <c r="D7546">
        <v>4.370158</v>
      </c>
      <c r="E7546">
        <v>0.4321855</v>
      </c>
      <c r="F7546" t="s">
        <v>105</v>
      </c>
      <c r="G7546">
        <v>-156.66650000000001</v>
      </c>
      <c r="H7546">
        <v>0.28400989999999998</v>
      </c>
      <c r="I7546">
        <v>-23.107939999999999</v>
      </c>
      <c r="J7546">
        <v>-206.49610000000001</v>
      </c>
      <c r="K7546">
        <v>1.1189530000000001</v>
      </c>
      <c r="L7546">
        <v>-61.236939999999997</v>
      </c>
      <c r="M7546">
        <v>0.96203280000000002</v>
      </c>
      <c r="N7546">
        <v>-1.3224659999999999E-2</v>
      </c>
      <c r="O7546">
        <v>0.2726133</v>
      </c>
      <c r="P7546">
        <v>0.865552399999999</v>
      </c>
      <c r="Q7546">
        <v>0.20584</v>
      </c>
      <c r="R7546">
        <v>0.45656229999999998</v>
      </c>
      <c r="S7546">
        <v>2.4804529999999998</v>
      </c>
      <c r="T7546">
        <v>-4.1439179999999999E-2</v>
      </c>
      <c r="U7546">
        <v>1.8947750000000001</v>
      </c>
      <c r="V7546">
        <v>-0.20755009999999999</v>
      </c>
      <c r="W7546">
        <v>0.21443319999999999</v>
      </c>
      <c r="X7546">
        <v>0.95443250000000002</v>
      </c>
      <c r="Y7546">
        <v>-0.36731370000000002</v>
      </c>
      <c r="Z7546">
        <v>4.8388299999999997E-3</v>
      </c>
      <c r="AA7546">
        <v>0.93008460000000004</v>
      </c>
      <c r="AB7546">
        <v>31</v>
      </c>
      <c r="AC7546">
        <v>49.829599999999999</v>
      </c>
      <c r="AD7546">
        <v>-0.83494310000000005</v>
      </c>
      <c r="AE7546">
        <v>38.128999999999998</v>
      </c>
      <c r="AF7546">
        <v>-23.095067147715302</v>
      </c>
      <c r="AG7546">
        <v>-0.83494310000000005</v>
      </c>
      <c r="AH7546">
        <v>58.326954839917697</v>
      </c>
      <c r="AI7546">
        <v>90.762532851321296</v>
      </c>
      <c r="AJ7546">
        <v>111.601521801869</v>
      </c>
      <c r="AK7546">
        <v>62.738448478070602</v>
      </c>
      <c r="AL7546">
        <v>77.617723712456097</v>
      </c>
      <c r="AM7546">
        <v>102.26848666279901</v>
      </c>
      <c r="AN7546">
        <v>1.00000001916424</v>
      </c>
    </row>
    <row r="7547" spans="1:40" x14ac:dyDescent="0.25">
      <c r="A7547" t="str">
        <f>"20190304154941565"</f>
        <v>20190304154941565</v>
      </c>
      <c r="B7547" t="str">
        <f>"1551685781554263"</f>
        <v>1551685781554263</v>
      </c>
      <c r="C7547" t="s">
        <v>40</v>
      </c>
      <c r="D7547">
        <v>4.271039</v>
      </c>
      <c r="E7547">
        <v>0.4321855</v>
      </c>
      <c r="F7547" t="s">
        <v>105</v>
      </c>
      <c r="G7547">
        <v>-156.88159999999999</v>
      </c>
      <c r="H7547">
        <v>0.1210823</v>
      </c>
      <c r="I7547">
        <v>-23.107939999999999</v>
      </c>
      <c r="J7547">
        <v>-206.35</v>
      </c>
      <c r="K7547">
        <v>1.1190359999999999</v>
      </c>
      <c r="L7547">
        <v>-61.190669999999997</v>
      </c>
      <c r="M7547">
        <v>0.96063639999999995</v>
      </c>
      <c r="N7547">
        <v>-1.326045E-2</v>
      </c>
      <c r="O7547">
        <v>0.27749239999999997</v>
      </c>
      <c r="P7547">
        <v>0.86348999999999998</v>
      </c>
      <c r="Q7547">
        <v>0.20494889999999999</v>
      </c>
      <c r="R7547">
        <v>0.46084789999999998</v>
      </c>
      <c r="S7547">
        <v>2.4746700000000001</v>
      </c>
      <c r="T7547">
        <v>-4.9771790000000003E-2</v>
      </c>
      <c r="U7547">
        <v>1.901794</v>
      </c>
      <c r="V7547">
        <v>-0.20740790000000001</v>
      </c>
      <c r="W7547">
        <v>0.2135379</v>
      </c>
      <c r="X7547">
        <v>0.95466410000000002</v>
      </c>
      <c r="Y7547">
        <v>-0.36528260000000001</v>
      </c>
      <c r="Z7547">
        <v>4.5634999999999998E-3</v>
      </c>
      <c r="AA7547">
        <v>0.93088550000000003</v>
      </c>
      <c r="AB7547">
        <v>31</v>
      </c>
      <c r="AC7547">
        <v>49.468400000000003</v>
      </c>
      <c r="AD7547">
        <v>-0.99795370000000005</v>
      </c>
      <c r="AE7547">
        <v>38.082729999999998</v>
      </c>
      <c r="AF7547">
        <v>-22.852719952665101</v>
      </c>
      <c r="AG7547">
        <v>-0.99795370000000005</v>
      </c>
      <c r="AH7547">
        <v>58.079075867326402</v>
      </c>
      <c r="AI7547">
        <v>90.916048666179293</v>
      </c>
      <c r="AJ7547">
        <v>111.47844483961499</v>
      </c>
      <c r="AK7547">
        <v>62.421324676947798</v>
      </c>
      <c r="AL7547">
        <v>77.670236856634105</v>
      </c>
      <c r="AM7547">
        <v>102.257451011616</v>
      </c>
      <c r="AN7547">
        <v>1.00000000777381</v>
      </c>
    </row>
    <row r="7548" spans="1:40" x14ac:dyDescent="0.25">
      <c r="A7548" t="str">
        <f>"20190304154941577"</f>
        <v>20190304154941577</v>
      </c>
      <c r="B7548" t="str">
        <f>"1551685781574760"</f>
        <v>1551685781574760</v>
      </c>
      <c r="C7548" t="s">
        <v>40</v>
      </c>
      <c r="D7548">
        <v>4.3518410000000003</v>
      </c>
      <c r="E7548">
        <v>0.44051889999999999</v>
      </c>
      <c r="F7548" t="s">
        <v>105</v>
      </c>
      <c r="G7548">
        <v>-157.30199999999999</v>
      </c>
      <c r="H7548">
        <v>7.7476500000000004E-2</v>
      </c>
      <c r="I7548">
        <v>-23.107939999999999</v>
      </c>
      <c r="J7548">
        <v>-206.20429999999999</v>
      </c>
      <c r="K7548">
        <v>1.119124</v>
      </c>
      <c r="L7548">
        <v>-61.143709999999999</v>
      </c>
      <c r="M7548">
        <v>0.95920190000000005</v>
      </c>
      <c r="N7548">
        <v>-1.3295E-2</v>
      </c>
      <c r="O7548">
        <v>0.28240900000000002</v>
      </c>
      <c r="P7548">
        <v>0.86128959999999999</v>
      </c>
      <c r="Q7548">
        <v>0.2045362</v>
      </c>
      <c r="R7548">
        <v>0.46512910000000002</v>
      </c>
      <c r="S7548">
        <v>2.4651489999999998</v>
      </c>
      <c r="T7548">
        <v>-5.2348730000000003E-2</v>
      </c>
      <c r="U7548">
        <v>1.914032</v>
      </c>
      <c r="V7548">
        <v>-0.20726649999999999</v>
      </c>
      <c r="W7548">
        <v>0.213121</v>
      </c>
      <c r="X7548">
        <v>0.95478799999999997</v>
      </c>
      <c r="Y7548">
        <v>-0.3651334</v>
      </c>
      <c r="Z7548">
        <v>4.4726610000000002E-3</v>
      </c>
      <c r="AA7548">
        <v>0.93094440000000001</v>
      </c>
      <c r="AB7548">
        <v>31</v>
      </c>
      <c r="AC7548">
        <v>48.902299999999897</v>
      </c>
      <c r="AD7548">
        <v>-1.0416475000000001</v>
      </c>
      <c r="AE7548">
        <v>38.035769999999999</v>
      </c>
      <c r="AF7548">
        <v>-22.669130167419802</v>
      </c>
      <c r="AG7548">
        <v>-1.0416475000000001</v>
      </c>
      <c r="AH7548">
        <v>57.637627840322203</v>
      </c>
      <c r="AI7548">
        <v>90.963527204944697</v>
      </c>
      <c r="AJ7548">
        <v>111.46993053799299</v>
      </c>
      <c r="AK7548">
        <v>61.944092818614799</v>
      </c>
      <c r="AL7548">
        <v>77.694686735448002</v>
      </c>
      <c r="AM7548">
        <v>102.24780533561101</v>
      </c>
      <c r="AN7548">
        <v>1.0000000438036201</v>
      </c>
    </row>
    <row r="7549" spans="1:40" x14ac:dyDescent="0.25">
      <c r="A7549" t="str">
        <f>"20190304154941589"</f>
        <v>20190304154941589</v>
      </c>
      <c r="B7549" t="str">
        <f>"1551685781584523"</f>
        <v>1551685781584523</v>
      </c>
      <c r="C7549" t="s">
        <v>40</v>
      </c>
      <c r="D7549">
        <v>4.3342980000000004</v>
      </c>
      <c r="E7549">
        <v>0.44004870000000001</v>
      </c>
      <c r="F7549" t="s">
        <v>68</v>
      </c>
      <c r="G7549">
        <v>-180.40090000000001</v>
      </c>
      <c r="H7549" s="1">
        <v>-6.015906E-6</v>
      </c>
      <c r="I7549">
        <v>-41.80453</v>
      </c>
      <c r="J7549">
        <v>-206.0575</v>
      </c>
      <c r="K7549">
        <v>1.1192120000000001</v>
      </c>
      <c r="L7549">
        <v>-61.095669999999998</v>
      </c>
      <c r="M7549">
        <v>0.95771669999999998</v>
      </c>
      <c r="N7549">
        <v>-1.3328690000000001E-2</v>
      </c>
      <c r="O7549">
        <v>0.28740389999999999</v>
      </c>
      <c r="P7549">
        <v>0.85873820000000001</v>
      </c>
      <c r="Q7549">
        <v>0.20504339999999999</v>
      </c>
      <c r="R7549">
        <v>0.46960190000000002</v>
      </c>
      <c r="S7549">
        <v>2.4978639999999999</v>
      </c>
      <c r="T7549">
        <v>-0.10833569999999999</v>
      </c>
      <c r="U7549">
        <v>1.872101</v>
      </c>
      <c r="V7549">
        <v>-0.207346</v>
      </c>
      <c r="W7549">
        <v>0.21361530000000001</v>
      </c>
      <c r="X7549">
        <v>0.95466019999999896</v>
      </c>
      <c r="Y7549">
        <v>-0.34421079999999998</v>
      </c>
      <c r="Z7549">
        <v>2.0254819999999999E-3</v>
      </c>
      <c r="AA7549">
        <v>0.93889020000000001</v>
      </c>
      <c r="AB7549">
        <v>31</v>
      </c>
      <c r="AC7549">
        <v>25.656600000000001</v>
      </c>
      <c r="AD7549">
        <v>-1.1192180159059999</v>
      </c>
      <c r="AE7549">
        <v>19.291139999999999</v>
      </c>
      <c r="AF7549">
        <v>-11.0891458023706</v>
      </c>
      <c r="AG7549">
        <v>-1.1192180159059999</v>
      </c>
      <c r="AH7549">
        <v>30.0822092701017</v>
      </c>
      <c r="AI7549">
        <v>91.999326763680997</v>
      </c>
      <c r="AJ7549">
        <v>110.23530081076601</v>
      </c>
      <c r="AK7549">
        <v>32.080541113945699</v>
      </c>
      <c r="AL7549">
        <v>77.665697058713704</v>
      </c>
      <c r="AM7549">
        <v>102.253951926916</v>
      </c>
      <c r="AN7549">
        <v>0.99999997878706404</v>
      </c>
    </row>
    <row r="7550" spans="1:40" x14ac:dyDescent="0.25">
      <c r="A7550" t="str">
        <f>"20190304154941601"</f>
        <v>20190304154941601</v>
      </c>
      <c r="B7550" t="str">
        <f>"1551685781594279"</f>
        <v>1551685781594279</v>
      </c>
      <c r="C7550" t="s">
        <v>40</v>
      </c>
      <c r="D7550">
        <v>4.3042540000000002</v>
      </c>
      <c r="E7550">
        <v>0.44010480000000002</v>
      </c>
      <c r="F7550" t="s">
        <v>68</v>
      </c>
      <c r="G7550">
        <v>-179.9487</v>
      </c>
      <c r="H7550">
        <v>5.90438E-2</v>
      </c>
      <c r="I7550">
        <v>-41.260440000000003</v>
      </c>
      <c r="J7550">
        <v>-205.91050000000001</v>
      </c>
      <c r="K7550">
        <v>1.1193</v>
      </c>
      <c r="L7550">
        <v>-61.046329999999998</v>
      </c>
      <c r="M7550">
        <v>0.95617940000000001</v>
      </c>
      <c r="N7550">
        <v>-1.3363369999999999E-2</v>
      </c>
      <c r="O7550">
        <v>0.29247640000000003</v>
      </c>
      <c r="P7550">
        <v>0.85593660000000005</v>
      </c>
      <c r="Q7550">
        <v>0.206954</v>
      </c>
      <c r="R7550">
        <v>0.47385909999999898</v>
      </c>
      <c r="S7550">
        <v>2.4851380000000001</v>
      </c>
      <c r="T7550">
        <v>-0.1009113</v>
      </c>
      <c r="U7550">
        <v>1.8879999999999999</v>
      </c>
      <c r="V7550">
        <v>-0.20724049999999999</v>
      </c>
      <c r="W7550">
        <v>0.2155154</v>
      </c>
      <c r="X7550">
        <v>0.95425590000000005</v>
      </c>
      <c r="Y7550">
        <v>-0.34537489999999998</v>
      </c>
      <c r="Z7550">
        <v>2.238879E-3</v>
      </c>
      <c r="AA7550">
        <v>0.93846209999999997</v>
      </c>
      <c r="AB7550">
        <v>31</v>
      </c>
      <c r="AC7550">
        <v>25.9618</v>
      </c>
      <c r="AD7550">
        <v>-1.0602562</v>
      </c>
      <c r="AE7550">
        <v>19.785889999999998</v>
      </c>
      <c r="AF7550">
        <v>-11.314720134460901</v>
      </c>
      <c r="AG7550">
        <v>-1.0602562</v>
      </c>
      <c r="AH7550">
        <v>30.581512017015001</v>
      </c>
      <c r="AI7550">
        <v>91.862354749665499</v>
      </c>
      <c r="AJ7550">
        <v>110.303749747003</v>
      </c>
      <c r="AK7550">
        <v>32.624774515353302</v>
      </c>
      <c r="AL7550">
        <v>77.554232520230599</v>
      </c>
      <c r="AM7550">
        <v>102.252937697901</v>
      </c>
      <c r="AN7550">
        <v>0.99999991758110596</v>
      </c>
    </row>
    <row r="7551" spans="1:40" x14ac:dyDescent="0.25">
      <c r="A7551" t="str">
        <f>"20190304154941611"</f>
        <v>20190304154941611</v>
      </c>
      <c r="B7551" t="str">
        <f>"1551685781605016"</f>
        <v>1551685781605016</v>
      </c>
      <c r="C7551" t="s">
        <v>40</v>
      </c>
      <c r="D7551">
        <v>4.3335839999999903</v>
      </c>
      <c r="E7551">
        <v>0.44017499999999998</v>
      </c>
      <c r="F7551" t="s">
        <v>44</v>
      </c>
      <c r="G7551">
        <v>-178.73939999999999</v>
      </c>
      <c r="H7551">
        <v>7.998545E-2</v>
      </c>
      <c r="I7551">
        <v>-40.194119999999998</v>
      </c>
      <c r="J7551">
        <v>-205.7654</v>
      </c>
      <c r="K7551">
        <v>1.1193850000000001</v>
      </c>
      <c r="L7551">
        <v>-60.997309999999999</v>
      </c>
      <c r="M7551">
        <v>0.95462999999999998</v>
      </c>
      <c r="N7551">
        <v>-1.339711E-2</v>
      </c>
      <c r="O7551">
        <v>0.29749340000000002</v>
      </c>
      <c r="P7551">
        <v>0.85315049999999903</v>
      </c>
      <c r="Q7551">
        <v>0.2089848</v>
      </c>
      <c r="R7551">
        <v>0.47797450000000002</v>
      </c>
      <c r="S7551">
        <v>2.4759060000000002</v>
      </c>
      <c r="T7551">
        <v>-9.4705460000000005E-2</v>
      </c>
      <c r="U7551">
        <v>1.9001159999999999</v>
      </c>
      <c r="V7551">
        <v>-0.2070544</v>
      </c>
      <c r="W7551">
        <v>0.2175377</v>
      </c>
      <c r="X7551">
        <v>0.95383739999999995</v>
      </c>
      <c r="Y7551">
        <v>-0.34504220000000002</v>
      </c>
      <c r="Z7551">
        <v>2.3924369999999999E-3</v>
      </c>
      <c r="AA7551">
        <v>0.93858410000000003</v>
      </c>
      <c r="AB7551">
        <v>31</v>
      </c>
      <c r="AC7551">
        <v>27.026</v>
      </c>
      <c r="AD7551">
        <v>-1.0393995499999999</v>
      </c>
      <c r="AE7551">
        <v>20.803190000000001</v>
      </c>
      <c r="AF7551">
        <v>-11.8093835521481</v>
      </c>
      <c r="AG7551">
        <v>-1.0393995499999999</v>
      </c>
      <c r="AH7551">
        <v>31.961823383395298</v>
      </c>
      <c r="AI7551">
        <v>91.747232548475793</v>
      </c>
      <c r="AJ7551">
        <v>110.27846664524699</v>
      </c>
      <c r="AK7551">
        <v>34.089588517575898</v>
      </c>
      <c r="AL7551">
        <v>77.435548442223194</v>
      </c>
      <c r="AM7551">
        <v>102.247475906555</v>
      </c>
      <c r="AN7551">
        <v>0.99999998055970396</v>
      </c>
    </row>
    <row r="7552" spans="1:40" x14ac:dyDescent="0.25">
      <c r="A7552" t="str">
        <f>"20190304154941623"</f>
        <v>20190304154941623</v>
      </c>
      <c r="B7552" t="str">
        <f>"1551685781614775"</f>
        <v>1551685781614775</v>
      </c>
      <c r="C7552" t="s">
        <v>40</v>
      </c>
      <c r="D7552">
        <v>4.3173899999999996</v>
      </c>
      <c r="E7552">
        <v>0.44028450000000002</v>
      </c>
      <c r="F7552" t="s">
        <v>44</v>
      </c>
      <c r="G7552">
        <v>-175.76920000000001</v>
      </c>
      <c r="H7552">
        <v>7.9986310000000005E-2</v>
      </c>
      <c r="I7552">
        <v>-37.750900000000001</v>
      </c>
      <c r="J7552">
        <v>-205.6079</v>
      </c>
      <c r="K7552">
        <v>1.11947</v>
      </c>
      <c r="L7552">
        <v>-60.94229</v>
      </c>
      <c r="M7552">
        <v>0.95288260000000002</v>
      </c>
      <c r="N7552">
        <v>-1.343486E-2</v>
      </c>
      <c r="O7552">
        <v>0.30304160000000002</v>
      </c>
      <c r="P7552">
        <v>0.8501301</v>
      </c>
      <c r="Q7552">
        <v>0.2101268</v>
      </c>
      <c r="R7552">
        <v>0.4828307</v>
      </c>
      <c r="S7552">
        <v>2.4664459999999999</v>
      </c>
      <c r="T7552">
        <v>-8.5464600000000002E-2</v>
      </c>
      <c r="U7552">
        <v>1.911438</v>
      </c>
      <c r="V7552">
        <v>-0.20709759999999999</v>
      </c>
      <c r="W7552">
        <v>0.21867039999999999</v>
      </c>
      <c r="X7552">
        <v>0.953569</v>
      </c>
      <c r="Y7552">
        <v>-0.34403810000000001</v>
      </c>
      <c r="Z7552">
        <v>2.6753929999999999E-3</v>
      </c>
      <c r="AA7552">
        <v>0.93895189999999995</v>
      </c>
      <c r="AB7552">
        <v>31</v>
      </c>
      <c r="AC7552">
        <v>29.8386999999999</v>
      </c>
      <c r="AD7552">
        <v>-1.03948369</v>
      </c>
      <c r="AE7552">
        <v>23.191389999999998</v>
      </c>
      <c r="AF7552">
        <v>-13.047611911172901</v>
      </c>
      <c r="AG7552">
        <v>-1.03948369</v>
      </c>
      <c r="AH7552">
        <v>35.437124722071196</v>
      </c>
      <c r="AI7552">
        <v>91.576762666213199</v>
      </c>
      <c r="AJ7552">
        <v>110.213226507624</v>
      </c>
      <c r="AK7552">
        <v>37.777116241105396</v>
      </c>
      <c r="AL7552">
        <v>77.369048790902198</v>
      </c>
      <c r="AM7552">
        <v>102.253297895489</v>
      </c>
      <c r="AN7552">
        <v>0.99999999876145995</v>
      </c>
    </row>
    <row r="7553" spans="1:40" x14ac:dyDescent="0.25">
      <c r="A7553" t="str">
        <f>"20190304154941635"</f>
        <v>20190304154941635</v>
      </c>
      <c r="B7553" t="str">
        <f>"1551685781624535"</f>
        <v>1551685781624535</v>
      </c>
      <c r="C7553" t="s">
        <v>40</v>
      </c>
      <c r="D7553">
        <v>4.3090299999999999</v>
      </c>
      <c r="E7553">
        <v>0.44068400000000002</v>
      </c>
      <c r="F7553" t="s">
        <v>45</v>
      </c>
      <c r="G7553">
        <v>-170.41909999999999</v>
      </c>
      <c r="H7553">
        <v>-0.05</v>
      </c>
      <c r="I7553">
        <v>-33.365109999999902</v>
      </c>
      <c r="J7553">
        <v>-205.46940000000001</v>
      </c>
      <c r="K7553">
        <v>1.119543</v>
      </c>
      <c r="L7553">
        <v>-60.893459999999997</v>
      </c>
      <c r="M7553">
        <v>0.95131149999999998</v>
      </c>
      <c r="N7553">
        <v>-1.346785E-2</v>
      </c>
      <c r="O7553">
        <v>0.30793690000000001</v>
      </c>
      <c r="P7553">
        <v>0.84754039999999997</v>
      </c>
      <c r="Q7553">
        <v>0.21172199999999999</v>
      </c>
      <c r="R7553">
        <v>0.48667139999999998</v>
      </c>
      <c r="S7553">
        <v>2.4559169999999999</v>
      </c>
      <c r="T7553">
        <v>-8.162034E-2</v>
      </c>
      <c r="U7553">
        <v>1.9246829999999999</v>
      </c>
      <c r="V7553">
        <v>-0.20670089999999999</v>
      </c>
      <c r="W7553">
        <v>0.22026699999999999</v>
      </c>
      <c r="X7553">
        <v>0.95328760000000001</v>
      </c>
      <c r="Y7553">
        <v>-0.34431</v>
      </c>
      <c r="Z7553">
        <v>2.7882229999999998E-3</v>
      </c>
      <c r="AA7553">
        <v>0.93885189999999996</v>
      </c>
      <c r="AB7553">
        <v>31</v>
      </c>
      <c r="AC7553">
        <v>35.0503</v>
      </c>
      <c r="AD7553">
        <v>-1.169543</v>
      </c>
      <c r="AE7553">
        <v>27.52835</v>
      </c>
      <c r="AF7553">
        <v>-15.3855560797746</v>
      </c>
      <c r="AG7553">
        <v>-1.169543</v>
      </c>
      <c r="AH7553">
        <v>41.795758270778499</v>
      </c>
      <c r="AI7553">
        <v>91.504221872404003</v>
      </c>
      <c r="AJ7553">
        <v>110.209310062645</v>
      </c>
      <c r="AK7553">
        <v>44.552986164140499</v>
      </c>
      <c r="AL7553">
        <v>77.275284731508293</v>
      </c>
      <c r="AM7553">
        <v>102.234035212705</v>
      </c>
      <c r="AN7553">
        <v>1.00000003083178</v>
      </c>
    </row>
    <row r="7554" spans="1:40" x14ac:dyDescent="0.25">
      <c r="A7554" t="str">
        <f>"20190304154941645"</f>
        <v>20190304154941645</v>
      </c>
      <c r="B7554" t="str">
        <f>"1551685781634295"</f>
        <v>1551685781634295</v>
      </c>
      <c r="C7554" t="s">
        <v>40</v>
      </c>
      <c r="D7554">
        <v>4.3289650000000002</v>
      </c>
      <c r="E7554">
        <v>0.44091940000000002</v>
      </c>
      <c r="F7554" t="s">
        <v>45</v>
      </c>
      <c r="G7554">
        <v>-168.8261</v>
      </c>
      <c r="H7554">
        <v>-0.05</v>
      </c>
      <c r="I7554">
        <v>-31.962890000000002</v>
      </c>
      <c r="J7554">
        <v>-205.3288</v>
      </c>
      <c r="K7554">
        <v>1.1196170000000001</v>
      </c>
      <c r="L7554">
        <v>-60.842829999999999</v>
      </c>
      <c r="M7554">
        <v>0.9496715</v>
      </c>
      <c r="N7554">
        <v>-1.3502449999999999E-2</v>
      </c>
      <c r="O7554">
        <v>0.31295640000000002</v>
      </c>
      <c r="P7554">
        <v>0.84478790000000004</v>
      </c>
      <c r="Q7554">
        <v>0.21248649999999999</v>
      </c>
      <c r="R7554">
        <v>0.49110379999999998</v>
      </c>
      <c r="S7554">
        <v>2.4489589999999999</v>
      </c>
      <c r="T7554">
        <v>-7.8163499999999997E-2</v>
      </c>
      <c r="U7554">
        <v>1.9335020000000001</v>
      </c>
      <c r="V7554">
        <v>-0.2067735</v>
      </c>
      <c r="W7554">
        <v>0.2210269</v>
      </c>
      <c r="X7554">
        <v>0.9530959</v>
      </c>
      <c r="Y7554">
        <v>-0.34274009999999999</v>
      </c>
      <c r="Z7554">
        <v>2.8578760000000001E-3</v>
      </c>
      <c r="AA7554">
        <v>0.93942590000000004</v>
      </c>
      <c r="AB7554">
        <v>31</v>
      </c>
      <c r="AC7554">
        <v>36.502699999999997</v>
      </c>
      <c r="AD7554">
        <v>-1.1696169999999999</v>
      </c>
      <c r="AE7554">
        <v>28.879940000000001</v>
      </c>
      <c r="AF7554">
        <v>-15.994062253805501</v>
      </c>
      <c r="AG7554">
        <v>-1.1696169999999999</v>
      </c>
      <c r="AH7554">
        <v>43.680139602576801</v>
      </c>
      <c r="AI7554">
        <v>91.440355835133005</v>
      </c>
      <c r="AJ7554">
        <v>110.11087437481901</v>
      </c>
      <c r="AK7554">
        <v>46.530985665531503</v>
      </c>
      <c r="AL7554">
        <v>77.230644853430803</v>
      </c>
      <c r="AM7554">
        <v>102.24059002044299</v>
      </c>
      <c r="AN7554">
        <v>0.99999998271133395</v>
      </c>
    </row>
    <row r="7555" spans="1:40" x14ac:dyDescent="0.25">
      <c r="A7555" t="str">
        <f>"20190304154941656"</f>
        <v>20190304154941656</v>
      </c>
      <c r="B7555" t="str">
        <f>"1551685781645032"</f>
        <v>1551685781645032</v>
      </c>
      <c r="C7555" t="s">
        <v>40</v>
      </c>
      <c r="D7555">
        <v>4.3829830000000003</v>
      </c>
      <c r="E7555">
        <v>0.44111129999999998</v>
      </c>
      <c r="F7555" t="s">
        <v>45</v>
      </c>
      <c r="G7555">
        <v>-167.8279</v>
      </c>
      <c r="H7555">
        <v>-0.05</v>
      </c>
      <c r="I7555">
        <v>-30.950060000000001</v>
      </c>
      <c r="J7555">
        <v>-205.18510000000001</v>
      </c>
      <c r="K7555">
        <v>1.119688</v>
      </c>
      <c r="L7555">
        <v>-60.790280000000003</v>
      </c>
      <c r="M7555">
        <v>0.94795430000000003</v>
      </c>
      <c r="N7555">
        <v>-1.3537520000000001E-2</v>
      </c>
      <c r="O7555">
        <v>0.31811869999999998</v>
      </c>
      <c r="P7555">
        <v>0.84187069999999997</v>
      </c>
      <c r="Q7555">
        <v>0.21316660000000001</v>
      </c>
      <c r="R7555">
        <v>0.49579609999999902</v>
      </c>
      <c r="S7555">
        <v>2.4397739999999999</v>
      </c>
      <c r="T7555">
        <v>-7.6094030000000007E-2</v>
      </c>
      <c r="U7555">
        <v>1.9447939999999999</v>
      </c>
      <c r="V7555">
        <v>-0.20699699999999999</v>
      </c>
      <c r="W7555">
        <v>0.2216998</v>
      </c>
      <c r="X7555">
        <v>0.95289109999999999</v>
      </c>
      <c r="Y7555">
        <v>-0.34201589999999998</v>
      </c>
      <c r="Z7555">
        <v>2.8889499999999999E-3</v>
      </c>
      <c r="AA7555">
        <v>0.93968969999999996</v>
      </c>
      <c r="AB7555">
        <v>31</v>
      </c>
      <c r="AC7555">
        <v>37.357199999999999</v>
      </c>
      <c r="AD7555">
        <v>-1.1696879999999901</v>
      </c>
      <c r="AE7555">
        <v>29.840219999999999</v>
      </c>
      <c r="AF7555">
        <v>-16.394830883390899</v>
      </c>
      <c r="AG7555">
        <v>-1.1696879999999901</v>
      </c>
      <c r="AH7555">
        <v>44.882900489477102</v>
      </c>
      <c r="AI7555">
        <v>91.402257468400904</v>
      </c>
      <c r="AJ7555">
        <v>110.066243273366</v>
      </c>
      <c r="AK7555">
        <v>47.797838926677898</v>
      </c>
      <c r="AL7555">
        <v>77.191109986213306</v>
      </c>
      <c r="AM7555">
        <v>102.25597521160201</v>
      </c>
      <c r="AN7555">
        <v>1.0000000038941199</v>
      </c>
    </row>
    <row r="7556" spans="1:40" x14ac:dyDescent="0.25">
      <c r="A7556" t="str">
        <f>"20190304154941667"</f>
        <v>20190304154941667</v>
      </c>
      <c r="B7556" t="str">
        <f>"1551685781664552"</f>
        <v>1551685781664552</v>
      </c>
      <c r="C7556" t="s">
        <v>40</v>
      </c>
      <c r="D7556">
        <v>4.4036400000000002</v>
      </c>
      <c r="E7556">
        <v>0.4415674</v>
      </c>
      <c r="F7556" t="s">
        <v>45</v>
      </c>
      <c r="G7556">
        <v>-166.58099999999999</v>
      </c>
      <c r="H7556">
        <v>-0.05</v>
      </c>
      <c r="I7556">
        <v>-29.696840000000002</v>
      </c>
      <c r="J7556">
        <v>-205.0455</v>
      </c>
      <c r="K7556">
        <v>1.1197600000000001</v>
      </c>
      <c r="L7556">
        <v>-60.738370000000003</v>
      </c>
      <c r="M7556">
        <v>0.94624379999999997</v>
      </c>
      <c r="N7556">
        <v>-1.3571440000000001E-2</v>
      </c>
      <c r="O7556">
        <v>0.32316909999999999</v>
      </c>
      <c r="P7556">
        <v>0.8390225</v>
      </c>
      <c r="Q7556">
        <v>0.2138379</v>
      </c>
      <c r="R7556">
        <v>0.5003147</v>
      </c>
      <c r="S7556">
        <v>2.4296419999999999</v>
      </c>
      <c r="T7556">
        <v>-7.3617100000000005E-2</v>
      </c>
      <c r="U7556">
        <v>1.9569399999999999</v>
      </c>
      <c r="V7556">
        <v>-0.2071423</v>
      </c>
      <c r="W7556">
        <v>0.2223675</v>
      </c>
      <c r="X7556">
        <v>0.952704</v>
      </c>
      <c r="Y7556">
        <v>-0.341773299999999</v>
      </c>
      <c r="Z7556">
        <v>2.9583449999999998E-3</v>
      </c>
      <c r="AA7556">
        <v>0.9397778</v>
      </c>
      <c r="AB7556">
        <v>31</v>
      </c>
      <c r="AC7556">
        <v>38.464500000000001</v>
      </c>
      <c r="AD7556">
        <v>-1.1697599999999999</v>
      </c>
      <c r="AE7556">
        <v>31.041529999999899</v>
      </c>
      <c r="AF7556">
        <v>-16.934395101170701</v>
      </c>
      <c r="AG7556">
        <v>-1.1697599999999999</v>
      </c>
      <c r="AH7556">
        <v>46.406747656687699</v>
      </c>
      <c r="AI7556">
        <v>91.356473461484896</v>
      </c>
      <c r="AJ7556">
        <v>110.047650179142</v>
      </c>
      <c r="AK7556">
        <v>49.413847289718802</v>
      </c>
      <c r="AL7556">
        <v>77.151875153413599</v>
      </c>
      <c r="AM7556">
        <v>102.266653550699</v>
      </c>
      <c r="AN7556">
        <v>1.00000007456076</v>
      </c>
    </row>
    <row r="7557" spans="1:40" x14ac:dyDescent="0.25">
      <c r="A7557" t="str">
        <f>"20190304154941680"</f>
        <v>20190304154941680</v>
      </c>
      <c r="B7557" t="str">
        <f>"1551685781674311"</f>
        <v>1551685781674311</v>
      </c>
      <c r="C7557" t="s">
        <v>40</v>
      </c>
      <c r="D7557">
        <v>4.3677590000000004</v>
      </c>
      <c r="E7557">
        <v>0.44182260000000001</v>
      </c>
      <c r="F7557" t="s">
        <v>45</v>
      </c>
      <c r="G7557">
        <v>-165.31</v>
      </c>
      <c r="H7557">
        <v>-0.05</v>
      </c>
      <c r="I7557">
        <v>-28.453320000000001</v>
      </c>
      <c r="J7557">
        <v>-204.8937</v>
      </c>
      <c r="K7557">
        <v>1.1198300000000001</v>
      </c>
      <c r="L7557">
        <v>-60.680759999999999</v>
      </c>
      <c r="M7557">
        <v>0.94433460000000002</v>
      </c>
      <c r="N7557">
        <v>-1.361067E-2</v>
      </c>
      <c r="O7557">
        <v>0.32870480000000002</v>
      </c>
      <c r="P7557">
        <v>0.83574930000000003</v>
      </c>
      <c r="Q7557">
        <v>0.21399979999999999</v>
      </c>
      <c r="R7557">
        <v>0.50569470000000005</v>
      </c>
      <c r="S7557">
        <v>2.420868</v>
      </c>
      <c r="T7557">
        <v>-7.1267010000000006E-2</v>
      </c>
      <c r="U7557">
        <v>1.9669490000000001</v>
      </c>
      <c r="V7557">
        <v>-0.2077377</v>
      </c>
      <c r="W7557">
        <v>0.22251989999999999</v>
      </c>
      <c r="X7557">
        <v>0.95253869999999896</v>
      </c>
      <c r="Y7557">
        <v>-0.34028190000000003</v>
      </c>
      <c r="Z7557">
        <v>3.0032280000000001E-3</v>
      </c>
      <c r="AA7557">
        <v>0.94031869999999995</v>
      </c>
      <c r="AB7557">
        <v>31</v>
      </c>
      <c r="AC7557">
        <v>39.583699999999901</v>
      </c>
      <c r="AD7557">
        <v>-1.1698299999999999</v>
      </c>
      <c r="AE7557">
        <v>32.227440000000001</v>
      </c>
      <c r="AF7557">
        <v>-17.414602154105101</v>
      </c>
      <c r="AG7557">
        <v>-1.1698299999999999</v>
      </c>
      <c r="AH7557">
        <v>47.952830749283002</v>
      </c>
      <c r="AI7557">
        <v>91.313571445381299</v>
      </c>
      <c r="AJ7557">
        <v>109.959051824531</v>
      </c>
      <c r="AK7557">
        <v>51.030489389031402</v>
      </c>
      <c r="AL7557">
        <v>77.142918122773196</v>
      </c>
      <c r="AM7557">
        <v>102.302909854237</v>
      </c>
      <c r="AN7557">
        <v>1.00000001644749</v>
      </c>
    </row>
    <row r="7558" spans="1:40" x14ac:dyDescent="0.25">
      <c r="A7558" t="str">
        <f>"20190304154941690"</f>
        <v>20190304154941690</v>
      </c>
      <c r="B7558" t="str">
        <f>"1551685781685047"</f>
        <v>1551685781685047</v>
      </c>
      <c r="C7558" t="s">
        <v>40</v>
      </c>
      <c r="D7558">
        <v>4.3675129999999998</v>
      </c>
      <c r="E7558">
        <v>0.44208520000000001</v>
      </c>
      <c r="F7558" t="s">
        <v>45</v>
      </c>
      <c r="G7558">
        <v>-164.2747</v>
      </c>
      <c r="H7558">
        <v>-0.05</v>
      </c>
      <c r="I7558">
        <v>-27.282640000000001</v>
      </c>
      <c r="J7558">
        <v>-204.7518</v>
      </c>
      <c r="K7558">
        <v>1.119885</v>
      </c>
      <c r="L7558">
        <v>-60.626309999999997</v>
      </c>
      <c r="M7558">
        <v>0.94251099999999999</v>
      </c>
      <c r="N7558">
        <v>-1.364805E-2</v>
      </c>
      <c r="O7558">
        <v>0.33389619999999998</v>
      </c>
      <c r="P7558">
        <v>0.83281459999999996</v>
      </c>
      <c r="Q7558">
        <v>0.21392530000000001</v>
      </c>
      <c r="R7558">
        <v>0.51054449999999996</v>
      </c>
      <c r="S7558">
        <v>2.4089200000000002</v>
      </c>
      <c r="T7558">
        <v>-6.9377060000000004E-2</v>
      </c>
      <c r="U7558">
        <v>1.9806820000000001</v>
      </c>
      <c r="V7558">
        <v>-0.20805789999999999</v>
      </c>
      <c r="W7558">
        <v>0.22244510000000001</v>
      </c>
      <c r="X7558">
        <v>0.95248630000000001</v>
      </c>
      <c r="Y7558">
        <v>-0.34059640000000002</v>
      </c>
      <c r="Z7558">
        <v>3.0695689999999999E-3</v>
      </c>
      <c r="AA7558">
        <v>0.94020459999999995</v>
      </c>
      <c r="AB7558">
        <v>31</v>
      </c>
      <c r="AC7558">
        <v>40.4771</v>
      </c>
      <c r="AD7558">
        <v>-1.1698850000000001</v>
      </c>
      <c r="AE7558">
        <v>33.343670000000003</v>
      </c>
      <c r="AF7558">
        <v>-17.9043848698138</v>
      </c>
      <c r="AG7558">
        <v>-1.1698850000000001</v>
      </c>
      <c r="AH7558">
        <v>49.263513232639802</v>
      </c>
      <c r="AI7558">
        <v>91.278580155872206</v>
      </c>
      <c r="AJ7558">
        <v>109.973224137448</v>
      </c>
      <c r="AK7558">
        <v>52.4292796488958</v>
      </c>
      <c r="AL7558">
        <v>77.147314225854998</v>
      </c>
      <c r="AM7558">
        <v>102.32195145262</v>
      </c>
      <c r="AN7558">
        <v>1.0000000319770499</v>
      </c>
    </row>
    <row r="7559" spans="1:40" x14ac:dyDescent="0.25">
      <c r="A7559" t="str">
        <f>"20190304154941701"</f>
        <v>20190304154941701</v>
      </c>
      <c r="B7559" t="str">
        <f>"1551685781694808"</f>
        <v>1551685781694808</v>
      </c>
      <c r="C7559" t="s">
        <v>40</v>
      </c>
      <c r="D7559">
        <v>4.539104</v>
      </c>
      <c r="E7559">
        <v>0.44230799999999998</v>
      </c>
      <c r="F7559" t="s">
        <v>45</v>
      </c>
      <c r="G7559">
        <v>-164.4152</v>
      </c>
      <c r="H7559">
        <v>-0.05</v>
      </c>
      <c r="I7559">
        <v>-27.098510000000001</v>
      </c>
      <c r="J7559">
        <v>-204.61269999999999</v>
      </c>
      <c r="K7559">
        <v>1.119939</v>
      </c>
      <c r="L7559">
        <v>-60.5715</v>
      </c>
      <c r="M7559">
        <v>0.94067250000000002</v>
      </c>
      <c r="N7559">
        <v>-1.3686729999999999E-2</v>
      </c>
      <c r="O7559">
        <v>0.339039799999999</v>
      </c>
      <c r="P7559">
        <v>0.82968850000000005</v>
      </c>
      <c r="Q7559">
        <v>0.214202</v>
      </c>
      <c r="R7559">
        <v>0.51549449999999997</v>
      </c>
      <c r="S7559">
        <v>2.3981170000000001</v>
      </c>
      <c r="T7559">
        <v>-6.9552779999999995E-2</v>
      </c>
      <c r="U7559">
        <v>1.993317</v>
      </c>
      <c r="V7559">
        <v>-0.2085872</v>
      </c>
      <c r="W7559">
        <v>0.22271930000000001</v>
      </c>
      <c r="X7559">
        <v>0.9523064</v>
      </c>
      <c r="Y7559">
        <v>-0.34047100000000002</v>
      </c>
      <c r="Z7559">
        <v>3.020816E-3</v>
      </c>
      <c r="AA7559">
        <v>0.94025020000000004</v>
      </c>
      <c r="AB7559">
        <v>31</v>
      </c>
      <c r="AC7559">
        <v>40.197499999999899</v>
      </c>
      <c r="AD7559">
        <v>-1.1699389999999901</v>
      </c>
      <c r="AE7559">
        <v>33.472990000000003</v>
      </c>
      <c r="AF7559">
        <v>-17.851311491146902</v>
      </c>
      <c r="AG7559">
        <v>-1.1699389999999901</v>
      </c>
      <c r="AH7559">
        <v>49.1413805463554</v>
      </c>
      <c r="AI7559">
        <v>91.281888633478999</v>
      </c>
      <c r="AJ7559">
        <v>109.964278606538</v>
      </c>
      <c r="AK7559">
        <v>52.296399122878398</v>
      </c>
      <c r="AL7559">
        <v>77.131198957881494</v>
      </c>
      <c r="AM7559">
        <v>102.354599199622</v>
      </c>
      <c r="AN7559">
        <v>0.99999999303864495</v>
      </c>
    </row>
    <row r="7560" spans="1:40" x14ac:dyDescent="0.25">
      <c r="A7560" t="str">
        <f>"20190304154941713"</f>
        <v>20190304154941713</v>
      </c>
      <c r="B7560" t="str">
        <f>"1551685781704567"</f>
        <v>1551685781704567</v>
      </c>
      <c r="C7560" t="s">
        <v>40</v>
      </c>
      <c r="D7560">
        <v>4.3487650000000002</v>
      </c>
      <c r="E7560">
        <v>0.44259379999999998</v>
      </c>
      <c r="F7560" t="s">
        <v>45</v>
      </c>
      <c r="G7560">
        <v>-165.292</v>
      </c>
      <c r="H7560">
        <v>-0.05</v>
      </c>
      <c r="I7560">
        <v>-27.518519999999999</v>
      </c>
      <c r="J7560">
        <v>-204.47030000000001</v>
      </c>
      <c r="K7560">
        <v>1.1199950000000001</v>
      </c>
      <c r="L7560">
        <v>-60.515009999999997</v>
      </c>
      <c r="M7560">
        <v>0.93875500000000001</v>
      </c>
      <c r="N7560">
        <v>-1.3726199999999999E-2</v>
      </c>
      <c r="O7560">
        <v>0.3443118</v>
      </c>
      <c r="P7560">
        <v>0.82633690000000004</v>
      </c>
      <c r="Q7560">
        <v>0.2145146</v>
      </c>
      <c r="R7560">
        <v>0.52072169999999995</v>
      </c>
      <c r="S7560">
        <v>2.3873139999999999</v>
      </c>
      <c r="T7560">
        <v>-7.1031570000000002E-2</v>
      </c>
      <c r="U7560">
        <v>2.0067750000000002</v>
      </c>
      <c r="V7560">
        <v>-0.20932100000000001</v>
      </c>
      <c r="W7560">
        <v>0.22302430000000001</v>
      </c>
      <c r="X7560">
        <v>0.95207399999999998</v>
      </c>
      <c r="Y7560">
        <v>-0.34039520000000001</v>
      </c>
      <c r="Z7560">
        <v>2.8972830000000001E-3</v>
      </c>
      <c r="AA7560">
        <v>0.94027799999999995</v>
      </c>
      <c r="AB7560">
        <v>31</v>
      </c>
      <c r="AC7560">
        <v>39.1783</v>
      </c>
      <c r="AD7560">
        <v>-1.1699949999999999</v>
      </c>
      <c r="AE7560">
        <v>32.996489999999902</v>
      </c>
      <c r="AF7560">
        <v>-17.4785974459854</v>
      </c>
      <c r="AG7560">
        <v>-1.1699949999999999</v>
      </c>
      <c r="AH7560">
        <v>48.119336436046403</v>
      </c>
      <c r="AI7560">
        <v>91.309181513295201</v>
      </c>
      <c r="AJ7560">
        <v>109.962761910304</v>
      </c>
      <c r="AK7560">
        <v>51.208796080597899</v>
      </c>
      <c r="AL7560">
        <v>77.113273091829996</v>
      </c>
      <c r="AM7560">
        <v>102.399652991064</v>
      </c>
      <c r="AN7560">
        <v>1.0000000104537401</v>
      </c>
    </row>
    <row r="7561" spans="1:40" x14ac:dyDescent="0.25">
      <c r="A7561" t="str">
        <f>"20190304154941724"</f>
        <v>20190304154941724</v>
      </c>
      <c r="B7561" t="str">
        <f>"1551685781714328"</f>
        <v>1551685781714328</v>
      </c>
      <c r="C7561" t="s">
        <v>40</v>
      </c>
      <c r="D7561">
        <v>4.4002759999999999</v>
      </c>
      <c r="E7561">
        <v>0.4429321</v>
      </c>
      <c r="F7561" t="s">
        <v>45</v>
      </c>
      <c r="G7561">
        <v>-164.5592</v>
      </c>
      <c r="H7561">
        <v>-0.05</v>
      </c>
      <c r="I7561">
        <v>-26.573560000000001</v>
      </c>
      <c r="J7561">
        <v>-204.33109999999999</v>
      </c>
      <c r="K7561">
        <v>1.1200460000000001</v>
      </c>
      <c r="L7561">
        <v>-60.45834</v>
      </c>
      <c r="M7561">
        <v>0.93682989999999999</v>
      </c>
      <c r="N7561">
        <v>-1.3766469999999999E-2</v>
      </c>
      <c r="O7561">
        <v>0.3495142</v>
      </c>
      <c r="P7561">
        <v>0.82281979999999999</v>
      </c>
      <c r="Q7561">
        <v>0.21515880000000001</v>
      </c>
      <c r="R7561">
        <v>0.52599830000000003</v>
      </c>
      <c r="S7561">
        <v>2.3755190000000002</v>
      </c>
      <c r="T7561">
        <v>-6.9638370000000005E-2</v>
      </c>
      <c r="U7561">
        <v>2.020203</v>
      </c>
      <c r="V7561">
        <v>-0.21023249999999999</v>
      </c>
      <c r="W7561">
        <v>0.2236592</v>
      </c>
      <c r="X7561">
        <v>0.95172420000000002</v>
      </c>
      <c r="Y7561">
        <v>-0.34056930000000002</v>
      </c>
      <c r="Z7561">
        <v>2.9440489999999998E-3</v>
      </c>
      <c r="AA7561">
        <v>0.94021480000000002</v>
      </c>
      <c r="AB7561">
        <v>31</v>
      </c>
      <c r="AC7561">
        <v>39.771899999999903</v>
      </c>
      <c r="AD7561">
        <v>-1.1700459999999999</v>
      </c>
      <c r="AE7561">
        <v>33.884779999999999</v>
      </c>
      <c r="AF7561">
        <v>-17.8361783802678</v>
      </c>
      <c r="AG7561">
        <v>-1.1700459999999999</v>
      </c>
      <c r="AH7561">
        <v>49.082757959787799</v>
      </c>
      <c r="AI7561">
        <v>91.283484796442707</v>
      </c>
      <c r="AJ7561">
        <v>109.970633284177</v>
      </c>
      <c r="AK7561">
        <v>52.236150277312397</v>
      </c>
      <c r="AL7561">
        <v>77.075953795856705</v>
      </c>
      <c r="AM7561">
        <v>102.456401071982</v>
      </c>
      <c r="AN7561">
        <v>1.00000004733326</v>
      </c>
    </row>
    <row r="7562" spans="1:40" x14ac:dyDescent="0.25">
      <c r="A7562" t="str">
        <f>"20190304154941734"</f>
        <v>20190304154941734</v>
      </c>
      <c r="B7562" t="str">
        <f>"1551685781725064"</f>
        <v>1551685781725064</v>
      </c>
      <c r="C7562" t="s">
        <v>40</v>
      </c>
      <c r="D7562">
        <v>4.3176750000000004</v>
      </c>
      <c r="E7562">
        <v>0.44329659999999899</v>
      </c>
      <c r="F7562" t="s">
        <v>45</v>
      </c>
      <c r="G7562">
        <v>-164.41460000000001</v>
      </c>
      <c r="H7562">
        <v>-0.05</v>
      </c>
      <c r="I7562">
        <v>-26.12</v>
      </c>
      <c r="J7562">
        <v>-204.19739999999999</v>
      </c>
      <c r="K7562">
        <v>1.120093</v>
      </c>
      <c r="L7562">
        <v>-60.403469999999999</v>
      </c>
      <c r="M7562">
        <v>0.93494770000000005</v>
      </c>
      <c r="N7562">
        <v>-1.3804719999999999E-2</v>
      </c>
      <c r="O7562">
        <v>0.35451690000000002</v>
      </c>
      <c r="P7562">
        <v>0.81938169999999899</v>
      </c>
      <c r="Q7562">
        <v>0.21611150000000001</v>
      </c>
      <c r="R7562">
        <v>0.53095159999999997</v>
      </c>
      <c r="S7562">
        <v>2.3640590000000001</v>
      </c>
      <c r="T7562">
        <v>-6.9296120000000003E-2</v>
      </c>
      <c r="U7562">
        <v>2.0336910000000001</v>
      </c>
      <c r="V7562">
        <v>-0.21102119999999999</v>
      </c>
      <c r="W7562">
        <v>0.22460440000000001</v>
      </c>
      <c r="X7562">
        <v>0.95132689999999998</v>
      </c>
      <c r="Y7562">
        <v>-0.34088020000000002</v>
      </c>
      <c r="Z7562">
        <v>2.9358420000000001E-3</v>
      </c>
      <c r="AA7562">
        <v>0.9401022</v>
      </c>
      <c r="AB7562">
        <v>31</v>
      </c>
      <c r="AC7562">
        <v>39.782799999999902</v>
      </c>
      <c r="AD7562">
        <v>-1.170093</v>
      </c>
      <c r="AE7562">
        <v>34.283469999999902</v>
      </c>
      <c r="AF7562">
        <v>-17.942380217287798</v>
      </c>
      <c r="AG7562">
        <v>-1.170093</v>
      </c>
      <c r="AH7562">
        <v>49.329122083734298</v>
      </c>
      <c r="AI7562">
        <v>91.2769895250742</v>
      </c>
      <c r="AJ7562">
        <v>109.987740809984</v>
      </c>
      <c r="AK7562">
        <v>52.503908531102098</v>
      </c>
      <c r="AL7562">
        <v>77.020383138280806</v>
      </c>
      <c r="AM7562">
        <v>102.50672226648101</v>
      </c>
      <c r="AN7562">
        <v>0.99999997700620402</v>
      </c>
    </row>
    <row r="7563" spans="1:40" x14ac:dyDescent="0.25">
      <c r="A7563" t="str">
        <f>"20190304154941745"</f>
        <v>20190304154941745</v>
      </c>
      <c r="B7563" t="str">
        <f>"1551685781734824"</f>
        <v>1551685781734824</v>
      </c>
      <c r="C7563" t="s">
        <v>40</v>
      </c>
      <c r="D7563">
        <v>4.2916030000000003</v>
      </c>
      <c r="E7563">
        <v>0.44329659999999899</v>
      </c>
      <c r="F7563" t="s">
        <v>45</v>
      </c>
      <c r="G7563">
        <v>-163.64240000000001</v>
      </c>
      <c r="H7563">
        <v>-0.05</v>
      </c>
      <c r="I7563">
        <v>-25.138719999999999</v>
      </c>
      <c r="J7563">
        <v>-204.0583</v>
      </c>
      <c r="K7563">
        <v>1.120136</v>
      </c>
      <c r="L7563">
        <v>-60.345089999999999</v>
      </c>
      <c r="M7563">
        <v>0.93294290000000002</v>
      </c>
      <c r="N7563">
        <v>-1.384441E-2</v>
      </c>
      <c r="O7563">
        <v>0.35975810000000003</v>
      </c>
      <c r="P7563">
        <v>0.81571640000000001</v>
      </c>
      <c r="Q7563">
        <v>0.21727940000000001</v>
      </c>
      <c r="R7563">
        <v>0.53609370000000001</v>
      </c>
      <c r="S7563">
        <v>2.3532410000000001</v>
      </c>
      <c r="T7563">
        <v>-6.7895529999999996E-2</v>
      </c>
      <c r="U7563">
        <v>2.046265</v>
      </c>
      <c r="V7563">
        <v>-0.21182690000000001</v>
      </c>
      <c r="W7563">
        <v>0.22576640000000001</v>
      </c>
      <c r="X7563">
        <v>0.95087270000000002</v>
      </c>
      <c r="Y7563">
        <v>-0.34060759999999901</v>
      </c>
      <c r="Z7563">
        <v>2.9828570000000002E-3</v>
      </c>
      <c r="AA7563">
        <v>0.94020079999999995</v>
      </c>
      <c r="AB7563">
        <v>31</v>
      </c>
      <c r="AC7563">
        <v>40.415899999999901</v>
      </c>
      <c r="AD7563">
        <v>-1.1701360000000001</v>
      </c>
      <c r="AE7563">
        <v>35.2063699999999</v>
      </c>
      <c r="AF7563">
        <v>-18.298618978788902</v>
      </c>
      <c r="AG7563">
        <v>-1.1701360000000001</v>
      </c>
      <c r="AH7563">
        <v>50.352333856265197</v>
      </c>
      <c r="AI7563">
        <v>91.251221148421905</v>
      </c>
      <c r="AJ7563">
        <v>109.971728445799</v>
      </c>
      <c r="AK7563">
        <v>53.586996552915501</v>
      </c>
      <c r="AL7563">
        <v>76.952050641967602</v>
      </c>
      <c r="AM7563">
        <v>102.55876938820499</v>
      </c>
      <c r="AN7563">
        <v>0.99999999726892996</v>
      </c>
    </row>
    <row r="7564" spans="1:40" x14ac:dyDescent="0.25">
      <c r="A7564" t="str">
        <f>"20190304154941757"</f>
        <v>20190304154941757</v>
      </c>
      <c r="B7564" t="str">
        <f>"1551685781754344"</f>
        <v>1551685781754344</v>
      </c>
      <c r="C7564" t="s">
        <v>40</v>
      </c>
      <c r="D7564">
        <v>4.3360430000000001</v>
      </c>
      <c r="E7564">
        <v>0.45165339999999998</v>
      </c>
      <c r="F7564" t="s">
        <v>45</v>
      </c>
      <c r="G7564">
        <v>-161.33940000000001</v>
      </c>
      <c r="H7564">
        <v>-0.05</v>
      </c>
      <c r="I7564">
        <v>-22.70074</v>
      </c>
      <c r="J7564">
        <v>-203.9162</v>
      </c>
      <c r="K7564">
        <v>1.1201829999999999</v>
      </c>
      <c r="L7564">
        <v>-60.284700000000001</v>
      </c>
      <c r="M7564">
        <v>0.93085580000000001</v>
      </c>
      <c r="N7564">
        <v>-1.3883700000000001E-2</v>
      </c>
      <c r="O7564">
        <v>0.36512309999999998</v>
      </c>
      <c r="P7564">
        <v>0.81213780000000002</v>
      </c>
      <c r="Q7564">
        <v>0.2181158</v>
      </c>
      <c r="R7564">
        <v>0.54116339999999996</v>
      </c>
      <c r="S7564">
        <v>2.3397670000000002</v>
      </c>
      <c r="T7564">
        <v>-6.4089889999999997E-2</v>
      </c>
      <c r="U7564">
        <v>2.0618289999999999</v>
      </c>
      <c r="V7564">
        <v>-0.2123979</v>
      </c>
      <c r="W7564">
        <v>0.22660429999999901</v>
      </c>
      <c r="X7564">
        <v>0.950546</v>
      </c>
      <c r="Y7564">
        <v>-0.34140789999999999</v>
      </c>
      <c r="Z7564">
        <v>3.208355E-3</v>
      </c>
      <c r="AA7564">
        <v>0.93990980000000002</v>
      </c>
      <c r="AB7564">
        <v>31</v>
      </c>
      <c r="AC7564">
        <v>42.576799999999899</v>
      </c>
      <c r="AD7564">
        <v>-1.170183</v>
      </c>
      <c r="AE7564">
        <v>37.583959999999998</v>
      </c>
      <c r="AF7564">
        <v>-19.4330958675156</v>
      </c>
      <c r="AG7564">
        <v>-1.170183</v>
      </c>
      <c r="AH7564">
        <v>53.338127255189598</v>
      </c>
      <c r="AI7564">
        <v>91.180895981186396</v>
      </c>
      <c r="AJ7564">
        <v>110.018594151042</v>
      </c>
      <c r="AK7564">
        <v>56.780017280204703</v>
      </c>
      <c r="AL7564">
        <v>76.902765774930302</v>
      </c>
      <c r="AM7564">
        <v>102.595734246973</v>
      </c>
      <c r="AN7564">
        <v>1.00000003740944</v>
      </c>
    </row>
    <row r="7565" spans="1:40" x14ac:dyDescent="0.25">
      <c r="A7565" t="str">
        <f>"20190304154941768"</f>
        <v>20190304154941768</v>
      </c>
      <c r="B7565" t="str">
        <f>"1551685781765080"</f>
        <v>1551685781765080</v>
      </c>
      <c r="C7565" t="s">
        <v>40</v>
      </c>
      <c r="D7565">
        <v>4.3166960000000003</v>
      </c>
      <c r="E7565">
        <v>0.45190629999999998</v>
      </c>
      <c r="F7565" t="s">
        <v>44</v>
      </c>
      <c r="G7565">
        <v>-178.6551</v>
      </c>
      <c r="H7565">
        <v>7.9985899999999999E-2</v>
      </c>
      <c r="I7565">
        <v>-38.707549999999998</v>
      </c>
      <c r="J7565">
        <v>-203.77809999999999</v>
      </c>
      <c r="K7565">
        <v>1.1202190000000001</v>
      </c>
      <c r="L7565">
        <v>-60.225099999999998</v>
      </c>
      <c r="M7565">
        <v>0.92878519999999998</v>
      </c>
      <c r="N7565">
        <v>-1.3920770000000001E-2</v>
      </c>
      <c r="O7565">
        <v>0.37035679999999999</v>
      </c>
      <c r="P7565">
        <v>0.80859879999999995</v>
      </c>
      <c r="Q7565">
        <v>0.21867629999999999</v>
      </c>
      <c r="R7565">
        <v>0.54621299999999995</v>
      </c>
      <c r="S7565">
        <v>2.3708040000000001</v>
      </c>
      <c r="T7565">
        <v>-9.7624420000000003E-2</v>
      </c>
      <c r="U7565">
        <v>2.025055</v>
      </c>
      <c r="V7565">
        <v>-0.21305869999999999</v>
      </c>
      <c r="W7565">
        <v>0.22716439999999999</v>
      </c>
      <c r="X7565">
        <v>0.95026429999999995</v>
      </c>
      <c r="Y7565">
        <v>-0.32148840000000001</v>
      </c>
      <c r="Z7565">
        <v>4.9921099999999995E-4</v>
      </c>
      <c r="AA7565">
        <v>0.94691340000000002</v>
      </c>
      <c r="AB7565">
        <v>31</v>
      </c>
      <c r="AC7565">
        <v>25.122999999999902</v>
      </c>
      <c r="AD7565">
        <v>-1.0402331</v>
      </c>
      <c r="AE7565">
        <v>21.51755</v>
      </c>
      <c r="AF7565">
        <v>-10.6711903751499</v>
      </c>
      <c r="AG7565">
        <v>-1.0402331</v>
      </c>
      <c r="AH7565">
        <v>31.275146991608299</v>
      </c>
      <c r="AI7565">
        <v>91.803004373595897</v>
      </c>
      <c r="AJ7565">
        <v>108.839821990644</v>
      </c>
      <c r="AK7565">
        <v>33.061929893334003</v>
      </c>
      <c r="AL7565">
        <v>76.869814038736905</v>
      </c>
      <c r="AM7565">
        <v>102.637290230972</v>
      </c>
      <c r="AN7565">
        <v>0.99999995706376898</v>
      </c>
    </row>
    <row r="7566" spans="1:40" x14ac:dyDescent="0.25">
      <c r="A7566" t="str">
        <f>"20190304154941780"</f>
        <v>20190304154941780</v>
      </c>
      <c r="B7566" t="str">
        <f>"1551685781774839"</f>
        <v>1551685781774839</v>
      </c>
      <c r="C7566" t="s">
        <v>40</v>
      </c>
      <c r="D7566">
        <v>4.504766</v>
      </c>
      <c r="E7566">
        <v>0.45171440000000002</v>
      </c>
      <c r="F7566" t="s">
        <v>44</v>
      </c>
      <c r="G7566">
        <v>-177.8912</v>
      </c>
      <c r="H7566">
        <v>7.9986189999999999E-2</v>
      </c>
      <c r="I7566">
        <v>-37.853430000000003</v>
      </c>
      <c r="J7566">
        <v>-203.62569999999999</v>
      </c>
      <c r="K7566">
        <v>1.120252</v>
      </c>
      <c r="L7566">
        <v>-60.157989999999998</v>
      </c>
      <c r="M7566">
        <v>0.92645420000000001</v>
      </c>
      <c r="N7566">
        <v>-1.3961100000000001E-2</v>
      </c>
      <c r="O7566">
        <v>0.3761486</v>
      </c>
      <c r="P7566">
        <v>0.80470779999999997</v>
      </c>
      <c r="Q7566">
        <v>0.21881999999999999</v>
      </c>
      <c r="R7566">
        <v>0.55187259999999905</v>
      </c>
      <c r="S7566">
        <v>2.358749</v>
      </c>
      <c r="T7566">
        <v>-9.4783539999999999E-2</v>
      </c>
      <c r="U7566">
        <v>2.0384519999999999</v>
      </c>
      <c r="V7566">
        <v>-0.21383050000000001</v>
      </c>
      <c r="W7566">
        <v>0.22731109999999999</v>
      </c>
      <c r="X7566">
        <v>0.95005589999999995</v>
      </c>
      <c r="Y7566">
        <v>-0.3210539</v>
      </c>
      <c r="Z7566">
        <v>5.9508320000000001E-4</v>
      </c>
      <c r="AA7566">
        <v>0.94706069999999998</v>
      </c>
      <c r="AB7566">
        <v>31</v>
      </c>
      <c r="AC7566">
        <v>25.734500000000001</v>
      </c>
      <c r="AD7566">
        <v>-1.04026581</v>
      </c>
      <c r="AE7566">
        <v>22.304559999999999</v>
      </c>
      <c r="AF7566">
        <v>-10.9749868124103</v>
      </c>
      <c r="AG7566">
        <v>-1.04026581</v>
      </c>
      <c r="AH7566">
        <v>32.204755410631797</v>
      </c>
      <c r="AI7566">
        <v>91.751269804129606</v>
      </c>
      <c r="AJ7566">
        <v>108.81848240922901</v>
      </c>
      <c r="AK7566">
        <v>34.039370727830097</v>
      </c>
      <c r="AL7566">
        <v>76.861183740804506</v>
      </c>
      <c r="AM7566">
        <v>102.68428230795401</v>
      </c>
      <c r="AN7566">
        <v>1.00000001601913</v>
      </c>
    </row>
    <row r="7567" spans="1:40" x14ac:dyDescent="0.25">
      <c r="A7567" t="str">
        <f>"20190304154941790"</f>
        <v>20190304154941790</v>
      </c>
      <c r="B7567" t="str">
        <f>"1551685781784599"</f>
        <v>1551685781784599</v>
      </c>
      <c r="C7567" t="s">
        <v>40</v>
      </c>
      <c r="D7567">
        <v>4.3197460000000003</v>
      </c>
      <c r="E7567">
        <v>0.45207700000000001</v>
      </c>
      <c r="F7567" t="s">
        <v>44</v>
      </c>
      <c r="G7567">
        <v>-179.20089999999999</v>
      </c>
      <c r="H7567">
        <v>7.9985870000000001E-2</v>
      </c>
      <c r="I7567">
        <v>-38.731670000000001</v>
      </c>
      <c r="J7567">
        <v>-203.4939</v>
      </c>
      <c r="K7567">
        <v>1.120279</v>
      </c>
      <c r="L7567">
        <v>-60.099519999999998</v>
      </c>
      <c r="M7567">
        <v>0.92440250000000002</v>
      </c>
      <c r="N7567">
        <v>-1.399564E-2</v>
      </c>
      <c r="O7567">
        <v>0.38116169999999999</v>
      </c>
      <c r="P7567">
        <v>0.80118069999999997</v>
      </c>
      <c r="Q7567">
        <v>0.2191438</v>
      </c>
      <c r="R7567">
        <v>0.5568533</v>
      </c>
      <c r="S7567">
        <v>2.3446660000000001</v>
      </c>
      <c r="T7567">
        <v>-9.9860550000000006E-2</v>
      </c>
      <c r="U7567">
        <v>2.0568240000000002</v>
      </c>
      <c r="V7567">
        <v>-0.2146342</v>
      </c>
      <c r="W7567">
        <v>0.22763330000000001</v>
      </c>
      <c r="X7567">
        <v>0.94979749999999996</v>
      </c>
      <c r="Y7567">
        <v>-0.32293050000000001</v>
      </c>
      <c r="Z7567">
        <v>1.905465E-4</v>
      </c>
      <c r="AA7567">
        <v>0.9464226</v>
      </c>
      <c r="AB7567">
        <v>31</v>
      </c>
      <c r="AC7567">
        <v>24.292999999999999</v>
      </c>
      <c r="AD7567">
        <v>-1.04029313</v>
      </c>
      <c r="AE7567">
        <v>21.367850000000001</v>
      </c>
      <c r="AF7567">
        <v>-10.483121661351699</v>
      </c>
      <c r="AG7567">
        <v>-1.04029313</v>
      </c>
      <c r="AH7567">
        <v>30.572503255424198</v>
      </c>
      <c r="AI7567">
        <v>91.843566832447195</v>
      </c>
      <c r="AJ7567">
        <v>108.9265235112</v>
      </c>
      <c r="AK7567">
        <v>32.336604720748802</v>
      </c>
      <c r="AL7567">
        <v>76.842226177979796</v>
      </c>
      <c r="AM7567">
        <v>102.733756876366</v>
      </c>
      <c r="AN7567">
        <v>1.0000000250423799</v>
      </c>
    </row>
    <row r="7568" spans="1:40" x14ac:dyDescent="0.25">
      <c r="A7568" t="str">
        <f>"20190304154941802"</f>
        <v>20190304154941802</v>
      </c>
      <c r="B7568" t="str">
        <f>"1551685781794360"</f>
        <v>1551685781794360</v>
      </c>
      <c r="C7568" t="s">
        <v>40</v>
      </c>
      <c r="D7568">
        <v>4.4886809999999997</v>
      </c>
      <c r="E7568">
        <v>0.45118419999999998</v>
      </c>
      <c r="F7568" t="s">
        <v>44</v>
      </c>
      <c r="G7568">
        <v>-179.12129999999999</v>
      </c>
      <c r="H7568">
        <v>7.9985940000000005E-2</v>
      </c>
      <c r="I7568">
        <v>-38.498040000000003</v>
      </c>
      <c r="J7568">
        <v>-203.35749999999999</v>
      </c>
      <c r="K7568">
        <v>1.120301</v>
      </c>
      <c r="L7568">
        <v>-60.037320000000001</v>
      </c>
      <c r="M7568">
        <v>0.92223469999999996</v>
      </c>
      <c r="N7568">
        <v>-1.4030290000000001E-2</v>
      </c>
      <c r="O7568">
        <v>0.38637589999999999</v>
      </c>
      <c r="P7568">
        <v>0.79757219999999995</v>
      </c>
      <c r="Q7568">
        <v>0.2196497</v>
      </c>
      <c r="R7568">
        <v>0.56181190000000003</v>
      </c>
      <c r="S7568">
        <v>2.3339690000000002</v>
      </c>
      <c r="T7568">
        <v>-9.9620700000000006E-2</v>
      </c>
      <c r="U7568">
        <v>2.0686040000000001</v>
      </c>
      <c r="V7568">
        <v>-0.21523900000000001</v>
      </c>
      <c r="W7568">
        <v>0.22814590000000001</v>
      </c>
      <c r="X7568">
        <v>0.94953759999999998</v>
      </c>
      <c r="Y7568">
        <v>-0.322414799999999</v>
      </c>
      <c r="Z7568">
        <v>1.042688E-4</v>
      </c>
      <c r="AA7568">
        <v>0.94659850000000001</v>
      </c>
      <c r="AB7568">
        <v>31</v>
      </c>
      <c r="AC7568">
        <v>24.2362</v>
      </c>
      <c r="AD7568">
        <v>-1.04031506</v>
      </c>
      <c r="AE7568">
        <v>21.539279999999899</v>
      </c>
      <c r="AF7568">
        <v>-10.490222551233799</v>
      </c>
      <c r="AG7568">
        <v>-1.04031506</v>
      </c>
      <c r="AH7568">
        <v>30.645195887990599</v>
      </c>
      <c r="AI7568">
        <v>91.839563329495306</v>
      </c>
      <c r="AJ7568">
        <v>108.896697909878</v>
      </c>
      <c r="AK7568">
        <v>32.407638846602097</v>
      </c>
      <c r="AL7568">
        <v>76.812062551455</v>
      </c>
      <c r="AM7568">
        <v>102.77184387901799</v>
      </c>
      <c r="AN7568">
        <v>1.0000000163107801</v>
      </c>
    </row>
    <row r="7569" spans="1:40" x14ac:dyDescent="0.25">
      <c r="A7569" t="str">
        <f>"20190304154941814"</f>
        <v>20190304154941814</v>
      </c>
      <c r="B7569" t="str">
        <f>"1551685781805096"</f>
        <v>1551685781805096</v>
      </c>
      <c r="C7569" t="s">
        <v>40</v>
      </c>
      <c r="D7569">
        <v>4.3124140000000004</v>
      </c>
      <c r="E7569">
        <v>0.45095350000000001</v>
      </c>
      <c r="F7569" t="s">
        <v>44</v>
      </c>
      <c r="G7569">
        <v>-178.24780000000001</v>
      </c>
      <c r="H7569">
        <v>7.9986299999999996E-2</v>
      </c>
      <c r="I7569">
        <v>-37.409199999999998</v>
      </c>
      <c r="J7569">
        <v>-203.2073</v>
      </c>
      <c r="K7569">
        <v>1.1203240000000001</v>
      </c>
      <c r="L7569">
        <v>-59.968380000000003</v>
      </c>
      <c r="M7569">
        <v>0.91980799999999996</v>
      </c>
      <c r="N7569">
        <v>-1.4067609999999999E-2</v>
      </c>
      <c r="O7569">
        <v>0.39211669999999998</v>
      </c>
      <c r="P7569">
        <v>0.79359190000000002</v>
      </c>
      <c r="Q7569">
        <v>0.22009219999999999</v>
      </c>
      <c r="R7569">
        <v>0.56724889999999994</v>
      </c>
      <c r="S7569">
        <v>2.3170320000000002</v>
      </c>
      <c r="T7569">
        <v>-9.5996620000000005E-2</v>
      </c>
      <c r="U7569">
        <v>2.0880429999999999</v>
      </c>
      <c r="V7569">
        <v>-0.21587970000000001</v>
      </c>
      <c r="W7569">
        <v>0.2285971</v>
      </c>
      <c r="X7569">
        <v>0.94928360000000001</v>
      </c>
      <c r="Y7569">
        <v>-0.32434370000000001</v>
      </c>
      <c r="Z7569">
        <v>3.2572839999999998E-4</v>
      </c>
      <c r="AA7569">
        <v>0.94593930000000004</v>
      </c>
      <c r="AB7569">
        <v>31</v>
      </c>
      <c r="AC7569">
        <v>24.959499999999899</v>
      </c>
      <c r="AD7569">
        <v>-1.04033769999999</v>
      </c>
      <c r="AE7569">
        <v>22.559180000000001</v>
      </c>
      <c r="AF7569">
        <v>-10.9536877432505</v>
      </c>
      <c r="AG7569">
        <v>-1.04033769999999</v>
      </c>
      <c r="AH7569">
        <v>31.776539506146801</v>
      </c>
      <c r="AI7569">
        <v>91.772844623745598</v>
      </c>
      <c r="AJ7569">
        <v>109.019579446216</v>
      </c>
      <c r="AK7569">
        <v>33.627578573135303</v>
      </c>
      <c r="AL7569">
        <v>76.785508990645994</v>
      </c>
      <c r="AM7569">
        <v>102.81192354136</v>
      </c>
      <c r="AN7569">
        <v>1.00000001611472</v>
      </c>
    </row>
    <row r="7570" spans="1:40" x14ac:dyDescent="0.25">
      <c r="A7570" t="str">
        <f>"20190304154941824"</f>
        <v>20190304154941824</v>
      </c>
      <c r="B7570" t="str">
        <f>"1551685781814856"</f>
        <v>1551685781814856</v>
      </c>
      <c r="C7570" t="s">
        <v>40</v>
      </c>
      <c r="D7570">
        <v>4.3959539999999997</v>
      </c>
      <c r="E7570">
        <v>0.4506057</v>
      </c>
      <c r="F7570" t="s">
        <v>44</v>
      </c>
      <c r="G7570">
        <v>-177.33090000000001</v>
      </c>
      <c r="H7570">
        <v>7.9986680000000004E-2</v>
      </c>
      <c r="I7570">
        <v>-36.296149999999997</v>
      </c>
      <c r="J7570">
        <v>-203.07640000000001</v>
      </c>
      <c r="K7570">
        <v>1.1203369999999999</v>
      </c>
      <c r="L7570">
        <v>-59.90701</v>
      </c>
      <c r="M7570">
        <v>0.91765280000000005</v>
      </c>
      <c r="N7570">
        <v>-1.4098400000000001E-2</v>
      </c>
      <c r="O7570">
        <v>0.39713300000000001</v>
      </c>
      <c r="P7570">
        <v>0.7901726</v>
      </c>
      <c r="Q7570">
        <v>0.21991520000000001</v>
      </c>
      <c r="R7570">
        <v>0.57207039999999998</v>
      </c>
      <c r="S7570">
        <v>2.3011780000000002</v>
      </c>
      <c r="T7570">
        <v>-9.2516899999999999E-2</v>
      </c>
      <c r="U7570">
        <v>2.1051639999999998</v>
      </c>
      <c r="V7570">
        <v>-0.21646199999999999</v>
      </c>
      <c r="W7570">
        <v>0.2284282</v>
      </c>
      <c r="X7570">
        <v>0.94919160000000002</v>
      </c>
      <c r="Y7570">
        <v>-0.32625920000000003</v>
      </c>
      <c r="Z7570">
        <v>5.5630760000000001E-4</v>
      </c>
      <c r="AA7570">
        <v>0.94528020000000001</v>
      </c>
      <c r="AB7570">
        <v>31</v>
      </c>
      <c r="AC7570">
        <v>25.7455</v>
      </c>
      <c r="AD7570">
        <v>-1.0403503199999999</v>
      </c>
      <c r="AE7570">
        <v>23.610859999999999</v>
      </c>
      <c r="AF7570">
        <v>-11.433180718828501</v>
      </c>
      <c r="AG7570">
        <v>-1.0403503199999999</v>
      </c>
      <c r="AH7570">
        <v>32.976113745022197</v>
      </c>
      <c r="AI7570">
        <v>91.707358642371403</v>
      </c>
      <c r="AJ7570">
        <v>109.121992882714</v>
      </c>
      <c r="AK7570">
        <v>34.917388617454797</v>
      </c>
      <c r="AL7570">
        <v>76.795448594179305</v>
      </c>
      <c r="AM7570">
        <v>102.846540379247</v>
      </c>
      <c r="AN7570">
        <v>0.99999996675489899</v>
      </c>
    </row>
    <row r="7571" spans="1:40" x14ac:dyDescent="0.25">
      <c r="A7571" t="str">
        <f>"20190304154941836"</f>
        <v>20190304154941836</v>
      </c>
      <c r="B7571" t="str">
        <f>"1551685781824616"</f>
        <v>1551685781824616</v>
      </c>
      <c r="C7571" t="s">
        <v>40</v>
      </c>
      <c r="D7571">
        <v>4.2604170000000003</v>
      </c>
      <c r="E7571">
        <v>0.45073229999999997</v>
      </c>
      <c r="F7571" t="s">
        <v>44</v>
      </c>
      <c r="G7571">
        <v>-176.25049999999999</v>
      </c>
      <c r="H7571">
        <v>7.9985630000000002E-2</v>
      </c>
      <c r="I7571">
        <v>-35.018609999999903</v>
      </c>
      <c r="J7571">
        <v>-202.9383</v>
      </c>
      <c r="K7571">
        <v>1.12035</v>
      </c>
      <c r="L7571">
        <v>-59.841520000000003</v>
      </c>
      <c r="M7571">
        <v>0.91534280000000001</v>
      </c>
      <c r="N7571">
        <v>-1.4129579999999999E-2</v>
      </c>
      <c r="O7571">
        <v>0.4024276</v>
      </c>
      <c r="P7571">
        <v>0.78670469999999904</v>
      </c>
      <c r="Q7571">
        <v>0.2195646</v>
      </c>
      <c r="R7571">
        <v>0.57696369999999997</v>
      </c>
      <c r="S7571">
        <v>2.2858890000000001</v>
      </c>
      <c r="T7571">
        <v>-8.8650350000000003E-2</v>
      </c>
      <c r="U7571">
        <v>2.1207889999999998</v>
      </c>
      <c r="V7571">
        <v>-0.21682969999999999</v>
      </c>
      <c r="W7571">
        <v>0.2280935</v>
      </c>
      <c r="X7571">
        <v>0.94918820000000004</v>
      </c>
      <c r="Y7571">
        <v>-0.32742759999999999</v>
      </c>
      <c r="Z7571">
        <v>8.0598699999999998E-4</v>
      </c>
      <c r="AA7571">
        <v>0.94487600000000005</v>
      </c>
      <c r="AB7571">
        <v>31</v>
      </c>
      <c r="AC7571">
        <v>26.687799999999999</v>
      </c>
      <c r="AD7571">
        <v>-1.04036437</v>
      </c>
      <c r="AE7571">
        <v>24.82291</v>
      </c>
      <c r="AF7571">
        <v>-11.973005201419401</v>
      </c>
      <c r="AG7571">
        <v>-1.04036437</v>
      </c>
      <c r="AH7571">
        <v>34.393322067946201</v>
      </c>
      <c r="AI7571">
        <v>91.636352020900006</v>
      </c>
      <c r="AJ7571">
        <v>109.19403202196</v>
      </c>
      <c r="AK7571">
        <v>36.432620197359597</v>
      </c>
      <c r="AL7571">
        <v>76.815145953614305</v>
      </c>
      <c r="AM7571">
        <v>102.867681298845</v>
      </c>
      <c r="AN7571">
        <v>1.00000000128179</v>
      </c>
    </row>
    <row r="7572" spans="1:40" x14ac:dyDescent="0.25">
      <c r="A7572" t="str">
        <f>"20190304154941847"</f>
        <v>20190304154941847</v>
      </c>
      <c r="B7572" t="str">
        <f>"1551685781845112"</f>
        <v>1551685781845112</v>
      </c>
      <c r="C7572" t="s">
        <v>40</v>
      </c>
      <c r="D7572">
        <v>4.2871220000000001</v>
      </c>
      <c r="E7572">
        <v>0.45087680000000002</v>
      </c>
      <c r="F7572" t="s">
        <v>45</v>
      </c>
      <c r="G7572">
        <v>-171.41290000000001</v>
      </c>
      <c r="H7572">
        <v>-0.05</v>
      </c>
      <c r="I7572">
        <v>-30.236999999999998</v>
      </c>
      <c r="J7572">
        <v>-202.80430000000001</v>
      </c>
      <c r="K7572">
        <v>1.1203540000000001</v>
      </c>
      <c r="L7572">
        <v>-59.777070000000002</v>
      </c>
      <c r="M7572">
        <v>0.91306390000000004</v>
      </c>
      <c r="N7572">
        <v>-1.4158230000000001E-2</v>
      </c>
      <c r="O7572">
        <v>0.40757080000000001</v>
      </c>
      <c r="P7572">
        <v>0.78350719999999996</v>
      </c>
      <c r="Q7572">
        <v>0.21903700000000001</v>
      </c>
      <c r="R7572">
        <v>0.58149759999999995</v>
      </c>
      <c r="S7572">
        <v>2.2721100000000001</v>
      </c>
      <c r="T7572">
        <v>-8.4349869999999993E-2</v>
      </c>
      <c r="U7572">
        <v>2.133667</v>
      </c>
      <c r="V7572">
        <v>-0.2169045</v>
      </c>
      <c r="W7572">
        <v>0.22758880000000001</v>
      </c>
      <c r="X7572">
        <v>0.94929220000000003</v>
      </c>
      <c r="Y7572">
        <v>-0.3278218</v>
      </c>
      <c r="Z7572">
        <v>1.087385E-3</v>
      </c>
      <c r="AA7572">
        <v>0.944739</v>
      </c>
      <c r="AB7572">
        <v>31</v>
      </c>
      <c r="AC7572">
        <v>31.391400000000001</v>
      </c>
      <c r="AD7572">
        <v>-1.1703539999999999</v>
      </c>
      <c r="AE7572">
        <v>29.54007</v>
      </c>
      <c r="AF7572">
        <v>-14.168728963328601</v>
      </c>
      <c r="AG7572">
        <v>-1.1703539999999999</v>
      </c>
      <c r="AH7572">
        <v>40.676116068776203</v>
      </c>
      <c r="AI7572">
        <v>91.556417277997099</v>
      </c>
      <c r="AJ7572">
        <v>109.204781968718</v>
      </c>
      <c r="AK7572">
        <v>43.089082461362999</v>
      </c>
      <c r="AL7572">
        <v>76.844843595715801</v>
      </c>
      <c r="AM7572">
        <v>102.87060921451101</v>
      </c>
      <c r="AN7572">
        <v>0.99999995249326301</v>
      </c>
    </row>
    <row r="7573" spans="1:40" x14ac:dyDescent="0.25">
      <c r="A7573" t="str">
        <f>"20190304154941859"</f>
        <v>20190304154941859</v>
      </c>
      <c r="B7573" t="str">
        <f>"1551685781854871"</f>
        <v>1551685781854871</v>
      </c>
      <c r="C7573" t="s">
        <v>40</v>
      </c>
      <c r="D7573">
        <v>4.2701060000000002</v>
      </c>
      <c r="E7573">
        <v>0.45087680000000002</v>
      </c>
      <c r="F7573" t="s">
        <v>45</v>
      </c>
      <c r="G7573">
        <v>-169.2474</v>
      </c>
      <c r="H7573">
        <v>-0.05</v>
      </c>
      <c r="I7573">
        <v>-27.917079999999999</v>
      </c>
      <c r="J7573">
        <v>-202.65960000000001</v>
      </c>
      <c r="K7573">
        <v>1.1203620000000001</v>
      </c>
      <c r="L7573">
        <v>-59.706209999999999</v>
      </c>
      <c r="M7573">
        <v>0.91056009999999998</v>
      </c>
      <c r="N7573">
        <v>-1.418726E-2</v>
      </c>
      <c r="O7573">
        <v>0.41313329999999998</v>
      </c>
      <c r="P7573">
        <v>0.77989149999999996</v>
      </c>
      <c r="Q7573">
        <v>0.2185568</v>
      </c>
      <c r="R7573">
        <v>0.58651699999999996</v>
      </c>
      <c r="S7573">
        <v>2.259109</v>
      </c>
      <c r="T7573">
        <v>-7.8790189999999996E-2</v>
      </c>
      <c r="U7573">
        <v>2.1448670000000001</v>
      </c>
      <c r="V7573">
        <v>-0.2171476</v>
      </c>
      <c r="W7573">
        <v>0.2271281</v>
      </c>
      <c r="X7573">
        <v>0.94934700000000005</v>
      </c>
      <c r="Y7573">
        <v>-0.32724320000000001</v>
      </c>
      <c r="Z7573">
        <v>1.46257299999999E-3</v>
      </c>
      <c r="AA7573">
        <v>0.94493899999999997</v>
      </c>
      <c r="AB7573">
        <v>31</v>
      </c>
      <c r="AC7573">
        <v>33.412199999999999</v>
      </c>
      <c r="AD7573">
        <v>-1.1703619999999999</v>
      </c>
      <c r="AE7573">
        <v>31.78913</v>
      </c>
      <c r="AF7573">
        <v>-15.133997983554501</v>
      </c>
      <c r="AG7573">
        <v>-1.1703619999999999</v>
      </c>
      <c r="AH7573">
        <v>43.533310805698399</v>
      </c>
      <c r="AI7573">
        <v>91.454632021905596</v>
      </c>
      <c r="AJ7573">
        <v>109.169587556536</v>
      </c>
      <c r="AK7573">
        <v>46.103761146817703</v>
      </c>
      <c r="AL7573">
        <v>76.871950143238095</v>
      </c>
      <c r="AM7573">
        <v>102.88383411228</v>
      </c>
      <c r="AN7573">
        <v>0.999999990202185</v>
      </c>
    </row>
    <row r="7574" spans="1:40" x14ac:dyDescent="0.25">
      <c r="A7574" t="str">
        <f>"20190304154941870"</f>
        <v>20190304154941870</v>
      </c>
      <c r="B7574" t="str">
        <f>"1551685781864632"</f>
        <v>1551685781864632</v>
      </c>
      <c r="C7574" t="s">
        <v>40</v>
      </c>
      <c r="D7574">
        <v>4.3002330000000004</v>
      </c>
      <c r="E7574">
        <v>0.45112350000000001</v>
      </c>
      <c r="F7574" t="s">
        <v>45</v>
      </c>
      <c r="G7574">
        <v>-169.9556</v>
      </c>
      <c r="H7574">
        <v>-0.05</v>
      </c>
      <c r="I7574">
        <v>-28.261759999999999</v>
      </c>
      <c r="J7574">
        <v>-202.52709999999999</v>
      </c>
      <c r="K7574">
        <v>1.1203669999999999</v>
      </c>
      <c r="L7574">
        <v>-59.640720000000002</v>
      </c>
      <c r="M7574">
        <v>0.90823310000000002</v>
      </c>
      <c r="N7574">
        <v>-1.4212890000000001E-2</v>
      </c>
      <c r="O7574">
        <v>0.41822320000000002</v>
      </c>
      <c r="P7574">
        <v>0.77681080000000002</v>
      </c>
      <c r="Q7574">
        <v>0.21723719999999999</v>
      </c>
      <c r="R7574">
        <v>0.59107799999999999</v>
      </c>
      <c r="S7574">
        <v>2.245514</v>
      </c>
      <c r="T7574">
        <v>-8.0358979999999997E-2</v>
      </c>
      <c r="U7574">
        <v>2.159027</v>
      </c>
      <c r="V7574">
        <v>-0.21721650000000001</v>
      </c>
      <c r="W7574">
        <v>0.22583329999999999</v>
      </c>
      <c r="X7574">
        <v>0.94964009999999999</v>
      </c>
      <c r="Y7574">
        <v>-0.32790609999999998</v>
      </c>
      <c r="Z7574">
        <v>1.284646E-3</v>
      </c>
      <c r="AA7574">
        <v>0.94470949999999998</v>
      </c>
      <c r="AB7574">
        <v>31</v>
      </c>
      <c r="AC7574">
        <v>32.571499999999901</v>
      </c>
      <c r="AD7574">
        <v>-1.1703669999999999</v>
      </c>
      <c r="AE7574">
        <v>31.378959999999999</v>
      </c>
      <c r="AF7574">
        <v>-14.868799305989899</v>
      </c>
      <c r="AG7574">
        <v>-1.1703669999999999</v>
      </c>
      <c r="AH7574">
        <v>42.681656265264998</v>
      </c>
      <c r="AI7574">
        <v>91.483317792345403</v>
      </c>
      <c r="AJ7574">
        <v>109.206553322106</v>
      </c>
      <c r="AK7574">
        <v>45.212550616645501</v>
      </c>
      <c r="AL7574">
        <v>76.948116016819498</v>
      </c>
      <c r="AM7574">
        <v>102.883940649427</v>
      </c>
      <c r="AN7574">
        <v>1.00000000339457</v>
      </c>
    </row>
    <row r="7575" spans="1:40" x14ac:dyDescent="0.25">
      <c r="A7575" t="str">
        <f>"20190304154941881"</f>
        <v>20190304154941881</v>
      </c>
      <c r="B7575" t="str">
        <f>"1551685781874391"</f>
        <v>1551685781874391</v>
      </c>
      <c r="C7575" t="s">
        <v>40</v>
      </c>
      <c r="D7575">
        <v>4.5399390000000004</v>
      </c>
      <c r="E7575">
        <v>0.45119399999999998</v>
      </c>
      <c r="F7575" t="s">
        <v>44</v>
      </c>
      <c r="G7575">
        <v>-175.36330000000001</v>
      </c>
      <c r="H7575">
        <v>7.9986180000000004E-2</v>
      </c>
      <c r="I7575">
        <v>-33.265140000000002</v>
      </c>
      <c r="J7575">
        <v>-202.39269999999999</v>
      </c>
      <c r="K7575">
        <v>1.120363</v>
      </c>
      <c r="L7575">
        <v>-59.572780000000002</v>
      </c>
      <c r="M7575">
        <v>0.90583009999999997</v>
      </c>
      <c r="N7575">
        <v>-1.4236560000000001E-2</v>
      </c>
      <c r="O7575">
        <v>0.42340169999999999</v>
      </c>
      <c r="P7575">
        <v>0.77346939999999997</v>
      </c>
      <c r="Q7575">
        <v>0.21683849999999999</v>
      </c>
      <c r="R7575">
        <v>0.59558880000000003</v>
      </c>
      <c r="S7575">
        <v>2.234772</v>
      </c>
      <c r="T7575">
        <v>-8.5592269999999998E-2</v>
      </c>
      <c r="U7575">
        <v>2.1699220000000001</v>
      </c>
      <c r="V7575">
        <v>-0.21726679999999901</v>
      </c>
      <c r="W7575">
        <v>0.22545599999999999</v>
      </c>
      <c r="X7575">
        <v>0.94971819999999896</v>
      </c>
      <c r="Y7575">
        <v>-0.3271442</v>
      </c>
      <c r="Z7575">
        <v>7.5156660000000005E-4</v>
      </c>
      <c r="AA7575">
        <v>0.94497410000000004</v>
      </c>
      <c r="AB7575">
        <v>31</v>
      </c>
      <c r="AC7575">
        <v>27.0293999999999</v>
      </c>
      <c r="AD7575">
        <v>-1.0403768200000001</v>
      </c>
      <c r="AE7575">
        <v>26.307639999999999</v>
      </c>
      <c r="AF7575">
        <v>-12.3777974734385</v>
      </c>
      <c r="AG7575">
        <v>-1.0403768200000001</v>
      </c>
      <c r="AH7575">
        <v>35.599272696646402</v>
      </c>
      <c r="AI7575">
        <v>91.5811739354682</v>
      </c>
      <c r="AJ7575">
        <v>109.17246320732301</v>
      </c>
      <c r="AK7575">
        <v>37.7041174243775</v>
      </c>
      <c r="AL7575">
        <v>76.970305490542401</v>
      </c>
      <c r="AM7575">
        <v>102.885800169071</v>
      </c>
      <c r="AN7575">
        <v>0.99999996486473897</v>
      </c>
    </row>
    <row r="7576" spans="1:40" x14ac:dyDescent="0.25">
      <c r="A7576" t="str">
        <f>"20190304154941891"</f>
        <v>20190304154941891</v>
      </c>
      <c r="B7576" t="str">
        <f>"1551685781885128"</f>
        <v>1551685781885128</v>
      </c>
      <c r="C7576" t="s">
        <v>40</v>
      </c>
      <c r="D7576">
        <v>4.3281700000000001</v>
      </c>
      <c r="E7576">
        <v>0.4515518</v>
      </c>
      <c r="F7576" t="s">
        <v>44</v>
      </c>
      <c r="G7576">
        <v>-176.07499999999999</v>
      </c>
      <c r="H7576">
        <v>7.9986009999999996E-2</v>
      </c>
      <c r="I7576">
        <v>-33.743179999999903</v>
      </c>
      <c r="J7576">
        <v>-202.26400000000001</v>
      </c>
      <c r="K7576">
        <v>1.120357</v>
      </c>
      <c r="L7576">
        <v>-59.507449999999999</v>
      </c>
      <c r="M7576">
        <v>0.90350090000000005</v>
      </c>
      <c r="N7576">
        <v>-1.425878E-2</v>
      </c>
      <c r="O7576">
        <v>0.42834919999999999</v>
      </c>
      <c r="P7576">
        <v>0.77017469999999999</v>
      </c>
      <c r="Q7576">
        <v>0.2160551</v>
      </c>
      <c r="R7576">
        <v>0.60012600000000005</v>
      </c>
      <c r="S7576">
        <v>2.2231450000000001</v>
      </c>
      <c r="T7576">
        <v>-8.7884190000000001E-2</v>
      </c>
      <c r="U7576">
        <v>2.181915</v>
      </c>
      <c r="V7576">
        <v>-0.2175473</v>
      </c>
      <c r="W7576">
        <v>0.22468759999999999</v>
      </c>
      <c r="X7576">
        <v>0.94983609999999896</v>
      </c>
      <c r="Y7576">
        <v>-0.32704060000000001</v>
      </c>
      <c r="Z7576">
        <v>4.7735749999999998E-4</v>
      </c>
      <c r="AA7576">
        <v>0.94501020000000002</v>
      </c>
      <c r="AB7576">
        <v>31</v>
      </c>
      <c r="AC7576">
        <v>26.189</v>
      </c>
      <c r="AD7576">
        <v>-1.04037099</v>
      </c>
      <c r="AE7576">
        <v>25.76427</v>
      </c>
      <c r="AF7576">
        <v>-12.0515638840201</v>
      </c>
      <c r="AG7576">
        <v>-1.04037099</v>
      </c>
      <c r="AH7576">
        <v>34.673606608735497</v>
      </c>
      <c r="AI7576">
        <v>91.623418044873603</v>
      </c>
      <c r="AJ7576">
        <v>109.166003999425</v>
      </c>
      <c r="AK7576">
        <v>36.723038533116998</v>
      </c>
      <c r="AL7576">
        <v>77.015491144781507</v>
      </c>
      <c r="AM7576">
        <v>102.900332005406</v>
      </c>
      <c r="AN7576">
        <v>0.99999998109712895</v>
      </c>
    </row>
    <row r="7577" spans="1:40" x14ac:dyDescent="0.25">
      <c r="A7577" t="str">
        <f>"20190304154941902"</f>
        <v>20190304154941902</v>
      </c>
      <c r="B7577" t="str">
        <f>"1551685781894889"</f>
        <v>1551685781894889</v>
      </c>
      <c r="C7577" t="s">
        <v>40</v>
      </c>
      <c r="D7577">
        <v>4.3366259999999999</v>
      </c>
      <c r="E7577">
        <v>0.45192349999999998</v>
      </c>
      <c r="F7577" t="s">
        <v>44</v>
      </c>
      <c r="G7577">
        <v>-176.82919999999999</v>
      </c>
      <c r="H7577">
        <v>7.9985810000000004E-2</v>
      </c>
      <c r="I7577">
        <v>-34.31277</v>
      </c>
      <c r="J7577">
        <v>-202.1345</v>
      </c>
      <c r="K7577">
        <v>1.1203529999999999</v>
      </c>
      <c r="L7577">
        <v>-59.440159999999999</v>
      </c>
      <c r="M7577">
        <v>0.90111660000000005</v>
      </c>
      <c r="N7577">
        <v>-1.4278920000000001E-2</v>
      </c>
      <c r="O7577">
        <v>0.43334159999999999</v>
      </c>
      <c r="P7577">
        <v>0.76680109999999901</v>
      </c>
      <c r="Q7577">
        <v>0.2152994</v>
      </c>
      <c r="R7577">
        <v>0.60470029999999997</v>
      </c>
      <c r="S7577">
        <v>2.212723</v>
      </c>
      <c r="T7577">
        <v>-9.0507980000000002E-2</v>
      </c>
      <c r="U7577">
        <v>2.1918329999999999</v>
      </c>
      <c r="V7577">
        <v>-0.2178378</v>
      </c>
      <c r="W7577">
        <v>0.22394600000000001</v>
      </c>
      <c r="X7577">
        <v>0.94994469999999998</v>
      </c>
      <c r="Y7577">
        <v>-0.3261714</v>
      </c>
      <c r="Z7577">
        <v>1.4554269999999999E-4</v>
      </c>
      <c r="AA7577">
        <v>0.94531069999999995</v>
      </c>
      <c r="AB7577">
        <v>31</v>
      </c>
      <c r="AC7577">
        <v>25.305299999999999</v>
      </c>
      <c r="AD7577">
        <v>-1.04036719</v>
      </c>
      <c r="AE7577">
        <v>25.127389999999998</v>
      </c>
      <c r="AF7577">
        <v>-11.6681292871893</v>
      </c>
      <c r="AG7577">
        <v>-1.04036719</v>
      </c>
      <c r="AH7577">
        <v>33.666552064061101</v>
      </c>
      <c r="AI7577">
        <v>91.672459213355395</v>
      </c>
      <c r="AJ7577">
        <v>109.115256350978</v>
      </c>
      <c r="AK7577">
        <v>35.646378958243801</v>
      </c>
      <c r="AL7577">
        <v>77.059093415329798</v>
      </c>
      <c r="AM7577">
        <v>102.91555376199901</v>
      </c>
      <c r="AN7577">
        <v>1.0000000255414601</v>
      </c>
    </row>
    <row r="7578" spans="1:40" x14ac:dyDescent="0.25">
      <c r="A7578" t="str">
        <f>"20190304154941914"</f>
        <v>20190304154941914</v>
      </c>
      <c r="B7578" t="str">
        <f>"1551685781904648"</f>
        <v>1551685781904648</v>
      </c>
      <c r="C7578" t="s">
        <v>40</v>
      </c>
      <c r="D7578">
        <v>4.3936820000000001</v>
      </c>
      <c r="E7578">
        <v>0.45232899999999998</v>
      </c>
      <c r="F7578" t="s">
        <v>44</v>
      </c>
      <c r="G7578">
        <v>-177.6328</v>
      </c>
      <c r="H7578">
        <v>7.9985589999999995E-2</v>
      </c>
      <c r="I7578">
        <v>-34.939570000000003</v>
      </c>
      <c r="J7578">
        <v>-201.99789999999999</v>
      </c>
      <c r="K7578">
        <v>1.1203529999999999</v>
      </c>
      <c r="L7578">
        <v>-59.3686199999999</v>
      </c>
      <c r="M7578">
        <v>0.89856669999999905</v>
      </c>
      <c r="N7578">
        <v>-1.4299600000000001E-2</v>
      </c>
      <c r="O7578">
        <v>0.4386041</v>
      </c>
      <c r="P7578">
        <v>0.76328609999999997</v>
      </c>
      <c r="Q7578">
        <v>0.2144933</v>
      </c>
      <c r="R7578">
        <v>0.60941540000000005</v>
      </c>
      <c r="S7578">
        <v>2.2021030000000001</v>
      </c>
      <c r="T7578">
        <v>-9.3503240000000001E-2</v>
      </c>
      <c r="U7578">
        <v>2.2019959999999998</v>
      </c>
      <c r="V7578">
        <v>-0.21802089999999999</v>
      </c>
      <c r="W7578">
        <v>0.22315769999999999</v>
      </c>
      <c r="X7578">
        <v>0.95008820000000005</v>
      </c>
      <c r="Y7578">
        <v>-0.32509969999999999</v>
      </c>
      <c r="Z7578">
        <v>-2.395129E-4</v>
      </c>
      <c r="AA7578">
        <v>0.94567970000000001</v>
      </c>
      <c r="AB7578">
        <v>31</v>
      </c>
      <c r="AC7578">
        <v>24.365099999999899</v>
      </c>
      <c r="AD7578">
        <v>-1.04036741</v>
      </c>
      <c r="AE7578">
        <v>24.429049999999901</v>
      </c>
      <c r="AF7578">
        <v>-11.2554154873184</v>
      </c>
      <c r="AG7578">
        <v>-1.04036741</v>
      </c>
      <c r="AH7578">
        <v>32.582056782218203</v>
      </c>
      <c r="AI7578">
        <v>91.728697953290094</v>
      </c>
      <c r="AJ7578">
        <v>109.057383819151</v>
      </c>
      <c r="AK7578">
        <v>34.4870579536679</v>
      </c>
      <c r="AL7578">
        <v>77.105432480795201</v>
      </c>
      <c r="AM7578">
        <v>102.924158471013</v>
      </c>
      <c r="AN7578">
        <v>1.0000000298426599</v>
      </c>
    </row>
    <row r="7579" spans="1:40" x14ac:dyDescent="0.25">
      <c r="A7579" t="str">
        <f>"20190304154941925"</f>
        <v>20190304154941925</v>
      </c>
      <c r="B7579" t="str">
        <f>"1551685781914408"</f>
        <v>1551685781914408</v>
      </c>
      <c r="C7579" t="s">
        <v>40</v>
      </c>
      <c r="D7579">
        <v>4.380776</v>
      </c>
      <c r="E7579">
        <v>0.45232899999999998</v>
      </c>
      <c r="F7579" t="s">
        <v>44</v>
      </c>
      <c r="G7579">
        <v>-178.2158</v>
      </c>
      <c r="H7579">
        <v>7.998545E-2</v>
      </c>
      <c r="I7579">
        <v>-35.344799999999999</v>
      </c>
      <c r="J7579">
        <v>-201.8655</v>
      </c>
      <c r="K7579">
        <v>1.1203459999999901</v>
      </c>
      <c r="L7579">
        <v>-59.298070000000003</v>
      </c>
      <c r="M7579">
        <v>0.89605639999999998</v>
      </c>
      <c r="N7579">
        <v>-1.431789E-2</v>
      </c>
      <c r="O7579">
        <v>0.44370929999999997</v>
      </c>
      <c r="P7579">
        <v>0.75984130000000005</v>
      </c>
      <c r="Q7579">
        <v>0.21390010000000001</v>
      </c>
      <c r="R7579">
        <v>0.61391219999999902</v>
      </c>
      <c r="S7579">
        <v>2.1905670000000002</v>
      </c>
      <c r="T7579">
        <v>-9.5828060000000007E-2</v>
      </c>
      <c r="U7579">
        <v>2.2128299999999999</v>
      </c>
      <c r="V7579">
        <v>-0.21813869999999999</v>
      </c>
      <c r="W7579">
        <v>0.22258130000000001</v>
      </c>
      <c r="X7579">
        <v>0.95019629999999999</v>
      </c>
      <c r="Y7579">
        <v>-0.3245209</v>
      </c>
      <c r="Z7579">
        <v>-5.6087460000000004E-4</v>
      </c>
      <c r="AA7579">
        <v>0.94587840000000001</v>
      </c>
      <c r="AB7579">
        <v>31</v>
      </c>
      <c r="AC7579">
        <v>23.649699999999999</v>
      </c>
      <c r="AD7579">
        <v>-1.0403605499999999</v>
      </c>
      <c r="AE7579">
        <v>23.95327</v>
      </c>
      <c r="AF7579">
        <v>-10.960543619771901</v>
      </c>
      <c r="AG7579">
        <v>-1.0403605499999999</v>
      </c>
      <c r="AH7579">
        <v>31.792645925697698</v>
      </c>
      <c r="AI7579">
        <v>91.771963576558207</v>
      </c>
      <c r="AJ7579">
        <v>109.021679598221</v>
      </c>
      <c r="AK7579">
        <v>33.6450323446374</v>
      </c>
      <c r="AL7579">
        <v>77.139309032773895</v>
      </c>
      <c r="AM7579">
        <v>102.929485273808</v>
      </c>
      <c r="AN7579">
        <v>0.99999996804053404</v>
      </c>
    </row>
    <row r="7580" spans="1:40" x14ac:dyDescent="0.25">
      <c r="A7580" t="str">
        <f>"20190304154941936"</f>
        <v>20190304154941936</v>
      </c>
      <c r="B7580" t="str">
        <f>"1551685781925143"</f>
        <v>1551685781925143</v>
      </c>
      <c r="C7580" t="s">
        <v>40</v>
      </c>
      <c r="D7580">
        <v>4.3589070000000003</v>
      </c>
      <c r="E7580">
        <v>0.46050659999999999</v>
      </c>
      <c r="F7580" t="s">
        <v>44</v>
      </c>
      <c r="G7580">
        <v>-178.65690000000001</v>
      </c>
      <c r="H7580">
        <v>7.9986829999999995E-2</v>
      </c>
      <c r="I7580">
        <v>-35.576369999999997</v>
      </c>
      <c r="J7580">
        <v>-201.73429999999999</v>
      </c>
      <c r="K7580">
        <v>1.1203430000000001</v>
      </c>
      <c r="L7580">
        <v>-59.227359999999997</v>
      </c>
      <c r="M7580">
        <v>0.89353329999999997</v>
      </c>
      <c r="N7580">
        <v>-1.433504E-2</v>
      </c>
      <c r="O7580">
        <v>0.4487681</v>
      </c>
      <c r="P7580">
        <v>0.75638249999999996</v>
      </c>
      <c r="Q7580">
        <v>0.213586</v>
      </c>
      <c r="R7580">
        <v>0.61827699999999997</v>
      </c>
      <c r="S7580">
        <v>2.1774749999999998</v>
      </c>
      <c r="T7580">
        <v>-9.7608570000000006E-2</v>
      </c>
      <c r="U7580">
        <v>2.225616</v>
      </c>
      <c r="V7580">
        <v>-0.21818960000000001</v>
      </c>
      <c r="W7580">
        <v>0.22228419999999999</v>
      </c>
      <c r="X7580">
        <v>0.95025420000000005</v>
      </c>
      <c r="Y7580">
        <v>-0.32473049999999998</v>
      </c>
      <c r="Z7580">
        <v>-8.1968000000000004E-4</v>
      </c>
      <c r="AA7580">
        <v>0.94580620000000004</v>
      </c>
      <c r="AB7580">
        <v>31</v>
      </c>
      <c r="AC7580">
        <v>23.077399999999901</v>
      </c>
      <c r="AD7580">
        <v>-1.0403561699999999</v>
      </c>
      <c r="AE7580">
        <v>23.65099</v>
      </c>
      <c r="AF7580">
        <v>-10.766980925991501</v>
      </c>
      <c r="AG7580">
        <v>-1.0403561699999999</v>
      </c>
      <c r="AH7580">
        <v>31.206511705118501</v>
      </c>
      <c r="AI7580">
        <v>91.805064366209905</v>
      </c>
      <c r="AJ7580">
        <v>109.035639279449</v>
      </c>
      <c r="AK7580">
        <v>33.028118202870999</v>
      </c>
      <c r="AL7580">
        <v>77.156769510534801</v>
      </c>
      <c r="AM7580">
        <v>102.931639298115</v>
      </c>
      <c r="AN7580">
        <v>1.0000000058677101</v>
      </c>
    </row>
    <row r="7581" spans="1:40" x14ac:dyDescent="0.25">
      <c r="A7581" t="str">
        <f>"20190304154941948"</f>
        <v>20190304154941948</v>
      </c>
      <c r="B7581" t="str">
        <f>"1551685781944663"</f>
        <v>1551685781944663</v>
      </c>
      <c r="C7581" t="s">
        <v>40</v>
      </c>
      <c r="D7581">
        <v>4.6435309999999896</v>
      </c>
      <c r="E7581">
        <v>0.45956130000000001</v>
      </c>
      <c r="F7581" t="s">
        <v>68</v>
      </c>
      <c r="G7581">
        <v>-184.6808</v>
      </c>
      <c r="H7581" s="1">
        <v>-6.4766499999999899E-6</v>
      </c>
      <c r="I7581">
        <v>-42.335949999999997</v>
      </c>
      <c r="J7581">
        <v>-201.58690000000001</v>
      </c>
      <c r="K7581">
        <v>1.1203379999999901</v>
      </c>
      <c r="L7581">
        <v>-59.146819999999998</v>
      </c>
      <c r="M7581">
        <v>0.89065629999999996</v>
      </c>
      <c r="N7581">
        <v>-1.4352989999999999E-2</v>
      </c>
      <c r="O7581">
        <v>0.45445069999999999</v>
      </c>
      <c r="P7581">
        <v>0.75248839999999995</v>
      </c>
      <c r="Q7581">
        <v>0.2134055</v>
      </c>
      <c r="R7581">
        <v>0.62307250000000003</v>
      </c>
      <c r="S7581">
        <v>2.214432</v>
      </c>
      <c r="T7581">
        <v>-0.14548</v>
      </c>
      <c r="U7581">
        <v>2.19339</v>
      </c>
      <c r="V7581">
        <v>-0.21814839999999999</v>
      </c>
      <c r="W7581">
        <v>0.2221243</v>
      </c>
      <c r="X7581">
        <v>0.95030110000000001</v>
      </c>
      <c r="Y7581">
        <v>-0.30374770000000001</v>
      </c>
      <c r="Z7581">
        <v>-6.2257329999999998E-3</v>
      </c>
      <c r="AA7581">
        <v>0.95273220000000003</v>
      </c>
      <c r="AB7581">
        <v>31</v>
      </c>
      <c r="AC7581">
        <v>16.906099999999999</v>
      </c>
      <c r="AD7581">
        <v>-1.1203444766499999</v>
      </c>
      <c r="AE7581">
        <v>16.810870000000001</v>
      </c>
      <c r="AF7581">
        <v>-7.2744058189665202</v>
      </c>
      <c r="AG7581">
        <v>-1.1203444766499999</v>
      </c>
      <c r="AH7581">
        <v>22.6495592526949</v>
      </c>
      <c r="AI7581">
        <v>92.696349001651299</v>
      </c>
      <c r="AJ7581">
        <v>107.80556764452901</v>
      </c>
      <c r="AK7581">
        <v>23.815429580562</v>
      </c>
      <c r="AL7581">
        <v>77.166166656571093</v>
      </c>
      <c r="AM7581">
        <v>102.92866286797501</v>
      </c>
      <c r="AN7581">
        <v>1.00000005486712</v>
      </c>
    </row>
    <row r="7582" spans="1:40" x14ac:dyDescent="0.25">
      <c r="A7582" t="str">
        <f>"20190304154941960"</f>
        <v>20190304154941960</v>
      </c>
      <c r="B7582" t="str">
        <f>"1551685781954425"</f>
        <v>1551685781954425</v>
      </c>
      <c r="C7582" t="s">
        <v>40</v>
      </c>
      <c r="D7582">
        <v>4.8387960000000003</v>
      </c>
      <c r="E7582">
        <v>0.45956130000000001</v>
      </c>
      <c r="F7582" t="s">
        <v>68</v>
      </c>
      <c r="G7582">
        <v>-184.57990000000001</v>
      </c>
      <c r="H7582" s="1">
        <v>-6.5787640000000003E-6</v>
      </c>
      <c r="I7582">
        <v>-41.996980000000001</v>
      </c>
      <c r="J7582">
        <v>-201.4632</v>
      </c>
      <c r="K7582">
        <v>1.1203350000000001</v>
      </c>
      <c r="L7582">
        <v>-59.077939999999998</v>
      </c>
      <c r="M7582">
        <v>0.88820109999999997</v>
      </c>
      <c r="N7582">
        <v>-1.4366719999999999E-2</v>
      </c>
      <c r="O7582">
        <v>0.45923049999999999</v>
      </c>
      <c r="P7582">
        <v>0.74883279999999997</v>
      </c>
      <c r="Q7582">
        <v>0.21391250000000001</v>
      </c>
      <c r="R7582">
        <v>0.62728859999999997</v>
      </c>
      <c r="S7582">
        <v>2.1950069999999999</v>
      </c>
      <c r="T7582">
        <v>-0.14459710000000001</v>
      </c>
      <c r="U7582">
        <v>2.2134399999999999</v>
      </c>
      <c r="V7582">
        <v>-0.21845529999999999</v>
      </c>
      <c r="W7582">
        <v>0.22263620000000001</v>
      </c>
      <c r="X7582">
        <v>0.95011069999999997</v>
      </c>
      <c r="Y7582">
        <v>-0.30715550000000003</v>
      </c>
      <c r="Z7582">
        <v>-6.2034319999999896E-3</v>
      </c>
      <c r="AA7582">
        <v>0.95163909999999996</v>
      </c>
      <c r="AB7582">
        <v>31</v>
      </c>
      <c r="AC7582">
        <v>16.883299999999899</v>
      </c>
      <c r="AD7582">
        <v>-1.1203415787639901</v>
      </c>
      <c r="AE7582">
        <v>17.080960000000001</v>
      </c>
      <c r="AF7582">
        <v>-7.4026572393309999</v>
      </c>
      <c r="AG7582">
        <v>-1.1203415787639901</v>
      </c>
      <c r="AH7582">
        <v>22.792619835301899</v>
      </c>
      <c r="AI7582">
        <v>92.676618704885698</v>
      </c>
      <c r="AJ7582">
        <v>107.992919572267</v>
      </c>
      <c r="AK7582">
        <v>23.990790283205001</v>
      </c>
      <c r="AL7582">
        <v>77.136082546563998</v>
      </c>
      <c r="AM7582">
        <v>102.948746012447</v>
      </c>
      <c r="AN7582">
        <v>0.999999968951509</v>
      </c>
    </row>
    <row r="7583" spans="1:40" x14ac:dyDescent="0.25">
      <c r="A7583" t="str">
        <f>"20190304154941971"</f>
        <v>20190304154941971</v>
      </c>
      <c r="B7583" t="str">
        <f>"1551685781965160"</f>
        <v>1551685781965160</v>
      </c>
      <c r="C7583" t="s">
        <v>40</v>
      </c>
      <c r="D7583">
        <v>4.4499000000000004</v>
      </c>
      <c r="E7583">
        <v>0.43313560000000001</v>
      </c>
      <c r="F7583" t="s">
        <v>68</v>
      </c>
      <c r="G7583">
        <v>-184.35120000000001</v>
      </c>
      <c r="H7583" s="1">
        <v>-6.6792889999999996E-6</v>
      </c>
      <c r="I7583">
        <v>-41.61983</v>
      </c>
      <c r="J7583">
        <v>-201.33150000000001</v>
      </c>
      <c r="K7583">
        <v>1.120331</v>
      </c>
      <c r="L7583">
        <v>-59.004269999999998</v>
      </c>
      <c r="M7583">
        <v>0.88555810000000001</v>
      </c>
      <c r="N7583">
        <v>-1.43809E-2</v>
      </c>
      <c r="O7583">
        <v>0.4643061</v>
      </c>
      <c r="P7583">
        <v>0.74548939999999997</v>
      </c>
      <c r="Q7583">
        <v>0.2123659</v>
      </c>
      <c r="R7583">
        <v>0.63178029999999996</v>
      </c>
      <c r="S7583">
        <v>2.1821139999999999</v>
      </c>
      <c r="T7583">
        <v>-0.14286589999999999</v>
      </c>
      <c r="U7583">
        <v>2.2262569999999999</v>
      </c>
      <c r="V7583">
        <v>-0.21848880000000001</v>
      </c>
      <c r="W7583">
        <v>0.22110930000000001</v>
      </c>
      <c r="X7583">
        <v>0.95045950000000001</v>
      </c>
      <c r="Y7583">
        <v>-0.30726219999999999</v>
      </c>
      <c r="Z7583">
        <v>-6.1989259999999996E-3</v>
      </c>
      <c r="AA7583">
        <v>0.95160469999999997</v>
      </c>
      <c r="AB7583">
        <v>31</v>
      </c>
      <c r="AC7583">
        <v>16.9803</v>
      </c>
      <c r="AD7583">
        <v>-1.1203376792890001</v>
      </c>
      <c r="AE7583">
        <v>17.384439999999898</v>
      </c>
      <c r="AF7583">
        <v>-7.4957197042108703</v>
      </c>
      <c r="AG7583">
        <v>-1.1203376792890001</v>
      </c>
      <c r="AH7583">
        <v>23.062116030758599</v>
      </c>
      <c r="AI7583">
        <v>92.645189829184702</v>
      </c>
      <c r="AJ7583">
        <v>108.00535702337</v>
      </c>
      <c r="AK7583">
        <v>24.275546671823999</v>
      </c>
      <c r="AL7583">
        <v>77.225803739314102</v>
      </c>
      <c r="AM7583">
        <v>102.946072260592</v>
      </c>
      <c r="AN7583">
        <v>0.99999996970608895</v>
      </c>
    </row>
    <row r="7584" spans="1:40" x14ac:dyDescent="0.25">
      <c r="A7584" t="str">
        <f>"20190304154941981"</f>
        <v>20190304154941981</v>
      </c>
      <c r="B7584" t="str">
        <f>"1551685781974921"</f>
        <v>1551685781974921</v>
      </c>
      <c r="C7584" t="s">
        <v>40</v>
      </c>
      <c r="D7584">
        <v>4.1258569999999999</v>
      </c>
      <c r="E7584">
        <v>0.43313560000000001</v>
      </c>
      <c r="F7584" t="s">
        <v>105</v>
      </c>
      <c r="G7584">
        <v>-169.14930000000001</v>
      </c>
      <c r="H7584">
        <v>12.64978</v>
      </c>
      <c r="I7584">
        <v>-19.776050000000001</v>
      </c>
      <c r="J7584">
        <v>-201.20330000000001</v>
      </c>
      <c r="K7584">
        <v>1.1203209999999999</v>
      </c>
      <c r="L7584">
        <v>-58.930909999999997</v>
      </c>
      <c r="M7584">
        <v>0.88294119999999998</v>
      </c>
      <c r="N7584">
        <v>-1.4393059999999999E-2</v>
      </c>
      <c r="O7584">
        <v>0.46926299999999999</v>
      </c>
      <c r="P7584">
        <v>0.74183520000000003</v>
      </c>
      <c r="Q7584">
        <v>0.21185960000000001</v>
      </c>
      <c r="R7584">
        <v>0.63623589999999997</v>
      </c>
      <c r="S7584">
        <v>1.884827</v>
      </c>
      <c r="T7584">
        <v>0.67524669999999998</v>
      </c>
      <c r="U7584">
        <v>2.297485</v>
      </c>
      <c r="V7584">
        <v>-0.21877550000000001</v>
      </c>
      <c r="W7584">
        <v>0.22061120000000001</v>
      </c>
      <c r="X7584">
        <v>0.9505093</v>
      </c>
      <c r="Y7584">
        <v>-0.38780019999999998</v>
      </c>
      <c r="Z7584">
        <v>7.4343380000000001E-2</v>
      </c>
      <c r="AA7584">
        <v>0.91874049999999996</v>
      </c>
      <c r="AB7584">
        <v>31</v>
      </c>
      <c r="AC7584">
        <v>32.054000000000002</v>
      </c>
      <c r="AD7584">
        <v>11.529458999999999</v>
      </c>
      <c r="AE7584">
        <v>39.154859999999999</v>
      </c>
      <c r="AF7584">
        <v>-18.5677816901173</v>
      </c>
      <c r="AG7584">
        <v>11.529458999999999</v>
      </c>
      <c r="AH7584">
        <v>44.376791193696903</v>
      </c>
      <c r="AI7584">
        <v>76.521914239781097</v>
      </c>
      <c r="AJ7584">
        <v>112.705019126434</v>
      </c>
      <c r="AK7584">
        <v>49.4670651886032</v>
      </c>
      <c r="AL7584">
        <v>77.255065441626897</v>
      </c>
      <c r="AM7584">
        <v>102.9618304267</v>
      </c>
      <c r="AN7584">
        <v>0.99999997517608896</v>
      </c>
    </row>
    <row r="7585" spans="1:40" x14ac:dyDescent="0.25">
      <c r="A7585" t="str">
        <f>"20190304154941992"</f>
        <v>20190304154941992</v>
      </c>
      <c r="B7585" t="str">
        <f>"1551685781984680"</f>
        <v>1551685781984680</v>
      </c>
      <c r="C7585" t="s">
        <v>40</v>
      </c>
      <c r="D7585">
        <v>4.2611049999999997</v>
      </c>
      <c r="E7585">
        <v>0.4110374</v>
      </c>
      <c r="F7585" t="s">
        <v>105</v>
      </c>
      <c r="G7585">
        <v>-169.19210000000001</v>
      </c>
      <c r="H7585">
        <v>12.64978</v>
      </c>
      <c r="I7585">
        <v>-19.440049999999999</v>
      </c>
      <c r="J7585">
        <v>-201.08029999999999</v>
      </c>
      <c r="K7585">
        <v>1.120309</v>
      </c>
      <c r="L7585">
        <v>-58.860259999999997</v>
      </c>
      <c r="M7585">
        <v>0.88040219999999902</v>
      </c>
      <c r="N7585">
        <v>-1.440454E-2</v>
      </c>
      <c r="O7585">
        <v>0.47400890000000001</v>
      </c>
      <c r="P7585">
        <v>0.73834869999999997</v>
      </c>
      <c r="Q7585">
        <v>0.2112629</v>
      </c>
      <c r="R7585">
        <v>0.64047569999999998</v>
      </c>
      <c r="S7585">
        <v>1.871445</v>
      </c>
      <c r="T7585">
        <v>0.6740353</v>
      </c>
      <c r="U7585">
        <v>2.308716</v>
      </c>
      <c r="V7585">
        <v>-0.2190088</v>
      </c>
      <c r="W7585">
        <v>0.2200233</v>
      </c>
      <c r="X7585">
        <v>0.95059190000000005</v>
      </c>
      <c r="Y7585">
        <v>-0.38832169999999999</v>
      </c>
      <c r="Z7585">
        <v>7.5407100000000005E-2</v>
      </c>
      <c r="AA7585">
        <v>0.91843350000000001</v>
      </c>
      <c r="AB7585">
        <v>31</v>
      </c>
      <c r="AC7585">
        <v>31.888199999999902</v>
      </c>
      <c r="AD7585">
        <v>11.529470999999999</v>
      </c>
      <c r="AE7585">
        <v>39.420209999999997</v>
      </c>
      <c r="AF7585">
        <v>-18.629127160084099</v>
      </c>
      <c r="AG7585">
        <v>11.529470999999999</v>
      </c>
      <c r="AH7585">
        <v>44.465642790152998</v>
      </c>
      <c r="AI7585">
        <v>76.550362811142307</v>
      </c>
      <c r="AJ7585">
        <v>112.73151678987701</v>
      </c>
      <c r="AK7585">
        <v>49.569814091117102</v>
      </c>
      <c r="AL7585">
        <v>77.289598916613997</v>
      </c>
      <c r="AM7585">
        <v>102.974095967569</v>
      </c>
      <c r="AN7585">
        <v>1.00000003368296</v>
      </c>
    </row>
    <row r="7586" spans="1:40" x14ac:dyDescent="0.25">
      <c r="A7586" t="str">
        <f>"20190304154942004"</f>
        <v>20190304154942004</v>
      </c>
      <c r="B7586" t="str">
        <f>"1551685781994440"</f>
        <v>1551685781994440</v>
      </c>
      <c r="C7586" t="s">
        <v>40</v>
      </c>
      <c r="D7586">
        <v>4.1357100000000004</v>
      </c>
      <c r="E7586">
        <v>0.41230600000000001</v>
      </c>
      <c r="F7586" t="s">
        <v>105</v>
      </c>
      <c r="G7586">
        <v>-157.3501</v>
      </c>
      <c r="H7586">
        <v>2.5920010000000002</v>
      </c>
      <c r="I7586">
        <v>0.91444440000000005</v>
      </c>
      <c r="J7586">
        <v>-200.9384</v>
      </c>
      <c r="K7586">
        <v>1.120298</v>
      </c>
      <c r="L7586">
        <v>-58.777009999999997</v>
      </c>
      <c r="M7586">
        <v>0.87742559999999903</v>
      </c>
      <c r="N7586">
        <v>-1.4416150000000001E-2</v>
      </c>
      <c r="O7586">
        <v>0.47949619999999998</v>
      </c>
      <c r="P7586">
        <v>0.73432589999999998</v>
      </c>
      <c r="Q7586">
        <v>0.21093039999999999</v>
      </c>
      <c r="R7586">
        <v>0.64519280000000001</v>
      </c>
      <c r="S7586">
        <v>1.8508</v>
      </c>
      <c r="T7586">
        <v>6.2286380000000002E-2</v>
      </c>
      <c r="U7586">
        <v>2.529846</v>
      </c>
      <c r="V7586">
        <v>-0.21910750000000001</v>
      </c>
      <c r="W7586">
        <v>0.2197037</v>
      </c>
      <c r="X7586">
        <v>0.95064309999999996</v>
      </c>
      <c r="Y7586">
        <v>-0.4252377</v>
      </c>
      <c r="Z7586">
        <v>1.537061E-2</v>
      </c>
      <c r="AA7586">
        <v>0.90495119999999896</v>
      </c>
      <c r="AB7586">
        <v>30</v>
      </c>
      <c r="AC7586">
        <v>43.588299999999997</v>
      </c>
      <c r="AD7586">
        <v>1.47170299999999</v>
      </c>
      <c r="AE7586">
        <v>59.691454399999998</v>
      </c>
      <c r="AF7586">
        <v>-31.465180325089001</v>
      </c>
      <c r="AG7586">
        <v>1.47170299999999</v>
      </c>
      <c r="AH7586">
        <v>66.847758434583895</v>
      </c>
      <c r="AI7586">
        <v>88.858853127695596</v>
      </c>
      <c r="AJ7586">
        <v>115.20632426725599</v>
      </c>
      <c r="AK7586">
        <v>73.897539135881004</v>
      </c>
      <c r="AL7586">
        <v>77.308370275864107</v>
      </c>
      <c r="AM7586">
        <v>102.97906960685999</v>
      </c>
      <c r="AN7586">
        <v>1.00000005796377</v>
      </c>
    </row>
    <row r="7587" spans="1:40" x14ac:dyDescent="0.25">
      <c r="A7587" t="str">
        <f>"20190304154942014"</f>
        <v>20190304154942014</v>
      </c>
      <c r="B7587" t="str">
        <f>"1551685782005178"</f>
        <v>1551685782005178</v>
      </c>
      <c r="C7587" t="s">
        <v>40</v>
      </c>
      <c r="D7587">
        <v>4.1453829999999998</v>
      </c>
      <c r="E7587">
        <v>0.41273789999999999</v>
      </c>
      <c r="F7587" t="s">
        <v>105</v>
      </c>
      <c r="G7587">
        <v>-157.3501</v>
      </c>
      <c r="H7587">
        <v>2.339197</v>
      </c>
      <c r="I7587">
        <v>1.1933100000000001</v>
      </c>
      <c r="J7587">
        <v>-200.821</v>
      </c>
      <c r="K7587">
        <v>1.1202890000000001</v>
      </c>
      <c r="L7587">
        <v>-58.70758</v>
      </c>
      <c r="M7587">
        <v>0.87493159999999903</v>
      </c>
      <c r="N7587">
        <v>-1.442537E-2</v>
      </c>
      <c r="O7587">
        <v>0.4840315</v>
      </c>
      <c r="P7587">
        <v>0.73120369999999901</v>
      </c>
      <c r="Q7587">
        <v>0.2108303</v>
      </c>
      <c r="R7587">
        <v>0.648761699999999</v>
      </c>
      <c r="S7587">
        <v>1.8428800000000001</v>
      </c>
      <c r="T7587">
        <v>5.1533820000000001E-2</v>
      </c>
      <c r="U7587">
        <v>2.5354920000000001</v>
      </c>
      <c r="V7587">
        <v>-0.21879699999999999</v>
      </c>
      <c r="W7587">
        <v>0.21962370000000001</v>
      </c>
      <c r="X7587">
        <v>0.9507331</v>
      </c>
      <c r="Y7587">
        <v>-0.42333389999999999</v>
      </c>
      <c r="Z7587">
        <v>1.454779E-2</v>
      </c>
      <c r="AA7587">
        <v>0.90585700000000002</v>
      </c>
      <c r="AB7587">
        <v>30</v>
      </c>
      <c r="AC7587">
        <v>43.4709</v>
      </c>
      <c r="AD7587">
        <v>1.2189080000000001</v>
      </c>
      <c r="AE7587">
        <v>59.900889999999997</v>
      </c>
      <c r="AF7587">
        <v>-31.362656142624999</v>
      </c>
      <c r="AG7587">
        <v>1.2189080000000001</v>
      </c>
      <c r="AH7587">
        <v>67.016783751050895</v>
      </c>
      <c r="AI7587">
        <v>89.056226993451503</v>
      </c>
      <c r="AJ7587">
        <v>115.078753356127</v>
      </c>
      <c r="AK7587">
        <v>74.002373214432296</v>
      </c>
      <c r="AL7587">
        <v>77.313068747375098</v>
      </c>
      <c r="AM7587">
        <v>102.96011278379299</v>
      </c>
      <c r="AN7587">
        <v>1.00000006212314</v>
      </c>
    </row>
    <row r="7588" spans="1:40" x14ac:dyDescent="0.25">
      <c r="A7588" t="str">
        <f>"20190304154942025"</f>
        <v>20190304154942025</v>
      </c>
      <c r="B7588" t="str">
        <f>"1551685782014936"</f>
        <v>1551685782014936</v>
      </c>
      <c r="C7588" t="s">
        <v>40</v>
      </c>
      <c r="D7588">
        <v>4.1592840000000004</v>
      </c>
      <c r="E7588">
        <v>0.41326610000000003</v>
      </c>
      <c r="F7588" t="s">
        <v>105</v>
      </c>
      <c r="G7588">
        <v>-157.3501</v>
      </c>
      <c r="H7588">
        <v>2.2619699999999998</v>
      </c>
      <c r="I7588">
        <v>1.5843100000000001</v>
      </c>
      <c r="J7588">
        <v>-200.69229999999999</v>
      </c>
      <c r="K7588">
        <v>1.120279</v>
      </c>
      <c r="L7588">
        <v>-58.630220000000001</v>
      </c>
      <c r="M7588">
        <v>0.87215869999999995</v>
      </c>
      <c r="N7588">
        <v>-1.443446E-2</v>
      </c>
      <c r="O7588">
        <v>0.48901020000000001</v>
      </c>
      <c r="P7588">
        <v>0.72745569999999904</v>
      </c>
      <c r="Q7588">
        <v>0.210982</v>
      </c>
      <c r="R7588">
        <v>0.65291259999999995</v>
      </c>
      <c r="S7588">
        <v>1.8331299999999999</v>
      </c>
      <c r="T7588">
        <v>4.8143390000000001E-2</v>
      </c>
      <c r="U7588">
        <v>2.5424500000000001</v>
      </c>
      <c r="V7588">
        <v>-0.21881</v>
      </c>
      <c r="W7588">
        <v>0.21978739999999999</v>
      </c>
      <c r="X7588">
        <v>0.95069219999999999</v>
      </c>
      <c r="Y7588">
        <v>-0.42162379999999999</v>
      </c>
      <c r="Z7588">
        <v>1.43906E-2</v>
      </c>
      <c r="AA7588">
        <v>0.90665660000000003</v>
      </c>
      <c r="AB7588">
        <v>30</v>
      </c>
      <c r="AC7588">
        <v>43.342199999999899</v>
      </c>
      <c r="AD7588">
        <v>1.141691</v>
      </c>
      <c r="AE7588">
        <v>60.214530000000003</v>
      </c>
      <c r="AF7588">
        <v>-31.317693631681198</v>
      </c>
      <c r="AG7588">
        <v>1.141691</v>
      </c>
      <c r="AH7588">
        <v>67.237876220037194</v>
      </c>
      <c r="AI7588">
        <v>89.118165101422207</v>
      </c>
      <c r="AJ7588">
        <v>114.974906994267</v>
      </c>
      <c r="AK7588">
        <v>74.182433172068301</v>
      </c>
      <c r="AL7588">
        <v>77.303453563001298</v>
      </c>
      <c r="AM7588">
        <v>102.96139558234201</v>
      </c>
      <c r="AN7588">
        <v>0.99999998821979896</v>
      </c>
    </row>
    <row r="7589" spans="1:40" x14ac:dyDescent="0.25">
      <c r="A7589" t="str">
        <f>"20190304154942037"</f>
        <v>20190304154942037</v>
      </c>
      <c r="B7589" t="str">
        <f>"1551685782034456"</f>
        <v>1551685782034456</v>
      </c>
      <c r="C7589" t="s">
        <v>40</v>
      </c>
      <c r="D7589">
        <v>4.1723860000000004</v>
      </c>
      <c r="E7589">
        <v>0.41646660000000002</v>
      </c>
      <c r="F7589" t="s">
        <v>105</v>
      </c>
      <c r="G7589">
        <v>-157.3501</v>
      </c>
      <c r="H7589">
        <v>2.2450160000000001</v>
      </c>
      <c r="I7589">
        <v>2.0677409999999998</v>
      </c>
      <c r="J7589">
        <v>-200.56569999999999</v>
      </c>
      <c r="K7589">
        <v>1.1202730000000001</v>
      </c>
      <c r="L7589">
        <v>-58.553310000000003</v>
      </c>
      <c r="M7589">
        <v>0.86939669999999902</v>
      </c>
      <c r="N7589">
        <v>-1.4442719999999999E-2</v>
      </c>
      <c r="O7589">
        <v>0.4939035</v>
      </c>
      <c r="P7589">
        <v>0.72398390000000001</v>
      </c>
      <c r="Q7589">
        <v>0.21135029999999999</v>
      </c>
      <c r="R7589">
        <v>0.65664180000000005</v>
      </c>
      <c r="S7589">
        <v>1.8211820000000001</v>
      </c>
      <c r="T7589">
        <v>4.7259809999999999E-2</v>
      </c>
      <c r="U7589">
        <v>2.550446</v>
      </c>
      <c r="V7589">
        <v>-0.21840909999999999</v>
      </c>
      <c r="W7589">
        <v>0.22017629999999999</v>
      </c>
      <c r="X7589">
        <v>0.95069440000000005</v>
      </c>
      <c r="Y7589">
        <v>-0.42068329999999998</v>
      </c>
      <c r="Z7589">
        <v>1.445862E-2</v>
      </c>
      <c r="AA7589">
        <v>0.90709229999999996</v>
      </c>
      <c r="AB7589">
        <v>30</v>
      </c>
      <c r="AC7589">
        <v>43.215600000000002</v>
      </c>
      <c r="AD7589">
        <v>1.124743</v>
      </c>
      <c r="AE7589">
        <v>60.621051000000001</v>
      </c>
      <c r="AF7589">
        <v>-31.3555218946785</v>
      </c>
      <c r="AG7589">
        <v>1.124743</v>
      </c>
      <c r="AH7589">
        <v>67.504088222435698</v>
      </c>
      <c r="AI7589">
        <v>89.134256689284697</v>
      </c>
      <c r="AJ7589">
        <v>114.91477966824699</v>
      </c>
      <c r="AK7589">
        <v>74.439476938289303</v>
      </c>
      <c r="AL7589">
        <v>77.280611723344606</v>
      </c>
      <c r="AM7589">
        <v>102.938418823652</v>
      </c>
      <c r="AN7589">
        <v>0.99999999011792995</v>
      </c>
    </row>
    <row r="7590" spans="1:40" x14ac:dyDescent="0.25">
      <c r="A7590" t="str">
        <f>"20190304154942050"</f>
        <v>20190304154942050</v>
      </c>
      <c r="B7590" t="str">
        <f>"1551685782044216"</f>
        <v>1551685782044216</v>
      </c>
      <c r="C7590" t="s">
        <v>40</v>
      </c>
      <c r="D7590">
        <v>4.2369849999999998</v>
      </c>
      <c r="E7590">
        <v>0.41719210000000001</v>
      </c>
      <c r="F7590" t="s">
        <v>105</v>
      </c>
      <c r="G7590">
        <v>-157.3501</v>
      </c>
      <c r="H7590">
        <v>1.8352919999999999</v>
      </c>
      <c r="I7590">
        <v>1.575874</v>
      </c>
      <c r="J7590">
        <v>-200.41380000000001</v>
      </c>
      <c r="K7590">
        <v>1.1202669999999999</v>
      </c>
      <c r="L7590">
        <v>-58.45993</v>
      </c>
      <c r="M7590">
        <v>0.86603580000000002</v>
      </c>
      <c r="N7590">
        <v>-1.445186E-2</v>
      </c>
      <c r="O7590">
        <v>0.49977310000000003</v>
      </c>
      <c r="P7590">
        <v>0.71941319999999997</v>
      </c>
      <c r="Q7590">
        <v>0.21186079999999999</v>
      </c>
      <c r="R7590">
        <v>0.66148289999999998</v>
      </c>
      <c r="S7590">
        <v>1.8280179999999999</v>
      </c>
      <c r="T7590">
        <v>3.0245299999999999E-2</v>
      </c>
      <c r="U7590">
        <v>2.5434570000000001</v>
      </c>
      <c r="V7590">
        <v>-0.2184352</v>
      </c>
      <c r="W7590">
        <v>0.22069910000000001</v>
      </c>
      <c r="X7590">
        <v>0.95056719999999895</v>
      </c>
      <c r="Y7590">
        <v>-0.41169689999999998</v>
      </c>
      <c r="Z7590">
        <v>1.2943410000000001E-2</v>
      </c>
      <c r="AA7590">
        <v>0.91122899999999996</v>
      </c>
      <c r="AB7590">
        <v>30</v>
      </c>
      <c r="AC7590">
        <v>43.063699999999997</v>
      </c>
      <c r="AD7590">
        <v>0.71502500000000002</v>
      </c>
      <c r="AE7590">
        <v>60.035803999999999</v>
      </c>
      <c r="AF7590">
        <v>-30.471405108632101</v>
      </c>
      <c r="AG7590">
        <v>0.71502500000000002</v>
      </c>
      <c r="AH7590">
        <v>67.299711087451797</v>
      </c>
      <c r="AI7590">
        <v>89.445472388937603</v>
      </c>
      <c r="AJ7590">
        <v>114.35967240084599</v>
      </c>
      <c r="AK7590">
        <v>73.880098148956804</v>
      </c>
      <c r="AL7590">
        <v>77.249902393338402</v>
      </c>
      <c r="AM7590">
        <v>102.941586193006</v>
      </c>
      <c r="AN7590">
        <v>1.0000000155278399</v>
      </c>
    </row>
    <row r="7591" spans="1:40" x14ac:dyDescent="0.25">
      <c r="A7591" t="str">
        <f>"20190304154942063"</f>
        <v>20190304154942063</v>
      </c>
      <c r="B7591" t="str">
        <f>"1551685782054951"</f>
        <v>1551685782054951</v>
      </c>
      <c r="C7591" t="s">
        <v>40</v>
      </c>
      <c r="D7591">
        <v>4.1692450000000001</v>
      </c>
      <c r="E7591">
        <v>0.4172979</v>
      </c>
      <c r="F7591" t="s">
        <v>105</v>
      </c>
      <c r="G7591">
        <v>-157.3501</v>
      </c>
      <c r="H7591">
        <v>1.7685999999999999</v>
      </c>
      <c r="I7591">
        <v>2.0951019999999998</v>
      </c>
      <c r="J7591">
        <v>-200.27379999999999</v>
      </c>
      <c r="K7591">
        <v>1.120261</v>
      </c>
      <c r="L7591">
        <v>-58.372100000000003</v>
      </c>
      <c r="M7591">
        <v>0.86288860000000001</v>
      </c>
      <c r="N7591">
        <v>-1.445887E-2</v>
      </c>
      <c r="O7591">
        <v>0.50518750000000001</v>
      </c>
      <c r="P7591">
        <v>0.71535959999999998</v>
      </c>
      <c r="Q7591">
        <v>0.21225260000000001</v>
      </c>
      <c r="R7591">
        <v>0.66573990000000005</v>
      </c>
      <c r="S7591">
        <v>1.81514</v>
      </c>
      <c r="T7591">
        <v>2.732718E-2</v>
      </c>
      <c r="U7591">
        <v>2.5523989999999999</v>
      </c>
      <c r="V7591">
        <v>-0.21818280000000001</v>
      </c>
      <c r="W7591">
        <v>0.22110879999999999</v>
      </c>
      <c r="X7591">
        <v>0.95052990000000004</v>
      </c>
      <c r="Y7591">
        <v>-0.41054269999999998</v>
      </c>
      <c r="Z7591">
        <v>1.277506E-2</v>
      </c>
      <c r="AA7591">
        <v>0.91175189999999995</v>
      </c>
      <c r="AB7591">
        <v>30</v>
      </c>
      <c r="AC7591">
        <v>42.923699999999997</v>
      </c>
      <c r="AD7591">
        <v>0.648339</v>
      </c>
      <c r="AE7591">
        <v>60.467202</v>
      </c>
      <c r="AF7591">
        <v>-30.492796279654399</v>
      </c>
      <c r="AG7591">
        <v>0.648339</v>
      </c>
      <c r="AH7591">
        <v>67.587538229443993</v>
      </c>
      <c r="AI7591">
        <v>89.499025237163806</v>
      </c>
      <c r="AJ7591">
        <v>114.28299387467</v>
      </c>
      <c r="AK7591">
        <v>74.150565016916701</v>
      </c>
      <c r="AL7591">
        <v>77.225833030053707</v>
      </c>
      <c r="AM7591">
        <v>102.927625153824</v>
      </c>
      <c r="AN7591">
        <v>0.99999996322364404</v>
      </c>
    </row>
    <row r="7592" spans="1:40" x14ac:dyDescent="0.25">
      <c r="A7592" t="str">
        <f>"20190304154942076"</f>
        <v>20190304154942076</v>
      </c>
      <c r="B7592" t="str">
        <f>"1551685782064713"</f>
        <v>1551685782064713</v>
      </c>
      <c r="C7592" t="s">
        <v>40</v>
      </c>
      <c r="D7592">
        <v>4.2803420000000001</v>
      </c>
      <c r="E7592">
        <v>0.41788370000000002</v>
      </c>
      <c r="F7592" t="s">
        <v>105</v>
      </c>
      <c r="G7592">
        <v>-157.3501</v>
      </c>
      <c r="H7592">
        <v>1.7863599999999999</v>
      </c>
      <c r="I7592">
        <v>2.7340300000000002</v>
      </c>
      <c r="J7592">
        <v>-200.1259</v>
      </c>
      <c r="K7592">
        <v>1.12025</v>
      </c>
      <c r="L7592">
        <v>-58.278410000000001</v>
      </c>
      <c r="M7592">
        <v>0.85951730000000004</v>
      </c>
      <c r="N7592">
        <v>-1.44657E-2</v>
      </c>
      <c r="O7592">
        <v>0.51090199999999997</v>
      </c>
      <c r="P7592">
        <v>0.71087749999999905</v>
      </c>
      <c r="Q7592">
        <v>0.2129568</v>
      </c>
      <c r="R7592">
        <v>0.67030040000000002</v>
      </c>
      <c r="S7592">
        <v>1.8002779999999901</v>
      </c>
      <c r="T7592">
        <v>2.7937050000000001E-2</v>
      </c>
      <c r="U7592">
        <v>2.5628660000000001</v>
      </c>
      <c r="V7592">
        <v>-0.21806929999999999</v>
      </c>
      <c r="W7592">
        <v>0.2218272</v>
      </c>
      <c r="X7592">
        <v>0.95038860000000003</v>
      </c>
      <c r="Y7592">
        <v>-0.40978599999999998</v>
      </c>
      <c r="Z7592">
        <v>1.2969639999999999E-2</v>
      </c>
      <c r="AA7592">
        <v>0.9120895</v>
      </c>
      <c r="AB7592">
        <v>30</v>
      </c>
      <c r="AC7592">
        <v>42.775799999999997</v>
      </c>
      <c r="AD7592">
        <v>0.66610999999999998</v>
      </c>
      <c r="AE7592">
        <v>61.012439999999998</v>
      </c>
      <c r="AF7592">
        <v>-30.587760800534799</v>
      </c>
      <c r="AG7592">
        <v>0.66610999999999998</v>
      </c>
      <c r="AH7592">
        <v>67.939594426966906</v>
      </c>
      <c r="AI7592">
        <v>89.487780897417906</v>
      </c>
      <c r="AJ7592">
        <v>114.238224457093</v>
      </c>
      <c r="AK7592">
        <v>74.510692549617303</v>
      </c>
      <c r="AL7592">
        <v>77.183624171007907</v>
      </c>
      <c r="AM7592">
        <v>102.92298245913101</v>
      </c>
      <c r="AN7592">
        <v>1.00000000863614</v>
      </c>
    </row>
    <row r="7593" spans="1:40" x14ac:dyDescent="0.25">
      <c r="A7593" t="str">
        <f>"20190304154942088"</f>
        <v>20190304154942088</v>
      </c>
      <c r="B7593" t="str">
        <f>"1551685782084232"</f>
        <v>1551685782084232</v>
      </c>
      <c r="C7593" t="s">
        <v>40</v>
      </c>
      <c r="D7593">
        <v>4.3517140000000003</v>
      </c>
      <c r="E7593">
        <v>0.41741509999999998</v>
      </c>
      <c r="F7593" t="s">
        <v>105</v>
      </c>
      <c r="G7593">
        <v>-157.3501</v>
      </c>
      <c r="H7593">
        <v>1.7461599999999999</v>
      </c>
      <c r="I7593">
        <v>3.2699500000000001</v>
      </c>
      <c r="J7593">
        <v>-199.9906</v>
      </c>
      <c r="K7593">
        <v>1.120242</v>
      </c>
      <c r="L7593">
        <v>-58.191409999999998</v>
      </c>
      <c r="M7593">
        <v>0.85638939999999997</v>
      </c>
      <c r="N7593">
        <v>-1.4471009999999999E-2</v>
      </c>
      <c r="O7593">
        <v>0.51612760000000002</v>
      </c>
      <c r="P7593">
        <v>0.70701590000000003</v>
      </c>
      <c r="Q7593">
        <v>0.21316199999999999</v>
      </c>
      <c r="R7593">
        <v>0.6743074</v>
      </c>
      <c r="S7593">
        <v>1.7873540000000001</v>
      </c>
      <c r="T7593">
        <v>2.6154400000000001E-2</v>
      </c>
      <c r="U7593">
        <v>2.5717469999999998</v>
      </c>
      <c r="V7593">
        <v>-0.2176794</v>
      </c>
      <c r="W7593">
        <v>0.2220541</v>
      </c>
      <c r="X7593">
        <v>0.95042499999999996</v>
      </c>
      <c r="Y7593">
        <v>-0.4087923</v>
      </c>
      <c r="Z7593">
        <v>1.289972E-2</v>
      </c>
      <c r="AA7593">
        <v>0.91253629999999997</v>
      </c>
      <c r="AB7593">
        <v>30</v>
      </c>
      <c r="AC7593">
        <v>42.640500000000003</v>
      </c>
      <c r="AD7593">
        <v>0.62591799999999997</v>
      </c>
      <c r="AE7593">
        <v>61.461359999999999</v>
      </c>
      <c r="AF7593">
        <v>-30.627982538217498</v>
      </c>
      <c r="AG7593">
        <v>0.62591799999999997</v>
      </c>
      <c r="AH7593">
        <v>68.241147664242604</v>
      </c>
      <c r="AI7593">
        <v>89.520561723574801</v>
      </c>
      <c r="AJ7593">
        <v>114.171490242064</v>
      </c>
      <c r="AK7593">
        <v>74.8018671039503</v>
      </c>
      <c r="AL7593">
        <v>77.170291289024206</v>
      </c>
      <c r="AM7593">
        <v>102.900172785354</v>
      </c>
      <c r="AN7593">
        <v>1.0000000125680799</v>
      </c>
    </row>
    <row r="7594" spans="1:40" x14ac:dyDescent="0.25">
      <c r="A7594" t="str">
        <f>"20190304154942098"</f>
        <v>20190304154942098</v>
      </c>
      <c r="B7594" t="str">
        <f>"1551685782094968"</f>
        <v>1551685782094968</v>
      </c>
      <c r="C7594" t="s">
        <v>40</v>
      </c>
      <c r="D7594">
        <v>4.3991559999999996</v>
      </c>
      <c r="E7594">
        <v>0.41713040000000001</v>
      </c>
      <c r="F7594" t="s">
        <v>105</v>
      </c>
      <c r="G7594">
        <v>-157.3501</v>
      </c>
      <c r="H7594">
        <v>1.910628</v>
      </c>
      <c r="I7594">
        <v>4.1000550000000002</v>
      </c>
      <c r="J7594">
        <v>-199.8708</v>
      </c>
      <c r="K7594">
        <v>1.1202270000000001</v>
      </c>
      <c r="L7594">
        <v>-58.113250000000001</v>
      </c>
      <c r="M7594">
        <v>0.85358489999999998</v>
      </c>
      <c r="N7594">
        <v>-1.4474870000000001E-2</v>
      </c>
      <c r="O7594">
        <v>0.52075249999999995</v>
      </c>
      <c r="P7594">
        <v>0.70328489999999999</v>
      </c>
      <c r="Q7594">
        <v>0.21362809999999999</v>
      </c>
      <c r="R7594">
        <v>0.67805109999999902</v>
      </c>
      <c r="S7594">
        <v>1.768845</v>
      </c>
      <c r="T7594">
        <v>3.2787200000000002E-2</v>
      </c>
      <c r="U7594">
        <v>2.584015</v>
      </c>
      <c r="V7594">
        <v>-0.21766060000000001</v>
      </c>
      <c r="W7594">
        <v>0.2225297</v>
      </c>
      <c r="X7594">
        <v>0.950318</v>
      </c>
      <c r="Y7594">
        <v>-0.41034189999999998</v>
      </c>
      <c r="Z7594">
        <v>1.372405E-2</v>
      </c>
      <c r="AA7594">
        <v>0.91182850000000004</v>
      </c>
      <c r="AB7594">
        <v>30</v>
      </c>
      <c r="AC7594">
        <v>42.520699999999998</v>
      </c>
      <c r="AD7594">
        <v>0.79040099999999902</v>
      </c>
      <c r="AE7594">
        <v>62.213304999999998</v>
      </c>
      <c r="AF7594">
        <v>-30.961416701612698</v>
      </c>
      <c r="AG7594">
        <v>0.79040099999999902</v>
      </c>
      <c r="AH7594">
        <v>68.692406145256001</v>
      </c>
      <c r="AI7594">
        <v>89.398985505874904</v>
      </c>
      <c r="AJ7594">
        <v>114.262302320901</v>
      </c>
      <c r="AK7594">
        <v>75.351713450567999</v>
      </c>
      <c r="AL7594">
        <v>77.142341349289595</v>
      </c>
      <c r="AM7594">
        <v>102.90049969463099</v>
      </c>
      <c r="AN7594">
        <v>0.99999995264922303</v>
      </c>
    </row>
    <row r="7595" spans="1:40" x14ac:dyDescent="0.25">
      <c r="A7595" t="str">
        <f>"20190304154942109"</f>
        <v>20190304154942109</v>
      </c>
      <c r="B7595" t="str">
        <f>"1551685782104728"</f>
        <v>1551685782104728</v>
      </c>
      <c r="C7595" t="s">
        <v>40</v>
      </c>
      <c r="D7595">
        <v>4.13835</v>
      </c>
      <c r="E7595">
        <v>0.41797060000000003</v>
      </c>
      <c r="F7595" t="s">
        <v>105</v>
      </c>
      <c r="G7595">
        <v>-157.3501</v>
      </c>
      <c r="H7595">
        <v>2.0233699999999999</v>
      </c>
      <c r="I7595">
        <v>4.8249589999999998</v>
      </c>
      <c r="J7595">
        <v>-199.74979999999999</v>
      </c>
      <c r="K7595">
        <v>1.1202129999999999</v>
      </c>
      <c r="L7595">
        <v>-58.03369</v>
      </c>
      <c r="M7595">
        <v>0.85072080000000005</v>
      </c>
      <c r="N7595">
        <v>-1.4478390000000001E-2</v>
      </c>
      <c r="O7595">
        <v>0.52541850000000001</v>
      </c>
      <c r="P7595">
        <v>0.69969029999999999</v>
      </c>
      <c r="Q7595">
        <v>0.2135514</v>
      </c>
      <c r="R7595">
        <v>0.6817839</v>
      </c>
      <c r="S7595">
        <v>1.7528840000000001</v>
      </c>
      <c r="T7595">
        <v>3.7231210000000001E-2</v>
      </c>
      <c r="U7595">
        <v>2.5945740000000002</v>
      </c>
      <c r="V7595">
        <v>-0.2174915</v>
      </c>
      <c r="W7595">
        <v>0.22246879999999999</v>
      </c>
      <c r="X7595">
        <v>0.95037099999999997</v>
      </c>
      <c r="Y7595">
        <v>-0.4109331</v>
      </c>
      <c r="Z7595">
        <v>1.432786E-2</v>
      </c>
      <c r="AA7595">
        <v>0.9115529</v>
      </c>
      <c r="AB7595">
        <v>30</v>
      </c>
      <c r="AC7595">
        <v>42.399700000000003</v>
      </c>
      <c r="AD7595">
        <v>0.90315699999999999</v>
      </c>
      <c r="AE7595">
        <v>62.858649</v>
      </c>
      <c r="AF7595">
        <v>-31.1964158429506</v>
      </c>
      <c r="AG7595">
        <v>0.90315699999999999</v>
      </c>
      <c r="AH7595">
        <v>69.094840000936898</v>
      </c>
      <c r="AI7595">
        <v>89.317452461319206</v>
      </c>
      <c r="AJ7595">
        <v>114.299241850361</v>
      </c>
      <c r="AK7595">
        <v>75.816416222135004</v>
      </c>
      <c r="AL7595">
        <v>77.145920717655301</v>
      </c>
      <c r="AM7595">
        <v>102.890117381634</v>
      </c>
      <c r="AN7595">
        <v>0.999999978593344</v>
      </c>
    </row>
    <row r="7596" spans="1:40" x14ac:dyDescent="0.25">
      <c r="A7596" t="str">
        <f>"20190304154942121"</f>
        <v>20190304154942121</v>
      </c>
      <c r="B7596" t="str">
        <f>"1551685782114488"</f>
        <v>1551685782114488</v>
      </c>
      <c r="C7596" t="s">
        <v>40</v>
      </c>
      <c r="D7596">
        <v>4.341164</v>
      </c>
      <c r="E7596">
        <v>0.41871079999999999</v>
      </c>
      <c r="F7596" t="s">
        <v>105</v>
      </c>
      <c r="G7596">
        <v>-157.3501</v>
      </c>
      <c r="H7596">
        <v>1.884417</v>
      </c>
      <c r="I7596">
        <v>5.147875</v>
      </c>
      <c r="J7596">
        <v>-199.61859999999999</v>
      </c>
      <c r="K7596">
        <v>1.1201939999999999</v>
      </c>
      <c r="L7596">
        <v>-57.945950000000003</v>
      </c>
      <c r="M7596">
        <v>0.84757640000000001</v>
      </c>
      <c r="N7596">
        <v>-1.448118E-2</v>
      </c>
      <c r="O7596">
        <v>0.53047569999999999</v>
      </c>
      <c r="P7596">
        <v>0.69549609999999995</v>
      </c>
      <c r="Q7596">
        <v>0.2133525</v>
      </c>
      <c r="R7596">
        <v>0.686123699999999</v>
      </c>
      <c r="S7596">
        <v>1.744705</v>
      </c>
      <c r="T7596">
        <v>3.1446099999999998E-2</v>
      </c>
      <c r="U7596">
        <v>2.5998540000000001</v>
      </c>
      <c r="V7596">
        <v>-0.21769839999999999</v>
      </c>
      <c r="W7596">
        <v>0.2222768</v>
      </c>
      <c r="X7596">
        <v>0.95036860000000001</v>
      </c>
      <c r="Y7596">
        <v>-0.40832079999999998</v>
      </c>
      <c r="Z7596">
        <v>1.381283E-2</v>
      </c>
      <c r="AA7596">
        <v>0.91273400000000005</v>
      </c>
      <c r="AB7596">
        <v>30</v>
      </c>
      <c r="AC7596">
        <v>42.268499999999896</v>
      </c>
      <c r="AD7596">
        <v>0.76422299999999899</v>
      </c>
      <c r="AE7596">
        <v>63.093825000000002</v>
      </c>
      <c r="AF7596">
        <v>-31.0545379960882</v>
      </c>
      <c r="AG7596">
        <v>0.76422299999999899</v>
      </c>
      <c r="AH7596">
        <v>69.295776343473804</v>
      </c>
      <c r="AI7596">
        <v>89.423393048248599</v>
      </c>
      <c r="AJ7596">
        <v>114.139286218309</v>
      </c>
      <c r="AK7596">
        <v>75.939930115776093</v>
      </c>
      <c r="AL7596">
        <v>77.157204596058506</v>
      </c>
      <c r="AM7596">
        <v>102.902001105124</v>
      </c>
      <c r="AN7596">
        <v>1.0000000225233701</v>
      </c>
    </row>
    <row r="7597" spans="1:40" x14ac:dyDescent="0.25">
      <c r="A7597" t="str">
        <f>"20190304154942132"</f>
        <v>20190304154942132</v>
      </c>
      <c r="B7597" t="str">
        <f>"1551685782125223"</f>
        <v>1551685782125223</v>
      </c>
      <c r="C7597" t="s">
        <v>40</v>
      </c>
      <c r="D7597">
        <v>4.1897070000000003</v>
      </c>
      <c r="E7597">
        <v>0.4196201</v>
      </c>
      <c r="F7597" t="s">
        <v>105</v>
      </c>
      <c r="G7597">
        <v>-157.3501</v>
      </c>
      <c r="H7597">
        <v>1.753296</v>
      </c>
      <c r="I7597">
        <v>5.6272180000000001</v>
      </c>
      <c r="J7597">
        <v>-199.49770000000001</v>
      </c>
      <c r="K7597">
        <v>1.120177</v>
      </c>
      <c r="L7597">
        <v>-57.864620000000002</v>
      </c>
      <c r="M7597">
        <v>0.84464830000000002</v>
      </c>
      <c r="N7597">
        <v>-1.4483650000000001E-2</v>
      </c>
      <c r="O7597">
        <v>0.53512579999999998</v>
      </c>
      <c r="P7597">
        <v>0.69151629999999997</v>
      </c>
      <c r="Q7597">
        <v>0.21277180000000001</v>
      </c>
      <c r="R7597">
        <v>0.69031409999999904</v>
      </c>
      <c r="S7597">
        <v>1.73344399999999</v>
      </c>
      <c r="T7597">
        <v>2.596354E-2</v>
      </c>
      <c r="U7597">
        <v>2.6071469999999999</v>
      </c>
      <c r="V7597">
        <v>-0.21810209999999999</v>
      </c>
      <c r="W7597">
        <v>0.22169839999999999</v>
      </c>
      <c r="X7597">
        <v>0.95041109999999895</v>
      </c>
      <c r="Y7597">
        <v>-0.40720089999999998</v>
      </c>
      <c r="Z7597">
        <v>1.33015999999999E-2</v>
      </c>
      <c r="AA7597">
        <v>0.91324170000000005</v>
      </c>
      <c r="AB7597">
        <v>30</v>
      </c>
      <c r="AC7597">
        <v>42.147599999999997</v>
      </c>
      <c r="AD7597">
        <v>0.63311899999999999</v>
      </c>
      <c r="AE7597">
        <v>63.491838000000001</v>
      </c>
      <c r="AF7597">
        <v>-31.075117569891098</v>
      </c>
      <c r="AG7597">
        <v>0.63311899999999999</v>
      </c>
      <c r="AH7597">
        <v>69.578510691512506</v>
      </c>
      <c r="AI7597">
        <v>89.523976544162196</v>
      </c>
      <c r="AJ7597">
        <v>114.06646886996</v>
      </c>
      <c r="AK7597">
        <v>76.205202720678002</v>
      </c>
      <c r="AL7597">
        <v>77.191191972515099</v>
      </c>
      <c r="AM7597">
        <v>102.924565239968</v>
      </c>
      <c r="AN7597">
        <v>0.99999998279508895</v>
      </c>
    </row>
    <row r="7598" spans="1:40" x14ac:dyDescent="0.25">
      <c r="A7598" t="str">
        <f>"20190304154942142"</f>
        <v>20190304154942142</v>
      </c>
      <c r="B7598" t="str">
        <f>"1551685782134984"</f>
        <v>1551685782134984</v>
      </c>
      <c r="C7598" t="s">
        <v>40</v>
      </c>
      <c r="D7598">
        <v>4.2168029999999996</v>
      </c>
      <c r="E7598">
        <v>0.42028169999999998</v>
      </c>
      <c r="F7598" t="s">
        <v>105</v>
      </c>
      <c r="G7598">
        <v>-157.3501</v>
      </c>
      <c r="H7598">
        <v>1.571385</v>
      </c>
      <c r="I7598">
        <v>6.0217609999999997</v>
      </c>
      <c r="J7598">
        <v>-199.37379999999999</v>
      </c>
      <c r="K7598">
        <v>1.1201540000000001</v>
      </c>
      <c r="L7598">
        <v>-57.779539999999997</v>
      </c>
      <c r="M7598">
        <v>0.84160829999999998</v>
      </c>
      <c r="N7598">
        <v>-1.448492E-2</v>
      </c>
      <c r="O7598">
        <v>0.53989419999999899</v>
      </c>
      <c r="P7598">
        <v>0.68756589999999995</v>
      </c>
      <c r="Q7598">
        <v>0.21239469999999999</v>
      </c>
      <c r="R7598">
        <v>0.69436409999999904</v>
      </c>
      <c r="S7598">
        <v>1.7239990000000001</v>
      </c>
      <c r="T7598">
        <v>1.845598E-2</v>
      </c>
      <c r="U7598">
        <v>2.6131899999999999</v>
      </c>
      <c r="V7598">
        <v>-0.21822820000000001</v>
      </c>
      <c r="W7598">
        <v>0.2213311</v>
      </c>
      <c r="X7598">
        <v>0.95046779999999997</v>
      </c>
      <c r="Y7598">
        <v>-0.40528599999999998</v>
      </c>
      <c r="Z7598">
        <v>1.2534450000000001E-2</v>
      </c>
      <c r="AA7598">
        <v>0.91410400000000003</v>
      </c>
      <c r="AB7598">
        <v>30</v>
      </c>
      <c r="AC7598">
        <v>42.023699999999899</v>
      </c>
      <c r="AD7598">
        <v>0.45123099999999999</v>
      </c>
      <c r="AE7598">
        <v>63.801301000000002</v>
      </c>
      <c r="AF7598">
        <v>-31.009522790432101</v>
      </c>
      <c r="AG7598">
        <v>0.45123099999999999</v>
      </c>
      <c r="AH7598">
        <v>69.818333335659503</v>
      </c>
      <c r="AI7598">
        <v>89.661583294754607</v>
      </c>
      <c r="AJ7598">
        <v>113.948201014403</v>
      </c>
      <c r="AK7598">
        <v>76.396294300672494</v>
      </c>
      <c r="AL7598">
        <v>77.212773342459599</v>
      </c>
      <c r="AM7598">
        <v>102.931041183055</v>
      </c>
      <c r="AN7598">
        <v>1.00000002096964</v>
      </c>
    </row>
    <row r="7599" spans="1:40" x14ac:dyDescent="0.25">
      <c r="A7599" t="str">
        <f>"20190304154942152"</f>
        <v>20190304154942152</v>
      </c>
      <c r="B7599" t="str">
        <f>"1551685782144745"</f>
        <v>1551685782144745</v>
      </c>
      <c r="C7599" t="s">
        <v>40</v>
      </c>
      <c r="D7599">
        <v>4.3056419999999997</v>
      </c>
      <c r="E7599">
        <v>0.42083710000000002</v>
      </c>
      <c r="F7599" t="s">
        <v>105</v>
      </c>
      <c r="G7599">
        <v>-157.3501</v>
      </c>
      <c r="H7599">
        <v>1.437854</v>
      </c>
      <c r="I7599">
        <v>6.4773480000000001</v>
      </c>
      <c r="J7599">
        <v>-199.2681</v>
      </c>
      <c r="K7599">
        <v>1.120133</v>
      </c>
      <c r="L7599">
        <v>-57.706760000000003</v>
      </c>
      <c r="M7599">
        <v>0.83899239999999997</v>
      </c>
      <c r="N7599">
        <v>-1.448603E-2</v>
      </c>
      <c r="O7599">
        <v>0.54395019999999905</v>
      </c>
      <c r="P7599">
        <v>0.68436149999999996</v>
      </c>
      <c r="Q7599">
        <v>0.2120039</v>
      </c>
      <c r="R7599">
        <v>0.69764159999999997</v>
      </c>
      <c r="S7599">
        <v>1.713409</v>
      </c>
      <c r="T7599">
        <v>1.2953279999999999E-2</v>
      </c>
      <c r="U7599">
        <v>2.619904</v>
      </c>
      <c r="V7599">
        <v>-0.21809819999999999</v>
      </c>
      <c r="W7599">
        <v>0.22095490000000001</v>
      </c>
      <c r="X7599">
        <v>0.95058509999999996</v>
      </c>
      <c r="Y7599">
        <v>-0.4045203</v>
      </c>
      <c r="Z7599">
        <v>1.1965750000000001E-2</v>
      </c>
      <c r="AA7599">
        <v>0.91445080000000001</v>
      </c>
      <c r="AB7599">
        <v>30</v>
      </c>
      <c r="AC7599">
        <v>41.917999999999999</v>
      </c>
      <c r="AD7599">
        <v>0.31772099999999998</v>
      </c>
      <c r="AE7599">
        <v>64.184107999999995</v>
      </c>
      <c r="AF7599">
        <v>-31.0514005260885</v>
      </c>
      <c r="AG7599">
        <v>0.31772099999999998</v>
      </c>
      <c r="AH7599">
        <v>70.087995270647298</v>
      </c>
      <c r="AI7599">
        <v>89.762531458737598</v>
      </c>
      <c r="AJ7599">
        <v>113.894995395409</v>
      </c>
      <c r="AK7599">
        <v>76.659099279366004</v>
      </c>
      <c r="AL7599">
        <v>77.2348744674117</v>
      </c>
      <c r="AM7599">
        <v>102.922055567822</v>
      </c>
      <c r="AN7599">
        <v>0.99999996250962897</v>
      </c>
    </row>
    <row r="7600" spans="1:40" x14ac:dyDescent="0.25">
      <c r="A7600" t="str">
        <f>"20190304154942163"</f>
        <v>20190304154942163</v>
      </c>
      <c r="B7600" t="str">
        <f>"1551685782154504"</f>
        <v>1551685782154504</v>
      </c>
      <c r="C7600" t="s">
        <v>40</v>
      </c>
      <c r="D7600">
        <v>4.1922389999999998</v>
      </c>
      <c r="E7600">
        <v>0.42098479999999999</v>
      </c>
      <c r="F7600" t="s">
        <v>105</v>
      </c>
      <c r="G7600">
        <v>-157.3501</v>
      </c>
      <c r="H7600">
        <v>1.326033</v>
      </c>
      <c r="I7600">
        <v>6.8691190000000004</v>
      </c>
      <c r="J7600">
        <v>-199.1523</v>
      </c>
      <c r="K7600">
        <v>1.1201110000000001</v>
      </c>
      <c r="L7600">
        <v>-57.625549999999997</v>
      </c>
      <c r="M7600">
        <v>0.83609369999999905</v>
      </c>
      <c r="N7600">
        <v>-1.4486280000000001E-2</v>
      </c>
      <c r="O7600">
        <v>0.54839539999999998</v>
      </c>
      <c r="P7600">
        <v>0.68098749999999997</v>
      </c>
      <c r="Q7600">
        <v>0.21143909999999999</v>
      </c>
      <c r="R7600">
        <v>0.70110600000000001</v>
      </c>
      <c r="S7600">
        <v>1.7044220000000001</v>
      </c>
      <c r="T7600">
        <v>8.3719490000000001E-3</v>
      </c>
      <c r="U7600">
        <v>2.625702</v>
      </c>
      <c r="V7600">
        <v>-0.21775710000000001</v>
      </c>
      <c r="W7600">
        <v>0.22041069999999999</v>
      </c>
      <c r="X7600">
        <v>0.95078960000000001</v>
      </c>
      <c r="Y7600">
        <v>-0.40277879999999999</v>
      </c>
      <c r="Z7600">
        <v>1.1488659999999999E-2</v>
      </c>
      <c r="AA7600">
        <v>0.91522530000000002</v>
      </c>
      <c r="AB7600">
        <v>30</v>
      </c>
      <c r="AC7600">
        <v>41.802199999999999</v>
      </c>
      <c r="AD7600">
        <v>0.20592199999999899</v>
      </c>
      <c r="AE7600">
        <v>64.494668999999902</v>
      </c>
      <c r="AF7600">
        <v>-31.002482200879601</v>
      </c>
      <c r="AG7600">
        <v>0.20592199999999899</v>
      </c>
      <c r="AH7600">
        <v>70.326009020963994</v>
      </c>
      <c r="AI7600">
        <v>89.846487240570795</v>
      </c>
      <c r="AJ7600">
        <v>113.789779805786</v>
      </c>
      <c r="AK7600">
        <v>76.856644809038201</v>
      </c>
      <c r="AL7600">
        <v>77.2668428001992</v>
      </c>
      <c r="AM7600">
        <v>102.89984036349</v>
      </c>
      <c r="AN7600">
        <v>0.99999994737152798</v>
      </c>
    </row>
    <row r="7601" spans="1:40" x14ac:dyDescent="0.25">
      <c r="A7601" t="str">
        <f>"20190304154942174"</f>
        <v>20190304154942174</v>
      </c>
      <c r="B7601" t="str">
        <f>"1551685782164264"</f>
        <v>1551685782164264</v>
      </c>
      <c r="C7601" t="s">
        <v>40</v>
      </c>
      <c r="D7601">
        <v>4.1406349999999996</v>
      </c>
      <c r="E7601">
        <v>0.42167739999999998</v>
      </c>
      <c r="F7601" t="s">
        <v>105</v>
      </c>
      <c r="G7601">
        <v>-157.3501</v>
      </c>
      <c r="H7601">
        <v>1.270184</v>
      </c>
      <c r="I7601">
        <v>7.4287140000000003</v>
      </c>
      <c r="J7601">
        <v>-199.0401</v>
      </c>
      <c r="K7601">
        <v>1.120088</v>
      </c>
      <c r="L7601">
        <v>-57.546419999999998</v>
      </c>
      <c r="M7601">
        <v>0.83325759999999904</v>
      </c>
      <c r="N7601">
        <v>-1.4486509999999999E-2</v>
      </c>
      <c r="O7601">
        <v>0.55269519999999905</v>
      </c>
      <c r="P7601">
        <v>0.6774154</v>
      </c>
      <c r="Q7601">
        <v>0.21085770000000001</v>
      </c>
      <c r="R7601">
        <v>0.70473219999999903</v>
      </c>
      <c r="S7601">
        <v>1.692215</v>
      </c>
      <c r="T7601">
        <v>6.0750250000000004E-3</v>
      </c>
      <c r="U7601">
        <v>2.6334840000000002</v>
      </c>
      <c r="V7601">
        <v>-0.21781310000000001</v>
      </c>
      <c r="W7601">
        <v>0.21984049999999999</v>
      </c>
      <c r="X7601">
        <v>0.9509088</v>
      </c>
      <c r="Y7601">
        <v>-0.4022907</v>
      </c>
      <c r="Z7601">
        <v>1.1275779999999999E-2</v>
      </c>
      <c r="AA7601">
        <v>0.9154426</v>
      </c>
      <c r="AB7601">
        <v>30</v>
      </c>
      <c r="AC7601">
        <v>41.69</v>
      </c>
      <c r="AD7601">
        <v>0.15009600000000001</v>
      </c>
      <c r="AE7601">
        <v>64.975133999999997</v>
      </c>
      <c r="AF7601">
        <v>-31.102306386119899</v>
      </c>
      <c r="AG7601">
        <v>0.15009600000000001</v>
      </c>
      <c r="AH7601">
        <v>70.657098853681504</v>
      </c>
      <c r="AI7601">
        <v>89.888602325932297</v>
      </c>
      <c r="AJ7601">
        <v>113.758449971316</v>
      </c>
      <c r="AK7601">
        <v>77.199751358176101</v>
      </c>
      <c r="AL7601">
        <v>77.300334630852902</v>
      </c>
      <c r="AM7601">
        <v>102.901483442285</v>
      </c>
      <c r="AN7601">
        <v>0.99999996894464904</v>
      </c>
    </row>
    <row r="7602" spans="1:40" x14ac:dyDescent="0.25">
      <c r="A7602" t="str">
        <f>"20190304154942183"</f>
        <v>20190304154942183</v>
      </c>
      <c r="B7602" t="str">
        <f>"1551685782175000"</f>
        <v>1551685782175000</v>
      </c>
      <c r="C7602" t="s">
        <v>40</v>
      </c>
      <c r="D7602">
        <v>4.1559100000000004</v>
      </c>
      <c r="E7602">
        <v>0.42205120000000002</v>
      </c>
      <c r="F7602" t="s">
        <v>105</v>
      </c>
      <c r="G7602">
        <v>-157.3501</v>
      </c>
      <c r="H7602">
        <v>1.1239429999999999</v>
      </c>
      <c r="I7602">
        <v>7.8366039999999897</v>
      </c>
      <c r="J7602">
        <v>-198.92580000000001</v>
      </c>
      <c r="K7602">
        <v>1.1200650000000001</v>
      </c>
      <c r="L7602">
        <v>-57.46463</v>
      </c>
      <c r="M7602">
        <v>0.83034069999999904</v>
      </c>
      <c r="N7602">
        <v>-1.4486099999999899E-2</v>
      </c>
      <c r="O7602">
        <v>0.5570678</v>
      </c>
      <c r="P7602">
        <v>0.67370929999999996</v>
      </c>
      <c r="Q7602">
        <v>0.2107358</v>
      </c>
      <c r="R7602">
        <v>0.70831219999999995</v>
      </c>
      <c r="S7602">
        <v>1.6828609999999999</v>
      </c>
      <c r="T7602">
        <v>1.5556810000000001E-4</v>
      </c>
      <c r="U7602">
        <v>2.6392519999999999</v>
      </c>
      <c r="V7602">
        <v>-0.2178187</v>
      </c>
      <c r="W7602">
        <v>0.21972829999999999</v>
      </c>
      <c r="X7602">
        <v>0.95093349999999999</v>
      </c>
      <c r="Y7602">
        <v>-0.40067649999999999</v>
      </c>
      <c r="Z7602">
        <v>1.060505E-2</v>
      </c>
      <c r="AA7602">
        <v>0.91615820000000003</v>
      </c>
      <c r="AB7602">
        <v>30</v>
      </c>
      <c r="AC7602">
        <v>41.575699999999998</v>
      </c>
      <c r="AD7602">
        <v>3.8780000000002701E-3</v>
      </c>
      <c r="AE7602">
        <v>65.301233999999994</v>
      </c>
      <c r="AF7602">
        <v>-31.0650472499667</v>
      </c>
      <c r="AG7602">
        <v>3.8780000000002701E-3</v>
      </c>
      <c r="AH7602">
        <v>70.906648501338097</v>
      </c>
      <c r="AI7602">
        <v>89.997129775227407</v>
      </c>
      <c r="AJ7602">
        <v>113.658798439287</v>
      </c>
      <c r="AK7602">
        <v>77.413112438228893</v>
      </c>
      <c r="AL7602">
        <v>77.306924961863601</v>
      </c>
      <c r="AM7602">
        <v>102.901480137433</v>
      </c>
      <c r="AN7602">
        <v>1.00000001665641</v>
      </c>
    </row>
    <row r="7603" spans="1:40" x14ac:dyDescent="0.25">
      <c r="A7603" t="str">
        <f>"20190304154942195"</f>
        <v>20190304154942195</v>
      </c>
      <c r="B7603" t="str">
        <f>"1551685782184761"</f>
        <v>1551685782184761</v>
      </c>
      <c r="C7603" t="s">
        <v>40</v>
      </c>
      <c r="D7603">
        <v>4.1627710000000002</v>
      </c>
      <c r="E7603">
        <v>0.42205120000000002</v>
      </c>
      <c r="F7603" t="s">
        <v>105</v>
      </c>
      <c r="G7603">
        <v>-157.3501</v>
      </c>
      <c r="H7603">
        <v>1.0614440000000001</v>
      </c>
      <c r="I7603">
        <v>8.3611909999999998</v>
      </c>
      <c r="J7603">
        <v>-198.81209999999999</v>
      </c>
      <c r="K7603">
        <v>1.1200380000000001</v>
      </c>
      <c r="L7603">
        <v>-57.382599999999996</v>
      </c>
      <c r="M7603">
        <v>0.82741039999999999</v>
      </c>
      <c r="N7603">
        <v>-1.44856E-2</v>
      </c>
      <c r="O7603">
        <v>0.56141079999999999</v>
      </c>
      <c r="P7603">
        <v>0.67025000000000001</v>
      </c>
      <c r="Q7603">
        <v>0.2106625</v>
      </c>
      <c r="R7603">
        <v>0.71160819999999902</v>
      </c>
      <c r="S7603">
        <v>1.671432</v>
      </c>
      <c r="T7603">
        <v>-2.356768E-3</v>
      </c>
      <c r="U7603">
        <v>2.6463320000000001</v>
      </c>
      <c r="V7603">
        <v>-0.21747359999999999</v>
      </c>
      <c r="W7603">
        <v>0.21967490000000001</v>
      </c>
      <c r="X7603">
        <v>0.9510248</v>
      </c>
      <c r="Y7603">
        <v>-0.39980450000000001</v>
      </c>
      <c r="Z7603">
        <v>1.034099E-2</v>
      </c>
      <c r="AA7603">
        <v>0.91654210000000003</v>
      </c>
      <c r="AB7603">
        <v>30</v>
      </c>
      <c r="AC7603">
        <v>41.461999999999897</v>
      </c>
      <c r="AD7603">
        <v>-5.8593999999999799E-2</v>
      </c>
      <c r="AE7603">
        <v>65.743791000000002</v>
      </c>
      <c r="AF7603">
        <v>-31.123131356855598</v>
      </c>
      <c r="AG7603">
        <v>-5.8593999999999799E-2</v>
      </c>
      <c r="AH7603">
        <v>71.222800612498801</v>
      </c>
      <c r="AI7603">
        <v>90.043192583240298</v>
      </c>
      <c r="AJ7603">
        <v>113.604495350733</v>
      </c>
      <c r="AK7603">
        <v>77.726057830052696</v>
      </c>
      <c r="AL7603">
        <v>77.310060959445394</v>
      </c>
      <c r="AM7603">
        <v>102.88052671579599</v>
      </c>
      <c r="AN7603">
        <v>0.99999999930100503</v>
      </c>
    </row>
    <row r="7604" spans="1:40" x14ac:dyDescent="0.25">
      <c r="A7604" t="str">
        <f>"20190304154942205"</f>
        <v>20190304154942205</v>
      </c>
      <c r="B7604" t="str">
        <f>"1551685782194520"</f>
        <v>1551685782194520</v>
      </c>
      <c r="C7604" t="s">
        <v>40</v>
      </c>
      <c r="D7604">
        <v>4.133108</v>
      </c>
      <c r="E7604">
        <v>0.42262620000000001</v>
      </c>
      <c r="F7604" t="s">
        <v>105</v>
      </c>
      <c r="G7604">
        <v>-157.3501</v>
      </c>
      <c r="H7604">
        <v>1.0473410000000001</v>
      </c>
      <c r="I7604">
        <v>8.9628870000000003</v>
      </c>
      <c r="J7604">
        <v>-198.70230000000001</v>
      </c>
      <c r="K7604">
        <v>1.120012</v>
      </c>
      <c r="L7604">
        <v>-57.302370000000003</v>
      </c>
      <c r="M7604">
        <v>0.82455259999999997</v>
      </c>
      <c r="N7604">
        <v>-1.448463E-2</v>
      </c>
      <c r="O7604">
        <v>0.56559989999999905</v>
      </c>
      <c r="P7604">
        <v>0.66699609999999998</v>
      </c>
      <c r="Q7604">
        <v>0.21001980000000001</v>
      </c>
      <c r="R7604">
        <v>0.71484820000000004</v>
      </c>
      <c r="S7604">
        <v>1.6587829999999999</v>
      </c>
      <c r="T7604">
        <v>-2.908468E-3</v>
      </c>
      <c r="U7604">
        <v>2.6542970000000001</v>
      </c>
      <c r="V7604">
        <v>-0.2171188</v>
      </c>
      <c r="W7604">
        <v>0.21905240000000001</v>
      </c>
      <c r="X7604">
        <v>0.95124940000000002</v>
      </c>
      <c r="Y7604">
        <v>-0.399532</v>
      </c>
      <c r="Z7604">
        <v>1.0317389999999999E-2</v>
      </c>
      <c r="AA7604">
        <v>0.91666119999999995</v>
      </c>
      <c r="AB7604">
        <v>30</v>
      </c>
      <c r="AC7604">
        <v>41.352200000000003</v>
      </c>
      <c r="AD7604">
        <v>-7.2670999999999902E-2</v>
      </c>
      <c r="AE7604">
        <v>66.265256999999906</v>
      </c>
      <c r="AF7604">
        <v>-31.253640813981601</v>
      </c>
      <c r="AG7604">
        <v>-7.2670999999999902E-2</v>
      </c>
      <c r="AH7604">
        <v>71.584133045332706</v>
      </c>
      <c r="AI7604">
        <v>90.053306522134307</v>
      </c>
      <c r="AJ7604">
        <v>113.58608723192199</v>
      </c>
      <c r="AK7604">
        <v>78.109432522938704</v>
      </c>
      <c r="AL7604">
        <v>77.346617672785996</v>
      </c>
      <c r="AM7604">
        <v>102.857276359514</v>
      </c>
      <c r="AN7604">
        <v>0.99999997412977903</v>
      </c>
    </row>
    <row r="7605" spans="1:40" x14ac:dyDescent="0.25">
      <c r="A7605" t="str">
        <f>"20190304154942215"</f>
        <v>20190304154942215</v>
      </c>
      <c r="B7605" t="str">
        <f>"1551685782204280"</f>
        <v>1551685782204280</v>
      </c>
      <c r="C7605" t="s">
        <v>40</v>
      </c>
      <c r="D7605">
        <v>4.3093170000000001</v>
      </c>
      <c r="E7605">
        <v>0.42316419999999999</v>
      </c>
      <c r="F7605" t="s">
        <v>105</v>
      </c>
      <c r="G7605">
        <v>-157.3501</v>
      </c>
      <c r="H7605">
        <v>0.9083099</v>
      </c>
      <c r="I7605">
        <v>9.3431929999999994</v>
      </c>
      <c r="J7605">
        <v>-198.59039999999999</v>
      </c>
      <c r="K7605">
        <v>1.1199809999999999</v>
      </c>
      <c r="L7605">
        <v>-57.219850000000001</v>
      </c>
      <c r="M7605">
        <v>0.82161249999999997</v>
      </c>
      <c r="N7605">
        <v>-1.448349E-2</v>
      </c>
      <c r="O7605">
        <v>0.56986250000000005</v>
      </c>
      <c r="P7605">
        <v>0.66372010000000004</v>
      </c>
      <c r="Q7605">
        <v>0.20844570000000001</v>
      </c>
      <c r="R7605">
        <v>0.71834960000000003</v>
      </c>
      <c r="S7605">
        <v>1.6501619999999999</v>
      </c>
      <c r="T7605">
        <v>-8.4480049999999998E-3</v>
      </c>
      <c r="U7605">
        <v>2.6594850000000001</v>
      </c>
      <c r="V7605">
        <v>-0.21687210000000001</v>
      </c>
      <c r="W7605">
        <v>0.21749950000000001</v>
      </c>
      <c r="X7605">
        <v>0.95166189999999995</v>
      </c>
      <c r="Y7605">
        <v>-0.3977174</v>
      </c>
      <c r="Z7605">
        <v>9.6448780000000008E-3</v>
      </c>
      <c r="AA7605">
        <v>0.91745730000000003</v>
      </c>
      <c r="AB7605">
        <v>30</v>
      </c>
      <c r="AC7605">
        <v>41.240299999999898</v>
      </c>
      <c r="AD7605">
        <v>-0.211671099999999</v>
      </c>
      <c r="AE7605">
        <v>66.563042999999993</v>
      </c>
      <c r="AF7605">
        <v>-31.190769254726799</v>
      </c>
      <c r="AG7605">
        <v>-0.211671099999999</v>
      </c>
      <c r="AH7605">
        <v>71.822331781147895</v>
      </c>
      <c r="AI7605">
        <v>90.154883963340296</v>
      </c>
      <c r="AJ7605">
        <v>113.47418576949801</v>
      </c>
      <c r="AK7605">
        <v>78.302977170970195</v>
      </c>
      <c r="AL7605">
        <v>77.437790519964295</v>
      </c>
      <c r="AM7605">
        <v>102.837769679255</v>
      </c>
      <c r="AN7605">
        <v>0.99999995608513403</v>
      </c>
    </row>
    <row r="7606" spans="1:40" x14ac:dyDescent="0.25">
      <c r="A7606" t="str">
        <f>"20190304154942227"</f>
        <v>20190304154942227</v>
      </c>
      <c r="B7606" t="str">
        <f>"1551685782215016"</f>
        <v>1551685782215016</v>
      </c>
      <c r="C7606" t="s">
        <v>40</v>
      </c>
      <c r="D7606">
        <v>4.1694199999999997</v>
      </c>
      <c r="E7606">
        <v>0.4238672</v>
      </c>
      <c r="F7606" t="s">
        <v>105</v>
      </c>
      <c r="G7606">
        <v>-157.3501</v>
      </c>
      <c r="H7606">
        <v>0.70315169999999905</v>
      </c>
      <c r="I7606">
        <v>9.7743909999999996</v>
      </c>
      <c r="J7606">
        <v>-198.4641</v>
      </c>
      <c r="K7606">
        <v>1.1199520000000001</v>
      </c>
      <c r="L7606">
        <v>-57.125549999999997</v>
      </c>
      <c r="M7606">
        <v>0.81825919999999996</v>
      </c>
      <c r="N7606">
        <v>-1.448176E-2</v>
      </c>
      <c r="O7606">
        <v>0.57466700000000004</v>
      </c>
      <c r="P7606">
        <v>0.66005069999999999</v>
      </c>
      <c r="Q7606">
        <v>0.20711189999999999</v>
      </c>
      <c r="R7606">
        <v>0.72210659999999904</v>
      </c>
      <c r="S7606">
        <v>1.640625</v>
      </c>
      <c r="T7606">
        <v>-1.6582369999999999E-2</v>
      </c>
      <c r="U7606">
        <v>2.6651609999999999</v>
      </c>
      <c r="V7606">
        <v>-0.216415</v>
      </c>
      <c r="W7606">
        <v>0.21619150000000001</v>
      </c>
      <c r="X7606">
        <v>0.95206400000000002</v>
      </c>
      <c r="Y7606">
        <v>-0.3955746</v>
      </c>
      <c r="Z7606">
        <v>8.6160669999999998E-3</v>
      </c>
      <c r="AA7606">
        <v>0.91839340000000003</v>
      </c>
      <c r="AB7606">
        <v>30</v>
      </c>
      <c r="AC7606">
        <v>41.113999999999997</v>
      </c>
      <c r="AD7606">
        <v>-0.41680030000000001</v>
      </c>
      <c r="AE7606">
        <v>66.899940999999998</v>
      </c>
      <c r="AF7606">
        <v>-31.1170196654578</v>
      </c>
      <c r="AG7606">
        <v>-0.41680030000000001</v>
      </c>
      <c r="AH7606">
        <v>72.092626243228693</v>
      </c>
      <c r="AI7606">
        <v>90.304129362443405</v>
      </c>
      <c r="AJ7606">
        <v>113.34626194927201</v>
      </c>
      <c r="AK7606">
        <v>78.522540674614206</v>
      </c>
      <c r="AL7606">
        <v>77.514561114580204</v>
      </c>
      <c r="AM7606">
        <v>102.80637295972301</v>
      </c>
      <c r="AN7606">
        <v>1.0000000384966199</v>
      </c>
    </row>
    <row r="7607" spans="1:40" x14ac:dyDescent="0.25">
      <c r="A7607" t="str">
        <f>"20190304154942239"</f>
        <v>20190304154942239</v>
      </c>
      <c r="B7607" t="str">
        <f>"1551685782234536"</f>
        <v>1551685782234536</v>
      </c>
      <c r="C7607" t="s">
        <v>40</v>
      </c>
      <c r="D7607">
        <v>4.1604349999999997</v>
      </c>
      <c r="E7607">
        <v>0.42461260000000001</v>
      </c>
      <c r="F7607" t="s">
        <v>105</v>
      </c>
      <c r="G7607">
        <v>-157.4512</v>
      </c>
      <c r="H7607">
        <v>0.48840430000000001</v>
      </c>
      <c r="I7607">
        <v>10.044689999999999</v>
      </c>
      <c r="J7607">
        <v>-198.3364</v>
      </c>
      <c r="K7607">
        <v>1.119926</v>
      </c>
      <c r="L7607">
        <v>-57.028930000000003</v>
      </c>
      <c r="M7607">
        <v>0.81483019999999995</v>
      </c>
      <c r="N7607">
        <v>-1.447966E-2</v>
      </c>
      <c r="O7607">
        <v>0.57951889999999995</v>
      </c>
      <c r="P7607">
        <v>0.65621390000000002</v>
      </c>
      <c r="Q7607">
        <v>0.20605970000000001</v>
      </c>
      <c r="R7607">
        <v>0.7258945</v>
      </c>
      <c r="S7607">
        <v>1.6308590000000001</v>
      </c>
      <c r="T7607">
        <v>-2.5113219999999999E-2</v>
      </c>
      <c r="U7607">
        <v>2.6709900000000002</v>
      </c>
      <c r="V7607">
        <v>-0.2160108</v>
      </c>
      <c r="W7607">
        <v>0.2151634</v>
      </c>
      <c r="X7607">
        <v>0.95238860000000003</v>
      </c>
      <c r="Y7607">
        <v>-0.39343499999999998</v>
      </c>
      <c r="Z7607">
        <v>7.5010650000000003E-3</v>
      </c>
      <c r="AA7607">
        <v>0.91932179999999997</v>
      </c>
      <c r="AB7607">
        <v>30</v>
      </c>
      <c r="AC7607">
        <v>40.885199999999998</v>
      </c>
      <c r="AD7607">
        <v>-0.63152169999999996</v>
      </c>
      <c r="AE7607">
        <v>67.073619999999906</v>
      </c>
      <c r="AF7607">
        <v>-30.961108885975399</v>
      </c>
      <c r="AG7607">
        <v>-0.63152169999999996</v>
      </c>
      <c r="AH7607">
        <v>72.187826214014805</v>
      </c>
      <c r="AI7607">
        <v>90.460649386041794</v>
      </c>
      <c r="AJ7607">
        <v>113.214325692717</v>
      </c>
      <c r="AK7607">
        <v>78.549801633177907</v>
      </c>
      <c r="AL7607">
        <v>77.5748862019136</v>
      </c>
      <c r="AM7607">
        <v>102.779027176469</v>
      </c>
      <c r="AN7607">
        <v>0.99999999991307997</v>
      </c>
    </row>
    <row r="7608" spans="1:40" x14ac:dyDescent="0.25">
      <c r="A7608" t="str">
        <f>"20190304154942252"</f>
        <v>20190304154942252</v>
      </c>
      <c r="B7608" t="str">
        <f>"1551685782244296"</f>
        <v>1551685782244296</v>
      </c>
      <c r="C7608" t="s">
        <v>40</v>
      </c>
      <c r="D7608">
        <v>4.1609420000000004</v>
      </c>
      <c r="E7608">
        <v>0.4251954</v>
      </c>
      <c r="F7608" t="s">
        <v>105</v>
      </c>
      <c r="G7608">
        <v>-157.71700000000001</v>
      </c>
      <c r="H7608">
        <v>0.35008810000000001</v>
      </c>
      <c r="I7608">
        <v>10.044689999999999</v>
      </c>
      <c r="J7608">
        <v>-198.20509999999999</v>
      </c>
      <c r="K7608">
        <v>1.1199049999999999</v>
      </c>
      <c r="L7608">
        <v>-56.928800000000003</v>
      </c>
      <c r="M7608">
        <v>0.81126759999999998</v>
      </c>
      <c r="N7608">
        <v>-1.4477449999999999E-2</v>
      </c>
      <c r="O7608">
        <v>0.58449589999999996</v>
      </c>
      <c r="P7608">
        <v>0.6522173</v>
      </c>
      <c r="Q7608">
        <v>0.2056027</v>
      </c>
      <c r="R7608">
        <v>0.7296165</v>
      </c>
      <c r="S7608">
        <v>1.620773</v>
      </c>
      <c r="T7608">
        <v>-3.0717609999999999E-2</v>
      </c>
      <c r="U7608">
        <v>2.6763309999999998</v>
      </c>
      <c r="V7608">
        <v>-0.2154914</v>
      </c>
      <c r="W7608">
        <v>0.21473130000000001</v>
      </c>
      <c r="X7608">
        <v>0.9526038</v>
      </c>
      <c r="Y7608">
        <v>-0.39114179999999998</v>
      </c>
      <c r="Z7608">
        <v>6.7397430000000003E-3</v>
      </c>
      <c r="AA7608">
        <v>0.92030579999999995</v>
      </c>
      <c r="AB7608">
        <v>30</v>
      </c>
      <c r="AC7608">
        <v>40.488099999999903</v>
      </c>
      <c r="AD7608">
        <v>-0.76981689999999903</v>
      </c>
      <c r="AE7608">
        <v>66.973489999999998</v>
      </c>
      <c r="AF7608">
        <v>-30.668538459758199</v>
      </c>
      <c r="AG7608">
        <v>-0.76981689999999903</v>
      </c>
      <c r="AH7608">
        <v>71.9929877766792</v>
      </c>
      <c r="AI7608">
        <v>90.563630448163295</v>
      </c>
      <c r="AJ7608">
        <v>113.073685058762</v>
      </c>
      <c r="AK7608">
        <v>78.256898471190794</v>
      </c>
      <c r="AL7608">
        <v>77.600236719676502</v>
      </c>
      <c r="AM7608">
        <v>102.746519267952</v>
      </c>
      <c r="AN7608">
        <v>1.0000000372240401</v>
      </c>
    </row>
    <row r="7609" spans="1:40" x14ac:dyDescent="0.25">
      <c r="A7609" t="str">
        <f>"20190304154942266"</f>
        <v>20190304154942266</v>
      </c>
      <c r="B7609" t="str">
        <f>"1551685782255032"</f>
        <v>1551685782255032</v>
      </c>
      <c r="C7609" t="s">
        <v>40</v>
      </c>
      <c r="D7609">
        <v>4.2541739999999999</v>
      </c>
      <c r="E7609">
        <v>0.42577609999999999</v>
      </c>
      <c r="F7609" t="s">
        <v>105</v>
      </c>
      <c r="G7609">
        <v>-157.93819999999999</v>
      </c>
      <c r="H7609">
        <v>0.23465920000000001</v>
      </c>
      <c r="I7609">
        <v>10.18544</v>
      </c>
      <c r="J7609">
        <v>-198.0547</v>
      </c>
      <c r="K7609">
        <v>1.11988</v>
      </c>
      <c r="L7609">
        <v>-56.811860000000003</v>
      </c>
      <c r="M7609">
        <v>0.80712879999999998</v>
      </c>
      <c r="N7609">
        <v>-1.447439E-2</v>
      </c>
      <c r="O7609">
        <v>0.590198</v>
      </c>
      <c r="P7609">
        <v>0.64718920000000002</v>
      </c>
      <c r="Q7609">
        <v>0.20554710000000001</v>
      </c>
      <c r="R7609">
        <v>0.73409579999999997</v>
      </c>
      <c r="S7609">
        <v>1.609634</v>
      </c>
      <c r="T7609">
        <v>-3.5386920000000002E-2</v>
      </c>
      <c r="U7609">
        <v>2.6828310000000002</v>
      </c>
      <c r="V7609">
        <v>-0.21532080000000001</v>
      </c>
      <c r="W7609">
        <v>0.21468979999999999</v>
      </c>
      <c r="X7609">
        <v>0.95265169999999999</v>
      </c>
      <c r="Y7609">
        <v>-0.38843919999999998</v>
      </c>
      <c r="Z7609">
        <v>6.0760509999999998E-3</v>
      </c>
      <c r="AA7609">
        <v>0.92145429999999995</v>
      </c>
      <c r="AB7609">
        <v>30</v>
      </c>
      <c r="AC7609">
        <v>40.116500000000002</v>
      </c>
      <c r="AD7609">
        <v>-0.88522079999999903</v>
      </c>
      <c r="AE7609">
        <v>66.997299999999996</v>
      </c>
      <c r="AF7609">
        <v>-30.398049574596801</v>
      </c>
      <c r="AG7609">
        <v>-0.88522079999999903</v>
      </c>
      <c r="AH7609">
        <v>71.919145099988597</v>
      </c>
      <c r="AI7609">
        <v>90.649559196290397</v>
      </c>
      <c r="AJ7609">
        <v>112.91231177266</v>
      </c>
      <c r="AK7609">
        <v>78.084495680753506</v>
      </c>
      <c r="AL7609">
        <v>77.602670922395305</v>
      </c>
      <c r="AM7609">
        <v>102.736137893094</v>
      </c>
      <c r="AN7609">
        <v>1.0000000093247801</v>
      </c>
    </row>
    <row r="7610" spans="1:40" x14ac:dyDescent="0.25">
      <c r="A7610" t="str">
        <f>"20190304154942279"</f>
        <v>20190304154942279</v>
      </c>
      <c r="B7610" t="str">
        <f>"1551685782274552"</f>
        <v>1551685782274552</v>
      </c>
      <c r="C7610" t="s">
        <v>40</v>
      </c>
      <c r="D7610">
        <v>4.1413599999999997</v>
      </c>
      <c r="E7610">
        <v>0.42664089999999999</v>
      </c>
      <c r="F7610" t="s">
        <v>105</v>
      </c>
      <c r="G7610">
        <v>-157.93819999999999</v>
      </c>
      <c r="H7610">
        <v>0.13443759999999999</v>
      </c>
      <c r="I7610">
        <v>10.887180000000001</v>
      </c>
      <c r="J7610">
        <v>-197.9255</v>
      </c>
      <c r="K7610">
        <v>1.119861</v>
      </c>
      <c r="L7610">
        <v>-56.710140000000003</v>
      </c>
      <c r="M7610">
        <v>0.80352709999999905</v>
      </c>
      <c r="N7610">
        <v>-1.447186E-2</v>
      </c>
      <c r="O7610">
        <v>0.59509230000000002</v>
      </c>
      <c r="P7610">
        <v>0.64303569999999999</v>
      </c>
      <c r="Q7610">
        <v>0.20561850000000001</v>
      </c>
      <c r="R7610">
        <v>0.73771690000000001</v>
      </c>
      <c r="S7610">
        <v>1.5949249999999999</v>
      </c>
      <c r="T7610">
        <v>-3.9178610000000003E-2</v>
      </c>
      <c r="U7610">
        <v>2.6915279999999999</v>
      </c>
      <c r="V7610">
        <v>-0.21488119999999999</v>
      </c>
      <c r="W7610">
        <v>0.21478059999999999</v>
      </c>
      <c r="X7610">
        <v>0.95273050000000004</v>
      </c>
      <c r="Y7610">
        <v>-0.3878646</v>
      </c>
      <c r="Z7610">
        <v>5.5393969999999997E-3</v>
      </c>
      <c r="AA7610">
        <v>0.92169970000000001</v>
      </c>
      <c r="AB7610">
        <v>30</v>
      </c>
      <c r="AC7610">
        <v>39.987299999999998</v>
      </c>
      <c r="AD7610">
        <v>-0.98542339999999995</v>
      </c>
      <c r="AE7610">
        <v>67.597319999999996</v>
      </c>
      <c r="AF7610">
        <v>-30.5185350500109</v>
      </c>
      <c r="AG7610">
        <v>-0.98542339999999995</v>
      </c>
      <c r="AH7610">
        <v>72.353708894781093</v>
      </c>
      <c r="AI7610">
        <v>90.7189611889589</v>
      </c>
      <c r="AJ7610">
        <v>112.86984279937499</v>
      </c>
      <c r="AK7610">
        <v>78.532867206709895</v>
      </c>
      <c r="AL7610">
        <v>77.597344352000405</v>
      </c>
      <c r="AM7610">
        <v>102.70996418586699</v>
      </c>
      <c r="AN7610">
        <v>1.0000000209400199</v>
      </c>
    </row>
    <row r="7611" spans="1:40" x14ac:dyDescent="0.25">
      <c r="A7611" t="str">
        <f>"20190304154942296"</f>
        <v>20190304154942296</v>
      </c>
      <c r="B7611" t="str">
        <f>"1551685782284313"</f>
        <v>1551685782284313</v>
      </c>
      <c r="C7611" t="s">
        <v>40</v>
      </c>
      <c r="D7611">
        <v>4.1438889999999997</v>
      </c>
      <c r="E7611">
        <v>0.42715379999999997</v>
      </c>
      <c r="F7611" t="s">
        <v>45</v>
      </c>
      <c r="G7611">
        <v>-155.65629999999999</v>
      </c>
      <c r="H7611">
        <v>-0.05</v>
      </c>
      <c r="I7611">
        <v>15.160920000000001</v>
      </c>
      <c r="J7611">
        <v>-197.749</v>
      </c>
      <c r="K7611">
        <v>1.1198300000000001</v>
      </c>
      <c r="L7611">
        <v>-56.569459999999999</v>
      </c>
      <c r="M7611">
        <v>0.79854139999999996</v>
      </c>
      <c r="N7611">
        <v>-1.446851E-2</v>
      </c>
      <c r="O7611">
        <v>0.60176600000000002</v>
      </c>
      <c r="P7611">
        <v>0.63737739999999998</v>
      </c>
      <c r="Q7611">
        <v>0.20487259999999999</v>
      </c>
      <c r="R7611">
        <v>0.74281719999999996</v>
      </c>
      <c r="S7611">
        <v>1.585861</v>
      </c>
      <c r="T7611">
        <v>-4.3891069999999997E-2</v>
      </c>
      <c r="U7611">
        <v>2.696472</v>
      </c>
      <c r="V7611">
        <v>-0.21435979999999999</v>
      </c>
      <c r="W7611">
        <v>0.21405969999999999</v>
      </c>
      <c r="X7611">
        <v>0.95301009999999997</v>
      </c>
      <c r="Y7611">
        <v>-0.38321280000000002</v>
      </c>
      <c r="Z7611">
        <v>4.7987180000000004E-3</v>
      </c>
      <c r="AA7611">
        <v>0.92364760000000001</v>
      </c>
      <c r="AB7611">
        <v>30</v>
      </c>
      <c r="AC7611">
        <v>42.092700000000001</v>
      </c>
      <c r="AD7611">
        <v>-1.1698299999999999</v>
      </c>
      <c r="AE7611">
        <v>71.730379999999997</v>
      </c>
      <c r="AF7611">
        <v>-31.9467461388221</v>
      </c>
      <c r="AG7611">
        <v>-1.1698299999999999</v>
      </c>
      <c r="AH7611">
        <v>76.770515349044899</v>
      </c>
      <c r="AI7611">
        <v>90.806013692894695</v>
      </c>
      <c r="AJ7611">
        <v>112.593807178392</v>
      </c>
      <c r="AK7611">
        <v>83.160538226043201</v>
      </c>
      <c r="AL7611">
        <v>77.639631732011694</v>
      </c>
      <c r="AM7611">
        <v>102.676522394177</v>
      </c>
      <c r="AN7611">
        <v>0.99999996486106901</v>
      </c>
    </row>
    <row r="7612" spans="1:40" x14ac:dyDescent="0.25">
      <c r="A7612" t="str">
        <f>"20190304154942306"</f>
        <v>20190304154942306</v>
      </c>
      <c r="B7612" t="str">
        <f>"1551685782305040"</f>
        <v>1551685782305040</v>
      </c>
      <c r="C7612" t="s">
        <v>40</v>
      </c>
      <c r="D7612">
        <v>4.2369529999999997</v>
      </c>
      <c r="E7612">
        <v>0.4277687</v>
      </c>
      <c r="F7612" t="s">
        <v>45</v>
      </c>
      <c r="G7612">
        <v>-160.76830000000001</v>
      </c>
      <c r="H7612">
        <v>-0.05</v>
      </c>
      <c r="I7612">
        <v>7.222931</v>
      </c>
      <c r="J7612">
        <v>-197.6302</v>
      </c>
      <c r="K7612">
        <v>1.1198129999999999</v>
      </c>
      <c r="L7612">
        <v>-56.473329999999997</v>
      </c>
      <c r="M7612">
        <v>0.79513849999999997</v>
      </c>
      <c r="N7612">
        <v>-1.446627E-2</v>
      </c>
      <c r="O7612">
        <v>0.6062554</v>
      </c>
      <c r="P7612">
        <v>0.63341809999999998</v>
      </c>
      <c r="Q7612">
        <v>0.20439070000000001</v>
      </c>
      <c r="R7612">
        <v>0.7463284</v>
      </c>
      <c r="S7612">
        <v>1.5688169999999999</v>
      </c>
      <c r="T7612">
        <v>-4.962718E-2</v>
      </c>
      <c r="U7612">
        <v>2.7062379999999999</v>
      </c>
      <c r="V7612">
        <v>-0.21414469999999999</v>
      </c>
      <c r="W7612">
        <v>0.2135901</v>
      </c>
      <c r="X7612">
        <v>0.95316389999999995</v>
      </c>
      <c r="Y7612">
        <v>-0.38379839999999998</v>
      </c>
      <c r="Z7612">
        <v>3.966125E-3</v>
      </c>
      <c r="AA7612">
        <v>0.92340840000000002</v>
      </c>
      <c r="AB7612">
        <v>30</v>
      </c>
      <c r="AC7612">
        <v>36.861899999999899</v>
      </c>
      <c r="AD7612">
        <v>-1.169813</v>
      </c>
      <c r="AE7612">
        <v>63.696261</v>
      </c>
      <c r="AF7612">
        <v>-28.295434078466599</v>
      </c>
      <c r="AG7612">
        <v>-1.169813</v>
      </c>
      <c r="AH7612">
        <v>67.916462358907907</v>
      </c>
      <c r="AI7612">
        <v>90.910903435837199</v>
      </c>
      <c r="AJ7612">
        <v>112.61764237295399</v>
      </c>
      <c r="AK7612">
        <v>73.584277610728606</v>
      </c>
      <c r="AL7612">
        <v>77.667175937640906</v>
      </c>
      <c r="AM7612">
        <v>102.662234996498</v>
      </c>
      <c r="AN7612">
        <v>1.0000000518096499</v>
      </c>
    </row>
    <row r="7613" spans="1:40" x14ac:dyDescent="0.25">
      <c r="A7613" t="str">
        <f>"20190304154942318"</f>
        <v>20190304154942318</v>
      </c>
      <c r="B7613" t="str">
        <f>"1551685782314800"</f>
        <v>1551685782314800</v>
      </c>
      <c r="C7613" t="s">
        <v>40</v>
      </c>
      <c r="D7613">
        <v>4.2309140000000003</v>
      </c>
      <c r="E7613">
        <v>0.42807580000000001</v>
      </c>
      <c r="F7613" t="s">
        <v>45</v>
      </c>
      <c r="G7613">
        <v>-163.80240000000001</v>
      </c>
      <c r="H7613">
        <v>-0.05</v>
      </c>
      <c r="I7613">
        <v>2.3874970000000002</v>
      </c>
      <c r="J7613">
        <v>-197.52109999999999</v>
      </c>
      <c r="K7613">
        <v>1.119801</v>
      </c>
      <c r="L7613">
        <v>-56.383940000000003</v>
      </c>
      <c r="M7613">
        <v>0.79197510000000004</v>
      </c>
      <c r="N7613">
        <v>-1.446427E-2</v>
      </c>
      <c r="O7613">
        <v>0.61038199999999998</v>
      </c>
      <c r="P7613">
        <v>0.62996049999999904</v>
      </c>
      <c r="Q7613">
        <v>0.20426269999999999</v>
      </c>
      <c r="R7613">
        <v>0.74928409999999901</v>
      </c>
      <c r="S7613">
        <v>1.5584720000000001</v>
      </c>
      <c r="T7613">
        <v>-5.3894160000000003E-2</v>
      </c>
      <c r="U7613">
        <v>2.7117610000000001</v>
      </c>
      <c r="V7613">
        <v>-0.21361169999999999</v>
      </c>
      <c r="W7613">
        <v>0.21348059999999999</v>
      </c>
      <c r="X7613">
        <v>0.95330789999999999</v>
      </c>
      <c r="Y7613">
        <v>-0.38244939999999999</v>
      </c>
      <c r="Z7613">
        <v>3.3026829999999998E-3</v>
      </c>
      <c r="AA7613">
        <v>0.92397050000000003</v>
      </c>
      <c r="AB7613">
        <v>30</v>
      </c>
      <c r="AC7613">
        <v>33.718699999999899</v>
      </c>
      <c r="AD7613">
        <v>-1.1698010000000001</v>
      </c>
      <c r="AE7613">
        <v>58.771436999999999</v>
      </c>
      <c r="AF7613">
        <v>-25.959206573489599</v>
      </c>
      <c r="AG7613">
        <v>-1.1698010000000001</v>
      </c>
      <c r="AH7613">
        <v>62.565297771361202</v>
      </c>
      <c r="AI7613">
        <v>90.989385850544593</v>
      </c>
      <c r="AJ7613">
        <v>112.534237526396</v>
      </c>
      <c r="AK7613">
        <v>67.747068759643099</v>
      </c>
      <c r="AL7613">
        <v>77.673596528947797</v>
      </c>
      <c r="AM7613">
        <v>102.629884749238</v>
      </c>
      <c r="AN7613">
        <v>0.99999993857782798</v>
      </c>
    </row>
    <row r="7614" spans="1:40" x14ac:dyDescent="0.25">
      <c r="A7614" t="str">
        <f>"20190304154942328"</f>
        <v>20190304154942328</v>
      </c>
      <c r="B7614" t="str">
        <f>"1551685782324560"</f>
        <v>1551685782324560</v>
      </c>
      <c r="C7614" t="s">
        <v>40</v>
      </c>
      <c r="D7614">
        <v>4.2198320000000002</v>
      </c>
      <c r="E7614">
        <v>0.4284077</v>
      </c>
      <c r="F7614" t="s">
        <v>45</v>
      </c>
      <c r="G7614">
        <v>-165.14259999999999</v>
      </c>
      <c r="H7614">
        <v>-0.05</v>
      </c>
      <c r="I7614">
        <v>0.44860840000000002</v>
      </c>
      <c r="J7614">
        <v>-197.4093</v>
      </c>
      <c r="K7614">
        <v>1.1197950000000001</v>
      </c>
      <c r="L7614">
        <v>-56.291629999999998</v>
      </c>
      <c r="M7614">
        <v>0.78870369999999901</v>
      </c>
      <c r="N7614">
        <v>-1.4462279999999999E-2</v>
      </c>
      <c r="O7614">
        <v>0.61460349999999997</v>
      </c>
      <c r="P7614">
        <v>0.62646250000000003</v>
      </c>
      <c r="Q7614">
        <v>0.2047099</v>
      </c>
      <c r="R7614">
        <v>0.75208960000000002</v>
      </c>
      <c r="S7614">
        <v>1.5481720000000001</v>
      </c>
      <c r="T7614">
        <v>-5.5933829999999997E-2</v>
      </c>
      <c r="U7614">
        <v>2.717438</v>
      </c>
      <c r="V7614">
        <v>-0.212867</v>
      </c>
      <c r="W7614">
        <v>0.21394969999999999</v>
      </c>
      <c r="X7614">
        <v>0.95336940000000003</v>
      </c>
      <c r="Y7614">
        <v>-0.38098480000000001</v>
      </c>
      <c r="Z7614">
        <v>2.9488409999999998E-3</v>
      </c>
      <c r="AA7614">
        <v>0.92457659999999997</v>
      </c>
      <c r="AB7614">
        <v>30</v>
      </c>
      <c r="AC7614">
        <v>32.2667</v>
      </c>
      <c r="AD7614">
        <v>-1.1697949999999999</v>
      </c>
      <c r="AE7614">
        <v>56.740238399999903</v>
      </c>
      <c r="AF7614">
        <v>-24.9146118126855</v>
      </c>
      <c r="AG7614">
        <v>-1.1697949999999999</v>
      </c>
      <c r="AH7614">
        <v>60.308549792577203</v>
      </c>
      <c r="AI7614">
        <v>91.027046798783005</v>
      </c>
      <c r="AJ7614">
        <v>112.446452983246</v>
      </c>
      <c r="AK7614">
        <v>65.2627572218842</v>
      </c>
      <c r="AL7614">
        <v>77.646084477964806</v>
      </c>
      <c r="AM7614">
        <v>102.586473359839</v>
      </c>
      <c r="AN7614">
        <v>1.00000002333772</v>
      </c>
    </row>
    <row r="7615" spans="1:40" x14ac:dyDescent="0.25">
      <c r="A7615" t="str">
        <f>"20190304154942339"</f>
        <v>20190304154942339</v>
      </c>
      <c r="B7615" t="str">
        <f>"1551685782334320"</f>
        <v>1551685782334320</v>
      </c>
      <c r="C7615" t="s">
        <v>40</v>
      </c>
      <c r="D7615">
        <v>4.1433419999999996</v>
      </c>
      <c r="E7615">
        <v>0.42885649999999997</v>
      </c>
      <c r="F7615" t="s">
        <v>45</v>
      </c>
      <c r="G7615">
        <v>-165.24080000000001</v>
      </c>
      <c r="H7615">
        <v>-0.05</v>
      </c>
      <c r="I7615">
        <v>0.65696719999999997</v>
      </c>
      <c r="J7615">
        <v>-197.30860000000001</v>
      </c>
      <c r="K7615">
        <v>1.1197889999999999</v>
      </c>
      <c r="L7615">
        <v>-56.207279999999997</v>
      </c>
      <c r="M7615">
        <v>0.78572120000000001</v>
      </c>
      <c r="N7615">
        <v>-1.446045E-2</v>
      </c>
      <c r="O7615">
        <v>0.61841190000000001</v>
      </c>
      <c r="P7615">
        <v>0.62336099999999905</v>
      </c>
      <c r="Q7615">
        <v>0.20554529999999999</v>
      </c>
      <c r="R7615">
        <v>0.75443509999999903</v>
      </c>
      <c r="S7615">
        <v>1.5381009999999999</v>
      </c>
      <c r="T7615">
        <v>-5.59324E-2</v>
      </c>
      <c r="U7615">
        <v>2.722931</v>
      </c>
      <c r="V7615">
        <v>-0.21201139999999999</v>
      </c>
      <c r="W7615">
        <v>0.21480759999999999</v>
      </c>
      <c r="X7615">
        <v>0.95336710000000002</v>
      </c>
      <c r="Y7615">
        <v>-0.37990309999999999</v>
      </c>
      <c r="Z7615">
        <v>2.899553E-3</v>
      </c>
      <c r="AA7615">
        <v>0.92502180000000001</v>
      </c>
      <c r="AB7615">
        <v>30</v>
      </c>
      <c r="AC7615">
        <v>32.067799999999998</v>
      </c>
      <c r="AD7615">
        <v>-1.169789</v>
      </c>
      <c r="AE7615">
        <v>56.864247200000001</v>
      </c>
      <c r="AF7615">
        <v>-24.842954882044801</v>
      </c>
      <c r="AG7615">
        <v>-1.169789</v>
      </c>
      <c r="AH7615">
        <v>60.348806981760603</v>
      </c>
      <c r="AI7615">
        <v>91.026885796621997</v>
      </c>
      <c r="AJ7615">
        <v>112.374814583732</v>
      </c>
      <c r="AK7615">
        <v>65.272653674395897</v>
      </c>
      <c r="AL7615">
        <v>77.595759918001903</v>
      </c>
      <c r="AM7615">
        <v>102.537515028054</v>
      </c>
      <c r="AN7615">
        <v>0.99999998305506399</v>
      </c>
    </row>
    <row r="7616" spans="1:40" x14ac:dyDescent="0.25">
      <c r="A7616" t="str">
        <f>"20190304154942349"</f>
        <v>20190304154942349</v>
      </c>
      <c r="B7616" t="str">
        <f>"1551685782345056"</f>
        <v>1551685782345056</v>
      </c>
      <c r="C7616" t="s">
        <v>40</v>
      </c>
      <c r="D7616">
        <v>4.2263659999999996</v>
      </c>
      <c r="E7616">
        <v>0.42915520000000001</v>
      </c>
      <c r="F7616" t="s">
        <v>45</v>
      </c>
      <c r="G7616">
        <v>-165.09790000000001</v>
      </c>
      <c r="H7616">
        <v>-0.05</v>
      </c>
      <c r="I7616">
        <v>1.1904300000000001</v>
      </c>
      <c r="J7616">
        <v>-197.1919</v>
      </c>
      <c r="K7616">
        <v>1.119783</v>
      </c>
      <c r="L7616">
        <v>-56.10904</v>
      </c>
      <c r="M7616">
        <v>0.78223520000000002</v>
      </c>
      <c r="N7616">
        <v>-1.445839E-2</v>
      </c>
      <c r="O7616">
        <v>0.62281540000000002</v>
      </c>
      <c r="P7616">
        <v>0.61961899999999903</v>
      </c>
      <c r="Q7616">
        <v>0.20648440000000001</v>
      </c>
      <c r="R7616">
        <v>0.75725589999999998</v>
      </c>
      <c r="S7616">
        <v>1.530411</v>
      </c>
      <c r="T7616">
        <v>-5.5579660000000003E-2</v>
      </c>
      <c r="U7616">
        <v>2.727112</v>
      </c>
      <c r="V7616">
        <v>-0.21118770000000001</v>
      </c>
      <c r="W7616">
        <v>0.2157683</v>
      </c>
      <c r="X7616">
        <v>0.95333299999999999</v>
      </c>
      <c r="Y7616">
        <v>-0.37729639999999998</v>
      </c>
      <c r="Z7616">
        <v>2.8762240000000001E-3</v>
      </c>
      <c r="AA7616">
        <v>0.92608809999999997</v>
      </c>
      <c r="AB7616">
        <v>30</v>
      </c>
      <c r="AC7616">
        <v>32.093999999999902</v>
      </c>
      <c r="AD7616">
        <v>-1.169783</v>
      </c>
      <c r="AE7616">
        <v>57.2994699999999</v>
      </c>
      <c r="AF7616">
        <v>-24.827744574349602</v>
      </c>
      <c r="AG7616">
        <v>-1.169783</v>
      </c>
      <c r="AH7616">
        <v>60.779122360610202</v>
      </c>
      <c r="AI7616">
        <v>91.020744916352498</v>
      </c>
      <c r="AJ7616">
        <v>112.219589153801</v>
      </c>
      <c r="AK7616">
        <v>65.664960274428395</v>
      </c>
      <c r="AL7616">
        <v>77.539394411152898</v>
      </c>
      <c r="AM7616">
        <v>102.490768887839</v>
      </c>
      <c r="AN7616">
        <v>1.00000000640259</v>
      </c>
    </row>
    <row r="7617" spans="1:40" x14ac:dyDescent="0.25">
      <c r="A7617" t="str">
        <f>"20190304154942362"</f>
        <v>20190304154942362</v>
      </c>
      <c r="B7617" t="str">
        <f>"1551685782354815"</f>
        <v>1551685782354815</v>
      </c>
      <c r="C7617" t="s">
        <v>40</v>
      </c>
      <c r="D7617">
        <v>4.1967639999999999</v>
      </c>
      <c r="E7617">
        <v>0.42946109999999998</v>
      </c>
      <c r="F7617" t="s">
        <v>45</v>
      </c>
      <c r="G7617">
        <v>-164.06120000000001</v>
      </c>
      <c r="H7617">
        <v>-0.05</v>
      </c>
      <c r="I7617">
        <v>3.51268</v>
      </c>
      <c r="J7617">
        <v>-197.06909999999999</v>
      </c>
      <c r="K7617">
        <v>1.119774</v>
      </c>
      <c r="L7617">
        <v>-56.003689999999999</v>
      </c>
      <c r="M7617">
        <v>0.77850980000000003</v>
      </c>
      <c r="N7617">
        <v>-1.4456119999999999E-2</v>
      </c>
      <c r="O7617">
        <v>0.62746599999999997</v>
      </c>
      <c r="P7617">
        <v>0.61555219999999999</v>
      </c>
      <c r="Q7617">
        <v>0.20684430000000001</v>
      </c>
      <c r="R7617">
        <v>0.76046749999999996</v>
      </c>
      <c r="S7617">
        <v>1.5189360000000001</v>
      </c>
      <c r="T7617">
        <v>-5.3630709999999998E-2</v>
      </c>
      <c r="U7617">
        <v>2.7334589999999999</v>
      </c>
      <c r="V7617">
        <v>-0.21053859999999999</v>
      </c>
      <c r="W7617">
        <v>0.2161468</v>
      </c>
      <c r="X7617">
        <v>0.95339079999999998</v>
      </c>
      <c r="Y7617">
        <v>-0.3756641</v>
      </c>
      <c r="Z7617">
        <v>3.1088410000000002E-3</v>
      </c>
      <c r="AA7617">
        <v>0.92675070000000004</v>
      </c>
      <c r="AB7617">
        <v>30</v>
      </c>
      <c r="AC7617">
        <v>33.0078999999999</v>
      </c>
      <c r="AD7617">
        <v>-1.1697739999999901</v>
      </c>
      <c r="AE7617">
        <v>59.516369999999903</v>
      </c>
      <c r="AF7617">
        <v>-25.617850764221</v>
      </c>
      <c r="AG7617">
        <v>-1.1697739999999901</v>
      </c>
      <c r="AH7617">
        <v>63.029437190115502</v>
      </c>
      <c r="AI7617">
        <v>90.985006185439104</v>
      </c>
      <c r="AJ7617">
        <v>112.11892153700801</v>
      </c>
      <c r="AK7617">
        <v>68.046694273062897</v>
      </c>
      <c r="AL7617">
        <v>77.517183507790193</v>
      </c>
      <c r="AM7617">
        <v>102.452845733877</v>
      </c>
      <c r="AN7617">
        <v>0.99999997938241902</v>
      </c>
    </row>
    <row r="7618" spans="1:40" x14ac:dyDescent="0.25">
      <c r="A7618" t="str">
        <f>"20190304154942373"</f>
        <v>20190304154942373</v>
      </c>
      <c r="B7618" t="str">
        <f>"1551685782364576"</f>
        <v>1551685782364576</v>
      </c>
      <c r="C7618" t="s">
        <v>40</v>
      </c>
      <c r="D7618">
        <v>4.1915290000000001</v>
      </c>
      <c r="E7618">
        <v>0.4297994</v>
      </c>
      <c r="F7618" t="s">
        <v>45</v>
      </c>
      <c r="G7618">
        <v>-164.2817</v>
      </c>
      <c r="H7618">
        <v>-0.05</v>
      </c>
      <c r="I7618">
        <v>3.6257480000000002</v>
      </c>
      <c r="J7618">
        <v>-196.95930000000001</v>
      </c>
      <c r="K7618">
        <v>1.1197629999999901</v>
      </c>
      <c r="L7618">
        <v>-55.909059999999997</v>
      </c>
      <c r="M7618">
        <v>0.77515049999999996</v>
      </c>
      <c r="N7618">
        <v>-1.4454170000000001E-2</v>
      </c>
      <c r="O7618">
        <v>0.63161119999999904</v>
      </c>
      <c r="P7618">
        <v>0.61204230000000004</v>
      </c>
      <c r="Q7618">
        <v>0.20713899999999999</v>
      </c>
      <c r="R7618">
        <v>0.76321539999999999</v>
      </c>
      <c r="S7618">
        <v>1.5066219999999999</v>
      </c>
      <c r="T7618">
        <v>-5.3752660000000001E-2</v>
      </c>
      <c r="U7618">
        <v>2.7400509999999998</v>
      </c>
      <c r="V7618">
        <v>-0.2097802</v>
      </c>
      <c r="W7618">
        <v>0.21646290000000001</v>
      </c>
      <c r="X7618">
        <v>0.95348630000000001</v>
      </c>
      <c r="Y7618">
        <v>-0.37485800000000002</v>
      </c>
      <c r="Z7618">
        <v>3.0451469999999998E-3</v>
      </c>
      <c r="AA7618">
        <v>0.92707720000000005</v>
      </c>
      <c r="AB7618">
        <v>30</v>
      </c>
      <c r="AC7618">
        <v>32.677599999999998</v>
      </c>
      <c r="AD7618">
        <v>-1.1697630000000001</v>
      </c>
      <c r="AE7618">
        <v>59.534807999999998</v>
      </c>
      <c r="AF7618">
        <v>-25.5039975817811</v>
      </c>
      <c r="AG7618">
        <v>-1.1697630000000001</v>
      </c>
      <c r="AH7618">
        <v>62.9208196000884</v>
      </c>
      <c r="AI7618">
        <v>90.9870778695729</v>
      </c>
      <c r="AJ7618">
        <v>112.064424916904</v>
      </c>
      <c r="AK7618">
        <v>67.903253068424704</v>
      </c>
      <c r="AL7618">
        <v>77.498633687180998</v>
      </c>
      <c r="AM7618">
        <v>102.408175908045</v>
      </c>
      <c r="AN7618">
        <v>1.00000002183806</v>
      </c>
    </row>
    <row r="7619" spans="1:40" x14ac:dyDescent="0.25">
      <c r="A7619" t="str">
        <f>"20190304154942384"</f>
        <v>20190304154942384</v>
      </c>
      <c r="B7619" t="str">
        <f>"1551685782374336"</f>
        <v>1551685782374336</v>
      </c>
      <c r="C7619" t="s">
        <v>40</v>
      </c>
      <c r="D7619">
        <v>4.1653779999999996</v>
      </c>
      <c r="E7619">
        <v>0.43016480000000001</v>
      </c>
      <c r="F7619" t="s">
        <v>45</v>
      </c>
      <c r="G7619">
        <v>-164.62350000000001</v>
      </c>
      <c r="H7619">
        <v>-0.05</v>
      </c>
      <c r="I7619">
        <v>3.420776</v>
      </c>
      <c r="J7619">
        <v>-196.85040000000001</v>
      </c>
      <c r="K7619">
        <v>1.11975</v>
      </c>
      <c r="L7619">
        <v>-55.813569999999999</v>
      </c>
      <c r="M7619">
        <v>0.77176880000000003</v>
      </c>
      <c r="N7619">
        <v>-1.445222E-2</v>
      </c>
      <c r="O7619">
        <v>0.63573900000000005</v>
      </c>
      <c r="P7619">
        <v>0.60832629999999999</v>
      </c>
      <c r="Q7619">
        <v>0.20664250000000001</v>
      </c>
      <c r="R7619">
        <v>0.76631459999999996</v>
      </c>
      <c r="S7619">
        <v>1.4963379999999999</v>
      </c>
      <c r="T7619">
        <v>-5.4130669999999999E-2</v>
      </c>
      <c r="U7619">
        <v>2.7454830000000001</v>
      </c>
      <c r="V7619">
        <v>-0.20941170000000001</v>
      </c>
      <c r="W7619">
        <v>0.21598010000000001</v>
      </c>
      <c r="X7619">
        <v>0.95367679999999999</v>
      </c>
      <c r="Y7619">
        <v>-0.37335810000000003</v>
      </c>
      <c r="Z7619">
        <v>2.9317660000000001E-3</v>
      </c>
      <c r="AA7619">
        <v>0.92768269999999997</v>
      </c>
      <c r="AB7619">
        <v>30</v>
      </c>
      <c r="AC7619">
        <v>32.226900000000001</v>
      </c>
      <c r="AD7619">
        <v>-1.1697500000000001</v>
      </c>
      <c r="AE7619">
        <v>59.234345999999903</v>
      </c>
      <c r="AF7619">
        <v>-25.222368019780301</v>
      </c>
      <c r="AG7619">
        <v>-1.1697500000000001</v>
      </c>
      <c r="AH7619">
        <v>62.517018368797999</v>
      </c>
      <c r="AI7619">
        <v>90.9940926893279</v>
      </c>
      <c r="AJ7619">
        <v>111.97151507428001</v>
      </c>
      <c r="AK7619">
        <v>67.423391707272899</v>
      </c>
      <c r="AL7619">
        <v>77.526966689455904</v>
      </c>
      <c r="AM7619">
        <v>102.38465512353</v>
      </c>
      <c r="AN7619">
        <v>1.00000005127556</v>
      </c>
    </row>
    <row r="7620" spans="1:40" x14ac:dyDescent="0.25">
      <c r="A7620" t="str">
        <f>"20190304154942395"</f>
        <v>20190304154942395</v>
      </c>
      <c r="B7620" t="str">
        <f>"1551685782385071"</f>
        <v>1551685782385071</v>
      </c>
      <c r="C7620" t="s">
        <v>40</v>
      </c>
      <c r="D7620">
        <v>4.2183070000000003</v>
      </c>
      <c r="E7620">
        <v>0.43046380000000001</v>
      </c>
      <c r="F7620" t="s">
        <v>45</v>
      </c>
      <c r="G7620">
        <v>-166.6283</v>
      </c>
      <c r="H7620">
        <v>-0.05</v>
      </c>
      <c r="I7620">
        <v>0.18298339999999999</v>
      </c>
      <c r="J7620">
        <v>-196.7363</v>
      </c>
      <c r="K7620">
        <v>1.119742</v>
      </c>
      <c r="L7620">
        <v>-55.712829999999997</v>
      </c>
      <c r="M7620">
        <v>0.76819289999999996</v>
      </c>
      <c r="N7620">
        <v>-1.445024E-2</v>
      </c>
      <c r="O7620">
        <v>0.64005540000000005</v>
      </c>
      <c r="P7620">
        <v>0.60425759999999995</v>
      </c>
      <c r="Q7620">
        <v>0.20630580000000001</v>
      </c>
      <c r="R7620">
        <v>0.7696172</v>
      </c>
      <c r="S7620">
        <v>1.4850159999999999</v>
      </c>
      <c r="T7620">
        <v>-5.7477830000000001E-2</v>
      </c>
      <c r="U7620">
        <v>2.7514949999999998</v>
      </c>
      <c r="V7620">
        <v>-0.20917379999999999</v>
      </c>
      <c r="W7620">
        <v>0.21565280000000001</v>
      </c>
      <c r="X7620">
        <v>0.95380299999999996</v>
      </c>
      <c r="Y7620">
        <v>-0.3719558</v>
      </c>
      <c r="Z7620">
        <v>2.3499509999999999E-3</v>
      </c>
      <c r="AA7620">
        <v>0.9282475</v>
      </c>
      <c r="AB7620">
        <v>30</v>
      </c>
      <c r="AC7620">
        <v>30.108000000000001</v>
      </c>
      <c r="AD7620">
        <v>-1.1697420000000001</v>
      </c>
      <c r="AE7620">
        <v>55.895813399999902</v>
      </c>
      <c r="AF7620">
        <v>-23.662417398891801</v>
      </c>
      <c r="AG7620">
        <v>-1.1697420000000001</v>
      </c>
      <c r="AH7620">
        <v>58.8913272273575</v>
      </c>
      <c r="AI7620">
        <v>91.055877442543604</v>
      </c>
      <c r="AJ7620">
        <v>111.89016276404899</v>
      </c>
      <c r="AK7620">
        <v>63.478080595632697</v>
      </c>
      <c r="AL7620">
        <v>77.546171366333695</v>
      </c>
      <c r="AM7620">
        <v>102.369432662051</v>
      </c>
      <c r="AN7620">
        <v>0.99999998578163896</v>
      </c>
    </row>
    <row r="7621" spans="1:40" x14ac:dyDescent="0.25">
      <c r="A7621" t="str">
        <f>"20190304154942406"</f>
        <v>20190304154942406</v>
      </c>
      <c r="B7621" t="str">
        <f>"1551685782394831"</f>
        <v>1551685782394831</v>
      </c>
      <c r="C7621" t="s">
        <v>40</v>
      </c>
      <c r="D7621">
        <v>4.1765169999999996</v>
      </c>
      <c r="E7621">
        <v>0.43080269999999998</v>
      </c>
      <c r="F7621" t="s">
        <v>45</v>
      </c>
      <c r="G7621">
        <v>-167.77529999999999</v>
      </c>
      <c r="H7621">
        <v>-0.05</v>
      </c>
      <c r="I7621">
        <v>-1.448502</v>
      </c>
      <c r="J7621">
        <v>-196.63120000000001</v>
      </c>
      <c r="K7621">
        <v>1.1197319999999999</v>
      </c>
      <c r="L7621">
        <v>-55.618870000000001</v>
      </c>
      <c r="M7621">
        <v>0.76485689999999995</v>
      </c>
      <c r="N7621">
        <v>-1.444843E-2</v>
      </c>
      <c r="O7621">
        <v>0.64403820000000001</v>
      </c>
      <c r="P7621">
        <v>0.60051330000000003</v>
      </c>
      <c r="Q7621">
        <v>0.2063836</v>
      </c>
      <c r="R7621">
        <v>0.77252169999999998</v>
      </c>
      <c r="S7621">
        <v>1.4720610000000001</v>
      </c>
      <c r="T7621">
        <v>-5.945694E-2</v>
      </c>
      <c r="U7621">
        <v>2.7582089999999999</v>
      </c>
      <c r="V7621">
        <v>-0.2088304</v>
      </c>
      <c r="W7621">
        <v>0.21574180000000001</v>
      </c>
      <c r="X7621">
        <v>0.95385810000000004</v>
      </c>
      <c r="Y7621">
        <v>-0.3714616</v>
      </c>
      <c r="Z7621">
        <v>1.9898160000000002E-3</v>
      </c>
      <c r="AA7621">
        <v>0.9284462</v>
      </c>
      <c r="AB7621">
        <v>30</v>
      </c>
      <c r="AC7621">
        <v>28.855899999999998</v>
      </c>
      <c r="AD7621">
        <v>-1.169732</v>
      </c>
      <c r="AE7621">
        <v>54.170368000000003</v>
      </c>
      <c r="AF7621">
        <v>-22.842365915568799</v>
      </c>
      <c r="AG7621">
        <v>-1.169732</v>
      </c>
      <c r="AH7621">
        <v>56.943682685269003</v>
      </c>
      <c r="AI7621">
        <v>91.092222223636099</v>
      </c>
      <c r="AJ7621">
        <v>111.8576753663</v>
      </c>
      <c r="AK7621">
        <v>61.365502942069703</v>
      </c>
      <c r="AL7621">
        <v>77.540948881077497</v>
      </c>
      <c r="AM7621">
        <v>102.349057930916</v>
      </c>
      <c r="AN7621">
        <v>0.99999996758350396</v>
      </c>
    </row>
    <row r="7622" spans="1:40" x14ac:dyDescent="0.25">
      <c r="A7622" t="str">
        <f>"20190304154942417"</f>
        <v>20190304154942417</v>
      </c>
      <c r="B7622" t="str">
        <f>"1551685782414351"</f>
        <v>1551685782414351</v>
      </c>
      <c r="C7622" t="s">
        <v>40</v>
      </c>
      <c r="D7622">
        <v>4.2360910000000001</v>
      </c>
      <c r="E7622">
        <v>0.4313881</v>
      </c>
      <c r="F7622" t="s">
        <v>45</v>
      </c>
      <c r="G7622">
        <v>-168.55179999999999</v>
      </c>
      <c r="H7622">
        <v>-0.05</v>
      </c>
      <c r="I7622">
        <v>-2.5040279999999999</v>
      </c>
      <c r="J7622">
        <v>-196.5292</v>
      </c>
      <c r="K7622">
        <v>1.1197269999999999</v>
      </c>
      <c r="L7622">
        <v>-55.526789999999998</v>
      </c>
      <c r="M7622">
        <v>0.76158440000000005</v>
      </c>
      <c r="N7622">
        <v>-1.444675E-2</v>
      </c>
      <c r="O7622">
        <v>0.6479047</v>
      </c>
      <c r="P7622">
        <v>0.59641639999999996</v>
      </c>
      <c r="Q7622">
        <v>0.2065071</v>
      </c>
      <c r="R7622">
        <v>0.77565609999999996</v>
      </c>
      <c r="S7622">
        <v>1.4611209999999999</v>
      </c>
      <c r="T7622">
        <v>-6.0867549999999999E-2</v>
      </c>
      <c r="U7622">
        <v>2.763855</v>
      </c>
      <c r="V7622">
        <v>-0.2090207</v>
      </c>
      <c r="W7622">
        <v>0.2158619</v>
      </c>
      <c r="X7622">
        <v>0.95378929999999995</v>
      </c>
      <c r="Y7622">
        <v>-0.37041220000000002</v>
      </c>
      <c r="Z7622">
        <v>1.708039E-3</v>
      </c>
      <c r="AA7622">
        <v>0.92886590000000002</v>
      </c>
      <c r="AB7622">
        <v>30</v>
      </c>
      <c r="AC7622">
        <v>27.977399999999999</v>
      </c>
      <c r="AD7622">
        <v>-1.169727</v>
      </c>
      <c r="AE7622">
        <v>53.022762</v>
      </c>
      <c r="AF7622">
        <v>-22.248472277236001</v>
      </c>
      <c r="AG7622">
        <v>-1.169727</v>
      </c>
      <c r="AH7622">
        <v>55.645473504604603</v>
      </c>
      <c r="AI7622">
        <v>91.1181995513261</v>
      </c>
      <c r="AJ7622">
        <v>111.792783699513</v>
      </c>
      <c r="AK7622">
        <v>59.939815661020504</v>
      </c>
      <c r="AL7622">
        <v>77.5339022786508</v>
      </c>
      <c r="AM7622">
        <v>102.360829627</v>
      </c>
      <c r="AN7622">
        <v>1.0000000208472899</v>
      </c>
    </row>
    <row r="7623" spans="1:40" x14ac:dyDescent="0.25">
      <c r="A7623" t="str">
        <f>"20190304154942428"</f>
        <v>20190304154942428</v>
      </c>
      <c r="B7623" t="str">
        <f>"1551685782425087"</f>
        <v>1551685782425087</v>
      </c>
      <c r="C7623" t="s">
        <v>40</v>
      </c>
      <c r="D7623">
        <v>4.2460630000000004</v>
      </c>
      <c r="E7623">
        <v>0.43167109999999898</v>
      </c>
      <c r="F7623" t="s">
        <v>45</v>
      </c>
      <c r="G7623">
        <v>-169.67699999999999</v>
      </c>
      <c r="H7623">
        <v>-0.05</v>
      </c>
      <c r="I7623">
        <v>-4.2870179999999998</v>
      </c>
      <c r="J7623">
        <v>-196.41489999999999</v>
      </c>
      <c r="K7623">
        <v>1.1197220000000001</v>
      </c>
      <c r="L7623">
        <v>-55.422580000000004</v>
      </c>
      <c r="M7623">
        <v>0.75787680000000002</v>
      </c>
      <c r="N7623">
        <v>-1.444495E-2</v>
      </c>
      <c r="O7623">
        <v>0.65223790000000004</v>
      </c>
      <c r="P7623">
        <v>0.5918831</v>
      </c>
      <c r="Q7623">
        <v>0.20678949999999999</v>
      </c>
      <c r="R7623">
        <v>0.77904589999999996</v>
      </c>
      <c r="S7623">
        <v>1.451004</v>
      </c>
      <c r="T7623">
        <v>-6.3208219999999996E-2</v>
      </c>
      <c r="U7623">
        <v>2.7688290000000002</v>
      </c>
      <c r="V7623">
        <v>-0.20908779999999999</v>
      </c>
      <c r="W7623">
        <v>0.21614449999999999</v>
      </c>
      <c r="X7623">
        <v>0.95371059999999996</v>
      </c>
      <c r="Y7623">
        <v>-0.3684595</v>
      </c>
      <c r="Z7623">
        <v>1.2517699999999999E-3</v>
      </c>
      <c r="AA7623">
        <v>0.929643</v>
      </c>
      <c r="AB7623">
        <v>30</v>
      </c>
      <c r="AC7623">
        <v>26.7378999999999</v>
      </c>
      <c r="AD7623">
        <v>-1.1697219999999999</v>
      </c>
      <c r="AE7623">
        <v>51.135562</v>
      </c>
      <c r="AF7623">
        <v>-21.308450579410898</v>
      </c>
      <c r="AG7623">
        <v>-1.1697219999999999</v>
      </c>
      <c r="AH7623">
        <v>53.6001503546047</v>
      </c>
      <c r="AI7623">
        <v>91.161763310003494</v>
      </c>
      <c r="AJ7623">
        <v>111.680027763217</v>
      </c>
      <c r="AK7623">
        <v>57.692238938081701</v>
      </c>
      <c r="AL7623">
        <v>77.517319130453501</v>
      </c>
      <c r="AM7623">
        <v>102.365664613807</v>
      </c>
      <c r="AN7623">
        <v>1.00000003077072</v>
      </c>
    </row>
    <row r="7624" spans="1:40" x14ac:dyDescent="0.25">
      <c r="A7624" t="str">
        <f>"20190304154942440"</f>
        <v>20190304154942440</v>
      </c>
      <c r="B7624" t="str">
        <f>"1551685782434848"</f>
        <v>1551685782434848</v>
      </c>
      <c r="C7624" t="s">
        <v>40</v>
      </c>
      <c r="D7624">
        <v>4.2164910000000004</v>
      </c>
      <c r="E7624">
        <v>0.43167109999999898</v>
      </c>
      <c r="F7624" t="s">
        <v>45</v>
      </c>
      <c r="G7624">
        <v>-169.9913</v>
      </c>
      <c r="H7624">
        <v>-0.05</v>
      </c>
      <c r="I7624">
        <v>-4.3828430000000003</v>
      </c>
      <c r="J7624">
        <v>-196.30459999999999</v>
      </c>
      <c r="K7624">
        <v>1.1197189999999999</v>
      </c>
      <c r="L7624">
        <v>-55.32056</v>
      </c>
      <c r="M7624">
        <v>0.75424609999999903</v>
      </c>
      <c r="N7624">
        <v>-1.444339E-2</v>
      </c>
      <c r="O7624">
        <v>0.65643289999999999</v>
      </c>
      <c r="P7624">
        <v>0.58760730000000005</v>
      </c>
      <c r="Q7624">
        <v>0.2062871</v>
      </c>
      <c r="R7624">
        <v>0.78240869999999996</v>
      </c>
      <c r="S7624">
        <v>1.437103</v>
      </c>
      <c r="T7624">
        <v>-6.3617939999999998E-2</v>
      </c>
      <c r="U7624">
        <v>2.775909</v>
      </c>
      <c r="V7624">
        <v>-0.20910599999999999</v>
      </c>
      <c r="W7624">
        <v>0.21564440000000001</v>
      </c>
      <c r="X7624">
        <v>0.9538198</v>
      </c>
      <c r="Y7624">
        <v>-0.3679404</v>
      </c>
      <c r="Z7624">
        <v>1.127053E-3</v>
      </c>
      <c r="AA7624">
        <v>0.92984869999999997</v>
      </c>
      <c r="AB7624">
        <v>30</v>
      </c>
      <c r="AC7624">
        <v>26.313300000000002</v>
      </c>
      <c r="AD7624">
        <v>-1.169719</v>
      </c>
      <c r="AE7624">
        <v>50.937716999999999</v>
      </c>
      <c r="AF7624">
        <v>-21.1400655996678</v>
      </c>
      <c r="AG7624">
        <v>-1.169719</v>
      </c>
      <c r="AH7624">
        <v>53.267284697887</v>
      </c>
      <c r="AI7624">
        <v>91.169289560195395</v>
      </c>
      <c r="AJ7624">
        <v>111.64652993106</v>
      </c>
      <c r="AK7624">
        <v>57.3208010689223</v>
      </c>
      <c r="AL7624">
        <v>77.546664664148096</v>
      </c>
      <c r="AM7624">
        <v>102.365335591877</v>
      </c>
      <c r="AN7624">
        <v>1.00000001867969</v>
      </c>
    </row>
    <row r="7625" spans="1:40" x14ac:dyDescent="0.25">
      <c r="A7625" t="str">
        <f>"20190304154942452"</f>
        <v>20190304154942452</v>
      </c>
      <c r="B7625" t="str">
        <f>"1551685782444607"</f>
        <v>1551685782444607</v>
      </c>
      <c r="C7625" t="s">
        <v>40</v>
      </c>
      <c r="D7625">
        <v>4.6802210000000004</v>
      </c>
      <c r="E7625">
        <v>0.4459708</v>
      </c>
      <c r="F7625" t="s">
        <v>45</v>
      </c>
      <c r="G7625">
        <v>-170.86429999999999</v>
      </c>
      <c r="H7625">
        <v>-0.05</v>
      </c>
      <c r="I7625">
        <v>-5.5075379999999896</v>
      </c>
      <c r="J7625">
        <v>-196.18600000000001</v>
      </c>
      <c r="K7625">
        <v>1.119713</v>
      </c>
      <c r="L7625">
        <v>-55.210140000000003</v>
      </c>
      <c r="M7625">
        <v>0.75030439999999998</v>
      </c>
      <c r="N7625">
        <v>-1.4441849999999999E-2</v>
      </c>
      <c r="O7625">
        <v>0.66093469999999999</v>
      </c>
      <c r="P7625">
        <v>0.58307929999999997</v>
      </c>
      <c r="Q7625">
        <v>0.20598630000000001</v>
      </c>
      <c r="R7625">
        <v>0.78586780000000001</v>
      </c>
      <c r="S7625">
        <v>1.4217379999999999</v>
      </c>
      <c r="T7625">
        <v>-6.5370079999999997E-2</v>
      </c>
      <c r="U7625">
        <v>2.7838129999999999</v>
      </c>
      <c r="V7625">
        <v>-0.20895530000000001</v>
      </c>
      <c r="W7625">
        <v>0.21534970000000001</v>
      </c>
      <c r="X7625">
        <v>0.95391939999999997</v>
      </c>
      <c r="Y7625">
        <v>-0.36751400000000001</v>
      </c>
      <c r="Z7625">
        <v>7.7655759999999997E-4</v>
      </c>
      <c r="AA7625">
        <v>0.93001769999999995</v>
      </c>
      <c r="AB7625">
        <v>30</v>
      </c>
      <c r="AC7625">
        <v>25.3217</v>
      </c>
      <c r="AD7625">
        <v>-1.169713</v>
      </c>
      <c r="AE7625">
        <v>49.702601999999999</v>
      </c>
      <c r="AF7625">
        <v>-20.5491993714888</v>
      </c>
      <c r="AG7625">
        <v>-1.169713</v>
      </c>
      <c r="AH7625">
        <v>51.831774892742899</v>
      </c>
      <c r="AI7625">
        <v>91.201826243004106</v>
      </c>
      <c r="AJ7625">
        <v>111.626320483347</v>
      </c>
      <c r="AK7625">
        <v>55.768904524327397</v>
      </c>
      <c r="AL7625">
        <v>77.563955967389305</v>
      </c>
      <c r="AM7625">
        <v>102.355447363715</v>
      </c>
      <c r="AN7625">
        <v>1.00000001619227</v>
      </c>
    </row>
    <row r="7626" spans="1:40" x14ac:dyDescent="0.25">
      <c r="A7626" t="str">
        <f>"20190304154942465"</f>
        <v>20190304154942465</v>
      </c>
      <c r="B7626" t="str">
        <f>"1551685782454367"</f>
        <v>1551685782454367</v>
      </c>
      <c r="C7626" t="s">
        <v>40</v>
      </c>
      <c r="D7626">
        <v>4.2343109999999999</v>
      </c>
      <c r="E7626">
        <v>0.44552809999999998</v>
      </c>
      <c r="F7626" t="s">
        <v>44</v>
      </c>
      <c r="G7626">
        <v>-180.0342</v>
      </c>
      <c r="H7626" s="1">
        <v>-4.1821129999999999E-6</v>
      </c>
      <c r="I7626">
        <v>-25.854559999999999</v>
      </c>
      <c r="J7626">
        <v>-196.05869999999999</v>
      </c>
      <c r="K7626">
        <v>1.1197109999999999</v>
      </c>
      <c r="L7626">
        <v>-55.089419999999997</v>
      </c>
      <c r="M7626">
        <v>0.74599709999999997</v>
      </c>
      <c r="N7626">
        <v>-1.444053E-2</v>
      </c>
      <c r="O7626">
        <v>0.66579270000000002</v>
      </c>
      <c r="P7626">
        <v>0.57803959999999999</v>
      </c>
      <c r="Q7626">
        <v>0.20541039999999999</v>
      </c>
      <c r="R7626">
        <v>0.78973209999999905</v>
      </c>
      <c r="S7626">
        <v>1.5021819999999999</v>
      </c>
      <c r="T7626">
        <v>-0.10413849999999999</v>
      </c>
      <c r="U7626">
        <v>2.730194</v>
      </c>
      <c r="V7626">
        <v>-0.20896190000000001</v>
      </c>
      <c r="W7626">
        <v>0.21477550000000001</v>
      </c>
      <c r="X7626">
        <v>0.95404739999999999</v>
      </c>
      <c r="Y7626">
        <v>-0.33254709999999899</v>
      </c>
      <c r="Z7626">
        <v>-6.5196509999999996E-3</v>
      </c>
      <c r="AA7626">
        <v>0.94306420000000002</v>
      </c>
      <c r="AB7626">
        <v>30</v>
      </c>
      <c r="AC7626">
        <v>16.0244999999999</v>
      </c>
      <c r="AD7626">
        <v>-1.119715182113</v>
      </c>
      <c r="AE7626">
        <v>29.234860000000001</v>
      </c>
      <c r="AF7626">
        <v>-11.1287331366484</v>
      </c>
      <c r="AG7626">
        <v>-1.119715182113</v>
      </c>
      <c r="AH7626">
        <v>31.386456482631701</v>
      </c>
      <c r="AI7626">
        <v>91.925790294525996</v>
      </c>
      <c r="AJ7626">
        <v>109.52304000015801</v>
      </c>
      <c r="AK7626">
        <v>33.319845645679699</v>
      </c>
      <c r="AL7626">
        <v>77.597643483616096</v>
      </c>
      <c r="AM7626">
        <v>102.35421881888099</v>
      </c>
      <c r="AN7626">
        <v>1.0000000162493099</v>
      </c>
    </row>
    <row r="7627" spans="1:40" x14ac:dyDescent="0.25">
      <c r="A7627" t="str">
        <f>"20190304154942486"</f>
        <v>20190304154942486</v>
      </c>
      <c r="B7627" t="str">
        <f>"1551685782474864"</f>
        <v>1551685782474864</v>
      </c>
      <c r="C7627" t="s">
        <v>40</v>
      </c>
      <c r="D7627">
        <v>4.2787199999999999</v>
      </c>
      <c r="E7627">
        <v>0.44617780000000001</v>
      </c>
      <c r="F7627" t="s">
        <v>44</v>
      </c>
      <c r="G7627">
        <v>-180.63249999999999</v>
      </c>
      <c r="H7627" s="1">
        <v>-3.7901829999999999E-6</v>
      </c>
      <c r="I7627">
        <v>-26.53847</v>
      </c>
      <c r="J7627">
        <v>-195.86340000000001</v>
      </c>
      <c r="K7627">
        <v>1.1197140000000001</v>
      </c>
      <c r="L7627">
        <v>-54.901609999999998</v>
      </c>
      <c r="M7627">
        <v>0.73927089999999995</v>
      </c>
      <c r="N7627">
        <v>-1.443913E-2</v>
      </c>
      <c r="O7627">
        <v>0.6732534</v>
      </c>
      <c r="P7627">
        <v>0.57054769999999999</v>
      </c>
      <c r="Q7627">
        <v>0.20421890000000001</v>
      </c>
      <c r="R7627">
        <v>0.79546839999999996</v>
      </c>
      <c r="S7627">
        <v>1.481644</v>
      </c>
      <c r="T7627">
        <v>-0.1075459</v>
      </c>
      <c r="U7627">
        <v>2.7422490000000002</v>
      </c>
      <c r="V7627">
        <v>-0.20859630000000001</v>
      </c>
      <c r="W7627">
        <v>0.21359529999999999</v>
      </c>
      <c r="X7627">
        <v>0.95439229999999997</v>
      </c>
      <c r="Y7627">
        <v>-0.33027630000000002</v>
      </c>
      <c r="Z7627">
        <v>-7.3549280000000002E-3</v>
      </c>
      <c r="AA7627">
        <v>0.94385560000000002</v>
      </c>
      <c r="AB7627">
        <v>30</v>
      </c>
      <c r="AC7627">
        <v>15.2309</v>
      </c>
      <c r="AD7627">
        <v>-1.11971779018299</v>
      </c>
      <c r="AE7627">
        <v>28.363140000000001</v>
      </c>
      <c r="AF7627">
        <v>-10.701959433095</v>
      </c>
      <c r="AG7627">
        <v>-1.11971779018299</v>
      </c>
      <c r="AH7627">
        <v>30.321825415695798</v>
      </c>
      <c r="AI7627">
        <v>91.994375979360399</v>
      </c>
      <c r="AJ7627">
        <v>109.440267879619</v>
      </c>
      <c r="AK7627">
        <v>32.174505437958203</v>
      </c>
      <c r="AL7627">
        <v>77.666870505844599</v>
      </c>
      <c r="AM7627">
        <v>102.32894526084699</v>
      </c>
      <c r="AN7627">
        <v>1.0000000154275299</v>
      </c>
    </row>
    <row r="7628" spans="1:40" x14ac:dyDescent="0.25">
      <c r="A7628" t="str">
        <f>"20190304154942499"</f>
        <v>20190304154942499</v>
      </c>
      <c r="B7628" t="str">
        <f>"1551685782494383"</f>
        <v>1551685782494383</v>
      </c>
      <c r="C7628" t="s">
        <v>40</v>
      </c>
      <c r="D7628">
        <v>4.2074150000000001</v>
      </c>
      <c r="E7628">
        <v>0.44698450000000001</v>
      </c>
      <c r="F7628" t="s">
        <v>44</v>
      </c>
      <c r="G7628">
        <v>-182.44540000000001</v>
      </c>
      <c r="H7628" s="1">
        <v>-2.2659990000000002E-6</v>
      </c>
      <c r="I7628">
        <v>-29.599920000000001</v>
      </c>
      <c r="J7628">
        <v>-195.74770000000001</v>
      </c>
      <c r="K7628">
        <v>1.11972</v>
      </c>
      <c r="L7628">
        <v>-54.78839</v>
      </c>
      <c r="M7628">
        <v>0.73520369999999902</v>
      </c>
      <c r="N7628">
        <v>-1.443879E-2</v>
      </c>
      <c r="O7628">
        <v>0.67769239999999997</v>
      </c>
      <c r="P7628">
        <v>0.56600899999999998</v>
      </c>
      <c r="Q7628">
        <v>0.203956</v>
      </c>
      <c r="R7628">
        <v>0.79877140000000002</v>
      </c>
      <c r="S7628">
        <v>1.4609379999999901</v>
      </c>
      <c r="T7628">
        <v>-0.1219136</v>
      </c>
      <c r="U7628">
        <v>2.7548219999999999</v>
      </c>
      <c r="V7628">
        <v>-0.20832890000000001</v>
      </c>
      <c r="W7628">
        <v>0.2133372</v>
      </c>
      <c r="X7628">
        <v>0.95450840000000003</v>
      </c>
      <c r="Y7628">
        <v>-0.33191310000000002</v>
      </c>
      <c r="Z7628">
        <v>-9.9792049999999997E-3</v>
      </c>
      <c r="AA7628">
        <v>0.94325720000000002</v>
      </c>
      <c r="AB7628">
        <v>30</v>
      </c>
      <c r="AC7628">
        <v>13.302300000000001</v>
      </c>
      <c r="AD7628">
        <v>-1.119722265999</v>
      </c>
      <c r="AE7628">
        <v>25.188469999999999</v>
      </c>
      <c r="AF7628">
        <v>-9.4901158248920297</v>
      </c>
      <c r="AG7628">
        <v>-1.119722265999</v>
      </c>
      <c r="AH7628">
        <v>26.8113064201744</v>
      </c>
      <c r="AI7628">
        <v>92.254545638393694</v>
      </c>
      <c r="AJ7628">
        <v>109.491899476298</v>
      </c>
      <c r="AK7628">
        <v>28.463348859179</v>
      </c>
      <c r="AL7628">
        <v>77.682007110213902</v>
      </c>
      <c r="AM7628">
        <v>102.312171169519</v>
      </c>
      <c r="AN7628">
        <v>0.99999998857480499</v>
      </c>
    </row>
    <row r="7629" spans="1:40" x14ac:dyDescent="0.25">
      <c r="A7629" t="str">
        <f>"20190304154942510"</f>
        <v>20190304154942510</v>
      </c>
      <c r="B7629" t="str">
        <f>"1551685782505120"</f>
        <v>1551685782505120</v>
      </c>
      <c r="C7629" t="s">
        <v>40</v>
      </c>
      <c r="D7629">
        <v>4.2648169999999999</v>
      </c>
      <c r="E7629">
        <v>0.44722450000000002</v>
      </c>
      <c r="F7629" t="s">
        <v>44</v>
      </c>
      <c r="G7629">
        <v>-183.3296</v>
      </c>
      <c r="H7629" s="1">
        <v>-5.1303260000000001E-6</v>
      </c>
      <c r="I7629">
        <v>-31.166409999999999</v>
      </c>
      <c r="J7629">
        <v>-195.6353</v>
      </c>
      <c r="K7629">
        <v>1.1197250000000001</v>
      </c>
      <c r="L7629">
        <v>-54.677579999999999</v>
      </c>
      <c r="M7629">
        <v>0.73120699999999905</v>
      </c>
      <c r="N7629">
        <v>-1.4438650000000001E-2</v>
      </c>
      <c r="O7629">
        <v>0.68200280000000002</v>
      </c>
      <c r="P7629">
        <v>0.5610946</v>
      </c>
      <c r="Q7629">
        <v>0.204236</v>
      </c>
      <c r="R7629">
        <v>0.80215990000000004</v>
      </c>
      <c r="S7629">
        <v>1.4513400000000001</v>
      </c>
      <c r="T7629">
        <v>-0.1308657</v>
      </c>
      <c r="U7629">
        <v>2.7607729999999999</v>
      </c>
      <c r="V7629">
        <v>-0.2085352</v>
      </c>
      <c r="W7629">
        <v>0.21360879999999999</v>
      </c>
      <c r="X7629">
        <v>0.95440259999999999</v>
      </c>
      <c r="Y7629">
        <v>-0.32977790000000001</v>
      </c>
      <c r="Z7629">
        <v>-1.1761489999999999E-2</v>
      </c>
      <c r="AA7629">
        <v>0.94398530000000003</v>
      </c>
      <c r="AB7629">
        <v>30</v>
      </c>
      <c r="AC7629">
        <v>12.3057</v>
      </c>
      <c r="AD7629">
        <v>-1.1197301303260001</v>
      </c>
      <c r="AE7629">
        <v>23.51117</v>
      </c>
      <c r="AF7629">
        <v>-8.7842877845193108</v>
      </c>
      <c r="AG7629">
        <v>-1.1197301303260001</v>
      </c>
      <c r="AH7629">
        <v>24.990813218253798</v>
      </c>
      <c r="AI7629">
        <v>92.420473965524096</v>
      </c>
      <c r="AJ7629">
        <v>109.366609460372</v>
      </c>
      <c r="AK7629">
        <v>26.513359891867101</v>
      </c>
      <c r="AL7629">
        <v>77.666078370564904</v>
      </c>
      <c r="AM7629">
        <v>102.32531543464999</v>
      </c>
      <c r="AN7629">
        <v>0.99999998598161899</v>
      </c>
    </row>
    <row r="7630" spans="1:40" x14ac:dyDescent="0.25">
      <c r="A7630" t="str">
        <f>"20190304154942522"</f>
        <v>20190304154942522</v>
      </c>
      <c r="B7630" t="str">
        <f>"1551685782514880"</f>
        <v>1551685782514880</v>
      </c>
      <c r="C7630" t="s">
        <v>40</v>
      </c>
      <c r="D7630">
        <v>4.2264780000000002</v>
      </c>
      <c r="E7630">
        <v>0.44754579999999999</v>
      </c>
      <c r="F7630" t="s">
        <v>44</v>
      </c>
      <c r="G7630">
        <v>-183.1242</v>
      </c>
      <c r="H7630" s="1">
        <v>-5.429329E-6</v>
      </c>
      <c r="I7630">
        <v>-30.55434</v>
      </c>
      <c r="J7630">
        <v>-195.5258</v>
      </c>
      <c r="K7630">
        <v>1.119742</v>
      </c>
      <c r="L7630">
        <v>-54.567659999999997</v>
      </c>
      <c r="M7630">
        <v>0.72723509999999902</v>
      </c>
      <c r="N7630">
        <v>-1.443941E-2</v>
      </c>
      <c r="O7630">
        <v>0.68623659999999997</v>
      </c>
      <c r="P7630">
        <v>0.5565715</v>
      </c>
      <c r="Q7630">
        <v>0.20449220000000001</v>
      </c>
      <c r="R7630">
        <v>0.80523990000000001</v>
      </c>
      <c r="S7630">
        <v>1.435745</v>
      </c>
      <c r="T7630">
        <v>-0.12849829999999901</v>
      </c>
      <c r="U7630">
        <v>2.7683409999999999</v>
      </c>
      <c r="V7630">
        <v>-0.2083284</v>
      </c>
      <c r="W7630">
        <v>0.21386450000000001</v>
      </c>
      <c r="X7630">
        <v>0.95439050000000003</v>
      </c>
      <c r="Y7630">
        <v>-0.32954240000000001</v>
      </c>
      <c r="Z7630">
        <v>-1.149761E-2</v>
      </c>
      <c r="AA7630">
        <v>0.94407079999999999</v>
      </c>
      <c r="AB7630">
        <v>30</v>
      </c>
      <c r="AC7630">
        <v>12.4016</v>
      </c>
      <c r="AD7630">
        <v>-1.119747429329</v>
      </c>
      <c r="AE7630">
        <v>24.01332</v>
      </c>
      <c r="AF7630">
        <v>-8.9384872152267203</v>
      </c>
      <c r="AG7630">
        <v>-1.119747429329</v>
      </c>
      <c r="AH7630">
        <v>25.4566580628798</v>
      </c>
      <c r="AI7630">
        <v>92.376546680133202</v>
      </c>
      <c r="AJ7630">
        <v>109.347485823851</v>
      </c>
      <c r="AK7630">
        <v>27.003552131759299</v>
      </c>
      <c r="AL7630">
        <v>77.6510812834901</v>
      </c>
      <c r="AM7630">
        <v>102.313617093394</v>
      </c>
      <c r="AN7630">
        <v>0.99999998654852995</v>
      </c>
    </row>
    <row r="7631" spans="1:40" x14ac:dyDescent="0.25">
      <c r="A7631" t="str">
        <f>"20190304154942541"</f>
        <v>20190304154942541</v>
      </c>
      <c r="B7631" t="str">
        <f>"1551685782534399"</f>
        <v>1551685782534399</v>
      </c>
      <c r="C7631" t="s">
        <v>40</v>
      </c>
      <c r="D7631">
        <v>4.193981</v>
      </c>
      <c r="E7631">
        <v>0.44843480000000002</v>
      </c>
      <c r="F7631" t="s">
        <v>44</v>
      </c>
      <c r="G7631">
        <v>-182.82550000000001</v>
      </c>
      <c r="H7631" s="1">
        <v>-2.1005820000000002E-6</v>
      </c>
      <c r="I7631">
        <v>-29.78885</v>
      </c>
      <c r="J7631">
        <v>-195.35390000000001</v>
      </c>
      <c r="K7631">
        <v>1.119761</v>
      </c>
      <c r="L7631">
        <v>-54.392819999999901</v>
      </c>
      <c r="M7631">
        <v>0.72088209999999997</v>
      </c>
      <c r="N7631">
        <v>-1.444164E-2</v>
      </c>
      <c r="O7631">
        <v>0.6929073</v>
      </c>
      <c r="P7631">
        <v>0.54939499999999997</v>
      </c>
      <c r="Q7631">
        <v>0.2048729</v>
      </c>
      <c r="R7631">
        <v>0.81005699999999903</v>
      </c>
      <c r="S7631">
        <v>1.4220729999999999</v>
      </c>
      <c r="T7631">
        <v>-0.12537870000000001</v>
      </c>
      <c r="U7631">
        <v>2.7745060000000001</v>
      </c>
      <c r="V7631">
        <v>-0.20796629999999999</v>
      </c>
      <c r="W7631">
        <v>0.21424270000000001</v>
      </c>
      <c r="X7631">
        <v>0.95438469999999997</v>
      </c>
      <c r="Y7631">
        <v>-0.32538040000000001</v>
      </c>
      <c r="Z7631">
        <v>-1.125893E-2</v>
      </c>
      <c r="AA7631">
        <v>0.94551620000000003</v>
      </c>
      <c r="AB7631">
        <v>30</v>
      </c>
      <c r="AC7631">
        <v>12.5284</v>
      </c>
      <c r="AD7631">
        <v>-1.1197631005819999</v>
      </c>
      <c r="AE7631">
        <v>24.60397</v>
      </c>
      <c r="AF7631">
        <v>-9.0416140167024892</v>
      </c>
      <c r="AG7631">
        <v>-1.1197631005819999</v>
      </c>
      <c r="AH7631">
        <v>26.039658160223901</v>
      </c>
      <c r="AI7631">
        <v>92.326249260356903</v>
      </c>
      <c r="AJ7631">
        <v>109.148267142013</v>
      </c>
      <c r="AK7631">
        <v>27.5874690852527</v>
      </c>
      <c r="AL7631">
        <v>77.628898471400007</v>
      </c>
      <c r="AM7631">
        <v>102.292938292041</v>
      </c>
      <c r="AN7631">
        <v>1.00000003601653</v>
      </c>
    </row>
    <row r="7632" spans="1:40" x14ac:dyDescent="0.25">
      <c r="A7632" t="str">
        <f>"20190304154942553"</f>
        <v>20190304154942553</v>
      </c>
      <c r="B7632" t="str">
        <f>"1551685782545136"</f>
        <v>1551685782545136</v>
      </c>
      <c r="C7632" t="s">
        <v>40</v>
      </c>
      <c r="D7632">
        <v>4.4378080000000004</v>
      </c>
      <c r="E7632">
        <v>0.44879249999999998</v>
      </c>
      <c r="F7632" t="s">
        <v>44</v>
      </c>
      <c r="G7632">
        <v>-183.4237</v>
      </c>
      <c r="H7632" s="1">
        <v>-5.3012610000000004E-6</v>
      </c>
      <c r="I7632">
        <v>-30.729030000000002</v>
      </c>
      <c r="J7632">
        <v>-195.23949999999999</v>
      </c>
      <c r="K7632">
        <v>1.11978</v>
      </c>
      <c r="L7632">
        <v>-54.27496</v>
      </c>
      <c r="M7632">
        <v>0.71657150000000003</v>
      </c>
      <c r="N7632">
        <v>-1.4443920000000001E-2</v>
      </c>
      <c r="O7632">
        <v>0.69736419999999999</v>
      </c>
      <c r="P7632">
        <v>0.54466079999999994</v>
      </c>
      <c r="Q7632">
        <v>0.20475389999999999</v>
      </c>
      <c r="R7632">
        <v>0.81327759999999905</v>
      </c>
      <c r="S7632">
        <v>1.403885</v>
      </c>
      <c r="T7632">
        <v>-0.13176849999999901</v>
      </c>
      <c r="U7632">
        <v>2.784637</v>
      </c>
      <c r="V7632">
        <v>-0.2076441</v>
      </c>
      <c r="W7632">
        <v>0.21412349999999999</v>
      </c>
      <c r="X7632">
        <v>0.95448149999999998</v>
      </c>
      <c r="Y7632">
        <v>-0.3258279</v>
      </c>
      <c r="Z7632">
        <v>-1.257715E-2</v>
      </c>
      <c r="AA7632">
        <v>0.94534549999999995</v>
      </c>
      <c r="AB7632">
        <v>30</v>
      </c>
      <c r="AC7632">
        <v>11.8157999999999</v>
      </c>
      <c r="AD7632">
        <v>-1.119785301261</v>
      </c>
      <c r="AE7632">
        <v>23.545929999999998</v>
      </c>
      <c r="AF7632">
        <v>-8.6177563304238802</v>
      </c>
      <c r="AG7632">
        <v>-1.119785301261</v>
      </c>
      <c r="AH7632">
        <v>24.844660733544998</v>
      </c>
      <c r="AI7632">
        <v>92.4383262967457</v>
      </c>
      <c r="AJ7632">
        <v>109.129897160122</v>
      </c>
      <c r="AK7632">
        <v>26.320653682164401</v>
      </c>
      <c r="AL7632">
        <v>77.635889175757001</v>
      </c>
      <c r="AM7632">
        <v>102.27326369160301</v>
      </c>
      <c r="AN7632">
        <v>0.99999993967965295</v>
      </c>
    </row>
    <row r="7633" spans="1:40" x14ac:dyDescent="0.25">
      <c r="A7633" t="str">
        <f>"20190304154942565"</f>
        <v>20190304154942565</v>
      </c>
      <c r="B7633" t="str">
        <f>"1551685782554897"</f>
        <v>1551685782554897</v>
      </c>
      <c r="C7633" t="s">
        <v>40</v>
      </c>
      <c r="D7633">
        <v>4.2781890000000002</v>
      </c>
      <c r="E7633">
        <v>0.44899210000000001</v>
      </c>
      <c r="F7633" t="s">
        <v>44</v>
      </c>
      <c r="G7633">
        <v>-183.88720000000001</v>
      </c>
      <c r="H7633" s="1">
        <v>-4.9005650000000002E-6</v>
      </c>
      <c r="I7633">
        <v>-31.471419999999998</v>
      </c>
      <c r="J7633">
        <v>-195.12970000000001</v>
      </c>
      <c r="K7633">
        <v>1.119807</v>
      </c>
      <c r="L7633">
        <v>-54.159849999999999</v>
      </c>
      <c r="M7633">
        <v>0.71234459999999999</v>
      </c>
      <c r="N7633">
        <v>-1.444728E-2</v>
      </c>
      <c r="O7633">
        <v>0.7016812</v>
      </c>
      <c r="P7633">
        <v>0.53975660000000003</v>
      </c>
      <c r="Q7633">
        <v>0.2045968</v>
      </c>
      <c r="R7633">
        <v>0.81658009999999903</v>
      </c>
      <c r="S7633">
        <v>1.3901059999999901</v>
      </c>
      <c r="T7633">
        <v>-0.1371193</v>
      </c>
      <c r="U7633">
        <v>2.7923279999999999</v>
      </c>
      <c r="V7633">
        <v>-0.2076587</v>
      </c>
      <c r="W7633">
        <v>0.2139577</v>
      </c>
      <c r="X7633">
        <v>0.95451560000000002</v>
      </c>
      <c r="Y7633">
        <v>-0.324897099999999</v>
      </c>
      <c r="Z7633">
        <v>-1.374741E-2</v>
      </c>
      <c r="AA7633">
        <v>0.94564939999999997</v>
      </c>
      <c r="AB7633">
        <v>30</v>
      </c>
      <c r="AC7633">
        <v>11.2425</v>
      </c>
      <c r="AD7633">
        <v>-1.119811900565</v>
      </c>
      <c r="AE7633">
        <v>22.68843</v>
      </c>
      <c r="AF7633">
        <v>-8.2580419259623508</v>
      </c>
      <c r="AG7633">
        <v>-1.119811900565</v>
      </c>
      <c r="AH7633">
        <v>23.8843628078452</v>
      </c>
      <c r="AI7633">
        <v>92.537169720647796</v>
      </c>
      <c r="AJ7633">
        <v>109.07287693318101</v>
      </c>
      <c r="AK7633">
        <v>25.2964824013217</v>
      </c>
      <c r="AL7633">
        <v>77.645615353054197</v>
      </c>
      <c r="AM7633">
        <v>102.273675297857</v>
      </c>
      <c r="AN7633">
        <v>1.00000003185916</v>
      </c>
    </row>
    <row r="7634" spans="1:40" x14ac:dyDescent="0.25">
      <c r="A7634" t="str">
        <f>"20190304154942577"</f>
        <v>20190304154942577</v>
      </c>
      <c r="B7634" t="str">
        <f>"1551685782574415"</f>
        <v>1551685782574415</v>
      </c>
      <c r="C7634" t="s">
        <v>40</v>
      </c>
      <c r="D7634">
        <v>4.4623039999999996</v>
      </c>
      <c r="E7634">
        <v>0.44927349999999999</v>
      </c>
      <c r="F7634" t="s">
        <v>44</v>
      </c>
      <c r="G7634">
        <v>-183.8562</v>
      </c>
      <c r="H7634" s="1">
        <v>-5.0246680000000003E-6</v>
      </c>
      <c r="I7634">
        <v>-31.194980000000001</v>
      </c>
      <c r="J7634">
        <v>-195.02709999999999</v>
      </c>
      <c r="K7634">
        <v>1.119834</v>
      </c>
      <c r="L7634">
        <v>-54.051299999999998</v>
      </c>
      <c r="M7634">
        <v>0.70833740000000001</v>
      </c>
      <c r="N7634">
        <v>-1.445082E-2</v>
      </c>
      <c r="O7634">
        <v>0.70572599999999996</v>
      </c>
      <c r="P7634">
        <v>0.53504629999999997</v>
      </c>
      <c r="Q7634">
        <v>0.20431559999999999</v>
      </c>
      <c r="R7634">
        <v>0.81974419999999903</v>
      </c>
      <c r="S7634">
        <v>1.374344</v>
      </c>
      <c r="T7634">
        <v>-0.136515</v>
      </c>
      <c r="U7634">
        <v>2.7996219999999998</v>
      </c>
      <c r="V7634">
        <v>-0.20777609999999999</v>
      </c>
      <c r="W7634">
        <v>0.2136651</v>
      </c>
      <c r="X7634">
        <v>0.95455559999999995</v>
      </c>
      <c r="Y7634">
        <v>-0.32477709999999999</v>
      </c>
      <c r="Z7634">
        <v>-1.379556E-2</v>
      </c>
      <c r="AA7634">
        <v>0.94569000000000003</v>
      </c>
      <c r="AB7634">
        <v>30</v>
      </c>
      <c r="AC7634">
        <v>11.1708999999999</v>
      </c>
      <c r="AD7634">
        <v>-1.1198390246679999</v>
      </c>
      <c r="AE7634">
        <v>22.85632</v>
      </c>
      <c r="AF7634">
        <v>-8.2911942910092495</v>
      </c>
      <c r="AG7634">
        <v>-1.1198390246679999</v>
      </c>
      <c r="AH7634">
        <v>23.999076230793602</v>
      </c>
      <c r="AI7634">
        <v>92.525330301109506</v>
      </c>
      <c r="AJ7634">
        <v>109.058993443273</v>
      </c>
      <c r="AK7634">
        <v>25.415617288271299</v>
      </c>
      <c r="AL7634">
        <v>77.662777038615999</v>
      </c>
      <c r="AM7634">
        <v>102.279904732023</v>
      </c>
      <c r="AN7634">
        <v>1.00000003809028</v>
      </c>
    </row>
    <row r="7635" spans="1:40" x14ac:dyDescent="0.25">
      <c r="A7635" t="str">
        <f>"20190304154942589"</f>
        <v>20190304154942589</v>
      </c>
      <c r="B7635" t="str">
        <f>"1551685782585151"</f>
        <v>1551685782585151</v>
      </c>
      <c r="C7635" t="s">
        <v>40</v>
      </c>
      <c r="D7635">
        <v>4.2796289999999999</v>
      </c>
      <c r="E7635">
        <v>0.44954650000000002</v>
      </c>
      <c r="F7635" t="s">
        <v>44</v>
      </c>
      <c r="G7635">
        <v>-184.1069</v>
      </c>
      <c r="H7635" s="1">
        <v>-4.8422089999999996E-6</v>
      </c>
      <c r="I7635">
        <v>-31.51662</v>
      </c>
      <c r="J7635">
        <v>-194.9264</v>
      </c>
      <c r="K7635">
        <v>1.1198629999999901</v>
      </c>
      <c r="L7635">
        <v>-53.943510000000003</v>
      </c>
      <c r="M7635">
        <v>0.70434049999999904</v>
      </c>
      <c r="N7635">
        <v>-1.4454659999999999E-2</v>
      </c>
      <c r="O7635">
        <v>0.70971519999999899</v>
      </c>
      <c r="P7635">
        <v>0.53027880000000005</v>
      </c>
      <c r="Q7635">
        <v>0.20464789999999999</v>
      </c>
      <c r="R7635">
        <v>0.82275370000000003</v>
      </c>
      <c r="S7635">
        <v>1.360123</v>
      </c>
      <c r="T7635">
        <v>-0.1394763</v>
      </c>
      <c r="U7635">
        <v>2.806702</v>
      </c>
      <c r="V7635">
        <v>-0.20788960000000001</v>
      </c>
      <c r="W7635">
        <v>0.21398420000000001</v>
      </c>
      <c r="X7635">
        <v>0.95445939999999996</v>
      </c>
      <c r="Y7635">
        <v>-0.32425549999999997</v>
      </c>
      <c r="Z7635">
        <v>-1.452007E-2</v>
      </c>
      <c r="AA7635">
        <v>0.94585810000000003</v>
      </c>
      <c r="AB7635">
        <v>30</v>
      </c>
      <c r="AC7635">
        <v>10.8195</v>
      </c>
      <c r="AD7635">
        <v>-1.11986784220899</v>
      </c>
      <c r="AE7635">
        <v>22.42689</v>
      </c>
      <c r="AF7635">
        <v>-8.1018635605256506</v>
      </c>
      <c r="AG7635">
        <v>-1.11986784220899</v>
      </c>
      <c r="AH7635">
        <v>23.492257524741301</v>
      </c>
      <c r="AI7635">
        <v>92.580286436679302</v>
      </c>
      <c r="AJ7635">
        <v>109.027971245469</v>
      </c>
      <c r="AK7635">
        <v>24.8752982041654</v>
      </c>
      <c r="AL7635">
        <v>77.644061055258206</v>
      </c>
      <c r="AM7635">
        <v>102.28760978879301</v>
      </c>
      <c r="AN7635">
        <v>1.00000003494307</v>
      </c>
    </row>
    <row r="7636" spans="1:40" x14ac:dyDescent="0.25">
      <c r="A7636" t="str">
        <f>"20190304154942599"</f>
        <v>20190304154942599</v>
      </c>
      <c r="B7636" t="str">
        <f>"1551685782594912"</f>
        <v>1551685782594912</v>
      </c>
      <c r="C7636" t="s">
        <v>40</v>
      </c>
      <c r="D7636">
        <v>4.2599960000000001</v>
      </c>
      <c r="E7636">
        <v>0.44992569999999998</v>
      </c>
      <c r="F7636" t="s">
        <v>44</v>
      </c>
      <c r="G7636">
        <v>-183.9838</v>
      </c>
      <c r="H7636" s="1">
        <v>-5.0543699999999999E-6</v>
      </c>
      <c r="I7636">
        <v>-31.072939999999999</v>
      </c>
      <c r="J7636">
        <v>-194.8262</v>
      </c>
      <c r="K7636">
        <v>1.119891</v>
      </c>
      <c r="L7636">
        <v>-53.834690000000002</v>
      </c>
      <c r="M7636">
        <v>0.70028299999999999</v>
      </c>
      <c r="N7636">
        <v>-1.445915E-2</v>
      </c>
      <c r="O7636">
        <v>0.71371899999999999</v>
      </c>
      <c r="P7636">
        <v>0.52545529999999996</v>
      </c>
      <c r="Q7636">
        <v>0.2048035</v>
      </c>
      <c r="R7636">
        <v>0.82580399999999998</v>
      </c>
      <c r="S7636">
        <v>1.3459319999999999</v>
      </c>
      <c r="T7636">
        <v>-0.1377437</v>
      </c>
      <c r="U7636">
        <v>2.8130799999999998</v>
      </c>
      <c r="V7636">
        <v>-0.2080264</v>
      </c>
      <c r="W7636">
        <v>0.21412490000000001</v>
      </c>
      <c r="X7636">
        <v>0.95439799999999997</v>
      </c>
      <c r="Y7636">
        <v>-0.3235807</v>
      </c>
      <c r="Z7636">
        <v>-1.4364790000000001E-2</v>
      </c>
      <c r="AA7636">
        <v>0.94609149999999997</v>
      </c>
      <c r="AB7636">
        <v>30</v>
      </c>
      <c r="AC7636">
        <v>10.8423999999999</v>
      </c>
      <c r="AD7636">
        <v>-1.1198960543700001</v>
      </c>
      <c r="AE7636">
        <v>22.761749999999999</v>
      </c>
      <c r="AF7636">
        <v>-8.1859453516575993</v>
      </c>
      <c r="AG7636">
        <v>-1.1198960543700001</v>
      </c>
      <c r="AH7636">
        <v>23.793786357578199</v>
      </c>
      <c r="AI7636">
        <v>92.548350564815706</v>
      </c>
      <c r="AJ7636">
        <v>108.985117989128</v>
      </c>
      <c r="AK7636">
        <v>25.187459929555999</v>
      </c>
      <c r="AL7636">
        <v>77.635807803974799</v>
      </c>
      <c r="AM7636">
        <v>102.29621660745499</v>
      </c>
      <c r="AN7636">
        <v>0.99999999915048499</v>
      </c>
    </row>
    <row r="7637" spans="1:40" x14ac:dyDescent="0.25">
      <c r="A7637" t="str">
        <f>"20190304154942612"</f>
        <v>20190304154942612</v>
      </c>
      <c r="B7637" t="str">
        <f>"1551685782604671"</f>
        <v>1551685782604671</v>
      </c>
      <c r="C7637" t="s">
        <v>40</v>
      </c>
      <c r="D7637">
        <v>4.2750649999999997</v>
      </c>
      <c r="E7637">
        <v>0.45027699999999998</v>
      </c>
      <c r="F7637" t="s">
        <v>44</v>
      </c>
      <c r="G7637">
        <v>-184.05</v>
      </c>
      <c r="H7637" s="1">
        <v>-5.05924E-6</v>
      </c>
      <c r="I7637">
        <v>-31.034230000000001</v>
      </c>
      <c r="J7637">
        <v>-194.71619999999999</v>
      </c>
      <c r="K7637">
        <v>1.119929</v>
      </c>
      <c r="L7637">
        <v>-53.714390000000002</v>
      </c>
      <c r="M7637">
        <v>0.69577040000000001</v>
      </c>
      <c r="N7637">
        <v>-1.446413E-2</v>
      </c>
      <c r="O7637">
        <v>0.71811859999999905</v>
      </c>
      <c r="P7637">
        <v>0.52008259999999995</v>
      </c>
      <c r="Q7637">
        <v>0.20493500000000001</v>
      </c>
      <c r="R7637">
        <v>0.82916569999999901</v>
      </c>
      <c r="S7637">
        <v>1.332489</v>
      </c>
      <c r="T7637">
        <v>-0.13847660000000001</v>
      </c>
      <c r="U7637">
        <v>2.8193049999999999</v>
      </c>
      <c r="V7637">
        <v>-0.20820630000000001</v>
      </c>
      <c r="W7637">
        <v>0.21423900000000001</v>
      </c>
      <c r="X7637">
        <v>0.95433319999999999</v>
      </c>
      <c r="Y7637">
        <v>-0.32211380000000001</v>
      </c>
      <c r="Z7637">
        <v>-1.471042E-2</v>
      </c>
      <c r="AA7637">
        <v>0.9465867</v>
      </c>
      <c r="AB7637">
        <v>30</v>
      </c>
      <c r="AC7637">
        <v>10.6661999999999</v>
      </c>
      <c r="AD7637">
        <v>-1.11993405924</v>
      </c>
      <c r="AE7637">
        <v>22.680160000000001</v>
      </c>
      <c r="AF7637">
        <v>-8.1052531482988908</v>
      </c>
      <c r="AG7637">
        <v>-1.11993405924</v>
      </c>
      <c r="AH7637">
        <v>23.663502278387099</v>
      </c>
      <c r="AI7637">
        <v>92.563640697976993</v>
      </c>
      <c r="AJ7637">
        <v>108.907423399405</v>
      </c>
      <c r="AK7637">
        <v>25.038185257208301</v>
      </c>
      <c r="AL7637">
        <v>77.629115486700002</v>
      </c>
      <c r="AM7637">
        <v>102.30733654317299</v>
      </c>
      <c r="AN7637">
        <v>1.0000000345514599</v>
      </c>
    </row>
    <row r="7638" spans="1:40" x14ac:dyDescent="0.25">
      <c r="A7638" t="str">
        <f>"20190304154942623"</f>
        <v>20190304154942623</v>
      </c>
      <c r="B7638" t="str">
        <f>"1551685782614432"</f>
        <v>1551685782614432</v>
      </c>
      <c r="C7638" t="s">
        <v>40</v>
      </c>
      <c r="D7638">
        <v>4.293126</v>
      </c>
      <c r="E7638">
        <v>0.45059690000000002</v>
      </c>
      <c r="F7638" t="s">
        <v>44</v>
      </c>
      <c r="G7638">
        <v>-184.00450000000001</v>
      </c>
      <c r="H7638" s="1">
        <v>-5.202692E-6</v>
      </c>
      <c r="I7638">
        <v>-30.718640000000001</v>
      </c>
      <c r="J7638">
        <v>-194.61750000000001</v>
      </c>
      <c r="K7638">
        <v>1.1199699999999999</v>
      </c>
      <c r="L7638">
        <v>-53.604280000000003</v>
      </c>
      <c r="M7638">
        <v>0.69161289999999997</v>
      </c>
      <c r="N7638">
        <v>-1.4469839999999999E-2</v>
      </c>
      <c r="O7638">
        <v>0.72212349999999903</v>
      </c>
      <c r="P7638">
        <v>0.51503520000000003</v>
      </c>
      <c r="Q7638">
        <v>0.20500940000000001</v>
      </c>
      <c r="R7638">
        <v>0.83229200000000003</v>
      </c>
      <c r="S7638">
        <v>1.3165279999999999</v>
      </c>
      <c r="T7638">
        <v>-0.13764699999999999</v>
      </c>
      <c r="U7638">
        <v>2.8263240000000001</v>
      </c>
      <c r="V7638">
        <v>-0.2085031</v>
      </c>
      <c r="W7638">
        <v>0.2142935</v>
      </c>
      <c r="X7638">
        <v>0.95425610000000005</v>
      </c>
      <c r="Y7638">
        <v>-0.32194080000000003</v>
      </c>
      <c r="Z7638">
        <v>-1.471198E-2</v>
      </c>
      <c r="AA7638">
        <v>0.94664550000000003</v>
      </c>
      <c r="AB7638">
        <v>30</v>
      </c>
      <c r="AC7638">
        <v>10.613</v>
      </c>
      <c r="AD7638">
        <v>-1.119975202692</v>
      </c>
      <c r="AE7638">
        <v>22.885639999999999</v>
      </c>
      <c r="AF7638">
        <v>-8.1488996584812003</v>
      </c>
      <c r="AG7638">
        <v>-1.119975202692</v>
      </c>
      <c r="AH7638">
        <v>23.821889729561398</v>
      </c>
      <c r="AI7638">
        <v>92.547058389519407</v>
      </c>
      <c r="AJ7638">
        <v>108.884592630379</v>
      </c>
      <c r="AK7638">
        <v>25.202010641733001</v>
      </c>
      <c r="AL7638">
        <v>77.625917879769602</v>
      </c>
      <c r="AM7638">
        <v>102.325310275842</v>
      </c>
      <c r="AN7638">
        <v>0.99999997561953402</v>
      </c>
    </row>
    <row r="7639" spans="1:40" x14ac:dyDescent="0.25">
      <c r="A7639" t="str">
        <f>"20190304154942642"</f>
        <v>20190304154942642</v>
      </c>
      <c r="B7639" t="str">
        <f>"1551685782634927"</f>
        <v>1551685782634927</v>
      </c>
      <c r="C7639" t="s">
        <v>40</v>
      </c>
      <c r="D7639">
        <v>4.298006</v>
      </c>
      <c r="E7639">
        <v>0.45114749999999998</v>
      </c>
      <c r="F7639" t="s">
        <v>44</v>
      </c>
      <c r="G7639">
        <v>-184.17920000000001</v>
      </c>
      <c r="H7639" s="1">
        <v>-5.0960180000000001E-6</v>
      </c>
      <c r="I7639">
        <v>-30.89507</v>
      </c>
      <c r="J7639">
        <v>-194.4598</v>
      </c>
      <c r="K7639">
        <v>1.120039</v>
      </c>
      <c r="L7639">
        <v>-53.426180000000002</v>
      </c>
      <c r="M7639">
        <v>0.68483909999999903</v>
      </c>
      <c r="N7639">
        <v>-1.447973E-2</v>
      </c>
      <c r="O7639">
        <v>0.72855040000000004</v>
      </c>
      <c r="P7639">
        <v>0.50649319999999998</v>
      </c>
      <c r="Q7639">
        <v>0.20676410000000001</v>
      </c>
      <c r="R7639">
        <v>0.83708609999999894</v>
      </c>
      <c r="S7639">
        <v>1.3022309999999999</v>
      </c>
      <c r="T7639">
        <v>-0.13972309999999999</v>
      </c>
      <c r="U7639">
        <v>2.8330989999999998</v>
      </c>
      <c r="V7639">
        <v>-0.2091316</v>
      </c>
      <c r="W7639">
        <v>0.21600810000000001</v>
      </c>
      <c r="X7639">
        <v>0.95373189999999997</v>
      </c>
      <c r="Y7639">
        <v>-0.31790659999999998</v>
      </c>
      <c r="Z7639">
        <v>-1.545625E-2</v>
      </c>
      <c r="AA7639">
        <v>0.94799599999999995</v>
      </c>
      <c r="AB7639">
        <v>30</v>
      </c>
      <c r="AC7639">
        <v>10.2805999999999</v>
      </c>
      <c r="AD7639">
        <v>-1.120044096018</v>
      </c>
      <c r="AE7639">
        <v>22.531110000000002</v>
      </c>
      <c r="AF7639">
        <v>-7.9248734593621801</v>
      </c>
      <c r="AG7639">
        <v>-1.120044096018</v>
      </c>
      <c r="AH7639">
        <v>23.410183980950102</v>
      </c>
      <c r="AI7639">
        <v>92.594757988769501</v>
      </c>
      <c r="AJ7639">
        <v>108.702115382546</v>
      </c>
      <c r="AK7639">
        <v>24.7405503606096</v>
      </c>
      <c r="AL7639">
        <v>77.525323368499102</v>
      </c>
      <c r="AM7639">
        <v>102.36790755275101</v>
      </c>
      <c r="AN7639">
        <v>1.0000000312308801</v>
      </c>
    </row>
    <row r="7640" spans="1:40" x14ac:dyDescent="0.25">
      <c r="A7640" t="str">
        <f>"20190304154942655"</f>
        <v>20190304154942655</v>
      </c>
      <c r="B7640" t="str">
        <f>"1551685782644689"</f>
        <v>1551685782644689</v>
      </c>
      <c r="C7640" t="s">
        <v>40</v>
      </c>
      <c r="D7640">
        <v>4.2769629999999896</v>
      </c>
      <c r="E7640">
        <v>0.45138800000000001</v>
      </c>
      <c r="F7640" t="s">
        <v>44</v>
      </c>
      <c r="G7640">
        <v>-183.8492</v>
      </c>
      <c r="H7640" s="1">
        <v>-1.815584E-6</v>
      </c>
      <c r="I7640">
        <v>-29.825859999999999</v>
      </c>
      <c r="J7640">
        <v>-194.34620000000001</v>
      </c>
      <c r="K7640">
        <v>1.1200840000000001</v>
      </c>
      <c r="L7640">
        <v>-53.296080000000003</v>
      </c>
      <c r="M7640">
        <v>0.67985019999999996</v>
      </c>
      <c r="N7640">
        <v>-1.448748E-2</v>
      </c>
      <c r="O7640">
        <v>0.73320790000000002</v>
      </c>
      <c r="P7640">
        <v>0.50058939999999996</v>
      </c>
      <c r="Q7640">
        <v>0.20730560000000001</v>
      </c>
      <c r="R7640">
        <v>0.84049669999999899</v>
      </c>
      <c r="S7640">
        <v>1.278473</v>
      </c>
      <c r="T7640">
        <v>-0.13495489999999999</v>
      </c>
      <c r="U7640">
        <v>2.8436279999999998</v>
      </c>
      <c r="V7640">
        <v>-0.20927870000000001</v>
      </c>
      <c r="W7640">
        <v>0.21653</v>
      </c>
      <c r="X7640">
        <v>0.95358129999999997</v>
      </c>
      <c r="Y7640">
        <v>-0.31933299999999998</v>
      </c>
      <c r="Z7640">
        <v>-1.4660930000000001E-2</v>
      </c>
      <c r="AA7640">
        <v>0.94752910000000001</v>
      </c>
      <c r="AB7640">
        <v>30</v>
      </c>
      <c r="AC7640">
        <v>10.497</v>
      </c>
      <c r="AD7640">
        <v>-1.1200858155840001</v>
      </c>
      <c r="AE7640">
        <v>23.470220000000001</v>
      </c>
      <c r="AF7640">
        <v>-8.24496912951121</v>
      </c>
      <c r="AG7640">
        <v>-1.1200858155840001</v>
      </c>
      <c r="AH7640">
        <v>24.301371580953202</v>
      </c>
      <c r="AI7640">
        <v>92.4992433407985</v>
      </c>
      <c r="AJ7640">
        <v>108.741046372471</v>
      </c>
      <c r="AK7640">
        <v>25.686392679713201</v>
      </c>
      <c r="AL7640">
        <v>77.494696172930801</v>
      </c>
      <c r="AM7640">
        <v>102.378233307043</v>
      </c>
      <c r="AN7640">
        <v>1.0000000554416799</v>
      </c>
    </row>
    <row r="7641" spans="1:40" x14ac:dyDescent="0.25">
      <c r="A7641" t="str">
        <f>"20190304154942670"</f>
        <v>20190304154942670</v>
      </c>
      <c r="B7641" t="str">
        <f>"1551685782665184"</f>
        <v>1551685782665184</v>
      </c>
      <c r="C7641" t="s">
        <v>40</v>
      </c>
      <c r="D7641">
        <v>4.3361939999999999</v>
      </c>
      <c r="E7641">
        <v>0.45207740000000002</v>
      </c>
      <c r="F7641" t="s">
        <v>44</v>
      </c>
      <c r="G7641">
        <v>-183.81639999999999</v>
      </c>
      <c r="H7641" s="1">
        <v>-1.9445729999999999E-6</v>
      </c>
      <c r="I7641">
        <v>-29.472490000000001</v>
      </c>
      <c r="J7641">
        <v>-194.21610000000001</v>
      </c>
      <c r="K7641">
        <v>1.1201399999999999</v>
      </c>
      <c r="L7641">
        <v>-53.144620000000003</v>
      </c>
      <c r="M7641">
        <v>0.67400000000000004</v>
      </c>
      <c r="N7641">
        <v>-1.449683E-2</v>
      </c>
      <c r="O7641">
        <v>0.7385891</v>
      </c>
      <c r="P7641">
        <v>0.49389850000000002</v>
      </c>
      <c r="Q7641">
        <v>0.20736660000000001</v>
      </c>
      <c r="R7641">
        <v>0.84443080000000004</v>
      </c>
      <c r="S7641">
        <v>1.2604219999999999</v>
      </c>
      <c r="T7641">
        <v>-0.13407430000000001</v>
      </c>
      <c r="U7641">
        <v>2.8516849999999998</v>
      </c>
      <c r="V7641">
        <v>-0.20928930000000001</v>
      </c>
      <c r="W7641">
        <v>0.21657470000000001</v>
      </c>
      <c r="X7641">
        <v>0.95356879999999999</v>
      </c>
      <c r="Y7641">
        <v>-0.31780920000000001</v>
      </c>
      <c r="Z7641">
        <v>-1.471796E-2</v>
      </c>
      <c r="AA7641">
        <v>0.94804049999999995</v>
      </c>
      <c r="AB7641">
        <v>30</v>
      </c>
      <c r="AC7641">
        <v>10.399699999999999</v>
      </c>
      <c r="AD7641">
        <v>-1.1201419445730001</v>
      </c>
      <c r="AE7641">
        <v>23.6721299999999</v>
      </c>
      <c r="AF7641">
        <v>-8.2592786164685403</v>
      </c>
      <c r="AG7641">
        <v>-1.1201419445730001</v>
      </c>
      <c r="AH7641">
        <v>24.450059851110002</v>
      </c>
      <c r="AI7641">
        <v>92.485302146209506</v>
      </c>
      <c r="AJ7641">
        <v>108.665070193242</v>
      </c>
      <c r="AK7641">
        <v>25.831682639025001</v>
      </c>
      <c r="AL7641">
        <v>77.492072529932699</v>
      </c>
      <c r="AM7641">
        <v>102.37899820519</v>
      </c>
      <c r="AN7641">
        <v>1.0000000340540001</v>
      </c>
    </row>
    <row r="7642" spans="1:40" x14ac:dyDescent="0.25">
      <c r="A7642" t="str">
        <f>"20190304154942687"</f>
        <v>20190304154942687</v>
      </c>
      <c r="B7642" t="str">
        <f>"1551685782684703"</f>
        <v>1551685782684703</v>
      </c>
      <c r="C7642" t="s">
        <v>40</v>
      </c>
      <c r="D7642">
        <v>4.3545790000000002</v>
      </c>
      <c r="E7642">
        <v>0.45273839999999999</v>
      </c>
      <c r="F7642" t="s">
        <v>44</v>
      </c>
      <c r="G7642">
        <v>-183.9504</v>
      </c>
      <c r="H7642" s="1">
        <v>-1.890508E-6</v>
      </c>
      <c r="I7642">
        <v>-29.526579999999999</v>
      </c>
      <c r="J7642">
        <v>-194.07660000000001</v>
      </c>
      <c r="K7642">
        <v>1.120193</v>
      </c>
      <c r="L7642">
        <v>-52.978729999999999</v>
      </c>
      <c r="M7642">
        <v>0.66754190000000002</v>
      </c>
      <c r="N7642">
        <v>-1.450736E-2</v>
      </c>
      <c r="O7642">
        <v>0.74443099999999995</v>
      </c>
      <c r="P7642">
        <v>0.4868442</v>
      </c>
      <c r="Q7642">
        <v>0.20663809999999999</v>
      </c>
      <c r="R7642">
        <v>0.84869519999999998</v>
      </c>
      <c r="S7642">
        <v>1.242737</v>
      </c>
      <c r="T7642">
        <v>-0.135601</v>
      </c>
      <c r="U7642">
        <v>2.8591310000000001</v>
      </c>
      <c r="V7642">
        <v>-0.20906050000000001</v>
      </c>
      <c r="W7642">
        <v>0.21583769999999999</v>
      </c>
      <c r="X7642">
        <v>0.95378600000000002</v>
      </c>
      <c r="Y7642">
        <v>-0.31538919999999998</v>
      </c>
      <c r="Z7642">
        <v>-1.5299719999999999E-2</v>
      </c>
      <c r="AA7642">
        <v>0.94883910000000005</v>
      </c>
      <c r="AB7642">
        <v>30</v>
      </c>
      <c r="AC7642">
        <v>10.126200000000001</v>
      </c>
      <c r="AD7642">
        <v>-1.1201948905079999</v>
      </c>
      <c r="AE7642">
        <v>23.45215</v>
      </c>
      <c r="AF7642">
        <v>-8.1023085223493698</v>
      </c>
      <c r="AG7642">
        <v>-1.1201948905079999</v>
      </c>
      <c r="AH7642">
        <v>24.174230289665399</v>
      </c>
      <c r="AI7642">
        <v>92.515745399689607</v>
      </c>
      <c r="AJ7642">
        <v>108.529248017315</v>
      </c>
      <c r="AK7642">
        <v>25.520494706839699</v>
      </c>
      <c r="AL7642">
        <v>77.535321662449107</v>
      </c>
      <c r="AM7642">
        <v>102.363152361094</v>
      </c>
      <c r="AN7642">
        <v>0.99999996959876902</v>
      </c>
    </row>
    <row r="7643" spans="1:40" x14ac:dyDescent="0.25">
      <c r="A7643" t="str">
        <f>"20190304154942701"</f>
        <v>20190304154942701</v>
      </c>
      <c r="B7643" t="str">
        <f>"1551685782694463"</f>
        <v>1551685782694463</v>
      </c>
      <c r="C7643" t="s">
        <v>40</v>
      </c>
      <c r="D7643">
        <v>4.3495350000000004</v>
      </c>
      <c r="E7643">
        <v>0.45309369999999999</v>
      </c>
      <c r="F7643" t="s">
        <v>44</v>
      </c>
      <c r="G7643">
        <v>-184.1371</v>
      </c>
      <c r="H7643" s="1">
        <v>-1.7894190000000001E-6</v>
      </c>
      <c r="I7643">
        <v>-29.677669999999999</v>
      </c>
      <c r="J7643">
        <v>-193.9599</v>
      </c>
      <c r="K7643">
        <v>1.120236</v>
      </c>
      <c r="L7643">
        <v>-52.837890000000002</v>
      </c>
      <c r="M7643">
        <v>0.6620161</v>
      </c>
      <c r="N7643">
        <v>-1.4516319999999999E-2</v>
      </c>
      <c r="O7643">
        <v>0.74934909999999999</v>
      </c>
      <c r="P7643">
        <v>0.4804235</v>
      </c>
      <c r="Q7643">
        <v>0.2064705</v>
      </c>
      <c r="R7643">
        <v>0.8523868</v>
      </c>
      <c r="S7643">
        <v>1.2229159999999999</v>
      </c>
      <c r="T7643">
        <v>-0.1378249</v>
      </c>
      <c r="U7643">
        <v>2.8668819999999999</v>
      </c>
      <c r="V7643">
        <v>-0.20925160000000001</v>
      </c>
      <c r="W7643">
        <v>0.21565190000000001</v>
      </c>
      <c r="X7643">
        <v>0.95378609999999997</v>
      </c>
      <c r="Y7643">
        <v>-0.31484640000000003</v>
      </c>
      <c r="Z7643">
        <v>-1.596158E-2</v>
      </c>
      <c r="AA7643">
        <v>0.94900839999999997</v>
      </c>
      <c r="AB7643">
        <v>30</v>
      </c>
      <c r="AC7643">
        <v>9.8228000000000009</v>
      </c>
      <c r="AD7643">
        <v>-1.1202377894190001</v>
      </c>
      <c r="AE7643">
        <v>23.160219999999999</v>
      </c>
      <c r="AF7643">
        <v>-7.9567943900172002</v>
      </c>
      <c r="AG7643">
        <v>-1.1202377894190001</v>
      </c>
      <c r="AH7643">
        <v>23.813235676328201</v>
      </c>
      <c r="AI7643">
        <v>92.554720718786996</v>
      </c>
      <c r="AJ7643">
        <v>108.476188796675</v>
      </c>
      <c r="AK7643">
        <v>25.132363658164</v>
      </c>
      <c r="AL7643">
        <v>77.546223713674607</v>
      </c>
      <c r="AM7643">
        <v>102.374104139883</v>
      </c>
      <c r="AN7643">
        <v>0.99999994931468805</v>
      </c>
    </row>
    <row r="7644" spans="1:40" x14ac:dyDescent="0.25">
      <c r="A7644" t="str">
        <f>"20190304154942713"</f>
        <v>20190304154942713</v>
      </c>
      <c r="B7644" t="str">
        <f>"1551685782705200"</f>
        <v>1551685782705200</v>
      </c>
      <c r="C7644" t="s">
        <v>40</v>
      </c>
      <c r="D7644">
        <v>4.3286910000000001</v>
      </c>
      <c r="E7644">
        <v>0.45344580000000001</v>
      </c>
      <c r="F7644" t="s">
        <v>44</v>
      </c>
      <c r="G7644">
        <v>-184.20519999999999</v>
      </c>
      <c r="H7644" s="1">
        <v>-1.819451E-6</v>
      </c>
      <c r="I7644">
        <v>-29.536210000000001</v>
      </c>
      <c r="J7644">
        <v>-193.8519</v>
      </c>
      <c r="K7644">
        <v>1.1202780000000001</v>
      </c>
      <c r="L7644">
        <v>-52.705840000000002</v>
      </c>
      <c r="M7644">
        <v>0.65680249999999996</v>
      </c>
      <c r="N7644">
        <v>-1.45246E-2</v>
      </c>
      <c r="O7644">
        <v>0.7539228</v>
      </c>
      <c r="P7644">
        <v>0.47463290000000002</v>
      </c>
      <c r="Q7644">
        <v>0.20671729999999999</v>
      </c>
      <c r="R7644">
        <v>0.85556509999999997</v>
      </c>
      <c r="S7644">
        <v>1.2034450000000001</v>
      </c>
      <c r="T7644">
        <v>-0.13820360000000001</v>
      </c>
      <c r="U7644">
        <v>2.8747250000000002</v>
      </c>
      <c r="V7644">
        <v>-0.2090912</v>
      </c>
      <c r="W7644">
        <v>0.21588979999999999</v>
      </c>
      <c r="X7644">
        <v>0.95376749999999999</v>
      </c>
      <c r="Y7644">
        <v>-0.31465530000000003</v>
      </c>
      <c r="Z7644">
        <v>-1.6225440000000001E-2</v>
      </c>
      <c r="AA7644">
        <v>0.94906729999999995</v>
      </c>
      <c r="AB7644">
        <v>30</v>
      </c>
      <c r="AC7644">
        <v>9.6467000000000098</v>
      </c>
      <c r="AD7644">
        <v>-1.120279819451</v>
      </c>
      <c r="AE7644">
        <v>23.169630000000002</v>
      </c>
      <c r="AF7644">
        <v>-7.9300414886169097</v>
      </c>
      <c r="AG7644">
        <v>-1.120279819451</v>
      </c>
      <c r="AH7644">
        <v>23.759260201689202</v>
      </c>
      <c r="AI7644">
        <v>92.5608945937025</v>
      </c>
      <c r="AJ7644">
        <v>108.457274799548</v>
      </c>
      <c r="AK7644">
        <v>25.072754739290801</v>
      </c>
      <c r="AL7644">
        <v>77.532264731093505</v>
      </c>
      <c r="AM7644">
        <v>102.365144477301</v>
      </c>
      <c r="AN7644">
        <v>0.99999998985886496</v>
      </c>
    </row>
    <row r="7645" spans="1:40" x14ac:dyDescent="0.25">
      <c r="A7645" t="str">
        <f>"20190304154942730"</f>
        <v>20190304154942730</v>
      </c>
      <c r="B7645" t="str">
        <f>"1551685782724720"</f>
        <v>1551685782724720</v>
      </c>
      <c r="C7645" t="s">
        <v>40</v>
      </c>
      <c r="D7645">
        <v>4.3272469999999998</v>
      </c>
      <c r="E7645">
        <v>0.4541461</v>
      </c>
      <c r="F7645" t="s">
        <v>44</v>
      </c>
      <c r="G7645">
        <v>-184.25239999999999</v>
      </c>
      <c r="H7645" s="1">
        <v>-1.8541289999999999E-6</v>
      </c>
      <c r="I7645">
        <v>-29.39734</v>
      </c>
      <c r="J7645">
        <v>-193.7159</v>
      </c>
      <c r="K7645">
        <v>1.1203289999999999</v>
      </c>
      <c r="L7645">
        <v>-52.536589999999997</v>
      </c>
      <c r="M7645">
        <v>0.6500766</v>
      </c>
      <c r="N7645">
        <v>-1.4535360000000001E-2</v>
      </c>
      <c r="O7645">
        <v>0.75972969999999995</v>
      </c>
      <c r="P7645">
        <v>0.4668448</v>
      </c>
      <c r="Q7645">
        <v>0.2070157</v>
      </c>
      <c r="R7645">
        <v>0.85976769999999902</v>
      </c>
      <c r="S7645">
        <v>1.186752</v>
      </c>
      <c r="T7645">
        <v>-0.13849690000000001</v>
      </c>
      <c r="U7645">
        <v>2.881561</v>
      </c>
      <c r="V7645">
        <v>-0.20926220000000001</v>
      </c>
      <c r="W7645">
        <v>0.21616869999999999</v>
      </c>
      <c r="X7645">
        <v>0.95366689999999998</v>
      </c>
      <c r="Y7645">
        <v>-0.3117163</v>
      </c>
      <c r="Z7645">
        <v>-1.6576150000000001E-2</v>
      </c>
      <c r="AA7645">
        <v>0.95003059999999995</v>
      </c>
      <c r="AB7645">
        <v>30</v>
      </c>
      <c r="AC7645">
        <v>9.4634999999999998</v>
      </c>
      <c r="AD7645">
        <v>-1.120330854129</v>
      </c>
      <c r="AE7645">
        <v>23.139250000000001</v>
      </c>
      <c r="AF7645">
        <v>-7.83767205165978</v>
      </c>
      <c r="AG7645">
        <v>-1.120330854129</v>
      </c>
      <c r="AH7645">
        <v>23.6865125970474</v>
      </c>
      <c r="AI7645">
        <v>92.571074088146503</v>
      </c>
      <c r="AJ7645">
        <v>108.308954533799</v>
      </c>
      <c r="AK7645">
        <v>24.9746896561733</v>
      </c>
      <c r="AL7645">
        <v>77.515899441754698</v>
      </c>
      <c r="AM7645">
        <v>102.376210727933</v>
      </c>
      <c r="AN7645">
        <v>1.00000006568206</v>
      </c>
    </row>
    <row r="7646" spans="1:40" x14ac:dyDescent="0.25">
      <c r="A7646" t="str">
        <f>"20190304154942743"</f>
        <v>20190304154942743</v>
      </c>
      <c r="B7646" t="str">
        <f>"1551685782734480"</f>
        <v>1551685782734480</v>
      </c>
      <c r="C7646" t="s">
        <v>40</v>
      </c>
      <c r="D7646">
        <v>4.3387409999999997</v>
      </c>
      <c r="E7646">
        <v>0.45439679999999999</v>
      </c>
      <c r="F7646" t="s">
        <v>44</v>
      </c>
      <c r="G7646">
        <v>-184.3484</v>
      </c>
      <c r="H7646" s="1">
        <v>-1.8533840000000001E-6</v>
      </c>
      <c r="I7646">
        <v>-29.324480000000001</v>
      </c>
      <c r="J7646">
        <v>-193.6174</v>
      </c>
      <c r="K7646">
        <v>1.12036</v>
      </c>
      <c r="L7646">
        <v>-52.411529999999999</v>
      </c>
      <c r="M7646">
        <v>0.64507899999999996</v>
      </c>
      <c r="N7646">
        <v>-1.4543179999999999E-2</v>
      </c>
      <c r="O7646">
        <v>0.76397749999999998</v>
      </c>
      <c r="P7646">
        <v>0.4610206</v>
      </c>
      <c r="Q7646">
        <v>0.2071905</v>
      </c>
      <c r="R7646">
        <v>0.86286280000000004</v>
      </c>
      <c r="S7646">
        <v>1.166153</v>
      </c>
      <c r="T7646">
        <v>-0.13947019999999999</v>
      </c>
      <c r="U7646">
        <v>2.8896790000000001</v>
      </c>
      <c r="V7646">
        <v>-0.20945050000000001</v>
      </c>
      <c r="W7646">
        <v>0.2163293</v>
      </c>
      <c r="X7646">
        <v>0.95358909999999997</v>
      </c>
      <c r="Y7646">
        <v>-0.31223430000000002</v>
      </c>
      <c r="Z7646">
        <v>-1.694116E-2</v>
      </c>
      <c r="AA7646">
        <v>0.94985410000000003</v>
      </c>
      <c r="AB7646">
        <v>30</v>
      </c>
      <c r="AC7646">
        <v>9.2690000000000001</v>
      </c>
      <c r="AD7646">
        <v>-1.1203618533840001</v>
      </c>
      <c r="AE7646">
        <v>23.087050000000001</v>
      </c>
      <c r="AF7646">
        <v>-7.7966777318049401</v>
      </c>
      <c r="AG7646">
        <v>-1.1203618533840001</v>
      </c>
      <c r="AH7646">
        <v>23.571916552526702</v>
      </c>
      <c r="AI7646">
        <v>92.583728368733603</v>
      </c>
      <c r="AJ7646">
        <v>108.302216586379</v>
      </c>
      <c r="AK7646">
        <v>24.853141537749799</v>
      </c>
      <c r="AL7646">
        <v>77.506474216255299</v>
      </c>
      <c r="AM7646">
        <v>102.38798296619601</v>
      </c>
      <c r="AN7646">
        <v>1.0000000248137699</v>
      </c>
    </row>
    <row r="7647" spans="1:40" x14ac:dyDescent="0.25">
      <c r="A7647" t="str">
        <f>"20190304154942755"</f>
        <v>20190304154942755</v>
      </c>
      <c r="B7647" t="str">
        <f>"1551685782744240"</f>
        <v>1551685782744240</v>
      </c>
      <c r="C7647" t="s">
        <v>40</v>
      </c>
      <c r="D7647">
        <v>4.5823340000000004</v>
      </c>
      <c r="E7647">
        <v>0.45441540000000002</v>
      </c>
      <c r="F7647" t="s">
        <v>44</v>
      </c>
      <c r="G7647">
        <v>-184.36019999999999</v>
      </c>
      <c r="H7647" s="1">
        <v>-1.935854E-6</v>
      </c>
      <c r="I7647">
        <v>-29.072900000000001</v>
      </c>
      <c r="J7647">
        <v>-193.51949999999999</v>
      </c>
      <c r="K7647">
        <v>1.1203909999999999</v>
      </c>
      <c r="L7647">
        <v>-52.28595</v>
      </c>
      <c r="M7647">
        <v>0.64003859999999901</v>
      </c>
      <c r="N7647">
        <v>-1.4550570000000001E-2</v>
      </c>
      <c r="O7647">
        <v>0.76820500000000003</v>
      </c>
      <c r="P7647">
        <v>0.4550343</v>
      </c>
      <c r="Q7647">
        <v>0.207232</v>
      </c>
      <c r="R7647">
        <v>0.86602469999999998</v>
      </c>
      <c r="S7647">
        <v>1.1488339999999999</v>
      </c>
      <c r="T7647">
        <v>-0.13903879999999999</v>
      </c>
      <c r="U7647">
        <v>2.8963619999999999</v>
      </c>
      <c r="V7647">
        <v>-0.20979130000000001</v>
      </c>
      <c r="W7647">
        <v>0.2163535</v>
      </c>
      <c r="X7647">
        <v>0.95350869999999999</v>
      </c>
      <c r="Y7647">
        <v>-0.31164380000000003</v>
      </c>
      <c r="Z7647">
        <v>-1.703238E-2</v>
      </c>
      <c r="AA7647">
        <v>0.95004639999999996</v>
      </c>
      <c r="AB7647">
        <v>30</v>
      </c>
      <c r="AC7647">
        <v>9.1593</v>
      </c>
      <c r="AD7647">
        <v>-1.1203929358539999</v>
      </c>
      <c r="AE7647">
        <v>23.213049999999999</v>
      </c>
      <c r="AF7647">
        <v>-7.8061207027588697</v>
      </c>
      <c r="AG7647">
        <v>-1.1203929358539999</v>
      </c>
      <c r="AH7647">
        <v>23.649523384621599</v>
      </c>
      <c r="AI7647">
        <v>92.575858266819097</v>
      </c>
      <c r="AJ7647">
        <v>108.26677436446499</v>
      </c>
      <c r="AK7647">
        <v>24.929716345688998</v>
      </c>
      <c r="AL7647">
        <v>77.505054138563807</v>
      </c>
      <c r="AM7647">
        <v>102.408529638064</v>
      </c>
      <c r="AN7647">
        <v>1.00000003374681</v>
      </c>
    </row>
    <row r="7648" spans="1:40" x14ac:dyDescent="0.25">
      <c r="A7648" t="str">
        <f>"20190304154942767"</f>
        <v>20190304154942767</v>
      </c>
      <c r="B7648" t="str">
        <f>"1551685782764736"</f>
        <v>1551685782764736</v>
      </c>
      <c r="C7648" t="s">
        <v>40</v>
      </c>
      <c r="D7648">
        <v>4.2999150000000004</v>
      </c>
      <c r="E7648">
        <v>0.45414100000000002</v>
      </c>
      <c r="F7648" t="s">
        <v>44</v>
      </c>
      <c r="G7648">
        <v>-184.56899999999999</v>
      </c>
      <c r="H7648" s="1">
        <v>-1.8134089999999999E-6</v>
      </c>
      <c r="I7648">
        <v>-29.269469999999998</v>
      </c>
      <c r="J7648">
        <v>-193.4194</v>
      </c>
      <c r="K7648">
        <v>1.1204209999999999</v>
      </c>
      <c r="L7648">
        <v>-52.155729999999998</v>
      </c>
      <c r="M7648">
        <v>0.63478889999999999</v>
      </c>
      <c r="N7648">
        <v>-1.4557799999999999E-2</v>
      </c>
      <c r="O7648">
        <v>0.77254840000000002</v>
      </c>
      <c r="P7648">
        <v>0.44885809999999998</v>
      </c>
      <c r="Q7648">
        <v>0.20730370000000001</v>
      </c>
      <c r="R7648">
        <v>0.86922469999999996</v>
      </c>
      <c r="S7648">
        <v>1.1294709999999999</v>
      </c>
      <c r="T7648">
        <v>-0.14138390000000001</v>
      </c>
      <c r="U7648">
        <v>2.90448</v>
      </c>
      <c r="V7648">
        <v>-0.21008830000000001</v>
      </c>
      <c r="W7648">
        <v>0.21640980000000001</v>
      </c>
      <c r="X7648">
        <v>0.95343049999999996</v>
      </c>
      <c r="Y7648">
        <v>-0.3115713</v>
      </c>
      <c r="Z7648">
        <v>-1.770712E-2</v>
      </c>
      <c r="AA7648">
        <v>0.9500577</v>
      </c>
      <c r="AB7648">
        <v>29</v>
      </c>
      <c r="AC7648">
        <v>8.8503999999999792</v>
      </c>
      <c r="AD7648">
        <v>-1.120422813409</v>
      </c>
      <c r="AE7648">
        <v>22.88626</v>
      </c>
      <c r="AF7648">
        <v>-7.6753943466286501</v>
      </c>
      <c r="AG7648">
        <v>-1.120422813409</v>
      </c>
      <c r="AH7648">
        <v>23.252869373575098</v>
      </c>
      <c r="AI7648">
        <v>92.619800371567393</v>
      </c>
      <c r="AJ7648">
        <v>108.267217171753</v>
      </c>
      <c r="AK7648">
        <v>24.512506190955101</v>
      </c>
      <c r="AL7648">
        <v>77.501749768242703</v>
      </c>
      <c r="AM7648">
        <v>102.426538519191</v>
      </c>
      <c r="AN7648">
        <v>1.00000000683159</v>
      </c>
    </row>
    <row r="7649" spans="1:40" x14ac:dyDescent="0.25">
      <c r="A7649" t="str">
        <f>"20190304154942781"</f>
        <v>20190304154942781</v>
      </c>
      <c r="B7649" t="str">
        <f>"1551685782774496"</f>
        <v>1551685782774496</v>
      </c>
      <c r="C7649" t="s">
        <v>40</v>
      </c>
      <c r="D7649">
        <v>4.2699369999999996</v>
      </c>
      <c r="E7649">
        <v>0.4344307</v>
      </c>
      <c r="F7649" t="s">
        <v>44</v>
      </c>
      <c r="G7649">
        <v>-184.64240000000001</v>
      </c>
      <c r="H7649" s="1">
        <v>-1.8663499999999999E-6</v>
      </c>
      <c r="I7649">
        <v>-29.0565</v>
      </c>
      <c r="J7649">
        <v>-193.3229</v>
      </c>
      <c r="K7649">
        <v>1.120444</v>
      </c>
      <c r="L7649">
        <v>-52.02805</v>
      </c>
      <c r="M7649">
        <v>0.62962320000000005</v>
      </c>
      <c r="N7649">
        <v>-1.456433E-2</v>
      </c>
      <c r="O7649">
        <v>0.77676409999999996</v>
      </c>
      <c r="P7649">
        <v>0.44290679999999999</v>
      </c>
      <c r="Q7649">
        <v>0.20714350000000001</v>
      </c>
      <c r="R7649">
        <v>0.87231019999999904</v>
      </c>
      <c r="S7649">
        <v>1.106995</v>
      </c>
      <c r="T7649">
        <v>-0.141313299999999</v>
      </c>
      <c r="U7649">
        <v>2.9133909999999998</v>
      </c>
      <c r="V7649">
        <v>-0.210281</v>
      </c>
      <c r="W7649">
        <v>0.2162395</v>
      </c>
      <c r="X7649">
        <v>0.95342669999999996</v>
      </c>
      <c r="Y7649">
        <v>-0.31260549999999998</v>
      </c>
      <c r="Z7649">
        <v>-1.784173E-2</v>
      </c>
      <c r="AA7649">
        <v>0.94971550000000005</v>
      </c>
      <c r="AB7649">
        <v>29</v>
      </c>
      <c r="AC7649">
        <v>8.6804999999999897</v>
      </c>
      <c r="AD7649">
        <v>-1.1204458663500001</v>
      </c>
      <c r="AE7649">
        <v>22.971550000000001</v>
      </c>
      <c r="AF7649">
        <v>-7.7054980935467698</v>
      </c>
      <c r="AG7649">
        <v>-1.1204458663500001</v>
      </c>
      <c r="AH7649">
        <v>23.262964333126</v>
      </c>
      <c r="AI7649">
        <v>92.617822013725203</v>
      </c>
      <c r="AJ7649">
        <v>108.32665574879201</v>
      </c>
      <c r="AK7649">
        <v>24.5315227691509</v>
      </c>
      <c r="AL7649">
        <v>77.511744386079698</v>
      </c>
      <c r="AM7649">
        <v>102.437630029952</v>
      </c>
      <c r="AN7649">
        <v>1.00000004629706</v>
      </c>
    </row>
    <row r="7650" spans="1:40" x14ac:dyDescent="0.25">
      <c r="A7650" t="str">
        <f>"20190304154942798"</f>
        <v>20190304154942798</v>
      </c>
      <c r="B7650" t="str">
        <f>"1551685782794992"</f>
        <v>1551685782794992</v>
      </c>
      <c r="C7650" t="s">
        <v>40</v>
      </c>
      <c r="D7650">
        <v>4.2707800000000002</v>
      </c>
      <c r="E7650">
        <v>0.43358639999999998</v>
      </c>
      <c r="F7650" t="s">
        <v>44</v>
      </c>
      <c r="G7650">
        <v>-181.05840000000001</v>
      </c>
      <c r="H7650" s="1">
        <v>-4.8354679999999997E-6</v>
      </c>
      <c r="I7650">
        <v>-13.133839999999999</v>
      </c>
      <c r="J7650">
        <v>-193.1892</v>
      </c>
      <c r="K7650">
        <v>1.120471</v>
      </c>
      <c r="L7650">
        <v>-51.84854</v>
      </c>
      <c r="M7650">
        <v>0.6223301</v>
      </c>
      <c r="N7650">
        <v>-1.4572679999999999E-2</v>
      </c>
      <c r="O7650">
        <v>0.78261919999999996</v>
      </c>
      <c r="P7650">
        <v>0.43409589999999998</v>
      </c>
      <c r="Q7650">
        <v>0.20622109999999999</v>
      </c>
      <c r="R7650">
        <v>0.87694559999999999</v>
      </c>
      <c r="S7650">
        <v>0.94033809999999995</v>
      </c>
      <c r="T7650">
        <v>-8.5906739999999995E-2</v>
      </c>
      <c r="U7650">
        <v>2.9820859999999998</v>
      </c>
      <c r="V7650">
        <v>-0.21110000000000001</v>
      </c>
      <c r="W7650">
        <v>0.2152915</v>
      </c>
      <c r="X7650">
        <v>0.95346019999999998</v>
      </c>
      <c r="Y7650">
        <v>-0.3580779</v>
      </c>
      <c r="Z7650">
        <v>-5.2472329999999996E-3</v>
      </c>
      <c r="AA7650">
        <v>0.93367699999999998</v>
      </c>
      <c r="AB7650">
        <v>29</v>
      </c>
      <c r="AC7650">
        <v>12.130799999999899</v>
      </c>
      <c r="AD7650">
        <v>-1.120475835468</v>
      </c>
      <c r="AE7650">
        <v>38.714700000000001</v>
      </c>
      <c r="AF7650">
        <v>-14.589948690560099</v>
      </c>
      <c r="AG7650">
        <v>-1.120475835468</v>
      </c>
      <c r="AH7650">
        <v>37.8234006882413</v>
      </c>
      <c r="AI7650">
        <v>91.583189356360293</v>
      </c>
      <c r="AJ7650">
        <v>111.093556221049</v>
      </c>
      <c r="AK7650">
        <v>40.555291991481198</v>
      </c>
      <c r="AL7650">
        <v>77.567370430163095</v>
      </c>
      <c r="AM7650">
        <v>102.484131052649</v>
      </c>
      <c r="AN7650">
        <v>0.99999999647814397</v>
      </c>
    </row>
    <row r="7651" spans="1:40" x14ac:dyDescent="0.25">
      <c r="A7651" t="str">
        <f>"20190304154942812"</f>
        <v>20190304154942812</v>
      </c>
      <c r="B7651" t="str">
        <f>"1551685782804752"</f>
        <v>1551685782804752</v>
      </c>
      <c r="C7651" t="s">
        <v>40</v>
      </c>
      <c r="D7651">
        <v>4.2383839999999999</v>
      </c>
      <c r="E7651">
        <v>0.43365160000000003</v>
      </c>
      <c r="F7651" t="s">
        <v>44</v>
      </c>
      <c r="G7651">
        <v>-180.73079999999999</v>
      </c>
      <c r="H7651" s="1">
        <v>-5.8629259999999997E-6</v>
      </c>
      <c r="I7651">
        <v>-10.53327</v>
      </c>
      <c r="J7651">
        <v>-193.08330000000001</v>
      </c>
      <c r="K7651">
        <v>1.1204879999999999</v>
      </c>
      <c r="L7651">
        <v>-51.704279999999997</v>
      </c>
      <c r="M7651">
        <v>0.61644339999999997</v>
      </c>
      <c r="N7651">
        <v>-1.457875E-2</v>
      </c>
      <c r="O7651">
        <v>0.78726430000000003</v>
      </c>
      <c r="P7651">
        <v>0.42738150000000003</v>
      </c>
      <c r="Q7651">
        <v>0.20600389999999999</v>
      </c>
      <c r="R7651">
        <v>0.88028819999999997</v>
      </c>
      <c r="S7651">
        <v>0.90260309999999999</v>
      </c>
      <c r="T7651">
        <v>-8.1177589999999994E-2</v>
      </c>
      <c r="U7651">
        <v>2.9932560000000001</v>
      </c>
      <c r="V7651">
        <v>-0.2112734</v>
      </c>
      <c r="W7651">
        <v>0.21506610000000001</v>
      </c>
      <c r="X7651">
        <v>0.95347269999999895</v>
      </c>
      <c r="Y7651">
        <v>-0.36282399999999998</v>
      </c>
      <c r="Z7651">
        <v>-4.2666880000000003E-3</v>
      </c>
      <c r="AA7651">
        <v>0.93184789999999995</v>
      </c>
      <c r="AB7651">
        <v>29</v>
      </c>
      <c r="AC7651">
        <v>12.352499999999999</v>
      </c>
      <c r="AD7651">
        <v>-1.120493862926</v>
      </c>
      <c r="AE7651">
        <v>41.171010000000003</v>
      </c>
      <c r="AF7651">
        <v>-15.645946640396</v>
      </c>
      <c r="AG7651">
        <v>-1.120493862926</v>
      </c>
      <c r="AH7651">
        <v>40.004152515857697</v>
      </c>
      <c r="AI7651">
        <v>91.494240163182099</v>
      </c>
      <c r="AJ7651">
        <v>111.36086873491099</v>
      </c>
      <c r="AK7651">
        <v>42.969563312686603</v>
      </c>
      <c r="AL7651">
        <v>77.580595145774694</v>
      </c>
      <c r="AM7651">
        <v>102.49390513310399</v>
      </c>
      <c r="AN7651">
        <v>1.0000000332810199</v>
      </c>
    </row>
    <row r="7652" spans="1:40" x14ac:dyDescent="0.25">
      <c r="A7652" t="str">
        <f>"20190304154942832"</f>
        <v>20190304154942832</v>
      </c>
      <c r="B7652" t="str">
        <f>"1551685782824272"</f>
        <v>1551685782824272</v>
      </c>
      <c r="C7652" t="s">
        <v>40</v>
      </c>
      <c r="D7652">
        <v>4.2462439999999999</v>
      </c>
      <c r="E7652">
        <v>0.43379709999999999</v>
      </c>
      <c r="F7652" t="s">
        <v>44</v>
      </c>
      <c r="G7652">
        <v>-181.01759999999999</v>
      </c>
      <c r="H7652" s="1">
        <v>-5.8004329999999998E-6</v>
      </c>
      <c r="I7652">
        <v>-10.560359999999999</v>
      </c>
      <c r="J7652">
        <v>-192.92920000000001</v>
      </c>
      <c r="K7652">
        <v>1.1205039999999999</v>
      </c>
      <c r="L7652">
        <v>-51.489350000000002</v>
      </c>
      <c r="M7652">
        <v>0.60765080000000005</v>
      </c>
      <c r="N7652">
        <v>-1.458661E-2</v>
      </c>
      <c r="O7652">
        <v>0.79407030000000001</v>
      </c>
      <c r="P7652">
        <v>0.41661300000000001</v>
      </c>
      <c r="Q7652">
        <v>0.20544680000000001</v>
      </c>
      <c r="R7652">
        <v>0.88556489999999999</v>
      </c>
      <c r="S7652">
        <v>0.87976069999999995</v>
      </c>
      <c r="T7652">
        <v>-8.1699729999999998E-2</v>
      </c>
      <c r="U7652">
        <v>2.9999690000000001</v>
      </c>
      <c r="V7652">
        <v>-0.21237990000000001</v>
      </c>
      <c r="W7652">
        <v>0.21447840000000001</v>
      </c>
      <c r="X7652">
        <v>0.95335919999999996</v>
      </c>
      <c r="Y7652">
        <v>-0.35955740000000003</v>
      </c>
      <c r="Z7652">
        <v>-4.5627510000000003E-3</v>
      </c>
      <c r="AA7652">
        <v>0.93311180000000005</v>
      </c>
      <c r="AB7652">
        <v>29</v>
      </c>
      <c r="AC7652">
        <v>11.9116</v>
      </c>
      <c r="AD7652">
        <v>-1.1205098004330001</v>
      </c>
      <c r="AE7652">
        <v>40.928989999999999</v>
      </c>
      <c r="AF7652">
        <v>-15.4028833593608</v>
      </c>
      <c r="AG7652">
        <v>-1.1205098004330001</v>
      </c>
      <c r="AH7652">
        <v>39.715376581465499</v>
      </c>
      <c r="AI7652">
        <v>91.506789184716297</v>
      </c>
      <c r="AJ7652">
        <v>111.197873189001</v>
      </c>
      <c r="AK7652">
        <v>42.612386638189697</v>
      </c>
      <c r="AL7652">
        <v>77.615071825138898</v>
      </c>
      <c r="AM7652">
        <v>102.55871670055799</v>
      </c>
      <c r="AN7652">
        <v>0.99999998510760402</v>
      </c>
    </row>
    <row r="7653" spans="1:40" x14ac:dyDescent="0.25">
      <c r="A7653" t="str">
        <f>"20190304154942844"</f>
        <v>20190304154942844</v>
      </c>
      <c r="B7653" t="str">
        <f>"1551685782835008"</f>
        <v>1551685782835008</v>
      </c>
      <c r="C7653" t="s">
        <v>40</v>
      </c>
      <c r="D7653">
        <v>4.2497980000000002</v>
      </c>
      <c r="E7653">
        <v>0.43441400000000002</v>
      </c>
      <c r="F7653" t="s">
        <v>44</v>
      </c>
      <c r="G7653">
        <v>-181.5103</v>
      </c>
      <c r="H7653" s="1">
        <v>-5.6113909999999997E-6</v>
      </c>
      <c r="I7653">
        <v>-10.79729</v>
      </c>
      <c r="J7653">
        <v>-192.83189999999999</v>
      </c>
      <c r="K7653">
        <v>1.1205130000000001</v>
      </c>
      <c r="L7653">
        <v>-51.350490000000001</v>
      </c>
      <c r="M7653">
        <v>0.60195959999999904</v>
      </c>
      <c r="N7653">
        <v>-1.459075E-2</v>
      </c>
      <c r="O7653">
        <v>0.79839320000000003</v>
      </c>
      <c r="P7653">
        <v>0.40986319999999998</v>
      </c>
      <c r="Q7653">
        <v>0.20508709999999999</v>
      </c>
      <c r="R7653">
        <v>0.88879219999999903</v>
      </c>
      <c r="S7653">
        <v>0.8445435</v>
      </c>
      <c r="T7653">
        <v>-8.2872870000000001E-2</v>
      </c>
      <c r="U7653">
        <v>3.0095830000000001</v>
      </c>
      <c r="V7653">
        <v>-0.21286679999999999</v>
      </c>
      <c r="W7653">
        <v>0.21410580000000001</v>
      </c>
      <c r="X7653">
        <v>0.95333440000000003</v>
      </c>
      <c r="Y7653">
        <v>-0.36377759999999998</v>
      </c>
      <c r="Z7653">
        <v>-4.8542330000000003E-3</v>
      </c>
      <c r="AA7653">
        <v>0.9314732</v>
      </c>
      <c r="AB7653">
        <v>29</v>
      </c>
      <c r="AC7653">
        <v>11.321599999999901</v>
      </c>
      <c r="AD7653">
        <v>-1.120518611391</v>
      </c>
      <c r="AE7653">
        <v>40.553199999999997</v>
      </c>
      <c r="AF7653">
        <v>-15.3630554902282</v>
      </c>
      <c r="AG7653">
        <v>-1.120518611391</v>
      </c>
      <c r="AH7653">
        <v>39.168976552425598</v>
      </c>
      <c r="AI7653">
        <v>91.525541210419107</v>
      </c>
      <c r="AJ7653">
        <v>111.416357659261</v>
      </c>
      <c r="AK7653">
        <v>42.089045607126401</v>
      </c>
      <c r="AL7653">
        <v>77.636928437440105</v>
      </c>
      <c r="AM7653">
        <v>102.586909276767</v>
      </c>
      <c r="AN7653">
        <v>1.00000002317961</v>
      </c>
    </row>
    <row r="7654" spans="1:40" x14ac:dyDescent="0.25">
      <c r="A7654" t="str">
        <f>"20190304154942857"</f>
        <v>20190304154942857</v>
      </c>
      <c r="B7654" t="str">
        <f>"1551685782854528"</f>
        <v>1551685782854528</v>
      </c>
      <c r="C7654" t="s">
        <v>40</v>
      </c>
      <c r="D7654">
        <v>4.349704</v>
      </c>
      <c r="E7654">
        <v>0.43539270000000002</v>
      </c>
      <c r="F7654" t="s">
        <v>44</v>
      </c>
      <c r="G7654">
        <v>-182.30340000000001</v>
      </c>
      <c r="H7654" s="1">
        <v>-4.5673829999999998E-6</v>
      </c>
      <c r="I7654">
        <v>-12.94825</v>
      </c>
      <c r="J7654">
        <v>-192.7473</v>
      </c>
      <c r="K7654">
        <v>1.1205160000000001</v>
      </c>
      <c r="L7654">
        <v>-51.22842</v>
      </c>
      <c r="M7654">
        <v>0.596944699999999</v>
      </c>
      <c r="N7654">
        <v>-1.459393E-2</v>
      </c>
      <c r="O7654">
        <v>0.80214960000000002</v>
      </c>
      <c r="P7654">
        <v>0.40381650000000002</v>
      </c>
      <c r="Q7654">
        <v>0.20487839999999999</v>
      </c>
      <c r="R7654">
        <v>0.8916037</v>
      </c>
      <c r="S7654">
        <v>0.82647709999999996</v>
      </c>
      <c r="T7654">
        <v>-8.7959170000000003E-2</v>
      </c>
      <c r="U7654">
        <v>3.014526</v>
      </c>
      <c r="V7654">
        <v>-0.213397</v>
      </c>
      <c r="W7654">
        <v>0.21388360000000001</v>
      </c>
      <c r="X7654">
        <v>0.95326569999999999</v>
      </c>
      <c r="Y7654">
        <v>-0.36351869999999997</v>
      </c>
      <c r="Z7654">
        <v>-6.0606660000000001E-3</v>
      </c>
      <c r="AA7654">
        <v>0.93156719999999904</v>
      </c>
      <c r="AB7654">
        <v>29</v>
      </c>
      <c r="AC7654">
        <v>10.4438999999999</v>
      </c>
      <c r="AD7654">
        <v>-1.1205205673829901</v>
      </c>
      <c r="AE7654">
        <v>38.280169999999998</v>
      </c>
      <c r="AF7654">
        <v>-14.463582188071801</v>
      </c>
      <c r="AG7654">
        <v>-1.1205205673829901</v>
      </c>
      <c r="AH7654">
        <v>36.9153507455202</v>
      </c>
      <c r="AI7654">
        <v>91.618859371848004</v>
      </c>
      <c r="AJ7654">
        <v>111.39544474281401</v>
      </c>
      <c r="AK7654">
        <v>39.6635083763125</v>
      </c>
      <c r="AL7654">
        <v>77.649960985168207</v>
      </c>
      <c r="AM7654">
        <v>102.61813784604399</v>
      </c>
      <c r="AN7654">
        <v>0.99999998437722404</v>
      </c>
    </row>
    <row r="7655" spans="1:40" x14ac:dyDescent="0.25">
      <c r="A7655" t="str">
        <f>"20190304154942873"</f>
        <v>20190304154942873</v>
      </c>
      <c r="B7655" t="str">
        <f>"1551685782864288"</f>
        <v>1551685782864288</v>
      </c>
      <c r="C7655" t="s">
        <v>40</v>
      </c>
      <c r="D7655">
        <v>4.2827609999999998</v>
      </c>
      <c r="E7655">
        <v>0.43582029999999999</v>
      </c>
      <c r="F7655" t="s">
        <v>44</v>
      </c>
      <c r="G7655">
        <v>-183.2372</v>
      </c>
      <c r="H7655" s="1">
        <v>-3.290036E-6</v>
      </c>
      <c r="I7655">
        <v>-15.97166</v>
      </c>
      <c r="J7655">
        <v>-192.6378</v>
      </c>
      <c r="K7655">
        <v>1.120512</v>
      </c>
      <c r="L7655">
        <v>-51.068480000000001</v>
      </c>
      <c r="M7655">
        <v>0.59036089999999997</v>
      </c>
      <c r="N7655">
        <v>-1.459746E-2</v>
      </c>
      <c r="O7655">
        <v>0.80700740000000004</v>
      </c>
      <c r="P7655">
        <v>0.39637749999999999</v>
      </c>
      <c r="Q7655">
        <v>0.20436770000000001</v>
      </c>
      <c r="R7655">
        <v>0.89505239999999997</v>
      </c>
      <c r="S7655">
        <v>0.81408689999999995</v>
      </c>
      <c r="T7655">
        <v>-9.5919249999999998E-2</v>
      </c>
      <c r="U7655">
        <v>3.0180660000000001</v>
      </c>
      <c r="V7655">
        <v>-0.2135957</v>
      </c>
      <c r="W7655">
        <v>0.21336930000000001</v>
      </c>
      <c r="X7655">
        <v>0.95333650000000003</v>
      </c>
      <c r="Y7655">
        <v>-0.35972989999999999</v>
      </c>
      <c r="Z7655">
        <v>-8.0022269999999902E-3</v>
      </c>
      <c r="AA7655">
        <v>0.93302220000000002</v>
      </c>
      <c r="AB7655">
        <v>29</v>
      </c>
      <c r="AC7655">
        <v>9.4005999999999901</v>
      </c>
      <c r="AD7655">
        <v>-1.120515290036</v>
      </c>
      <c r="AE7655">
        <v>35.096820000000001</v>
      </c>
      <c r="AF7655">
        <v>-13.1223556361936</v>
      </c>
      <c r="AG7655">
        <v>-1.120515290036</v>
      </c>
      <c r="AH7655">
        <v>33.844560948536703</v>
      </c>
      <c r="AI7655">
        <v>91.768082047205397</v>
      </c>
      <c r="AJ7655">
        <v>111.19251779305699</v>
      </c>
      <c r="AK7655">
        <v>36.316746519438702</v>
      </c>
      <c r="AL7655">
        <v>77.680125110519597</v>
      </c>
      <c r="AM7655">
        <v>102.628602371516</v>
      </c>
      <c r="AN7655">
        <v>1.00000003173661</v>
      </c>
    </row>
    <row r="7656" spans="1:40" x14ac:dyDescent="0.25">
      <c r="A7656" t="str">
        <f>"20190304154942888"</f>
        <v>20190304154942888</v>
      </c>
      <c r="B7656" t="str">
        <f>"1551685782884784"</f>
        <v>1551685782884784</v>
      </c>
      <c r="C7656" t="s">
        <v>40</v>
      </c>
      <c r="D7656">
        <v>4.2938900000000002</v>
      </c>
      <c r="E7656">
        <v>0.43649710000000003</v>
      </c>
      <c r="F7656" t="s">
        <v>44</v>
      </c>
      <c r="G7656">
        <v>-183.7182</v>
      </c>
      <c r="H7656" s="1">
        <v>-2.8023919999999998E-6</v>
      </c>
      <c r="I7656">
        <v>-17.028559999999999</v>
      </c>
      <c r="J7656">
        <v>-192.5147</v>
      </c>
      <c r="K7656">
        <v>1.1205130000000001</v>
      </c>
      <c r="L7656">
        <v>-50.884369999999997</v>
      </c>
      <c r="M7656">
        <v>0.58277860000000004</v>
      </c>
      <c r="N7656">
        <v>-1.4600429999999999E-2</v>
      </c>
      <c r="O7656">
        <v>0.81249979999999999</v>
      </c>
      <c r="P7656">
        <v>0.38780989999999999</v>
      </c>
      <c r="Q7656">
        <v>0.20324339999999999</v>
      </c>
      <c r="R7656">
        <v>0.89905259999999998</v>
      </c>
      <c r="S7656">
        <v>0.79229740000000004</v>
      </c>
      <c r="T7656">
        <v>-9.9530579999999994E-2</v>
      </c>
      <c r="U7656">
        <v>3.0236209999999999</v>
      </c>
      <c r="V7656">
        <v>-0.21389939999999999</v>
      </c>
      <c r="W7656">
        <v>0.21224229999999999</v>
      </c>
      <c r="X7656">
        <v>0.95351989999999998</v>
      </c>
      <c r="Y7656">
        <v>-0.35770370000000001</v>
      </c>
      <c r="Z7656">
        <v>-8.9964559999999999E-3</v>
      </c>
      <c r="AA7656">
        <v>0.93379179999999995</v>
      </c>
      <c r="AB7656">
        <v>29</v>
      </c>
      <c r="AC7656">
        <v>8.7965</v>
      </c>
      <c r="AD7656">
        <v>-1.1205158023920001</v>
      </c>
      <c r="AE7656">
        <v>33.855809999999998</v>
      </c>
      <c r="AF7656">
        <v>-12.571728406604</v>
      </c>
      <c r="AG7656">
        <v>-1.1205158023920001</v>
      </c>
      <c r="AH7656">
        <v>32.604273896597199</v>
      </c>
      <c r="AI7656">
        <v>91.836616677861599</v>
      </c>
      <c r="AJ7656">
        <v>111.085905499902</v>
      </c>
      <c r="AK7656">
        <v>34.962016347990499</v>
      </c>
      <c r="AL7656">
        <v>77.746210464494496</v>
      </c>
      <c r="AM7656">
        <v>102.643627065684</v>
      </c>
      <c r="AN7656">
        <v>0.99999997346282898</v>
      </c>
    </row>
    <row r="7657" spans="1:40" x14ac:dyDescent="0.25">
      <c r="A7657" t="str">
        <f>"20190304154942910"</f>
        <v>20190304154942910</v>
      </c>
      <c r="B7657" t="str">
        <f>"1551685782904813"</f>
        <v>1551685782904813</v>
      </c>
      <c r="C7657" t="s">
        <v>40</v>
      </c>
      <c r="D7657">
        <v>4.3159359999999998</v>
      </c>
      <c r="E7657">
        <v>0.43711250000000001</v>
      </c>
      <c r="F7657" t="s">
        <v>44</v>
      </c>
      <c r="G7657">
        <v>-184.33609999999999</v>
      </c>
      <c r="H7657" s="1">
        <v>-2.0868009999999999E-6</v>
      </c>
      <c r="I7657">
        <v>-18.648230000000002</v>
      </c>
      <c r="J7657">
        <v>-192.3622</v>
      </c>
      <c r="K7657">
        <v>1.1205149999999999</v>
      </c>
      <c r="L7657">
        <v>-50.651429999999998</v>
      </c>
      <c r="M7657">
        <v>0.57316919999999905</v>
      </c>
      <c r="N7657">
        <v>-1.460325E-2</v>
      </c>
      <c r="O7657">
        <v>0.81930689999999995</v>
      </c>
      <c r="P7657">
        <v>0.3771255</v>
      </c>
      <c r="Q7657">
        <v>0.2027814</v>
      </c>
      <c r="R7657">
        <v>0.90369029999999995</v>
      </c>
      <c r="S7657">
        <v>0.76852419999999899</v>
      </c>
      <c r="T7657">
        <v>-0.1052918</v>
      </c>
      <c r="U7657">
        <v>3.0291440000000001</v>
      </c>
      <c r="V7657">
        <v>-0.2140213</v>
      </c>
      <c r="W7657">
        <v>0.21178140000000001</v>
      </c>
      <c r="X7657">
        <v>0.95359499999999997</v>
      </c>
      <c r="Y7657">
        <v>-0.353993</v>
      </c>
      <c r="Z7657">
        <v>-1.056854E-2</v>
      </c>
      <c r="AA7657">
        <v>0.93518840000000003</v>
      </c>
      <c r="AB7657">
        <v>29</v>
      </c>
      <c r="AC7657">
        <v>8.0261000000000102</v>
      </c>
      <c r="AD7657">
        <v>-1.1205170868009999</v>
      </c>
      <c r="AE7657">
        <v>32.0032</v>
      </c>
      <c r="AF7657">
        <v>-11.755106760835901</v>
      </c>
      <c r="AG7657">
        <v>-1.1205170868009999</v>
      </c>
      <c r="AH7657">
        <v>30.788533206619402</v>
      </c>
      <c r="AI7657">
        <v>91.947312637605293</v>
      </c>
      <c r="AJ7657">
        <v>110.896929034051</v>
      </c>
      <c r="AK7657">
        <v>32.975322144227398</v>
      </c>
      <c r="AL7657">
        <v>77.7732320995934</v>
      </c>
      <c r="AM7657">
        <v>102.64963651693</v>
      </c>
      <c r="AN7657">
        <v>0.99999995113232298</v>
      </c>
    </row>
    <row r="7658" spans="1:40" x14ac:dyDescent="0.25">
      <c r="A7658" t="str">
        <f>"20190304154942924"</f>
        <v>20190304154942924</v>
      </c>
      <c r="B7658" t="str">
        <f>"1551685782914573"</f>
        <v>1551685782914573</v>
      </c>
      <c r="C7658" t="s">
        <v>40</v>
      </c>
      <c r="D7658">
        <v>4.3127060000000004</v>
      </c>
      <c r="E7658">
        <v>0.43748819999999999</v>
      </c>
      <c r="F7658" t="s">
        <v>44</v>
      </c>
      <c r="G7658">
        <v>-184.72790000000001</v>
      </c>
      <c r="H7658" s="1">
        <v>-1.799288E-6</v>
      </c>
      <c r="I7658">
        <v>-19.18674</v>
      </c>
      <c r="J7658">
        <v>-192.26920000000001</v>
      </c>
      <c r="K7658">
        <v>1.1205099999999999</v>
      </c>
      <c r="L7658">
        <v>-50.505830000000003</v>
      </c>
      <c r="M7658">
        <v>0.56716350000000004</v>
      </c>
      <c r="N7658">
        <v>-1.4604570000000001E-2</v>
      </c>
      <c r="O7658">
        <v>0.82347579999999998</v>
      </c>
      <c r="P7658">
        <v>0.3706393</v>
      </c>
      <c r="Q7658">
        <v>0.2029619</v>
      </c>
      <c r="R7658">
        <v>0.90632939999999995</v>
      </c>
      <c r="S7658">
        <v>0.73675539999999995</v>
      </c>
      <c r="T7658">
        <v>-0.1081365</v>
      </c>
      <c r="U7658">
        <v>3.03653</v>
      </c>
      <c r="V7658">
        <v>-0.21386240000000001</v>
      </c>
      <c r="W7658">
        <v>0.2119683</v>
      </c>
      <c r="X7658">
        <v>0.95358920000000003</v>
      </c>
      <c r="Y7658">
        <v>-0.35691079999999997</v>
      </c>
      <c r="Z7658">
        <v>-1.1313200000000001E-2</v>
      </c>
      <c r="AA7658">
        <v>0.93406990000000001</v>
      </c>
      <c r="AB7658">
        <v>29</v>
      </c>
      <c r="AC7658">
        <v>7.5412999999999997</v>
      </c>
      <c r="AD7658">
        <v>-1.120511799288</v>
      </c>
      <c r="AE7658">
        <v>31.319089999999999</v>
      </c>
      <c r="AF7658">
        <v>-11.540236084611699</v>
      </c>
      <c r="AG7658">
        <v>-1.120511799288</v>
      </c>
      <c r="AH7658">
        <v>30.034530321536401</v>
      </c>
      <c r="AI7658">
        <v>91.994531760519294</v>
      </c>
      <c r="AJ7658">
        <v>111.01838697178501</v>
      </c>
      <c r="AK7658">
        <v>32.194807146746598</v>
      </c>
      <c r="AL7658">
        <v>77.762275660898197</v>
      </c>
      <c r="AM7658">
        <v>102.640621114852</v>
      </c>
      <c r="AN7658">
        <v>1.0000000243476399</v>
      </c>
    </row>
    <row r="7659" spans="1:40" x14ac:dyDescent="0.25">
      <c r="A7659" t="str">
        <f>"20190304154942936"</f>
        <v>20190304154942936</v>
      </c>
      <c r="B7659" t="str">
        <f>"1551685782924334"</f>
        <v>1551685782924334</v>
      </c>
      <c r="C7659" t="s">
        <v>40</v>
      </c>
      <c r="D7659">
        <v>4.2944610000000001</v>
      </c>
      <c r="E7659">
        <v>0.43784909999999999</v>
      </c>
      <c r="F7659" t="s">
        <v>44</v>
      </c>
      <c r="G7659">
        <v>-184.88900000000001</v>
      </c>
      <c r="H7659" s="1">
        <v>-1.73240999999999E-6</v>
      </c>
      <c r="I7659">
        <v>-19.257290000000001</v>
      </c>
      <c r="J7659">
        <v>-192.18719999999999</v>
      </c>
      <c r="K7659">
        <v>1.1205069999999999</v>
      </c>
      <c r="L7659">
        <v>-50.37585</v>
      </c>
      <c r="M7659">
        <v>0.56179389999999996</v>
      </c>
      <c r="N7659">
        <v>-1.460552E-2</v>
      </c>
      <c r="O7659">
        <v>0.82714829999999995</v>
      </c>
      <c r="P7659">
        <v>0.36482219999999999</v>
      </c>
      <c r="Q7659">
        <v>0.20292370000000001</v>
      </c>
      <c r="R7659">
        <v>0.90869509999999998</v>
      </c>
      <c r="S7659">
        <v>0.71817019999999998</v>
      </c>
      <c r="T7659">
        <v>-0.1090373</v>
      </c>
      <c r="U7659">
        <v>3.0408019999999998</v>
      </c>
      <c r="V7659">
        <v>-0.21377299999999999</v>
      </c>
      <c r="W7659">
        <v>0.21193519999999999</v>
      </c>
      <c r="X7659">
        <v>0.95361660000000004</v>
      </c>
      <c r="Y7659">
        <v>-0.35653430000000003</v>
      </c>
      <c r="Z7659">
        <v>-1.1650000000000001E-2</v>
      </c>
      <c r="AA7659">
        <v>0.93420959999999997</v>
      </c>
      <c r="AB7659">
        <v>29</v>
      </c>
      <c r="AC7659">
        <v>7.29819999999998</v>
      </c>
      <c r="AD7659">
        <v>-1.12050873240999</v>
      </c>
      <c r="AE7659">
        <v>31.118559999999999</v>
      </c>
      <c r="AF7659">
        <v>-11.432694028110101</v>
      </c>
      <c r="AG7659">
        <v>-1.12050873240999</v>
      </c>
      <c r="AH7659">
        <v>29.806300488030601</v>
      </c>
      <c r="AI7659">
        <v>92.010233601640294</v>
      </c>
      <c r="AJ7659">
        <v>110.98513313625</v>
      </c>
      <c r="AK7659">
        <v>31.943349563603501</v>
      </c>
      <c r="AL7659">
        <v>77.764216213713794</v>
      </c>
      <c r="AM7659">
        <v>102.63515531308801</v>
      </c>
      <c r="AN7659">
        <v>1.00000002216179</v>
      </c>
    </row>
    <row r="7660" spans="1:40" x14ac:dyDescent="0.25">
      <c r="A7660" t="str">
        <f>"20190304154942948"</f>
        <v>20190304154942948</v>
      </c>
      <c r="B7660" t="str">
        <f>"1551685782944828"</f>
        <v>1551685782944828</v>
      </c>
      <c r="C7660" t="s">
        <v>40</v>
      </c>
      <c r="D7660">
        <v>4.2523080000000002</v>
      </c>
      <c r="E7660">
        <v>0.43829960000000001</v>
      </c>
      <c r="F7660" t="s">
        <v>44</v>
      </c>
      <c r="G7660">
        <v>-185.08170000000001</v>
      </c>
      <c r="H7660" s="1">
        <v>-1.5861909999999999E-6</v>
      </c>
      <c r="I7660">
        <v>-19.53631</v>
      </c>
      <c r="J7660">
        <v>-192.0968</v>
      </c>
      <c r="K7660">
        <v>1.1205020000000001</v>
      </c>
      <c r="L7660">
        <v>-50.230589999999999</v>
      </c>
      <c r="M7660">
        <v>0.55578850000000002</v>
      </c>
      <c r="N7660">
        <v>-1.460618E-2</v>
      </c>
      <c r="O7660">
        <v>0.83119539999999903</v>
      </c>
      <c r="P7660">
        <v>0.3583866</v>
      </c>
      <c r="Q7660">
        <v>0.20309389999999999</v>
      </c>
      <c r="R7660">
        <v>0.91121450000000004</v>
      </c>
      <c r="S7660">
        <v>0.70146180000000002</v>
      </c>
      <c r="T7660">
        <v>-0.1106182</v>
      </c>
      <c r="U7660">
        <v>3.0445250000000001</v>
      </c>
      <c r="V7660">
        <v>-0.21359049999999999</v>
      </c>
      <c r="W7660">
        <v>0.2121122</v>
      </c>
      <c r="X7660">
        <v>0.95361810000000002</v>
      </c>
      <c r="Y7660">
        <v>-0.35488649999999999</v>
      </c>
      <c r="Z7660">
        <v>-1.2181300000000001E-2</v>
      </c>
      <c r="AA7660">
        <v>0.9348301</v>
      </c>
      <c r="AB7660">
        <v>29</v>
      </c>
      <c r="AC7660">
        <v>7.0150999999999897</v>
      </c>
      <c r="AD7660">
        <v>-1.120503586191</v>
      </c>
      <c r="AE7660">
        <v>30.694279999999999</v>
      </c>
      <c r="AF7660">
        <v>-11.215602626712601</v>
      </c>
      <c r="AG7660">
        <v>-1.120503586191</v>
      </c>
      <c r="AH7660">
        <v>29.377787802130499</v>
      </c>
      <c r="AI7660">
        <v>92.040742698356993</v>
      </c>
      <c r="AJ7660">
        <v>110.895431975352</v>
      </c>
      <c r="AK7660">
        <v>31.465849531102801</v>
      </c>
      <c r="AL7660">
        <v>77.753838452159499</v>
      </c>
      <c r="AM7660">
        <v>102.62469524549699</v>
      </c>
      <c r="AN7660">
        <v>0.99999998386334898</v>
      </c>
    </row>
    <row r="7661" spans="1:40" x14ac:dyDescent="0.25">
      <c r="A7661" t="str">
        <f>"20190304154942967"</f>
        <v>20190304154942967</v>
      </c>
      <c r="B7661" t="str">
        <f>"1551685782964349"</f>
        <v>1551685782964349</v>
      </c>
      <c r="C7661" t="s">
        <v>40</v>
      </c>
      <c r="D7661">
        <v>4.2767670000000004</v>
      </c>
      <c r="E7661">
        <v>0.4389266</v>
      </c>
      <c r="F7661" t="s">
        <v>44</v>
      </c>
      <c r="G7661">
        <v>-185.19399999999999</v>
      </c>
      <c r="H7661" s="1">
        <v>-1.5928299999999901E-6</v>
      </c>
      <c r="I7661">
        <v>-19.429040000000001</v>
      </c>
      <c r="J7661">
        <v>-191.9812</v>
      </c>
      <c r="K7661">
        <v>1.120498</v>
      </c>
      <c r="L7661">
        <v>-50.040860000000002</v>
      </c>
      <c r="M7661">
        <v>0.54794569999999998</v>
      </c>
      <c r="N7661">
        <v>-1.460645E-2</v>
      </c>
      <c r="O7661">
        <v>0.83638639999999997</v>
      </c>
      <c r="P7661">
        <v>0.35041329999999998</v>
      </c>
      <c r="Q7661">
        <v>0.2025893</v>
      </c>
      <c r="R7661">
        <v>0.91442230000000002</v>
      </c>
      <c r="S7661">
        <v>0.68315119999999996</v>
      </c>
      <c r="T7661">
        <v>-0.11089300000000001</v>
      </c>
      <c r="U7661">
        <v>3.04834</v>
      </c>
      <c r="V7661">
        <v>-0.2129953</v>
      </c>
      <c r="W7661">
        <v>0.2116285</v>
      </c>
      <c r="X7661">
        <v>0.95385869999999995</v>
      </c>
      <c r="Y7661">
        <v>-0.35168890000000003</v>
      </c>
      <c r="Z7661">
        <v>-1.247678E-2</v>
      </c>
      <c r="AA7661">
        <v>0.93603380000000003</v>
      </c>
      <c r="AB7661">
        <v>29</v>
      </c>
      <c r="AC7661">
        <v>6.7871999999999799</v>
      </c>
      <c r="AD7661">
        <v>-1.1204995928299999</v>
      </c>
      <c r="AE7661">
        <v>30.611819999999899</v>
      </c>
      <c r="AF7661">
        <v>-11.0839224463733</v>
      </c>
      <c r="AG7661">
        <v>-1.1204995928299999</v>
      </c>
      <c r="AH7661">
        <v>29.288052750916599</v>
      </c>
      <c r="AI7661">
        <v>92.049243410076699</v>
      </c>
      <c r="AJ7661">
        <v>110.728906981638</v>
      </c>
      <c r="AK7661">
        <v>31.335265916778599</v>
      </c>
      <c r="AL7661">
        <v>77.7821966500005</v>
      </c>
      <c r="AM7661">
        <v>102.58756328811501</v>
      </c>
      <c r="AN7661">
        <v>1.0000000197000101</v>
      </c>
    </row>
    <row r="7662" spans="1:40" x14ac:dyDescent="0.25">
      <c r="A7662" t="str">
        <f>"20190304154942981"</f>
        <v>20190304154942981</v>
      </c>
      <c r="B7662" t="str">
        <f>"1551685782975085"</f>
        <v>1551685782975085</v>
      </c>
      <c r="C7662" t="s">
        <v>40</v>
      </c>
      <c r="D7662">
        <v>4.259036</v>
      </c>
      <c r="E7662">
        <v>0.43916670000000002</v>
      </c>
      <c r="F7662" t="s">
        <v>44</v>
      </c>
      <c r="G7662">
        <v>-185.49619999999999</v>
      </c>
      <c r="H7662" s="1">
        <v>-1.2927539999999999E-6</v>
      </c>
      <c r="I7662">
        <v>-20.074529999999999</v>
      </c>
      <c r="J7662">
        <v>-191.88</v>
      </c>
      <c r="K7662">
        <v>1.120492</v>
      </c>
      <c r="L7662">
        <v>-49.871220000000001</v>
      </c>
      <c r="M7662">
        <v>0.54092779999999996</v>
      </c>
      <c r="N7662">
        <v>-1.4606330000000001E-2</v>
      </c>
      <c r="O7662">
        <v>0.84094210000000003</v>
      </c>
      <c r="P7662">
        <v>0.34338590000000002</v>
      </c>
      <c r="Q7662">
        <v>0.20230799999999999</v>
      </c>
      <c r="R7662">
        <v>0.91714640000000003</v>
      </c>
      <c r="S7662">
        <v>0.66067500000000001</v>
      </c>
      <c r="T7662">
        <v>-0.1141522</v>
      </c>
      <c r="U7662">
        <v>3.0528559999999998</v>
      </c>
      <c r="V7662">
        <v>-0.2123553</v>
      </c>
      <c r="W7662">
        <v>0.21136849999999999</v>
      </c>
      <c r="X7662">
        <v>0.95405899999999999</v>
      </c>
      <c r="Y7662">
        <v>-0.35072419999999999</v>
      </c>
      <c r="Z7662">
        <v>-1.342818E-2</v>
      </c>
      <c r="AA7662">
        <v>0.93638250000000001</v>
      </c>
      <c r="AB7662">
        <v>29</v>
      </c>
      <c r="AC7662">
        <v>6.3837999999999999</v>
      </c>
      <c r="AD7662">
        <v>-1.1204932927539999</v>
      </c>
      <c r="AE7662">
        <v>29.796690000000002</v>
      </c>
      <c r="AF7662">
        <v>-10.7360837837617</v>
      </c>
      <c r="AG7662">
        <v>-1.1204932927539999</v>
      </c>
      <c r="AH7662">
        <v>28.475010365025501</v>
      </c>
      <c r="AI7662">
        <v>92.108672920514607</v>
      </c>
      <c r="AJ7662">
        <v>110.658213251481</v>
      </c>
      <c r="AK7662">
        <v>30.4523433502148</v>
      </c>
      <c r="AL7662">
        <v>77.797438049692303</v>
      </c>
      <c r="AM7662">
        <v>102.548389228894</v>
      </c>
      <c r="AN7662">
        <v>0.99999999585567001</v>
      </c>
    </row>
    <row r="7663" spans="1:40" x14ac:dyDescent="0.25">
      <c r="A7663" t="str">
        <f>"20190304154943001"</f>
        <v>20190304154943001</v>
      </c>
      <c r="B7663" t="str">
        <f>"1551685782994604"</f>
        <v>1551685782994604</v>
      </c>
      <c r="C7663" t="s">
        <v>40</v>
      </c>
      <c r="D7663">
        <v>4.2956440000000002</v>
      </c>
      <c r="E7663">
        <v>0.43967859999999998</v>
      </c>
      <c r="F7663" t="s">
        <v>44</v>
      </c>
      <c r="G7663">
        <v>-185.6825</v>
      </c>
      <c r="H7663" s="1">
        <v>-1.197472E-6</v>
      </c>
      <c r="I7663">
        <v>-20.208850000000002</v>
      </c>
      <c r="J7663">
        <v>-191.7594</v>
      </c>
      <c r="K7663">
        <v>1.120485</v>
      </c>
      <c r="L7663">
        <v>-49.66525</v>
      </c>
      <c r="M7663">
        <v>0.53240050000000005</v>
      </c>
      <c r="N7663">
        <v>-1.460588E-2</v>
      </c>
      <c r="O7663">
        <v>0.84636659999999997</v>
      </c>
      <c r="P7663">
        <v>0.33497700000000002</v>
      </c>
      <c r="Q7663">
        <v>0.20235829999999999</v>
      </c>
      <c r="R7663">
        <v>0.9202399</v>
      </c>
      <c r="S7663">
        <v>0.63877869999999903</v>
      </c>
      <c r="T7663">
        <v>-0.1154897</v>
      </c>
      <c r="U7663">
        <v>3.057312</v>
      </c>
      <c r="V7663">
        <v>-0.21143200000000001</v>
      </c>
      <c r="W7663">
        <v>0.2114473</v>
      </c>
      <c r="X7663">
        <v>0.95424659999999994</v>
      </c>
      <c r="Y7663">
        <v>-0.34795809999999999</v>
      </c>
      <c r="Z7663">
        <v>-1.3990809999999999E-2</v>
      </c>
      <c r="AA7663">
        <v>0.93740570000000001</v>
      </c>
      <c r="AB7663">
        <v>29</v>
      </c>
      <c r="AC7663">
        <v>6.0768999999999904</v>
      </c>
      <c r="AD7663">
        <v>-1.120486197472</v>
      </c>
      <c r="AE7663">
        <v>29.456399999999999</v>
      </c>
      <c r="AF7663">
        <v>-10.525832409162501</v>
      </c>
      <c r="AG7663">
        <v>-1.120486197472</v>
      </c>
      <c r="AH7663">
        <v>28.130220507181399</v>
      </c>
      <c r="AI7663">
        <v>92.136485050625097</v>
      </c>
      <c r="AJ7663">
        <v>110.514962759966</v>
      </c>
      <c r="AK7663">
        <v>30.0559136112538</v>
      </c>
      <c r="AL7663">
        <v>77.792818941936901</v>
      </c>
      <c r="AM7663">
        <v>102.49316779243399</v>
      </c>
      <c r="AN7663">
        <v>1.0000000124564199</v>
      </c>
    </row>
    <row r="7664" spans="1:40" x14ac:dyDescent="0.25">
      <c r="A7664" t="str">
        <f>"20190304154943015"</f>
        <v>20190304154943015</v>
      </c>
      <c r="B7664" t="str">
        <f>"1551685783004365"</f>
        <v>1551685783004365</v>
      </c>
      <c r="C7664" t="s">
        <v>40</v>
      </c>
      <c r="D7664">
        <v>4.258337</v>
      </c>
      <c r="E7664">
        <v>0.43967859999999998</v>
      </c>
      <c r="F7664" t="s">
        <v>44</v>
      </c>
      <c r="G7664">
        <v>-185.74879999999999</v>
      </c>
      <c r="H7664" s="1">
        <v>-1.356151E-6</v>
      </c>
      <c r="I7664">
        <v>-19.690729999999999</v>
      </c>
      <c r="J7664">
        <v>-191.6687</v>
      </c>
      <c r="K7664">
        <v>1.1204799999999999</v>
      </c>
      <c r="L7664">
        <v>-49.507260000000002</v>
      </c>
      <c r="M7664">
        <v>0.52585360000000003</v>
      </c>
      <c r="N7664">
        <v>-1.4605389999999999E-2</v>
      </c>
      <c r="O7664">
        <v>0.85044969999999998</v>
      </c>
      <c r="P7664">
        <v>0.32850800000000002</v>
      </c>
      <c r="Q7664">
        <v>0.20205870000000001</v>
      </c>
      <c r="R7664">
        <v>0.92263470000000003</v>
      </c>
      <c r="S7664">
        <v>0.61395259999999996</v>
      </c>
      <c r="T7664">
        <v>-0.1144506</v>
      </c>
      <c r="U7664">
        <v>3.0617070000000002</v>
      </c>
      <c r="V7664">
        <v>-0.2107898</v>
      </c>
      <c r="W7664">
        <v>0.211169</v>
      </c>
      <c r="X7664">
        <v>0.95445029999999997</v>
      </c>
      <c r="Y7664">
        <v>-0.34828949999999997</v>
      </c>
      <c r="Z7664">
        <v>-1.3892989999999999E-2</v>
      </c>
      <c r="AA7664">
        <v>0.93728409999999995</v>
      </c>
      <c r="AB7664">
        <v>29</v>
      </c>
      <c r="AC7664">
        <v>5.9199000000000099</v>
      </c>
      <c r="AD7664">
        <v>-1.1204813561510001</v>
      </c>
      <c r="AE7664">
        <v>29.81653</v>
      </c>
      <c r="AF7664">
        <v>-10.631243856924</v>
      </c>
      <c r="AG7664">
        <v>-1.1204813561510001</v>
      </c>
      <c r="AH7664">
        <v>28.434863852995498</v>
      </c>
      <c r="AI7664">
        <v>92.113816189076204</v>
      </c>
      <c r="AJ7664">
        <v>110.499794750042</v>
      </c>
      <c r="AK7664">
        <v>30.3779575803452</v>
      </c>
      <c r="AL7664">
        <v>77.809132957385501</v>
      </c>
      <c r="AM7664">
        <v>102.453831906524</v>
      </c>
      <c r="AN7664">
        <v>1.0000000307575601</v>
      </c>
    </row>
    <row r="7665" spans="1:40" x14ac:dyDescent="0.25">
      <c r="A7665" t="str">
        <f>"20190304154943028"</f>
        <v>20190304154943028</v>
      </c>
      <c r="B7665" t="str">
        <f>"1551685783024860"</f>
        <v>1551685783024860</v>
      </c>
      <c r="C7665" t="s">
        <v>40</v>
      </c>
      <c r="D7665">
        <v>4.3087900000000001</v>
      </c>
      <c r="E7665">
        <v>0.44810499999999998</v>
      </c>
      <c r="F7665" t="s">
        <v>44</v>
      </c>
      <c r="G7665">
        <v>-185.91239999999999</v>
      </c>
      <c r="H7665" s="1">
        <v>-1.307449E-6</v>
      </c>
      <c r="I7665">
        <v>-19.705909999999999</v>
      </c>
      <c r="J7665">
        <v>-191.58349999999999</v>
      </c>
      <c r="K7665">
        <v>1.1204719999999999</v>
      </c>
      <c r="L7665">
        <v>-49.356020000000001</v>
      </c>
      <c r="M7665">
        <v>0.51958579999999999</v>
      </c>
      <c r="N7665">
        <v>-1.460471E-2</v>
      </c>
      <c r="O7665">
        <v>0.85429349999999904</v>
      </c>
      <c r="P7665">
        <v>0.32199860000000002</v>
      </c>
      <c r="Q7665">
        <v>0.20225370000000001</v>
      </c>
      <c r="R7665">
        <v>0.92488400000000004</v>
      </c>
      <c r="S7665">
        <v>0.59220890000000004</v>
      </c>
      <c r="T7665">
        <v>-0.1152745</v>
      </c>
      <c r="U7665">
        <v>3.0659480000000001</v>
      </c>
      <c r="V7665">
        <v>-0.21047479999999999</v>
      </c>
      <c r="W7665">
        <v>0.21137449999999999</v>
      </c>
      <c r="X7665">
        <v>0.9544743</v>
      </c>
      <c r="Y7665">
        <v>-0.34804669999999999</v>
      </c>
      <c r="Z7665">
        <v>-1.424049E-2</v>
      </c>
      <c r="AA7665">
        <v>0.93736900000000001</v>
      </c>
      <c r="AB7665">
        <v>29</v>
      </c>
      <c r="AC7665">
        <v>5.6710999999999903</v>
      </c>
      <c r="AD7665">
        <v>-1.1204733074490001</v>
      </c>
      <c r="AE7665">
        <v>29.650109999999898</v>
      </c>
      <c r="AF7665">
        <v>-10.5475871743332</v>
      </c>
      <c r="AG7665">
        <v>-1.1204733074490001</v>
      </c>
      <c r="AH7665">
        <v>28.240627852164</v>
      </c>
      <c r="AI7665">
        <v>92.128598664977801</v>
      </c>
      <c r="AJ7665">
        <v>110.480148632915</v>
      </c>
      <c r="AK7665">
        <v>30.166871185412699</v>
      </c>
      <c r="AL7665">
        <v>77.797086441734606</v>
      </c>
      <c r="AM7665">
        <v>102.435497602648</v>
      </c>
      <c r="AN7665">
        <v>1.0000000050228799</v>
      </c>
    </row>
    <row r="7666" spans="1:40" x14ac:dyDescent="0.25">
      <c r="A7666" t="str">
        <f>"20190304154943046"</f>
        <v>20190304154943046</v>
      </c>
      <c r="B7666" t="str">
        <f>"1551685783034624"</f>
        <v>1551685783034624</v>
      </c>
      <c r="C7666" t="s">
        <v>40</v>
      </c>
      <c r="D7666">
        <v>4.2356319999999998</v>
      </c>
      <c r="E7666">
        <v>0.4485692</v>
      </c>
      <c r="F7666" t="s">
        <v>44</v>
      </c>
      <c r="G7666">
        <v>-185.99279999999999</v>
      </c>
      <c r="H7666" s="1">
        <v>-4.0943659999999996E-6</v>
      </c>
      <c r="I7666">
        <v>-22.480039999999999</v>
      </c>
      <c r="J7666">
        <v>-191.4759</v>
      </c>
      <c r="K7666">
        <v>1.1204529999999999</v>
      </c>
      <c r="L7666">
        <v>-49.160890000000002</v>
      </c>
      <c r="M7666">
        <v>0.5114959</v>
      </c>
      <c r="N7666">
        <v>-1.4603680000000001E-2</v>
      </c>
      <c r="O7666">
        <v>0.85916159999999997</v>
      </c>
      <c r="P7666">
        <v>0.31439409999999901</v>
      </c>
      <c r="Q7666">
        <v>0.2021077</v>
      </c>
      <c r="R7666">
        <v>0.92752840000000003</v>
      </c>
      <c r="S7666">
        <v>0.63456729999999995</v>
      </c>
      <c r="T7666">
        <v>-0.12717880000000001</v>
      </c>
      <c r="U7666">
        <v>3.0505369999999998</v>
      </c>
      <c r="V7666">
        <v>-0.2093024</v>
      </c>
      <c r="W7666">
        <v>0.21126410000000001</v>
      </c>
      <c r="X7666">
        <v>0.95475650000000001</v>
      </c>
      <c r="Y7666">
        <v>-0.32572030000000002</v>
      </c>
      <c r="Z7666">
        <v>-1.775964E-2</v>
      </c>
      <c r="AA7666">
        <v>0.94529940000000001</v>
      </c>
      <c r="AB7666">
        <v>29</v>
      </c>
      <c r="AC7666">
        <v>5.4831000000000003</v>
      </c>
      <c r="AD7666">
        <v>-1.1204570943659999</v>
      </c>
      <c r="AE7666">
        <v>26.68085</v>
      </c>
      <c r="AF7666">
        <v>-8.9221324244477298</v>
      </c>
      <c r="AG7666">
        <v>-1.1204570943659999</v>
      </c>
      <c r="AH7666">
        <v>25.687024072432202</v>
      </c>
      <c r="AI7666">
        <v>92.359524077470397</v>
      </c>
      <c r="AJ7666">
        <v>109.15416231293401</v>
      </c>
      <c r="AK7666">
        <v>27.215493322690499</v>
      </c>
      <c r="AL7666">
        <v>77.803557912392293</v>
      </c>
      <c r="AM7666">
        <v>102.364822961855</v>
      </c>
      <c r="AN7666">
        <v>0.99999999444340903</v>
      </c>
    </row>
    <row r="7667" spans="1:40" x14ac:dyDescent="0.25">
      <c r="A7667" t="str">
        <f>"20190304154943059"</f>
        <v>20190304154943059</v>
      </c>
      <c r="B7667" t="str">
        <f>"1551685783055117"</f>
        <v>1551685783055117</v>
      </c>
      <c r="C7667" t="s">
        <v>40</v>
      </c>
      <c r="D7667">
        <v>4.2816210000000003</v>
      </c>
      <c r="E7667">
        <v>0.44889180000000001</v>
      </c>
      <c r="F7667" t="s">
        <v>44</v>
      </c>
      <c r="G7667">
        <v>-186.321</v>
      </c>
      <c r="H7667" s="1">
        <v>-3.6133030000000001E-6</v>
      </c>
      <c r="I7667">
        <v>-23.465730000000001</v>
      </c>
      <c r="J7667">
        <v>-191.3921</v>
      </c>
      <c r="K7667">
        <v>1.1204459999999901</v>
      </c>
      <c r="L7667">
        <v>-49.005859999999998</v>
      </c>
      <c r="M7667">
        <v>0.50506649999999997</v>
      </c>
      <c r="N7667">
        <v>-1.4602749999999999E-2</v>
      </c>
      <c r="O7667">
        <v>0.86295689999999903</v>
      </c>
      <c r="P7667">
        <v>0.30791190000000002</v>
      </c>
      <c r="Q7667">
        <v>0.20199800000000001</v>
      </c>
      <c r="R7667">
        <v>0.9297242</v>
      </c>
      <c r="S7667">
        <v>0.61302190000000001</v>
      </c>
      <c r="T7667">
        <v>-0.13324449999999999</v>
      </c>
      <c r="U7667">
        <v>3.0556640000000002</v>
      </c>
      <c r="V7667">
        <v>-0.20884179999999999</v>
      </c>
      <c r="W7667">
        <v>0.21117040000000001</v>
      </c>
      <c r="X7667">
        <v>0.95487809999999995</v>
      </c>
      <c r="Y7667">
        <v>-0.32537670000000002</v>
      </c>
      <c r="Z7667">
        <v>-1.9430090000000001E-2</v>
      </c>
      <c r="AA7667">
        <v>0.94538489999999997</v>
      </c>
      <c r="AB7667">
        <v>29</v>
      </c>
      <c r="AC7667">
        <v>5.0711000000000004</v>
      </c>
      <c r="AD7667">
        <v>-1.12044961330299</v>
      </c>
      <c r="AE7667">
        <v>25.540129999999898</v>
      </c>
      <c r="AF7667">
        <v>-8.5084778986821998</v>
      </c>
      <c r="AG7667">
        <v>-1.12044961330299</v>
      </c>
      <c r="AH7667">
        <v>24.558425054165198</v>
      </c>
      <c r="AI7667">
        <v>92.468482818854</v>
      </c>
      <c r="AJ7667">
        <v>109.109083979098</v>
      </c>
      <c r="AK7667">
        <v>26.0147236123962</v>
      </c>
      <c r="AL7667">
        <v>77.809050642696704</v>
      </c>
      <c r="AM7667">
        <v>102.336923609617</v>
      </c>
      <c r="AN7667">
        <v>1.0000000105614999</v>
      </c>
    </row>
    <row r="7668" spans="1:40" x14ac:dyDescent="0.25">
      <c r="A7668" t="str">
        <f>"20190304154943080"</f>
        <v>20190304154943080</v>
      </c>
      <c r="B7668" t="str">
        <f>"1551685783074636"</f>
        <v>1551685783074636</v>
      </c>
      <c r="C7668" t="s">
        <v>40</v>
      </c>
      <c r="D7668">
        <v>4.2992999999999997</v>
      </c>
      <c r="E7668">
        <v>0.45174130000000001</v>
      </c>
      <c r="F7668" t="s">
        <v>44</v>
      </c>
      <c r="G7668">
        <v>-186.5147</v>
      </c>
      <c r="H7668" s="1">
        <v>-3.400058E-6</v>
      </c>
      <c r="I7668">
        <v>-23.882719999999999</v>
      </c>
      <c r="J7668">
        <v>-191.27119999999999</v>
      </c>
      <c r="K7668">
        <v>1.1204350000000001</v>
      </c>
      <c r="L7668">
        <v>-48.7774</v>
      </c>
      <c r="M7668">
        <v>0.49558269999999999</v>
      </c>
      <c r="N7668">
        <v>-1.460118E-2</v>
      </c>
      <c r="O7668">
        <v>0.86843799999999904</v>
      </c>
      <c r="P7668">
        <v>0.2990853</v>
      </c>
      <c r="Q7668">
        <v>0.20215089999999999</v>
      </c>
      <c r="R7668">
        <v>0.93256799999999995</v>
      </c>
      <c r="S7668">
        <v>0.59400940000000002</v>
      </c>
      <c r="T7668">
        <v>-0.1364571</v>
      </c>
      <c r="U7668">
        <v>3.0596920000000001</v>
      </c>
      <c r="V7668">
        <v>-0.20740839999999999</v>
      </c>
      <c r="W7668">
        <v>0.2113652</v>
      </c>
      <c r="X7668">
        <v>0.95514739999999998</v>
      </c>
      <c r="Y7668">
        <v>-0.32091330000000001</v>
      </c>
      <c r="Z7668">
        <v>-2.0551940000000001E-2</v>
      </c>
      <c r="AA7668">
        <v>0.94688559999999999</v>
      </c>
      <c r="AB7668">
        <v>29</v>
      </c>
      <c r="AC7668">
        <v>4.7564999999999804</v>
      </c>
      <c r="AD7668">
        <v>-1.1204384000579899</v>
      </c>
      <c r="AE7668">
        <v>24.894680000000001</v>
      </c>
      <c r="AF7668">
        <v>-8.1915137930771103</v>
      </c>
      <c r="AG7668">
        <v>-1.1204384000579899</v>
      </c>
      <c r="AH7668">
        <v>23.932510586237399</v>
      </c>
      <c r="AI7668">
        <v>92.536193199558497</v>
      </c>
      <c r="AJ7668">
        <v>108.894822603983</v>
      </c>
      <c r="AK7668">
        <v>25.320374076835101</v>
      </c>
      <c r="AL7668">
        <v>77.797631844368297</v>
      </c>
      <c r="AM7668">
        <v>102.251464819874</v>
      </c>
      <c r="AN7668">
        <v>1.00000002394417</v>
      </c>
    </row>
    <row r="7669" spans="1:40" x14ac:dyDescent="0.25">
      <c r="A7669" t="str">
        <f>"20190304154943098"</f>
        <v>20190304154943098</v>
      </c>
      <c r="B7669" t="str">
        <f>"1551685783095132"</f>
        <v>1551685783095132</v>
      </c>
      <c r="C7669" t="s">
        <v>40</v>
      </c>
      <c r="D7669">
        <v>4.2931489999999997</v>
      </c>
      <c r="E7669">
        <v>0.45464179999999998</v>
      </c>
      <c r="F7669" t="s">
        <v>44</v>
      </c>
      <c r="G7669">
        <v>-181.10210000000001</v>
      </c>
      <c r="H7669" s="1">
        <v>-4.0692510000000003E-6</v>
      </c>
      <c r="I7669">
        <v>4.6487720000000001</v>
      </c>
      <c r="J7669">
        <v>-191.1694</v>
      </c>
      <c r="K7669">
        <v>1.120422</v>
      </c>
      <c r="L7669">
        <v>-48.580379999999998</v>
      </c>
      <c r="M7669">
        <v>0.48739949999999999</v>
      </c>
      <c r="N7669">
        <v>-1.459968E-2</v>
      </c>
      <c r="O7669">
        <v>0.87305710000000003</v>
      </c>
      <c r="P7669">
        <v>0.29082479999999999</v>
      </c>
      <c r="Q7669">
        <v>0.20185130000000001</v>
      </c>
      <c r="R7669">
        <v>0.93524169999999995</v>
      </c>
      <c r="S7669">
        <v>0.5795593</v>
      </c>
      <c r="T7669">
        <v>-6.3856599999999999E-2</v>
      </c>
      <c r="U7669">
        <v>3.0448909999999998</v>
      </c>
      <c r="V7669">
        <v>-0.2068979</v>
      </c>
      <c r="W7669">
        <v>0.21108460000000001</v>
      </c>
      <c r="X7669">
        <v>0.95532010000000001</v>
      </c>
      <c r="Y7669">
        <v>-0.31550479999999997</v>
      </c>
      <c r="Z7669">
        <v>-2.4602840000000001E-3</v>
      </c>
      <c r="AA7669">
        <v>0.94892080000000001</v>
      </c>
      <c r="AB7669">
        <v>29</v>
      </c>
      <c r="AC7669">
        <v>10.0672999999999</v>
      </c>
      <c r="AD7669">
        <v>-1.120426069251</v>
      </c>
      <c r="AE7669">
        <v>53.229151999999999</v>
      </c>
      <c r="AF7669">
        <v>-17.149026086294398</v>
      </c>
      <c r="AG7669">
        <v>-1.120426069251</v>
      </c>
      <c r="AH7669">
        <v>51.362388545837597</v>
      </c>
      <c r="AI7669">
        <v>91.185354512104297</v>
      </c>
      <c r="AJ7669">
        <v>108.463286072665</v>
      </c>
      <c r="AK7669">
        <v>54.161235283352397</v>
      </c>
      <c r="AL7669">
        <v>77.8140795051266</v>
      </c>
      <c r="AM7669">
        <v>102.220074423197</v>
      </c>
      <c r="AN7669">
        <v>0.99999997142278896</v>
      </c>
    </row>
    <row r="7670" spans="1:40" x14ac:dyDescent="0.25">
      <c r="A7670" t="str">
        <f>"20190304154943113"</f>
        <v>20190304154943113</v>
      </c>
      <c r="B7670" t="str">
        <f>"1551685783104894"</f>
        <v>1551685783104894</v>
      </c>
      <c r="C7670" t="s">
        <v>40</v>
      </c>
      <c r="D7670">
        <v>4.3224809999999998</v>
      </c>
      <c r="E7670">
        <v>0.454623</v>
      </c>
      <c r="F7670" t="s">
        <v>44</v>
      </c>
      <c r="G7670">
        <v>-186.5573</v>
      </c>
      <c r="H7670" s="1">
        <v>-3.2427680000000001E-6</v>
      </c>
      <c r="I7670">
        <v>-24.231770000000001</v>
      </c>
      <c r="J7670">
        <v>-191.0771</v>
      </c>
      <c r="K7670">
        <v>1.1204099999999999</v>
      </c>
      <c r="L7670">
        <v>-48.397860000000001</v>
      </c>
      <c r="M7670">
        <v>0.4798115</v>
      </c>
      <c r="N7670">
        <v>-1.459826E-2</v>
      </c>
      <c r="O7670">
        <v>0.87725010000000003</v>
      </c>
      <c r="P7670">
        <v>0.28394439999999999</v>
      </c>
      <c r="Q7670">
        <v>0.20083200000000001</v>
      </c>
      <c r="R7670">
        <v>0.93757250000000003</v>
      </c>
      <c r="S7670">
        <v>0.57925419999999905</v>
      </c>
      <c r="T7670">
        <v>-0.14071610000000001</v>
      </c>
      <c r="U7670">
        <v>3.0579830000000001</v>
      </c>
      <c r="V7670">
        <v>-0.20570730000000001</v>
      </c>
      <c r="W7670">
        <v>0.21010300000000001</v>
      </c>
      <c r="X7670">
        <v>0.95579349999999996</v>
      </c>
      <c r="Y7670">
        <v>-0.30809120000000001</v>
      </c>
      <c r="Z7670">
        <v>-2.2301870000000001E-2</v>
      </c>
      <c r="AA7670">
        <v>0.95109540000000004</v>
      </c>
      <c r="AB7670">
        <v>29</v>
      </c>
      <c r="AC7670">
        <v>4.5198</v>
      </c>
      <c r="AD7670">
        <v>-1.120413242768</v>
      </c>
      <c r="AE7670">
        <v>24.166090000000001</v>
      </c>
      <c r="AF7670">
        <v>-7.6151705449785796</v>
      </c>
      <c r="AG7670">
        <v>-1.120413242768</v>
      </c>
      <c r="AH7670">
        <v>23.322410332394501</v>
      </c>
      <c r="AI7670">
        <v>92.614735751089498</v>
      </c>
      <c r="AJ7670">
        <v>108.08275634202499</v>
      </c>
      <c r="AK7670">
        <v>24.559742913480601</v>
      </c>
      <c r="AL7670">
        <v>77.871611493607801</v>
      </c>
      <c r="AM7670">
        <v>102.146009294245</v>
      </c>
      <c r="AN7670">
        <v>0.99999998926226996</v>
      </c>
    </row>
    <row r="7671" spans="1:40" x14ac:dyDescent="0.25">
      <c r="A7671" t="str">
        <f>"20190304154943126"</f>
        <v>20190304154943126</v>
      </c>
      <c r="B7671" t="str">
        <f>"1551685783114653"</f>
        <v>1551685783114653</v>
      </c>
      <c r="C7671" t="s">
        <v>40</v>
      </c>
      <c r="D7671">
        <v>4.2873539999999997</v>
      </c>
      <c r="E7671">
        <v>0.45491470000000001</v>
      </c>
      <c r="F7671" t="s">
        <v>44</v>
      </c>
      <c r="G7671">
        <v>-186.58670000000001</v>
      </c>
      <c r="H7671" s="1">
        <v>-3.4914120000000001E-6</v>
      </c>
      <c r="I7671">
        <v>-23.64001</v>
      </c>
      <c r="J7671">
        <v>-191.00069999999999</v>
      </c>
      <c r="K7671">
        <v>1.1203989999999999</v>
      </c>
      <c r="L7671">
        <v>-48.243040000000001</v>
      </c>
      <c r="M7671">
        <v>0.4733771</v>
      </c>
      <c r="N7671">
        <v>-1.459686E-2</v>
      </c>
      <c r="O7671">
        <v>0.88073889999999999</v>
      </c>
      <c r="P7671">
        <v>0.277566799999999</v>
      </c>
      <c r="Q7671">
        <v>0.20021820000000001</v>
      </c>
      <c r="R7671">
        <v>0.93961130000000004</v>
      </c>
      <c r="S7671">
        <v>0.55523679999999997</v>
      </c>
      <c r="T7671">
        <v>-0.13853779999999999</v>
      </c>
      <c r="U7671">
        <v>3.0612789999999999</v>
      </c>
      <c r="V7671">
        <v>-0.20524690000000001</v>
      </c>
      <c r="W7671">
        <v>0.20950659999999999</v>
      </c>
      <c r="X7671">
        <v>0.95602339999999997</v>
      </c>
      <c r="Y7671">
        <v>-0.30852849999999998</v>
      </c>
      <c r="Z7671">
        <v>-2.1914119999999999E-2</v>
      </c>
      <c r="AA7671">
        <v>0.95096259999999999</v>
      </c>
      <c r="AB7671">
        <v>29</v>
      </c>
      <c r="AC7671">
        <v>4.4139999999999802</v>
      </c>
      <c r="AD7671">
        <v>-1.1204024914120001</v>
      </c>
      <c r="AE7671">
        <v>24.60303</v>
      </c>
      <c r="AF7671">
        <v>-7.7441971248778598</v>
      </c>
      <c r="AG7671">
        <v>-1.1204024914120001</v>
      </c>
      <c r="AH7671">
        <v>23.713220671942199</v>
      </c>
      <c r="AI7671">
        <v>92.571631395396693</v>
      </c>
      <c r="AJ7671">
        <v>108.085857262391</v>
      </c>
      <c r="AK7671">
        <v>24.9708775474143</v>
      </c>
      <c r="AL7671">
        <v>77.906560967170293</v>
      </c>
      <c r="AM7671">
        <v>102.116801110293</v>
      </c>
      <c r="AN7671">
        <v>1.0000000233753601</v>
      </c>
    </row>
    <row r="7672" spans="1:40" x14ac:dyDescent="0.25">
      <c r="A7672" t="str">
        <f>"20190304154943145"</f>
        <v>20190304154943145</v>
      </c>
      <c r="B7672" t="str">
        <f>"1551685783135149"</f>
        <v>1551685783135149</v>
      </c>
      <c r="C7672" t="s">
        <v>40</v>
      </c>
      <c r="D7672">
        <v>4.3393670000000002</v>
      </c>
      <c r="E7672">
        <v>0.45516479999999998</v>
      </c>
      <c r="F7672" t="s">
        <v>44</v>
      </c>
      <c r="G7672">
        <v>-186.96510000000001</v>
      </c>
      <c r="H7672" s="1">
        <v>-2.7641259999999998E-6</v>
      </c>
      <c r="I7672">
        <v>-25.178830000000001</v>
      </c>
      <c r="J7672">
        <v>-190.89259999999999</v>
      </c>
      <c r="K7672">
        <v>1.120382</v>
      </c>
      <c r="L7672">
        <v>-48.019590000000001</v>
      </c>
      <c r="M7672">
        <v>0.46408139999999998</v>
      </c>
      <c r="N7672">
        <v>-1.459473E-2</v>
      </c>
      <c r="O7672">
        <v>0.88567229999999997</v>
      </c>
      <c r="P7672">
        <v>0.26876689999999998</v>
      </c>
      <c r="Q7672">
        <v>0.1998519</v>
      </c>
      <c r="R7672">
        <v>0.94224390000000002</v>
      </c>
      <c r="S7672">
        <v>0.53646850000000001</v>
      </c>
      <c r="T7672">
        <v>-0.14894199999999999</v>
      </c>
      <c r="U7672">
        <v>3.066071</v>
      </c>
      <c r="V7672">
        <v>-0.2041433</v>
      </c>
      <c r="W7672">
        <v>0.2091751</v>
      </c>
      <c r="X7672">
        <v>0.95633219999999997</v>
      </c>
      <c r="Y7672">
        <v>-0.30442399999999997</v>
      </c>
      <c r="Z7672">
        <v>-2.490701E-2</v>
      </c>
      <c r="AA7672">
        <v>0.95221100000000003</v>
      </c>
      <c r="AB7672">
        <v>29</v>
      </c>
      <c r="AC7672">
        <v>3.9274999999999798</v>
      </c>
      <c r="AD7672">
        <v>-1.1203847641259901</v>
      </c>
      <c r="AE7672">
        <v>22.84076</v>
      </c>
      <c r="AF7672">
        <v>-7.1056467005416399</v>
      </c>
      <c r="AG7672">
        <v>-1.1203847641259901</v>
      </c>
      <c r="AH7672">
        <v>22.0030363325452</v>
      </c>
      <c r="AI7672">
        <v>92.774125600111205</v>
      </c>
      <c r="AJ7672">
        <v>107.897310910916</v>
      </c>
      <c r="AK7672">
        <v>23.1490622899484</v>
      </c>
      <c r="AL7672">
        <v>77.925984527631002</v>
      </c>
      <c r="AM7672">
        <v>102.049781734085</v>
      </c>
      <c r="AN7672">
        <v>0.99999999307586995</v>
      </c>
    </row>
    <row r="7673" spans="1:40" x14ac:dyDescent="0.25">
      <c r="A7673" t="str">
        <f>"20190304154943168"</f>
        <v>20190304154943168</v>
      </c>
      <c r="B7673" t="str">
        <f>"1551685783164429"</f>
        <v>1551685783164429</v>
      </c>
      <c r="C7673" t="s">
        <v>40</v>
      </c>
      <c r="D7673">
        <v>4.2427149999999996</v>
      </c>
      <c r="E7673">
        <v>0.45601049999999899</v>
      </c>
      <c r="F7673" t="s">
        <v>44</v>
      </c>
      <c r="G7673">
        <v>-187.1353</v>
      </c>
      <c r="H7673" s="1">
        <v>-2.666248E-6</v>
      </c>
      <c r="I7673">
        <v>-25.336639999999999</v>
      </c>
      <c r="J7673">
        <v>-190.7758</v>
      </c>
      <c r="K7673">
        <v>1.1203719999999999</v>
      </c>
      <c r="L7673">
        <v>-47.771120000000003</v>
      </c>
      <c r="M7673">
        <v>0.45373730000000001</v>
      </c>
      <c r="N7673">
        <v>-1.45922E-2</v>
      </c>
      <c r="O7673">
        <v>0.89101600000000003</v>
      </c>
      <c r="P7673">
        <v>0.25847710000000002</v>
      </c>
      <c r="Q7673">
        <v>0.20045959999999999</v>
      </c>
      <c r="R7673">
        <v>0.94498970000000004</v>
      </c>
      <c r="S7673">
        <v>0.50869750000000002</v>
      </c>
      <c r="T7673">
        <v>-0.15168579999999901</v>
      </c>
      <c r="U7673">
        <v>3.0709840000000002</v>
      </c>
      <c r="V7673">
        <v>-0.20338049999999999</v>
      </c>
      <c r="W7673">
        <v>0.2098064</v>
      </c>
      <c r="X7673">
        <v>0.95635650000000005</v>
      </c>
      <c r="Y7673">
        <v>-0.30196260000000003</v>
      </c>
      <c r="Z7673">
        <v>-2.5944419999999999E-2</v>
      </c>
      <c r="AA7673">
        <v>0.95296670000000006</v>
      </c>
      <c r="AB7673">
        <v>29</v>
      </c>
      <c r="AC7673">
        <v>3.6404999999999998</v>
      </c>
      <c r="AD7673">
        <v>-1.1203746662480001</v>
      </c>
      <c r="AE7673">
        <v>22.434480000000001</v>
      </c>
      <c r="AF7673">
        <v>-6.9195407296626898</v>
      </c>
      <c r="AG7673">
        <v>-1.1203746662480001</v>
      </c>
      <c r="AH7673">
        <v>21.591149380409899</v>
      </c>
      <c r="AI7673">
        <v>92.828960146050605</v>
      </c>
      <c r="AJ7673">
        <v>107.769637594701</v>
      </c>
      <c r="AK7673">
        <v>22.700506929789199</v>
      </c>
      <c r="AL7673">
        <v>77.888993630851104</v>
      </c>
      <c r="AM7673">
        <v>102.005769242631</v>
      </c>
      <c r="AN7673">
        <v>1.00000005417672</v>
      </c>
    </row>
    <row r="7674" spans="1:40" x14ac:dyDescent="0.25">
      <c r="A7674" t="str">
        <f>"20190304154943184"</f>
        <v>20190304154943184</v>
      </c>
      <c r="B7674" t="str">
        <f>"1551685783175166"</f>
        <v>1551685783175166</v>
      </c>
      <c r="C7674" t="s">
        <v>40</v>
      </c>
      <c r="D7674">
        <v>4.2364389999999998</v>
      </c>
      <c r="E7674">
        <v>0.45641229999999999</v>
      </c>
      <c r="F7674" t="s">
        <v>44</v>
      </c>
      <c r="G7674">
        <v>-187.2097</v>
      </c>
      <c r="H7674" s="1">
        <v>-2.8111489999999999E-6</v>
      </c>
      <c r="I7674">
        <v>-24.96809</v>
      </c>
      <c r="J7674">
        <v>-190.68809999999999</v>
      </c>
      <c r="K7674">
        <v>1.120363</v>
      </c>
      <c r="L7674">
        <v>-47.579129999999999</v>
      </c>
      <c r="M7674">
        <v>0.44574039999999998</v>
      </c>
      <c r="N7674">
        <v>-1.459011E-2</v>
      </c>
      <c r="O7674">
        <v>0.89504340000000004</v>
      </c>
      <c r="P7674">
        <v>0.25042639999999999</v>
      </c>
      <c r="Q7674">
        <v>0.20055339999999999</v>
      </c>
      <c r="R7674">
        <v>0.94713519999999896</v>
      </c>
      <c r="S7674">
        <v>0.48091129999999999</v>
      </c>
      <c r="T7674">
        <v>-0.15108969999999999</v>
      </c>
      <c r="U7674">
        <v>3.0751339999999998</v>
      </c>
      <c r="V7674">
        <v>-0.2029406</v>
      </c>
      <c r="W7674">
        <v>0.20991509999999999</v>
      </c>
      <c r="X7674">
        <v>0.956426</v>
      </c>
      <c r="Y7674">
        <v>-0.3020275</v>
      </c>
      <c r="Z7674">
        <v>-2.6007200000000001E-2</v>
      </c>
      <c r="AA7674">
        <v>0.95294440000000002</v>
      </c>
      <c r="AB7674">
        <v>29</v>
      </c>
      <c r="AC7674">
        <v>3.4783999999999899</v>
      </c>
      <c r="AD7674">
        <v>-1.120365811149</v>
      </c>
      <c r="AE7674">
        <v>22.611039999999999</v>
      </c>
      <c r="AF7674">
        <v>-6.94940888958633</v>
      </c>
      <c r="AG7674">
        <v>-1.120365811149</v>
      </c>
      <c r="AH7674">
        <v>21.738506760185299</v>
      </c>
      <c r="AI7674">
        <v>92.810442713049596</v>
      </c>
      <c r="AJ7674">
        <v>107.728141446314</v>
      </c>
      <c r="AK7674">
        <v>22.849774170176701</v>
      </c>
      <c r="AL7674">
        <v>77.882622632324797</v>
      </c>
      <c r="AM7674">
        <v>101.979707150384</v>
      </c>
      <c r="AN7674">
        <v>0.99999996490618404</v>
      </c>
    </row>
    <row r="7675" spans="1:40" x14ac:dyDescent="0.25">
      <c r="A7675" t="str">
        <f>"20190304154943202"</f>
        <v>20190304154943202</v>
      </c>
      <c r="B7675" t="str">
        <f>"1551685783194685"</f>
        <v>1551685783194685</v>
      </c>
      <c r="C7675" t="s">
        <v>40</v>
      </c>
      <c r="D7675">
        <v>4.5693999999999999</v>
      </c>
      <c r="E7675">
        <v>0.45690140000000001</v>
      </c>
      <c r="F7675" t="s">
        <v>44</v>
      </c>
      <c r="G7675">
        <v>-187.31639999999999</v>
      </c>
      <c r="H7675" s="1">
        <v>-2.8296290000000001E-6</v>
      </c>
      <c r="I7675">
        <v>-24.88092</v>
      </c>
      <c r="J7675">
        <v>-190.59630000000001</v>
      </c>
      <c r="K7675">
        <v>1.1203529999999999</v>
      </c>
      <c r="L7675">
        <v>-47.373139999999999</v>
      </c>
      <c r="M7675">
        <v>0.43715340000000003</v>
      </c>
      <c r="N7675">
        <v>-1.4587839999999999E-2</v>
      </c>
      <c r="O7675">
        <v>0.89926859999999997</v>
      </c>
      <c r="P7675">
        <v>0.24249399999999999</v>
      </c>
      <c r="Q7675">
        <v>0.20092009999999999</v>
      </c>
      <c r="R7675">
        <v>0.94911939999999995</v>
      </c>
      <c r="S7675">
        <v>0.45733639999999998</v>
      </c>
      <c r="T7675">
        <v>-0.1519624</v>
      </c>
      <c r="U7675">
        <v>3.0787049999999998</v>
      </c>
      <c r="V7675">
        <v>-0.20175190000000001</v>
      </c>
      <c r="W7675">
        <v>0.210316</v>
      </c>
      <c r="X7675">
        <v>0.95658949999999998</v>
      </c>
      <c r="Y7675">
        <v>-0.30020550000000001</v>
      </c>
      <c r="Z7675">
        <v>-2.6496349999999998E-2</v>
      </c>
      <c r="AA7675">
        <v>0.95350650000000003</v>
      </c>
      <c r="AB7675">
        <v>29</v>
      </c>
      <c r="AC7675">
        <v>3.27990000000002</v>
      </c>
      <c r="AD7675">
        <v>-1.1203558296289999</v>
      </c>
      <c r="AE7675">
        <v>22.49222</v>
      </c>
      <c r="AF7675">
        <v>-6.8670888567155197</v>
      </c>
      <c r="AG7675">
        <v>-1.1203558296289999</v>
      </c>
      <c r="AH7675">
        <v>21.610171669779199</v>
      </c>
      <c r="AI7675">
        <v>92.8286416903629</v>
      </c>
      <c r="AJ7675">
        <v>107.628754667908</v>
      </c>
      <c r="AK7675">
        <v>22.702678831986798</v>
      </c>
      <c r="AL7675">
        <v>77.859129453810695</v>
      </c>
      <c r="AM7675">
        <v>101.90956977288501</v>
      </c>
      <c r="AN7675">
        <v>1.0000000602599199</v>
      </c>
    </row>
    <row r="7676" spans="1:40" x14ac:dyDescent="0.25">
      <c r="A7676" t="str">
        <f>"20190304154943217"</f>
        <v>20190304154943217</v>
      </c>
      <c r="B7676" t="str">
        <f>"1551685783215181"</f>
        <v>1551685783215181</v>
      </c>
      <c r="C7676" t="s">
        <v>40</v>
      </c>
      <c r="D7676">
        <v>4.2835679999999998</v>
      </c>
      <c r="E7676">
        <v>0.45818730000000002</v>
      </c>
      <c r="F7676" t="s">
        <v>44</v>
      </c>
      <c r="G7676">
        <v>-187.345</v>
      </c>
      <c r="H7676" s="1">
        <v>-3.0742609999999999E-6</v>
      </c>
      <c r="I7676">
        <v>-24.298839999999998</v>
      </c>
      <c r="J7676">
        <v>-190.52250000000001</v>
      </c>
      <c r="K7676">
        <v>1.120344</v>
      </c>
      <c r="L7676">
        <v>-47.203980000000001</v>
      </c>
      <c r="M7676">
        <v>0.43009770000000003</v>
      </c>
      <c r="N7676">
        <v>-1.458596E-2</v>
      </c>
      <c r="O7676">
        <v>0.90266449999999998</v>
      </c>
      <c r="P7676">
        <v>0.23545959999999999</v>
      </c>
      <c r="Q7676">
        <v>0.2006464</v>
      </c>
      <c r="R7676">
        <v>0.95094679999999998</v>
      </c>
      <c r="S7676">
        <v>0.43420409999999998</v>
      </c>
      <c r="T7676">
        <v>-0.1496236</v>
      </c>
      <c r="U7676">
        <v>3.0815730000000001</v>
      </c>
      <c r="V7676">
        <v>-0.20135610000000001</v>
      </c>
      <c r="W7676">
        <v>0.21005679999999999</v>
      </c>
      <c r="X7676">
        <v>0.95672979999999996</v>
      </c>
      <c r="Y7676">
        <v>-0.29987599999999998</v>
      </c>
      <c r="Z7676">
        <v>-2.606675E-2</v>
      </c>
      <c r="AA7676">
        <v>0.95362199999999997</v>
      </c>
      <c r="AB7676">
        <v>29</v>
      </c>
      <c r="AC7676">
        <v>3.1775000000000002</v>
      </c>
      <c r="AD7676">
        <v>-1.120347074261</v>
      </c>
      <c r="AE7676">
        <v>22.905139999999999</v>
      </c>
      <c r="AF7676">
        <v>-6.9676198045265103</v>
      </c>
      <c r="AG7676">
        <v>-1.120347074261</v>
      </c>
      <c r="AH7676">
        <v>21.9930142293606</v>
      </c>
      <c r="AI7676">
        <v>92.780226950607997</v>
      </c>
      <c r="AJ7676">
        <v>107.57875309817599</v>
      </c>
      <c r="AK7676">
        <v>23.097523204882599</v>
      </c>
      <c r="AL7676">
        <v>77.874319408620806</v>
      </c>
      <c r="AM7676">
        <v>101.885177124552</v>
      </c>
      <c r="AN7676">
        <v>1.0000000242207401</v>
      </c>
    </row>
    <row r="7677" spans="1:40" x14ac:dyDescent="0.25">
      <c r="A7677" t="str">
        <f>"20190304154943237"</f>
        <v>20190304154943237</v>
      </c>
      <c r="B7677" t="str">
        <f>"1551685783234701"</f>
        <v>1551685783234701</v>
      </c>
      <c r="C7677" t="s">
        <v>40</v>
      </c>
      <c r="D7677">
        <v>4.2748350000000004</v>
      </c>
      <c r="E7677">
        <v>0.45941480000000001</v>
      </c>
      <c r="F7677" t="s">
        <v>44</v>
      </c>
      <c r="G7677">
        <v>-187.4622</v>
      </c>
      <c r="H7677" s="1">
        <v>-2.8473740000000002E-6</v>
      </c>
      <c r="I7677">
        <v>-24.77927</v>
      </c>
      <c r="J7677">
        <v>-190.4211</v>
      </c>
      <c r="K7677">
        <v>1.1203299999999901</v>
      </c>
      <c r="L7677">
        <v>-46.965240000000001</v>
      </c>
      <c r="M7677">
        <v>0.42013519999999999</v>
      </c>
      <c r="N7677">
        <v>-1.4583189999999999E-2</v>
      </c>
      <c r="O7677">
        <v>0.90734429999999999</v>
      </c>
      <c r="P7677">
        <v>0.225769</v>
      </c>
      <c r="Q7677">
        <v>0.19968730000000001</v>
      </c>
      <c r="R7677">
        <v>0.95349530000000005</v>
      </c>
      <c r="S7677">
        <v>0.4207458</v>
      </c>
      <c r="T7677">
        <v>-0.15403129999999901</v>
      </c>
      <c r="U7677">
        <v>3.0830690000000001</v>
      </c>
      <c r="V7677">
        <v>-0.20061370000000001</v>
      </c>
      <c r="W7677">
        <v>0.2091238</v>
      </c>
      <c r="X7677">
        <v>0.95709010000000005</v>
      </c>
      <c r="Y7677">
        <v>-0.29352240000000002</v>
      </c>
      <c r="Z7677">
        <v>-2.7608799999999999E-2</v>
      </c>
      <c r="AA7677">
        <v>0.95555349999999994</v>
      </c>
      <c r="AB7677">
        <v>29</v>
      </c>
      <c r="AC7677">
        <v>2.9588999999999999</v>
      </c>
      <c r="AD7677">
        <v>-1.12033284737399</v>
      </c>
      <c r="AE7677">
        <v>22.185970000000001</v>
      </c>
      <c r="AF7677">
        <v>-6.6204848112055901</v>
      </c>
      <c r="AG7677">
        <v>-1.12033284737399</v>
      </c>
      <c r="AH7677">
        <v>21.322303958978999</v>
      </c>
      <c r="AI7677">
        <v>92.872667965906004</v>
      </c>
      <c r="AJ7677">
        <v>107.24934672644601</v>
      </c>
      <c r="AK7677">
        <v>22.354565773984501</v>
      </c>
      <c r="AL7677">
        <v>77.928990851407406</v>
      </c>
      <c r="AM7677">
        <v>101.838263738265</v>
      </c>
      <c r="AN7677">
        <v>1.00000003993606</v>
      </c>
    </row>
    <row r="7678" spans="1:40" x14ac:dyDescent="0.25">
      <c r="A7678" t="str">
        <f>"20190304154943260"</f>
        <v>20190304154943260</v>
      </c>
      <c r="B7678" t="str">
        <f>"1551685783255197"</f>
        <v>1551685783255197</v>
      </c>
      <c r="C7678" t="s">
        <v>40</v>
      </c>
      <c r="D7678">
        <v>4.3000879999999997</v>
      </c>
      <c r="E7678">
        <v>0.4605649</v>
      </c>
      <c r="F7678" t="s">
        <v>44</v>
      </c>
      <c r="G7678">
        <v>-187.6611</v>
      </c>
      <c r="H7678" s="1">
        <v>-2.4521740000000001E-6</v>
      </c>
      <c r="I7678">
        <v>-25.61824</v>
      </c>
      <c r="J7678">
        <v>-190.31190000000001</v>
      </c>
      <c r="K7678">
        <v>1.120309</v>
      </c>
      <c r="L7678">
        <v>-46.699190000000002</v>
      </c>
      <c r="M7678">
        <v>0.409028</v>
      </c>
      <c r="N7678">
        <v>-1.457987E-2</v>
      </c>
      <c r="O7678">
        <v>0.91240529999999997</v>
      </c>
      <c r="P7678">
        <v>0.21435119999999999</v>
      </c>
      <c r="Q7678">
        <v>0.19743269999999999</v>
      </c>
      <c r="R7678">
        <v>0.95659490000000003</v>
      </c>
      <c r="S7678">
        <v>0.39897159999999998</v>
      </c>
      <c r="T7678">
        <v>-0.16194810000000001</v>
      </c>
      <c r="U7678">
        <v>3.085785</v>
      </c>
      <c r="V7678">
        <v>-0.2005055</v>
      </c>
      <c r="W7678">
        <v>0.20688409999999999</v>
      </c>
      <c r="X7678">
        <v>0.95759930000000004</v>
      </c>
      <c r="Y7678">
        <v>-0.28859410000000002</v>
      </c>
      <c r="Z7678">
        <v>-3.0128370000000002E-2</v>
      </c>
      <c r="AA7678">
        <v>0.95697739999999998</v>
      </c>
      <c r="AB7678">
        <v>29</v>
      </c>
      <c r="AC7678">
        <v>2.6507999999999998</v>
      </c>
      <c r="AD7678">
        <v>-1.1203114521740001</v>
      </c>
      <c r="AE7678">
        <v>21.080950000000001</v>
      </c>
      <c r="AF7678">
        <v>-6.1875516966157704</v>
      </c>
      <c r="AG7678">
        <v>-1.1203114521740001</v>
      </c>
      <c r="AH7678">
        <v>20.264442549301599</v>
      </c>
      <c r="AI7678">
        <v>93.026677870604601</v>
      </c>
      <c r="AJ7678">
        <v>106.979544420346</v>
      </c>
      <c r="AK7678">
        <v>21.217646560872598</v>
      </c>
      <c r="AL7678">
        <v>78.060184676566607</v>
      </c>
      <c r="AM7678">
        <v>101.825944423716</v>
      </c>
      <c r="AN7678">
        <v>0.99999995286177301</v>
      </c>
    </row>
    <row r="7679" spans="1:40" x14ac:dyDescent="0.25">
      <c r="A7679" t="str">
        <f>"20190304154943283"</f>
        <v>20190304154943283</v>
      </c>
      <c r="B7679" t="str">
        <f>"1551685783274717"</f>
        <v>1551685783274717</v>
      </c>
      <c r="C7679" t="s">
        <v>40</v>
      </c>
      <c r="D7679">
        <v>4.2913739999999896</v>
      </c>
      <c r="E7679">
        <v>0.46173049999999999</v>
      </c>
      <c r="F7679" t="s">
        <v>44</v>
      </c>
      <c r="G7679">
        <v>-187.8443</v>
      </c>
      <c r="H7679" s="1">
        <v>-2.1957290000000002E-6</v>
      </c>
      <c r="I7679">
        <v>-26.140250000000002</v>
      </c>
      <c r="J7679">
        <v>-190.20590000000001</v>
      </c>
      <c r="K7679">
        <v>1.1202939999999999</v>
      </c>
      <c r="L7679">
        <v>-46.431980000000003</v>
      </c>
      <c r="M7679">
        <v>0.39786939999999998</v>
      </c>
      <c r="N7679">
        <v>-1.457615E-2</v>
      </c>
      <c r="O7679">
        <v>0.91732630000000004</v>
      </c>
      <c r="P7679">
        <v>0.20243949999999999</v>
      </c>
      <c r="Q7679">
        <v>0.19635359999999999</v>
      </c>
      <c r="R7679">
        <v>0.95940789999999998</v>
      </c>
      <c r="S7679">
        <v>0.37060549999999998</v>
      </c>
      <c r="T7679">
        <v>-0.16826240000000001</v>
      </c>
      <c r="U7679">
        <v>3.087799</v>
      </c>
      <c r="V7679">
        <v>-0.20078770000000001</v>
      </c>
      <c r="W7679">
        <v>0.2058063</v>
      </c>
      <c r="X7679">
        <v>0.95777239999999997</v>
      </c>
      <c r="Y7679">
        <v>-0.28565610000000002</v>
      </c>
      <c r="Z7679">
        <v>-3.2227789999999999E-2</v>
      </c>
      <c r="AA7679">
        <v>0.95779009999999998</v>
      </c>
      <c r="AB7679">
        <v>29</v>
      </c>
      <c r="AC7679">
        <v>2.3616000000000099</v>
      </c>
      <c r="AD7679">
        <v>-1.1202961957290001</v>
      </c>
      <c r="AE7679">
        <v>20.291729999999902</v>
      </c>
      <c r="AF7679">
        <v>-5.8900147225060202</v>
      </c>
      <c r="AG7679">
        <v>-1.1202961957290001</v>
      </c>
      <c r="AH7679">
        <v>19.497187961797898</v>
      </c>
      <c r="AI7679">
        <v>93.148340090846602</v>
      </c>
      <c r="AJ7679">
        <v>106.809335751768</v>
      </c>
      <c r="AK7679">
        <v>20.3982272615828</v>
      </c>
      <c r="AL7679">
        <v>78.123296271265502</v>
      </c>
      <c r="AM7679">
        <v>101.84003926902</v>
      </c>
      <c r="AN7679">
        <v>0.99999995189636803</v>
      </c>
    </row>
    <row r="7680" spans="1:40" x14ac:dyDescent="0.25">
      <c r="A7680" t="str">
        <f>"20190304154943305"</f>
        <v>20190304154943305</v>
      </c>
      <c r="B7680" t="str">
        <f>"1551685783295213"</f>
        <v>1551685783295213</v>
      </c>
      <c r="C7680" t="s">
        <v>40</v>
      </c>
      <c r="D7680">
        <v>4.2764499999999996</v>
      </c>
      <c r="E7680">
        <v>0.46231169999999999</v>
      </c>
      <c r="F7680" t="s">
        <v>44</v>
      </c>
      <c r="G7680">
        <v>-187.99889999999999</v>
      </c>
      <c r="H7680" s="1">
        <v>-2.0509659999999998E-6</v>
      </c>
      <c r="I7680">
        <v>-26.413799999999998</v>
      </c>
      <c r="J7680">
        <v>-190.10400000000001</v>
      </c>
      <c r="K7680">
        <v>1.1202749999999999</v>
      </c>
      <c r="L7680">
        <v>-46.165709999999997</v>
      </c>
      <c r="M7680">
        <v>0.3867506</v>
      </c>
      <c r="N7680">
        <v>-1.457193E-2</v>
      </c>
      <c r="O7680">
        <v>0.92206920000000003</v>
      </c>
      <c r="P7680">
        <v>0.19058220000000001</v>
      </c>
      <c r="Q7680">
        <v>0.19966590000000001</v>
      </c>
      <c r="R7680">
        <v>0.96115139999999999</v>
      </c>
      <c r="S7680">
        <v>0.3407288</v>
      </c>
      <c r="T7680">
        <v>-0.1729523</v>
      </c>
      <c r="U7680">
        <v>3.0904240000000001</v>
      </c>
      <c r="V7680">
        <v>-0.20083129999999999</v>
      </c>
      <c r="W7680">
        <v>0.209115</v>
      </c>
      <c r="X7680">
        <v>0.95704630000000002</v>
      </c>
      <c r="Y7680">
        <v>-0.28330840000000002</v>
      </c>
      <c r="Z7680">
        <v>-3.3877600000000001E-2</v>
      </c>
      <c r="AA7680">
        <v>0.95843029999999996</v>
      </c>
      <c r="AB7680">
        <v>29</v>
      </c>
      <c r="AC7680">
        <v>2.1051000000000202</v>
      </c>
      <c r="AD7680">
        <v>-1.1202770509659901</v>
      </c>
      <c r="AE7680">
        <v>19.751909999999999</v>
      </c>
      <c r="AF7680">
        <v>-5.6805519629491501</v>
      </c>
      <c r="AG7680">
        <v>-1.1202770509659901</v>
      </c>
      <c r="AH7680">
        <v>18.968463506291201</v>
      </c>
      <c r="AI7680">
        <v>93.238193574056496</v>
      </c>
      <c r="AJ7680">
        <v>106.671564251992</v>
      </c>
      <c r="AK7680">
        <v>19.832455699287198</v>
      </c>
      <c r="AL7680">
        <v>77.929505441856406</v>
      </c>
      <c r="AM7680">
        <v>101.851268478656</v>
      </c>
      <c r="AN7680">
        <v>0.999999957314189</v>
      </c>
    </row>
    <row r="7681" spans="1:40" x14ac:dyDescent="0.25">
      <c r="A7681" t="str">
        <f>"20190304154943325"</f>
        <v>20190304154943325</v>
      </c>
      <c r="B7681" t="str">
        <f>"1551685783314733"</f>
        <v>1551685783314733</v>
      </c>
      <c r="C7681" t="s">
        <v>40</v>
      </c>
      <c r="D7681">
        <v>4.3596300000000001</v>
      </c>
      <c r="E7681">
        <v>0.46276970000000001</v>
      </c>
      <c r="F7681" t="s">
        <v>44</v>
      </c>
      <c r="G7681">
        <v>-188.02930000000001</v>
      </c>
      <c r="H7681" s="1">
        <v>-2.567171E-6</v>
      </c>
      <c r="I7681">
        <v>-25.19792</v>
      </c>
      <c r="J7681">
        <v>-190.0136</v>
      </c>
      <c r="K7681">
        <v>1.1202510000000001</v>
      </c>
      <c r="L7681">
        <v>-45.921080000000003</v>
      </c>
      <c r="M7681">
        <v>0.37654300000000002</v>
      </c>
      <c r="N7681">
        <v>-1.45673E-2</v>
      </c>
      <c r="O7681">
        <v>0.92628460000000001</v>
      </c>
      <c r="P7681">
        <v>0.18024399999999999</v>
      </c>
      <c r="Q7681">
        <v>0.2002546</v>
      </c>
      <c r="R7681">
        <v>0.96302140000000003</v>
      </c>
      <c r="S7681">
        <v>0.30622860000000002</v>
      </c>
      <c r="T7681">
        <v>-0.165354799999999</v>
      </c>
      <c r="U7681">
        <v>3.0948790000000002</v>
      </c>
      <c r="V7681">
        <v>-0.20049729999999999</v>
      </c>
      <c r="W7681">
        <v>0.2097183</v>
      </c>
      <c r="X7681">
        <v>0.95698439999999996</v>
      </c>
      <c r="Y7681">
        <v>-0.28343469999999998</v>
      </c>
      <c r="Z7681">
        <v>-3.2020840000000002E-2</v>
      </c>
      <c r="AA7681">
        <v>0.9584568</v>
      </c>
      <c r="AB7681">
        <v>29</v>
      </c>
      <c r="AC7681">
        <v>1.98429999999999</v>
      </c>
      <c r="AD7681">
        <v>-1.1202535671709899</v>
      </c>
      <c r="AE7681">
        <v>20.72316</v>
      </c>
      <c r="AF7681">
        <v>-5.9485420036438201</v>
      </c>
      <c r="AG7681">
        <v>-1.1202535671709899</v>
      </c>
      <c r="AH7681">
        <v>19.8872466413758</v>
      </c>
      <c r="AI7681">
        <v>93.089127295446502</v>
      </c>
      <c r="AJ7681">
        <v>106.652628914216</v>
      </c>
      <c r="AK7681">
        <v>20.788042211781001</v>
      </c>
      <c r="AL7681">
        <v>77.8941560365204</v>
      </c>
      <c r="AM7681">
        <v>101.832858579816</v>
      </c>
      <c r="AN7681">
        <v>1.00000003725276</v>
      </c>
    </row>
    <row r="7682" spans="1:40" x14ac:dyDescent="0.25">
      <c r="A7682" t="str">
        <f>"20190304154943347"</f>
        <v>20190304154943347</v>
      </c>
      <c r="B7682" t="str">
        <f>"1551685783344990"</f>
        <v>1551685783344990</v>
      </c>
      <c r="C7682" t="s">
        <v>40</v>
      </c>
      <c r="D7682">
        <v>4.3259699999999999</v>
      </c>
      <c r="E7682">
        <v>0.46100360000000001</v>
      </c>
      <c r="F7682" t="s">
        <v>44</v>
      </c>
      <c r="G7682">
        <v>-188.0958</v>
      </c>
      <c r="H7682" s="1">
        <v>-2.948913E-6</v>
      </c>
      <c r="I7682">
        <v>-24.280570000000001</v>
      </c>
      <c r="J7682">
        <v>-189.9213</v>
      </c>
      <c r="K7682">
        <v>1.1202190000000001</v>
      </c>
      <c r="L7682">
        <v>-45.662410000000001</v>
      </c>
      <c r="M7682">
        <v>0.36576789999999998</v>
      </c>
      <c r="N7682">
        <v>-1.456119E-2</v>
      </c>
      <c r="O7682">
        <v>0.93059219999999998</v>
      </c>
      <c r="P7682">
        <v>0.16942950000000001</v>
      </c>
      <c r="Q7682">
        <v>0.19947819999999999</v>
      </c>
      <c r="R7682">
        <v>0.96514359999999999</v>
      </c>
      <c r="S7682">
        <v>0.27447510000000003</v>
      </c>
      <c r="T7682">
        <v>-0.16032959999999999</v>
      </c>
      <c r="U7682">
        <v>3.0971679999999999</v>
      </c>
      <c r="V7682">
        <v>-0.20014970000000001</v>
      </c>
      <c r="W7682">
        <v>0.20896339999999999</v>
      </c>
      <c r="X7682">
        <v>0.95722220000000002</v>
      </c>
      <c r="Y7682">
        <v>-0.2821169</v>
      </c>
      <c r="Z7682">
        <v>-3.0911350000000001E-2</v>
      </c>
      <c r="AA7682">
        <v>0.95888189999999995</v>
      </c>
      <c r="AB7682">
        <v>29</v>
      </c>
      <c r="AC7682">
        <v>1.8254999999999999</v>
      </c>
      <c r="AD7682">
        <v>-1.1202219489129901</v>
      </c>
      <c r="AE7682">
        <v>21.38184</v>
      </c>
      <c r="AF7682">
        <v>-6.1060049278654898</v>
      </c>
      <c r="AG7682">
        <v>-1.1202219489129901</v>
      </c>
      <c r="AH7682">
        <v>20.511768890146001</v>
      </c>
      <c r="AI7682">
        <v>92.996334123152494</v>
      </c>
      <c r="AJ7682">
        <v>106.577373820194</v>
      </c>
      <c r="AK7682">
        <v>21.430605600325599</v>
      </c>
      <c r="AL7682">
        <v>77.938387902858594</v>
      </c>
      <c r="AM7682">
        <v>101.810068767845</v>
      </c>
      <c r="AN7682">
        <v>0.99999997256124395</v>
      </c>
    </row>
    <row r="7683" spans="1:40" x14ac:dyDescent="0.25">
      <c r="A7683" t="str">
        <f>"20190304154943371"</f>
        <v>20190304154943371</v>
      </c>
      <c r="B7683" t="str">
        <f>"1551685783364509"</f>
        <v>1551685783364509</v>
      </c>
      <c r="C7683" t="s">
        <v>40</v>
      </c>
      <c r="D7683">
        <v>4.3445070000000001</v>
      </c>
      <c r="E7683">
        <v>0.46011970000000002</v>
      </c>
      <c r="F7683" t="s">
        <v>44</v>
      </c>
      <c r="G7683">
        <v>-188.31280000000001</v>
      </c>
      <c r="H7683" s="1">
        <v>-3.274793E-6</v>
      </c>
      <c r="I7683">
        <v>-23.431229999999999</v>
      </c>
      <c r="J7683">
        <v>-189.82499999999999</v>
      </c>
      <c r="K7683">
        <v>1.1201810000000001</v>
      </c>
      <c r="L7683">
        <v>-45.382199999999997</v>
      </c>
      <c r="M7683">
        <v>0.35412569999999999</v>
      </c>
      <c r="N7683">
        <v>-1.4552870000000001E-2</v>
      </c>
      <c r="O7683">
        <v>0.93508460000000004</v>
      </c>
      <c r="P7683">
        <v>0.15823889999999999</v>
      </c>
      <c r="Q7683">
        <v>0.1997959</v>
      </c>
      <c r="R7683">
        <v>0.96697569999999999</v>
      </c>
      <c r="S7683">
        <v>0.22439580000000001</v>
      </c>
      <c r="T7683">
        <v>-0.15627149999999901</v>
      </c>
      <c r="U7683">
        <v>3.1012569999999999</v>
      </c>
      <c r="V7683">
        <v>-0.19924829999999999</v>
      </c>
      <c r="W7683">
        <v>0.20931730000000001</v>
      </c>
      <c r="X7683">
        <v>0.95733299999999999</v>
      </c>
      <c r="Y7683">
        <v>-0.28563650000000002</v>
      </c>
      <c r="Z7683">
        <v>-3.0001860000000002E-2</v>
      </c>
      <c r="AA7683">
        <v>0.95786830000000001</v>
      </c>
      <c r="AB7683">
        <v>29</v>
      </c>
      <c r="AC7683">
        <v>1.51219999999997</v>
      </c>
      <c r="AD7683">
        <v>-1.120184274793</v>
      </c>
      <c r="AE7683">
        <v>21.950970000000002</v>
      </c>
      <c r="AF7683">
        <v>-6.3435993195974998</v>
      </c>
      <c r="AG7683">
        <v>-1.120184274793</v>
      </c>
      <c r="AH7683">
        <v>21.009299802863001</v>
      </c>
      <c r="AI7683">
        <v>92.921983320914407</v>
      </c>
      <c r="AJ7683">
        <v>106.80129398765</v>
      </c>
      <c r="AK7683">
        <v>21.974684146619101</v>
      </c>
      <c r="AL7683">
        <v>77.917653261255097</v>
      </c>
      <c r="AM7683">
        <v>101.757041649794</v>
      </c>
      <c r="AN7683">
        <v>1.0000000450105799</v>
      </c>
    </row>
    <row r="7684" spans="1:40" x14ac:dyDescent="0.25">
      <c r="A7684" t="str">
        <f>"20190304154943385"</f>
        <v>20190304154943385</v>
      </c>
      <c r="B7684" t="str">
        <f>"1551685783375245"</f>
        <v>1551685783375245</v>
      </c>
      <c r="C7684" t="s">
        <v>40</v>
      </c>
      <c r="D7684">
        <v>4.2959459999999998</v>
      </c>
      <c r="E7684">
        <v>0.45983479999999999</v>
      </c>
      <c r="F7684" t="s">
        <v>44</v>
      </c>
      <c r="G7684">
        <v>-188.47829999999999</v>
      </c>
      <c r="H7684" s="1">
        <v>-3.7013960000000001E-6</v>
      </c>
      <c r="I7684">
        <v>-22.36835</v>
      </c>
      <c r="J7684">
        <v>-189.7679</v>
      </c>
      <c r="K7684">
        <v>1.1201490000000001</v>
      </c>
      <c r="L7684">
        <v>-45.209499999999998</v>
      </c>
      <c r="M7684">
        <v>0.34699099999999999</v>
      </c>
      <c r="N7684">
        <v>-1.4546180000000001E-2</v>
      </c>
      <c r="O7684">
        <v>0.93775560000000002</v>
      </c>
      <c r="P7684">
        <v>0.15118909999999999</v>
      </c>
      <c r="Q7684">
        <v>0.20038639999999999</v>
      </c>
      <c r="R7684">
        <v>0.96798099999999998</v>
      </c>
      <c r="S7684">
        <v>0.18162539999999999</v>
      </c>
      <c r="T7684">
        <v>-0.15108239999999901</v>
      </c>
      <c r="U7684">
        <v>3.1039430000000001</v>
      </c>
      <c r="V7684">
        <v>-0.19888020000000001</v>
      </c>
      <c r="W7684">
        <v>0.20992720000000001</v>
      </c>
      <c r="X7684">
        <v>0.95727600000000002</v>
      </c>
      <c r="Y7684">
        <v>-0.29152979999999901</v>
      </c>
      <c r="Z7684">
        <v>-2.8627320000000001E-2</v>
      </c>
      <c r="AA7684">
        <v>0.95613320000000002</v>
      </c>
      <c r="AB7684">
        <v>29</v>
      </c>
      <c r="AC7684">
        <v>1.2896000000000001</v>
      </c>
      <c r="AD7684">
        <v>-1.120152701396</v>
      </c>
      <c r="AE7684">
        <v>22.841149999999999</v>
      </c>
      <c r="AF7684">
        <v>-6.7009900309429904</v>
      </c>
      <c r="AG7684">
        <v>-1.120152701396</v>
      </c>
      <c r="AH7684">
        <v>21.816907330059799</v>
      </c>
      <c r="AI7684">
        <v>92.8098450174937</v>
      </c>
      <c r="AJ7684">
        <v>107.07416468570401</v>
      </c>
      <c r="AK7684">
        <v>22.850283475652098</v>
      </c>
      <c r="AL7684">
        <v>77.881914621823</v>
      </c>
      <c r="AM7684">
        <v>101.736603582317</v>
      </c>
      <c r="AN7684">
        <v>1.00000005171393</v>
      </c>
    </row>
    <row r="7685" spans="1:40" x14ac:dyDescent="0.25">
      <c r="A7685" t="str">
        <f>"20190304154943405"</f>
        <v>20190304154943405</v>
      </c>
      <c r="B7685" t="str">
        <f>"1551685783394766"</f>
        <v>1551685783394766</v>
      </c>
      <c r="C7685" t="s">
        <v>40</v>
      </c>
      <c r="D7685">
        <v>4.3406900000000004</v>
      </c>
      <c r="E7685">
        <v>0.45939039999999998</v>
      </c>
      <c r="F7685" t="s">
        <v>44</v>
      </c>
      <c r="G7685">
        <v>-188.5787</v>
      </c>
      <c r="H7685" s="1">
        <v>-3.9484930000000004E-6</v>
      </c>
      <c r="I7685">
        <v>-21.750879999999999</v>
      </c>
      <c r="J7685">
        <v>-189.69329999999999</v>
      </c>
      <c r="K7685">
        <v>1.120088</v>
      </c>
      <c r="L7685">
        <v>-44.977939999999997</v>
      </c>
      <c r="M7685">
        <v>0.33746470000000001</v>
      </c>
      <c r="N7685">
        <v>-1.4535569999999999E-2</v>
      </c>
      <c r="O7685">
        <v>0.94122589999999995</v>
      </c>
      <c r="P7685">
        <v>0.14256099999999999</v>
      </c>
      <c r="Q7685">
        <v>0.2019579</v>
      </c>
      <c r="R7685">
        <v>0.96896300000000002</v>
      </c>
      <c r="S7685">
        <v>0.15742490000000001</v>
      </c>
      <c r="T7685">
        <v>-0.14828069999999999</v>
      </c>
      <c r="U7685">
        <v>3.1053470000000001</v>
      </c>
      <c r="V7685">
        <v>-0.1975903</v>
      </c>
      <c r="W7685">
        <v>0.21154510000000001</v>
      </c>
      <c r="X7685">
        <v>0.95718689999999995</v>
      </c>
      <c r="Y7685">
        <v>-0.28928720000000002</v>
      </c>
      <c r="Z7685">
        <v>-2.8068579999999999E-2</v>
      </c>
      <c r="AA7685">
        <v>0.95683070000000003</v>
      </c>
      <c r="AB7685">
        <v>29</v>
      </c>
      <c r="AC7685">
        <v>1.11459999999999</v>
      </c>
      <c r="AD7685">
        <v>-1.1200919484930001</v>
      </c>
      <c r="AE7685">
        <v>23.227060000000002</v>
      </c>
      <c r="AF7685">
        <v>-6.7742227649677798</v>
      </c>
      <c r="AG7685">
        <v>-1.1200919484930001</v>
      </c>
      <c r="AH7685">
        <v>22.188917259548699</v>
      </c>
      <c r="AI7685">
        <v>92.764088683355396</v>
      </c>
      <c r="AJ7685">
        <v>106.97730362753001</v>
      </c>
      <c r="AK7685">
        <v>23.2269832133573</v>
      </c>
      <c r="AL7685">
        <v>77.787085676740404</v>
      </c>
      <c r="AM7685">
        <v>101.66362979032201</v>
      </c>
      <c r="AN7685">
        <v>1.00000000875985</v>
      </c>
    </row>
    <row r="7686" spans="1:40" x14ac:dyDescent="0.25">
      <c r="A7686" t="str">
        <f>"20190304154943426"</f>
        <v>20190304154943426</v>
      </c>
      <c r="B7686" t="str">
        <f>"1551685783425021"</f>
        <v>1551685783425021</v>
      </c>
      <c r="C7686" t="s">
        <v>40</v>
      </c>
      <c r="D7686">
        <v>4.7673009999999998</v>
      </c>
      <c r="E7686">
        <v>0.45894370000000001</v>
      </c>
      <c r="F7686" t="s">
        <v>44</v>
      </c>
      <c r="G7686">
        <v>-188.66820000000001</v>
      </c>
      <c r="H7686" s="1">
        <v>-4.6301119999999997E-7</v>
      </c>
      <c r="I7686">
        <v>-20.03267</v>
      </c>
      <c r="J7686">
        <v>-189.60980000000001</v>
      </c>
      <c r="K7686">
        <v>1.119998</v>
      </c>
      <c r="L7686">
        <v>-44.709409999999998</v>
      </c>
      <c r="M7686">
        <v>0.3265014</v>
      </c>
      <c r="N7686">
        <v>-1.45202E-2</v>
      </c>
      <c r="O7686">
        <v>0.94508519999999896</v>
      </c>
      <c r="P7686">
        <v>0.13375020000000001</v>
      </c>
      <c r="Q7686">
        <v>0.2020593</v>
      </c>
      <c r="R7686">
        <v>0.97019739999999999</v>
      </c>
      <c r="S7686">
        <v>0.12765499999999999</v>
      </c>
      <c r="T7686">
        <v>-0.13948239999999901</v>
      </c>
      <c r="U7686">
        <v>3.1063839999999998</v>
      </c>
      <c r="V7686">
        <v>-0.19510449999999999</v>
      </c>
      <c r="W7686">
        <v>0.2117348</v>
      </c>
      <c r="X7686">
        <v>0.95765480000000003</v>
      </c>
      <c r="Y7686">
        <v>-0.28733209999999998</v>
      </c>
      <c r="Z7686">
        <v>-2.5805060000000001E-2</v>
      </c>
      <c r="AA7686">
        <v>0.95748339999999998</v>
      </c>
      <c r="AB7686">
        <v>29</v>
      </c>
      <c r="AC7686">
        <v>0.941599999999994</v>
      </c>
      <c r="AD7686">
        <v>-1.1199984630111901</v>
      </c>
      <c r="AE7686">
        <v>24.676739999999999</v>
      </c>
      <c r="AF7686">
        <v>-7.1531396912320604</v>
      </c>
      <c r="AG7686">
        <v>-1.1199984630111901</v>
      </c>
      <c r="AH7686">
        <v>23.583036840366599</v>
      </c>
      <c r="AI7686">
        <v>92.602136154199997</v>
      </c>
      <c r="AJ7686">
        <v>106.873450800482</v>
      </c>
      <c r="AK7686">
        <v>24.669443257064302</v>
      </c>
      <c r="AL7686">
        <v>77.775965310901796</v>
      </c>
      <c r="AM7686">
        <v>101.51536327015999</v>
      </c>
      <c r="AN7686">
        <v>1.0000000537071601</v>
      </c>
    </row>
    <row r="7687" spans="1:40" x14ac:dyDescent="0.25">
      <c r="A7687" t="str">
        <f>"20190304154943447"</f>
        <v>20190304154943447</v>
      </c>
      <c r="B7687" t="str">
        <f>"1551685783444541"</f>
        <v>1551685783444541</v>
      </c>
      <c r="C7687" t="s">
        <v>40</v>
      </c>
      <c r="D7687">
        <v>4.3109159999999997</v>
      </c>
      <c r="E7687">
        <v>0.4589608</v>
      </c>
      <c r="F7687" t="s">
        <v>44</v>
      </c>
      <c r="G7687">
        <v>-188.82769999999999</v>
      </c>
      <c r="H7687" s="1">
        <v>-4.4827080000000002E-7</v>
      </c>
      <c r="I7687">
        <v>-19.951239999999999</v>
      </c>
      <c r="J7687">
        <v>-189.53540000000001</v>
      </c>
      <c r="K7687">
        <v>1.1198920000000001</v>
      </c>
      <c r="L7687">
        <v>-44.460749999999997</v>
      </c>
      <c r="M7687">
        <v>0.31645060000000003</v>
      </c>
      <c r="N7687">
        <v>-1.450308E-2</v>
      </c>
      <c r="O7687">
        <v>0.94849810000000001</v>
      </c>
      <c r="P7687">
        <v>0.12540970000000001</v>
      </c>
      <c r="Q7687">
        <v>0.2014736</v>
      </c>
      <c r="R7687">
        <v>0.97143230000000003</v>
      </c>
      <c r="S7687">
        <v>9.817505E-2</v>
      </c>
      <c r="T7687">
        <v>-0.1405942</v>
      </c>
      <c r="U7687">
        <v>3.10791</v>
      </c>
      <c r="V7687">
        <v>-0.19313569999999999</v>
      </c>
      <c r="W7687">
        <v>0.21122769999999999</v>
      </c>
      <c r="X7687">
        <v>0.95816570000000001</v>
      </c>
      <c r="Y7687">
        <v>-0.28625410000000001</v>
      </c>
      <c r="Z7687">
        <v>-2.63398E-2</v>
      </c>
      <c r="AA7687">
        <v>0.95779159999999997</v>
      </c>
      <c r="AB7687">
        <v>29</v>
      </c>
      <c r="AC7687">
        <v>0.70770000000001598</v>
      </c>
      <c r="AD7687">
        <v>-1.1198924482707999</v>
      </c>
      <c r="AE7687">
        <v>24.509509999999999</v>
      </c>
      <c r="AF7687">
        <v>-7.0707924637316601</v>
      </c>
      <c r="AG7687">
        <v>-1.1198924482707999</v>
      </c>
      <c r="AH7687">
        <v>23.424780091962099</v>
      </c>
      <c r="AI7687">
        <v>92.620507398961706</v>
      </c>
      <c r="AJ7687">
        <v>106.796490428223</v>
      </c>
      <c r="AK7687">
        <v>24.494297040691801</v>
      </c>
      <c r="AL7687">
        <v>77.805691999677506</v>
      </c>
      <c r="AM7687">
        <v>101.396299748949</v>
      </c>
      <c r="AN7687">
        <v>1.00000002425913</v>
      </c>
    </row>
    <row r="7688" spans="1:40" x14ac:dyDescent="0.25">
      <c r="A7688" t="str">
        <f>"20190304154943470"</f>
        <v>20190304154943470</v>
      </c>
      <c r="B7688" t="str">
        <f>"1551685783465038"</f>
        <v>1551685783465038</v>
      </c>
      <c r="C7688" t="s">
        <v>40</v>
      </c>
      <c r="D7688">
        <v>4.2853859999999999</v>
      </c>
      <c r="E7688">
        <v>0.45910960000000001</v>
      </c>
      <c r="F7688" t="s">
        <v>44</v>
      </c>
      <c r="G7688">
        <v>-188.9512</v>
      </c>
      <c r="H7688" s="1">
        <v>-4.961596E-7</v>
      </c>
      <c r="I7688">
        <v>-19.713930000000001</v>
      </c>
      <c r="J7688">
        <v>-189.459</v>
      </c>
      <c r="K7688">
        <v>1.1197649999999999</v>
      </c>
      <c r="L7688">
        <v>-44.195279999999997</v>
      </c>
      <c r="M7688">
        <v>0.30585050000000003</v>
      </c>
      <c r="N7688">
        <v>-1.4482109999999999E-2</v>
      </c>
      <c r="O7688">
        <v>0.95196939999999997</v>
      </c>
      <c r="P7688">
        <v>0.11707629999999999</v>
      </c>
      <c r="Q7688">
        <v>0.20079369999999999</v>
      </c>
      <c r="R7688">
        <v>0.97261249999999999</v>
      </c>
      <c r="S7688">
        <v>7.3364260000000001E-2</v>
      </c>
      <c r="T7688">
        <v>-0.1406453</v>
      </c>
      <c r="U7688">
        <v>3.10791</v>
      </c>
      <c r="V7688">
        <v>-0.1906205</v>
      </c>
      <c r="W7688">
        <v>0.210646</v>
      </c>
      <c r="X7688">
        <v>0.95879720000000002</v>
      </c>
      <c r="Y7688">
        <v>-0.28320689999999998</v>
      </c>
      <c r="Z7688">
        <v>-2.6613069999999999E-2</v>
      </c>
      <c r="AA7688">
        <v>0.95868949999999997</v>
      </c>
      <c r="AB7688">
        <v>29</v>
      </c>
      <c r="AC7688">
        <v>0.50780000000000303</v>
      </c>
      <c r="AD7688">
        <v>-1.1197654961596</v>
      </c>
      <c r="AE7688">
        <v>24.481349999999999</v>
      </c>
      <c r="AF7688">
        <v>-6.9903394677915198</v>
      </c>
      <c r="AG7688">
        <v>-1.1197654961596</v>
      </c>
      <c r="AH7688">
        <v>23.4143034853976</v>
      </c>
      <c r="AI7688">
        <v>92.623762200142906</v>
      </c>
      <c r="AJ7688">
        <v>106.62299281059801</v>
      </c>
      <c r="AK7688">
        <v>24.4611595871425</v>
      </c>
      <c r="AL7688">
        <v>77.839787723709193</v>
      </c>
      <c r="AM7688">
        <v>101.244474521895</v>
      </c>
      <c r="AN7688">
        <v>0.999999991532044</v>
      </c>
    </row>
    <row r="7689" spans="1:40" x14ac:dyDescent="0.25">
      <c r="A7689" t="str">
        <f>"20190304154943496"</f>
        <v>20190304154943496</v>
      </c>
      <c r="B7689" t="str">
        <f>"1551685783484557"</f>
        <v>1551685783484557</v>
      </c>
      <c r="C7689" t="s">
        <v>40</v>
      </c>
      <c r="D7689">
        <v>4.3145410000000002</v>
      </c>
      <c r="E7689">
        <v>0.45933780000000002</v>
      </c>
      <c r="F7689" t="s">
        <v>44</v>
      </c>
      <c r="G7689">
        <v>-189.0737</v>
      </c>
      <c r="H7689" s="1">
        <v>-4.3937619999999999E-7</v>
      </c>
      <c r="I7689">
        <v>-19.785049999999998</v>
      </c>
      <c r="J7689">
        <v>-189.37309999999999</v>
      </c>
      <c r="K7689">
        <v>1.11959599999999</v>
      </c>
      <c r="L7689">
        <v>-43.883119999999998</v>
      </c>
      <c r="M7689">
        <v>0.293608799999999</v>
      </c>
      <c r="N7689">
        <v>-1.445277E-2</v>
      </c>
      <c r="O7689">
        <v>0.95581640000000001</v>
      </c>
      <c r="P7689">
        <v>0.1066375</v>
      </c>
      <c r="Q7689">
        <v>0.20113929999999999</v>
      </c>
      <c r="R7689">
        <v>0.97374090000000002</v>
      </c>
      <c r="S7689">
        <v>4.9057009999999998E-2</v>
      </c>
      <c r="T7689">
        <v>-0.14257259999999999</v>
      </c>
      <c r="U7689">
        <v>3.1080019999999999</v>
      </c>
      <c r="V7689">
        <v>-0.18849450000000001</v>
      </c>
      <c r="W7689">
        <v>0.21108840000000001</v>
      </c>
      <c r="X7689">
        <v>0.95912019999999998</v>
      </c>
      <c r="Y7689">
        <v>-0.278393</v>
      </c>
      <c r="Z7689">
        <v>-2.7481530000000001E-2</v>
      </c>
      <c r="AA7689">
        <v>0.96007399999999998</v>
      </c>
      <c r="AB7689">
        <v>29</v>
      </c>
      <c r="AC7689">
        <v>0.29939999999999101</v>
      </c>
      <c r="AD7689">
        <v>-1.1195964393761999</v>
      </c>
      <c r="AE7689">
        <v>24.09807</v>
      </c>
      <c r="AF7689">
        <v>-6.7753206810881901</v>
      </c>
      <c r="AG7689">
        <v>-1.1195964393761999</v>
      </c>
      <c r="AH7689">
        <v>23.073854207087798</v>
      </c>
      <c r="AI7689">
        <v>92.665576553936106</v>
      </c>
      <c r="AJ7689">
        <v>106.36415253379199</v>
      </c>
      <c r="AK7689">
        <v>24.0740776456459</v>
      </c>
      <c r="AL7689">
        <v>77.813857407735895</v>
      </c>
      <c r="AM7689">
        <v>101.118555843821</v>
      </c>
      <c r="AN7689">
        <v>1.0000000235964199</v>
      </c>
    </row>
    <row r="7690" spans="1:40" x14ac:dyDescent="0.25">
      <c r="A7690" t="str">
        <f>"20190304154943515"</f>
        <v>20190304154943515</v>
      </c>
      <c r="B7690" t="str">
        <f>"1551685783505053"</f>
        <v>1551685783505053</v>
      </c>
      <c r="C7690" t="s">
        <v>40</v>
      </c>
      <c r="D7690">
        <v>4.340001</v>
      </c>
      <c r="E7690">
        <v>0.45955279999999998</v>
      </c>
      <c r="F7690" t="s">
        <v>44</v>
      </c>
      <c r="G7690">
        <v>-189.2201</v>
      </c>
      <c r="H7690" s="1">
        <v>-5.2154639999999997E-7</v>
      </c>
      <c r="I7690">
        <v>-19.473949999999999</v>
      </c>
      <c r="J7690">
        <v>-189.3074</v>
      </c>
      <c r="K7690">
        <v>1.119451</v>
      </c>
      <c r="L7690">
        <v>-43.633670000000002</v>
      </c>
      <c r="M7690">
        <v>0.28400550000000002</v>
      </c>
      <c r="N7690">
        <v>-1.442628E-2</v>
      </c>
      <c r="O7690">
        <v>0.95871410000000001</v>
      </c>
      <c r="P7690">
        <v>9.9039920000000004E-2</v>
      </c>
      <c r="Q7690">
        <v>0.2008199</v>
      </c>
      <c r="R7690">
        <v>0.9746089</v>
      </c>
      <c r="S7690">
        <v>1.9485470000000001E-2</v>
      </c>
      <c r="T7690">
        <v>-0.14256720000000001</v>
      </c>
      <c r="U7690">
        <v>3.108215</v>
      </c>
      <c r="V7690">
        <v>-0.1862829</v>
      </c>
      <c r="W7690">
        <v>0.21086179999999999</v>
      </c>
      <c r="X7690">
        <v>0.95960199999999996</v>
      </c>
      <c r="Y7690">
        <v>-0.27789249999999999</v>
      </c>
      <c r="Z7690">
        <v>-2.7685499999999998E-2</v>
      </c>
      <c r="AA7690">
        <v>0.96021310000000004</v>
      </c>
      <c r="AB7690">
        <v>29</v>
      </c>
      <c r="AC7690">
        <v>8.7299999999999003E-2</v>
      </c>
      <c r="AD7690">
        <v>-1.11945152154639</v>
      </c>
      <c r="AE7690">
        <v>24.15972</v>
      </c>
      <c r="AF7690">
        <v>-6.76398122608959</v>
      </c>
      <c r="AG7690">
        <v>-1.11945152154639</v>
      </c>
      <c r="AH7690">
        <v>23.139791588424199</v>
      </c>
      <c r="AI7690">
        <v>92.658598477501002</v>
      </c>
      <c r="AJ7690">
        <v>106.294143599248</v>
      </c>
      <c r="AK7690">
        <v>24.134095559844301</v>
      </c>
      <c r="AL7690">
        <v>77.827139400868404</v>
      </c>
      <c r="AM7690">
        <v>100.985913079393</v>
      </c>
      <c r="AN7690">
        <v>1.00000000796782</v>
      </c>
    </row>
    <row r="7691" spans="1:40" x14ac:dyDescent="0.25">
      <c r="A7691" t="str">
        <f>"20190304154943537"</f>
        <v>20190304154943537</v>
      </c>
      <c r="B7691" t="str">
        <f>"1551685783535310"</f>
        <v>1551685783535310</v>
      </c>
      <c r="C7691" t="s">
        <v>40</v>
      </c>
      <c r="D7691">
        <v>4.5772009999999996</v>
      </c>
      <c r="E7691">
        <v>0.4601189</v>
      </c>
      <c r="F7691" t="s">
        <v>44</v>
      </c>
      <c r="G7691">
        <v>-189.31540000000001</v>
      </c>
      <c r="H7691" s="1">
        <v>-6.1083940000000003E-7</v>
      </c>
      <c r="I7691">
        <v>-19.226430000000001</v>
      </c>
      <c r="J7691">
        <v>-189.2406</v>
      </c>
      <c r="K7691">
        <v>1.1192820000000001</v>
      </c>
      <c r="L7691">
        <v>-43.369660000000003</v>
      </c>
      <c r="M7691">
        <v>0.27400839999999999</v>
      </c>
      <c r="N7691">
        <v>-1.439673E-2</v>
      </c>
      <c r="O7691">
        <v>0.96161960000000002</v>
      </c>
      <c r="P7691">
        <v>9.2123280000000002E-2</v>
      </c>
      <c r="Q7691">
        <v>0.1990198</v>
      </c>
      <c r="R7691">
        <v>0.97565590000000002</v>
      </c>
      <c r="S7691">
        <v>-1.00708E-3</v>
      </c>
      <c r="T7691">
        <v>-0.14253339999999901</v>
      </c>
      <c r="U7691">
        <v>3.1076350000000001</v>
      </c>
      <c r="V7691">
        <v>-0.18307370000000001</v>
      </c>
      <c r="W7691">
        <v>0.2091807</v>
      </c>
      <c r="X7691">
        <v>0.96058699999999997</v>
      </c>
      <c r="Y7691">
        <v>-0.27422200000000002</v>
      </c>
      <c r="Z7691">
        <v>-2.7922430000000002E-2</v>
      </c>
      <c r="AA7691">
        <v>0.96126100000000003</v>
      </c>
      <c r="AB7691">
        <v>29</v>
      </c>
      <c r="AC7691">
        <v>-7.48000000000104E-2</v>
      </c>
      <c r="AD7691">
        <v>-1.1192826108393901</v>
      </c>
      <c r="AE7691">
        <v>24.143229999999999</v>
      </c>
      <c r="AF7691">
        <v>-6.6737262648175903</v>
      </c>
      <c r="AG7691">
        <v>-1.1192826108393901</v>
      </c>
      <c r="AH7691">
        <v>23.148757959335299</v>
      </c>
      <c r="AI7691">
        <v>92.660021535574401</v>
      </c>
      <c r="AJ7691">
        <v>106.08213288924701</v>
      </c>
      <c r="AK7691">
        <v>24.1175539987067</v>
      </c>
      <c r="AL7691">
        <v>77.925656065113898</v>
      </c>
      <c r="AM7691">
        <v>100.79032684655699</v>
      </c>
      <c r="AN7691">
        <v>0.99999996472658903</v>
      </c>
    </row>
    <row r="7692" spans="1:40" x14ac:dyDescent="0.25">
      <c r="A7692" t="str">
        <f>"20190304154943559"</f>
        <v>20190304154943559</v>
      </c>
      <c r="B7692" t="str">
        <f>"1551685783554831"</f>
        <v>1551685783554831</v>
      </c>
      <c r="C7692" t="s">
        <v>40</v>
      </c>
      <c r="D7692">
        <v>4.3002969999999996</v>
      </c>
      <c r="E7692">
        <v>0.4605609</v>
      </c>
      <c r="F7692" t="s">
        <v>44</v>
      </c>
      <c r="G7692">
        <v>-189.37520000000001</v>
      </c>
      <c r="H7692" s="1">
        <v>-5.3254809999999998E-7</v>
      </c>
      <c r="I7692">
        <v>-19.384180000000001</v>
      </c>
      <c r="J7692">
        <v>-189.1754</v>
      </c>
      <c r="K7692">
        <v>1.11911</v>
      </c>
      <c r="L7692">
        <v>-43.101140000000001</v>
      </c>
      <c r="M7692">
        <v>0.26403700000000002</v>
      </c>
      <c r="N7692">
        <v>-1.436633E-2</v>
      </c>
      <c r="O7692">
        <v>0.96440550000000003</v>
      </c>
      <c r="P7692">
        <v>8.5643399999999995E-2</v>
      </c>
      <c r="Q7692">
        <v>0.1976956</v>
      </c>
      <c r="R7692">
        <v>0.97651509999999997</v>
      </c>
      <c r="S7692">
        <v>-1.742554E-2</v>
      </c>
      <c r="T7692">
        <v>-0.1449453</v>
      </c>
      <c r="U7692">
        <v>3.1060789999999998</v>
      </c>
      <c r="V7692">
        <v>-0.17945529999999901</v>
      </c>
      <c r="W7692">
        <v>0.20798359999999999</v>
      </c>
      <c r="X7692">
        <v>0.96152930000000003</v>
      </c>
      <c r="Y7692">
        <v>-0.26934350000000001</v>
      </c>
      <c r="Z7692">
        <v>-2.8904920000000001E-2</v>
      </c>
      <c r="AA7692">
        <v>0.96261030000000003</v>
      </c>
      <c r="AB7692">
        <v>29</v>
      </c>
      <c r="AC7692">
        <v>-0.19980000000001</v>
      </c>
      <c r="AD7692">
        <v>-1.1191105325480999</v>
      </c>
      <c r="AE7692">
        <v>23.71696</v>
      </c>
      <c r="AF7692">
        <v>-6.4411693152211802</v>
      </c>
      <c r="AG7692">
        <v>-1.1191105325480999</v>
      </c>
      <c r="AH7692">
        <v>22.7716704036505</v>
      </c>
      <c r="AI7692">
        <v>92.707469579630299</v>
      </c>
      <c r="AJ7692">
        <v>105.794027059293</v>
      </c>
      <c r="AK7692">
        <v>23.6915605966322</v>
      </c>
      <c r="AL7692">
        <v>77.995787690992898</v>
      </c>
      <c r="AM7692">
        <v>100.571786205009</v>
      </c>
      <c r="AN7692">
        <v>0.99999998866276996</v>
      </c>
    </row>
    <row r="7693" spans="1:40" x14ac:dyDescent="0.25">
      <c r="A7693" t="str">
        <f>"20190304154943582"</f>
        <v>20190304154943582</v>
      </c>
      <c r="B7693" t="str">
        <f>"1551685783575325"</f>
        <v>1551685783575325</v>
      </c>
      <c r="C7693" t="s">
        <v>40</v>
      </c>
      <c r="D7693">
        <v>4.3143900000000004</v>
      </c>
      <c r="E7693">
        <v>0.46097120000000003</v>
      </c>
      <c r="F7693" t="s">
        <v>44</v>
      </c>
      <c r="G7693">
        <v>-189.43090000000001</v>
      </c>
      <c r="H7693" s="1">
        <v>-4.720148E-7</v>
      </c>
      <c r="I7693">
        <v>-19.50224</v>
      </c>
      <c r="J7693">
        <v>-189.11070000000001</v>
      </c>
      <c r="K7693">
        <v>1.1189279999999999</v>
      </c>
      <c r="L7693">
        <v>-42.822940000000003</v>
      </c>
      <c r="M7693">
        <v>0.25394349999999999</v>
      </c>
      <c r="N7693">
        <v>-1.4332660000000001E-2</v>
      </c>
      <c r="O7693">
        <v>0.96711290000000005</v>
      </c>
      <c r="P7693">
        <v>7.9644899999999894E-2</v>
      </c>
      <c r="Q7693">
        <v>0.19637170000000001</v>
      </c>
      <c r="R7693">
        <v>0.97728959999999998</v>
      </c>
      <c r="S7693">
        <v>-3.3615109999999997E-2</v>
      </c>
      <c r="T7693">
        <v>-0.14724209999999999</v>
      </c>
      <c r="U7693">
        <v>3.1049190000000002</v>
      </c>
      <c r="V7693">
        <v>-0.1752464</v>
      </c>
      <c r="W7693">
        <v>0.2068015</v>
      </c>
      <c r="X7693">
        <v>0.96256010000000003</v>
      </c>
      <c r="Y7693">
        <v>-0.2642969</v>
      </c>
      <c r="Z7693">
        <v>-2.9854329999999998E-2</v>
      </c>
      <c r="AA7693">
        <v>0.96397920000000004</v>
      </c>
      <c r="AB7693">
        <v>28</v>
      </c>
      <c r="AC7693">
        <v>-0.32019999999999899</v>
      </c>
      <c r="AD7693">
        <v>-1.1189284720148001</v>
      </c>
      <c r="AE7693">
        <v>23.320699999999999</v>
      </c>
      <c r="AF7693">
        <v>-6.2181376539612696</v>
      </c>
      <c r="AG7693">
        <v>-1.1189284720148001</v>
      </c>
      <c r="AH7693">
        <v>22.423134422993002</v>
      </c>
      <c r="AI7693">
        <v>92.753001762581405</v>
      </c>
      <c r="AJ7693">
        <v>105.499174582054</v>
      </c>
      <c r="AK7693">
        <v>23.296227037027101</v>
      </c>
      <c r="AL7693">
        <v>78.065023137610197</v>
      </c>
      <c r="AM7693">
        <v>100.31841372545701</v>
      </c>
      <c r="AN7693">
        <v>1.0000000536136</v>
      </c>
    </row>
    <row r="7694" spans="1:40" x14ac:dyDescent="0.25">
      <c r="A7694" t="str">
        <f>"20190304154943605"</f>
        <v>20190304154943605</v>
      </c>
      <c r="B7694" t="str">
        <f>"1551685783594848"</f>
        <v>1551685783594848</v>
      </c>
      <c r="C7694" t="s">
        <v>40</v>
      </c>
      <c r="D7694">
        <v>4.3707549999999999</v>
      </c>
      <c r="E7694">
        <v>0.46143590000000001</v>
      </c>
      <c r="F7694" t="s">
        <v>44</v>
      </c>
      <c r="G7694">
        <v>-189.46639999999999</v>
      </c>
      <c r="H7694" s="1">
        <v>-3.1799200000000001E-7</v>
      </c>
      <c r="I7694">
        <v>-19.846589999999999</v>
      </c>
      <c r="J7694">
        <v>-189.04750000000001</v>
      </c>
      <c r="K7694">
        <v>1.118714</v>
      </c>
      <c r="L7694">
        <v>-42.538820000000001</v>
      </c>
      <c r="M7694">
        <v>0.24390210000000001</v>
      </c>
      <c r="N7694">
        <v>-1.42947E-2</v>
      </c>
      <c r="O7694">
        <v>0.96969450000000001</v>
      </c>
      <c r="P7694">
        <v>7.3164809999999997E-2</v>
      </c>
      <c r="Q7694">
        <v>0.1953753</v>
      </c>
      <c r="R7694">
        <v>0.97799559999999996</v>
      </c>
      <c r="S7694">
        <v>-4.8049929999999998E-2</v>
      </c>
      <c r="T7694">
        <v>-0.1511624</v>
      </c>
      <c r="U7694">
        <v>3.1040040000000002</v>
      </c>
      <c r="V7694">
        <v>-0.17156070000000001</v>
      </c>
      <c r="W7694">
        <v>0.2059356</v>
      </c>
      <c r="X7694">
        <v>0.96340930000000002</v>
      </c>
      <c r="Y7694">
        <v>-0.2587777</v>
      </c>
      <c r="Z7694">
        <v>-3.1295940000000001E-2</v>
      </c>
      <c r="AA7694">
        <v>0.9654298</v>
      </c>
      <c r="AB7694">
        <v>28</v>
      </c>
      <c r="AC7694">
        <v>-0.41889999999997901</v>
      </c>
      <c r="AD7694">
        <v>-1.1187143179920001</v>
      </c>
      <c r="AE7694">
        <v>22.692229999999999</v>
      </c>
      <c r="AF7694">
        <v>-5.9270941463500604</v>
      </c>
      <c r="AG7694">
        <v>-1.1187143179920001</v>
      </c>
      <c r="AH7694">
        <v>21.8515075857451</v>
      </c>
      <c r="AI7694">
        <v>92.828729974081398</v>
      </c>
      <c r="AJ7694">
        <v>105.175996623383</v>
      </c>
      <c r="AK7694">
        <v>22.6687086203615</v>
      </c>
      <c r="AL7694">
        <v>78.115726487276703</v>
      </c>
      <c r="AM7694">
        <v>100.09719658155301</v>
      </c>
      <c r="AN7694">
        <v>1.0000000122291699</v>
      </c>
    </row>
    <row r="7695" spans="1:40" x14ac:dyDescent="0.25">
      <c r="A7695" t="str">
        <f>"20190304154943627"</f>
        <v>20190304154943627</v>
      </c>
      <c r="B7695" t="str">
        <f>"1551685783625102"</f>
        <v>1551685783625102</v>
      </c>
      <c r="C7695" t="s">
        <v>40</v>
      </c>
      <c r="D7695">
        <v>4.3650260000000003</v>
      </c>
      <c r="E7695">
        <v>0.46211849999999999</v>
      </c>
      <c r="F7695" t="s">
        <v>44</v>
      </c>
      <c r="G7695">
        <v>-189.51779999999999</v>
      </c>
      <c r="H7695" s="1">
        <v>-3.4353559999999899E-7</v>
      </c>
      <c r="I7695">
        <v>-19.765809999999998</v>
      </c>
      <c r="J7695">
        <v>-188.9922</v>
      </c>
      <c r="K7695">
        <v>1.1185069999999999</v>
      </c>
      <c r="L7695">
        <v>-42.279170000000001</v>
      </c>
      <c r="M7695">
        <v>0.23499020000000001</v>
      </c>
      <c r="N7695">
        <v>-1.425709E-2</v>
      </c>
      <c r="O7695">
        <v>0.97189320000000001</v>
      </c>
      <c r="P7695">
        <v>6.69265E-2</v>
      </c>
      <c r="Q7695">
        <v>0.194961</v>
      </c>
      <c r="R7695">
        <v>0.97852490000000003</v>
      </c>
      <c r="S7695">
        <v>-6.4071660000000002E-2</v>
      </c>
      <c r="T7695">
        <v>-0.1524199</v>
      </c>
      <c r="U7695">
        <v>3.102722</v>
      </c>
      <c r="V7695">
        <v>-0.16875860000000001</v>
      </c>
      <c r="W7695">
        <v>0.20563039999999999</v>
      </c>
      <c r="X7695">
        <v>0.96396919999999997</v>
      </c>
      <c r="Y7695">
        <v>-0.2548995</v>
      </c>
      <c r="Z7695">
        <v>-3.1908119999999998E-2</v>
      </c>
      <c r="AA7695">
        <v>0.96644090000000005</v>
      </c>
      <c r="AB7695">
        <v>28</v>
      </c>
      <c r="AC7695">
        <v>-0.52559999999999696</v>
      </c>
      <c r="AD7695">
        <v>-1.1185073435356001</v>
      </c>
      <c r="AE7695">
        <v>22.513359999999999</v>
      </c>
      <c r="AF7695">
        <v>-5.7875579532413299</v>
      </c>
      <c r="AG7695">
        <v>-1.1185073435356001</v>
      </c>
      <c r="AH7695">
        <v>21.705734679338502</v>
      </c>
      <c r="AI7695">
        <v>92.850456322719197</v>
      </c>
      <c r="AJ7695">
        <v>104.929844966179</v>
      </c>
      <c r="AK7695">
        <v>22.491905293005001</v>
      </c>
      <c r="AL7695">
        <v>78.133595121941397</v>
      </c>
      <c r="AM7695">
        <v>99.929935843552897</v>
      </c>
      <c r="AN7695">
        <v>0.99999997251337902</v>
      </c>
    </row>
    <row r="7696" spans="1:40" x14ac:dyDescent="0.25">
      <c r="A7696" t="str">
        <f>"20190304154943648"</f>
        <v>20190304154943648</v>
      </c>
      <c r="B7696" t="str">
        <f>"1551685783644621"</f>
        <v>1551685783644621</v>
      </c>
      <c r="C7696" t="s">
        <v>40</v>
      </c>
      <c r="D7696">
        <v>4.370838</v>
      </c>
      <c r="E7696">
        <v>0.4625457</v>
      </c>
      <c r="F7696" t="s">
        <v>44</v>
      </c>
      <c r="G7696">
        <v>-189.5727</v>
      </c>
      <c r="H7696" s="1">
        <v>-5.7836150000000004E-7</v>
      </c>
      <c r="I7696">
        <v>-19.195720000000001</v>
      </c>
      <c r="J7696">
        <v>-188.93680000000001</v>
      </c>
      <c r="K7696">
        <v>1.118268</v>
      </c>
      <c r="L7696">
        <v>-42.008360000000003</v>
      </c>
      <c r="M7696">
        <v>0.22597719999999999</v>
      </c>
      <c r="N7696">
        <v>-1.421558E-2</v>
      </c>
      <c r="O7696">
        <v>0.97402889999999998</v>
      </c>
      <c r="P7696">
        <v>5.9990000000000002E-2</v>
      </c>
      <c r="Q7696">
        <v>0.1943675</v>
      </c>
      <c r="R7696">
        <v>0.97909270000000004</v>
      </c>
      <c r="S7696">
        <v>-7.7987669999999995E-2</v>
      </c>
      <c r="T7696">
        <v>-0.1502638</v>
      </c>
      <c r="U7696">
        <v>3.101105</v>
      </c>
      <c r="V7696">
        <v>-0.16655010000000001</v>
      </c>
      <c r="W7696">
        <v>0.20513999999999999</v>
      </c>
      <c r="X7696">
        <v>0.96445769999999997</v>
      </c>
      <c r="Y7696">
        <v>-0.25028899999999998</v>
      </c>
      <c r="Z7696">
        <v>-3.1496759999999999E-2</v>
      </c>
      <c r="AA7696">
        <v>0.96765869999999998</v>
      </c>
      <c r="AB7696">
        <v>28</v>
      </c>
      <c r="AC7696">
        <v>-0.63589999999999203</v>
      </c>
      <c r="AD7696">
        <v>-1.1182685783615001</v>
      </c>
      <c r="AE7696">
        <v>22.812639999999899</v>
      </c>
      <c r="AF7696">
        <v>-5.7612716397968704</v>
      </c>
      <c r="AG7696">
        <v>-1.1182685783615001</v>
      </c>
      <c r="AH7696">
        <v>22.025816476690601</v>
      </c>
      <c r="AI7696">
        <v>92.812012004152507</v>
      </c>
      <c r="AJ7696">
        <v>104.65839087480499</v>
      </c>
      <c r="AK7696">
        <v>22.794283647128101</v>
      </c>
      <c r="AL7696">
        <v>78.162305426938204</v>
      </c>
      <c r="AM7696">
        <v>99.797653799367197</v>
      </c>
      <c r="AN7696">
        <v>1.00000000524965</v>
      </c>
    </row>
    <row r="7697" spans="1:40" x14ac:dyDescent="0.25">
      <c r="A7697" t="str">
        <f>"20190304154943671"</f>
        <v>20190304154943671</v>
      </c>
      <c r="B7697" t="str">
        <f>"1551685783665117"</f>
        <v>1551685783665117</v>
      </c>
      <c r="C7697" t="s">
        <v>40</v>
      </c>
      <c r="D7697">
        <v>4.3579540000000003</v>
      </c>
      <c r="E7697">
        <v>0.46302589999999999</v>
      </c>
      <c r="F7697" t="s">
        <v>44</v>
      </c>
      <c r="G7697">
        <v>-189.66040000000001</v>
      </c>
      <c r="H7697" s="1">
        <v>-6.7499129999999999E-7</v>
      </c>
      <c r="I7697">
        <v>-18.93421</v>
      </c>
      <c r="J7697">
        <v>-188.88140000000001</v>
      </c>
      <c r="K7697">
        <v>1.1180099999999999</v>
      </c>
      <c r="L7697">
        <v>-41.72598</v>
      </c>
      <c r="M7697">
        <v>0.2169065</v>
      </c>
      <c r="N7697">
        <v>-1.417058E-2</v>
      </c>
      <c r="O7697">
        <v>0.97608950000000005</v>
      </c>
      <c r="P7697">
        <v>5.2467270000000003E-2</v>
      </c>
      <c r="Q7697">
        <v>0.1948308</v>
      </c>
      <c r="R7697">
        <v>0.97943259999999999</v>
      </c>
      <c r="S7697">
        <v>-9.7213750000000002E-2</v>
      </c>
      <c r="T7697">
        <v>-0.15023159999999999</v>
      </c>
      <c r="U7697">
        <v>3.0998540000000001</v>
      </c>
      <c r="V7697">
        <v>-0.16483539999999999</v>
      </c>
      <c r="W7697">
        <v>0.20569760000000001</v>
      </c>
      <c r="X7697">
        <v>0.96463350000000003</v>
      </c>
      <c r="Y7697">
        <v>-0.24728990000000001</v>
      </c>
      <c r="Z7697">
        <v>-3.1706459999999999E-2</v>
      </c>
      <c r="AA7697">
        <v>0.96842269999999997</v>
      </c>
      <c r="AB7697">
        <v>28</v>
      </c>
      <c r="AC7697">
        <v>-0.77899999999999603</v>
      </c>
      <c r="AD7697">
        <v>-1.1180106749912999</v>
      </c>
      <c r="AE7697">
        <v>22.79177</v>
      </c>
      <c r="AF7697">
        <v>-5.6909520010475498</v>
      </c>
      <c r="AG7697">
        <v>-1.1180106749912999</v>
      </c>
      <c r="AH7697">
        <v>22.0271145171467</v>
      </c>
      <c r="AI7697">
        <v>92.813392356445405</v>
      </c>
      <c r="AJ7697">
        <v>104.48623094353199</v>
      </c>
      <c r="AK7697">
        <v>22.777854519228001</v>
      </c>
      <c r="AL7697">
        <v>78.129661076233106</v>
      </c>
      <c r="AM7697">
        <v>99.696974583184698</v>
      </c>
      <c r="AN7697">
        <v>1.00000000053058</v>
      </c>
    </row>
    <row r="7698" spans="1:40" x14ac:dyDescent="0.25">
      <c r="A7698" t="str">
        <f>"20190304154943696"</f>
        <v>20190304154943696</v>
      </c>
      <c r="B7698" t="str">
        <f>"1551685783684637"</f>
        <v>1551685783684637</v>
      </c>
      <c r="C7698" t="s">
        <v>40</v>
      </c>
      <c r="D7698">
        <v>4.4362879999999896</v>
      </c>
      <c r="E7698">
        <v>0.46346310000000002</v>
      </c>
      <c r="F7698" t="s">
        <v>44</v>
      </c>
      <c r="G7698">
        <v>-189.77879999999999</v>
      </c>
      <c r="H7698" s="1">
        <v>-9.9352060000000008E-7</v>
      </c>
      <c r="I7698">
        <v>-18.142749999999999</v>
      </c>
      <c r="J7698">
        <v>-188.82679999999999</v>
      </c>
      <c r="K7698">
        <v>1.117734</v>
      </c>
      <c r="L7698">
        <v>-41.433410000000002</v>
      </c>
      <c r="M7698">
        <v>0.20790600000000001</v>
      </c>
      <c r="N7698">
        <v>-1.4122640000000001E-2</v>
      </c>
      <c r="O7698">
        <v>0.97804679999999999</v>
      </c>
      <c r="P7698">
        <v>4.4884760000000003E-2</v>
      </c>
      <c r="Q7698">
        <v>0.19574469999999999</v>
      </c>
      <c r="R7698">
        <v>0.97962709999999997</v>
      </c>
      <c r="S7698">
        <v>-0.1179047</v>
      </c>
      <c r="T7698">
        <v>-0.14689269999999999</v>
      </c>
      <c r="U7698">
        <v>3.098541</v>
      </c>
      <c r="V7698">
        <v>-0.163246</v>
      </c>
      <c r="W7698">
        <v>0.20670450000000001</v>
      </c>
      <c r="X7698">
        <v>0.96468849999999995</v>
      </c>
      <c r="Y7698">
        <v>-0.24484030000000001</v>
      </c>
      <c r="Z7698">
        <v>-3.089513E-2</v>
      </c>
      <c r="AA7698">
        <v>0.96907109999999996</v>
      </c>
      <c r="AB7698">
        <v>28</v>
      </c>
      <c r="AC7698">
        <v>-0.95199999999999796</v>
      </c>
      <c r="AD7698">
        <v>-1.1177349935206</v>
      </c>
      <c r="AE7698">
        <v>23.2906599999999</v>
      </c>
      <c r="AF7698">
        <v>-5.7606992650855</v>
      </c>
      <c r="AG7698">
        <v>-1.1177349935206</v>
      </c>
      <c r="AH7698">
        <v>22.5318756314804</v>
      </c>
      <c r="AI7698">
        <v>92.751569905251202</v>
      </c>
      <c r="AJ7698">
        <v>104.341529873973</v>
      </c>
      <c r="AK7698">
        <v>23.283479272028799</v>
      </c>
      <c r="AL7698">
        <v>78.070702363376299</v>
      </c>
      <c r="AM7698">
        <v>99.604685831761799</v>
      </c>
      <c r="AN7698">
        <v>0.99999995443424805</v>
      </c>
    </row>
    <row r="7699" spans="1:40" x14ac:dyDescent="0.25">
      <c r="A7699" t="str">
        <f>"20190304154943717"</f>
        <v>20190304154943717</v>
      </c>
      <c r="B7699" t="str">
        <f>"1551685783714894"</f>
        <v>1551685783714894</v>
      </c>
      <c r="C7699" t="s">
        <v>40</v>
      </c>
      <c r="D7699">
        <v>4.383559</v>
      </c>
      <c r="E7699">
        <v>0.46395160000000002</v>
      </c>
      <c r="F7699" t="s">
        <v>44</v>
      </c>
      <c r="G7699">
        <v>-189.89709999999999</v>
      </c>
      <c r="H7699" s="1">
        <v>-1.2253989999999999E-6</v>
      </c>
      <c r="I7699">
        <v>-17.553329999999999</v>
      </c>
      <c r="J7699">
        <v>-188.77809999999999</v>
      </c>
      <c r="K7699">
        <v>1.1174959999999901</v>
      </c>
      <c r="L7699">
        <v>-41.161380000000001</v>
      </c>
      <c r="M7699">
        <v>0.19981180000000001</v>
      </c>
      <c r="N7699">
        <v>-1.407976E-2</v>
      </c>
      <c r="O7699">
        <v>0.97973310000000002</v>
      </c>
      <c r="P7699">
        <v>3.7896890000000003E-2</v>
      </c>
      <c r="Q7699">
        <v>0.19574610000000001</v>
      </c>
      <c r="R7699">
        <v>0.97992210000000002</v>
      </c>
      <c r="S7699">
        <v>-0.13883970000000001</v>
      </c>
      <c r="T7699">
        <v>-0.14499219999999999</v>
      </c>
      <c r="U7699">
        <v>3.0977169999999998</v>
      </c>
      <c r="V7699">
        <v>-0.16202420000000001</v>
      </c>
      <c r="W7699">
        <v>0.20678009999999999</v>
      </c>
      <c r="X7699">
        <v>0.96487829999999997</v>
      </c>
      <c r="Y7699">
        <v>-0.2433737</v>
      </c>
      <c r="Z7699">
        <v>-3.0480920000000002E-2</v>
      </c>
      <c r="AA7699">
        <v>0.96945349999999997</v>
      </c>
      <c r="AB7699">
        <v>28</v>
      </c>
      <c r="AC7699">
        <v>-1.11899999999999</v>
      </c>
      <c r="AD7699">
        <v>-1.1174972253990001</v>
      </c>
      <c r="AE7699">
        <v>23.608049999999999</v>
      </c>
      <c r="AF7699">
        <v>-5.8010957416791102</v>
      </c>
      <c r="AG7699">
        <v>-1.1174972253990001</v>
      </c>
      <c r="AH7699">
        <v>22.857170090208999</v>
      </c>
      <c r="AI7699">
        <v>92.713105737721506</v>
      </c>
      <c r="AJ7699">
        <v>104.24084897716</v>
      </c>
      <c r="AK7699">
        <v>23.608298040851</v>
      </c>
      <c r="AL7699">
        <v>78.066275614962095</v>
      </c>
      <c r="AM7699">
        <v>99.532283882446706</v>
      </c>
      <c r="AN7699">
        <v>0.99999999247626903</v>
      </c>
    </row>
    <row r="7700" spans="1:40" x14ac:dyDescent="0.25">
      <c r="A7700" t="str">
        <f>"20190304154943739"</f>
        <v>20190304154943739</v>
      </c>
      <c r="B7700" t="str">
        <f>"1551685783734413"</f>
        <v>1551685783734413</v>
      </c>
      <c r="C7700" t="s">
        <v>40</v>
      </c>
      <c r="D7700">
        <v>4.3913949999999904</v>
      </c>
      <c r="E7700">
        <v>0.48342069999999998</v>
      </c>
      <c r="F7700" t="s">
        <v>44</v>
      </c>
      <c r="G7700">
        <v>-189.98589999999999</v>
      </c>
      <c r="H7700" s="1">
        <v>-1.3469819999999999E-6</v>
      </c>
      <c r="I7700">
        <v>-17.262309999999999</v>
      </c>
      <c r="J7700">
        <v>-188.73419999999999</v>
      </c>
      <c r="K7700">
        <v>1.117283</v>
      </c>
      <c r="L7700">
        <v>-40.906489999999998</v>
      </c>
      <c r="M7700">
        <v>0.19247990000000001</v>
      </c>
      <c r="N7700">
        <v>-1.404147E-2</v>
      </c>
      <c r="O7700">
        <v>0.98120050000000003</v>
      </c>
      <c r="P7700">
        <v>3.2808940000000002E-2</v>
      </c>
      <c r="Q7700">
        <v>0.1932267</v>
      </c>
      <c r="R7700">
        <v>0.98060539999999996</v>
      </c>
      <c r="S7700">
        <v>-0.1564941</v>
      </c>
      <c r="T7700">
        <v>-0.14478640000000001</v>
      </c>
      <c r="U7700">
        <v>3.0964360000000002</v>
      </c>
      <c r="V7700">
        <v>-0.1597624</v>
      </c>
      <c r="W7700">
        <v>0.20435210000000001</v>
      </c>
      <c r="X7700">
        <v>0.96577230000000003</v>
      </c>
      <c r="Y7700">
        <v>-0.24165429999999999</v>
      </c>
      <c r="Z7700">
        <v>-3.0575729999999999E-2</v>
      </c>
      <c r="AA7700">
        <v>0.96988059999999998</v>
      </c>
      <c r="AB7700">
        <v>28</v>
      </c>
      <c r="AC7700">
        <v>-1.25169999999999</v>
      </c>
      <c r="AD7700">
        <v>-1.117284346982</v>
      </c>
      <c r="AE7700">
        <v>23.644179999999999</v>
      </c>
      <c r="AF7700">
        <v>-5.7669263288323496</v>
      </c>
      <c r="AG7700">
        <v>-1.117284346982</v>
      </c>
      <c r="AH7700">
        <v>22.910002774604902</v>
      </c>
      <c r="AI7700">
        <v>92.707677128189403</v>
      </c>
      <c r="AJ7700">
        <v>104.129005670967</v>
      </c>
      <c r="AK7700">
        <v>23.6510885738182</v>
      </c>
      <c r="AL7700">
        <v>78.208425409947395</v>
      </c>
      <c r="AM7700">
        <v>99.393060930035006</v>
      </c>
      <c r="AN7700">
        <v>0.99999997033772903</v>
      </c>
    </row>
    <row r="7701" spans="1:40" x14ac:dyDescent="0.25">
      <c r="A7701" t="str">
        <f>"20190304154943761"</f>
        <v>20190304154943761</v>
      </c>
      <c r="B7701" t="str">
        <f>"1551685783754910"</f>
        <v>1551685783754910</v>
      </c>
      <c r="C7701" t="s">
        <v>40</v>
      </c>
      <c r="D7701">
        <v>4.3887790000000004</v>
      </c>
      <c r="E7701">
        <v>0.48508210000000002</v>
      </c>
      <c r="F7701" t="s">
        <v>44</v>
      </c>
      <c r="G7701">
        <v>-188.94229999999999</v>
      </c>
      <c r="H7701" s="1">
        <v>-2.076702E-6</v>
      </c>
      <c r="I7701">
        <v>-5.9637010000000004</v>
      </c>
      <c r="J7701">
        <v>-188.6866</v>
      </c>
      <c r="K7701">
        <v>1.117038</v>
      </c>
      <c r="L7701">
        <v>-40.617579999999997</v>
      </c>
      <c r="M7701">
        <v>0.1844923</v>
      </c>
      <c r="N7701">
        <v>-1.3993240000000001E-2</v>
      </c>
      <c r="O7701">
        <v>0.98273429999999995</v>
      </c>
      <c r="P7701">
        <v>2.7730319999999999E-2</v>
      </c>
      <c r="Q7701">
        <v>0.1884324</v>
      </c>
      <c r="R7701">
        <v>0.98169459999999997</v>
      </c>
      <c r="S7701">
        <v>-1.8341059999999999E-2</v>
      </c>
      <c r="T7701">
        <v>-9.8461149999999997E-2</v>
      </c>
      <c r="U7701">
        <v>3.0793460000000001</v>
      </c>
      <c r="V7701">
        <v>-0.15688060000000001</v>
      </c>
      <c r="W7701">
        <v>0.1996638</v>
      </c>
      <c r="X7701">
        <v>0.96722430000000004</v>
      </c>
      <c r="Y7701">
        <v>-0.19029760000000001</v>
      </c>
      <c r="Z7701">
        <v>-1.6846119999999999E-2</v>
      </c>
      <c r="AA7701">
        <v>0.98158190000000001</v>
      </c>
      <c r="AB7701">
        <v>28</v>
      </c>
      <c r="AC7701">
        <v>-0.25569999999998999</v>
      </c>
      <c r="AD7701">
        <v>-1.1170400767019999</v>
      </c>
      <c r="AE7701">
        <v>34.653879000000003</v>
      </c>
      <c r="AF7701">
        <v>-6.6384126722730104</v>
      </c>
      <c r="AG7701">
        <v>-1.1170400767019999</v>
      </c>
      <c r="AH7701">
        <v>33.976411173928298</v>
      </c>
      <c r="AI7701">
        <v>91.848110987017904</v>
      </c>
      <c r="AJ7701">
        <v>101.055347133598</v>
      </c>
      <c r="AK7701">
        <v>34.636870782450799</v>
      </c>
      <c r="AL7701">
        <v>78.482700346776696</v>
      </c>
      <c r="AM7701">
        <v>99.2129552975656</v>
      </c>
      <c r="AN7701">
        <v>1.0000000010986401</v>
      </c>
    </row>
    <row r="7702" spans="1:40" x14ac:dyDescent="0.25">
      <c r="A7702" t="str">
        <f>"20190304154943784"</f>
        <v>20190304154943784</v>
      </c>
      <c r="B7702" t="str">
        <f>"1551685783774429"</f>
        <v>1551685783774429</v>
      </c>
      <c r="C7702" t="s">
        <v>40</v>
      </c>
      <c r="D7702">
        <v>4.3715129999999904</v>
      </c>
      <c r="E7702">
        <v>0.48485889999999998</v>
      </c>
      <c r="F7702" t="s">
        <v>44</v>
      </c>
      <c r="G7702">
        <v>-188.89840000000001</v>
      </c>
      <c r="H7702" s="1">
        <v>-3.7616219999999999E-7</v>
      </c>
      <c r="I7702">
        <v>-10.107889999999999</v>
      </c>
      <c r="J7702">
        <v>-188.6431</v>
      </c>
      <c r="K7702">
        <v>1.1167910000000001</v>
      </c>
      <c r="L7702">
        <v>-40.341889999999999</v>
      </c>
      <c r="M7702">
        <v>0.17718909999999999</v>
      </c>
      <c r="N7702">
        <v>-1.3935110000000001E-2</v>
      </c>
      <c r="O7702">
        <v>0.98407820000000001</v>
      </c>
      <c r="P7702">
        <v>2.347993E-2</v>
      </c>
      <c r="Q7702">
        <v>0.18988679999999999</v>
      </c>
      <c r="R7702">
        <v>0.98152519999999999</v>
      </c>
      <c r="S7702">
        <v>-2.1362300000000001E-2</v>
      </c>
      <c r="T7702">
        <v>-0.1127003</v>
      </c>
      <c r="U7702">
        <v>3.0781860000000001</v>
      </c>
      <c r="V7702">
        <v>-0.153729799999999</v>
      </c>
      <c r="W7702">
        <v>0.20120080000000001</v>
      </c>
      <c r="X7702">
        <v>0.96741169999999999</v>
      </c>
      <c r="Y7702">
        <v>-0.18396409999999999</v>
      </c>
      <c r="Z7702">
        <v>-2.146897E-2</v>
      </c>
      <c r="AA7702">
        <v>0.98269839999999997</v>
      </c>
      <c r="AB7702">
        <v>28</v>
      </c>
      <c r="AC7702">
        <v>-0.25530000000000502</v>
      </c>
      <c r="AD7702">
        <v>-1.1167913761621999</v>
      </c>
      <c r="AE7702">
        <v>30.234000000000002</v>
      </c>
      <c r="AF7702">
        <v>-5.6012728107309799</v>
      </c>
      <c r="AG7702">
        <v>-1.1167913761621999</v>
      </c>
      <c r="AH7702">
        <v>29.669788112891599</v>
      </c>
      <c r="AI7702">
        <v>92.118252769962496</v>
      </c>
      <c r="AJ7702">
        <v>100.690878642486</v>
      </c>
      <c r="AK7702">
        <v>30.2145297289564</v>
      </c>
      <c r="AL7702">
        <v>78.392812732715001</v>
      </c>
      <c r="AM7702">
        <v>99.029281024562195</v>
      </c>
      <c r="AN7702">
        <v>1.00000000531278</v>
      </c>
    </row>
    <row r="7703" spans="1:40" x14ac:dyDescent="0.25">
      <c r="A7703" t="str">
        <f>"20190304154943806"</f>
        <v>20190304154943806</v>
      </c>
      <c r="B7703" t="str">
        <f>"1551685783794929"</f>
        <v>1551685783794929</v>
      </c>
      <c r="C7703" t="s">
        <v>40</v>
      </c>
      <c r="D7703">
        <v>4.3794890000000004</v>
      </c>
      <c r="E7703">
        <v>0.48508420000000002</v>
      </c>
      <c r="F7703" t="s">
        <v>44</v>
      </c>
      <c r="G7703">
        <v>-188.96549999999999</v>
      </c>
      <c r="H7703" s="1">
        <v>-3.6986E-6</v>
      </c>
      <c r="I7703">
        <v>-12.17343</v>
      </c>
      <c r="J7703">
        <v>-188.60169999999999</v>
      </c>
      <c r="K7703">
        <v>1.116533</v>
      </c>
      <c r="L7703">
        <v>-40.06879</v>
      </c>
      <c r="M7703">
        <v>0.17027220000000001</v>
      </c>
      <c r="N7703">
        <v>-1.387217E-2</v>
      </c>
      <c r="O7703">
        <v>0.98529940000000005</v>
      </c>
      <c r="P7703">
        <v>1.9495490000000001E-2</v>
      </c>
      <c r="Q7703">
        <v>0.19177730000000001</v>
      </c>
      <c r="R7703">
        <v>0.98124480000000003</v>
      </c>
      <c r="S7703">
        <v>-3.5263059999999999E-2</v>
      </c>
      <c r="T7703">
        <v>-0.1221497</v>
      </c>
      <c r="U7703">
        <v>3.0809329999999999</v>
      </c>
      <c r="V7703">
        <v>-0.15068799999999999</v>
      </c>
      <c r="W7703">
        <v>0.20316780000000001</v>
      </c>
      <c r="X7703">
        <v>0.96747919999999998</v>
      </c>
      <c r="Y7703">
        <v>-0.1814828</v>
      </c>
      <c r="Z7703">
        <v>-2.4539080000000001E-2</v>
      </c>
      <c r="AA7703">
        <v>0.98308790000000001</v>
      </c>
      <c r="AB7703">
        <v>28</v>
      </c>
      <c r="AC7703">
        <v>-0.36379999999999701</v>
      </c>
      <c r="AD7703">
        <v>-1.1165366986</v>
      </c>
      <c r="AE7703">
        <v>27.895359999999901</v>
      </c>
      <c r="AF7703">
        <v>-5.1005777995054</v>
      </c>
      <c r="AG7703">
        <v>-1.1165366986</v>
      </c>
      <c r="AH7703">
        <v>27.382115250362698</v>
      </c>
      <c r="AI7703">
        <v>92.295563783592996</v>
      </c>
      <c r="AJ7703">
        <v>100.551784639893</v>
      </c>
      <c r="AK7703">
        <v>27.875487146815502</v>
      </c>
      <c r="AL7703">
        <v>78.277735395019803</v>
      </c>
      <c r="AM7703">
        <v>98.852871956353297</v>
      </c>
      <c r="AN7703">
        <v>1.0000000153667301</v>
      </c>
    </row>
    <row r="7704" spans="1:40" x14ac:dyDescent="0.25">
      <c r="A7704" t="str">
        <f>"20190304154943829"</f>
        <v>20190304154943829</v>
      </c>
      <c r="B7704" t="str">
        <f>"1551685783825182"</f>
        <v>1551685783825182</v>
      </c>
      <c r="C7704" t="s">
        <v>40</v>
      </c>
      <c r="D7704">
        <v>4.3837210000000004</v>
      </c>
      <c r="E7704">
        <v>0.48602050000000002</v>
      </c>
      <c r="F7704" t="s">
        <v>44</v>
      </c>
      <c r="G7704">
        <v>-189.02379999999999</v>
      </c>
      <c r="H7704" s="1">
        <v>-4.3332939999999999E-6</v>
      </c>
      <c r="I7704">
        <v>-10.66985</v>
      </c>
      <c r="J7704">
        <v>-188.56120000000001</v>
      </c>
      <c r="K7704">
        <v>1.116241</v>
      </c>
      <c r="L7704">
        <v>-39.790950000000002</v>
      </c>
      <c r="M7704">
        <v>0.16357650000000001</v>
      </c>
      <c r="N7704">
        <v>-1.380896E-2</v>
      </c>
      <c r="O7704">
        <v>0.98643400000000003</v>
      </c>
      <c r="P7704">
        <v>1.6374759999999999E-2</v>
      </c>
      <c r="Q7704">
        <v>0.18990319999999999</v>
      </c>
      <c r="R7704">
        <v>0.98166629999999999</v>
      </c>
      <c r="S7704">
        <v>-4.423523E-2</v>
      </c>
      <c r="T7704">
        <v>-0.117016</v>
      </c>
      <c r="U7704">
        <v>3.0810849999999999</v>
      </c>
      <c r="V7704">
        <v>-0.1470767</v>
      </c>
      <c r="W7704">
        <v>0.20139460000000001</v>
      </c>
      <c r="X7704">
        <v>0.96840519999999997</v>
      </c>
      <c r="Y7704">
        <v>-0.17766870000000001</v>
      </c>
      <c r="Z7704">
        <v>-2.3061740000000001E-2</v>
      </c>
      <c r="AA7704">
        <v>0.98382009999999998</v>
      </c>
      <c r="AB7704">
        <v>28</v>
      </c>
      <c r="AC7704">
        <v>-0.46259999999998003</v>
      </c>
      <c r="AD7704">
        <v>-1.1162453332940001</v>
      </c>
      <c r="AE7704">
        <v>29.121099999999998</v>
      </c>
      <c r="AF7704">
        <v>-5.2126927876618803</v>
      </c>
      <c r="AG7704">
        <v>-1.1162453332940001</v>
      </c>
      <c r="AH7704">
        <v>28.6110777608597</v>
      </c>
      <c r="AI7704">
        <v>92.198082853696604</v>
      </c>
      <c r="AJ7704">
        <v>100.325545572951</v>
      </c>
      <c r="AK7704">
        <v>29.103469559154</v>
      </c>
      <c r="AL7704">
        <v>78.381476537028703</v>
      </c>
      <c r="AM7704">
        <v>98.635811478559006</v>
      </c>
      <c r="AN7704">
        <v>0.99999998598954398</v>
      </c>
    </row>
    <row r="7705" spans="1:40" x14ac:dyDescent="0.25">
      <c r="A7705" t="str">
        <f>"20190304154943850"</f>
        <v>20190304154943850</v>
      </c>
      <c r="B7705" t="str">
        <f>"1551685783844701"</f>
        <v>1551685783844701</v>
      </c>
      <c r="C7705" t="s">
        <v>40</v>
      </c>
      <c r="D7705">
        <v>4.3975650000000002</v>
      </c>
      <c r="E7705">
        <v>0.48634359999999999</v>
      </c>
      <c r="F7705" t="s">
        <v>44</v>
      </c>
      <c r="G7705">
        <v>-188.97800000000001</v>
      </c>
      <c r="H7705" s="1">
        <v>-3.9094049999999997E-6</v>
      </c>
      <c r="I7705">
        <v>-11.67686</v>
      </c>
      <c r="J7705">
        <v>-188.524</v>
      </c>
      <c r="K7705">
        <v>1.115955</v>
      </c>
      <c r="L7705">
        <v>-39.525820000000003</v>
      </c>
      <c r="M7705">
        <v>0.15752869999999999</v>
      </c>
      <c r="N7705">
        <v>-1.375032E-2</v>
      </c>
      <c r="O7705">
        <v>0.98741869999999998</v>
      </c>
      <c r="P7705">
        <v>1.402899E-2</v>
      </c>
      <c r="Q7705">
        <v>0.18698970000000001</v>
      </c>
      <c r="R7705">
        <v>0.98226170000000002</v>
      </c>
      <c r="S7705">
        <v>-4.5669559999999998E-2</v>
      </c>
      <c r="T7705">
        <v>-0.12230630000000001</v>
      </c>
      <c r="U7705">
        <v>3.080444</v>
      </c>
      <c r="V7705">
        <v>-0.1433557</v>
      </c>
      <c r="W7705">
        <v>0.19858719999999999</v>
      </c>
      <c r="X7705">
        <v>0.96954229999999997</v>
      </c>
      <c r="Y7705">
        <v>-0.1720961</v>
      </c>
      <c r="Z7705">
        <v>-2.4872200000000001E-2</v>
      </c>
      <c r="AA7705">
        <v>0.98476609999999998</v>
      </c>
      <c r="AB7705">
        <v>28</v>
      </c>
      <c r="AC7705">
        <v>-0.45399999999997898</v>
      </c>
      <c r="AD7705">
        <v>-1.115958909405</v>
      </c>
      <c r="AE7705">
        <v>27.848959999999899</v>
      </c>
      <c r="AF7705">
        <v>-4.8280050842208402</v>
      </c>
      <c r="AG7705">
        <v>-1.115958909405</v>
      </c>
      <c r="AH7705">
        <v>27.385695394599601</v>
      </c>
      <c r="AI7705">
        <v>92.298094053367805</v>
      </c>
      <c r="AJ7705">
        <v>99.998311990846105</v>
      </c>
      <c r="AK7705">
        <v>27.830402613446601</v>
      </c>
      <c r="AL7705">
        <v>78.545645538480699</v>
      </c>
      <c r="AM7705">
        <v>98.410765563756101</v>
      </c>
      <c r="AN7705">
        <v>1.0000000021078099</v>
      </c>
    </row>
    <row r="7706" spans="1:40" x14ac:dyDescent="0.25">
      <c r="A7706" t="str">
        <f>"20190304154943873"</f>
        <v>20190304154943873</v>
      </c>
      <c r="B7706" t="str">
        <f>"1551685783865198"</f>
        <v>1551685783865198</v>
      </c>
      <c r="C7706" t="s">
        <v>40</v>
      </c>
      <c r="D7706">
        <v>4.4074039999999997</v>
      </c>
      <c r="E7706">
        <v>0.48678559999999998</v>
      </c>
      <c r="F7706" t="s">
        <v>44</v>
      </c>
      <c r="G7706">
        <v>-188.947</v>
      </c>
      <c r="H7706" s="1">
        <v>-2.9891630000000001E-6</v>
      </c>
      <c r="I7706">
        <v>-13.83479</v>
      </c>
      <c r="J7706">
        <v>-188.4855</v>
      </c>
      <c r="K7706">
        <v>1.1156539999999999</v>
      </c>
      <c r="L7706">
        <v>-39.240569999999998</v>
      </c>
      <c r="M7706">
        <v>0.15141489999999999</v>
      </c>
      <c r="N7706">
        <v>-1.3688840000000001E-2</v>
      </c>
      <c r="O7706">
        <v>0.98837549999999996</v>
      </c>
      <c r="P7706">
        <v>1.0910349999999999E-2</v>
      </c>
      <c r="Q7706">
        <v>0.1876979</v>
      </c>
      <c r="R7706">
        <v>0.98216619999999999</v>
      </c>
      <c r="S7706">
        <v>-5.0720210000000002E-2</v>
      </c>
      <c r="T7706">
        <v>-0.1338047</v>
      </c>
      <c r="U7706">
        <v>3.0803829999999999</v>
      </c>
      <c r="V7706">
        <v>-0.14026029999999901</v>
      </c>
      <c r="W7706">
        <v>0.199383</v>
      </c>
      <c r="X7706">
        <v>0.96983160000000002</v>
      </c>
      <c r="Y7706">
        <v>-0.16760839999999999</v>
      </c>
      <c r="Z7706">
        <v>-2.8639080000000001E-2</v>
      </c>
      <c r="AA7706">
        <v>0.98543760000000002</v>
      </c>
      <c r="AB7706">
        <v>28</v>
      </c>
      <c r="AC7706">
        <v>-0.46150000000000002</v>
      </c>
      <c r="AD7706">
        <v>-1.1156569891629999</v>
      </c>
      <c r="AE7706">
        <v>25.40578</v>
      </c>
      <c r="AF7706">
        <v>-4.2950723024488102</v>
      </c>
      <c r="AG7706">
        <v>-1.1156569891629999</v>
      </c>
      <c r="AH7706">
        <v>24.994735295201998</v>
      </c>
      <c r="AI7706">
        <v>92.518869364898293</v>
      </c>
      <c r="AJ7706">
        <v>99.750425883537801</v>
      </c>
      <c r="AK7706">
        <v>25.385608700166099</v>
      </c>
      <c r="AL7706">
        <v>78.4991183323705</v>
      </c>
      <c r="AM7706">
        <v>98.229250323263997</v>
      </c>
      <c r="AN7706">
        <v>0.99999993240182194</v>
      </c>
    </row>
    <row r="7707" spans="1:40" x14ac:dyDescent="0.25">
      <c r="A7707" t="str">
        <f>"20190304154943898"</f>
        <v>20190304154943898</v>
      </c>
      <c r="B7707" t="str">
        <f>"1551685783894477"</f>
        <v>1551685783894477</v>
      </c>
      <c r="C7707" t="s">
        <v>40</v>
      </c>
      <c r="D7707">
        <v>4.3955679999999999</v>
      </c>
      <c r="E7707">
        <v>0.50426099999999996</v>
      </c>
      <c r="F7707" t="s">
        <v>44</v>
      </c>
      <c r="G7707">
        <v>-188.95920000000001</v>
      </c>
      <c r="H7707" s="1">
        <v>-3.139149E-6</v>
      </c>
      <c r="I7707">
        <v>-13.480130000000001</v>
      </c>
      <c r="J7707">
        <v>-188.44589999999999</v>
      </c>
      <c r="K7707">
        <v>1.1153409999999999</v>
      </c>
      <c r="L7707">
        <v>-38.936549999999997</v>
      </c>
      <c r="M7707">
        <v>0.14535200000000001</v>
      </c>
      <c r="N7707">
        <v>-1.362643E-2</v>
      </c>
      <c r="O7707">
        <v>0.9892862</v>
      </c>
      <c r="P7707">
        <v>6.3695119999999999E-3</v>
      </c>
      <c r="Q7707">
        <v>0.18966710000000001</v>
      </c>
      <c r="R7707">
        <v>0.98182780000000003</v>
      </c>
      <c r="S7707">
        <v>-5.6655879999999999E-2</v>
      </c>
      <c r="T7707">
        <v>-0.13341739999999999</v>
      </c>
      <c r="U7707">
        <v>3.080597</v>
      </c>
      <c r="V7707">
        <v>-0.13860249999999999</v>
      </c>
      <c r="W7707">
        <v>0.2014156</v>
      </c>
      <c r="X7707">
        <v>0.96965000000000001</v>
      </c>
      <c r="Y7707">
        <v>-0.16346150000000001</v>
      </c>
      <c r="Z7707">
        <v>-2.8648400000000001E-2</v>
      </c>
      <c r="AA7707">
        <v>0.98613360000000005</v>
      </c>
      <c r="AB7707">
        <v>28</v>
      </c>
      <c r="AC7707">
        <v>-0.51330000000001497</v>
      </c>
      <c r="AD7707">
        <v>-1.115344139149</v>
      </c>
      <c r="AE7707">
        <v>25.456420000000001</v>
      </c>
      <c r="AF7707">
        <v>-4.2002729431143004</v>
      </c>
      <c r="AG7707">
        <v>-1.115344139149</v>
      </c>
      <c r="AH7707">
        <v>25.063313051772202</v>
      </c>
      <c r="AI7707">
        <v>92.513042665904393</v>
      </c>
      <c r="AJ7707">
        <v>99.513592788363795</v>
      </c>
      <c r="AK7707">
        <v>25.4372944016561</v>
      </c>
      <c r="AL7707">
        <v>78.380248433173406</v>
      </c>
      <c r="AM7707">
        <v>98.134796930950301</v>
      </c>
      <c r="AN7707">
        <v>1.0000000097148001</v>
      </c>
    </row>
    <row r="7708" spans="1:40" x14ac:dyDescent="0.25">
      <c r="A7708" t="str">
        <f>"20190304154943919"</f>
        <v>20190304154943919</v>
      </c>
      <c r="B7708" t="str">
        <f>"1551685783914973"</f>
        <v>1551685783914973</v>
      </c>
      <c r="C7708" t="s">
        <v>40</v>
      </c>
      <c r="D7708">
        <v>4.3732199999999999</v>
      </c>
      <c r="E7708">
        <v>0.50310859999999902</v>
      </c>
      <c r="F7708" t="s">
        <v>44</v>
      </c>
      <c r="G7708">
        <v>-186.6207</v>
      </c>
      <c r="H7708" s="1">
        <v>-2.6406900000000001E-6</v>
      </c>
      <c r="I7708">
        <v>44.390979999999999</v>
      </c>
      <c r="J7708">
        <v>-188.41239999999999</v>
      </c>
      <c r="K7708">
        <v>1.1151089999999999</v>
      </c>
      <c r="L7708">
        <v>-38.669490000000003</v>
      </c>
      <c r="M7708">
        <v>0.14031959999999999</v>
      </c>
      <c r="N7708">
        <v>-1.357598E-2</v>
      </c>
      <c r="O7708">
        <v>0.99001320000000004</v>
      </c>
      <c r="P7708">
        <v>3.3658669999999998E-3</v>
      </c>
      <c r="Q7708">
        <v>0.19014909999999999</v>
      </c>
      <c r="R7708">
        <v>0.98174950000000005</v>
      </c>
      <c r="S7708">
        <v>6.7092899999999997E-2</v>
      </c>
      <c r="T7708">
        <v>-4.0998699999999999E-2</v>
      </c>
      <c r="U7708">
        <v>3.0630190000000002</v>
      </c>
      <c r="V7708">
        <v>-0.13650290000000001</v>
      </c>
      <c r="W7708">
        <v>0.20195460000000001</v>
      </c>
      <c r="X7708">
        <v>0.96983569999999997</v>
      </c>
      <c r="Y7708">
        <v>-0.1185948</v>
      </c>
      <c r="Z7708">
        <v>4.1852620000000002E-4</v>
      </c>
      <c r="AA7708">
        <v>0.99294260000000001</v>
      </c>
      <c r="AB7708">
        <v>28</v>
      </c>
      <c r="AC7708">
        <v>1.7916999999999901</v>
      </c>
      <c r="AD7708">
        <v>-1.1151116406899999</v>
      </c>
      <c r="AE7708">
        <v>83.060469999999995</v>
      </c>
      <c r="AF7708">
        <v>-9.8803358344889993</v>
      </c>
      <c r="AG7708">
        <v>-1.1151116406899999</v>
      </c>
      <c r="AH7708">
        <v>82.475114751410402</v>
      </c>
      <c r="AI7708">
        <v>90.769126413462303</v>
      </c>
      <c r="AJ7708">
        <v>96.8313513867094</v>
      </c>
      <c r="AK7708">
        <v>83.072312255238202</v>
      </c>
      <c r="AL7708">
        <v>78.348717881533403</v>
      </c>
      <c r="AM7708">
        <v>98.011666390313707</v>
      </c>
      <c r="AN7708">
        <v>0.99999999358202996</v>
      </c>
    </row>
    <row r="7709" spans="1:40" x14ac:dyDescent="0.25">
      <c r="A7709" t="str">
        <f>"20190304154943940"</f>
        <v>20190304154943940</v>
      </c>
      <c r="B7709" t="str">
        <f>"1551685783934493"</f>
        <v>1551685783934493</v>
      </c>
      <c r="C7709" t="s">
        <v>40</v>
      </c>
      <c r="D7709">
        <v>4.4149690000000001</v>
      </c>
      <c r="E7709">
        <v>0.5037315</v>
      </c>
      <c r="F7709" t="s">
        <v>44</v>
      </c>
      <c r="G7709">
        <v>-187.45079999999999</v>
      </c>
      <c r="H7709" s="1">
        <v>-1.2747869999999999E-6</v>
      </c>
      <c r="I7709">
        <v>21.400929999999999</v>
      </c>
      <c r="J7709">
        <v>-188.3817</v>
      </c>
      <c r="K7709">
        <v>1.1148940000000001</v>
      </c>
      <c r="L7709">
        <v>-38.417270000000002</v>
      </c>
      <c r="M7709">
        <v>0.13582330000000001</v>
      </c>
      <c r="N7709">
        <v>-1.3530149999999999E-2</v>
      </c>
      <c r="O7709">
        <v>0.99064070000000004</v>
      </c>
      <c r="P7709">
        <v>-3.4000760000000001E-4</v>
      </c>
      <c r="Q7709">
        <v>0.189391</v>
      </c>
      <c r="R7709">
        <v>0.98190169999999999</v>
      </c>
      <c r="S7709">
        <v>4.9087520000000003E-2</v>
      </c>
      <c r="T7709">
        <v>-5.6926850000000001E-2</v>
      </c>
      <c r="U7709">
        <v>3.0666199999999999</v>
      </c>
      <c r="V7709">
        <v>-0.13566789999999901</v>
      </c>
      <c r="W7709">
        <v>0.2012321</v>
      </c>
      <c r="X7709">
        <v>0.97010300000000005</v>
      </c>
      <c r="Y7709">
        <v>-0.1199356</v>
      </c>
      <c r="Z7709">
        <v>-4.719371E-3</v>
      </c>
      <c r="AA7709">
        <v>0.99277040000000005</v>
      </c>
      <c r="AB7709">
        <v>28</v>
      </c>
      <c r="AC7709">
        <v>0.93090000000000805</v>
      </c>
      <c r="AD7709">
        <v>-1.114895274787</v>
      </c>
      <c r="AE7709">
        <v>59.818199999999997</v>
      </c>
      <c r="AF7709">
        <v>-7.2006763961264602</v>
      </c>
      <c r="AG7709">
        <v>-1.114895274787</v>
      </c>
      <c r="AH7709">
        <v>59.369598255242501</v>
      </c>
      <c r="AI7709">
        <v>91.068000073115698</v>
      </c>
      <c r="AJ7709">
        <v>96.915375243854996</v>
      </c>
      <c r="AK7709">
        <v>59.815064398731202</v>
      </c>
      <c r="AL7709">
        <v>78.390981676821198</v>
      </c>
      <c r="AM7709">
        <v>97.961122873132098</v>
      </c>
      <c r="AN7709">
        <v>0.99999998388490896</v>
      </c>
    </row>
    <row r="7710" spans="1:40" x14ac:dyDescent="0.25">
      <c r="A7710" t="str">
        <f>"20190304154943962"</f>
        <v>20190304154943962</v>
      </c>
      <c r="B7710" t="str">
        <f>"1551685783954990"</f>
        <v>1551685783954990</v>
      </c>
      <c r="C7710" t="s">
        <v>40</v>
      </c>
      <c r="D7710">
        <v>4.3320360000000004</v>
      </c>
      <c r="E7710">
        <v>0.53503319999999999</v>
      </c>
      <c r="F7710" t="s">
        <v>44</v>
      </c>
      <c r="G7710">
        <v>-187.71440000000001</v>
      </c>
      <c r="H7710" s="1">
        <v>-6.6234650000000001E-7</v>
      </c>
      <c r="I7710">
        <v>9.8073340000000009</v>
      </c>
      <c r="J7710">
        <v>-188.34719999999999</v>
      </c>
      <c r="K7710">
        <v>1.1146529999999999</v>
      </c>
      <c r="L7710">
        <v>-38.125309999999999</v>
      </c>
      <c r="M7710">
        <v>0.13093630000000001</v>
      </c>
      <c r="N7710">
        <v>-1.347453E-2</v>
      </c>
      <c r="O7710">
        <v>0.99129920000000005</v>
      </c>
      <c r="P7710">
        <v>-3.538046E-3</v>
      </c>
      <c r="Q7710">
        <v>0.18784909999999999</v>
      </c>
      <c r="R7710">
        <v>0.9821915</v>
      </c>
      <c r="S7710">
        <v>4.2465210000000003E-2</v>
      </c>
      <c r="T7710">
        <v>-7.095158E-2</v>
      </c>
      <c r="U7710">
        <v>3.069</v>
      </c>
      <c r="V7710">
        <v>-0.13394900000000001</v>
      </c>
      <c r="W7710">
        <v>0.19973440000000001</v>
      </c>
      <c r="X7710">
        <v>0.97065129999999999</v>
      </c>
      <c r="Y7710">
        <v>-0.1171908</v>
      </c>
      <c r="Z7710">
        <v>-9.2727390000000003E-3</v>
      </c>
      <c r="AA7710">
        <v>0.99306609999999995</v>
      </c>
      <c r="AB7710">
        <v>28</v>
      </c>
      <c r="AC7710">
        <v>0.63279999999997405</v>
      </c>
      <c r="AD7710">
        <v>-1.1146536623465</v>
      </c>
      <c r="AE7710">
        <v>47.932644000000003</v>
      </c>
      <c r="AF7710">
        <v>-5.6462890083673001</v>
      </c>
      <c r="AG7710">
        <v>-1.1146536623465</v>
      </c>
      <c r="AH7710">
        <v>47.577046202893399</v>
      </c>
      <c r="AI7710">
        <v>91.332753293752901</v>
      </c>
      <c r="AJ7710">
        <v>96.768021125974698</v>
      </c>
      <c r="AK7710">
        <v>47.923880871077699</v>
      </c>
      <c r="AL7710">
        <v>78.478572748134596</v>
      </c>
      <c r="AM7710">
        <v>97.857139987165894</v>
      </c>
      <c r="AN7710">
        <v>1.00000005566802</v>
      </c>
    </row>
    <row r="7711" spans="1:40" x14ac:dyDescent="0.25">
      <c r="A7711" t="str">
        <f>"20190304154943985"</f>
        <v>20190304154943985</v>
      </c>
      <c r="B7711" t="str">
        <f>"1551685783974513"</f>
        <v>1551685783974513</v>
      </c>
      <c r="C7711" t="s">
        <v>40</v>
      </c>
      <c r="D7711">
        <v>4.3261609999999999</v>
      </c>
      <c r="E7711">
        <v>0.53660450000000004</v>
      </c>
      <c r="F7711" t="s">
        <v>70</v>
      </c>
      <c r="G7711">
        <v>-169.01419999999999</v>
      </c>
      <c r="H7711">
        <v>1.8387290000000001</v>
      </c>
      <c r="I7711">
        <v>172.69110000000001</v>
      </c>
      <c r="J7711">
        <v>-188.31530000000001</v>
      </c>
      <c r="K7711">
        <v>1.1144210000000001</v>
      </c>
      <c r="L7711">
        <v>-37.845399999999998</v>
      </c>
      <c r="M7711">
        <v>0.12654770000000001</v>
      </c>
      <c r="N7711">
        <v>-1.3420939999999999E-2</v>
      </c>
      <c r="O7711">
        <v>0.99186969999999997</v>
      </c>
      <c r="P7711">
        <v>-6.6679479999999999E-3</v>
      </c>
      <c r="Q7711">
        <v>0.18729670000000001</v>
      </c>
      <c r="R7711">
        <v>0.98228070000000001</v>
      </c>
      <c r="S7711">
        <v>0.28001399999999999</v>
      </c>
      <c r="T7711">
        <v>1.048779E-2</v>
      </c>
      <c r="U7711">
        <v>3.0534059999999998</v>
      </c>
      <c r="V7711">
        <v>-0.1326417</v>
      </c>
      <c r="W7711">
        <v>0.19921710000000001</v>
      </c>
      <c r="X7711">
        <v>0.97093700000000005</v>
      </c>
      <c r="Y7711">
        <v>-3.54528E-2</v>
      </c>
      <c r="Z7711">
        <v>1.6727990000000002E-2</v>
      </c>
      <c r="AA7711">
        <v>0.99923130000000004</v>
      </c>
      <c r="AB7711">
        <v>28</v>
      </c>
      <c r="AC7711">
        <v>19.301100000000002</v>
      </c>
      <c r="AD7711">
        <v>0.72430799999999995</v>
      </c>
      <c r="AE7711">
        <v>210.53649999999999</v>
      </c>
      <c r="AF7711">
        <v>-7.4993211990030604</v>
      </c>
      <c r="AG7711">
        <v>0.72430799999999995</v>
      </c>
      <c r="AH7711">
        <v>211.283840483196</v>
      </c>
      <c r="AI7711">
        <v>89.803707124593501</v>
      </c>
      <c r="AJ7711">
        <v>92.032806429649497</v>
      </c>
      <c r="AK7711">
        <v>211.41812999327499</v>
      </c>
      <c r="AL7711">
        <v>78.508818686933694</v>
      </c>
      <c r="AM7711">
        <v>97.779139121903597</v>
      </c>
      <c r="AN7711">
        <v>0.99999996574014904</v>
      </c>
    </row>
    <row r="7712" spans="1:40" x14ac:dyDescent="0.25">
      <c r="A7712" t="str">
        <f>"20190304154944007"</f>
        <v>20190304154944007</v>
      </c>
      <c r="B7712" t="str">
        <f>"1551685784004766"</f>
        <v>1551685784004766</v>
      </c>
      <c r="C7712" t="s">
        <v>40</v>
      </c>
      <c r="D7712">
        <v>4.3266720000000003</v>
      </c>
      <c r="E7712">
        <v>0.53768800000000005</v>
      </c>
      <c r="F7712" t="s">
        <v>70</v>
      </c>
      <c r="G7712">
        <v>-168.78</v>
      </c>
      <c r="H7712">
        <v>1.1470100000000001</v>
      </c>
      <c r="I7712">
        <v>172.69130000000001</v>
      </c>
      <c r="J7712">
        <v>-188.28440000000001</v>
      </c>
      <c r="K7712">
        <v>1.1141989999999999</v>
      </c>
      <c r="L7712">
        <v>-37.56671</v>
      </c>
      <c r="M7712">
        <v>0.122449</v>
      </c>
      <c r="N7712">
        <v>-1.337081E-2</v>
      </c>
      <c r="O7712">
        <v>0.99238470000000001</v>
      </c>
      <c r="P7712">
        <v>-1.0074039999999999E-2</v>
      </c>
      <c r="Q7712">
        <v>0.1864401</v>
      </c>
      <c r="R7712">
        <v>0.98241469999999997</v>
      </c>
      <c r="S7712">
        <v>0.28355409999999998</v>
      </c>
      <c r="T7712">
        <v>4.7349929999999999E-4</v>
      </c>
      <c r="U7712">
        <v>3.055939</v>
      </c>
      <c r="V7712">
        <v>-0.13189690000000001</v>
      </c>
      <c r="W7712">
        <v>0.19839470000000001</v>
      </c>
      <c r="X7712">
        <v>0.97120680000000004</v>
      </c>
      <c r="Y7712">
        <v>-3.0246240000000001E-2</v>
      </c>
      <c r="Z7712">
        <v>1.344776E-2</v>
      </c>
      <c r="AA7712">
        <v>0.99945200000000001</v>
      </c>
      <c r="AB7712">
        <v>28</v>
      </c>
      <c r="AC7712">
        <v>19.5044</v>
      </c>
      <c r="AD7712">
        <v>3.2811000000000097E-2</v>
      </c>
      <c r="AE7712">
        <v>210.25801000000001</v>
      </c>
      <c r="AF7712">
        <v>-6.3905862719976003</v>
      </c>
      <c r="AG7712">
        <v>3.2811000000000097E-2</v>
      </c>
      <c r="AH7712">
        <v>211.06399655672399</v>
      </c>
      <c r="AI7712">
        <v>89.991097151996001</v>
      </c>
      <c r="AJ7712">
        <v>91.734269219162499</v>
      </c>
      <c r="AK7712">
        <v>211.16072388576001</v>
      </c>
      <c r="AL7712">
        <v>78.556898268712303</v>
      </c>
      <c r="AM7712">
        <v>97.733865631738695</v>
      </c>
      <c r="AN7712">
        <v>0.99999994879196796</v>
      </c>
    </row>
    <row r="7713" spans="1:40" x14ac:dyDescent="0.25">
      <c r="A7713" t="str">
        <f>"20190304154944030"</f>
        <v>20190304154944030</v>
      </c>
      <c r="B7713" t="str">
        <f>"1551685784025262"</f>
        <v>1551685784025262</v>
      </c>
      <c r="C7713" t="s">
        <v>40</v>
      </c>
      <c r="D7713">
        <v>4.356643</v>
      </c>
      <c r="E7713">
        <v>0.53805760000000002</v>
      </c>
      <c r="F7713" t="s">
        <v>70</v>
      </c>
      <c r="G7713">
        <v>-168.85910000000001</v>
      </c>
      <c r="H7713">
        <v>0.68766400000000005</v>
      </c>
      <c r="I7713">
        <v>172.69139999999999</v>
      </c>
      <c r="J7713">
        <v>-188.255</v>
      </c>
      <c r="K7713">
        <v>1.113974</v>
      </c>
      <c r="L7713">
        <v>-37.293089999999999</v>
      </c>
      <c r="M7713">
        <v>0.11868380000000001</v>
      </c>
      <c r="N7713">
        <v>-1.332553E-2</v>
      </c>
      <c r="O7713">
        <v>0.99284269999999997</v>
      </c>
      <c r="P7713">
        <v>-1.253637E-2</v>
      </c>
      <c r="Q7713">
        <v>0.1853225</v>
      </c>
      <c r="R7713">
        <v>0.98259779999999997</v>
      </c>
      <c r="S7713">
        <v>0.28250120000000001</v>
      </c>
      <c r="T7713">
        <v>-6.2025789999999997E-3</v>
      </c>
      <c r="U7713">
        <v>3.0577700000000001</v>
      </c>
      <c r="V7713">
        <v>-0.13055029999999901</v>
      </c>
      <c r="W7713">
        <v>0.1973201</v>
      </c>
      <c r="X7713">
        <v>0.97160760000000002</v>
      </c>
      <c r="Y7713">
        <v>-2.6848259999999999E-2</v>
      </c>
      <c r="Z7713">
        <v>1.1250349999999999E-2</v>
      </c>
      <c r="AA7713">
        <v>0.99957620000000003</v>
      </c>
      <c r="AB7713">
        <v>28</v>
      </c>
      <c r="AC7713">
        <v>19.395899999999902</v>
      </c>
      <c r="AD7713">
        <v>-0.42631000000000002</v>
      </c>
      <c r="AE7713">
        <v>209.98448999999999</v>
      </c>
      <c r="AF7713">
        <v>-5.6651592252470699</v>
      </c>
      <c r="AG7713">
        <v>-0.42631000000000002</v>
      </c>
      <c r="AH7713">
        <v>210.80139816926899</v>
      </c>
      <c r="AI7713">
        <v>90.115828998020504</v>
      </c>
      <c r="AJ7713">
        <v>91.5394186538432</v>
      </c>
      <c r="AK7713">
        <v>210.87793919559701</v>
      </c>
      <c r="AL7713">
        <v>78.619710251144298</v>
      </c>
      <c r="AM7713">
        <v>97.652727336021499</v>
      </c>
      <c r="AN7713">
        <v>0.99999996553592896</v>
      </c>
    </row>
    <row r="7714" spans="1:40" x14ac:dyDescent="0.25">
      <c r="A7714" t="str">
        <f>"20190304154944052"</f>
        <v>20190304154944052</v>
      </c>
      <c r="B7714" t="str">
        <f>"1551685784044781"</f>
        <v>1551685784044781</v>
      </c>
      <c r="C7714" t="s">
        <v>40</v>
      </c>
      <c r="D7714">
        <v>4.5264980000000001</v>
      </c>
      <c r="E7714">
        <v>0.53796699999999997</v>
      </c>
      <c r="F7714" t="s">
        <v>70</v>
      </c>
      <c r="G7714">
        <v>-169.13329999999999</v>
      </c>
      <c r="H7714">
        <v>0.25878909999999999</v>
      </c>
      <c r="I7714">
        <v>172.6917</v>
      </c>
      <c r="J7714">
        <v>-188.22569999999999</v>
      </c>
      <c r="K7714">
        <v>1.1137539999999999</v>
      </c>
      <c r="L7714">
        <v>-37.013280000000002</v>
      </c>
      <c r="M7714">
        <v>0.1150996</v>
      </c>
      <c r="N7714">
        <v>-1.3282759999999999E-2</v>
      </c>
      <c r="O7714">
        <v>0.99326519999999996</v>
      </c>
      <c r="P7714">
        <v>-1.4660930000000001E-2</v>
      </c>
      <c r="Q7714">
        <v>0.1847589</v>
      </c>
      <c r="R7714">
        <v>0.98267450000000001</v>
      </c>
      <c r="S7714">
        <v>0.27856449999999999</v>
      </c>
      <c r="T7714">
        <v>-1.2457849999999999E-2</v>
      </c>
      <c r="U7714">
        <v>3.0590519999999999</v>
      </c>
      <c r="V7714">
        <v>-0.12904099999999999</v>
      </c>
      <c r="W7714">
        <v>0.19679969999999999</v>
      </c>
      <c r="X7714">
        <v>0.97191479999999997</v>
      </c>
      <c r="Y7714">
        <v>-2.455214E-2</v>
      </c>
      <c r="Z7714">
        <v>9.1905370000000004E-3</v>
      </c>
      <c r="AA7714">
        <v>0.99965630000000005</v>
      </c>
      <c r="AB7714">
        <v>28</v>
      </c>
      <c r="AC7714">
        <v>19.092400000000001</v>
      </c>
      <c r="AD7714">
        <v>-0.85496490000000003</v>
      </c>
      <c r="AE7714">
        <v>209.70498000000001</v>
      </c>
      <c r="AF7714">
        <v>-5.1735136615136303</v>
      </c>
      <c r="AG7714">
        <v>-0.85496490000000003</v>
      </c>
      <c r="AH7714">
        <v>210.50527603160799</v>
      </c>
      <c r="AI7714">
        <v>90.232634663128707</v>
      </c>
      <c r="AJ7714">
        <v>91.407854685630198</v>
      </c>
      <c r="AK7714">
        <v>210.57057592581501</v>
      </c>
      <c r="AL7714">
        <v>78.650124189420495</v>
      </c>
      <c r="AM7714">
        <v>97.562920777776398</v>
      </c>
      <c r="AN7714">
        <v>1.0000000400300599</v>
      </c>
    </row>
    <row r="7715" spans="1:40" x14ac:dyDescent="0.25">
      <c r="A7715" t="str">
        <f>"20190304154944066"</f>
        <v>20190304154944066</v>
      </c>
      <c r="B7715" t="str">
        <f>"1551685784054542"</f>
        <v>1551685784054542</v>
      </c>
      <c r="C7715" t="s">
        <v>40</v>
      </c>
      <c r="D7715">
        <v>4.1567129999999999</v>
      </c>
      <c r="E7715">
        <v>0.5380199</v>
      </c>
      <c r="F7715" t="s">
        <v>79</v>
      </c>
      <c r="G7715">
        <v>-171.68289999999999</v>
      </c>
      <c r="H7715">
        <v>4.9682900000000002E-2</v>
      </c>
      <c r="I7715">
        <v>149.6163</v>
      </c>
      <c r="J7715">
        <v>-188.2072</v>
      </c>
      <c r="K7715">
        <v>1.113621</v>
      </c>
      <c r="L7715">
        <v>-36.833219999999997</v>
      </c>
      <c r="M7715">
        <v>0.112940899999999</v>
      </c>
      <c r="N7715">
        <v>-1.325719E-2</v>
      </c>
      <c r="O7715">
        <v>0.99351330000000004</v>
      </c>
      <c r="P7715">
        <v>-1.628197E-2</v>
      </c>
      <c r="Q7715">
        <v>0.18492929999999999</v>
      </c>
      <c r="R7715">
        <v>0.98261699999999996</v>
      </c>
      <c r="S7715">
        <v>0.27125549999999998</v>
      </c>
      <c r="T7715">
        <v>-1.7447830000000001E-2</v>
      </c>
      <c r="U7715">
        <v>3.0602109999999998</v>
      </c>
      <c r="V7715">
        <v>-0.12846450000000001</v>
      </c>
      <c r="W7715">
        <v>0.196991</v>
      </c>
      <c r="X7715">
        <v>0.97195240000000005</v>
      </c>
      <c r="Y7715">
        <v>-2.4780880000000002E-2</v>
      </c>
      <c r="Z7715">
        <v>7.5563309999999899E-3</v>
      </c>
      <c r="AA7715">
        <v>0.99966440000000001</v>
      </c>
      <c r="AB7715">
        <v>28</v>
      </c>
      <c r="AC7715">
        <v>16.5243</v>
      </c>
      <c r="AD7715">
        <v>-1.0639381000000001</v>
      </c>
      <c r="AE7715">
        <v>186.44952000000001</v>
      </c>
      <c r="AF7715">
        <v>-4.6409225105171297</v>
      </c>
      <c r="AG7715">
        <v>-1.0639381000000001</v>
      </c>
      <c r="AH7715">
        <v>187.11673901102699</v>
      </c>
      <c r="AI7715">
        <v>90.325677787169496</v>
      </c>
      <c r="AJ7715">
        <v>91.420774914379294</v>
      </c>
      <c r="AK7715">
        <v>187.17730670182701</v>
      </c>
      <c r="AL7715">
        <v>78.638944487809795</v>
      </c>
      <c r="AM7715">
        <v>97.529233465542703</v>
      </c>
      <c r="AN7715">
        <v>1.0000000248534999</v>
      </c>
    </row>
    <row r="7716" spans="1:40" x14ac:dyDescent="0.25">
      <c r="A7716" t="str">
        <f>"20190304154944085"</f>
        <v>20190304154944085</v>
      </c>
      <c r="B7716" t="str">
        <f>"1551685784075038"</f>
        <v>1551685784075038</v>
      </c>
      <c r="C7716" t="s">
        <v>40</v>
      </c>
      <c r="D7716">
        <v>4.348878</v>
      </c>
      <c r="E7716">
        <v>0.53869279999999997</v>
      </c>
      <c r="F7716" t="s">
        <v>70</v>
      </c>
      <c r="G7716">
        <v>-168.95169999999999</v>
      </c>
      <c r="H7716">
        <v>0.53151700000000002</v>
      </c>
      <c r="I7716">
        <v>184.38339999999999</v>
      </c>
      <c r="J7716">
        <v>-188.18350000000001</v>
      </c>
      <c r="K7716">
        <v>1.1134729999999999</v>
      </c>
      <c r="L7716">
        <v>-36.5976</v>
      </c>
      <c r="M7716">
        <v>0.1102258</v>
      </c>
      <c r="N7716">
        <v>-1.322606E-2</v>
      </c>
      <c r="O7716">
        <v>0.9938186</v>
      </c>
      <c r="P7716">
        <v>-1.765926E-2</v>
      </c>
      <c r="Q7716">
        <v>0.18565690000000001</v>
      </c>
      <c r="R7716">
        <v>0.982456</v>
      </c>
      <c r="S7716">
        <v>0.2662659</v>
      </c>
      <c r="T7716">
        <v>-8.0488920000000002E-3</v>
      </c>
      <c r="U7716">
        <v>3.0589900000000001</v>
      </c>
      <c r="V7716">
        <v>-0.12708359999999999</v>
      </c>
      <c r="W7716">
        <v>0.19774410000000001</v>
      </c>
      <c r="X7716">
        <v>0.97198099999999998</v>
      </c>
      <c r="Y7716">
        <v>-2.363525E-2</v>
      </c>
      <c r="Z7716">
        <v>1.0560959999999999E-2</v>
      </c>
      <c r="AA7716">
        <v>0.99966480000000002</v>
      </c>
      <c r="AB7716">
        <v>28</v>
      </c>
      <c r="AC7716">
        <v>19.2318</v>
      </c>
      <c r="AD7716">
        <v>-0.58195599999999903</v>
      </c>
      <c r="AE7716">
        <v>220.98099999999999</v>
      </c>
      <c r="AF7716">
        <v>-5.24530948284358</v>
      </c>
      <c r="AG7716">
        <v>-0.58195599999999903</v>
      </c>
      <c r="AH7716">
        <v>221.75273139713599</v>
      </c>
      <c r="AI7716">
        <v>90.150321585275904</v>
      </c>
      <c r="AJ7716">
        <v>91.355014039164601</v>
      </c>
      <c r="AK7716">
        <v>221.815522059317</v>
      </c>
      <c r="AL7716">
        <v>78.594929150974707</v>
      </c>
      <c r="AM7716">
        <v>97.448996762319794</v>
      </c>
      <c r="AN7716">
        <v>1.00000001741738</v>
      </c>
    </row>
    <row r="7717" spans="1:40" x14ac:dyDescent="0.25">
      <c r="A7717" t="str">
        <f>"20190304154944110"</f>
        <v>20190304154944110</v>
      </c>
      <c r="B7717" t="str">
        <f>"1551685784105294"</f>
        <v>1551685784105294</v>
      </c>
      <c r="C7717" t="s">
        <v>40</v>
      </c>
      <c r="D7717">
        <v>4.3647720000000003</v>
      </c>
      <c r="E7717">
        <v>0.53958119999999998</v>
      </c>
      <c r="F7717" t="s">
        <v>70</v>
      </c>
      <c r="G7717">
        <v>-168.887</v>
      </c>
      <c r="H7717">
        <v>0.59527140000000001</v>
      </c>
      <c r="I7717">
        <v>184.38329999999999</v>
      </c>
      <c r="J7717">
        <v>-188.15379999999999</v>
      </c>
      <c r="K7717">
        <v>1.1133189999999999</v>
      </c>
      <c r="L7717">
        <v>-36.296169999999996</v>
      </c>
      <c r="M7717">
        <v>0.1069319</v>
      </c>
      <c r="N7717">
        <v>-1.319006E-2</v>
      </c>
      <c r="O7717">
        <v>0.99417880000000003</v>
      </c>
      <c r="P7717">
        <v>-1.97127E-2</v>
      </c>
      <c r="Q7717">
        <v>0.1861553</v>
      </c>
      <c r="R7717">
        <v>0.98232260000000005</v>
      </c>
      <c r="S7717">
        <v>0.26718140000000001</v>
      </c>
      <c r="T7717">
        <v>-7.174611E-3</v>
      </c>
      <c r="U7717">
        <v>3.059723</v>
      </c>
      <c r="V7717">
        <v>-0.12580649999999999</v>
      </c>
      <c r="W7717">
        <v>0.1982652</v>
      </c>
      <c r="X7717">
        <v>0.97204100000000004</v>
      </c>
      <c r="Y7717">
        <v>-2.0046649999999999E-2</v>
      </c>
      <c r="Z7717">
        <v>1.0808659999999999E-2</v>
      </c>
      <c r="AA7717">
        <v>0.99974059999999998</v>
      </c>
      <c r="AB7717">
        <v>28</v>
      </c>
      <c r="AC7717">
        <v>19.2667999999999</v>
      </c>
      <c r="AD7717">
        <v>-0.51804759999999905</v>
      </c>
      <c r="AE7717">
        <v>220.67947000000001</v>
      </c>
      <c r="AF7717">
        <v>-4.4433933900174001</v>
      </c>
      <c r="AG7717">
        <v>-0.51804759999999905</v>
      </c>
      <c r="AH7717">
        <v>221.47315316912301</v>
      </c>
      <c r="AI7717">
        <v>90.133993283421603</v>
      </c>
      <c r="AJ7717">
        <v>91.149365210633206</v>
      </c>
      <c r="AK7717">
        <v>221.51832811938601</v>
      </c>
      <c r="AL7717">
        <v>78.564469454811899</v>
      </c>
      <c r="AM7717">
        <v>97.374517620550293</v>
      </c>
      <c r="AN7717">
        <v>1.0000000353271401</v>
      </c>
    </row>
    <row r="7718" spans="1:40" x14ac:dyDescent="0.25">
      <c r="A7718" t="str">
        <f>"20190304154944132"</f>
        <v>20190304154944132</v>
      </c>
      <c r="B7718" t="str">
        <f>"1551685784124813"</f>
        <v>1551685784124813</v>
      </c>
      <c r="C7718" t="s">
        <v>40</v>
      </c>
      <c r="D7718">
        <v>4.4439320000000002</v>
      </c>
      <c r="E7718">
        <v>0.54042889999999999</v>
      </c>
      <c r="F7718" t="s">
        <v>70</v>
      </c>
      <c r="G7718">
        <v>-168.8631</v>
      </c>
      <c r="H7718">
        <v>0.5621119</v>
      </c>
      <c r="I7718">
        <v>184.38329999999999</v>
      </c>
      <c r="J7718">
        <v>-188.1277</v>
      </c>
      <c r="K7718">
        <v>1.113199</v>
      </c>
      <c r="L7718">
        <v>-36.023560000000003</v>
      </c>
      <c r="M7718">
        <v>0.1041204</v>
      </c>
      <c r="N7718">
        <v>-1.316111E-2</v>
      </c>
      <c r="O7718">
        <v>0.99447759999999996</v>
      </c>
      <c r="P7718">
        <v>-2.1222149999999999E-2</v>
      </c>
      <c r="Q7718">
        <v>0.1861563</v>
      </c>
      <c r="R7718">
        <v>0.98229089999999997</v>
      </c>
      <c r="S7718">
        <v>0.26756289999999999</v>
      </c>
      <c r="T7718">
        <v>-7.6447729999999997E-3</v>
      </c>
      <c r="U7718">
        <v>3.0608219999999999</v>
      </c>
      <c r="V7718">
        <v>-0.124491</v>
      </c>
      <c r="W7718">
        <v>0.1982834</v>
      </c>
      <c r="X7718">
        <v>0.97220660000000003</v>
      </c>
      <c r="Y7718">
        <v>-1.7127099999999999E-2</v>
      </c>
      <c r="Z7718">
        <v>1.0629090000000001E-2</v>
      </c>
      <c r="AA7718">
        <v>0.99979680000000004</v>
      </c>
      <c r="AB7718">
        <v>28</v>
      </c>
      <c r="AC7718">
        <v>19.264600000000002</v>
      </c>
      <c r="AD7718">
        <v>-0.55108709999999905</v>
      </c>
      <c r="AE7718">
        <v>220.40685999999999</v>
      </c>
      <c r="AF7718">
        <v>-3.7909421311688201</v>
      </c>
      <c r="AG7718">
        <v>-0.55108709999999905</v>
      </c>
      <c r="AH7718">
        <v>221.213313608486</v>
      </c>
      <c r="AI7718">
        <v>90.142714123982003</v>
      </c>
      <c r="AJ7718">
        <v>90.981784151703906</v>
      </c>
      <c r="AK7718">
        <v>221.24648032653599</v>
      </c>
      <c r="AL7718">
        <v>78.563405075575304</v>
      </c>
      <c r="AM7718">
        <v>97.297011703074503</v>
      </c>
      <c r="AN7718">
        <v>0.99999999444006005</v>
      </c>
    </row>
    <row r="7719" spans="1:40" x14ac:dyDescent="0.25">
      <c r="A7719" t="str">
        <f>"20190304154944153"</f>
        <v>20190304154944153</v>
      </c>
      <c r="B7719" t="str">
        <f>"1551685784144334"</f>
        <v>1551685784144334</v>
      </c>
      <c r="C7719" t="s">
        <v>40</v>
      </c>
      <c r="D7719">
        <v>4.3596680000000001</v>
      </c>
      <c r="E7719">
        <v>0.54109490000000005</v>
      </c>
      <c r="F7719" t="s">
        <v>70</v>
      </c>
      <c r="G7719">
        <v>-168.74789999999999</v>
      </c>
      <c r="H7719">
        <v>0.48347990000000002</v>
      </c>
      <c r="I7719">
        <v>184.38329999999999</v>
      </c>
      <c r="J7719">
        <v>-188.10319999999999</v>
      </c>
      <c r="K7719">
        <v>1.113105</v>
      </c>
      <c r="L7719">
        <v>-35.761139999999997</v>
      </c>
      <c r="M7719">
        <v>0.1015296</v>
      </c>
      <c r="N7719">
        <v>-1.313596E-2</v>
      </c>
      <c r="O7719">
        <v>0.99474580000000001</v>
      </c>
      <c r="P7719">
        <v>-2.257605E-2</v>
      </c>
      <c r="Q7719">
        <v>0.18579619999999999</v>
      </c>
      <c r="R7719">
        <v>0.98232889999999995</v>
      </c>
      <c r="S7719">
        <v>0.26919559999999998</v>
      </c>
      <c r="T7719">
        <v>-8.7466239999999997E-3</v>
      </c>
      <c r="U7719">
        <v>3.0615540000000001</v>
      </c>
      <c r="V7719">
        <v>-0.123254</v>
      </c>
      <c r="W7719">
        <v>0.19793659999999999</v>
      </c>
      <c r="X7719">
        <v>0.97243489999999999</v>
      </c>
      <c r="Y7719">
        <v>-1.4014179999999999E-2</v>
      </c>
      <c r="Z7719">
        <v>1.0248409999999999E-2</v>
      </c>
      <c r="AA7719">
        <v>0.99984930000000005</v>
      </c>
      <c r="AB7719">
        <v>28</v>
      </c>
      <c r="AC7719">
        <v>19.3553</v>
      </c>
      <c r="AD7719">
        <v>-0.62962509999999905</v>
      </c>
      <c r="AE7719">
        <v>220.14444</v>
      </c>
      <c r="AF7719">
        <v>-3.0978156597074502</v>
      </c>
      <c r="AG7719">
        <v>-0.62962509999999905</v>
      </c>
      <c r="AH7719">
        <v>220.970162676462</v>
      </c>
      <c r="AI7719">
        <v>90.163240223803101</v>
      </c>
      <c r="AJ7719">
        <v>90.803185979249903</v>
      </c>
      <c r="AK7719">
        <v>220.99277292004399</v>
      </c>
      <c r="AL7719">
        <v>78.583677578969102</v>
      </c>
      <c r="AM7719">
        <v>97.223596884920298</v>
      </c>
      <c r="AN7719">
        <v>1.0000000404367799</v>
      </c>
    </row>
    <row r="7720" spans="1:40" x14ac:dyDescent="0.25">
      <c r="A7720" t="str">
        <f>"20190304154944175"</f>
        <v>20190304154944175</v>
      </c>
      <c r="B7720" t="str">
        <f>"1551685784164833"</f>
        <v>1551685784164833</v>
      </c>
      <c r="C7720" t="s">
        <v>40</v>
      </c>
      <c r="D7720">
        <v>4.5524620000000002</v>
      </c>
      <c r="E7720">
        <v>0.54099160000000002</v>
      </c>
      <c r="F7720" t="s">
        <v>70</v>
      </c>
      <c r="G7720">
        <v>-168.68690000000001</v>
      </c>
      <c r="H7720">
        <v>0.27057979999999998</v>
      </c>
      <c r="I7720">
        <v>184.38339999999999</v>
      </c>
      <c r="J7720">
        <v>-188.07849999999999</v>
      </c>
      <c r="K7720">
        <v>1.11302099999999</v>
      </c>
      <c r="L7720">
        <v>-35.488950000000003</v>
      </c>
      <c r="M7720">
        <v>9.8915820000000002E-2</v>
      </c>
      <c r="N7720">
        <v>-1.311273E-2</v>
      </c>
      <c r="O7720">
        <v>0.99500940000000004</v>
      </c>
      <c r="P7720">
        <v>-2.3858009999999999E-2</v>
      </c>
      <c r="Q7720">
        <v>0.18542210000000001</v>
      </c>
      <c r="R7720">
        <v>0.9823693</v>
      </c>
      <c r="S7720">
        <v>0.2700958</v>
      </c>
      <c r="T7720">
        <v>-1.17197E-2</v>
      </c>
      <c r="U7720">
        <v>3.0623779999999998</v>
      </c>
      <c r="V7720">
        <v>-0.1219322</v>
      </c>
      <c r="W7720">
        <v>0.19757340000000001</v>
      </c>
      <c r="X7720">
        <v>0.97267530000000002</v>
      </c>
      <c r="Y7720">
        <v>-1.111826E-2</v>
      </c>
      <c r="Z7720">
        <v>9.2644809999999998E-3</v>
      </c>
      <c r="AA7720">
        <v>0.99989530000000004</v>
      </c>
      <c r="AB7720">
        <v>28</v>
      </c>
      <c r="AC7720">
        <v>19.391599999999901</v>
      </c>
      <c r="AD7720">
        <v>-0.842441199999999</v>
      </c>
      <c r="AE7720">
        <v>219.87235000000001</v>
      </c>
      <c r="AF7720">
        <v>-2.45420478178437</v>
      </c>
      <c r="AG7720">
        <v>-0.842441199999999</v>
      </c>
      <c r="AH7720">
        <v>220.70895301422399</v>
      </c>
      <c r="AI7720">
        <v>90.2186821440405</v>
      </c>
      <c r="AJ7720">
        <v>90.637082361305104</v>
      </c>
      <c r="AK7720">
        <v>220.72420521755501</v>
      </c>
      <c r="AL7720">
        <v>78.604905886748298</v>
      </c>
      <c r="AM7720">
        <v>97.145186827417703</v>
      </c>
      <c r="AN7720">
        <v>0.99999997450724398</v>
      </c>
    </row>
    <row r="7721" spans="1:40" x14ac:dyDescent="0.25">
      <c r="A7721" t="str">
        <f>"20190304154944198"</f>
        <v>20190304154944198</v>
      </c>
      <c r="B7721" t="str">
        <f>"1551685784195085"</f>
        <v>1551685784195085</v>
      </c>
      <c r="C7721" t="s">
        <v>40</v>
      </c>
      <c r="D7721">
        <v>4.5000809999999998</v>
      </c>
      <c r="E7721">
        <v>0.54103449999999997</v>
      </c>
      <c r="F7721" t="s">
        <v>79</v>
      </c>
      <c r="G7721">
        <v>-173.9674</v>
      </c>
      <c r="H7721">
        <v>7.9987970000000005E-2</v>
      </c>
      <c r="I7721">
        <v>127.5698</v>
      </c>
      <c r="J7721">
        <v>-188.0538</v>
      </c>
      <c r="K7721">
        <v>1.1129610000000001</v>
      </c>
      <c r="L7721">
        <v>-35.210299999999997</v>
      </c>
      <c r="M7721">
        <v>9.6293799999999999E-2</v>
      </c>
      <c r="N7721">
        <v>-1.309186E-2</v>
      </c>
      <c r="O7721">
        <v>0.99526689999999995</v>
      </c>
      <c r="P7721">
        <v>-2.463127E-2</v>
      </c>
      <c r="Q7721">
        <v>0.1846931</v>
      </c>
      <c r="R7721">
        <v>0.98248760000000002</v>
      </c>
      <c r="S7721">
        <v>0.265152</v>
      </c>
      <c r="T7721">
        <v>-1.9411089999999999E-2</v>
      </c>
      <c r="U7721">
        <v>3.0639340000000002</v>
      </c>
      <c r="V7721">
        <v>-0.1201093</v>
      </c>
      <c r="W7721">
        <v>0.19685630000000001</v>
      </c>
      <c r="X7721">
        <v>0.97304740000000001</v>
      </c>
      <c r="Y7721">
        <v>-1.012741E-2</v>
      </c>
      <c r="Z7721">
        <v>6.7584560000000004E-3</v>
      </c>
      <c r="AA7721">
        <v>0.99992590000000003</v>
      </c>
      <c r="AB7721">
        <v>28</v>
      </c>
      <c r="AC7721">
        <v>14.0863999999999</v>
      </c>
      <c r="AD7721">
        <v>-1.03297303</v>
      </c>
      <c r="AE7721">
        <v>162.7801</v>
      </c>
      <c r="AF7721">
        <v>-1.6550623495691099</v>
      </c>
      <c r="AG7721">
        <v>-1.03297303</v>
      </c>
      <c r="AH7721">
        <v>163.37354268965601</v>
      </c>
      <c r="AI7721">
        <v>90.362244514427402</v>
      </c>
      <c r="AJ7721">
        <v>90.580417380309896</v>
      </c>
      <c r="AK7721">
        <v>163.38519123724299</v>
      </c>
      <c r="AL7721">
        <v>78.646815447951099</v>
      </c>
      <c r="AM7721">
        <v>97.036780282439096</v>
      </c>
      <c r="AN7721">
        <v>0.99999994472146803</v>
      </c>
    </row>
    <row r="7722" spans="1:40" x14ac:dyDescent="0.25">
      <c r="A7722" t="str">
        <f>"20190304154944213"</f>
        <v>20190304154944213</v>
      </c>
      <c r="B7722" t="str">
        <f>"1551685784205273"</f>
        <v>1551685784205273</v>
      </c>
      <c r="C7722" t="s">
        <v>40</v>
      </c>
      <c r="D7722">
        <v>4.5053549999999998</v>
      </c>
      <c r="E7722">
        <v>0.54106279999999995</v>
      </c>
      <c r="F7722" t="s">
        <v>44</v>
      </c>
      <c r="G7722">
        <v>-178.68559999999999</v>
      </c>
      <c r="H7722">
        <v>7.9986769999999999E-2</v>
      </c>
      <c r="I7722">
        <v>74.256640000000004</v>
      </c>
      <c r="J7722">
        <v>-188.03649999999999</v>
      </c>
      <c r="K7722">
        <v>1.1129230000000001</v>
      </c>
      <c r="L7722">
        <v>-35.011509999999902</v>
      </c>
      <c r="M7722">
        <v>9.4446639999999998E-2</v>
      </c>
      <c r="N7722">
        <v>-1.307851E-2</v>
      </c>
      <c r="O7722">
        <v>0.995444</v>
      </c>
      <c r="P7722">
        <v>-2.5623E-2</v>
      </c>
      <c r="Q7722">
        <v>0.18439159999999999</v>
      </c>
      <c r="R7722">
        <v>0.98251880000000003</v>
      </c>
      <c r="S7722">
        <v>0.26234439999999998</v>
      </c>
      <c r="T7722">
        <v>-2.8927209999999998E-2</v>
      </c>
      <c r="U7722">
        <v>3.0654910000000002</v>
      </c>
      <c r="V7722">
        <v>-0.11926970000000001</v>
      </c>
      <c r="W7722">
        <v>0.1965585</v>
      </c>
      <c r="X7722">
        <v>0.97321089999999999</v>
      </c>
      <c r="Y7722">
        <v>-9.2229470000000004E-3</v>
      </c>
      <c r="Z7722">
        <v>3.6704699999999999E-3</v>
      </c>
      <c r="AA7722">
        <v>0.99995069999999997</v>
      </c>
      <c r="AB7722">
        <v>28</v>
      </c>
      <c r="AC7722">
        <v>9.3508999999999904</v>
      </c>
      <c r="AD7722">
        <v>-1.03293622999999</v>
      </c>
      <c r="AE7722">
        <v>109.26815000000001</v>
      </c>
      <c r="AF7722">
        <v>-1.01170912489702</v>
      </c>
      <c r="AG7722">
        <v>-1.03293622999999</v>
      </c>
      <c r="AH7722">
        <v>109.653138346771</v>
      </c>
      <c r="AI7722">
        <v>90.539689225881105</v>
      </c>
      <c r="AJ7722">
        <v>90.528621606819499</v>
      </c>
      <c r="AK7722">
        <v>109.66267032087499</v>
      </c>
      <c r="AL7722">
        <v>78.664218553601202</v>
      </c>
      <c r="AM7722">
        <v>96.986916726655195</v>
      </c>
      <c r="AN7722">
        <v>0.99999998056957395</v>
      </c>
    </row>
    <row r="7723" spans="1:40" x14ac:dyDescent="0.25">
      <c r="A7723" t="str">
        <f>"20190304154944231"</f>
        <v>20190304154944231</v>
      </c>
      <c r="B7723" t="str">
        <f>"1551685784224792"</f>
        <v>1551685784224792</v>
      </c>
      <c r="C7723" t="s">
        <v>40</v>
      </c>
      <c r="D7723">
        <v>4.53857</v>
      </c>
      <c r="E7723">
        <v>0.54118940000000004</v>
      </c>
      <c r="F7723" t="s">
        <v>44</v>
      </c>
      <c r="G7723">
        <v>-179.7474</v>
      </c>
      <c r="H7723">
        <v>7.9986360000000006E-2</v>
      </c>
      <c r="I7723">
        <v>63.050249999999998</v>
      </c>
      <c r="J7723">
        <v>-188.01779999999999</v>
      </c>
      <c r="K7723">
        <v>1.1128929999999999</v>
      </c>
      <c r="L7723">
        <v>-34.790889999999997</v>
      </c>
      <c r="M7723">
        <v>9.2417490000000005E-2</v>
      </c>
      <c r="N7723">
        <v>-1.306509E-2</v>
      </c>
      <c r="O7723">
        <v>0.99563460000000004</v>
      </c>
      <c r="P7723">
        <v>-2.6078750000000001E-2</v>
      </c>
      <c r="Q7723">
        <v>0.183784</v>
      </c>
      <c r="R7723">
        <v>0.98262070000000001</v>
      </c>
      <c r="S7723">
        <v>0.25918580000000002</v>
      </c>
      <c r="T7723">
        <v>-3.2297850000000003E-2</v>
      </c>
      <c r="U7723">
        <v>3.0661930000000002</v>
      </c>
      <c r="V7723">
        <v>-0.1177252</v>
      </c>
      <c r="W7723">
        <v>0.1959591</v>
      </c>
      <c r="X7723">
        <v>0.97351980000000005</v>
      </c>
      <c r="Y7723">
        <v>-8.2267039999999996E-3</v>
      </c>
      <c r="Z7723">
        <v>2.5677030000000002E-3</v>
      </c>
      <c r="AA7723">
        <v>0.99996289999999999</v>
      </c>
      <c r="AB7723">
        <v>28</v>
      </c>
      <c r="AC7723">
        <v>8.2703999999999898</v>
      </c>
      <c r="AD7723">
        <v>-1.03290664</v>
      </c>
      <c r="AE7723">
        <v>97.841139999999996</v>
      </c>
      <c r="AF7723">
        <v>-0.80791576519903596</v>
      </c>
      <c r="AG7723">
        <v>-1.03290664</v>
      </c>
      <c r="AH7723">
        <v>98.175872935538607</v>
      </c>
      <c r="AI7723">
        <v>90.602765244565703</v>
      </c>
      <c r="AJ7723">
        <v>90.471491795992407</v>
      </c>
      <c r="AK7723">
        <v>98.184630419763906</v>
      </c>
      <c r="AL7723">
        <v>78.699242971892403</v>
      </c>
      <c r="AM7723">
        <v>96.8951484005092</v>
      </c>
      <c r="AN7723">
        <v>0.99999999628994496</v>
      </c>
    </row>
    <row r="7724" spans="1:40" x14ac:dyDescent="0.25">
      <c r="A7724" t="str">
        <f>"20190304154944255"</f>
        <v>20190304154944255</v>
      </c>
      <c r="B7724" t="str">
        <f>"1551685784245290"</f>
        <v>1551685784245290</v>
      </c>
      <c r="C7724" t="s">
        <v>40</v>
      </c>
      <c r="D7724">
        <v>4.575996</v>
      </c>
      <c r="E7724">
        <v>0.54130840000000002</v>
      </c>
      <c r="F7724" t="s">
        <v>44</v>
      </c>
      <c r="G7724">
        <v>-180.5103</v>
      </c>
      <c r="H7724" s="1">
        <v>-4.0905970000000004E-6</v>
      </c>
      <c r="I7724">
        <v>54.248739999999998</v>
      </c>
      <c r="J7724">
        <v>-187.99440000000001</v>
      </c>
      <c r="K7724">
        <v>1.1128629999999999</v>
      </c>
      <c r="L7724">
        <v>-34.5062</v>
      </c>
      <c r="M7724">
        <v>8.9818350000000005E-2</v>
      </c>
      <c r="N7724">
        <v>-1.304978E-2</v>
      </c>
      <c r="O7724">
        <v>0.99587270000000006</v>
      </c>
      <c r="P7724">
        <v>-2.7617539999999999E-2</v>
      </c>
      <c r="Q7724">
        <v>0.18401989999999999</v>
      </c>
      <c r="R7724">
        <v>0.98253449999999998</v>
      </c>
      <c r="S7724">
        <v>0.258606</v>
      </c>
      <c r="T7724">
        <v>-3.8335080000000001E-2</v>
      </c>
      <c r="U7724">
        <v>3.067078</v>
      </c>
      <c r="V7724">
        <v>-0.116689</v>
      </c>
      <c r="W7724">
        <v>0.19619429999999999</v>
      </c>
      <c r="X7724">
        <v>0.97359720000000005</v>
      </c>
      <c r="Y7724">
        <v>-5.828471E-3</v>
      </c>
      <c r="Z7724">
        <v>6.0036180000000005E-4</v>
      </c>
      <c r="AA7724">
        <v>0.99998279999999995</v>
      </c>
      <c r="AB7724">
        <v>28</v>
      </c>
      <c r="AC7724">
        <v>7.4841000000000104</v>
      </c>
      <c r="AD7724">
        <v>-1.112867090597</v>
      </c>
      <c r="AE7724">
        <v>88.754940000000005</v>
      </c>
      <c r="AF7724">
        <v>-0.51857458465911299</v>
      </c>
      <c r="AG7724">
        <v>-1.112867090597</v>
      </c>
      <c r="AH7724">
        <v>89.054510504387906</v>
      </c>
      <c r="AI7724">
        <v>90.715945632077506</v>
      </c>
      <c r="AJ7724">
        <v>90.333636096244604</v>
      </c>
      <c r="AK7724">
        <v>89.062973417337204</v>
      </c>
      <c r="AL7724">
        <v>78.685500475206197</v>
      </c>
      <c r="AM7724">
        <v>96.834496735813602</v>
      </c>
      <c r="AN7724">
        <v>1.00000001696066</v>
      </c>
    </row>
    <row r="7725" spans="1:40" x14ac:dyDescent="0.25">
      <c r="A7725" t="str">
        <f>"20190304154944277"</f>
        <v>20190304154944277</v>
      </c>
      <c r="B7725" t="str">
        <f>"1551685784274569"</f>
        <v>1551685784274569</v>
      </c>
      <c r="C7725" t="s">
        <v>40</v>
      </c>
      <c r="D7725">
        <v>4.5286169999999997</v>
      </c>
      <c r="E7725">
        <v>0.54140650000000001</v>
      </c>
      <c r="F7725" t="s">
        <v>44</v>
      </c>
      <c r="G7725">
        <v>-181.01679999999999</v>
      </c>
      <c r="H7725" s="1">
        <v>-5.7962459999999997E-6</v>
      </c>
      <c r="I7725">
        <v>49.429569999999998</v>
      </c>
      <c r="J7725">
        <v>-187.97219999999999</v>
      </c>
      <c r="K7725">
        <v>1.112849</v>
      </c>
      <c r="L7725">
        <v>-34.228850000000001</v>
      </c>
      <c r="M7725">
        <v>8.729518E-2</v>
      </c>
      <c r="N7725">
        <v>-1.30367E-2</v>
      </c>
      <c r="O7725">
        <v>0.99609720000000002</v>
      </c>
      <c r="P7725">
        <v>-2.9087060000000001E-2</v>
      </c>
      <c r="Q7725">
        <v>0.1839662</v>
      </c>
      <c r="R7725">
        <v>0.98250210000000004</v>
      </c>
      <c r="S7725">
        <v>0.25505070000000002</v>
      </c>
      <c r="T7725">
        <v>-4.0678859999999997E-2</v>
      </c>
      <c r="U7725">
        <v>3.0681150000000001</v>
      </c>
      <c r="V7725">
        <v>-0.1156679</v>
      </c>
      <c r="W7725">
        <v>0.19613910000000001</v>
      </c>
      <c r="X7725">
        <v>0.97373010000000004</v>
      </c>
      <c r="Y7725">
        <v>-4.4743780000000002E-3</v>
      </c>
      <c r="Z7725">
        <v>-1.693784E-4</v>
      </c>
      <c r="AA7725">
        <v>0.99999000000000005</v>
      </c>
      <c r="AB7725">
        <v>28</v>
      </c>
      <c r="AC7725">
        <v>6.9553999999999903</v>
      </c>
      <c r="AD7725">
        <v>-1.112854796246</v>
      </c>
      <c r="AE7725">
        <v>83.658419999999893</v>
      </c>
      <c r="AF7725">
        <v>-0.37468836091407598</v>
      </c>
      <c r="AG7725">
        <v>-1.112854796246</v>
      </c>
      <c r="AH7725">
        <v>83.931473213968204</v>
      </c>
      <c r="AI7725">
        <v>90.759637704757495</v>
      </c>
      <c r="AJ7725">
        <v>90.255779128837403</v>
      </c>
      <c r="AK7725">
        <v>83.939686877140502</v>
      </c>
      <c r="AL7725">
        <v>78.688725201428994</v>
      </c>
      <c r="AM7725">
        <v>96.774332965977393</v>
      </c>
      <c r="AN7725">
        <v>0.99999995864261404</v>
      </c>
    </row>
    <row r="7726" spans="1:40" x14ac:dyDescent="0.25">
      <c r="A7726" t="str">
        <f>"20190304154944298"</f>
        <v>20190304154944298</v>
      </c>
      <c r="B7726" t="str">
        <f>"1551685784295065"</f>
        <v>1551685784295065</v>
      </c>
      <c r="C7726" t="s">
        <v>40</v>
      </c>
      <c r="D7726">
        <v>4.5686039999999997</v>
      </c>
      <c r="E7726">
        <v>0.50983009999999995</v>
      </c>
      <c r="F7726" t="s">
        <v>44</v>
      </c>
      <c r="G7726">
        <v>-181.5009</v>
      </c>
      <c r="H7726" s="1">
        <v>-4.0299019999999998E-6</v>
      </c>
      <c r="I7726">
        <v>44.844880000000003</v>
      </c>
      <c r="J7726">
        <v>-187.95099999999999</v>
      </c>
      <c r="K7726">
        <v>1.1128420000000001</v>
      </c>
      <c r="L7726">
        <v>-33.954830000000001</v>
      </c>
      <c r="M7726">
        <v>8.4803359999999994E-2</v>
      </c>
      <c r="N7726">
        <v>-1.302537E-2</v>
      </c>
      <c r="O7726">
        <v>0.99631259999999999</v>
      </c>
      <c r="P7726">
        <v>-3.0542219999999998E-2</v>
      </c>
      <c r="Q7726">
        <v>0.18441679999999999</v>
      </c>
      <c r="R7726">
        <v>0.98237350000000001</v>
      </c>
      <c r="S7726">
        <v>0.25115969999999999</v>
      </c>
      <c r="T7726">
        <v>-4.319108E-2</v>
      </c>
      <c r="U7726">
        <v>3.0689389999999999</v>
      </c>
      <c r="V7726">
        <v>-0.114661</v>
      </c>
      <c r="W7726">
        <v>0.1965875</v>
      </c>
      <c r="X7726">
        <v>0.97375880000000004</v>
      </c>
      <c r="Y7726">
        <v>-3.2547520000000001E-3</v>
      </c>
      <c r="Z7726">
        <v>-9.9272750000000006E-4</v>
      </c>
      <c r="AA7726">
        <v>0.99999420000000006</v>
      </c>
      <c r="AB7726">
        <v>28</v>
      </c>
      <c r="AC7726">
        <v>6.4500999999999902</v>
      </c>
      <c r="AD7726">
        <v>-1.112846029902</v>
      </c>
      <c r="AE7726">
        <v>78.799710000000005</v>
      </c>
      <c r="AF7726">
        <v>-0.25613525375278101</v>
      </c>
      <c r="AG7726">
        <v>-1.112846029902</v>
      </c>
      <c r="AH7726">
        <v>79.047178090791107</v>
      </c>
      <c r="AI7726">
        <v>90.806566859188095</v>
      </c>
      <c r="AJ7726">
        <v>90.185653909702197</v>
      </c>
      <c r="AK7726">
        <v>79.055426098856302</v>
      </c>
      <c r="AL7726">
        <v>78.662524081671805</v>
      </c>
      <c r="AM7726">
        <v>96.715706620198006</v>
      </c>
      <c r="AN7726">
        <v>0.99999999532734496</v>
      </c>
    </row>
    <row r="7727" spans="1:40" x14ac:dyDescent="0.25">
      <c r="A7727" t="str">
        <f>"20190304154944322"</f>
        <v>20190304154944322</v>
      </c>
      <c r="B7727" t="str">
        <f>"1551685784315090"</f>
        <v>1551685784315090</v>
      </c>
      <c r="C7727" t="s">
        <v>40</v>
      </c>
      <c r="D7727">
        <v>4.5385749999999998</v>
      </c>
      <c r="E7727">
        <v>0.50789680000000004</v>
      </c>
      <c r="F7727" t="s">
        <v>44</v>
      </c>
      <c r="G7727">
        <v>-187.999</v>
      </c>
      <c r="H7727" s="1">
        <v>-3.2523350000000001E-6</v>
      </c>
      <c r="I7727">
        <v>-3.613308</v>
      </c>
      <c r="J7727">
        <v>-187.92959999999999</v>
      </c>
      <c r="K7727">
        <v>1.112843</v>
      </c>
      <c r="L7727">
        <v>-33.668460000000003</v>
      </c>
      <c r="M7727">
        <v>8.2196669999999999E-2</v>
      </c>
      <c r="N7727">
        <v>-1.301501E-2</v>
      </c>
      <c r="O7727">
        <v>0.9965311</v>
      </c>
      <c r="P7727">
        <v>-3.186307E-2</v>
      </c>
      <c r="Q7727">
        <v>0.18417829999999999</v>
      </c>
      <c r="R7727">
        <v>0.98237629999999998</v>
      </c>
      <c r="S7727">
        <v>-4.8675539999999996E-3</v>
      </c>
      <c r="T7727">
        <v>-0.11277760000000001</v>
      </c>
      <c r="U7727">
        <v>3.0748600000000001</v>
      </c>
      <c r="V7727">
        <v>-0.113419699999999</v>
      </c>
      <c r="W7727">
        <v>0.19634860000000001</v>
      </c>
      <c r="X7727">
        <v>0.97395240000000005</v>
      </c>
      <c r="Y7727">
        <v>-8.3753540000000001E-2</v>
      </c>
      <c r="Z7727">
        <v>-2.3392019999999999E-2</v>
      </c>
      <c r="AA7727">
        <v>0.99621190000000004</v>
      </c>
      <c r="AB7727">
        <v>28</v>
      </c>
      <c r="AC7727">
        <v>-6.9400000000030104E-2</v>
      </c>
      <c r="AD7727">
        <v>-1.112846252335</v>
      </c>
      <c r="AE7727">
        <v>30.055152</v>
      </c>
      <c r="AF7727">
        <v>-2.53633064320324</v>
      </c>
      <c r="AG7727">
        <v>-1.112846252335</v>
      </c>
      <c r="AH7727">
        <v>29.9067255927099</v>
      </c>
      <c r="AI7727">
        <v>92.123409803522705</v>
      </c>
      <c r="AJ7727">
        <v>94.847542877728003</v>
      </c>
      <c r="AK7727">
        <v>30.034707183367701</v>
      </c>
      <c r="AL7727">
        <v>78.676484625651398</v>
      </c>
      <c r="AM7727">
        <v>96.642348171593198</v>
      </c>
      <c r="AN7727">
        <v>1.0000000392679</v>
      </c>
    </row>
    <row r="7728" spans="1:40" x14ac:dyDescent="0.25">
      <c r="A7728" t="str">
        <f>"20190304154944343"</f>
        <v>20190304154944343</v>
      </c>
      <c r="B7728" t="str">
        <f>"1551685784334611"</f>
        <v>1551685784334611</v>
      </c>
      <c r="C7728" t="s">
        <v>40</v>
      </c>
      <c r="D7728">
        <v>4.561172</v>
      </c>
      <c r="E7728">
        <v>0.50775309999999996</v>
      </c>
      <c r="F7728" t="s">
        <v>44</v>
      </c>
      <c r="G7728">
        <v>-188.1497</v>
      </c>
      <c r="H7728" s="1">
        <v>-2.071884E-6</v>
      </c>
      <c r="I7728">
        <v>-6.3026650000000002</v>
      </c>
      <c r="J7728">
        <v>-187.91030000000001</v>
      </c>
      <c r="K7728">
        <v>1.1128389999999999</v>
      </c>
      <c r="L7728">
        <v>-33.402159999999903</v>
      </c>
      <c r="M7728">
        <v>7.9769439999999997E-2</v>
      </c>
      <c r="N7728">
        <v>-1.300655E-2</v>
      </c>
      <c r="O7728">
        <v>0.99672850000000002</v>
      </c>
      <c r="P7728">
        <v>-3.3367790000000001E-2</v>
      </c>
      <c r="Q7728">
        <v>0.18368570000000001</v>
      </c>
      <c r="R7728">
        <v>0.98241849999999997</v>
      </c>
      <c r="S7728">
        <v>-2.4749759999999999E-2</v>
      </c>
      <c r="T7728">
        <v>-0.12510669999999999</v>
      </c>
      <c r="U7728">
        <v>3.0764770000000001</v>
      </c>
      <c r="V7728">
        <v>-0.11254119999999999</v>
      </c>
      <c r="W7728">
        <v>0.19585530000000001</v>
      </c>
      <c r="X7728">
        <v>0.97415359999999995</v>
      </c>
      <c r="Y7728">
        <v>-8.7758729999999993E-2</v>
      </c>
      <c r="Z7728">
        <v>-2.7355319999999999E-2</v>
      </c>
      <c r="AA7728">
        <v>0.99576609999999999</v>
      </c>
      <c r="AB7728">
        <v>28</v>
      </c>
      <c r="AC7728">
        <v>-0.23939999999998901</v>
      </c>
      <c r="AD7728">
        <v>-1.1128410718839901</v>
      </c>
      <c r="AE7728">
        <v>27.099494999999902</v>
      </c>
      <c r="AF7728">
        <v>-2.3964903866835598</v>
      </c>
      <c r="AG7728">
        <v>-1.1128410718839901</v>
      </c>
      <c r="AH7728">
        <v>26.948584295740499</v>
      </c>
      <c r="AI7728">
        <v>92.355399504118495</v>
      </c>
      <c r="AJ7728">
        <v>95.081845282996895</v>
      </c>
      <c r="AK7728">
        <v>27.077809678210201</v>
      </c>
      <c r="AL7728">
        <v>78.705308161778106</v>
      </c>
      <c r="AM7728">
        <v>96.590004491782594</v>
      </c>
      <c r="AN7728">
        <v>1.0000000283142401</v>
      </c>
    </row>
    <row r="7729" spans="1:40" x14ac:dyDescent="0.25">
      <c r="A7729" t="str">
        <f>"20190304154944364"</f>
        <v>20190304154944364</v>
      </c>
      <c r="B7729" t="str">
        <f>"1551685784355106"</f>
        <v>1551685784355106</v>
      </c>
      <c r="C7729" t="s">
        <v>40</v>
      </c>
      <c r="D7729">
        <v>4.7708870000000001</v>
      </c>
      <c r="E7729">
        <v>0.50851480000000004</v>
      </c>
      <c r="F7729" t="s">
        <v>44</v>
      </c>
      <c r="G7729">
        <v>-188.18729999999999</v>
      </c>
      <c r="H7729" s="1">
        <v>-2.0862130000000002E-6</v>
      </c>
      <c r="I7729">
        <v>-6.25373</v>
      </c>
      <c r="J7729">
        <v>-187.89169999999999</v>
      </c>
      <c r="K7729">
        <v>1.1128469999999999</v>
      </c>
      <c r="L7729">
        <v>-33.135930000000002</v>
      </c>
      <c r="M7729">
        <v>7.7339249999999998E-2</v>
      </c>
      <c r="N7729">
        <v>-1.299906E-2</v>
      </c>
      <c r="O7729">
        <v>0.99692009999999998</v>
      </c>
      <c r="P7729">
        <v>-3.4837090000000001E-2</v>
      </c>
      <c r="Q7729">
        <v>0.18357200000000001</v>
      </c>
      <c r="R7729">
        <v>0.98238879999999995</v>
      </c>
      <c r="S7729">
        <v>-3.1387329999999998E-2</v>
      </c>
      <c r="T7729">
        <v>-0.1260966</v>
      </c>
      <c r="U7729">
        <v>3.0762019999999999</v>
      </c>
      <c r="V7729">
        <v>-0.1116212</v>
      </c>
      <c r="W7729">
        <v>0.19574030000000001</v>
      </c>
      <c r="X7729">
        <v>0.9742826</v>
      </c>
      <c r="Y7729">
        <v>-8.747916E-2</v>
      </c>
      <c r="Z7729">
        <v>-2.7696289999999998E-2</v>
      </c>
      <c r="AA7729">
        <v>0.99578120000000003</v>
      </c>
      <c r="AB7729">
        <v>28</v>
      </c>
      <c r="AC7729">
        <v>-0.29560000000000702</v>
      </c>
      <c r="AD7729">
        <v>-1.1128490862129901</v>
      </c>
      <c r="AE7729">
        <v>26.882200000000001</v>
      </c>
      <c r="AF7729">
        <v>-2.3698784745993602</v>
      </c>
      <c r="AG7729">
        <v>-1.1128490862129901</v>
      </c>
      <c r="AH7729">
        <v>26.732998667979501</v>
      </c>
      <c r="AI7729">
        <v>92.374447968054</v>
      </c>
      <c r="AJ7729">
        <v>95.066023598349005</v>
      </c>
      <c r="AK7729">
        <v>26.860900484817101</v>
      </c>
      <c r="AL7729">
        <v>78.712027716693697</v>
      </c>
      <c r="AM7729">
        <v>96.535742761021993</v>
      </c>
      <c r="AN7729">
        <v>1.00000007099814</v>
      </c>
    </row>
    <row r="7730" spans="1:40" x14ac:dyDescent="0.25">
      <c r="A7730" t="str">
        <f>"20190304154944387"</f>
        <v>20190304154944387</v>
      </c>
      <c r="B7730" t="str">
        <f>"1551685784385362"</f>
        <v>1551685784385362</v>
      </c>
      <c r="C7730" t="s">
        <v>40</v>
      </c>
      <c r="D7730">
        <v>4.5462699999999998</v>
      </c>
      <c r="E7730">
        <v>0.50831459999999995</v>
      </c>
      <c r="F7730" t="s">
        <v>44</v>
      </c>
      <c r="G7730">
        <v>-188.18989999999999</v>
      </c>
      <c r="H7730" s="1">
        <v>-3.47886E-6</v>
      </c>
      <c r="I7730">
        <v>-3.0063580000000001</v>
      </c>
      <c r="J7730">
        <v>-187.87360000000001</v>
      </c>
      <c r="K7730">
        <v>1.112846</v>
      </c>
      <c r="L7730">
        <v>-32.867579999999997</v>
      </c>
      <c r="M7730">
        <v>7.4888830000000003E-2</v>
      </c>
      <c r="N7730">
        <v>-1.299228E-2</v>
      </c>
      <c r="O7730">
        <v>0.99710730000000003</v>
      </c>
      <c r="P7730">
        <v>-3.6951640000000001E-2</v>
      </c>
      <c r="Q7730">
        <v>0.18318319999999999</v>
      </c>
      <c r="R7730">
        <v>0.98238409999999998</v>
      </c>
      <c r="S7730">
        <v>-3.042603E-2</v>
      </c>
      <c r="T7730">
        <v>-0.1135365</v>
      </c>
      <c r="U7730">
        <v>3.0739139999999998</v>
      </c>
      <c r="V7730">
        <v>-0.1113253</v>
      </c>
      <c r="W7730">
        <v>0.19534840000000001</v>
      </c>
      <c r="X7730">
        <v>0.97439500000000001</v>
      </c>
      <c r="Y7730">
        <v>-8.4730959999999994E-2</v>
      </c>
      <c r="Z7730">
        <v>-2.369622E-2</v>
      </c>
      <c r="AA7730">
        <v>0.99612210000000001</v>
      </c>
      <c r="AB7730">
        <v>28</v>
      </c>
      <c r="AC7730">
        <v>-0.31629999999998398</v>
      </c>
      <c r="AD7730">
        <v>-1.1128494788600001</v>
      </c>
      <c r="AE7730">
        <v>29.861222000000001</v>
      </c>
      <c r="AF7730">
        <v>-2.5483333956118899</v>
      </c>
      <c r="AG7730">
        <v>-1.1128494788600001</v>
      </c>
      <c r="AH7730">
        <v>29.7124031998822</v>
      </c>
      <c r="AI7730">
        <v>92.137117180590906</v>
      </c>
      <c r="AJ7730">
        <v>94.902071021187794</v>
      </c>
      <c r="AK7730">
        <v>29.842240883857201</v>
      </c>
      <c r="AL7730">
        <v>78.734922769672593</v>
      </c>
      <c r="AM7730">
        <v>96.517820809846597</v>
      </c>
      <c r="AN7730">
        <v>0.99999996791382395</v>
      </c>
    </row>
    <row r="7731" spans="1:40" x14ac:dyDescent="0.25">
      <c r="A7731" t="str">
        <f>"20190304154944410"</f>
        <v>20190304154944410</v>
      </c>
      <c r="B7731" t="str">
        <f>"1551685784404415"</f>
        <v>1551685784404415</v>
      </c>
      <c r="C7731" t="s">
        <v>40</v>
      </c>
      <c r="D7731">
        <v>4.5686540000000004</v>
      </c>
      <c r="E7731">
        <v>0.50831249999999994</v>
      </c>
      <c r="F7731" t="s">
        <v>44</v>
      </c>
      <c r="G7731">
        <v>-188.2482</v>
      </c>
      <c r="H7731" s="1">
        <v>-3.7488360000000002E-6</v>
      </c>
      <c r="I7731">
        <v>-2.3529170000000001</v>
      </c>
      <c r="J7731">
        <v>-187.8545</v>
      </c>
      <c r="K7731">
        <v>1.112832</v>
      </c>
      <c r="L7731">
        <v>-32.574649999999998</v>
      </c>
      <c r="M7731">
        <v>7.2218870000000004E-2</v>
      </c>
      <c r="N7731">
        <v>-1.298555E-2</v>
      </c>
      <c r="O7731">
        <v>0.99730430000000003</v>
      </c>
      <c r="P7731">
        <v>-3.8989459999999997E-2</v>
      </c>
      <c r="Q7731">
        <v>0.18020430000000001</v>
      </c>
      <c r="R7731">
        <v>0.98285619999999996</v>
      </c>
      <c r="S7731">
        <v>-3.7734990000000003E-2</v>
      </c>
      <c r="T7731">
        <v>-0.1120802</v>
      </c>
      <c r="U7731">
        <v>3.0732729999999999</v>
      </c>
      <c r="V7731">
        <v>-0.1107597</v>
      </c>
      <c r="W7731">
        <v>0.19237509999999999</v>
      </c>
      <c r="X7731">
        <v>0.9750508</v>
      </c>
      <c r="Y7731">
        <v>-8.4434419999999996E-2</v>
      </c>
      <c r="Z7731">
        <v>-2.3250170000000001E-2</v>
      </c>
      <c r="AA7731">
        <v>0.99615779999999998</v>
      </c>
      <c r="AB7731">
        <v>28</v>
      </c>
      <c r="AC7731">
        <v>-0.393699999999995</v>
      </c>
      <c r="AD7731">
        <v>-1.1128357488359999</v>
      </c>
      <c r="AE7731">
        <v>30.221733</v>
      </c>
      <c r="AF7731">
        <v>-2.5719485076302702</v>
      </c>
      <c r="AG7731">
        <v>-1.1128357488359999</v>
      </c>
      <c r="AH7731">
        <v>30.073600495130499</v>
      </c>
      <c r="AI7731">
        <v>92.111490716665699</v>
      </c>
      <c r="AJ7731">
        <v>94.888144206197097</v>
      </c>
      <c r="AK7731">
        <v>30.2038866583508</v>
      </c>
      <c r="AL7731">
        <v>78.908574861408994</v>
      </c>
      <c r="AM7731">
        <v>96.480664571784402</v>
      </c>
      <c r="AN7731">
        <v>0.99999997641236904</v>
      </c>
    </row>
    <row r="7732" spans="1:40" x14ac:dyDescent="0.25">
      <c r="A7732" t="str">
        <f>"20190304154944432"</f>
        <v>20190304154944432</v>
      </c>
      <c r="B7732" t="str">
        <f>"1551685784424911"</f>
        <v>1551685784424911</v>
      </c>
      <c r="C7732" t="s">
        <v>40</v>
      </c>
      <c r="D7732">
        <v>4.5265129999999996</v>
      </c>
      <c r="E7732">
        <v>0.50871709999999903</v>
      </c>
      <c r="F7732" t="s">
        <v>44</v>
      </c>
      <c r="G7732">
        <v>-188.251</v>
      </c>
      <c r="H7732" s="1">
        <v>-2.9215709999999999E-6</v>
      </c>
      <c r="I7732">
        <v>-4.2801439999999999</v>
      </c>
      <c r="J7732">
        <v>-187.8381</v>
      </c>
      <c r="K7732">
        <v>1.1128309999999999</v>
      </c>
      <c r="L7732">
        <v>-32.312010000000001</v>
      </c>
      <c r="M7732">
        <v>6.9838979999999995E-2</v>
      </c>
      <c r="N7732">
        <v>-1.297999E-2</v>
      </c>
      <c r="O7732">
        <v>0.99747379999999997</v>
      </c>
      <c r="P7732">
        <v>-4.0518110000000003E-2</v>
      </c>
      <c r="Q7732">
        <v>0.17957879999999901</v>
      </c>
      <c r="R7732">
        <v>0.98290880000000003</v>
      </c>
      <c r="S7732">
        <v>-4.3060300000000003E-2</v>
      </c>
      <c r="T7732">
        <v>-0.1208539</v>
      </c>
      <c r="U7732">
        <v>3.072784</v>
      </c>
      <c r="V7732">
        <v>-0.109948</v>
      </c>
      <c r="W7732">
        <v>0.1917537</v>
      </c>
      <c r="X7732">
        <v>0.9752651</v>
      </c>
      <c r="Y7732">
        <v>-8.3782510000000004E-2</v>
      </c>
      <c r="Z7732">
        <v>-2.610546E-2</v>
      </c>
      <c r="AA7732">
        <v>0.99614199999999997</v>
      </c>
      <c r="AB7732">
        <v>28</v>
      </c>
      <c r="AC7732">
        <v>-0.41289999999997901</v>
      </c>
      <c r="AD7732">
        <v>-1.1128339215709999</v>
      </c>
      <c r="AE7732">
        <v>28.031865999999901</v>
      </c>
      <c r="AF7732">
        <v>-2.3660454815348899</v>
      </c>
      <c r="AG7732">
        <v>-1.1128339215709999</v>
      </c>
      <c r="AH7732">
        <v>27.890623327053699</v>
      </c>
      <c r="AI7732">
        <v>92.2767165810547</v>
      </c>
      <c r="AJ7732">
        <v>94.848963500708294</v>
      </c>
      <c r="AK7732">
        <v>28.0129155949409</v>
      </c>
      <c r="AL7732">
        <v>78.944854488334599</v>
      </c>
      <c r="AM7732">
        <v>96.432168987201393</v>
      </c>
      <c r="AN7732">
        <v>1.00000002972284</v>
      </c>
    </row>
    <row r="7733" spans="1:40" x14ac:dyDescent="0.25">
      <c r="A7733" t="str">
        <f>"20190304154944455"</f>
        <v>20190304154944455</v>
      </c>
      <c r="B7733" t="str">
        <f>"1551685784444433"</f>
        <v>1551685784444433</v>
      </c>
      <c r="C7733" t="s">
        <v>40</v>
      </c>
      <c r="D7733">
        <v>3.7490649999999999</v>
      </c>
      <c r="E7733">
        <v>0.50928490000000004</v>
      </c>
      <c r="F7733" t="s">
        <v>44</v>
      </c>
      <c r="G7733">
        <v>-188.25489999999999</v>
      </c>
      <c r="H7733" s="1">
        <v>-3.2825049999999998E-6</v>
      </c>
      <c r="I7733">
        <v>-3.4372050000000001</v>
      </c>
      <c r="J7733">
        <v>-187.821</v>
      </c>
      <c r="K7733">
        <v>1.1128290000000001</v>
      </c>
      <c r="L7733">
        <v>-32.026980000000002</v>
      </c>
      <c r="M7733">
        <v>6.7284189999999994E-2</v>
      </c>
      <c r="N7733">
        <v>-1.2974299999999999E-2</v>
      </c>
      <c r="O7733">
        <v>0.99764949999999997</v>
      </c>
      <c r="P7733">
        <v>-4.0402800000000003E-2</v>
      </c>
      <c r="Q7733">
        <v>0.1814094</v>
      </c>
      <c r="R7733">
        <v>0.98257729999999999</v>
      </c>
      <c r="S7733">
        <v>-4.4342039999999999E-2</v>
      </c>
      <c r="T7733">
        <v>-0.11839330000000001</v>
      </c>
      <c r="U7733">
        <v>3.0719599999999998</v>
      </c>
      <c r="V7733">
        <v>-0.10730480000000001</v>
      </c>
      <c r="W7733">
        <v>0.19359489999999999</v>
      </c>
      <c r="X7733">
        <v>0.9751957</v>
      </c>
      <c r="Y7733">
        <v>-8.1651050000000003E-2</v>
      </c>
      <c r="Z7733">
        <v>-2.5339980000000002E-2</v>
      </c>
      <c r="AA7733">
        <v>0.99633879999999997</v>
      </c>
      <c r="AB7733">
        <v>28</v>
      </c>
      <c r="AC7733">
        <v>-0.43389999999999401</v>
      </c>
      <c r="AD7733">
        <v>-1.1128322825049899</v>
      </c>
      <c r="AE7733">
        <v>28.589774999999999</v>
      </c>
      <c r="AF7733">
        <v>-2.35315389759882</v>
      </c>
      <c r="AG7733">
        <v>-1.1128322825049899</v>
      </c>
      <c r="AH7733">
        <v>28.452679932004202</v>
      </c>
      <c r="AI7733">
        <v>92.232179648331794</v>
      </c>
      <c r="AJ7733">
        <v>94.727837276332295</v>
      </c>
      <c r="AK7733">
        <v>28.571501960307302</v>
      </c>
      <c r="AL7733">
        <v>78.837346524301907</v>
      </c>
      <c r="AM7733">
        <v>96.279230003237004</v>
      </c>
      <c r="AN7733">
        <v>0.99999997935376905</v>
      </c>
    </row>
    <row r="7734" spans="1:40" x14ac:dyDescent="0.25">
      <c r="A7734" t="str">
        <f>"20190304154944512"</f>
        <v>20190304154944512</v>
      </c>
      <c r="B7734" t="str">
        <f>"1551685784504473"</f>
        <v>1551685784504473</v>
      </c>
      <c r="C7734" t="s">
        <v>40</v>
      </c>
      <c r="D7734">
        <v>4.6219890000000001</v>
      </c>
      <c r="E7734">
        <v>0.51059290000000002</v>
      </c>
      <c r="F7734" t="s">
        <v>44</v>
      </c>
      <c r="G7734">
        <v>-188.20920000000001</v>
      </c>
      <c r="H7734" s="1">
        <v>-3.6438690000000002E-6</v>
      </c>
      <c r="I7734">
        <v>-2.6137389999999998</v>
      </c>
      <c r="J7734">
        <v>-187.7818</v>
      </c>
      <c r="K7734">
        <v>1.1127769999999999</v>
      </c>
      <c r="L7734">
        <v>-31.326319999999999</v>
      </c>
      <c r="M7734">
        <v>6.1140460000000001E-2</v>
      </c>
      <c r="N7734">
        <v>-1.296197E-2</v>
      </c>
      <c r="O7734">
        <v>0.99804499999999996</v>
      </c>
      <c r="P7734">
        <v>-4.2426569999999997E-2</v>
      </c>
      <c r="Q7734">
        <v>0.18571070000000001</v>
      </c>
      <c r="R7734">
        <v>0.98168809999999995</v>
      </c>
      <c r="S7734">
        <v>-4.0557860000000001E-2</v>
      </c>
      <c r="T7734">
        <v>-0.1162651</v>
      </c>
      <c r="U7734">
        <v>3.0729980000000001</v>
      </c>
      <c r="V7734">
        <v>-0.1032373</v>
      </c>
      <c r="W7734">
        <v>0.19791420000000001</v>
      </c>
      <c r="X7734">
        <v>0.97476770000000001</v>
      </c>
      <c r="Y7734">
        <v>-7.4284009999999998E-2</v>
      </c>
      <c r="Z7734">
        <v>-2.4686280000000001E-2</v>
      </c>
      <c r="AA7734">
        <v>0.99693160000000003</v>
      </c>
      <c r="AB7734">
        <v>28</v>
      </c>
      <c r="AC7734">
        <v>-0.427400000000005</v>
      </c>
      <c r="AD7734">
        <v>-1.112780643869</v>
      </c>
      <c r="AE7734">
        <v>28.712581</v>
      </c>
      <c r="AF7734">
        <v>-2.1789760512028602</v>
      </c>
      <c r="AG7734">
        <v>-1.112780643869</v>
      </c>
      <c r="AH7734">
        <v>28.5897892202135</v>
      </c>
      <c r="AI7734">
        <v>92.222519775105695</v>
      </c>
      <c r="AJ7734">
        <v>94.358382496483401</v>
      </c>
      <c r="AK7734">
        <v>28.694289763806999</v>
      </c>
      <c r="AL7734">
        <v>78.584986668167005</v>
      </c>
      <c r="AM7734">
        <v>96.045638479118196</v>
      </c>
      <c r="AN7734">
        <v>1.0000000198181</v>
      </c>
    </row>
    <row r="7735" spans="1:40" x14ac:dyDescent="0.25">
      <c r="A7735" t="str">
        <f>"20190304154944577"</f>
        <v>20190304154944577</v>
      </c>
      <c r="B7735" t="str">
        <f>"1551685784574746"</f>
        <v>1551685784574746</v>
      </c>
      <c r="C7735" t="s">
        <v>40</v>
      </c>
      <c r="D7735">
        <v>4.5597949999999896</v>
      </c>
      <c r="E7735">
        <v>0.51108869999999995</v>
      </c>
      <c r="F7735" t="s">
        <v>44</v>
      </c>
      <c r="G7735">
        <v>-188.12950000000001</v>
      </c>
      <c r="H7735" s="1">
        <v>-3.513327E-6</v>
      </c>
      <c r="I7735">
        <v>-2.9509799999999999</v>
      </c>
      <c r="J7735">
        <v>-187.7415</v>
      </c>
      <c r="K7735">
        <v>1.1126450000000001</v>
      </c>
      <c r="L7735">
        <v>-30.514279999999999</v>
      </c>
      <c r="M7735">
        <v>5.4492220000000001E-2</v>
      </c>
      <c r="N7735">
        <v>-1.2947749999999999E-2</v>
      </c>
      <c r="O7735">
        <v>0.99843029999999999</v>
      </c>
      <c r="P7735">
        <v>-4.3453569999999997E-2</v>
      </c>
      <c r="Q7735">
        <v>0.1874894</v>
      </c>
      <c r="R7735">
        <v>0.98130499999999998</v>
      </c>
      <c r="S7735">
        <v>-3.7704469999999997E-2</v>
      </c>
      <c r="T7735">
        <v>-0.1206748</v>
      </c>
      <c r="U7735">
        <v>3.0771480000000002</v>
      </c>
      <c r="V7735">
        <v>-9.7670789999999993E-2</v>
      </c>
      <c r="W7735">
        <v>0.19973850000000001</v>
      </c>
      <c r="X7735">
        <v>0.97496919999999998</v>
      </c>
      <c r="Y7735">
        <v>-6.669986E-2</v>
      </c>
      <c r="Z7735">
        <v>-2.61085E-2</v>
      </c>
      <c r="AA7735">
        <v>0.99743150000000003</v>
      </c>
      <c r="AB7735">
        <v>28</v>
      </c>
      <c r="AC7735">
        <v>-0.38800000000000501</v>
      </c>
      <c r="AD7735">
        <v>-1.1126485133270001</v>
      </c>
      <c r="AE7735">
        <v>27.563300000000002</v>
      </c>
      <c r="AF7735">
        <v>-1.8864612772506399</v>
      </c>
      <c r="AG7735">
        <v>-1.1126485133270001</v>
      </c>
      <c r="AH7735">
        <v>27.456463335289602</v>
      </c>
      <c r="AI7735">
        <v>92.315138115411401</v>
      </c>
      <c r="AJ7735">
        <v>93.930465012116301</v>
      </c>
      <c r="AK7735">
        <v>27.543676256935601</v>
      </c>
      <c r="AL7735">
        <v>78.478332310854995</v>
      </c>
      <c r="AM7735">
        <v>95.720709568967493</v>
      </c>
      <c r="AN7735">
        <v>0.99999999627505698</v>
      </c>
    </row>
    <row r="7736" spans="1:40" x14ac:dyDescent="0.25">
      <c r="A7736" t="str">
        <f>"20190304154944599"</f>
        <v>20190304154944599</v>
      </c>
      <c r="B7736" t="str">
        <f>"1551685784595242"</f>
        <v>1551685784595242</v>
      </c>
      <c r="C7736" t="s">
        <v>40</v>
      </c>
      <c r="D7736">
        <v>4.5198260000000001</v>
      </c>
      <c r="E7736">
        <v>0.51136939999999997</v>
      </c>
      <c r="F7736" t="s">
        <v>44</v>
      </c>
      <c r="G7736">
        <v>-188.09639999999999</v>
      </c>
      <c r="H7736" s="1">
        <v>-7.7145669999999999E-7</v>
      </c>
      <c r="I7736">
        <v>0.42665700000000001</v>
      </c>
      <c r="J7736">
        <v>-187.72919999999999</v>
      </c>
      <c r="K7736">
        <v>1.112603</v>
      </c>
      <c r="L7736">
        <v>-30.24765</v>
      </c>
      <c r="M7736">
        <v>5.2429910000000003E-2</v>
      </c>
      <c r="N7736">
        <v>-1.2943339999999999E-2</v>
      </c>
      <c r="O7736">
        <v>0.99854069999999995</v>
      </c>
      <c r="P7736">
        <v>-4.3650050000000003E-2</v>
      </c>
      <c r="Q7736">
        <v>0.18950040000000001</v>
      </c>
      <c r="R7736">
        <v>0.9809099</v>
      </c>
      <c r="S7736">
        <v>-3.5293579999999998E-2</v>
      </c>
      <c r="T7736">
        <v>-0.1106398</v>
      </c>
      <c r="U7736">
        <v>3.076721</v>
      </c>
      <c r="V7736">
        <v>-9.5811400000000005E-2</v>
      </c>
      <c r="W7736">
        <v>0.20176169999999999</v>
      </c>
      <c r="X7736">
        <v>0.97473710000000002</v>
      </c>
      <c r="Y7736">
        <v>-6.3862230000000006E-2</v>
      </c>
      <c r="Z7736">
        <v>-2.2883190000000001E-2</v>
      </c>
      <c r="AA7736">
        <v>0.99769629999999998</v>
      </c>
      <c r="AB7736">
        <v>28</v>
      </c>
      <c r="AC7736">
        <v>-0.36719999999999597</v>
      </c>
      <c r="AD7736">
        <v>-1.1126037714566901</v>
      </c>
      <c r="AE7736">
        <v>30.674306999999999</v>
      </c>
      <c r="AF7736">
        <v>-1.9724861176116999</v>
      </c>
      <c r="AG7736">
        <v>-1.1126037714566901</v>
      </c>
      <c r="AH7736">
        <v>30.572640489609</v>
      </c>
      <c r="AI7736">
        <v>92.079875668428798</v>
      </c>
      <c r="AJ7736">
        <v>93.691493671012594</v>
      </c>
      <c r="AK7736">
        <v>30.656401209915501</v>
      </c>
      <c r="AL7736">
        <v>78.360002740715501</v>
      </c>
      <c r="AM7736">
        <v>95.613832503766801</v>
      </c>
      <c r="AN7736">
        <v>1.0000000110366301</v>
      </c>
    </row>
    <row r="7737" spans="1:40" x14ac:dyDescent="0.25">
      <c r="A7737" t="str">
        <f>"20190304154944621"</f>
        <v>20190304154944621</v>
      </c>
      <c r="B7737" t="str">
        <f>"1551685784614762"</f>
        <v>1551685784614762</v>
      </c>
      <c r="C7737" t="s">
        <v>40</v>
      </c>
      <c r="D7737">
        <v>4.563034</v>
      </c>
      <c r="E7737">
        <v>0.51166040000000002</v>
      </c>
      <c r="F7737" t="s">
        <v>44</v>
      </c>
      <c r="G7737">
        <v>-188.08750000000001</v>
      </c>
      <c r="H7737" s="1">
        <v>-1.4781760000000001E-6</v>
      </c>
      <c r="I7737">
        <v>2.2876609999999999</v>
      </c>
      <c r="J7737">
        <v>-187.71700000000001</v>
      </c>
      <c r="K7737">
        <v>1.1125579999999999</v>
      </c>
      <c r="L7737">
        <v>-29.970949999999998</v>
      </c>
      <c r="M7737">
        <v>5.036065E-2</v>
      </c>
      <c r="N7737">
        <v>-1.2938959999999999E-2</v>
      </c>
      <c r="O7737">
        <v>0.99864730000000002</v>
      </c>
      <c r="P7737">
        <v>-4.4233149999999999E-2</v>
      </c>
      <c r="Q7737">
        <v>0.19234680000000001</v>
      </c>
      <c r="R7737">
        <v>0.98032960000000002</v>
      </c>
      <c r="S7737">
        <v>-3.388977E-2</v>
      </c>
      <c r="T7737">
        <v>-0.1052308</v>
      </c>
      <c r="U7737">
        <v>3.0772089999999999</v>
      </c>
      <c r="V7737">
        <v>-9.4324980000000003E-2</v>
      </c>
      <c r="W7737">
        <v>0.2046153</v>
      </c>
      <c r="X7737">
        <v>0.97428709999999996</v>
      </c>
      <c r="Y7737">
        <v>-6.1339119999999997E-2</v>
      </c>
      <c r="Z7737">
        <v>-2.1140740000000002E-2</v>
      </c>
      <c r="AA7737">
        <v>0.99789309999999998</v>
      </c>
      <c r="AB7737">
        <v>28</v>
      </c>
      <c r="AC7737">
        <v>-0.370499999999992</v>
      </c>
      <c r="AD7737">
        <v>-1.112559478176</v>
      </c>
      <c r="AE7737">
        <v>32.258611000000002</v>
      </c>
      <c r="AF7737">
        <v>-1.99236083392146</v>
      </c>
      <c r="AG7737">
        <v>-1.112559478176</v>
      </c>
      <c r="AH7737">
        <v>32.160761564371903</v>
      </c>
      <c r="AI7737">
        <v>91.977494478357798</v>
      </c>
      <c r="AJ7737">
        <v>93.544946179158003</v>
      </c>
      <c r="AK7737">
        <v>32.241617122678598</v>
      </c>
      <c r="AL7737">
        <v>78.193019847752495</v>
      </c>
      <c r="AM7737">
        <v>95.529820039114995</v>
      </c>
      <c r="AN7737">
        <v>0.99999998803625001</v>
      </c>
    </row>
    <row r="7738" spans="1:40" x14ac:dyDescent="0.25">
      <c r="A7738" t="str">
        <f>"20190304154944655"</f>
        <v>20190304154944655</v>
      </c>
      <c r="B7738" t="str">
        <f>"1551685784645017"</f>
        <v>1551685784645017</v>
      </c>
      <c r="C7738" t="s">
        <v>40</v>
      </c>
      <c r="D7738">
        <v>4.5492089999999896</v>
      </c>
      <c r="E7738">
        <v>0.51189640000000003</v>
      </c>
      <c r="F7738" t="s">
        <v>44</v>
      </c>
      <c r="G7738">
        <v>-188.11600000000001</v>
      </c>
      <c r="H7738" s="1">
        <v>-3.1918340000000002E-6</v>
      </c>
      <c r="I7738">
        <v>6.2940300000000002</v>
      </c>
      <c r="J7738">
        <v>-187.69929999999999</v>
      </c>
      <c r="K7738">
        <v>1.112473</v>
      </c>
      <c r="L7738">
        <v>-29.548649999999999</v>
      </c>
      <c r="M7738">
        <v>4.7344709999999998E-2</v>
      </c>
      <c r="N7738">
        <v>-1.2932340000000001E-2</v>
      </c>
      <c r="O7738">
        <v>0.99879490000000004</v>
      </c>
      <c r="P7738">
        <v>-4.4774809999999998E-2</v>
      </c>
      <c r="Q7738">
        <v>0.1929756</v>
      </c>
      <c r="R7738">
        <v>0.98018150000000004</v>
      </c>
      <c r="S7738">
        <v>-3.385925E-2</v>
      </c>
      <c r="T7738">
        <v>-9.440374E-2</v>
      </c>
      <c r="U7738">
        <v>3.0771790000000001</v>
      </c>
      <c r="V7738">
        <v>-9.1870080000000007E-2</v>
      </c>
      <c r="W7738">
        <v>0.20526639999999999</v>
      </c>
      <c r="X7738">
        <v>0.97438469999999999</v>
      </c>
      <c r="Y7738">
        <v>-5.8317960000000002E-2</v>
      </c>
      <c r="Z7738">
        <v>-1.7653450000000001E-2</v>
      </c>
      <c r="AA7738">
        <v>0.99814190000000003</v>
      </c>
      <c r="AB7738">
        <v>28</v>
      </c>
      <c r="AC7738">
        <v>-0.41669999999999102</v>
      </c>
      <c r="AD7738">
        <v>-1.112476191834</v>
      </c>
      <c r="AE7738">
        <v>35.842680000000001</v>
      </c>
      <c r="AF7738">
        <v>-2.1113022037181599</v>
      </c>
      <c r="AG7738">
        <v>-1.112476191834</v>
      </c>
      <c r="AH7738">
        <v>35.7483162758354</v>
      </c>
      <c r="AI7738">
        <v>91.779352537815299</v>
      </c>
      <c r="AJ7738">
        <v>93.3799731352495</v>
      </c>
      <c r="AK7738">
        <v>35.827884626781703</v>
      </c>
      <c r="AL7738">
        <v>78.154905408735502</v>
      </c>
      <c r="AM7738">
        <v>95.386222443897907</v>
      </c>
      <c r="AN7738">
        <v>0.99999997508112703</v>
      </c>
    </row>
    <row r="7739" spans="1:40" x14ac:dyDescent="0.25">
      <c r="A7739" t="str">
        <f>"20190304154944677"</f>
        <v>20190304154944677</v>
      </c>
      <c r="B7739" t="str">
        <f>"1551685784675274"</f>
        <v>1551685784675274</v>
      </c>
      <c r="C7739" t="s">
        <v>40</v>
      </c>
      <c r="D7739">
        <v>4.778607</v>
      </c>
      <c r="E7739">
        <v>0.51225429999999905</v>
      </c>
      <c r="F7739" t="s">
        <v>44</v>
      </c>
      <c r="G7739">
        <v>-188.1044</v>
      </c>
      <c r="H7739" s="1">
        <v>-3.3000120000000001E-6</v>
      </c>
      <c r="I7739">
        <v>6.5414000000000003</v>
      </c>
      <c r="J7739">
        <v>-187.68870000000001</v>
      </c>
      <c r="K7739">
        <v>1.112417</v>
      </c>
      <c r="L7739">
        <v>-29.280270000000002</v>
      </c>
      <c r="M7739">
        <v>4.5518790000000003E-2</v>
      </c>
      <c r="N7739">
        <v>-1.2928129999999999E-2</v>
      </c>
      <c r="O7739">
        <v>0.99887979999999998</v>
      </c>
      <c r="P7739">
        <v>-4.5484299999999998E-2</v>
      </c>
      <c r="Q7739">
        <v>0.19244810000000001</v>
      </c>
      <c r="R7739">
        <v>0.98025249999999997</v>
      </c>
      <c r="S7739">
        <v>-3.4545899999999997E-2</v>
      </c>
      <c r="T7739">
        <v>-9.4871999999999998E-2</v>
      </c>
      <c r="U7739">
        <v>3.0777589999999999</v>
      </c>
      <c r="V7739">
        <v>-9.0767700000000007E-2</v>
      </c>
      <c r="W7739">
        <v>0.20475309999999999</v>
      </c>
      <c r="X7739">
        <v>0.97459600000000002</v>
      </c>
      <c r="Y7739">
        <v>-5.6713920000000001E-2</v>
      </c>
      <c r="Z7739">
        <v>-1.7808859999999999E-2</v>
      </c>
      <c r="AA7739">
        <v>0.9982316</v>
      </c>
      <c r="AB7739">
        <v>28</v>
      </c>
      <c r="AC7739">
        <v>-0.41569999999998603</v>
      </c>
      <c r="AD7739">
        <v>-1.1124203000120001</v>
      </c>
      <c r="AE7739">
        <v>35.821669999999997</v>
      </c>
      <c r="AF7739">
        <v>-2.0439935295848501</v>
      </c>
      <c r="AG7739">
        <v>-1.1124203000120001</v>
      </c>
      <c r="AH7739">
        <v>35.731156653350602</v>
      </c>
      <c r="AI7739">
        <v>91.780308368235893</v>
      </c>
      <c r="AJ7739">
        <v>93.274025199297895</v>
      </c>
      <c r="AK7739">
        <v>35.806856106884702</v>
      </c>
      <c r="AL7739">
        <v>78.184953680388801</v>
      </c>
      <c r="AM7739">
        <v>95.320817468326396</v>
      </c>
      <c r="AN7739">
        <v>0.99999998526945</v>
      </c>
    </row>
    <row r="7740" spans="1:40" x14ac:dyDescent="0.25">
      <c r="A7740" t="str">
        <f>"20190304154944698"</f>
        <v>20190304154944698</v>
      </c>
      <c r="B7740" t="str">
        <f>"1551685784694793"</f>
        <v>1551685784694793</v>
      </c>
      <c r="C7740" t="s">
        <v>40</v>
      </c>
      <c r="D7740">
        <v>4.5831939999999998</v>
      </c>
      <c r="E7740">
        <v>0.51223299999999905</v>
      </c>
      <c r="F7740" t="s">
        <v>44</v>
      </c>
      <c r="G7740">
        <v>-188.072</v>
      </c>
      <c r="H7740" s="1">
        <v>-2.9089790000000001E-6</v>
      </c>
      <c r="I7740">
        <v>5.6165050000000001</v>
      </c>
      <c r="J7740">
        <v>-187.67869999999999</v>
      </c>
      <c r="K7740">
        <v>1.1123510000000001</v>
      </c>
      <c r="L7740">
        <v>-29.017060000000001</v>
      </c>
      <c r="M7740">
        <v>4.3782519999999998E-2</v>
      </c>
      <c r="N7740">
        <v>-1.292429E-2</v>
      </c>
      <c r="O7740">
        <v>0.99895750000000005</v>
      </c>
      <c r="P7740">
        <v>-4.6183689999999999E-2</v>
      </c>
      <c r="Q7740">
        <v>0.19101660000000001</v>
      </c>
      <c r="R7740">
        <v>0.98049969999999997</v>
      </c>
      <c r="S7740">
        <v>-3.381348E-2</v>
      </c>
      <c r="T7740">
        <v>-9.8122719999999997E-2</v>
      </c>
      <c r="U7740">
        <v>3.078125</v>
      </c>
      <c r="V7740">
        <v>-8.974907E-2</v>
      </c>
      <c r="W7740">
        <v>0.2033372</v>
      </c>
      <c r="X7740">
        <v>0.97498669999999998</v>
      </c>
      <c r="Y7740">
        <v>-5.4739610000000001E-2</v>
      </c>
      <c r="Z7740">
        <v>-1.8867080000000001E-2</v>
      </c>
      <c r="AA7740">
        <v>0.99832240000000005</v>
      </c>
      <c r="AB7740">
        <v>28</v>
      </c>
      <c r="AC7740">
        <v>-0.39330000000000997</v>
      </c>
      <c r="AD7740">
        <v>-1.112353908979</v>
      </c>
      <c r="AE7740">
        <v>34.633564999999997</v>
      </c>
      <c r="AF7740">
        <v>-1.9074268237724299</v>
      </c>
      <c r="AG7740">
        <v>-1.112353908979</v>
      </c>
      <c r="AH7740">
        <v>34.547494747662803</v>
      </c>
      <c r="AI7740">
        <v>91.841359441987194</v>
      </c>
      <c r="AJ7740">
        <v>93.160190395728904</v>
      </c>
      <c r="AK7740">
        <v>34.617986678122399</v>
      </c>
      <c r="AL7740">
        <v>78.267822257564902</v>
      </c>
      <c r="AM7740">
        <v>95.259345660721394</v>
      </c>
      <c r="AN7740">
        <v>0.99999998882329699</v>
      </c>
    </row>
    <row r="7741" spans="1:40" x14ac:dyDescent="0.25">
      <c r="A7741" t="str">
        <f>"20190304154944724"</f>
        <v>20190304154944724</v>
      </c>
      <c r="B7741" t="str">
        <f>"1551685784715290"</f>
        <v>1551685784715290</v>
      </c>
      <c r="C7741" t="s">
        <v>40</v>
      </c>
      <c r="D7741">
        <v>4.596673</v>
      </c>
      <c r="E7741">
        <v>0.51227929999999999</v>
      </c>
      <c r="F7741" t="s">
        <v>44</v>
      </c>
      <c r="G7741">
        <v>-188.071</v>
      </c>
      <c r="H7741" s="1">
        <v>-2.2297699999999998E-6</v>
      </c>
      <c r="I7741">
        <v>4.0328390000000001</v>
      </c>
      <c r="J7741">
        <v>-187.6677</v>
      </c>
      <c r="K7741">
        <v>1.112277</v>
      </c>
      <c r="L7741">
        <v>-28.716919999999998</v>
      </c>
      <c r="M7741">
        <v>4.187333E-2</v>
      </c>
      <c r="N7741">
        <v>-1.292023E-2</v>
      </c>
      <c r="O7741">
        <v>0.99903940000000002</v>
      </c>
      <c r="P7741">
        <v>-4.6993170000000001E-2</v>
      </c>
      <c r="Q7741">
        <v>0.18844250000000001</v>
      </c>
      <c r="R7741">
        <v>0.98095920000000003</v>
      </c>
      <c r="S7741">
        <v>-3.6544800000000002E-2</v>
      </c>
      <c r="T7741">
        <v>-0.10359980000000001</v>
      </c>
      <c r="U7741">
        <v>3.078125</v>
      </c>
      <c r="V7741">
        <v>-8.8673950000000001E-2</v>
      </c>
      <c r="W7741">
        <v>0.2007823</v>
      </c>
      <c r="X7741">
        <v>0.97561439999999999</v>
      </c>
      <c r="Y7741">
        <v>-5.371633E-2</v>
      </c>
      <c r="Z7741">
        <v>-2.0649089999999998E-2</v>
      </c>
      <c r="AA7741">
        <v>0.99834270000000003</v>
      </c>
      <c r="AB7741">
        <v>28</v>
      </c>
      <c r="AC7741">
        <v>-0.40330000000000099</v>
      </c>
      <c r="AD7741">
        <v>-1.1122792297699999</v>
      </c>
      <c r="AE7741">
        <v>32.749758999999997</v>
      </c>
      <c r="AF7741">
        <v>-1.7723580613601699</v>
      </c>
      <c r="AG7741">
        <v>-1.1122792297699999</v>
      </c>
      <c r="AH7741">
        <v>32.666466844572</v>
      </c>
      <c r="AI7741">
        <v>91.947281557110102</v>
      </c>
      <c r="AJ7741">
        <v>93.105605780512093</v>
      </c>
      <c r="AK7741">
        <v>32.733415255517897</v>
      </c>
      <c r="AL7741">
        <v>78.417290819031294</v>
      </c>
      <c r="AM7741">
        <v>95.193364847952395</v>
      </c>
      <c r="AN7741">
        <v>1.0000000294446201</v>
      </c>
    </row>
    <row r="7742" spans="1:40" x14ac:dyDescent="0.25">
      <c r="A7742" t="str">
        <f>"20190304154944744"</f>
        <v>20190304154944744</v>
      </c>
      <c r="B7742" t="str">
        <f>"1551685784734810"</f>
        <v>1551685784734810</v>
      </c>
      <c r="C7742" t="s">
        <v>40</v>
      </c>
      <c r="D7742">
        <v>4.596241</v>
      </c>
      <c r="E7742">
        <v>0.51233759999999995</v>
      </c>
      <c r="F7742" t="s">
        <v>44</v>
      </c>
      <c r="G7742">
        <v>-188.0574</v>
      </c>
      <c r="H7742" s="1">
        <v>-1.2136009999999999E-6</v>
      </c>
      <c r="I7742">
        <v>1.658498</v>
      </c>
      <c r="J7742">
        <v>-187.6583</v>
      </c>
      <c r="K7742">
        <v>1.112222</v>
      </c>
      <c r="L7742">
        <v>-28.446470000000001</v>
      </c>
      <c r="M7742">
        <v>4.021537E-2</v>
      </c>
      <c r="N7742">
        <v>-1.291336E-2</v>
      </c>
      <c r="O7742">
        <v>0.99910759999999998</v>
      </c>
      <c r="P7742">
        <v>-4.7533649999999997E-2</v>
      </c>
      <c r="Q7742">
        <v>0.18626429999999999</v>
      </c>
      <c r="R7742">
        <v>0.98134920000000003</v>
      </c>
      <c r="S7742">
        <v>-3.9489749999999997E-2</v>
      </c>
      <c r="T7742">
        <v>-0.1127094</v>
      </c>
      <c r="U7742">
        <v>3.0780029999999998</v>
      </c>
      <c r="V7742">
        <v>-8.757682E-2</v>
      </c>
      <c r="W7742">
        <v>0.19861760000000001</v>
      </c>
      <c r="X7742">
        <v>0.97615640000000004</v>
      </c>
      <c r="Y7742">
        <v>-5.3013079999999997E-2</v>
      </c>
      <c r="Z7742">
        <v>-2.361046E-2</v>
      </c>
      <c r="AA7742">
        <v>0.9983147</v>
      </c>
      <c r="AB7742">
        <v>28</v>
      </c>
      <c r="AC7742">
        <v>-0.39910000000000401</v>
      </c>
      <c r="AD7742">
        <v>-1.112223213601</v>
      </c>
      <c r="AE7742">
        <v>30.104968</v>
      </c>
      <c r="AF7742">
        <v>-1.60736691119718</v>
      </c>
      <c r="AG7742">
        <v>-1.112223213601</v>
      </c>
      <c r="AH7742">
        <v>30.023586145706599</v>
      </c>
      <c r="AI7742">
        <v>92.118519898675999</v>
      </c>
      <c r="AJ7742">
        <v>93.064507455216201</v>
      </c>
      <c r="AK7742">
        <v>30.087146656217701</v>
      </c>
      <c r="AL7742">
        <v>78.543868133311506</v>
      </c>
      <c r="AM7742">
        <v>95.126621285816896</v>
      </c>
      <c r="AN7742">
        <v>0.99999998384601596</v>
      </c>
    </row>
    <row r="7743" spans="1:40" x14ac:dyDescent="0.25">
      <c r="A7743" t="str">
        <f>"20190304154944767"</f>
        <v>20190304154944767</v>
      </c>
      <c r="B7743" t="str">
        <f>"1551685784765066"</f>
        <v>1551685784765066</v>
      </c>
      <c r="C7743" t="s">
        <v>40</v>
      </c>
      <c r="D7743">
        <v>4.5660480000000003</v>
      </c>
      <c r="E7743">
        <v>0.51284750000000001</v>
      </c>
      <c r="F7743" t="s">
        <v>44</v>
      </c>
      <c r="G7743">
        <v>-188.03960000000001</v>
      </c>
      <c r="H7743" s="1">
        <v>-5.4348269999999904E-7</v>
      </c>
      <c r="I7743">
        <v>-0.287620599999999</v>
      </c>
      <c r="J7743">
        <v>-187.64940000000001</v>
      </c>
      <c r="K7743">
        <v>1.1121799999999999</v>
      </c>
      <c r="L7743">
        <v>-28.18066</v>
      </c>
      <c r="M7743">
        <v>3.8635879999999997E-2</v>
      </c>
      <c r="N7743">
        <v>-1.290182E-2</v>
      </c>
      <c r="O7743">
        <v>0.99917009999999995</v>
      </c>
      <c r="P7743">
        <v>-4.8033640000000002E-2</v>
      </c>
      <c r="Q7743">
        <v>0.1854914</v>
      </c>
      <c r="R7743">
        <v>0.98147119999999999</v>
      </c>
      <c r="S7743">
        <v>-4.1687009999999997E-2</v>
      </c>
      <c r="T7743">
        <v>-0.1215779</v>
      </c>
      <c r="U7743">
        <v>3.0780639999999999</v>
      </c>
      <c r="V7743">
        <v>-8.6511539999999998E-2</v>
      </c>
      <c r="W7743">
        <v>0.1978483</v>
      </c>
      <c r="X7743">
        <v>0.97640760000000004</v>
      </c>
      <c r="Y7743">
        <v>-5.2145049999999998E-2</v>
      </c>
      <c r="Z7743">
        <v>-2.649611E-2</v>
      </c>
      <c r="AA7743">
        <v>0.99828799999999995</v>
      </c>
      <c r="AB7743">
        <v>28</v>
      </c>
      <c r="AC7743">
        <v>-0.390199999999993</v>
      </c>
      <c r="AD7743">
        <v>-1.1121805434826999</v>
      </c>
      <c r="AE7743">
        <v>27.893039399999999</v>
      </c>
      <c r="AF7743">
        <v>-1.4653411651180599</v>
      </c>
      <c r="AG7743">
        <v>-1.1121805434826999</v>
      </c>
      <c r="AH7743">
        <v>27.8129227740875</v>
      </c>
      <c r="AI7743">
        <v>92.286750039831205</v>
      </c>
      <c r="AJ7743">
        <v>93.0158754403882</v>
      </c>
      <c r="AK7743">
        <v>27.873694472187299</v>
      </c>
      <c r="AL7743">
        <v>78.588838386163303</v>
      </c>
      <c r="AM7743">
        <v>95.063291437557197</v>
      </c>
      <c r="AN7743">
        <v>0.99999999885191004</v>
      </c>
    </row>
    <row r="7744" spans="1:40" x14ac:dyDescent="0.25">
      <c r="A7744" t="str">
        <f>"20190304154944789"</f>
        <v>20190304154944789</v>
      </c>
      <c r="B7744" t="str">
        <f>"1551685784784585"</f>
        <v>1551685784784585</v>
      </c>
      <c r="C7744" t="s">
        <v>40</v>
      </c>
      <c r="D7744">
        <v>4.6125350000000003</v>
      </c>
      <c r="E7744">
        <v>0.51337840000000001</v>
      </c>
      <c r="F7744" t="s">
        <v>44</v>
      </c>
      <c r="G7744">
        <v>-188.01259999999999</v>
      </c>
      <c r="H7744" s="1">
        <v>-7.8481829999999998E-7</v>
      </c>
      <c r="I7744">
        <v>0.40040140000000002</v>
      </c>
      <c r="J7744">
        <v>-187.64089999999999</v>
      </c>
      <c r="K7744">
        <v>1.112144</v>
      </c>
      <c r="L7744">
        <v>-27.917719999999999</v>
      </c>
      <c r="M7744">
        <v>3.7112840000000001E-2</v>
      </c>
      <c r="N7744">
        <v>-1.288896E-2</v>
      </c>
      <c r="O7744">
        <v>0.99922789999999995</v>
      </c>
      <c r="P7744">
        <v>-4.7849549999999998E-2</v>
      </c>
      <c r="Q7744">
        <v>0.18522430000000001</v>
      </c>
      <c r="R7744">
        <v>0.98153060000000003</v>
      </c>
      <c r="S7744">
        <v>-3.9108280000000002E-2</v>
      </c>
      <c r="T7744">
        <v>-0.11975</v>
      </c>
      <c r="U7744">
        <v>3.0773619999999999</v>
      </c>
      <c r="V7744">
        <v>-8.4820370000000006E-2</v>
      </c>
      <c r="W7744">
        <v>0.19758319999999999</v>
      </c>
      <c r="X7744">
        <v>0.97660959999999997</v>
      </c>
      <c r="Y7744">
        <v>-4.9790609999999999E-2</v>
      </c>
      <c r="Z7744">
        <v>-2.5932440000000001E-2</v>
      </c>
      <c r="AA7744">
        <v>0.99842299999999995</v>
      </c>
      <c r="AB7744">
        <v>28</v>
      </c>
      <c r="AC7744">
        <v>-0.37170000000000403</v>
      </c>
      <c r="AD7744">
        <v>-1.1121447848182999</v>
      </c>
      <c r="AE7744">
        <v>28.318121399999999</v>
      </c>
      <c r="AF7744">
        <v>-1.4203068749755601</v>
      </c>
      <c r="AG7744">
        <v>-1.1121447848182999</v>
      </c>
      <c r="AH7744">
        <v>28.2412617867199</v>
      </c>
      <c r="AI7744">
        <v>92.252306806970594</v>
      </c>
      <c r="AJ7744">
        <v>92.879088239944593</v>
      </c>
      <c r="AK7744">
        <v>28.298816317075001</v>
      </c>
      <c r="AL7744">
        <v>78.6043329690619</v>
      </c>
      <c r="AM7744">
        <v>94.963789569145604</v>
      </c>
      <c r="AN7744">
        <v>0.999999963450667</v>
      </c>
    </row>
    <row r="7745" spans="1:40" x14ac:dyDescent="0.25">
      <c r="A7745" t="str">
        <f>"20190304154944811"</f>
        <v>20190304154944811</v>
      </c>
      <c r="B7745" t="str">
        <f>"1551685784805082"</f>
        <v>1551685784805082</v>
      </c>
      <c r="C7745" t="s">
        <v>40</v>
      </c>
      <c r="D7745">
        <v>4.5807769999999897</v>
      </c>
      <c r="E7745">
        <v>0.51370070000000001</v>
      </c>
      <c r="F7745" t="s">
        <v>44</v>
      </c>
      <c r="G7745">
        <v>-187.95339999999999</v>
      </c>
      <c r="H7745" s="1">
        <v>-9.6458010000000007E-7</v>
      </c>
      <c r="I7745">
        <v>0.88234840000000003</v>
      </c>
      <c r="J7745">
        <v>-187.63229999999999</v>
      </c>
      <c r="K7745">
        <v>1.1121160000000001</v>
      </c>
      <c r="L7745">
        <v>-27.63702</v>
      </c>
      <c r="M7745">
        <v>3.5516329999999999E-2</v>
      </c>
      <c r="N7745">
        <v>-1.2876220000000001E-2</v>
      </c>
      <c r="O7745">
        <v>0.99928609999999896</v>
      </c>
      <c r="P7745">
        <v>-4.8012760000000002E-2</v>
      </c>
      <c r="Q7745">
        <v>0.18528439999999999</v>
      </c>
      <c r="R7745">
        <v>0.98151129999999998</v>
      </c>
      <c r="S7745">
        <v>-3.3386230000000003E-2</v>
      </c>
      <c r="T7745">
        <v>-0.1188308</v>
      </c>
      <c r="U7745">
        <v>3.0772400000000002</v>
      </c>
      <c r="V7745">
        <v>-8.3404519999999996E-2</v>
      </c>
      <c r="W7745">
        <v>0.19764209999999999</v>
      </c>
      <c r="X7745">
        <v>0.97671969999999997</v>
      </c>
      <c r="Y7745">
        <v>-4.6340159999999998E-2</v>
      </c>
      <c r="Z7745">
        <v>-2.565659E-2</v>
      </c>
      <c r="AA7745">
        <v>0.99859620000000004</v>
      </c>
      <c r="AB7745">
        <v>28</v>
      </c>
      <c r="AC7745">
        <v>-0.321100000000001</v>
      </c>
      <c r="AD7745">
        <v>-1.1121169645800999</v>
      </c>
      <c r="AE7745">
        <v>28.519368400000001</v>
      </c>
      <c r="AF7745">
        <v>-1.3318597058198101</v>
      </c>
      <c r="AG7745">
        <v>-1.1121169645800999</v>
      </c>
      <c r="AH7745">
        <v>28.4467159894788</v>
      </c>
      <c r="AI7745">
        <v>92.236376157478404</v>
      </c>
      <c r="AJ7745">
        <v>92.6805995675833</v>
      </c>
      <c r="AK7745">
        <v>28.499584295300899</v>
      </c>
      <c r="AL7745">
        <v>78.600891278949007</v>
      </c>
      <c r="AM7745">
        <v>94.880788468255602</v>
      </c>
      <c r="AN7745">
        <v>1.0000000430084599</v>
      </c>
    </row>
    <row r="7746" spans="1:40" x14ac:dyDescent="0.25">
      <c r="A7746" t="str">
        <f>"20190304154944834"</f>
        <v>20190304154944834</v>
      </c>
      <c r="B7746" t="str">
        <f>"1551685784824602"</f>
        <v>1551685784824602</v>
      </c>
      <c r="C7746" t="s">
        <v>40</v>
      </c>
      <c r="D7746">
        <v>4.6435009999999997</v>
      </c>
      <c r="E7746">
        <v>0.51405820000000002</v>
      </c>
      <c r="F7746" t="s">
        <v>44</v>
      </c>
      <c r="G7746">
        <v>-187.9359</v>
      </c>
      <c r="H7746" s="1">
        <v>-1.203493E-6</v>
      </c>
      <c r="I7746">
        <v>1.570705</v>
      </c>
      <c r="J7746">
        <v>-187.6241</v>
      </c>
      <c r="K7746">
        <v>1.1120969999999999</v>
      </c>
      <c r="L7746">
        <v>-27.35596</v>
      </c>
      <c r="M7746">
        <v>3.3937519999999999E-2</v>
      </c>
      <c r="N7746">
        <v>-1.28646E-2</v>
      </c>
      <c r="O7746">
        <v>0.99934109999999998</v>
      </c>
      <c r="P7746">
        <v>-4.7978369999999999E-2</v>
      </c>
      <c r="Q7746">
        <v>0.18637500000000001</v>
      </c>
      <c r="R7746">
        <v>0.98130649999999997</v>
      </c>
      <c r="S7746">
        <v>-3.1982419999999998E-2</v>
      </c>
      <c r="T7746">
        <v>-0.1171623</v>
      </c>
      <c r="U7746">
        <v>3.0770569999999999</v>
      </c>
      <c r="V7746">
        <v>-8.1810499999999994E-2</v>
      </c>
      <c r="W7746">
        <v>0.19872790000000001</v>
      </c>
      <c r="X7746">
        <v>0.97663409999999995</v>
      </c>
      <c r="Y7746">
        <v>-4.4307970000000002E-2</v>
      </c>
      <c r="Z7746">
        <v>-2.5135250000000001E-2</v>
      </c>
      <c r="AA7746">
        <v>0.99870170000000003</v>
      </c>
      <c r="AB7746">
        <v>28</v>
      </c>
      <c r="AC7746">
        <v>-0.31180000000000502</v>
      </c>
      <c r="AD7746">
        <v>-1.11209820349299</v>
      </c>
      <c r="AE7746">
        <v>28.926665</v>
      </c>
      <c r="AF7746">
        <v>-1.2914922616053699</v>
      </c>
      <c r="AG7746">
        <v>-1.11209820349299</v>
      </c>
      <c r="AH7746">
        <v>28.856769790557301</v>
      </c>
      <c r="AI7746">
        <v>92.204799483531701</v>
      </c>
      <c r="AJ7746">
        <v>92.562577499215493</v>
      </c>
      <c r="AK7746">
        <v>28.907055841458899</v>
      </c>
      <c r="AL7746">
        <v>78.537419483354896</v>
      </c>
      <c r="AM7746">
        <v>94.788362814880301</v>
      </c>
      <c r="AN7746">
        <v>0.999999950715733</v>
      </c>
    </row>
    <row r="7747" spans="1:40" x14ac:dyDescent="0.25">
      <c r="A7747" t="str">
        <f>"20190304154944855"</f>
        <v>20190304154944855</v>
      </c>
      <c r="B7747" t="str">
        <f>"1551685784845098"</f>
        <v>1551685784845098</v>
      </c>
      <c r="C7747" t="s">
        <v>40</v>
      </c>
      <c r="D7747">
        <v>4.6895680000000004</v>
      </c>
      <c r="E7747">
        <v>0.51440050000000004</v>
      </c>
      <c r="F7747" t="s">
        <v>44</v>
      </c>
      <c r="G7747">
        <v>-187.9151</v>
      </c>
      <c r="H7747" s="1">
        <v>-2.0719699999999998E-6</v>
      </c>
      <c r="I7747">
        <v>3.6005020000000001</v>
      </c>
      <c r="J7747">
        <v>-187.61670000000001</v>
      </c>
      <c r="K7747">
        <v>1.1120950000000001</v>
      </c>
      <c r="L7747">
        <v>-27.086580000000001</v>
      </c>
      <c r="M7747">
        <v>3.243323E-2</v>
      </c>
      <c r="N7747">
        <v>-1.2854050000000001E-2</v>
      </c>
      <c r="O7747">
        <v>0.99939129999999998</v>
      </c>
      <c r="P7747">
        <v>-4.7947009999999998E-2</v>
      </c>
      <c r="Q7747">
        <v>0.18829199999999999</v>
      </c>
      <c r="R7747">
        <v>0.98094199999999998</v>
      </c>
      <c r="S7747">
        <v>-2.8915409999999999E-2</v>
      </c>
      <c r="T7747">
        <v>-0.11053</v>
      </c>
      <c r="U7747">
        <v>3.076721</v>
      </c>
      <c r="V7747">
        <v>-8.0294790000000005E-2</v>
      </c>
      <c r="W7747">
        <v>0.20063790000000001</v>
      </c>
      <c r="X7747">
        <v>0.97636940000000005</v>
      </c>
      <c r="Y7747">
        <v>-4.1811630000000002E-2</v>
      </c>
      <c r="Z7747">
        <v>-2.3005950000000001E-2</v>
      </c>
      <c r="AA7747">
        <v>0.99886059999999999</v>
      </c>
      <c r="AB7747">
        <v>28</v>
      </c>
      <c r="AC7747">
        <v>-0.29839999999998601</v>
      </c>
      <c r="AD7747">
        <v>-1.1120970719700001</v>
      </c>
      <c r="AE7747">
        <v>30.687082</v>
      </c>
      <c r="AF7747">
        <v>-1.29190980899089</v>
      </c>
      <c r="AG7747">
        <v>-1.1120970719700001</v>
      </c>
      <c r="AH7747">
        <v>30.621044354049999</v>
      </c>
      <c r="AI7747">
        <v>92.078110571404295</v>
      </c>
      <c r="AJ7747">
        <v>92.415891045377094</v>
      </c>
      <c r="AK7747">
        <v>30.668455262447601</v>
      </c>
      <c r="AL7747">
        <v>78.4257359907824</v>
      </c>
      <c r="AM7747">
        <v>94.7013180875514</v>
      </c>
      <c r="AN7747">
        <v>1.0000000127369499</v>
      </c>
    </row>
    <row r="7748" spans="1:40" x14ac:dyDescent="0.25">
      <c r="A7748" t="str">
        <f>"20190304154944878"</f>
        <v>20190304154944878</v>
      </c>
      <c r="B7748" t="str">
        <f>"1551685784875354"</f>
        <v>1551685784875354</v>
      </c>
      <c r="C7748" t="s">
        <v>40</v>
      </c>
      <c r="D7748">
        <v>4.6424570000000003</v>
      </c>
      <c r="E7748">
        <v>0.51491330000000002</v>
      </c>
      <c r="F7748" t="s">
        <v>44</v>
      </c>
      <c r="G7748">
        <v>-187.92310000000001</v>
      </c>
      <c r="H7748" s="1">
        <v>-3.8857360000000001E-6</v>
      </c>
      <c r="I7748">
        <v>7.8317769999999998</v>
      </c>
      <c r="J7748">
        <v>-187.6095</v>
      </c>
      <c r="K7748">
        <v>1.1121000000000001</v>
      </c>
      <c r="L7748">
        <v>-26.813569999999999</v>
      </c>
      <c r="M7748">
        <v>3.0910099999999999E-2</v>
      </c>
      <c r="N7748">
        <v>-1.2844049999999999E-2</v>
      </c>
      <c r="O7748">
        <v>0.99943970000000004</v>
      </c>
      <c r="P7748">
        <v>-4.8144439999999997E-2</v>
      </c>
      <c r="Q7748">
        <v>0.18854080000000001</v>
      </c>
      <c r="R7748">
        <v>0.9808846</v>
      </c>
      <c r="S7748">
        <v>-2.6992800000000001E-2</v>
      </c>
      <c r="T7748">
        <v>-9.7958920000000005E-2</v>
      </c>
      <c r="U7748">
        <v>3.0757750000000001</v>
      </c>
      <c r="V7748">
        <v>-7.8996880000000005E-2</v>
      </c>
      <c r="W7748">
        <v>0.2008817</v>
      </c>
      <c r="X7748">
        <v>0.97642510000000005</v>
      </c>
      <c r="Y7748">
        <v>-3.9669889999999999E-2</v>
      </c>
      <c r="Z7748">
        <v>-1.8954530000000001E-2</v>
      </c>
      <c r="AA7748">
        <v>0.99903299999999995</v>
      </c>
      <c r="AB7748">
        <v>28</v>
      </c>
      <c r="AC7748">
        <v>-0.31360000000000798</v>
      </c>
      <c r="AD7748">
        <v>-1.1121038857359999</v>
      </c>
      <c r="AE7748">
        <v>34.645346999999902</v>
      </c>
      <c r="AF7748">
        <v>-1.3830046328319801</v>
      </c>
      <c r="AG7748">
        <v>-1.1121038857359999</v>
      </c>
      <c r="AH7748">
        <v>34.583463957620502</v>
      </c>
      <c r="AI7748">
        <v>91.840361403912894</v>
      </c>
      <c r="AJ7748">
        <v>92.290057698763306</v>
      </c>
      <c r="AK7748">
        <v>34.628968453812497</v>
      </c>
      <c r="AL7748">
        <v>78.411476473328705</v>
      </c>
      <c r="AM7748">
        <v>94.625394260060602</v>
      </c>
      <c r="AN7748">
        <v>0.99999997017731601</v>
      </c>
    </row>
    <row r="7749" spans="1:40" x14ac:dyDescent="0.25">
      <c r="A7749" t="str">
        <f>"20190304154944899"</f>
        <v>20190304154944899</v>
      </c>
      <c r="B7749" t="str">
        <f>"1551685784894876"</f>
        <v>1551685784894876</v>
      </c>
      <c r="C7749" t="s">
        <v>40</v>
      </c>
      <c r="D7749">
        <v>4.6618570000000004</v>
      </c>
      <c r="E7749">
        <v>0.51523929999999996</v>
      </c>
      <c r="F7749" t="s">
        <v>44</v>
      </c>
      <c r="G7749">
        <v>-187.90289999999999</v>
      </c>
      <c r="H7749" s="1">
        <v>-7.5354990000000003E-7</v>
      </c>
      <c r="I7749">
        <v>10.2227</v>
      </c>
      <c r="J7749">
        <v>-187.60300000000001</v>
      </c>
      <c r="K7749">
        <v>1.1120939999999999</v>
      </c>
      <c r="L7749">
        <v>-26.549379999999999</v>
      </c>
      <c r="M7749">
        <v>2.9433589999999999E-2</v>
      </c>
      <c r="N7749">
        <v>-1.283522E-2</v>
      </c>
      <c r="O7749">
        <v>0.99948429999999999</v>
      </c>
      <c r="P7749">
        <v>-4.9016169999999998E-2</v>
      </c>
      <c r="Q7749">
        <v>0.18787519999999999</v>
      </c>
      <c r="R7749">
        <v>0.98096910000000004</v>
      </c>
      <c r="S7749">
        <v>-2.4353030000000001E-2</v>
      </c>
      <c r="T7749">
        <v>-9.2334390000000002E-2</v>
      </c>
      <c r="U7749">
        <v>3.0750120000000001</v>
      </c>
      <c r="V7749">
        <v>-7.8422119999999998E-2</v>
      </c>
      <c r="W7749">
        <v>0.2002119</v>
      </c>
      <c r="X7749">
        <v>0.97660910000000001</v>
      </c>
      <c r="Y7749">
        <v>-3.7339619999999997E-2</v>
      </c>
      <c r="Z7749">
        <v>-1.7149950000000001E-2</v>
      </c>
      <c r="AA7749">
        <v>0.99915549999999997</v>
      </c>
      <c r="AB7749">
        <v>28</v>
      </c>
      <c r="AC7749">
        <v>-0.29990000000000799</v>
      </c>
      <c r="AD7749">
        <v>-1.1120947535499</v>
      </c>
      <c r="AE7749">
        <v>36.772079999999903</v>
      </c>
      <c r="AF7749">
        <v>-1.3809306020440599</v>
      </c>
      <c r="AG7749">
        <v>-1.1120947535499</v>
      </c>
      <c r="AH7749">
        <v>36.713740178586299</v>
      </c>
      <c r="AI7749">
        <v>91.733788866722307</v>
      </c>
      <c r="AJ7749">
        <v>92.154076746104593</v>
      </c>
      <c r="AK7749">
        <v>36.756529242697503</v>
      </c>
      <c r="AL7749">
        <v>78.450650345708397</v>
      </c>
      <c r="AM7749">
        <v>94.591024134885799</v>
      </c>
      <c r="AN7749">
        <v>1.00000008400485</v>
      </c>
    </row>
    <row r="7750" spans="1:40" x14ac:dyDescent="0.25">
      <c r="A7750" t="str">
        <f>"20190304154944925"</f>
        <v>20190304154944925</v>
      </c>
      <c r="B7750" t="str">
        <f>"1551685784914394"</f>
        <v>1551685784914394</v>
      </c>
      <c r="C7750" t="s">
        <v>40</v>
      </c>
      <c r="D7750">
        <v>4.646172</v>
      </c>
      <c r="E7750">
        <v>0.51558199999999998</v>
      </c>
      <c r="F7750" t="s">
        <v>44</v>
      </c>
      <c r="G7750">
        <v>-187.89109999999999</v>
      </c>
      <c r="H7750" s="1">
        <v>-8.3138009999999896E-7</v>
      </c>
      <c r="I7750">
        <v>10.4422</v>
      </c>
      <c r="J7750">
        <v>-187.5959</v>
      </c>
      <c r="K7750">
        <v>1.112085</v>
      </c>
      <c r="L7750">
        <v>-26.240079999999999</v>
      </c>
      <c r="M7750">
        <v>2.7698649999999998E-2</v>
      </c>
      <c r="N7750">
        <v>-1.2825919999999999E-2</v>
      </c>
      <c r="O7750">
        <v>0.99953400000000003</v>
      </c>
      <c r="P7750">
        <v>-5.0280419999999999E-2</v>
      </c>
      <c r="Q7750">
        <v>0.1857578</v>
      </c>
      <c r="R7750">
        <v>0.98130830000000002</v>
      </c>
      <c r="S7750">
        <v>-2.394104E-2</v>
      </c>
      <c r="T7750">
        <v>-9.2436309999999994E-2</v>
      </c>
      <c r="U7750">
        <v>3.0747070000000001</v>
      </c>
      <c r="V7750">
        <v>-7.7989320000000001E-2</v>
      </c>
      <c r="W7750">
        <v>0.1980923</v>
      </c>
      <c r="X7750">
        <v>0.97707580000000005</v>
      </c>
      <c r="Y7750">
        <v>-3.5472400000000001E-2</v>
      </c>
      <c r="Z7750">
        <v>-1.7198689999999999E-2</v>
      </c>
      <c r="AA7750">
        <v>0.99922259999999996</v>
      </c>
      <c r="AB7750">
        <v>28</v>
      </c>
      <c r="AC7750">
        <v>-0.29519999999999402</v>
      </c>
      <c r="AD7750">
        <v>-1.1120858313801001</v>
      </c>
      <c r="AE7750">
        <v>36.682279999999999</v>
      </c>
      <c r="AF7750">
        <v>-1.3100160072590501</v>
      </c>
      <c r="AG7750">
        <v>-1.1120858313801001</v>
      </c>
      <c r="AH7750">
        <v>36.626364861539201</v>
      </c>
      <c r="AI7750">
        <v>91.738026009811193</v>
      </c>
      <c r="AJ7750">
        <v>92.048426215482394</v>
      </c>
      <c r="AK7750">
        <v>36.666653512506699</v>
      </c>
      <c r="AL7750">
        <v>78.574576018216703</v>
      </c>
      <c r="AM7750">
        <v>94.563622743448406</v>
      </c>
      <c r="AN7750">
        <v>1.00000000614949</v>
      </c>
    </row>
    <row r="7751" spans="1:40" x14ac:dyDescent="0.25">
      <c r="A7751" t="str">
        <f>"20190304154944947"</f>
        <v>20190304154944947</v>
      </c>
      <c r="B7751" t="str">
        <f>"1551685784944650"</f>
        <v>1551685784944650</v>
      </c>
      <c r="C7751" t="s">
        <v>40</v>
      </c>
      <c r="D7751">
        <v>4.6395359999999997</v>
      </c>
      <c r="E7751">
        <v>0.51598449999999996</v>
      </c>
      <c r="F7751" t="s">
        <v>44</v>
      </c>
      <c r="G7751">
        <v>-187.8699</v>
      </c>
      <c r="H7751" s="1">
        <v>-4.2304540000000004E-6</v>
      </c>
      <c r="I7751">
        <v>8.613327</v>
      </c>
      <c r="J7751">
        <v>-187.59010000000001</v>
      </c>
      <c r="K7751">
        <v>1.1120730000000001</v>
      </c>
      <c r="L7751">
        <v>-25.97015</v>
      </c>
      <c r="M7751">
        <v>2.617891E-2</v>
      </c>
      <c r="N7751">
        <v>-1.2818670000000001E-2</v>
      </c>
      <c r="O7751">
        <v>0.99957510000000005</v>
      </c>
      <c r="P7751">
        <v>-5.1284259999999998E-2</v>
      </c>
      <c r="Q7751">
        <v>0.18345710000000001</v>
      </c>
      <c r="R7751">
        <v>0.98168909999999998</v>
      </c>
      <c r="S7751">
        <v>-2.4169920000000001E-2</v>
      </c>
      <c r="T7751">
        <v>-9.8098749999999998E-2</v>
      </c>
      <c r="U7751">
        <v>3.0744630000000002</v>
      </c>
      <c r="V7751">
        <v>-7.7507279999999998E-2</v>
      </c>
      <c r="W7751">
        <v>0.19579170000000001</v>
      </c>
      <c r="X7751">
        <v>0.97757769999999999</v>
      </c>
      <c r="Y7751">
        <v>-3.4027639999999998E-2</v>
      </c>
      <c r="Z7751">
        <v>-1.9049170000000001E-2</v>
      </c>
      <c r="AA7751">
        <v>0.99923930000000005</v>
      </c>
      <c r="AB7751">
        <v>27</v>
      </c>
      <c r="AC7751">
        <v>-0.279799999999994</v>
      </c>
      <c r="AD7751">
        <v>-1.1120772304540001</v>
      </c>
      <c r="AE7751">
        <v>34.583477000000002</v>
      </c>
      <c r="AF7751">
        <v>-1.1839120794575</v>
      </c>
      <c r="AG7751">
        <v>-1.1120772304540001</v>
      </c>
      <c r="AH7751">
        <v>34.528595699370001</v>
      </c>
      <c r="AI7751">
        <v>91.843629297351498</v>
      </c>
      <c r="AJ7751">
        <v>91.963781033015394</v>
      </c>
      <c r="AK7751">
        <v>34.5667800720421</v>
      </c>
      <c r="AL7751">
        <v>78.709023380296301</v>
      </c>
      <c r="AM7751">
        <v>94.533214855898606</v>
      </c>
      <c r="AN7751">
        <v>0.99999996388958801</v>
      </c>
    </row>
    <row r="7752" spans="1:40" x14ac:dyDescent="0.25">
      <c r="A7752" t="str">
        <f>"20190304154944968"</f>
        <v>20190304154944968</v>
      </c>
      <c r="B7752" t="str">
        <f>"1551685784965146"</f>
        <v>1551685784965146</v>
      </c>
      <c r="C7752" t="s">
        <v>40</v>
      </c>
      <c r="D7752">
        <v>4.6312199999999999</v>
      </c>
      <c r="E7752">
        <v>0.51622250000000003</v>
      </c>
      <c r="F7752" t="s">
        <v>44</v>
      </c>
      <c r="G7752">
        <v>-187.8349</v>
      </c>
      <c r="H7752" s="1">
        <v>-3.7380149999999998E-6</v>
      </c>
      <c r="I7752">
        <v>7.4509350000000003</v>
      </c>
      <c r="J7752">
        <v>-187.58510000000001</v>
      </c>
      <c r="K7752">
        <v>1.1120749999999999</v>
      </c>
      <c r="L7752">
        <v>-25.714690000000001</v>
      </c>
      <c r="M7752">
        <v>2.473585E-2</v>
      </c>
      <c r="N7752">
        <v>-1.280861E-2</v>
      </c>
      <c r="O7752">
        <v>0.99961199999999995</v>
      </c>
      <c r="P7752">
        <v>-5.1777719999999999E-2</v>
      </c>
      <c r="Q7752">
        <v>0.18259069999999999</v>
      </c>
      <c r="R7752">
        <v>0.98182469999999999</v>
      </c>
      <c r="S7752">
        <v>-2.2506709999999999E-2</v>
      </c>
      <c r="T7752">
        <v>-0.1022836</v>
      </c>
      <c r="U7752">
        <v>3.0739139999999998</v>
      </c>
      <c r="V7752">
        <v>-7.6586630000000003E-2</v>
      </c>
      <c r="W7752">
        <v>0.19492090000000001</v>
      </c>
      <c r="X7752">
        <v>0.97782429999999998</v>
      </c>
      <c r="Y7752">
        <v>-3.2045629999999999E-2</v>
      </c>
      <c r="Z7752">
        <v>-2.0426639999999999E-2</v>
      </c>
      <c r="AA7752">
        <v>0.99927770000000005</v>
      </c>
      <c r="AB7752">
        <v>27</v>
      </c>
      <c r="AC7752">
        <v>-0.249799999999993</v>
      </c>
      <c r="AD7752">
        <v>-1.1120787380149999</v>
      </c>
      <c r="AE7752">
        <v>33.165624999999999</v>
      </c>
      <c r="AF7752">
        <v>-1.06896894531744</v>
      </c>
      <c r="AG7752">
        <v>-1.1120787380149999</v>
      </c>
      <c r="AH7752">
        <v>33.112069005194797</v>
      </c>
      <c r="AI7752">
        <v>91.922572004068996</v>
      </c>
      <c r="AJ7752">
        <v>91.849058257771006</v>
      </c>
      <c r="AK7752">
        <v>33.147979237509801</v>
      </c>
      <c r="AL7752">
        <v>78.759897346610401</v>
      </c>
      <c r="AM7752">
        <v>94.478463595241493</v>
      </c>
      <c r="AN7752">
        <v>1.00000001541102</v>
      </c>
    </row>
    <row r="7753" spans="1:40" x14ac:dyDescent="0.25">
      <c r="A7753" t="str">
        <f>"20190304154944989"</f>
        <v>20190304154944989</v>
      </c>
      <c r="B7753" t="str">
        <f>"1551685784984666"</f>
        <v>1551685784984666</v>
      </c>
      <c r="C7753" t="s">
        <v>40</v>
      </c>
      <c r="D7753">
        <v>4.661098</v>
      </c>
      <c r="E7753">
        <v>0.51677479999999998</v>
      </c>
      <c r="F7753" t="s">
        <v>44</v>
      </c>
      <c r="G7753">
        <v>-187.8151</v>
      </c>
      <c r="H7753" s="1">
        <v>-3.7425160000000002E-6</v>
      </c>
      <c r="I7753">
        <v>7.4532610000000004</v>
      </c>
      <c r="J7753">
        <v>-187.58019999999999</v>
      </c>
      <c r="K7753">
        <v>1.112079</v>
      </c>
      <c r="L7753">
        <v>-25.450810000000001</v>
      </c>
      <c r="M7753">
        <v>2.324408E-2</v>
      </c>
      <c r="N7753">
        <v>-1.279429E-2</v>
      </c>
      <c r="O7753">
        <v>0.99964799999999998</v>
      </c>
      <c r="P7753">
        <v>-5.0680309999999999E-2</v>
      </c>
      <c r="Q7753">
        <v>0.1818988</v>
      </c>
      <c r="R7753">
        <v>0.98201039999999995</v>
      </c>
      <c r="S7753">
        <v>-2.131653E-2</v>
      </c>
      <c r="T7753">
        <v>-0.10305309999999999</v>
      </c>
      <c r="U7753">
        <v>3.0735779999999999</v>
      </c>
      <c r="V7753">
        <v>-7.4029040000000004E-2</v>
      </c>
      <c r="W7753">
        <v>0.1942268</v>
      </c>
      <c r="X7753">
        <v>0.97815929999999995</v>
      </c>
      <c r="Y7753">
        <v>-3.016837E-2</v>
      </c>
      <c r="Z7753">
        <v>-2.0697400000000001E-2</v>
      </c>
      <c r="AA7753">
        <v>0.99933050000000001</v>
      </c>
      <c r="AB7753">
        <v>27</v>
      </c>
      <c r="AC7753">
        <v>-0.23490000000000999</v>
      </c>
      <c r="AD7753">
        <v>-1.112082742516</v>
      </c>
      <c r="AE7753">
        <v>32.904071000000002</v>
      </c>
      <c r="AF7753">
        <v>-0.99858333918374698</v>
      </c>
      <c r="AG7753">
        <v>-1.112082742516</v>
      </c>
      <c r="AH7753">
        <v>32.852194341878104</v>
      </c>
      <c r="AI7753">
        <v>91.937890187301306</v>
      </c>
      <c r="AJ7753">
        <v>91.741040467387407</v>
      </c>
      <c r="AK7753">
        <v>32.886175967844302</v>
      </c>
      <c r="AL7753">
        <v>78.800440852694607</v>
      </c>
      <c r="AM7753">
        <v>94.328007789492304</v>
      </c>
      <c r="AN7753">
        <v>0.99999998238902499</v>
      </c>
    </row>
    <row r="7754" spans="1:40" x14ac:dyDescent="0.25">
      <c r="A7754" t="str">
        <f>"20190304154945013"</f>
        <v>20190304154945013</v>
      </c>
      <c r="B7754" t="str">
        <f>"1551685785005163"</f>
        <v>1551685785005163</v>
      </c>
      <c r="C7754" t="s">
        <v>40</v>
      </c>
      <c r="D7754">
        <v>4.7295020000000001</v>
      </c>
      <c r="E7754">
        <v>0.51742449999999995</v>
      </c>
      <c r="F7754" t="s">
        <v>44</v>
      </c>
      <c r="G7754">
        <v>-187.7217</v>
      </c>
      <c r="H7754" s="1">
        <v>-3.7130439999999998E-6</v>
      </c>
      <c r="I7754">
        <v>7.3459259999999897</v>
      </c>
      <c r="J7754">
        <v>-187.5752</v>
      </c>
      <c r="K7754">
        <v>1.1120779999999999</v>
      </c>
      <c r="L7754">
        <v>-25.158390000000001</v>
      </c>
      <c r="M7754">
        <v>2.1596509999999999E-2</v>
      </c>
      <c r="N7754">
        <v>-1.277767E-2</v>
      </c>
      <c r="O7754">
        <v>0.99968509999999999</v>
      </c>
      <c r="P7754">
        <v>-4.9797679999999997E-2</v>
      </c>
      <c r="Q7754">
        <v>0.1822298</v>
      </c>
      <c r="R7754">
        <v>0.98199420000000004</v>
      </c>
      <c r="S7754">
        <v>-1.325989E-2</v>
      </c>
      <c r="T7754">
        <v>-0.1042199</v>
      </c>
      <c r="U7754">
        <v>3.0735779999999999</v>
      </c>
      <c r="V7754">
        <v>-7.1529709999999996E-2</v>
      </c>
      <c r="W7754">
        <v>0.1945501</v>
      </c>
      <c r="X7754">
        <v>0.97828099999999996</v>
      </c>
      <c r="Y7754">
        <v>-2.590249E-2</v>
      </c>
      <c r="Z7754">
        <v>-2.109747E-2</v>
      </c>
      <c r="AA7754">
        <v>0.99944180000000005</v>
      </c>
      <c r="AB7754">
        <v>27</v>
      </c>
      <c r="AC7754">
        <v>-0.14650000000000299</v>
      </c>
      <c r="AD7754">
        <v>-1.1120817130439999</v>
      </c>
      <c r="AE7754">
        <v>32.504315999999903</v>
      </c>
      <c r="AF7754">
        <v>-0.84751089536581803</v>
      </c>
      <c r="AG7754">
        <v>-1.1120817130439999</v>
      </c>
      <c r="AH7754">
        <v>32.455579347662898</v>
      </c>
      <c r="AI7754">
        <v>91.961788500117294</v>
      </c>
      <c r="AJ7754">
        <v>91.495821849282194</v>
      </c>
      <c r="AK7754">
        <v>32.485683481292099</v>
      </c>
      <c r="AL7754">
        <v>78.781556857424604</v>
      </c>
      <c r="AM7754">
        <v>94.181896908366298</v>
      </c>
      <c r="AN7754">
        <v>0.99999997789184603</v>
      </c>
    </row>
    <row r="7755" spans="1:40" x14ac:dyDescent="0.25">
      <c r="A7755" t="str">
        <f>"20190304154945035"</f>
        <v>20190304154945035</v>
      </c>
      <c r="B7755" t="str">
        <f>"1551685785024685"</f>
        <v>1551685785024685</v>
      </c>
      <c r="C7755" t="s">
        <v>40</v>
      </c>
      <c r="D7755">
        <v>4.6770680000000002</v>
      </c>
      <c r="E7755">
        <v>0.518171099999999</v>
      </c>
      <c r="F7755" t="s">
        <v>44</v>
      </c>
      <c r="G7755">
        <v>-187.65049999999999</v>
      </c>
      <c r="H7755" s="1">
        <v>-3.800835E-6</v>
      </c>
      <c r="I7755">
        <v>7.5211410000000001</v>
      </c>
      <c r="J7755">
        <v>-187.5711</v>
      </c>
      <c r="K7755">
        <v>1.112077</v>
      </c>
      <c r="L7755">
        <v>-24.88776</v>
      </c>
      <c r="M7755">
        <v>2.0087299999999999E-2</v>
      </c>
      <c r="N7755">
        <v>-1.276359E-2</v>
      </c>
      <c r="O7755">
        <v>0.99971679999999996</v>
      </c>
      <c r="P7755">
        <v>-4.8271260000000003E-2</v>
      </c>
      <c r="Q7755">
        <v>0.18248610000000001</v>
      </c>
      <c r="R7755">
        <v>0.98202279999999997</v>
      </c>
      <c r="S7755">
        <v>-7.0800780000000001E-3</v>
      </c>
      <c r="T7755">
        <v>-0.1046102</v>
      </c>
      <c r="U7755">
        <v>3.0740660000000002</v>
      </c>
      <c r="V7755">
        <v>-6.8520299999999895E-2</v>
      </c>
      <c r="W7755">
        <v>0.19480449999999999</v>
      </c>
      <c r="X7755">
        <v>0.97844580000000003</v>
      </c>
      <c r="Y7755">
        <v>-2.2384370000000001E-2</v>
      </c>
      <c r="Z7755">
        <v>-2.1236359999999999E-2</v>
      </c>
      <c r="AA7755">
        <v>0.99952390000000002</v>
      </c>
      <c r="AB7755">
        <v>27</v>
      </c>
      <c r="AC7755">
        <v>-7.9399999999992504E-2</v>
      </c>
      <c r="AD7755">
        <v>-1.112080800835</v>
      </c>
      <c r="AE7755">
        <v>32.408901</v>
      </c>
      <c r="AF7755">
        <v>-0.72958525076319802</v>
      </c>
      <c r="AG7755">
        <v>-1.112080800835</v>
      </c>
      <c r="AH7755">
        <v>32.362660397705099</v>
      </c>
      <c r="AI7755">
        <v>91.967585705395294</v>
      </c>
      <c r="AJ7755">
        <v>91.291459835217907</v>
      </c>
      <c r="AK7755">
        <v>32.3899800302949</v>
      </c>
      <c r="AL7755">
        <v>78.766696791136894</v>
      </c>
      <c r="AM7755">
        <v>94.005868314822706</v>
      </c>
      <c r="AN7755">
        <v>1.0000000041349899</v>
      </c>
    </row>
    <row r="7756" spans="1:40" x14ac:dyDescent="0.25">
      <c r="A7756" t="str">
        <f>"20190304154945050"</f>
        <v>20190304154945050</v>
      </c>
      <c r="B7756" t="str">
        <f>"1551685785045180"</f>
        <v>1551685785045180</v>
      </c>
      <c r="C7756" t="s">
        <v>40</v>
      </c>
      <c r="D7756">
        <v>4.5590159999999997</v>
      </c>
      <c r="E7756">
        <v>0.51906220000000003</v>
      </c>
      <c r="F7756" t="s">
        <v>44</v>
      </c>
      <c r="G7756">
        <v>-187.53210000000001</v>
      </c>
      <c r="H7756" s="1">
        <v>-3.9084020000000002E-6</v>
      </c>
      <c r="I7756">
        <v>7.7229299999999999</v>
      </c>
      <c r="J7756">
        <v>-187.5685</v>
      </c>
      <c r="K7756">
        <v>1.1120730000000001</v>
      </c>
      <c r="L7756">
        <v>-24.705110000000001</v>
      </c>
      <c r="M7756">
        <v>1.9076280000000001E-2</v>
      </c>
      <c r="N7756">
        <v>-1.2754649999999999E-2</v>
      </c>
      <c r="O7756">
        <v>0.99973670000000003</v>
      </c>
      <c r="P7756">
        <v>-4.7688929999999997E-2</v>
      </c>
      <c r="Q7756">
        <v>0.18264569999999999</v>
      </c>
      <c r="R7756">
        <v>0.98202160000000005</v>
      </c>
      <c r="S7756">
        <v>3.6773679999999999E-3</v>
      </c>
      <c r="T7756">
        <v>-0.1048486</v>
      </c>
      <c r="U7756">
        <v>3.0745849999999999</v>
      </c>
      <c r="V7756">
        <v>-6.6942039999999994E-2</v>
      </c>
      <c r="W7756">
        <v>0.1949621</v>
      </c>
      <c r="X7756">
        <v>0.9785237</v>
      </c>
      <c r="Y7756">
        <v>-1.7876909999999999E-2</v>
      </c>
      <c r="Z7756">
        <v>-2.1319999999999999E-2</v>
      </c>
      <c r="AA7756">
        <v>0.99961290000000003</v>
      </c>
      <c r="AB7756">
        <v>27</v>
      </c>
      <c r="AC7756">
        <v>3.63999999999862E-2</v>
      </c>
      <c r="AD7756">
        <v>-1.1120769084019999</v>
      </c>
      <c r="AE7756">
        <v>32.428040000000003</v>
      </c>
      <c r="AF7756">
        <v>-0.58157933318798405</v>
      </c>
      <c r="AG7756">
        <v>-1.1120769084019999</v>
      </c>
      <c r="AH7756">
        <v>32.384746333479796</v>
      </c>
      <c r="AI7756">
        <v>91.966420399554195</v>
      </c>
      <c r="AJ7756">
        <v>91.028831889393004</v>
      </c>
      <c r="AK7756">
        <v>32.409053436575803</v>
      </c>
      <c r="AL7756">
        <v>78.757490915647395</v>
      </c>
      <c r="AM7756">
        <v>93.9135787994975</v>
      </c>
      <c r="AN7756">
        <v>1.00000004430872</v>
      </c>
    </row>
    <row r="7757" spans="1:40" x14ac:dyDescent="0.25">
      <c r="A7757" t="str">
        <f>"20190304154945068"</f>
        <v>20190304154945068</v>
      </c>
      <c r="B7757" t="str">
        <f>"1551685785064698"</f>
        <v>1551685785064698</v>
      </c>
      <c r="C7757" t="s">
        <v>40</v>
      </c>
      <c r="D7757">
        <v>4.7202979999999997</v>
      </c>
      <c r="E7757">
        <v>0.51979549999999997</v>
      </c>
      <c r="F7757" t="s">
        <v>44</v>
      </c>
      <c r="G7757">
        <v>-187.43889999999999</v>
      </c>
      <c r="H7757" s="1">
        <v>-4.2974830000000001E-6</v>
      </c>
      <c r="I7757">
        <v>8.5913679999999992</v>
      </c>
      <c r="J7757">
        <v>-187.56559999999999</v>
      </c>
      <c r="K7757">
        <v>1.11206</v>
      </c>
      <c r="L7757">
        <v>-24.485720000000001</v>
      </c>
      <c r="M7757">
        <v>1.7878809999999998E-2</v>
      </c>
      <c r="N7757">
        <v>-1.274432E-2</v>
      </c>
      <c r="O7757">
        <v>0.99975899999999995</v>
      </c>
      <c r="P7757">
        <v>-4.5880219999999999E-2</v>
      </c>
      <c r="Q7757">
        <v>0.1841605</v>
      </c>
      <c r="R7757">
        <v>0.98182480000000005</v>
      </c>
      <c r="S7757">
        <v>1.196289E-2</v>
      </c>
      <c r="T7757">
        <v>-0.1026899</v>
      </c>
      <c r="U7757">
        <v>3.0746150000000001</v>
      </c>
      <c r="V7757">
        <v>-6.3952620000000002E-2</v>
      </c>
      <c r="W7757">
        <v>0.19647619999999999</v>
      </c>
      <c r="X7757">
        <v>0.97842070000000003</v>
      </c>
      <c r="Y7757">
        <v>-1.398664E-2</v>
      </c>
      <c r="Z7757">
        <v>-2.0631400000000001E-2</v>
      </c>
      <c r="AA7757">
        <v>0.9996893</v>
      </c>
      <c r="AB7757">
        <v>27</v>
      </c>
      <c r="AC7757">
        <v>0.12669999999999901</v>
      </c>
      <c r="AD7757">
        <v>-1.112064297483</v>
      </c>
      <c r="AE7757">
        <v>33.077088000000003</v>
      </c>
      <c r="AF7757">
        <v>-0.46422250293704898</v>
      </c>
      <c r="AG7757">
        <v>-1.112064297483</v>
      </c>
      <c r="AH7757">
        <v>33.036723719744302</v>
      </c>
      <c r="AI7757">
        <v>91.927741372511704</v>
      </c>
      <c r="AJ7757">
        <v>90.805050767442793</v>
      </c>
      <c r="AK7757">
        <v>33.058694827060002</v>
      </c>
      <c r="AL7757">
        <v>78.669027429028006</v>
      </c>
      <c r="AM7757">
        <v>93.739710635242503</v>
      </c>
      <c r="AN7757">
        <v>0.99999995047989598</v>
      </c>
    </row>
    <row r="7758" spans="1:40" x14ac:dyDescent="0.25">
      <c r="A7758" t="str">
        <f>"20190304154945090"</f>
        <v>20190304154945090</v>
      </c>
      <c r="B7758" t="str">
        <f>"1551685785085194"</f>
        <v>1551685785085194</v>
      </c>
      <c r="C7758" t="s">
        <v>40</v>
      </c>
      <c r="D7758">
        <v>4.5652839999999903</v>
      </c>
      <c r="E7758">
        <v>0.52062649999999999</v>
      </c>
      <c r="F7758" t="s">
        <v>44</v>
      </c>
      <c r="G7758">
        <v>-187.3158</v>
      </c>
      <c r="H7758" s="1">
        <v>-7.9980329999999996E-7</v>
      </c>
      <c r="I7758">
        <v>9.8996420000000001</v>
      </c>
      <c r="J7758">
        <v>-187.5624</v>
      </c>
      <c r="K7758">
        <v>1.1120219999999901</v>
      </c>
      <c r="L7758">
        <v>-24.219850000000001</v>
      </c>
      <c r="M7758">
        <v>1.647156E-2</v>
      </c>
      <c r="N7758">
        <v>-1.273235E-2</v>
      </c>
      <c r="O7758">
        <v>0.99978330000000004</v>
      </c>
      <c r="P7758">
        <v>-4.5252220000000003E-2</v>
      </c>
      <c r="Q7758">
        <v>0.18401670000000001</v>
      </c>
      <c r="R7758">
        <v>0.98188089999999995</v>
      </c>
      <c r="S7758">
        <v>2.233887E-2</v>
      </c>
      <c r="T7758">
        <v>-9.945619E-2</v>
      </c>
      <c r="U7758">
        <v>3.0752259999999998</v>
      </c>
      <c r="V7758">
        <v>-6.1930430000000002E-2</v>
      </c>
      <c r="W7758">
        <v>0.1963318</v>
      </c>
      <c r="X7758">
        <v>0.9785798</v>
      </c>
      <c r="Y7758">
        <v>-9.2082499999999994E-3</v>
      </c>
      <c r="Z7758">
        <v>-1.9588970000000001E-2</v>
      </c>
      <c r="AA7758">
        <v>0.99976569999999998</v>
      </c>
      <c r="AB7758">
        <v>27</v>
      </c>
      <c r="AC7758">
        <v>0.24660000000000001</v>
      </c>
      <c r="AD7758">
        <v>-1.1120227998033001</v>
      </c>
      <c r="AE7758">
        <v>34.119492000000001</v>
      </c>
      <c r="AF7758">
        <v>-0.31514551683805198</v>
      </c>
      <c r="AG7758">
        <v>-1.1120227998033001</v>
      </c>
      <c r="AH7758">
        <v>34.082722524546497</v>
      </c>
      <c r="AI7758">
        <v>91.868656422296596</v>
      </c>
      <c r="AJ7758">
        <v>90.529769693864694</v>
      </c>
      <c r="AK7758">
        <v>34.102314966718801</v>
      </c>
      <c r="AL7758">
        <v>78.677465730234402</v>
      </c>
      <c r="AM7758">
        <v>93.621193100232702</v>
      </c>
      <c r="AN7758">
        <v>0.99999998940963197</v>
      </c>
    </row>
    <row r="7759" spans="1:40" x14ac:dyDescent="0.25">
      <c r="A7759" t="str">
        <f>"20190304154945105"</f>
        <v>20190304154945105</v>
      </c>
      <c r="B7759" t="str">
        <f>"1551685785094954"</f>
        <v>1551685785094954</v>
      </c>
      <c r="C7759" t="s">
        <v>40</v>
      </c>
      <c r="D7759">
        <v>4.6414939999999998</v>
      </c>
      <c r="E7759">
        <v>0.52062649999999999</v>
      </c>
      <c r="F7759" t="s">
        <v>44</v>
      </c>
      <c r="G7759">
        <v>-187.21780000000001</v>
      </c>
      <c r="H7759" s="1">
        <v>-8.9908469999999998E-7</v>
      </c>
      <c r="I7759">
        <v>10.114750000000001</v>
      </c>
      <c r="J7759">
        <v>-187.56039999999999</v>
      </c>
      <c r="K7759">
        <v>1.111985</v>
      </c>
      <c r="L7759">
        <v>-24.032260000000001</v>
      </c>
      <c r="M7759">
        <v>1.552595E-2</v>
      </c>
      <c r="N7759">
        <v>-1.2724360000000001E-2</v>
      </c>
      <c r="O7759">
        <v>0.99979850000000003</v>
      </c>
      <c r="P7759">
        <v>-4.5320390000000002E-2</v>
      </c>
      <c r="Q7759">
        <v>0.18391099999999999</v>
      </c>
      <c r="R7759">
        <v>0.98189749999999998</v>
      </c>
      <c r="S7759">
        <v>3.0868530000000002E-2</v>
      </c>
      <c r="T7759">
        <v>-9.9606749999999994E-2</v>
      </c>
      <c r="U7759">
        <v>3.0754389999999998</v>
      </c>
      <c r="V7759">
        <v>-6.1054909999999997E-2</v>
      </c>
      <c r="W7759">
        <v>0.1962265</v>
      </c>
      <c r="X7759">
        <v>0.97865590000000002</v>
      </c>
      <c r="Y7759">
        <v>-5.4913899999999996E-3</v>
      </c>
      <c r="Z7759">
        <v>-1.9644600000000002E-2</v>
      </c>
      <c r="AA7759">
        <v>0.99979189999999996</v>
      </c>
      <c r="AB7759">
        <v>27</v>
      </c>
      <c r="AC7759">
        <v>0.34259999999997598</v>
      </c>
      <c r="AD7759">
        <v>-1.11198589908469</v>
      </c>
      <c r="AE7759">
        <v>34.147009999999902</v>
      </c>
      <c r="AF7759">
        <v>-0.18745023204785799</v>
      </c>
      <c r="AG7759">
        <v>-1.11198589908469</v>
      </c>
      <c r="AH7759">
        <v>34.112042326546401</v>
      </c>
      <c r="AI7759">
        <v>91.8670410950091</v>
      </c>
      <c r="AJ7759">
        <v>90.314844797614597</v>
      </c>
      <c r="AK7759">
        <v>34.130676552294503</v>
      </c>
      <c r="AL7759">
        <v>78.683618278959997</v>
      </c>
      <c r="AM7759">
        <v>93.569856194337206</v>
      </c>
      <c r="AN7759">
        <v>0.99999995597108304</v>
      </c>
    </row>
    <row r="7760" spans="1:40" x14ac:dyDescent="0.25">
      <c r="A7760" t="str">
        <f>"20190304154945126"</f>
        <v>20190304154945126</v>
      </c>
      <c r="B7760" t="str">
        <f>"1551685785114474"</f>
        <v>1551685785114474</v>
      </c>
      <c r="C7760" t="s">
        <v>40</v>
      </c>
      <c r="D7760">
        <v>4.8303979999999997</v>
      </c>
      <c r="E7760">
        <v>0.55464799999999903</v>
      </c>
      <c r="F7760" t="s">
        <v>44</v>
      </c>
      <c r="G7760">
        <v>-187.21610000000001</v>
      </c>
      <c r="H7760" s="1">
        <v>-9.2820370000000004E-7</v>
      </c>
      <c r="I7760">
        <v>10.199009999999999</v>
      </c>
      <c r="J7760">
        <v>-187.55789999999999</v>
      </c>
      <c r="K7760">
        <v>1.111928</v>
      </c>
      <c r="L7760">
        <v>-23.786290000000001</v>
      </c>
      <c r="M7760">
        <v>1.4344579999999999E-2</v>
      </c>
      <c r="N7760">
        <v>-1.2714410000000001E-2</v>
      </c>
      <c r="O7760">
        <v>0.99981629999999999</v>
      </c>
      <c r="P7760">
        <v>-4.4833680000000001E-2</v>
      </c>
      <c r="Q7760">
        <v>0.1837664</v>
      </c>
      <c r="R7760">
        <v>0.98194689999999996</v>
      </c>
      <c r="S7760">
        <v>3.092957E-2</v>
      </c>
      <c r="T7760">
        <v>-9.9904179999999995E-2</v>
      </c>
      <c r="U7760">
        <v>3.0754389999999998</v>
      </c>
      <c r="V7760">
        <v>-5.938264E-2</v>
      </c>
      <c r="W7760">
        <v>0.1960858</v>
      </c>
      <c r="X7760">
        <v>0.97878699999999996</v>
      </c>
      <c r="Y7760">
        <v>-4.2903259999999997E-3</v>
      </c>
      <c r="Z7760">
        <v>-1.9751999999999999E-2</v>
      </c>
      <c r="AA7760">
        <v>0.99979569999999995</v>
      </c>
      <c r="AB7760">
        <v>27</v>
      </c>
      <c r="AC7760">
        <v>0.34179999999997701</v>
      </c>
      <c r="AD7760">
        <v>-1.1119289282036999</v>
      </c>
      <c r="AE7760">
        <v>33.985300000000002</v>
      </c>
      <c r="AF7760">
        <v>-0.145623553809273</v>
      </c>
      <c r="AG7760">
        <v>-1.1119289282036999</v>
      </c>
      <c r="AH7760">
        <v>33.950367150971701</v>
      </c>
      <c r="AI7760">
        <v>91.8758408172679</v>
      </c>
      <c r="AJ7760">
        <v>90.245757691673404</v>
      </c>
      <c r="AK7760">
        <v>33.968883140994997</v>
      </c>
      <c r="AL7760">
        <v>78.691839617067998</v>
      </c>
      <c r="AM7760">
        <v>93.471857873853295</v>
      </c>
      <c r="AN7760">
        <v>0.99999996513200395</v>
      </c>
    </row>
    <row r="7761" spans="1:40" x14ac:dyDescent="0.25">
      <c r="A7761" t="str">
        <f>"20190304154945148"</f>
        <v>20190304154945148</v>
      </c>
      <c r="B7761" t="str">
        <f>"1551685785144730"</f>
        <v>1551685785144730</v>
      </c>
      <c r="C7761" t="s">
        <v>40</v>
      </c>
      <c r="D7761">
        <v>4.631615</v>
      </c>
      <c r="E7761">
        <v>0.55079250000000002</v>
      </c>
      <c r="F7761" t="s">
        <v>44</v>
      </c>
      <c r="G7761">
        <v>-183.74350000000001</v>
      </c>
      <c r="H7761" s="1">
        <v>-3.485824E-6</v>
      </c>
      <c r="I7761">
        <v>14.999549999999999</v>
      </c>
      <c r="J7761">
        <v>-187.55549999999999</v>
      </c>
      <c r="K7761">
        <v>1.1118380000000001</v>
      </c>
      <c r="L7761">
        <v>-23.514589999999998</v>
      </c>
      <c r="M7761">
        <v>1.3132120000000001E-2</v>
      </c>
      <c r="N7761">
        <v>-1.270423E-2</v>
      </c>
      <c r="O7761">
        <v>0.99983299999999997</v>
      </c>
      <c r="P7761">
        <v>-4.4659089999999999E-2</v>
      </c>
      <c r="Q7761">
        <v>0.1803913</v>
      </c>
      <c r="R7761">
        <v>0.98258049999999997</v>
      </c>
      <c r="S7761">
        <v>0.30345149999999999</v>
      </c>
      <c r="T7761">
        <v>-8.8458659999999995E-2</v>
      </c>
      <c r="U7761">
        <v>3.0855709999999998</v>
      </c>
      <c r="V7761">
        <v>-5.7983510000000002E-2</v>
      </c>
      <c r="W7761">
        <v>0.19272420000000001</v>
      </c>
      <c r="X7761">
        <v>0.97953829999999997</v>
      </c>
      <c r="Y7761">
        <v>8.4760189999999999E-2</v>
      </c>
      <c r="Z7761">
        <v>-1.5839519999999999E-2</v>
      </c>
      <c r="AA7761">
        <v>0.99627549999999998</v>
      </c>
      <c r="AB7761">
        <v>27</v>
      </c>
      <c r="AC7761">
        <v>3.8119999999999798</v>
      </c>
      <c r="AD7761">
        <v>-1.11184148582399</v>
      </c>
      <c r="AE7761">
        <v>38.514139999999998</v>
      </c>
      <c r="AF7761">
        <v>3.30313200605032</v>
      </c>
      <c r="AG7761">
        <v>-1.11184148582399</v>
      </c>
      <c r="AH7761">
        <v>38.529084043496397</v>
      </c>
      <c r="AI7761">
        <v>91.646899301079301</v>
      </c>
      <c r="AJ7761">
        <v>85.099964104765505</v>
      </c>
      <c r="AK7761">
        <v>38.686395409365801</v>
      </c>
      <c r="AL7761">
        <v>78.888191660493106</v>
      </c>
      <c r="AM7761">
        <v>93.387655369799305</v>
      </c>
      <c r="AN7761">
        <v>0.99999999293222497</v>
      </c>
    </row>
    <row r="7762" spans="1:40" x14ac:dyDescent="0.25">
      <c r="A7762" t="str">
        <f>"20190304154945169"</f>
        <v>20190304154945169</v>
      </c>
      <c r="B7762" t="str">
        <f>"1551685785165227"</f>
        <v>1551685785165227</v>
      </c>
      <c r="C7762" t="s">
        <v>40</v>
      </c>
      <c r="D7762">
        <v>4.599844</v>
      </c>
      <c r="E7762">
        <v>0.55251240000000001</v>
      </c>
      <c r="F7762" t="s">
        <v>44</v>
      </c>
      <c r="G7762">
        <v>-184.69659999999999</v>
      </c>
      <c r="H7762" s="1">
        <v>-4.8529569999999998E-6</v>
      </c>
      <c r="I7762">
        <v>8.7522640000000003</v>
      </c>
      <c r="J7762">
        <v>-187.55330000000001</v>
      </c>
      <c r="K7762">
        <v>1.11175</v>
      </c>
      <c r="L7762">
        <v>-23.25891</v>
      </c>
      <c r="M7762">
        <v>1.2095420000000001E-2</v>
      </c>
      <c r="N7762">
        <v>-1.269545E-2</v>
      </c>
      <c r="O7762">
        <v>0.99984629999999997</v>
      </c>
      <c r="P7762">
        <v>-4.5381049999999999E-2</v>
      </c>
      <c r="Q7762">
        <v>0.17980170000000001</v>
      </c>
      <c r="R7762">
        <v>0.98265550000000002</v>
      </c>
      <c r="S7762">
        <v>0.27334589999999998</v>
      </c>
      <c r="T7762">
        <v>-0.1063061</v>
      </c>
      <c r="U7762">
        <v>3.0851139999999999</v>
      </c>
      <c r="V7762">
        <v>-5.7649720000000002E-2</v>
      </c>
      <c r="W7762">
        <v>0.1921397</v>
      </c>
      <c r="X7762">
        <v>0.97967280000000001</v>
      </c>
      <c r="Y7762">
        <v>7.6156860000000007E-2</v>
      </c>
      <c r="Z7762">
        <v>-2.1632479999999999E-2</v>
      </c>
      <c r="AA7762">
        <v>0.9968612</v>
      </c>
      <c r="AB7762">
        <v>27</v>
      </c>
      <c r="AC7762">
        <v>2.8567000000000098</v>
      </c>
      <c r="AD7762">
        <v>-1.1117548529570001</v>
      </c>
      <c r="AE7762">
        <v>32.011173999999997</v>
      </c>
      <c r="AF7762">
        <v>2.4663198703510698</v>
      </c>
      <c r="AG7762">
        <v>-1.1117548529570001</v>
      </c>
      <c r="AH7762">
        <v>32.00508857154</v>
      </c>
      <c r="AI7762">
        <v>91.983596834463299</v>
      </c>
      <c r="AJ7762">
        <v>85.5934819766522</v>
      </c>
      <c r="AK7762">
        <v>32.119222080058002</v>
      </c>
      <c r="AL7762">
        <v>78.922318667604003</v>
      </c>
      <c r="AM7762">
        <v>93.367737538048104</v>
      </c>
      <c r="AN7762">
        <v>0.999999974796003</v>
      </c>
    </row>
    <row r="7763" spans="1:40" x14ac:dyDescent="0.25">
      <c r="A7763" t="str">
        <f>"20190304154945191"</f>
        <v>20190304154945191</v>
      </c>
      <c r="B7763" t="str">
        <f>"1551685785184746"</f>
        <v>1551685785184746</v>
      </c>
      <c r="C7763" t="s">
        <v>40</v>
      </c>
      <c r="D7763">
        <v>4.9289959999999997</v>
      </c>
      <c r="E7763">
        <v>0.55251169999999905</v>
      </c>
      <c r="F7763" t="s">
        <v>44</v>
      </c>
      <c r="G7763">
        <v>-183.9426</v>
      </c>
      <c r="H7763" s="1">
        <v>-3.6940959999999998E-6</v>
      </c>
      <c r="I7763">
        <v>15.73917</v>
      </c>
      <c r="J7763">
        <v>-187.55109999999999</v>
      </c>
      <c r="K7763">
        <v>1.1116619999999999</v>
      </c>
      <c r="L7763">
        <v>-22.981539999999999</v>
      </c>
      <c r="M7763">
        <v>1.1096460000000001E-2</v>
      </c>
      <c r="N7763">
        <v>-1.268671E-2</v>
      </c>
      <c r="O7763">
        <v>0.99985800000000002</v>
      </c>
      <c r="P7763">
        <v>-4.6111989999999999E-2</v>
      </c>
      <c r="Q7763">
        <v>0.1807946</v>
      </c>
      <c r="R7763">
        <v>0.98243930000000002</v>
      </c>
      <c r="S7763">
        <v>0.28536990000000001</v>
      </c>
      <c r="T7763">
        <v>-8.7867500000000001E-2</v>
      </c>
      <c r="U7763">
        <v>3.082214</v>
      </c>
      <c r="V7763">
        <v>-5.7354280000000001E-2</v>
      </c>
      <c r="W7763">
        <v>0.193135</v>
      </c>
      <c r="X7763">
        <v>0.97949450000000005</v>
      </c>
      <c r="Y7763">
        <v>8.1103469999999997E-2</v>
      </c>
      <c r="Z7763">
        <v>-1.570875E-2</v>
      </c>
      <c r="AA7763">
        <v>0.99658190000000002</v>
      </c>
      <c r="AB7763">
        <v>27</v>
      </c>
      <c r="AC7763">
        <v>3.60849999999999</v>
      </c>
      <c r="AD7763">
        <v>-1.1116656940959999</v>
      </c>
      <c r="AE7763">
        <v>38.720709999999997</v>
      </c>
      <c r="AF7763">
        <v>3.1759851454780299</v>
      </c>
      <c r="AG7763">
        <v>-1.1116656940959999</v>
      </c>
      <c r="AH7763">
        <v>38.726724603509098</v>
      </c>
      <c r="AI7763">
        <v>91.638747532923702</v>
      </c>
      <c r="AJ7763">
        <v>85.311655527132402</v>
      </c>
      <c r="AK7763">
        <v>38.872636658397198</v>
      </c>
      <c r="AL7763">
        <v>78.864204626580701</v>
      </c>
      <c r="AM7763">
        <v>93.351126682272493</v>
      </c>
      <c r="AN7763">
        <v>1.0000000585947799</v>
      </c>
    </row>
    <row r="7764" spans="1:40" x14ac:dyDescent="0.25">
      <c r="A7764" t="str">
        <f>"20190304154945214"</f>
        <v>20190304154945214</v>
      </c>
      <c r="B7764" t="str">
        <f>"1551685785205242"</f>
        <v>1551685785205242</v>
      </c>
      <c r="C7764" t="s">
        <v>40</v>
      </c>
      <c r="D7764">
        <v>4.7965220000000004</v>
      </c>
      <c r="E7764">
        <v>0.55111619999999995</v>
      </c>
      <c r="F7764" t="s">
        <v>44</v>
      </c>
      <c r="G7764">
        <v>-183.8904</v>
      </c>
      <c r="H7764" s="1">
        <v>-4.1776539999999998E-6</v>
      </c>
      <c r="I7764">
        <v>16.84477</v>
      </c>
      <c r="J7764">
        <v>-187.54910000000001</v>
      </c>
      <c r="K7764">
        <v>1.111569</v>
      </c>
      <c r="L7764">
        <v>-22.70673</v>
      </c>
      <c r="M7764">
        <v>1.0265460000000001E-2</v>
      </c>
      <c r="N7764">
        <v>-1.267887E-2</v>
      </c>
      <c r="O7764">
        <v>0.9998669</v>
      </c>
      <c r="P7764">
        <v>-4.7086589999999998E-2</v>
      </c>
      <c r="Q7764">
        <v>0.18110979999999999</v>
      </c>
      <c r="R7764">
        <v>0.98233499999999996</v>
      </c>
      <c r="S7764">
        <v>0.28335569999999999</v>
      </c>
      <c r="T7764">
        <v>-8.6048719999999995E-2</v>
      </c>
      <c r="U7764">
        <v>3.0827640000000001</v>
      </c>
      <c r="V7764">
        <v>-5.7465479999999999E-2</v>
      </c>
      <c r="W7764">
        <v>0.1934554</v>
      </c>
      <c r="X7764">
        <v>0.97942470000000004</v>
      </c>
      <c r="Y7764">
        <v>8.1271019999999999E-2</v>
      </c>
      <c r="Z7764">
        <v>-1.512487E-2</v>
      </c>
      <c r="AA7764">
        <v>0.9965773</v>
      </c>
      <c r="AB7764">
        <v>27</v>
      </c>
      <c r="AC7764">
        <v>3.6587000000000001</v>
      </c>
      <c r="AD7764">
        <v>-1.1115731776540001</v>
      </c>
      <c r="AE7764">
        <v>39.551499999999997</v>
      </c>
      <c r="AF7764">
        <v>3.2499149996538401</v>
      </c>
      <c r="AG7764">
        <v>-1.1115731776540001</v>
      </c>
      <c r="AH7764">
        <v>39.5559982878491</v>
      </c>
      <c r="AI7764">
        <v>91.604257053926901</v>
      </c>
      <c r="AJ7764">
        <v>85.303136548904106</v>
      </c>
      <c r="AK7764">
        <v>39.7048428152357</v>
      </c>
      <c r="AL7764">
        <v>78.845493622401193</v>
      </c>
      <c r="AM7764">
        <v>93.357847822229999</v>
      </c>
      <c r="AN7764">
        <v>1.0000000080754401</v>
      </c>
    </row>
    <row r="7765" spans="1:40" x14ac:dyDescent="0.25">
      <c r="A7765" t="str">
        <f>"20190304154945228"</f>
        <v>20190304154945228</v>
      </c>
      <c r="B7765" t="str">
        <f>"1551685785224762"</f>
        <v>1551685785224762</v>
      </c>
      <c r="C7765" t="s">
        <v>40</v>
      </c>
      <c r="D7765">
        <v>4.752453</v>
      </c>
      <c r="E7765">
        <v>0.51045640000000003</v>
      </c>
      <c r="F7765" t="s">
        <v>44</v>
      </c>
      <c r="G7765">
        <v>-184.21870000000001</v>
      </c>
      <c r="H7765" s="1">
        <v>-3.4743299999999999E-6</v>
      </c>
      <c r="I7765">
        <v>15.33732</v>
      </c>
      <c r="J7765">
        <v>-187.5478</v>
      </c>
      <c r="K7765">
        <v>1.111502</v>
      </c>
      <c r="L7765">
        <v>-22.52356</v>
      </c>
      <c r="M7765">
        <v>9.7911379999999996E-3</v>
      </c>
      <c r="N7765">
        <v>-1.2674049999999999E-2</v>
      </c>
      <c r="O7765">
        <v>0.99987170000000003</v>
      </c>
      <c r="P7765">
        <v>-4.7831209999999999E-2</v>
      </c>
      <c r="Q7765">
        <v>0.18214669999999999</v>
      </c>
      <c r="R7765">
        <v>0.98210730000000002</v>
      </c>
      <c r="S7765">
        <v>0.269928</v>
      </c>
      <c r="T7765">
        <v>-9.0093729999999997E-2</v>
      </c>
      <c r="U7765">
        <v>3.0834959999999998</v>
      </c>
      <c r="V7765">
        <v>-5.7711180000000001E-2</v>
      </c>
      <c r="W7765">
        <v>0.19449440000000001</v>
      </c>
      <c r="X7765">
        <v>0.97920450000000003</v>
      </c>
      <c r="Y7765">
        <v>7.7415049999999999E-2</v>
      </c>
      <c r="Z7765">
        <v>-1.6438479999999998E-2</v>
      </c>
      <c r="AA7765">
        <v>0.99686339999999996</v>
      </c>
      <c r="AB7765">
        <v>27</v>
      </c>
      <c r="AC7765">
        <v>3.32909999999998</v>
      </c>
      <c r="AD7765">
        <v>-1.1115054743299999</v>
      </c>
      <c r="AE7765">
        <v>37.860880000000002</v>
      </c>
      <c r="AF7765">
        <v>2.9556816336877998</v>
      </c>
      <c r="AG7765">
        <v>-1.1115054743299999</v>
      </c>
      <c r="AH7765">
        <v>37.859283731791301</v>
      </c>
      <c r="AI7765">
        <v>91.676557228594604</v>
      </c>
      <c r="AJ7765">
        <v>85.535962042579897</v>
      </c>
      <c r="AK7765">
        <v>37.990747071141698</v>
      </c>
      <c r="AL7765">
        <v>78.784811227047001</v>
      </c>
      <c r="AM7765">
        <v>93.372928181134299</v>
      </c>
      <c r="AN7765">
        <v>1.00000005237429</v>
      </c>
    </row>
    <row r="7766" spans="1:40" x14ac:dyDescent="0.25">
      <c r="A7766" t="str">
        <f>"20190304154945249"</f>
        <v>20190304154945249</v>
      </c>
      <c r="B7766" t="str">
        <f>"1551685785245258"</f>
        <v>1551685785245258</v>
      </c>
      <c r="C7766" t="s">
        <v>40</v>
      </c>
      <c r="D7766">
        <v>4.7695790000000002</v>
      </c>
      <c r="E7766">
        <v>0.51173040000000003</v>
      </c>
      <c r="F7766" t="s">
        <v>44</v>
      </c>
      <c r="G7766">
        <v>-188.5754</v>
      </c>
      <c r="H7766" s="1">
        <v>-1.927147E-6</v>
      </c>
      <c r="I7766">
        <v>33.53595</v>
      </c>
      <c r="J7766">
        <v>-187.5461</v>
      </c>
      <c r="K7766">
        <v>1.1114310000000001</v>
      </c>
      <c r="L7766">
        <v>-22.28772</v>
      </c>
      <c r="M7766">
        <v>9.2568010000000003E-3</v>
      </c>
      <c r="N7766">
        <v>-1.26684E-2</v>
      </c>
      <c r="O7766">
        <v>0.99987689999999996</v>
      </c>
      <c r="P7766">
        <v>-4.8608499999999999E-2</v>
      </c>
      <c r="Q7766">
        <v>0.18433579999999999</v>
      </c>
      <c r="R7766">
        <v>0.98166059999999999</v>
      </c>
      <c r="S7766">
        <v>-5.6152340000000002E-2</v>
      </c>
      <c r="T7766">
        <v>-6.0734150000000001E-2</v>
      </c>
      <c r="U7766">
        <v>3.0631710000000001</v>
      </c>
      <c r="V7766">
        <v>-5.7923530000000001E-2</v>
      </c>
      <c r="W7766">
        <v>0.19668330000000001</v>
      </c>
      <c r="X7766">
        <v>0.97875460000000003</v>
      </c>
      <c r="Y7766">
        <v>-2.7577419999999998E-2</v>
      </c>
      <c r="Z7766">
        <v>-7.1480370000000003E-3</v>
      </c>
      <c r="AA7766">
        <v>0.99959410000000004</v>
      </c>
      <c r="AB7766">
        <v>27</v>
      </c>
      <c r="AC7766">
        <v>-1.0293000000000001</v>
      </c>
      <c r="AD7766">
        <v>-1.111432927147</v>
      </c>
      <c r="AE7766">
        <v>55.8236699999999</v>
      </c>
      <c r="AF7766">
        <v>-1.5454335737259699</v>
      </c>
      <c r="AG7766">
        <v>-1.111432927147</v>
      </c>
      <c r="AH7766">
        <v>55.789641755757899</v>
      </c>
      <c r="AI7766">
        <v>91.140849494498696</v>
      </c>
      <c r="AJ7766">
        <v>91.586749441743194</v>
      </c>
      <c r="AK7766">
        <v>55.822108302339799</v>
      </c>
      <c r="AL7766">
        <v>78.656926034900593</v>
      </c>
      <c r="AM7766">
        <v>93.386862648892901</v>
      </c>
      <c r="AN7766">
        <v>1.0000000114238501</v>
      </c>
    </row>
    <row r="7767" spans="1:40" x14ac:dyDescent="0.25">
      <c r="A7767" t="str">
        <f>"20190304154945271"</f>
        <v>20190304154945271</v>
      </c>
      <c r="B7767" t="str">
        <f>"1551685785264780"</f>
        <v>1551685785264780</v>
      </c>
      <c r="C7767" t="s">
        <v>40</v>
      </c>
      <c r="D7767">
        <v>4.7031029999999996</v>
      </c>
      <c r="E7767">
        <v>0.51090740000000001</v>
      </c>
      <c r="F7767" t="s">
        <v>44</v>
      </c>
      <c r="G7767">
        <v>-188.44380000000001</v>
      </c>
      <c r="H7767" s="1">
        <v>-2.0696690000000001E-6</v>
      </c>
      <c r="I7767">
        <v>33.813749999999999</v>
      </c>
      <c r="J7767">
        <v>-187.54419999999999</v>
      </c>
      <c r="K7767">
        <v>1.111343</v>
      </c>
      <c r="L7767">
        <v>-22.007539999999999</v>
      </c>
      <c r="M7767">
        <v>8.7371440000000005E-3</v>
      </c>
      <c r="N7767">
        <v>-1.26623E-2</v>
      </c>
      <c r="O7767">
        <v>0.99988169999999998</v>
      </c>
      <c r="P7767">
        <v>-4.9465969999999998E-2</v>
      </c>
      <c r="Q7767">
        <v>0.18488579999999999</v>
      </c>
      <c r="R7767">
        <v>0.98151429999999995</v>
      </c>
      <c r="S7767">
        <v>-4.9041750000000002E-2</v>
      </c>
      <c r="T7767">
        <v>-6.0721160000000003E-2</v>
      </c>
      <c r="U7767">
        <v>3.0650019999999998</v>
      </c>
      <c r="V7767">
        <v>-5.8225859999999997E-2</v>
      </c>
      <c r="W7767">
        <v>0.19723869999999999</v>
      </c>
      <c r="X7767">
        <v>0.97862490000000002</v>
      </c>
      <c r="Y7767">
        <v>-2.4729129999999998E-2</v>
      </c>
      <c r="Z7767">
        <v>-7.1395249999999999E-3</v>
      </c>
      <c r="AA7767">
        <v>0.99966869999999997</v>
      </c>
      <c r="AB7767">
        <v>27</v>
      </c>
      <c r="AC7767">
        <v>-0.89960000000002005</v>
      </c>
      <c r="AD7767">
        <v>-1.1113450696689999</v>
      </c>
      <c r="AE7767">
        <v>55.821289999999998</v>
      </c>
      <c r="AF7767">
        <v>-1.3867738594235901</v>
      </c>
      <c r="AG7767">
        <v>-1.1113450696689999</v>
      </c>
      <c r="AH7767">
        <v>55.789191134562799</v>
      </c>
      <c r="AI7767">
        <v>91.140853718568707</v>
      </c>
      <c r="AJ7767">
        <v>91.423930489953904</v>
      </c>
      <c r="AK7767">
        <v>55.817488989113798</v>
      </c>
      <c r="AL7767">
        <v>78.624468311004605</v>
      </c>
      <c r="AM7767">
        <v>93.404948943354498</v>
      </c>
      <c r="AN7767">
        <v>1.0000000252252099</v>
      </c>
    </row>
    <row r="7768" spans="1:40" x14ac:dyDescent="0.25">
      <c r="A7768" t="str">
        <f>"20190304154945294"</f>
        <v>20190304154945294</v>
      </c>
      <c r="B7768" t="str">
        <f>"1551685785285275"</f>
        <v>1551685785285275</v>
      </c>
      <c r="C7768" t="s">
        <v>40</v>
      </c>
      <c r="D7768">
        <v>4.8035600000000001</v>
      </c>
      <c r="E7768">
        <v>0.51142319999999997</v>
      </c>
      <c r="F7768" t="s">
        <v>44</v>
      </c>
      <c r="G7768">
        <v>-188.345</v>
      </c>
      <c r="H7768" s="1">
        <v>-5.5989840000000005E-7</v>
      </c>
      <c r="I7768">
        <v>19.99934</v>
      </c>
      <c r="J7768">
        <v>-187.54239999999999</v>
      </c>
      <c r="K7768">
        <v>1.1112569999999999</v>
      </c>
      <c r="L7768">
        <v>-21.7424</v>
      </c>
      <c r="M7768">
        <v>8.3781180000000004E-3</v>
      </c>
      <c r="N7768">
        <v>-1.2657150000000001E-2</v>
      </c>
      <c r="O7768">
        <v>0.99988480000000002</v>
      </c>
      <c r="P7768">
        <v>-5.0076240000000001E-2</v>
      </c>
      <c r="Q7768">
        <v>0.1842551</v>
      </c>
      <c r="R7768">
        <v>0.98160199999999997</v>
      </c>
      <c r="S7768">
        <v>-5.85021999999999E-2</v>
      </c>
      <c r="T7768">
        <v>-8.1190109999999996E-2</v>
      </c>
      <c r="U7768">
        <v>3.068848</v>
      </c>
      <c r="V7768">
        <v>-5.8442819999999999E-2</v>
      </c>
      <c r="W7768">
        <v>0.1966165</v>
      </c>
      <c r="X7768">
        <v>0.97873710000000003</v>
      </c>
      <c r="Y7768">
        <v>-2.7427790000000001E-2</v>
      </c>
      <c r="Z7768">
        <v>-1.3782340000000001E-2</v>
      </c>
      <c r="AA7768">
        <v>0.9995288</v>
      </c>
      <c r="AB7768">
        <v>27</v>
      </c>
      <c r="AC7768">
        <v>-0.80260000000001197</v>
      </c>
      <c r="AD7768">
        <v>-1.11125755989839</v>
      </c>
      <c r="AE7768">
        <v>41.74174</v>
      </c>
      <c r="AF7768">
        <v>-1.1515012484434799</v>
      </c>
      <c r="AG7768">
        <v>-1.11125755989839</v>
      </c>
      <c r="AH7768">
        <v>41.704003469085897</v>
      </c>
      <c r="AI7768">
        <v>91.525778355189601</v>
      </c>
      <c r="AJ7768">
        <v>91.581608417549504</v>
      </c>
      <c r="AK7768">
        <v>41.734694845405599</v>
      </c>
      <c r="AL7768">
        <v>78.660829036916795</v>
      </c>
      <c r="AM7768">
        <v>93.417215519378303</v>
      </c>
      <c r="AN7768">
        <v>0.99999996109910505</v>
      </c>
    </row>
    <row r="7769" spans="1:40" x14ac:dyDescent="0.25">
      <c r="A7769" t="str">
        <f>"20190304154945314"</f>
        <v>20190304154945314</v>
      </c>
      <c r="B7769" t="str">
        <f>"1551685785304794"</f>
        <v>1551685785304794</v>
      </c>
      <c r="C7769" t="s">
        <v>40</v>
      </c>
      <c r="D7769">
        <v>4.7330009999999998</v>
      </c>
      <c r="E7769">
        <v>0.51183100000000004</v>
      </c>
      <c r="F7769" t="s">
        <v>44</v>
      </c>
      <c r="G7769">
        <v>-188.2525</v>
      </c>
      <c r="H7769" s="1">
        <v>-3.4184519999999999E-6</v>
      </c>
      <c r="I7769">
        <v>16.878679999999999</v>
      </c>
      <c r="J7769">
        <v>-187.54060000000001</v>
      </c>
      <c r="K7769">
        <v>1.111178</v>
      </c>
      <c r="L7769">
        <v>-21.475829999999998</v>
      </c>
      <c r="M7769">
        <v>8.1256399999999999E-3</v>
      </c>
      <c r="N7769">
        <v>-1.265266E-2</v>
      </c>
      <c r="O7769">
        <v>0.99988690000000002</v>
      </c>
      <c r="P7769">
        <v>-5.0764740000000003E-2</v>
      </c>
      <c r="Q7769">
        <v>0.1837551</v>
      </c>
      <c r="R7769">
        <v>0.98166030000000004</v>
      </c>
      <c r="S7769">
        <v>-5.6442260000000001E-2</v>
      </c>
      <c r="T7769">
        <v>-8.8331939999999998E-2</v>
      </c>
      <c r="U7769">
        <v>3.0699160000000001</v>
      </c>
      <c r="V7769">
        <v>-5.8843090000000001E-2</v>
      </c>
      <c r="W7769">
        <v>0.19612460000000001</v>
      </c>
      <c r="X7769">
        <v>0.97881189999999996</v>
      </c>
      <c r="Y7769">
        <v>-2.6497489999999999E-2</v>
      </c>
      <c r="Z7769">
        <v>-1.6101939999999999E-2</v>
      </c>
      <c r="AA7769">
        <v>0.99951920000000005</v>
      </c>
      <c r="AB7769">
        <v>27</v>
      </c>
      <c r="AC7769">
        <v>-0.71189999999998499</v>
      </c>
      <c r="AD7769">
        <v>-1.1111814184519999</v>
      </c>
      <c r="AE7769">
        <v>38.354509999999998</v>
      </c>
      <c r="AF7769">
        <v>-1.0226983007572501</v>
      </c>
      <c r="AG7769">
        <v>-1.1111814184519999</v>
      </c>
      <c r="AH7769">
        <v>38.315310038627601</v>
      </c>
      <c r="AI7769">
        <v>91.660576869181398</v>
      </c>
      <c r="AJ7769">
        <v>91.528955050073606</v>
      </c>
      <c r="AK7769">
        <v>38.345059907571397</v>
      </c>
      <c r="AL7769">
        <v>78.689573513096903</v>
      </c>
      <c r="AM7769">
        <v>93.440301418772904</v>
      </c>
      <c r="AN7769">
        <v>1.00000005177375</v>
      </c>
    </row>
    <row r="7770" spans="1:40" x14ac:dyDescent="0.25">
      <c r="A7770" t="str">
        <f>"20190304154945338"</f>
        <v>20190304154945338</v>
      </c>
      <c r="B7770" t="str">
        <f>"1551685785335050"</f>
        <v>1551685785335050</v>
      </c>
      <c r="C7770" t="s">
        <v>40</v>
      </c>
      <c r="D7770">
        <v>4.7438010000000004</v>
      </c>
      <c r="E7770">
        <v>0.5120112</v>
      </c>
      <c r="F7770" t="s">
        <v>44</v>
      </c>
      <c r="G7770">
        <v>-188.2647</v>
      </c>
      <c r="H7770" s="1">
        <v>-4.227632E-6</v>
      </c>
      <c r="I7770">
        <v>18.769960000000001</v>
      </c>
      <c r="J7770">
        <v>-187.5385</v>
      </c>
      <c r="K7770">
        <v>1.111103</v>
      </c>
      <c r="L7770">
        <v>-21.189450000000001</v>
      </c>
      <c r="M7770">
        <v>7.9419859999999998E-3</v>
      </c>
      <c r="N7770">
        <v>-1.264817E-2</v>
      </c>
      <c r="O7770">
        <v>0.99988849999999996</v>
      </c>
      <c r="P7770">
        <v>-5.1129519999999998E-2</v>
      </c>
      <c r="Q7770">
        <v>0.18463740000000001</v>
      </c>
      <c r="R7770">
        <v>0.98147580000000001</v>
      </c>
      <c r="S7770">
        <v>-5.5221560000000003E-2</v>
      </c>
      <c r="T7770">
        <v>-8.4736469999999994E-2</v>
      </c>
      <c r="U7770">
        <v>3.069061</v>
      </c>
      <c r="V7770">
        <v>-5.8990149999999998E-2</v>
      </c>
      <c r="W7770">
        <v>0.19701150000000001</v>
      </c>
      <c r="X7770">
        <v>0.97862490000000002</v>
      </c>
      <c r="Y7770">
        <v>-2.5922230000000001E-2</v>
      </c>
      <c r="Z7770">
        <v>-1.494474E-2</v>
      </c>
      <c r="AA7770">
        <v>0.9995522</v>
      </c>
      <c r="AB7770">
        <v>27</v>
      </c>
      <c r="AC7770">
        <v>-0.72620000000000495</v>
      </c>
      <c r="AD7770">
        <v>-1.111107227632</v>
      </c>
      <c r="AE7770">
        <v>39.959409999999998</v>
      </c>
      <c r="AF7770">
        <v>-1.0427535884858501</v>
      </c>
      <c r="AG7770">
        <v>-1.111107227632</v>
      </c>
      <c r="AH7770">
        <v>39.921525773338097</v>
      </c>
      <c r="AI7770">
        <v>91.593717522324098</v>
      </c>
      <c r="AJ7770">
        <v>91.496230337516806</v>
      </c>
      <c r="AK7770">
        <v>39.950595920322598</v>
      </c>
      <c r="AL7770">
        <v>78.637746527930204</v>
      </c>
      <c r="AM7770">
        <v>93.449536089745294</v>
      </c>
      <c r="AN7770">
        <v>1.00000003191464</v>
      </c>
    </row>
    <row r="7771" spans="1:40" x14ac:dyDescent="0.25">
      <c r="A7771" t="str">
        <f>"20190304154945361"</f>
        <v>20190304154945361</v>
      </c>
      <c r="B7771" t="str">
        <f>"1551685785354570"</f>
        <v>1551685785354570</v>
      </c>
      <c r="C7771" t="s">
        <v>40</v>
      </c>
      <c r="D7771">
        <v>4.7085650000000001</v>
      </c>
      <c r="E7771">
        <v>0.51248400000000005</v>
      </c>
      <c r="F7771" t="s">
        <v>44</v>
      </c>
      <c r="G7771">
        <v>-188.30240000000001</v>
      </c>
      <c r="H7771" s="1">
        <v>-1.0795509999999999E-6</v>
      </c>
      <c r="I7771">
        <v>21.447279999999999</v>
      </c>
      <c r="J7771">
        <v>-187.53659999999999</v>
      </c>
      <c r="K7771">
        <v>1.111043</v>
      </c>
      <c r="L7771">
        <v>-20.91968</v>
      </c>
      <c r="M7771">
        <v>7.8380680000000001E-3</v>
      </c>
      <c r="N7771">
        <v>-1.264417E-2</v>
      </c>
      <c r="O7771">
        <v>0.99988929999999998</v>
      </c>
      <c r="P7771">
        <v>-5.0650479999999998E-2</v>
      </c>
      <c r="Q7771">
        <v>0.18432009999999999</v>
      </c>
      <c r="R7771">
        <v>0.98156030000000005</v>
      </c>
      <c r="S7771">
        <v>-5.4977419999999999E-2</v>
      </c>
      <c r="T7771">
        <v>-7.9971909999999993E-2</v>
      </c>
      <c r="U7771">
        <v>3.0687869999999999</v>
      </c>
      <c r="V7771">
        <v>-5.8381639999999999E-2</v>
      </c>
      <c r="W7771">
        <v>0.19669970000000001</v>
      </c>
      <c r="X7771">
        <v>0.97872409999999999</v>
      </c>
      <c r="Y7771">
        <v>-2.5741139999999999E-2</v>
      </c>
      <c r="Z7771">
        <v>-1.3400479999999999E-2</v>
      </c>
      <c r="AA7771">
        <v>0.99957879999999999</v>
      </c>
      <c r="AB7771">
        <v>27</v>
      </c>
      <c r="AC7771">
        <v>-0.76580000000001203</v>
      </c>
      <c r="AD7771">
        <v>-1.1110440795509999</v>
      </c>
      <c r="AE7771">
        <v>42.366959999999999</v>
      </c>
      <c r="AF7771">
        <v>-1.0971238858153101</v>
      </c>
      <c r="AG7771">
        <v>-1.1110440795509999</v>
      </c>
      <c r="AH7771">
        <v>42.3305536720937</v>
      </c>
      <c r="AI7771">
        <v>91.502984573937596</v>
      </c>
      <c r="AJ7771">
        <v>91.484660442327595</v>
      </c>
      <c r="AK7771">
        <v>42.359342227583497</v>
      </c>
      <c r="AL7771">
        <v>78.655967829077198</v>
      </c>
      <c r="AM7771">
        <v>93.413691956711702</v>
      </c>
      <c r="AN7771">
        <v>1.0000000258949899</v>
      </c>
    </row>
    <row r="7772" spans="1:40" x14ac:dyDescent="0.25">
      <c r="A7772" t="str">
        <f>"20190304154945380"</f>
        <v>20190304154945380</v>
      </c>
      <c r="B7772" t="str">
        <f>"1551685785375066"</f>
        <v>1551685785375066</v>
      </c>
      <c r="C7772" t="s">
        <v>40</v>
      </c>
      <c r="D7772">
        <v>4.7064349999999999</v>
      </c>
      <c r="E7772">
        <v>0.51270850000000001</v>
      </c>
      <c r="F7772" t="s">
        <v>44</v>
      </c>
      <c r="G7772">
        <v>-188.2373</v>
      </c>
      <c r="H7772" s="1">
        <v>-1.4083520000000001E-6</v>
      </c>
      <c r="I7772">
        <v>22.186810000000001</v>
      </c>
      <c r="J7772">
        <v>-187.53469999999999</v>
      </c>
      <c r="K7772">
        <v>1.1109960000000001</v>
      </c>
      <c r="L7772">
        <v>-20.67191</v>
      </c>
      <c r="M7772">
        <v>7.7935349999999999E-3</v>
      </c>
      <c r="N7772">
        <v>-1.2640759999999999E-2</v>
      </c>
      <c r="O7772">
        <v>0.99988969999999999</v>
      </c>
      <c r="P7772">
        <v>-4.9430399999999999E-2</v>
      </c>
      <c r="Q7772">
        <v>0.18303449999999999</v>
      </c>
      <c r="R7772">
        <v>0.98186300000000004</v>
      </c>
      <c r="S7772">
        <v>-4.9880979999999998E-2</v>
      </c>
      <c r="T7772">
        <v>-7.9092259999999998E-2</v>
      </c>
      <c r="U7772">
        <v>3.0686339999999999</v>
      </c>
      <c r="V7772">
        <v>-5.7099999999999998E-2</v>
      </c>
      <c r="W7772">
        <v>0.19542090000000001</v>
      </c>
      <c r="X7772">
        <v>0.97905580000000003</v>
      </c>
      <c r="Y7772">
        <v>-2.403837E-2</v>
      </c>
      <c r="Z7772">
        <v>-1.3119850000000001E-2</v>
      </c>
      <c r="AA7772">
        <v>0.99962499999999999</v>
      </c>
      <c r="AB7772">
        <v>27</v>
      </c>
      <c r="AC7772">
        <v>-0.70260000000001799</v>
      </c>
      <c r="AD7772">
        <v>-1.11099740835199</v>
      </c>
      <c r="AE7772">
        <v>42.858719999999998</v>
      </c>
      <c r="AF7772">
        <v>-1.0359303689593</v>
      </c>
      <c r="AG7772">
        <v>-1.11099740835199</v>
      </c>
      <c r="AH7772">
        <v>42.823173982639702</v>
      </c>
      <c r="AI7772">
        <v>91.485704485228595</v>
      </c>
      <c r="AJ7772">
        <v>91.385765194562694</v>
      </c>
      <c r="AK7772">
        <v>42.850107315129598</v>
      </c>
      <c r="AL7772">
        <v>78.730687544937894</v>
      </c>
      <c r="AM7772">
        <v>93.337794676881501</v>
      </c>
      <c r="AN7772">
        <v>0.99999999883522495</v>
      </c>
    </row>
    <row r="7773" spans="1:40" x14ac:dyDescent="0.25">
      <c r="A7773" t="str">
        <f>"20190304154945395"</f>
        <v>20190304154945395</v>
      </c>
      <c r="B7773" t="str">
        <f>"1551685785384826"</f>
        <v>1551685785384826</v>
      </c>
      <c r="C7773" t="s">
        <v>40</v>
      </c>
      <c r="D7773">
        <v>4.7016359999999997</v>
      </c>
      <c r="E7773">
        <v>0.51285959999999997</v>
      </c>
      <c r="F7773" t="s">
        <v>44</v>
      </c>
      <c r="G7773">
        <v>-188.14840000000001</v>
      </c>
      <c r="H7773" s="1">
        <v>-1.136062E-6</v>
      </c>
      <c r="I7773">
        <v>21.515360000000001</v>
      </c>
      <c r="J7773">
        <v>-187.5334</v>
      </c>
      <c r="K7773">
        <v>1.110965</v>
      </c>
      <c r="L7773">
        <v>-20.488189999999999</v>
      </c>
      <c r="M7773">
        <v>7.7831599999999999E-3</v>
      </c>
      <c r="N7773">
        <v>-1.2638419999999999E-2</v>
      </c>
      <c r="O7773">
        <v>0.9998899</v>
      </c>
      <c r="P7773">
        <v>-4.8869540000000003E-2</v>
      </c>
      <c r="Q7773">
        <v>0.18218770000000001</v>
      </c>
      <c r="R7773">
        <v>0.98204860000000005</v>
      </c>
      <c r="S7773">
        <v>-4.4631959999999998E-2</v>
      </c>
      <c r="T7773">
        <v>-8.0801730000000002E-2</v>
      </c>
      <c r="U7773">
        <v>3.0682369999999999</v>
      </c>
      <c r="V7773">
        <v>-5.6518609999999997E-2</v>
      </c>
      <c r="W7773">
        <v>0.1945781</v>
      </c>
      <c r="X7773">
        <v>0.9792573</v>
      </c>
      <c r="Y7773">
        <v>-2.2320570000000001E-2</v>
      </c>
      <c r="Z7773">
        <v>-1.368305E-2</v>
      </c>
      <c r="AA7773">
        <v>0.99965720000000002</v>
      </c>
      <c r="AB7773">
        <v>27</v>
      </c>
      <c r="AC7773">
        <v>-0.61500000000000898</v>
      </c>
      <c r="AD7773">
        <v>-1.110966136062</v>
      </c>
      <c r="AE7773">
        <v>42.003549999999997</v>
      </c>
      <c r="AF7773">
        <v>-0.94126947197407196</v>
      </c>
      <c r="AG7773">
        <v>-1.110966136062</v>
      </c>
      <c r="AH7773">
        <v>41.9681372617286</v>
      </c>
      <c r="AI7773">
        <v>91.515979034450993</v>
      </c>
      <c r="AJ7773">
        <v>91.284825383125806</v>
      </c>
      <c r="AK7773">
        <v>41.993389708305699</v>
      </c>
      <c r="AL7773">
        <v>78.7799207182846</v>
      </c>
      <c r="AM7773">
        <v>93.303206723262306</v>
      </c>
      <c r="AN7773">
        <v>0.99999992493961298</v>
      </c>
    </row>
    <row r="7774" spans="1:40" x14ac:dyDescent="0.25">
      <c r="A7774" t="str">
        <f>"20190304154945415"</f>
        <v>20190304154945415</v>
      </c>
      <c r="B7774" t="str">
        <f>"1551685785405322"</f>
        <v>1551685785405322</v>
      </c>
      <c r="C7774" t="s">
        <v>40</v>
      </c>
      <c r="D7774">
        <v>4.6791</v>
      </c>
      <c r="E7774">
        <v>0.51298710000000003</v>
      </c>
      <c r="F7774" t="s">
        <v>44</v>
      </c>
      <c r="G7774">
        <v>-188.09780000000001</v>
      </c>
      <c r="H7774" s="1">
        <v>-9.8848480000000007E-7</v>
      </c>
      <c r="I7774">
        <v>21.065480000000001</v>
      </c>
      <c r="J7774">
        <v>-187.5316</v>
      </c>
      <c r="K7774">
        <v>1.11093</v>
      </c>
      <c r="L7774">
        <v>-20.25217</v>
      </c>
      <c r="M7774">
        <v>7.7889600000000002E-3</v>
      </c>
      <c r="N7774">
        <v>-1.263566E-2</v>
      </c>
      <c r="O7774">
        <v>0.9998899</v>
      </c>
      <c r="P7774">
        <v>-4.7921350000000001E-2</v>
      </c>
      <c r="Q7774">
        <v>0.17933360000000001</v>
      </c>
      <c r="R7774">
        <v>0.98262050000000001</v>
      </c>
      <c r="S7774">
        <v>-4.167175E-2</v>
      </c>
      <c r="T7774">
        <v>-8.2024929999999996E-2</v>
      </c>
      <c r="U7774">
        <v>3.067993</v>
      </c>
      <c r="V7774">
        <v>-5.5569710000000001E-2</v>
      </c>
      <c r="W7774">
        <v>0.1917316</v>
      </c>
      <c r="X7774">
        <v>0.97987290000000005</v>
      </c>
      <c r="Y7774">
        <v>-2.1363279999999998E-2</v>
      </c>
      <c r="Z7774">
        <v>-1.4086700000000001E-2</v>
      </c>
      <c r="AA7774">
        <v>0.99967249999999996</v>
      </c>
      <c r="AB7774">
        <v>27</v>
      </c>
      <c r="AC7774">
        <v>-0.56620000000000903</v>
      </c>
      <c r="AD7774">
        <v>-1.1109309884848</v>
      </c>
      <c r="AE7774">
        <v>41.31765</v>
      </c>
      <c r="AF7774">
        <v>-0.88738860733494496</v>
      </c>
      <c r="AG7774">
        <v>-1.1109309884848</v>
      </c>
      <c r="AH7774">
        <v>41.282147033700298</v>
      </c>
      <c r="AI7774">
        <v>91.541140980938295</v>
      </c>
      <c r="AJ7774">
        <v>91.231423188731995</v>
      </c>
      <c r="AK7774">
        <v>41.3066252544753</v>
      </c>
      <c r="AL7774">
        <v>78.946143767451801</v>
      </c>
      <c r="AM7774">
        <v>93.245832300348695</v>
      </c>
      <c r="AN7774">
        <v>0.99999994963122496</v>
      </c>
    </row>
    <row r="7775" spans="1:40" x14ac:dyDescent="0.25">
      <c r="A7775" t="str">
        <f>"20190304154945437"</f>
        <v>20190304154945437</v>
      </c>
      <c r="B7775" t="str">
        <f>"1551685785434603"</f>
        <v>1551685785434603</v>
      </c>
      <c r="C7775" t="s">
        <v>40</v>
      </c>
      <c r="D7775">
        <v>4.6777730000000002</v>
      </c>
      <c r="E7775">
        <v>0.51328960000000001</v>
      </c>
      <c r="F7775" t="s">
        <v>44</v>
      </c>
      <c r="G7775">
        <v>-187.9913</v>
      </c>
      <c r="H7775" s="1">
        <v>-3.4603379999999999E-6</v>
      </c>
      <c r="I7775">
        <v>16.86833</v>
      </c>
      <c r="J7775">
        <v>-187.52950000000001</v>
      </c>
      <c r="K7775">
        <v>1.1109009999999999</v>
      </c>
      <c r="L7775">
        <v>-19.98227</v>
      </c>
      <c r="M7775">
        <v>7.8029600000000003E-3</v>
      </c>
      <c r="N7775">
        <v>-1.263281E-2</v>
      </c>
      <c r="O7775">
        <v>0.99988969999999999</v>
      </c>
      <c r="P7775">
        <v>-4.6533819999999997E-2</v>
      </c>
      <c r="Q7775">
        <v>0.17780589999999999</v>
      </c>
      <c r="R7775">
        <v>0.98296479999999997</v>
      </c>
      <c r="S7775">
        <v>-3.7994380000000001E-2</v>
      </c>
      <c r="T7775">
        <v>-9.1817259999999998E-2</v>
      </c>
      <c r="U7775">
        <v>3.0679630000000002</v>
      </c>
      <c r="V7775">
        <v>-5.4190370000000002E-2</v>
      </c>
      <c r="W7775">
        <v>0.19020809999999999</v>
      </c>
      <c r="X7775">
        <v>0.98024699999999998</v>
      </c>
      <c r="Y7775">
        <v>-2.0178629999999999E-2</v>
      </c>
      <c r="Z7775">
        <v>-1.7278660000000001E-2</v>
      </c>
      <c r="AA7775">
        <v>0.99964710000000001</v>
      </c>
      <c r="AB7775">
        <v>27</v>
      </c>
      <c r="AC7775">
        <v>-0.461799999999982</v>
      </c>
      <c r="AD7775">
        <v>-1.1109044603379901</v>
      </c>
      <c r="AE7775">
        <v>36.8506</v>
      </c>
      <c r="AF7775">
        <v>-0.74867237973215195</v>
      </c>
      <c r="AG7775">
        <v>-1.1109044603379901</v>
      </c>
      <c r="AH7775">
        <v>36.812424694269197</v>
      </c>
      <c r="AI7775">
        <v>91.728157796987404</v>
      </c>
      <c r="AJ7775">
        <v>91.165091822384795</v>
      </c>
      <c r="AK7775">
        <v>36.836791810951901</v>
      </c>
      <c r="AL7775">
        <v>79.035070514281401</v>
      </c>
      <c r="AM7775">
        <v>93.164225237927795</v>
      </c>
      <c r="AN7775">
        <v>0.99999994925767199</v>
      </c>
    </row>
    <row r="7776" spans="1:40" x14ac:dyDescent="0.25">
      <c r="A7776" t="str">
        <f>"20190304154945459"</f>
        <v>20190304154945459</v>
      </c>
      <c r="B7776" t="str">
        <f>"1551685785455099"</f>
        <v>1551685785455099</v>
      </c>
      <c r="C7776" t="s">
        <v>40</v>
      </c>
      <c r="D7776">
        <v>4.6822319999999999</v>
      </c>
      <c r="E7776">
        <v>0.5133067</v>
      </c>
      <c r="F7776" t="s">
        <v>44</v>
      </c>
      <c r="G7776">
        <v>-187.90379999999999</v>
      </c>
      <c r="H7776" s="1">
        <v>-3.1734399999999998E-6</v>
      </c>
      <c r="I7776">
        <v>16.163399999999999</v>
      </c>
      <c r="J7776">
        <v>-187.5274</v>
      </c>
      <c r="K7776">
        <v>1.1108819999999999</v>
      </c>
      <c r="L7776">
        <v>-19.713439999999999</v>
      </c>
      <c r="M7776">
        <v>7.8108419999999897E-3</v>
      </c>
      <c r="N7776">
        <v>-1.2630229999999999E-2</v>
      </c>
      <c r="O7776">
        <v>0.99988969999999999</v>
      </c>
      <c r="P7776">
        <v>-4.4607479999999998E-2</v>
      </c>
      <c r="Q7776">
        <v>0.17700050000000001</v>
      </c>
      <c r="R7776">
        <v>0.98319939999999995</v>
      </c>
      <c r="S7776">
        <v>-3.17688E-2</v>
      </c>
      <c r="T7776">
        <v>-9.4277860000000005E-2</v>
      </c>
      <c r="U7776">
        <v>3.0675349999999999</v>
      </c>
      <c r="V7776">
        <v>-5.2268580000000002E-2</v>
      </c>
      <c r="W7776">
        <v>0.1894043</v>
      </c>
      <c r="X7776">
        <v>0.98050700000000002</v>
      </c>
      <c r="Y7776">
        <v>-1.8159959999999999E-2</v>
      </c>
      <c r="Z7776">
        <v>-1.8087579999999999E-2</v>
      </c>
      <c r="AA7776">
        <v>0.99967150000000005</v>
      </c>
      <c r="AB7776">
        <v>27</v>
      </c>
      <c r="AC7776">
        <v>-0.37639999999998902</v>
      </c>
      <c r="AD7776">
        <v>-1.11088517343999</v>
      </c>
      <c r="AE7776">
        <v>35.876840000000001</v>
      </c>
      <c r="AF7776">
        <v>-0.65601031931784404</v>
      </c>
      <c r="AG7776">
        <v>-1.11088517343999</v>
      </c>
      <c r="AH7776">
        <v>35.838448469028101</v>
      </c>
      <c r="AI7776">
        <v>91.775132886959099</v>
      </c>
      <c r="AJ7776">
        <v>91.048662180844602</v>
      </c>
      <c r="AK7776">
        <v>35.8616620372621</v>
      </c>
      <c r="AL7776">
        <v>79.081977958957793</v>
      </c>
      <c r="AM7776">
        <v>93.051418404373607</v>
      </c>
      <c r="AN7776">
        <v>0.99999998518135302</v>
      </c>
    </row>
    <row r="7777" spans="1:40" x14ac:dyDescent="0.25">
      <c r="A7777" t="str">
        <f>"20190304154945482"</f>
        <v>20190304154945482</v>
      </c>
      <c r="B7777" t="str">
        <f>"1551685785474619"</f>
        <v>1551685785474619</v>
      </c>
      <c r="C7777" t="s">
        <v>40</v>
      </c>
      <c r="D7777">
        <v>4.6881930000000001</v>
      </c>
      <c r="E7777">
        <v>0.51356629999999903</v>
      </c>
      <c r="F7777" t="s">
        <v>44</v>
      </c>
      <c r="G7777">
        <v>-187.82300000000001</v>
      </c>
      <c r="H7777" s="1">
        <v>-2.844675E-6</v>
      </c>
      <c r="I7777">
        <v>15.3636</v>
      </c>
      <c r="J7777">
        <v>-187.52520000000001</v>
      </c>
      <c r="K7777">
        <v>1.1108690000000001</v>
      </c>
      <c r="L7777">
        <v>-19.439969999999999</v>
      </c>
      <c r="M7777">
        <v>7.8149529999999995E-3</v>
      </c>
      <c r="N7777">
        <v>-1.2625330000000001E-2</v>
      </c>
      <c r="O7777">
        <v>0.99988969999999999</v>
      </c>
      <c r="P7777">
        <v>-4.189793E-2</v>
      </c>
      <c r="Q7777">
        <v>0.17467629999999901</v>
      </c>
      <c r="R7777">
        <v>0.98373409999999994</v>
      </c>
      <c r="S7777">
        <v>-2.5848389999999999E-2</v>
      </c>
      <c r="T7777">
        <v>-9.7149369999999999E-2</v>
      </c>
      <c r="U7777">
        <v>3.0675659999999998</v>
      </c>
      <c r="V7777">
        <v>-4.9567399999999998E-2</v>
      </c>
      <c r="W7777">
        <v>0.18708240000000001</v>
      </c>
      <c r="X7777">
        <v>0.98109290000000005</v>
      </c>
      <c r="Y7777">
        <v>-1.6235030000000001E-2</v>
      </c>
      <c r="Z7777">
        <v>-1.9027949999999998E-2</v>
      </c>
      <c r="AA7777">
        <v>0.99968710000000005</v>
      </c>
      <c r="AB7777">
        <v>27</v>
      </c>
      <c r="AC7777">
        <v>-0.29779999999996598</v>
      </c>
      <c r="AD7777">
        <v>-1.1108718446750001</v>
      </c>
      <c r="AE7777">
        <v>34.803570000000001</v>
      </c>
      <c r="AF7777">
        <v>-0.56922099555615502</v>
      </c>
      <c r="AG7777">
        <v>-1.1108718446750001</v>
      </c>
      <c r="AH7777">
        <v>34.764764500483302</v>
      </c>
      <c r="AI7777">
        <v>91.829959106080693</v>
      </c>
      <c r="AJ7777">
        <v>90.938048828549796</v>
      </c>
      <c r="AK7777">
        <v>34.787165730641803</v>
      </c>
      <c r="AL7777">
        <v>79.2174350302964</v>
      </c>
      <c r="AM7777">
        <v>92.892274637367294</v>
      </c>
      <c r="AN7777">
        <v>1.0000000149814601</v>
      </c>
    </row>
    <row r="7778" spans="1:40" x14ac:dyDescent="0.25">
      <c r="A7778" t="str">
        <f>"20190304154945496"</f>
        <v>20190304154945496</v>
      </c>
      <c r="B7778" t="str">
        <f>"1551685785485355"</f>
        <v>1551685785485355</v>
      </c>
      <c r="C7778" t="s">
        <v>40</v>
      </c>
      <c r="D7778">
        <v>4.6344149999999997</v>
      </c>
      <c r="E7778">
        <v>0.51356629999999903</v>
      </c>
      <c r="F7778" t="s">
        <v>44</v>
      </c>
      <c r="G7778">
        <v>-187.69059999999999</v>
      </c>
      <c r="H7778" s="1">
        <v>-1.797757E-6</v>
      </c>
      <c r="I7778">
        <v>12.86848</v>
      </c>
      <c r="J7778">
        <v>-187.5239</v>
      </c>
      <c r="K7778">
        <v>1.11087</v>
      </c>
      <c r="L7778">
        <v>-19.27148</v>
      </c>
      <c r="M7778">
        <v>7.8194839999999998E-3</v>
      </c>
      <c r="N7778">
        <v>-1.26198E-2</v>
      </c>
      <c r="O7778">
        <v>0.99988980000000005</v>
      </c>
      <c r="P7778">
        <v>-4.0843190000000001E-2</v>
      </c>
      <c r="Q7778">
        <v>0.17385799999999901</v>
      </c>
      <c r="R7778">
        <v>0.9839234</v>
      </c>
      <c r="S7778">
        <v>-1.570129E-2</v>
      </c>
      <c r="T7778">
        <v>-0.1054761</v>
      </c>
      <c r="U7778">
        <v>3.0676570000000001</v>
      </c>
      <c r="V7778">
        <v>-4.852062E-2</v>
      </c>
      <c r="W7778">
        <v>0.1862607</v>
      </c>
      <c r="X7778">
        <v>0.98130150000000005</v>
      </c>
      <c r="Y7778">
        <v>-1.293307E-2</v>
      </c>
      <c r="Z7778">
        <v>-2.1744409999999999E-2</v>
      </c>
      <c r="AA7778">
        <v>0.99967989999999995</v>
      </c>
      <c r="AB7778">
        <v>27</v>
      </c>
      <c r="AC7778">
        <v>-0.16669999999999099</v>
      </c>
      <c r="AD7778">
        <v>-1.110871797757</v>
      </c>
      <c r="AE7778">
        <v>32.139959999999903</v>
      </c>
      <c r="AF7778">
        <v>-0.41753402885055901</v>
      </c>
      <c r="AG7778">
        <v>-1.110871797757</v>
      </c>
      <c r="AH7778">
        <v>32.0993275047935</v>
      </c>
      <c r="AI7778">
        <v>91.981894997821001</v>
      </c>
      <c r="AJ7778">
        <v>90.745236440304097</v>
      </c>
      <c r="AK7778">
        <v>32.121257713176398</v>
      </c>
      <c r="AL7778">
        <v>79.265356805628798</v>
      </c>
      <c r="AM7778">
        <v>92.830694239617401</v>
      </c>
      <c r="AN7778">
        <v>0.99999996641596101</v>
      </c>
    </row>
    <row r="7779" spans="1:40" x14ac:dyDescent="0.25">
      <c r="A7779" t="str">
        <f>"20190304154945515"</f>
        <v>20190304154945515</v>
      </c>
      <c r="B7779" t="str">
        <f>"1551685785504874"</f>
        <v>1551685785504874</v>
      </c>
      <c r="C7779" t="s">
        <v>40</v>
      </c>
      <c r="D7779">
        <v>4.6642659999999996</v>
      </c>
      <c r="E7779">
        <v>0.53166219999999997</v>
      </c>
      <c r="F7779" t="s">
        <v>44</v>
      </c>
      <c r="G7779">
        <v>-187.65039999999999</v>
      </c>
      <c r="H7779" s="1">
        <v>-1.553766E-6</v>
      </c>
      <c r="I7779">
        <v>12.283110000000001</v>
      </c>
      <c r="J7779">
        <v>-187.52209999999999</v>
      </c>
      <c r="K7779">
        <v>1.1108789999999999</v>
      </c>
      <c r="L7779">
        <v>-19.035640000000001</v>
      </c>
      <c r="M7779">
        <v>7.8213290000000001E-3</v>
      </c>
      <c r="N7779">
        <v>-1.2608619999999999E-2</v>
      </c>
      <c r="O7779">
        <v>0.9998899</v>
      </c>
      <c r="P7779">
        <v>-3.8729140000000002E-2</v>
      </c>
      <c r="Q7779">
        <v>0.1742582</v>
      </c>
      <c r="R7779">
        <v>0.98393810000000004</v>
      </c>
      <c r="S7779">
        <v>-1.229858E-2</v>
      </c>
      <c r="T7779">
        <v>-0.10799400000000001</v>
      </c>
      <c r="U7779">
        <v>3.067596</v>
      </c>
      <c r="V7779">
        <v>-4.6411830000000001E-2</v>
      </c>
      <c r="W7779">
        <v>0.1866495</v>
      </c>
      <c r="X7779">
        <v>0.98132969999999997</v>
      </c>
      <c r="Y7779">
        <v>-1.1826339999999999E-2</v>
      </c>
      <c r="Z7779">
        <v>-2.2576160000000001E-2</v>
      </c>
      <c r="AA7779">
        <v>0.99967519999999999</v>
      </c>
      <c r="AB7779">
        <v>27</v>
      </c>
      <c r="AC7779">
        <v>-0.128299999999995</v>
      </c>
      <c r="AD7779">
        <v>-1.110880553766</v>
      </c>
      <c r="AE7779">
        <v>31.318750000000001</v>
      </c>
      <c r="AF7779">
        <v>-0.37280077629000702</v>
      </c>
      <c r="AG7779">
        <v>-1.110880553766</v>
      </c>
      <c r="AH7779">
        <v>31.277437886696902</v>
      </c>
      <c r="AI7779">
        <v>92.033974437241</v>
      </c>
      <c r="AJ7779">
        <v>90.682885207409797</v>
      </c>
      <c r="AK7779">
        <v>31.299379495122899</v>
      </c>
      <c r="AL7779">
        <v>79.242683346542805</v>
      </c>
      <c r="AM7779">
        <v>92.707776940420004</v>
      </c>
      <c r="AN7779">
        <v>1.0000000369581401</v>
      </c>
    </row>
    <row r="7780" spans="1:40" x14ac:dyDescent="0.25">
      <c r="A7780" t="str">
        <f>"20190304154945539"</f>
        <v>20190304154945539</v>
      </c>
      <c r="B7780" t="str">
        <f>"1551685785535131"</f>
        <v>1551685785535131</v>
      </c>
      <c r="C7780" t="s">
        <v>40</v>
      </c>
      <c r="D7780">
        <v>4.6610149999999999</v>
      </c>
      <c r="E7780">
        <v>0.53232299999999999</v>
      </c>
      <c r="F7780" t="s">
        <v>44</v>
      </c>
      <c r="G7780">
        <v>-185.9546</v>
      </c>
      <c r="H7780" s="1">
        <v>-3.2937669999999999E-6</v>
      </c>
      <c r="I7780">
        <v>15.6379</v>
      </c>
      <c r="J7780">
        <v>-187.5198</v>
      </c>
      <c r="K7780">
        <v>1.110889</v>
      </c>
      <c r="L7780">
        <v>-18.749479999999998</v>
      </c>
      <c r="M7780">
        <v>7.8119490000000003E-3</v>
      </c>
      <c r="N7780">
        <v>-1.258749E-2</v>
      </c>
      <c r="O7780">
        <v>0.99989030000000001</v>
      </c>
      <c r="P7780">
        <v>-3.8045160000000001E-2</v>
      </c>
      <c r="Q7780">
        <v>0.17539279999999999</v>
      </c>
      <c r="R7780">
        <v>0.98376319999999995</v>
      </c>
      <c r="S7780">
        <v>0.1388702</v>
      </c>
      <c r="T7780">
        <v>-9.8417519999999994E-2</v>
      </c>
      <c r="U7780">
        <v>3.071869</v>
      </c>
      <c r="V7780">
        <v>-4.5721129999999999E-2</v>
      </c>
      <c r="W7780">
        <v>0.18776010000000001</v>
      </c>
      <c r="X7780">
        <v>0.98115019999999997</v>
      </c>
      <c r="Y7780">
        <v>3.7336000000000001E-2</v>
      </c>
      <c r="Z7780">
        <v>-1.9411589999999999E-2</v>
      </c>
      <c r="AA7780">
        <v>0.99911419999999995</v>
      </c>
      <c r="AB7780">
        <v>27</v>
      </c>
      <c r="AC7780">
        <v>1.5651999999999999</v>
      </c>
      <c r="AD7780">
        <v>-1.110892293767</v>
      </c>
      <c r="AE7780">
        <v>34.38738</v>
      </c>
      <c r="AF7780">
        <v>1.2951496405591101</v>
      </c>
      <c r="AG7780">
        <v>-1.110892293767</v>
      </c>
      <c r="AH7780">
        <v>34.362770970447002</v>
      </c>
      <c r="AI7780">
        <v>91.850321265616799</v>
      </c>
      <c r="AJ7780">
        <v>87.841515761582301</v>
      </c>
      <c r="AK7780">
        <v>34.405108967233097</v>
      </c>
      <c r="AL7780">
        <v>79.177904988298707</v>
      </c>
      <c r="AM7780">
        <v>92.668025815954095</v>
      </c>
      <c r="AN7780">
        <v>0.99999999592026301</v>
      </c>
    </row>
    <row r="7781" spans="1:40" x14ac:dyDescent="0.25">
      <c r="A7781" t="str">
        <f>"20190304154945560"</f>
        <v>20190304154945560</v>
      </c>
      <c r="B7781" t="str">
        <f>"1551685785554650"</f>
        <v>1551685785554650</v>
      </c>
      <c r="C7781" t="s">
        <v>40</v>
      </c>
      <c r="D7781">
        <v>4.6673660000000003</v>
      </c>
      <c r="E7781">
        <v>0.53215639999999997</v>
      </c>
      <c r="F7781" t="s">
        <v>44</v>
      </c>
      <c r="G7781">
        <v>-185.88040000000001</v>
      </c>
      <c r="H7781" s="1">
        <v>-3.289024E-6</v>
      </c>
      <c r="I7781">
        <v>15.596159999999999</v>
      </c>
      <c r="J7781">
        <v>-187.51779999999999</v>
      </c>
      <c r="K7781">
        <v>1.110889</v>
      </c>
      <c r="L7781">
        <v>-18.485019999999999</v>
      </c>
      <c r="M7781">
        <v>7.7919579999999999E-3</v>
      </c>
      <c r="N7781">
        <v>-1.2560470000000001E-2</v>
      </c>
      <c r="O7781">
        <v>0.99989070000000002</v>
      </c>
      <c r="P7781">
        <v>-3.7757310000000002E-2</v>
      </c>
      <c r="Q7781">
        <v>0.17532210000000001</v>
      </c>
      <c r="R7781">
        <v>0.98378679999999996</v>
      </c>
      <c r="S7781">
        <v>0.1466827</v>
      </c>
      <c r="T7781">
        <v>-9.9391579999999993E-2</v>
      </c>
      <c r="U7781">
        <v>3.0729060000000001</v>
      </c>
      <c r="V7781">
        <v>-4.5417430000000002E-2</v>
      </c>
      <c r="W7781">
        <v>0.1876623</v>
      </c>
      <c r="X7781">
        <v>0.98118309999999997</v>
      </c>
      <c r="Y7781">
        <v>3.9874239999999998E-2</v>
      </c>
      <c r="Z7781">
        <v>-1.974076E-2</v>
      </c>
      <c r="AA7781">
        <v>0.9990097</v>
      </c>
      <c r="AB7781">
        <v>27</v>
      </c>
      <c r="AC7781">
        <v>1.63739999999998</v>
      </c>
      <c r="AD7781">
        <v>-1.1108922890240001</v>
      </c>
      <c r="AE7781">
        <v>34.081179999999897</v>
      </c>
      <c r="AF7781">
        <v>1.3703176345893899</v>
      </c>
      <c r="AG7781">
        <v>-1.1108922890240001</v>
      </c>
      <c r="AH7781">
        <v>34.056803932331199</v>
      </c>
      <c r="AI7781">
        <v>91.866748109330999</v>
      </c>
      <c r="AJ7781">
        <v>87.695876323880299</v>
      </c>
      <c r="AK7781">
        <v>34.102459532748199</v>
      </c>
      <c r="AL7781">
        <v>79.183610831804501</v>
      </c>
      <c r="AM7781">
        <v>92.6502402189072</v>
      </c>
      <c r="AN7781">
        <v>1.00000007875734</v>
      </c>
    </row>
    <row r="7782" spans="1:40" x14ac:dyDescent="0.25">
      <c r="A7782" t="str">
        <f>"20190304154945581"</f>
        <v>20190304154945581</v>
      </c>
      <c r="B7782" t="str">
        <f>"1551685785575147"</f>
        <v>1551685785575147</v>
      </c>
      <c r="C7782" t="s">
        <v>40</v>
      </c>
      <c r="D7782">
        <v>4.7149830000000001</v>
      </c>
      <c r="E7782">
        <v>0.53226169999999995</v>
      </c>
      <c r="F7782" t="s">
        <v>44</v>
      </c>
      <c r="G7782">
        <v>-185.93819999999999</v>
      </c>
      <c r="H7782" s="1">
        <v>-2.7863349999999998E-6</v>
      </c>
      <c r="I7782">
        <v>14.4483</v>
      </c>
      <c r="J7782">
        <v>-187.51580000000001</v>
      </c>
      <c r="K7782">
        <v>1.110887</v>
      </c>
      <c r="L7782">
        <v>-18.22729</v>
      </c>
      <c r="M7782">
        <v>7.7719499999999997E-3</v>
      </c>
      <c r="N7782">
        <v>-1.252965E-2</v>
      </c>
      <c r="O7782">
        <v>0.99989130000000004</v>
      </c>
      <c r="P7782">
        <v>-3.7317999999999997E-2</v>
      </c>
      <c r="Q7782">
        <v>0.175542899999999</v>
      </c>
      <c r="R7782">
        <v>0.98376419999999998</v>
      </c>
      <c r="S7782">
        <v>0.1474152</v>
      </c>
      <c r="T7782">
        <v>-0.10367659999999999</v>
      </c>
      <c r="U7782">
        <v>3.0735779999999999</v>
      </c>
      <c r="V7782">
        <v>-4.4960519999999997E-2</v>
      </c>
      <c r="W7782">
        <v>0.18785189999999999</v>
      </c>
      <c r="X7782">
        <v>0.98116780000000003</v>
      </c>
      <c r="Y7782">
        <v>4.0119580000000002E-2</v>
      </c>
      <c r="Z7782">
        <v>-2.11551E-2</v>
      </c>
      <c r="AA7782">
        <v>0.99897089999999999</v>
      </c>
      <c r="AB7782">
        <v>27</v>
      </c>
      <c r="AC7782">
        <v>1.5776000000000101</v>
      </c>
      <c r="AD7782">
        <v>-1.110889786335</v>
      </c>
      <c r="AE7782">
        <v>32.67559</v>
      </c>
      <c r="AF7782">
        <v>1.32205483744651</v>
      </c>
      <c r="AG7782">
        <v>-1.110889786335</v>
      </c>
      <c r="AH7782">
        <v>32.649215687845299</v>
      </c>
      <c r="AI7782">
        <v>91.947143060691005</v>
      </c>
      <c r="AJ7782">
        <v>87.681206081620104</v>
      </c>
      <c r="AK7782">
        <v>32.694849596565497</v>
      </c>
      <c r="AL7782">
        <v>79.172550193322195</v>
      </c>
      <c r="AM7782">
        <v>92.623656478271698</v>
      </c>
      <c r="AN7782">
        <v>1.0000000182245601</v>
      </c>
    </row>
    <row r="7783" spans="1:40" x14ac:dyDescent="0.25">
      <c r="A7783" t="str">
        <f>"20190304154945605"</f>
        <v>20190304154945605</v>
      </c>
      <c r="B7783" t="str">
        <f>"1551685785594670"</f>
        <v>1551685785594670</v>
      </c>
      <c r="C7783" t="s">
        <v>40</v>
      </c>
      <c r="D7783">
        <v>4.7018579999999996</v>
      </c>
      <c r="E7783">
        <v>0.53402229999999995</v>
      </c>
      <c r="F7783" t="s">
        <v>44</v>
      </c>
      <c r="G7783">
        <v>-185.9623</v>
      </c>
      <c r="H7783" s="1">
        <v>-2.4451219999999999E-6</v>
      </c>
      <c r="I7783">
        <v>13.66287</v>
      </c>
      <c r="J7783">
        <v>-187.5136</v>
      </c>
      <c r="K7783">
        <v>1.1108789999999999</v>
      </c>
      <c r="L7783">
        <v>-17.945589999999999</v>
      </c>
      <c r="M7783">
        <v>7.7539660000000002E-3</v>
      </c>
      <c r="N7783">
        <v>-1.249215E-2</v>
      </c>
      <c r="O7783">
        <v>0.99989189999999994</v>
      </c>
      <c r="P7783">
        <v>-3.7837200000000001E-2</v>
      </c>
      <c r="Q7783">
        <v>0.1771771</v>
      </c>
      <c r="R7783">
        <v>0.98345139999999998</v>
      </c>
      <c r="S7783">
        <v>0.14976500000000001</v>
      </c>
      <c r="T7783">
        <v>-0.1070932</v>
      </c>
      <c r="U7783">
        <v>3.0743100000000001</v>
      </c>
      <c r="V7783">
        <v>-4.5459590000000001E-2</v>
      </c>
      <c r="W7783">
        <v>0.18944549999999999</v>
      </c>
      <c r="X7783">
        <v>0.9808384</v>
      </c>
      <c r="Y7783">
        <v>4.0886289999999999E-2</v>
      </c>
      <c r="Z7783">
        <v>-2.2292099999999999E-2</v>
      </c>
      <c r="AA7783">
        <v>0.99891509999999994</v>
      </c>
      <c r="AB7783">
        <v>27</v>
      </c>
      <c r="AC7783">
        <v>1.5512999999999899</v>
      </c>
      <c r="AD7783">
        <v>-1.1108814451219999</v>
      </c>
      <c r="AE7783">
        <v>31.608459999999901</v>
      </c>
      <c r="AF7783">
        <v>1.30453584636395</v>
      </c>
      <c r="AG7783">
        <v>-1.1108814451219999</v>
      </c>
      <c r="AH7783">
        <v>31.580625400383902</v>
      </c>
      <c r="AI7783">
        <v>92.012892950897907</v>
      </c>
      <c r="AJ7783">
        <v>87.634564637750799</v>
      </c>
      <c r="AK7783">
        <v>31.627073403002999</v>
      </c>
      <c r="AL7783">
        <v>79.079574777360193</v>
      </c>
      <c r="AM7783">
        <v>92.653627781686097</v>
      </c>
      <c r="AN7783">
        <v>1.00000006935388</v>
      </c>
    </row>
    <row r="7784" spans="1:40" x14ac:dyDescent="0.25">
      <c r="A7784" t="str">
        <f>"20190304154945627"</f>
        <v>20190304154945627</v>
      </c>
      <c r="B7784" t="str">
        <f>"1551685785624923"</f>
        <v>1551685785624923</v>
      </c>
      <c r="C7784" t="s">
        <v>40</v>
      </c>
      <c r="D7784">
        <v>4.6842699999999997</v>
      </c>
      <c r="E7784">
        <v>0.53628339999999997</v>
      </c>
      <c r="F7784" t="s">
        <v>44</v>
      </c>
      <c r="G7784">
        <v>-185.57509999999999</v>
      </c>
      <c r="H7784" s="1">
        <v>-4.7660919999999998E-6</v>
      </c>
      <c r="I7784">
        <v>18.913039999999999</v>
      </c>
      <c r="J7784">
        <v>-187.51150000000001</v>
      </c>
      <c r="K7784">
        <v>1.1108690000000001</v>
      </c>
      <c r="L7784">
        <v>-17.67276</v>
      </c>
      <c r="M7784">
        <v>7.7379629999999996E-3</v>
      </c>
      <c r="N7784">
        <v>-1.245186E-2</v>
      </c>
      <c r="O7784">
        <v>0.99989249999999996</v>
      </c>
      <c r="P7784">
        <v>-3.9205419999999998E-2</v>
      </c>
      <c r="Q7784">
        <v>0.17877799999999999</v>
      </c>
      <c r="R7784">
        <v>0.98310799999999998</v>
      </c>
      <c r="S7784">
        <v>0.16163640000000001</v>
      </c>
      <c r="T7784">
        <v>-9.262919E-2</v>
      </c>
      <c r="U7784">
        <v>3.0733950000000001</v>
      </c>
      <c r="V7784">
        <v>-4.6808500000000003E-2</v>
      </c>
      <c r="W7784">
        <v>0.19100249999999999</v>
      </c>
      <c r="X7784">
        <v>0.98047289999999998</v>
      </c>
      <c r="Y7784">
        <v>4.477006E-2</v>
      </c>
      <c r="Z7784">
        <v>-1.7642129999999999E-2</v>
      </c>
      <c r="AA7784">
        <v>0.99884150000000005</v>
      </c>
      <c r="AB7784">
        <v>27</v>
      </c>
      <c r="AC7784">
        <v>1.9364000000000201</v>
      </c>
      <c r="AD7784">
        <v>-1.1108737660920001</v>
      </c>
      <c r="AE7784">
        <v>36.585799999999999</v>
      </c>
      <c r="AF7784">
        <v>1.6517019707059499</v>
      </c>
      <c r="AG7784">
        <v>-1.1108737660920001</v>
      </c>
      <c r="AH7784">
        <v>36.566071782410901</v>
      </c>
      <c r="AI7784">
        <v>91.738333680544798</v>
      </c>
      <c r="AJ7784">
        <v>87.413688086254595</v>
      </c>
      <c r="AK7784">
        <v>36.620209796240196</v>
      </c>
      <c r="AL7784">
        <v>78.988705821365599</v>
      </c>
      <c r="AM7784">
        <v>92.733267533971002</v>
      </c>
      <c r="AN7784">
        <v>1.00000004915645</v>
      </c>
    </row>
    <row r="7785" spans="1:40" x14ac:dyDescent="0.25">
      <c r="A7785" t="str">
        <f>"20190304154945648"</f>
        <v>20190304154945648</v>
      </c>
      <c r="B7785" t="str">
        <f>"1551685785644443"</f>
        <v>1551685785644443</v>
      </c>
      <c r="C7785" t="s">
        <v>40</v>
      </c>
      <c r="D7785">
        <v>4.7168039999999998</v>
      </c>
      <c r="E7785">
        <v>0.53834009999999999</v>
      </c>
      <c r="F7785" t="s">
        <v>44</v>
      </c>
      <c r="G7785">
        <v>-184.9298</v>
      </c>
      <c r="H7785" s="1">
        <v>-4.4591589999999999E-6</v>
      </c>
      <c r="I7785">
        <v>27.930720000000001</v>
      </c>
      <c r="J7785">
        <v>-187.50960000000001</v>
      </c>
      <c r="K7785">
        <v>1.1108559999999901</v>
      </c>
      <c r="L7785">
        <v>-17.41638</v>
      </c>
      <c r="M7785">
        <v>7.7265260000000001E-3</v>
      </c>
      <c r="N7785">
        <v>-1.241139E-2</v>
      </c>
      <c r="O7785">
        <v>0.99989309999999998</v>
      </c>
      <c r="P7785">
        <v>-4.013978E-2</v>
      </c>
      <c r="Q7785">
        <v>0.18006159999999999</v>
      </c>
      <c r="R7785">
        <v>0.98283600000000004</v>
      </c>
      <c r="S7785">
        <v>0.17391970000000001</v>
      </c>
      <c r="T7785">
        <v>-7.4834109999999995E-2</v>
      </c>
      <c r="U7785">
        <v>3.0720830000000001</v>
      </c>
      <c r="V7785">
        <v>-4.7728479999999997E-2</v>
      </c>
      <c r="W7785">
        <v>0.1922432</v>
      </c>
      <c r="X7785">
        <v>0.980186</v>
      </c>
      <c r="Y7785">
        <v>4.879087E-2</v>
      </c>
      <c r="Z7785">
        <v>-1.1910260000000001E-2</v>
      </c>
      <c r="AA7785">
        <v>0.99873800000000001</v>
      </c>
      <c r="AB7785">
        <v>27</v>
      </c>
      <c r="AC7785">
        <v>2.5798000000000001</v>
      </c>
      <c r="AD7785">
        <v>-1.1108604591589999</v>
      </c>
      <c r="AE7785">
        <v>45.347099999999998</v>
      </c>
      <c r="AF7785">
        <v>2.22798774512255</v>
      </c>
      <c r="AG7785">
        <v>-1.1108604591589999</v>
      </c>
      <c r="AH7785">
        <v>45.338560936335</v>
      </c>
      <c r="AI7785">
        <v>91.401857889459393</v>
      </c>
      <c r="AJ7785">
        <v>87.186684242355</v>
      </c>
      <c r="AK7785">
        <v>45.406861245079497</v>
      </c>
      <c r="AL7785">
        <v>78.916276467138502</v>
      </c>
      <c r="AM7785">
        <v>92.787718071294805</v>
      </c>
      <c r="AN7785">
        <v>1.0000000251726699</v>
      </c>
    </row>
    <row r="7786" spans="1:40" x14ac:dyDescent="0.25">
      <c r="A7786" t="str">
        <f>"20190304154945670"</f>
        <v>20190304154945670</v>
      </c>
      <c r="B7786" t="str">
        <f>"1551685785664939"</f>
        <v>1551685785664939</v>
      </c>
      <c r="C7786" t="s">
        <v>40</v>
      </c>
      <c r="D7786">
        <v>4.571148</v>
      </c>
      <c r="E7786">
        <v>0.53980980000000001</v>
      </c>
      <c r="F7786" t="s">
        <v>44</v>
      </c>
      <c r="G7786">
        <v>-184.26840000000001</v>
      </c>
      <c r="H7786" s="1">
        <v>-3.710237E-6</v>
      </c>
      <c r="I7786">
        <v>35.91151</v>
      </c>
      <c r="J7786">
        <v>-187.50749999999999</v>
      </c>
      <c r="K7786">
        <v>1.110849</v>
      </c>
      <c r="L7786">
        <v>-17.14761</v>
      </c>
      <c r="M7786">
        <v>7.719938E-3</v>
      </c>
      <c r="N7786">
        <v>-1.237009E-2</v>
      </c>
      <c r="O7786">
        <v>0.9998937</v>
      </c>
      <c r="P7786">
        <v>-4.0251210000000003E-2</v>
      </c>
      <c r="Q7786">
        <v>0.1816284</v>
      </c>
      <c r="R7786">
        <v>0.9825431</v>
      </c>
      <c r="S7786">
        <v>0.1866913</v>
      </c>
      <c r="T7786">
        <v>-6.3986779999999993E-2</v>
      </c>
      <c r="U7786">
        <v>3.0717469999999998</v>
      </c>
      <c r="V7786">
        <v>-4.7830259999999999E-2</v>
      </c>
      <c r="W7786">
        <v>0.1937661</v>
      </c>
      <c r="X7786">
        <v>0.97988109999999995</v>
      </c>
      <c r="Y7786">
        <v>5.2943860000000002E-2</v>
      </c>
      <c r="Z7786">
        <v>-8.4254150000000003E-3</v>
      </c>
      <c r="AA7786">
        <v>0.9985619</v>
      </c>
      <c r="AB7786">
        <v>27</v>
      </c>
      <c r="AC7786">
        <v>3.2390999999999699</v>
      </c>
      <c r="AD7786">
        <v>-1.1108527102370001</v>
      </c>
      <c r="AE7786">
        <v>53.059119999999901</v>
      </c>
      <c r="AF7786">
        <v>2.8281239835953502</v>
      </c>
      <c r="AG7786">
        <v>-1.1108527102370001</v>
      </c>
      <c r="AH7786">
        <v>53.0593754856096</v>
      </c>
      <c r="AI7786">
        <v>91.197671385378797</v>
      </c>
      <c r="AJ7786">
        <v>86.948958109626204</v>
      </c>
      <c r="AK7786">
        <v>53.146303784302198</v>
      </c>
      <c r="AL7786">
        <v>78.827348428560796</v>
      </c>
      <c r="AM7786">
        <v>92.794521311162796</v>
      </c>
      <c r="AN7786">
        <v>1.0000000027090401</v>
      </c>
    </row>
    <row r="7787" spans="1:40" x14ac:dyDescent="0.25">
      <c r="A7787" t="str">
        <f>"20190304154945694"</f>
        <v>20190304154945694</v>
      </c>
      <c r="B7787" t="str">
        <f>"1551685785685435"</f>
        <v>1551685785685435</v>
      </c>
      <c r="C7787" t="s">
        <v>40</v>
      </c>
      <c r="D7787">
        <v>4.5907090000000004</v>
      </c>
      <c r="E7787">
        <v>0.54097819999999996</v>
      </c>
      <c r="F7787" t="s">
        <v>44</v>
      </c>
      <c r="G7787">
        <v>-183.12639999999999</v>
      </c>
      <c r="H7787" s="1">
        <v>-2.2213229999999998E-6</v>
      </c>
      <c r="I7787">
        <v>50.801279999999998</v>
      </c>
      <c r="J7787">
        <v>-187.50530000000001</v>
      </c>
      <c r="K7787">
        <v>1.1108610000000001</v>
      </c>
      <c r="L7787">
        <v>-16.861629999999899</v>
      </c>
      <c r="M7787">
        <v>7.718234E-3</v>
      </c>
      <c r="N7787">
        <v>-1.232425E-2</v>
      </c>
      <c r="O7787">
        <v>0.99989430000000001</v>
      </c>
      <c r="P7787">
        <v>-3.8478869999999998E-2</v>
      </c>
      <c r="Q7787">
        <v>0.18334339999999999</v>
      </c>
      <c r="R7787">
        <v>0.98229560000000005</v>
      </c>
      <c r="S7787">
        <v>0.19798279999999999</v>
      </c>
      <c r="T7787">
        <v>-5.0200460000000002E-2</v>
      </c>
      <c r="U7787">
        <v>3.0706790000000002</v>
      </c>
      <c r="V7787">
        <v>-4.6053150000000001E-2</v>
      </c>
      <c r="W7787">
        <v>0.1954331</v>
      </c>
      <c r="X7787">
        <v>0.97963520000000004</v>
      </c>
      <c r="Y7787">
        <v>5.6626419999999997E-2</v>
      </c>
      <c r="Z7787">
        <v>-3.9945830000000003E-3</v>
      </c>
      <c r="AA7787">
        <v>0.99838749999999998</v>
      </c>
      <c r="AB7787">
        <v>27</v>
      </c>
      <c r="AC7787">
        <v>4.3789000000000096</v>
      </c>
      <c r="AD7787">
        <v>-1.1108632213230001</v>
      </c>
      <c r="AE7787">
        <v>67.662909999999997</v>
      </c>
      <c r="AF7787">
        <v>3.8554568731878902</v>
      </c>
      <c r="AG7787">
        <v>-1.1108632213230001</v>
      </c>
      <c r="AH7787">
        <v>67.676528917416903</v>
      </c>
      <c r="AI7787">
        <v>90.938863966442099</v>
      </c>
      <c r="AJ7787">
        <v>86.739447197356697</v>
      </c>
      <c r="AK7787">
        <v>67.795362165176599</v>
      </c>
      <c r="AL7787">
        <v>78.729975459030797</v>
      </c>
      <c r="AM7787">
        <v>92.691522217546193</v>
      </c>
      <c r="AN7787">
        <v>1.00000005713978</v>
      </c>
    </row>
    <row r="7788" spans="1:40" x14ac:dyDescent="0.25">
      <c r="A7788" t="str">
        <f>"20190304154945716"</f>
        <v>20190304154945716</v>
      </c>
      <c r="B7788" t="str">
        <f>"1551685785704955"</f>
        <v>1551685785704955</v>
      </c>
      <c r="C7788" t="s">
        <v>40</v>
      </c>
      <c r="D7788">
        <v>4.5591400000000002</v>
      </c>
      <c r="E7788">
        <v>0.54201840000000001</v>
      </c>
      <c r="F7788" t="s">
        <v>44</v>
      </c>
      <c r="G7788">
        <v>-181.255</v>
      </c>
      <c r="H7788" s="1">
        <v>-3.4929239999999999E-6</v>
      </c>
      <c r="I7788">
        <v>73.074730000000002</v>
      </c>
      <c r="J7788">
        <v>-187.50319999999999</v>
      </c>
      <c r="K7788">
        <v>1.110854</v>
      </c>
      <c r="L7788">
        <v>-16.592559999999999</v>
      </c>
      <c r="M7788">
        <v>7.7191589999999997E-3</v>
      </c>
      <c r="N7788">
        <v>-1.228046E-2</v>
      </c>
      <c r="O7788">
        <v>0.99989479999999997</v>
      </c>
      <c r="P7788">
        <v>-3.7300310000000003E-2</v>
      </c>
      <c r="Q7788">
        <v>0.18394720000000001</v>
      </c>
      <c r="R7788">
        <v>0.9822282</v>
      </c>
      <c r="S7788">
        <v>0.2133179</v>
      </c>
      <c r="T7788">
        <v>-3.791332E-2</v>
      </c>
      <c r="U7788">
        <v>3.0694889999999999</v>
      </c>
      <c r="V7788">
        <v>-4.4874570000000003E-2</v>
      </c>
      <c r="W7788">
        <v>0.19599369999999999</v>
      </c>
      <c r="X7788">
        <v>0.97957780000000005</v>
      </c>
      <c r="Y7788">
        <v>6.1616480000000001E-2</v>
      </c>
      <c r="Z7788" s="1">
        <v>-4.6424020000000003E-5</v>
      </c>
      <c r="AA7788">
        <v>0.99809990000000004</v>
      </c>
      <c r="AB7788">
        <v>27</v>
      </c>
      <c r="AC7788">
        <v>6.24819999999999</v>
      </c>
      <c r="AD7788">
        <v>-1.110857492924</v>
      </c>
      <c r="AE7788">
        <v>89.667289999999994</v>
      </c>
      <c r="AF7788">
        <v>5.5549571052020097</v>
      </c>
      <c r="AG7788">
        <v>-1.110857492924</v>
      </c>
      <c r="AH7788">
        <v>89.699152210734198</v>
      </c>
      <c r="AI7788">
        <v>90.708172931387494</v>
      </c>
      <c r="AJ7788">
        <v>86.456269173899898</v>
      </c>
      <c r="AK7788">
        <v>89.877858564468895</v>
      </c>
      <c r="AL7788">
        <v>78.697220941327899</v>
      </c>
      <c r="AM7788">
        <v>92.622892405145095</v>
      </c>
      <c r="AN7788">
        <v>0.99999996186260598</v>
      </c>
    </row>
    <row r="7789" spans="1:40" x14ac:dyDescent="0.25">
      <c r="A7789" t="str">
        <f>"20190304154945738"</f>
        <v>20190304154945738</v>
      </c>
      <c r="B7789" t="str">
        <f>"1551685785735211"</f>
        <v>1551685785735211</v>
      </c>
      <c r="C7789" t="s">
        <v>40</v>
      </c>
      <c r="D7789">
        <v>4.5198330000000002</v>
      </c>
      <c r="E7789">
        <v>0.5427843</v>
      </c>
      <c r="F7789" t="s">
        <v>44</v>
      </c>
      <c r="G7789">
        <v>-179.92859999999999</v>
      </c>
      <c r="H7789">
        <v>7.9161490000000001E-2</v>
      </c>
      <c r="I7789">
        <v>86.380390000000006</v>
      </c>
      <c r="J7789">
        <v>-187.50110000000001</v>
      </c>
      <c r="K7789">
        <v>1.110843</v>
      </c>
      <c r="L7789">
        <v>-16.32648</v>
      </c>
      <c r="M7789">
        <v>7.7238469999999998E-3</v>
      </c>
      <c r="N7789">
        <v>-1.223842E-2</v>
      </c>
      <c r="O7789">
        <v>0.99989530000000004</v>
      </c>
      <c r="P7789">
        <v>-3.659453E-2</v>
      </c>
      <c r="Q7789">
        <v>0.1833774</v>
      </c>
      <c r="R7789">
        <v>0.98236120000000005</v>
      </c>
      <c r="S7789">
        <v>0.22572329999999999</v>
      </c>
      <c r="T7789">
        <v>-3.0744549999999999E-2</v>
      </c>
      <c r="U7789">
        <v>3.0686040000000001</v>
      </c>
      <c r="V7789">
        <v>-4.4173770000000001E-2</v>
      </c>
      <c r="W7789">
        <v>0.19538440000000001</v>
      </c>
      <c r="X7789">
        <v>0.97973140000000003</v>
      </c>
      <c r="Y7789">
        <v>6.564586E-2</v>
      </c>
      <c r="Z7789">
        <v>2.2412669999999999E-3</v>
      </c>
      <c r="AA7789">
        <v>0.99784050000000002</v>
      </c>
      <c r="AB7789">
        <v>27</v>
      </c>
      <c r="AC7789">
        <v>7.5725000000000096</v>
      </c>
      <c r="AD7789">
        <v>-1.0316815100000001</v>
      </c>
      <c r="AE7789">
        <v>102.70687</v>
      </c>
      <c r="AF7789">
        <v>6.7782423079904097</v>
      </c>
      <c r="AG7789">
        <v>-1.0316815100000001</v>
      </c>
      <c r="AH7789">
        <v>102.751987424014</v>
      </c>
      <c r="AI7789">
        <v>90.574011535884495</v>
      </c>
      <c r="AJ7789">
        <v>86.225836494851706</v>
      </c>
      <c r="AK7789">
        <v>102.98048288442099</v>
      </c>
      <c r="AL7789">
        <v>78.732819970929597</v>
      </c>
      <c r="AM7789">
        <v>92.581582676171195</v>
      </c>
      <c r="AN7789">
        <v>1.0000000009326599</v>
      </c>
    </row>
    <row r="7790" spans="1:40" x14ac:dyDescent="0.25">
      <c r="A7790" t="str">
        <f>"20190304154945762"</f>
        <v>20190304154945762</v>
      </c>
      <c r="B7790" t="str">
        <f>"1551685785754731"</f>
        <v>1551685785754731</v>
      </c>
      <c r="C7790" t="s">
        <v>40</v>
      </c>
      <c r="D7790">
        <v>4.7098380000000004</v>
      </c>
      <c r="E7790">
        <v>0.543317099999999</v>
      </c>
      <c r="F7790" t="s">
        <v>44</v>
      </c>
      <c r="G7790">
        <v>-179.62260000000001</v>
      </c>
      <c r="H7790">
        <v>7.9985979999999998E-2</v>
      </c>
      <c r="I7790">
        <v>86.748450000000005</v>
      </c>
      <c r="J7790">
        <v>-187.49879999999999</v>
      </c>
      <c r="K7790">
        <v>1.110827</v>
      </c>
      <c r="L7790">
        <v>-16.030670000000001</v>
      </c>
      <c r="M7790">
        <v>7.7479999999999997E-3</v>
      </c>
      <c r="N7790">
        <v>-1.219014E-2</v>
      </c>
      <c r="O7790">
        <v>0.99989570000000005</v>
      </c>
      <c r="P7790">
        <v>-3.6569249999999998E-2</v>
      </c>
      <c r="Q7790">
        <v>0.18428710000000001</v>
      </c>
      <c r="R7790">
        <v>0.98219190000000001</v>
      </c>
      <c r="S7790">
        <v>0.2345276</v>
      </c>
      <c r="T7790">
        <v>-3.0686499999999999E-2</v>
      </c>
      <c r="U7790">
        <v>3.0683289999999999</v>
      </c>
      <c r="V7790">
        <v>-4.4166030000000002E-2</v>
      </c>
      <c r="W7790">
        <v>0.1962457</v>
      </c>
      <c r="X7790">
        <v>0.97955959999999997</v>
      </c>
      <c r="Y7790">
        <v>6.8474899999999894E-2</v>
      </c>
      <c r="Z7790">
        <v>2.2128529999999999E-3</v>
      </c>
      <c r="AA7790">
        <v>0.99765040000000005</v>
      </c>
      <c r="AB7790">
        <v>27</v>
      </c>
      <c r="AC7790">
        <v>7.8761999999999803</v>
      </c>
      <c r="AD7790">
        <v>-1.03084102</v>
      </c>
      <c r="AE7790">
        <v>102.779119999999</v>
      </c>
      <c r="AF7790">
        <v>7.0788638359166898</v>
      </c>
      <c r="AG7790">
        <v>-1.03084102</v>
      </c>
      <c r="AH7790">
        <v>102.826780429807</v>
      </c>
      <c r="AI7790">
        <v>90.573016213720194</v>
      </c>
      <c r="AJ7790">
        <v>86.061822620244598</v>
      </c>
      <c r="AK7790">
        <v>103.075310913796</v>
      </c>
      <c r="AL7790">
        <v>78.682497022956795</v>
      </c>
      <c r="AM7790">
        <v>92.581583029640299</v>
      </c>
      <c r="AN7790">
        <v>1.0000000114633001</v>
      </c>
    </row>
    <row r="7791" spans="1:40" x14ac:dyDescent="0.25">
      <c r="A7791" t="str">
        <f>"20190304154945784"</f>
        <v>20190304154945784</v>
      </c>
      <c r="B7791" t="str">
        <f>"1551685785775227"</f>
        <v>1551685785775227</v>
      </c>
      <c r="C7791" t="s">
        <v>40</v>
      </c>
      <c r="D7791">
        <v>4.5825459999999998</v>
      </c>
      <c r="E7791">
        <v>0.54368590000000006</v>
      </c>
      <c r="F7791" t="s">
        <v>44</v>
      </c>
      <c r="G7791">
        <v>-177.0949</v>
      </c>
      <c r="H7791">
        <v>7.9986310000000005E-2</v>
      </c>
      <c r="I7791">
        <v>117.4533</v>
      </c>
      <c r="J7791">
        <v>-187.4967</v>
      </c>
      <c r="K7791">
        <v>1.110808</v>
      </c>
      <c r="L7791">
        <v>-15.7706</v>
      </c>
      <c r="M7791">
        <v>7.79969199999999E-3</v>
      </c>
      <c r="N7791">
        <v>-1.214867E-2</v>
      </c>
      <c r="O7791">
        <v>0.9998958</v>
      </c>
      <c r="P7791">
        <v>-3.8041650000000003E-2</v>
      </c>
      <c r="Q7791">
        <v>0.18675739999999999</v>
      </c>
      <c r="R7791">
        <v>0.98166920000000002</v>
      </c>
      <c r="S7791">
        <v>0.23910519999999999</v>
      </c>
      <c r="T7791">
        <v>-2.3690940000000001E-2</v>
      </c>
      <c r="U7791">
        <v>3.0677490000000001</v>
      </c>
      <c r="V7791">
        <v>-4.5675269999999997E-2</v>
      </c>
      <c r="W7791">
        <v>0.19867080000000001</v>
      </c>
      <c r="X7791">
        <v>0.97900129999999996</v>
      </c>
      <c r="Y7791">
        <v>6.9917690000000005E-2</v>
      </c>
      <c r="Z7791">
        <v>4.4443169999999997E-3</v>
      </c>
      <c r="AA7791">
        <v>0.99754290000000001</v>
      </c>
      <c r="AB7791">
        <v>27</v>
      </c>
      <c r="AC7791">
        <v>10.4018</v>
      </c>
      <c r="AD7791">
        <v>-1.03082169</v>
      </c>
      <c r="AE7791">
        <v>133.22389999999999</v>
      </c>
      <c r="AF7791">
        <v>9.36174440987614</v>
      </c>
      <c r="AG7791">
        <v>-1.03082169</v>
      </c>
      <c r="AH7791">
        <v>133.2930520283</v>
      </c>
      <c r="AI7791">
        <v>90.441999247673493</v>
      </c>
      <c r="AJ7791">
        <v>85.982468247207606</v>
      </c>
      <c r="AK7791">
        <v>133.62538146164999</v>
      </c>
      <c r="AL7791">
        <v>78.540757407311801</v>
      </c>
      <c r="AM7791">
        <v>92.671195512760704</v>
      </c>
      <c r="AN7791">
        <v>0.99999993123194897</v>
      </c>
    </row>
    <row r="7792" spans="1:40" x14ac:dyDescent="0.25">
      <c r="A7792" t="str">
        <f>"20190304154945805"</f>
        <v>20190304154945805</v>
      </c>
      <c r="B7792" t="str">
        <f>"1551685785794750"</f>
        <v>1551685785794750</v>
      </c>
      <c r="C7792" t="s">
        <v>40</v>
      </c>
      <c r="D7792">
        <v>4.5956609999999998</v>
      </c>
      <c r="E7792">
        <v>0.54401709999999903</v>
      </c>
      <c r="F7792" t="s">
        <v>45</v>
      </c>
      <c r="G7792">
        <v>-166.24639999999999</v>
      </c>
      <c r="H7792">
        <v>-0.05</v>
      </c>
      <c r="I7792">
        <v>257.76089999999999</v>
      </c>
      <c r="J7792">
        <v>-187.49459999999999</v>
      </c>
      <c r="K7792">
        <v>1.110779</v>
      </c>
      <c r="L7792">
        <v>-15.50534</v>
      </c>
      <c r="M7792">
        <v>7.8919290000000007E-3</v>
      </c>
      <c r="N7792">
        <v>-1.210991E-2</v>
      </c>
      <c r="O7792">
        <v>0.99989550000000005</v>
      </c>
      <c r="P7792">
        <v>-3.9804340000000001E-2</v>
      </c>
      <c r="Q7792">
        <v>0.18733839999999999</v>
      </c>
      <c r="R7792">
        <v>0.98148860000000004</v>
      </c>
      <c r="S7792">
        <v>0.23832700000000001</v>
      </c>
      <c r="T7792">
        <v>-1.3018729999999999E-2</v>
      </c>
      <c r="U7792">
        <v>3.0677189999999999</v>
      </c>
      <c r="V7792">
        <v>-4.751238E-2</v>
      </c>
      <c r="W7792">
        <v>0.19921530000000001</v>
      </c>
      <c r="X7792">
        <v>0.97880330000000004</v>
      </c>
      <c r="Y7792">
        <v>6.9574819999999996E-2</v>
      </c>
      <c r="Z7792">
        <v>7.8743770000000001E-3</v>
      </c>
      <c r="AA7792">
        <v>0.99754569999999998</v>
      </c>
      <c r="AB7792">
        <v>27</v>
      </c>
      <c r="AC7792">
        <v>21.248200000000001</v>
      </c>
      <c r="AD7792">
        <v>-1.160779</v>
      </c>
      <c r="AE7792">
        <v>273.26623999999998</v>
      </c>
      <c r="AF7792">
        <v>19.090439828307101</v>
      </c>
      <c r="AG7792">
        <v>-1.160779</v>
      </c>
      <c r="AH7792">
        <v>273.42052646219202</v>
      </c>
      <c r="AI7792">
        <v>90.242651206224295</v>
      </c>
      <c r="AJ7792">
        <v>86.006044539155795</v>
      </c>
      <c r="AK7792">
        <v>274.088629081156</v>
      </c>
      <c r="AL7792">
        <v>78.5089246895526</v>
      </c>
      <c r="AM7792">
        <v>92.779030017751793</v>
      </c>
      <c r="AN7792">
        <v>1.0000000310491199</v>
      </c>
    </row>
    <row r="7793" spans="1:40" x14ac:dyDescent="0.25">
      <c r="A7793" t="str">
        <f>"20190304154945827"</f>
        <v>20190304154945827</v>
      </c>
      <c r="B7793" t="str">
        <f>"1551685785825003"</f>
        <v>1551685785825003</v>
      </c>
      <c r="C7793" t="s">
        <v>40</v>
      </c>
      <c r="D7793">
        <v>4.6682709999999998</v>
      </c>
      <c r="E7793">
        <v>0.50883350000000005</v>
      </c>
      <c r="F7793" t="s">
        <v>71</v>
      </c>
      <c r="G7793">
        <v>-167.1293</v>
      </c>
      <c r="H7793">
        <v>0.38251020000000002</v>
      </c>
      <c r="I7793">
        <v>249.3853</v>
      </c>
      <c r="J7793">
        <v>-187.4924</v>
      </c>
      <c r="K7793">
        <v>1.110743</v>
      </c>
      <c r="L7793">
        <v>-15.2392</v>
      </c>
      <c r="M7793">
        <v>8.0279940000000001E-3</v>
      </c>
      <c r="N7793">
        <v>-1.2071220000000001E-2</v>
      </c>
      <c r="O7793">
        <v>0.99989490000000003</v>
      </c>
      <c r="P7793">
        <v>-4.2038300000000001E-2</v>
      </c>
      <c r="Q7793">
        <v>0.18790419999999999</v>
      </c>
      <c r="R7793">
        <v>0.98128729999999997</v>
      </c>
      <c r="S7793">
        <v>0.23585510000000001</v>
      </c>
      <c r="T7793">
        <v>-8.4335799999999995E-3</v>
      </c>
      <c r="U7793">
        <v>3.0677490000000001</v>
      </c>
      <c r="V7793">
        <v>-4.9860469999999997E-2</v>
      </c>
      <c r="W7793">
        <v>0.19974510000000001</v>
      </c>
      <c r="X7793">
        <v>0.97857839999999996</v>
      </c>
      <c r="Y7793">
        <v>6.8639049999999993E-2</v>
      </c>
      <c r="Z7793">
        <v>9.3259789999999999E-3</v>
      </c>
      <c r="AA7793">
        <v>0.99759799999999998</v>
      </c>
      <c r="AB7793">
        <v>27</v>
      </c>
      <c r="AC7793">
        <v>20.363099999999999</v>
      </c>
      <c r="AD7793">
        <v>-0.72823280000000001</v>
      </c>
      <c r="AE7793">
        <v>264.62450000000001</v>
      </c>
      <c r="AF7793">
        <v>18.237747680105102</v>
      </c>
      <c r="AG7793">
        <v>-0.72823280000000001</v>
      </c>
      <c r="AH7793">
        <v>264.77746461391399</v>
      </c>
      <c r="AI7793">
        <v>90.157211012308693</v>
      </c>
      <c r="AJ7793">
        <v>86.059717106069002</v>
      </c>
      <c r="AK7793">
        <v>265.40582422174998</v>
      </c>
      <c r="AL7793">
        <v>78.477945586507801</v>
      </c>
      <c r="AM7793">
        <v>92.916808877147105</v>
      </c>
      <c r="AN7793">
        <v>0.99999992819459205</v>
      </c>
    </row>
    <row r="7794" spans="1:40" x14ac:dyDescent="0.25">
      <c r="A7794" t="str">
        <f>"20190304154945850"</f>
        <v>20190304154945850</v>
      </c>
      <c r="B7794" t="str">
        <f>"1551685785844523"</f>
        <v>1551685785844523</v>
      </c>
      <c r="C7794" t="s">
        <v>40</v>
      </c>
      <c r="D7794">
        <v>4.6822269999999904</v>
      </c>
      <c r="E7794">
        <v>0.50975029999999999</v>
      </c>
      <c r="F7794" t="s">
        <v>44</v>
      </c>
      <c r="G7794">
        <v>-188.01400000000001</v>
      </c>
      <c r="H7794" s="1">
        <v>-3.5248449999999999E-6</v>
      </c>
      <c r="I7794">
        <v>17.028089999999999</v>
      </c>
      <c r="J7794">
        <v>-187.49</v>
      </c>
      <c r="K7794">
        <v>1.1107039999999999</v>
      </c>
      <c r="L7794">
        <v>-14.963679999999901</v>
      </c>
      <c r="M7794">
        <v>8.212057E-3</v>
      </c>
      <c r="N7794">
        <v>-1.202981E-2</v>
      </c>
      <c r="O7794">
        <v>0.9998939</v>
      </c>
      <c r="P7794">
        <v>-4.3654619999999998E-2</v>
      </c>
      <c r="Q7794">
        <v>0.18956429999999999</v>
      </c>
      <c r="R7794">
        <v>0.98089740000000003</v>
      </c>
      <c r="S7794">
        <v>-4.9713130000000001E-2</v>
      </c>
      <c r="T7794">
        <v>-0.10586370000000001</v>
      </c>
      <c r="U7794">
        <v>3.075348</v>
      </c>
      <c r="V7794">
        <v>-5.1636139999999997E-2</v>
      </c>
      <c r="W7794">
        <v>0.20136480000000001</v>
      </c>
      <c r="X7794">
        <v>0.97815439999999998</v>
      </c>
      <c r="Y7794">
        <v>-2.4363119999999999E-2</v>
      </c>
      <c r="Z7794">
        <v>-2.2367890000000001E-2</v>
      </c>
      <c r="AA7794">
        <v>0.99945289999999998</v>
      </c>
      <c r="AB7794">
        <v>27</v>
      </c>
      <c r="AC7794">
        <v>-0.52400000000000002</v>
      </c>
      <c r="AD7794">
        <v>-1.110707524845</v>
      </c>
      <c r="AE7794">
        <v>31.991769999999899</v>
      </c>
      <c r="AF7794">
        <v>-0.78577268533242195</v>
      </c>
      <c r="AG7794">
        <v>-1.110707524845</v>
      </c>
      <c r="AH7794">
        <v>31.947888746728299</v>
      </c>
      <c r="AI7794">
        <v>91.990554551671593</v>
      </c>
      <c r="AJ7794">
        <v>91.4089313947362</v>
      </c>
      <c r="AK7794">
        <v>31.976846393790801</v>
      </c>
      <c r="AL7794">
        <v>78.383220439006607</v>
      </c>
      <c r="AM7794">
        <v>93.021802367078806</v>
      </c>
      <c r="AN7794">
        <v>1.00000005193624</v>
      </c>
    </row>
    <row r="7795" spans="1:40" x14ac:dyDescent="0.25">
      <c r="A7795" t="str">
        <f>"20190304154945872"</f>
        <v>20190304154945872</v>
      </c>
      <c r="B7795" t="str">
        <f>"1551685785865019"</f>
        <v>1551685785865019</v>
      </c>
      <c r="C7795" t="s">
        <v>40</v>
      </c>
      <c r="D7795">
        <v>4.6799600000000003</v>
      </c>
      <c r="E7795">
        <v>0.50976149999999998</v>
      </c>
      <c r="F7795" t="s">
        <v>44</v>
      </c>
      <c r="G7795">
        <v>-188.1054</v>
      </c>
      <c r="H7795" s="1">
        <v>-2.5129300000000001E-6</v>
      </c>
      <c r="I7795">
        <v>24.707070000000002</v>
      </c>
      <c r="J7795">
        <v>-187.48750000000001</v>
      </c>
      <c r="K7795">
        <v>1.1106799999999999</v>
      </c>
      <c r="L7795">
        <v>-14.69205</v>
      </c>
      <c r="M7795">
        <v>8.4330099999999995E-3</v>
      </c>
      <c r="N7795">
        <v>-1.1991160000000001E-2</v>
      </c>
      <c r="O7795">
        <v>0.99989249999999996</v>
      </c>
      <c r="P7795">
        <v>-4.4307520000000003E-2</v>
      </c>
      <c r="Q7795">
        <v>0.19074150000000001</v>
      </c>
      <c r="R7795">
        <v>0.98063990000000001</v>
      </c>
      <c r="S7795">
        <v>-4.7668460000000003E-2</v>
      </c>
      <c r="T7795">
        <v>-8.6036440000000006E-2</v>
      </c>
      <c r="U7795">
        <v>3.072937</v>
      </c>
      <c r="V7795">
        <v>-5.2489199999999903E-2</v>
      </c>
      <c r="W7795">
        <v>0.2025043</v>
      </c>
      <c r="X7795">
        <v>0.97787369999999996</v>
      </c>
      <c r="Y7795">
        <v>-2.3934810000000001E-2</v>
      </c>
      <c r="Z7795">
        <v>-1.59907E-2</v>
      </c>
      <c r="AA7795">
        <v>0.99958559999999996</v>
      </c>
      <c r="AB7795">
        <v>27</v>
      </c>
      <c r="AC7795">
        <v>-0.61789999999999101</v>
      </c>
      <c r="AD7795">
        <v>-1.11068251293</v>
      </c>
      <c r="AE7795">
        <v>39.399120000000003</v>
      </c>
      <c r="AF7795">
        <v>-0.94940079233561103</v>
      </c>
      <c r="AG7795">
        <v>-1.11068251293</v>
      </c>
      <c r="AH7795">
        <v>39.361234753033102</v>
      </c>
      <c r="AI7795">
        <v>91.615855037295802</v>
      </c>
      <c r="AJ7795">
        <v>91.381717658366099</v>
      </c>
      <c r="AK7795">
        <v>39.388345722972403</v>
      </c>
      <c r="AL7795">
        <v>78.3165584615287</v>
      </c>
      <c r="AM7795">
        <v>93.072509558465299</v>
      </c>
      <c r="AN7795">
        <v>1.0000000403934</v>
      </c>
    </row>
    <row r="7796" spans="1:40" x14ac:dyDescent="0.25">
      <c r="A7796" t="str">
        <f>"20190304154945895"</f>
        <v>20190304154945895</v>
      </c>
      <c r="B7796" t="str">
        <f>"1551685785884542"</f>
        <v>1551685785884542</v>
      </c>
      <c r="C7796" t="s">
        <v>40</v>
      </c>
      <c r="D7796">
        <v>4.7111780000000003</v>
      </c>
      <c r="E7796">
        <v>0.51101179999999902</v>
      </c>
      <c r="F7796" t="s">
        <v>44</v>
      </c>
      <c r="G7796">
        <v>-188.09729999999999</v>
      </c>
      <c r="H7796" s="1">
        <v>-1.6401599999999999E-6</v>
      </c>
      <c r="I7796">
        <v>22.6693</v>
      </c>
      <c r="J7796">
        <v>-187.48500000000001</v>
      </c>
      <c r="K7796">
        <v>1.110654</v>
      </c>
      <c r="L7796">
        <v>-14.4191</v>
      </c>
      <c r="M7796">
        <v>8.6847419999999901E-3</v>
      </c>
      <c r="N7796">
        <v>-1.195675E-2</v>
      </c>
      <c r="O7796">
        <v>0.99989079999999997</v>
      </c>
      <c r="P7796">
        <v>-4.35334E-2</v>
      </c>
      <c r="Q7796">
        <v>0.1903157</v>
      </c>
      <c r="R7796">
        <v>0.9807572</v>
      </c>
      <c r="S7796">
        <v>-5.018616E-2</v>
      </c>
      <c r="T7796">
        <v>-9.1406109999999999E-2</v>
      </c>
      <c r="U7796">
        <v>3.074738</v>
      </c>
      <c r="V7796">
        <v>-5.1954229999999997E-2</v>
      </c>
      <c r="W7796">
        <v>0.20204849999999999</v>
      </c>
      <c r="X7796">
        <v>0.97799650000000005</v>
      </c>
      <c r="Y7796">
        <v>-2.499471E-2</v>
      </c>
      <c r="Z7796">
        <v>-1.7752230000000001E-2</v>
      </c>
      <c r="AA7796">
        <v>0.99953000000000003</v>
      </c>
      <c r="AB7796">
        <v>27</v>
      </c>
      <c r="AC7796">
        <v>-0.61229999999997597</v>
      </c>
      <c r="AD7796">
        <v>-1.1106556401600001</v>
      </c>
      <c r="AE7796">
        <v>37.0884</v>
      </c>
      <c r="AF7796">
        <v>-0.93356614806032601</v>
      </c>
      <c r="AG7796">
        <v>-1.1106556401600001</v>
      </c>
      <c r="AH7796">
        <v>37.048468011368499</v>
      </c>
      <c r="AI7796">
        <v>91.716579806992499</v>
      </c>
      <c r="AJ7796">
        <v>91.443462741257903</v>
      </c>
      <c r="AK7796">
        <v>37.076867231377904</v>
      </c>
      <c r="AL7796">
        <v>78.343224594994197</v>
      </c>
      <c r="AM7796">
        <v>93.040872473207997</v>
      </c>
      <c r="AN7796">
        <v>0.99999999618969604</v>
      </c>
    </row>
    <row r="7797" spans="1:40" x14ac:dyDescent="0.25">
      <c r="A7797" t="str">
        <f>"20190304154945916"</f>
        <v>20190304154945916</v>
      </c>
      <c r="B7797" t="str">
        <f>"1551685785914795"</f>
        <v>1551685785914795</v>
      </c>
      <c r="C7797" t="s">
        <v>40</v>
      </c>
      <c r="D7797">
        <v>4.6414119999999999</v>
      </c>
      <c r="E7797">
        <v>0.51202700000000001</v>
      </c>
      <c r="F7797" t="s">
        <v>44</v>
      </c>
      <c r="G7797">
        <v>-187.93799999999999</v>
      </c>
      <c r="H7797" s="1">
        <v>-1.31933E-6</v>
      </c>
      <c r="I7797">
        <v>21.855540000000001</v>
      </c>
      <c r="J7797">
        <v>-187.48240000000001</v>
      </c>
      <c r="K7797">
        <v>1.1106320000000001</v>
      </c>
      <c r="L7797">
        <v>-14.152620000000001</v>
      </c>
      <c r="M7797">
        <v>8.9455750000000007E-3</v>
      </c>
      <c r="N7797">
        <v>-1.192668E-2</v>
      </c>
      <c r="O7797">
        <v>0.99988880000000002</v>
      </c>
      <c r="P7797">
        <v>-4.2664229999999997E-2</v>
      </c>
      <c r="Q7797">
        <v>0.1881188</v>
      </c>
      <c r="R7797">
        <v>0.98121919999999996</v>
      </c>
      <c r="S7797">
        <v>-3.8406370000000002E-2</v>
      </c>
      <c r="T7797">
        <v>-9.4163659999999996E-2</v>
      </c>
      <c r="U7797">
        <v>3.0754389999999998</v>
      </c>
      <c r="V7797">
        <v>-5.1341049999999999E-2</v>
      </c>
      <c r="W7797">
        <v>0.1998288</v>
      </c>
      <c r="X7797">
        <v>0.97848480000000004</v>
      </c>
      <c r="Y7797">
        <v>-2.1424530000000001E-2</v>
      </c>
      <c r="Z7797">
        <v>-1.8673140000000001E-2</v>
      </c>
      <c r="AA7797">
        <v>0.99959609999999999</v>
      </c>
      <c r="AB7797">
        <v>27</v>
      </c>
      <c r="AC7797">
        <v>-0.45559999999997502</v>
      </c>
      <c r="AD7797">
        <v>-1.11063331933</v>
      </c>
      <c r="AE7797">
        <v>36.008159999999997</v>
      </c>
      <c r="AF7797">
        <v>-0.77697933518113105</v>
      </c>
      <c r="AG7797">
        <v>-1.11063331933</v>
      </c>
      <c r="AH7797">
        <v>35.9684300988852</v>
      </c>
      <c r="AI7797">
        <v>91.768205098701202</v>
      </c>
      <c r="AJ7797">
        <v>91.237493936099199</v>
      </c>
      <c r="AK7797">
        <v>35.993960146609297</v>
      </c>
      <c r="AL7797">
        <v>78.473051841810104</v>
      </c>
      <c r="AM7797">
        <v>93.003552437049294</v>
      </c>
      <c r="AN7797">
        <v>0.99999997827779097</v>
      </c>
    </row>
    <row r="7798" spans="1:40" x14ac:dyDescent="0.25">
      <c r="A7798" t="str">
        <f>"20190304154945940"</f>
        <v>20190304154945940</v>
      </c>
      <c r="B7798" t="str">
        <f>"1551685785935291"</f>
        <v>1551685785935291</v>
      </c>
      <c r="C7798" t="s">
        <v>40</v>
      </c>
      <c r="D7798">
        <v>4.6551929999999997</v>
      </c>
      <c r="E7798">
        <v>0.51201459999999999</v>
      </c>
      <c r="F7798" t="s">
        <v>44</v>
      </c>
      <c r="G7798">
        <v>-187.79</v>
      </c>
      <c r="H7798" s="1">
        <v>-8.9719419999999999E-7</v>
      </c>
      <c r="I7798">
        <v>20.556539999999998</v>
      </c>
      <c r="J7798">
        <v>-187.4796</v>
      </c>
      <c r="K7798">
        <v>1.1106259999999999</v>
      </c>
      <c r="L7798">
        <v>-13.876340000000001</v>
      </c>
      <c r="M7798">
        <v>9.2210839999999992E-3</v>
      </c>
      <c r="N7798">
        <v>-1.189866E-2</v>
      </c>
      <c r="O7798">
        <v>0.99988670000000002</v>
      </c>
      <c r="P7798">
        <v>-4.1399310000000002E-2</v>
      </c>
      <c r="Q7798">
        <v>0.1870984</v>
      </c>
      <c r="R7798">
        <v>0.98146840000000002</v>
      </c>
      <c r="S7798">
        <v>-2.7252200000000001E-2</v>
      </c>
      <c r="T7798">
        <v>-9.8397970000000001E-2</v>
      </c>
      <c r="U7798">
        <v>3.0751040000000001</v>
      </c>
      <c r="V7798">
        <v>-5.0346929999999998E-2</v>
      </c>
      <c r="W7798">
        <v>0.19878390000000001</v>
      </c>
      <c r="X7798">
        <v>0.97874930000000004</v>
      </c>
      <c r="Y7798">
        <v>-1.8076350000000001E-2</v>
      </c>
      <c r="Z7798">
        <v>-2.0081290000000002E-2</v>
      </c>
      <c r="AA7798">
        <v>0.99963489999999999</v>
      </c>
      <c r="AB7798">
        <v>27</v>
      </c>
      <c r="AC7798">
        <v>-0.31039999999998702</v>
      </c>
      <c r="AD7798">
        <v>-1.1106268971941999</v>
      </c>
      <c r="AE7798">
        <v>34.432879999999997</v>
      </c>
      <c r="AF7798">
        <v>-0.62726521805293101</v>
      </c>
      <c r="AG7798">
        <v>-1.1106268971941999</v>
      </c>
      <c r="AH7798">
        <v>34.392774991655102</v>
      </c>
      <c r="AI7798">
        <v>91.849270916172799</v>
      </c>
      <c r="AJ7798">
        <v>91.044860890256302</v>
      </c>
      <c r="AK7798">
        <v>34.416419415522697</v>
      </c>
      <c r="AL7798">
        <v>78.534146433809099</v>
      </c>
      <c r="AM7798">
        <v>92.944703285076102</v>
      </c>
      <c r="AN7798">
        <v>1.00000002225506</v>
      </c>
    </row>
    <row r="7799" spans="1:40" x14ac:dyDescent="0.25">
      <c r="A7799" t="str">
        <f>"20190304154945963"</f>
        <v>20190304154945963</v>
      </c>
      <c r="B7799" t="str">
        <f>"1551685785954811"</f>
        <v>1551685785954811</v>
      </c>
      <c r="C7799" t="s">
        <v>40</v>
      </c>
      <c r="D7799">
        <v>4.6867839999999896</v>
      </c>
      <c r="E7799">
        <v>0.51189819999999997</v>
      </c>
      <c r="F7799" t="s">
        <v>44</v>
      </c>
      <c r="G7799">
        <v>-187.72739999999999</v>
      </c>
      <c r="H7799" s="1">
        <v>-4.6275140000000001E-6</v>
      </c>
      <c r="I7799">
        <v>19.47992</v>
      </c>
      <c r="J7799">
        <v>-187.47659999999999</v>
      </c>
      <c r="K7799">
        <v>1.110614</v>
      </c>
      <c r="L7799">
        <v>-13.58774</v>
      </c>
      <c r="M7799">
        <v>9.5064559999999999E-3</v>
      </c>
      <c r="N7799">
        <v>-1.187271E-2</v>
      </c>
      <c r="O7799">
        <v>0.99988429999999995</v>
      </c>
      <c r="P7799">
        <v>-4.0675469999999998E-2</v>
      </c>
      <c r="Q7799">
        <v>0.18742809999999999</v>
      </c>
      <c r="R7799">
        <v>0.98143579999999997</v>
      </c>
      <c r="S7799">
        <v>-2.284241E-2</v>
      </c>
      <c r="T7799">
        <v>-0.1023917</v>
      </c>
      <c r="U7799">
        <v>3.0751949999999999</v>
      </c>
      <c r="V7799">
        <v>-4.990228E-2</v>
      </c>
      <c r="W7799">
        <v>0.19908770000000001</v>
      </c>
      <c r="X7799">
        <v>0.97871030000000003</v>
      </c>
      <c r="Y7799">
        <v>-1.6928039999999998E-2</v>
      </c>
      <c r="Z7799">
        <v>-2.140357E-2</v>
      </c>
      <c r="AA7799">
        <v>0.99962759999999995</v>
      </c>
      <c r="AB7799">
        <v>27</v>
      </c>
      <c r="AC7799">
        <v>-0.25079999999999802</v>
      </c>
      <c r="AD7799">
        <v>-1.110618627514</v>
      </c>
      <c r="AE7799">
        <v>33.067659999999997</v>
      </c>
      <c r="AF7799">
        <v>-0.56453031295262701</v>
      </c>
      <c r="AG7799">
        <v>-1.110618627514</v>
      </c>
      <c r="AH7799">
        <v>33.026528189768399</v>
      </c>
      <c r="AI7799">
        <v>91.925739984651798</v>
      </c>
      <c r="AJ7799">
        <v>90.979275039490801</v>
      </c>
      <c r="AK7799">
        <v>33.0500186456769</v>
      </c>
      <c r="AL7799">
        <v>78.516384717221399</v>
      </c>
      <c r="AM7799">
        <v>92.918857764557004</v>
      </c>
      <c r="AN7799">
        <v>1.0000000005832801</v>
      </c>
    </row>
    <row r="7800" spans="1:40" x14ac:dyDescent="0.25">
      <c r="A7800" t="str">
        <f>"20190304154945985"</f>
        <v>20190304154945985</v>
      </c>
      <c r="B7800" t="str">
        <f>"1551685785975307"</f>
        <v>1551685785975307</v>
      </c>
      <c r="C7800" t="s">
        <v>40</v>
      </c>
      <c r="D7800">
        <v>4.6251290000000003</v>
      </c>
      <c r="E7800">
        <v>0.51196600000000003</v>
      </c>
      <c r="F7800" t="s">
        <v>44</v>
      </c>
      <c r="G7800">
        <v>-187.70650000000001</v>
      </c>
      <c r="H7800" s="1">
        <v>-8.2113619999999999E-7</v>
      </c>
      <c r="I7800">
        <v>20.267749999999999</v>
      </c>
      <c r="J7800">
        <v>-187.47389999999999</v>
      </c>
      <c r="K7800">
        <v>1.110614</v>
      </c>
      <c r="L7800">
        <v>-13.325200000000001</v>
      </c>
      <c r="M7800">
        <v>9.7605330000000001E-3</v>
      </c>
      <c r="N7800">
        <v>-1.1848819999999999E-2</v>
      </c>
      <c r="O7800">
        <v>0.99988220000000005</v>
      </c>
      <c r="P7800">
        <v>-4.0156129999999998E-2</v>
      </c>
      <c r="Q7800">
        <v>0.18865380000000001</v>
      </c>
      <c r="R7800">
        <v>0.98122229999999999</v>
      </c>
      <c r="S7800">
        <v>-2.087402E-2</v>
      </c>
      <c r="T7800">
        <v>-0.1008785</v>
      </c>
      <c r="U7800">
        <v>3.0751339999999998</v>
      </c>
      <c r="V7800">
        <v>-4.9629949999999999E-2</v>
      </c>
      <c r="W7800">
        <v>0.2002871</v>
      </c>
      <c r="X7800">
        <v>0.9784794</v>
      </c>
      <c r="Y7800">
        <v>-1.6542660000000001E-2</v>
      </c>
      <c r="Z7800">
        <v>-2.093683E-2</v>
      </c>
      <c r="AA7800">
        <v>0.99964390000000003</v>
      </c>
      <c r="AB7800">
        <v>27</v>
      </c>
      <c r="AC7800">
        <v>-0.23260000000001901</v>
      </c>
      <c r="AD7800">
        <v>-1.1106148211361999</v>
      </c>
      <c r="AE7800">
        <v>33.592950000000002</v>
      </c>
      <c r="AF7800">
        <v>-0.55988508226076605</v>
      </c>
      <c r="AG7800">
        <v>-1.1106148211361999</v>
      </c>
      <c r="AH7800">
        <v>33.552407203444503</v>
      </c>
      <c r="AI7800">
        <v>91.895585865150295</v>
      </c>
      <c r="AJ7800">
        <v>90.955999223426403</v>
      </c>
      <c r="AK7800">
        <v>33.575451832135002</v>
      </c>
      <c r="AL7800">
        <v>78.446251588328494</v>
      </c>
      <c r="AM7800">
        <v>92.903639965987907</v>
      </c>
      <c r="AN7800">
        <v>0.99999999529388595</v>
      </c>
    </row>
    <row r="7801" spans="1:40" x14ac:dyDescent="0.25">
      <c r="A7801" t="str">
        <f>"20190304154946006"</f>
        <v>20190304154946006</v>
      </c>
      <c r="B7801" t="str">
        <f>"1551685785994826"</f>
        <v>1551685785994826</v>
      </c>
      <c r="C7801" t="s">
        <v>40</v>
      </c>
      <c r="D7801">
        <v>4.5801949999999998</v>
      </c>
      <c r="E7801">
        <v>0.51196439999999999</v>
      </c>
      <c r="F7801" t="s">
        <v>44</v>
      </c>
      <c r="G7801">
        <v>-187.68680000000001</v>
      </c>
      <c r="H7801" s="1">
        <v>-1.4471869999999999E-6</v>
      </c>
      <c r="I7801">
        <v>22.049720000000001</v>
      </c>
      <c r="J7801">
        <v>-187.471</v>
      </c>
      <c r="K7801">
        <v>1.110616</v>
      </c>
      <c r="L7801">
        <v>-13.05939</v>
      </c>
      <c r="M7801">
        <v>1.0012099999999999E-2</v>
      </c>
      <c r="N7801">
        <v>-1.1822330000000001E-2</v>
      </c>
      <c r="O7801">
        <v>0.99987999999999999</v>
      </c>
      <c r="P7801">
        <v>-3.9920079999999997E-2</v>
      </c>
      <c r="Q7801">
        <v>0.18908549999999999</v>
      </c>
      <c r="R7801">
        <v>0.98114880000000004</v>
      </c>
      <c r="S7801">
        <v>-1.850891E-2</v>
      </c>
      <c r="T7801">
        <v>-9.6548439999999999E-2</v>
      </c>
      <c r="U7801">
        <v>3.0752259999999998</v>
      </c>
      <c r="V7801">
        <v>-4.9640219999999999E-2</v>
      </c>
      <c r="W7801">
        <v>0.2006916</v>
      </c>
      <c r="X7801">
        <v>0.97839600000000004</v>
      </c>
      <c r="Y7801">
        <v>-1.6025669999999999E-2</v>
      </c>
      <c r="Z7801">
        <v>-1.955639E-2</v>
      </c>
      <c r="AA7801">
        <v>0.99968029999999997</v>
      </c>
      <c r="AB7801">
        <v>27</v>
      </c>
      <c r="AC7801">
        <v>-0.21580000000003</v>
      </c>
      <c r="AD7801">
        <v>-1.1106174471870001</v>
      </c>
      <c r="AE7801">
        <v>35.109110000000001</v>
      </c>
      <c r="AF7801">
        <v>-0.566762547074805</v>
      </c>
      <c r="AG7801">
        <v>-1.1106174471870001</v>
      </c>
      <c r="AH7801">
        <v>35.070097097456703</v>
      </c>
      <c r="AI7801">
        <v>91.813628648438396</v>
      </c>
      <c r="AJ7801">
        <v>90.925867848418093</v>
      </c>
      <c r="AK7801">
        <v>35.092255574753302</v>
      </c>
      <c r="AL7801">
        <v>78.422595191825394</v>
      </c>
      <c r="AM7801">
        <v>92.904486930046104</v>
      </c>
      <c r="AN7801">
        <v>1.0000000012840999</v>
      </c>
    </row>
    <row r="7802" spans="1:40" x14ac:dyDescent="0.25">
      <c r="A7802" t="str">
        <f>"20190304154946028"</f>
        <v>20190304154946028</v>
      </c>
      <c r="B7802" t="str">
        <f>"1551685786025083"</f>
        <v>1551685786025083</v>
      </c>
      <c r="C7802" t="s">
        <v>40</v>
      </c>
      <c r="D7802">
        <v>4.6106699999999998</v>
      </c>
      <c r="E7802">
        <v>0.51210219999999995</v>
      </c>
      <c r="F7802" t="s">
        <v>44</v>
      </c>
      <c r="G7802">
        <v>-187.67259999999999</v>
      </c>
      <c r="H7802" s="1">
        <v>-1.4434330000000001E-6</v>
      </c>
      <c r="I7802">
        <v>22.0351</v>
      </c>
      <c r="J7802">
        <v>-187.46799999999999</v>
      </c>
      <c r="K7802">
        <v>1.110622</v>
      </c>
      <c r="L7802">
        <v>-12.79016</v>
      </c>
      <c r="M7802">
        <v>1.0262790000000001E-2</v>
      </c>
      <c r="N7802">
        <v>-1.1796070000000001E-2</v>
      </c>
      <c r="O7802">
        <v>0.99987780000000004</v>
      </c>
      <c r="P7802">
        <v>-4.0087570000000003E-2</v>
      </c>
      <c r="Q7802">
        <v>0.18917349999999999</v>
      </c>
      <c r="R7802">
        <v>0.98112509999999997</v>
      </c>
      <c r="S7802">
        <v>-1.766968E-2</v>
      </c>
      <c r="T7802">
        <v>-9.7334619999999997E-2</v>
      </c>
      <c r="U7802">
        <v>3.0756839999999999</v>
      </c>
      <c r="V7802">
        <v>-5.0054319999999999E-2</v>
      </c>
      <c r="W7802">
        <v>0.20075380000000001</v>
      </c>
      <c r="X7802">
        <v>0.97836210000000001</v>
      </c>
      <c r="Y7802">
        <v>-1.600267E-2</v>
      </c>
      <c r="Z7802">
        <v>-1.9833170000000001E-2</v>
      </c>
      <c r="AA7802">
        <v>0.99967519999999999</v>
      </c>
      <c r="AB7802">
        <v>27</v>
      </c>
      <c r="AC7802">
        <v>-0.204599999999999</v>
      </c>
      <c r="AD7802">
        <v>-1.110623443433</v>
      </c>
      <c r="AE7802">
        <v>34.82526</v>
      </c>
      <c r="AF7802">
        <v>-0.56144740267735704</v>
      </c>
      <c r="AG7802">
        <v>-1.110623443433</v>
      </c>
      <c r="AH7802">
        <v>34.785947759368597</v>
      </c>
      <c r="AI7802">
        <v>91.828443753925796</v>
      </c>
      <c r="AJ7802">
        <v>90.924677226835698</v>
      </c>
      <c r="AK7802">
        <v>34.808201176398001</v>
      </c>
      <c r="AL7802">
        <v>78.418956883812896</v>
      </c>
      <c r="AM7802">
        <v>92.928775529072297</v>
      </c>
      <c r="AN7802">
        <v>0.99999996094075505</v>
      </c>
    </row>
    <row r="7803" spans="1:40" x14ac:dyDescent="0.25">
      <c r="A7803" t="str">
        <f>"20190304154946052"</f>
        <v>20190304154946052</v>
      </c>
      <c r="B7803" t="str">
        <f>"1551685786044603"</f>
        <v>1551685786044603</v>
      </c>
      <c r="C7803" t="s">
        <v>40</v>
      </c>
      <c r="D7803">
        <v>4.6070909999999996</v>
      </c>
      <c r="E7803">
        <v>0.51218189999999997</v>
      </c>
      <c r="F7803" t="s">
        <v>44</v>
      </c>
      <c r="G7803">
        <v>-187.66</v>
      </c>
      <c r="H7803" s="1">
        <v>-1.421496E-6</v>
      </c>
      <c r="I7803">
        <v>21.978750000000002</v>
      </c>
      <c r="J7803">
        <v>-187.4648</v>
      </c>
      <c r="K7803">
        <v>1.110619</v>
      </c>
      <c r="L7803">
        <v>-12.51028</v>
      </c>
      <c r="M7803">
        <v>1.052092E-2</v>
      </c>
      <c r="N7803">
        <v>-1.17716E-2</v>
      </c>
      <c r="O7803">
        <v>0.99987539999999997</v>
      </c>
      <c r="P7803">
        <v>-4.073504E-2</v>
      </c>
      <c r="Q7803">
        <v>0.18927160000000001</v>
      </c>
      <c r="R7803">
        <v>0.98107949999999999</v>
      </c>
      <c r="S7803">
        <v>-1.698303E-2</v>
      </c>
      <c r="T7803">
        <v>-9.8255400000000007E-2</v>
      </c>
      <c r="U7803">
        <v>3.075958</v>
      </c>
      <c r="V7803">
        <v>-5.095483E-2</v>
      </c>
      <c r="W7803">
        <v>0.20082710000000001</v>
      </c>
      <c r="X7803">
        <v>0.97830059999999996</v>
      </c>
      <c r="Y7803">
        <v>-1.603707E-2</v>
      </c>
      <c r="Z7803">
        <v>-2.015364E-2</v>
      </c>
      <c r="AA7803">
        <v>0.99966820000000001</v>
      </c>
      <c r="AB7803">
        <v>27</v>
      </c>
      <c r="AC7803">
        <v>-0.19519999999999901</v>
      </c>
      <c r="AD7803">
        <v>-1.110620421496</v>
      </c>
      <c r="AE7803">
        <v>34.48903</v>
      </c>
      <c r="AF7803">
        <v>-0.55749256109828405</v>
      </c>
      <c r="AG7803">
        <v>-1.110620421496</v>
      </c>
      <c r="AH7803">
        <v>34.449345013058597</v>
      </c>
      <c r="AI7803">
        <v>91.846290777736002</v>
      </c>
      <c r="AJ7803">
        <v>90.927134692302204</v>
      </c>
      <c r="AK7803">
        <v>34.471751442377702</v>
      </c>
      <c r="AL7803">
        <v>78.414670150539393</v>
      </c>
      <c r="AM7803">
        <v>92.981558980694999</v>
      </c>
      <c r="AN7803">
        <v>0.99999999137754902</v>
      </c>
    </row>
    <row r="7804" spans="1:40" x14ac:dyDescent="0.25">
      <c r="A7804" t="str">
        <f>"20190304154946074"</f>
        <v>20190304154946074</v>
      </c>
      <c r="B7804" t="str">
        <f>"1551685786065099"</f>
        <v>1551685786065099</v>
      </c>
      <c r="C7804" t="s">
        <v>40</v>
      </c>
      <c r="D7804">
        <v>4.67272</v>
      </c>
      <c r="E7804">
        <v>0.51253850000000001</v>
      </c>
      <c r="F7804" t="s">
        <v>44</v>
      </c>
      <c r="G7804">
        <v>-187.67500000000001</v>
      </c>
      <c r="H7804" s="1">
        <v>-1.8445629999999999E-6</v>
      </c>
      <c r="I7804">
        <v>22.971139999999998</v>
      </c>
      <c r="J7804">
        <v>-187.46170000000001</v>
      </c>
      <c r="K7804">
        <v>1.1106119999999999</v>
      </c>
      <c r="L7804">
        <v>-12.2355</v>
      </c>
      <c r="M7804">
        <v>1.0772749999999999E-2</v>
      </c>
      <c r="N7804">
        <v>-1.17506E-2</v>
      </c>
      <c r="O7804">
        <v>0.99987289999999995</v>
      </c>
      <c r="P7804">
        <v>-4.1512210000000001E-2</v>
      </c>
      <c r="Q7804">
        <v>0.1891639</v>
      </c>
      <c r="R7804">
        <v>0.98106769999999999</v>
      </c>
      <c r="S7804">
        <v>-1.8218990000000001E-2</v>
      </c>
      <c r="T7804">
        <v>-9.6273419999999998E-2</v>
      </c>
      <c r="U7804">
        <v>3.0756839999999999</v>
      </c>
      <c r="V7804">
        <v>-5.1979669999999999E-2</v>
      </c>
      <c r="W7804">
        <v>0.2006986</v>
      </c>
      <c r="X7804">
        <v>0.97827299999999995</v>
      </c>
      <c r="Y7804">
        <v>-1.6691060000000001E-2</v>
      </c>
      <c r="Z7804">
        <v>-1.953359E-2</v>
      </c>
      <c r="AA7804">
        <v>0.99966980000000005</v>
      </c>
      <c r="AB7804">
        <v>27</v>
      </c>
      <c r="AC7804">
        <v>-0.21330000000000299</v>
      </c>
      <c r="AD7804">
        <v>-1.1106138445630001</v>
      </c>
      <c r="AE7804">
        <v>35.20664</v>
      </c>
      <c r="AF7804">
        <v>-0.59199706091265603</v>
      </c>
      <c r="AG7804">
        <v>-1.1106138445630001</v>
      </c>
      <c r="AH7804">
        <v>35.167304240814602</v>
      </c>
      <c r="AI7804">
        <v>91.808592948803494</v>
      </c>
      <c r="AJ7804">
        <v>90.964410847794696</v>
      </c>
      <c r="AK7804">
        <v>35.189816867921898</v>
      </c>
      <c r="AL7804">
        <v>78.422185052680504</v>
      </c>
      <c r="AM7804">
        <v>93.041500395228596</v>
      </c>
      <c r="AN7804">
        <v>0.99999993833213197</v>
      </c>
    </row>
    <row r="7805" spans="1:40" x14ac:dyDescent="0.25">
      <c r="A7805" t="str">
        <f>"20190304154946096"</f>
        <v>20190304154946096</v>
      </c>
      <c r="B7805" t="str">
        <f>"1551685786084623"</f>
        <v>1551685786084623</v>
      </c>
      <c r="C7805" t="s">
        <v>40</v>
      </c>
      <c r="D7805">
        <v>4.5689979999999997</v>
      </c>
      <c r="E7805">
        <v>0.51263800000000004</v>
      </c>
      <c r="F7805" t="s">
        <v>44</v>
      </c>
      <c r="G7805">
        <v>-187.6645</v>
      </c>
      <c r="H7805" s="1">
        <v>-2.0083279999999998E-6</v>
      </c>
      <c r="I7805">
        <v>23.34854</v>
      </c>
      <c r="J7805">
        <v>-187.45849999999999</v>
      </c>
      <c r="K7805">
        <v>1.110609</v>
      </c>
      <c r="L7805">
        <v>-11.96698</v>
      </c>
      <c r="M7805">
        <v>1.1018119999999999E-2</v>
      </c>
      <c r="N7805">
        <v>-1.1732019999999999E-2</v>
      </c>
      <c r="O7805">
        <v>0.9998705</v>
      </c>
      <c r="P7805">
        <v>-4.2575149999999999E-2</v>
      </c>
      <c r="Q7805">
        <v>0.18855</v>
      </c>
      <c r="R7805">
        <v>0.98114029999999997</v>
      </c>
      <c r="S7805">
        <v>-1.7532349999999999E-2</v>
      </c>
      <c r="T7805">
        <v>-9.599423E-2</v>
      </c>
      <c r="U7805">
        <v>3.075653</v>
      </c>
      <c r="V7805">
        <v>-5.3285319999999997E-2</v>
      </c>
      <c r="W7805">
        <v>0.200068</v>
      </c>
      <c r="X7805">
        <v>0.97833199999999998</v>
      </c>
      <c r="Y7805">
        <v>-1.671334E-2</v>
      </c>
      <c r="Z7805">
        <v>-1.9461719999999998E-2</v>
      </c>
      <c r="AA7805">
        <v>0.99967090000000003</v>
      </c>
      <c r="AB7805">
        <v>27</v>
      </c>
      <c r="AC7805">
        <v>-0.206000000000017</v>
      </c>
      <c r="AD7805">
        <v>-1.1106110083280001</v>
      </c>
      <c r="AE7805">
        <v>35.315519999999999</v>
      </c>
      <c r="AF7805">
        <v>-0.59453692933616098</v>
      </c>
      <c r="AG7805">
        <v>-1.1106110083280001</v>
      </c>
      <c r="AH7805">
        <v>35.2762194088141</v>
      </c>
      <c r="AI7805">
        <v>91.803007408670496</v>
      </c>
      <c r="AJ7805">
        <v>90.965557891649595</v>
      </c>
      <c r="AK7805">
        <v>35.298705171025098</v>
      </c>
      <c r="AL7805">
        <v>78.459064673548198</v>
      </c>
      <c r="AM7805">
        <v>93.117561715316796</v>
      </c>
      <c r="AN7805">
        <v>1.00000001608775</v>
      </c>
    </row>
    <row r="7806" spans="1:40" x14ac:dyDescent="0.25">
      <c r="A7806" t="str">
        <f>"20190304154946109"</f>
        <v>20190304154946109</v>
      </c>
      <c r="B7806" t="str">
        <f>"1551685786105115"</f>
        <v>1551685786105115</v>
      </c>
      <c r="C7806" t="s">
        <v>40</v>
      </c>
      <c r="D7806">
        <v>4.5886750000000003</v>
      </c>
      <c r="E7806">
        <v>0.51266339999999999</v>
      </c>
      <c r="F7806" t="s">
        <v>44</v>
      </c>
      <c r="G7806">
        <v>-187.68340000000001</v>
      </c>
      <c r="H7806" s="1">
        <v>-2.0224669999999998E-6</v>
      </c>
      <c r="I7806">
        <v>23.389299999999999</v>
      </c>
      <c r="J7806">
        <v>-187.4563</v>
      </c>
      <c r="K7806">
        <v>1.110606</v>
      </c>
      <c r="L7806">
        <v>-11.787599999999999</v>
      </c>
      <c r="M7806">
        <v>1.1181959999999999E-2</v>
      </c>
      <c r="N7806">
        <v>-1.172053E-2</v>
      </c>
      <c r="O7806">
        <v>0.9998688</v>
      </c>
      <c r="P7806">
        <v>-4.3217390000000001E-2</v>
      </c>
      <c r="Q7806">
        <v>0.18841640000000001</v>
      </c>
      <c r="R7806">
        <v>0.98113790000000001</v>
      </c>
      <c r="S7806">
        <v>-1.9561769999999999E-2</v>
      </c>
      <c r="T7806">
        <v>-9.6603750000000002E-2</v>
      </c>
      <c r="U7806">
        <v>3.0753780000000002</v>
      </c>
      <c r="V7806">
        <v>-5.408839E-2</v>
      </c>
      <c r="W7806">
        <v>0.19992309999999999</v>
      </c>
      <c r="X7806">
        <v>0.97831749999999995</v>
      </c>
      <c r="Y7806">
        <v>-1.7537069999999998E-2</v>
      </c>
      <c r="Z7806">
        <v>-1.96735E-2</v>
      </c>
      <c r="AA7806">
        <v>0.9996526</v>
      </c>
      <c r="AB7806">
        <v>27</v>
      </c>
      <c r="AC7806">
        <v>-0.22710000000000699</v>
      </c>
      <c r="AD7806">
        <v>-1.1106080224670001</v>
      </c>
      <c r="AE7806">
        <v>35.176900000000003</v>
      </c>
      <c r="AF7806">
        <v>-0.61984167342424701</v>
      </c>
      <c r="AG7806">
        <v>-1.1106080224670001</v>
      </c>
      <c r="AH7806">
        <v>35.137137723605001</v>
      </c>
      <c r="AI7806">
        <v>91.810110024071605</v>
      </c>
      <c r="AJ7806">
        <v>91.010629519521004</v>
      </c>
      <c r="AK7806">
        <v>35.160149335394799</v>
      </c>
      <c r="AL7806">
        <v>78.467537427106805</v>
      </c>
      <c r="AM7806">
        <v>93.164498917205805</v>
      </c>
      <c r="AN7806">
        <v>0.99999996532632496</v>
      </c>
    </row>
    <row r="7807" spans="1:40" x14ac:dyDescent="0.25">
      <c r="A7807" t="str">
        <f>"20190304154946129"</f>
        <v>20190304154946129</v>
      </c>
      <c r="B7807" t="str">
        <f>"1551685786124636"</f>
        <v>1551685786124636</v>
      </c>
      <c r="C7807" t="s">
        <v>40</v>
      </c>
      <c r="D7807">
        <v>4.6139289999999997</v>
      </c>
      <c r="E7807">
        <v>0.51233119999999999</v>
      </c>
      <c r="F7807" t="s">
        <v>44</v>
      </c>
      <c r="G7807">
        <v>-187.69479999999999</v>
      </c>
      <c r="H7807" s="1">
        <v>-1.839518E-6</v>
      </c>
      <c r="I7807">
        <v>22.967569999999998</v>
      </c>
      <c r="J7807">
        <v>-187.4537</v>
      </c>
      <c r="K7807">
        <v>1.110608</v>
      </c>
      <c r="L7807">
        <v>-11.566380000000001</v>
      </c>
      <c r="M7807">
        <v>1.1384180000000001E-2</v>
      </c>
      <c r="N7807">
        <v>-1.170793E-2</v>
      </c>
      <c r="O7807">
        <v>0.9998667</v>
      </c>
      <c r="P7807">
        <v>-4.4110690000000001E-2</v>
      </c>
      <c r="Q7807">
        <v>0.1883977</v>
      </c>
      <c r="R7807">
        <v>0.98110169999999997</v>
      </c>
      <c r="S7807">
        <v>-2.1102909999999999E-2</v>
      </c>
      <c r="T7807">
        <v>-9.8282099999999997E-2</v>
      </c>
      <c r="U7807">
        <v>3.0756230000000002</v>
      </c>
      <c r="V7807">
        <v>-5.5179850000000003E-2</v>
      </c>
      <c r="W7807">
        <v>0.19989180000000001</v>
      </c>
      <c r="X7807">
        <v>0.97826299999999999</v>
      </c>
      <c r="Y7807">
        <v>-1.823936E-2</v>
      </c>
      <c r="Z7807">
        <v>-2.022815E-2</v>
      </c>
      <c r="AA7807">
        <v>0.99962899999999999</v>
      </c>
      <c r="AB7807">
        <v>27</v>
      </c>
      <c r="AC7807">
        <v>-0.24109999999998799</v>
      </c>
      <c r="AD7807">
        <v>-1.110609839518</v>
      </c>
      <c r="AE7807">
        <v>34.533949999999997</v>
      </c>
      <c r="AF7807">
        <v>-0.63359673352232104</v>
      </c>
      <c r="AG7807">
        <v>-1.110609839518</v>
      </c>
      <c r="AH7807">
        <v>34.4932935546558</v>
      </c>
      <c r="AI7807">
        <v>91.843852895912505</v>
      </c>
      <c r="AJ7807">
        <v>91.052330262207803</v>
      </c>
      <c r="AK7807">
        <v>34.516984214789503</v>
      </c>
      <c r="AL7807">
        <v>78.469368396803802</v>
      </c>
      <c r="AM7807">
        <v>93.228401687463702</v>
      </c>
      <c r="AN7807">
        <v>1.0000000223611301</v>
      </c>
    </row>
    <row r="7808" spans="1:40" x14ac:dyDescent="0.25">
      <c r="A7808" t="str">
        <f>"20190304154946152"</f>
        <v>20190304154946152</v>
      </c>
      <c r="B7808" t="str">
        <f>"1551685786145131"</f>
        <v>1551685786145131</v>
      </c>
      <c r="C7808" t="s">
        <v>40</v>
      </c>
      <c r="D7808">
        <v>4.6252309999999897</v>
      </c>
      <c r="E7808">
        <v>0.51244659999999997</v>
      </c>
      <c r="F7808" t="s">
        <v>44</v>
      </c>
      <c r="G7808">
        <v>-187.74250000000001</v>
      </c>
      <c r="H7808" s="1">
        <v>-1.7332500000000001E-6</v>
      </c>
      <c r="I7808">
        <v>22.739570000000001</v>
      </c>
      <c r="J7808">
        <v>-187.45009999999999</v>
      </c>
      <c r="K7808">
        <v>1.1106049999999901</v>
      </c>
      <c r="L7808">
        <v>-11.28265</v>
      </c>
      <c r="M7808">
        <v>1.1644170000000001E-2</v>
      </c>
      <c r="N7808">
        <v>-1.169336E-2</v>
      </c>
      <c r="O7808">
        <v>0.99986379999999997</v>
      </c>
      <c r="P7808">
        <v>-4.5037590000000002E-2</v>
      </c>
      <c r="Q7808">
        <v>0.188189</v>
      </c>
      <c r="R7808">
        <v>0.98109970000000002</v>
      </c>
      <c r="S7808">
        <v>-2.5894170000000001E-2</v>
      </c>
      <c r="T7808">
        <v>-9.9573140000000004E-2</v>
      </c>
      <c r="U7808">
        <v>3.075745</v>
      </c>
      <c r="V7808">
        <v>-5.6362139999999998E-2</v>
      </c>
      <c r="W7808">
        <v>0.19966900000000001</v>
      </c>
      <c r="X7808">
        <v>0.97824109999999997</v>
      </c>
      <c r="Y7808">
        <v>-2.0055549999999998E-2</v>
      </c>
      <c r="Z7808">
        <v>-2.065958E-2</v>
      </c>
      <c r="AA7808">
        <v>0.99958539999999996</v>
      </c>
      <c r="AB7808">
        <v>27</v>
      </c>
      <c r="AC7808">
        <v>-0.29240000000001398</v>
      </c>
      <c r="AD7808">
        <v>-1.11060673324999</v>
      </c>
      <c r="AE7808">
        <v>34.022219999999997</v>
      </c>
      <c r="AF7808">
        <v>-0.68783488185498698</v>
      </c>
      <c r="AG7808">
        <v>-1.11060673324999</v>
      </c>
      <c r="AH7808">
        <v>33.980301311801703</v>
      </c>
      <c r="AI7808">
        <v>91.871596586160607</v>
      </c>
      <c r="AJ7808">
        <v>91.159632282295206</v>
      </c>
      <c r="AK7808">
        <v>34.005403120408197</v>
      </c>
      <c r="AL7808">
        <v>78.482396565868498</v>
      </c>
      <c r="AM7808">
        <v>93.297496420862203</v>
      </c>
      <c r="AN7808">
        <v>1.0000000250577901</v>
      </c>
    </row>
    <row r="7809" spans="1:40" x14ac:dyDescent="0.25">
      <c r="A7809" t="str">
        <f>"20190304154946218"</f>
        <v>20190304154946218</v>
      </c>
      <c r="B7809" t="str">
        <f>"1551685786215403"</f>
        <v>1551685786215403</v>
      </c>
      <c r="C7809" t="s">
        <v>40</v>
      </c>
      <c r="D7809">
        <v>4.5551909999999998</v>
      </c>
      <c r="E7809">
        <v>0.52646269999999995</v>
      </c>
      <c r="F7809" t="s">
        <v>44</v>
      </c>
      <c r="G7809">
        <v>-187.762</v>
      </c>
      <c r="H7809" s="1">
        <v>-1.9175439999999998E-6</v>
      </c>
      <c r="I7809">
        <v>23.177230000000002</v>
      </c>
      <c r="J7809">
        <v>-187.43979999999999</v>
      </c>
      <c r="K7809">
        <v>1.110609</v>
      </c>
      <c r="L7809">
        <v>-10.47968</v>
      </c>
      <c r="M7809">
        <v>1.238116E-2</v>
      </c>
      <c r="N7809">
        <v>-1.1660429999999999E-2</v>
      </c>
      <c r="O7809">
        <v>0.9998553</v>
      </c>
      <c r="P7809">
        <v>-4.7110909999999999E-2</v>
      </c>
      <c r="Q7809">
        <v>0.1888772</v>
      </c>
      <c r="R7809">
        <v>0.98087000000000002</v>
      </c>
      <c r="S7809">
        <v>-2.7832030000000001E-2</v>
      </c>
      <c r="T7809">
        <v>-9.9121210000000001E-2</v>
      </c>
      <c r="U7809">
        <v>3.0755309999999998</v>
      </c>
      <c r="V7809">
        <v>-5.9154949999999998E-2</v>
      </c>
      <c r="W7809">
        <v>0.2003231</v>
      </c>
      <c r="X7809">
        <v>0.97794239999999999</v>
      </c>
      <c r="Y7809">
        <v>-2.142254E-2</v>
      </c>
      <c r="Z7809">
        <v>-2.0546970000000001E-2</v>
      </c>
      <c r="AA7809">
        <v>0.99955930000000004</v>
      </c>
      <c r="AB7809">
        <v>27</v>
      </c>
      <c r="AC7809">
        <v>-0.32220000000000898</v>
      </c>
      <c r="AD7809">
        <v>-1.110610917544</v>
      </c>
      <c r="AE7809">
        <v>33.656910000000003</v>
      </c>
      <c r="AF7809">
        <v>-0.73811161241203505</v>
      </c>
      <c r="AG7809">
        <v>-1.110610917544</v>
      </c>
      <c r="AH7809">
        <v>33.613742794000899</v>
      </c>
      <c r="AI7809">
        <v>91.891930309800898</v>
      </c>
      <c r="AJ7809">
        <v>91.257934445678799</v>
      </c>
      <c r="AK7809">
        <v>33.640183857758402</v>
      </c>
      <c r="AL7809">
        <v>78.444146270880097</v>
      </c>
      <c r="AM7809">
        <v>93.461557896230701</v>
      </c>
      <c r="AN7809">
        <v>0.99999999511043602</v>
      </c>
    </row>
    <row r="7810" spans="1:40" x14ac:dyDescent="0.25">
      <c r="A7810" t="str">
        <f>"20190304154946234"</f>
        <v>20190304154946234</v>
      </c>
      <c r="B7810" t="str">
        <f>"1551685786225164"</f>
        <v>1551685786225164</v>
      </c>
      <c r="C7810" t="s">
        <v>40</v>
      </c>
      <c r="D7810">
        <v>4.5101680000000002</v>
      </c>
      <c r="E7810">
        <v>0.52055600000000002</v>
      </c>
      <c r="F7810" t="s">
        <v>41</v>
      </c>
      <c r="G7810">
        <v>-187.41650000000001</v>
      </c>
      <c r="H7810">
        <v>1.0365690000000001</v>
      </c>
      <c r="I7810">
        <v>-9.5846079999999994</v>
      </c>
      <c r="J7810">
        <v>-187.43700000000001</v>
      </c>
      <c r="K7810">
        <v>1.110606</v>
      </c>
      <c r="L7810">
        <v>-10.274480000000001</v>
      </c>
      <c r="M7810">
        <v>1.256957E-2</v>
      </c>
      <c r="N7810">
        <v>-1.1649680000000001E-2</v>
      </c>
      <c r="O7810">
        <v>0.99985310000000005</v>
      </c>
      <c r="P7810">
        <v>-4.7138119999999999E-2</v>
      </c>
      <c r="Q7810">
        <v>0.18925310000000001</v>
      </c>
      <c r="R7810">
        <v>0.98079620000000001</v>
      </c>
      <c r="S7810">
        <v>8.0780030000000003E-2</v>
      </c>
      <c r="T7810">
        <v>-0.25741589999999998</v>
      </c>
      <c r="U7810">
        <v>3.1119690000000002</v>
      </c>
      <c r="V7810">
        <v>-5.9365399999999999E-2</v>
      </c>
      <c r="W7810">
        <v>0.20068739999999999</v>
      </c>
      <c r="X7810">
        <v>0.97785500000000003</v>
      </c>
      <c r="Y7810">
        <v>1.330843E-2</v>
      </c>
      <c r="Z7810">
        <v>-7.0795570000000002E-2</v>
      </c>
      <c r="AA7810">
        <v>0.99740209999999996</v>
      </c>
      <c r="AB7810">
        <v>27</v>
      </c>
      <c r="AC7810">
        <v>2.0499999999998401E-2</v>
      </c>
      <c r="AD7810">
        <v>-7.4036999999999895E-2</v>
      </c>
      <c r="AE7810">
        <v>0.68987200000000104</v>
      </c>
      <c r="AF7810">
        <v>1.1691854240692801E-2</v>
      </c>
      <c r="AG7810">
        <v>-7.4036999999999895E-2</v>
      </c>
      <c r="AH7810">
        <v>0.68222455440476903</v>
      </c>
      <c r="AI7810">
        <v>96.192764106937005</v>
      </c>
      <c r="AJ7810">
        <v>89.0181702988247</v>
      </c>
      <c r="AK7810">
        <v>0.68632974542662195</v>
      </c>
      <c r="AL7810">
        <v>78.422841311093293</v>
      </c>
      <c r="AM7810">
        <v>93.474152380113694</v>
      </c>
      <c r="AN7810">
        <v>1.00000004213045</v>
      </c>
    </row>
    <row r="7811" spans="1:40" x14ac:dyDescent="0.25">
      <c r="A7811" t="str">
        <f>"20190304154946254"</f>
        <v>20190304154946254</v>
      </c>
      <c r="B7811" t="str">
        <f>"1551685786244683"</f>
        <v>1551685786244683</v>
      </c>
      <c r="C7811" t="s">
        <v>40</v>
      </c>
      <c r="D7811">
        <v>4.5646699999999996</v>
      </c>
      <c r="E7811">
        <v>0.52311859999999999</v>
      </c>
      <c r="F7811" t="s">
        <v>41</v>
      </c>
      <c r="G7811">
        <v>-187.42679999999999</v>
      </c>
      <c r="H7811">
        <v>1.037463</v>
      </c>
      <c r="I7811">
        <v>-9.3370379999999997</v>
      </c>
      <c r="J7811">
        <v>-187.43379999999999</v>
      </c>
      <c r="K7811">
        <v>1.110611</v>
      </c>
      <c r="L7811">
        <v>-10.039149999999999</v>
      </c>
      <c r="M7811">
        <v>1.2785660000000001E-2</v>
      </c>
      <c r="N7811">
        <v>-1.1635100000000001E-2</v>
      </c>
      <c r="O7811">
        <v>0.99985060000000003</v>
      </c>
      <c r="P7811">
        <v>-4.6611319999999998E-2</v>
      </c>
      <c r="Q7811">
        <v>0.19062419999999999</v>
      </c>
      <c r="R7811">
        <v>0.98055579999999998</v>
      </c>
      <c r="S7811">
        <v>3.3599850000000001E-2</v>
      </c>
      <c r="T7811">
        <v>-0.24240909999999999</v>
      </c>
      <c r="U7811">
        <v>3.1071170000000001</v>
      </c>
      <c r="V7811">
        <v>-5.9046469999999997E-2</v>
      </c>
      <c r="W7811">
        <v>0.202041</v>
      </c>
      <c r="X7811">
        <v>0.97759549999999995</v>
      </c>
      <c r="Y7811">
        <v>-1.9961269999999999E-3</v>
      </c>
      <c r="Z7811">
        <v>-6.6164849999999997E-2</v>
      </c>
      <c r="AA7811">
        <v>0.99780670000000005</v>
      </c>
      <c r="AB7811">
        <v>27</v>
      </c>
      <c r="AC7811">
        <v>7.0000000000049996E-3</v>
      </c>
      <c r="AD7811">
        <v>-7.3147999999999894E-2</v>
      </c>
      <c r="AE7811">
        <v>0.70211199999999896</v>
      </c>
      <c r="AF7811">
        <v>-1.9569066777952999E-3</v>
      </c>
      <c r="AG7811">
        <v>-7.3147999999999894E-2</v>
      </c>
      <c r="AH7811">
        <v>0.69460556785056304</v>
      </c>
      <c r="AI7811">
        <v>96.0115622734412</v>
      </c>
      <c r="AJ7811">
        <v>90.161418511578105</v>
      </c>
      <c r="AK7811">
        <v>0.69844924960711996</v>
      </c>
      <c r="AL7811">
        <v>78.343663483750404</v>
      </c>
      <c r="AM7811">
        <v>93.456448503351297</v>
      </c>
      <c r="AN7811">
        <v>1.00000000646035</v>
      </c>
    </row>
    <row r="7812" spans="1:40" x14ac:dyDescent="0.25">
      <c r="A7812" t="str">
        <f>"20190304154946298"</f>
        <v>20190304154946298</v>
      </c>
      <c r="B7812" t="str">
        <f>"1551685786295436"</f>
        <v>1551685786295436</v>
      </c>
      <c r="C7812" t="s">
        <v>40</v>
      </c>
      <c r="D7812">
        <v>4.4936980000000002</v>
      </c>
      <c r="E7812">
        <v>0.5200901</v>
      </c>
      <c r="F7812" t="s">
        <v>44</v>
      </c>
      <c r="G7812">
        <v>-187.05009999999999</v>
      </c>
      <c r="H7812" s="1">
        <v>-1.563133E-6</v>
      </c>
      <c r="I7812">
        <v>11.93496</v>
      </c>
      <c r="J7812">
        <v>-187.4263</v>
      </c>
      <c r="K7812">
        <v>1.1106039999999999</v>
      </c>
      <c r="L7812">
        <v>-9.4993289999999995</v>
      </c>
      <c r="M7812">
        <v>1.328202E-2</v>
      </c>
      <c r="N7812">
        <v>-1.1604669999999999E-2</v>
      </c>
      <c r="O7812">
        <v>0.99984439999999997</v>
      </c>
      <c r="P7812">
        <v>-4.4845169999999997E-2</v>
      </c>
      <c r="Q7812">
        <v>0.19067319999999999</v>
      </c>
      <c r="R7812">
        <v>0.98062870000000002</v>
      </c>
      <c r="S7812">
        <v>5.4000850000000003E-2</v>
      </c>
      <c r="T7812">
        <v>-0.15629760000000001</v>
      </c>
      <c r="U7812">
        <v>3.092438</v>
      </c>
      <c r="V7812">
        <v>-5.7768449999999999E-2</v>
      </c>
      <c r="W7812">
        <v>0.20206060000000001</v>
      </c>
      <c r="X7812">
        <v>0.97766779999999998</v>
      </c>
      <c r="Y7812">
        <v>4.1624369999999997E-3</v>
      </c>
      <c r="Z7812">
        <v>-3.8874770000000003E-2</v>
      </c>
      <c r="AA7812">
        <v>0.9992354</v>
      </c>
      <c r="AB7812">
        <v>27</v>
      </c>
      <c r="AC7812">
        <v>0.37620000000001103</v>
      </c>
      <c r="AD7812">
        <v>-1.1106055631330001</v>
      </c>
      <c r="AE7812">
        <v>21.434289</v>
      </c>
      <c r="AF7812">
        <v>9.1212165706848605E-2</v>
      </c>
      <c r="AG7812">
        <v>-1.1106055631330001</v>
      </c>
      <c r="AH7812">
        <v>21.3800130547484</v>
      </c>
      <c r="AI7812">
        <v>92.9735852285893</v>
      </c>
      <c r="AJ7812">
        <v>89.755564207746403</v>
      </c>
      <c r="AK7812">
        <v>21.409033667992801</v>
      </c>
      <c r="AL7812">
        <v>78.342516802207001</v>
      </c>
      <c r="AM7812">
        <v>93.381562103561095</v>
      </c>
      <c r="AN7812">
        <v>1.0000000035223</v>
      </c>
    </row>
    <row r="7813" spans="1:40" x14ac:dyDescent="0.25">
      <c r="A7813" t="str">
        <f>"20190304154946319"</f>
        <v>20190304154946319</v>
      </c>
      <c r="B7813" t="str">
        <f>"1551685786315329"</f>
        <v>1551685786315329</v>
      </c>
      <c r="C7813" t="s">
        <v>40</v>
      </c>
      <c r="D7813">
        <v>4.5604829999999996</v>
      </c>
      <c r="E7813">
        <v>0.51870099999999997</v>
      </c>
      <c r="F7813" t="s">
        <v>44</v>
      </c>
      <c r="G7813">
        <v>-187.15360000000001</v>
      </c>
      <c r="H7813" s="1">
        <v>-2.7524909999999999E-6</v>
      </c>
      <c r="I7813">
        <v>14.87194</v>
      </c>
      <c r="J7813">
        <v>-187.42269999999999</v>
      </c>
      <c r="K7813">
        <v>1.110603</v>
      </c>
      <c r="L7813">
        <v>-9.2444459999999999</v>
      </c>
      <c r="M7813">
        <v>1.3516240000000001E-2</v>
      </c>
      <c r="N7813">
        <v>-1.159235E-2</v>
      </c>
      <c r="O7813">
        <v>0.99984150000000005</v>
      </c>
      <c r="P7813">
        <v>-4.3896249999999998E-2</v>
      </c>
      <c r="Q7813">
        <v>0.19049859999999999</v>
      </c>
      <c r="R7813">
        <v>0.98070559999999996</v>
      </c>
      <c r="S7813">
        <v>3.456116E-2</v>
      </c>
      <c r="T7813">
        <v>-0.1407301</v>
      </c>
      <c r="U7813">
        <v>3.0881959999999999</v>
      </c>
      <c r="V7813">
        <v>-5.704994E-2</v>
      </c>
      <c r="W7813">
        <v>0.20187469999999999</v>
      </c>
      <c r="X7813">
        <v>0.97774839999999996</v>
      </c>
      <c r="Y7813">
        <v>-2.332321E-3</v>
      </c>
      <c r="Z7813">
        <v>-3.3932869999999997E-2</v>
      </c>
      <c r="AA7813">
        <v>0.99942140000000002</v>
      </c>
      <c r="AB7813">
        <v>27</v>
      </c>
      <c r="AC7813">
        <v>0.26909999999998002</v>
      </c>
      <c r="AD7813">
        <v>-1.110605752491</v>
      </c>
      <c r="AE7813">
        <v>24.116385999999999</v>
      </c>
      <c r="AF7813">
        <v>-5.6788912922246998E-2</v>
      </c>
      <c r="AG7813">
        <v>-1.110605752491</v>
      </c>
      <c r="AH7813">
        <v>24.066786194775698</v>
      </c>
      <c r="AI7813">
        <v>92.642136477833105</v>
      </c>
      <c r="AJ7813">
        <v>90.135197070701295</v>
      </c>
      <c r="AK7813">
        <v>24.0924649602971</v>
      </c>
      <c r="AL7813">
        <v>78.353392305085094</v>
      </c>
      <c r="AM7813">
        <v>93.339324170846396</v>
      </c>
      <c r="AN7813">
        <v>1.0000000119283201</v>
      </c>
    </row>
    <row r="7814" spans="1:40" x14ac:dyDescent="0.25">
      <c r="A7814" t="str">
        <f>"20190304154946341"</f>
        <v>20190304154946341</v>
      </c>
      <c r="B7814" t="str">
        <f>"1551685786334848"</f>
        <v>1551685786334848</v>
      </c>
      <c r="C7814" t="s">
        <v>40</v>
      </c>
      <c r="D7814">
        <v>4.5016509999999998</v>
      </c>
      <c r="E7814">
        <v>0.51750560000000001</v>
      </c>
      <c r="F7814" t="s">
        <v>44</v>
      </c>
      <c r="G7814">
        <v>-187.19479999999999</v>
      </c>
      <c r="H7814" s="1">
        <v>-3.739394E-6</v>
      </c>
      <c r="I7814">
        <v>17.189499999999999</v>
      </c>
      <c r="J7814">
        <v>-187.4187</v>
      </c>
      <c r="K7814">
        <v>1.1105969999999901</v>
      </c>
      <c r="L7814">
        <v>-8.9680479999999996</v>
      </c>
      <c r="M7814">
        <v>1.3770060000000001E-2</v>
      </c>
      <c r="N7814">
        <v>-1.1580129999999999E-2</v>
      </c>
      <c r="O7814">
        <v>0.99983809999999995</v>
      </c>
      <c r="P7814">
        <v>-4.3135E-2</v>
      </c>
      <c r="Q7814">
        <v>0.1912133</v>
      </c>
      <c r="R7814">
        <v>0.98060020000000003</v>
      </c>
      <c r="S7814">
        <v>2.6596069999999999E-2</v>
      </c>
      <c r="T7814">
        <v>-0.12963079999999999</v>
      </c>
      <c r="U7814">
        <v>3.085388</v>
      </c>
      <c r="V7814">
        <v>-5.653619E-2</v>
      </c>
      <c r="W7814">
        <v>0.2025757</v>
      </c>
      <c r="X7814">
        <v>0.97763319999999998</v>
      </c>
      <c r="Y7814">
        <v>-5.1539919999999996E-3</v>
      </c>
      <c r="Z7814">
        <v>-3.039832E-2</v>
      </c>
      <c r="AA7814">
        <v>0.99952459999999999</v>
      </c>
      <c r="AB7814">
        <v>27</v>
      </c>
      <c r="AC7814">
        <v>0.223900000000014</v>
      </c>
      <c r="AD7814">
        <v>-1.1106007393939901</v>
      </c>
      <c r="AE7814">
        <v>26.157547999999998</v>
      </c>
      <c r="AF7814">
        <v>-0.13609108799862801</v>
      </c>
      <c r="AG7814">
        <v>-1.1106007393939901</v>
      </c>
      <c r="AH7814">
        <v>26.1110841180463</v>
      </c>
      <c r="AI7814">
        <v>92.435499832833003</v>
      </c>
      <c r="AJ7814">
        <v>90.298623156806599</v>
      </c>
      <c r="AK7814">
        <v>26.1350467496476</v>
      </c>
      <c r="AL7814">
        <v>78.312380059116705</v>
      </c>
      <c r="AM7814">
        <v>93.3097088885077</v>
      </c>
      <c r="AN7814">
        <v>0.99999996437622196</v>
      </c>
    </row>
    <row r="7815" spans="1:40" x14ac:dyDescent="0.25">
      <c r="A7815" t="str">
        <f>"20190304154946366"</f>
        <v>20190304154946366</v>
      </c>
      <c r="B7815" t="str">
        <f>"1551685786355343"</f>
        <v>1551685786355343</v>
      </c>
      <c r="C7815" t="s">
        <v>40</v>
      </c>
      <c r="D7815">
        <v>4.563396</v>
      </c>
      <c r="E7815">
        <v>0.51729139999999996</v>
      </c>
      <c r="F7815" t="s">
        <v>44</v>
      </c>
      <c r="G7815">
        <v>-187.24719999999999</v>
      </c>
      <c r="H7815" s="1">
        <v>-4.3550440000000002E-6</v>
      </c>
      <c r="I7815">
        <v>18.646260000000002</v>
      </c>
      <c r="J7815">
        <v>-187.4143</v>
      </c>
      <c r="K7815">
        <v>1.1105910000000001</v>
      </c>
      <c r="L7815">
        <v>-8.6715389999999992</v>
      </c>
      <c r="M7815">
        <v>1.404188E-2</v>
      </c>
      <c r="N7815">
        <v>-1.1568480000000001E-2</v>
      </c>
      <c r="O7815">
        <v>0.99983449999999996</v>
      </c>
      <c r="P7815">
        <v>-4.2005920000000002E-2</v>
      </c>
      <c r="Q7815">
        <v>0.1914342</v>
      </c>
      <c r="R7815">
        <v>0.98060610000000004</v>
      </c>
      <c r="S7815">
        <v>1.9149780000000002E-2</v>
      </c>
      <c r="T7815">
        <v>-0.1240487</v>
      </c>
      <c r="U7815">
        <v>3.084381</v>
      </c>
      <c r="V7815">
        <v>-5.5672689999999997E-2</v>
      </c>
      <c r="W7815">
        <v>0.20278489999999999</v>
      </c>
      <c r="X7815">
        <v>0.97763940000000005</v>
      </c>
      <c r="Y7815">
        <v>-7.834845E-3</v>
      </c>
      <c r="Z7815">
        <v>-2.86176E-2</v>
      </c>
      <c r="AA7815">
        <v>0.99955970000000005</v>
      </c>
      <c r="AB7815">
        <v>27</v>
      </c>
      <c r="AC7815">
        <v>0.167100000000004</v>
      </c>
      <c r="AD7815">
        <v>-1.110595355044</v>
      </c>
      <c r="AE7815">
        <v>27.317799000000001</v>
      </c>
      <c r="AF7815">
        <v>-0.216178111175298</v>
      </c>
      <c r="AG7815">
        <v>-1.110595355044</v>
      </c>
      <c r="AH7815">
        <v>27.272377778174501</v>
      </c>
      <c r="AI7815">
        <v>92.331857248125701</v>
      </c>
      <c r="AJ7815">
        <v>90.454153066215994</v>
      </c>
      <c r="AK7815">
        <v>27.295837497572101</v>
      </c>
      <c r="AL7815">
        <v>78.300139921561893</v>
      </c>
      <c r="AM7815">
        <v>93.259247569120902</v>
      </c>
      <c r="AN7815">
        <v>0.99999998025610204</v>
      </c>
    </row>
    <row r="7816" spans="1:40" x14ac:dyDescent="0.25">
      <c r="A7816" t="str">
        <f>"20190304154946387"</f>
        <v>20190304154946387</v>
      </c>
      <c r="B7816" t="str">
        <f>"1551685786374863"</f>
        <v>1551685786374863</v>
      </c>
      <c r="C7816" t="s">
        <v>40</v>
      </c>
      <c r="D7816">
        <v>4.5419289999999997</v>
      </c>
      <c r="E7816">
        <v>0.51752749999999903</v>
      </c>
      <c r="F7816" t="s">
        <v>44</v>
      </c>
      <c r="G7816">
        <v>-187.21600000000001</v>
      </c>
      <c r="H7816" s="1">
        <v>-1.407889E-6</v>
      </c>
      <c r="I7816">
        <v>21.608460000000001</v>
      </c>
      <c r="J7816">
        <v>-187.41040000000001</v>
      </c>
      <c r="K7816">
        <v>1.1105860000000001</v>
      </c>
      <c r="L7816">
        <v>-8.4132689999999997</v>
      </c>
      <c r="M7816">
        <v>1.4278900000000001E-2</v>
      </c>
      <c r="N7816">
        <v>-1.155954E-2</v>
      </c>
      <c r="O7816">
        <v>0.99983129999999998</v>
      </c>
      <c r="P7816">
        <v>-4.1164649999999997E-2</v>
      </c>
      <c r="Q7816">
        <v>0.19131049999999999</v>
      </c>
      <c r="R7816">
        <v>0.98066600000000004</v>
      </c>
      <c r="S7816">
        <v>2.0187380000000001E-2</v>
      </c>
      <c r="T7816">
        <v>-0.11305</v>
      </c>
      <c r="U7816">
        <v>3.0822750000000001</v>
      </c>
      <c r="V7816">
        <v>-5.5064920000000003E-2</v>
      </c>
      <c r="W7816">
        <v>0.20265320000000001</v>
      </c>
      <c r="X7816">
        <v>0.97770109999999999</v>
      </c>
      <c r="Y7816">
        <v>-7.7307640000000002E-3</v>
      </c>
      <c r="Z7816">
        <v>-2.509258E-2</v>
      </c>
      <c r="AA7816">
        <v>0.99965519999999997</v>
      </c>
      <c r="AB7816">
        <v>27</v>
      </c>
      <c r="AC7816">
        <v>0.19440000000002999</v>
      </c>
      <c r="AD7816">
        <v>-1.1105874078889999</v>
      </c>
      <c r="AE7816">
        <v>30.021728999999901</v>
      </c>
      <c r="AF7816">
        <v>-0.23400548626848</v>
      </c>
      <c r="AG7816">
        <v>-1.1105874078889999</v>
      </c>
      <c r="AH7816">
        <v>29.980418448423901</v>
      </c>
      <c r="AI7816">
        <v>92.121416471486896</v>
      </c>
      <c r="AJ7816">
        <v>90.447200378687</v>
      </c>
      <c r="AK7816">
        <v>30.0018941618818</v>
      </c>
      <c r="AL7816">
        <v>78.307845448719206</v>
      </c>
      <c r="AM7816">
        <v>93.223539321728396</v>
      </c>
      <c r="AN7816">
        <v>0.99999995291302701</v>
      </c>
    </row>
    <row r="7817" spans="1:40" x14ac:dyDescent="0.25">
      <c r="A7817" t="str">
        <f>"20190304154946409"</f>
        <v>20190304154946409</v>
      </c>
      <c r="B7817" t="str">
        <f>"1551685786405119"</f>
        <v>1551685786405119</v>
      </c>
      <c r="C7817" t="s">
        <v>40</v>
      </c>
      <c r="D7817">
        <v>4.5440339999999999</v>
      </c>
      <c r="E7817">
        <v>0.51754789999999995</v>
      </c>
      <c r="F7817" t="s">
        <v>44</v>
      </c>
      <c r="G7817">
        <v>-187.16030000000001</v>
      </c>
      <c r="H7817" s="1">
        <v>-2.504265E-6</v>
      </c>
      <c r="I7817">
        <v>24.29608</v>
      </c>
      <c r="J7817">
        <v>-187.40620000000001</v>
      </c>
      <c r="K7817">
        <v>1.110582</v>
      </c>
      <c r="L7817">
        <v>-8.1393429999999896</v>
      </c>
      <c r="M7817">
        <v>1.4529439999999999E-2</v>
      </c>
      <c r="N7817">
        <v>-1.1551229999999999E-2</v>
      </c>
      <c r="O7817">
        <v>0.99982769999999999</v>
      </c>
      <c r="P7817">
        <v>-4.0331980000000003E-2</v>
      </c>
      <c r="Q7817">
        <v>0.1908696</v>
      </c>
      <c r="R7817">
        <v>0.98078650000000001</v>
      </c>
      <c r="S7817">
        <v>2.3559569999999998E-2</v>
      </c>
      <c r="T7817">
        <v>-0.1045942</v>
      </c>
      <c r="U7817">
        <v>3.0805359999999999</v>
      </c>
      <c r="V7817">
        <v>-5.4479840000000002E-2</v>
      </c>
      <c r="W7817">
        <v>0.20220489999999999</v>
      </c>
      <c r="X7817">
        <v>0.97782670000000005</v>
      </c>
      <c r="Y7817">
        <v>-6.8832429999999998E-3</v>
      </c>
      <c r="Z7817">
        <v>-2.2381229999999998E-2</v>
      </c>
      <c r="AA7817">
        <v>0.9997258</v>
      </c>
      <c r="AB7817">
        <v>27</v>
      </c>
      <c r="AC7817">
        <v>0.245900000000006</v>
      </c>
      <c r="AD7817">
        <v>-1.110584504265</v>
      </c>
      <c r="AE7817">
        <v>32.435423</v>
      </c>
      <c r="AF7817">
        <v>-0.22516198712191901</v>
      </c>
      <c r="AG7817">
        <v>-1.110584504265</v>
      </c>
      <c r="AH7817">
        <v>32.397592027291502</v>
      </c>
      <c r="AI7817">
        <v>91.963274391977393</v>
      </c>
      <c r="AJ7817">
        <v>90.398196997240802</v>
      </c>
      <c r="AK7817">
        <v>32.417403736702603</v>
      </c>
      <c r="AL7817">
        <v>78.334074304768706</v>
      </c>
      <c r="AM7817">
        <v>93.188950590887501</v>
      </c>
      <c r="AN7817">
        <v>0.99999996489166199</v>
      </c>
    </row>
    <row r="7818" spans="1:40" x14ac:dyDescent="0.25">
      <c r="A7818" t="str">
        <f>"20190304154946430"</f>
        <v>20190304154946430</v>
      </c>
      <c r="B7818" t="str">
        <f>"1551685786425147"</f>
        <v>1551685786425147</v>
      </c>
      <c r="C7818" t="s">
        <v>40</v>
      </c>
      <c r="D7818">
        <v>4.5646820000000004</v>
      </c>
      <c r="E7818">
        <v>0.51754520000000004</v>
      </c>
      <c r="F7818" t="s">
        <v>44</v>
      </c>
      <c r="G7818">
        <v>-187.1036</v>
      </c>
      <c r="H7818" s="1">
        <v>-3.8909780000000003E-6</v>
      </c>
      <c r="I7818">
        <v>27.505120000000002</v>
      </c>
      <c r="J7818">
        <v>-187.4023</v>
      </c>
      <c r="K7818">
        <v>1.1105799999999999</v>
      </c>
      <c r="L7818">
        <v>-7.882263</v>
      </c>
      <c r="M7818">
        <v>1.47619E-2</v>
      </c>
      <c r="N7818">
        <v>-1.154442E-2</v>
      </c>
      <c r="O7818">
        <v>0.99982439999999995</v>
      </c>
      <c r="P7818">
        <v>-3.996479E-2</v>
      </c>
      <c r="Q7818">
        <v>0.19065299999999999</v>
      </c>
      <c r="R7818">
        <v>0.98084369999999999</v>
      </c>
      <c r="S7818">
        <v>2.6138310000000001E-2</v>
      </c>
      <c r="T7818">
        <v>-9.5918539999999997E-2</v>
      </c>
      <c r="U7818">
        <v>3.078522</v>
      </c>
      <c r="V7818">
        <v>-5.4342059999999998E-2</v>
      </c>
      <c r="W7818">
        <v>0.2019822</v>
      </c>
      <c r="X7818">
        <v>0.97788039999999998</v>
      </c>
      <c r="Y7818">
        <v>-6.2731289999999997E-3</v>
      </c>
      <c r="Z7818">
        <v>-1.959609E-2</v>
      </c>
      <c r="AA7818">
        <v>0.99978829999999996</v>
      </c>
      <c r="AB7818">
        <v>27</v>
      </c>
      <c r="AC7818">
        <v>0.29869999999999602</v>
      </c>
      <c r="AD7818">
        <v>-1.1105838909779999</v>
      </c>
      <c r="AE7818">
        <v>35.387383</v>
      </c>
      <c r="AF7818">
        <v>-0.22353222128905301</v>
      </c>
      <c r="AG7818">
        <v>-1.1105838909779999</v>
      </c>
      <c r="AH7818">
        <v>35.3531183470391</v>
      </c>
      <c r="AI7818">
        <v>91.7992636284513</v>
      </c>
      <c r="AJ7818">
        <v>90.362267398022098</v>
      </c>
      <c r="AK7818">
        <v>35.371264327029699</v>
      </c>
      <c r="AL7818">
        <v>78.347102996309502</v>
      </c>
      <c r="AM7818">
        <v>93.180727969113605</v>
      </c>
      <c r="AN7818">
        <v>0.99999997265302099</v>
      </c>
    </row>
    <row r="7819" spans="1:40" x14ac:dyDescent="0.25">
      <c r="A7819" t="str">
        <f>"20190304154946453"</f>
        <v>20190304154946453</v>
      </c>
      <c r="B7819" t="str">
        <f>"1551685786444667"</f>
        <v>1551685786444667</v>
      </c>
      <c r="C7819" t="s">
        <v>40</v>
      </c>
      <c r="D7819">
        <v>4.6039539999999999</v>
      </c>
      <c r="E7819">
        <v>0.51773009999999997</v>
      </c>
      <c r="F7819" t="s">
        <v>44</v>
      </c>
      <c r="G7819">
        <v>-187.06299999999999</v>
      </c>
      <c r="H7819" s="1">
        <v>-4.7025789999999997E-6</v>
      </c>
      <c r="I7819">
        <v>29.380210000000002</v>
      </c>
      <c r="J7819">
        <v>-187.39779999999999</v>
      </c>
      <c r="K7819">
        <v>1.1105860000000001</v>
      </c>
      <c r="L7819">
        <v>-7.5974429999999904</v>
      </c>
      <c r="M7819">
        <v>1.501341E-2</v>
      </c>
      <c r="N7819">
        <v>-1.153792E-2</v>
      </c>
      <c r="O7819">
        <v>0.99982070000000001</v>
      </c>
      <c r="P7819">
        <v>-4.0271460000000002E-2</v>
      </c>
      <c r="Q7819">
        <v>0.19079460000000001</v>
      </c>
      <c r="R7819">
        <v>0.98080350000000005</v>
      </c>
      <c r="S7819">
        <v>2.8015140000000001E-2</v>
      </c>
      <c r="T7819">
        <v>-9.1725230000000005E-2</v>
      </c>
      <c r="U7819">
        <v>3.0775760000000001</v>
      </c>
      <c r="V7819">
        <v>-5.4896309999999997E-2</v>
      </c>
      <c r="W7819">
        <v>0.2021162</v>
      </c>
      <c r="X7819">
        <v>0.97782179999999996</v>
      </c>
      <c r="Y7819">
        <v>-5.912311E-3</v>
      </c>
      <c r="Z7819">
        <v>-1.825125E-2</v>
      </c>
      <c r="AA7819">
        <v>0.99981589999999998</v>
      </c>
      <c r="AB7819">
        <v>27</v>
      </c>
      <c r="AC7819">
        <v>0.33480000000000099</v>
      </c>
      <c r="AD7819">
        <v>-1.1105907025790001</v>
      </c>
      <c r="AE7819">
        <v>36.977652999999997</v>
      </c>
      <c r="AF7819">
        <v>-0.22023672494374599</v>
      </c>
      <c r="AG7819">
        <v>-1.1105907025790001</v>
      </c>
      <c r="AH7819">
        <v>36.945188026329603</v>
      </c>
      <c r="AI7819">
        <v>91.721790510169498</v>
      </c>
      <c r="AJ7819">
        <v>90.341546113041204</v>
      </c>
      <c r="AK7819">
        <v>36.962532843739503</v>
      </c>
      <c r="AL7819">
        <v>78.339264213108194</v>
      </c>
      <c r="AM7819">
        <v>93.213293634983501</v>
      </c>
      <c r="AN7819">
        <v>1.00000001785464</v>
      </c>
    </row>
    <row r="7820" spans="1:40" x14ac:dyDescent="0.25">
      <c r="A7820" t="str">
        <f>"20190304154946468"</f>
        <v>20190304154946468</v>
      </c>
      <c r="B7820" t="str">
        <f>"1551685786465165"</f>
        <v>1551685786465165</v>
      </c>
      <c r="C7820" t="s">
        <v>40</v>
      </c>
      <c r="D7820">
        <v>4.5630920000000001</v>
      </c>
      <c r="E7820">
        <v>0.51748959999999999</v>
      </c>
      <c r="F7820" t="s">
        <v>44</v>
      </c>
      <c r="G7820">
        <v>-187.02680000000001</v>
      </c>
      <c r="H7820" s="1">
        <v>-1.1062460000000001E-6</v>
      </c>
      <c r="I7820">
        <v>30.574149999999999</v>
      </c>
      <c r="J7820">
        <v>-187.39490000000001</v>
      </c>
      <c r="K7820">
        <v>1.110584</v>
      </c>
      <c r="L7820">
        <v>-7.4130250000000002</v>
      </c>
      <c r="M7820">
        <v>1.5170629999999999E-2</v>
      </c>
      <c r="N7820">
        <v>-1.1534290000000001E-2</v>
      </c>
      <c r="O7820">
        <v>0.9998184</v>
      </c>
      <c r="P7820">
        <v>-4.07205E-2</v>
      </c>
      <c r="Q7820">
        <v>0.19102079999999999</v>
      </c>
      <c r="R7820">
        <v>0.98074099999999997</v>
      </c>
      <c r="S7820">
        <v>2.990723E-2</v>
      </c>
      <c r="T7820">
        <v>-8.9534639999999999E-2</v>
      </c>
      <c r="U7820">
        <v>3.0773619999999999</v>
      </c>
      <c r="V7820">
        <v>-5.5500309999999997E-2</v>
      </c>
      <c r="W7820">
        <v>0.20233799999999999</v>
      </c>
      <c r="X7820">
        <v>0.97774179999999999</v>
      </c>
      <c r="Y7820">
        <v>-5.4542599999999998E-3</v>
      </c>
      <c r="Z7820">
        <v>-1.7545890000000001E-2</v>
      </c>
      <c r="AA7820">
        <v>0.99983120000000003</v>
      </c>
      <c r="AB7820">
        <v>27</v>
      </c>
      <c r="AC7820">
        <v>0.36809999999999798</v>
      </c>
      <c r="AD7820">
        <v>-1.1105851062459999</v>
      </c>
      <c r="AE7820">
        <v>37.987175000000001</v>
      </c>
      <c r="AF7820">
        <v>-0.20809222975204</v>
      </c>
      <c r="AG7820">
        <v>-1.1105851062459999</v>
      </c>
      <c r="AH7820">
        <v>37.955948413086901</v>
      </c>
      <c r="AI7820">
        <v>91.675962179136704</v>
      </c>
      <c r="AJ7820">
        <v>90.314119065878501</v>
      </c>
      <c r="AK7820">
        <v>37.972762891198897</v>
      </c>
      <c r="AL7820">
        <v>78.326287560494194</v>
      </c>
      <c r="AM7820">
        <v>93.248838017092197</v>
      </c>
      <c r="AN7820">
        <v>0.999999989060667</v>
      </c>
    </row>
    <row r="7821" spans="1:40" x14ac:dyDescent="0.25">
      <c r="A7821" t="str">
        <f>"20190304154946487"</f>
        <v>20190304154946487</v>
      </c>
      <c r="B7821" t="str">
        <f>"1551685786484683"</f>
        <v>1551685786484683</v>
      </c>
      <c r="C7821" t="s">
        <v>40</v>
      </c>
      <c r="D7821">
        <v>4.5607430000000004</v>
      </c>
      <c r="E7821">
        <v>0.51741199999999998</v>
      </c>
      <c r="F7821" t="s">
        <v>44</v>
      </c>
      <c r="G7821">
        <v>-187.0556</v>
      </c>
      <c r="H7821" s="1">
        <v>-1.4890010000000001E-6</v>
      </c>
      <c r="I7821">
        <v>31.721450000000001</v>
      </c>
      <c r="J7821">
        <v>-187.39109999999999</v>
      </c>
      <c r="K7821">
        <v>1.110587</v>
      </c>
      <c r="L7821">
        <v>-7.17807</v>
      </c>
      <c r="M7821">
        <v>1.536499E-2</v>
      </c>
      <c r="N7821">
        <v>-1.1530189999999999E-2</v>
      </c>
      <c r="O7821">
        <v>0.99981549999999997</v>
      </c>
      <c r="P7821">
        <v>-4.0976899999999997E-2</v>
      </c>
      <c r="Q7821">
        <v>0.19053149999999999</v>
      </c>
      <c r="R7821">
        <v>0.98082550000000002</v>
      </c>
      <c r="S7821">
        <v>2.6672359999999999E-2</v>
      </c>
      <c r="T7821">
        <v>-8.7321999999999997E-2</v>
      </c>
      <c r="U7821">
        <v>3.077026</v>
      </c>
      <c r="V7821">
        <v>-5.5951830000000001E-2</v>
      </c>
      <c r="W7821">
        <v>0.20184489999999999</v>
      </c>
      <c r="X7821">
        <v>0.97781799999999996</v>
      </c>
      <c r="Y7821">
        <v>-6.6982400000000003E-3</v>
      </c>
      <c r="Z7821">
        <v>-1.6834740000000001E-2</v>
      </c>
      <c r="AA7821">
        <v>0.99983580000000005</v>
      </c>
      <c r="AB7821">
        <v>27</v>
      </c>
      <c r="AC7821">
        <v>0.33549999999999602</v>
      </c>
      <c r="AD7821">
        <v>-1.1105884890009901</v>
      </c>
      <c r="AE7821">
        <v>38.899520000000003</v>
      </c>
      <c r="AF7821">
        <v>-0.26205647199144899</v>
      </c>
      <c r="AG7821">
        <v>-1.1105884890009901</v>
      </c>
      <c r="AH7821">
        <v>38.868402873047998</v>
      </c>
      <c r="AI7821">
        <v>91.6366322040558</v>
      </c>
      <c r="AJ7821">
        <v>90.386290694488906</v>
      </c>
      <c r="AK7821">
        <v>38.8851491226146</v>
      </c>
      <c r="AL7821">
        <v>78.355135536498693</v>
      </c>
      <c r="AM7821">
        <v>93.274956791019804</v>
      </c>
      <c r="AN7821">
        <v>1.0000000060301699</v>
      </c>
    </row>
    <row r="7822" spans="1:40" x14ac:dyDescent="0.25">
      <c r="A7822" t="str">
        <f>"20190304154946509"</f>
        <v>20190304154946509</v>
      </c>
      <c r="B7822" t="str">
        <f>"1551685786505180"</f>
        <v>1551685786505180</v>
      </c>
      <c r="C7822" t="s">
        <v>40</v>
      </c>
      <c r="D7822">
        <v>4.5576319999999999</v>
      </c>
      <c r="E7822">
        <v>0.5174417</v>
      </c>
      <c r="F7822" t="s">
        <v>44</v>
      </c>
      <c r="G7822">
        <v>-187.0617</v>
      </c>
      <c r="H7822" s="1">
        <v>-1.8603340000000001E-6</v>
      </c>
      <c r="I7822">
        <v>32.75432</v>
      </c>
      <c r="J7822">
        <v>-187.3869</v>
      </c>
      <c r="K7822">
        <v>1.110589</v>
      </c>
      <c r="L7822">
        <v>-6.9166869999999996</v>
      </c>
      <c r="M7822">
        <v>1.5567070000000001E-2</v>
      </c>
      <c r="N7822">
        <v>-1.152628E-2</v>
      </c>
      <c r="O7822">
        <v>0.99981240000000005</v>
      </c>
      <c r="P7822">
        <v>-4.121855E-2</v>
      </c>
      <c r="Q7822">
        <v>0.19024930000000001</v>
      </c>
      <c r="R7822">
        <v>0.98087009999999997</v>
      </c>
      <c r="S7822">
        <v>2.5375370000000001E-2</v>
      </c>
      <c r="T7822">
        <v>-8.5557939999999999E-2</v>
      </c>
      <c r="U7822">
        <v>3.0763240000000001</v>
      </c>
      <c r="V7822">
        <v>-5.6397700000000002E-2</v>
      </c>
      <c r="W7822">
        <v>0.20155809999999999</v>
      </c>
      <c r="X7822">
        <v>0.97785149999999998</v>
      </c>
      <c r="Y7822">
        <v>-7.3196869999999897E-3</v>
      </c>
      <c r="Z7822">
        <v>-1.6272160000000001E-2</v>
      </c>
      <c r="AA7822">
        <v>0.99984079999999997</v>
      </c>
      <c r="AB7822">
        <v>27</v>
      </c>
      <c r="AC7822">
        <v>0.32519999999999499</v>
      </c>
      <c r="AD7822">
        <v>-1.110590860334</v>
      </c>
      <c r="AE7822">
        <v>39.671007000000003</v>
      </c>
      <c r="AF7822">
        <v>-0.29221277575512999</v>
      </c>
      <c r="AG7822">
        <v>-1.110590860334</v>
      </c>
      <c r="AH7822">
        <v>39.640197221284097</v>
      </c>
      <c r="AI7822">
        <v>91.604780115172005</v>
      </c>
      <c r="AJ7822">
        <v>90.422355504904601</v>
      </c>
      <c r="AK7822">
        <v>39.656828366722301</v>
      </c>
      <c r="AL7822">
        <v>78.371912270797296</v>
      </c>
      <c r="AM7822">
        <v>93.300884006002804</v>
      </c>
      <c r="AN7822">
        <v>0.99999996214657405</v>
      </c>
    </row>
    <row r="7823" spans="1:40" x14ac:dyDescent="0.25">
      <c r="A7823" t="str">
        <f>"20190304154946530"</f>
        <v>20190304154946530</v>
      </c>
      <c r="B7823" t="str">
        <f>"1551685786525083"</f>
        <v>1551685786525083</v>
      </c>
      <c r="C7823" t="s">
        <v>40</v>
      </c>
      <c r="D7823">
        <v>4.5822880000000001</v>
      </c>
      <c r="E7823">
        <v>0.51741210000000004</v>
      </c>
      <c r="F7823" t="s">
        <v>44</v>
      </c>
      <c r="G7823">
        <v>-187.0581</v>
      </c>
      <c r="H7823" s="1">
        <v>-2.486927E-6</v>
      </c>
      <c r="I7823">
        <v>34.213439999999999</v>
      </c>
      <c r="J7823">
        <v>-187.38239999999999</v>
      </c>
      <c r="K7823">
        <v>1.1106049999999901</v>
      </c>
      <c r="L7823">
        <v>-6.6443179999999904</v>
      </c>
      <c r="M7823">
        <v>1.5754170000000001E-2</v>
      </c>
      <c r="N7823">
        <v>-1.1522889999999999E-2</v>
      </c>
      <c r="O7823">
        <v>0.99980950000000002</v>
      </c>
      <c r="P7823">
        <v>-4.1979860000000001E-2</v>
      </c>
      <c r="Q7823">
        <v>0.1899921</v>
      </c>
      <c r="R7823">
        <v>0.98088770000000003</v>
      </c>
      <c r="S7823">
        <v>2.4581909999999998E-2</v>
      </c>
      <c r="T7823">
        <v>-8.3048460000000004E-2</v>
      </c>
      <c r="U7823">
        <v>3.075653</v>
      </c>
      <c r="V7823">
        <v>-5.7350169999999999E-2</v>
      </c>
      <c r="W7823">
        <v>0.20129559999999999</v>
      </c>
      <c r="X7823">
        <v>0.9778502</v>
      </c>
      <c r="Y7823">
        <v>-7.7627779999999997E-3</v>
      </c>
      <c r="Z7823">
        <v>-1.546643E-2</v>
      </c>
      <c r="AA7823">
        <v>0.99985029999999997</v>
      </c>
      <c r="AB7823">
        <v>27</v>
      </c>
      <c r="AC7823">
        <v>0.32429999999999298</v>
      </c>
      <c r="AD7823">
        <v>-1.11060748692699</v>
      </c>
      <c r="AE7823">
        <v>40.857757999999997</v>
      </c>
      <c r="AF7823">
        <v>-0.31922719796791299</v>
      </c>
      <c r="AG7823">
        <v>-1.11060748692699</v>
      </c>
      <c r="AH7823">
        <v>40.827631409754702</v>
      </c>
      <c r="AI7823">
        <v>91.558147935427797</v>
      </c>
      <c r="AJ7823">
        <v>90.447980884585306</v>
      </c>
      <c r="AK7823">
        <v>40.843981705077802</v>
      </c>
      <c r="AL7823">
        <v>78.387267427507297</v>
      </c>
      <c r="AM7823">
        <v>93.356508886671804</v>
      </c>
      <c r="AN7823">
        <v>0.99999998710921401</v>
      </c>
    </row>
    <row r="7824" spans="1:40" x14ac:dyDescent="0.25">
      <c r="A7824" t="str">
        <f>"20190304154946555"</f>
        <v>20190304154946555</v>
      </c>
      <c r="B7824" t="str">
        <f>"1551685786544603"</f>
        <v>1551685786544603</v>
      </c>
      <c r="C7824" t="s">
        <v>40</v>
      </c>
      <c r="D7824">
        <v>4.5986219999999998</v>
      </c>
      <c r="E7824">
        <v>0.51746579999999998</v>
      </c>
      <c r="F7824" t="s">
        <v>44</v>
      </c>
      <c r="G7824">
        <v>-187.06290000000001</v>
      </c>
      <c r="H7824" s="1">
        <v>-3.1437640000000001E-6</v>
      </c>
      <c r="I7824">
        <v>35.746519999999997</v>
      </c>
      <c r="J7824">
        <v>-187.3777</v>
      </c>
      <c r="K7824">
        <v>1.110622</v>
      </c>
      <c r="L7824">
        <v>-6.355499</v>
      </c>
      <c r="M7824">
        <v>1.5913219999999999E-2</v>
      </c>
      <c r="N7824">
        <v>-1.1519919999999999E-2</v>
      </c>
      <c r="O7824">
        <v>0.999807</v>
      </c>
      <c r="P7824">
        <v>-4.268102E-2</v>
      </c>
      <c r="Q7824">
        <v>0.18862480000000001</v>
      </c>
      <c r="R7824">
        <v>0.98112129999999997</v>
      </c>
      <c r="S7824">
        <v>2.31781E-2</v>
      </c>
      <c r="T7824">
        <v>-8.0563780000000002E-2</v>
      </c>
      <c r="U7824">
        <v>3.075043</v>
      </c>
      <c r="V7824">
        <v>-5.8223379999999998E-2</v>
      </c>
      <c r="W7824">
        <v>0.19992499999999999</v>
      </c>
      <c r="X7824">
        <v>0.9780797</v>
      </c>
      <c r="Y7824">
        <v>-8.3764970000000001E-3</v>
      </c>
      <c r="Z7824">
        <v>-1.466743E-2</v>
      </c>
      <c r="AA7824">
        <v>0.99985740000000001</v>
      </c>
      <c r="AB7824">
        <v>27</v>
      </c>
      <c r="AC7824">
        <v>0.31479999999999098</v>
      </c>
      <c r="AD7824">
        <v>-1.110625143764</v>
      </c>
      <c r="AE7824">
        <v>42.102018999999999</v>
      </c>
      <c r="AF7824">
        <v>-0.35501599362943598</v>
      </c>
      <c r="AG7824">
        <v>-1.110625143764</v>
      </c>
      <c r="AH7824">
        <v>42.072421640053001</v>
      </c>
      <c r="AI7824">
        <v>91.512085401765901</v>
      </c>
      <c r="AJ7824">
        <v>90.483462433142506</v>
      </c>
      <c r="AK7824">
        <v>42.088575495306202</v>
      </c>
      <c r="AL7824">
        <v>78.467425950898601</v>
      </c>
      <c r="AM7824">
        <v>93.4066976915813</v>
      </c>
      <c r="AN7824">
        <v>0.99999993357785499</v>
      </c>
    </row>
    <row r="7825" spans="1:40" x14ac:dyDescent="0.25">
      <c r="A7825" t="str">
        <f>"20190304154946577"</f>
        <v>20190304154946577</v>
      </c>
      <c r="B7825" t="str">
        <f>"1551685786574859"</f>
        <v>1551685786574859</v>
      </c>
      <c r="C7825" t="s">
        <v>40</v>
      </c>
      <c r="D7825">
        <v>4.6068579999999999</v>
      </c>
      <c r="E7825">
        <v>0.51754809999999996</v>
      </c>
      <c r="F7825" t="s">
        <v>44</v>
      </c>
      <c r="G7825">
        <v>-187.06639999999999</v>
      </c>
      <c r="H7825" s="1">
        <v>-2.9609319999999999E-6</v>
      </c>
      <c r="I7825">
        <v>35.321759999999998</v>
      </c>
      <c r="J7825">
        <v>-187.37299999999999</v>
      </c>
      <c r="K7825">
        <v>1.1106499999999999</v>
      </c>
      <c r="L7825">
        <v>-6.0731510000000002</v>
      </c>
      <c r="M7825">
        <v>1.6021980000000002E-2</v>
      </c>
      <c r="N7825">
        <v>-1.151752E-2</v>
      </c>
      <c r="O7825">
        <v>0.99980530000000001</v>
      </c>
      <c r="P7825">
        <v>-4.2771459999999997E-2</v>
      </c>
      <c r="Q7825">
        <v>0.18740129999999999</v>
      </c>
      <c r="R7825">
        <v>0.9813518</v>
      </c>
      <c r="S7825">
        <v>2.2964479999999999E-2</v>
      </c>
      <c r="T7825">
        <v>-8.1928970000000004E-2</v>
      </c>
      <c r="U7825">
        <v>3.0744630000000002</v>
      </c>
      <c r="V7825">
        <v>-5.8440209999999999E-2</v>
      </c>
      <c r="W7825">
        <v>0.19869700000000001</v>
      </c>
      <c r="X7825">
        <v>0.97831699999999999</v>
      </c>
      <c r="Y7825">
        <v>-8.5533080000000008E-3</v>
      </c>
      <c r="Z7825">
        <v>-1.511827E-2</v>
      </c>
      <c r="AA7825">
        <v>0.99984910000000005</v>
      </c>
      <c r="AB7825">
        <v>27</v>
      </c>
      <c r="AC7825">
        <v>0.30660000000000298</v>
      </c>
      <c r="AD7825">
        <v>-1.1106529609319999</v>
      </c>
      <c r="AE7825">
        <v>41.394911</v>
      </c>
      <c r="AF7825">
        <v>-0.35645519981580998</v>
      </c>
      <c r="AG7825">
        <v>-1.1106529609319999</v>
      </c>
      <c r="AH7825">
        <v>41.364733303737196</v>
      </c>
      <c r="AI7825">
        <v>91.537978740586993</v>
      </c>
      <c r="AJ7825">
        <v>90.493726693876994</v>
      </c>
      <c r="AK7825">
        <v>41.381176537145599</v>
      </c>
      <c r="AL7825">
        <v>78.539225988566102</v>
      </c>
      <c r="AM7825">
        <v>93.4185271166305</v>
      </c>
      <c r="AN7825">
        <v>0.99999995422142096</v>
      </c>
    </row>
    <row r="7826" spans="1:40" x14ac:dyDescent="0.25">
      <c r="A7826" t="str">
        <f>"20190304154946599"</f>
        <v>20190304154946599</v>
      </c>
      <c r="B7826" t="str">
        <f>"1551685786595355"</f>
        <v>1551685786595355</v>
      </c>
      <c r="C7826" t="s">
        <v>40</v>
      </c>
      <c r="D7826">
        <v>4.5746320000000003</v>
      </c>
      <c r="E7826">
        <v>0.51797590000000004</v>
      </c>
      <c r="F7826" t="s">
        <v>44</v>
      </c>
      <c r="G7826">
        <v>-187.0575</v>
      </c>
      <c r="H7826" s="1">
        <v>-2.3438980000000001E-6</v>
      </c>
      <c r="I7826">
        <v>33.87979</v>
      </c>
      <c r="J7826">
        <v>-187.36869999999999</v>
      </c>
      <c r="K7826">
        <v>1.1106739999999999</v>
      </c>
      <c r="L7826">
        <v>-5.8084410000000002</v>
      </c>
      <c r="M7826">
        <v>1.608795E-2</v>
      </c>
      <c r="N7826">
        <v>-1.1515650000000001E-2</v>
      </c>
      <c r="O7826">
        <v>0.99980429999999998</v>
      </c>
      <c r="P7826">
        <v>-4.2605379999999998E-2</v>
      </c>
      <c r="Q7826">
        <v>0.18750059999999999</v>
      </c>
      <c r="R7826">
        <v>0.98134010000000005</v>
      </c>
      <c r="S7826">
        <v>2.427673E-2</v>
      </c>
      <c r="T7826">
        <v>-8.5464479999999995E-2</v>
      </c>
      <c r="U7826">
        <v>3.0743710000000002</v>
      </c>
      <c r="V7826">
        <v>-5.8352790000000002E-2</v>
      </c>
      <c r="W7826">
        <v>0.19878999999999999</v>
      </c>
      <c r="X7826">
        <v>0.97830340000000005</v>
      </c>
      <c r="Y7826">
        <v>-8.192487E-3</v>
      </c>
      <c r="Z7826">
        <v>-1.626967E-2</v>
      </c>
      <c r="AA7826">
        <v>0.99983409999999995</v>
      </c>
      <c r="AB7826">
        <v>27</v>
      </c>
      <c r="AC7826">
        <v>0.31119999999998499</v>
      </c>
      <c r="AD7826">
        <v>-1.1106763438980001</v>
      </c>
      <c r="AE7826">
        <v>39.688231000000002</v>
      </c>
      <c r="AF7826">
        <v>-0.327128695214843</v>
      </c>
      <c r="AG7826">
        <v>-1.1106763438980001</v>
      </c>
      <c r="AH7826">
        <v>39.657044814423301</v>
      </c>
      <c r="AI7826">
        <v>91.604211128190698</v>
      </c>
      <c r="AJ7826">
        <v>90.472618889620506</v>
      </c>
      <c r="AK7826">
        <v>39.673943823841199</v>
      </c>
      <c r="AL7826">
        <v>78.533789871306396</v>
      </c>
      <c r="AM7826">
        <v>93.413472823745394</v>
      </c>
      <c r="AN7826">
        <v>1.00000002732617</v>
      </c>
    </row>
    <row r="7827" spans="1:40" x14ac:dyDescent="0.25">
      <c r="A7827" t="str">
        <f>"20190304154946620"</f>
        <v>20190304154946620</v>
      </c>
      <c r="B7827" t="str">
        <f>"1551685786614876"</f>
        <v>1551685786614876</v>
      </c>
      <c r="C7827" t="s">
        <v>40</v>
      </c>
      <c r="D7827">
        <v>4.5060960000000003</v>
      </c>
      <c r="E7827">
        <v>0.55384919999999904</v>
      </c>
      <c r="F7827" t="s">
        <v>44</v>
      </c>
      <c r="G7827">
        <v>-186.98910000000001</v>
      </c>
      <c r="H7827" s="1">
        <v>-3.1607200000000002E-6</v>
      </c>
      <c r="I7827">
        <v>35.755510000000001</v>
      </c>
      <c r="J7827">
        <v>-187.36449999999999</v>
      </c>
      <c r="K7827">
        <v>1.1107</v>
      </c>
      <c r="L7827">
        <v>-5.5483089999999997</v>
      </c>
      <c r="M7827">
        <v>1.6119660000000001E-2</v>
      </c>
      <c r="N7827">
        <v>-1.1514160000000001E-2</v>
      </c>
      <c r="O7827">
        <v>0.99980380000000002</v>
      </c>
      <c r="P7827">
        <v>-4.1946959999999998E-2</v>
      </c>
      <c r="Q7827">
        <v>0.18681239999999999</v>
      </c>
      <c r="R7827">
        <v>0.98149969999999997</v>
      </c>
      <c r="S7827">
        <v>2.8076170000000001E-2</v>
      </c>
      <c r="T7827">
        <v>-8.2142350000000003E-2</v>
      </c>
      <c r="U7827">
        <v>3.073944</v>
      </c>
      <c r="V7827">
        <v>-5.7741529999999999E-2</v>
      </c>
      <c r="W7827">
        <v>0.1980983</v>
      </c>
      <c r="X7827">
        <v>0.97847989999999996</v>
      </c>
      <c r="Y7827">
        <v>-6.9875390000000001E-3</v>
      </c>
      <c r="Z7827">
        <v>-1.519554E-2</v>
      </c>
      <c r="AA7827">
        <v>0.99986010000000003</v>
      </c>
      <c r="AB7827">
        <v>27</v>
      </c>
      <c r="AC7827">
        <v>0.37539999999998402</v>
      </c>
      <c r="AD7827">
        <v>-1.11070316072</v>
      </c>
      <c r="AE7827">
        <v>41.303818999999997</v>
      </c>
      <c r="AF7827">
        <v>-0.29028652393368898</v>
      </c>
      <c r="AG7827">
        <v>-1.11070316072</v>
      </c>
      <c r="AH7827">
        <v>41.274658973100401</v>
      </c>
      <c r="AI7827">
        <v>91.541422210030603</v>
      </c>
      <c r="AJ7827">
        <v>90.402957137934607</v>
      </c>
      <c r="AK7827">
        <v>41.2906212247158</v>
      </c>
      <c r="AL7827">
        <v>78.574224848218094</v>
      </c>
      <c r="AM7827">
        <v>93.377191191950999</v>
      </c>
      <c r="AN7827">
        <v>0.99999996772681898</v>
      </c>
    </row>
    <row r="7828" spans="1:40" x14ac:dyDescent="0.25">
      <c r="A7828" t="str">
        <f>"20190304154946643"</f>
        <v>20190304154946643</v>
      </c>
      <c r="B7828" t="str">
        <f>"1551685786635372"</f>
        <v>1551685786635372</v>
      </c>
      <c r="C7828" t="s">
        <v>40</v>
      </c>
      <c r="D7828">
        <v>4.6090019999999896</v>
      </c>
      <c r="E7828">
        <v>0.54600579999999999</v>
      </c>
      <c r="F7828" t="s">
        <v>70</v>
      </c>
      <c r="G7828">
        <v>-169.12520000000001</v>
      </c>
      <c r="H7828">
        <v>2.386199</v>
      </c>
      <c r="I7828">
        <v>172.6909</v>
      </c>
      <c r="J7828">
        <v>-187.35980000000001</v>
      </c>
      <c r="K7828">
        <v>1.110724</v>
      </c>
      <c r="L7828">
        <v>-5.25943</v>
      </c>
      <c r="M7828">
        <v>1.6109890000000002E-2</v>
      </c>
      <c r="N7828">
        <v>-1.151285E-2</v>
      </c>
      <c r="O7828">
        <v>0.99980400000000003</v>
      </c>
      <c r="P7828">
        <v>-4.1121289999999998E-2</v>
      </c>
      <c r="Q7828">
        <v>0.18558759999999999</v>
      </c>
      <c r="R7828">
        <v>0.9817669</v>
      </c>
      <c r="S7828">
        <v>0.31372070000000002</v>
      </c>
      <c r="T7828">
        <v>2.1939520000000001E-2</v>
      </c>
      <c r="U7828">
        <v>3.0657649999999999</v>
      </c>
      <c r="V7828">
        <v>-5.6924879999999997E-2</v>
      </c>
      <c r="W7828">
        <v>0.19687170000000001</v>
      </c>
      <c r="X7828">
        <v>0.97877530000000001</v>
      </c>
      <c r="Y7828">
        <v>8.5738410000000001E-2</v>
      </c>
      <c r="Z7828">
        <v>1.8625570000000001E-2</v>
      </c>
      <c r="AA7828">
        <v>0.99614360000000002</v>
      </c>
      <c r="AB7828">
        <v>28</v>
      </c>
      <c r="AC7828">
        <v>18.2346</v>
      </c>
      <c r="AD7828">
        <v>1.2754749999999999</v>
      </c>
      <c r="AE7828">
        <v>177.95033000000001</v>
      </c>
      <c r="AF7828">
        <v>15.364502106639099</v>
      </c>
      <c r="AG7828">
        <v>1.2754749999999999</v>
      </c>
      <c r="AH7828">
        <v>178.211950313225</v>
      </c>
      <c r="AI7828">
        <v>89.5914527269411</v>
      </c>
      <c r="AJ7828">
        <v>85.072442329190295</v>
      </c>
      <c r="AK7828">
        <v>178.87759500816199</v>
      </c>
      <c r="AL7828">
        <v>78.645916094903001</v>
      </c>
      <c r="AM7828">
        <v>93.328532515277601</v>
      </c>
      <c r="AN7828">
        <v>0.99999999805699702</v>
      </c>
    </row>
    <row r="7829" spans="1:40" x14ac:dyDescent="0.25">
      <c r="A7829" t="str">
        <f>"20190304154946665"</f>
        <v>20190304154946665</v>
      </c>
      <c r="B7829" t="str">
        <f>"1551685786654891"</f>
        <v>1551685786654891</v>
      </c>
      <c r="C7829" t="s">
        <v>40</v>
      </c>
      <c r="D7829">
        <v>4.6154400000000004</v>
      </c>
      <c r="E7829">
        <v>0.54355109999999995</v>
      </c>
      <c r="F7829" t="s">
        <v>44</v>
      </c>
      <c r="G7829">
        <v>-177.44239999999999</v>
      </c>
      <c r="H7829">
        <v>7.9986899999999903E-2</v>
      </c>
      <c r="I7829">
        <v>114.4768</v>
      </c>
      <c r="J7829">
        <v>-187.35550000000001</v>
      </c>
      <c r="K7829">
        <v>1.110751</v>
      </c>
      <c r="L7829">
        <v>-4.9896240000000001</v>
      </c>
      <c r="M7829">
        <v>1.6043410000000001E-2</v>
      </c>
      <c r="N7829">
        <v>-1.151196E-2</v>
      </c>
      <c r="O7829">
        <v>0.99980500000000005</v>
      </c>
      <c r="P7829">
        <v>-4.0619910000000002E-2</v>
      </c>
      <c r="Q7829">
        <v>0.1845879</v>
      </c>
      <c r="R7829">
        <v>0.98197619999999997</v>
      </c>
      <c r="S7829">
        <v>0.25439450000000002</v>
      </c>
      <c r="T7829">
        <v>-2.6439669999999998E-2</v>
      </c>
      <c r="U7829">
        <v>3.0713810000000001</v>
      </c>
      <c r="V7829">
        <v>-5.6377759999999999E-2</v>
      </c>
      <c r="W7829">
        <v>0.1958693</v>
      </c>
      <c r="X7829">
        <v>0.97900799999999999</v>
      </c>
      <c r="Y7829">
        <v>6.6536390000000001E-2</v>
      </c>
      <c r="Z7829">
        <v>2.9222800000000002E-3</v>
      </c>
      <c r="AA7829">
        <v>0.99777969999999905</v>
      </c>
      <c r="AB7829">
        <v>28</v>
      </c>
      <c r="AC7829">
        <v>9.9131000000000107</v>
      </c>
      <c r="AD7829">
        <v>-1.0307641000000001</v>
      </c>
      <c r="AE7829">
        <v>119.466424</v>
      </c>
      <c r="AF7829">
        <v>7.9944570315085004</v>
      </c>
      <c r="AG7829">
        <v>-1.0307641000000001</v>
      </c>
      <c r="AH7829">
        <v>119.601253998888</v>
      </c>
      <c r="AI7829">
        <v>90.492682845691604</v>
      </c>
      <c r="AJ7829">
        <v>86.175890482502993</v>
      </c>
      <c r="AK7829">
        <v>119.87257307643399</v>
      </c>
      <c r="AL7829">
        <v>78.704489273260606</v>
      </c>
      <c r="AM7829">
        <v>93.295830169620004</v>
      </c>
      <c r="AN7829">
        <v>0.99999994928455205</v>
      </c>
    </row>
    <row r="7830" spans="1:40" x14ac:dyDescent="0.25">
      <c r="A7830" t="str">
        <f>"20190304154946688"</f>
        <v>20190304154946688</v>
      </c>
      <c r="B7830" t="str">
        <f>"1551685786685148"</f>
        <v>1551685786685148</v>
      </c>
      <c r="C7830" t="s">
        <v>40</v>
      </c>
      <c r="D7830">
        <v>4.5598289999999997</v>
      </c>
      <c r="E7830">
        <v>0.54203409999999996</v>
      </c>
      <c r="F7830" t="s">
        <v>44</v>
      </c>
      <c r="G7830">
        <v>-181.25399999999999</v>
      </c>
      <c r="H7830" s="1">
        <v>-3.8706660000000004E-6</v>
      </c>
      <c r="I7830">
        <v>74.183930000000004</v>
      </c>
      <c r="J7830">
        <v>-187.35120000000001</v>
      </c>
      <c r="K7830">
        <v>1.1107899999999999</v>
      </c>
      <c r="L7830">
        <v>-4.7152710000000004</v>
      </c>
      <c r="M7830">
        <v>1.590871E-2</v>
      </c>
      <c r="N7830">
        <v>-1.150748E-2</v>
      </c>
      <c r="O7830">
        <v>0.99980720000000001</v>
      </c>
      <c r="P7830">
        <v>-4.0300509999999998E-2</v>
      </c>
      <c r="Q7830">
        <v>0.18415000000000001</v>
      </c>
      <c r="R7830">
        <v>0.98207160000000004</v>
      </c>
      <c r="S7830">
        <v>0.23681640000000001</v>
      </c>
      <c r="T7830">
        <v>-4.3111799999999999E-2</v>
      </c>
      <c r="U7830">
        <v>3.0729679999999999</v>
      </c>
      <c r="V7830">
        <v>-5.5950109999999997E-2</v>
      </c>
      <c r="W7830">
        <v>0.1954214</v>
      </c>
      <c r="X7830">
        <v>0.9791221</v>
      </c>
      <c r="Y7830">
        <v>6.0954950000000001E-2</v>
      </c>
      <c r="Z7830">
        <v>-2.4913100000000001E-3</v>
      </c>
      <c r="AA7830">
        <v>0.99813739999999995</v>
      </c>
      <c r="AB7830">
        <v>28</v>
      </c>
      <c r="AC7830">
        <v>6.0971999999999804</v>
      </c>
      <c r="AD7830">
        <v>-1.1107938706660001</v>
      </c>
      <c r="AE7830">
        <v>78.899201000000005</v>
      </c>
      <c r="AF7830">
        <v>4.8402069570801798</v>
      </c>
      <c r="AG7830">
        <v>-1.1107938706660001</v>
      </c>
      <c r="AH7830">
        <v>78.970660159221495</v>
      </c>
      <c r="AI7830">
        <v>90.804354687282995</v>
      </c>
      <c r="AJ7830">
        <v>86.492660119768701</v>
      </c>
      <c r="AK7830">
        <v>79.126649318631806</v>
      </c>
      <c r="AL7830">
        <v>78.730658490395598</v>
      </c>
      <c r="AM7830">
        <v>93.270504004783206</v>
      </c>
      <c r="AN7830">
        <v>1.00000001254769</v>
      </c>
    </row>
    <row r="7831" spans="1:40" x14ac:dyDescent="0.25">
      <c r="A7831" t="str">
        <f>"20190304154946710"</f>
        <v>20190304154946710</v>
      </c>
      <c r="B7831" t="str">
        <f>"1551685786704667"</f>
        <v>1551685786704667</v>
      </c>
      <c r="C7831" t="s">
        <v>40</v>
      </c>
      <c r="D7831">
        <v>4.4282940000000002</v>
      </c>
      <c r="E7831">
        <v>0.54284600000000005</v>
      </c>
      <c r="F7831" t="s">
        <v>44</v>
      </c>
      <c r="G7831">
        <v>-183.00200000000001</v>
      </c>
      <c r="H7831" s="1">
        <v>-3.4910289999999999E-6</v>
      </c>
      <c r="I7831">
        <v>54.435029999999998</v>
      </c>
      <c r="J7831">
        <v>-187.34700000000001</v>
      </c>
      <c r="K7831">
        <v>1.110838</v>
      </c>
      <c r="L7831">
        <v>-4.4443359999999998</v>
      </c>
      <c r="M7831">
        <v>1.5702299999999999E-2</v>
      </c>
      <c r="N7831">
        <v>-1.149851E-2</v>
      </c>
      <c r="O7831">
        <v>0.99981059999999999</v>
      </c>
      <c r="P7831">
        <v>-4.0253990000000003E-2</v>
      </c>
      <c r="Q7831">
        <v>0.1836332</v>
      </c>
      <c r="R7831">
        <v>0.98217030000000005</v>
      </c>
      <c r="S7831">
        <v>0.2260895</v>
      </c>
      <c r="T7831">
        <v>-5.7743309999999999E-2</v>
      </c>
      <c r="U7831">
        <v>3.0748600000000001</v>
      </c>
      <c r="V7831">
        <v>-5.5729679999999997E-2</v>
      </c>
      <c r="W7831">
        <v>0.19488910000000001</v>
      </c>
      <c r="X7831">
        <v>0.97924080000000002</v>
      </c>
      <c r="Y7831">
        <v>5.7648400000000002E-2</v>
      </c>
      <c r="Z7831">
        <v>-7.2403999999999897E-3</v>
      </c>
      <c r="AA7831">
        <v>0.9983107</v>
      </c>
      <c r="AB7831">
        <v>28</v>
      </c>
      <c r="AC7831">
        <v>4.34499999999999</v>
      </c>
      <c r="AD7831">
        <v>-1.1108414910290001</v>
      </c>
      <c r="AE7831">
        <v>58.879365999999997</v>
      </c>
      <c r="AF7831">
        <v>3.41865140450254</v>
      </c>
      <c r="AG7831">
        <v>-1.1108414910290001</v>
      </c>
      <c r="AH7831">
        <v>58.9194786162019</v>
      </c>
      <c r="AI7831">
        <v>91.078287901342506</v>
      </c>
      <c r="AJ7831">
        <v>86.679282737374905</v>
      </c>
      <c r="AK7831">
        <v>59.029027661386898</v>
      </c>
      <c r="AL7831">
        <v>78.761755388171295</v>
      </c>
      <c r="AM7831">
        <v>93.257252779945802</v>
      </c>
      <c r="AN7831">
        <v>1.0000000514581699</v>
      </c>
    </row>
    <row r="7832" spans="1:40" x14ac:dyDescent="0.25">
      <c r="A7832" t="str">
        <f>"20190304154946732"</f>
        <v>20190304154946732</v>
      </c>
      <c r="B7832" t="str">
        <f>"1551685786724694"</f>
        <v>1551685786724694</v>
      </c>
      <c r="C7832" t="s">
        <v>40</v>
      </c>
      <c r="D7832">
        <v>4.7366630000000001</v>
      </c>
      <c r="E7832">
        <v>0.54414459999999998</v>
      </c>
      <c r="F7832" t="s">
        <v>44</v>
      </c>
      <c r="G7832">
        <v>-182.46879999999999</v>
      </c>
      <c r="H7832" s="1">
        <v>-2.1739879999999999E-6</v>
      </c>
      <c r="I7832">
        <v>60.14799</v>
      </c>
      <c r="J7832">
        <v>-187.34289999999999</v>
      </c>
      <c r="K7832">
        <v>1.1109089999999999</v>
      </c>
      <c r="L7832">
        <v>-4.1646729999999996</v>
      </c>
      <c r="M7832">
        <v>1.5405210000000001E-2</v>
      </c>
      <c r="N7832">
        <v>-1.148825E-2</v>
      </c>
      <c r="O7832">
        <v>0.99981529999999996</v>
      </c>
      <c r="P7832">
        <v>-4.0133439999999999E-2</v>
      </c>
      <c r="Q7832">
        <v>0.1839547</v>
      </c>
      <c r="R7832">
        <v>0.98211499999999996</v>
      </c>
      <c r="S7832">
        <v>0.2321472</v>
      </c>
      <c r="T7832">
        <v>-5.2863239999999999E-2</v>
      </c>
      <c r="U7832">
        <v>3.0738530000000002</v>
      </c>
      <c r="V7832">
        <v>-5.5348990000000001E-2</v>
      </c>
      <c r="W7832">
        <v>0.1951917</v>
      </c>
      <c r="X7832">
        <v>0.97920209999999996</v>
      </c>
      <c r="Y7832">
        <v>5.9926279999999998E-2</v>
      </c>
      <c r="Z7832">
        <v>-5.6712289999999999E-3</v>
      </c>
      <c r="AA7832">
        <v>0.99818669999999998</v>
      </c>
      <c r="AB7832">
        <v>28</v>
      </c>
      <c r="AC7832">
        <v>4.8740999999999897</v>
      </c>
      <c r="AD7832">
        <v>-1.110911173988</v>
      </c>
      <c r="AE7832">
        <v>64.312663000000001</v>
      </c>
      <c r="AF7832">
        <v>3.8815544764848702</v>
      </c>
      <c r="AG7832">
        <v>-1.110911173988</v>
      </c>
      <c r="AH7832">
        <v>64.361027481657104</v>
      </c>
      <c r="AI7832">
        <v>90.987069332887401</v>
      </c>
      <c r="AJ7832">
        <v>86.548724400753798</v>
      </c>
      <c r="AK7832">
        <v>64.487537146994796</v>
      </c>
      <c r="AL7832">
        <v>78.744077972344101</v>
      </c>
      <c r="AM7832">
        <v>93.235177458703205</v>
      </c>
      <c r="AN7832">
        <v>1.0000000315436499</v>
      </c>
    </row>
    <row r="7833" spans="1:40" x14ac:dyDescent="0.25">
      <c r="A7833" t="str">
        <f>"20190304154946755"</f>
        <v>20190304154946755</v>
      </c>
      <c r="B7833" t="str">
        <f>"1551685786745189"</f>
        <v>1551685786745189</v>
      </c>
      <c r="C7833" t="s">
        <v>40</v>
      </c>
      <c r="D7833">
        <v>4.4977689999999999</v>
      </c>
      <c r="E7833">
        <v>0.54343569999999997</v>
      </c>
      <c r="F7833" t="s">
        <v>44</v>
      </c>
      <c r="G7833">
        <v>-182.0532</v>
      </c>
      <c r="H7833" s="1">
        <v>-3.2328670000000001E-6</v>
      </c>
      <c r="I7833">
        <v>62.934620000000002</v>
      </c>
      <c r="J7833">
        <v>-187.33879999999999</v>
      </c>
      <c r="K7833">
        <v>1.110973</v>
      </c>
      <c r="L7833">
        <v>-3.8740540000000001</v>
      </c>
      <c r="M7833">
        <v>1.4998920000000001E-2</v>
      </c>
      <c r="N7833">
        <v>-1.1478749999999999E-2</v>
      </c>
      <c r="O7833">
        <v>0.99982159999999998</v>
      </c>
      <c r="P7833">
        <v>-4.0179630000000001E-2</v>
      </c>
      <c r="Q7833">
        <v>0.18434439999999999</v>
      </c>
      <c r="R7833">
        <v>0.98204009999999997</v>
      </c>
      <c r="S7833">
        <v>0.2423401</v>
      </c>
      <c r="T7833">
        <v>-5.0894979999999999E-2</v>
      </c>
      <c r="U7833">
        <v>3.0740660000000002</v>
      </c>
      <c r="V7833">
        <v>-5.5028269999999997E-2</v>
      </c>
      <c r="W7833">
        <v>0.19556209999999999</v>
      </c>
      <c r="X7833">
        <v>0.97914619999999997</v>
      </c>
      <c r="Y7833">
        <v>6.3616329999999999E-2</v>
      </c>
      <c r="Z7833">
        <v>-5.037316E-3</v>
      </c>
      <c r="AA7833">
        <v>0.99796169999999995</v>
      </c>
      <c r="AB7833">
        <v>28</v>
      </c>
      <c r="AC7833">
        <v>5.2855999999999801</v>
      </c>
      <c r="AD7833">
        <v>-1.1109762328669901</v>
      </c>
      <c r="AE7833">
        <v>66.808673999999996</v>
      </c>
      <c r="AF7833">
        <v>4.2817046856476004</v>
      </c>
      <c r="AG7833">
        <v>-1.1109762328669901</v>
      </c>
      <c r="AH7833">
        <v>66.862066785296804</v>
      </c>
      <c r="AI7833">
        <v>90.949990224206999</v>
      </c>
      <c r="AJ7833">
        <v>86.3359031953742</v>
      </c>
      <c r="AK7833">
        <v>67.008232613661605</v>
      </c>
      <c r="AL7833">
        <v>78.722437806285299</v>
      </c>
      <c r="AM7833">
        <v>93.216653926271704</v>
      </c>
      <c r="AN7833">
        <v>0.99999996321502005</v>
      </c>
    </row>
    <row r="7834" spans="1:40" x14ac:dyDescent="0.25">
      <c r="A7834" t="str">
        <f>"20190304154946779"</f>
        <v>20190304154946779</v>
      </c>
      <c r="B7834" t="str">
        <f>"1551685786775446"</f>
        <v>1551685786775446</v>
      </c>
      <c r="C7834" t="s">
        <v>40</v>
      </c>
      <c r="D7834">
        <v>4.5119930000000004</v>
      </c>
      <c r="E7834">
        <v>0.54274800000000001</v>
      </c>
      <c r="F7834" t="s">
        <v>44</v>
      </c>
      <c r="G7834">
        <v>-182.4101</v>
      </c>
      <c r="H7834" s="1">
        <v>-2.1814899999999999E-6</v>
      </c>
      <c r="I7834">
        <v>60.124110000000002</v>
      </c>
      <c r="J7834">
        <v>-187.33510000000001</v>
      </c>
      <c r="K7834">
        <v>1.111024</v>
      </c>
      <c r="L7834">
        <v>-3.5936279999999998</v>
      </c>
      <c r="M7834">
        <v>1.4532079999999999E-2</v>
      </c>
      <c r="N7834">
        <v>-1.1470279999999999E-2</v>
      </c>
      <c r="O7834">
        <v>0.99982859999999996</v>
      </c>
      <c r="P7834">
        <v>-4.066521E-2</v>
      </c>
      <c r="Q7834">
        <v>0.18378839999999999</v>
      </c>
      <c r="R7834">
        <v>0.98212429999999995</v>
      </c>
      <c r="S7834">
        <v>0.23678589999999999</v>
      </c>
      <c r="T7834">
        <v>-5.3373219999999999E-2</v>
      </c>
      <c r="U7834">
        <v>3.0745849999999999</v>
      </c>
      <c r="V7834">
        <v>-5.5083680000000003E-2</v>
      </c>
      <c r="W7834">
        <v>0.19499150000000001</v>
      </c>
      <c r="X7834">
        <v>0.97925689999999999</v>
      </c>
      <c r="Y7834">
        <v>6.2276739999999997E-2</v>
      </c>
      <c r="Z7834">
        <v>-5.8483669999999897E-3</v>
      </c>
      <c r="AA7834">
        <v>0.99804179999999998</v>
      </c>
      <c r="AB7834">
        <v>28</v>
      </c>
      <c r="AC7834">
        <v>4.9250000000000096</v>
      </c>
      <c r="AD7834">
        <v>-1.11102618149</v>
      </c>
      <c r="AE7834">
        <v>63.717737999999997</v>
      </c>
      <c r="AF7834">
        <v>3.9972595741230599</v>
      </c>
      <c r="AG7834">
        <v>-1.11102618149</v>
      </c>
      <c r="AH7834">
        <v>63.763312626768297</v>
      </c>
      <c r="AI7834">
        <v>90.996278099408997</v>
      </c>
      <c r="AJ7834">
        <v>86.412877849831006</v>
      </c>
      <c r="AK7834">
        <v>63.898141603788901</v>
      </c>
      <c r="AL7834">
        <v>78.755772800033697</v>
      </c>
      <c r="AM7834">
        <v>93.219522856352498</v>
      </c>
      <c r="AN7834">
        <v>0.999999986536101</v>
      </c>
    </row>
    <row r="7835" spans="1:40" x14ac:dyDescent="0.25">
      <c r="A7835" t="str">
        <f>"20190304154946799"</f>
        <v>20190304154946799</v>
      </c>
      <c r="B7835" t="str">
        <f>"1551685786794965"</f>
        <v>1551685786794965</v>
      </c>
      <c r="C7835" t="s">
        <v>40</v>
      </c>
      <c r="D7835">
        <v>4.4902139999999999</v>
      </c>
      <c r="E7835">
        <v>0.54234300000000002</v>
      </c>
      <c r="F7835" t="s">
        <v>44</v>
      </c>
      <c r="G7835">
        <v>-182.84389999999999</v>
      </c>
      <c r="H7835" s="1">
        <v>-4.2139280000000004E-6</v>
      </c>
      <c r="I7835">
        <v>56.435760000000002</v>
      </c>
      <c r="J7835">
        <v>-187.33199999999999</v>
      </c>
      <c r="K7835">
        <v>1.1110690000000001</v>
      </c>
      <c r="L7835">
        <v>-3.3441160000000001</v>
      </c>
      <c r="M7835">
        <v>1.405534E-2</v>
      </c>
      <c r="N7835">
        <v>-1.146308E-2</v>
      </c>
      <c r="O7835">
        <v>0.99983549999999999</v>
      </c>
      <c r="P7835">
        <v>-4.117502E-2</v>
      </c>
      <c r="Q7835">
        <v>0.1838331</v>
      </c>
      <c r="R7835">
        <v>0.98209469999999999</v>
      </c>
      <c r="S7835">
        <v>0.23004150000000001</v>
      </c>
      <c r="T7835">
        <v>-5.6908010000000002E-2</v>
      </c>
      <c r="U7835">
        <v>3.0747680000000002</v>
      </c>
      <c r="V7835">
        <v>-5.5146359999999998E-2</v>
      </c>
      <c r="W7835">
        <v>0.1950229</v>
      </c>
      <c r="X7835">
        <v>0.97924719999999998</v>
      </c>
      <c r="Y7835">
        <v>6.0570720000000002E-2</v>
      </c>
      <c r="Z7835">
        <v>-7.0030650000000002E-3</v>
      </c>
      <c r="AA7835">
        <v>0.99813929999999995</v>
      </c>
      <c r="AB7835">
        <v>28</v>
      </c>
      <c r="AC7835">
        <v>4.4881000000000002</v>
      </c>
      <c r="AD7835">
        <v>-1.111073213928</v>
      </c>
      <c r="AE7835">
        <v>59.779876000000002</v>
      </c>
      <c r="AF7835">
        <v>3.64612243795492</v>
      </c>
      <c r="AG7835">
        <v>-1.111073213928</v>
      </c>
      <c r="AH7835">
        <v>59.816508687439303</v>
      </c>
      <c r="AI7835">
        <v>91.062158120021806</v>
      </c>
      <c r="AJ7835">
        <v>86.511844749333704</v>
      </c>
      <c r="AK7835">
        <v>59.937829490846298</v>
      </c>
      <c r="AL7835">
        <v>78.753939398298996</v>
      </c>
      <c r="AM7835">
        <v>93.223210508055899</v>
      </c>
      <c r="AN7835">
        <v>1.00000006562674</v>
      </c>
    </row>
    <row r="7836" spans="1:40" x14ac:dyDescent="0.25">
      <c r="A7836" t="str">
        <f>"20190304154946822"</f>
        <v>20190304154946822</v>
      </c>
      <c r="B7836" t="str">
        <f>"1551685786815462"</f>
        <v>1551685786815462</v>
      </c>
      <c r="C7836" t="s">
        <v>40</v>
      </c>
      <c r="D7836">
        <v>4.5385679999999997</v>
      </c>
      <c r="E7836">
        <v>0.54215400000000002</v>
      </c>
      <c r="F7836" t="s">
        <v>44</v>
      </c>
      <c r="G7836">
        <v>-183.10849999999999</v>
      </c>
      <c r="H7836" s="1">
        <v>-3.434235E-6</v>
      </c>
      <c r="I7836">
        <v>54.351460000000003</v>
      </c>
      <c r="J7836">
        <v>-187.32859999999999</v>
      </c>
      <c r="K7836">
        <v>1.1111150000000001</v>
      </c>
      <c r="L7836">
        <v>-3.0606689999999999</v>
      </c>
      <c r="M7836">
        <v>1.344248E-2</v>
      </c>
      <c r="N7836">
        <v>-1.1453110000000001E-2</v>
      </c>
      <c r="O7836">
        <v>0.99984410000000001</v>
      </c>
      <c r="P7836">
        <v>-4.186115E-2</v>
      </c>
      <c r="Q7836">
        <v>0.18436630000000001</v>
      </c>
      <c r="R7836">
        <v>0.98196570000000005</v>
      </c>
      <c r="S7836">
        <v>0.2251129</v>
      </c>
      <c r="T7836">
        <v>-5.922115E-2</v>
      </c>
      <c r="U7836">
        <v>3.0752259999999998</v>
      </c>
      <c r="V7836">
        <v>-5.5252179999999998E-2</v>
      </c>
      <c r="W7836">
        <v>0.19553870000000001</v>
      </c>
      <c r="X7836">
        <v>0.97913830000000002</v>
      </c>
      <c r="Y7836">
        <v>5.9580000000000001E-2</v>
      </c>
      <c r="Z7836">
        <v>-7.7619029999999997E-3</v>
      </c>
      <c r="AA7836">
        <v>0.99819340000000001</v>
      </c>
      <c r="AB7836">
        <v>28</v>
      </c>
      <c r="AC7836">
        <v>4.2201000000000004</v>
      </c>
      <c r="AD7836">
        <v>-1.11111843423499</v>
      </c>
      <c r="AE7836">
        <v>57.412128999999901</v>
      </c>
      <c r="AF7836">
        <v>3.4466226602084</v>
      </c>
      <c r="AG7836">
        <v>-1.11111843423499</v>
      </c>
      <c r="AH7836">
        <v>57.442273660805199</v>
      </c>
      <c r="AI7836">
        <v>91.106157672790502</v>
      </c>
      <c r="AJ7836">
        <v>86.566283925498396</v>
      </c>
      <c r="AK7836">
        <v>57.556308040557902</v>
      </c>
      <c r="AL7836">
        <v>78.723805325359294</v>
      </c>
      <c r="AM7836">
        <v>93.229740840297694</v>
      </c>
      <c r="AN7836">
        <v>0.99999999855966604</v>
      </c>
    </row>
    <row r="7837" spans="1:40" x14ac:dyDescent="0.25">
      <c r="A7837" t="str">
        <f>"20190304154946845"</f>
        <v>20190304154946845</v>
      </c>
      <c r="B7837" t="str">
        <f>"1551685786834982"</f>
        <v>1551685786834982</v>
      </c>
      <c r="C7837" t="s">
        <v>40</v>
      </c>
      <c r="D7837">
        <v>4.5164859999999996</v>
      </c>
      <c r="E7837">
        <v>0.54194679999999995</v>
      </c>
      <c r="F7837" t="s">
        <v>44</v>
      </c>
      <c r="G7837">
        <v>-183.22040000000001</v>
      </c>
      <c r="H7837" s="1">
        <v>-3.311203E-6</v>
      </c>
      <c r="I7837">
        <v>54.077370000000002</v>
      </c>
      <c r="J7837">
        <v>-187.32550000000001</v>
      </c>
      <c r="K7837">
        <v>1.1111580000000001</v>
      </c>
      <c r="L7837">
        <v>-2.7771300000000001</v>
      </c>
      <c r="M7837">
        <v>1.2762290000000001E-2</v>
      </c>
      <c r="N7837">
        <v>-1.143865E-2</v>
      </c>
      <c r="O7837">
        <v>0.99985310000000005</v>
      </c>
      <c r="P7837">
        <v>-4.3094479999999998E-2</v>
      </c>
      <c r="Q7837">
        <v>0.18439050000000001</v>
      </c>
      <c r="R7837">
        <v>0.9819078</v>
      </c>
      <c r="S7837">
        <v>0.2211456</v>
      </c>
      <c r="T7837">
        <v>-5.9811589999999998E-2</v>
      </c>
      <c r="U7837">
        <v>3.075745</v>
      </c>
      <c r="V7837">
        <v>-5.5839960000000001E-2</v>
      </c>
      <c r="W7837">
        <v>0.1955411</v>
      </c>
      <c r="X7837">
        <v>0.97910450000000004</v>
      </c>
      <c r="Y7837">
        <v>5.8965980000000001E-2</v>
      </c>
      <c r="Z7837">
        <v>-7.9657040000000005E-3</v>
      </c>
      <c r="AA7837">
        <v>0.99822820000000001</v>
      </c>
      <c r="AB7837">
        <v>28</v>
      </c>
      <c r="AC7837">
        <v>4.1050999999999904</v>
      </c>
      <c r="AD7837">
        <v>-1.1111613112029901</v>
      </c>
      <c r="AE7837">
        <v>56.854500000000002</v>
      </c>
      <c r="AF7837">
        <v>3.3778409905525399</v>
      </c>
      <c r="AG7837">
        <v>-1.1111613112029901</v>
      </c>
      <c r="AH7837">
        <v>56.880649208225599</v>
      </c>
      <c r="AI7837">
        <v>91.117160896888706</v>
      </c>
      <c r="AJ7837">
        <v>86.601497854885096</v>
      </c>
      <c r="AK7837">
        <v>56.991690127300103</v>
      </c>
      <c r="AL7837">
        <v>78.723665381309104</v>
      </c>
      <c r="AM7837">
        <v>93.2641377866303</v>
      </c>
      <c r="AN7837">
        <v>1.0000000224211301</v>
      </c>
    </row>
    <row r="7838" spans="1:40" x14ac:dyDescent="0.25">
      <c r="A7838" t="str">
        <f>"20190304154946866"</f>
        <v>20190304154946866</v>
      </c>
      <c r="B7838" t="str">
        <f>"1551685786854505"</f>
        <v>1551685786854505</v>
      </c>
      <c r="C7838" t="s">
        <v>40</v>
      </c>
      <c r="D7838">
        <v>4.478758</v>
      </c>
      <c r="E7838">
        <v>0.54178479999999996</v>
      </c>
      <c r="F7838" t="s">
        <v>44</v>
      </c>
      <c r="G7838">
        <v>-183.5675</v>
      </c>
      <c r="H7838" s="1">
        <v>-2.201838E-6</v>
      </c>
      <c r="I7838">
        <v>51.088830000000002</v>
      </c>
      <c r="J7838">
        <v>-187.3228</v>
      </c>
      <c r="K7838">
        <v>1.1112089999999999</v>
      </c>
      <c r="L7838">
        <v>-2.5131839999999999</v>
      </c>
      <c r="M7838">
        <v>1.207509E-2</v>
      </c>
      <c r="N7838">
        <v>-1.142406E-2</v>
      </c>
      <c r="O7838">
        <v>0.99986180000000002</v>
      </c>
      <c r="P7838">
        <v>-4.3855749999999999E-2</v>
      </c>
      <c r="Q7838">
        <v>0.1850173</v>
      </c>
      <c r="R7838">
        <v>0.98175619999999997</v>
      </c>
      <c r="S7838">
        <v>0.21464539999999999</v>
      </c>
      <c r="T7838">
        <v>-6.3465480000000005E-2</v>
      </c>
      <c r="U7838">
        <v>3.0766300000000002</v>
      </c>
      <c r="V7838">
        <v>-5.594698E-2</v>
      </c>
      <c r="W7838">
        <v>0.19614609999999999</v>
      </c>
      <c r="X7838">
        <v>0.97897730000000005</v>
      </c>
      <c r="Y7838">
        <v>5.7532149999999997E-2</v>
      </c>
      <c r="Z7838">
        <v>-9.1613560000000007E-3</v>
      </c>
      <c r="AA7838">
        <v>0.99830160000000001</v>
      </c>
      <c r="AB7838">
        <v>28</v>
      </c>
      <c r="AC7838">
        <v>3.7553000000000001</v>
      </c>
      <c r="AD7838">
        <v>-1.111211201838</v>
      </c>
      <c r="AE7838">
        <v>53.602013999999997</v>
      </c>
      <c r="AF7838">
        <v>3.1064062702783701</v>
      </c>
      <c r="AG7838">
        <v>-1.111211201838</v>
      </c>
      <c r="AH7838">
        <v>53.620522430224</v>
      </c>
      <c r="AI7838">
        <v>91.185219175711893</v>
      </c>
      <c r="AJ7838">
        <v>86.684380511803994</v>
      </c>
      <c r="AK7838">
        <v>53.721922675396399</v>
      </c>
      <c r="AL7838">
        <v>78.688316150150399</v>
      </c>
      <c r="AM7838">
        <v>93.270804102434298</v>
      </c>
      <c r="AN7838">
        <v>0.999999955515809</v>
      </c>
    </row>
    <row r="7839" spans="1:40" x14ac:dyDescent="0.25">
      <c r="A7839" t="str">
        <f>"20190304154946888"</f>
        <v>20190304154946888</v>
      </c>
      <c r="B7839" t="str">
        <f>"1551685786884758"</f>
        <v>1551685786884758</v>
      </c>
      <c r="C7839" t="s">
        <v>40</v>
      </c>
      <c r="D7839">
        <v>4.4034309999999897</v>
      </c>
      <c r="E7839">
        <v>0.54164959999999995</v>
      </c>
      <c r="F7839" t="s">
        <v>44</v>
      </c>
      <c r="G7839">
        <v>-183.60310000000001</v>
      </c>
      <c r="H7839" s="1">
        <v>-2.516403E-6</v>
      </c>
      <c r="I7839">
        <v>52.041110000000003</v>
      </c>
      <c r="J7839">
        <v>-187.3203</v>
      </c>
      <c r="K7839">
        <v>1.111251</v>
      </c>
      <c r="L7839">
        <v>-2.2415159999999998</v>
      </c>
      <c r="M7839">
        <v>1.1320770000000001E-2</v>
      </c>
      <c r="N7839">
        <v>-1.141026E-2</v>
      </c>
      <c r="O7839">
        <v>0.99987079999999995</v>
      </c>
      <c r="P7839">
        <v>-4.4674709999999999E-2</v>
      </c>
      <c r="Q7839">
        <v>0.1848283</v>
      </c>
      <c r="R7839">
        <v>0.98175489999999999</v>
      </c>
      <c r="S7839">
        <v>0.20979310000000001</v>
      </c>
      <c r="T7839">
        <v>-6.2673809999999996E-2</v>
      </c>
      <c r="U7839">
        <v>3.0769350000000002</v>
      </c>
      <c r="V7839">
        <v>-5.6045989999999997E-2</v>
      </c>
      <c r="W7839">
        <v>0.1959381</v>
      </c>
      <c r="X7839">
        <v>0.97901329999999998</v>
      </c>
      <c r="Y7839">
        <v>5.6711959999999999E-2</v>
      </c>
      <c r="Z7839">
        <v>-8.9179350000000001E-3</v>
      </c>
      <c r="AA7839">
        <v>0.99835070000000004</v>
      </c>
      <c r="AB7839">
        <v>28</v>
      </c>
      <c r="AC7839">
        <v>3.7171999999999898</v>
      </c>
      <c r="AD7839">
        <v>-1.111253516403</v>
      </c>
      <c r="AE7839">
        <v>54.282625999999901</v>
      </c>
      <c r="AF7839">
        <v>3.1011070541749701</v>
      </c>
      <c r="AG7839">
        <v>-1.111253516403</v>
      </c>
      <c r="AH7839">
        <v>54.298581676198999</v>
      </c>
      <c r="AI7839">
        <v>91.170522409676707</v>
      </c>
      <c r="AJ7839">
        <v>86.731267517972995</v>
      </c>
      <c r="AK7839">
        <v>54.398416533811201</v>
      </c>
      <c r="AL7839">
        <v>78.700469632048794</v>
      </c>
      <c r="AM7839">
        <v>93.2764596575675</v>
      </c>
      <c r="AN7839">
        <v>0.99999996680178904</v>
      </c>
    </row>
    <row r="7840" spans="1:40" x14ac:dyDescent="0.25">
      <c r="A7840" t="str">
        <f>"20190304154946910"</f>
        <v>20190304154946910</v>
      </c>
      <c r="B7840" t="str">
        <f>"1551685786905253"</f>
        <v>1551685786905253</v>
      </c>
      <c r="C7840" t="s">
        <v>40</v>
      </c>
      <c r="D7840">
        <v>4.508019</v>
      </c>
      <c r="E7840">
        <v>0.54242409999999996</v>
      </c>
      <c r="F7840" t="s">
        <v>44</v>
      </c>
      <c r="G7840">
        <v>-183.7268</v>
      </c>
      <c r="H7840" s="1">
        <v>-2.2892419999999999E-6</v>
      </c>
      <c r="I7840">
        <v>51.470239999999997</v>
      </c>
      <c r="J7840">
        <v>-187.31809999999999</v>
      </c>
      <c r="K7840">
        <v>1.111286</v>
      </c>
      <c r="L7840">
        <v>-1.971924</v>
      </c>
      <c r="M7840">
        <v>1.05352E-2</v>
      </c>
      <c r="N7840">
        <v>-1.1397859999999999E-2</v>
      </c>
      <c r="O7840">
        <v>0.99987950000000003</v>
      </c>
      <c r="P7840">
        <v>-4.6212509999999998E-2</v>
      </c>
      <c r="Q7840">
        <v>0.18440500000000001</v>
      </c>
      <c r="R7840">
        <v>0.98176330000000001</v>
      </c>
      <c r="S7840">
        <v>0.20587159999999999</v>
      </c>
      <c r="T7840">
        <v>-6.3663129999999998E-2</v>
      </c>
      <c r="U7840">
        <v>3.077118</v>
      </c>
      <c r="V7840">
        <v>-5.6828799999999999E-2</v>
      </c>
      <c r="W7840">
        <v>0.19549710000000001</v>
      </c>
      <c r="X7840">
        <v>0.97905640000000005</v>
      </c>
      <c r="Y7840">
        <v>5.6225600000000001E-2</v>
      </c>
      <c r="Z7840">
        <v>-9.2508699999999996E-3</v>
      </c>
      <c r="AA7840">
        <v>0.99837520000000002</v>
      </c>
      <c r="AB7840">
        <v>28</v>
      </c>
      <c r="AC7840">
        <v>3.59129999999998</v>
      </c>
      <c r="AD7840">
        <v>-1.111288289242</v>
      </c>
      <c r="AE7840">
        <v>53.442163999999998</v>
      </c>
      <c r="AF7840">
        <v>3.0267373068507601</v>
      </c>
      <c r="AG7840">
        <v>-1.111288289242</v>
      </c>
      <c r="AH7840">
        <v>53.454025671779299</v>
      </c>
      <c r="AI7840">
        <v>91.189081150933404</v>
      </c>
      <c r="AJ7840">
        <v>86.759190934411805</v>
      </c>
      <c r="AK7840">
        <v>53.551180761078797</v>
      </c>
      <c r="AL7840">
        <v>78.726236112623496</v>
      </c>
      <c r="AM7840">
        <v>93.321975170751401</v>
      </c>
      <c r="AN7840">
        <v>1.0000000314994</v>
      </c>
    </row>
    <row r="7841" spans="1:40" x14ac:dyDescent="0.25">
      <c r="A7841" t="str">
        <f>"20190304154946933"</f>
        <v>20190304154946933</v>
      </c>
      <c r="B7841" t="str">
        <f>"1551685786924774"</f>
        <v>1551685786924774</v>
      </c>
      <c r="C7841" t="s">
        <v>40</v>
      </c>
      <c r="D7841">
        <v>4.4826839999999999</v>
      </c>
      <c r="E7841">
        <v>0.48696139999999999</v>
      </c>
      <c r="F7841" t="s">
        <v>105</v>
      </c>
      <c r="G7841">
        <v>-167.89850000000001</v>
      </c>
      <c r="H7841">
        <v>10.31381</v>
      </c>
      <c r="I7841">
        <v>286.0992</v>
      </c>
      <c r="J7841">
        <v>-187.316</v>
      </c>
      <c r="K7841">
        <v>1.1113</v>
      </c>
      <c r="L7841">
        <v>-1.6866759999999901</v>
      </c>
      <c r="M7841">
        <v>9.6754049999999998E-3</v>
      </c>
      <c r="N7841">
        <v>-1.1380309999999999E-2</v>
      </c>
      <c r="O7841">
        <v>0.99988840000000001</v>
      </c>
      <c r="P7841">
        <v>-4.7953780000000001E-2</v>
      </c>
      <c r="Q7841">
        <v>0.18448980000000001</v>
      </c>
      <c r="R7841">
        <v>0.98166390000000003</v>
      </c>
      <c r="S7841">
        <v>0.20541380000000001</v>
      </c>
      <c r="T7841">
        <v>9.7342010000000007E-2</v>
      </c>
      <c r="U7841">
        <v>3.0471189999999999</v>
      </c>
      <c r="V7841">
        <v>-5.7737009999999998E-2</v>
      </c>
      <c r="W7841">
        <v>0.19555929999999999</v>
      </c>
      <c r="X7841">
        <v>0.97899080000000005</v>
      </c>
      <c r="Y7841">
        <v>5.7546369999999999E-2</v>
      </c>
      <c r="Z7841">
        <v>4.3233229999999997E-2</v>
      </c>
      <c r="AA7841">
        <v>0.99740629999999997</v>
      </c>
      <c r="AB7841">
        <v>28</v>
      </c>
      <c r="AC7841">
        <v>19.417499999999901</v>
      </c>
      <c r="AD7841">
        <v>9.2025100000000002</v>
      </c>
      <c r="AE7841">
        <v>287.78587599999997</v>
      </c>
      <c r="AF7841">
        <v>16.615053370950999</v>
      </c>
      <c r="AG7841">
        <v>9.2025100000000002</v>
      </c>
      <c r="AH7841">
        <v>287.66747401378001</v>
      </c>
      <c r="AI7841">
        <v>88.170773896790706</v>
      </c>
      <c r="AJ7841">
        <v>86.694391786198096</v>
      </c>
      <c r="AK7841">
        <v>288.29381157820302</v>
      </c>
      <c r="AL7841">
        <v>78.722601748371403</v>
      </c>
      <c r="AM7841">
        <v>93.375169216151306</v>
      </c>
      <c r="AN7841">
        <v>0.99999999431243503</v>
      </c>
    </row>
    <row r="7842" spans="1:40" x14ac:dyDescent="0.25">
      <c r="A7842" t="str">
        <f>"20190304154946956"</f>
        <v>20190304154946956</v>
      </c>
      <c r="B7842" t="str">
        <f>"1551685786955029"</f>
        <v>1551685786955029</v>
      </c>
      <c r="C7842" t="s">
        <v>40</v>
      </c>
      <c r="D7842">
        <v>4.4806379999999999</v>
      </c>
      <c r="E7842">
        <v>0.48776589999999997</v>
      </c>
      <c r="F7842" t="s">
        <v>44</v>
      </c>
      <c r="G7842">
        <v>-189.52099999999999</v>
      </c>
      <c r="H7842" s="1">
        <v>-3.070123E-6</v>
      </c>
      <c r="I7842">
        <v>26.591239999999999</v>
      </c>
      <c r="J7842">
        <v>-187.3142</v>
      </c>
      <c r="K7842">
        <v>1.1113029999999999</v>
      </c>
      <c r="L7842">
        <v>-1.3934629999999999</v>
      </c>
      <c r="M7842">
        <v>8.7736959999999992E-3</v>
      </c>
      <c r="N7842">
        <v>-1.1359050000000001E-2</v>
      </c>
      <c r="O7842">
        <v>0.99989700000000004</v>
      </c>
      <c r="P7842">
        <v>-4.8802520000000002E-2</v>
      </c>
      <c r="Q7842">
        <v>0.18418190000000001</v>
      </c>
      <c r="R7842">
        <v>0.98167990000000005</v>
      </c>
      <c r="S7842">
        <v>-0.239151</v>
      </c>
      <c r="T7842">
        <v>-0.12053170000000001</v>
      </c>
      <c r="U7842">
        <v>3.0670169999999999</v>
      </c>
      <c r="V7842">
        <v>-5.7705859999999998E-2</v>
      </c>
      <c r="W7842">
        <v>0.19523009999999999</v>
      </c>
      <c r="X7842">
        <v>0.9790584</v>
      </c>
      <c r="Y7842">
        <v>-8.6429080000000005E-2</v>
      </c>
      <c r="Z7842">
        <v>-2.7777260000000002E-2</v>
      </c>
      <c r="AA7842">
        <v>0.9958707</v>
      </c>
      <c r="AB7842">
        <v>28</v>
      </c>
      <c r="AC7842">
        <v>-2.2067999999999799</v>
      </c>
      <c r="AD7842">
        <v>-1.111306070123</v>
      </c>
      <c r="AE7842">
        <v>27.984703</v>
      </c>
      <c r="AF7842">
        <v>-2.4484229163743598</v>
      </c>
      <c r="AG7842">
        <v>-1.111306070123</v>
      </c>
      <c r="AH7842">
        <v>27.920504751760301</v>
      </c>
      <c r="AI7842">
        <v>92.270607887787193</v>
      </c>
      <c r="AJ7842">
        <v>95.011598304085098</v>
      </c>
      <c r="AK7842">
        <v>28.049676674642601</v>
      </c>
      <c r="AL7842">
        <v>78.741834916848703</v>
      </c>
      <c r="AM7842">
        <v>93.373120088609795</v>
      </c>
      <c r="AN7842">
        <v>1.0000000544174501</v>
      </c>
    </row>
    <row r="7843" spans="1:40" x14ac:dyDescent="0.25">
      <c r="A7843" t="str">
        <f>"20190304154946979"</f>
        <v>20190304154946979</v>
      </c>
      <c r="B7843" t="str">
        <f>"1551685786974550"</f>
        <v>1551685786974550</v>
      </c>
      <c r="C7843" t="s">
        <v>40</v>
      </c>
      <c r="D7843">
        <v>4.4809269999999897</v>
      </c>
      <c r="E7843">
        <v>0.4885253</v>
      </c>
      <c r="F7843" t="s">
        <v>44</v>
      </c>
      <c r="G7843">
        <v>-189.48699999999999</v>
      </c>
      <c r="H7843" s="1">
        <v>-3.1879739999999999E-6</v>
      </c>
      <c r="I7843">
        <v>26.85191</v>
      </c>
      <c r="J7843">
        <v>-187.31270000000001</v>
      </c>
      <c r="K7843">
        <v>1.1112959999999901</v>
      </c>
      <c r="L7843">
        <v>-1.120026</v>
      </c>
      <c r="M7843">
        <v>7.9266949999999992E-3</v>
      </c>
      <c r="N7843">
        <v>-1.1340039999999999E-2</v>
      </c>
      <c r="O7843">
        <v>0.99990429999999997</v>
      </c>
      <c r="P7843">
        <v>-4.9324159999999999E-2</v>
      </c>
      <c r="Q7843">
        <v>0.1834113</v>
      </c>
      <c r="R7843">
        <v>0.98179810000000001</v>
      </c>
      <c r="S7843">
        <v>-0.23593140000000001</v>
      </c>
      <c r="T7843">
        <v>-0.120666</v>
      </c>
      <c r="U7843">
        <v>3.0668950000000001</v>
      </c>
      <c r="V7843">
        <v>-5.7398009999999999E-2</v>
      </c>
      <c r="W7843">
        <v>0.19444249999999999</v>
      </c>
      <c r="X7843">
        <v>0.97923309999999997</v>
      </c>
      <c r="Y7843">
        <v>-8.4549289999999999E-2</v>
      </c>
      <c r="Z7843">
        <v>-2.784698E-2</v>
      </c>
      <c r="AA7843">
        <v>0.99603010000000003</v>
      </c>
      <c r="AB7843">
        <v>28</v>
      </c>
      <c r="AC7843">
        <v>-2.1742999999999801</v>
      </c>
      <c r="AD7843">
        <v>-1.11129918797399</v>
      </c>
      <c r="AE7843">
        <v>27.971935999999999</v>
      </c>
      <c r="AF7843">
        <v>-2.3922177428581901</v>
      </c>
      <c r="AG7843">
        <v>-1.11129918797399</v>
      </c>
      <c r="AH7843">
        <v>27.9100323759051</v>
      </c>
      <c r="AI7843">
        <v>92.271831750874199</v>
      </c>
      <c r="AJ7843">
        <v>94.898948279337105</v>
      </c>
      <c r="AK7843">
        <v>28.034400276062801</v>
      </c>
      <c r="AL7843">
        <v>78.787841485589794</v>
      </c>
      <c r="AM7843">
        <v>93.3545691305861</v>
      </c>
      <c r="AN7843">
        <v>0.99999994074690801</v>
      </c>
    </row>
    <row r="7844" spans="1:40" x14ac:dyDescent="0.25">
      <c r="A7844" t="str">
        <f>"20190304154946999"</f>
        <v>20190304154946999</v>
      </c>
      <c r="B7844" t="str">
        <f>"1551685786995045"</f>
        <v>1551685786995045</v>
      </c>
      <c r="C7844" t="s">
        <v>40</v>
      </c>
      <c r="D7844">
        <v>4.4932309999999998</v>
      </c>
      <c r="E7844">
        <v>0.48887199999999997</v>
      </c>
      <c r="F7844" t="s">
        <v>44</v>
      </c>
      <c r="G7844">
        <v>-189.37</v>
      </c>
      <c r="H7844" s="1">
        <v>-2.8530750000000002E-6</v>
      </c>
      <c r="I7844">
        <v>26.022870000000001</v>
      </c>
      <c r="J7844">
        <v>-187.3115</v>
      </c>
      <c r="K7844">
        <v>1.111302</v>
      </c>
      <c r="L7844">
        <v>-0.86532589999999998</v>
      </c>
      <c r="M7844">
        <v>7.1388299999999997E-3</v>
      </c>
      <c r="N7844">
        <v>-1.1323949999999999E-2</v>
      </c>
      <c r="O7844">
        <v>0.99991039999999998</v>
      </c>
      <c r="P7844">
        <v>-4.9798050000000003E-2</v>
      </c>
      <c r="Q7844">
        <v>0.18349799999999999</v>
      </c>
      <c r="R7844">
        <v>0.98175789999999996</v>
      </c>
      <c r="S7844">
        <v>-0.23249819999999999</v>
      </c>
      <c r="T7844">
        <v>-0.1255877</v>
      </c>
      <c r="U7844">
        <v>3.0674130000000002</v>
      </c>
      <c r="V7844">
        <v>-5.7098820000000002E-2</v>
      </c>
      <c r="W7844">
        <v>0.19451350000000001</v>
      </c>
      <c r="X7844">
        <v>0.97923649999999995</v>
      </c>
      <c r="Y7844">
        <v>-8.263914E-2</v>
      </c>
      <c r="Z7844">
        <v>-2.9458189999999999E-2</v>
      </c>
      <c r="AA7844">
        <v>0.99614409999999998</v>
      </c>
      <c r="AB7844">
        <v>28</v>
      </c>
      <c r="AC7844">
        <v>-2.0585</v>
      </c>
      <c r="AD7844">
        <v>-1.111304853075</v>
      </c>
      <c r="AE7844">
        <v>26.8881958999999</v>
      </c>
      <c r="AF7844">
        <v>-2.2465947965364199</v>
      </c>
      <c r="AG7844">
        <v>-1.111304853075</v>
      </c>
      <c r="AH7844">
        <v>26.827254680928899</v>
      </c>
      <c r="AI7844">
        <v>92.363826481589896</v>
      </c>
      <c r="AJ7844">
        <v>94.786951209657801</v>
      </c>
      <c r="AK7844">
        <v>26.944086185501099</v>
      </c>
      <c r="AL7844">
        <v>78.783694406661695</v>
      </c>
      <c r="AM7844">
        <v>93.337111332113395</v>
      </c>
      <c r="AN7844">
        <v>0.99999994992994401</v>
      </c>
    </row>
    <row r="7845" spans="1:40" x14ac:dyDescent="0.25">
      <c r="A7845" t="str">
        <f>"20190304154947024"</f>
        <v>20190304154947024</v>
      </c>
      <c r="B7845" t="str">
        <f>"1551685787014565"</f>
        <v>1551685787014565</v>
      </c>
      <c r="C7845" t="s">
        <v>40</v>
      </c>
      <c r="D7845">
        <v>4.5263799999999996</v>
      </c>
      <c r="E7845">
        <v>0.48936829999999998</v>
      </c>
      <c r="F7845" t="s">
        <v>44</v>
      </c>
      <c r="G7845">
        <v>-189.37139999999999</v>
      </c>
      <c r="H7845" s="1">
        <v>-3.024746E-6</v>
      </c>
      <c r="I7845">
        <v>26.4236</v>
      </c>
      <c r="J7845">
        <v>-187.31039999999999</v>
      </c>
      <c r="K7845">
        <v>1.1113</v>
      </c>
      <c r="L7845">
        <v>-0.56704709999999903</v>
      </c>
      <c r="M7845">
        <v>6.2223139999999996E-3</v>
      </c>
      <c r="N7845">
        <v>-1.130681E-2</v>
      </c>
      <c r="O7845">
        <v>0.99991669999999999</v>
      </c>
      <c r="P7845">
        <v>-5.029703E-2</v>
      </c>
      <c r="Q7845">
        <v>0.18400649999999999</v>
      </c>
      <c r="R7845">
        <v>0.98163730000000005</v>
      </c>
      <c r="S7845">
        <v>-0.23153689999999999</v>
      </c>
      <c r="T7845">
        <v>-0.12491380000000001</v>
      </c>
      <c r="U7845">
        <v>3.0673520000000001</v>
      </c>
      <c r="V7845">
        <v>-5.669768E-2</v>
      </c>
      <c r="W7845">
        <v>0.19500509999999999</v>
      </c>
      <c r="X7845">
        <v>0.97916210000000004</v>
      </c>
      <c r="Y7845">
        <v>-8.1417639999999999E-2</v>
      </c>
      <c r="Z7845">
        <v>-2.9260890000000001E-2</v>
      </c>
      <c r="AA7845">
        <v>0.99625050000000004</v>
      </c>
      <c r="AB7845">
        <v>28</v>
      </c>
      <c r="AC7845">
        <v>-2.0609999999999999</v>
      </c>
      <c r="AD7845">
        <v>-1.1113030247459901</v>
      </c>
      <c r="AE7845">
        <v>26.9906471</v>
      </c>
      <c r="AF7845">
        <v>-2.2251647337317402</v>
      </c>
      <c r="AG7845">
        <v>-1.1113030247459901</v>
      </c>
      <c r="AH7845">
        <v>26.931907386679001</v>
      </c>
      <c r="AI7845">
        <v>92.354865397350906</v>
      </c>
      <c r="AJ7845">
        <v>94.723156983618594</v>
      </c>
      <c r="AK7845">
        <v>27.0465152651817</v>
      </c>
      <c r="AL7845">
        <v>78.754978673518806</v>
      </c>
      <c r="AM7845">
        <v>93.313970565308693</v>
      </c>
      <c r="AN7845">
        <v>1.0000000170098999</v>
      </c>
    </row>
    <row r="7846" spans="1:40" x14ac:dyDescent="0.25">
      <c r="A7846" t="str">
        <f>"20190304154947045"</f>
        <v>20190304154947045</v>
      </c>
      <c r="B7846" t="str">
        <f>"1551685787035065"</f>
        <v>1551685787035065</v>
      </c>
      <c r="C7846" t="s">
        <v>40</v>
      </c>
      <c r="D7846">
        <v>4.4970790000000003</v>
      </c>
      <c r="E7846">
        <v>0.48960979999999998</v>
      </c>
      <c r="F7846" t="s">
        <v>44</v>
      </c>
      <c r="G7846">
        <v>-189.35980000000001</v>
      </c>
      <c r="H7846" s="1">
        <v>-3.2268639999999998E-6</v>
      </c>
      <c r="I7846">
        <v>26.889949999999999</v>
      </c>
      <c r="J7846">
        <v>-187.30959999999999</v>
      </c>
      <c r="K7846">
        <v>1.1112979999999999</v>
      </c>
      <c r="L7846">
        <v>-0.30093379999999997</v>
      </c>
      <c r="M7846">
        <v>5.4115949999999999E-3</v>
      </c>
      <c r="N7846">
        <v>-1.1292969999999999E-2</v>
      </c>
      <c r="O7846">
        <v>0.99992159999999997</v>
      </c>
      <c r="P7846">
        <v>-5.1049549999999999E-2</v>
      </c>
      <c r="Q7846">
        <v>0.18515970000000001</v>
      </c>
      <c r="R7846">
        <v>0.98138159999999997</v>
      </c>
      <c r="S7846">
        <v>-0.22897339999999999</v>
      </c>
      <c r="T7846">
        <v>-0.12416140000000001</v>
      </c>
      <c r="U7846">
        <v>3.0676570000000001</v>
      </c>
      <c r="V7846">
        <v>-5.665423E-2</v>
      </c>
      <c r="W7846">
        <v>0.19614239999999999</v>
      </c>
      <c r="X7846">
        <v>0.97893739999999996</v>
      </c>
      <c r="Y7846">
        <v>-7.9775280000000004E-2</v>
      </c>
      <c r="Z7846">
        <v>-2.9031290000000001E-2</v>
      </c>
      <c r="AA7846">
        <v>0.99639</v>
      </c>
      <c r="AB7846">
        <v>28</v>
      </c>
      <c r="AC7846">
        <v>-2.05020000000001</v>
      </c>
      <c r="AD7846">
        <v>-1.1113012268639999</v>
      </c>
      <c r="AE7846">
        <v>27.190883800000002</v>
      </c>
      <c r="AF7846">
        <v>-2.1936818266815399</v>
      </c>
      <c r="AG7846">
        <v>-1.1113012268639999</v>
      </c>
      <c r="AH7846">
        <v>27.134321462368298</v>
      </c>
      <c r="AI7846">
        <v>92.337651364425696</v>
      </c>
      <c r="AJ7846">
        <v>94.622041026596506</v>
      </c>
      <c r="AK7846">
        <v>27.2455249829524</v>
      </c>
      <c r="AL7846">
        <v>78.688532716241397</v>
      </c>
      <c r="AM7846">
        <v>93.312194970616602</v>
      </c>
      <c r="AN7846">
        <v>0.99999998798670597</v>
      </c>
    </row>
    <row r="7847" spans="1:40" x14ac:dyDescent="0.25">
      <c r="A7847" t="str">
        <f>"20190304154947068"</f>
        <v>20190304154947068</v>
      </c>
      <c r="B7847" t="str">
        <f>"1551685787065318"</f>
        <v>1551685787065318</v>
      </c>
      <c r="C7847" t="s">
        <v>40</v>
      </c>
      <c r="D7847">
        <v>4.4964040000000001</v>
      </c>
      <c r="E7847">
        <v>0.48944460000000001</v>
      </c>
      <c r="F7847" t="s">
        <v>44</v>
      </c>
      <c r="G7847">
        <v>-189.43709999999999</v>
      </c>
      <c r="H7847" s="1">
        <v>-3.7385209999999998E-6</v>
      </c>
      <c r="I7847">
        <v>28.114599999999999</v>
      </c>
      <c r="J7847">
        <v>-187.309</v>
      </c>
      <c r="K7847">
        <v>1.1113040000000001</v>
      </c>
      <c r="L7847">
        <v>-1.6479489999999999E-2</v>
      </c>
      <c r="M7847">
        <v>4.5506979999999997E-3</v>
      </c>
      <c r="N7847">
        <v>-1.127977E-2</v>
      </c>
      <c r="O7847">
        <v>0.99992599999999998</v>
      </c>
      <c r="P7847">
        <v>-5.188255E-2</v>
      </c>
      <c r="Q7847">
        <v>0.18609690000000001</v>
      </c>
      <c r="R7847">
        <v>0.98116060000000005</v>
      </c>
      <c r="S7847">
        <v>-0.2296753</v>
      </c>
      <c r="T7847">
        <v>-0.1199704</v>
      </c>
      <c r="U7847">
        <v>3.067596</v>
      </c>
      <c r="V7847">
        <v>-5.6643079999999998E-2</v>
      </c>
      <c r="W7847">
        <v>0.19706480000000001</v>
      </c>
      <c r="X7847">
        <v>0.97875279999999998</v>
      </c>
      <c r="Y7847">
        <v>-7.9148910000000003E-2</v>
      </c>
      <c r="Z7847">
        <v>-2.7687139999999999E-2</v>
      </c>
      <c r="AA7847">
        <v>0.99647830000000004</v>
      </c>
      <c r="AB7847">
        <v>28</v>
      </c>
      <c r="AC7847">
        <v>-2.1280999999999599</v>
      </c>
      <c r="AD7847">
        <v>-1.111307738521</v>
      </c>
      <c r="AE7847">
        <v>28.131079490000001</v>
      </c>
      <c r="AF7847">
        <v>-2.2526067082971402</v>
      </c>
      <c r="AG7847">
        <v>-1.111307738521</v>
      </c>
      <c r="AH7847">
        <v>28.0775343192776</v>
      </c>
      <c r="AI7847">
        <v>92.259329758349196</v>
      </c>
      <c r="AJ7847">
        <v>94.586906020700894</v>
      </c>
      <c r="AK7847">
        <v>28.189664335039001</v>
      </c>
      <c r="AL7847">
        <v>78.634631330077795</v>
      </c>
      <c r="AM7847">
        <v>93.312167746692396</v>
      </c>
      <c r="AN7847">
        <v>1.0000000087093801</v>
      </c>
    </row>
    <row r="7848" spans="1:40" x14ac:dyDescent="0.25">
      <c r="A7848" t="str">
        <f>"20190304154947088"</f>
        <v>20190304154947088</v>
      </c>
      <c r="B7848" t="str">
        <f>"1551685787084838"</f>
        <v>1551685787084838</v>
      </c>
      <c r="C7848" t="s">
        <v>40</v>
      </c>
      <c r="D7848">
        <v>4.5348189999999997</v>
      </c>
      <c r="E7848">
        <v>0.48943799999999998</v>
      </c>
      <c r="F7848" t="s">
        <v>44</v>
      </c>
      <c r="G7848">
        <v>-189.4795</v>
      </c>
      <c r="H7848" s="1">
        <v>-3.8801000000000003E-6</v>
      </c>
      <c r="I7848">
        <v>28.46217</v>
      </c>
      <c r="J7848">
        <v>-187.30869999999999</v>
      </c>
      <c r="K7848">
        <v>1.111305</v>
      </c>
      <c r="L7848">
        <v>0.2373962</v>
      </c>
      <c r="M7848">
        <v>3.7853209999999999E-3</v>
      </c>
      <c r="N7848">
        <v>-1.126942E-2</v>
      </c>
      <c r="O7848">
        <v>0.99992930000000002</v>
      </c>
      <c r="P7848">
        <v>-5.2847680000000001E-2</v>
      </c>
      <c r="Q7848">
        <v>0.18769079999999999</v>
      </c>
      <c r="R7848">
        <v>0.98080540000000005</v>
      </c>
      <c r="S7848">
        <v>-0.2338257</v>
      </c>
      <c r="T7848">
        <v>-0.1197183</v>
      </c>
      <c r="U7848">
        <v>3.0679319999999999</v>
      </c>
      <c r="V7848">
        <v>-5.6857930000000001E-2</v>
      </c>
      <c r="W7848">
        <v>0.19864470000000001</v>
      </c>
      <c r="X7848">
        <v>0.97842090000000004</v>
      </c>
      <c r="Y7848">
        <v>-7.9718250000000004E-2</v>
      </c>
      <c r="Z7848">
        <v>-2.7609100000000001E-2</v>
      </c>
      <c r="AA7848">
        <v>0.99643499999999996</v>
      </c>
      <c r="AB7848">
        <v>28</v>
      </c>
      <c r="AC7848">
        <v>-2.1708000000000101</v>
      </c>
      <c r="AD7848">
        <v>-1.1113088801</v>
      </c>
      <c r="AE7848">
        <v>28.224773800000001</v>
      </c>
      <c r="AF7848">
        <v>-2.2741262749340798</v>
      </c>
      <c r="AG7848">
        <v>-1.1113088801</v>
      </c>
      <c r="AH7848">
        <v>28.172934917172601</v>
      </c>
      <c r="AI7848">
        <v>92.251600786992796</v>
      </c>
      <c r="AJ7848">
        <v>94.614923608323807</v>
      </c>
      <c r="AK7848">
        <v>28.286408743221099</v>
      </c>
      <c r="AL7848">
        <v>78.542284029186604</v>
      </c>
      <c r="AM7848">
        <v>93.325828107906702</v>
      </c>
      <c r="AN7848">
        <v>0.99999999929939198</v>
      </c>
    </row>
    <row r="7849" spans="1:40" x14ac:dyDescent="0.25">
      <c r="A7849" t="str">
        <f>"20190304154947103"</f>
        <v>20190304154947103</v>
      </c>
      <c r="B7849" t="str">
        <f>"1551685787094599"</f>
        <v>1551685787094599</v>
      </c>
      <c r="C7849" t="s">
        <v>40</v>
      </c>
      <c r="D7849">
        <v>4.5126419999999996</v>
      </c>
      <c r="E7849">
        <v>0.48954750000000002</v>
      </c>
      <c r="F7849" t="s">
        <v>44</v>
      </c>
      <c r="G7849">
        <v>-189.5891</v>
      </c>
      <c r="H7849" s="1">
        <v>-1.2778039999999999E-7</v>
      </c>
      <c r="I7849">
        <v>29.70232</v>
      </c>
      <c r="J7849">
        <v>-187.30850000000001</v>
      </c>
      <c r="K7849">
        <v>1.1113059999999999</v>
      </c>
      <c r="L7849">
        <v>0.42208859999999898</v>
      </c>
      <c r="M7849">
        <v>3.229095E-3</v>
      </c>
      <c r="N7849">
        <v>-1.126272E-2</v>
      </c>
      <c r="O7849">
        <v>0.99993129999999997</v>
      </c>
      <c r="P7849">
        <v>-5.3625310000000002E-2</v>
      </c>
      <c r="Q7849">
        <v>0.18793879999999999</v>
      </c>
      <c r="R7849">
        <v>0.98071580000000003</v>
      </c>
      <c r="S7849">
        <v>-0.23745730000000001</v>
      </c>
      <c r="T7849">
        <v>-0.1157154</v>
      </c>
      <c r="U7849">
        <v>3.0680540000000001</v>
      </c>
      <c r="V7849">
        <v>-5.7089750000000002E-2</v>
      </c>
      <c r="W7849">
        <v>0.19888539999999999</v>
      </c>
      <c r="X7849">
        <v>0.97835850000000002</v>
      </c>
      <c r="Y7849">
        <v>-8.0336399999999905E-2</v>
      </c>
      <c r="Z7849">
        <v>-2.6313590000000001E-2</v>
      </c>
      <c r="AA7849">
        <v>0.99642039999999998</v>
      </c>
      <c r="AB7849">
        <v>28</v>
      </c>
      <c r="AC7849">
        <v>-2.28059999999999</v>
      </c>
      <c r="AD7849">
        <v>-1.1113061277803999</v>
      </c>
      <c r="AE7849">
        <v>29.280231400000002</v>
      </c>
      <c r="AF7849">
        <v>-2.3717468204220999</v>
      </c>
      <c r="AG7849">
        <v>-1.1113061277803999</v>
      </c>
      <c r="AH7849">
        <v>29.2308603435932</v>
      </c>
      <c r="AI7849">
        <v>92.170111795167898</v>
      </c>
      <c r="AJ7849">
        <v>94.638729174317604</v>
      </c>
      <c r="AK7849">
        <v>29.347970640514099</v>
      </c>
      <c r="AL7849">
        <v>78.528212148697193</v>
      </c>
      <c r="AM7849">
        <v>93.339569985173299</v>
      </c>
      <c r="AN7849">
        <v>0.999999998205236</v>
      </c>
    </row>
    <row r="7850" spans="1:40" x14ac:dyDescent="0.25">
      <c r="A7850" t="str">
        <f>"20190304154947123"</f>
        <v>20190304154947123</v>
      </c>
      <c r="B7850" t="str">
        <f>"1551685787115093"</f>
        <v>1551685787115093</v>
      </c>
      <c r="C7850" t="s">
        <v>40</v>
      </c>
      <c r="D7850">
        <v>4.5513879999999904</v>
      </c>
      <c r="E7850">
        <v>0.48960239999999999</v>
      </c>
      <c r="F7850" t="s">
        <v>44</v>
      </c>
      <c r="G7850">
        <v>-189.5959</v>
      </c>
      <c r="H7850" s="1">
        <v>-1.5182099999999999E-7</v>
      </c>
      <c r="I7850">
        <v>29.778210000000001</v>
      </c>
      <c r="J7850">
        <v>-187.30860000000001</v>
      </c>
      <c r="K7850">
        <v>1.1113040000000001</v>
      </c>
      <c r="L7850">
        <v>0.66955569999999998</v>
      </c>
      <c r="M7850">
        <v>2.4843130000000001E-3</v>
      </c>
      <c r="N7850">
        <v>-1.125464E-2</v>
      </c>
      <c r="O7850">
        <v>0.99993359999999998</v>
      </c>
      <c r="P7850">
        <v>-5.4560360000000002E-2</v>
      </c>
      <c r="Q7850">
        <v>0.18878110000000001</v>
      </c>
      <c r="R7850">
        <v>0.9805024</v>
      </c>
      <c r="S7850">
        <v>-0.23905940000000001</v>
      </c>
      <c r="T7850">
        <v>-0.1161489</v>
      </c>
      <c r="U7850">
        <v>3.0681759999999998</v>
      </c>
      <c r="V7850">
        <v>-5.7294919999999999E-2</v>
      </c>
      <c r="W7850">
        <v>0.19971710000000001</v>
      </c>
      <c r="X7850">
        <v>0.97817710000000002</v>
      </c>
      <c r="Y7850">
        <v>-8.0107849999999994E-2</v>
      </c>
      <c r="Z7850">
        <v>-2.6460819999999999E-2</v>
      </c>
      <c r="AA7850">
        <v>0.99643490000000001</v>
      </c>
      <c r="AB7850">
        <v>28</v>
      </c>
      <c r="AC7850">
        <v>-2.2872999999999801</v>
      </c>
      <c r="AD7850">
        <v>-1.1113041518210001</v>
      </c>
      <c r="AE7850">
        <v>29.108654300000001</v>
      </c>
      <c r="AF7850">
        <v>-2.3561993388154798</v>
      </c>
      <c r="AG7850">
        <v>-1.1113041518210001</v>
      </c>
      <c r="AH7850">
        <v>29.060784297518801</v>
      </c>
      <c r="AI7850">
        <v>92.182806651622201</v>
      </c>
      <c r="AJ7850">
        <v>94.635305811474197</v>
      </c>
      <c r="AK7850">
        <v>29.1773174954279</v>
      </c>
      <c r="AL7850">
        <v>78.479584087186794</v>
      </c>
      <c r="AM7850">
        <v>93.352164588153798</v>
      </c>
      <c r="AN7850">
        <v>1.00000003342731</v>
      </c>
    </row>
    <row r="7851" spans="1:40" x14ac:dyDescent="0.25">
      <c r="A7851" t="str">
        <f>"20190304154947146"</f>
        <v>20190304154947146</v>
      </c>
      <c r="B7851" t="str">
        <f>"1551685787134617"</f>
        <v>1551685787134617</v>
      </c>
      <c r="C7851" t="s">
        <v>40</v>
      </c>
      <c r="D7851">
        <v>4.557766</v>
      </c>
      <c r="E7851">
        <v>0.48953530000000001</v>
      </c>
      <c r="F7851" t="s">
        <v>44</v>
      </c>
      <c r="G7851">
        <v>-189.6738</v>
      </c>
      <c r="H7851" s="1">
        <v>-5.2906780000000003E-7</v>
      </c>
      <c r="I7851">
        <v>30.731169999999999</v>
      </c>
      <c r="J7851">
        <v>-187.30879999999999</v>
      </c>
      <c r="K7851">
        <v>1.1112979999999999</v>
      </c>
      <c r="L7851">
        <v>0.94726560000000004</v>
      </c>
      <c r="M7851">
        <v>1.648687E-3</v>
      </c>
      <c r="N7851">
        <v>-1.124355E-2</v>
      </c>
      <c r="O7851">
        <v>0.99993540000000003</v>
      </c>
      <c r="P7851">
        <v>-5.5905299999999998E-2</v>
      </c>
      <c r="Q7851">
        <v>0.18891450000000001</v>
      </c>
      <c r="R7851">
        <v>0.98040090000000002</v>
      </c>
      <c r="S7851">
        <v>-0.241394</v>
      </c>
      <c r="T7851">
        <v>-0.11341850000000001</v>
      </c>
      <c r="U7851">
        <v>3.0680540000000001</v>
      </c>
      <c r="V7851">
        <v>-5.782052E-2</v>
      </c>
      <c r="W7851">
        <v>0.1998385</v>
      </c>
      <c r="X7851">
        <v>0.97812129999999997</v>
      </c>
      <c r="Y7851">
        <v>-8.0033759999999995E-2</v>
      </c>
      <c r="Z7851">
        <v>-2.5587229999999999E-2</v>
      </c>
      <c r="AA7851">
        <v>0.99646369999999895</v>
      </c>
      <c r="AB7851">
        <v>28</v>
      </c>
      <c r="AC7851">
        <v>-2.3650000000000002</v>
      </c>
      <c r="AD7851">
        <v>-1.1112985290677999</v>
      </c>
      <c r="AE7851">
        <v>29.783904400000001</v>
      </c>
      <c r="AF7851">
        <v>-2.4107690098922099</v>
      </c>
      <c r="AG7851">
        <v>-1.1112985290677999</v>
      </c>
      <c r="AH7851">
        <v>29.738821874550901</v>
      </c>
      <c r="AI7851">
        <v>92.133077275621702</v>
      </c>
      <c r="AJ7851">
        <v>94.634531632489299</v>
      </c>
      <c r="AK7851">
        <v>29.857064794216299</v>
      </c>
      <c r="AL7851">
        <v>78.472484395818498</v>
      </c>
      <c r="AM7851">
        <v>93.383037410732399</v>
      </c>
      <c r="AN7851">
        <v>0.99999995806450404</v>
      </c>
    </row>
    <row r="7852" spans="1:40" x14ac:dyDescent="0.25">
      <c r="A7852" t="str">
        <f>"20190304154947169"</f>
        <v>20190304154947169</v>
      </c>
      <c r="B7852" t="str">
        <f>"1551685787164869"</f>
        <v>1551685787164869</v>
      </c>
      <c r="C7852" t="s">
        <v>40</v>
      </c>
      <c r="D7852">
        <v>4.5578789999999998</v>
      </c>
      <c r="E7852">
        <v>0.48955090000000001</v>
      </c>
      <c r="F7852" t="s">
        <v>44</v>
      </c>
      <c r="G7852">
        <v>-189.69880000000001</v>
      </c>
      <c r="H7852" s="1">
        <v>-5.2400649999999995E-7</v>
      </c>
      <c r="I7852">
        <v>30.729690000000002</v>
      </c>
      <c r="J7852">
        <v>-187.30930000000001</v>
      </c>
      <c r="K7852">
        <v>1.111299</v>
      </c>
      <c r="L7852">
        <v>1.2323</v>
      </c>
      <c r="M7852">
        <v>7.9049789999999904E-4</v>
      </c>
      <c r="N7852">
        <v>-1.122825E-2</v>
      </c>
      <c r="O7852">
        <v>0.99993659999999995</v>
      </c>
      <c r="P7852">
        <v>-5.6769720000000003E-2</v>
      </c>
      <c r="Q7852">
        <v>0.18979370000000001</v>
      </c>
      <c r="R7852">
        <v>0.98018139999999998</v>
      </c>
      <c r="S7852">
        <v>-0.24620059999999999</v>
      </c>
      <c r="T7852">
        <v>-0.11447880000000001</v>
      </c>
      <c r="U7852">
        <v>3.067993</v>
      </c>
      <c r="V7852">
        <v>-5.7844159999999999E-2</v>
      </c>
      <c r="W7852">
        <v>0.20070099999999999</v>
      </c>
      <c r="X7852">
        <v>0.97794340000000002</v>
      </c>
      <c r="Y7852">
        <v>-8.0730070000000001E-2</v>
      </c>
      <c r="Z7852">
        <v>-2.594428E-2</v>
      </c>
      <c r="AA7852">
        <v>0.99639829999999996</v>
      </c>
      <c r="AB7852">
        <v>28</v>
      </c>
      <c r="AC7852">
        <v>-2.3894999999999902</v>
      </c>
      <c r="AD7852">
        <v>-1.1112995240065</v>
      </c>
      <c r="AE7852">
        <v>29.497389999999999</v>
      </c>
      <c r="AF7852">
        <v>-2.40942078936268</v>
      </c>
      <c r="AG7852">
        <v>-1.1112995240065</v>
      </c>
      <c r="AH7852">
        <v>29.453958305653799</v>
      </c>
      <c r="AI7852">
        <v>92.153561399167302</v>
      </c>
      <c r="AJ7852">
        <v>94.676551156301898</v>
      </c>
      <c r="AK7852">
        <v>29.573230378899499</v>
      </c>
      <c r="AL7852">
        <v>78.422046184455397</v>
      </c>
      <c r="AM7852">
        <v>93.3850315916645</v>
      </c>
      <c r="AN7852">
        <v>1.0000000659253301</v>
      </c>
    </row>
    <row r="7853" spans="1:40" x14ac:dyDescent="0.25">
      <c r="A7853" t="str">
        <f>"20190304154947191"</f>
        <v>20190304154947191</v>
      </c>
      <c r="B7853" t="str">
        <f>"1551685787185366"</f>
        <v>1551685787185366</v>
      </c>
      <c r="C7853" t="s">
        <v>40</v>
      </c>
      <c r="D7853">
        <v>4.5781599999999996</v>
      </c>
      <c r="E7853">
        <v>0.4896433</v>
      </c>
      <c r="F7853" t="s">
        <v>44</v>
      </c>
      <c r="G7853">
        <v>-189.74420000000001</v>
      </c>
      <c r="H7853" s="1">
        <v>-7.1674499999999897E-7</v>
      </c>
      <c r="I7853">
        <v>31.19773</v>
      </c>
      <c r="J7853">
        <v>-187.31</v>
      </c>
      <c r="K7853">
        <v>1.1112979999999999</v>
      </c>
      <c r="L7853">
        <v>1.508545</v>
      </c>
      <c r="M7853" s="1">
        <v>-4.1553549999999998E-5</v>
      </c>
      <c r="N7853">
        <v>-1.121282E-2</v>
      </c>
      <c r="O7853">
        <v>0.99993710000000002</v>
      </c>
      <c r="P7853">
        <v>-5.8264089999999998E-2</v>
      </c>
      <c r="Q7853">
        <v>0.19100919999999999</v>
      </c>
      <c r="R7853">
        <v>0.9798576</v>
      </c>
      <c r="S7853">
        <v>-0.24931339999999999</v>
      </c>
      <c r="T7853">
        <v>-0.1137888</v>
      </c>
      <c r="U7853">
        <v>3.0682369999999999</v>
      </c>
      <c r="V7853">
        <v>-5.8524739999999999E-2</v>
      </c>
      <c r="W7853">
        <v>0.2018971</v>
      </c>
      <c r="X7853">
        <v>0.97765659999999999</v>
      </c>
      <c r="Y7853">
        <v>-8.0899250000000006E-2</v>
      </c>
      <c r="Z7853">
        <v>-2.5731629999999998E-2</v>
      </c>
      <c r="AA7853">
        <v>0.99639009999999995</v>
      </c>
      <c r="AB7853">
        <v>28</v>
      </c>
      <c r="AC7853">
        <v>-2.4342000000000001</v>
      </c>
      <c r="AD7853">
        <v>-1.1112987167449999</v>
      </c>
      <c r="AE7853">
        <v>29.689184999999998</v>
      </c>
      <c r="AF7853">
        <v>-2.4295848998848801</v>
      </c>
      <c r="AG7853">
        <v>-1.1112987167449999</v>
      </c>
      <c r="AH7853">
        <v>29.6480240470148</v>
      </c>
      <c r="AI7853">
        <v>92.139451370905803</v>
      </c>
      <c r="AJ7853">
        <v>94.684784518726005</v>
      </c>
      <c r="AK7853">
        <v>29.7681574424074</v>
      </c>
      <c r="AL7853">
        <v>78.352081825324106</v>
      </c>
      <c r="AM7853">
        <v>93.425767060983205</v>
      </c>
      <c r="AN7853">
        <v>1.00000000585201</v>
      </c>
    </row>
    <row r="7854" spans="1:40" x14ac:dyDescent="0.25">
      <c r="A7854" t="str">
        <f>"20190304154947213"</f>
        <v>20190304154947213</v>
      </c>
      <c r="B7854" t="str">
        <f>"1551685787204886"</f>
        <v>1551685787204886</v>
      </c>
      <c r="C7854" t="s">
        <v>40</v>
      </c>
      <c r="D7854">
        <v>4.5671200000000001</v>
      </c>
      <c r="E7854">
        <v>0.48958099999999999</v>
      </c>
      <c r="F7854" t="s">
        <v>44</v>
      </c>
      <c r="G7854">
        <v>-189.8689</v>
      </c>
      <c r="H7854" s="1">
        <v>-1.2309210000000001E-6</v>
      </c>
      <c r="I7854">
        <v>32.447870000000002</v>
      </c>
      <c r="J7854">
        <v>-187.3109</v>
      </c>
      <c r="K7854">
        <v>1.111305</v>
      </c>
      <c r="L7854">
        <v>1.7778020000000001</v>
      </c>
      <c r="M7854">
        <v>-8.532263E-4</v>
      </c>
      <c r="N7854">
        <v>-1.11994E-2</v>
      </c>
      <c r="O7854">
        <v>0.99993690000000002</v>
      </c>
      <c r="P7854">
        <v>-5.9429650000000001E-2</v>
      </c>
      <c r="Q7854">
        <v>0.1913232</v>
      </c>
      <c r="R7854">
        <v>0.97972630000000005</v>
      </c>
      <c r="S7854">
        <v>-0.25375370000000003</v>
      </c>
      <c r="T7854">
        <v>-0.1102004</v>
      </c>
      <c r="U7854">
        <v>3.0680540000000001</v>
      </c>
      <c r="V7854">
        <v>-5.8895360000000001E-2</v>
      </c>
      <c r="W7854">
        <v>0.2021965</v>
      </c>
      <c r="X7854">
        <v>0.97757240000000001</v>
      </c>
      <c r="Y7854">
        <v>-8.1530149999999996E-2</v>
      </c>
      <c r="Z7854">
        <v>-2.45807E-2</v>
      </c>
      <c r="AA7854">
        <v>0.99636769999999997</v>
      </c>
      <c r="AB7854">
        <v>28</v>
      </c>
      <c r="AC7854">
        <v>-2.5579999999999901</v>
      </c>
      <c r="AD7854">
        <v>-1.111306230921</v>
      </c>
      <c r="AE7854">
        <v>30.670068000000001</v>
      </c>
      <c r="AF7854">
        <v>-2.5285320931800999</v>
      </c>
      <c r="AG7854">
        <v>-1.111306230921</v>
      </c>
      <c r="AH7854">
        <v>30.632299617957798</v>
      </c>
      <c r="AI7854">
        <v>92.070680545291296</v>
      </c>
      <c r="AJ7854">
        <v>94.718761523054198</v>
      </c>
      <c r="AK7854">
        <v>30.756564437034601</v>
      </c>
      <c r="AL7854">
        <v>78.334565477174706</v>
      </c>
      <c r="AM7854">
        <v>93.447705495622401</v>
      </c>
      <c r="AN7854">
        <v>0.99999994264176795</v>
      </c>
    </row>
    <row r="7855" spans="1:40" x14ac:dyDescent="0.25">
      <c r="A7855" t="str">
        <f>"20190304154947236"</f>
        <v>20190304154947236</v>
      </c>
      <c r="B7855" t="str">
        <f>"1551685787225382"</f>
        <v>1551685787225382</v>
      </c>
      <c r="C7855" t="s">
        <v>40</v>
      </c>
      <c r="D7855">
        <v>4.5661160000000001</v>
      </c>
      <c r="E7855">
        <v>0.4896992</v>
      </c>
      <c r="F7855" t="s">
        <v>44</v>
      </c>
      <c r="G7855">
        <v>-189.88140000000001</v>
      </c>
      <c r="H7855" s="1">
        <v>-1.178761E-6</v>
      </c>
      <c r="I7855">
        <v>32.331449999999997</v>
      </c>
      <c r="J7855">
        <v>-187.31209999999999</v>
      </c>
      <c r="K7855">
        <v>1.1113029999999999</v>
      </c>
      <c r="L7855">
        <v>2.0667420000000001</v>
      </c>
      <c r="M7855">
        <v>-1.7238259999999999E-3</v>
      </c>
      <c r="N7855">
        <v>-1.118659E-2</v>
      </c>
      <c r="O7855">
        <v>0.99993589999999999</v>
      </c>
      <c r="P7855">
        <v>-6.0648609999999999E-2</v>
      </c>
      <c r="Q7855">
        <v>0.1921023</v>
      </c>
      <c r="R7855">
        <v>0.97949909999999996</v>
      </c>
      <c r="S7855">
        <v>-0.2581329</v>
      </c>
      <c r="T7855">
        <v>-0.11159769999999899</v>
      </c>
      <c r="U7855">
        <v>3.0682070000000001</v>
      </c>
      <c r="V7855">
        <v>-5.926244E-2</v>
      </c>
      <c r="W7855">
        <v>0.2029609</v>
      </c>
      <c r="X7855">
        <v>0.97739180000000003</v>
      </c>
      <c r="Y7855">
        <v>-8.2069349999999999E-2</v>
      </c>
      <c r="Z7855">
        <v>-2.504228E-2</v>
      </c>
      <c r="AA7855">
        <v>0.99631199999999998</v>
      </c>
      <c r="AB7855">
        <v>28</v>
      </c>
      <c r="AC7855">
        <v>-2.5693000000000201</v>
      </c>
      <c r="AD7855">
        <v>-1.1113041787610001</v>
      </c>
      <c r="AE7855">
        <v>30.264707999999999</v>
      </c>
      <c r="AF7855">
        <v>-2.51375672904308</v>
      </c>
      <c r="AG7855">
        <v>-1.1113041787610001</v>
      </c>
      <c r="AH7855">
        <v>30.228626116590199</v>
      </c>
      <c r="AI7855">
        <v>92.098198182612407</v>
      </c>
      <c r="AJ7855">
        <v>94.753673699232905</v>
      </c>
      <c r="AK7855">
        <v>30.353316240027802</v>
      </c>
      <c r="AL7855">
        <v>78.289841321333896</v>
      </c>
      <c r="AM7855">
        <v>93.469781313467095</v>
      </c>
      <c r="AN7855">
        <v>0.99999994721539998</v>
      </c>
    </row>
    <row r="7856" spans="1:40" x14ac:dyDescent="0.25">
      <c r="A7856" t="str">
        <f>"20190304154947258"</f>
        <v>20190304154947258</v>
      </c>
      <c r="B7856" t="str">
        <f>"1551685787254662"</f>
        <v>1551685787254662</v>
      </c>
      <c r="C7856" t="s">
        <v>40</v>
      </c>
      <c r="D7856">
        <v>4.6053610000000003</v>
      </c>
      <c r="E7856">
        <v>0.48981960000000002</v>
      </c>
      <c r="F7856" t="s">
        <v>44</v>
      </c>
      <c r="G7856">
        <v>-189.94130000000001</v>
      </c>
      <c r="H7856" s="1">
        <v>-1.442264E-6</v>
      </c>
      <c r="I7856">
        <v>32.970469999999999</v>
      </c>
      <c r="J7856">
        <v>-187.3135</v>
      </c>
      <c r="K7856">
        <v>1.111302</v>
      </c>
      <c r="L7856">
        <v>2.3477480000000002</v>
      </c>
      <c r="M7856">
        <v>-2.5700739999999999E-3</v>
      </c>
      <c r="N7856">
        <v>-1.1175259999999999E-2</v>
      </c>
      <c r="O7856">
        <v>0.99993430000000005</v>
      </c>
      <c r="P7856">
        <v>-6.158727E-2</v>
      </c>
      <c r="Q7856">
        <v>0.19187170000000001</v>
      </c>
      <c r="R7856">
        <v>0.97948579999999996</v>
      </c>
      <c r="S7856">
        <v>-0.26104739999999999</v>
      </c>
      <c r="T7856">
        <v>-0.11033560000000001</v>
      </c>
      <c r="U7856">
        <v>3.0682680000000002</v>
      </c>
      <c r="V7856">
        <v>-5.9372210000000002E-2</v>
      </c>
      <c r="W7856">
        <v>0.20271910000000001</v>
      </c>
      <c r="X7856">
        <v>0.97743539999999995</v>
      </c>
      <c r="Y7856">
        <v>-8.2164920000000002E-2</v>
      </c>
      <c r="Z7856">
        <v>-2.4642379999999998E-2</v>
      </c>
      <c r="AA7856">
        <v>0.99631400000000003</v>
      </c>
      <c r="AB7856">
        <v>28</v>
      </c>
      <c r="AC7856">
        <v>-2.6278000000000001</v>
      </c>
      <c r="AD7856">
        <v>-1.111303442264</v>
      </c>
      <c r="AE7856">
        <v>30.6227219999999</v>
      </c>
      <c r="AF7856">
        <v>-2.5457555573164399</v>
      </c>
      <c r="AG7856">
        <v>-1.111303442264</v>
      </c>
      <c r="AH7856">
        <v>30.589383922681801</v>
      </c>
      <c r="AI7856">
        <v>92.073462122138693</v>
      </c>
      <c r="AJ7856">
        <v>94.757391981228693</v>
      </c>
      <c r="AK7856">
        <v>30.7152450009376</v>
      </c>
      <c r="AL7856">
        <v>78.303990502962804</v>
      </c>
      <c r="AM7856">
        <v>93.476037856763895</v>
      </c>
      <c r="AN7856">
        <v>1.0000000269991201</v>
      </c>
    </row>
    <row r="7857" spans="1:40" x14ac:dyDescent="0.25">
      <c r="A7857" t="str">
        <f>"20190304154947281"</f>
        <v>20190304154947281</v>
      </c>
      <c r="B7857" t="str">
        <f>"1551685787275158"</f>
        <v>1551685787275158</v>
      </c>
      <c r="C7857" t="s">
        <v>40</v>
      </c>
      <c r="D7857">
        <v>4.6286060000000004</v>
      </c>
      <c r="E7857">
        <v>0.48995909999999898</v>
      </c>
      <c r="F7857" t="s">
        <v>44</v>
      </c>
      <c r="G7857">
        <v>-189.93100000000001</v>
      </c>
      <c r="H7857" s="1">
        <v>-1.380388E-6</v>
      </c>
      <c r="I7857">
        <v>32.821959999999997</v>
      </c>
      <c r="J7857">
        <v>-187.3152</v>
      </c>
      <c r="K7857">
        <v>1.1113</v>
      </c>
      <c r="L7857">
        <v>2.6339109999999999</v>
      </c>
      <c r="M7857">
        <v>-3.4318909999999998E-3</v>
      </c>
      <c r="N7857">
        <v>-1.116492E-2</v>
      </c>
      <c r="O7857">
        <v>0.99993180000000004</v>
      </c>
      <c r="P7857">
        <v>-6.2818830000000006E-2</v>
      </c>
      <c r="Q7857">
        <v>0.19205249999999999</v>
      </c>
      <c r="R7857">
        <v>0.97937209999999997</v>
      </c>
      <c r="S7857">
        <v>-0.2635345</v>
      </c>
      <c r="T7857">
        <v>-0.11188720000000001</v>
      </c>
      <c r="U7857">
        <v>3.0681759999999998</v>
      </c>
      <c r="V7857">
        <v>-5.9761099999999998E-2</v>
      </c>
      <c r="W7857">
        <v>0.20288809999999999</v>
      </c>
      <c r="X7857">
        <v>0.97737660000000004</v>
      </c>
      <c r="Y7857">
        <v>-8.2108970000000003E-2</v>
      </c>
      <c r="Z7857">
        <v>-2.5156020000000001E-2</v>
      </c>
      <c r="AA7857">
        <v>0.99630580000000002</v>
      </c>
      <c r="AB7857">
        <v>28</v>
      </c>
      <c r="AC7857">
        <v>-2.6157999999999801</v>
      </c>
      <c r="AD7857">
        <v>-1.1113013803880001</v>
      </c>
      <c r="AE7857">
        <v>30.188048999999999</v>
      </c>
      <c r="AF7857">
        <v>-2.50880152958874</v>
      </c>
      <c r="AG7857">
        <v>-1.1113013803880001</v>
      </c>
      <c r="AH7857">
        <v>30.156286574466701</v>
      </c>
      <c r="AI7857">
        <v>92.103215475074606</v>
      </c>
      <c r="AJ7857">
        <v>94.755674619743402</v>
      </c>
      <c r="AK7857">
        <v>30.280863525241202</v>
      </c>
      <c r="AL7857">
        <v>78.2941016391418</v>
      </c>
      <c r="AM7857">
        <v>93.498959614163397</v>
      </c>
      <c r="AN7857">
        <v>0.99999999421118901</v>
      </c>
    </row>
    <row r="7858" spans="1:40" x14ac:dyDescent="0.25">
      <c r="A7858" t="str">
        <f>"20190304154947302"</f>
        <v>20190304154947302</v>
      </c>
      <c r="B7858" t="str">
        <f>"1551685787294678"</f>
        <v>1551685787294678</v>
      </c>
      <c r="C7858" t="s">
        <v>40</v>
      </c>
      <c r="D7858">
        <v>4.6474339999999996</v>
      </c>
      <c r="E7858">
        <v>0.48996980000000001</v>
      </c>
      <c r="F7858" t="s">
        <v>44</v>
      </c>
      <c r="G7858">
        <v>-189.96109999999999</v>
      </c>
      <c r="H7858" s="1">
        <v>-1.5168119999999999E-6</v>
      </c>
      <c r="I7858">
        <v>33.148980000000002</v>
      </c>
      <c r="J7858">
        <v>-187.3169</v>
      </c>
      <c r="K7858">
        <v>1.1112959999999901</v>
      </c>
      <c r="L7858">
        <v>2.8908999999999998</v>
      </c>
      <c r="M7858">
        <v>-4.2056539999999996E-3</v>
      </c>
      <c r="N7858">
        <v>-1.115672E-2</v>
      </c>
      <c r="O7858">
        <v>0.99992890000000001</v>
      </c>
      <c r="P7858">
        <v>-6.3512330000000006E-2</v>
      </c>
      <c r="Q7858">
        <v>0.1916765</v>
      </c>
      <c r="R7858">
        <v>0.97940099999999997</v>
      </c>
      <c r="S7858">
        <v>-0.26602170000000003</v>
      </c>
      <c r="T7858">
        <v>-0.1117316</v>
      </c>
      <c r="U7858">
        <v>3.0680239999999999</v>
      </c>
      <c r="V7858">
        <v>-5.9696480000000003E-2</v>
      </c>
      <c r="W7858">
        <v>0.2025052</v>
      </c>
      <c r="X7858">
        <v>0.97746</v>
      </c>
      <c r="Y7858">
        <v>-8.2143839999999996E-2</v>
      </c>
      <c r="Z7858">
        <v>-2.511449E-2</v>
      </c>
      <c r="AA7858">
        <v>0.99630399999999997</v>
      </c>
      <c r="AB7858">
        <v>28</v>
      </c>
      <c r="AC7858">
        <v>-2.6441999999999801</v>
      </c>
      <c r="AD7858">
        <v>-1.1112975168119901</v>
      </c>
      <c r="AE7858">
        <v>30.25808</v>
      </c>
      <c r="AF7858">
        <v>-2.5135488583844698</v>
      </c>
      <c r="AG7858">
        <v>-1.1112975168119901</v>
      </c>
      <c r="AH7858">
        <v>30.228467668560999</v>
      </c>
      <c r="AI7858">
        <v>92.098197718993106</v>
      </c>
      <c r="AJ7858">
        <v>94.753307204878297</v>
      </c>
      <c r="AK7858">
        <v>30.3531409844779</v>
      </c>
      <c r="AL7858">
        <v>78.316505783988305</v>
      </c>
      <c r="AM7858">
        <v>93.494888073389504</v>
      </c>
      <c r="AN7858">
        <v>1.00000003867571</v>
      </c>
    </row>
    <row r="7859" spans="1:40" x14ac:dyDescent="0.25">
      <c r="A7859" t="str">
        <f>"20190304154947324"</f>
        <v>20190304154947324</v>
      </c>
      <c r="B7859" t="str">
        <f>"1551685787315173"</f>
        <v>1551685787315173</v>
      </c>
      <c r="C7859" t="s">
        <v>40</v>
      </c>
      <c r="D7859">
        <v>4.744802</v>
      </c>
      <c r="E7859">
        <v>0.46923140000000002</v>
      </c>
      <c r="F7859" t="s">
        <v>44</v>
      </c>
      <c r="G7859">
        <v>-189.92959999999999</v>
      </c>
      <c r="H7859" s="1">
        <v>-1.3430439999999901E-6</v>
      </c>
      <c r="I7859">
        <v>32.734340000000003</v>
      </c>
      <c r="J7859">
        <v>-187.31909999999999</v>
      </c>
      <c r="K7859">
        <v>1.1112899999999999</v>
      </c>
      <c r="L7859">
        <v>3.1810299999999998</v>
      </c>
      <c r="M7859">
        <v>-5.0795390000000001E-3</v>
      </c>
      <c r="N7859">
        <v>-1.114865E-2</v>
      </c>
      <c r="O7859">
        <v>0.99992499999999995</v>
      </c>
      <c r="P7859">
        <v>-6.4195340000000004E-2</v>
      </c>
      <c r="Q7859">
        <v>0.19032370000000001</v>
      </c>
      <c r="R7859">
        <v>0.9796203</v>
      </c>
      <c r="S7859">
        <v>-0.26860050000000002</v>
      </c>
      <c r="T7859">
        <v>-0.11424579999999999</v>
      </c>
      <c r="U7859">
        <v>3.0680239999999999</v>
      </c>
      <c r="V7859">
        <v>-5.9520049999999998E-2</v>
      </c>
      <c r="W7859">
        <v>0.20114799999999999</v>
      </c>
      <c r="X7859">
        <v>0.97775089999999998</v>
      </c>
      <c r="Y7859">
        <v>-8.2101759999999996E-2</v>
      </c>
      <c r="Z7859">
        <v>-2.593666E-2</v>
      </c>
      <c r="AA7859">
        <v>0.99628640000000002</v>
      </c>
      <c r="AB7859">
        <v>28</v>
      </c>
      <c r="AC7859">
        <v>-2.6105</v>
      </c>
      <c r="AD7859">
        <v>-1.1112913430439999</v>
      </c>
      <c r="AE7859">
        <v>29.55331</v>
      </c>
      <c r="AF7859">
        <v>-2.4568927008638499</v>
      </c>
      <c r="AG7859">
        <v>-1.1112913430439999</v>
      </c>
      <c r="AH7859">
        <v>29.524765400675399</v>
      </c>
      <c r="AI7859">
        <v>92.148137417287899</v>
      </c>
      <c r="AJ7859">
        <v>94.756887853835806</v>
      </c>
      <c r="AK7859">
        <v>29.647648509748699</v>
      </c>
      <c r="AL7859">
        <v>78.395900890426802</v>
      </c>
      <c r="AM7859">
        <v>93.483550413935205</v>
      </c>
      <c r="AN7859">
        <v>0.99999998835340598</v>
      </c>
    </row>
    <row r="7860" spans="1:40" x14ac:dyDescent="0.25">
      <c r="A7860" t="str">
        <f>"20190304154947347"</f>
        <v>20190304154947347</v>
      </c>
      <c r="B7860" t="str">
        <f>"1551685787345430"</f>
        <v>1551685787345430</v>
      </c>
      <c r="C7860" t="s">
        <v>40</v>
      </c>
      <c r="D7860">
        <v>4.7201180000000003</v>
      </c>
      <c r="E7860">
        <v>0.46644160000000001</v>
      </c>
      <c r="F7860" t="s">
        <v>44</v>
      </c>
      <c r="G7860">
        <v>-190.48</v>
      </c>
      <c r="H7860" s="1">
        <v>-2.6272329999999999E-6</v>
      </c>
      <c r="I7860">
        <v>25.41555</v>
      </c>
      <c r="J7860">
        <v>-187.32140000000001</v>
      </c>
      <c r="K7860">
        <v>1.111281</v>
      </c>
      <c r="L7860">
        <v>3.4539789999999999</v>
      </c>
      <c r="M7860">
        <v>-5.9017829999999999E-3</v>
      </c>
      <c r="N7860">
        <v>-1.11422E-2</v>
      </c>
      <c r="O7860">
        <v>0.99992049999999999</v>
      </c>
      <c r="P7860">
        <v>-6.5086870000000005E-2</v>
      </c>
      <c r="Q7860">
        <v>0.18987409999999999</v>
      </c>
      <c r="R7860">
        <v>0.97964870000000004</v>
      </c>
      <c r="S7860">
        <v>-0.43553160000000002</v>
      </c>
      <c r="T7860">
        <v>-0.153121799999999</v>
      </c>
      <c r="U7860">
        <v>3.0636290000000002</v>
      </c>
      <c r="V7860">
        <v>-5.9605459999999999E-2</v>
      </c>
      <c r="W7860">
        <v>0.2006926</v>
      </c>
      <c r="X7860">
        <v>0.97783929999999997</v>
      </c>
      <c r="Y7860">
        <v>-0.13475239999999999</v>
      </c>
      <c r="Z7860">
        <v>-3.8314529999999999E-2</v>
      </c>
      <c r="AA7860">
        <v>0.99013830000000003</v>
      </c>
      <c r="AB7860">
        <v>28</v>
      </c>
      <c r="AC7860">
        <v>-3.1585999999999701</v>
      </c>
      <c r="AD7860">
        <v>-1.111283627233</v>
      </c>
      <c r="AE7860">
        <v>21.961570999999999</v>
      </c>
      <c r="AF7860">
        <v>-3.02134516854571</v>
      </c>
      <c r="AG7860">
        <v>-1.111283627233</v>
      </c>
      <c r="AH7860">
        <v>21.924830410329001</v>
      </c>
      <c r="AI7860">
        <v>92.874496150136395</v>
      </c>
      <c r="AJ7860">
        <v>97.846211147786605</v>
      </c>
      <c r="AK7860">
        <v>22.159911246422901</v>
      </c>
      <c r="AL7860">
        <v>78.422536850565805</v>
      </c>
      <c r="AM7860">
        <v>93.488222301170595</v>
      </c>
      <c r="AN7860">
        <v>1.00000001359053</v>
      </c>
    </row>
    <row r="7861" spans="1:40" x14ac:dyDescent="0.25">
      <c r="A7861" t="str">
        <f>"20190304154947370"</f>
        <v>20190304154947370</v>
      </c>
      <c r="B7861" t="str">
        <f>"1551685787364950"</f>
        <v>1551685787364950</v>
      </c>
      <c r="C7861" t="s">
        <v>40</v>
      </c>
      <c r="D7861">
        <v>4.5919379999999999</v>
      </c>
      <c r="E7861">
        <v>0.46610200000000002</v>
      </c>
      <c r="F7861" t="s">
        <v>44</v>
      </c>
      <c r="G7861">
        <v>-190.2407</v>
      </c>
      <c r="H7861" s="1">
        <v>-1.4839089999999999E-6</v>
      </c>
      <c r="I7861">
        <v>22.898849999999999</v>
      </c>
      <c r="J7861">
        <v>-187.32409999999999</v>
      </c>
      <c r="K7861">
        <v>1.1112789999999999</v>
      </c>
      <c r="L7861">
        <v>3.748596</v>
      </c>
      <c r="M7861">
        <v>-6.7889519999999896E-3</v>
      </c>
      <c r="N7861">
        <v>-1.113633E-2</v>
      </c>
      <c r="O7861">
        <v>0.99991490000000005</v>
      </c>
      <c r="P7861">
        <v>-6.5076640000000005E-2</v>
      </c>
      <c r="Q7861">
        <v>0.1896245</v>
      </c>
      <c r="R7861">
        <v>0.9796977</v>
      </c>
      <c r="S7861">
        <v>-0.46026610000000001</v>
      </c>
      <c r="T7861">
        <v>-0.17520620000000001</v>
      </c>
      <c r="U7861">
        <v>3.0657040000000002</v>
      </c>
      <c r="V7861">
        <v>-5.8725890000000003E-2</v>
      </c>
      <c r="W7861">
        <v>0.20043939999999999</v>
      </c>
      <c r="X7861">
        <v>0.97794440000000005</v>
      </c>
      <c r="Y7861">
        <v>-0.1415467</v>
      </c>
      <c r="Z7861">
        <v>-4.533657E-2</v>
      </c>
      <c r="AA7861">
        <v>0.98889289999999996</v>
      </c>
      <c r="AB7861">
        <v>28</v>
      </c>
      <c r="AC7861">
        <v>-2.9166000000000101</v>
      </c>
      <c r="AD7861">
        <v>-1.111280483909</v>
      </c>
      <c r="AE7861">
        <v>19.150254</v>
      </c>
      <c r="AF7861">
        <v>-2.7773739692520301</v>
      </c>
      <c r="AG7861">
        <v>-1.111280483909</v>
      </c>
      <c r="AH7861">
        <v>19.106732548568399</v>
      </c>
      <c r="AI7861">
        <v>93.294128428046093</v>
      </c>
      <c r="AJ7861">
        <v>98.270644688448996</v>
      </c>
      <c r="AK7861">
        <v>19.339492732787001</v>
      </c>
      <c r="AL7861">
        <v>78.437344487717894</v>
      </c>
      <c r="AM7861">
        <v>93.436504059987101</v>
      </c>
      <c r="AN7861">
        <v>0.99999996636000499</v>
      </c>
    </row>
    <row r="7862" spans="1:40" x14ac:dyDescent="0.25">
      <c r="A7862" t="str">
        <f>"20190304154947393"</f>
        <v>20190304154947393</v>
      </c>
      <c r="B7862" t="str">
        <f>"1551685787385446"</f>
        <v>1551685787385446</v>
      </c>
      <c r="C7862" t="s">
        <v>40</v>
      </c>
      <c r="D7862">
        <v>5.8947459999999996</v>
      </c>
      <c r="E7862">
        <v>0.46576210000000001</v>
      </c>
      <c r="F7862" t="s">
        <v>44</v>
      </c>
      <c r="G7862">
        <v>-190.26300000000001</v>
      </c>
      <c r="H7862" s="1">
        <v>-1.5992540000000001E-6</v>
      </c>
      <c r="I7862">
        <v>23.153860000000002</v>
      </c>
      <c r="J7862">
        <v>-187.32689999999999</v>
      </c>
      <c r="K7862">
        <v>1.1112759999999999</v>
      </c>
      <c r="L7862">
        <v>4.0257870000000002</v>
      </c>
      <c r="M7862">
        <v>-7.62365E-3</v>
      </c>
      <c r="N7862">
        <v>-1.1131780000000001E-2</v>
      </c>
      <c r="O7862">
        <v>0.99990900000000005</v>
      </c>
      <c r="P7862">
        <v>-6.537635E-2</v>
      </c>
      <c r="Q7862">
        <v>0.1901398</v>
      </c>
      <c r="R7862">
        <v>0.97957780000000005</v>
      </c>
      <c r="S7862">
        <v>-0.46424870000000001</v>
      </c>
      <c r="T7862">
        <v>-0.1755408</v>
      </c>
      <c r="U7862">
        <v>3.0653079999999999</v>
      </c>
      <c r="V7862">
        <v>-5.8209049999999998E-2</v>
      </c>
      <c r="W7862">
        <v>0.2009504</v>
      </c>
      <c r="X7862">
        <v>0.97787049999999998</v>
      </c>
      <c r="Y7862">
        <v>-0.14199439999999999</v>
      </c>
      <c r="Z7862">
        <v>-4.5448849999999999E-2</v>
      </c>
      <c r="AA7862">
        <v>0.98882349999999997</v>
      </c>
      <c r="AB7862">
        <v>28</v>
      </c>
      <c r="AC7862">
        <v>-2.9361000000000099</v>
      </c>
      <c r="AD7862">
        <v>-1.1112775992539901</v>
      </c>
      <c r="AE7862">
        <v>19.128073000000001</v>
      </c>
      <c r="AF7862">
        <v>-2.7810094352110801</v>
      </c>
      <c r="AG7862">
        <v>-1.1112775992539901</v>
      </c>
      <c r="AH7862">
        <v>19.086962405336301</v>
      </c>
      <c r="AI7862">
        <v>93.297364489440497</v>
      </c>
      <c r="AJ7862">
        <v>98.289779152653907</v>
      </c>
      <c r="AK7862">
        <v>19.320483566517101</v>
      </c>
      <c r="AL7862">
        <v>78.407459087654203</v>
      </c>
      <c r="AM7862">
        <v>93.406588120159398</v>
      </c>
      <c r="AN7862">
        <v>1.00000003576615</v>
      </c>
    </row>
    <row r="7863" spans="1:40" x14ac:dyDescent="0.25">
      <c r="A7863" t="str">
        <f>"20190304154947413"</f>
        <v>20190304154947413</v>
      </c>
      <c r="B7863" t="str">
        <f>"1551685787404967"</f>
        <v>1551685787404967</v>
      </c>
      <c r="C7863" t="s">
        <v>40</v>
      </c>
      <c r="D7863">
        <v>4.5922839999999896</v>
      </c>
      <c r="E7863">
        <v>0.46727610000000003</v>
      </c>
      <c r="F7863" t="s">
        <v>44</v>
      </c>
      <c r="G7863">
        <v>-190.2869</v>
      </c>
      <c r="H7863" s="1">
        <v>-1.6995410000000001E-6</v>
      </c>
      <c r="I7863">
        <v>23.372810000000001</v>
      </c>
      <c r="J7863">
        <v>-187.3297</v>
      </c>
      <c r="K7863">
        <v>1.111281</v>
      </c>
      <c r="L7863">
        <v>4.2900700000000001</v>
      </c>
      <c r="M7863">
        <v>-8.4174230000000003E-3</v>
      </c>
      <c r="N7863">
        <v>-1.112818E-2</v>
      </c>
      <c r="O7863">
        <v>0.99990270000000003</v>
      </c>
      <c r="P7863">
        <v>-6.6645969999999999E-2</v>
      </c>
      <c r="Q7863">
        <v>0.19024469999999999</v>
      </c>
      <c r="R7863">
        <v>0.97947189999999995</v>
      </c>
      <c r="S7863">
        <v>-0.46900940000000002</v>
      </c>
      <c r="T7863">
        <v>-0.17607579999999901</v>
      </c>
      <c r="U7863">
        <v>3.0654300000000001</v>
      </c>
      <c r="V7863">
        <v>-5.87016E-2</v>
      </c>
      <c r="W7863">
        <v>0.20105039999999999</v>
      </c>
      <c r="X7863">
        <v>0.97782049999999998</v>
      </c>
      <c r="Y7863">
        <v>-0.1427022</v>
      </c>
      <c r="Z7863">
        <v>-4.561287E-2</v>
      </c>
      <c r="AA7863">
        <v>0.98871410000000004</v>
      </c>
      <c r="AB7863">
        <v>28</v>
      </c>
      <c r="AC7863">
        <v>-2.9571999999999998</v>
      </c>
      <c r="AD7863">
        <v>-1.1112826995409999</v>
      </c>
      <c r="AE7863">
        <v>19.082740000000001</v>
      </c>
      <c r="AF7863">
        <v>-2.7872271076140902</v>
      </c>
      <c r="AG7863">
        <v>-1.1112826995409999</v>
      </c>
      <c r="AH7863">
        <v>19.0438882585401</v>
      </c>
      <c r="AI7863">
        <v>93.304511910387703</v>
      </c>
      <c r="AJ7863">
        <v>98.326582975687003</v>
      </c>
      <c r="AK7863">
        <v>19.278829430011498</v>
      </c>
      <c r="AL7863">
        <v>78.4016101389048</v>
      </c>
      <c r="AM7863">
        <v>93.435520287936001</v>
      </c>
      <c r="AN7863">
        <v>1.00000003570148</v>
      </c>
    </row>
    <row r="7864" spans="1:40" x14ac:dyDescent="0.25">
      <c r="A7864" t="str">
        <f>"20190304154947436"</f>
        <v>20190304154947436</v>
      </c>
      <c r="B7864" t="str">
        <f>"1551685787425462"</f>
        <v>1551685787425462</v>
      </c>
      <c r="C7864" t="s">
        <v>40</v>
      </c>
      <c r="D7864">
        <v>4.5712469999999996</v>
      </c>
      <c r="E7864">
        <v>0.4671632</v>
      </c>
      <c r="F7864" t="s">
        <v>44</v>
      </c>
      <c r="G7864">
        <v>-190.88249999999999</v>
      </c>
      <c r="H7864" s="1">
        <v>-3.7870669999999999E-6</v>
      </c>
      <c r="I7864">
        <v>27.869499999999999</v>
      </c>
      <c r="J7864">
        <v>-187.333</v>
      </c>
      <c r="K7864">
        <v>1.111289</v>
      </c>
      <c r="L7864">
        <v>4.5668030000000002</v>
      </c>
      <c r="M7864">
        <v>-9.2455160000000005E-3</v>
      </c>
      <c r="N7864">
        <v>-1.112499E-2</v>
      </c>
      <c r="O7864">
        <v>0.99989539999999999</v>
      </c>
      <c r="P7864">
        <v>-6.7437239999999996E-2</v>
      </c>
      <c r="Q7864">
        <v>0.19141849999999999</v>
      </c>
      <c r="R7864">
        <v>0.97918899999999998</v>
      </c>
      <c r="S7864">
        <v>-0.46098329999999998</v>
      </c>
      <c r="T7864">
        <v>-0.14419289999999901</v>
      </c>
      <c r="U7864">
        <v>3.0595089999999998</v>
      </c>
      <c r="V7864">
        <v>-5.8684859999999998E-2</v>
      </c>
      <c r="W7864">
        <v>0.20221839999999999</v>
      </c>
      <c r="X7864">
        <v>0.97758060000000002</v>
      </c>
      <c r="Y7864">
        <v>-0.13970299999999999</v>
      </c>
      <c r="Z7864">
        <v>-3.5473089999999999E-2</v>
      </c>
      <c r="AA7864">
        <v>0.98955789999999999</v>
      </c>
      <c r="AB7864">
        <v>28</v>
      </c>
      <c r="AC7864">
        <v>-3.5494999999999899</v>
      </c>
      <c r="AD7864">
        <v>-1.111292787067</v>
      </c>
      <c r="AE7864">
        <v>23.302696999999998</v>
      </c>
      <c r="AF7864">
        <v>-3.3264956438133901</v>
      </c>
      <c r="AG7864">
        <v>-1.111292787067</v>
      </c>
      <c r="AH7864">
        <v>23.282768988286101</v>
      </c>
      <c r="AI7864">
        <v>92.705238993980899</v>
      </c>
      <c r="AJ7864">
        <v>98.131032738027997</v>
      </c>
      <c r="AK7864">
        <v>23.545442800864699</v>
      </c>
      <c r="AL7864">
        <v>78.333285050606193</v>
      </c>
      <c r="AM7864">
        <v>93.435383746934804</v>
      </c>
      <c r="AN7864">
        <v>1.00000001179406</v>
      </c>
    </row>
    <row r="7865" spans="1:40" x14ac:dyDescent="0.25">
      <c r="A7865" t="str">
        <f>"20190304154947458"</f>
        <v>20190304154947458</v>
      </c>
      <c r="B7865" t="str">
        <f>"1551685787454742"</f>
        <v>1551685787454742</v>
      </c>
      <c r="C7865" t="s">
        <v>40</v>
      </c>
      <c r="D7865">
        <v>4.6124390000000002</v>
      </c>
      <c r="E7865">
        <v>0.4665707</v>
      </c>
      <c r="F7865" t="s">
        <v>44</v>
      </c>
      <c r="G7865">
        <v>-190.9794</v>
      </c>
      <c r="H7865" s="1">
        <v>-4.1239609999999998E-6</v>
      </c>
      <c r="I7865">
        <v>28.5947</v>
      </c>
      <c r="J7865">
        <v>-187.3365</v>
      </c>
      <c r="K7865">
        <v>1.1112949999999999</v>
      </c>
      <c r="L7865">
        <v>4.8442689999999997</v>
      </c>
      <c r="M7865">
        <v>-1.006774E-2</v>
      </c>
      <c r="N7865">
        <v>-1.1122379999999999E-2</v>
      </c>
      <c r="O7865">
        <v>0.99988750000000004</v>
      </c>
      <c r="P7865">
        <v>-6.8437319999999996E-2</v>
      </c>
      <c r="Q7865">
        <v>0.19269049999999999</v>
      </c>
      <c r="R7865">
        <v>0.97887009999999997</v>
      </c>
      <c r="S7865">
        <v>-0.4642944</v>
      </c>
      <c r="T7865">
        <v>-0.14149990000000001</v>
      </c>
      <c r="U7865">
        <v>3.0594480000000002</v>
      </c>
      <c r="V7865">
        <v>-5.8882110000000001E-2</v>
      </c>
      <c r="W7865">
        <v>0.2034852</v>
      </c>
      <c r="X7865">
        <v>0.9773058</v>
      </c>
      <c r="Y7865">
        <v>-0.13994389999999901</v>
      </c>
      <c r="Z7865">
        <v>-3.460382E-2</v>
      </c>
      <c r="AA7865">
        <v>0.98955459999999995</v>
      </c>
      <c r="AB7865">
        <v>28</v>
      </c>
      <c r="AC7865">
        <v>-3.6428999999999898</v>
      </c>
      <c r="AD7865">
        <v>-1.1112991239609999</v>
      </c>
      <c r="AE7865">
        <v>23.750430999999999</v>
      </c>
      <c r="AF7865">
        <v>-3.3963225173832599</v>
      </c>
      <c r="AG7865">
        <v>-1.1112991239609999</v>
      </c>
      <c r="AH7865">
        <v>23.735134663551801</v>
      </c>
      <c r="AI7865">
        <v>92.653688352119005</v>
      </c>
      <c r="AJ7865">
        <v>98.143323720173697</v>
      </c>
      <c r="AK7865">
        <v>24.002637560941899</v>
      </c>
      <c r="AL7865">
        <v>78.259161285643003</v>
      </c>
      <c r="AM7865">
        <v>93.4478697405861</v>
      </c>
      <c r="AN7865">
        <v>0.99999997810536501</v>
      </c>
    </row>
    <row r="7866" spans="1:40" x14ac:dyDescent="0.25">
      <c r="A7866" t="str">
        <f>"20190304154947481"</f>
        <v>20190304154947481</v>
      </c>
      <c r="B7866" t="str">
        <f>"1551685787475239"</f>
        <v>1551685787475239</v>
      </c>
      <c r="C7866" t="s">
        <v>40</v>
      </c>
      <c r="D7866">
        <v>4.60954</v>
      </c>
      <c r="E7866">
        <v>0.46614519999999998</v>
      </c>
      <c r="F7866" t="s">
        <v>44</v>
      </c>
      <c r="G7866">
        <v>-190.83690000000001</v>
      </c>
      <c r="H7866" s="1">
        <v>-3.6364029999999999E-6</v>
      </c>
      <c r="I7866">
        <v>27.546610000000001</v>
      </c>
      <c r="J7866">
        <v>-187.34020000000001</v>
      </c>
      <c r="K7866">
        <v>1.111294</v>
      </c>
      <c r="L7866">
        <v>5.1273799999999996</v>
      </c>
      <c r="M7866">
        <v>-1.088953E-2</v>
      </c>
      <c r="N7866">
        <v>-1.112024E-2</v>
      </c>
      <c r="O7866">
        <v>0.99987890000000001</v>
      </c>
      <c r="P7866">
        <v>-6.9319320000000004E-2</v>
      </c>
      <c r="Q7866">
        <v>0.19439690000000001</v>
      </c>
      <c r="R7866">
        <v>0.97847059999999997</v>
      </c>
      <c r="S7866">
        <v>-0.47200009999999998</v>
      </c>
      <c r="T7866">
        <v>-0.1498507</v>
      </c>
      <c r="U7866">
        <v>3.0612490000000001</v>
      </c>
      <c r="V7866">
        <v>-5.8961359999999997E-2</v>
      </c>
      <c r="W7866">
        <v>0.20518710000000001</v>
      </c>
      <c r="X7866">
        <v>0.97694519999999996</v>
      </c>
      <c r="Y7866">
        <v>-0.14146049999999999</v>
      </c>
      <c r="Z7866">
        <v>-3.7256329999999997E-2</v>
      </c>
      <c r="AA7866">
        <v>0.98924259999999997</v>
      </c>
      <c r="AB7866">
        <v>28</v>
      </c>
      <c r="AC7866">
        <v>-3.4967000000000001</v>
      </c>
      <c r="AD7866">
        <v>-1.1112976364030001</v>
      </c>
      <c r="AE7866">
        <v>22.419229999999999</v>
      </c>
      <c r="AF7866">
        <v>-3.2445598604974299</v>
      </c>
      <c r="AG7866">
        <v>-1.1112976364030001</v>
      </c>
      <c r="AH7866">
        <v>22.402243413214499</v>
      </c>
      <c r="AI7866">
        <v>92.810639391419699</v>
      </c>
      <c r="AJ7866">
        <v>98.2409548726488</v>
      </c>
      <c r="AK7866">
        <v>22.6632447162788</v>
      </c>
      <c r="AL7866">
        <v>78.159548750257699</v>
      </c>
      <c r="AM7866">
        <v>93.4537703112195</v>
      </c>
      <c r="AN7866">
        <v>1.0000000558912401</v>
      </c>
    </row>
    <row r="7867" spans="1:40" x14ac:dyDescent="0.25">
      <c r="A7867" t="str">
        <f>"20190304154947495"</f>
        <v>20190304154947495</v>
      </c>
      <c r="B7867" t="str">
        <f>"1551685787484998"</f>
        <v>1551685787484998</v>
      </c>
      <c r="C7867" t="s">
        <v>40</v>
      </c>
      <c r="D7867">
        <v>4.5891630000000001</v>
      </c>
      <c r="E7867">
        <v>0.46593560000000001</v>
      </c>
      <c r="F7867" t="s">
        <v>44</v>
      </c>
      <c r="G7867">
        <v>-190.93279999999999</v>
      </c>
      <c r="H7867" s="1">
        <v>-3.9273249999999997E-6</v>
      </c>
      <c r="I7867">
        <v>28.16525</v>
      </c>
      <c r="J7867">
        <v>-187.34299999999999</v>
      </c>
      <c r="K7867">
        <v>1.1112850000000001</v>
      </c>
      <c r="L7867">
        <v>5.3224179999999999</v>
      </c>
      <c r="M7867">
        <v>-1.1440830000000001E-2</v>
      </c>
      <c r="N7867">
        <v>-1.111901E-2</v>
      </c>
      <c r="O7867">
        <v>0.99987269999999995</v>
      </c>
      <c r="P7867">
        <v>-6.9915640000000001E-2</v>
      </c>
      <c r="Q7867">
        <v>0.19517010000000001</v>
      </c>
      <c r="R7867">
        <v>0.97827419999999998</v>
      </c>
      <c r="S7867">
        <v>-0.47741699999999998</v>
      </c>
      <c r="T7867">
        <v>-0.14768139999999999</v>
      </c>
      <c r="U7867">
        <v>3.0615230000000002</v>
      </c>
      <c r="V7867">
        <v>-5.9015419999999999E-2</v>
      </c>
      <c r="W7867">
        <v>0.20595849999999999</v>
      </c>
      <c r="X7867">
        <v>0.97677959999999997</v>
      </c>
      <c r="Y7867">
        <v>-0.14261460000000001</v>
      </c>
      <c r="Z7867">
        <v>-3.654433E-2</v>
      </c>
      <c r="AA7867">
        <v>0.98910339999999997</v>
      </c>
      <c r="AB7867">
        <v>28</v>
      </c>
      <c r="AC7867">
        <v>-3.5897999999999901</v>
      </c>
      <c r="AD7867">
        <v>-1.111288927325</v>
      </c>
      <c r="AE7867">
        <v>22.842832000000001</v>
      </c>
      <c r="AF7867">
        <v>-3.3205383993956801</v>
      </c>
      <c r="AG7867">
        <v>-1.111288927325</v>
      </c>
      <c r="AH7867">
        <v>22.829679528313999</v>
      </c>
      <c r="AI7867">
        <v>92.757835453710399</v>
      </c>
      <c r="AJ7867">
        <v>98.275543195019495</v>
      </c>
      <c r="AK7867">
        <v>23.0966492311629</v>
      </c>
      <c r="AL7867">
        <v>78.114386189817495</v>
      </c>
      <c r="AM7867">
        <v>93.457513954158898</v>
      </c>
      <c r="AN7867">
        <v>1.0000000552480901</v>
      </c>
    </row>
    <row r="7868" spans="1:40" x14ac:dyDescent="0.25">
      <c r="A7868" t="str">
        <f>"20190304154947515"</f>
        <v>20190304154947515</v>
      </c>
      <c r="B7868" t="str">
        <f>"1551685787505495"</f>
        <v>1551685787505495</v>
      </c>
      <c r="C7868" t="s">
        <v>40</v>
      </c>
      <c r="D7868">
        <v>4.6331300000000004</v>
      </c>
      <c r="E7868">
        <v>0.46558090000000002</v>
      </c>
      <c r="F7868" t="s">
        <v>44</v>
      </c>
      <c r="G7868">
        <v>-190.97319999999999</v>
      </c>
      <c r="H7868" s="1">
        <v>-4.058018E-6</v>
      </c>
      <c r="I7868">
        <v>28.44482</v>
      </c>
      <c r="J7868">
        <v>-187.34639999999999</v>
      </c>
      <c r="K7868">
        <v>1.111278</v>
      </c>
      <c r="L7868">
        <v>5.5574649999999997</v>
      </c>
      <c r="M7868">
        <v>-1.208239E-2</v>
      </c>
      <c r="N7868">
        <v>-1.1117699999999999E-2</v>
      </c>
      <c r="O7868">
        <v>0.99986520000000001</v>
      </c>
      <c r="P7868">
        <v>-7.1038829999999997E-2</v>
      </c>
      <c r="Q7868">
        <v>0.19625999999999999</v>
      </c>
      <c r="R7868">
        <v>0.97797520000000004</v>
      </c>
      <c r="S7868">
        <v>-0.48068240000000001</v>
      </c>
      <c r="T7868">
        <v>-0.14714479999999999</v>
      </c>
      <c r="U7868">
        <v>3.0616150000000002</v>
      </c>
      <c r="V7868">
        <v>-5.9506339999999998E-2</v>
      </c>
      <c r="W7868">
        <v>0.20704649999999999</v>
      </c>
      <c r="X7868">
        <v>0.97651969999999999</v>
      </c>
      <c r="Y7868">
        <v>-0.14300579999999999</v>
      </c>
      <c r="Z7868">
        <v>-3.6366309999999999E-2</v>
      </c>
      <c r="AA7868">
        <v>0.98905350000000003</v>
      </c>
      <c r="AB7868">
        <v>28</v>
      </c>
      <c r="AC7868">
        <v>-3.6267999999999998</v>
      </c>
      <c r="AD7868">
        <v>-1.1112820580180001</v>
      </c>
      <c r="AE7868">
        <v>22.887354999999999</v>
      </c>
      <c r="AF7868">
        <v>-3.34229763333505</v>
      </c>
      <c r="AG7868">
        <v>-1.1112820580180001</v>
      </c>
      <c r="AH7868">
        <v>22.876895382074501</v>
      </c>
      <c r="AI7868">
        <v>92.751879987753597</v>
      </c>
      <c r="AJ7868">
        <v>98.312063947242507</v>
      </c>
      <c r="AK7868">
        <v>23.1464520737985</v>
      </c>
      <c r="AL7868">
        <v>78.050674380605599</v>
      </c>
      <c r="AM7868">
        <v>93.487130215981495</v>
      </c>
      <c r="AN7868">
        <v>0.99999999107526705</v>
      </c>
    </row>
    <row r="7869" spans="1:40" x14ac:dyDescent="0.25">
      <c r="A7869" t="str">
        <f>"20190304154947536"</f>
        <v>20190304154947536</v>
      </c>
      <c r="B7869" t="str">
        <f>"1551685787525014"</f>
        <v>1551685787525014</v>
      </c>
      <c r="C7869" t="s">
        <v>40</v>
      </c>
      <c r="D7869">
        <v>4.6176769999999996</v>
      </c>
      <c r="E7869">
        <v>0.46536110000000003</v>
      </c>
      <c r="F7869" t="s">
        <v>44</v>
      </c>
      <c r="G7869">
        <v>-190.97839999999999</v>
      </c>
      <c r="H7869" s="1">
        <v>-4.0504740000000001E-6</v>
      </c>
      <c r="I7869">
        <v>28.424029999999998</v>
      </c>
      <c r="J7869">
        <v>-187.35050000000001</v>
      </c>
      <c r="K7869">
        <v>1.1112439999999999</v>
      </c>
      <c r="L7869">
        <v>5.8336790000000001</v>
      </c>
      <c r="M7869">
        <v>-1.279594E-2</v>
      </c>
      <c r="N7869">
        <v>-1.11165E-2</v>
      </c>
      <c r="O7869">
        <v>0.99985639999999998</v>
      </c>
      <c r="P7869">
        <v>-7.2102639999999996E-2</v>
      </c>
      <c r="Q7869">
        <v>0.19587070000000001</v>
      </c>
      <c r="R7869">
        <v>0.97797540000000005</v>
      </c>
      <c r="S7869">
        <v>-0.48637390000000003</v>
      </c>
      <c r="T7869">
        <v>-0.1488138</v>
      </c>
      <c r="U7869">
        <v>3.062103</v>
      </c>
      <c r="V7869">
        <v>-5.9855899999999997E-2</v>
      </c>
      <c r="W7869">
        <v>0.2066607</v>
      </c>
      <c r="X7869">
        <v>0.97658009999999995</v>
      </c>
      <c r="Y7869">
        <v>-0.1440652</v>
      </c>
      <c r="Z7869">
        <v>-3.6886849999999999E-2</v>
      </c>
      <c r="AA7869">
        <v>0.98888050000000005</v>
      </c>
      <c r="AB7869">
        <v>28</v>
      </c>
      <c r="AC7869">
        <v>-3.6278999999999799</v>
      </c>
      <c r="AD7869">
        <v>-1.1112480504739899</v>
      </c>
      <c r="AE7869">
        <v>22.590350999999998</v>
      </c>
      <c r="AF7869">
        <v>-3.3306634808122002</v>
      </c>
      <c r="AG7869">
        <v>-1.1112480504739899</v>
      </c>
      <c r="AH7869">
        <v>22.581657702701499</v>
      </c>
      <c r="AI7869">
        <v>92.787159250587706</v>
      </c>
      <c r="AJ7869">
        <v>98.390301632597698</v>
      </c>
      <c r="AK7869">
        <v>22.852996653701201</v>
      </c>
      <c r="AL7869">
        <v>78.073268247855495</v>
      </c>
      <c r="AM7869">
        <v>93.507347387778097</v>
      </c>
      <c r="AN7869">
        <v>1.0000000327026499</v>
      </c>
    </row>
    <row r="7870" spans="1:40" x14ac:dyDescent="0.25">
      <c r="A7870" t="str">
        <f>"20190304154947559"</f>
        <v>20190304154947559</v>
      </c>
      <c r="B7870" t="str">
        <f>"1551685787555270"</f>
        <v>1551685787555270</v>
      </c>
      <c r="C7870" t="s">
        <v>40</v>
      </c>
      <c r="D7870">
        <v>4.6645960000000004</v>
      </c>
      <c r="E7870">
        <v>0.46499600000000002</v>
      </c>
      <c r="F7870" t="s">
        <v>44</v>
      </c>
      <c r="G7870">
        <v>-190.95320000000001</v>
      </c>
      <c r="H7870" s="1">
        <v>-3.9817310000000001E-6</v>
      </c>
      <c r="I7870">
        <v>28.279399999999999</v>
      </c>
      <c r="J7870">
        <v>-187.35470000000001</v>
      </c>
      <c r="K7870">
        <v>1.111205</v>
      </c>
      <c r="L7870">
        <v>6.1070859999999998</v>
      </c>
      <c r="M7870">
        <v>-1.345565E-2</v>
      </c>
      <c r="N7870">
        <v>-1.111555E-2</v>
      </c>
      <c r="O7870">
        <v>0.99984770000000001</v>
      </c>
      <c r="P7870">
        <v>-7.2738289999999997E-2</v>
      </c>
      <c r="Q7870">
        <v>0.19516990000000001</v>
      </c>
      <c r="R7870">
        <v>0.97806850000000001</v>
      </c>
      <c r="S7870">
        <v>-0.49142459999999999</v>
      </c>
      <c r="T7870">
        <v>-0.1515782</v>
      </c>
      <c r="U7870">
        <v>3.0616759999999998</v>
      </c>
      <c r="V7870">
        <v>-5.9826200000000003E-2</v>
      </c>
      <c r="W7870">
        <v>0.2059655</v>
      </c>
      <c r="X7870">
        <v>0.97672870000000001</v>
      </c>
      <c r="Y7870">
        <v>-0.14501800000000001</v>
      </c>
      <c r="Z7870">
        <v>-3.7774460000000003E-2</v>
      </c>
      <c r="AA7870">
        <v>0.98870769999999997</v>
      </c>
      <c r="AB7870">
        <v>28</v>
      </c>
      <c r="AC7870">
        <v>-3.5985</v>
      </c>
      <c r="AD7870">
        <v>-1.111208981731</v>
      </c>
      <c r="AE7870">
        <v>22.172314</v>
      </c>
      <c r="AF7870">
        <v>-3.2917571106993302</v>
      </c>
      <c r="AG7870">
        <v>-1.111208981731</v>
      </c>
      <c r="AH7870">
        <v>22.164487602379701</v>
      </c>
      <c r="AI7870">
        <v>92.839014143288395</v>
      </c>
      <c r="AJ7870">
        <v>98.447531108002195</v>
      </c>
      <c r="AK7870">
        <v>22.435127834557999</v>
      </c>
      <c r="AL7870">
        <v>78.113975152030406</v>
      </c>
      <c r="AM7870">
        <v>93.505079396546094</v>
      </c>
      <c r="AN7870">
        <v>0.99999995740018899</v>
      </c>
    </row>
    <row r="7871" spans="1:40" x14ac:dyDescent="0.25">
      <c r="A7871" t="str">
        <f>"20190304154947583"</f>
        <v>20190304154947583</v>
      </c>
      <c r="B7871" t="str">
        <f>"1551685787574790"</f>
        <v>1551685787574790</v>
      </c>
      <c r="C7871" t="s">
        <v>40</v>
      </c>
      <c r="D7871">
        <v>4.6651059999999998</v>
      </c>
      <c r="E7871">
        <v>0.4649916</v>
      </c>
      <c r="F7871" t="s">
        <v>44</v>
      </c>
      <c r="G7871">
        <v>-190.8597</v>
      </c>
      <c r="H7871" s="1">
        <v>-3.7094360000000002E-6</v>
      </c>
      <c r="I7871">
        <v>27.70269</v>
      </c>
      <c r="J7871">
        <v>-187.3595</v>
      </c>
      <c r="K7871">
        <v>1.1111660000000001</v>
      </c>
      <c r="L7871">
        <v>6.4026180000000004</v>
      </c>
      <c r="M7871">
        <v>-1.4109899999999899E-2</v>
      </c>
      <c r="N7871">
        <v>-1.1114850000000001E-2</v>
      </c>
      <c r="O7871">
        <v>0.99983869999999997</v>
      </c>
      <c r="P7871">
        <v>-7.3227020000000004E-2</v>
      </c>
      <c r="Q7871">
        <v>0.194913</v>
      </c>
      <c r="R7871">
        <v>0.97808320000000004</v>
      </c>
      <c r="S7871">
        <v>-0.49691770000000002</v>
      </c>
      <c r="T7871">
        <v>-0.1575426</v>
      </c>
      <c r="U7871">
        <v>3.0617369999999999</v>
      </c>
      <c r="V7871">
        <v>-5.965289E-2</v>
      </c>
      <c r="W7871">
        <v>0.20571490000000001</v>
      </c>
      <c r="X7871">
        <v>0.9767922</v>
      </c>
      <c r="Y7871">
        <v>-0.1460825</v>
      </c>
      <c r="Z7871">
        <v>-3.9681920000000002E-2</v>
      </c>
      <c r="AA7871">
        <v>0.98847620000000003</v>
      </c>
      <c r="AB7871">
        <v>28</v>
      </c>
      <c r="AC7871">
        <v>-3.5002</v>
      </c>
      <c r="AD7871">
        <v>-1.11116970943599</v>
      </c>
      <c r="AE7871">
        <v>21.300072</v>
      </c>
      <c r="AF7871">
        <v>-3.1908357296919601</v>
      </c>
      <c r="AG7871">
        <v>-1.11116970943599</v>
      </c>
      <c r="AH7871">
        <v>21.2909233993031</v>
      </c>
      <c r="AI7871">
        <v>92.954609249260301</v>
      </c>
      <c r="AJ7871">
        <v>98.523388907864998</v>
      </c>
      <c r="AK7871">
        <v>21.557354892751501</v>
      </c>
      <c r="AL7871">
        <v>78.1286487292804</v>
      </c>
      <c r="AM7871">
        <v>93.494724127941694</v>
      </c>
      <c r="AN7871">
        <v>1.0000000446741</v>
      </c>
    </row>
    <row r="7872" spans="1:40" x14ac:dyDescent="0.25">
      <c r="A7872" t="str">
        <f>"20190304154947604"</f>
        <v>20190304154947604</v>
      </c>
      <c r="B7872" t="str">
        <f>"1551685787595286"</f>
        <v>1551685787595286</v>
      </c>
      <c r="C7872" t="s">
        <v>40</v>
      </c>
      <c r="D7872">
        <v>4.6273730000000004</v>
      </c>
      <c r="E7872">
        <v>0.46491379999999999</v>
      </c>
      <c r="F7872" t="s">
        <v>44</v>
      </c>
      <c r="G7872">
        <v>-190.79910000000001</v>
      </c>
      <c r="H7872" s="1">
        <v>-3.6088570000000002E-6</v>
      </c>
      <c r="I7872">
        <v>27.50583</v>
      </c>
      <c r="J7872">
        <v>-187.3639</v>
      </c>
      <c r="K7872">
        <v>1.111124</v>
      </c>
      <c r="L7872">
        <v>6.6745910000000004</v>
      </c>
      <c r="M7872">
        <v>-1.4651000000000001E-2</v>
      </c>
      <c r="N7872">
        <v>-1.111441E-2</v>
      </c>
      <c r="O7872">
        <v>0.99983089999999997</v>
      </c>
      <c r="P7872">
        <v>-7.3834200000000003E-2</v>
      </c>
      <c r="Q7872">
        <v>0.19568820000000001</v>
      </c>
      <c r="R7872">
        <v>0.97788269999999999</v>
      </c>
      <c r="S7872">
        <v>-0.49906919999999999</v>
      </c>
      <c r="T7872">
        <v>-0.1612257</v>
      </c>
      <c r="U7872">
        <v>3.0619809999999998</v>
      </c>
      <c r="V7872">
        <v>-5.9713210000000003E-2</v>
      </c>
      <c r="W7872">
        <v>0.20649410000000001</v>
      </c>
      <c r="X7872">
        <v>0.97662400000000005</v>
      </c>
      <c r="Y7872">
        <v>-0.14620269999999999</v>
      </c>
      <c r="Z7872">
        <v>-4.0859239999999998E-2</v>
      </c>
      <c r="AA7872">
        <v>0.98841049999999997</v>
      </c>
      <c r="AB7872">
        <v>28</v>
      </c>
      <c r="AC7872">
        <v>-3.4352</v>
      </c>
      <c r="AD7872">
        <v>-1.1111276088569999</v>
      </c>
      <c r="AE7872">
        <v>20.831239</v>
      </c>
      <c r="AF7872">
        <v>-3.1209695183253001</v>
      </c>
      <c r="AG7872">
        <v>-1.1111276088569999</v>
      </c>
      <c r="AH7872">
        <v>20.821663681034298</v>
      </c>
      <c r="AI7872">
        <v>93.020951511761297</v>
      </c>
      <c r="AJ7872">
        <v>98.524629513826696</v>
      </c>
      <c r="AK7872">
        <v>21.083565489346999</v>
      </c>
      <c r="AL7872">
        <v>78.083023266570507</v>
      </c>
      <c r="AM7872">
        <v>93.498850155639502</v>
      </c>
      <c r="AN7872">
        <v>0.999999959079656</v>
      </c>
    </row>
    <row r="7873" spans="1:40" x14ac:dyDescent="0.25">
      <c r="A7873" t="str">
        <f>"20190304154947626"</f>
        <v>20190304154947626</v>
      </c>
      <c r="B7873" t="str">
        <f>"1551685787614809"</f>
        <v>1551685787614809</v>
      </c>
      <c r="C7873" t="s">
        <v>40</v>
      </c>
      <c r="D7873">
        <v>4.6226450000000003</v>
      </c>
      <c r="E7873">
        <v>0.46478730000000001</v>
      </c>
      <c r="F7873" t="s">
        <v>44</v>
      </c>
      <c r="G7873">
        <v>-190.83070000000001</v>
      </c>
      <c r="H7873" s="1">
        <v>-3.7622939999999998E-6</v>
      </c>
      <c r="I7873">
        <v>27.84385</v>
      </c>
      <c r="J7873">
        <v>-187.36869999999999</v>
      </c>
      <c r="K7873">
        <v>1.111081</v>
      </c>
      <c r="L7873">
        <v>6.9609379999999996</v>
      </c>
      <c r="M7873">
        <v>-1.515179E-2</v>
      </c>
      <c r="N7873">
        <v>-1.1114219999999999E-2</v>
      </c>
      <c r="O7873">
        <v>0.99982349999999998</v>
      </c>
      <c r="P7873">
        <v>-7.5242290000000003E-2</v>
      </c>
      <c r="Q7873">
        <v>0.1967024</v>
      </c>
      <c r="R7873">
        <v>0.97757190000000005</v>
      </c>
      <c r="S7873">
        <v>-0.50148009999999998</v>
      </c>
      <c r="T7873">
        <v>-0.16072620000000001</v>
      </c>
      <c r="U7873">
        <v>3.0621640000000001</v>
      </c>
      <c r="V7873">
        <v>-6.0612149999999997E-2</v>
      </c>
      <c r="W7873">
        <v>0.20751059999999999</v>
      </c>
      <c r="X7873">
        <v>0.97635320000000003</v>
      </c>
      <c r="Y7873">
        <v>-0.146457</v>
      </c>
      <c r="Z7873">
        <v>-4.0691480000000002E-2</v>
      </c>
      <c r="AA7873">
        <v>0.98837980000000003</v>
      </c>
      <c r="AB7873">
        <v>28</v>
      </c>
      <c r="AC7873">
        <v>-3.46200000000001</v>
      </c>
      <c r="AD7873">
        <v>-1.1110847622940001</v>
      </c>
      <c r="AE7873">
        <v>20.882912000000001</v>
      </c>
      <c r="AF7873">
        <v>-3.1365280609840398</v>
      </c>
      <c r="AG7873">
        <v>-1.1110847622940001</v>
      </c>
      <c r="AH7873">
        <v>20.8754592012166</v>
      </c>
      <c r="AI7873">
        <v>93.012906509245198</v>
      </c>
      <c r="AJ7873">
        <v>98.544747851580496</v>
      </c>
      <c r="AK7873">
        <v>21.138995115378599</v>
      </c>
      <c r="AL7873">
        <v>78.023493514951099</v>
      </c>
      <c r="AM7873">
        <v>93.552371536957097</v>
      </c>
      <c r="AN7873">
        <v>1.0000000264951101</v>
      </c>
    </row>
    <row r="7874" spans="1:40" x14ac:dyDescent="0.25">
      <c r="A7874" t="str">
        <f>"20190304154947648"</f>
        <v>20190304154947648</v>
      </c>
      <c r="B7874" t="str">
        <f>"1551685787645063"</f>
        <v>1551685787645063</v>
      </c>
      <c r="C7874" t="s">
        <v>40</v>
      </c>
      <c r="D7874">
        <v>4.6524929999999998</v>
      </c>
      <c r="E7874">
        <v>0.46454849999999998</v>
      </c>
      <c r="F7874" t="s">
        <v>44</v>
      </c>
      <c r="G7874">
        <v>-190.87450000000001</v>
      </c>
      <c r="H7874" s="1">
        <v>-3.9162470000000001E-6</v>
      </c>
      <c r="I7874">
        <v>28.17558</v>
      </c>
      <c r="J7874">
        <v>-187.3734</v>
      </c>
      <c r="K7874">
        <v>1.11103</v>
      </c>
      <c r="L7874">
        <v>7.2362369999999903</v>
      </c>
      <c r="M7874">
        <v>-1.556458E-2</v>
      </c>
      <c r="N7874">
        <v>-1.1114219999999999E-2</v>
      </c>
      <c r="O7874">
        <v>0.99981710000000001</v>
      </c>
      <c r="P7874">
        <v>-7.6624570000000003E-2</v>
      </c>
      <c r="Q7874">
        <v>0.1974775</v>
      </c>
      <c r="R7874">
        <v>0.97730819999999996</v>
      </c>
      <c r="S7874">
        <v>-0.50602720000000001</v>
      </c>
      <c r="T7874">
        <v>-0.160374499999999</v>
      </c>
      <c r="U7874">
        <v>3.0621339999999999</v>
      </c>
      <c r="V7874">
        <v>-6.1570060000000003E-2</v>
      </c>
      <c r="W7874">
        <v>0.20829</v>
      </c>
      <c r="X7874">
        <v>0.97612730000000003</v>
      </c>
      <c r="Y7874">
        <v>-0.14747959999999999</v>
      </c>
      <c r="Z7874">
        <v>-4.056883E-2</v>
      </c>
      <c r="AA7874">
        <v>0.98823269999999996</v>
      </c>
      <c r="AB7874">
        <v>28</v>
      </c>
      <c r="AC7874">
        <v>-3.5011000000000001</v>
      </c>
      <c r="AD7874">
        <v>-1.111033916247</v>
      </c>
      <c r="AE7874">
        <v>20.939343000000001</v>
      </c>
      <c r="AF7874">
        <v>-3.1660725234328</v>
      </c>
      <c r="AG7874">
        <v>-1.111033916247</v>
      </c>
      <c r="AH7874">
        <v>20.933969613149401</v>
      </c>
      <c r="AI7874">
        <v>93.003925476685495</v>
      </c>
      <c r="AJ7874">
        <v>98.600287059324501</v>
      </c>
      <c r="AK7874">
        <v>21.201167311045701</v>
      </c>
      <c r="AL7874">
        <v>77.977839948489802</v>
      </c>
      <c r="AM7874">
        <v>93.609198636739606</v>
      </c>
      <c r="AN7874">
        <v>1.0000000510968401</v>
      </c>
    </row>
    <row r="7875" spans="1:40" x14ac:dyDescent="0.25">
      <c r="A7875" t="str">
        <f>"20190304154947670"</f>
        <v>20190304154947670</v>
      </c>
      <c r="B7875" t="str">
        <f>"1551685787665558"</f>
        <v>1551685787665558</v>
      </c>
      <c r="C7875" t="s">
        <v>40</v>
      </c>
      <c r="D7875">
        <v>4.6570450000000001</v>
      </c>
      <c r="E7875">
        <v>0.46459689999999998</v>
      </c>
      <c r="F7875" t="s">
        <v>44</v>
      </c>
      <c r="G7875">
        <v>-190.899</v>
      </c>
      <c r="H7875" s="1">
        <v>-4.0052299999999998E-6</v>
      </c>
      <c r="I7875">
        <v>28.367789999999999</v>
      </c>
      <c r="J7875">
        <v>-187.37819999999999</v>
      </c>
      <c r="K7875">
        <v>1.1109819999999999</v>
      </c>
      <c r="L7875">
        <v>7.517944</v>
      </c>
      <c r="M7875">
        <v>-1.5918760000000001E-2</v>
      </c>
      <c r="N7875">
        <v>-1.111437E-2</v>
      </c>
      <c r="O7875">
        <v>0.99981149999999996</v>
      </c>
      <c r="P7875">
        <v>-7.7507380000000001E-2</v>
      </c>
      <c r="Q7875">
        <v>0.1978674</v>
      </c>
      <c r="R7875">
        <v>0.97715969999999996</v>
      </c>
      <c r="S7875">
        <v>-0.51089479999999998</v>
      </c>
      <c r="T7875">
        <v>-0.1609979</v>
      </c>
      <c r="U7875">
        <v>3.0621339999999999</v>
      </c>
      <c r="V7875">
        <v>-6.2081810000000001E-2</v>
      </c>
      <c r="W7875">
        <v>0.20868639999999999</v>
      </c>
      <c r="X7875">
        <v>0.97601009999999999</v>
      </c>
      <c r="Y7875">
        <v>-0.14865610000000001</v>
      </c>
      <c r="Z7875">
        <v>-4.075778E-2</v>
      </c>
      <c r="AA7875">
        <v>0.9880487</v>
      </c>
      <c r="AB7875">
        <v>28</v>
      </c>
      <c r="AC7875">
        <v>-3.5207999999999999</v>
      </c>
      <c r="AD7875">
        <v>-1.11098600522999</v>
      </c>
      <c r="AE7875">
        <v>20.849845999999999</v>
      </c>
      <c r="AF7875">
        <v>-3.17965192633338</v>
      </c>
      <c r="AG7875">
        <v>-1.11098600522999</v>
      </c>
      <c r="AH7875">
        <v>20.845707694038101</v>
      </c>
      <c r="AI7875">
        <v>93.015913599489906</v>
      </c>
      <c r="AJ7875">
        <v>98.672632027355505</v>
      </c>
      <c r="AK7875">
        <v>21.116060369816399</v>
      </c>
      <c r="AL7875">
        <v>77.954616230035498</v>
      </c>
      <c r="AM7875">
        <v>93.639552634865694</v>
      </c>
      <c r="AN7875">
        <v>0.99999993998992098</v>
      </c>
    </row>
    <row r="7876" spans="1:40" x14ac:dyDescent="0.25">
      <c r="A7876" t="str">
        <f>"20190304154947693"</f>
        <v>20190304154947693</v>
      </c>
      <c r="B7876" t="str">
        <f>"1551685787685079"</f>
        <v>1551685787685079</v>
      </c>
      <c r="C7876" t="s">
        <v>40</v>
      </c>
      <c r="D7876">
        <v>4.7561390000000001</v>
      </c>
      <c r="E7876">
        <v>0.50975349999999997</v>
      </c>
      <c r="F7876" t="s">
        <v>44</v>
      </c>
      <c r="G7876">
        <v>-190.9204</v>
      </c>
      <c r="H7876" s="1">
        <v>-4.1223579999999998E-6</v>
      </c>
      <c r="I7876">
        <v>28.62754</v>
      </c>
      <c r="J7876">
        <v>-187.38310000000001</v>
      </c>
      <c r="K7876">
        <v>1.110932</v>
      </c>
      <c r="L7876">
        <v>7.8028869999999904</v>
      </c>
      <c r="M7876">
        <v>-1.6203760000000001E-2</v>
      </c>
      <c r="N7876">
        <v>-1.111466E-2</v>
      </c>
      <c r="O7876">
        <v>0.99980690000000005</v>
      </c>
      <c r="P7876">
        <v>-7.7744140000000003E-2</v>
      </c>
      <c r="Q7876">
        <v>0.19916639999999999</v>
      </c>
      <c r="R7876">
        <v>0.976877</v>
      </c>
      <c r="S7876">
        <v>-0.51380919999999997</v>
      </c>
      <c r="T7876">
        <v>-0.16115189999999999</v>
      </c>
      <c r="U7876">
        <v>3.0620120000000002</v>
      </c>
      <c r="V7876">
        <v>-6.201802E-2</v>
      </c>
      <c r="W7876">
        <v>0.2099906</v>
      </c>
      <c r="X7876">
        <v>0.97573449999999995</v>
      </c>
      <c r="Y7876">
        <v>-0.14929479999999901</v>
      </c>
      <c r="Z7876">
        <v>-4.0802440000000002E-2</v>
      </c>
      <c r="AA7876">
        <v>0.98795049999999995</v>
      </c>
      <c r="AB7876">
        <v>28</v>
      </c>
      <c r="AC7876">
        <v>-3.5372999999999801</v>
      </c>
      <c r="AD7876">
        <v>-1.1109361223579901</v>
      </c>
      <c r="AE7876">
        <v>20.824653000000001</v>
      </c>
      <c r="AF7876">
        <v>-3.1905515818467198</v>
      </c>
      <c r="AG7876">
        <v>-1.1109361223579901</v>
      </c>
      <c r="AH7876">
        <v>20.8216447551386</v>
      </c>
      <c r="AI7876">
        <v>93.018942210839199</v>
      </c>
      <c r="AJ7876">
        <v>98.711809313694005</v>
      </c>
      <c r="AK7876">
        <v>21.093949103322799</v>
      </c>
      <c r="AL7876">
        <v>77.878199242278797</v>
      </c>
      <c r="AM7876">
        <v>93.636847172298502</v>
      </c>
      <c r="AN7876">
        <v>1.00000005069166</v>
      </c>
    </row>
    <row r="7877" spans="1:40" x14ac:dyDescent="0.25">
      <c r="A7877" t="str">
        <f>"20190304154947715"</f>
        <v>20190304154947715</v>
      </c>
      <c r="B7877" t="str">
        <f>"1551685787705574"</f>
        <v>1551685787705574</v>
      </c>
      <c r="C7877" t="s">
        <v>40</v>
      </c>
      <c r="D7877">
        <v>4.5670080000000004</v>
      </c>
      <c r="E7877">
        <v>0.52127979999999996</v>
      </c>
      <c r="F7877" t="s">
        <v>51</v>
      </c>
      <c r="G7877">
        <v>-206.95240000000001</v>
      </c>
      <c r="H7877">
        <v>2.6737890000000002</v>
      </c>
      <c r="I7877">
        <v>391.87</v>
      </c>
      <c r="J7877">
        <v>-187.38800000000001</v>
      </c>
      <c r="K7877">
        <v>1.1108899999999999</v>
      </c>
      <c r="L7877">
        <v>8.0873720000000002</v>
      </c>
      <c r="M7877">
        <v>-1.642426E-2</v>
      </c>
      <c r="N7877">
        <v>-1.1115079999999999E-2</v>
      </c>
      <c r="O7877">
        <v>0.99980329999999995</v>
      </c>
      <c r="P7877">
        <v>-7.8099470000000004E-2</v>
      </c>
      <c r="Q7877">
        <v>0.20026830000000001</v>
      </c>
      <c r="R7877">
        <v>0.97662329999999997</v>
      </c>
      <c r="S7877">
        <v>-0.15571589999999999</v>
      </c>
      <c r="T7877">
        <v>1.243591E-2</v>
      </c>
      <c r="U7877">
        <v>3.0560909999999999</v>
      </c>
      <c r="V7877">
        <v>-6.2137320000000003E-2</v>
      </c>
      <c r="W7877">
        <v>0.2110977</v>
      </c>
      <c r="X7877">
        <v>0.97548789999999996</v>
      </c>
      <c r="Y7877">
        <v>-3.4468569999999997E-2</v>
      </c>
      <c r="Z7877">
        <v>1.517461E-2</v>
      </c>
      <c r="AA7877">
        <v>0.99929060000000003</v>
      </c>
      <c r="AB7877">
        <v>28</v>
      </c>
      <c r="AC7877">
        <v>-19.564399999999999</v>
      </c>
      <c r="AD7877">
        <v>1.56289899999999</v>
      </c>
      <c r="AE7877">
        <v>383.78262799999999</v>
      </c>
      <c r="AF7877">
        <v>-13.257806122627199</v>
      </c>
      <c r="AG7877">
        <v>1.56289899999999</v>
      </c>
      <c r="AH7877">
        <v>384.04585233198702</v>
      </c>
      <c r="AI7877">
        <v>89.766971282189402</v>
      </c>
      <c r="AJ7877">
        <v>91.9771462062713</v>
      </c>
      <c r="AK7877">
        <v>384.27780155750798</v>
      </c>
      <c r="AL7877">
        <v>77.813311538747996</v>
      </c>
      <c r="AM7877">
        <v>93.644742970061003</v>
      </c>
      <c r="AN7877">
        <v>0.99999996426423998</v>
      </c>
    </row>
    <row r="7878" spans="1:40" x14ac:dyDescent="0.25">
      <c r="A7878" t="str">
        <f>"20190304154947736"</f>
        <v>20190304154947736</v>
      </c>
      <c r="B7878" t="str">
        <f>"1551685787725094"</f>
        <v>1551685787725094</v>
      </c>
      <c r="C7878" t="s">
        <v>40</v>
      </c>
      <c r="D7878">
        <v>4.7237439999999999</v>
      </c>
      <c r="E7878">
        <v>0.52935209999999999</v>
      </c>
      <c r="F7878" t="s">
        <v>51</v>
      </c>
      <c r="G7878">
        <v>-195.5155</v>
      </c>
      <c r="H7878">
        <v>0.70177080000000003</v>
      </c>
      <c r="I7878">
        <v>391.87</v>
      </c>
      <c r="J7878">
        <v>-187.39259999999999</v>
      </c>
      <c r="K7878">
        <v>1.1108549999999999</v>
      </c>
      <c r="L7878">
        <v>8.3554379999999995</v>
      </c>
      <c r="M7878">
        <v>-1.6589739999999999E-2</v>
      </c>
      <c r="N7878">
        <v>-1.1115689999999999E-2</v>
      </c>
      <c r="O7878">
        <v>0.99980060000000004</v>
      </c>
      <c r="P7878">
        <v>-7.8372670000000005E-2</v>
      </c>
      <c r="Q7878">
        <v>0.2007977</v>
      </c>
      <c r="R7878">
        <v>0.97649269999999999</v>
      </c>
      <c r="S7878">
        <v>-6.4956669999999994E-2</v>
      </c>
      <c r="T7878">
        <v>-3.2697920000000001E-3</v>
      </c>
      <c r="U7878">
        <v>3.067291</v>
      </c>
      <c r="V7878">
        <v>-6.2231359999999999E-2</v>
      </c>
      <c r="W7878">
        <v>0.2116323</v>
      </c>
      <c r="X7878">
        <v>0.97536610000000001</v>
      </c>
      <c r="Y7878">
        <v>-4.5811180000000003E-3</v>
      </c>
      <c r="Z7878">
        <v>1.0048120000000001E-2</v>
      </c>
      <c r="AA7878">
        <v>0.99993900000000002</v>
      </c>
      <c r="AB7878">
        <v>28</v>
      </c>
      <c r="AC7878">
        <v>-8.1229000000000102</v>
      </c>
      <c r="AD7878">
        <v>-0.40908419999999901</v>
      </c>
      <c r="AE7878">
        <v>383.51456200000001</v>
      </c>
      <c r="AF7878">
        <v>-1.7589800798486099</v>
      </c>
      <c r="AG7878">
        <v>-0.40908419999999901</v>
      </c>
      <c r="AH7878">
        <v>383.596105376926</v>
      </c>
      <c r="AI7878">
        <v>90.061102139708396</v>
      </c>
      <c r="AJ7878">
        <v>90.262727976231801</v>
      </c>
      <c r="AK7878">
        <v>383.60035638819397</v>
      </c>
      <c r="AL7878">
        <v>77.781973645770705</v>
      </c>
      <c r="AM7878">
        <v>93.650698698581195</v>
      </c>
      <c r="AN7878">
        <v>1.0000000007999701</v>
      </c>
    </row>
    <row r="7879" spans="1:40" x14ac:dyDescent="0.25">
      <c r="A7879" t="str">
        <f>"20190304154947759"</f>
        <v>20190304154947759</v>
      </c>
      <c r="B7879" t="str">
        <f>"1551685787755350"</f>
        <v>1551685787755350</v>
      </c>
      <c r="C7879" t="s">
        <v>40</v>
      </c>
      <c r="D7879">
        <v>4.5209349999999997</v>
      </c>
      <c r="E7879">
        <v>0.53384509999999996</v>
      </c>
      <c r="F7879" t="s">
        <v>54</v>
      </c>
      <c r="G7879">
        <v>-187.4984</v>
      </c>
      <c r="H7879" s="1">
        <v>5.8658910000000004E-6</v>
      </c>
      <c r="I7879">
        <v>203.9529</v>
      </c>
      <c r="J7879">
        <v>-187.39750000000001</v>
      </c>
      <c r="K7879">
        <v>1.1108199999999999</v>
      </c>
      <c r="L7879">
        <v>8.6362609999999993</v>
      </c>
      <c r="M7879">
        <v>-1.6724909999999999E-2</v>
      </c>
      <c r="N7879">
        <v>-1.1116529999999999E-2</v>
      </c>
      <c r="O7879">
        <v>0.99979839999999998</v>
      </c>
      <c r="P7879">
        <v>-7.7458769999999996E-2</v>
      </c>
      <c r="Q7879">
        <v>0.20044629999999999</v>
      </c>
      <c r="R7879">
        <v>0.9766378</v>
      </c>
      <c r="S7879">
        <v>-1.66320799999999E-3</v>
      </c>
      <c r="T7879">
        <v>-1.746762E-2</v>
      </c>
      <c r="U7879">
        <v>3.0756839999999999</v>
      </c>
      <c r="V7879">
        <v>-6.116721E-2</v>
      </c>
      <c r="W7879">
        <v>0.21128830000000001</v>
      </c>
      <c r="X7879">
        <v>0.97550800000000004</v>
      </c>
      <c r="Y7879">
        <v>1.6183759999999998E-2</v>
      </c>
      <c r="Z7879">
        <v>5.4390439999999996E-3</v>
      </c>
      <c r="AA7879">
        <v>0.99985429999999997</v>
      </c>
      <c r="AB7879">
        <v>28</v>
      </c>
      <c r="AC7879">
        <v>-0.10089999999999499</v>
      </c>
      <c r="AD7879">
        <v>-1.1108141341089901</v>
      </c>
      <c r="AE7879">
        <v>195.31663899999899</v>
      </c>
      <c r="AF7879">
        <v>3.1658665554403198</v>
      </c>
      <c r="AG7879">
        <v>-1.1108141341089901</v>
      </c>
      <c r="AH7879">
        <v>195.284687683557</v>
      </c>
      <c r="AI7879">
        <v>90.325862281247296</v>
      </c>
      <c r="AJ7879">
        <v>89.071228235592201</v>
      </c>
      <c r="AK7879">
        <v>195.31350660605099</v>
      </c>
      <c r="AL7879">
        <v>77.802139595081997</v>
      </c>
      <c r="AM7879">
        <v>93.587916029136494</v>
      </c>
      <c r="AN7879">
        <v>1.0000000156800299</v>
      </c>
    </row>
    <row r="7880" spans="1:40" x14ac:dyDescent="0.25">
      <c r="A7880" t="str">
        <f>"20190304154947784"</f>
        <v>20190304154947784</v>
      </c>
      <c r="B7880" t="str">
        <f>"1551685787774870"</f>
        <v>1551685787774870</v>
      </c>
      <c r="C7880" t="s">
        <v>40</v>
      </c>
      <c r="D7880">
        <v>4.5606799999999996</v>
      </c>
      <c r="E7880">
        <v>0.53674040000000001</v>
      </c>
      <c r="F7880" t="s">
        <v>51</v>
      </c>
      <c r="G7880">
        <v>-182.91820000000001</v>
      </c>
      <c r="H7880">
        <v>0.40189170000000002</v>
      </c>
      <c r="I7880">
        <v>391.87</v>
      </c>
      <c r="J7880">
        <v>-187.40289999999999</v>
      </c>
      <c r="K7880">
        <v>1.1107860000000001</v>
      </c>
      <c r="L7880">
        <v>8.9521479999999993</v>
      </c>
      <c r="M7880">
        <v>-1.683902E-2</v>
      </c>
      <c r="N7880">
        <v>-1.111736E-2</v>
      </c>
      <c r="O7880">
        <v>0.99979640000000003</v>
      </c>
      <c r="P7880">
        <v>-7.6541189999999995E-2</v>
      </c>
      <c r="Q7880">
        <v>0.20048460000000001</v>
      </c>
      <c r="R7880">
        <v>0.97670230000000002</v>
      </c>
      <c r="S7880">
        <v>3.5949710000000003E-2</v>
      </c>
      <c r="T7880">
        <v>-5.6897400000000004E-3</v>
      </c>
      <c r="U7880">
        <v>3.0757750000000001</v>
      </c>
      <c r="V7880">
        <v>-6.0122780000000001E-2</v>
      </c>
      <c r="W7880">
        <v>0.21133170000000001</v>
      </c>
      <c r="X7880">
        <v>0.97556350000000003</v>
      </c>
      <c r="Y7880">
        <v>2.8521919999999999E-2</v>
      </c>
      <c r="Z7880">
        <v>9.2695329999999999E-3</v>
      </c>
      <c r="AA7880">
        <v>0.99955020000000006</v>
      </c>
      <c r="AB7880">
        <v>28</v>
      </c>
      <c r="AC7880">
        <v>4.4846999999999699</v>
      </c>
      <c r="AD7880">
        <v>-0.70889429999999998</v>
      </c>
      <c r="AE7880">
        <v>382.91785199999998</v>
      </c>
      <c r="AF7880">
        <v>10.9323864970867</v>
      </c>
      <c r="AG7880">
        <v>-0.70889429999999998</v>
      </c>
      <c r="AH7880">
        <v>382.78671839912499</v>
      </c>
      <c r="AI7880">
        <v>90.106064417470293</v>
      </c>
      <c r="AJ7880">
        <v>88.364077559500103</v>
      </c>
      <c r="AK7880">
        <v>382.94345716883799</v>
      </c>
      <c r="AL7880">
        <v>77.799595183953599</v>
      </c>
      <c r="AM7880">
        <v>93.526608205178803</v>
      </c>
      <c r="AN7880">
        <v>0.99999998931603395</v>
      </c>
    </row>
    <row r="7881" spans="1:40" x14ac:dyDescent="0.25">
      <c r="A7881" t="str">
        <f>"20190304154947806"</f>
        <v>20190304154947806</v>
      </c>
      <c r="B7881" t="str">
        <f>"1551685787795366"</f>
        <v>1551685787795366</v>
      </c>
      <c r="C7881" t="s">
        <v>40</v>
      </c>
      <c r="D7881">
        <v>4.5771420000000003</v>
      </c>
      <c r="E7881">
        <v>0.53876380000000001</v>
      </c>
      <c r="F7881" t="s">
        <v>48</v>
      </c>
      <c r="G7881">
        <v>-180.04429999999999</v>
      </c>
      <c r="H7881">
        <v>0.95987699999999998</v>
      </c>
      <c r="I7881">
        <v>380.34070000000003</v>
      </c>
      <c r="J7881">
        <v>-187.4076</v>
      </c>
      <c r="K7881">
        <v>1.110765</v>
      </c>
      <c r="L7881">
        <v>9.2274170000000009</v>
      </c>
      <c r="M7881">
        <v>-1.6913310000000001E-2</v>
      </c>
      <c r="N7881">
        <v>-1.1117989999999999E-2</v>
      </c>
      <c r="O7881">
        <v>0.99979510000000005</v>
      </c>
      <c r="P7881">
        <v>-7.524161E-2</v>
      </c>
      <c r="Q7881">
        <v>0.20135729999999999</v>
      </c>
      <c r="R7881">
        <v>0.97662380000000004</v>
      </c>
      <c r="S7881">
        <v>6.0958859999999997E-2</v>
      </c>
      <c r="T7881">
        <v>-1.2490750000000001E-3</v>
      </c>
      <c r="U7881">
        <v>3.0765989999999999</v>
      </c>
      <c r="V7881">
        <v>-5.8742280000000001E-2</v>
      </c>
      <c r="W7881">
        <v>0.21220729999999999</v>
      </c>
      <c r="X7881">
        <v>0.97545749999999998</v>
      </c>
      <c r="Y7881">
        <v>3.6714539999999997E-2</v>
      </c>
      <c r="Z7881">
        <v>1.071415E-2</v>
      </c>
      <c r="AA7881">
        <v>0.99926839999999995</v>
      </c>
      <c r="AB7881">
        <v>28</v>
      </c>
      <c r="AC7881">
        <v>7.3632999999999997</v>
      </c>
      <c r="AD7881">
        <v>-0.150887999999999</v>
      </c>
      <c r="AE7881">
        <v>371.11328300000002</v>
      </c>
      <c r="AF7881">
        <v>13.639386614885099</v>
      </c>
      <c r="AG7881">
        <v>-0.150887999999999</v>
      </c>
      <c r="AH7881">
        <v>370.935585519011</v>
      </c>
      <c r="AI7881">
        <v>90.023290854151398</v>
      </c>
      <c r="AJ7881">
        <v>87.894169757550799</v>
      </c>
      <c r="AK7881">
        <v>371.186293171974</v>
      </c>
      <c r="AL7881">
        <v>77.748262443704505</v>
      </c>
      <c r="AM7881">
        <v>93.446203475799393</v>
      </c>
      <c r="AN7881">
        <v>0.99999996396956803</v>
      </c>
    </row>
    <row r="7882" spans="1:40" x14ac:dyDescent="0.25">
      <c r="A7882" t="str">
        <f>"20190304154947828"</f>
        <v>20190304154947828</v>
      </c>
      <c r="B7882" t="str">
        <f>"1551685787824647"</f>
        <v>1551685787824647</v>
      </c>
      <c r="C7882" t="s">
        <v>40</v>
      </c>
      <c r="D7882">
        <v>4.5466899999999999</v>
      </c>
      <c r="E7882">
        <v>0.53965099999999999</v>
      </c>
      <c r="F7882" t="s">
        <v>51</v>
      </c>
      <c r="G7882">
        <v>-177.334</v>
      </c>
      <c r="H7882">
        <v>2.0593759999999999</v>
      </c>
      <c r="I7882">
        <v>391.00349999999997</v>
      </c>
      <c r="J7882">
        <v>-187.4126</v>
      </c>
      <c r="K7882">
        <v>1.1107499999999999</v>
      </c>
      <c r="L7882">
        <v>9.5115660000000002</v>
      </c>
      <c r="M7882">
        <v>-1.6972299999999999E-2</v>
      </c>
      <c r="N7882">
        <v>-1.111875E-2</v>
      </c>
      <c r="O7882">
        <v>0.99979410000000002</v>
      </c>
      <c r="P7882">
        <v>-7.4210899999999996E-2</v>
      </c>
      <c r="Q7882">
        <v>0.20134840000000001</v>
      </c>
      <c r="R7882">
        <v>0.97670440000000003</v>
      </c>
      <c r="S7882">
        <v>8.1176760000000001E-2</v>
      </c>
      <c r="T7882">
        <v>7.6441759999999999E-3</v>
      </c>
      <c r="U7882">
        <v>3.0764770000000001</v>
      </c>
      <c r="V7882">
        <v>-5.7643180000000002E-2</v>
      </c>
      <c r="W7882">
        <v>0.21220269999999999</v>
      </c>
      <c r="X7882">
        <v>0.97552410000000001</v>
      </c>
      <c r="Y7882">
        <v>4.3336220000000002E-2</v>
      </c>
      <c r="Z7882">
        <v>1.360362E-2</v>
      </c>
      <c r="AA7882">
        <v>0.99896790000000002</v>
      </c>
      <c r="AB7882">
        <v>28</v>
      </c>
      <c r="AC7882">
        <v>10.0785999999999</v>
      </c>
      <c r="AD7882">
        <v>0.94862599999999997</v>
      </c>
      <c r="AE7882">
        <v>381.49193400000001</v>
      </c>
      <c r="AF7882">
        <v>16.552241874702599</v>
      </c>
      <c r="AG7882">
        <v>0.94862599999999997</v>
      </c>
      <c r="AH7882">
        <v>381.26355373684299</v>
      </c>
      <c r="AI7882">
        <v>89.857576196993193</v>
      </c>
      <c r="AJ7882">
        <v>87.514112125271694</v>
      </c>
      <c r="AK7882">
        <v>381.623864571404</v>
      </c>
      <c r="AL7882">
        <v>77.748532543812999</v>
      </c>
      <c r="AM7882">
        <v>93.381643867288702</v>
      </c>
      <c r="AN7882">
        <v>0.99999999588430599</v>
      </c>
    </row>
    <row r="7883" spans="1:40" x14ac:dyDescent="0.25">
      <c r="A7883" t="str">
        <f>"20190304154947849"</f>
        <v>20190304154947849</v>
      </c>
      <c r="B7883" t="str">
        <f>"1551685787845143"</f>
        <v>1551685787845143</v>
      </c>
      <c r="C7883" t="s">
        <v>40</v>
      </c>
      <c r="D7883">
        <v>4.5153569999999998</v>
      </c>
      <c r="E7883">
        <v>0.54065940000000001</v>
      </c>
      <c r="F7883" t="s">
        <v>51</v>
      </c>
      <c r="G7883">
        <v>-176.07599999999999</v>
      </c>
      <c r="H7883">
        <v>2.4583550000000001</v>
      </c>
      <c r="I7883">
        <v>391.00349999999997</v>
      </c>
      <c r="J7883">
        <v>-187.4171</v>
      </c>
      <c r="K7883">
        <v>1.110741</v>
      </c>
      <c r="L7883">
        <v>9.7733760000000007</v>
      </c>
      <c r="M7883">
        <v>-1.7013999999999901E-2</v>
      </c>
      <c r="N7883">
        <v>-1.1119520000000001E-2</v>
      </c>
      <c r="O7883">
        <v>0.99979340000000005</v>
      </c>
      <c r="P7883">
        <v>-7.2799080000000002E-2</v>
      </c>
      <c r="Q7883">
        <v>0.20161100000000001</v>
      </c>
      <c r="R7883">
        <v>0.97675650000000003</v>
      </c>
      <c r="S7883">
        <v>9.1415410000000002E-2</v>
      </c>
      <c r="T7883">
        <v>1.086676E-2</v>
      </c>
      <c r="U7883">
        <v>3.076263</v>
      </c>
      <c r="V7883">
        <v>-5.618244E-2</v>
      </c>
      <c r="W7883">
        <v>0.2124682</v>
      </c>
      <c r="X7883">
        <v>0.97555150000000002</v>
      </c>
      <c r="Y7883">
        <v>4.6701350000000003E-2</v>
      </c>
      <c r="Z7883">
        <v>1.4651000000000001E-2</v>
      </c>
      <c r="AA7883">
        <v>0.99880150000000001</v>
      </c>
      <c r="AB7883">
        <v>28</v>
      </c>
      <c r="AC7883">
        <v>11.341100000000001</v>
      </c>
      <c r="AD7883">
        <v>1.3476139999999901</v>
      </c>
      <c r="AE7883">
        <v>381.23012399999999</v>
      </c>
      <c r="AF7883">
        <v>17.825886121179501</v>
      </c>
      <c r="AG7883">
        <v>1.3476139999999901</v>
      </c>
      <c r="AH7883">
        <v>380.97720892369802</v>
      </c>
      <c r="AI7883">
        <v>89.797552478760693</v>
      </c>
      <c r="AJ7883">
        <v>87.321089948583705</v>
      </c>
      <c r="AK7883">
        <v>381.39639746435603</v>
      </c>
      <c r="AL7883">
        <v>77.7329651632392</v>
      </c>
      <c r="AM7883">
        <v>93.296048406140898</v>
      </c>
      <c r="AN7883">
        <v>0.99999996586392104</v>
      </c>
    </row>
    <row r="7884" spans="1:40" x14ac:dyDescent="0.25">
      <c r="A7884" t="str">
        <f>"20190304154947871"</f>
        <v>20190304154947871</v>
      </c>
      <c r="B7884" t="str">
        <f>"1551685787864663"</f>
        <v>1551685787864663</v>
      </c>
      <c r="C7884" t="s">
        <v>40</v>
      </c>
      <c r="D7884">
        <v>4.5001100000000003</v>
      </c>
      <c r="E7884">
        <v>0.54134389999999999</v>
      </c>
      <c r="F7884" t="s">
        <v>51</v>
      </c>
      <c r="G7884">
        <v>-174.4504</v>
      </c>
      <c r="H7884">
        <v>1.572948</v>
      </c>
      <c r="I7884">
        <v>391.00349999999997</v>
      </c>
      <c r="J7884">
        <v>-187.42179999999999</v>
      </c>
      <c r="K7884">
        <v>1.11073</v>
      </c>
      <c r="L7884">
        <v>10.051909999999999</v>
      </c>
      <c r="M7884">
        <v>-1.70475E-2</v>
      </c>
      <c r="N7884">
        <v>-1.1120420000000001E-2</v>
      </c>
      <c r="O7884">
        <v>0.99979280000000004</v>
      </c>
      <c r="P7884">
        <v>-7.1554469999999995E-2</v>
      </c>
      <c r="Q7884">
        <v>0.20148340000000001</v>
      </c>
      <c r="R7884">
        <v>0.97687480000000004</v>
      </c>
      <c r="S7884">
        <v>0.1047058</v>
      </c>
      <c r="T7884">
        <v>3.732324E-3</v>
      </c>
      <c r="U7884">
        <v>3.07843</v>
      </c>
      <c r="V7884">
        <v>-5.4896750000000001E-2</v>
      </c>
      <c r="W7884">
        <v>0.21234430000000001</v>
      </c>
      <c r="X7884">
        <v>0.97565170000000001</v>
      </c>
      <c r="Y7884">
        <v>5.102143E-2</v>
      </c>
      <c r="Z7884">
        <v>1.233457E-2</v>
      </c>
      <c r="AA7884">
        <v>0.99862139999999999</v>
      </c>
      <c r="AB7884">
        <v>28</v>
      </c>
      <c r="AC7884">
        <v>12.9713999999999</v>
      </c>
      <c r="AD7884">
        <v>0.46221800000000002</v>
      </c>
      <c r="AE7884">
        <v>380.95159000000001</v>
      </c>
      <c r="AF7884">
        <v>19.4641602201174</v>
      </c>
      <c r="AG7884">
        <v>0.46221800000000002</v>
      </c>
      <c r="AH7884">
        <v>380.67452018541599</v>
      </c>
      <c r="AI7884">
        <v>89.9305218083162</v>
      </c>
      <c r="AJ7884">
        <v>87.072974834187903</v>
      </c>
      <c r="AK7884">
        <v>381.17208383740598</v>
      </c>
      <c r="AL7884">
        <v>77.740230272397994</v>
      </c>
      <c r="AM7884">
        <v>93.220451556240405</v>
      </c>
      <c r="AN7884">
        <v>0.99999999730797096</v>
      </c>
    </row>
    <row r="7885" spans="1:40" x14ac:dyDescent="0.25">
      <c r="A7885" t="str">
        <f>"20190304154947893"</f>
        <v>20190304154947893</v>
      </c>
      <c r="B7885" t="str">
        <f>"1551685787885158"</f>
        <v>1551685787885158</v>
      </c>
      <c r="C7885" t="s">
        <v>40</v>
      </c>
      <c r="D7885">
        <v>4.4872249999999996</v>
      </c>
      <c r="E7885">
        <v>0.54168839999999996</v>
      </c>
      <c r="F7885" t="s">
        <v>42</v>
      </c>
      <c r="G7885">
        <v>0</v>
      </c>
      <c r="H7885">
        <v>0</v>
      </c>
      <c r="I7885">
        <v>0</v>
      </c>
      <c r="J7885">
        <v>-187.42679999999999</v>
      </c>
      <c r="K7885">
        <v>1.110719</v>
      </c>
      <c r="L7885">
        <v>10.342409999999999</v>
      </c>
      <c r="M7885">
        <v>-1.7070040000000002E-2</v>
      </c>
      <c r="N7885">
        <v>-1.112148E-2</v>
      </c>
      <c r="O7885">
        <v>0.99979249999999997</v>
      </c>
      <c r="P7885">
        <v>-7.0579210000000003E-2</v>
      </c>
      <c r="Q7885">
        <v>0.20068649999999999</v>
      </c>
      <c r="R7885">
        <v>0.97710980000000003</v>
      </c>
      <c r="S7885">
        <v>0.11381529999999999</v>
      </c>
      <c r="T7885">
        <v>6.0042139999999999E-3</v>
      </c>
      <c r="U7885">
        <v>3.078125</v>
      </c>
      <c r="V7885">
        <v>-5.3890599999999997E-2</v>
      </c>
      <c r="W7885">
        <v>0.21155260000000001</v>
      </c>
      <c r="X7885">
        <v>0.97587979999999996</v>
      </c>
      <c r="Y7885">
        <v>5.3998419999999998E-2</v>
      </c>
      <c r="Z7885">
        <v>1.307294E-2</v>
      </c>
      <c r="AA7885">
        <v>0.99845550000000005</v>
      </c>
      <c r="AB7885">
        <v>28</v>
      </c>
      <c r="AC7885">
        <v>0.11381529999999999</v>
      </c>
      <c r="AD7885">
        <v>6.0042139999999999E-3</v>
      </c>
      <c r="AE7885">
        <v>3.078125</v>
      </c>
      <c r="AF7885">
        <v>0.16634504618477799</v>
      </c>
      <c r="AG7885">
        <v>6.0042139999999999E-3</v>
      </c>
      <c r="AH7885">
        <v>3.0757218117034402</v>
      </c>
      <c r="AI7885">
        <v>89.888314455866393</v>
      </c>
      <c r="AJ7885">
        <v>86.904273743108902</v>
      </c>
      <c r="AK7885">
        <v>3.08022261987088</v>
      </c>
      <c r="AL7885">
        <v>77.786646415963801</v>
      </c>
      <c r="AM7885">
        <v>93.160810358544296</v>
      </c>
      <c r="AN7885">
        <v>1.00000004169157</v>
      </c>
    </row>
    <row r="7886" spans="1:40" x14ac:dyDescent="0.25">
      <c r="A7886" t="str">
        <f>"20190304154947916"</f>
        <v>20190304154947916</v>
      </c>
      <c r="B7886" t="str">
        <f>"1551685787904682"</f>
        <v>1551685787904682</v>
      </c>
      <c r="C7886" t="s">
        <v>40</v>
      </c>
      <c r="D7886">
        <v>4.7877109999999998</v>
      </c>
      <c r="E7886">
        <v>0.54122720000000002</v>
      </c>
      <c r="F7886" t="s">
        <v>42</v>
      </c>
      <c r="G7886">
        <v>0</v>
      </c>
      <c r="H7886">
        <v>0</v>
      </c>
      <c r="I7886">
        <v>0</v>
      </c>
      <c r="J7886">
        <v>-187.43180000000001</v>
      </c>
      <c r="K7886">
        <v>1.110711</v>
      </c>
      <c r="L7886">
        <v>10.629300000000001</v>
      </c>
      <c r="M7886">
        <v>-1.7081220000000001E-2</v>
      </c>
      <c r="N7886">
        <v>-1.112253E-2</v>
      </c>
      <c r="O7886">
        <v>0.99979220000000002</v>
      </c>
      <c r="P7886">
        <v>-6.8613199999999999E-2</v>
      </c>
      <c r="Q7886">
        <v>0.2014707</v>
      </c>
      <c r="R7886">
        <v>0.97708850000000003</v>
      </c>
      <c r="S7886">
        <v>0.120224</v>
      </c>
      <c r="T7886">
        <v>6.8347449999999997E-3</v>
      </c>
      <c r="U7886">
        <v>3.0775450000000002</v>
      </c>
      <c r="V7886">
        <v>-5.1909810000000001E-2</v>
      </c>
      <c r="W7886">
        <v>0.21233830000000001</v>
      </c>
      <c r="X7886">
        <v>0.97581649999999998</v>
      </c>
      <c r="Y7886">
        <v>5.609244E-2</v>
      </c>
      <c r="Z7886">
        <v>1.3343829999999999E-2</v>
      </c>
      <c r="AA7886">
        <v>0.99833640000000001</v>
      </c>
      <c r="AB7886">
        <v>28</v>
      </c>
      <c r="AC7886">
        <v>0.120224</v>
      </c>
      <c r="AD7886">
        <v>6.8347449999999997E-3</v>
      </c>
      <c r="AE7886">
        <v>3.0775450000000002</v>
      </c>
      <c r="AF7886">
        <v>0.17277708410721401</v>
      </c>
      <c r="AG7886">
        <v>6.8347449999999997E-3</v>
      </c>
      <c r="AH7886">
        <v>3.0750271038838202</v>
      </c>
      <c r="AI7886">
        <v>89.872851619273106</v>
      </c>
      <c r="AJ7886">
        <v>86.784093405118895</v>
      </c>
      <c r="AK7886">
        <v>3.0798847907270601</v>
      </c>
      <c r="AL7886">
        <v>77.740582250619696</v>
      </c>
      <c r="AM7886">
        <v>93.045052284064596</v>
      </c>
      <c r="AN7886">
        <v>1.0000000118466801</v>
      </c>
    </row>
    <row r="7887" spans="1:40" x14ac:dyDescent="0.25">
      <c r="A7887" t="str">
        <f>"20190304154947938"</f>
        <v>20190304154947938</v>
      </c>
      <c r="B7887" t="str">
        <f>"1551685787934953"</f>
        <v>1551685787934953</v>
      </c>
      <c r="C7887" t="s">
        <v>40</v>
      </c>
      <c r="D7887">
        <v>4.5118869999999998</v>
      </c>
      <c r="E7887">
        <v>0.54063509999999904</v>
      </c>
      <c r="F7887" t="s">
        <v>42</v>
      </c>
      <c r="G7887">
        <v>0</v>
      </c>
      <c r="H7887">
        <v>0</v>
      </c>
      <c r="I7887">
        <v>0</v>
      </c>
      <c r="J7887">
        <v>-187.4365</v>
      </c>
      <c r="K7887">
        <v>1.110706</v>
      </c>
      <c r="L7887">
        <v>10.90753</v>
      </c>
      <c r="M7887">
        <v>-1.708494E-2</v>
      </c>
      <c r="N7887">
        <v>-1.1123600000000001E-2</v>
      </c>
      <c r="O7887">
        <v>0.99979220000000002</v>
      </c>
      <c r="P7887">
        <v>-6.6578139999999994E-2</v>
      </c>
      <c r="Q7887">
        <v>0.20145299999999999</v>
      </c>
      <c r="R7887">
        <v>0.97723289999999996</v>
      </c>
      <c r="S7887">
        <v>0.1232605</v>
      </c>
      <c r="T7887">
        <v>1.6212219999999999E-2</v>
      </c>
      <c r="U7887">
        <v>3.075653</v>
      </c>
      <c r="V7887">
        <v>-4.9865769999999997E-2</v>
      </c>
      <c r="W7887">
        <v>0.2123234</v>
      </c>
      <c r="X7887">
        <v>0.97592630000000002</v>
      </c>
      <c r="Y7887">
        <v>5.7103269999999998E-2</v>
      </c>
      <c r="Z7887">
        <v>1.6390439999999999E-2</v>
      </c>
      <c r="AA7887">
        <v>0.9982337</v>
      </c>
      <c r="AB7887">
        <v>28</v>
      </c>
      <c r="AC7887">
        <v>0.1232605</v>
      </c>
      <c r="AD7887">
        <v>1.6212219999999999E-2</v>
      </c>
      <c r="AE7887">
        <v>3.075653</v>
      </c>
      <c r="AF7887">
        <v>0.17578822675934599</v>
      </c>
      <c r="AG7887">
        <v>1.6212219999999999E-2</v>
      </c>
      <c r="AH7887">
        <v>3.07301275238488</v>
      </c>
      <c r="AI7887">
        <v>89.698222167277606</v>
      </c>
      <c r="AJ7887">
        <v>86.726027598830399</v>
      </c>
      <c r="AK7887">
        <v>3.0780792246244499</v>
      </c>
      <c r="AL7887">
        <v>77.741455508237394</v>
      </c>
      <c r="AM7887">
        <v>92.925031970502999</v>
      </c>
      <c r="AN7887">
        <v>0.99999998211847096</v>
      </c>
    </row>
    <row r="7888" spans="1:40" x14ac:dyDescent="0.25">
      <c r="A7888" t="str">
        <f>"20190304154947961"</f>
        <v>20190304154947961</v>
      </c>
      <c r="B7888" t="str">
        <f>"1551685787955449"</f>
        <v>1551685787955449</v>
      </c>
      <c r="C7888" t="s">
        <v>40</v>
      </c>
      <c r="D7888">
        <v>4.4948030000000001</v>
      </c>
      <c r="E7888">
        <v>0.54032219999999997</v>
      </c>
      <c r="F7888" t="s">
        <v>42</v>
      </c>
      <c r="G7888">
        <v>0</v>
      </c>
      <c r="H7888">
        <v>0</v>
      </c>
      <c r="I7888">
        <v>0</v>
      </c>
      <c r="J7888">
        <v>-187.44139999999999</v>
      </c>
      <c r="K7888">
        <v>1.1107020000000001</v>
      </c>
      <c r="L7888">
        <v>11.19162</v>
      </c>
      <c r="M7888">
        <v>-1.7084700000000001E-2</v>
      </c>
      <c r="N7888">
        <v>-1.112487E-2</v>
      </c>
      <c r="O7888">
        <v>0.99979220000000002</v>
      </c>
      <c r="P7888">
        <v>-6.5753599999999995E-2</v>
      </c>
      <c r="Q7888">
        <v>0.2021183</v>
      </c>
      <c r="R7888">
        <v>0.97715129999999994</v>
      </c>
      <c r="S7888">
        <v>0.12553410000000001</v>
      </c>
      <c r="T7888">
        <v>1.225007E-2</v>
      </c>
      <c r="U7888">
        <v>3.0759280000000002</v>
      </c>
      <c r="V7888">
        <v>-4.9040859999999999E-2</v>
      </c>
      <c r="W7888">
        <v>0.21298919999999999</v>
      </c>
      <c r="X7888">
        <v>0.975823</v>
      </c>
      <c r="Y7888">
        <v>5.7836459999999999E-2</v>
      </c>
      <c r="Z7888">
        <v>1.510508E-2</v>
      </c>
      <c r="AA7888">
        <v>0.99821179999999998</v>
      </c>
      <c r="AB7888">
        <v>28</v>
      </c>
      <c r="AC7888">
        <v>0.12553410000000001</v>
      </c>
      <c r="AD7888">
        <v>1.225007E-2</v>
      </c>
      <c r="AE7888">
        <v>3.0759280000000002</v>
      </c>
      <c r="AF7888">
        <v>0.178067512826212</v>
      </c>
      <c r="AG7888">
        <v>1.225007E-2</v>
      </c>
      <c r="AH7888">
        <v>3.0732854912977201</v>
      </c>
      <c r="AI7888">
        <v>89.772003467608997</v>
      </c>
      <c r="AJ7888">
        <v>86.6839647713212</v>
      </c>
      <c r="AK7888">
        <v>3.0784641973490898</v>
      </c>
      <c r="AL7888">
        <v>77.702414808140404</v>
      </c>
      <c r="AM7888">
        <v>92.877030283649304</v>
      </c>
      <c r="AN7888">
        <v>0.99999996629758903</v>
      </c>
    </row>
    <row r="7889" spans="1:40" x14ac:dyDescent="0.25">
      <c r="A7889" t="str">
        <f>"20190304154947984"</f>
        <v>20190304154947984</v>
      </c>
      <c r="B7889" t="str">
        <f>"1551685787974969"</f>
        <v>1551685787974969</v>
      </c>
      <c r="C7889" t="s">
        <v>40</v>
      </c>
      <c r="D7889">
        <v>4.4674319999999996</v>
      </c>
      <c r="E7889">
        <v>0.54079790000000005</v>
      </c>
      <c r="F7889" t="s">
        <v>42</v>
      </c>
      <c r="G7889">
        <v>0</v>
      </c>
      <c r="H7889">
        <v>0</v>
      </c>
      <c r="I7889">
        <v>0</v>
      </c>
      <c r="J7889">
        <v>-187.44649999999999</v>
      </c>
      <c r="K7889">
        <v>1.1107009999999999</v>
      </c>
      <c r="L7889">
        <v>11.48929</v>
      </c>
      <c r="M7889">
        <v>-1.7081869999999999E-2</v>
      </c>
      <c r="N7889">
        <v>-1.1126199999999999E-2</v>
      </c>
      <c r="O7889">
        <v>0.99979220000000002</v>
      </c>
      <c r="P7889">
        <v>-6.4669329999999997E-2</v>
      </c>
      <c r="Q7889">
        <v>0.20292579999999999</v>
      </c>
      <c r="R7889">
        <v>0.97705629999999999</v>
      </c>
      <c r="S7889">
        <v>0.12609860000000001</v>
      </c>
      <c r="T7889">
        <v>1.1808280000000001E-2</v>
      </c>
      <c r="U7889">
        <v>3.0762019999999999</v>
      </c>
      <c r="V7889">
        <v>-4.7959620000000001E-2</v>
      </c>
      <c r="W7889">
        <v>0.2137974</v>
      </c>
      <c r="X7889">
        <v>0.97570000000000001</v>
      </c>
      <c r="Y7889">
        <v>5.8012950000000001E-2</v>
      </c>
      <c r="Z7889">
        <v>1.4962649999999999E-2</v>
      </c>
      <c r="AA7889">
        <v>0.99820370000000003</v>
      </c>
      <c r="AB7889">
        <v>28</v>
      </c>
      <c r="AC7889">
        <v>0.12609860000000001</v>
      </c>
      <c r="AD7889">
        <v>1.1808280000000001E-2</v>
      </c>
      <c r="AE7889">
        <v>3.0762019999999999</v>
      </c>
      <c r="AF7889">
        <v>0.17862810633417101</v>
      </c>
      <c r="AG7889">
        <v>1.1808280000000001E-2</v>
      </c>
      <c r="AH7889">
        <v>3.0735537634070198</v>
      </c>
      <c r="AI7889">
        <v>89.780247353442405</v>
      </c>
      <c r="AJ7889">
        <v>86.673838304398203</v>
      </c>
      <c r="AK7889">
        <v>3.0787627665025701</v>
      </c>
      <c r="AL7889">
        <v>77.655016671290497</v>
      </c>
      <c r="AM7889">
        <v>92.814055490003597</v>
      </c>
      <c r="AN7889">
        <v>0.99999997169865096</v>
      </c>
    </row>
    <row r="7890" spans="1:40" x14ac:dyDescent="0.25">
      <c r="A7890" t="str">
        <f>"20190304154948073"</f>
        <v>20190304154948073</v>
      </c>
      <c r="B7890" t="str">
        <f>"1551685788064761"</f>
        <v>1551685788064761</v>
      </c>
      <c r="C7890" t="s">
        <v>40</v>
      </c>
      <c r="D7890">
        <v>4.5731380000000001</v>
      </c>
      <c r="E7890">
        <v>0.55251149999999905</v>
      </c>
      <c r="F7890" t="s">
        <v>42</v>
      </c>
      <c r="G7890">
        <v>0</v>
      </c>
      <c r="H7890">
        <v>0</v>
      </c>
      <c r="I7890">
        <v>0</v>
      </c>
      <c r="J7890">
        <v>-187.4658</v>
      </c>
      <c r="K7890">
        <v>1.1106309999999999</v>
      </c>
      <c r="L7890">
        <v>12.63086</v>
      </c>
      <c r="M7890">
        <v>-1.68408E-2</v>
      </c>
      <c r="N7890">
        <v>-1.1131810000000001E-2</v>
      </c>
      <c r="O7890">
        <v>0.99979620000000002</v>
      </c>
      <c r="P7890">
        <v>-6.1305699999999998E-2</v>
      </c>
      <c r="Q7890">
        <v>0.20303579999999999</v>
      </c>
      <c r="R7890">
        <v>0.97725030000000002</v>
      </c>
      <c r="S7890">
        <v>0.13339229999999899</v>
      </c>
      <c r="T7890">
        <v>1.5797729999999999E-2</v>
      </c>
      <c r="U7890">
        <v>3.0759889999999999</v>
      </c>
      <c r="V7890">
        <v>-4.4787430000000003E-2</v>
      </c>
      <c r="W7890">
        <v>0.21392269999999999</v>
      </c>
      <c r="X7890">
        <v>0.97582329999999995</v>
      </c>
      <c r="Y7890">
        <v>6.0137099999999999E-2</v>
      </c>
      <c r="Z7890">
        <v>1.6263010000000001E-2</v>
      </c>
      <c r="AA7890">
        <v>0.99805770000000005</v>
      </c>
      <c r="AB7890">
        <v>29</v>
      </c>
      <c r="AC7890">
        <v>0.13339229999999899</v>
      </c>
      <c r="AD7890">
        <v>1.5797729999999999E-2</v>
      </c>
      <c r="AE7890">
        <v>3.0759889999999999</v>
      </c>
      <c r="AF7890">
        <v>0.18517383152938399</v>
      </c>
      <c r="AG7890">
        <v>1.5797729999999999E-2</v>
      </c>
      <c r="AH7890">
        <v>3.0732252389145298</v>
      </c>
      <c r="AI7890">
        <v>89.706010253248394</v>
      </c>
      <c r="AJ7890">
        <v>86.551874172148104</v>
      </c>
      <c r="AK7890">
        <v>3.0788394380444202</v>
      </c>
      <c r="AL7890">
        <v>77.647667511972202</v>
      </c>
      <c r="AM7890">
        <v>92.627864185800803</v>
      </c>
      <c r="AN7890">
        <v>0.99999997414209196</v>
      </c>
    </row>
    <row r="7891" spans="1:40" x14ac:dyDescent="0.25">
      <c r="A7891" t="str">
        <f>"20190304154948095"</f>
        <v>20190304154948095</v>
      </c>
      <c r="B7891" t="str">
        <f>"1551685788085275"</f>
        <v>1551685788085275</v>
      </c>
      <c r="C7891" t="s">
        <v>40</v>
      </c>
      <c r="D7891">
        <v>4.4597480000000003</v>
      </c>
      <c r="E7891">
        <v>0.53823909999999997</v>
      </c>
      <c r="F7891" t="s">
        <v>41</v>
      </c>
      <c r="G7891">
        <v>-187.39359999999999</v>
      </c>
      <c r="H7891">
        <v>1.0014909999999999</v>
      </c>
      <c r="I7891">
        <v>13.57314</v>
      </c>
      <c r="J7891">
        <v>-187.47030000000001</v>
      </c>
      <c r="K7891">
        <v>1.1105849999999999</v>
      </c>
      <c r="L7891">
        <v>12.912509999999999</v>
      </c>
      <c r="M7891">
        <v>-1.6662320000000001E-2</v>
      </c>
      <c r="N7891">
        <v>-1.113336E-2</v>
      </c>
      <c r="O7891">
        <v>0.9997992</v>
      </c>
      <c r="P7891">
        <v>-6.1481849999999998E-2</v>
      </c>
      <c r="Q7891">
        <v>0.20253479999999999</v>
      </c>
      <c r="R7891">
        <v>0.97734310000000002</v>
      </c>
      <c r="S7891">
        <v>0.24153140000000001</v>
      </c>
      <c r="T7891">
        <v>-0.36611310000000002</v>
      </c>
      <c r="U7891">
        <v>3.161041</v>
      </c>
      <c r="V7891">
        <v>-4.511395E-2</v>
      </c>
      <c r="W7891">
        <v>0.2134289</v>
      </c>
      <c r="X7891">
        <v>0.97591640000000002</v>
      </c>
      <c r="Y7891">
        <v>9.2316179999999998E-2</v>
      </c>
      <c r="Z7891">
        <v>-0.103543</v>
      </c>
      <c r="AA7891">
        <v>0.99033150000000003</v>
      </c>
      <c r="AB7891">
        <v>29</v>
      </c>
      <c r="AC7891">
        <v>7.6700000000016602E-2</v>
      </c>
      <c r="AD7891">
        <v>-0.109094</v>
      </c>
      <c r="AE7891">
        <v>0.66062999999999705</v>
      </c>
      <c r="AF7891">
        <v>8.5399783435474705E-2</v>
      </c>
      <c r="AG7891">
        <v>-0.109094</v>
      </c>
      <c r="AH7891">
        <v>0.64198608254502998</v>
      </c>
      <c r="AI7891">
        <v>99.561608036929997</v>
      </c>
      <c r="AJ7891">
        <v>82.422751361719094</v>
      </c>
      <c r="AK7891">
        <v>0.65676537212945396</v>
      </c>
      <c r="AL7891">
        <v>77.676629267617997</v>
      </c>
      <c r="AM7891">
        <v>92.6467431601057</v>
      </c>
      <c r="AN7891">
        <v>0.99999999181438604</v>
      </c>
    </row>
    <row r="7892" spans="1:40" x14ac:dyDescent="0.25">
      <c r="A7892" t="str">
        <f>"20190304154948153"</f>
        <v>20190304154948153</v>
      </c>
      <c r="B7892" t="str">
        <f>"1551685788144794"</f>
        <v>1551685788144794</v>
      </c>
      <c r="C7892" t="s">
        <v>40</v>
      </c>
      <c r="D7892">
        <v>4.3481239999999897</v>
      </c>
      <c r="E7892">
        <v>0.53377989999999997</v>
      </c>
      <c r="F7892" t="s">
        <v>41</v>
      </c>
      <c r="G7892">
        <v>-187.4325</v>
      </c>
      <c r="H7892">
        <v>1.030432</v>
      </c>
      <c r="I7892">
        <v>13.84226</v>
      </c>
      <c r="J7892">
        <v>-187.48179999999999</v>
      </c>
      <c r="K7892">
        <v>1.110473</v>
      </c>
      <c r="L7892">
        <v>13.65164</v>
      </c>
      <c r="M7892">
        <v>-1.59556E-2</v>
      </c>
      <c r="N7892">
        <v>-1.113746E-2</v>
      </c>
      <c r="O7892">
        <v>0.99981070000000005</v>
      </c>
      <c r="P7892">
        <v>-6.3504599999999994E-2</v>
      </c>
      <c r="Q7892">
        <v>0.20252110000000001</v>
      </c>
      <c r="R7892">
        <v>0.97721670000000005</v>
      </c>
      <c r="S7892">
        <v>0.1273041</v>
      </c>
      <c r="T7892">
        <v>-0.27013120000000002</v>
      </c>
      <c r="U7892">
        <v>3.1335449999999998</v>
      </c>
      <c r="V7892">
        <v>-4.7777439999999997E-2</v>
      </c>
      <c r="W7892">
        <v>0.21343029999999999</v>
      </c>
      <c r="X7892">
        <v>0.97578929999999997</v>
      </c>
      <c r="Y7892">
        <v>5.6387090000000001E-2</v>
      </c>
      <c r="Z7892">
        <v>-7.4662629999999994E-2</v>
      </c>
      <c r="AA7892">
        <v>0.99561339999999998</v>
      </c>
      <c r="AB7892">
        <v>29</v>
      </c>
      <c r="AC7892">
        <v>4.9299999999988103E-2</v>
      </c>
      <c r="AD7892">
        <v>-8.0041000000000001E-2</v>
      </c>
      <c r="AE7892">
        <v>0.19062000000000201</v>
      </c>
      <c r="AF7892">
        <v>4.4913025479037798E-2</v>
      </c>
      <c r="AG7892">
        <v>-8.0041000000000001E-2</v>
      </c>
      <c r="AH7892">
        <v>0.1628898375732</v>
      </c>
      <c r="AI7892">
        <v>115.347116052099</v>
      </c>
      <c r="AJ7892">
        <v>74.585063471465006</v>
      </c>
      <c r="AK7892">
        <v>0.18696748573830699</v>
      </c>
      <c r="AL7892">
        <v>77.676546855614902</v>
      </c>
      <c r="AM7892">
        <v>92.803126924640097</v>
      </c>
      <c r="AN7892">
        <v>0.99999996736276597</v>
      </c>
    </row>
    <row r="7893" spans="1:40" x14ac:dyDescent="0.25">
      <c r="A7893" t="str">
        <f>"20190304154948174"</f>
        <v>20190304154948174</v>
      </c>
      <c r="B7893" t="str">
        <f>"1551685788165290"</f>
        <v>1551685788165290</v>
      </c>
      <c r="C7893" t="s">
        <v>40</v>
      </c>
      <c r="D7893">
        <v>4.401338</v>
      </c>
      <c r="E7893">
        <v>0.52966859999999905</v>
      </c>
      <c r="F7893" t="s">
        <v>44</v>
      </c>
      <c r="G7893">
        <v>-186.89830000000001</v>
      </c>
      <c r="H7893" s="1">
        <v>-2.922088E-6</v>
      </c>
      <c r="I7893">
        <v>35.161740000000002</v>
      </c>
      <c r="J7893">
        <v>-187.48570000000001</v>
      </c>
      <c r="K7893">
        <v>1.11043</v>
      </c>
      <c r="L7893">
        <v>13.91888</v>
      </c>
      <c r="M7893">
        <v>-1.5611170000000001E-2</v>
      </c>
      <c r="N7893">
        <v>-1.113895E-2</v>
      </c>
      <c r="O7893">
        <v>0.99981609999999999</v>
      </c>
      <c r="P7893">
        <v>-6.4525869999999999E-2</v>
      </c>
      <c r="Q7893">
        <v>0.20180519999999999</v>
      </c>
      <c r="R7893">
        <v>0.97729779999999999</v>
      </c>
      <c r="S7893">
        <v>8.4320069999999997E-2</v>
      </c>
      <c r="T7893">
        <v>-0.16048780000000001</v>
      </c>
      <c r="U7893">
        <v>3.108673</v>
      </c>
      <c r="V7893">
        <v>-4.9117769999999998E-2</v>
      </c>
      <c r="W7893">
        <v>0.21272170000000001</v>
      </c>
      <c r="X7893">
        <v>0.97587749999999995</v>
      </c>
      <c r="Y7893">
        <v>4.2680200000000001E-2</v>
      </c>
      <c r="Z7893">
        <v>-4.03851E-2</v>
      </c>
      <c r="AA7893">
        <v>0.99827220000000005</v>
      </c>
      <c r="AB7893">
        <v>29</v>
      </c>
      <c r="AC7893">
        <v>0.58740000000000203</v>
      </c>
      <c r="AD7893">
        <v>-1.110432922088</v>
      </c>
      <c r="AE7893">
        <v>21.24286</v>
      </c>
      <c r="AF7893">
        <v>0.91647254121299204</v>
      </c>
      <c r="AG7893">
        <v>-1.110432922088</v>
      </c>
      <c r="AH7893">
        <v>21.173288806631099</v>
      </c>
      <c r="AI7893">
        <v>92.999322957980098</v>
      </c>
      <c r="AJ7893">
        <v>87.521535138127206</v>
      </c>
      <c r="AK7893">
        <v>21.222185139194899</v>
      </c>
      <c r="AL7893">
        <v>77.718101142543304</v>
      </c>
      <c r="AM7893">
        <v>92.881374031679997</v>
      </c>
      <c r="AN7893">
        <v>0.99999998599345596</v>
      </c>
    </row>
    <row r="7894" spans="1:40" x14ac:dyDescent="0.25">
      <c r="A7894" t="str">
        <f>"20190304154948197"</f>
        <v>20190304154948197</v>
      </c>
      <c r="B7894" t="str">
        <f>"1551685788184810"</f>
        <v>1551685788184810</v>
      </c>
      <c r="C7894" t="s">
        <v>40</v>
      </c>
      <c r="D7894">
        <v>4.4810220000000003</v>
      </c>
      <c r="E7894">
        <v>0.52720199999999995</v>
      </c>
      <c r="F7894" t="s">
        <v>44</v>
      </c>
      <c r="G7894">
        <v>-187.10919999999999</v>
      </c>
      <c r="H7894" s="1">
        <v>-4.0722569999999998E-6</v>
      </c>
      <c r="I7894">
        <v>37.93</v>
      </c>
      <c r="J7894">
        <v>-187.4898</v>
      </c>
      <c r="K7894">
        <v>1.1103959999999999</v>
      </c>
      <c r="L7894">
        <v>14.206149999999999</v>
      </c>
      <c r="M7894">
        <v>-1.5198929999999999E-2</v>
      </c>
      <c r="N7894">
        <v>-1.114063E-2</v>
      </c>
      <c r="O7894">
        <v>0.9998224</v>
      </c>
      <c r="P7894">
        <v>-6.5666939999999993E-2</v>
      </c>
      <c r="Q7894">
        <v>0.20146339999999999</v>
      </c>
      <c r="R7894">
        <v>0.97729239999999995</v>
      </c>
      <c r="S7894">
        <v>4.8645019999999997E-2</v>
      </c>
      <c r="T7894">
        <v>-0.1434821</v>
      </c>
      <c r="U7894">
        <v>3.1025390000000002</v>
      </c>
      <c r="V7894">
        <v>-5.0644990000000001E-2</v>
      </c>
      <c r="W7894">
        <v>0.2123862</v>
      </c>
      <c r="X7894">
        <v>0.97587250000000003</v>
      </c>
      <c r="Y7894">
        <v>3.0853869999999999E-2</v>
      </c>
      <c r="Z7894">
        <v>-3.5042530000000002E-2</v>
      </c>
      <c r="AA7894">
        <v>0.99890939999999995</v>
      </c>
      <c r="AB7894">
        <v>29</v>
      </c>
      <c r="AC7894">
        <v>0.38060000000001498</v>
      </c>
      <c r="AD7894">
        <v>-1.110400072257</v>
      </c>
      <c r="AE7894">
        <v>23.723849999999999</v>
      </c>
      <c r="AF7894">
        <v>0.73953584801910999</v>
      </c>
      <c r="AG7894">
        <v>-1.110400072257</v>
      </c>
      <c r="AH7894">
        <v>23.663497269466401</v>
      </c>
      <c r="AI7894">
        <v>92.685301494882594</v>
      </c>
      <c r="AJ7894">
        <v>88.209964676734103</v>
      </c>
      <c r="AK7894">
        <v>23.7010760222615</v>
      </c>
      <c r="AL7894">
        <v>77.737773259432899</v>
      </c>
      <c r="AM7894">
        <v>92.970821783053793</v>
      </c>
      <c r="AN7894">
        <v>0.99999997460939405</v>
      </c>
    </row>
    <row r="7895" spans="1:40" x14ac:dyDescent="0.25">
      <c r="A7895" t="str">
        <f>"20190304154948217"</f>
        <v>20190304154948217</v>
      </c>
      <c r="B7895" t="str">
        <f>"1551685788215066"</f>
        <v>1551685788215066</v>
      </c>
      <c r="C7895" t="s">
        <v>40</v>
      </c>
      <c r="D7895">
        <v>4.508731</v>
      </c>
      <c r="E7895">
        <v>0.5242057</v>
      </c>
      <c r="F7895" t="s">
        <v>44</v>
      </c>
      <c r="G7895">
        <v>-187.26900000000001</v>
      </c>
      <c r="H7895" s="1">
        <v>-1.1989489999999999E-6</v>
      </c>
      <c r="I7895">
        <v>41.035899999999998</v>
      </c>
      <c r="J7895">
        <v>-187.49350000000001</v>
      </c>
      <c r="K7895">
        <v>1.1103769999999999</v>
      </c>
      <c r="L7895">
        <v>14.476290000000001</v>
      </c>
      <c r="M7895">
        <v>-1.4782780000000001E-2</v>
      </c>
      <c r="N7895">
        <v>-1.114222E-2</v>
      </c>
      <c r="O7895">
        <v>0.99982859999999996</v>
      </c>
      <c r="P7895">
        <v>-6.5886360000000005E-2</v>
      </c>
      <c r="Q7895">
        <v>0.20296069999999999</v>
      </c>
      <c r="R7895">
        <v>0.97696780000000005</v>
      </c>
      <c r="S7895">
        <v>2.549744E-2</v>
      </c>
      <c r="T7895">
        <v>-0.12820960000000001</v>
      </c>
      <c r="U7895">
        <v>3.097839</v>
      </c>
      <c r="V7895">
        <v>-5.1261130000000002E-2</v>
      </c>
      <c r="W7895">
        <v>0.21388589999999999</v>
      </c>
      <c r="X7895">
        <v>0.97551270000000001</v>
      </c>
      <c r="Y7895">
        <v>2.300224E-2</v>
      </c>
      <c r="Z7895">
        <v>-3.02025E-2</v>
      </c>
      <c r="AA7895">
        <v>0.99927909999999998</v>
      </c>
      <c r="AB7895">
        <v>29</v>
      </c>
      <c r="AC7895">
        <v>0.224500000000006</v>
      </c>
      <c r="AD7895">
        <v>-1.110378198949</v>
      </c>
      <c r="AE7895">
        <v>26.559609999999999</v>
      </c>
      <c r="AF7895">
        <v>0.61604806064502904</v>
      </c>
      <c r="AG7895">
        <v>-1.110378198949</v>
      </c>
      <c r="AH7895">
        <v>26.5070620458626</v>
      </c>
      <c r="AI7895">
        <v>92.398065315600107</v>
      </c>
      <c r="AJ7895">
        <v>88.668634013230204</v>
      </c>
      <c r="AK7895">
        <v>26.537460188588799</v>
      </c>
      <c r="AL7895">
        <v>77.649825711597103</v>
      </c>
      <c r="AM7895">
        <v>93.008005468229996</v>
      </c>
      <c r="AN7895">
        <v>0.999999954764487</v>
      </c>
    </row>
    <row r="7896" spans="1:40" x14ac:dyDescent="0.25">
      <c r="A7896" t="str">
        <f>"20190304154948241"</f>
        <v>20190304154948241</v>
      </c>
      <c r="B7896" t="str">
        <f>"1551685788235219"</f>
        <v>1551685788235219</v>
      </c>
      <c r="C7896" t="s">
        <v>40</v>
      </c>
      <c r="D7896">
        <v>4.4783400000000002</v>
      </c>
      <c r="E7896">
        <v>0.52321229999999996</v>
      </c>
      <c r="F7896" t="s">
        <v>44</v>
      </c>
      <c r="G7896">
        <v>-187.47559999999999</v>
      </c>
      <c r="H7896" s="1">
        <v>-3.754623E-6</v>
      </c>
      <c r="I7896">
        <v>47.341099999999997</v>
      </c>
      <c r="J7896">
        <v>-187.4974</v>
      </c>
      <c r="K7896">
        <v>1.110366</v>
      </c>
      <c r="L7896">
        <v>14.77332</v>
      </c>
      <c r="M7896">
        <v>-1.4300490000000001E-2</v>
      </c>
      <c r="N7896">
        <v>-1.114394E-2</v>
      </c>
      <c r="O7896">
        <v>0.99983569999999999</v>
      </c>
      <c r="P7896">
        <v>-6.5809670000000001E-2</v>
      </c>
      <c r="Q7896">
        <v>0.20449290000000001</v>
      </c>
      <c r="R7896">
        <v>0.97665329999999995</v>
      </c>
      <c r="S7896">
        <v>1.6784669999999999E-3</v>
      </c>
      <c r="T7896">
        <v>-0.1044862</v>
      </c>
      <c r="U7896">
        <v>3.0925600000000002</v>
      </c>
      <c r="V7896">
        <v>-5.1645679999999999E-2</v>
      </c>
      <c r="W7896">
        <v>0.21541859999999999</v>
      </c>
      <c r="X7896">
        <v>0.97515510000000005</v>
      </c>
      <c r="Y7896">
        <v>1.484021E-2</v>
      </c>
      <c r="Z7896">
        <v>-2.2620290000000001E-2</v>
      </c>
      <c r="AA7896">
        <v>0.99963400000000002</v>
      </c>
      <c r="AB7896">
        <v>29</v>
      </c>
      <c r="AC7896">
        <v>2.1800000000013101E-2</v>
      </c>
      <c r="AD7896">
        <v>-1.110369754623</v>
      </c>
      <c r="AE7896">
        <v>32.567779999999999</v>
      </c>
      <c r="AF7896">
        <v>0.48699578906767499</v>
      </c>
      <c r="AG7896">
        <v>-1.110369754623</v>
      </c>
      <c r="AH7896">
        <v>32.5263286478053</v>
      </c>
      <c r="AI7896">
        <v>91.954960357117002</v>
      </c>
      <c r="AJ7896">
        <v>89.142211254990698</v>
      </c>
      <c r="AK7896">
        <v>32.548919201650797</v>
      </c>
      <c r="AL7896">
        <v>77.559912687495199</v>
      </c>
      <c r="AM7896">
        <v>93.031638228319395</v>
      </c>
      <c r="AN7896">
        <v>0.999999959272315</v>
      </c>
    </row>
    <row r="7897" spans="1:40" x14ac:dyDescent="0.25">
      <c r="A7897" t="str">
        <f>"20190304154948265"</f>
        <v>20190304154948265</v>
      </c>
      <c r="B7897" t="str">
        <f>"1551685788254739"</f>
        <v>1551685788254739</v>
      </c>
      <c r="C7897" t="s">
        <v>40</v>
      </c>
      <c r="D7897">
        <v>4.4906839999999999</v>
      </c>
      <c r="E7897">
        <v>0.52239939999999996</v>
      </c>
      <c r="F7897" t="s">
        <v>44</v>
      </c>
      <c r="G7897">
        <v>-187.5693</v>
      </c>
      <c r="H7897" s="1">
        <v>-1.7941220000000001E-6</v>
      </c>
      <c r="I7897">
        <v>52.809849999999997</v>
      </c>
      <c r="J7897">
        <v>-187.50110000000001</v>
      </c>
      <c r="K7897">
        <v>1.110357</v>
      </c>
      <c r="L7897">
        <v>15.077640000000001</v>
      </c>
      <c r="M7897">
        <v>-1.378834E-2</v>
      </c>
      <c r="N7897">
        <v>-1.114573E-2</v>
      </c>
      <c r="O7897">
        <v>0.99984280000000003</v>
      </c>
      <c r="P7897">
        <v>-6.5505399999999894E-2</v>
      </c>
      <c r="Q7897">
        <v>0.20535220000000001</v>
      </c>
      <c r="R7897">
        <v>0.97649350000000001</v>
      </c>
      <c r="S7897">
        <v>-5.8441159999999999E-3</v>
      </c>
      <c r="T7897">
        <v>-9.0209839999999999E-2</v>
      </c>
      <c r="U7897">
        <v>3.0902099999999999</v>
      </c>
      <c r="V7897">
        <v>-5.1834579999999998E-2</v>
      </c>
      <c r="W7897">
        <v>0.21628</v>
      </c>
      <c r="X7897">
        <v>0.9749544</v>
      </c>
      <c r="Y7897">
        <v>1.189582E-2</v>
      </c>
      <c r="Z7897">
        <v>-1.803184E-2</v>
      </c>
      <c r="AA7897">
        <v>0.99976659999999995</v>
      </c>
      <c r="AB7897">
        <v>29</v>
      </c>
      <c r="AC7897">
        <v>-6.8199999999990199E-2</v>
      </c>
      <c r="AD7897">
        <v>-1.1103587941219999</v>
      </c>
      <c r="AE7897">
        <v>37.732210000000002</v>
      </c>
      <c r="AF7897">
        <v>0.45171218351224401</v>
      </c>
      <c r="AG7897">
        <v>-1.1103587941219999</v>
      </c>
      <c r="AH7897">
        <v>37.696918770226098</v>
      </c>
      <c r="AI7897">
        <v>91.687032335084695</v>
      </c>
      <c r="AJ7897">
        <v>89.313472721501995</v>
      </c>
      <c r="AK7897">
        <v>37.715973079286201</v>
      </c>
      <c r="AL7897">
        <v>77.509366722081595</v>
      </c>
      <c r="AM7897">
        <v>93.043331176140398</v>
      </c>
      <c r="AN7897">
        <v>0.99999997208156699</v>
      </c>
    </row>
    <row r="7898" spans="1:40" x14ac:dyDescent="0.25">
      <c r="A7898" t="str">
        <f>"20190304154948286"</f>
        <v>20190304154948286</v>
      </c>
      <c r="B7898" t="str">
        <f>"1551685788275236"</f>
        <v>1551685788275236</v>
      </c>
      <c r="C7898" t="s">
        <v>40</v>
      </c>
      <c r="D7898">
        <v>4.5257699999999996</v>
      </c>
      <c r="E7898">
        <v>0.52168510000000001</v>
      </c>
      <c r="F7898" t="s">
        <v>44</v>
      </c>
      <c r="G7898">
        <v>-187.6609</v>
      </c>
      <c r="H7898" s="1">
        <v>-3.9112550000000004E-6</v>
      </c>
      <c r="I7898">
        <v>57.782809999999998</v>
      </c>
      <c r="J7898">
        <v>-187.50450000000001</v>
      </c>
      <c r="K7898">
        <v>1.1103609999999999</v>
      </c>
      <c r="L7898">
        <v>15.355829999999999</v>
      </c>
      <c r="M7898">
        <v>-1.331092E-2</v>
      </c>
      <c r="N7898">
        <v>-1.1147310000000001E-2</v>
      </c>
      <c r="O7898">
        <v>0.99984930000000005</v>
      </c>
      <c r="P7898">
        <v>-6.5019809999999997E-2</v>
      </c>
      <c r="Q7898">
        <v>0.20831769999999999</v>
      </c>
      <c r="R7898">
        <v>0.97589760000000003</v>
      </c>
      <c r="S7898">
        <v>-1.1550899999999999E-2</v>
      </c>
      <c r="T7898">
        <v>-8.0298190000000005E-2</v>
      </c>
      <c r="U7898">
        <v>3.0883180000000001</v>
      </c>
      <c r="V7898">
        <v>-5.1816229999999998E-2</v>
      </c>
      <c r="W7898">
        <v>0.2192413</v>
      </c>
      <c r="X7898">
        <v>0.97429379999999999</v>
      </c>
      <c r="Y7898">
        <v>9.5702479999999999E-3</v>
      </c>
      <c r="Z7898">
        <v>-1.484281E-2</v>
      </c>
      <c r="AA7898">
        <v>0.99984399999999996</v>
      </c>
      <c r="AB7898">
        <v>29</v>
      </c>
      <c r="AC7898">
        <v>-0.15639999999998999</v>
      </c>
      <c r="AD7898">
        <v>-1.110364911255</v>
      </c>
      <c r="AE7898">
        <v>42.42698</v>
      </c>
      <c r="AF7898">
        <v>0.40811154259621801</v>
      </c>
      <c r="AG7898">
        <v>-1.110364911255</v>
      </c>
      <c r="AH7898">
        <v>42.396264557252799</v>
      </c>
      <c r="AI7898">
        <v>91.500173151234193</v>
      </c>
      <c r="AJ7898">
        <v>89.448480968700096</v>
      </c>
      <c r="AK7898">
        <v>42.412765928148502</v>
      </c>
      <c r="AL7898">
        <v>77.335525689656606</v>
      </c>
      <c r="AM7898">
        <v>93.044314688910802</v>
      </c>
      <c r="AN7898">
        <v>1.0000000390177699</v>
      </c>
    </row>
    <row r="7899" spans="1:40" x14ac:dyDescent="0.25">
      <c r="A7899" t="str">
        <f>"20190304154948307"</f>
        <v>20190304154948307</v>
      </c>
      <c r="B7899" t="str">
        <f>"1551685788305492"</f>
        <v>1551685788305492</v>
      </c>
      <c r="C7899" t="s">
        <v>40</v>
      </c>
      <c r="D7899">
        <v>4.4816719999999997</v>
      </c>
      <c r="E7899">
        <v>0.52186169999999998</v>
      </c>
      <c r="F7899" t="s">
        <v>44</v>
      </c>
      <c r="G7899">
        <v>-187.77529999999999</v>
      </c>
      <c r="H7899" s="1">
        <v>-3.6568319999999999E-6</v>
      </c>
      <c r="I7899">
        <v>67.237049999999996</v>
      </c>
      <c r="J7899">
        <v>-187.5076</v>
      </c>
      <c r="K7899">
        <v>1.110363</v>
      </c>
      <c r="L7899">
        <v>15.62946</v>
      </c>
      <c r="M7899">
        <v>-1.2837980000000001E-2</v>
      </c>
      <c r="N7899">
        <v>-1.114885E-2</v>
      </c>
      <c r="O7899">
        <v>0.99985550000000001</v>
      </c>
      <c r="P7899">
        <v>-6.4630460000000001E-2</v>
      </c>
      <c r="Q7899">
        <v>0.2104857</v>
      </c>
      <c r="R7899">
        <v>0.97545820000000005</v>
      </c>
      <c r="S7899">
        <v>-1.6113280000000001E-2</v>
      </c>
      <c r="T7899">
        <v>-6.6070909999999997E-2</v>
      </c>
      <c r="U7899">
        <v>3.0871279999999999</v>
      </c>
      <c r="V7899">
        <v>-5.1889640000000001E-2</v>
      </c>
      <c r="W7899">
        <v>0.22140589999999999</v>
      </c>
      <c r="X7899">
        <v>0.9738002</v>
      </c>
      <c r="Y7899">
        <v>7.6184859999999998E-3</v>
      </c>
      <c r="Z7899">
        <v>-1.024682E-2</v>
      </c>
      <c r="AA7899">
        <v>0.99991850000000004</v>
      </c>
      <c r="AB7899">
        <v>29</v>
      </c>
      <c r="AC7899">
        <v>-0.26769999999999</v>
      </c>
      <c r="AD7899">
        <v>-1.1103666568320001</v>
      </c>
      <c r="AE7899">
        <v>51.607590000000002</v>
      </c>
      <c r="AF7899">
        <v>0.39471769048081201</v>
      </c>
      <c r="AG7899">
        <v>-1.1103666568320001</v>
      </c>
      <c r="AH7899">
        <v>51.582895321377499</v>
      </c>
      <c r="AI7899">
        <v>91.23311492194</v>
      </c>
      <c r="AJ7899">
        <v>89.561575281483599</v>
      </c>
      <c r="AK7899">
        <v>51.596354579601503</v>
      </c>
      <c r="AL7899">
        <v>77.208377901578999</v>
      </c>
      <c r="AM7899">
        <v>93.050161921397702</v>
      </c>
      <c r="AN7899">
        <v>0.99999996840708905</v>
      </c>
    </row>
    <row r="7900" spans="1:40" x14ac:dyDescent="0.25">
      <c r="A7900" t="str">
        <f>"20190304154948329"</f>
        <v>20190304154948329</v>
      </c>
      <c r="B7900" t="str">
        <f>"1551685788325012"</f>
        <v>1551685788325012</v>
      </c>
      <c r="C7900" t="s">
        <v>40</v>
      </c>
      <c r="D7900">
        <v>4.5039210000000001</v>
      </c>
      <c r="E7900">
        <v>0.52148279999999902</v>
      </c>
      <c r="F7900" t="s">
        <v>44</v>
      </c>
      <c r="G7900">
        <v>-187.8032</v>
      </c>
      <c r="H7900" s="1">
        <v>-1.8686E-6</v>
      </c>
      <c r="I7900">
        <v>83.080159999999907</v>
      </c>
      <c r="J7900">
        <v>-187.51070000000001</v>
      </c>
      <c r="K7900">
        <v>1.11036</v>
      </c>
      <c r="L7900">
        <v>15.905939999999999</v>
      </c>
      <c r="M7900">
        <v>-1.236012E-2</v>
      </c>
      <c r="N7900">
        <v>-1.11504E-2</v>
      </c>
      <c r="O7900">
        <v>0.99986140000000001</v>
      </c>
      <c r="P7900">
        <v>-6.4311740000000006E-2</v>
      </c>
      <c r="Q7900">
        <v>0.2117107</v>
      </c>
      <c r="R7900">
        <v>0.97521409999999997</v>
      </c>
      <c r="S7900">
        <v>-1.351929E-2</v>
      </c>
      <c r="T7900">
        <v>-5.0793770000000002E-2</v>
      </c>
      <c r="U7900">
        <v>3.0855410000000001</v>
      </c>
      <c r="V7900">
        <v>-5.2038210000000001E-2</v>
      </c>
      <c r="W7900">
        <v>0.22262960000000001</v>
      </c>
      <c r="X7900">
        <v>0.97351319999999997</v>
      </c>
      <c r="Y7900">
        <v>7.9784909999999903E-3</v>
      </c>
      <c r="Z7900">
        <v>-5.307806E-3</v>
      </c>
      <c r="AA7900">
        <v>0.99995409999999996</v>
      </c>
      <c r="AB7900">
        <v>29</v>
      </c>
      <c r="AC7900">
        <v>-0.29249999999998899</v>
      </c>
      <c r="AD7900">
        <v>-1.1103618686000001</v>
      </c>
      <c r="AE7900">
        <v>67.174219999999906</v>
      </c>
      <c r="AF7900">
        <v>0.537708504701923</v>
      </c>
      <c r="AG7900">
        <v>-1.1103618686000001</v>
      </c>
      <c r="AH7900">
        <v>67.154355492884605</v>
      </c>
      <c r="AI7900">
        <v>90.947238834519595</v>
      </c>
      <c r="AJ7900">
        <v>89.541239442758297</v>
      </c>
      <c r="AK7900">
        <v>67.165686891298805</v>
      </c>
      <c r="AL7900">
        <v>77.136469954687001</v>
      </c>
      <c r="AM7900">
        <v>93.059778629356799</v>
      </c>
      <c r="AN7900">
        <v>0.99999993233519902</v>
      </c>
    </row>
    <row r="7901" spans="1:40" x14ac:dyDescent="0.25">
      <c r="A7901" t="str">
        <f>"20190304154948351"</f>
        <v>20190304154948351</v>
      </c>
      <c r="B7901" t="str">
        <f>"1551685788345507"</f>
        <v>1551685788345507</v>
      </c>
      <c r="C7901" t="s">
        <v>40</v>
      </c>
      <c r="D7901">
        <v>4.4627600000000003</v>
      </c>
      <c r="E7901">
        <v>0.52104220000000001</v>
      </c>
      <c r="F7901" t="s">
        <v>44</v>
      </c>
      <c r="G7901">
        <v>-187.89959999999999</v>
      </c>
      <c r="H7901" s="1">
        <v>-1.7500829999999999E-6</v>
      </c>
      <c r="I7901">
        <v>92.843770000000006</v>
      </c>
      <c r="J7901">
        <v>-187.5137</v>
      </c>
      <c r="K7901">
        <v>1.1103590000000001</v>
      </c>
      <c r="L7901">
        <v>16.193269999999998</v>
      </c>
      <c r="M7901">
        <v>-1.186649E-2</v>
      </c>
      <c r="N7901">
        <v>-1.1151929999999999E-2</v>
      </c>
      <c r="O7901">
        <v>0.99986739999999996</v>
      </c>
      <c r="P7901">
        <v>-6.390527E-2</v>
      </c>
      <c r="Q7901">
        <v>0.21197379999999999</v>
      </c>
      <c r="R7901">
        <v>0.97518369999999999</v>
      </c>
      <c r="S7901">
        <v>-1.5594480000000001E-2</v>
      </c>
      <c r="T7901">
        <v>-4.4520619999999997E-2</v>
      </c>
      <c r="U7901">
        <v>3.0848689999999999</v>
      </c>
      <c r="V7901">
        <v>-5.2113899999999998E-2</v>
      </c>
      <c r="W7901">
        <v>0.2228937</v>
      </c>
      <c r="X7901">
        <v>0.9734488</v>
      </c>
      <c r="Y7901">
        <v>6.8113990000000001E-3</v>
      </c>
      <c r="Z7901">
        <v>-3.2773099999999999E-3</v>
      </c>
      <c r="AA7901">
        <v>0.99997139999999995</v>
      </c>
      <c r="AB7901">
        <v>29</v>
      </c>
      <c r="AC7901">
        <v>-0.38589999999999203</v>
      </c>
      <c r="AD7901">
        <v>-1.1103607500829999</v>
      </c>
      <c r="AE7901">
        <v>76.650499999999994</v>
      </c>
      <c r="AF7901">
        <v>0.523646250907573</v>
      </c>
      <c r="AG7901">
        <v>-1.1103607500829999</v>
      </c>
      <c r="AH7901">
        <v>76.633601230726995</v>
      </c>
      <c r="AI7901">
        <v>90.8300934236036</v>
      </c>
      <c r="AJ7901">
        <v>89.608497412243594</v>
      </c>
      <c r="AK7901">
        <v>76.643433795606398</v>
      </c>
      <c r="AL7901">
        <v>77.120949178775405</v>
      </c>
      <c r="AM7901">
        <v>93.064422959002201</v>
      </c>
      <c r="AN7901">
        <v>1.00000001314717</v>
      </c>
    </row>
    <row r="7902" spans="1:40" x14ac:dyDescent="0.25">
      <c r="A7902" t="str">
        <f>"20190304154948374"</f>
        <v>20190304154948374</v>
      </c>
      <c r="B7902" t="str">
        <f>"1551685788365033"</f>
        <v>1551685788365033</v>
      </c>
      <c r="C7902" t="s">
        <v>40</v>
      </c>
      <c r="D7902">
        <v>4.5268100000000002</v>
      </c>
      <c r="E7902">
        <v>0.52103149999999998</v>
      </c>
      <c r="F7902" t="s">
        <v>44</v>
      </c>
      <c r="G7902">
        <v>-187.95500000000001</v>
      </c>
      <c r="H7902" s="1">
        <v>-2.1066299999999999E-6</v>
      </c>
      <c r="I7902">
        <v>93.697779999999995</v>
      </c>
      <c r="J7902">
        <v>-187.51660000000001</v>
      </c>
      <c r="K7902">
        <v>1.1103590000000001</v>
      </c>
      <c r="L7902">
        <v>16.483460000000001</v>
      </c>
      <c r="M7902">
        <v>-1.137203E-2</v>
      </c>
      <c r="N7902">
        <v>-1.11535E-2</v>
      </c>
      <c r="O7902">
        <v>0.99987309999999996</v>
      </c>
      <c r="P7902">
        <v>-6.3181440000000005E-2</v>
      </c>
      <c r="Q7902">
        <v>0.2112976</v>
      </c>
      <c r="R7902">
        <v>0.97537759999999996</v>
      </c>
      <c r="S7902">
        <v>-1.7562870000000001E-2</v>
      </c>
      <c r="T7902">
        <v>-4.4194219999999999E-2</v>
      </c>
      <c r="U7902">
        <v>3.0848080000000002</v>
      </c>
      <c r="V7902">
        <v>-5.1870479999999997E-2</v>
      </c>
      <c r="W7902">
        <v>0.22222049999999999</v>
      </c>
      <c r="X7902">
        <v>0.97361569999999997</v>
      </c>
      <c r="Y7902">
        <v>5.6788999999999997E-3</v>
      </c>
      <c r="Z7902">
        <v>-3.170431E-3</v>
      </c>
      <c r="AA7902">
        <v>0.99997879999999995</v>
      </c>
      <c r="AB7902">
        <v>29</v>
      </c>
      <c r="AC7902">
        <v>-0.43840000000000101</v>
      </c>
      <c r="AD7902">
        <v>-1.1103611066299901</v>
      </c>
      <c r="AE7902">
        <v>77.214320000000001</v>
      </c>
      <c r="AF7902">
        <v>0.439675645861347</v>
      </c>
      <c r="AG7902">
        <v>-1.1103611066299901</v>
      </c>
      <c r="AH7902">
        <v>77.198348777678703</v>
      </c>
      <c r="AI7902">
        <v>90.824027819324598</v>
      </c>
      <c r="AJ7902">
        <v>89.673681019321094</v>
      </c>
      <c r="AK7902">
        <v>77.207585575905696</v>
      </c>
      <c r="AL7902">
        <v>77.160512986461598</v>
      </c>
      <c r="AM7902">
        <v>93.049614490858801</v>
      </c>
      <c r="AN7902">
        <v>1.0000000143010801</v>
      </c>
    </row>
    <row r="7903" spans="1:40" x14ac:dyDescent="0.25">
      <c r="A7903" t="str">
        <f>"20190304154948398"</f>
        <v>20190304154948398</v>
      </c>
      <c r="B7903" t="str">
        <f>"1551685788395284"</f>
        <v>1551685788395284</v>
      </c>
      <c r="C7903" t="s">
        <v>40</v>
      </c>
      <c r="D7903">
        <v>4.5333930000000002</v>
      </c>
      <c r="E7903">
        <v>0.52081719999999998</v>
      </c>
      <c r="F7903" t="s">
        <v>44</v>
      </c>
      <c r="G7903">
        <v>-187.91300000000001</v>
      </c>
      <c r="H7903" s="1">
        <v>-2.8841850000000001E-6</v>
      </c>
      <c r="I7903">
        <v>95.492919999999998</v>
      </c>
      <c r="J7903">
        <v>-187.51949999999999</v>
      </c>
      <c r="K7903">
        <v>1.1103499999999999</v>
      </c>
      <c r="L7903">
        <v>16.786349999999999</v>
      </c>
      <c r="M7903">
        <v>-1.085934E-2</v>
      </c>
      <c r="N7903">
        <v>-1.1155139999999999E-2</v>
      </c>
      <c r="O7903">
        <v>0.99987879999999996</v>
      </c>
      <c r="P7903">
        <v>-6.2586749999999997E-2</v>
      </c>
      <c r="Q7903">
        <v>0.20968129999999999</v>
      </c>
      <c r="R7903">
        <v>0.97576459999999998</v>
      </c>
      <c r="S7903">
        <v>-1.5472410000000001E-2</v>
      </c>
      <c r="T7903">
        <v>-4.334259E-2</v>
      </c>
      <c r="U7903">
        <v>3.0841059999999998</v>
      </c>
      <c r="V7903">
        <v>-5.1773819999999998E-2</v>
      </c>
      <c r="W7903">
        <v>0.22061020000000001</v>
      </c>
      <c r="X7903">
        <v>0.97398700000000005</v>
      </c>
      <c r="Y7903">
        <v>5.8426140000000003E-3</v>
      </c>
      <c r="Z7903">
        <v>-2.8960869999999999E-3</v>
      </c>
      <c r="AA7903">
        <v>0.9999787</v>
      </c>
      <c r="AB7903">
        <v>29</v>
      </c>
      <c r="AC7903">
        <v>-0.39349999999998803</v>
      </c>
      <c r="AD7903">
        <v>-1.1103528841850001</v>
      </c>
      <c r="AE7903">
        <v>78.706569999999999</v>
      </c>
      <c r="AF7903">
        <v>0.46118601862879499</v>
      </c>
      <c r="AG7903">
        <v>-1.1103528841850001</v>
      </c>
      <c r="AH7903">
        <v>78.690541234088201</v>
      </c>
      <c r="AI7903">
        <v>90.808397286146899</v>
      </c>
      <c r="AJ7903">
        <v>89.664207292409202</v>
      </c>
      <c r="AK7903">
        <v>78.699725893963105</v>
      </c>
      <c r="AL7903">
        <v>77.255124927281699</v>
      </c>
      <c r="AM7903">
        <v>93.042784048661602</v>
      </c>
      <c r="AN7903">
        <v>1.0000000324752101</v>
      </c>
    </row>
    <row r="7904" spans="1:40" x14ac:dyDescent="0.25">
      <c r="A7904" t="str">
        <f>"20190304154948421"</f>
        <v>20190304154948421</v>
      </c>
      <c r="B7904" t="str">
        <f>"1551685788414804"</f>
        <v>1551685788414804</v>
      </c>
      <c r="C7904" t="s">
        <v>40</v>
      </c>
      <c r="D7904">
        <v>4.5330820000000003</v>
      </c>
      <c r="E7904">
        <v>0.520733</v>
      </c>
      <c r="F7904" t="s">
        <v>44</v>
      </c>
      <c r="G7904">
        <v>-187.87780000000001</v>
      </c>
      <c r="H7904" s="1">
        <v>-4.6064480000000001E-6</v>
      </c>
      <c r="I7904">
        <v>89.493030000000005</v>
      </c>
      <c r="J7904">
        <v>-187.52209999999999</v>
      </c>
      <c r="K7904">
        <v>1.110347</v>
      </c>
      <c r="L7904">
        <v>17.081510000000002</v>
      </c>
      <c r="M7904">
        <v>-1.0361799999999999E-2</v>
      </c>
      <c r="N7904">
        <v>-1.115669E-2</v>
      </c>
      <c r="O7904">
        <v>0.99988410000000005</v>
      </c>
      <c r="P7904">
        <v>-6.2059450000000002E-2</v>
      </c>
      <c r="Q7904">
        <v>0.20918700000000001</v>
      </c>
      <c r="R7904">
        <v>0.97590440000000001</v>
      </c>
      <c r="S7904">
        <v>-1.5197749999999999E-2</v>
      </c>
      <c r="T7904">
        <v>-4.7092559999999999E-2</v>
      </c>
      <c r="U7904">
        <v>3.0836489999999999</v>
      </c>
      <c r="V7904">
        <v>-5.1731890000000003E-2</v>
      </c>
      <c r="W7904">
        <v>0.22011810000000001</v>
      </c>
      <c r="X7904">
        <v>0.97410050000000004</v>
      </c>
      <c r="Y7904">
        <v>5.4333890000000003E-3</v>
      </c>
      <c r="Z7904">
        <v>-4.1124330000000004E-3</v>
      </c>
      <c r="AA7904">
        <v>0.9999768</v>
      </c>
      <c r="AB7904">
        <v>29</v>
      </c>
      <c r="AC7904">
        <v>-0.35570000000001201</v>
      </c>
      <c r="AD7904">
        <v>-1.1103516064479999</v>
      </c>
      <c r="AE7904">
        <v>72.411519999999996</v>
      </c>
      <c r="AF7904">
        <v>0.39458669083981801</v>
      </c>
      <c r="AG7904">
        <v>-1.1103516064479999</v>
      </c>
      <c r="AH7904">
        <v>72.394296464068603</v>
      </c>
      <c r="AI7904">
        <v>90.878695302470703</v>
      </c>
      <c r="AJ7904">
        <v>89.6877111973875</v>
      </c>
      <c r="AK7904">
        <v>72.403886220796096</v>
      </c>
      <c r="AL7904">
        <v>77.284030012212298</v>
      </c>
      <c r="AM7904">
        <v>93.039970830704902</v>
      </c>
      <c r="AN7904">
        <v>0.99999997524541495</v>
      </c>
    </row>
    <row r="7905" spans="1:40" x14ac:dyDescent="0.25">
      <c r="A7905" t="str">
        <f>"20190304154948441"</f>
        <v>20190304154948441</v>
      </c>
      <c r="B7905" t="str">
        <f>"1551685788435303"</f>
        <v>1551685788435303</v>
      </c>
      <c r="C7905" t="s">
        <v>40</v>
      </c>
      <c r="D7905">
        <v>4.5077420000000004</v>
      </c>
      <c r="E7905">
        <v>0.52077719999999905</v>
      </c>
      <c r="F7905" t="s">
        <v>44</v>
      </c>
      <c r="G7905">
        <v>-187.84139999999999</v>
      </c>
      <c r="H7905" s="1">
        <v>-3.7029149999999999E-6</v>
      </c>
      <c r="I7905">
        <v>87.37182</v>
      </c>
      <c r="J7905">
        <v>-187.52440000000001</v>
      </c>
      <c r="K7905">
        <v>1.1103529999999999</v>
      </c>
      <c r="L7905">
        <v>17.349029999999999</v>
      </c>
      <c r="M7905">
        <v>-9.9139499999999995E-3</v>
      </c>
      <c r="N7905">
        <v>-1.1158049999999999E-2</v>
      </c>
      <c r="O7905">
        <v>0.99988860000000002</v>
      </c>
      <c r="P7905">
        <v>-6.1599229999999998E-2</v>
      </c>
      <c r="Q7905">
        <v>0.2092823</v>
      </c>
      <c r="R7905">
        <v>0.97591309999999998</v>
      </c>
      <c r="S7905">
        <v>-1.400757E-2</v>
      </c>
      <c r="T7905">
        <v>-4.8710820000000002E-2</v>
      </c>
      <c r="U7905">
        <v>3.083618</v>
      </c>
      <c r="V7905">
        <v>-5.1709850000000002E-2</v>
      </c>
      <c r="W7905">
        <v>0.22021450000000001</v>
      </c>
      <c r="X7905">
        <v>0.9740799</v>
      </c>
      <c r="Y7905">
        <v>5.3714019999999999E-3</v>
      </c>
      <c r="Z7905">
        <v>-4.6359249999999999E-3</v>
      </c>
      <c r="AA7905">
        <v>0.99997480000000005</v>
      </c>
      <c r="AB7905">
        <v>29</v>
      </c>
      <c r="AC7905">
        <v>-0.31699999999997802</v>
      </c>
      <c r="AD7905">
        <v>-1.1103567029150001</v>
      </c>
      <c r="AE7905">
        <v>70.022790000000001</v>
      </c>
      <c r="AF7905">
        <v>0.37716640282339797</v>
      </c>
      <c r="AG7905">
        <v>-1.1103567029150001</v>
      </c>
      <c r="AH7905">
        <v>70.004889111853998</v>
      </c>
      <c r="AI7905">
        <v>90.908686470004895</v>
      </c>
      <c r="AJ7905">
        <v>89.691309646530101</v>
      </c>
      <c r="AK7905">
        <v>70.014710211969799</v>
      </c>
      <c r="AL7905">
        <v>77.278367991410207</v>
      </c>
      <c r="AM7905">
        <v>93.038742242745698</v>
      </c>
      <c r="AN7905">
        <v>0.99999999309064103</v>
      </c>
    </row>
    <row r="7906" spans="1:40" x14ac:dyDescent="0.25">
      <c r="A7906" t="str">
        <f>"20190304154948463"</f>
        <v>20190304154948463</v>
      </c>
      <c r="B7906" t="str">
        <f>"1551685788454824"</f>
        <v>1551685788454824</v>
      </c>
      <c r="C7906" t="s">
        <v>40</v>
      </c>
      <c r="D7906">
        <v>4.5093050000000003</v>
      </c>
      <c r="E7906">
        <v>0.52079799999999998</v>
      </c>
      <c r="F7906" t="s">
        <v>44</v>
      </c>
      <c r="G7906">
        <v>-187.81180000000001</v>
      </c>
      <c r="H7906" s="1">
        <v>-4.283363E-6</v>
      </c>
      <c r="I7906">
        <v>88.712620000000001</v>
      </c>
      <c r="J7906">
        <v>-187.52670000000001</v>
      </c>
      <c r="K7906">
        <v>1.11036</v>
      </c>
      <c r="L7906">
        <v>17.63635</v>
      </c>
      <c r="M7906">
        <v>-9.4390870000000005E-3</v>
      </c>
      <c r="N7906">
        <v>-1.1159509999999999E-2</v>
      </c>
      <c r="O7906">
        <v>0.99989320000000004</v>
      </c>
      <c r="P7906">
        <v>-6.1673350000000002E-2</v>
      </c>
      <c r="Q7906">
        <v>0.2096653</v>
      </c>
      <c r="R7906">
        <v>0.97582630000000004</v>
      </c>
      <c r="S7906">
        <v>-1.242065E-2</v>
      </c>
      <c r="T7906">
        <v>-4.7977569999999997E-2</v>
      </c>
      <c r="U7906">
        <v>3.0835569999999999</v>
      </c>
      <c r="V7906">
        <v>-5.2249549999999999E-2</v>
      </c>
      <c r="W7906">
        <v>0.22059770000000001</v>
      </c>
      <c r="X7906">
        <v>0.97396439999999995</v>
      </c>
      <c r="Y7906">
        <v>5.4110149999999999E-3</v>
      </c>
      <c r="Z7906">
        <v>-4.3971499999999998E-3</v>
      </c>
      <c r="AA7906">
        <v>0.99997570000000002</v>
      </c>
      <c r="AB7906">
        <v>29</v>
      </c>
      <c r="AC7906">
        <v>-0.28509999999999902</v>
      </c>
      <c r="AD7906">
        <v>-1.1103642833630001</v>
      </c>
      <c r="AE7906">
        <v>71.076269999999994</v>
      </c>
      <c r="AF7906">
        <v>0.38575542050548201</v>
      </c>
      <c r="AG7906">
        <v>-1.1103642833630001</v>
      </c>
      <c r="AH7906">
        <v>71.058452815741703</v>
      </c>
      <c r="AI7906">
        <v>90.895221752506203</v>
      </c>
      <c r="AJ7906">
        <v>89.688961136582407</v>
      </c>
      <c r="AK7906">
        <v>71.068174541444407</v>
      </c>
      <c r="AL7906">
        <v>77.255858879414106</v>
      </c>
      <c r="AM7906">
        <v>93.070760890081502</v>
      </c>
      <c r="AN7906">
        <v>1.0000000065939201</v>
      </c>
    </row>
    <row r="7907" spans="1:40" x14ac:dyDescent="0.25">
      <c r="A7907" t="str">
        <f>"20190304154948487"</f>
        <v>20190304154948487</v>
      </c>
      <c r="B7907" t="str">
        <f>"1551685788475319"</f>
        <v>1551685788475319</v>
      </c>
      <c r="C7907" t="s">
        <v>40</v>
      </c>
      <c r="D7907">
        <v>4.504073</v>
      </c>
      <c r="E7907">
        <v>0.52078729999999995</v>
      </c>
      <c r="F7907" t="s">
        <v>44</v>
      </c>
      <c r="G7907">
        <v>-187.8202</v>
      </c>
      <c r="H7907" s="1">
        <v>-1.497928E-6</v>
      </c>
      <c r="I7907">
        <v>92.223140000000001</v>
      </c>
      <c r="J7907">
        <v>-187.529</v>
      </c>
      <c r="K7907">
        <v>1.110365</v>
      </c>
      <c r="L7907">
        <v>17.93216</v>
      </c>
      <c r="M7907">
        <v>-8.9610209999999996E-3</v>
      </c>
      <c r="N7907">
        <v>-1.1160949999999999E-2</v>
      </c>
      <c r="O7907">
        <v>0.99989749999999999</v>
      </c>
      <c r="P7907">
        <v>-6.1509229999999998E-2</v>
      </c>
      <c r="Q7907">
        <v>0.20920330000000001</v>
      </c>
      <c r="R7907">
        <v>0.97593580000000002</v>
      </c>
      <c r="S7907">
        <v>-1.2130739999999999E-2</v>
      </c>
      <c r="T7907">
        <v>-4.5902129999999999E-2</v>
      </c>
      <c r="U7907">
        <v>3.083405</v>
      </c>
      <c r="V7907">
        <v>-5.2556100000000001E-2</v>
      </c>
      <c r="W7907">
        <v>0.22013720000000001</v>
      </c>
      <c r="X7907">
        <v>0.97405209999999998</v>
      </c>
      <c r="Y7907">
        <v>5.0267940000000002E-3</v>
      </c>
      <c r="Z7907">
        <v>-3.7236909999999999E-3</v>
      </c>
      <c r="AA7907">
        <v>0.99998039999999999</v>
      </c>
      <c r="AB7907">
        <v>29</v>
      </c>
      <c r="AC7907">
        <v>-0.29119999999997498</v>
      </c>
      <c r="AD7907">
        <v>-1.1103664979279999</v>
      </c>
      <c r="AE7907">
        <v>74.290980000000005</v>
      </c>
      <c r="AF7907">
        <v>0.37449257750377002</v>
      </c>
      <c r="AG7907">
        <v>-1.1103664979279999</v>
      </c>
      <c r="AH7907">
        <v>74.274014706270904</v>
      </c>
      <c r="AI7907">
        <v>90.856474057864602</v>
      </c>
      <c r="AJ7907">
        <v>89.7111148170588</v>
      </c>
      <c r="AK7907">
        <v>74.283257999617007</v>
      </c>
      <c r="AL7907">
        <v>77.282908619735295</v>
      </c>
      <c r="AM7907">
        <v>93.088464811325494</v>
      </c>
      <c r="AN7907">
        <v>1.0000000119927299</v>
      </c>
    </row>
    <row r="7908" spans="1:40" x14ac:dyDescent="0.25">
      <c r="A7908" t="str">
        <f>"20190304154948507"</f>
        <v>20190304154948507</v>
      </c>
      <c r="B7908" t="str">
        <f>"1551685788505575"</f>
        <v>1551685788505575</v>
      </c>
      <c r="C7908" t="s">
        <v>40</v>
      </c>
      <c r="D7908">
        <v>4.4855070000000001</v>
      </c>
      <c r="E7908">
        <v>0.5208142</v>
      </c>
      <c r="F7908" t="s">
        <v>44</v>
      </c>
      <c r="G7908">
        <v>-187.8185</v>
      </c>
      <c r="H7908" s="1">
        <v>-2.2514670000000001E-6</v>
      </c>
      <c r="I7908">
        <v>93.978960000000001</v>
      </c>
      <c r="J7908">
        <v>-187.53100000000001</v>
      </c>
      <c r="K7908">
        <v>1.110368</v>
      </c>
      <c r="L7908">
        <v>18.2074</v>
      </c>
      <c r="M7908">
        <v>-8.5286819999999992E-3</v>
      </c>
      <c r="N7908">
        <v>-1.116225E-2</v>
      </c>
      <c r="O7908">
        <v>0.99990140000000005</v>
      </c>
      <c r="P7908">
        <v>-6.1631909999999998E-2</v>
      </c>
      <c r="Q7908">
        <v>0.2082377</v>
      </c>
      <c r="R7908">
        <v>0.97613450000000002</v>
      </c>
      <c r="S7908">
        <v>-1.173401E-2</v>
      </c>
      <c r="T7908">
        <v>-4.5013549999999999E-2</v>
      </c>
      <c r="U7908">
        <v>3.0828859999999998</v>
      </c>
      <c r="V7908">
        <v>-5.3104810000000002E-2</v>
      </c>
      <c r="W7908">
        <v>0.2191748</v>
      </c>
      <c r="X7908">
        <v>0.97423930000000003</v>
      </c>
      <c r="Y7908">
        <v>4.7224850000000002E-3</v>
      </c>
      <c r="Z7908">
        <v>-3.4368329999999998E-3</v>
      </c>
      <c r="AA7908">
        <v>0.99998299999999996</v>
      </c>
      <c r="AB7908">
        <v>29</v>
      </c>
      <c r="AC7908">
        <v>-0.28750000000002202</v>
      </c>
      <c r="AD7908">
        <v>-1.110370251467</v>
      </c>
      <c r="AE7908">
        <v>75.771559999999994</v>
      </c>
      <c r="AF7908">
        <v>0.358705184578962</v>
      </c>
      <c r="AG7908">
        <v>-1.110370251467</v>
      </c>
      <c r="AH7908">
        <v>75.754988228739407</v>
      </c>
      <c r="AI7908">
        <v>90.839736922368999</v>
      </c>
      <c r="AJ7908">
        <v>89.728702491437005</v>
      </c>
      <c r="AK7908">
        <v>75.763974506629694</v>
      </c>
      <c r="AL7908">
        <v>77.339429870368093</v>
      </c>
      <c r="AM7908">
        <v>93.120047962027499</v>
      </c>
      <c r="AN7908">
        <v>0.99999996373233202</v>
      </c>
    </row>
    <row r="7909" spans="1:40" x14ac:dyDescent="0.25">
      <c r="A7909" t="str">
        <f>"20190304154948522"</f>
        <v>20190304154948522</v>
      </c>
      <c r="B7909" t="str">
        <f>"1551685788515335"</f>
        <v>1551685788515335</v>
      </c>
      <c r="C7909" t="s">
        <v>40</v>
      </c>
      <c r="D7909">
        <v>4.5264230000000003</v>
      </c>
      <c r="E7909">
        <v>0.52075769999999999</v>
      </c>
      <c r="F7909" t="s">
        <v>44</v>
      </c>
      <c r="G7909">
        <v>-187.82159999999999</v>
      </c>
      <c r="H7909" s="1">
        <v>-1.7406089999999999E-6</v>
      </c>
      <c r="I7909">
        <v>92.789429999999996</v>
      </c>
      <c r="J7909">
        <v>-187.53229999999999</v>
      </c>
      <c r="K7909">
        <v>1.1103730000000001</v>
      </c>
      <c r="L7909">
        <v>18.397189999999998</v>
      </c>
      <c r="M7909">
        <v>-8.2394110000000003E-3</v>
      </c>
      <c r="N7909">
        <v>-1.1163269999999999E-2</v>
      </c>
      <c r="O7909">
        <v>0.99990369999999995</v>
      </c>
      <c r="P7909">
        <v>-6.1509250000000001E-2</v>
      </c>
      <c r="Q7909">
        <v>0.20867820000000001</v>
      </c>
      <c r="R7909">
        <v>0.97604820000000003</v>
      </c>
      <c r="S7909">
        <v>-1.2008670000000001E-2</v>
      </c>
      <c r="T7909">
        <v>-4.5889970000000002E-2</v>
      </c>
      <c r="U7909">
        <v>3.0823670000000001</v>
      </c>
      <c r="V7909">
        <v>-5.3269440000000001E-2</v>
      </c>
      <c r="W7909">
        <v>0.2196139</v>
      </c>
      <c r="X7909">
        <v>0.97413150000000004</v>
      </c>
      <c r="Y7909">
        <v>4.3434959999999996E-3</v>
      </c>
      <c r="Z7909">
        <v>-3.722581E-3</v>
      </c>
      <c r="AA7909">
        <v>0.99998359999999997</v>
      </c>
      <c r="AB7909">
        <v>29</v>
      </c>
      <c r="AC7909">
        <v>-0.289299999999997</v>
      </c>
      <c r="AD7909">
        <v>-1.1103747406090001</v>
      </c>
      <c r="AE7909">
        <v>74.392240000000001</v>
      </c>
      <c r="AF7909">
        <v>0.32362418653139302</v>
      </c>
      <c r="AG7909">
        <v>-1.1103747406090001</v>
      </c>
      <c r="AH7909">
        <v>74.375528863595605</v>
      </c>
      <c r="AI7909">
        <v>90.855314364676502</v>
      </c>
      <c r="AJ7909">
        <v>89.750695110338697</v>
      </c>
      <c r="AK7909">
        <v>74.384520959795296</v>
      </c>
      <c r="AL7909">
        <v>77.313643996800494</v>
      </c>
      <c r="AM7909">
        <v>93.130046863260105</v>
      </c>
      <c r="AN7909">
        <v>1.0000000388016801</v>
      </c>
    </row>
    <row r="7910" spans="1:40" x14ac:dyDescent="0.25">
      <c r="A7910" t="str">
        <f>"20190304154948541"</f>
        <v>20190304154948541</v>
      </c>
      <c r="B7910" t="str">
        <f>"1551685788535362"</f>
        <v>1551685788535362</v>
      </c>
      <c r="C7910" t="s">
        <v>40</v>
      </c>
      <c r="D7910">
        <v>4.4689269999999999</v>
      </c>
      <c r="E7910">
        <v>0.52056880000000005</v>
      </c>
      <c r="F7910" t="s">
        <v>44</v>
      </c>
      <c r="G7910">
        <v>-187.83519999999999</v>
      </c>
      <c r="H7910" s="1">
        <v>-3.6446619999999998E-6</v>
      </c>
      <c r="I7910">
        <v>97.233440000000002</v>
      </c>
      <c r="J7910">
        <v>-187.53389999999999</v>
      </c>
      <c r="K7910">
        <v>1.110393</v>
      </c>
      <c r="L7910">
        <v>18.640440000000002</v>
      </c>
      <c r="M7910">
        <v>-7.8778670000000002E-3</v>
      </c>
      <c r="N7910">
        <v>-1.1164550000000001E-2</v>
      </c>
      <c r="O7910">
        <v>0.99990670000000004</v>
      </c>
      <c r="P7910">
        <v>-6.1272269999999997E-2</v>
      </c>
      <c r="Q7910">
        <v>0.21030860000000001</v>
      </c>
      <c r="R7910">
        <v>0.9757131</v>
      </c>
      <c r="S7910">
        <v>-1.184082E-2</v>
      </c>
      <c r="T7910">
        <v>-4.3410900000000002E-2</v>
      </c>
      <c r="U7910">
        <v>3.0821529999999999</v>
      </c>
      <c r="V7910">
        <v>-5.3392380000000003E-2</v>
      </c>
      <c r="W7910">
        <v>0.2212404</v>
      </c>
      <c r="X7910">
        <v>0.97375659999999997</v>
      </c>
      <c r="Y7910">
        <v>4.0361590000000001E-3</v>
      </c>
      <c r="Z7910">
        <v>-2.9182829999999998E-3</v>
      </c>
      <c r="AA7910">
        <v>0.99998759999999998</v>
      </c>
      <c r="AB7910">
        <v>29</v>
      </c>
      <c r="AC7910">
        <v>-0.30129999999999701</v>
      </c>
      <c r="AD7910">
        <v>-1.1103966446619999</v>
      </c>
      <c r="AE7910">
        <v>78.593000000000004</v>
      </c>
      <c r="AF7910">
        <v>0.31782966477158803</v>
      </c>
      <c r="AG7910">
        <v>-1.1103966446619999</v>
      </c>
      <c r="AH7910">
        <v>78.577249835600597</v>
      </c>
      <c r="AI7910">
        <v>90.809601847236806</v>
      </c>
      <c r="AJ7910">
        <v>89.768250999812295</v>
      </c>
      <c r="AK7910">
        <v>78.585737816290006</v>
      </c>
      <c r="AL7910">
        <v>77.218101753770398</v>
      </c>
      <c r="AM7910">
        <v>93.138461694560107</v>
      </c>
      <c r="AN7910">
        <v>0.99999998843889204</v>
      </c>
    </row>
    <row r="7911" spans="1:40" x14ac:dyDescent="0.25">
      <c r="A7911" t="str">
        <f>"20190304154948564"</f>
        <v>20190304154948564</v>
      </c>
      <c r="B7911" t="str">
        <f>"1551685788554885"</f>
        <v>1551685788554885</v>
      </c>
      <c r="C7911" t="s">
        <v>40</v>
      </c>
      <c r="D7911">
        <v>4.4686339999999998</v>
      </c>
      <c r="E7911">
        <v>0.5204008</v>
      </c>
      <c r="F7911" t="s">
        <v>44</v>
      </c>
      <c r="G7911">
        <v>-187.90559999999999</v>
      </c>
      <c r="H7911" s="1">
        <v>-1.0162210000000001E-6</v>
      </c>
      <c r="I7911">
        <v>110.99679999999999</v>
      </c>
      <c r="J7911">
        <v>-187.53579999999999</v>
      </c>
      <c r="K7911">
        <v>1.110411</v>
      </c>
      <c r="L7911">
        <v>18.93573</v>
      </c>
      <c r="M7911">
        <v>-7.453276E-3</v>
      </c>
      <c r="N7911">
        <v>-1.1165929999999999E-2</v>
      </c>
      <c r="O7911">
        <v>0.99990990000000002</v>
      </c>
      <c r="P7911">
        <v>-6.1103379999999999E-2</v>
      </c>
      <c r="Q7911">
        <v>0.21090780000000001</v>
      </c>
      <c r="R7911">
        <v>0.97559430000000003</v>
      </c>
      <c r="S7911">
        <v>-1.24054E-2</v>
      </c>
      <c r="T7911">
        <v>-3.7053229999999999E-2</v>
      </c>
      <c r="U7911">
        <v>3.0818789999999998</v>
      </c>
      <c r="V7911">
        <v>-5.3644949999999997E-2</v>
      </c>
      <c r="W7911">
        <v>0.22183739999999999</v>
      </c>
      <c r="X7911">
        <v>0.97360690000000005</v>
      </c>
      <c r="Y7911">
        <v>3.4281120000000001E-3</v>
      </c>
      <c r="Z7911">
        <v>-8.5577169999999998E-4</v>
      </c>
      <c r="AA7911">
        <v>0.99999369999999999</v>
      </c>
      <c r="AB7911">
        <v>29</v>
      </c>
      <c r="AC7911">
        <v>-0.36979999999999702</v>
      </c>
      <c r="AD7911">
        <v>-1.1104120162210001</v>
      </c>
      <c r="AE7911">
        <v>92.061070000000001</v>
      </c>
      <c r="AF7911">
        <v>0.316363576688871</v>
      </c>
      <c r="AG7911">
        <v>-1.1104120162210001</v>
      </c>
      <c r="AH7911">
        <v>92.047877672550001</v>
      </c>
      <c r="AI7911">
        <v>90.691145325675606</v>
      </c>
      <c r="AJ7911">
        <v>89.803078280326602</v>
      </c>
      <c r="AK7911">
        <v>92.055118732089795</v>
      </c>
      <c r="AL7911">
        <v>77.183024763509806</v>
      </c>
      <c r="AM7911">
        <v>93.153762005340198</v>
      </c>
      <c r="AN7911">
        <v>1.00000000421343</v>
      </c>
    </row>
    <row r="7912" spans="1:40" x14ac:dyDescent="0.25">
      <c r="A7912" t="str">
        <f>"20190304154948586"</f>
        <v>20190304154948586</v>
      </c>
      <c r="B7912" t="str">
        <f>"1551685788575381"</f>
        <v>1551685788575381</v>
      </c>
      <c r="C7912" t="s">
        <v>40</v>
      </c>
      <c r="D7912">
        <v>4.4136610000000003</v>
      </c>
      <c r="E7912">
        <v>0.52024269999999995</v>
      </c>
      <c r="F7912" t="s">
        <v>44</v>
      </c>
      <c r="G7912">
        <v>-187.9682</v>
      </c>
      <c r="H7912" s="1">
        <v>-3.7890789999999999E-6</v>
      </c>
      <c r="I7912">
        <v>117.6251</v>
      </c>
      <c r="J7912">
        <v>-187.53739999999999</v>
      </c>
      <c r="K7912">
        <v>1.1104259999999999</v>
      </c>
      <c r="L7912">
        <v>19.221340000000001</v>
      </c>
      <c r="M7912">
        <v>-7.055698E-3</v>
      </c>
      <c r="N7912">
        <v>-1.1167180000000001E-2</v>
      </c>
      <c r="O7912">
        <v>0.99991269999999999</v>
      </c>
      <c r="P7912">
        <v>-6.1059679999999998E-2</v>
      </c>
      <c r="Q7912">
        <v>0.21287829999999999</v>
      </c>
      <c r="R7912">
        <v>0.97516899999999995</v>
      </c>
      <c r="S7912">
        <v>-1.350403E-2</v>
      </c>
      <c r="T7912">
        <v>-3.4674049999999998E-2</v>
      </c>
      <c r="U7912">
        <v>3.081696</v>
      </c>
      <c r="V7912">
        <v>-5.3995170000000002E-2</v>
      </c>
      <c r="W7912">
        <v>0.22380330000000001</v>
      </c>
      <c r="X7912">
        <v>0.97313749999999999</v>
      </c>
      <c r="Y7912">
        <v>2.673875E-3</v>
      </c>
      <c r="Z7912" s="1">
        <v>-8.3406730000000004E-5</v>
      </c>
      <c r="AA7912">
        <v>0.99999640000000001</v>
      </c>
      <c r="AB7912">
        <v>29</v>
      </c>
      <c r="AC7912">
        <v>-0.43080000000000401</v>
      </c>
      <c r="AD7912">
        <v>-1.11042978907899</v>
      </c>
      <c r="AE7912">
        <v>98.403759999999906</v>
      </c>
      <c r="AF7912">
        <v>0.26352771294305399</v>
      </c>
      <c r="AG7912">
        <v>-1.11042978907899</v>
      </c>
      <c r="AH7912">
        <v>98.391821236549106</v>
      </c>
      <c r="AI7912">
        <v>90.646598572888195</v>
      </c>
      <c r="AJ7912">
        <v>89.846542228386497</v>
      </c>
      <c r="AK7912">
        <v>98.398439964345997</v>
      </c>
      <c r="AL7912">
        <v>77.067482047981898</v>
      </c>
      <c r="AM7912">
        <v>93.175837327214097</v>
      </c>
      <c r="AN7912">
        <v>0.99999999469023404</v>
      </c>
    </row>
    <row r="7913" spans="1:40" x14ac:dyDescent="0.25">
      <c r="A7913" t="str">
        <f>"20190304154948609"</f>
        <v>20190304154948609</v>
      </c>
      <c r="B7913" t="str">
        <f>"1551685788605635"</f>
        <v>1551685788605635</v>
      </c>
      <c r="C7913" t="s">
        <v>40</v>
      </c>
      <c r="D7913">
        <v>4.3835689999999996</v>
      </c>
      <c r="E7913">
        <v>0.51985859999999995</v>
      </c>
      <c r="F7913" t="s">
        <v>79</v>
      </c>
      <c r="G7913">
        <v>-188.12719999999999</v>
      </c>
      <c r="H7913" s="1">
        <v>-8.8074680000000008E-6</v>
      </c>
      <c r="I7913">
        <v>141.87739999999999</v>
      </c>
      <c r="J7913">
        <v>-187.53919999999999</v>
      </c>
      <c r="K7913">
        <v>1.1104400000000001</v>
      </c>
      <c r="L7913">
        <v>19.523769999999999</v>
      </c>
      <c r="M7913">
        <v>-6.64527E-3</v>
      </c>
      <c r="N7913">
        <v>-1.1168529999999999E-2</v>
      </c>
      <c r="O7913">
        <v>0.99991549999999996</v>
      </c>
      <c r="P7913">
        <v>-6.0479140000000001E-2</v>
      </c>
      <c r="Q7913">
        <v>0.2141082</v>
      </c>
      <c r="R7913">
        <v>0.97493589999999997</v>
      </c>
      <c r="S7913">
        <v>-1.4816279999999999E-2</v>
      </c>
      <c r="T7913">
        <v>-2.7897950000000001E-2</v>
      </c>
      <c r="U7913">
        <v>3.0815429999999999</v>
      </c>
      <c r="V7913">
        <v>-5.3819930000000002E-2</v>
      </c>
      <c r="W7913">
        <v>0.22503049999999999</v>
      </c>
      <c r="X7913">
        <v>0.97286419999999996</v>
      </c>
      <c r="Y7913">
        <v>1.8374999999999999E-3</v>
      </c>
      <c r="Z7913">
        <v>2.1159479999999999E-3</v>
      </c>
      <c r="AA7913">
        <v>0.99999610000000005</v>
      </c>
      <c r="AB7913">
        <v>29</v>
      </c>
      <c r="AC7913">
        <v>-0.58799999999999297</v>
      </c>
      <c r="AD7913">
        <v>-1.1104488074679999</v>
      </c>
      <c r="AE7913">
        <v>122.35363</v>
      </c>
      <c r="AF7913">
        <v>0.225118103231255</v>
      </c>
      <c r="AG7913">
        <v>-1.1104488074679999</v>
      </c>
      <c r="AH7913">
        <v>122.344758578267</v>
      </c>
      <c r="AI7913">
        <v>90.5200237102719</v>
      </c>
      <c r="AJ7913">
        <v>89.894574129693794</v>
      </c>
      <c r="AK7913">
        <v>122.350005011397</v>
      </c>
      <c r="AL7913">
        <v>76.995328734643707</v>
      </c>
      <c r="AM7913">
        <v>93.166438688165201</v>
      </c>
      <c r="AN7913">
        <v>1.00000003121854</v>
      </c>
    </row>
    <row r="7914" spans="1:40" x14ac:dyDescent="0.25">
      <c r="A7914" t="str">
        <f>"20190304154948631"</f>
        <v>20190304154948631</v>
      </c>
      <c r="B7914" t="str">
        <f>"1551685788625154"</f>
        <v>1551685788625154</v>
      </c>
      <c r="C7914" t="s">
        <v>40</v>
      </c>
      <c r="D7914">
        <v>4.4897019999999896</v>
      </c>
      <c r="E7914">
        <v>0.51968149999999902</v>
      </c>
      <c r="F7914" t="s">
        <v>79</v>
      </c>
      <c r="G7914">
        <v>-188.29810000000001</v>
      </c>
      <c r="H7914" s="1">
        <v>-1.3583E-5</v>
      </c>
      <c r="I7914">
        <v>156.3657</v>
      </c>
      <c r="J7914">
        <v>-187.54060000000001</v>
      </c>
      <c r="K7914">
        <v>1.110436</v>
      </c>
      <c r="L7914">
        <v>19.800809999999998</v>
      </c>
      <c r="M7914">
        <v>-6.2756729999999998E-3</v>
      </c>
      <c r="N7914">
        <v>-1.1169760000000001E-2</v>
      </c>
      <c r="O7914">
        <v>0.99991790000000003</v>
      </c>
      <c r="P7914">
        <v>-6.0119159999999998E-2</v>
      </c>
      <c r="Q7914">
        <v>0.21462980000000001</v>
      </c>
      <c r="R7914">
        <v>0.97484340000000003</v>
      </c>
      <c r="S7914">
        <v>-1.7089839999999999E-2</v>
      </c>
      <c r="T7914">
        <v>-2.500629E-2</v>
      </c>
      <c r="U7914">
        <v>3.0815429999999999</v>
      </c>
      <c r="V7914">
        <v>-5.3823009999999998E-2</v>
      </c>
      <c r="W7914">
        <v>0.2255518</v>
      </c>
      <c r="X7914">
        <v>0.97274329999999998</v>
      </c>
      <c r="Y7914">
        <v>7.302376E-4</v>
      </c>
      <c r="Z7914">
        <v>3.0554169999999999E-3</v>
      </c>
      <c r="AA7914">
        <v>0.99999510000000003</v>
      </c>
      <c r="AB7914">
        <v>29</v>
      </c>
      <c r="AC7914">
        <v>-0.75749999999999296</v>
      </c>
      <c r="AD7914">
        <v>-1.1104495830000001</v>
      </c>
      <c r="AE7914">
        <v>136.56488999999999</v>
      </c>
      <c r="AF7914">
        <v>9.9598414631186197E-2</v>
      </c>
      <c r="AG7914">
        <v>-1.1104495830000001</v>
      </c>
      <c r="AH7914">
        <v>136.55792585978199</v>
      </c>
      <c r="AI7914">
        <v>90.465902325529299</v>
      </c>
      <c r="AJ7914">
        <v>89.958211376185105</v>
      </c>
      <c r="AK7914">
        <v>136.56247703247899</v>
      </c>
      <c r="AL7914">
        <v>76.964672288751899</v>
      </c>
      <c r="AM7914">
        <v>93.167012298592795</v>
      </c>
      <c r="AN7914">
        <v>1.0000000292917901</v>
      </c>
    </row>
    <row r="7915" spans="1:40" x14ac:dyDescent="0.25">
      <c r="A7915" t="str">
        <f>"20190304154948653"</f>
        <v>20190304154948653</v>
      </c>
      <c r="B7915" t="str">
        <f>"1551685788644674"</f>
        <v>1551685788644674</v>
      </c>
      <c r="C7915" t="s">
        <v>40</v>
      </c>
      <c r="D7915">
        <v>4.3893979999999999</v>
      </c>
      <c r="E7915">
        <v>0.51972370000000001</v>
      </c>
      <c r="F7915" t="s">
        <v>44</v>
      </c>
      <c r="G7915">
        <v>-188.3389</v>
      </c>
      <c r="H7915" s="1">
        <v>-5.3250939999999999E-7</v>
      </c>
      <c r="I7915">
        <v>159.8802</v>
      </c>
      <c r="J7915">
        <v>-187.542</v>
      </c>
      <c r="K7915">
        <v>1.1104320000000001</v>
      </c>
      <c r="L7915">
        <v>20.092739999999999</v>
      </c>
      <c r="M7915">
        <v>-5.8890649999999998E-3</v>
      </c>
      <c r="N7915">
        <v>-1.117104E-2</v>
      </c>
      <c r="O7915">
        <v>0.99992020000000004</v>
      </c>
      <c r="P7915">
        <v>-5.9553799999999997E-2</v>
      </c>
      <c r="Q7915">
        <v>0.21375359999999999</v>
      </c>
      <c r="R7915">
        <v>0.97507069999999996</v>
      </c>
      <c r="S7915">
        <v>-1.7562870000000001E-2</v>
      </c>
      <c r="T7915">
        <v>-2.442944E-2</v>
      </c>
      <c r="U7915">
        <v>3.0817260000000002</v>
      </c>
      <c r="V7915">
        <v>-5.3635589999999997E-2</v>
      </c>
      <c r="W7915">
        <v>0.22467870000000001</v>
      </c>
      <c r="X7915">
        <v>0.97295560000000003</v>
      </c>
      <c r="Y7915">
        <v>1.9050259999999999E-4</v>
      </c>
      <c r="Z7915">
        <v>3.2443200000000002E-3</v>
      </c>
      <c r="AA7915">
        <v>0.99999470000000001</v>
      </c>
      <c r="AB7915">
        <v>29</v>
      </c>
      <c r="AC7915">
        <v>-0.79689999999999295</v>
      </c>
      <c r="AD7915">
        <v>-1.11043253250939</v>
      </c>
      <c r="AE7915">
        <v>139.78746000000001</v>
      </c>
      <c r="AF7915">
        <v>2.6381013901085701E-2</v>
      </c>
      <c r="AG7915">
        <v>-1.11043253250939</v>
      </c>
      <c r="AH7915">
        <v>139.78090870890099</v>
      </c>
      <c r="AI7915">
        <v>90.455153415896405</v>
      </c>
      <c r="AJ7915">
        <v>89.989186500847495</v>
      </c>
      <c r="AK7915">
        <v>139.78532181832699</v>
      </c>
      <c r="AL7915">
        <v>77.016014009007407</v>
      </c>
      <c r="AM7915">
        <v>93.155319354163396</v>
      </c>
      <c r="AN7915">
        <v>0.99999994715984697</v>
      </c>
    </row>
    <row r="7916" spans="1:40" x14ac:dyDescent="0.25">
      <c r="A7916" t="str">
        <f>"20190304154948675"</f>
        <v>20190304154948675</v>
      </c>
      <c r="B7916" t="str">
        <f>"1551685788665170"</f>
        <v>1551685788665170</v>
      </c>
      <c r="C7916" t="s">
        <v>40</v>
      </c>
      <c r="D7916">
        <v>4.3800629999999998</v>
      </c>
      <c r="E7916">
        <v>0.5196925</v>
      </c>
      <c r="F7916" t="s">
        <v>79</v>
      </c>
      <c r="G7916">
        <v>-188.19890000000001</v>
      </c>
      <c r="H7916" s="1">
        <v>-1.0631030000000001E-5</v>
      </c>
      <c r="I7916">
        <v>148.7809</v>
      </c>
      <c r="J7916">
        <v>-187.54320000000001</v>
      </c>
      <c r="K7916">
        <v>1.1104290000000001</v>
      </c>
      <c r="L7916">
        <v>20.38101</v>
      </c>
      <c r="M7916">
        <v>-5.5078189999999997E-3</v>
      </c>
      <c r="N7916">
        <v>-1.1172339999999999E-2</v>
      </c>
      <c r="O7916">
        <v>0.99992239999999999</v>
      </c>
      <c r="P7916">
        <v>-5.8465700000000002E-2</v>
      </c>
      <c r="Q7916">
        <v>0.21346479999999901</v>
      </c>
      <c r="R7916">
        <v>0.97519979999999995</v>
      </c>
      <c r="S7916">
        <v>-1.5731809999999999E-2</v>
      </c>
      <c r="T7916">
        <v>-2.6590699999999998E-2</v>
      </c>
      <c r="U7916">
        <v>3.0815730000000001</v>
      </c>
      <c r="V7916">
        <v>-5.2919590000000002E-2</v>
      </c>
      <c r="W7916">
        <v>0.2243916</v>
      </c>
      <c r="X7916">
        <v>0.97306110000000001</v>
      </c>
      <c r="Y7916">
        <v>4.030843E-4</v>
      </c>
      <c r="Z7916">
        <v>2.5439439999999998E-3</v>
      </c>
      <c r="AA7916">
        <v>0.99999669999999896</v>
      </c>
      <c r="AB7916">
        <v>29</v>
      </c>
      <c r="AC7916">
        <v>-0.65569999999999595</v>
      </c>
      <c r="AD7916">
        <v>-1.11043963103</v>
      </c>
      <c r="AE7916">
        <v>128.39989</v>
      </c>
      <c r="AF7916">
        <v>5.1553599093695203E-2</v>
      </c>
      <c r="AG7916">
        <v>-1.11043963103</v>
      </c>
      <c r="AH7916">
        <v>128.39195130934601</v>
      </c>
      <c r="AI7916">
        <v>90.495528825315006</v>
      </c>
      <c r="AJ7916">
        <v>89.976993857808694</v>
      </c>
      <c r="AK7916">
        <v>128.39676356890499</v>
      </c>
      <c r="AL7916">
        <v>77.032895207603602</v>
      </c>
      <c r="AM7916">
        <v>93.112944446051401</v>
      </c>
      <c r="AN7916">
        <v>0.99999998874476803</v>
      </c>
    </row>
    <row r="7917" spans="1:40" x14ac:dyDescent="0.25">
      <c r="A7917" t="str">
        <f>"20190304154948697"</f>
        <v>20190304154948697</v>
      </c>
      <c r="B7917" t="str">
        <f>"1551685788684693"</f>
        <v>1551685788684693</v>
      </c>
      <c r="C7917" t="s">
        <v>40</v>
      </c>
      <c r="D7917">
        <v>4.4056930000000003</v>
      </c>
      <c r="E7917">
        <v>0.5196383</v>
      </c>
      <c r="F7917" t="s">
        <v>79</v>
      </c>
      <c r="G7917">
        <v>-188.08690000000001</v>
      </c>
      <c r="H7917" s="1">
        <v>-1.1169020000000001E-5</v>
      </c>
      <c r="I7917">
        <v>150.77189999999999</v>
      </c>
      <c r="J7917">
        <v>-187.54429999999999</v>
      </c>
      <c r="K7917">
        <v>1.110412</v>
      </c>
      <c r="L7917">
        <v>20.656310000000001</v>
      </c>
      <c r="M7917">
        <v>-5.1429780000000003E-3</v>
      </c>
      <c r="N7917">
        <v>-1.117363E-2</v>
      </c>
      <c r="O7917">
        <v>0.99992440000000005</v>
      </c>
      <c r="P7917">
        <v>-5.7849999999999999E-2</v>
      </c>
      <c r="Q7917">
        <v>0.21128069999999999</v>
      </c>
      <c r="R7917">
        <v>0.97571189999999997</v>
      </c>
      <c r="S7917">
        <v>-1.2847900000000001E-2</v>
      </c>
      <c r="T7917">
        <v>-2.624083E-2</v>
      </c>
      <c r="U7917">
        <v>3.0812680000000001</v>
      </c>
      <c r="V7917">
        <v>-5.2658860000000002E-2</v>
      </c>
      <c r="W7917">
        <v>0.22221360000000001</v>
      </c>
      <c r="X7917">
        <v>0.97357490000000002</v>
      </c>
      <c r="Y7917">
        <v>9.7357439999999997E-4</v>
      </c>
      <c r="Z7917">
        <v>2.6579149999999998E-3</v>
      </c>
      <c r="AA7917">
        <v>0.999996</v>
      </c>
      <c r="AB7917">
        <v>29</v>
      </c>
      <c r="AC7917">
        <v>-0.54260000000002095</v>
      </c>
      <c r="AD7917">
        <v>-1.1104231690199999</v>
      </c>
      <c r="AE7917">
        <v>130.11559</v>
      </c>
      <c r="AF7917">
        <v>0.12662131399618701</v>
      </c>
      <c r="AG7917">
        <v>-1.1104231690199999</v>
      </c>
      <c r="AH7917">
        <v>130.107184017652</v>
      </c>
      <c r="AI7917">
        <v>90.488989033980104</v>
      </c>
      <c r="AJ7917">
        <v>89.944239323502998</v>
      </c>
      <c r="AK7917">
        <v>130.11198409668</v>
      </c>
      <c r="AL7917">
        <v>77.160917792074798</v>
      </c>
      <c r="AM7917">
        <v>93.096005611052107</v>
      </c>
      <c r="AN7917">
        <v>0.99999996273573399</v>
      </c>
    </row>
    <row r="7918" spans="1:40" x14ac:dyDescent="0.25">
      <c r="A7918" t="str">
        <f>"20190304154948719"</f>
        <v>20190304154948719</v>
      </c>
      <c r="B7918" t="str">
        <f>"1551685788714946"</f>
        <v>1551685788714946</v>
      </c>
      <c r="C7918" t="s">
        <v>40</v>
      </c>
      <c r="D7918">
        <v>4.4236190000000004</v>
      </c>
      <c r="E7918">
        <v>0.51993529999999999</v>
      </c>
      <c r="F7918" t="s">
        <v>79</v>
      </c>
      <c r="G7918">
        <v>-187.9452</v>
      </c>
      <c r="H7918" s="1">
        <v>-4.3397710000000002E-6</v>
      </c>
      <c r="I7918">
        <v>128.12710000000001</v>
      </c>
      <c r="J7918">
        <v>-187.5454</v>
      </c>
      <c r="K7918">
        <v>1.1104069999999999</v>
      </c>
      <c r="L7918">
        <v>20.943390000000001</v>
      </c>
      <c r="M7918">
        <v>-4.7616330000000004E-3</v>
      </c>
      <c r="N7918">
        <v>-1.1175030000000001E-2</v>
      </c>
      <c r="O7918">
        <v>0.99992619999999999</v>
      </c>
      <c r="P7918">
        <v>-5.7117649999999999E-2</v>
      </c>
      <c r="Q7918">
        <v>0.21063999999999999</v>
      </c>
      <c r="R7918">
        <v>0.97589360000000003</v>
      </c>
      <c r="S7918">
        <v>-1.1489869999999999E-2</v>
      </c>
      <c r="T7918">
        <v>-3.1832699999999998E-2</v>
      </c>
      <c r="U7918">
        <v>3.080902</v>
      </c>
      <c r="V7918">
        <v>-5.2298499999999998E-2</v>
      </c>
      <c r="W7918">
        <v>0.22157569999999999</v>
      </c>
      <c r="X7918">
        <v>0.97373969999999999</v>
      </c>
      <c r="Y7918">
        <v>0</v>
      </c>
      <c r="Z7918">
        <v>0</v>
      </c>
      <c r="AA7918">
        <v>1</v>
      </c>
      <c r="AB7918">
        <v>29</v>
      </c>
      <c r="AC7918">
        <v>-0.39979999999999899</v>
      </c>
      <c r="AD7918">
        <v>-1.11041133977099</v>
      </c>
      <c r="AE7918">
        <v>107.18371</v>
      </c>
      <c r="AF7918">
        <v>0.110594034982615</v>
      </c>
      <c r="AG7918">
        <v>-1.11041133977099</v>
      </c>
      <c r="AH7918">
        <v>107.17289614740299</v>
      </c>
      <c r="AI7918">
        <v>90.593616252562995</v>
      </c>
      <c r="AJ7918">
        <v>89.940875263966703</v>
      </c>
      <c r="AK7918">
        <v>107.17870550163499</v>
      </c>
      <c r="AL7918">
        <v>77.198401221228906</v>
      </c>
      <c r="AM7918">
        <v>93.074340129796298</v>
      </c>
      <c r="AN7918">
        <v>0.99999996364441401</v>
      </c>
    </row>
    <row r="7919" spans="1:40" x14ac:dyDescent="0.25">
      <c r="A7919" t="str">
        <f>"20190304154948743"</f>
        <v>20190304154948743</v>
      </c>
      <c r="B7919" t="str">
        <f>"1551685788735442"</f>
        <v>1551685788735442</v>
      </c>
      <c r="C7919" t="s">
        <v>40</v>
      </c>
      <c r="D7919">
        <v>4.5473699999999999</v>
      </c>
      <c r="E7919">
        <v>0.52003319999999997</v>
      </c>
      <c r="F7919" t="s">
        <v>79</v>
      </c>
      <c r="G7919">
        <v>-187.7533</v>
      </c>
      <c r="H7919" s="1">
        <v>-4.8757440000000001E-6</v>
      </c>
      <c r="I7919">
        <v>129.37039999999999</v>
      </c>
      <c r="J7919">
        <v>-187.54640000000001</v>
      </c>
      <c r="K7919">
        <v>1.1104130000000001</v>
      </c>
      <c r="L7919">
        <v>21.255099999999999</v>
      </c>
      <c r="M7919">
        <v>-4.3464630000000001E-3</v>
      </c>
      <c r="N7919">
        <v>-1.117665E-2</v>
      </c>
      <c r="O7919">
        <v>0.99992809999999999</v>
      </c>
      <c r="P7919">
        <v>-5.6613450000000003E-2</v>
      </c>
      <c r="Q7919">
        <v>0.2114509</v>
      </c>
      <c r="R7919">
        <v>0.97574760000000005</v>
      </c>
      <c r="S7919">
        <v>-5.905151E-3</v>
      </c>
      <c r="T7919">
        <v>-3.1548380000000001E-2</v>
      </c>
      <c r="U7919">
        <v>3.0805660000000001</v>
      </c>
      <c r="V7919">
        <v>-5.2199479999999999E-2</v>
      </c>
      <c r="W7919">
        <v>0.22238649999999999</v>
      </c>
      <c r="X7919">
        <v>0.97356019999999999</v>
      </c>
      <c r="Y7919">
        <v>2.429554E-3</v>
      </c>
      <c r="Z7919">
        <v>9.3626620000000001E-4</v>
      </c>
      <c r="AA7919">
        <v>0.99999660000000001</v>
      </c>
      <c r="AB7919">
        <v>29</v>
      </c>
      <c r="AC7919">
        <v>-0.20689999999999001</v>
      </c>
      <c r="AD7919">
        <v>-1.110417875744</v>
      </c>
      <c r="AE7919">
        <v>108.1153</v>
      </c>
      <c r="AF7919">
        <v>0.26302271036271802</v>
      </c>
      <c r="AG7919">
        <v>-1.110417875744</v>
      </c>
      <c r="AH7919">
        <v>108.10377447242401</v>
      </c>
      <c r="AI7919">
        <v>90.588507037354702</v>
      </c>
      <c r="AJ7919">
        <v>89.860596343130695</v>
      </c>
      <c r="AK7919">
        <v>108.10979726181</v>
      </c>
      <c r="AL7919">
        <v>77.150757627888595</v>
      </c>
      <c r="AM7919">
        <v>93.069095103381599</v>
      </c>
      <c r="AN7919">
        <v>1.0000000020592801</v>
      </c>
    </row>
    <row r="7920" spans="1:40" x14ac:dyDescent="0.25">
      <c r="A7920" t="str">
        <f>"20190304154948765"</f>
        <v>20190304154948765</v>
      </c>
      <c r="B7920" t="str">
        <f>"1551685788754965"</f>
        <v>1551685788754965</v>
      </c>
      <c r="C7920" t="s">
        <v>40</v>
      </c>
      <c r="D7920">
        <v>4.3834</v>
      </c>
      <c r="E7920">
        <v>0.52028560000000001</v>
      </c>
      <c r="F7920" t="s">
        <v>79</v>
      </c>
      <c r="G7920">
        <v>-187.67869999999999</v>
      </c>
      <c r="H7920" s="1">
        <v>-9.4881009999999992E-6</v>
      </c>
      <c r="I7920">
        <v>144.309</v>
      </c>
      <c r="J7920">
        <v>-187.54730000000001</v>
      </c>
      <c r="K7920">
        <v>1.110425</v>
      </c>
      <c r="L7920">
        <v>21.543430000000001</v>
      </c>
      <c r="M7920">
        <v>-3.9613169999999998E-3</v>
      </c>
      <c r="N7920">
        <v>-1.117811E-2</v>
      </c>
      <c r="O7920">
        <v>0.99992970000000003</v>
      </c>
      <c r="P7920">
        <v>-5.7258610000000001E-2</v>
      </c>
      <c r="Q7920">
        <v>0.211729</v>
      </c>
      <c r="R7920">
        <v>0.97564969999999995</v>
      </c>
      <c r="S7920">
        <v>-3.3111569999999999E-3</v>
      </c>
      <c r="T7920">
        <v>-2.7796979999999999E-2</v>
      </c>
      <c r="U7920">
        <v>3.0803829999999999</v>
      </c>
      <c r="V7920">
        <v>-5.322052E-2</v>
      </c>
      <c r="W7920">
        <v>0.22266540000000001</v>
      </c>
      <c r="X7920">
        <v>0.97344120000000001</v>
      </c>
      <c r="Y7920">
        <v>2.8863299999999999E-3</v>
      </c>
      <c r="Z7920">
        <v>2.1548180000000002E-3</v>
      </c>
      <c r="AA7920">
        <v>0.99999349999999998</v>
      </c>
      <c r="AB7920">
        <v>29</v>
      </c>
      <c r="AC7920">
        <v>-0.131399999999985</v>
      </c>
      <c r="AD7920">
        <v>-1.110434488101</v>
      </c>
      <c r="AE7920">
        <v>122.76557</v>
      </c>
      <c r="AF7920">
        <v>0.35491570702359598</v>
      </c>
      <c r="AG7920">
        <v>-1.110434488101</v>
      </c>
      <c r="AH7920">
        <v>122.755084014215</v>
      </c>
      <c r="AI7920">
        <v>90.5182775840468</v>
      </c>
      <c r="AJ7920">
        <v>89.834344006228804</v>
      </c>
      <c r="AK7920">
        <v>122.76061942352899</v>
      </c>
      <c r="AL7920">
        <v>77.134367322563406</v>
      </c>
      <c r="AM7920">
        <v>93.129391273368597</v>
      </c>
      <c r="AN7920">
        <v>1.00000003698183</v>
      </c>
    </row>
    <row r="7921" spans="1:40" x14ac:dyDescent="0.25">
      <c r="A7921" t="str">
        <f>"20190304154948787"</f>
        <v>20190304154948787</v>
      </c>
      <c r="B7921" t="str">
        <f>"1551685788775461"</f>
        <v>1551685788775461</v>
      </c>
      <c r="C7921" t="s">
        <v>40</v>
      </c>
      <c r="D7921">
        <v>4.3258099999999997</v>
      </c>
      <c r="E7921">
        <v>0.52050699999999905</v>
      </c>
      <c r="F7921" t="s">
        <v>44</v>
      </c>
      <c r="G7921">
        <v>-187.6814</v>
      </c>
      <c r="H7921" s="1">
        <v>-6.1834359999999899E-7</v>
      </c>
      <c r="I7921">
        <v>159.6481</v>
      </c>
      <c r="J7921">
        <v>-187.548</v>
      </c>
      <c r="K7921">
        <v>1.1104339999999999</v>
      </c>
      <c r="L7921">
        <v>21.821560000000002</v>
      </c>
      <c r="M7921">
        <v>-3.5893980000000002E-3</v>
      </c>
      <c r="N7921">
        <v>-1.117951E-2</v>
      </c>
      <c r="O7921">
        <v>0.99993100000000001</v>
      </c>
      <c r="P7921">
        <v>-5.7692090000000001E-2</v>
      </c>
      <c r="Q7921">
        <v>0.21290600000000001</v>
      </c>
      <c r="R7921">
        <v>0.97536800000000001</v>
      </c>
      <c r="S7921">
        <v>-2.9907229999999998E-3</v>
      </c>
      <c r="T7921">
        <v>-2.4765249999999999E-2</v>
      </c>
      <c r="U7921">
        <v>3.0800779999999999</v>
      </c>
      <c r="V7921">
        <v>-5.4016479999999999E-2</v>
      </c>
      <c r="W7921">
        <v>0.2238414</v>
      </c>
      <c r="X7921">
        <v>0.97312750000000003</v>
      </c>
      <c r="Y7921">
        <v>2.6183619999999999E-3</v>
      </c>
      <c r="Z7921">
        <v>3.139527E-3</v>
      </c>
      <c r="AA7921">
        <v>0.99999170000000004</v>
      </c>
      <c r="AB7921">
        <v>29</v>
      </c>
      <c r="AC7921">
        <v>-0.133399999999994</v>
      </c>
      <c r="AD7921">
        <v>-1.1104346183436</v>
      </c>
      <c r="AE7921">
        <v>137.82653999999999</v>
      </c>
      <c r="AF7921">
        <v>0.36132266270006003</v>
      </c>
      <c r="AG7921">
        <v>-1.1104346183436</v>
      </c>
      <c r="AH7921">
        <v>137.81718499476099</v>
      </c>
      <c r="AI7921">
        <v>90.461637796904498</v>
      </c>
      <c r="AJ7921">
        <v>89.849784943850295</v>
      </c>
      <c r="AK7921">
        <v>137.82213210870199</v>
      </c>
      <c r="AL7921">
        <v>77.065241559947097</v>
      </c>
      <c r="AM7921">
        <v>93.1771207329882</v>
      </c>
      <c r="AN7921">
        <v>0.99999994186089802</v>
      </c>
    </row>
    <row r="7922" spans="1:40" x14ac:dyDescent="0.25">
      <c r="A7922" t="str">
        <f>"20190304154948810"</f>
        <v>20190304154948810</v>
      </c>
      <c r="B7922" t="str">
        <f>"1551685788804738"</f>
        <v>1551685788804738</v>
      </c>
      <c r="C7922" t="s">
        <v>40</v>
      </c>
      <c r="D7922">
        <v>4.3440059999999896</v>
      </c>
      <c r="E7922">
        <v>0.52091869999999996</v>
      </c>
      <c r="F7922" t="s">
        <v>44</v>
      </c>
      <c r="G7922">
        <v>-187.69059999999999</v>
      </c>
      <c r="H7922" s="1">
        <v>-3.2684549999999999E-6</v>
      </c>
      <c r="I7922">
        <v>196.29669999999999</v>
      </c>
      <c r="J7922">
        <v>-187.54859999999999</v>
      </c>
      <c r="K7922">
        <v>1.1104430000000001</v>
      </c>
      <c r="L7922">
        <v>22.125640000000001</v>
      </c>
      <c r="M7922">
        <v>-3.182364E-3</v>
      </c>
      <c r="N7922">
        <v>-1.1181099999999999E-2</v>
      </c>
      <c r="O7922">
        <v>0.99993240000000005</v>
      </c>
      <c r="P7922">
        <v>-5.7935939999999998E-2</v>
      </c>
      <c r="Q7922">
        <v>0.21578919999999999</v>
      </c>
      <c r="R7922">
        <v>0.97471969999999997</v>
      </c>
      <c r="S7922">
        <v>-2.5176999999999999E-3</v>
      </c>
      <c r="T7922">
        <v>-1.9601819999999999E-2</v>
      </c>
      <c r="U7922">
        <v>3.079895</v>
      </c>
      <c r="V7922">
        <v>-5.4657070000000002E-2</v>
      </c>
      <c r="W7922">
        <v>0.226719</v>
      </c>
      <c r="X7922">
        <v>0.9724254</v>
      </c>
      <c r="Y7922">
        <v>2.364882E-3</v>
      </c>
      <c r="Z7922">
        <v>4.8170039999999997E-3</v>
      </c>
      <c r="AA7922">
        <v>0.99998560000000003</v>
      </c>
      <c r="AB7922">
        <v>29</v>
      </c>
      <c r="AC7922">
        <v>-0.14199999999999499</v>
      </c>
      <c r="AD7922">
        <v>-1.1104462684550001</v>
      </c>
      <c r="AE7922">
        <v>174.17105999999899</v>
      </c>
      <c r="AF7922">
        <v>0.412294335571393</v>
      </c>
      <c r="AG7922">
        <v>-1.1104462684550001</v>
      </c>
      <c r="AH7922">
        <v>174.16355039857001</v>
      </c>
      <c r="AI7922">
        <v>90.365305163012593</v>
      </c>
      <c r="AJ7922">
        <v>89.864364953722998</v>
      </c>
      <c r="AK7922">
        <v>174.16757839784501</v>
      </c>
      <c r="AL7922">
        <v>76.896018230858601</v>
      </c>
      <c r="AM7922">
        <v>93.217036331959903</v>
      </c>
      <c r="AN7922">
        <v>1.00000002941357</v>
      </c>
    </row>
    <row r="7923" spans="1:40" x14ac:dyDescent="0.25">
      <c r="A7923" t="str">
        <f>"20190304154948834"</f>
        <v>20190304154948834</v>
      </c>
      <c r="B7923" t="str">
        <f>"1551685788825235"</f>
        <v>1551685788825235</v>
      </c>
      <c r="C7923" t="s">
        <v>40</v>
      </c>
      <c r="D7923">
        <v>4.3173069999999996</v>
      </c>
      <c r="E7923">
        <v>0.52109240000000001</v>
      </c>
      <c r="F7923" t="s">
        <v>44</v>
      </c>
      <c r="G7923">
        <v>-187.5067</v>
      </c>
      <c r="H7923" s="1">
        <v>-3.6983490000000001E-6</v>
      </c>
      <c r="I7923">
        <v>347.22280000000001</v>
      </c>
      <c r="J7923">
        <v>-187.54910000000001</v>
      </c>
      <c r="K7923">
        <v>1.1104499999999999</v>
      </c>
      <c r="L7923">
        <v>22.420960000000001</v>
      </c>
      <c r="M7923">
        <v>-2.787192E-3</v>
      </c>
      <c r="N7923">
        <v>-1.1182650000000001E-2</v>
      </c>
      <c r="O7923">
        <v>0.99993359999999998</v>
      </c>
      <c r="P7923">
        <v>-5.8264419999999997E-2</v>
      </c>
      <c r="Q7923">
        <v>0.21831629999999999</v>
      </c>
      <c r="R7923">
        <v>0.97413720000000004</v>
      </c>
      <c r="S7923">
        <v>3.9672850000000001E-4</v>
      </c>
      <c r="T7923">
        <v>-1.0521050000000001E-2</v>
      </c>
      <c r="U7923">
        <v>3.0801699999999999</v>
      </c>
      <c r="V7923">
        <v>-5.5370460000000003E-2</v>
      </c>
      <c r="W7923">
        <v>0.2292409</v>
      </c>
      <c r="X7923">
        <v>0.97179349999999998</v>
      </c>
      <c r="Y7923">
        <v>2.9159250000000002E-3</v>
      </c>
      <c r="Z7923">
        <v>7.7671119999999996E-3</v>
      </c>
      <c r="AA7923">
        <v>0.99996560000000001</v>
      </c>
      <c r="AB7923">
        <v>29</v>
      </c>
      <c r="AC7923">
        <v>4.2400000000014801E-2</v>
      </c>
      <c r="AD7923">
        <v>-1.1104536983490001</v>
      </c>
      <c r="AE7923">
        <v>324.801839999999</v>
      </c>
      <c r="AF7923">
        <v>0.94773044555800101</v>
      </c>
      <c r="AG7923">
        <v>-1.1104536983490001</v>
      </c>
      <c r="AH7923">
        <v>324.796663622881</v>
      </c>
      <c r="AI7923">
        <v>90.195888069780395</v>
      </c>
      <c r="AJ7923">
        <v>89.832816015007793</v>
      </c>
      <c r="AK7923">
        <v>324.79994458276701</v>
      </c>
      <c r="AL7923">
        <v>76.747614734810597</v>
      </c>
      <c r="AM7923">
        <v>93.261050036756401</v>
      </c>
      <c r="AN7923">
        <v>0.99999994235783396</v>
      </c>
    </row>
    <row r="7924" spans="1:40" x14ac:dyDescent="0.25">
      <c r="A7924" t="str">
        <f>"20190304154948855"</f>
        <v>20190304154948855</v>
      </c>
      <c r="B7924" t="str">
        <f>"1551685788844754"</f>
        <v>1551685788844754</v>
      </c>
      <c r="C7924" t="s">
        <v>40</v>
      </c>
      <c r="D7924">
        <v>4.3644439999999998</v>
      </c>
      <c r="E7924">
        <v>0.52126890000000003</v>
      </c>
      <c r="F7924" t="s">
        <v>51</v>
      </c>
      <c r="G7924">
        <v>-187.49979999999999</v>
      </c>
      <c r="H7924">
        <v>0.93230060000000003</v>
      </c>
      <c r="I7924">
        <v>391.87</v>
      </c>
      <c r="J7924">
        <v>-187.54949999999999</v>
      </c>
      <c r="K7924">
        <v>1.110447</v>
      </c>
      <c r="L7924">
        <v>22.709230000000002</v>
      </c>
      <c r="M7924">
        <v>-2.4015970000000001E-3</v>
      </c>
      <c r="N7924">
        <v>-1.118417E-2</v>
      </c>
      <c r="O7924">
        <v>0.99993460000000001</v>
      </c>
      <c r="P7924">
        <v>-5.8892470000000002E-2</v>
      </c>
      <c r="Q7924">
        <v>0.2188522</v>
      </c>
      <c r="R7924">
        <v>0.97397920000000004</v>
      </c>
      <c r="S7924">
        <v>4.1198729999999999E-4</v>
      </c>
      <c r="T7924">
        <v>-1.485229E-3</v>
      </c>
      <c r="U7924">
        <v>3.0800169999999998</v>
      </c>
      <c r="V7924">
        <v>-5.6374220000000003E-2</v>
      </c>
      <c r="W7924">
        <v>0.2297775</v>
      </c>
      <c r="X7924">
        <v>0.9716091</v>
      </c>
      <c r="Y7924">
        <v>2.5353350000000001E-3</v>
      </c>
      <c r="Z7924">
        <v>1.070199E-2</v>
      </c>
      <c r="AA7924">
        <v>0.99993949999999998</v>
      </c>
      <c r="AB7924">
        <v>29</v>
      </c>
      <c r="AC7924">
        <v>4.9700000000001403E-2</v>
      </c>
      <c r="AD7924">
        <v>-0.17814640000000001</v>
      </c>
      <c r="AE7924">
        <v>369.16077000000001</v>
      </c>
      <c r="AF7924">
        <v>0.93633046495329197</v>
      </c>
      <c r="AG7924">
        <v>-0.17814640000000001</v>
      </c>
      <c r="AH7924">
        <v>369.15949993205601</v>
      </c>
      <c r="AI7924">
        <v>90.027649303980994</v>
      </c>
      <c r="AJ7924">
        <v>89.8546761797041</v>
      </c>
      <c r="AK7924">
        <v>369.16073036140301</v>
      </c>
      <c r="AL7924">
        <v>76.716027368144395</v>
      </c>
      <c r="AM7924">
        <v>93.320664231032794</v>
      </c>
      <c r="AN7924">
        <v>0.99999999769483405</v>
      </c>
    </row>
    <row r="7925" spans="1:40" x14ac:dyDescent="0.25">
      <c r="A7925" t="str">
        <f>"20190304154948876"</f>
        <v>20190304154948876</v>
      </c>
      <c r="B7925" t="str">
        <f>"1551685788865250"</f>
        <v>1551685788865250</v>
      </c>
      <c r="C7925" t="s">
        <v>40</v>
      </c>
      <c r="D7925">
        <v>4.3968089999999904</v>
      </c>
      <c r="E7925">
        <v>0.52149970000000001</v>
      </c>
      <c r="F7925" t="s">
        <v>51</v>
      </c>
      <c r="G7925">
        <v>-187.5386</v>
      </c>
      <c r="H7925">
        <v>1.1736869999999999</v>
      </c>
      <c r="I7925">
        <v>391.87</v>
      </c>
      <c r="J7925">
        <v>-187.5498</v>
      </c>
      <c r="K7925">
        <v>1.1104400000000001</v>
      </c>
      <c r="L7925">
        <v>22.989470000000001</v>
      </c>
      <c r="M7925">
        <v>-2.026903E-3</v>
      </c>
      <c r="N7925">
        <v>-1.118561E-2</v>
      </c>
      <c r="O7925">
        <v>0.99993540000000003</v>
      </c>
      <c r="P7925">
        <v>-5.950105E-2</v>
      </c>
      <c r="Q7925">
        <v>0.21804229999999999</v>
      </c>
      <c r="R7925">
        <v>0.97412379999999998</v>
      </c>
      <c r="S7925" s="1">
        <v>9.1552730000000004E-5</v>
      </c>
      <c r="T7925">
        <v>5.2762030000000001E-4</v>
      </c>
      <c r="U7925">
        <v>3.0800169999999998</v>
      </c>
      <c r="V7925">
        <v>-5.7347660000000002E-2</v>
      </c>
      <c r="W7925">
        <v>0.22897129999999999</v>
      </c>
      <c r="X7925">
        <v>0.97174249999999995</v>
      </c>
      <c r="Y7925">
        <v>2.0566260000000002E-3</v>
      </c>
      <c r="Z7925">
        <v>1.13569E-2</v>
      </c>
      <c r="AA7925">
        <v>0.99993339999999997</v>
      </c>
      <c r="AB7925">
        <v>29</v>
      </c>
      <c r="AC7925">
        <v>1.12000000000023E-2</v>
      </c>
      <c r="AD7925">
        <v>6.3247000000000206E-2</v>
      </c>
      <c r="AE7925">
        <v>368.880529999999</v>
      </c>
      <c r="AF7925">
        <v>0.75893177498966302</v>
      </c>
      <c r="AG7925">
        <v>6.3247000000000206E-2</v>
      </c>
      <c r="AH7925">
        <v>368.879738615061</v>
      </c>
      <c r="AI7925">
        <v>89.990176260492206</v>
      </c>
      <c r="AJ7925">
        <v>89.882120046888105</v>
      </c>
      <c r="AK7925">
        <v>368.88052474797001</v>
      </c>
      <c r="AL7925">
        <v>76.763485199273504</v>
      </c>
      <c r="AM7925">
        <v>93.377409406337406</v>
      </c>
      <c r="AN7925">
        <v>1.0000000483186999</v>
      </c>
    </row>
    <row r="7926" spans="1:40" x14ac:dyDescent="0.25">
      <c r="A7926" t="str">
        <f>"20190304154948898"</f>
        <v>20190304154948898</v>
      </c>
      <c r="B7926" t="str">
        <f>"1551685788895506"</f>
        <v>1551685788895506</v>
      </c>
      <c r="C7926" t="s">
        <v>40</v>
      </c>
      <c r="D7926">
        <v>4.4014490000000004</v>
      </c>
      <c r="E7926">
        <v>0.52184549999999996</v>
      </c>
      <c r="F7926" t="s">
        <v>51</v>
      </c>
      <c r="G7926">
        <v>-187.36160000000001</v>
      </c>
      <c r="H7926">
        <v>0.9236183</v>
      </c>
      <c r="I7926">
        <v>391.87</v>
      </c>
      <c r="J7926">
        <v>-187.55</v>
      </c>
      <c r="K7926">
        <v>1.1104339999999999</v>
      </c>
      <c r="L7926">
        <v>23.272310000000001</v>
      </c>
      <c r="M7926">
        <v>-1.6489650000000001E-3</v>
      </c>
      <c r="N7926">
        <v>-1.118705E-2</v>
      </c>
      <c r="O7926">
        <v>0.99993600000000005</v>
      </c>
      <c r="P7926">
        <v>-6.0106390000000003E-2</v>
      </c>
      <c r="Q7926">
        <v>0.21765499999999999</v>
      </c>
      <c r="R7926">
        <v>0.97417319999999996</v>
      </c>
      <c r="S7926">
        <v>1.5716549999999999E-3</v>
      </c>
      <c r="T7926">
        <v>-1.5599730000000001E-3</v>
      </c>
      <c r="U7926">
        <v>3.080139</v>
      </c>
      <c r="V7926">
        <v>-5.8320999999999998E-2</v>
      </c>
      <c r="W7926">
        <v>0.2285865</v>
      </c>
      <c r="X7926">
        <v>0.9717751</v>
      </c>
      <c r="Y7926">
        <v>2.1591510000000002E-3</v>
      </c>
      <c r="Z7926">
        <v>1.068062E-2</v>
      </c>
      <c r="AA7926">
        <v>0.99994059999999996</v>
      </c>
      <c r="AB7926">
        <v>29</v>
      </c>
      <c r="AC7926">
        <v>0.18840000000000101</v>
      </c>
      <c r="AD7926">
        <v>-0.186815699999999</v>
      </c>
      <c r="AE7926">
        <v>368.59769</v>
      </c>
      <c r="AF7926">
        <v>0.79624230468259105</v>
      </c>
      <c r="AG7926">
        <v>-0.186815699999999</v>
      </c>
      <c r="AH7926">
        <v>368.596783444869</v>
      </c>
      <c r="AI7926">
        <v>90.029039117395399</v>
      </c>
      <c r="AJ7926">
        <v>89.876229922196899</v>
      </c>
      <c r="AK7926">
        <v>368.59769080640899</v>
      </c>
      <c r="AL7926">
        <v>76.786132438945003</v>
      </c>
      <c r="AM7926">
        <v>93.434481861333495</v>
      </c>
      <c r="AN7926">
        <v>0.99999998600162898</v>
      </c>
    </row>
    <row r="7927" spans="1:40" x14ac:dyDescent="0.25">
      <c r="A7927" t="str">
        <f>"20190304154948920"</f>
        <v>20190304154948920</v>
      </c>
      <c r="B7927" t="str">
        <f>"1551685788915026"</f>
        <v>1551685788915026</v>
      </c>
      <c r="C7927" t="s">
        <v>40</v>
      </c>
      <c r="D7927">
        <v>4.3840029999999999</v>
      </c>
      <c r="E7927">
        <v>0.52199039999999997</v>
      </c>
      <c r="F7927" t="s">
        <v>51</v>
      </c>
      <c r="G7927">
        <v>-187.19030000000001</v>
      </c>
      <c r="H7927">
        <v>0.83831209999999901</v>
      </c>
      <c r="I7927">
        <v>391.87</v>
      </c>
      <c r="J7927">
        <v>-187.55009999999999</v>
      </c>
      <c r="K7927">
        <v>1.1104290000000001</v>
      </c>
      <c r="L7927">
        <v>23.56512</v>
      </c>
      <c r="M7927">
        <v>-1.2576740000000001E-3</v>
      </c>
      <c r="N7927">
        <v>-1.118857E-2</v>
      </c>
      <c r="O7927">
        <v>0.99993659999999995</v>
      </c>
      <c r="P7927">
        <v>-6.1352410000000003E-2</v>
      </c>
      <c r="Q7927">
        <v>0.21679960000000001</v>
      </c>
      <c r="R7927">
        <v>0.97428630000000005</v>
      </c>
      <c r="S7927">
        <v>3.005981E-3</v>
      </c>
      <c r="T7927">
        <v>-2.2740360000000001E-3</v>
      </c>
      <c r="U7927">
        <v>3.0802309999999999</v>
      </c>
      <c r="V7927">
        <v>-5.9948559999999998E-2</v>
      </c>
      <c r="W7927">
        <v>0.22773499999999999</v>
      </c>
      <c r="X7927">
        <v>0.97187599999999996</v>
      </c>
      <c r="Y7927">
        <v>2.2334439999999998E-3</v>
      </c>
      <c r="Z7927">
        <v>1.0450360000000001E-2</v>
      </c>
      <c r="AA7927">
        <v>0.99994289999999997</v>
      </c>
      <c r="AB7927">
        <v>29</v>
      </c>
      <c r="AC7927">
        <v>0.35979999999997803</v>
      </c>
      <c r="AD7927">
        <v>-0.27211689999999999</v>
      </c>
      <c r="AE7927">
        <v>368.304879999999</v>
      </c>
      <c r="AF7927">
        <v>0.823035740589106</v>
      </c>
      <c r="AG7927">
        <v>-0.27211689999999999</v>
      </c>
      <c r="AH7927">
        <v>368.30393509292099</v>
      </c>
      <c r="AI7927">
        <v>90.042332179085903</v>
      </c>
      <c r="AJ7927">
        <v>89.871963366839907</v>
      </c>
      <c r="AK7927">
        <v>368.30495522103399</v>
      </c>
      <c r="AL7927">
        <v>76.836241818504305</v>
      </c>
      <c r="AM7927">
        <v>93.529723043334201</v>
      </c>
      <c r="AN7927">
        <v>1.00000000972353</v>
      </c>
    </row>
    <row r="7928" spans="1:40" x14ac:dyDescent="0.25">
      <c r="A7928" t="str">
        <f>"20190304154948943"</f>
        <v>20190304154948943</v>
      </c>
      <c r="B7928" t="str">
        <f>"1551685788935523"</f>
        <v>1551685788935523</v>
      </c>
      <c r="C7928" t="s">
        <v>40</v>
      </c>
      <c r="D7928">
        <v>4.3909630000000002</v>
      </c>
      <c r="E7928">
        <v>0.52208940000000004</v>
      </c>
      <c r="F7928" t="s">
        <v>51</v>
      </c>
      <c r="G7928">
        <v>-187.46799999999999</v>
      </c>
      <c r="H7928">
        <v>0.66431240000000003</v>
      </c>
      <c r="I7928">
        <v>391.87</v>
      </c>
      <c r="J7928">
        <v>-187.55</v>
      </c>
      <c r="K7928">
        <v>1.110417</v>
      </c>
      <c r="L7928">
        <v>23.866520000000001</v>
      </c>
      <c r="M7928">
        <v>-8.5496689999999995E-4</v>
      </c>
      <c r="N7928">
        <v>-1.119009E-2</v>
      </c>
      <c r="O7928">
        <v>0.99993699999999996</v>
      </c>
      <c r="P7928">
        <v>-6.2625449999999999E-2</v>
      </c>
      <c r="Q7928">
        <v>0.21684139999999999</v>
      </c>
      <c r="R7928">
        <v>0.97419599999999995</v>
      </c>
      <c r="S7928">
        <v>6.866455E-4</v>
      </c>
      <c r="T7928">
        <v>-3.7307740000000001E-3</v>
      </c>
      <c r="U7928">
        <v>3.0800480000000001</v>
      </c>
      <c r="V7928">
        <v>-6.1613840000000003E-2</v>
      </c>
      <c r="W7928">
        <v>0.22777819999999999</v>
      </c>
      <c r="X7928">
        <v>0.97176169999999995</v>
      </c>
      <c r="Y7928">
        <v>1.0778680000000001E-3</v>
      </c>
      <c r="Z7928">
        <v>9.9788889999999995E-3</v>
      </c>
      <c r="AA7928">
        <v>0.99994959999999999</v>
      </c>
      <c r="AB7928">
        <v>29</v>
      </c>
      <c r="AC7928">
        <v>8.2000000000022E-2</v>
      </c>
      <c r="AD7928">
        <v>-0.44610460000000002</v>
      </c>
      <c r="AE7928">
        <v>368.003479999999</v>
      </c>
      <c r="AF7928">
        <v>0.39664988960907999</v>
      </c>
      <c r="AG7928">
        <v>-0.44610460000000002</v>
      </c>
      <c r="AH7928">
        <v>368.00273459204601</v>
      </c>
      <c r="AI7928">
        <v>90.069455688861893</v>
      </c>
      <c r="AJ7928">
        <v>89.938244057225901</v>
      </c>
      <c r="AK7928">
        <v>368.00321874634898</v>
      </c>
      <c r="AL7928">
        <v>76.833699536516903</v>
      </c>
      <c r="AM7928">
        <v>93.6279406410315</v>
      </c>
      <c r="AN7928">
        <v>0.99999998763083697</v>
      </c>
    </row>
    <row r="7929" spans="1:40" x14ac:dyDescent="0.25">
      <c r="A7929" t="str">
        <f>"20190304154948965"</f>
        <v>20190304154948965</v>
      </c>
      <c r="B7929" t="str">
        <f>"1551685788955042"</f>
        <v>1551685788955042</v>
      </c>
      <c r="C7929" t="s">
        <v>40</v>
      </c>
      <c r="D7929">
        <v>4.4687039999999998</v>
      </c>
      <c r="E7929">
        <v>0.52226099999999998</v>
      </c>
      <c r="F7929" t="s">
        <v>51</v>
      </c>
      <c r="G7929">
        <v>-187.7724</v>
      </c>
      <c r="H7929">
        <v>0.7262535</v>
      </c>
      <c r="I7929">
        <v>391.87</v>
      </c>
      <c r="J7929">
        <v>-187.54990000000001</v>
      </c>
      <c r="K7929">
        <v>1.1104179999999999</v>
      </c>
      <c r="L7929">
        <v>24.16086</v>
      </c>
      <c r="M7929">
        <v>-4.617375E-4</v>
      </c>
      <c r="N7929">
        <v>-1.119158E-2</v>
      </c>
      <c r="O7929">
        <v>0.99993719999999997</v>
      </c>
      <c r="P7929">
        <v>-6.3490110000000002E-2</v>
      </c>
      <c r="Q7929">
        <v>0.21625720000000001</v>
      </c>
      <c r="R7929">
        <v>0.97426990000000002</v>
      </c>
      <c r="S7929">
        <v>-1.8615719999999999E-3</v>
      </c>
      <c r="T7929">
        <v>-3.215313E-3</v>
      </c>
      <c r="U7929">
        <v>3.0800480000000001</v>
      </c>
      <c r="V7929">
        <v>-6.2862080000000001E-2</v>
      </c>
      <c r="W7929">
        <v>0.22719729999999999</v>
      </c>
      <c r="X7929">
        <v>0.97181770000000001</v>
      </c>
      <c r="Y7929">
        <v>-1.4258979999999999E-4</v>
      </c>
      <c r="Z7929">
        <v>1.0147720000000001E-2</v>
      </c>
      <c r="AA7929">
        <v>0.99994850000000002</v>
      </c>
      <c r="AB7929">
        <v>29</v>
      </c>
      <c r="AC7929">
        <v>-0.22249999999999601</v>
      </c>
      <c r="AD7929">
        <v>-0.38416450000000002</v>
      </c>
      <c r="AE7929">
        <v>367.70913999999999</v>
      </c>
      <c r="AF7929">
        <v>-5.2704174649530297E-2</v>
      </c>
      <c r="AG7929">
        <v>-0.38416450000000002</v>
      </c>
      <c r="AH7929">
        <v>367.708802184305</v>
      </c>
      <c r="AI7929">
        <v>90.059859856830997</v>
      </c>
      <c r="AJ7929">
        <v>90.008212277572696</v>
      </c>
      <c r="AK7929">
        <v>367.70900663963801</v>
      </c>
      <c r="AL7929">
        <v>76.867878276039903</v>
      </c>
      <c r="AM7929">
        <v>93.701024426904695</v>
      </c>
      <c r="AN7929">
        <v>0.99999994813125104</v>
      </c>
    </row>
    <row r="7930" spans="1:40" x14ac:dyDescent="0.25">
      <c r="A7930" t="str">
        <f>"20190304154948987"</f>
        <v>20190304154948987</v>
      </c>
      <c r="B7930" t="str">
        <f>"1551685788985299"</f>
        <v>1551685788985299</v>
      </c>
      <c r="C7930" t="s">
        <v>40</v>
      </c>
      <c r="D7930">
        <v>4.3635910000000004</v>
      </c>
      <c r="E7930">
        <v>0.52246610000000004</v>
      </c>
      <c r="F7930" t="s">
        <v>51</v>
      </c>
      <c r="G7930">
        <v>-187.81219999999999</v>
      </c>
      <c r="H7930">
        <v>0.44335560000000002</v>
      </c>
      <c r="I7930">
        <v>391.87</v>
      </c>
      <c r="J7930">
        <v>-187.5496</v>
      </c>
      <c r="K7930">
        <v>1.11042</v>
      </c>
      <c r="L7930">
        <v>24.438079999999999</v>
      </c>
      <c r="M7930" s="1">
        <v>-9.1349710000000005E-5</v>
      </c>
      <c r="N7930">
        <v>-1.119298E-2</v>
      </c>
      <c r="O7930">
        <v>0.99993739999999998</v>
      </c>
      <c r="P7930">
        <v>-6.4254430000000001E-2</v>
      </c>
      <c r="Q7930">
        <v>0.2164826</v>
      </c>
      <c r="R7930">
        <v>0.97416970000000003</v>
      </c>
      <c r="S7930">
        <v>-2.1972659999999998E-3</v>
      </c>
      <c r="T7930">
        <v>-5.5880549999999998E-3</v>
      </c>
      <c r="U7930">
        <v>3.0803219999999998</v>
      </c>
      <c r="V7930">
        <v>-6.3986940000000006E-2</v>
      </c>
      <c r="W7930">
        <v>0.2274235</v>
      </c>
      <c r="X7930">
        <v>0.97169139999999998</v>
      </c>
      <c r="Y7930">
        <v>-6.2189099999999996E-4</v>
      </c>
      <c r="Z7930">
        <v>9.3789679999999997E-3</v>
      </c>
      <c r="AA7930">
        <v>0.99995579999999995</v>
      </c>
      <c r="AB7930">
        <v>29</v>
      </c>
      <c r="AC7930">
        <v>-0.26259999999999101</v>
      </c>
      <c r="AD7930">
        <v>-0.6670644</v>
      </c>
      <c r="AE7930">
        <v>367.43191999999999</v>
      </c>
      <c r="AF7930">
        <v>-0.229032343538772</v>
      </c>
      <c r="AG7930">
        <v>-0.6670644</v>
      </c>
      <c r="AH7930">
        <v>367.43073142077299</v>
      </c>
      <c r="AI7930">
        <v>90.104019403112702</v>
      </c>
      <c r="AJ7930">
        <v>90.035714445839702</v>
      </c>
      <c r="AK7930">
        <v>367.431408324237</v>
      </c>
      <c r="AL7930">
        <v>76.854569963793793</v>
      </c>
      <c r="AM7930">
        <v>93.767550118322404</v>
      </c>
      <c r="AN7930">
        <v>0.99999997683838604</v>
      </c>
    </row>
    <row r="7931" spans="1:40" x14ac:dyDescent="0.25">
      <c r="A7931" t="str">
        <f>"20190304154949011"</f>
        <v>20190304154949011</v>
      </c>
      <c r="B7931" t="str">
        <f>"1551685789004818"</f>
        <v>1551685789004818</v>
      </c>
      <c r="C7931" t="s">
        <v>40</v>
      </c>
      <c r="D7931">
        <v>4.3731949999999999</v>
      </c>
      <c r="E7931">
        <v>0.52259179999999905</v>
      </c>
      <c r="F7931" t="s">
        <v>51</v>
      </c>
      <c r="G7931">
        <v>-187.8681</v>
      </c>
      <c r="H7931">
        <v>0.62822149999999999</v>
      </c>
      <c r="I7931">
        <v>391.87</v>
      </c>
      <c r="J7931">
        <v>-187.54920000000001</v>
      </c>
      <c r="K7931">
        <v>1.1104309999999999</v>
      </c>
      <c r="L7931">
        <v>24.75177</v>
      </c>
      <c r="M7931">
        <v>3.276315E-4</v>
      </c>
      <c r="N7931">
        <v>-1.1194600000000001E-2</v>
      </c>
      <c r="O7931">
        <v>0.99993730000000003</v>
      </c>
      <c r="P7931">
        <v>-6.5030050000000006E-2</v>
      </c>
      <c r="Q7931">
        <v>0.21779470000000001</v>
      </c>
      <c r="R7931">
        <v>0.97382579999999996</v>
      </c>
      <c r="S7931">
        <v>-2.6702879999999998E-3</v>
      </c>
      <c r="T7931">
        <v>-4.0423869999999997E-3</v>
      </c>
      <c r="U7931">
        <v>3.0802610000000001</v>
      </c>
      <c r="V7931">
        <v>-6.5169160000000004E-2</v>
      </c>
      <c r="W7931">
        <v>0.22873360000000001</v>
      </c>
      <c r="X7931">
        <v>0.97130530000000004</v>
      </c>
      <c r="Y7931">
        <v>-1.1944290000000001E-3</v>
      </c>
      <c r="Z7931">
        <v>9.8823239999999996E-3</v>
      </c>
      <c r="AA7931">
        <v>0.99995049999999996</v>
      </c>
      <c r="AB7931">
        <v>29</v>
      </c>
      <c r="AC7931">
        <v>-0.31889999999998497</v>
      </c>
      <c r="AD7931">
        <v>-0.48220950000000001</v>
      </c>
      <c r="AE7931">
        <v>367.11822999999998</v>
      </c>
      <c r="AF7931">
        <v>-0.43918625707613101</v>
      </c>
      <c r="AG7931">
        <v>-0.48220950000000001</v>
      </c>
      <c r="AH7931">
        <v>367.117472425617</v>
      </c>
      <c r="AI7931">
        <v>90.075258018500506</v>
      </c>
      <c r="AJ7931">
        <v>90.068543474054806</v>
      </c>
      <c r="AK7931">
        <v>367.11805181813702</v>
      </c>
      <c r="AL7931">
        <v>76.777475484524601</v>
      </c>
      <c r="AM7931">
        <v>93.838473818804204</v>
      </c>
      <c r="AN7931">
        <v>1.0000000324960701</v>
      </c>
    </row>
    <row r="7932" spans="1:40" x14ac:dyDescent="0.25">
      <c r="A7932" t="str">
        <f>"20190304154949035"</f>
        <v>20190304154949035</v>
      </c>
      <c r="B7932" t="str">
        <f>"1551685789025315"</f>
        <v>1551685789025315</v>
      </c>
      <c r="C7932" t="s">
        <v>40</v>
      </c>
      <c r="D7932">
        <v>4.3718349999999999</v>
      </c>
      <c r="E7932">
        <v>0.52271829999999997</v>
      </c>
      <c r="F7932" t="s">
        <v>51</v>
      </c>
      <c r="G7932">
        <v>-187.9384</v>
      </c>
      <c r="H7932">
        <v>1.181686</v>
      </c>
      <c r="I7932">
        <v>391.87</v>
      </c>
      <c r="J7932">
        <v>-187.54859999999999</v>
      </c>
      <c r="K7932">
        <v>1.1104449999999999</v>
      </c>
      <c r="L7932">
        <v>25.04871</v>
      </c>
      <c r="M7932">
        <v>7.2431280000000002E-4</v>
      </c>
      <c r="N7932">
        <v>-1.119614E-2</v>
      </c>
      <c r="O7932">
        <v>0.99993710000000002</v>
      </c>
      <c r="P7932">
        <v>-6.6098290000000004E-2</v>
      </c>
      <c r="Q7932">
        <v>0.21970980000000001</v>
      </c>
      <c r="R7932">
        <v>0.97332350000000001</v>
      </c>
      <c r="S7932">
        <v>-3.2653809999999999E-3</v>
      </c>
      <c r="T7932">
        <v>5.9783459999999998E-4</v>
      </c>
      <c r="U7932">
        <v>3.080292</v>
      </c>
      <c r="V7932">
        <v>-6.662121E-2</v>
      </c>
      <c r="W7932">
        <v>0.23064570000000001</v>
      </c>
      <c r="X7932">
        <v>0.97075440000000002</v>
      </c>
      <c r="Y7932">
        <v>-1.784267E-3</v>
      </c>
      <c r="Z7932">
        <v>1.139022E-2</v>
      </c>
      <c r="AA7932">
        <v>0.99993350000000003</v>
      </c>
      <c r="AB7932">
        <v>29</v>
      </c>
      <c r="AC7932">
        <v>-0.38980000000000797</v>
      </c>
      <c r="AD7932">
        <v>7.1240999999999804E-2</v>
      </c>
      <c r="AE7932">
        <v>366.82128999999998</v>
      </c>
      <c r="AF7932">
        <v>-0.65550987212685297</v>
      </c>
      <c r="AG7932">
        <v>7.1240999999999804E-2</v>
      </c>
      <c r="AH7932">
        <v>366.82089757475899</v>
      </c>
      <c r="AI7932">
        <v>89.988872493125101</v>
      </c>
      <c r="AJ7932">
        <v>90.102387593976999</v>
      </c>
      <c r="AK7932">
        <v>366.82149019110699</v>
      </c>
      <c r="AL7932">
        <v>76.664909747189895</v>
      </c>
      <c r="AM7932">
        <v>93.925955287322907</v>
      </c>
      <c r="AN7932">
        <v>0.99999996483485598</v>
      </c>
    </row>
    <row r="7933" spans="1:40" x14ac:dyDescent="0.25">
      <c r="A7933" t="str">
        <f>"20190304154949055"</f>
        <v>20190304154949055</v>
      </c>
      <c r="B7933" t="str">
        <f>"1551685789044834"</f>
        <v>1551685789044834</v>
      </c>
      <c r="C7933" t="s">
        <v>40</v>
      </c>
      <c r="D7933">
        <v>4.4250049999999996</v>
      </c>
      <c r="E7933">
        <v>0.52278179999999996</v>
      </c>
      <c r="F7933" t="s">
        <v>51</v>
      </c>
      <c r="G7933">
        <v>-188.11920000000001</v>
      </c>
      <c r="H7933">
        <v>1.8795740000000001</v>
      </c>
      <c r="I7933">
        <v>391.87</v>
      </c>
      <c r="J7933">
        <v>-187.548</v>
      </c>
      <c r="K7933">
        <v>1.1104480000000001</v>
      </c>
      <c r="L7933">
        <v>25.329470000000001</v>
      </c>
      <c r="M7933">
        <v>1.099224E-3</v>
      </c>
      <c r="N7933">
        <v>-1.119761E-2</v>
      </c>
      <c r="O7933">
        <v>0.99993670000000001</v>
      </c>
      <c r="P7933">
        <v>-6.6471450000000001E-2</v>
      </c>
      <c r="Q7933">
        <v>0.2213772</v>
      </c>
      <c r="R7933">
        <v>0.97292020000000001</v>
      </c>
      <c r="S7933">
        <v>-4.7912600000000003E-3</v>
      </c>
      <c r="T7933">
        <v>6.4588789999999998E-3</v>
      </c>
      <c r="U7933">
        <v>3.080444</v>
      </c>
      <c r="V7933">
        <v>-6.7357539999999994E-2</v>
      </c>
      <c r="W7933">
        <v>0.23231009999999999</v>
      </c>
      <c r="X7933">
        <v>0.97030660000000002</v>
      </c>
      <c r="Y7933">
        <v>-2.6543959999999998E-3</v>
      </c>
      <c r="Z7933">
        <v>1.3294190000000001E-2</v>
      </c>
      <c r="AA7933">
        <v>0.99990809999999997</v>
      </c>
      <c r="AB7933">
        <v>29</v>
      </c>
      <c r="AC7933">
        <v>-0.57120000000000404</v>
      </c>
      <c r="AD7933">
        <v>0.76912599999999998</v>
      </c>
      <c r="AE7933">
        <v>366.54052999999999</v>
      </c>
      <c r="AF7933">
        <v>-0.97413077567072504</v>
      </c>
      <c r="AG7933">
        <v>0.76912599999999998</v>
      </c>
      <c r="AH7933">
        <v>366.53806674008399</v>
      </c>
      <c r="AI7933">
        <v>89.879773869595596</v>
      </c>
      <c r="AJ7933">
        <v>90.152271907883204</v>
      </c>
      <c r="AK7933">
        <v>366.54016813322198</v>
      </c>
      <c r="AL7933">
        <v>76.566884204183793</v>
      </c>
      <c r="AM7933">
        <v>93.971034858383106</v>
      </c>
      <c r="AN7933">
        <v>0.99999995938021002</v>
      </c>
    </row>
    <row r="7934" spans="1:40" x14ac:dyDescent="0.25">
      <c r="A7934" t="str">
        <f>"20190304154949078"</f>
        <v>20190304154949078</v>
      </c>
      <c r="B7934" t="str">
        <f>"1551685789075091"</f>
        <v>1551685789075091</v>
      </c>
      <c r="C7934" t="s">
        <v>40</v>
      </c>
      <c r="D7934">
        <v>4.4811809999999896</v>
      </c>
      <c r="E7934">
        <v>0.52302899999999997</v>
      </c>
      <c r="F7934" t="s">
        <v>51</v>
      </c>
      <c r="G7934">
        <v>-188.21080000000001</v>
      </c>
      <c r="H7934">
        <v>2.490704</v>
      </c>
      <c r="I7934">
        <v>391.87</v>
      </c>
      <c r="J7934">
        <v>-187.54730000000001</v>
      </c>
      <c r="K7934">
        <v>1.11046</v>
      </c>
      <c r="L7934">
        <v>25.616240000000001</v>
      </c>
      <c r="M7934">
        <v>1.482269E-3</v>
      </c>
      <c r="N7934">
        <v>-1.119914E-2</v>
      </c>
      <c r="O7934">
        <v>0.99993620000000005</v>
      </c>
      <c r="P7934">
        <v>-6.7853529999999995E-2</v>
      </c>
      <c r="Q7934">
        <v>0.2242295</v>
      </c>
      <c r="R7934">
        <v>0.97217129999999996</v>
      </c>
      <c r="S7934">
        <v>-5.5694580000000002E-3</v>
      </c>
      <c r="T7934">
        <v>1.15999E-2</v>
      </c>
      <c r="U7934">
        <v>3.0804749999999999</v>
      </c>
      <c r="V7934">
        <v>-6.9109050000000005E-2</v>
      </c>
      <c r="W7934">
        <v>0.23515630000000001</v>
      </c>
      <c r="X7934">
        <v>0.96949750000000001</v>
      </c>
      <c r="Y7934">
        <v>-3.2900020000000002E-3</v>
      </c>
      <c r="Z7934">
        <v>1.4964420000000001E-2</v>
      </c>
      <c r="AA7934">
        <v>0.99988259999999995</v>
      </c>
      <c r="AB7934">
        <v>29</v>
      </c>
      <c r="AC7934">
        <v>-0.66349999999999898</v>
      </c>
      <c r="AD7934">
        <v>1.380244</v>
      </c>
      <c r="AE7934">
        <v>366.25376</v>
      </c>
      <c r="AF7934">
        <v>-1.20640277426341</v>
      </c>
      <c r="AG7934">
        <v>1.380244</v>
      </c>
      <c r="AH7934">
        <v>366.247172648336</v>
      </c>
      <c r="AI7934">
        <v>89.784076551566201</v>
      </c>
      <c r="AJ7934">
        <v>90.188729204012205</v>
      </c>
      <c r="AK7934">
        <v>366.25176034259999</v>
      </c>
      <c r="AL7934">
        <v>76.399163344837206</v>
      </c>
      <c r="AM7934">
        <v>94.077339554600997</v>
      </c>
      <c r="AN7934">
        <v>0.99999997436392096</v>
      </c>
    </row>
    <row r="7935" spans="1:40" x14ac:dyDescent="0.25">
      <c r="A7935" t="str">
        <f>"20190304154949099"</f>
        <v>20190304154949099</v>
      </c>
      <c r="B7935" t="str">
        <f>"1551685789095586"</f>
        <v>1551685789095586</v>
      </c>
      <c r="C7935" t="s">
        <v>40</v>
      </c>
      <c r="D7935">
        <v>4.4231249999999998</v>
      </c>
      <c r="E7935">
        <v>0.52319249999999995</v>
      </c>
      <c r="F7935" t="s">
        <v>51</v>
      </c>
      <c r="G7935">
        <v>-188.4091</v>
      </c>
      <c r="H7935">
        <v>3.66411</v>
      </c>
      <c r="I7935">
        <v>391.87</v>
      </c>
      <c r="J7935">
        <v>-187.54650000000001</v>
      </c>
      <c r="K7935">
        <v>1.11046</v>
      </c>
      <c r="L7935">
        <v>25.906009999999998</v>
      </c>
      <c r="M7935">
        <v>1.869136E-3</v>
      </c>
      <c r="N7935">
        <v>-1.120064E-2</v>
      </c>
      <c r="O7935">
        <v>0.99993549999999998</v>
      </c>
      <c r="P7935">
        <v>-6.8768090000000004E-2</v>
      </c>
      <c r="Q7935">
        <v>0.22572880000000001</v>
      </c>
      <c r="R7935">
        <v>0.97175999999999996</v>
      </c>
      <c r="S7935">
        <v>-7.2479249999999997E-3</v>
      </c>
      <c r="T7935">
        <v>2.1477699999999999E-2</v>
      </c>
      <c r="U7935">
        <v>3.0804140000000002</v>
      </c>
      <c r="V7935">
        <v>-7.0397429999999997E-2</v>
      </c>
      <c r="W7935">
        <v>0.236653</v>
      </c>
      <c r="X7935">
        <v>0.96904049999999997</v>
      </c>
      <c r="Y7935">
        <v>-4.2216550000000004E-3</v>
      </c>
      <c r="Z7935">
        <v>1.8172069999999999E-2</v>
      </c>
      <c r="AA7935">
        <v>0.99982599999999999</v>
      </c>
      <c r="AB7935">
        <v>29</v>
      </c>
      <c r="AC7935">
        <v>-0.86259999999998604</v>
      </c>
      <c r="AD7935">
        <v>2.5536500000000002</v>
      </c>
      <c r="AE7935">
        <v>365.963989999999</v>
      </c>
      <c r="AF7935">
        <v>-1.54660258472637</v>
      </c>
      <c r="AG7935">
        <v>2.5536500000000002</v>
      </c>
      <c r="AH7935">
        <v>365.943920255232</v>
      </c>
      <c r="AI7935">
        <v>89.600185499128401</v>
      </c>
      <c r="AJ7935">
        <v>90.242149871018995</v>
      </c>
      <c r="AK7935">
        <v>365.95609829547197</v>
      </c>
      <c r="AL7935">
        <v>76.310918002180699</v>
      </c>
      <c r="AM7935">
        <v>94.155040404290105</v>
      </c>
      <c r="AN7935">
        <v>0.99999996559992599</v>
      </c>
    </row>
    <row r="7936" spans="1:40" x14ac:dyDescent="0.25">
      <c r="A7936" t="str">
        <f>"20190304154949122"</f>
        <v>20190304154949122</v>
      </c>
      <c r="B7936" t="str">
        <f>"1551685789115106"</f>
        <v>1551685789115106</v>
      </c>
      <c r="C7936" t="s">
        <v>40</v>
      </c>
      <c r="D7936">
        <v>4.4099719999999998</v>
      </c>
      <c r="E7936">
        <v>0.52333279999999904</v>
      </c>
      <c r="F7936" t="s">
        <v>51</v>
      </c>
      <c r="G7936">
        <v>-188.51820000000001</v>
      </c>
      <c r="H7936">
        <v>4.3160239999999996</v>
      </c>
      <c r="I7936">
        <v>391.87</v>
      </c>
      <c r="J7936">
        <v>-187.5454</v>
      </c>
      <c r="K7936">
        <v>1.110457</v>
      </c>
      <c r="L7936">
        <v>26.214780000000001</v>
      </c>
      <c r="M7936">
        <v>2.281249E-3</v>
      </c>
      <c r="N7936">
        <v>-1.1202190000000001E-2</v>
      </c>
      <c r="O7936">
        <v>0.99993469999999995</v>
      </c>
      <c r="P7936">
        <v>-6.9468160000000001E-2</v>
      </c>
      <c r="Q7936">
        <v>0.22529279999999999</v>
      </c>
      <c r="R7936">
        <v>0.97181139999999999</v>
      </c>
      <c r="S7936">
        <v>-8.178711E-3</v>
      </c>
      <c r="T7936">
        <v>2.6981229999999998E-2</v>
      </c>
      <c r="U7936">
        <v>3.0803219999999998</v>
      </c>
      <c r="V7936">
        <v>-7.1498399999999906E-2</v>
      </c>
      <c r="W7936">
        <v>0.23621980000000001</v>
      </c>
      <c r="X7936">
        <v>0.96906559999999997</v>
      </c>
      <c r="Y7936">
        <v>-4.9359199999999999E-3</v>
      </c>
      <c r="Z7936">
        <v>1.9960039999999998E-2</v>
      </c>
      <c r="AA7936">
        <v>0.99978860000000003</v>
      </c>
      <c r="AB7936">
        <v>29</v>
      </c>
      <c r="AC7936">
        <v>-0.97280000000000599</v>
      </c>
      <c r="AD7936">
        <v>3.2055669999999901</v>
      </c>
      <c r="AE7936">
        <v>365.65521999999999</v>
      </c>
      <c r="AF7936">
        <v>-1.8068615125994401</v>
      </c>
      <c r="AG7936">
        <v>3.2055669999999901</v>
      </c>
      <c r="AH7936">
        <v>365.62394964484298</v>
      </c>
      <c r="AI7936">
        <v>89.497684678541702</v>
      </c>
      <c r="AJ7936">
        <v>90.283145281330803</v>
      </c>
      <c r="AK7936">
        <v>365.642466026872</v>
      </c>
      <c r="AL7936">
        <v>76.336462954099403</v>
      </c>
      <c r="AM7936">
        <v>94.219680697055793</v>
      </c>
      <c r="AN7936">
        <v>0.99999997610897895</v>
      </c>
    </row>
    <row r="7937" spans="1:40" x14ac:dyDescent="0.25">
      <c r="A7937" t="str">
        <f>"20190304154949145"</f>
        <v>20190304154949145</v>
      </c>
      <c r="B7937" t="str">
        <f>"1551685789134630"</f>
        <v>1551685789134630</v>
      </c>
      <c r="C7937" t="s">
        <v>40</v>
      </c>
      <c r="D7937">
        <v>4.4312149999999999</v>
      </c>
      <c r="E7937">
        <v>0.52338019999999996</v>
      </c>
      <c r="F7937" t="s">
        <v>51</v>
      </c>
      <c r="G7937">
        <v>-188.55439999999999</v>
      </c>
      <c r="H7937">
        <v>4.2448129999999997</v>
      </c>
      <c r="I7937">
        <v>391.87</v>
      </c>
      <c r="J7937">
        <v>-187.5444</v>
      </c>
      <c r="K7937">
        <v>1.110465</v>
      </c>
      <c r="L7937">
        <v>26.507899999999999</v>
      </c>
      <c r="M7937">
        <v>2.6696810000000001E-3</v>
      </c>
      <c r="N7937">
        <v>-1.1203670000000001E-2</v>
      </c>
      <c r="O7937">
        <v>0.99993370000000004</v>
      </c>
      <c r="P7937">
        <v>-6.9634210000000002E-2</v>
      </c>
      <c r="Q7937">
        <v>0.22569249999999999</v>
      </c>
      <c r="R7937">
        <v>0.97170670000000003</v>
      </c>
      <c r="S7937">
        <v>-8.4991459999999904E-3</v>
      </c>
      <c r="T7937">
        <v>2.6403900000000001E-2</v>
      </c>
      <c r="U7937">
        <v>3.080292</v>
      </c>
      <c r="V7937">
        <v>-7.2041530000000006E-2</v>
      </c>
      <c r="W7937">
        <v>0.2366201</v>
      </c>
      <c r="X7937">
        <v>0.96892769999999995</v>
      </c>
      <c r="Y7937">
        <v>-5.4284009999999898E-3</v>
      </c>
      <c r="Z7937">
        <v>1.977421E-2</v>
      </c>
      <c r="AA7937">
        <v>0.9997897</v>
      </c>
      <c r="AB7937">
        <v>29</v>
      </c>
      <c r="AC7937">
        <v>-1.00999999999999</v>
      </c>
      <c r="AD7937">
        <v>3.1343480000000001</v>
      </c>
      <c r="AE7937">
        <v>365.3621</v>
      </c>
      <c r="AF7937">
        <v>-1.98531174590695</v>
      </c>
      <c r="AG7937">
        <v>3.1343480000000001</v>
      </c>
      <c r="AH7937">
        <v>365.33121499223</v>
      </c>
      <c r="AI7937">
        <v>89.508451927852803</v>
      </c>
      <c r="AJ7937">
        <v>90.311358185882995</v>
      </c>
      <c r="AK7937">
        <v>365.35005439689297</v>
      </c>
      <c r="AL7937">
        <v>76.312858209157199</v>
      </c>
      <c r="AM7937">
        <v>94.252220835711796</v>
      </c>
      <c r="AN7937">
        <v>0.99999997079801894</v>
      </c>
    </row>
    <row r="7938" spans="1:40" x14ac:dyDescent="0.25">
      <c r="A7938" t="str">
        <f>"20190304154949166"</f>
        <v>20190304154949166</v>
      </c>
      <c r="B7938" t="str">
        <f>"1551685789155122"</f>
        <v>1551685789155122</v>
      </c>
      <c r="C7938" t="s">
        <v>40</v>
      </c>
      <c r="D7938">
        <v>4.3916959999999996</v>
      </c>
      <c r="E7938">
        <v>0.52344089999999999</v>
      </c>
      <c r="F7938" t="s">
        <v>51</v>
      </c>
      <c r="G7938">
        <v>-188.4982</v>
      </c>
      <c r="H7938">
        <v>4.3642620000000001</v>
      </c>
      <c r="I7938">
        <v>391.87</v>
      </c>
      <c r="J7938">
        <v>-187.54320000000001</v>
      </c>
      <c r="K7938">
        <v>1.110476</v>
      </c>
      <c r="L7938">
        <v>26.7836</v>
      </c>
      <c r="M7938">
        <v>3.0269590000000001E-3</v>
      </c>
      <c r="N7938">
        <v>-1.1205079999999999E-2</v>
      </c>
      <c r="O7938">
        <v>0.99993259999999995</v>
      </c>
      <c r="P7938">
        <v>-6.9125649999999997E-2</v>
      </c>
      <c r="Q7938">
        <v>0.22701289999999999</v>
      </c>
      <c r="R7938">
        <v>0.97143539999999995</v>
      </c>
      <c r="S7938">
        <v>-8.0413819999999997E-3</v>
      </c>
      <c r="T7938">
        <v>2.7433160000000002E-2</v>
      </c>
      <c r="U7938">
        <v>3.0804140000000002</v>
      </c>
      <c r="V7938">
        <v>-7.1880949999999999E-2</v>
      </c>
      <c r="W7938">
        <v>0.2379375</v>
      </c>
      <c r="X7938">
        <v>0.96861699999999995</v>
      </c>
      <c r="Y7938">
        <v>-5.6370049999999996E-3</v>
      </c>
      <c r="Z7938">
        <v>2.0109289999999998E-2</v>
      </c>
      <c r="AA7938">
        <v>0.9997819</v>
      </c>
      <c r="AB7938">
        <v>29</v>
      </c>
      <c r="AC7938">
        <v>-0.95499999999998397</v>
      </c>
      <c r="AD7938">
        <v>3.2537859999999998</v>
      </c>
      <c r="AE7938">
        <v>365.08640000000003</v>
      </c>
      <c r="AF7938">
        <v>-2.0600029880455302</v>
      </c>
      <c r="AG7938">
        <v>3.2537859999999998</v>
      </c>
      <c r="AH7938">
        <v>365.05284022113102</v>
      </c>
      <c r="AI7938">
        <v>89.489333378553795</v>
      </c>
      <c r="AJ7938">
        <v>90.323318191738906</v>
      </c>
      <c r="AK7938">
        <v>365.07315279154602</v>
      </c>
      <c r="AL7938">
        <v>76.235158271674294</v>
      </c>
      <c r="AM7938">
        <v>94.244133287685997</v>
      </c>
      <c r="AN7938">
        <v>1.0000000087840699</v>
      </c>
    </row>
    <row r="7939" spans="1:40" x14ac:dyDescent="0.25">
      <c r="A7939" t="str">
        <f>"20190304154949181"</f>
        <v>20190304154949181</v>
      </c>
      <c r="B7939" t="str">
        <f>"1551685789175619"</f>
        <v>1551685789175619</v>
      </c>
      <c r="C7939" t="s">
        <v>40</v>
      </c>
      <c r="D7939">
        <v>4.4462260000000002</v>
      </c>
      <c r="E7939">
        <v>0.52356059999999904</v>
      </c>
      <c r="F7939" t="s">
        <v>51</v>
      </c>
      <c r="G7939">
        <v>-188.3064</v>
      </c>
      <c r="H7939">
        <v>4.8387120000000001</v>
      </c>
      <c r="I7939">
        <v>391.87</v>
      </c>
      <c r="J7939">
        <v>-187.54239999999999</v>
      </c>
      <c r="K7939">
        <v>1.110484</v>
      </c>
      <c r="L7939">
        <v>26.973600000000001</v>
      </c>
      <c r="M7939">
        <v>3.26363E-3</v>
      </c>
      <c r="N7939">
        <v>-1.120381E-2</v>
      </c>
      <c r="O7939">
        <v>0.99993189999999998</v>
      </c>
      <c r="P7939">
        <v>-6.908359E-2</v>
      </c>
      <c r="Q7939">
        <v>0.2272827</v>
      </c>
      <c r="R7939">
        <v>0.97137530000000005</v>
      </c>
      <c r="S7939">
        <v>-6.4392090000000004E-3</v>
      </c>
      <c r="T7939">
        <v>3.1456949999999997E-2</v>
      </c>
      <c r="U7939">
        <v>3.0804140000000002</v>
      </c>
      <c r="V7939">
        <v>-7.207239E-2</v>
      </c>
      <c r="W7939">
        <v>0.23820430000000001</v>
      </c>
      <c r="X7939">
        <v>0.96853719999999999</v>
      </c>
      <c r="Y7939">
        <v>-5.3536740000000001E-3</v>
      </c>
      <c r="Z7939">
        <v>2.1413850000000002E-2</v>
      </c>
      <c r="AA7939">
        <v>0.99975630000000004</v>
      </c>
      <c r="AB7939">
        <v>29</v>
      </c>
      <c r="AC7939">
        <v>-0.76400000000001</v>
      </c>
      <c r="AD7939">
        <v>3.7282280000000001</v>
      </c>
      <c r="AE7939">
        <v>364.89640000000003</v>
      </c>
      <c r="AF7939">
        <v>-1.9547534710082399</v>
      </c>
      <c r="AG7939">
        <v>3.7282280000000001</v>
      </c>
      <c r="AH7939">
        <v>364.85387534216397</v>
      </c>
      <c r="AI7939">
        <v>89.414556774253199</v>
      </c>
      <c r="AJ7939">
        <v>90.306966870433101</v>
      </c>
      <c r="AK7939">
        <v>364.87815924956101</v>
      </c>
      <c r="AL7939">
        <v>76.2194192825268</v>
      </c>
      <c r="AM7939">
        <v>94.255744513432305</v>
      </c>
      <c r="AN7939">
        <v>1.00000001286132</v>
      </c>
    </row>
    <row r="7940" spans="1:40" x14ac:dyDescent="0.25">
      <c r="A7940" t="str">
        <f>"20190304154949200"</f>
        <v>20190304154949200</v>
      </c>
      <c r="B7940" t="str">
        <f>"1551685789195139"</f>
        <v>1551685789195139</v>
      </c>
      <c r="C7940" t="s">
        <v>40</v>
      </c>
      <c r="D7940">
        <v>4.3865109999999996</v>
      </c>
      <c r="E7940">
        <v>0.52368239999999999</v>
      </c>
      <c r="F7940" t="s">
        <v>51</v>
      </c>
      <c r="G7940">
        <v>-188.22749999999999</v>
      </c>
      <c r="H7940">
        <v>4.9815719999999999</v>
      </c>
      <c r="I7940">
        <v>391.87</v>
      </c>
      <c r="J7940">
        <v>-187.54130000000001</v>
      </c>
      <c r="K7940">
        <v>1.110492</v>
      </c>
      <c r="L7940">
        <v>27.219670000000001</v>
      </c>
      <c r="M7940">
        <v>3.5557129999999998E-3</v>
      </c>
      <c r="N7940">
        <v>-1.1197240000000001E-2</v>
      </c>
      <c r="O7940">
        <v>0.99993100000000001</v>
      </c>
      <c r="P7940">
        <v>-6.7730040000000005E-2</v>
      </c>
      <c r="Q7940">
        <v>0.22735929999999999</v>
      </c>
      <c r="R7940">
        <v>0.97145269999999995</v>
      </c>
      <c r="S7940">
        <v>-5.7830809999999998E-3</v>
      </c>
      <c r="T7940">
        <v>3.2678600000000002E-2</v>
      </c>
      <c r="U7940">
        <v>3.0803530000000001</v>
      </c>
      <c r="V7940">
        <v>-7.1009840000000005E-2</v>
      </c>
      <c r="W7940">
        <v>0.23827190000000001</v>
      </c>
      <c r="X7940">
        <v>0.96859899999999999</v>
      </c>
      <c r="Y7940">
        <v>-5.4328600000000003E-3</v>
      </c>
      <c r="Z7940">
        <v>2.1803920000000001E-2</v>
      </c>
      <c r="AA7940">
        <v>0.99974750000000001</v>
      </c>
      <c r="AB7940">
        <v>29</v>
      </c>
      <c r="AC7940">
        <v>-0.68619999999998504</v>
      </c>
      <c r="AD7940">
        <v>3.8710800000000001</v>
      </c>
      <c r="AE7940">
        <v>364.65033</v>
      </c>
      <c r="AF7940">
        <v>-1.98264541662253</v>
      </c>
      <c r="AG7940">
        <v>3.8710800000000001</v>
      </c>
      <c r="AH7940">
        <v>364.604494900372</v>
      </c>
      <c r="AI7940">
        <v>89.391710916793897</v>
      </c>
      <c r="AJ7940">
        <v>90.311559776623199</v>
      </c>
      <c r="AK7940">
        <v>364.630434611223</v>
      </c>
      <c r="AL7940">
        <v>76.215430506312899</v>
      </c>
      <c r="AM7940">
        <v>94.192961725944599</v>
      </c>
      <c r="AN7940">
        <v>0.99999995925371599</v>
      </c>
    </row>
    <row r="7941" spans="1:40" x14ac:dyDescent="0.25">
      <c r="A7941" t="str">
        <f>"20190304154949224"</f>
        <v>20190304154949224</v>
      </c>
      <c r="B7941" t="str">
        <f>"1551685789214658"</f>
        <v>1551685789214658</v>
      </c>
      <c r="C7941" t="s">
        <v>40</v>
      </c>
      <c r="D7941">
        <v>4.4446700000000003</v>
      </c>
      <c r="E7941">
        <v>0.52380079999999996</v>
      </c>
      <c r="F7941" t="s">
        <v>51</v>
      </c>
      <c r="G7941">
        <v>-187.6208</v>
      </c>
      <c r="H7941">
        <v>5.0290369999999998</v>
      </c>
      <c r="I7941">
        <v>391.87</v>
      </c>
      <c r="J7941">
        <v>-187.53970000000001</v>
      </c>
      <c r="K7941">
        <v>1.1105100000000001</v>
      </c>
      <c r="L7941">
        <v>27.537569999999999</v>
      </c>
      <c r="M7941">
        <v>3.9015109999999999E-3</v>
      </c>
      <c r="N7941">
        <v>-1.1180590000000001E-2</v>
      </c>
      <c r="O7941">
        <v>0.99992990000000004</v>
      </c>
      <c r="P7941">
        <v>-6.6241949999999994E-2</v>
      </c>
      <c r="Q7941">
        <v>0.2265615</v>
      </c>
      <c r="R7941">
        <v>0.97174170000000004</v>
      </c>
      <c r="S7941">
        <v>-6.7138669999999997E-4</v>
      </c>
      <c r="T7941">
        <v>3.3101560000000002E-2</v>
      </c>
      <c r="U7941">
        <v>3.0803530000000001</v>
      </c>
      <c r="V7941">
        <v>-6.9873179999999993E-2</v>
      </c>
      <c r="W7941">
        <v>0.23745630000000001</v>
      </c>
      <c r="X7941">
        <v>0.96888200000000002</v>
      </c>
      <c r="Y7941">
        <v>-4.1196490000000004E-3</v>
      </c>
      <c r="Z7941">
        <v>2.1924519999999999E-2</v>
      </c>
      <c r="AA7941">
        <v>0.99975119999999895</v>
      </c>
      <c r="AB7941">
        <v>29</v>
      </c>
      <c r="AC7941">
        <v>-8.1099999999992095E-2</v>
      </c>
      <c r="AD7941">
        <v>3.9185270000000001</v>
      </c>
      <c r="AE7941">
        <v>364.33242999999999</v>
      </c>
      <c r="AF7941">
        <v>-1.5024613943410801</v>
      </c>
      <c r="AG7941">
        <v>3.9185270000000001</v>
      </c>
      <c r="AH7941">
        <v>364.28720037464802</v>
      </c>
      <c r="AI7941">
        <v>89.383715676056696</v>
      </c>
      <c r="AJ7941">
        <v>90.236308628403606</v>
      </c>
      <c r="AK7941">
        <v>364.31137314238498</v>
      </c>
      <c r="AL7941">
        <v>76.263542987393706</v>
      </c>
      <c r="AM7941">
        <v>94.124877319698498</v>
      </c>
      <c r="AN7941">
        <v>1.0000000428085001</v>
      </c>
    </row>
    <row r="7942" spans="1:40" x14ac:dyDescent="0.25">
      <c r="A7942" t="str">
        <f>"20190304154949247"</f>
        <v>20190304154949247</v>
      </c>
      <c r="B7942" t="str">
        <f>"1551685789244914"</f>
        <v>1551685789244914</v>
      </c>
      <c r="C7942" t="s">
        <v>40</v>
      </c>
      <c r="D7942">
        <v>4.4212629999999997</v>
      </c>
      <c r="E7942">
        <v>0.52392669999999997</v>
      </c>
      <c r="F7942" t="s">
        <v>51</v>
      </c>
      <c r="G7942">
        <v>-187.0001</v>
      </c>
      <c r="H7942">
        <v>4.7646269999999999</v>
      </c>
      <c r="I7942">
        <v>391.87</v>
      </c>
      <c r="J7942">
        <v>-187.53819999999999</v>
      </c>
      <c r="K7942">
        <v>1.110536</v>
      </c>
      <c r="L7942">
        <v>27.850010000000001</v>
      </c>
      <c r="M7942">
        <v>4.2013780000000004E-3</v>
      </c>
      <c r="N7942">
        <v>-1.1158080000000001E-2</v>
      </c>
      <c r="O7942">
        <v>0.99992890000000001</v>
      </c>
      <c r="P7942">
        <v>-6.4641119999999996E-2</v>
      </c>
      <c r="Q7942">
        <v>0.22587989999999999</v>
      </c>
      <c r="R7942">
        <v>0.97200810000000004</v>
      </c>
      <c r="S7942">
        <v>4.5623779999999997E-3</v>
      </c>
      <c r="T7942">
        <v>3.089476E-2</v>
      </c>
      <c r="U7942">
        <v>3.0803530000000001</v>
      </c>
      <c r="V7942">
        <v>-6.8582470000000006E-2</v>
      </c>
      <c r="W7942">
        <v>0.23674990000000001</v>
      </c>
      <c r="X7942">
        <v>0.96914699999999998</v>
      </c>
      <c r="Y7942">
        <v>-2.720844E-3</v>
      </c>
      <c r="Z7942">
        <v>2.1185820000000001E-2</v>
      </c>
      <c r="AA7942">
        <v>0.99977179999999999</v>
      </c>
      <c r="AB7942">
        <v>29</v>
      </c>
      <c r="AC7942">
        <v>0.53809999999998503</v>
      </c>
      <c r="AD7942">
        <v>3.6540910000000002</v>
      </c>
      <c r="AE7942">
        <v>364.01999000000001</v>
      </c>
      <c r="AF7942">
        <v>-0.99128568727903299</v>
      </c>
      <c r="AG7942">
        <v>3.6540910000000002</v>
      </c>
      <c r="AH7942">
        <v>363.98236124518002</v>
      </c>
      <c r="AI7942">
        <v>89.424817779662504</v>
      </c>
      <c r="AJ7942">
        <v>90.156041478373993</v>
      </c>
      <c r="AK7942">
        <v>364.00205263977102</v>
      </c>
      <c r="AL7942">
        <v>76.305203979397504</v>
      </c>
      <c r="AM7942">
        <v>94.047834186816303</v>
      </c>
      <c r="AN7942">
        <v>0.99999998897515496</v>
      </c>
    </row>
    <row r="7943" spans="1:40" x14ac:dyDescent="0.25">
      <c r="A7943" t="str">
        <f>"20190304154949269"</f>
        <v>20190304154949269</v>
      </c>
      <c r="B7943" t="str">
        <f>"1551685789265412"</f>
        <v>1551685789265412</v>
      </c>
      <c r="C7943" t="s">
        <v>40</v>
      </c>
      <c r="D7943">
        <v>4.4099820000000003</v>
      </c>
      <c r="E7943">
        <v>0.52399459999999998</v>
      </c>
      <c r="F7943" t="s">
        <v>51</v>
      </c>
      <c r="G7943">
        <v>-186.37880000000001</v>
      </c>
      <c r="H7943">
        <v>4.444134</v>
      </c>
      <c r="I7943">
        <v>391.87</v>
      </c>
      <c r="J7943">
        <v>-187.5367</v>
      </c>
      <c r="K7943">
        <v>1.110552</v>
      </c>
      <c r="L7943">
        <v>28.126919999999998</v>
      </c>
      <c r="M7943">
        <v>4.4260609999999898E-3</v>
      </c>
      <c r="N7943">
        <v>-1.1126280000000001E-2</v>
      </c>
      <c r="O7943">
        <v>0.99992829999999999</v>
      </c>
      <c r="P7943">
        <v>-6.2751169999999995E-2</v>
      </c>
      <c r="Q7943">
        <v>0.22558909999999999</v>
      </c>
      <c r="R7943">
        <v>0.97219949999999999</v>
      </c>
      <c r="S7943">
        <v>9.8114010000000008E-3</v>
      </c>
      <c r="T7943">
        <v>2.8210160000000001E-2</v>
      </c>
      <c r="U7943">
        <v>3.0804749999999999</v>
      </c>
      <c r="V7943">
        <v>-6.6929260000000004E-2</v>
      </c>
      <c r="W7943">
        <v>0.23642460000000001</v>
      </c>
      <c r="X7943">
        <v>0.96934200000000004</v>
      </c>
      <c r="Y7943">
        <v>-1.2419729999999999E-3</v>
      </c>
      <c r="Z7943">
        <v>2.0282359999999999E-2</v>
      </c>
      <c r="AA7943">
        <v>0.9997935</v>
      </c>
      <c r="AB7943">
        <v>29</v>
      </c>
      <c r="AC7943">
        <v>1.1578999999999799</v>
      </c>
      <c r="AD7943">
        <v>3.3335819999999998</v>
      </c>
      <c r="AE7943">
        <v>363.743079999999</v>
      </c>
      <c r="AF7943">
        <v>-0.452122098700657</v>
      </c>
      <c r="AG7943">
        <v>3.3335819999999998</v>
      </c>
      <c r="AH7943">
        <v>363.71409352371597</v>
      </c>
      <c r="AI7943">
        <v>89.474876868700605</v>
      </c>
      <c r="AJ7943">
        <v>90.071222631178003</v>
      </c>
      <c r="AK7943">
        <v>363.72965099249399</v>
      </c>
      <c r="AL7943">
        <v>76.324387259885697</v>
      </c>
      <c r="AM7943">
        <v>93.949779948664499</v>
      </c>
      <c r="AN7943">
        <v>1.0000000151466499</v>
      </c>
    </row>
    <row r="7944" spans="1:40" x14ac:dyDescent="0.25">
      <c r="A7944" t="str">
        <f>"20190304154949292"</f>
        <v>20190304154949292</v>
      </c>
      <c r="B7944" t="str">
        <f>"1551685789284932"</f>
        <v>1551685789284932</v>
      </c>
      <c r="C7944" t="s">
        <v>40</v>
      </c>
      <c r="D7944">
        <v>4.3101039999999999</v>
      </c>
      <c r="E7944">
        <v>0.54162189999999999</v>
      </c>
      <c r="F7944" t="s">
        <v>51</v>
      </c>
      <c r="G7944">
        <v>-185.7243</v>
      </c>
      <c r="H7944">
        <v>4.1863669999999997</v>
      </c>
      <c r="I7944">
        <v>391.87</v>
      </c>
      <c r="J7944">
        <v>-187.5351</v>
      </c>
      <c r="K7944">
        <v>1.1105670000000001</v>
      </c>
      <c r="L7944">
        <v>28.430109999999999</v>
      </c>
      <c r="M7944">
        <v>4.6287759999999898E-3</v>
      </c>
      <c r="N7944">
        <v>-1.107728E-2</v>
      </c>
      <c r="O7944">
        <v>0.99992789999999998</v>
      </c>
      <c r="P7944">
        <v>-6.1241539999999997E-2</v>
      </c>
      <c r="Q7944">
        <v>0.22474</v>
      </c>
      <c r="R7944">
        <v>0.97249240000000003</v>
      </c>
      <c r="S7944">
        <v>1.5350340000000001E-2</v>
      </c>
      <c r="T7944">
        <v>2.6050569999999999E-2</v>
      </c>
      <c r="U7944">
        <v>3.0807190000000002</v>
      </c>
      <c r="V7944">
        <v>-6.5637719999999997E-2</v>
      </c>
      <c r="W7944">
        <v>0.2355247</v>
      </c>
      <c r="X7944">
        <v>0.96964930000000005</v>
      </c>
      <c r="Y7944">
        <v>3.5264049999999999E-4</v>
      </c>
      <c r="Z7944">
        <v>1.9531750000000001E-2</v>
      </c>
      <c r="AA7944">
        <v>0.99980910000000001</v>
      </c>
      <c r="AB7944">
        <v>29</v>
      </c>
      <c r="AC7944">
        <v>1.8108</v>
      </c>
      <c r="AD7944">
        <v>3.0758000000000001</v>
      </c>
      <c r="AE7944">
        <v>363.43988999999999</v>
      </c>
      <c r="AF7944">
        <v>0.12838628764393401</v>
      </c>
      <c r="AG7944">
        <v>3.0758000000000001</v>
      </c>
      <c r="AH7944">
        <v>363.41834997432301</v>
      </c>
      <c r="AI7944">
        <v>89.515087391825602</v>
      </c>
      <c r="AJ7944">
        <v>89.979758886352698</v>
      </c>
      <c r="AK7944">
        <v>363.431388472072</v>
      </c>
      <c r="AL7944">
        <v>76.377445667473907</v>
      </c>
      <c r="AM7944">
        <v>93.872571078794493</v>
      </c>
      <c r="AN7944">
        <v>0.99999997979368904</v>
      </c>
    </row>
    <row r="7945" spans="1:40" x14ac:dyDescent="0.25">
      <c r="A7945" t="str">
        <f>"20190304154949313"</f>
        <v>20190304154949313</v>
      </c>
      <c r="B7945" t="str">
        <f>"1551685789305427"</f>
        <v>1551685789305427</v>
      </c>
      <c r="C7945" t="s">
        <v>40</v>
      </c>
      <c r="D7945">
        <v>4.5964460000000003</v>
      </c>
      <c r="E7945">
        <v>0.54090280000000002</v>
      </c>
      <c r="F7945" t="s">
        <v>44</v>
      </c>
      <c r="G7945">
        <v>-183.6833</v>
      </c>
      <c r="H7945" s="1">
        <v>-2.7212930000000001E-6</v>
      </c>
      <c r="I7945">
        <v>102.7059</v>
      </c>
      <c r="J7945">
        <v>-187.53360000000001</v>
      </c>
      <c r="K7945">
        <v>1.110576</v>
      </c>
      <c r="L7945">
        <v>28.716190000000001</v>
      </c>
      <c r="M7945">
        <v>4.7818309999999899E-3</v>
      </c>
      <c r="N7945">
        <v>-1.1021049999999999E-2</v>
      </c>
      <c r="O7945">
        <v>0.99992780000000003</v>
      </c>
      <c r="P7945">
        <v>-5.9903129999999999E-2</v>
      </c>
      <c r="Q7945">
        <v>0.22380439999999999</v>
      </c>
      <c r="R7945">
        <v>0.97279139999999997</v>
      </c>
      <c r="S7945">
        <v>0.16105649999999999</v>
      </c>
      <c r="T7945">
        <v>-4.643655E-2</v>
      </c>
      <c r="U7945">
        <v>3.1057130000000002</v>
      </c>
      <c r="V7945">
        <v>-6.4465750000000002E-2</v>
      </c>
      <c r="W7945">
        <v>0.2345333</v>
      </c>
      <c r="X7945">
        <v>0.96996819999999895</v>
      </c>
      <c r="Y7945">
        <v>4.7005150000000002E-2</v>
      </c>
      <c r="Z7945">
        <v>-3.9123969999999997E-3</v>
      </c>
      <c r="AA7945">
        <v>0.99888699999999997</v>
      </c>
      <c r="AB7945">
        <v>29</v>
      </c>
      <c r="AC7945">
        <v>3.8502999999999998</v>
      </c>
      <c r="AD7945">
        <v>-1.1105787212930001</v>
      </c>
      <c r="AE7945">
        <v>73.989710000000002</v>
      </c>
      <c r="AF7945">
        <v>3.4956427522946498</v>
      </c>
      <c r="AG7945">
        <v>-1.1105787212930001</v>
      </c>
      <c r="AH7945">
        <v>73.990651697797503</v>
      </c>
      <c r="AI7945">
        <v>90.858970897828399</v>
      </c>
      <c r="AJ7945">
        <v>87.295107470298106</v>
      </c>
      <c r="AK7945">
        <v>74.081505397856503</v>
      </c>
      <c r="AL7945">
        <v>76.435886062450095</v>
      </c>
      <c r="AM7945">
        <v>93.802383765529399</v>
      </c>
      <c r="AN7945">
        <v>1.0000000053715901</v>
      </c>
    </row>
    <row r="7946" spans="1:40" x14ac:dyDescent="0.25">
      <c r="A7946" t="str">
        <f>"20190304154949334"</f>
        <v>20190304154949334</v>
      </c>
      <c r="B7946" t="str">
        <f>"1551685789324951"</f>
        <v>1551685789324951</v>
      </c>
      <c r="C7946" t="s">
        <v>40</v>
      </c>
      <c r="D7946">
        <v>4.3337430000000001</v>
      </c>
      <c r="E7946">
        <v>0.54758469999999904</v>
      </c>
      <c r="F7946" t="s">
        <v>44</v>
      </c>
      <c r="G7946">
        <v>-184.18860000000001</v>
      </c>
      <c r="H7946" s="1">
        <v>-2.9733509999999999E-6</v>
      </c>
      <c r="I7946">
        <v>93.841579999999993</v>
      </c>
      <c r="J7946">
        <v>-187.53210000000001</v>
      </c>
      <c r="K7946">
        <v>1.1105879999999999</v>
      </c>
      <c r="L7946">
        <v>29.00085</v>
      </c>
      <c r="M7946">
        <v>4.9110719999999998E-3</v>
      </c>
      <c r="N7946">
        <v>-1.0963000000000001E-2</v>
      </c>
      <c r="O7946">
        <v>0.99992780000000003</v>
      </c>
      <c r="P7946">
        <v>-5.8543209999999998E-2</v>
      </c>
      <c r="Q7946">
        <v>0.223473</v>
      </c>
      <c r="R7946">
        <v>0.97295039999999999</v>
      </c>
      <c r="S7946">
        <v>0.15953059999999999</v>
      </c>
      <c r="T7946">
        <v>-5.2965159999999997E-2</v>
      </c>
      <c r="U7946">
        <v>3.1059269999999999</v>
      </c>
      <c r="V7946">
        <v>-6.3244300000000003E-2</v>
      </c>
      <c r="W7946">
        <v>0.2341435</v>
      </c>
      <c r="X7946">
        <v>0.97014279999999997</v>
      </c>
      <c r="Y7946">
        <v>4.6382109999999997E-2</v>
      </c>
      <c r="Z7946">
        <v>-6.068698E-3</v>
      </c>
      <c r="AA7946">
        <v>0.99890540000000005</v>
      </c>
      <c r="AB7946">
        <v>29</v>
      </c>
      <c r="AC7946">
        <v>3.3435000000000001</v>
      </c>
      <c r="AD7946">
        <v>-1.110590973351</v>
      </c>
      <c r="AE7946">
        <v>64.840729999999994</v>
      </c>
      <c r="AF7946">
        <v>3.0241182027789701</v>
      </c>
      <c r="AG7946">
        <v>-1.110590973351</v>
      </c>
      <c r="AH7946">
        <v>64.837398358415896</v>
      </c>
      <c r="AI7946">
        <v>90.980250197530296</v>
      </c>
      <c r="AJ7946">
        <v>87.329570085735597</v>
      </c>
      <c r="AK7946">
        <v>64.917385414866999</v>
      </c>
      <c r="AL7946">
        <v>76.458860080887604</v>
      </c>
      <c r="AM7946">
        <v>93.729874866532697</v>
      </c>
      <c r="AN7946">
        <v>1.0000000362332799</v>
      </c>
    </row>
    <row r="7947" spans="1:40" x14ac:dyDescent="0.25">
      <c r="A7947" t="str">
        <f>"20190304154949357"</f>
        <v>20190304154949357</v>
      </c>
      <c r="B7947" t="str">
        <f>"1551685789345446"</f>
        <v>1551685789345446</v>
      </c>
      <c r="C7947" t="s">
        <v>40</v>
      </c>
      <c r="D7947">
        <v>4.501131</v>
      </c>
      <c r="E7947">
        <v>0.55272200000000005</v>
      </c>
      <c r="F7947" t="s">
        <v>47</v>
      </c>
      <c r="G7947">
        <v>-167.6129</v>
      </c>
      <c r="H7947">
        <v>4.2913990000000002</v>
      </c>
      <c r="I7947">
        <v>314.49709999999999</v>
      </c>
      <c r="J7947">
        <v>-187.53049999999999</v>
      </c>
      <c r="K7947">
        <v>1.11059</v>
      </c>
      <c r="L7947">
        <v>29.287289999999999</v>
      </c>
      <c r="M7947">
        <v>5.0253720000000002E-3</v>
      </c>
      <c r="N7947">
        <v>-1.0901020000000001E-2</v>
      </c>
      <c r="O7947">
        <v>0.99992789999999998</v>
      </c>
      <c r="P7947">
        <v>-5.7480240000000002E-2</v>
      </c>
      <c r="Q7947">
        <v>0.224554</v>
      </c>
      <c r="R7947">
        <v>0.97276490000000004</v>
      </c>
      <c r="S7947">
        <v>0.2154846</v>
      </c>
      <c r="T7947">
        <v>3.4409759999999998E-2</v>
      </c>
      <c r="U7947">
        <v>3.08847</v>
      </c>
      <c r="V7947">
        <v>-6.2298249999999999E-2</v>
      </c>
      <c r="W7947">
        <v>0.23516000000000001</v>
      </c>
      <c r="X7947">
        <v>0.96995810000000005</v>
      </c>
      <c r="Y7947">
        <v>6.4570310000000006E-2</v>
      </c>
      <c r="Z7947">
        <v>2.2013100000000001E-2</v>
      </c>
      <c r="AA7947">
        <v>0.99767039999999996</v>
      </c>
      <c r="AB7947">
        <v>30</v>
      </c>
      <c r="AC7947">
        <v>19.9176</v>
      </c>
      <c r="AD7947">
        <v>3.180809</v>
      </c>
      <c r="AE7947">
        <v>285.20981</v>
      </c>
      <c r="AF7947">
        <v>18.481690252999599</v>
      </c>
      <c r="AG7947">
        <v>3.180809</v>
      </c>
      <c r="AH7947">
        <v>285.270997999938</v>
      </c>
      <c r="AI7947">
        <v>89.362507382204797</v>
      </c>
      <c r="AJ7947">
        <v>86.293191230346295</v>
      </c>
      <c r="AK7947">
        <v>285.88674806710299</v>
      </c>
      <c r="AL7947">
        <v>76.398945681614506</v>
      </c>
      <c r="AM7947">
        <v>93.674932660140001</v>
      </c>
      <c r="AN7947">
        <v>1.00000000665433</v>
      </c>
    </row>
    <row r="7948" spans="1:40" x14ac:dyDescent="0.25">
      <c r="A7948" t="str">
        <f>"20190304154949378"</f>
        <v>20190304154949378</v>
      </c>
      <c r="B7948" t="str">
        <f>"1551685789374723"</f>
        <v>1551685789374723</v>
      </c>
      <c r="C7948" t="s">
        <v>40</v>
      </c>
      <c r="D7948">
        <v>4.0705090000000004</v>
      </c>
      <c r="E7948">
        <v>0.54948969999999997</v>
      </c>
      <c r="F7948" t="s">
        <v>105</v>
      </c>
      <c r="G7948">
        <v>-167.2945</v>
      </c>
      <c r="H7948">
        <v>5.9262410000000001</v>
      </c>
      <c r="I7948">
        <v>269.69009999999997</v>
      </c>
      <c r="J7948">
        <v>-187.52889999999999</v>
      </c>
      <c r="K7948">
        <v>1.1105860000000001</v>
      </c>
      <c r="L7948">
        <v>29.578949999999999</v>
      </c>
      <c r="M7948">
        <v>5.1328140000000003E-3</v>
      </c>
      <c r="N7948">
        <v>-1.0830299999999999E-2</v>
      </c>
      <c r="O7948">
        <v>0.99992820000000004</v>
      </c>
      <c r="P7948">
        <v>-5.5995070000000001E-2</v>
      </c>
      <c r="Q7948">
        <v>0.22383919999999999</v>
      </c>
      <c r="R7948">
        <v>0.9730162</v>
      </c>
      <c r="S7948">
        <v>0.25968930000000001</v>
      </c>
      <c r="T7948">
        <v>6.180012E-2</v>
      </c>
      <c r="U7948">
        <v>3.085083</v>
      </c>
      <c r="V7948">
        <v>-6.0923400000000003E-2</v>
      </c>
      <c r="W7948">
        <v>0.23437810000000001</v>
      </c>
      <c r="X7948">
        <v>0.97023459999999995</v>
      </c>
      <c r="Y7948">
        <v>7.8727179999999994E-2</v>
      </c>
      <c r="Z7948">
        <v>3.0785759999999999E-2</v>
      </c>
      <c r="AA7948">
        <v>0.99642070000000005</v>
      </c>
      <c r="AB7948">
        <v>30</v>
      </c>
      <c r="AC7948">
        <v>20.234399999999901</v>
      </c>
      <c r="AD7948">
        <v>4.8156549999999996</v>
      </c>
      <c r="AE7948">
        <v>240.11115000000001</v>
      </c>
      <c r="AF7948">
        <v>18.994028993448602</v>
      </c>
      <c r="AG7948">
        <v>4.8156549999999996</v>
      </c>
      <c r="AH7948">
        <v>240.11594879667899</v>
      </c>
      <c r="AI7948">
        <v>88.854633182765497</v>
      </c>
      <c r="AJ7948">
        <v>85.477117340489897</v>
      </c>
      <c r="AK7948">
        <v>240.91416010067201</v>
      </c>
      <c r="AL7948">
        <v>76.4450327972406</v>
      </c>
      <c r="AM7948">
        <v>93.593024574767</v>
      </c>
      <c r="AN7948">
        <v>0.99999996673216396</v>
      </c>
    </row>
    <row r="7949" spans="1:40" x14ac:dyDescent="0.25">
      <c r="A7949" t="str">
        <f>"20190304154949401"</f>
        <v>20190304154949401</v>
      </c>
      <c r="B7949" t="str">
        <f>"1551685789395219"</f>
        <v>1551685789395219</v>
      </c>
      <c r="C7949" t="s">
        <v>40</v>
      </c>
      <c r="D7949">
        <v>4.3805329999999998</v>
      </c>
      <c r="E7949">
        <v>0.54739199999999999</v>
      </c>
      <c r="F7949" t="s">
        <v>105</v>
      </c>
      <c r="G7949">
        <v>-166.8526</v>
      </c>
      <c r="H7949">
        <v>4.2300019999999998</v>
      </c>
      <c r="I7949">
        <v>297.38529999999997</v>
      </c>
      <c r="J7949">
        <v>-187.5273</v>
      </c>
      <c r="K7949">
        <v>1.110565</v>
      </c>
      <c r="L7949">
        <v>29.87265</v>
      </c>
      <c r="M7949">
        <v>5.2376899999999997E-3</v>
      </c>
      <c r="N7949">
        <v>-1.074804E-2</v>
      </c>
      <c r="O7949">
        <v>0.9999285</v>
      </c>
      <c r="P7949">
        <v>-5.5236489999999999E-2</v>
      </c>
      <c r="Q7949">
        <v>0.22283539999999999</v>
      </c>
      <c r="R7949">
        <v>0.97328999999999999</v>
      </c>
      <c r="S7949">
        <v>0.23846439999999999</v>
      </c>
      <c r="T7949">
        <v>3.5977599999999998E-2</v>
      </c>
      <c r="U7949">
        <v>3.088654</v>
      </c>
      <c r="V7949">
        <v>-6.027006E-2</v>
      </c>
      <c r="W7949">
        <v>0.2332969</v>
      </c>
      <c r="X7949">
        <v>0.97053599999999995</v>
      </c>
      <c r="Y7949">
        <v>7.1735080000000007E-2</v>
      </c>
      <c r="Z7949">
        <v>2.2359469999999999E-2</v>
      </c>
      <c r="AA7949">
        <v>0.99717310000000003</v>
      </c>
      <c r="AB7949">
        <v>30</v>
      </c>
      <c r="AC7949">
        <v>20.674700000000001</v>
      </c>
      <c r="AD7949">
        <v>3.119437</v>
      </c>
      <c r="AE7949">
        <v>267.51264999999898</v>
      </c>
      <c r="AF7949">
        <v>19.270582290837702</v>
      </c>
      <c r="AG7949">
        <v>3.119437</v>
      </c>
      <c r="AH7949">
        <v>267.58110538512602</v>
      </c>
      <c r="AI7949">
        <v>89.333806331071202</v>
      </c>
      <c r="AJ7949">
        <v>85.880800003789702</v>
      </c>
      <c r="AK7949">
        <v>268.29225517735398</v>
      </c>
      <c r="AL7949">
        <v>76.5087482520874</v>
      </c>
      <c r="AM7949">
        <v>93.553491405013006</v>
      </c>
      <c r="AN7949">
        <v>1.000000025489</v>
      </c>
    </row>
    <row r="7950" spans="1:40" x14ac:dyDescent="0.25">
      <c r="A7950" t="str">
        <f>"20190304154949424"</f>
        <v>20190304154949424</v>
      </c>
      <c r="B7950" t="str">
        <f>"1551685789414738"</f>
        <v>1551685789414738</v>
      </c>
      <c r="C7950" t="s">
        <v>40</v>
      </c>
      <c r="D7950">
        <v>4.3272879999999896</v>
      </c>
      <c r="E7950">
        <v>0.54519110000000004</v>
      </c>
      <c r="F7950" t="s">
        <v>105</v>
      </c>
      <c r="G7950">
        <v>-168.12049999999999</v>
      </c>
      <c r="H7950">
        <v>1.9850239999999999</v>
      </c>
      <c r="I7950">
        <v>297.38529999999997</v>
      </c>
      <c r="J7950">
        <v>-187.52549999999999</v>
      </c>
      <c r="K7950">
        <v>1.110549</v>
      </c>
      <c r="L7950">
        <v>30.187989999999999</v>
      </c>
      <c r="M7950">
        <v>5.3516880000000003E-3</v>
      </c>
      <c r="N7950">
        <v>-1.0648410000000001E-2</v>
      </c>
      <c r="O7950">
        <v>0.99992899999999996</v>
      </c>
      <c r="P7950">
        <v>-5.4111510000000002E-2</v>
      </c>
      <c r="Q7950">
        <v>0.22268250000000001</v>
      </c>
      <c r="R7950">
        <v>0.97338809999999998</v>
      </c>
      <c r="S7950">
        <v>0.22436519999999999</v>
      </c>
      <c r="T7950">
        <v>1.0110620000000001E-2</v>
      </c>
      <c r="U7950">
        <v>3.092743</v>
      </c>
      <c r="V7950">
        <v>-5.9256929999999999E-2</v>
      </c>
      <c r="W7950">
        <v>0.23304739999999999</v>
      </c>
      <c r="X7950">
        <v>0.97065829999999997</v>
      </c>
      <c r="Y7950">
        <v>6.7006930000000006E-2</v>
      </c>
      <c r="Z7950">
        <v>1.390719E-2</v>
      </c>
      <c r="AA7950">
        <v>0.99765559999999998</v>
      </c>
      <c r="AB7950">
        <v>30</v>
      </c>
      <c r="AC7950">
        <v>19.405000000000001</v>
      </c>
      <c r="AD7950">
        <v>0.874475</v>
      </c>
      <c r="AE7950">
        <v>267.19731000000002</v>
      </c>
      <c r="AF7950">
        <v>17.974492876083701</v>
      </c>
      <c r="AG7950">
        <v>0.874475</v>
      </c>
      <c r="AH7950">
        <v>267.29449061564202</v>
      </c>
      <c r="AI7950">
        <v>89.812975394084603</v>
      </c>
      <c r="AJ7950">
        <v>86.152878345070704</v>
      </c>
      <c r="AK7950">
        <v>267.89959278459798</v>
      </c>
      <c r="AL7950">
        <v>76.523448478340399</v>
      </c>
      <c r="AM7950">
        <v>93.493467888244197</v>
      </c>
      <c r="AN7950">
        <v>1.0000000048793301</v>
      </c>
    </row>
    <row r="7951" spans="1:40" x14ac:dyDescent="0.25">
      <c r="A7951" t="str">
        <f>"20190304154949447"</f>
        <v>20190304154949447</v>
      </c>
      <c r="B7951" t="str">
        <f>"1551685789444994"</f>
        <v>1551685789444994</v>
      </c>
      <c r="C7951" t="s">
        <v>40</v>
      </c>
      <c r="D7951">
        <v>4.3793920000000002</v>
      </c>
      <c r="E7951">
        <v>0.54274460000000002</v>
      </c>
      <c r="F7951" t="s">
        <v>47</v>
      </c>
      <c r="G7951">
        <v>-168.2098</v>
      </c>
      <c r="H7951">
        <v>0.44806299999999999</v>
      </c>
      <c r="I7951">
        <v>314.49709999999999</v>
      </c>
      <c r="J7951">
        <v>-187.52379999999999</v>
      </c>
      <c r="K7951">
        <v>1.110541</v>
      </c>
      <c r="L7951">
        <v>30.492100000000001</v>
      </c>
      <c r="M7951">
        <v>5.4654200000000003E-3</v>
      </c>
      <c r="N7951">
        <v>-1.053898E-2</v>
      </c>
      <c r="O7951">
        <v>0.99992950000000003</v>
      </c>
      <c r="P7951">
        <v>-5.3382680000000002E-2</v>
      </c>
      <c r="Q7951">
        <v>0.22396940000000001</v>
      </c>
      <c r="R7951">
        <v>0.97313309999999997</v>
      </c>
      <c r="S7951">
        <v>0.2102966</v>
      </c>
      <c r="T7951">
        <v>-7.2126389999999999E-3</v>
      </c>
      <c r="U7951">
        <v>3.095367</v>
      </c>
      <c r="V7951">
        <v>-5.8637689999999999E-2</v>
      </c>
      <c r="W7951">
        <v>0.23422509999999999</v>
      </c>
      <c r="X7951">
        <v>0.97041239999999995</v>
      </c>
      <c r="Y7951">
        <v>6.2322229999999999E-2</v>
      </c>
      <c r="Z7951">
        <v>8.2119919999999996E-3</v>
      </c>
      <c r="AA7951">
        <v>0.99802230000000003</v>
      </c>
      <c r="AB7951">
        <v>30</v>
      </c>
      <c r="AC7951">
        <v>19.314</v>
      </c>
      <c r="AD7951">
        <v>-0.66247800000000001</v>
      </c>
      <c r="AE7951">
        <v>284.005</v>
      </c>
      <c r="AF7951">
        <v>17.761322447977399</v>
      </c>
      <c r="AG7951">
        <v>-0.66247800000000001</v>
      </c>
      <c r="AH7951">
        <v>284.10478401256898</v>
      </c>
      <c r="AI7951">
        <v>90.133342234524704</v>
      </c>
      <c r="AJ7951">
        <v>86.4227067045193</v>
      </c>
      <c r="AK7951">
        <v>284.66020401705299</v>
      </c>
      <c r="AL7951">
        <v>76.454050531281595</v>
      </c>
      <c r="AM7951">
        <v>93.457923736185094</v>
      </c>
      <c r="AN7951">
        <v>1.0000000011161501</v>
      </c>
    </row>
    <row r="7952" spans="1:40" x14ac:dyDescent="0.25">
      <c r="A7952" t="str">
        <f>"20190304154949468"</f>
        <v>20190304154949468</v>
      </c>
      <c r="B7952" t="str">
        <f>"1551685789465491"</f>
        <v>1551685789465491</v>
      </c>
      <c r="C7952" t="s">
        <v>40</v>
      </c>
      <c r="D7952">
        <v>4.4024729999999996</v>
      </c>
      <c r="E7952">
        <v>0.54172769999999904</v>
      </c>
      <c r="F7952" t="s">
        <v>54</v>
      </c>
      <c r="G7952">
        <v>-176.33150000000001</v>
      </c>
      <c r="H7952">
        <v>7.9981650000000001E-2</v>
      </c>
      <c r="I7952">
        <v>209.71619999999999</v>
      </c>
      <c r="J7952">
        <v>-187.52209999999999</v>
      </c>
      <c r="K7952">
        <v>1.11053</v>
      </c>
      <c r="L7952">
        <v>30.766169999999999</v>
      </c>
      <c r="M7952">
        <v>5.5712390000000004E-3</v>
      </c>
      <c r="N7952">
        <v>-1.043139E-2</v>
      </c>
      <c r="O7952">
        <v>0.99993010000000004</v>
      </c>
      <c r="P7952">
        <v>-5.349727E-2</v>
      </c>
      <c r="Q7952">
        <v>0.22506899999999999</v>
      </c>
      <c r="R7952">
        <v>0.97287310000000005</v>
      </c>
      <c r="S7952">
        <v>0.19343569999999999</v>
      </c>
      <c r="T7952">
        <v>-1.7811179999999999E-2</v>
      </c>
      <c r="U7952">
        <v>3.097534</v>
      </c>
      <c r="V7952">
        <v>-5.8853620000000002E-2</v>
      </c>
      <c r="W7952">
        <v>0.23521800000000001</v>
      </c>
      <c r="X7952">
        <v>0.97015910000000005</v>
      </c>
      <c r="Y7952">
        <v>5.675972E-2</v>
      </c>
      <c r="Z7952">
        <v>4.6900529999999996E-3</v>
      </c>
      <c r="AA7952">
        <v>0.99837679999999995</v>
      </c>
      <c r="AB7952">
        <v>30</v>
      </c>
      <c r="AC7952">
        <v>11.1905999999999</v>
      </c>
      <c r="AD7952">
        <v>-1.0305483499999999</v>
      </c>
      <c r="AE7952">
        <v>178.950029999999</v>
      </c>
      <c r="AF7952">
        <v>10.193061973886699</v>
      </c>
      <c r="AG7952">
        <v>-1.0305483499999999</v>
      </c>
      <c r="AH7952">
        <v>179.00368794637299</v>
      </c>
      <c r="AI7952">
        <v>90.329322401585998</v>
      </c>
      <c r="AJ7952">
        <v>86.740908369768604</v>
      </c>
      <c r="AK7952">
        <v>179.29662807958201</v>
      </c>
      <c r="AL7952">
        <v>76.395526080611802</v>
      </c>
      <c r="AM7952">
        <v>93.471530211981602</v>
      </c>
      <c r="AN7952">
        <v>0.99999996771195598</v>
      </c>
    </row>
    <row r="7953" spans="1:40" x14ac:dyDescent="0.25">
      <c r="A7953" t="str">
        <f>"20190304154949490"</f>
        <v>20190304154949490</v>
      </c>
      <c r="B7953" t="str">
        <f>"1551685789485011"</f>
        <v>1551685789485011</v>
      </c>
      <c r="C7953" t="s">
        <v>40</v>
      </c>
      <c r="D7953">
        <v>4.4149209999999997</v>
      </c>
      <c r="E7953">
        <v>0.54148479999999999</v>
      </c>
      <c r="F7953" t="s">
        <v>44</v>
      </c>
      <c r="G7953">
        <v>-179.45910000000001</v>
      </c>
      <c r="H7953">
        <v>7.9985399999999998E-2</v>
      </c>
      <c r="I7953">
        <v>165.58240000000001</v>
      </c>
      <c r="J7953">
        <v>-187.5204</v>
      </c>
      <c r="K7953">
        <v>1.1105130000000001</v>
      </c>
      <c r="L7953">
        <v>31.06119</v>
      </c>
      <c r="M7953">
        <v>5.6877769999999998E-3</v>
      </c>
      <c r="N7953">
        <v>-1.0311819999999999E-2</v>
      </c>
      <c r="O7953">
        <v>0.99993069999999895</v>
      </c>
      <c r="P7953">
        <v>-5.3858160000000002E-2</v>
      </c>
      <c r="Q7953">
        <v>0.224243</v>
      </c>
      <c r="R7953">
        <v>0.97304389999999996</v>
      </c>
      <c r="S7953">
        <v>0.1853638</v>
      </c>
      <c r="T7953">
        <v>-2.3691529999999999E-2</v>
      </c>
      <c r="U7953">
        <v>3.099335</v>
      </c>
      <c r="V7953">
        <v>-5.9329609999999998E-2</v>
      </c>
      <c r="W7953">
        <v>0.2342775</v>
      </c>
      <c r="X7953">
        <v>0.97035769999999999</v>
      </c>
      <c r="Y7953">
        <v>5.4016809999999998E-2</v>
      </c>
      <c r="Z7953">
        <v>2.6789090000000002E-3</v>
      </c>
      <c r="AA7953">
        <v>0.99853639999999999</v>
      </c>
      <c r="AB7953">
        <v>30</v>
      </c>
      <c r="AC7953">
        <v>8.0612999999999797</v>
      </c>
      <c r="AD7953">
        <v>-1.0305276000000001</v>
      </c>
      <c r="AE7953">
        <v>134.52121</v>
      </c>
      <c r="AF7953">
        <v>7.2955756783246004</v>
      </c>
      <c r="AG7953">
        <v>-1.0305276000000001</v>
      </c>
      <c r="AH7953">
        <v>134.55701871361501</v>
      </c>
      <c r="AI7953">
        <v>90.438157269520701</v>
      </c>
      <c r="AJ7953">
        <v>86.8965066746605</v>
      </c>
      <c r="AK7953">
        <v>134.75859414786399</v>
      </c>
      <c r="AL7953">
        <v>76.450962398035401</v>
      </c>
      <c r="AM7953">
        <v>93.498822925066307</v>
      </c>
      <c r="AN7953">
        <v>1.00000000778914</v>
      </c>
    </row>
    <row r="7954" spans="1:40" x14ac:dyDescent="0.25">
      <c r="A7954" t="str">
        <f>"20190304154949514"</f>
        <v>20190304154949514</v>
      </c>
      <c r="B7954" t="str">
        <f>"1551685789505507"</f>
        <v>1551685789505507</v>
      </c>
      <c r="C7954" t="s">
        <v>40</v>
      </c>
      <c r="D7954">
        <v>4.4161890000000001</v>
      </c>
      <c r="E7954">
        <v>0.54082059999999998</v>
      </c>
      <c r="F7954" t="s">
        <v>79</v>
      </c>
      <c r="G7954">
        <v>-181.49870000000001</v>
      </c>
      <c r="H7954" s="1">
        <v>-6.6490159999999998E-6</v>
      </c>
      <c r="I7954">
        <v>133.4838</v>
      </c>
      <c r="J7954">
        <v>-187.51840000000001</v>
      </c>
      <c r="K7954">
        <v>1.110479</v>
      </c>
      <c r="L7954">
        <v>31.3782</v>
      </c>
      <c r="M7954">
        <v>5.8145489999999996E-3</v>
      </c>
      <c r="N7954">
        <v>-1.018144E-2</v>
      </c>
      <c r="O7954">
        <v>0.99993129999999997</v>
      </c>
      <c r="P7954">
        <v>-5.407207E-2</v>
      </c>
      <c r="Q7954">
        <v>0.22316469999999999</v>
      </c>
      <c r="R7954">
        <v>0.97327989999999998</v>
      </c>
      <c r="S7954">
        <v>0.182312</v>
      </c>
      <c r="T7954">
        <v>-3.3622150000000003E-2</v>
      </c>
      <c r="U7954">
        <v>3.1009519999999999</v>
      </c>
      <c r="V7954">
        <v>-5.9667989999999997E-2</v>
      </c>
      <c r="W7954">
        <v>0.23307530000000001</v>
      </c>
      <c r="X7954">
        <v>0.9706264</v>
      </c>
      <c r="Y7954">
        <v>5.2879450000000001E-2</v>
      </c>
      <c r="Z7954">
        <v>-6.4501249999999999E-4</v>
      </c>
      <c r="AA7954">
        <v>0.99860070000000001</v>
      </c>
      <c r="AB7954">
        <v>30</v>
      </c>
      <c r="AC7954">
        <v>6.0197000000000003</v>
      </c>
      <c r="AD7954">
        <v>-1.110485649016</v>
      </c>
      <c r="AE7954">
        <v>102.1056</v>
      </c>
      <c r="AF7954">
        <v>5.4252299660784802</v>
      </c>
      <c r="AG7954">
        <v>-1.110485649016</v>
      </c>
      <c r="AH7954">
        <v>102.126839266297</v>
      </c>
      <c r="AI7954">
        <v>90.622109307191806</v>
      </c>
      <c r="AJ7954">
        <v>86.959164925147206</v>
      </c>
      <c r="AK7954">
        <v>102.27686736054</v>
      </c>
      <c r="AL7954">
        <v>76.521804405416006</v>
      </c>
      <c r="AM7954">
        <v>93.517756438008803</v>
      </c>
      <c r="AN7954">
        <v>0.99999998643884402</v>
      </c>
    </row>
    <row r="7955" spans="1:40" x14ac:dyDescent="0.25">
      <c r="A7955" t="str">
        <f>"20190304154949534"</f>
        <v>20190304154949534</v>
      </c>
      <c r="B7955" t="str">
        <f>"1551685789525027"</f>
        <v>1551685789525027</v>
      </c>
      <c r="C7955" t="s">
        <v>40</v>
      </c>
      <c r="D7955">
        <v>4.5297519999999896</v>
      </c>
      <c r="E7955">
        <v>0.53898740000000001</v>
      </c>
      <c r="F7955" t="s">
        <v>44</v>
      </c>
      <c r="G7955">
        <v>-182.60409999999999</v>
      </c>
      <c r="H7955" s="1">
        <v>-4.6681490000000001E-6</v>
      </c>
      <c r="I7955">
        <v>117.4563</v>
      </c>
      <c r="J7955">
        <v>-187.51669999999999</v>
      </c>
      <c r="K7955">
        <v>1.1104590000000001</v>
      </c>
      <c r="L7955">
        <v>31.66217</v>
      </c>
      <c r="M7955">
        <v>5.9285930000000002E-3</v>
      </c>
      <c r="N7955">
        <v>-1.006455E-2</v>
      </c>
      <c r="O7955">
        <v>0.99993180000000004</v>
      </c>
      <c r="P7955">
        <v>-5.4483150000000001E-2</v>
      </c>
      <c r="Q7955">
        <v>0.2211755</v>
      </c>
      <c r="R7955">
        <v>0.97371099999999999</v>
      </c>
      <c r="S7955">
        <v>0.177063</v>
      </c>
      <c r="T7955">
        <v>-4.0010570000000002E-2</v>
      </c>
      <c r="U7955">
        <v>3.1013790000000001</v>
      </c>
      <c r="V7955">
        <v>-6.0192790000000003E-2</v>
      </c>
      <c r="W7955">
        <v>0.23097699999999999</v>
      </c>
      <c r="X7955">
        <v>0.9710955</v>
      </c>
      <c r="Y7955">
        <v>5.10725E-2</v>
      </c>
      <c r="Z7955">
        <v>-2.8179149999999998E-3</v>
      </c>
      <c r="AA7955">
        <v>0.998691</v>
      </c>
      <c r="AB7955">
        <v>30</v>
      </c>
      <c r="AC7955">
        <v>4.9125999999999896</v>
      </c>
      <c r="AD7955">
        <v>-1.1104636681489899</v>
      </c>
      <c r="AE7955">
        <v>85.794129999999996</v>
      </c>
      <c r="AF7955">
        <v>4.4031141816432999</v>
      </c>
      <c r="AG7955">
        <v>-1.1104636681489899</v>
      </c>
      <c r="AH7955">
        <v>85.807419989187494</v>
      </c>
      <c r="AI7955">
        <v>90.740469100152495</v>
      </c>
      <c r="AJ7955">
        <v>87.0625060043009</v>
      </c>
      <c r="AK7955">
        <v>85.927491929275405</v>
      </c>
      <c r="AL7955">
        <v>76.645401477843606</v>
      </c>
      <c r="AM7955">
        <v>93.546907740549102</v>
      </c>
      <c r="AN7955">
        <v>1.00000000830861</v>
      </c>
    </row>
    <row r="7956" spans="1:40" x14ac:dyDescent="0.25">
      <c r="A7956" t="str">
        <f>"20190304154949558"</f>
        <v>20190304154949558</v>
      </c>
      <c r="B7956" t="str">
        <f>"1551685789555283"</f>
        <v>1551685789555283</v>
      </c>
      <c r="C7956" t="s">
        <v>40</v>
      </c>
      <c r="D7956">
        <v>4.532762</v>
      </c>
      <c r="E7956">
        <v>0.53500729999999996</v>
      </c>
      <c r="F7956" t="s">
        <v>44</v>
      </c>
      <c r="G7956">
        <v>-184.00810000000001</v>
      </c>
      <c r="H7956" s="1">
        <v>-5.0987209999999999E-6</v>
      </c>
      <c r="I7956">
        <v>99.040440000000004</v>
      </c>
      <c r="J7956">
        <v>-187.51480000000001</v>
      </c>
      <c r="K7956">
        <v>1.1104350000000001</v>
      </c>
      <c r="L7956">
        <v>31.96368</v>
      </c>
      <c r="M7956">
        <v>6.0494249999999998E-3</v>
      </c>
      <c r="N7956">
        <v>-9.9451980000000006E-3</v>
      </c>
      <c r="O7956">
        <v>0.99993220000000005</v>
      </c>
      <c r="P7956">
        <v>-5.5172079999999998E-2</v>
      </c>
      <c r="Q7956">
        <v>0.21898770000000001</v>
      </c>
      <c r="R7956">
        <v>0.97416650000000005</v>
      </c>
      <c r="S7956">
        <v>0.161514299999999</v>
      </c>
      <c r="T7956">
        <v>-5.1118490000000003E-2</v>
      </c>
      <c r="U7956">
        <v>3.1016539999999999</v>
      </c>
      <c r="V7956">
        <v>-6.1002859999999999E-2</v>
      </c>
      <c r="W7956">
        <v>0.2286784</v>
      </c>
      <c r="X7956">
        <v>0.97158889999999998</v>
      </c>
      <c r="Y7956">
        <v>4.5953510000000003E-2</v>
      </c>
      <c r="Z7956">
        <v>-6.5154019999999896E-3</v>
      </c>
      <c r="AA7956">
        <v>0.99892230000000004</v>
      </c>
      <c r="AB7956">
        <v>30</v>
      </c>
      <c r="AC7956">
        <v>3.5066999999999902</v>
      </c>
      <c r="AD7956">
        <v>-1.1104400987209999</v>
      </c>
      <c r="AE7956">
        <v>67.076759999999993</v>
      </c>
      <c r="AF7956">
        <v>3.09999264279999</v>
      </c>
      <c r="AG7956">
        <v>-1.1104400987209999</v>
      </c>
      <c r="AH7956">
        <v>67.078413657878002</v>
      </c>
      <c r="AI7956">
        <v>90.9473972474551</v>
      </c>
      <c r="AJ7956">
        <v>87.353989199053501</v>
      </c>
      <c r="AK7956">
        <v>67.159188578002102</v>
      </c>
      <c r="AL7956">
        <v>76.780724893199803</v>
      </c>
      <c r="AM7956">
        <v>93.592696819098705</v>
      </c>
      <c r="AN7956">
        <v>1.0000000750789699</v>
      </c>
    </row>
    <row r="7957" spans="1:40" x14ac:dyDescent="0.25">
      <c r="A7957" t="str">
        <f>"20190304154949590"</f>
        <v>20190304154949590</v>
      </c>
      <c r="B7957" t="str">
        <f>"1551685789585539"</f>
        <v>1551685789585539</v>
      </c>
      <c r="C7957" t="s">
        <v>40</v>
      </c>
      <c r="D7957">
        <v>4.5363020000000001</v>
      </c>
      <c r="E7957">
        <v>0.53181230000000002</v>
      </c>
      <c r="F7957" t="s">
        <v>44</v>
      </c>
      <c r="G7957">
        <v>-185.04519999999999</v>
      </c>
      <c r="H7957" s="1">
        <v>-2.0515650000000001E-6</v>
      </c>
      <c r="I7957">
        <v>91.802610000000001</v>
      </c>
      <c r="J7957">
        <v>-187.5119</v>
      </c>
      <c r="K7957">
        <v>1.1104000000000001</v>
      </c>
      <c r="L7957">
        <v>32.403109999999998</v>
      </c>
      <c r="M7957">
        <v>6.224945E-3</v>
      </c>
      <c r="N7957">
        <v>-9.7762360000000006E-3</v>
      </c>
      <c r="O7957">
        <v>0.99993279999999995</v>
      </c>
      <c r="P7957">
        <v>-5.5200630000000001E-2</v>
      </c>
      <c r="Q7957">
        <v>0.21655150000000001</v>
      </c>
      <c r="R7957">
        <v>0.97470939999999995</v>
      </c>
      <c r="S7957">
        <v>0.12792970000000001</v>
      </c>
      <c r="T7957">
        <v>-5.752206E-2</v>
      </c>
      <c r="U7957">
        <v>3.0997309999999998</v>
      </c>
      <c r="V7957">
        <v>-6.1205410000000002E-2</v>
      </c>
      <c r="W7957">
        <v>0.22608310000000001</v>
      </c>
      <c r="X7957">
        <v>0.97218329999999997</v>
      </c>
      <c r="Y7957">
        <v>3.5008940000000002E-2</v>
      </c>
      <c r="Z7957">
        <v>-8.7656169999999999E-3</v>
      </c>
      <c r="AA7957">
        <v>0.99934860000000003</v>
      </c>
      <c r="AB7957">
        <v>30</v>
      </c>
      <c r="AC7957">
        <v>2.4666999999999999</v>
      </c>
      <c r="AD7957">
        <v>-1.1104020515649999</v>
      </c>
      <c r="AE7957">
        <v>59.399500000000003</v>
      </c>
      <c r="AF7957">
        <v>2.09614464468289</v>
      </c>
      <c r="AG7957">
        <v>-1.1104020515649999</v>
      </c>
      <c r="AH7957">
        <v>59.392985201523302</v>
      </c>
      <c r="AI7957">
        <v>91.070401964837501</v>
      </c>
      <c r="AJ7957">
        <v>87.978710560997698</v>
      </c>
      <c r="AK7957">
        <v>59.440335684078399</v>
      </c>
      <c r="AL7957">
        <v>76.933423754492594</v>
      </c>
      <c r="AM7957">
        <v>93.602396310748802</v>
      </c>
      <c r="AN7957">
        <v>1.0000000195588801</v>
      </c>
    </row>
    <row r="7958" spans="1:40" x14ac:dyDescent="0.25">
      <c r="A7958" t="str">
        <f>"20190304154949614"</f>
        <v>20190304154949614</v>
      </c>
      <c r="B7958" t="str">
        <f>"1551685789605059"</f>
        <v>1551685789605059</v>
      </c>
      <c r="C7958" t="s">
        <v>40</v>
      </c>
      <c r="D7958">
        <v>4.4933579999999997</v>
      </c>
      <c r="E7958">
        <v>0.5300705</v>
      </c>
      <c r="F7958" t="s">
        <v>44</v>
      </c>
      <c r="G7958">
        <v>-185.7039</v>
      </c>
      <c r="H7958" s="1">
        <v>-3.7129189999999999E-6</v>
      </c>
      <c r="I7958">
        <v>86.511290000000002</v>
      </c>
      <c r="J7958">
        <v>-187.50980000000001</v>
      </c>
      <c r="K7958">
        <v>1.1103809999999901</v>
      </c>
      <c r="L7958">
        <v>32.727870000000003</v>
      </c>
      <c r="M7958">
        <v>6.3545049999999999E-3</v>
      </c>
      <c r="N7958">
        <v>-9.6585219999999992E-3</v>
      </c>
      <c r="O7958">
        <v>0.99993319999999997</v>
      </c>
      <c r="P7958">
        <v>-5.5144169999999999E-2</v>
      </c>
      <c r="Q7958">
        <v>0.21556059999999999</v>
      </c>
      <c r="R7958">
        <v>0.97493220000000003</v>
      </c>
      <c r="S7958">
        <v>0.1035156</v>
      </c>
      <c r="T7958">
        <v>-6.3573599999999994E-2</v>
      </c>
      <c r="U7958">
        <v>3.097839</v>
      </c>
      <c r="V7958">
        <v>-6.1276160000000003E-2</v>
      </c>
      <c r="W7958">
        <v>0.22498029999999999</v>
      </c>
      <c r="X7958">
        <v>0.97243460000000004</v>
      </c>
      <c r="Y7958">
        <v>2.7038949999999999E-2</v>
      </c>
      <c r="Z7958">
        <v>-1.0851080000000001E-2</v>
      </c>
      <c r="AA7958">
        <v>0.99957549999999995</v>
      </c>
      <c r="AB7958">
        <v>30</v>
      </c>
      <c r="AC7958">
        <v>1.8059000000000001</v>
      </c>
      <c r="AD7958">
        <v>-1.1103847129190001</v>
      </c>
      <c r="AE7958">
        <v>53.7834199999999</v>
      </c>
      <c r="AF7958">
        <v>1.46345751809834</v>
      </c>
      <c r="AG7958">
        <v>-1.1103847129190001</v>
      </c>
      <c r="AH7958">
        <v>53.770916853789302</v>
      </c>
      <c r="AI7958">
        <v>91.182568207672702</v>
      </c>
      <c r="AJ7958">
        <v>88.440992831470496</v>
      </c>
      <c r="AK7958">
        <v>53.8022876968544</v>
      </c>
      <c r="AL7958">
        <v>76.998279963520801</v>
      </c>
      <c r="AM7958">
        <v>93.605619934748603</v>
      </c>
      <c r="AN7958">
        <v>0.99999997722479705</v>
      </c>
    </row>
    <row r="7959" spans="1:40" x14ac:dyDescent="0.25">
      <c r="A7959" t="str">
        <f>"20190304154949638"</f>
        <v>20190304154949638</v>
      </c>
      <c r="B7959" t="str">
        <f>"1551685789635315"</f>
        <v>1551685789635315</v>
      </c>
      <c r="C7959" t="s">
        <v>40</v>
      </c>
      <c r="D7959">
        <v>4.543323</v>
      </c>
      <c r="E7959">
        <v>0.52790919999999997</v>
      </c>
      <c r="F7959" t="s">
        <v>44</v>
      </c>
      <c r="G7959">
        <v>-185.99279999999999</v>
      </c>
      <c r="H7959" s="1">
        <v>-2.9247990000000001E-6</v>
      </c>
      <c r="I7959">
        <v>84.793660000000003</v>
      </c>
      <c r="J7959">
        <v>-187.5077</v>
      </c>
      <c r="K7959">
        <v>1.110371</v>
      </c>
      <c r="L7959">
        <v>33.036900000000003</v>
      </c>
      <c r="M7959">
        <v>6.4775989999999997E-3</v>
      </c>
      <c r="N7959">
        <v>-9.5575839999999992E-3</v>
      </c>
      <c r="O7959">
        <v>0.99993339999999997</v>
      </c>
      <c r="P7959">
        <v>-5.5035109999999998E-2</v>
      </c>
      <c r="Q7959">
        <v>0.21439230000000001</v>
      </c>
      <c r="R7959">
        <v>0.9751959</v>
      </c>
      <c r="S7959">
        <v>9.0225219999999995E-2</v>
      </c>
      <c r="T7959">
        <v>-6.6044809999999995E-2</v>
      </c>
      <c r="U7959">
        <v>3.096832</v>
      </c>
      <c r="V7959">
        <v>-6.1288879999999997E-2</v>
      </c>
      <c r="W7959">
        <v>0.22371679999999999</v>
      </c>
      <c r="X7959">
        <v>0.97272530000000001</v>
      </c>
      <c r="Y7959">
        <v>2.2641209999999998E-2</v>
      </c>
      <c r="Z7959">
        <v>-1.1758319999999999E-2</v>
      </c>
      <c r="AA7959">
        <v>0.99967450000000002</v>
      </c>
      <c r="AB7959">
        <v>30</v>
      </c>
      <c r="AC7959">
        <v>1.5149000000000099</v>
      </c>
      <c r="AD7959">
        <v>-1.1103739247990001</v>
      </c>
      <c r="AE7959">
        <v>51.75676</v>
      </c>
      <c r="AF7959">
        <v>1.1790511759506299</v>
      </c>
      <c r="AG7959">
        <v>-1.1103739247990001</v>
      </c>
      <c r="AH7959">
        <v>51.741693105623803</v>
      </c>
      <c r="AI7959">
        <v>91.229056659516701</v>
      </c>
      <c r="AJ7959">
        <v>88.694612352021693</v>
      </c>
      <c r="AK7959">
        <v>51.767034851968702</v>
      </c>
      <c r="AL7959">
        <v>77.072567417792598</v>
      </c>
      <c r="AM7959">
        <v>93.6052915081777</v>
      </c>
      <c r="AN7959">
        <v>1.00000002133699</v>
      </c>
    </row>
    <row r="7960" spans="1:40" x14ac:dyDescent="0.25">
      <c r="A7960" t="str">
        <f>"20190304154949657"</f>
        <v>20190304154949657</v>
      </c>
      <c r="B7960" t="str">
        <f>"1551685789654834"</f>
        <v>1551685789654834</v>
      </c>
      <c r="C7960" t="s">
        <v>40</v>
      </c>
      <c r="D7960">
        <v>4.558039</v>
      </c>
      <c r="E7960">
        <v>0.52659709999999904</v>
      </c>
      <c r="F7960" t="s">
        <v>44</v>
      </c>
      <c r="G7960">
        <v>-186.3218</v>
      </c>
      <c r="H7960" s="1">
        <v>-2.0011889999999999E-6</v>
      </c>
      <c r="I7960">
        <v>82.652799999999999</v>
      </c>
      <c r="J7960">
        <v>-187.50579999999999</v>
      </c>
      <c r="K7960">
        <v>1.110368</v>
      </c>
      <c r="L7960">
        <v>33.312469999999998</v>
      </c>
      <c r="M7960">
        <v>6.5875480000000004E-3</v>
      </c>
      <c r="N7960">
        <v>-9.47542E-3</v>
      </c>
      <c r="O7960">
        <v>0.99993339999999997</v>
      </c>
      <c r="P7960">
        <v>-5.4766380000000003E-2</v>
      </c>
      <c r="Q7960">
        <v>0.21521209999999999</v>
      </c>
      <c r="R7960">
        <v>0.97503050000000002</v>
      </c>
      <c r="S7960">
        <v>7.3989869999999999E-2</v>
      </c>
      <c r="T7960">
        <v>-6.927991E-2</v>
      </c>
      <c r="U7960">
        <v>3.0957029999999999</v>
      </c>
      <c r="V7960">
        <v>-6.1125640000000002E-2</v>
      </c>
      <c r="W7960">
        <v>0.22445480000000001</v>
      </c>
      <c r="X7960">
        <v>0.97256549999999997</v>
      </c>
      <c r="Y7960">
        <v>1.7302930000000001E-2</v>
      </c>
      <c r="Z7960">
        <v>-1.2894869999999999E-2</v>
      </c>
      <c r="AA7960">
        <v>0.99976710000000002</v>
      </c>
      <c r="AB7960">
        <v>30</v>
      </c>
      <c r="AC7960">
        <v>1.1839999999999899</v>
      </c>
      <c r="AD7960">
        <v>-1.1103700011890001</v>
      </c>
      <c r="AE7960">
        <v>49.340330000000002</v>
      </c>
      <c r="AF7960">
        <v>0.85849339150271797</v>
      </c>
      <c r="AG7960">
        <v>-1.1103700011890001</v>
      </c>
      <c r="AH7960">
        <v>49.322094819691301</v>
      </c>
      <c r="AI7960">
        <v>91.289465507879896</v>
      </c>
      <c r="AJ7960">
        <v>89.002818478116893</v>
      </c>
      <c r="AK7960">
        <v>49.342060859325898</v>
      </c>
      <c r="AL7960">
        <v>77.029179166574707</v>
      </c>
      <c r="AM7960">
        <v>93.596303466181695</v>
      </c>
      <c r="AN7960">
        <v>0.99999997644934902</v>
      </c>
    </row>
    <row r="7961" spans="1:40" x14ac:dyDescent="0.25">
      <c r="A7961" t="str">
        <f>"20190304154949680"</f>
        <v>20190304154949680</v>
      </c>
      <c r="B7961" t="str">
        <f>"1551685789675331"</f>
        <v>1551685789675331</v>
      </c>
      <c r="C7961" t="s">
        <v>40</v>
      </c>
      <c r="D7961">
        <v>4.4624220000000001</v>
      </c>
      <c r="E7961">
        <v>0.52534159999999996</v>
      </c>
      <c r="F7961" t="s">
        <v>44</v>
      </c>
      <c r="G7961">
        <v>-186.4074</v>
      </c>
      <c r="H7961" s="1">
        <v>-3.4555159999999998E-6</v>
      </c>
      <c r="I7961">
        <v>86.202190000000002</v>
      </c>
      <c r="J7961">
        <v>-187.50370000000001</v>
      </c>
      <c r="K7961">
        <v>1.1103809999999901</v>
      </c>
      <c r="L7961">
        <v>33.615600000000001</v>
      </c>
      <c r="M7961">
        <v>6.7086740000000004E-3</v>
      </c>
      <c r="N7961">
        <v>-9.3899919999999998E-3</v>
      </c>
      <c r="O7961">
        <v>0.99993339999999997</v>
      </c>
      <c r="P7961">
        <v>-5.5153250000000001E-2</v>
      </c>
      <c r="Q7961">
        <v>0.2173137</v>
      </c>
      <c r="R7961">
        <v>0.97454240000000003</v>
      </c>
      <c r="S7961">
        <v>6.4270019999999997E-2</v>
      </c>
      <c r="T7961">
        <v>-6.4972279999999993E-2</v>
      </c>
      <c r="U7961">
        <v>3.0947879999999999</v>
      </c>
      <c r="V7961">
        <v>-6.1626680000000003E-2</v>
      </c>
      <c r="W7961">
        <v>0.2264687</v>
      </c>
      <c r="X7961">
        <v>0.97206689999999996</v>
      </c>
      <c r="Y7961">
        <v>1.4051320000000001E-2</v>
      </c>
      <c r="Z7961">
        <v>-1.159728E-2</v>
      </c>
      <c r="AA7961">
        <v>0.999834</v>
      </c>
      <c r="AB7961">
        <v>30</v>
      </c>
      <c r="AC7961">
        <v>1.09630000000001</v>
      </c>
      <c r="AD7961">
        <v>-1.1103844555159901</v>
      </c>
      <c r="AE7961">
        <v>52.586590000000001</v>
      </c>
      <c r="AF7961">
        <v>0.74314228913107305</v>
      </c>
      <c r="AG7961">
        <v>-1.1103844555159901</v>
      </c>
      <c r="AH7961">
        <v>52.5693332775869</v>
      </c>
      <c r="AI7961">
        <v>91.209917017605093</v>
      </c>
      <c r="AJ7961">
        <v>89.190096618520997</v>
      </c>
      <c r="AK7961">
        <v>52.586310151511398</v>
      </c>
      <c r="AL7961">
        <v>76.910741808707996</v>
      </c>
      <c r="AM7961">
        <v>93.627558405722098</v>
      </c>
      <c r="AN7961">
        <v>0.99999998892156094</v>
      </c>
    </row>
    <row r="7962" spans="1:40" x14ac:dyDescent="0.25">
      <c r="A7962" t="str">
        <f>"20190304154949702"</f>
        <v>20190304154949702</v>
      </c>
      <c r="B7962" t="str">
        <f>"1551685789694851"</f>
        <v>1551685789694851</v>
      </c>
      <c r="C7962" t="s">
        <v>40</v>
      </c>
      <c r="D7962">
        <v>4.5783189999999996</v>
      </c>
      <c r="E7962">
        <v>0.52424519999999997</v>
      </c>
      <c r="F7962" t="s">
        <v>44</v>
      </c>
      <c r="G7962">
        <v>-186.51159999999999</v>
      </c>
      <c r="H7962" s="1">
        <v>-1.6428819999999999E-6</v>
      </c>
      <c r="I7962">
        <v>91.748249999999999</v>
      </c>
      <c r="J7962">
        <v>-187.50149999999999</v>
      </c>
      <c r="K7962">
        <v>1.110379</v>
      </c>
      <c r="L7962">
        <v>33.925660000000001</v>
      </c>
      <c r="M7962">
        <v>6.8326080000000004E-3</v>
      </c>
      <c r="N7962">
        <v>-9.3096859999999993E-3</v>
      </c>
      <c r="O7962">
        <v>0.99993330000000002</v>
      </c>
      <c r="P7962">
        <v>-5.5481129999999997E-2</v>
      </c>
      <c r="Q7962">
        <v>0.21856249999999999</v>
      </c>
      <c r="R7962">
        <v>0.97424449999999996</v>
      </c>
      <c r="S7962">
        <v>5.2810669999999997E-2</v>
      </c>
      <c r="T7962">
        <v>-5.9108380000000002E-2</v>
      </c>
      <c r="U7962">
        <v>3.0945429999999998</v>
      </c>
      <c r="V7962">
        <v>-6.2072830000000002E-2</v>
      </c>
      <c r="W7962">
        <v>0.22763659999999999</v>
      </c>
      <c r="X7962">
        <v>0.97176569999999995</v>
      </c>
      <c r="Y7962">
        <v>1.022878E-2</v>
      </c>
      <c r="Z7962">
        <v>-9.7865260000000003E-3</v>
      </c>
      <c r="AA7962">
        <v>0.99989980000000001</v>
      </c>
      <c r="AB7962">
        <v>30</v>
      </c>
      <c r="AC7962">
        <v>0.989900000000005</v>
      </c>
      <c r="AD7962">
        <v>-1.110380642882</v>
      </c>
      <c r="AE7962">
        <v>57.822589999999998</v>
      </c>
      <c r="AF7962">
        <v>0.59456148151954002</v>
      </c>
      <c r="AG7962">
        <v>-1.110380642882</v>
      </c>
      <c r="AH7962">
        <v>57.806693259058797</v>
      </c>
      <c r="AI7962">
        <v>91.100373234288099</v>
      </c>
      <c r="AJ7962">
        <v>89.410714219198198</v>
      </c>
      <c r="AK7962">
        <v>57.820413644960297</v>
      </c>
      <c r="AL7962">
        <v>76.842031893645796</v>
      </c>
      <c r="AM7962">
        <v>93.654878859207898</v>
      </c>
      <c r="AN7962">
        <v>1.00000001679012</v>
      </c>
    </row>
    <row r="7963" spans="1:40" x14ac:dyDescent="0.25">
      <c r="A7963" t="str">
        <f>"20190304154949726"</f>
        <v>20190304154949726</v>
      </c>
      <c r="B7963" t="str">
        <f>"1551685789715350"</f>
        <v>1551685789715350</v>
      </c>
      <c r="C7963" t="s">
        <v>40</v>
      </c>
      <c r="D7963">
        <v>4.5544699999999896</v>
      </c>
      <c r="E7963">
        <v>0.52333589999999997</v>
      </c>
      <c r="F7963" t="s">
        <v>44</v>
      </c>
      <c r="G7963">
        <v>-186.61500000000001</v>
      </c>
      <c r="H7963" s="1">
        <v>-3.9679179999999998E-6</v>
      </c>
      <c r="I7963">
        <v>97.482439999999997</v>
      </c>
      <c r="J7963">
        <v>-187.49930000000001</v>
      </c>
      <c r="K7963">
        <v>1.1103559999999999</v>
      </c>
      <c r="L7963">
        <v>34.233699999999999</v>
      </c>
      <c r="M7963">
        <v>6.9556640000000003E-3</v>
      </c>
      <c r="N7963">
        <v>-9.2389580000000002E-3</v>
      </c>
      <c r="O7963">
        <v>0.99993310000000002</v>
      </c>
      <c r="P7963">
        <v>-5.6722069999999999E-2</v>
      </c>
      <c r="Q7963">
        <v>0.2166642</v>
      </c>
      <c r="R7963">
        <v>0.97459700000000005</v>
      </c>
      <c r="S7963">
        <v>4.315186E-2</v>
      </c>
      <c r="T7963">
        <v>-5.4052709999999997E-2</v>
      </c>
      <c r="U7963">
        <v>3.0939030000000001</v>
      </c>
      <c r="V7963">
        <v>-6.3436580000000006E-2</v>
      </c>
      <c r="W7963">
        <v>0.2256734</v>
      </c>
      <c r="X7963">
        <v>0.97213539999999998</v>
      </c>
      <c r="Y7963">
        <v>6.9890739999999996E-3</v>
      </c>
      <c r="Z7963">
        <v>-8.2285120000000003E-3</v>
      </c>
      <c r="AA7963">
        <v>0.99994170000000004</v>
      </c>
      <c r="AB7963">
        <v>30</v>
      </c>
      <c r="AC7963">
        <v>0.88429999999999598</v>
      </c>
      <c r="AD7963">
        <v>-1.1103599679179901</v>
      </c>
      <c r="AE7963">
        <v>63.248739999999998</v>
      </c>
      <c r="AF7963">
        <v>0.44418596403969501</v>
      </c>
      <c r="AG7963">
        <v>-1.1103599679179901</v>
      </c>
      <c r="AH7963">
        <v>63.2338765031447</v>
      </c>
      <c r="AI7963">
        <v>91.005961311465498</v>
      </c>
      <c r="AJ7963">
        <v>89.597532780195493</v>
      </c>
      <c r="AK7963">
        <v>63.2451843071388</v>
      </c>
      <c r="AL7963">
        <v>76.957519808585403</v>
      </c>
      <c r="AM7963">
        <v>93.733535907091294</v>
      </c>
      <c r="AN7963">
        <v>0.99999995954140697</v>
      </c>
    </row>
    <row r="7964" spans="1:40" x14ac:dyDescent="0.25">
      <c r="A7964" t="str">
        <f>"20190304154949747"</f>
        <v>20190304154949747</v>
      </c>
      <c r="B7964" t="str">
        <f>"1551685789745607"</f>
        <v>1551685789745607</v>
      </c>
      <c r="C7964" t="s">
        <v>40</v>
      </c>
      <c r="D7964">
        <v>4.5362549999999997</v>
      </c>
      <c r="E7964">
        <v>0.52207799999999904</v>
      </c>
      <c r="F7964" t="s">
        <v>44</v>
      </c>
      <c r="G7964">
        <v>-186.8749</v>
      </c>
      <c r="H7964" s="1">
        <v>-2.030888E-6</v>
      </c>
      <c r="I7964">
        <v>93.074629999999999</v>
      </c>
      <c r="J7964">
        <v>-187.49709999999999</v>
      </c>
      <c r="K7964">
        <v>1.110331</v>
      </c>
      <c r="L7964">
        <v>34.52908</v>
      </c>
      <c r="M7964">
        <v>7.0732969999999897E-3</v>
      </c>
      <c r="N7964">
        <v>-9.1794890000000007E-3</v>
      </c>
      <c r="O7964">
        <v>0.99993279999999995</v>
      </c>
      <c r="P7964">
        <v>-5.7634600000000001E-2</v>
      </c>
      <c r="Q7964">
        <v>0.214146</v>
      </c>
      <c r="R7964">
        <v>0.97509990000000002</v>
      </c>
      <c r="S7964">
        <v>3.2821660000000002E-2</v>
      </c>
      <c r="T7964">
        <v>-5.8367969999999998E-2</v>
      </c>
      <c r="U7964">
        <v>3.0930789999999999</v>
      </c>
      <c r="V7964">
        <v>-6.4467700000000003E-2</v>
      </c>
      <c r="W7964">
        <v>0.22310189999999999</v>
      </c>
      <c r="X7964">
        <v>0.972661</v>
      </c>
      <c r="Y7964">
        <v>3.5363090000000001E-3</v>
      </c>
      <c r="Z7964">
        <v>-9.6875469999999995E-3</v>
      </c>
      <c r="AA7964">
        <v>0.99994680000000002</v>
      </c>
      <c r="AB7964">
        <v>30</v>
      </c>
      <c r="AC7964">
        <v>0.62219999999999198</v>
      </c>
      <c r="AD7964">
        <v>-1.1103330308879999</v>
      </c>
      <c r="AE7964">
        <v>58.545549999999999</v>
      </c>
      <c r="AF7964">
        <v>0.20798210244193799</v>
      </c>
      <c r="AG7964">
        <v>-1.1103330308879999</v>
      </c>
      <c r="AH7964">
        <v>58.527437597347301</v>
      </c>
      <c r="AI7964">
        <v>91.086829821808095</v>
      </c>
      <c r="AJ7964">
        <v>89.796395553719094</v>
      </c>
      <c r="AK7964">
        <v>58.538338272501399</v>
      </c>
      <c r="AL7964">
        <v>77.108711639256398</v>
      </c>
      <c r="AM7964">
        <v>93.792002030961697</v>
      </c>
      <c r="AN7964">
        <v>0.99999998152394898</v>
      </c>
    </row>
    <row r="7965" spans="1:40" x14ac:dyDescent="0.25">
      <c r="A7965" t="str">
        <f>"20190304154949770"</f>
        <v>20190304154949770</v>
      </c>
      <c r="B7965" t="str">
        <f>"1551685789765126"</f>
        <v>1551685789765126</v>
      </c>
      <c r="C7965" t="s">
        <v>40</v>
      </c>
      <c r="D7965">
        <v>4.5416119999999998</v>
      </c>
      <c r="E7965">
        <v>0.52138009999999901</v>
      </c>
      <c r="F7965" t="s">
        <v>44</v>
      </c>
      <c r="G7965">
        <v>-187.13980000000001</v>
      </c>
      <c r="H7965" s="1">
        <v>-3.9457950000000001E-6</v>
      </c>
      <c r="I7965">
        <v>87.647859999999994</v>
      </c>
      <c r="J7965">
        <v>-187.4948</v>
      </c>
      <c r="K7965">
        <v>1.1103160000000001</v>
      </c>
      <c r="L7965">
        <v>34.831240000000001</v>
      </c>
      <c r="M7965">
        <v>7.1925050000000001E-3</v>
      </c>
      <c r="N7965">
        <v>-9.1262730000000007E-3</v>
      </c>
      <c r="O7965">
        <v>0.9999325</v>
      </c>
      <c r="P7965">
        <v>-5.758315E-2</v>
      </c>
      <c r="Q7965">
        <v>0.21279090000000001</v>
      </c>
      <c r="R7965">
        <v>0.97539949999999997</v>
      </c>
      <c r="S7965">
        <v>2.079773E-2</v>
      </c>
      <c r="T7965">
        <v>-6.4632529999999994E-2</v>
      </c>
      <c r="U7965">
        <v>3.092041</v>
      </c>
      <c r="V7965">
        <v>-6.4534809999999998E-2</v>
      </c>
      <c r="W7965">
        <v>0.2216979</v>
      </c>
      <c r="X7965">
        <v>0.97297750000000005</v>
      </c>
      <c r="Y7965">
        <v>-4.6715569999999999E-4</v>
      </c>
      <c r="Z7965">
        <v>-1.1772329999999999E-2</v>
      </c>
      <c r="AA7965">
        <v>0.9999306</v>
      </c>
      <c r="AB7965">
        <v>30</v>
      </c>
      <c r="AC7965">
        <v>0.35499999999998899</v>
      </c>
      <c r="AD7965">
        <v>-1.1103199457949999</v>
      </c>
      <c r="AE7965">
        <v>52.816619999999901</v>
      </c>
      <c r="AF7965">
        <v>-2.48978003213738E-2</v>
      </c>
      <c r="AG7965">
        <v>-1.1103199457949999</v>
      </c>
      <c r="AH7965">
        <v>52.794476661647302</v>
      </c>
      <c r="AI7965">
        <v>91.204809043995397</v>
      </c>
      <c r="AJ7965">
        <v>90.027020606359201</v>
      </c>
      <c r="AK7965">
        <v>52.806156802589904</v>
      </c>
      <c r="AL7965">
        <v>77.191221028969096</v>
      </c>
      <c r="AM7965">
        <v>93.794706745834205</v>
      </c>
      <c r="AN7965">
        <v>0.99999995803619701</v>
      </c>
    </row>
    <row r="7966" spans="1:40" x14ac:dyDescent="0.25">
      <c r="A7966" t="str">
        <f>"20190304154949793"</f>
        <v>20190304154949793</v>
      </c>
      <c r="B7966" t="str">
        <f>"1551685789785623"</f>
        <v>1551685789785623</v>
      </c>
      <c r="C7966" t="s">
        <v>40</v>
      </c>
      <c r="D7966">
        <v>4.4870799999999997</v>
      </c>
      <c r="E7966">
        <v>0.52075190000000005</v>
      </c>
      <c r="F7966" t="s">
        <v>44</v>
      </c>
      <c r="G7966">
        <v>-187.26990000000001</v>
      </c>
      <c r="H7966" s="1">
        <v>-2.8154729999999999E-6</v>
      </c>
      <c r="I7966">
        <v>85.066859999999906</v>
      </c>
      <c r="J7966">
        <v>-187.4924</v>
      </c>
      <c r="K7966">
        <v>1.110314</v>
      </c>
      <c r="L7966">
        <v>35.145109999999903</v>
      </c>
      <c r="M7966">
        <v>7.3116099999999996E-3</v>
      </c>
      <c r="N7966">
        <v>-9.0785480000000005E-3</v>
      </c>
      <c r="O7966">
        <v>0.99993209999999999</v>
      </c>
      <c r="P7966">
        <v>-5.7149329999999998E-2</v>
      </c>
      <c r="Q7966">
        <v>0.2135445</v>
      </c>
      <c r="R7966">
        <v>0.97526029999999997</v>
      </c>
      <c r="S7966">
        <v>1.383972E-2</v>
      </c>
      <c r="T7966">
        <v>-6.8326120000000004E-2</v>
      </c>
      <c r="U7966">
        <v>3.09137</v>
      </c>
      <c r="V7966">
        <v>-6.4216620000000002E-2</v>
      </c>
      <c r="W7966">
        <v>0.22240370000000001</v>
      </c>
      <c r="X7966">
        <v>0.97283750000000002</v>
      </c>
      <c r="Y7966">
        <v>-2.8350910000000001E-3</v>
      </c>
      <c r="Z7966">
        <v>-1.3018689999999999E-2</v>
      </c>
      <c r="AA7966">
        <v>0.9999112</v>
      </c>
      <c r="AB7966">
        <v>31</v>
      </c>
      <c r="AC7966">
        <v>0.22249999999999601</v>
      </c>
      <c r="AD7966">
        <v>-1.1103168154729901</v>
      </c>
      <c r="AE7966">
        <v>49.921750000000003</v>
      </c>
      <c r="AF7966">
        <v>-0.14245887350473799</v>
      </c>
      <c r="AG7966">
        <v>-1.1103168154729901</v>
      </c>
      <c r="AH7966">
        <v>49.897360212391803</v>
      </c>
      <c r="AI7966">
        <v>91.274730991894202</v>
      </c>
      <c r="AJ7966">
        <v>90.163581199361303</v>
      </c>
      <c r="AK7966">
        <v>49.9099153888939</v>
      </c>
      <c r="AL7966">
        <v>77.149746678558898</v>
      </c>
      <c r="AM7966">
        <v>93.776592976218893</v>
      </c>
      <c r="AN7966">
        <v>0.99999999073208201</v>
      </c>
    </row>
    <row r="7967" spans="1:40" x14ac:dyDescent="0.25">
      <c r="A7967" t="str">
        <f>"20190304154949817"</f>
        <v>20190304154949817</v>
      </c>
      <c r="B7967" t="str">
        <f>"1551685789805142"</f>
        <v>1551685789805142</v>
      </c>
      <c r="C7967" t="s">
        <v>40</v>
      </c>
      <c r="D7967">
        <v>4.5295449999999997</v>
      </c>
      <c r="E7967">
        <v>0.52013980000000004</v>
      </c>
      <c r="F7967" t="s">
        <v>44</v>
      </c>
      <c r="G7967">
        <v>-187.3586</v>
      </c>
      <c r="H7967" s="1">
        <v>-3.4922319999999998E-6</v>
      </c>
      <c r="I7967">
        <v>86.681069999999906</v>
      </c>
      <c r="J7967">
        <v>-187.4898</v>
      </c>
      <c r="K7967">
        <v>1.1103320000000001</v>
      </c>
      <c r="L7967">
        <v>35.481450000000002</v>
      </c>
      <c r="M7967">
        <v>7.4297790000000001E-3</v>
      </c>
      <c r="N7967">
        <v>-9.0356659999999995E-3</v>
      </c>
      <c r="O7967">
        <v>0.99993160000000003</v>
      </c>
      <c r="P7967">
        <v>-5.6852939999999998E-2</v>
      </c>
      <c r="Q7967">
        <v>0.2149315</v>
      </c>
      <c r="R7967">
        <v>0.97497290000000003</v>
      </c>
      <c r="S7967">
        <v>8.0261229999999996E-3</v>
      </c>
      <c r="T7967">
        <v>-6.6597459999999997E-2</v>
      </c>
      <c r="U7967">
        <v>3.0911559999999998</v>
      </c>
      <c r="V7967">
        <v>-6.4035480000000006E-2</v>
      </c>
      <c r="W7967">
        <v>0.22374520000000001</v>
      </c>
      <c r="X7967">
        <v>0.97254180000000001</v>
      </c>
      <c r="Y7967">
        <v>-4.8331939999999999E-3</v>
      </c>
      <c r="Z7967">
        <v>-1.2504100000000001E-2</v>
      </c>
      <c r="AA7967">
        <v>0.99991010000000002</v>
      </c>
      <c r="AB7967">
        <v>31</v>
      </c>
      <c r="AC7967">
        <v>0.13120000000000601</v>
      </c>
      <c r="AD7967">
        <v>-1.1103354922319999</v>
      </c>
      <c r="AE7967">
        <v>51.199619999999904</v>
      </c>
      <c r="AF7967">
        <v>-0.24910385043488201</v>
      </c>
      <c r="AG7967">
        <v>-1.1103354922319999</v>
      </c>
      <c r="AH7967">
        <v>51.175114043495903</v>
      </c>
      <c r="AI7967">
        <v>91.242924526416601</v>
      </c>
      <c r="AJ7967">
        <v>90.278895061251802</v>
      </c>
      <c r="AK7967">
        <v>51.187764114077297</v>
      </c>
      <c r="AL7967">
        <v>77.070897681806898</v>
      </c>
      <c r="AM7967">
        <v>93.767112535006106</v>
      </c>
      <c r="AN7967">
        <v>1.0000000049845501</v>
      </c>
    </row>
    <row r="7968" spans="1:40" x14ac:dyDescent="0.25">
      <c r="A7968" t="str">
        <f>"20190304154949838"</f>
        <v>20190304154949838</v>
      </c>
      <c r="B7968" t="str">
        <f>"1551685789835399"</f>
        <v>1551685789835399</v>
      </c>
      <c r="C7968" t="s">
        <v>40</v>
      </c>
      <c r="D7968">
        <v>4.519425</v>
      </c>
      <c r="E7968">
        <v>0.51934829999999998</v>
      </c>
      <c r="F7968" t="s">
        <v>44</v>
      </c>
      <c r="G7968">
        <v>-187.4025</v>
      </c>
      <c r="H7968" s="1">
        <v>-1.3025109999999999E-6</v>
      </c>
      <c r="I7968">
        <v>91.444659999999999</v>
      </c>
      <c r="J7968">
        <v>-187.48759999999999</v>
      </c>
      <c r="K7968">
        <v>1.110344</v>
      </c>
      <c r="L7968">
        <v>35.77243</v>
      </c>
      <c r="M7968">
        <v>7.5243430000000002E-3</v>
      </c>
      <c r="N7968">
        <v>-9.0039830000000001E-3</v>
      </c>
      <c r="O7968">
        <v>0.99993120000000002</v>
      </c>
      <c r="P7968">
        <v>-5.6360550000000002E-2</v>
      </c>
      <c r="Q7968">
        <v>0.2163178</v>
      </c>
      <c r="R7968">
        <v>0.97469479999999997</v>
      </c>
      <c r="S7968">
        <v>4.8217770000000002E-3</v>
      </c>
      <c r="T7968">
        <v>-6.1323170000000003E-2</v>
      </c>
      <c r="U7968">
        <v>3.0908199999999999</v>
      </c>
      <c r="V7968">
        <v>-6.363626E-2</v>
      </c>
      <c r="W7968">
        <v>0.2250974</v>
      </c>
      <c r="X7968">
        <v>0.97225589999999995</v>
      </c>
      <c r="Y7968">
        <v>-5.9639719999999997E-3</v>
      </c>
      <c r="Z7968">
        <v>-1.083252E-2</v>
      </c>
      <c r="AA7968">
        <v>0.99992349999999997</v>
      </c>
      <c r="AB7968">
        <v>31</v>
      </c>
      <c r="AC7968">
        <v>8.5099999999982801E-2</v>
      </c>
      <c r="AD7968">
        <v>-1.1103453025109999</v>
      </c>
      <c r="AE7968">
        <v>55.672229999999999</v>
      </c>
      <c r="AF7968">
        <v>-0.33368359428370897</v>
      </c>
      <c r="AG7968">
        <v>-1.1103453025109999</v>
      </c>
      <c r="AH7968">
        <v>55.649158371822999</v>
      </c>
      <c r="AI7968">
        <v>91.143027461144996</v>
      </c>
      <c r="AJ7968">
        <v>90.343552949872702</v>
      </c>
      <c r="AK7968">
        <v>55.6612346155216</v>
      </c>
      <c r="AL7968">
        <v>76.991393959566295</v>
      </c>
      <c r="AM7968">
        <v>93.744791741556895</v>
      </c>
      <c r="AN7968">
        <v>0.99999997407917796</v>
      </c>
    </row>
    <row r="7969" spans="1:40" x14ac:dyDescent="0.25">
      <c r="A7969" t="str">
        <f>"20190304154949859"</f>
        <v>20190304154949859</v>
      </c>
      <c r="B7969" t="str">
        <f>"1551685789854919"</f>
        <v>1551685789854919</v>
      </c>
      <c r="C7969" t="s">
        <v>40</v>
      </c>
      <c r="D7969">
        <v>4.4987810000000001</v>
      </c>
      <c r="E7969">
        <v>0.51890800000000004</v>
      </c>
      <c r="F7969" t="s">
        <v>44</v>
      </c>
      <c r="G7969">
        <v>-187.48570000000001</v>
      </c>
      <c r="H7969" s="1">
        <v>-3.8337079999999996E-6</v>
      </c>
      <c r="I7969">
        <v>97.529629999999997</v>
      </c>
      <c r="J7969">
        <v>-187.4853</v>
      </c>
      <c r="K7969">
        <v>1.110352</v>
      </c>
      <c r="L7969">
        <v>36.064419999999998</v>
      </c>
      <c r="M7969">
        <v>7.6065239999999999E-3</v>
      </c>
      <c r="N7969">
        <v>-8.976955E-3</v>
      </c>
      <c r="O7969">
        <v>0.99993080000000001</v>
      </c>
      <c r="P7969">
        <v>-5.501172E-2</v>
      </c>
      <c r="Q7969">
        <v>0.21697250000000001</v>
      </c>
      <c r="R7969">
        <v>0.9746264</v>
      </c>
      <c r="S7969" s="1">
        <v>9.1552730000000004E-5</v>
      </c>
      <c r="T7969">
        <v>-5.555964E-2</v>
      </c>
      <c r="U7969">
        <v>3.0902099999999999</v>
      </c>
      <c r="V7969">
        <v>-6.2371950000000002E-2</v>
      </c>
      <c r="W7969">
        <v>0.22572320000000001</v>
      </c>
      <c r="X7969">
        <v>0.97219279999999997</v>
      </c>
      <c r="Y7969">
        <v>-7.5762900000000003E-3</v>
      </c>
      <c r="Z7969">
        <v>-8.9990750000000005E-3</v>
      </c>
      <c r="AA7969">
        <v>0.99993080000000001</v>
      </c>
      <c r="AB7969">
        <v>31</v>
      </c>
      <c r="AC7969">
        <v>-4.0000000001327803E-4</v>
      </c>
      <c r="AD7969">
        <v>-1.110355833708</v>
      </c>
      <c r="AE7969">
        <v>61.465209999999999</v>
      </c>
      <c r="AF7969">
        <v>-0.46780275025850199</v>
      </c>
      <c r="AG7969">
        <v>-1.110355833708</v>
      </c>
      <c r="AH7969">
        <v>61.443377408977703</v>
      </c>
      <c r="AI7969">
        <v>91.035261058133003</v>
      </c>
      <c r="AJ7969">
        <v>90.436216342432502</v>
      </c>
      <c r="AK7969">
        <v>61.455189828953202</v>
      </c>
      <c r="AL7969">
        <v>76.954591863724303</v>
      </c>
      <c r="AM7969">
        <v>93.670834157669105</v>
      </c>
      <c r="AN7969">
        <v>1.0000000317684401</v>
      </c>
    </row>
    <row r="7970" spans="1:40" x14ac:dyDescent="0.25">
      <c r="A7970" t="str">
        <f>"20190304154949881"</f>
        <v>20190304154949881</v>
      </c>
      <c r="B7970" t="str">
        <f>"1551685789875414"</f>
        <v>1551685789875414</v>
      </c>
      <c r="C7970" t="s">
        <v>40</v>
      </c>
      <c r="D7970">
        <v>4.4994170000000002</v>
      </c>
      <c r="E7970">
        <v>0.51862399999999997</v>
      </c>
      <c r="F7970" t="s">
        <v>44</v>
      </c>
      <c r="G7970">
        <v>-187.4709</v>
      </c>
      <c r="H7970" s="1">
        <v>-1.0242779999999999E-6</v>
      </c>
      <c r="I7970">
        <v>100.68049999999999</v>
      </c>
      <c r="J7970">
        <v>-187.4829</v>
      </c>
      <c r="K7970">
        <v>1.1103639999999999</v>
      </c>
      <c r="L7970">
        <v>36.366849999999999</v>
      </c>
      <c r="M7970">
        <v>7.6716099999999997E-3</v>
      </c>
      <c r="N7970">
        <v>-8.9533169999999902E-3</v>
      </c>
      <c r="O7970">
        <v>0.99993050000000006</v>
      </c>
      <c r="P7970">
        <v>-5.3043880000000002E-2</v>
      </c>
      <c r="Q7970">
        <v>0.2168089</v>
      </c>
      <c r="R7970">
        <v>0.97477190000000002</v>
      </c>
      <c r="S7970">
        <v>6.866455E-4</v>
      </c>
      <c r="T7970">
        <v>-5.3097489999999997E-2</v>
      </c>
      <c r="U7970">
        <v>3.089966</v>
      </c>
      <c r="V7970">
        <v>-6.0476179999999997E-2</v>
      </c>
      <c r="W7970">
        <v>0.22553599999999999</v>
      </c>
      <c r="X7970">
        <v>0.972356</v>
      </c>
      <c r="Y7970">
        <v>-7.4488430000000001E-3</v>
      </c>
      <c r="Z7970">
        <v>-8.2276339999999993E-3</v>
      </c>
      <c r="AA7970">
        <v>0.99993840000000001</v>
      </c>
      <c r="AB7970">
        <v>31</v>
      </c>
      <c r="AC7970">
        <v>1.2000000000000399E-2</v>
      </c>
      <c r="AD7970">
        <v>-1.1103650242780001</v>
      </c>
      <c r="AE7970">
        <v>64.313649999999996</v>
      </c>
      <c r="AF7970">
        <v>-0.48126591208860398</v>
      </c>
      <c r="AG7970">
        <v>-1.1103650242780001</v>
      </c>
      <c r="AH7970">
        <v>64.292685311243602</v>
      </c>
      <c r="AI7970">
        <v>90.989399080469596</v>
      </c>
      <c r="AJ7970">
        <v>90.428882235028794</v>
      </c>
      <c r="AK7970">
        <v>64.304073835923305</v>
      </c>
      <c r="AL7970">
        <v>76.965601424215805</v>
      </c>
      <c r="AM7970">
        <v>93.558956094645694</v>
      </c>
      <c r="AN7970">
        <v>1.0000000231896899</v>
      </c>
    </row>
    <row r="7971" spans="1:40" x14ac:dyDescent="0.25">
      <c r="A7971" t="str">
        <f>"20190304154949903"</f>
        <v>20190304154949903</v>
      </c>
      <c r="B7971" t="str">
        <f>"1551685789894938"</f>
        <v>1551685789894938</v>
      </c>
      <c r="C7971" t="s">
        <v>40</v>
      </c>
      <c r="D7971">
        <v>4.475657</v>
      </c>
      <c r="E7971">
        <v>0.51879600000000003</v>
      </c>
      <c r="F7971" t="s">
        <v>44</v>
      </c>
      <c r="G7971">
        <v>-187.4075</v>
      </c>
      <c r="H7971" s="1">
        <v>-9.8778809999999992E-7</v>
      </c>
      <c r="I7971">
        <v>100.52370000000001</v>
      </c>
      <c r="J7971">
        <v>-187.4804</v>
      </c>
      <c r="K7971">
        <v>1.1103879999999999</v>
      </c>
      <c r="L7971">
        <v>36.682920000000003</v>
      </c>
      <c r="M7971">
        <v>7.7170590000000001E-3</v>
      </c>
      <c r="N7971">
        <v>-8.9327279999999992E-3</v>
      </c>
      <c r="O7971">
        <v>0.99993030000000005</v>
      </c>
      <c r="P7971">
        <v>-5.0552880000000001E-2</v>
      </c>
      <c r="Q7971">
        <v>0.21867259999999999</v>
      </c>
      <c r="R7971">
        <v>0.97448789999999996</v>
      </c>
      <c r="S7971">
        <v>3.6315919999999999E-3</v>
      </c>
      <c r="T7971">
        <v>-5.3474430000000003E-2</v>
      </c>
      <c r="U7971">
        <v>3.0897519999999998</v>
      </c>
      <c r="V7971">
        <v>-5.8036730000000002E-2</v>
      </c>
      <c r="W7971">
        <v>0.2273742</v>
      </c>
      <c r="X7971">
        <v>0.97207650000000001</v>
      </c>
      <c r="Y7971">
        <v>-6.5413069999999997E-3</v>
      </c>
      <c r="Z7971">
        <v>-8.371435E-3</v>
      </c>
      <c r="AA7971">
        <v>0.99994360000000004</v>
      </c>
      <c r="AB7971">
        <v>31</v>
      </c>
      <c r="AC7971">
        <v>7.29000000000041E-2</v>
      </c>
      <c r="AD7971">
        <v>-1.1103889877880999</v>
      </c>
      <c r="AE7971">
        <v>63.840780000000002</v>
      </c>
      <c r="AF7971">
        <v>-0.41965795088517599</v>
      </c>
      <c r="AG7971">
        <v>-1.1103889877880999</v>
      </c>
      <c r="AH7971">
        <v>63.820134626540202</v>
      </c>
      <c r="AI7971">
        <v>90.996751409587006</v>
      </c>
      <c r="AJ7971">
        <v>90.376750738922794</v>
      </c>
      <c r="AK7971">
        <v>63.831173107265201</v>
      </c>
      <c r="AL7971">
        <v>76.857471019996495</v>
      </c>
      <c r="AM7971">
        <v>93.416723986086097</v>
      </c>
      <c r="AN7971">
        <v>1.0000000053534901</v>
      </c>
    </row>
    <row r="7972" spans="1:40" x14ac:dyDescent="0.25">
      <c r="A7972" t="str">
        <f>"20190304154949927"</f>
        <v>20190304154949927</v>
      </c>
      <c r="B7972" t="str">
        <f>"1551685789915434"</f>
        <v>1551685789915434</v>
      </c>
      <c r="C7972" t="s">
        <v>40</v>
      </c>
      <c r="D7972">
        <v>4.440493</v>
      </c>
      <c r="E7972">
        <v>0.51900210000000002</v>
      </c>
      <c r="F7972" t="s">
        <v>44</v>
      </c>
      <c r="G7972">
        <v>-187.21789999999999</v>
      </c>
      <c r="H7972" s="1">
        <v>-1.383923E-6</v>
      </c>
      <c r="I7972">
        <v>111.53959999999999</v>
      </c>
      <c r="J7972">
        <v>-187.47790000000001</v>
      </c>
      <c r="K7972">
        <v>1.110406</v>
      </c>
      <c r="L7972">
        <v>37.001739999999998</v>
      </c>
      <c r="M7972">
        <v>7.7444929999999999E-3</v>
      </c>
      <c r="N7972">
        <v>-8.9157509999999995E-3</v>
      </c>
      <c r="O7972">
        <v>0.99993030000000005</v>
      </c>
      <c r="P7972">
        <v>-4.7559190000000001E-2</v>
      </c>
      <c r="Q7972">
        <v>0.22081780000000001</v>
      </c>
      <c r="R7972">
        <v>0.97415479999999999</v>
      </c>
      <c r="S7972">
        <v>1.083374E-2</v>
      </c>
      <c r="T7972">
        <v>-4.5826550000000001E-2</v>
      </c>
      <c r="U7972">
        <v>3.0893860000000002</v>
      </c>
      <c r="V7972">
        <v>-5.5075569999999997E-2</v>
      </c>
      <c r="W7972">
        <v>0.2294976</v>
      </c>
      <c r="X7972">
        <v>0.97174970000000005</v>
      </c>
      <c r="Y7972">
        <v>-4.2377320000000001E-3</v>
      </c>
      <c r="Z7972">
        <v>-5.9158980000000002E-3</v>
      </c>
      <c r="AA7972">
        <v>0.99997349999999996</v>
      </c>
      <c r="AB7972">
        <v>31</v>
      </c>
      <c r="AC7972">
        <v>0.26000000000001899</v>
      </c>
      <c r="AD7972">
        <v>-1.110407383923</v>
      </c>
      <c r="AE7972">
        <v>74.537859999999995</v>
      </c>
      <c r="AF7972">
        <v>-0.31721825791241098</v>
      </c>
      <c r="AG7972">
        <v>-1.110407383923</v>
      </c>
      <c r="AH7972">
        <v>74.521100082455803</v>
      </c>
      <c r="AI7972">
        <v>90.853669260659004</v>
      </c>
      <c r="AJ7972">
        <v>90.243892770845207</v>
      </c>
      <c r="AK7972">
        <v>74.530047561240906</v>
      </c>
      <c r="AL7972">
        <v>76.732504464313095</v>
      </c>
      <c r="AM7972">
        <v>93.243865532094304</v>
      </c>
      <c r="AN7972">
        <v>0.99999997313333699</v>
      </c>
    </row>
    <row r="7973" spans="1:40" x14ac:dyDescent="0.25">
      <c r="A7973" t="str">
        <f>"20190304154949949"</f>
        <v>20190304154949949</v>
      </c>
      <c r="B7973" t="str">
        <f>"1551685789945150"</f>
        <v>1551685789945150</v>
      </c>
      <c r="C7973" t="s">
        <v>40</v>
      </c>
      <c r="D7973">
        <v>4.4525579999999998</v>
      </c>
      <c r="E7973">
        <v>0.51922860000000004</v>
      </c>
      <c r="F7973" t="s">
        <v>79</v>
      </c>
      <c r="G7973">
        <v>-186.88740000000001</v>
      </c>
      <c r="H7973" s="1">
        <v>-3.8233539999999997E-6</v>
      </c>
      <c r="I7973">
        <v>126.7582</v>
      </c>
      <c r="J7973">
        <v>-187.47559999999999</v>
      </c>
      <c r="K7973">
        <v>1.1104160000000001</v>
      </c>
      <c r="L7973">
        <v>37.298459999999999</v>
      </c>
      <c r="M7973">
        <v>7.7571069999999897E-3</v>
      </c>
      <c r="N7973">
        <v>-8.9029739999999993E-3</v>
      </c>
      <c r="O7973">
        <v>0.99993030000000005</v>
      </c>
      <c r="P7973">
        <v>-4.5290799999999999E-2</v>
      </c>
      <c r="Q7973">
        <v>0.2231303</v>
      </c>
      <c r="R7973">
        <v>0.97373589999999999</v>
      </c>
      <c r="S7973">
        <v>2.0324709999999999E-2</v>
      </c>
      <c r="T7973">
        <v>-3.8218019999999998E-2</v>
      </c>
      <c r="U7973">
        <v>3.0892330000000001</v>
      </c>
      <c r="V7973">
        <v>-5.28222E-2</v>
      </c>
      <c r="W7973">
        <v>0.231792</v>
      </c>
      <c r="X7973">
        <v>0.97133020000000003</v>
      </c>
      <c r="Y7973">
        <v>-1.1783080000000001E-3</v>
      </c>
      <c r="Z7973">
        <v>-3.4671609999999999E-3</v>
      </c>
      <c r="AA7973">
        <v>0.99999329999999997</v>
      </c>
      <c r="AB7973">
        <v>31</v>
      </c>
      <c r="AC7973">
        <v>0.58819999999997197</v>
      </c>
      <c r="AD7973">
        <v>-1.1104198233539999</v>
      </c>
      <c r="AE7973">
        <v>89.459739999999996</v>
      </c>
      <c r="AF7973">
        <v>-0.10577766712211201</v>
      </c>
      <c r="AG7973">
        <v>-1.1104198233539999</v>
      </c>
      <c r="AH7973">
        <v>89.447830474551296</v>
      </c>
      <c r="AI7973">
        <v>90.7112420339311</v>
      </c>
      <c r="AJ7973">
        <v>90.067755819627095</v>
      </c>
      <c r="AK7973">
        <v>89.454785214112604</v>
      </c>
      <c r="AL7973">
        <v>76.597403236196499</v>
      </c>
      <c r="AM7973">
        <v>93.112752974233402</v>
      </c>
      <c r="AN7973">
        <v>1.0000000367544299</v>
      </c>
    </row>
    <row r="7974" spans="1:40" x14ac:dyDescent="0.25">
      <c r="A7974" t="str">
        <f>"20190304154949971"</f>
        <v>20190304154949971</v>
      </c>
      <c r="B7974" t="str">
        <f>"1551685789965646"</f>
        <v>1551685789965646</v>
      </c>
      <c r="C7974" t="s">
        <v>40</v>
      </c>
      <c r="D7974">
        <v>4.4716769999999997</v>
      </c>
      <c r="E7974">
        <v>0.51948220000000001</v>
      </c>
      <c r="F7974" t="s">
        <v>79</v>
      </c>
      <c r="G7974">
        <v>-186.4599</v>
      </c>
      <c r="H7974" s="1">
        <v>-1.1108459999999999E-5</v>
      </c>
      <c r="I7974">
        <v>149.97630000000001</v>
      </c>
      <c r="J7974">
        <v>-187.47319999999999</v>
      </c>
      <c r="K7974">
        <v>1.1104229999999999</v>
      </c>
      <c r="L7974">
        <v>37.61148</v>
      </c>
      <c r="M7974">
        <v>7.7583209999999899E-3</v>
      </c>
      <c r="N7974">
        <v>-8.8921460000000001E-3</v>
      </c>
      <c r="O7974">
        <v>0.9999304</v>
      </c>
      <c r="P7974">
        <v>-4.3166700000000002E-2</v>
      </c>
      <c r="Q7974">
        <v>0.22490979999999999</v>
      </c>
      <c r="R7974">
        <v>0.97342289999999998</v>
      </c>
      <c r="S7974">
        <v>2.784729E-2</v>
      </c>
      <c r="T7974">
        <v>-3.044343E-2</v>
      </c>
      <c r="U7974">
        <v>3.089172</v>
      </c>
      <c r="V7974">
        <v>-5.070239E-2</v>
      </c>
      <c r="W7974">
        <v>0.2335566</v>
      </c>
      <c r="X7974">
        <v>0.97102040000000001</v>
      </c>
      <c r="Y7974">
        <v>1.255424E-3</v>
      </c>
      <c r="Z7974">
        <v>-9.6196179999999995E-4</v>
      </c>
      <c r="AA7974">
        <v>0.99999870000000002</v>
      </c>
      <c r="AB7974">
        <v>31</v>
      </c>
      <c r="AC7974">
        <v>1.0132999999999801</v>
      </c>
      <c r="AD7974">
        <v>-1.11043410846</v>
      </c>
      <c r="AE7974">
        <v>112.36481999999999</v>
      </c>
      <c r="AF7974">
        <v>0.14145890617853901</v>
      </c>
      <c r="AG7974">
        <v>-1.11043410846</v>
      </c>
      <c r="AH7974">
        <v>112.358327565317</v>
      </c>
      <c r="AI7974">
        <v>90.566233651730599</v>
      </c>
      <c r="AJ7974">
        <v>89.927864768087503</v>
      </c>
      <c r="AK7974">
        <v>112.36390366931199</v>
      </c>
      <c r="AL7974">
        <v>76.493445688732706</v>
      </c>
      <c r="AM7974">
        <v>92.989017646316995</v>
      </c>
      <c r="AN7974">
        <v>1.00000001748571</v>
      </c>
    </row>
    <row r="7975" spans="1:40" x14ac:dyDescent="0.25">
      <c r="A7975" t="str">
        <f>"20190304154949993"</f>
        <v>20190304154949993</v>
      </c>
      <c r="B7975" t="str">
        <f>"1551685789985165"</f>
        <v>1551685789985165</v>
      </c>
      <c r="C7975" t="s">
        <v>40</v>
      </c>
      <c r="D7975">
        <v>4.4874099999999997</v>
      </c>
      <c r="E7975">
        <v>0.5197119</v>
      </c>
      <c r="F7975" t="s">
        <v>44</v>
      </c>
      <c r="G7975">
        <v>-185.71600000000001</v>
      </c>
      <c r="H7975" s="1">
        <v>-3.8943530000000001E-6</v>
      </c>
      <c r="I7975">
        <v>186.9393</v>
      </c>
      <c r="J7975">
        <v>-187.47069999999999</v>
      </c>
      <c r="K7975">
        <v>1.1104290000000001</v>
      </c>
      <c r="L7975">
        <v>37.930759999999999</v>
      </c>
      <c r="M7975">
        <v>7.741525E-3</v>
      </c>
      <c r="N7975">
        <v>-8.883663E-3</v>
      </c>
      <c r="O7975">
        <v>0.9999306</v>
      </c>
      <c r="P7975">
        <v>-4.2282760000000003E-2</v>
      </c>
      <c r="Q7975">
        <v>0.2250779</v>
      </c>
      <c r="R7975">
        <v>0.97342289999999998</v>
      </c>
      <c r="S7975">
        <v>3.6346440000000001E-2</v>
      </c>
      <c r="T7975">
        <v>-2.2969130000000001E-2</v>
      </c>
      <c r="U7975">
        <v>3.0888369999999998</v>
      </c>
      <c r="V7975">
        <v>-4.9807709999999998E-2</v>
      </c>
      <c r="W7975">
        <v>0.2337156</v>
      </c>
      <c r="X7975">
        <v>0.97102840000000001</v>
      </c>
      <c r="Y7975">
        <v>4.0242660000000003E-3</v>
      </c>
      <c r="Z7975">
        <v>1.447961E-3</v>
      </c>
      <c r="AA7975">
        <v>0.99999090000000002</v>
      </c>
      <c r="AB7975">
        <v>31</v>
      </c>
      <c r="AC7975">
        <v>1.7547000000000099</v>
      </c>
      <c r="AD7975">
        <v>-1.110432894353</v>
      </c>
      <c r="AE7975">
        <v>149.00853999999899</v>
      </c>
      <c r="AF7975">
        <v>0.60101521479443298</v>
      </c>
      <c r="AG7975">
        <v>-1.110432894353</v>
      </c>
      <c r="AH7975">
        <v>149.00938503562699</v>
      </c>
      <c r="AI7975">
        <v>90.426962523680601</v>
      </c>
      <c r="AJ7975">
        <v>89.768904163402894</v>
      </c>
      <c r="AK7975">
        <v>149.01473453721599</v>
      </c>
      <c r="AL7975">
        <v>76.484075723791193</v>
      </c>
      <c r="AM7975">
        <v>92.936343270205597</v>
      </c>
      <c r="AN7975">
        <v>0.99999997163268095</v>
      </c>
    </row>
    <row r="7976" spans="1:40" x14ac:dyDescent="0.25">
      <c r="A7976" t="str">
        <f>"20190304154950017"</f>
        <v>20190304154950017</v>
      </c>
      <c r="B7976" t="str">
        <f>"1551685790005662"</f>
        <v>1551685790005662</v>
      </c>
      <c r="C7976" t="s">
        <v>40</v>
      </c>
      <c r="D7976">
        <v>4.5105519999999997</v>
      </c>
      <c r="E7976">
        <v>0.51991750000000003</v>
      </c>
      <c r="F7976" t="s">
        <v>54</v>
      </c>
      <c r="G7976">
        <v>-185.261</v>
      </c>
      <c r="H7976" s="1">
        <v>5.3921410000000001E-6</v>
      </c>
      <c r="I7976">
        <v>203.8897</v>
      </c>
      <c r="J7976">
        <v>-187.4683</v>
      </c>
      <c r="K7976">
        <v>1.110436</v>
      </c>
      <c r="L7976">
        <v>38.254429999999999</v>
      </c>
      <c r="M7976">
        <v>7.7047399999999999E-3</v>
      </c>
      <c r="N7976">
        <v>-8.8772829999999997E-3</v>
      </c>
      <c r="O7976">
        <v>0.99993089999999996</v>
      </c>
      <c r="P7976">
        <v>-4.2322350000000002E-2</v>
      </c>
      <c r="Q7976">
        <v>0.22542309999999999</v>
      </c>
      <c r="R7976">
        <v>0.97334129999999996</v>
      </c>
      <c r="S7976">
        <v>4.1122440000000003E-2</v>
      </c>
      <c r="T7976">
        <v>-2.0664809999999999E-2</v>
      </c>
      <c r="U7976">
        <v>3.08847</v>
      </c>
      <c r="V7976">
        <v>-4.9818380000000002E-2</v>
      </c>
      <c r="W7976">
        <v>0.23405219999999999</v>
      </c>
      <c r="X7976">
        <v>0.9709468</v>
      </c>
      <c r="Y7976">
        <v>5.6084660000000003E-3</v>
      </c>
      <c r="Z7976">
        <v>2.1867359999999999E-3</v>
      </c>
      <c r="AA7976">
        <v>0.99998189999999998</v>
      </c>
      <c r="AB7976">
        <v>31</v>
      </c>
      <c r="AC7976">
        <v>2.2073</v>
      </c>
      <c r="AD7976">
        <v>-1.1104306078590001</v>
      </c>
      <c r="AE7976">
        <v>165.63526999999999</v>
      </c>
      <c r="AF7976">
        <v>0.93096564838128504</v>
      </c>
      <c r="AG7976">
        <v>-1.1104306078590001</v>
      </c>
      <c r="AH7976">
        <v>165.639917284973</v>
      </c>
      <c r="AI7976">
        <v>90.384092375785002</v>
      </c>
      <c r="AJ7976">
        <v>89.677977134072805</v>
      </c>
      <c r="AK7976">
        <v>165.646255470342</v>
      </c>
      <c r="AL7976">
        <v>76.464240139562307</v>
      </c>
      <c r="AM7976">
        <v>92.937217599604196</v>
      </c>
      <c r="AN7976">
        <v>0.99999999587045196</v>
      </c>
    </row>
    <row r="7977" spans="1:40" x14ac:dyDescent="0.25">
      <c r="A7977" t="str">
        <f>"20190304154950040"</f>
        <v>20190304154950040</v>
      </c>
      <c r="B7977" t="str">
        <f>"1551685790035448"</f>
        <v>1551685790035448</v>
      </c>
      <c r="C7977" t="s">
        <v>40</v>
      </c>
      <c r="D7977">
        <v>4.4905489999999997</v>
      </c>
      <c r="E7977">
        <v>0.52013989999999999</v>
      </c>
      <c r="F7977" t="s">
        <v>54</v>
      </c>
      <c r="G7977">
        <v>-184.91480000000001</v>
      </c>
      <c r="H7977" s="1">
        <v>1.188258E-6</v>
      </c>
      <c r="I7977">
        <v>225.3656</v>
      </c>
      <c r="J7977">
        <v>-187.4659</v>
      </c>
      <c r="K7977">
        <v>1.110452</v>
      </c>
      <c r="L7977">
        <v>38.56223</v>
      </c>
      <c r="M7977">
        <v>7.6548789999999999E-3</v>
      </c>
      <c r="N7977">
        <v>-8.8730379999999998E-3</v>
      </c>
      <c r="O7977">
        <v>0.99993129999999997</v>
      </c>
      <c r="P7977">
        <v>-4.2303309999999997E-2</v>
      </c>
      <c r="Q7977">
        <v>0.22511429999999999</v>
      </c>
      <c r="R7977">
        <v>0.97341359999999999</v>
      </c>
      <c r="S7977">
        <v>4.214478E-2</v>
      </c>
      <c r="T7977">
        <v>-1.8327469999999998E-2</v>
      </c>
      <c r="U7977">
        <v>3.0882260000000001</v>
      </c>
      <c r="V7977">
        <v>-4.9759749999999998E-2</v>
      </c>
      <c r="W7977">
        <v>0.2337379</v>
      </c>
      <c r="X7977">
        <v>0.97102549999999999</v>
      </c>
      <c r="Y7977">
        <v>5.990329E-3</v>
      </c>
      <c r="Z7977">
        <v>2.9387189999999998E-3</v>
      </c>
      <c r="AA7977">
        <v>0.99997780000000003</v>
      </c>
      <c r="AB7977">
        <v>31</v>
      </c>
      <c r="AC7977">
        <v>2.5510999999999902</v>
      </c>
      <c r="AD7977">
        <v>-1.110450811742</v>
      </c>
      <c r="AE7977">
        <v>186.80337</v>
      </c>
      <c r="AF7977">
        <v>1.1209721085936599</v>
      </c>
      <c r="AG7977">
        <v>-1.110450811742</v>
      </c>
      <c r="AH7977">
        <v>186.81082544857901</v>
      </c>
      <c r="AI7977">
        <v>90.340570467382605</v>
      </c>
      <c r="AJ7977">
        <v>89.656196584080604</v>
      </c>
      <c r="AK7977">
        <v>186.81748896785101</v>
      </c>
      <c r="AL7977">
        <v>76.482761747624707</v>
      </c>
      <c r="AM7977">
        <v>92.933529542796094</v>
      </c>
      <c r="AN7977">
        <v>0.999999980133361</v>
      </c>
    </row>
    <row r="7978" spans="1:40" x14ac:dyDescent="0.25">
      <c r="A7978" t="str">
        <f>"20190304154950059"</f>
        <v>20190304154950059</v>
      </c>
      <c r="B7978" t="str">
        <f>"1551685790054967"</f>
        <v>1551685790054967</v>
      </c>
      <c r="C7978" t="s">
        <v>40</v>
      </c>
      <c r="D7978">
        <v>4.4520169999999997</v>
      </c>
      <c r="E7978">
        <v>0.52024539999999997</v>
      </c>
      <c r="F7978" t="s">
        <v>54</v>
      </c>
      <c r="G7978">
        <v>-184.81899999999999</v>
      </c>
      <c r="H7978" s="1">
        <v>1.115134E-6</v>
      </c>
      <c r="I7978">
        <v>225.73259999999999</v>
      </c>
      <c r="J7978">
        <v>-187.46369999999999</v>
      </c>
      <c r="K7978">
        <v>1.1104590000000001</v>
      </c>
      <c r="L7978">
        <v>38.85736</v>
      </c>
      <c r="M7978">
        <v>7.5897339999999999E-3</v>
      </c>
      <c r="N7978">
        <v>-8.870457E-3</v>
      </c>
      <c r="O7978">
        <v>0.99993189999999998</v>
      </c>
      <c r="P7978">
        <v>-4.318731E-2</v>
      </c>
      <c r="Q7978">
        <v>0.22409570000000001</v>
      </c>
      <c r="R7978">
        <v>0.97360970000000002</v>
      </c>
      <c r="S7978">
        <v>4.3670649999999998E-2</v>
      </c>
      <c r="T7978">
        <v>-1.832104E-2</v>
      </c>
      <c r="U7978">
        <v>3.0880740000000002</v>
      </c>
      <c r="V7978">
        <v>-5.0590629999999998E-2</v>
      </c>
      <c r="W7978">
        <v>0.2327168</v>
      </c>
      <c r="X7978">
        <v>0.97122779999999997</v>
      </c>
      <c r="Y7978">
        <v>6.550129E-3</v>
      </c>
      <c r="Z7978">
        <v>2.9379430000000002E-3</v>
      </c>
      <c r="AA7978">
        <v>0.99997429999999998</v>
      </c>
      <c r="AB7978">
        <v>31</v>
      </c>
      <c r="AC7978">
        <v>2.6446999999999701</v>
      </c>
      <c r="AD7978">
        <v>-1.1104578848660001</v>
      </c>
      <c r="AE7978">
        <v>186.87523999999999</v>
      </c>
      <c r="AF7978">
        <v>1.22619143133858</v>
      </c>
      <c r="AG7978">
        <v>-1.1104578848660001</v>
      </c>
      <c r="AH7978">
        <v>186.883332897521</v>
      </c>
      <c r="AI7978">
        <v>90.340439304699402</v>
      </c>
      <c r="AJ7978">
        <v>89.624072491352806</v>
      </c>
      <c r="AK7978">
        <v>186.89065460056</v>
      </c>
      <c r="AL7978">
        <v>76.5429256591583</v>
      </c>
      <c r="AM7978">
        <v>92.981805322575397</v>
      </c>
      <c r="AN7978">
        <v>0.99999998016943803</v>
      </c>
    </row>
    <row r="7979" spans="1:40" x14ac:dyDescent="0.25">
      <c r="A7979" t="str">
        <f>"20190304154950083"</f>
        <v>20190304154950083</v>
      </c>
      <c r="B7979" t="str">
        <f>"1551685790075464"</f>
        <v>1551685790075464</v>
      </c>
      <c r="C7979" t="s">
        <v>40</v>
      </c>
      <c r="D7979">
        <v>4.5149920000000003</v>
      </c>
      <c r="E7979">
        <v>0.5203373</v>
      </c>
      <c r="F7979" t="s">
        <v>54</v>
      </c>
      <c r="G7979">
        <v>-185.17660000000001</v>
      </c>
      <c r="H7979" s="1">
        <v>4.5232180000000002E-6</v>
      </c>
      <c r="I7979">
        <v>206.857</v>
      </c>
      <c r="J7979">
        <v>-187.46129999999999</v>
      </c>
      <c r="K7979">
        <v>1.1104719999999999</v>
      </c>
      <c r="L7979">
        <v>39.182499999999997</v>
      </c>
      <c r="M7979">
        <v>7.491429E-3</v>
      </c>
      <c r="N7979">
        <v>-8.8687219999999903E-3</v>
      </c>
      <c r="O7979">
        <v>0.99993259999999995</v>
      </c>
      <c r="P7979">
        <v>-4.4537720000000003E-2</v>
      </c>
      <c r="Q7979">
        <v>0.2231823</v>
      </c>
      <c r="R7979">
        <v>0.97375869999999998</v>
      </c>
      <c r="S7979">
        <v>4.2037959999999999E-2</v>
      </c>
      <c r="T7979">
        <v>-2.0410540000000001E-2</v>
      </c>
      <c r="U7979">
        <v>3.0878909999999999</v>
      </c>
      <c r="V7979">
        <v>-5.1858219999999997E-2</v>
      </c>
      <c r="W7979">
        <v>0.23180029999999999</v>
      </c>
      <c r="X7979">
        <v>0.97138009999999997</v>
      </c>
      <c r="Y7979">
        <v>6.1206849999999998E-3</v>
      </c>
      <c r="Z7979">
        <v>2.259264E-3</v>
      </c>
      <c r="AA7979">
        <v>0.9999787</v>
      </c>
      <c r="AB7979">
        <v>31</v>
      </c>
      <c r="AC7979">
        <v>2.28469999999998</v>
      </c>
      <c r="AD7979">
        <v>-1.110467476782</v>
      </c>
      <c r="AE7979">
        <v>167.67449999999999</v>
      </c>
      <c r="AF7979">
        <v>1.02841975779678</v>
      </c>
      <c r="AG7979">
        <v>-1.110467476782</v>
      </c>
      <c r="AH7979">
        <v>167.679557619072</v>
      </c>
      <c r="AI7979">
        <v>90.379431899005795</v>
      </c>
      <c r="AJ7979">
        <v>89.648595370243001</v>
      </c>
      <c r="AK7979">
        <v>167.68638832219801</v>
      </c>
      <c r="AL7979">
        <v>76.596913542132199</v>
      </c>
      <c r="AM7979">
        <v>93.055898699585995</v>
      </c>
      <c r="AN7979">
        <v>0.99999997636883298</v>
      </c>
    </row>
    <row r="7980" spans="1:40" x14ac:dyDescent="0.25">
      <c r="A7980" t="str">
        <f>"20190304154950105"</f>
        <v>20190304154950105</v>
      </c>
      <c r="B7980" t="str">
        <f>"1551685790094984"</f>
        <v>1551685790094984</v>
      </c>
      <c r="C7980" t="s">
        <v>40</v>
      </c>
      <c r="D7980">
        <v>4.4737439999999999</v>
      </c>
      <c r="E7980">
        <v>0.52039729999999995</v>
      </c>
      <c r="F7980" t="s">
        <v>44</v>
      </c>
      <c r="G7980">
        <v>-185.55420000000001</v>
      </c>
      <c r="H7980" s="1">
        <v>-1.9296600000000001E-6</v>
      </c>
      <c r="I7980">
        <v>191.8424</v>
      </c>
      <c r="J7980">
        <v>-187.45910000000001</v>
      </c>
      <c r="K7980">
        <v>1.110492</v>
      </c>
      <c r="L7980">
        <v>39.496729999999999</v>
      </c>
      <c r="M7980">
        <v>7.3634619999999899E-3</v>
      </c>
      <c r="N7980">
        <v>-8.8681090000000008E-3</v>
      </c>
      <c r="O7980">
        <v>0.99993350000000003</v>
      </c>
      <c r="P7980">
        <v>-4.5185360000000001E-2</v>
      </c>
      <c r="Q7980">
        <v>0.22289020000000001</v>
      </c>
      <c r="R7980">
        <v>0.97379579999999999</v>
      </c>
      <c r="S7980">
        <v>3.8574219999999999E-2</v>
      </c>
      <c r="T7980">
        <v>-2.2460939999999999E-2</v>
      </c>
      <c r="U7980">
        <v>3.0877690000000002</v>
      </c>
      <c r="V7980">
        <v>-5.2395600000000001E-2</v>
      </c>
      <c r="W7980">
        <v>0.23150490000000001</v>
      </c>
      <c r="X7980">
        <v>0.97142169999999906</v>
      </c>
      <c r="Y7980">
        <v>5.1277149999999997E-3</v>
      </c>
      <c r="Z7980">
        <v>1.5944079999999901E-3</v>
      </c>
      <c r="AA7980">
        <v>0.99998560000000003</v>
      </c>
      <c r="AB7980">
        <v>31</v>
      </c>
      <c r="AC7980">
        <v>1.90489999999999</v>
      </c>
      <c r="AD7980">
        <v>-1.11049392966</v>
      </c>
      <c r="AE7980">
        <v>152.34566999999899</v>
      </c>
      <c r="AF7980">
        <v>0.78297101791528301</v>
      </c>
      <c r="AG7980">
        <v>-1.11049392966</v>
      </c>
      <c r="AH7980">
        <v>152.34747313669999</v>
      </c>
      <c r="AI7980">
        <v>90.417628510379004</v>
      </c>
      <c r="AJ7980">
        <v>89.705538011778202</v>
      </c>
      <c r="AK7980">
        <v>152.35353232373799</v>
      </c>
      <c r="AL7980">
        <v>76.614311869819602</v>
      </c>
      <c r="AM7980">
        <v>93.087372485307398</v>
      </c>
      <c r="AN7980">
        <v>0.99999996842712902</v>
      </c>
    </row>
    <row r="7981" spans="1:40" x14ac:dyDescent="0.25">
      <c r="A7981" t="str">
        <f>"20190304154950120"</f>
        <v>20190304154950120</v>
      </c>
      <c r="B7981" t="str">
        <f>"1551685790115480"</f>
        <v>1551685790115480</v>
      </c>
      <c r="C7981" t="s">
        <v>40</v>
      </c>
      <c r="D7981">
        <v>4.4863400000000002</v>
      </c>
      <c r="E7981">
        <v>0.52052739999999997</v>
      </c>
      <c r="F7981" t="s">
        <v>44</v>
      </c>
      <c r="G7981">
        <v>-185.69659999999999</v>
      </c>
      <c r="H7981" s="1">
        <v>-4.1583550000000001E-6</v>
      </c>
      <c r="I7981">
        <v>187.54660000000001</v>
      </c>
      <c r="J7981">
        <v>-187.45769999999999</v>
      </c>
      <c r="K7981">
        <v>1.1105100000000001</v>
      </c>
      <c r="L7981">
        <v>39.700620000000001</v>
      </c>
      <c r="M7981">
        <v>7.25925599999999E-3</v>
      </c>
      <c r="N7981">
        <v>-8.8683080000000001E-3</v>
      </c>
      <c r="O7981">
        <v>0.99993430000000005</v>
      </c>
      <c r="P7981">
        <v>-4.5325980000000002E-2</v>
      </c>
      <c r="Q7981">
        <v>0.2225993</v>
      </c>
      <c r="R7981">
        <v>0.97385580000000005</v>
      </c>
      <c r="S7981">
        <v>3.675842E-2</v>
      </c>
      <c r="T7981">
        <v>-2.316058E-2</v>
      </c>
      <c r="U7981">
        <v>3.0877379999999999</v>
      </c>
      <c r="V7981">
        <v>-5.244567E-2</v>
      </c>
      <c r="W7981">
        <v>0.23121259999999999</v>
      </c>
      <c r="X7981">
        <v>0.97148869999999998</v>
      </c>
      <c r="Y7981">
        <v>4.6441109999999898E-3</v>
      </c>
      <c r="Z7981">
        <v>1.3679600000000001E-3</v>
      </c>
      <c r="AA7981">
        <v>0.99998830000000005</v>
      </c>
      <c r="AB7981">
        <v>31</v>
      </c>
      <c r="AC7981">
        <v>1.7610999999999899</v>
      </c>
      <c r="AD7981">
        <v>-1.110514158355</v>
      </c>
      <c r="AE7981">
        <v>147.84598</v>
      </c>
      <c r="AF7981">
        <v>0.68772074647701598</v>
      </c>
      <c r="AG7981">
        <v>-1.110514158355</v>
      </c>
      <c r="AH7981">
        <v>147.84652867363701</v>
      </c>
      <c r="AI7981">
        <v>90.4303509189766</v>
      </c>
      <c r="AJ7981">
        <v>89.733485713736201</v>
      </c>
      <c r="AK7981">
        <v>147.852298738862</v>
      </c>
      <c r="AL7981">
        <v>76.631527656563193</v>
      </c>
      <c r="AM7981">
        <v>93.090104392907406</v>
      </c>
      <c r="AN7981">
        <v>1.0000000544640899</v>
      </c>
    </row>
    <row r="7982" spans="1:40" x14ac:dyDescent="0.25">
      <c r="A7982" t="str">
        <f>"20190304154950138"</f>
        <v>20190304154950138</v>
      </c>
      <c r="B7982" t="str">
        <f>"1551685790135001"</f>
        <v>1551685790135001</v>
      </c>
      <c r="C7982" t="s">
        <v>40</v>
      </c>
      <c r="D7982">
        <v>4.4921249999999997</v>
      </c>
      <c r="E7982">
        <v>0.52051930000000002</v>
      </c>
      <c r="F7982" t="s">
        <v>44</v>
      </c>
      <c r="G7982">
        <v>-185.7543</v>
      </c>
      <c r="H7982" s="1">
        <v>-1.1724279999999999E-6</v>
      </c>
      <c r="I7982">
        <v>179.77369999999999</v>
      </c>
      <c r="J7982">
        <v>-187.45590000000001</v>
      </c>
      <c r="K7982">
        <v>1.11053</v>
      </c>
      <c r="L7982">
        <v>39.964390000000002</v>
      </c>
      <c r="M7982">
        <v>7.0996200000000001E-3</v>
      </c>
      <c r="N7982">
        <v>-8.8691410000000005E-3</v>
      </c>
      <c r="O7982">
        <v>0.99993540000000003</v>
      </c>
      <c r="P7982">
        <v>-4.5935400000000001E-2</v>
      </c>
      <c r="Q7982">
        <v>0.2222652</v>
      </c>
      <c r="R7982">
        <v>0.97390350000000003</v>
      </c>
      <c r="S7982">
        <v>3.7551880000000003E-2</v>
      </c>
      <c r="T7982">
        <v>-2.4481059999999999E-2</v>
      </c>
      <c r="U7982">
        <v>3.0878909999999999</v>
      </c>
      <c r="V7982">
        <v>-5.2915099999999902E-2</v>
      </c>
      <c r="W7982">
        <v>0.23087630000000001</v>
      </c>
      <c r="X7982">
        <v>0.97154320000000005</v>
      </c>
      <c r="Y7982">
        <v>5.0600519999999998E-3</v>
      </c>
      <c r="Z7982">
        <v>9.4159989999999998E-4</v>
      </c>
      <c r="AA7982">
        <v>0.99998679999999995</v>
      </c>
      <c r="AB7982">
        <v>32</v>
      </c>
      <c r="AC7982">
        <v>1.70160000000001</v>
      </c>
      <c r="AD7982">
        <v>-1.110531172428</v>
      </c>
      <c r="AE7982">
        <v>139.80930999999899</v>
      </c>
      <c r="AF7982">
        <v>0.708880312662997</v>
      </c>
      <c r="AG7982">
        <v>-1.110531172428</v>
      </c>
      <c r="AH7982">
        <v>139.80904751965301</v>
      </c>
      <c r="AI7982">
        <v>90.455096392838797</v>
      </c>
      <c r="AJ7982">
        <v>89.709493035214294</v>
      </c>
      <c r="AK7982">
        <v>139.81525510163399</v>
      </c>
      <c r="AL7982">
        <v>76.651331759351393</v>
      </c>
      <c r="AM7982">
        <v>93.1175343874486</v>
      </c>
      <c r="AN7982">
        <v>1.00000003158796</v>
      </c>
    </row>
    <row r="7983" spans="1:40" x14ac:dyDescent="0.25">
      <c r="A7983" t="str">
        <f>"20190304154950153"</f>
        <v>20190304154950153</v>
      </c>
      <c r="B7983" t="str">
        <f>"1551685790144761"</f>
        <v>1551685790144761</v>
      </c>
      <c r="C7983" t="s">
        <v>40</v>
      </c>
      <c r="D7983">
        <v>4.5078480000000001</v>
      </c>
      <c r="E7983">
        <v>0.52051170000000002</v>
      </c>
      <c r="F7983" t="s">
        <v>44</v>
      </c>
      <c r="G7983">
        <v>-185.90770000000001</v>
      </c>
      <c r="H7983" s="1">
        <v>-2.7343330000000001E-6</v>
      </c>
      <c r="I7983">
        <v>174.31450000000001</v>
      </c>
      <c r="J7983">
        <v>-187.4546</v>
      </c>
      <c r="K7983">
        <v>1.110552</v>
      </c>
      <c r="L7983">
        <v>40.176699999999997</v>
      </c>
      <c r="M7983">
        <v>6.9516710000000004E-3</v>
      </c>
      <c r="N7983">
        <v>-8.8701749999999992E-3</v>
      </c>
      <c r="O7983">
        <v>0.99993650000000001</v>
      </c>
      <c r="P7983">
        <v>-4.6191919999999997E-2</v>
      </c>
      <c r="Q7983">
        <v>0.2222838</v>
      </c>
      <c r="R7983">
        <v>0.97388710000000001</v>
      </c>
      <c r="S7983">
        <v>3.5583499999999997E-2</v>
      </c>
      <c r="T7983">
        <v>-2.5524379999999999E-2</v>
      </c>
      <c r="U7983">
        <v>3.0878909999999999</v>
      </c>
      <c r="V7983">
        <v>-5.3039969999999999E-2</v>
      </c>
      <c r="W7983">
        <v>0.2308925</v>
      </c>
      <c r="X7983">
        <v>0.97153250000000002</v>
      </c>
      <c r="Y7983">
        <v>4.570686E-3</v>
      </c>
      <c r="Z7983">
        <v>6.0478210000000003E-4</v>
      </c>
      <c r="AA7983">
        <v>0.99998940000000003</v>
      </c>
      <c r="AB7983">
        <v>32</v>
      </c>
      <c r="AC7983">
        <v>1.5468999999999899</v>
      </c>
      <c r="AD7983">
        <v>-1.110554734333</v>
      </c>
      <c r="AE7983">
        <v>134.1378</v>
      </c>
      <c r="AF7983">
        <v>0.61430198145478998</v>
      </c>
      <c r="AG7983">
        <v>-1.110554734333</v>
      </c>
      <c r="AH7983">
        <v>134.13611933946001</v>
      </c>
      <c r="AI7983">
        <v>90.474353801687201</v>
      </c>
      <c r="AJ7983">
        <v>89.737604867413694</v>
      </c>
      <c r="AK7983">
        <v>134.14212317610099</v>
      </c>
      <c r="AL7983">
        <v>76.650377251255193</v>
      </c>
      <c r="AM7983">
        <v>93.124910985602298</v>
      </c>
      <c r="AN7983">
        <v>0.99999999176504994</v>
      </c>
    </row>
    <row r="7984" spans="1:40" x14ac:dyDescent="0.25">
      <c r="A7984" t="str">
        <f>"20190304154950172"</f>
        <v>20190304154950172</v>
      </c>
      <c r="B7984" t="str">
        <f>"1551685790165256"</f>
        <v>1551685790165256</v>
      </c>
      <c r="C7984" t="s">
        <v>40</v>
      </c>
      <c r="D7984">
        <v>4.5447240000000004</v>
      </c>
      <c r="E7984">
        <v>0.52047069999999995</v>
      </c>
      <c r="F7984" t="s">
        <v>44</v>
      </c>
      <c r="G7984">
        <v>-185.95160000000001</v>
      </c>
      <c r="H7984" s="1">
        <v>-2.4156849999999998E-6</v>
      </c>
      <c r="I7984">
        <v>173.5813</v>
      </c>
      <c r="J7984">
        <v>-187.4529</v>
      </c>
      <c r="K7984">
        <v>1.1105719999999999</v>
      </c>
      <c r="L7984">
        <v>40.435609999999997</v>
      </c>
      <c r="M7984">
        <v>6.7442040000000002E-3</v>
      </c>
      <c r="N7984">
        <v>-8.8718870000000002E-3</v>
      </c>
      <c r="O7984">
        <v>0.99993790000000005</v>
      </c>
      <c r="P7984">
        <v>-4.6932840000000003E-2</v>
      </c>
      <c r="Q7984">
        <v>0.2234034</v>
      </c>
      <c r="R7984">
        <v>0.97359549999999995</v>
      </c>
      <c r="S7984">
        <v>3.4790040000000001E-2</v>
      </c>
      <c r="T7984">
        <v>-2.570629E-2</v>
      </c>
      <c r="U7984">
        <v>3.087952</v>
      </c>
      <c r="V7984">
        <v>-5.3593309999999998E-2</v>
      </c>
      <c r="W7984">
        <v>0.2320072</v>
      </c>
      <c r="X7984">
        <v>0.97123649999999995</v>
      </c>
      <c r="Y7984">
        <v>4.5210220000000004E-3</v>
      </c>
      <c r="Z7984">
        <v>5.4774290000000002E-4</v>
      </c>
      <c r="AA7984">
        <v>0.99998960000000003</v>
      </c>
      <c r="AB7984">
        <v>32</v>
      </c>
      <c r="AC7984">
        <v>1.5012999999999801</v>
      </c>
      <c r="AD7984">
        <v>-1.1105744156849999</v>
      </c>
      <c r="AE7984">
        <v>133.14569</v>
      </c>
      <c r="AF7984">
        <v>0.60322685385778196</v>
      </c>
      <c r="AG7984">
        <v>-1.1105744156849999</v>
      </c>
      <c r="AH7984">
        <v>133.14352515588499</v>
      </c>
      <c r="AI7984">
        <v>90.477898554231601</v>
      </c>
      <c r="AJ7984">
        <v>89.740414591752497</v>
      </c>
      <c r="AK7984">
        <v>133.14952327780099</v>
      </c>
      <c r="AL7984">
        <v>76.584726614068103</v>
      </c>
      <c r="AM7984">
        <v>93.158406361195205</v>
      </c>
      <c r="AN7984">
        <v>0.99999996133042202</v>
      </c>
    </row>
    <row r="7985" spans="1:40" x14ac:dyDescent="0.25">
      <c r="A7985" t="str">
        <f>"20190304154950195"</f>
        <v>20190304154950195</v>
      </c>
      <c r="B7985" t="str">
        <f>"1551685790184779"</f>
        <v>1551685790184779</v>
      </c>
      <c r="C7985" t="s">
        <v>40</v>
      </c>
      <c r="D7985">
        <v>4.5201929999999999</v>
      </c>
      <c r="E7985">
        <v>0.52045019999999997</v>
      </c>
      <c r="F7985" t="s">
        <v>44</v>
      </c>
      <c r="G7985">
        <v>-185.80590000000001</v>
      </c>
      <c r="H7985" s="1">
        <v>-4.0613240000000002E-6</v>
      </c>
      <c r="I7985">
        <v>197.3656</v>
      </c>
      <c r="J7985">
        <v>-187.45099999999999</v>
      </c>
      <c r="K7985">
        <v>1.110609</v>
      </c>
      <c r="L7985">
        <v>40.765990000000002</v>
      </c>
      <c r="M7985">
        <v>6.4387929999999999E-3</v>
      </c>
      <c r="N7985">
        <v>-8.8747730000000007E-3</v>
      </c>
      <c r="O7985">
        <v>0.99993989999999999</v>
      </c>
      <c r="P7985">
        <v>-4.755537E-2</v>
      </c>
      <c r="Q7985">
        <v>0.22428480000000001</v>
      </c>
      <c r="R7985">
        <v>0.97336259999999997</v>
      </c>
      <c r="S7985">
        <v>3.2409670000000002E-2</v>
      </c>
      <c r="T7985">
        <v>-2.1853089999999999E-2</v>
      </c>
      <c r="U7985">
        <v>3.087952</v>
      </c>
      <c r="V7985">
        <v>-5.393688E-2</v>
      </c>
      <c r="W7985">
        <v>0.23288510000000001</v>
      </c>
      <c r="X7985">
        <v>0.97100730000000002</v>
      </c>
      <c r="Y7985">
        <v>4.0557320000000003E-3</v>
      </c>
      <c r="Z7985">
        <v>1.7982639999999999E-3</v>
      </c>
      <c r="AA7985">
        <v>0.99999020000000005</v>
      </c>
      <c r="AB7985">
        <v>32</v>
      </c>
      <c r="AC7985">
        <v>1.64509999999998</v>
      </c>
      <c r="AD7985">
        <v>-1.110613061324</v>
      </c>
      <c r="AE7985">
        <v>156.59960999999899</v>
      </c>
      <c r="AF7985">
        <v>0.63668170439893101</v>
      </c>
      <c r="AG7985">
        <v>-1.110613061324</v>
      </c>
      <c r="AH7985">
        <v>156.599080795231</v>
      </c>
      <c r="AI7985">
        <v>90.406336027236193</v>
      </c>
      <c r="AJ7985">
        <v>89.767054995631</v>
      </c>
      <c r="AK7985">
        <v>156.60431325757301</v>
      </c>
      <c r="AL7985">
        <v>76.533009479941001</v>
      </c>
      <c r="AM7985">
        <v>93.179361284562106</v>
      </c>
      <c r="AN7985">
        <v>0.999999916739713</v>
      </c>
    </row>
    <row r="7986" spans="1:40" x14ac:dyDescent="0.25">
      <c r="A7986" t="str">
        <f>"20190304154950216"</f>
        <v>20190304154950216</v>
      </c>
      <c r="B7986" t="str">
        <f>"1551685790205272"</f>
        <v>1551685790205272</v>
      </c>
      <c r="C7986" t="s">
        <v>40</v>
      </c>
      <c r="D7986">
        <v>4.4873289999999999</v>
      </c>
      <c r="E7986">
        <v>0.52052679999999996</v>
      </c>
      <c r="F7986" t="s">
        <v>54</v>
      </c>
      <c r="G7986">
        <v>-185.72569999999999</v>
      </c>
      <c r="H7986" s="1">
        <v>2.8140469999999999E-6</v>
      </c>
      <c r="I7986">
        <v>219.2758</v>
      </c>
      <c r="J7986">
        <v>-187.4494</v>
      </c>
      <c r="K7986">
        <v>1.1106400000000001</v>
      </c>
      <c r="L7986">
        <v>41.066040000000001</v>
      </c>
      <c r="M7986">
        <v>6.1326339999999997E-3</v>
      </c>
      <c r="N7986">
        <v>-8.8779510000000002E-3</v>
      </c>
      <c r="O7986">
        <v>0.99994179999999999</v>
      </c>
      <c r="P7986">
        <v>-4.818882E-2</v>
      </c>
      <c r="Q7986">
        <v>0.2251696</v>
      </c>
      <c r="R7986">
        <v>0.97312719999999997</v>
      </c>
      <c r="S7986">
        <v>2.9846190000000002E-2</v>
      </c>
      <c r="T7986">
        <v>-1.9212010000000002E-2</v>
      </c>
      <c r="U7986">
        <v>3.0879819999999998</v>
      </c>
      <c r="V7986">
        <v>-5.4286679999999997E-2</v>
      </c>
      <c r="W7986">
        <v>0.23376710000000001</v>
      </c>
      <c r="X7986">
        <v>0.97077599999999997</v>
      </c>
      <c r="Y7986">
        <v>3.5317790000000001E-3</v>
      </c>
      <c r="Z7986">
        <v>2.6566810000000001E-3</v>
      </c>
      <c r="AA7986">
        <v>0.99999020000000005</v>
      </c>
      <c r="AB7986">
        <v>32</v>
      </c>
      <c r="AC7986">
        <v>1.7237</v>
      </c>
      <c r="AD7986">
        <v>-1.110637185953</v>
      </c>
      <c r="AE7986">
        <v>178.20975999999999</v>
      </c>
      <c r="AF7986">
        <v>0.63070480019768804</v>
      </c>
      <c r="AG7986">
        <v>-1.110637185953</v>
      </c>
      <c r="AH7986">
        <v>178.21005871216599</v>
      </c>
      <c r="AI7986">
        <v>90.357070759310503</v>
      </c>
      <c r="AJ7986">
        <v>89.797224844894203</v>
      </c>
      <c r="AK7986">
        <v>178.21463556537</v>
      </c>
      <c r="AL7986">
        <v>76.481042298137695</v>
      </c>
      <c r="AM7986">
        <v>93.200698711626501</v>
      </c>
      <c r="AN7986">
        <v>1.0000000714219099</v>
      </c>
    </row>
    <row r="7987" spans="1:40" x14ac:dyDescent="0.25">
      <c r="A7987" t="str">
        <f>"20190304154950241"</f>
        <v>20190304154950241</v>
      </c>
      <c r="B7987" t="str">
        <f>"1551685790235059"</f>
        <v>1551685790235059</v>
      </c>
      <c r="C7987" t="s">
        <v>40</v>
      </c>
      <c r="D7987">
        <v>4.5303800000000001</v>
      </c>
      <c r="E7987">
        <v>0.52064860000000002</v>
      </c>
      <c r="F7987" t="s">
        <v>44</v>
      </c>
      <c r="G7987">
        <v>-185.5633</v>
      </c>
      <c r="H7987" s="1">
        <v>-5.0914939999999997E-6</v>
      </c>
      <c r="I7987">
        <v>248.7373</v>
      </c>
      <c r="J7987">
        <v>-187.44759999999999</v>
      </c>
      <c r="K7987">
        <v>1.110668</v>
      </c>
      <c r="L7987">
        <v>41.41733</v>
      </c>
      <c r="M7987">
        <v>5.7453010000000004E-3</v>
      </c>
      <c r="N7987">
        <v>-8.8822929999999994E-3</v>
      </c>
      <c r="O7987">
        <v>0.99994400000000006</v>
      </c>
      <c r="P7987">
        <v>-4.864011E-2</v>
      </c>
      <c r="Q7987">
        <v>0.2258174</v>
      </c>
      <c r="R7987">
        <v>0.9729546</v>
      </c>
      <c r="S7987">
        <v>2.8045649999999998E-2</v>
      </c>
      <c r="T7987">
        <v>-1.6515140000000001E-2</v>
      </c>
      <c r="U7987">
        <v>3.0880429999999999</v>
      </c>
      <c r="V7987">
        <v>-5.4374239999999997E-2</v>
      </c>
      <c r="W7987">
        <v>0.23441419999999999</v>
      </c>
      <c r="X7987">
        <v>0.97061500000000001</v>
      </c>
      <c r="Y7987">
        <v>3.3359319999999998E-3</v>
      </c>
      <c r="Z7987">
        <v>3.5343890000000002E-3</v>
      </c>
      <c r="AA7987">
        <v>0.99998819999999999</v>
      </c>
      <c r="AB7987">
        <v>32</v>
      </c>
      <c r="AC7987">
        <v>1.8842999999999901</v>
      </c>
      <c r="AD7987">
        <v>-1.110673091494</v>
      </c>
      <c r="AE7987">
        <v>207.31996999999899</v>
      </c>
      <c r="AF7987">
        <v>0.69308633213243898</v>
      </c>
      <c r="AG7987">
        <v>-1.110673091494</v>
      </c>
      <c r="AH7987">
        <v>207.321424593302</v>
      </c>
      <c r="AI7987">
        <v>90.306943270870704</v>
      </c>
      <c r="AJ7987">
        <v>89.808457935247603</v>
      </c>
      <c r="AK7987">
        <v>207.32555814172099</v>
      </c>
      <c r="AL7987">
        <v>76.442905973880897</v>
      </c>
      <c r="AM7987">
        <v>93.206381077454495</v>
      </c>
      <c r="AN7987">
        <v>1.0000000266811</v>
      </c>
    </row>
    <row r="7988" spans="1:40" x14ac:dyDescent="0.25">
      <c r="A7988" t="str">
        <f>"20190304154950263"</f>
        <v>20190304154950263</v>
      </c>
      <c r="B7988" t="str">
        <f>"1551685790255555"</f>
        <v>1551685790255555</v>
      </c>
      <c r="C7988" t="s">
        <v>40</v>
      </c>
      <c r="D7988">
        <v>4.5585909999999998</v>
      </c>
      <c r="E7988">
        <v>0.52076040000000001</v>
      </c>
      <c r="F7988" t="s">
        <v>54</v>
      </c>
      <c r="G7988">
        <v>-185.34139999999999</v>
      </c>
      <c r="H7988" s="1">
        <v>4.4012810000000002E-6</v>
      </c>
      <c r="I7988">
        <v>277.32229999999998</v>
      </c>
      <c r="J7988">
        <v>-187.4462</v>
      </c>
      <c r="K7988">
        <v>1.1106830000000001</v>
      </c>
      <c r="L7988">
        <v>41.725679999999997</v>
      </c>
      <c r="M7988">
        <v>5.3882280000000001E-3</v>
      </c>
      <c r="N7988">
        <v>-8.8864959999999903E-3</v>
      </c>
      <c r="O7988">
        <v>0.999946</v>
      </c>
      <c r="P7988">
        <v>-4.8887979999999998E-2</v>
      </c>
      <c r="Q7988">
        <v>0.22640569999999999</v>
      </c>
      <c r="R7988">
        <v>0.97280540000000004</v>
      </c>
      <c r="S7988">
        <v>2.7572630000000001E-2</v>
      </c>
      <c r="T7988">
        <v>-1.453924E-2</v>
      </c>
      <c r="U7988">
        <v>3.0881349999999999</v>
      </c>
      <c r="V7988">
        <v>-5.4283919999999999E-2</v>
      </c>
      <c r="W7988">
        <v>0.2350034</v>
      </c>
      <c r="X7988">
        <v>0.97047749999999999</v>
      </c>
      <c r="Y7988">
        <v>3.5395689999999998E-3</v>
      </c>
      <c r="Z7988">
        <v>4.1785340000000002E-3</v>
      </c>
      <c r="AA7988">
        <v>0.99998500000000001</v>
      </c>
      <c r="AB7988">
        <v>32</v>
      </c>
      <c r="AC7988">
        <v>2.1048000000000102</v>
      </c>
      <c r="AD7988">
        <v>-1.110678598719</v>
      </c>
      <c r="AE7988">
        <v>235.59662</v>
      </c>
      <c r="AF7988">
        <v>0.83525245319369701</v>
      </c>
      <c r="AG7988">
        <v>-1.110678598719</v>
      </c>
      <c r="AH7988">
        <v>235.59930551711199</v>
      </c>
      <c r="AI7988">
        <v>90.270104042259803</v>
      </c>
      <c r="AJ7988">
        <v>89.796874444107502</v>
      </c>
      <c r="AK7988">
        <v>235.603404079304</v>
      </c>
      <c r="AL7988">
        <v>76.408176253490396</v>
      </c>
      <c r="AM7988">
        <v>93.201518697799301</v>
      </c>
      <c r="AN7988">
        <v>0.999999959994187</v>
      </c>
    </row>
    <row r="7989" spans="1:40" x14ac:dyDescent="0.25">
      <c r="A7989" t="str">
        <f>"20190304154950285"</f>
        <v>20190304154950285</v>
      </c>
      <c r="B7989" t="str">
        <f>"1551685790275075"</f>
        <v>1551685790275075</v>
      </c>
      <c r="C7989" t="s">
        <v>40</v>
      </c>
      <c r="D7989">
        <v>4.5322820000000004</v>
      </c>
      <c r="E7989">
        <v>0.52084839999999999</v>
      </c>
      <c r="F7989" t="s">
        <v>44</v>
      </c>
      <c r="G7989">
        <v>-184.88249999999999</v>
      </c>
      <c r="H7989" s="1">
        <v>-2.378317E-6</v>
      </c>
      <c r="I7989">
        <v>322.63560000000001</v>
      </c>
      <c r="J7989">
        <v>-187.44479999999999</v>
      </c>
      <c r="K7989">
        <v>1.1106929999999999</v>
      </c>
      <c r="L7989">
        <v>42.041409999999999</v>
      </c>
      <c r="M7989">
        <v>5.0127729999999999E-3</v>
      </c>
      <c r="N7989">
        <v>-8.8911000000000007E-3</v>
      </c>
      <c r="O7989">
        <v>0.9999479</v>
      </c>
      <c r="P7989">
        <v>-4.8899110000000003E-2</v>
      </c>
      <c r="Q7989">
        <v>0.2271299</v>
      </c>
      <c r="R7989">
        <v>0.97263599999999995</v>
      </c>
      <c r="S7989">
        <v>2.818298E-2</v>
      </c>
      <c r="T7989">
        <v>-1.221001E-2</v>
      </c>
      <c r="U7989">
        <v>3.088104</v>
      </c>
      <c r="V7989">
        <v>-5.3936350000000001E-2</v>
      </c>
      <c r="W7989">
        <v>0.2357291</v>
      </c>
      <c r="X7989">
        <v>0.97032090000000004</v>
      </c>
      <c r="Y7989">
        <v>4.1127050000000004E-3</v>
      </c>
      <c r="Z7989">
        <v>4.9373029999999997E-3</v>
      </c>
      <c r="AA7989">
        <v>0.99997939999999996</v>
      </c>
      <c r="AB7989">
        <v>32</v>
      </c>
      <c r="AC7989">
        <v>2.5622999999999898</v>
      </c>
      <c r="AD7989">
        <v>-1.1106953783169999</v>
      </c>
      <c r="AE7989">
        <v>280.594189999999</v>
      </c>
      <c r="AF7989">
        <v>1.1556391082045301</v>
      </c>
      <c r="AG7989">
        <v>-1.1106953783169999</v>
      </c>
      <c r="AH7989">
        <v>280.59911281191398</v>
      </c>
      <c r="AI7989">
        <v>90.226790757855298</v>
      </c>
      <c r="AJ7989">
        <v>89.764030368751094</v>
      </c>
      <c r="AK7989">
        <v>280.603690739814</v>
      </c>
      <c r="AL7989">
        <v>76.365395302788599</v>
      </c>
      <c r="AM7989">
        <v>93.181574530264498</v>
      </c>
      <c r="AN7989">
        <v>0.99999999370747095</v>
      </c>
    </row>
    <row r="7990" spans="1:40" x14ac:dyDescent="0.25">
      <c r="A7990" t="str">
        <f>"20190304154950307"</f>
        <v>20190304154950307</v>
      </c>
      <c r="B7990" t="str">
        <f>"1551685790295571"</f>
        <v>1551685790295571</v>
      </c>
      <c r="C7990" t="s">
        <v>40</v>
      </c>
      <c r="D7990">
        <v>4.5636549999999998</v>
      </c>
      <c r="E7990">
        <v>0.5208853</v>
      </c>
      <c r="F7990" t="s">
        <v>53</v>
      </c>
      <c r="G7990">
        <v>-184.2841</v>
      </c>
      <c r="H7990">
        <v>5.2696640000000003E-2</v>
      </c>
      <c r="I7990">
        <v>379.6028</v>
      </c>
      <c r="J7990">
        <v>-187.4436</v>
      </c>
      <c r="K7990">
        <v>1.1107039999999999</v>
      </c>
      <c r="L7990">
        <v>42.356929999999998</v>
      </c>
      <c r="M7990">
        <v>4.6328589999999996E-3</v>
      </c>
      <c r="N7990">
        <v>-8.8959669999999994E-3</v>
      </c>
      <c r="O7990">
        <v>0.99994970000000005</v>
      </c>
      <c r="P7990">
        <v>-4.9149930000000001E-2</v>
      </c>
      <c r="Q7990">
        <v>0.2274012</v>
      </c>
      <c r="R7990">
        <v>0.97255999999999998</v>
      </c>
      <c r="S7990">
        <v>2.8915409999999999E-2</v>
      </c>
      <c r="T7990">
        <v>-9.6788410000000005E-3</v>
      </c>
      <c r="U7990">
        <v>3.088104</v>
      </c>
      <c r="V7990">
        <v>-5.3822519999999999E-2</v>
      </c>
      <c r="W7990">
        <v>0.2360044</v>
      </c>
      <c r="X7990">
        <v>0.97026029999999996</v>
      </c>
      <c r="Y7990">
        <v>4.7297219999999996E-3</v>
      </c>
      <c r="Z7990">
        <v>5.7617730000000004E-3</v>
      </c>
      <c r="AA7990">
        <v>0.99997219999999998</v>
      </c>
      <c r="AB7990">
        <v>32</v>
      </c>
      <c r="AC7990">
        <v>3.1595</v>
      </c>
      <c r="AD7990">
        <v>-1.05800736</v>
      </c>
      <c r="AE7990">
        <v>337.24587000000002</v>
      </c>
      <c r="AF7990">
        <v>1.5969759865133399</v>
      </c>
      <c r="AG7990">
        <v>-1.05800736</v>
      </c>
      <c r="AH7990">
        <v>337.25356960884</v>
      </c>
      <c r="AI7990">
        <v>90.179741545893904</v>
      </c>
      <c r="AJ7990">
        <v>89.728692863827206</v>
      </c>
      <c r="AK7990">
        <v>337.259010147661</v>
      </c>
      <c r="AL7990">
        <v>76.349163829155103</v>
      </c>
      <c r="AM7990">
        <v>93.175071614080807</v>
      </c>
      <c r="AN7990">
        <v>0.99999999511729998</v>
      </c>
    </row>
    <row r="7991" spans="1:40" x14ac:dyDescent="0.25">
      <c r="A7991" t="str">
        <f>"20190304154950328"</f>
        <v>20190304154950328</v>
      </c>
      <c r="B7991" t="str">
        <f>"1551685790324850"</f>
        <v>1551685790324850</v>
      </c>
      <c r="C7991" t="s">
        <v>40</v>
      </c>
      <c r="D7991">
        <v>4.5072380000000001</v>
      </c>
      <c r="E7991">
        <v>0.5210207</v>
      </c>
      <c r="F7991" t="s">
        <v>51</v>
      </c>
      <c r="G7991">
        <v>-184.24529999999999</v>
      </c>
      <c r="H7991">
        <v>7.313538E-2</v>
      </c>
      <c r="I7991">
        <v>391.87</v>
      </c>
      <c r="J7991">
        <v>-187.4425</v>
      </c>
      <c r="K7991">
        <v>1.1107039999999999</v>
      </c>
      <c r="L7991">
        <v>42.666409999999999</v>
      </c>
      <c r="M7991">
        <v>4.2589630000000002E-3</v>
      </c>
      <c r="N7991">
        <v>-8.9009780000000004E-3</v>
      </c>
      <c r="O7991">
        <v>0.99995129999999999</v>
      </c>
      <c r="P7991">
        <v>-4.9617540000000002E-2</v>
      </c>
      <c r="Q7991">
        <v>0.2279988</v>
      </c>
      <c r="R7991">
        <v>0.97239629999999999</v>
      </c>
      <c r="S7991">
        <v>2.8259280000000001E-2</v>
      </c>
      <c r="T7991">
        <v>-9.1676710000000005E-3</v>
      </c>
      <c r="U7991">
        <v>3.0881959999999999</v>
      </c>
      <c r="V7991">
        <v>-5.3929629999999999E-2</v>
      </c>
      <c r="W7991">
        <v>0.23660400000000001</v>
      </c>
      <c r="X7991">
        <v>0.97010830000000003</v>
      </c>
      <c r="Y7991">
        <v>4.8909019999999999E-3</v>
      </c>
      <c r="Z7991">
        <v>5.9323989999999997E-3</v>
      </c>
      <c r="AA7991">
        <v>0.99997040000000004</v>
      </c>
      <c r="AB7991">
        <v>32</v>
      </c>
      <c r="AC7991">
        <v>3.1972</v>
      </c>
      <c r="AD7991">
        <v>-1.0375686200000001</v>
      </c>
      <c r="AE7991">
        <v>349.203589999999</v>
      </c>
      <c r="AF7991">
        <v>1.7098517956872199</v>
      </c>
      <c r="AG7991">
        <v>-1.0375686200000001</v>
      </c>
      <c r="AH7991">
        <v>349.21095729485899</v>
      </c>
      <c r="AI7991">
        <v>90.170233533961806</v>
      </c>
      <c r="AJ7991">
        <v>89.719463245468205</v>
      </c>
      <c r="AK7991">
        <v>349.21668464807902</v>
      </c>
      <c r="AL7991">
        <v>76.313807839690995</v>
      </c>
      <c r="AM7991">
        <v>93.181874673491805</v>
      </c>
      <c r="AN7991">
        <v>0.99999998576841298</v>
      </c>
    </row>
    <row r="7992" spans="1:40" x14ac:dyDescent="0.25">
      <c r="A7992" t="str">
        <f>"20190304154950350"</f>
        <v>20190304154950350</v>
      </c>
      <c r="B7992" t="str">
        <f>"1551685790344863"</f>
        <v>1551685790344863</v>
      </c>
      <c r="C7992" t="s">
        <v>40</v>
      </c>
      <c r="D7992">
        <v>4.5305359999999997</v>
      </c>
      <c r="E7992">
        <v>0.52109519999999998</v>
      </c>
      <c r="F7992" t="s">
        <v>51</v>
      </c>
      <c r="G7992">
        <v>-184.2439</v>
      </c>
      <c r="H7992">
        <v>0.2277412</v>
      </c>
      <c r="I7992">
        <v>391.87</v>
      </c>
      <c r="J7992">
        <v>-187.44149999999999</v>
      </c>
      <c r="K7992">
        <v>1.1107100000000001</v>
      </c>
      <c r="L7992">
        <v>42.977110000000003</v>
      </c>
      <c r="M7992">
        <v>3.8844449999999998E-3</v>
      </c>
      <c r="N7992">
        <v>-8.9062310000000006E-3</v>
      </c>
      <c r="O7992">
        <v>0.99995279999999998</v>
      </c>
      <c r="P7992">
        <v>-5.0590250000000003E-2</v>
      </c>
      <c r="Q7992">
        <v>0.22876179999999999</v>
      </c>
      <c r="R7992">
        <v>0.972167</v>
      </c>
      <c r="S7992">
        <v>2.8289789999999999E-2</v>
      </c>
      <c r="T7992">
        <v>-7.8091619999999997E-3</v>
      </c>
      <c r="U7992">
        <v>3.0884399999999999</v>
      </c>
      <c r="V7992">
        <v>-5.4540850000000002E-2</v>
      </c>
      <c r="W7992">
        <v>0.2373692</v>
      </c>
      <c r="X7992">
        <v>0.96988719999999995</v>
      </c>
      <c r="Y7992">
        <v>5.2745539999999999E-3</v>
      </c>
      <c r="Z7992">
        <v>6.3777390000000003E-3</v>
      </c>
      <c r="AA7992">
        <v>0.99996569999999996</v>
      </c>
      <c r="AB7992">
        <v>32</v>
      </c>
      <c r="AC7992">
        <v>3.1975999999999898</v>
      </c>
      <c r="AD7992">
        <v>-0.8829688</v>
      </c>
      <c r="AE7992">
        <v>348.892889999999</v>
      </c>
      <c r="AF7992">
        <v>1.84225508836607</v>
      </c>
      <c r="AG7992">
        <v>-0.8829688</v>
      </c>
      <c r="AH7992">
        <v>348.90044451344102</v>
      </c>
      <c r="AI7992">
        <v>90.1449971568058</v>
      </c>
      <c r="AJ7992">
        <v>89.697471120847098</v>
      </c>
      <c r="AK7992">
        <v>348.906425448699</v>
      </c>
      <c r="AL7992">
        <v>76.268679887798797</v>
      </c>
      <c r="AM7992">
        <v>93.218593609748396</v>
      </c>
      <c r="AN7992">
        <v>1.0000000110756</v>
      </c>
    </row>
    <row r="7993" spans="1:40" x14ac:dyDescent="0.25">
      <c r="A7993" t="str">
        <f>"20190304154950364"</f>
        <v>20190304154950364</v>
      </c>
      <c r="B7993" t="str">
        <f>"1551685790355600"</f>
        <v>1551685790355600</v>
      </c>
      <c r="C7993" t="s">
        <v>40</v>
      </c>
      <c r="D7993">
        <v>4.5390689999999996</v>
      </c>
      <c r="E7993">
        <v>0.52112230000000004</v>
      </c>
      <c r="F7993" t="s">
        <v>51</v>
      </c>
      <c r="G7993">
        <v>-184.5043</v>
      </c>
      <c r="H7993">
        <v>0.54455569999999998</v>
      </c>
      <c r="I7993">
        <v>391.87</v>
      </c>
      <c r="J7993">
        <v>-187.441</v>
      </c>
      <c r="K7993">
        <v>1.110716</v>
      </c>
      <c r="L7993">
        <v>43.185090000000002</v>
      </c>
      <c r="M7993">
        <v>3.634394E-3</v>
      </c>
      <c r="N7993">
        <v>-8.9099100000000001E-3</v>
      </c>
      <c r="O7993">
        <v>0.99995369999999995</v>
      </c>
      <c r="P7993">
        <v>-5.1522859999999997E-2</v>
      </c>
      <c r="Q7993">
        <v>0.22895860000000001</v>
      </c>
      <c r="R7993">
        <v>0.97207169999999998</v>
      </c>
      <c r="S7993">
        <v>2.600098E-2</v>
      </c>
      <c r="T7993">
        <v>-5.0116780000000003E-3</v>
      </c>
      <c r="U7993">
        <v>3.0884399999999999</v>
      </c>
      <c r="V7993">
        <v>-5.5231790000000003E-2</v>
      </c>
      <c r="W7993">
        <v>0.2375679</v>
      </c>
      <c r="X7993">
        <v>0.96979939999999998</v>
      </c>
      <c r="Y7993">
        <v>4.7835949999999999E-3</v>
      </c>
      <c r="Z7993">
        <v>7.2871630000000001E-3</v>
      </c>
      <c r="AA7993">
        <v>0.99996200000000002</v>
      </c>
      <c r="AB7993">
        <v>32</v>
      </c>
      <c r="AC7993">
        <v>2.9366999999999699</v>
      </c>
      <c r="AD7993">
        <v>-0.56616029999999995</v>
      </c>
      <c r="AE7993">
        <v>348.68491</v>
      </c>
      <c r="AF7993">
        <v>1.6693675514053601</v>
      </c>
      <c r="AG7993">
        <v>-0.56616029999999995</v>
      </c>
      <c r="AH7993">
        <v>348.69236127013198</v>
      </c>
      <c r="AI7993">
        <v>90.093028121840902</v>
      </c>
      <c r="AJ7993">
        <v>89.725698079369295</v>
      </c>
      <c r="AK7993">
        <v>348.696816925029</v>
      </c>
      <c r="AL7993">
        <v>76.256959353181898</v>
      </c>
      <c r="AM7993">
        <v>93.259574811684701</v>
      </c>
      <c r="AN7993">
        <v>0.99999996698868598</v>
      </c>
    </row>
    <row r="7994" spans="1:40" x14ac:dyDescent="0.25">
      <c r="A7994" t="str">
        <f>"20190304154950384"</f>
        <v>20190304154950384</v>
      </c>
      <c r="B7994" t="str">
        <f>"1551685790375119"</f>
        <v>1551685790375119</v>
      </c>
      <c r="C7994" t="s">
        <v>40</v>
      </c>
      <c r="D7994">
        <v>4.5493399999999999</v>
      </c>
      <c r="E7994">
        <v>0.52119399999999905</v>
      </c>
      <c r="F7994" t="s">
        <v>51</v>
      </c>
      <c r="G7994">
        <v>-184.83109999999999</v>
      </c>
      <c r="H7994">
        <v>0.61753459999999905</v>
      </c>
      <c r="I7994">
        <v>391.87</v>
      </c>
      <c r="J7994">
        <v>-187.44030000000001</v>
      </c>
      <c r="K7994">
        <v>1.1107180000000001</v>
      </c>
      <c r="L7994">
        <v>43.474299999999999</v>
      </c>
      <c r="M7994">
        <v>3.2875880000000001E-3</v>
      </c>
      <c r="N7994">
        <v>-8.9151279999999996E-3</v>
      </c>
      <c r="O7994">
        <v>0.99995489999999998</v>
      </c>
      <c r="P7994">
        <v>-5.2346160000000003E-2</v>
      </c>
      <c r="Q7994">
        <v>0.22843430000000001</v>
      </c>
      <c r="R7994">
        <v>0.97215099999999999</v>
      </c>
      <c r="S7994">
        <v>2.311707E-2</v>
      </c>
      <c r="T7994">
        <v>-4.3683050000000003E-3</v>
      </c>
      <c r="U7994">
        <v>3.0884399999999999</v>
      </c>
      <c r="V7994">
        <v>-5.5719989999999997E-2</v>
      </c>
      <c r="W7994">
        <v>0.23704910000000001</v>
      </c>
      <c r="X7994">
        <v>0.9698985</v>
      </c>
      <c r="Y7994">
        <v>4.19675E-3</v>
      </c>
      <c r="Z7994">
        <v>7.5006999999999999E-3</v>
      </c>
      <c r="AA7994">
        <v>0.99996300000000005</v>
      </c>
      <c r="AB7994">
        <v>32</v>
      </c>
      <c r="AC7994">
        <v>2.6092000000000102</v>
      </c>
      <c r="AD7994">
        <v>-0.49318339999999999</v>
      </c>
      <c r="AE7994">
        <v>348.39569999999998</v>
      </c>
      <c r="AF7994">
        <v>1.46375597435048</v>
      </c>
      <c r="AG7994">
        <v>-0.49318339999999999</v>
      </c>
      <c r="AH7994">
        <v>348.40169727386098</v>
      </c>
      <c r="AI7994">
        <v>90.081104826145705</v>
      </c>
      <c r="AJ7994">
        <v>89.759282039167601</v>
      </c>
      <c r="AK7994">
        <v>348.40512119474602</v>
      </c>
      <c r="AL7994">
        <v>76.287559603979602</v>
      </c>
      <c r="AM7994">
        <v>93.287988360419007</v>
      </c>
      <c r="AN7994">
        <v>1.00000004669932</v>
      </c>
    </row>
    <row r="7995" spans="1:40" x14ac:dyDescent="0.25">
      <c r="A7995" t="str">
        <f>"20190304154950407"</f>
        <v>20190304154950407</v>
      </c>
      <c r="B7995" t="str">
        <f>"1551685790405375"</f>
        <v>1551685790405375</v>
      </c>
      <c r="C7995" t="s">
        <v>40</v>
      </c>
      <c r="D7995">
        <v>4.5872580000000003</v>
      </c>
      <c r="E7995">
        <v>0.52131539999999998</v>
      </c>
      <c r="F7995" t="s">
        <v>51</v>
      </c>
      <c r="G7995">
        <v>-185.01150000000001</v>
      </c>
      <c r="H7995">
        <v>0.47387309999999999</v>
      </c>
      <c r="I7995">
        <v>391.87</v>
      </c>
      <c r="J7995">
        <v>-187.43960000000001</v>
      </c>
      <c r="K7995">
        <v>1.110716</v>
      </c>
      <c r="L7995">
        <v>43.800170000000001</v>
      </c>
      <c r="M7995">
        <v>2.8981889999999998E-3</v>
      </c>
      <c r="N7995">
        <v>-8.9211429999999994E-3</v>
      </c>
      <c r="O7995">
        <v>0.99995599999999996</v>
      </c>
      <c r="P7995">
        <v>-5.3686150000000002E-2</v>
      </c>
      <c r="Q7995">
        <v>0.2267546</v>
      </c>
      <c r="R7995">
        <v>0.97247119999999998</v>
      </c>
      <c r="S7995">
        <v>2.1530150000000001E-2</v>
      </c>
      <c r="T7995">
        <v>-5.6455139999999999E-3</v>
      </c>
      <c r="U7995">
        <v>3.0884399999999999</v>
      </c>
      <c r="V7995">
        <v>-5.6682980000000001E-2</v>
      </c>
      <c r="W7995">
        <v>0.2353769</v>
      </c>
      <c r="X7995">
        <v>0.97024980000000005</v>
      </c>
      <c r="Y7995">
        <v>4.0724029999999996E-3</v>
      </c>
      <c r="Z7995">
        <v>7.0932060000000003E-3</v>
      </c>
      <c r="AA7995">
        <v>0.99996660000000004</v>
      </c>
      <c r="AB7995">
        <v>32</v>
      </c>
      <c r="AC7995">
        <v>2.4281000000000001</v>
      </c>
      <c r="AD7995">
        <v>-0.63684289999999999</v>
      </c>
      <c r="AE7995">
        <v>348.069829999999</v>
      </c>
      <c r="AF7995">
        <v>1.4192727475043201</v>
      </c>
      <c r="AG7995">
        <v>-0.63684289999999999</v>
      </c>
      <c r="AH7995">
        <v>348.07424029511401</v>
      </c>
      <c r="AI7995">
        <v>90.104828401876304</v>
      </c>
      <c r="AJ7995">
        <v>89.766377748381899</v>
      </c>
      <c r="AK7995">
        <v>348.07771640975801</v>
      </c>
      <c r="AL7995">
        <v>76.386158669750799</v>
      </c>
      <c r="AM7995">
        <v>93.343477381472397</v>
      </c>
      <c r="AN7995">
        <v>0.99999995983766399</v>
      </c>
    </row>
    <row r="7996" spans="1:40" x14ac:dyDescent="0.25">
      <c r="A7996" t="str">
        <f>"20190304154950421"</f>
        <v>20190304154950421</v>
      </c>
      <c r="B7996" t="str">
        <f>"1551685790415135"</f>
        <v>1551685790415135</v>
      </c>
      <c r="C7996" t="s">
        <v>40</v>
      </c>
      <c r="D7996">
        <v>4.5522790000000004</v>
      </c>
      <c r="E7996">
        <v>0.52135019999999999</v>
      </c>
      <c r="F7996" t="s">
        <v>53</v>
      </c>
      <c r="G7996">
        <v>-185.49090000000001</v>
      </c>
      <c r="H7996" s="1">
        <v>-2.4466200000000001E-6</v>
      </c>
      <c r="I7996">
        <v>352.67540000000002</v>
      </c>
      <c r="J7996">
        <v>-187.4392</v>
      </c>
      <c r="K7996">
        <v>1.110716</v>
      </c>
      <c r="L7996">
        <v>43.999420000000001</v>
      </c>
      <c r="M7996">
        <v>2.6604649999999999E-3</v>
      </c>
      <c r="N7996">
        <v>-8.9248899999999996E-3</v>
      </c>
      <c r="O7996">
        <v>0.99995659999999997</v>
      </c>
      <c r="P7996">
        <v>-5.4099370000000001E-2</v>
      </c>
      <c r="Q7996">
        <v>0.2263155</v>
      </c>
      <c r="R7996">
        <v>0.97255060000000004</v>
      </c>
      <c r="S7996">
        <v>1.9485470000000001E-2</v>
      </c>
      <c r="T7996">
        <v>-1.1106609999999999E-2</v>
      </c>
      <c r="U7996">
        <v>3.0885929999999999</v>
      </c>
      <c r="V7996">
        <v>-5.6865869999999999E-2</v>
      </c>
      <c r="W7996">
        <v>0.2349417</v>
      </c>
      <c r="X7996">
        <v>0.9703446</v>
      </c>
      <c r="Y7996">
        <v>3.6478930000000001E-3</v>
      </c>
      <c r="Z7996">
        <v>5.3289820000000003E-3</v>
      </c>
      <c r="AA7996">
        <v>0.99997910000000001</v>
      </c>
      <c r="AB7996">
        <v>32</v>
      </c>
      <c r="AC7996">
        <v>1.9482999999999799</v>
      </c>
      <c r="AD7996">
        <v>-1.11071844662</v>
      </c>
      <c r="AE7996">
        <v>308.67597999999998</v>
      </c>
      <c r="AF7996">
        <v>1.1270241352182599</v>
      </c>
      <c r="AG7996">
        <v>-1.11071844662</v>
      </c>
      <c r="AH7996">
        <v>308.67607451085701</v>
      </c>
      <c r="AI7996">
        <v>90.206166870811103</v>
      </c>
      <c r="AJ7996">
        <v>89.790805168429799</v>
      </c>
      <c r="AK7996">
        <v>308.680130319885</v>
      </c>
      <c r="AL7996">
        <v>76.411813593675703</v>
      </c>
      <c r="AM7996">
        <v>93.353913706787495</v>
      </c>
      <c r="AN7996">
        <v>0.99999998615945296</v>
      </c>
    </row>
    <row r="7997" spans="1:40" x14ac:dyDescent="0.25">
      <c r="A7997" t="str">
        <f>"20190304154950439"</f>
        <v>20190304154950439</v>
      </c>
      <c r="B7997" t="str">
        <f>"1551685790435630"</f>
        <v>1551685790435630</v>
      </c>
      <c r="C7997" t="s">
        <v>40</v>
      </c>
      <c r="D7997">
        <v>4.5534809999999997</v>
      </c>
      <c r="E7997">
        <v>0.52146049999999999</v>
      </c>
      <c r="F7997" t="s">
        <v>44</v>
      </c>
      <c r="G7997">
        <v>-185.7269</v>
      </c>
      <c r="H7997" s="1">
        <v>-2.3756230000000002E-6</v>
      </c>
      <c r="I7997">
        <v>323.28789999999998</v>
      </c>
      <c r="J7997">
        <v>-187.43879999999999</v>
      </c>
      <c r="K7997">
        <v>1.110711</v>
      </c>
      <c r="L7997">
        <v>44.265320000000003</v>
      </c>
      <c r="M7997">
        <v>2.3434979999999998E-3</v>
      </c>
      <c r="N7997">
        <v>-8.9299529999999992E-3</v>
      </c>
      <c r="O7997">
        <v>0.9999574</v>
      </c>
      <c r="P7997">
        <v>-5.4692919999999999E-2</v>
      </c>
      <c r="Q7997">
        <v>0.22614899999999999</v>
      </c>
      <c r="R7997">
        <v>0.97255610000000003</v>
      </c>
      <c r="S7997">
        <v>1.893616E-2</v>
      </c>
      <c r="T7997">
        <v>-1.2283209999999999E-2</v>
      </c>
      <c r="U7997">
        <v>3.0885929999999999</v>
      </c>
      <c r="V7997">
        <v>-5.7151800000000003E-2</v>
      </c>
      <c r="W7997">
        <v>0.23477999999999999</v>
      </c>
      <c r="X7997">
        <v>0.97036699999999998</v>
      </c>
      <c r="Y7997">
        <v>3.7870260000000002E-3</v>
      </c>
      <c r="Z7997">
        <v>4.9531189999999998E-3</v>
      </c>
      <c r="AA7997">
        <v>0.9999806</v>
      </c>
      <c r="AB7997">
        <v>32</v>
      </c>
      <c r="AC7997">
        <v>1.71189999999998</v>
      </c>
      <c r="AD7997">
        <v>-1.1107133756229901</v>
      </c>
      <c r="AE7997">
        <v>279.02257999999898</v>
      </c>
      <c r="AF7997">
        <v>1.05796361543589</v>
      </c>
      <c r="AG7997">
        <v>-1.1107133756229901</v>
      </c>
      <c r="AH7997">
        <v>279.02140447408902</v>
      </c>
      <c r="AI7997">
        <v>90.228077108240001</v>
      </c>
      <c r="AJ7997">
        <v>89.782753012569998</v>
      </c>
      <c r="AK7997">
        <v>279.02562091303997</v>
      </c>
      <c r="AL7997">
        <v>76.421345745634397</v>
      </c>
      <c r="AM7997">
        <v>93.3706612624933</v>
      </c>
      <c r="AN7997">
        <v>1.00000004566611</v>
      </c>
    </row>
    <row r="7998" spans="1:40" x14ac:dyDescent="0.25">
      <c r="A7998" t="str">
        <f>"20190304154950462"</f>
        <v>20190304154950462</v>
      </c>
      <c r="B7998" t="str">
        <f>"1551685790455151"</f>
        <v>1551685790455151</v>
      </c>
      <c r="C7998" t="s">
        <v>40</v>
      </c>
      <c r="D7998">
        <v>4.5876979999999996</v>
      </c>
      <c r="E7998">
        <v>0.52152279999999995</v>
      </c>
      <c r="F7998" t="s">
        <v>44</v>
      </c>
      <c r="G7998">
        <v>-185.83349999999999</v>
      </c>
      <c r="H7998" s="1">
        <v>-4.4827320000000003E-6</v>
      </c>
      <c r="I7998">
        <v>317.55090000000001</v>
      </c>
      <c r="J7998">
        <v>-187.4384</v>
      </c>
      <c r="K7998">
        <v>1.110711</v>
      </c>
      <c r="L7998">
        <v>44.611510000000003</v>
      </c>
      <c r="M7998">
        <v>1.9309749999999999E-3</v>
      </c>
      <c r="N7998">
        <v>-8.9366510000000003E-3</v>
      </c>
      <c r="O7998">
        <v>0.99995820000000002</v>
      </c>
      <c r="P7998">
        <v>-5.4344660000000003E-2</v>
      </c>
      <c r="Q7998">
        <v>0.2267188</v>
      </c>
      <c r="R7998">
        <v>0.9724429</v>
      </c>
      <c r="S7998">
        <v>1.8142700000000001E-2</v>
      </c>
      <c r="T7998">
        <v>-1.255298E-2</v>
      </c>
      <c r="U7998">
        <v>3.0885929999999999</v>
      </c>
      <c r="V7998">
        <v>-5.6403830000000002E-2</v>
      </c>
      <c r="W7998">
        <v>0.2353556</v>
      </c>
      <c r="X7998">
        <v>0.97027129999999995</v>
      </c>
      <c r="Y7998">
        <v>3.9426699999999997E-3</v>
      </c>
      <c r="Z7998">
        <v>4.872482E-3</v>
      </c>
      <c r="AA7998">
        <v>0.99998030000000004</v>
      </c>
      <c r="AB7998">
        <v>32</v>
      </c>
      <c r="AC7998">
        <v>1.60490000000001</v>
      </c>
      <c r="AD7998">
        <v>-1.110715482732</v>
      </c>
      <c r="AE7998">
        <v>272.93939</v>
      </c>
      <c r="AF7998">
        <v>1.0778189720311699</v>
      </c>
      <c r="AG7998">
        <v>-1.110715482732</v>
      </c>
      <c r="AH7998">
        <v>272.93746043254299</v>
      </c>
      <c r="AI7998">
        <v>90.233161332299403</v>
      </c>
      <c r="AJ7998">
        <v>89.773742464386899</v>
      </c>
      <c r="AK7998">
        <v>272.94184855017397</v>
      </c>
      <c r="AL7998">
        <v>76.387415222936895</v>
      </c>
      <c r="AM7998">
        <v>93.326975084621296</v>
      </c>
      <c r="AN7998">
        <v>1.00000002304685</v>
      </c>
    </row>
    <row r="7999" spans="1:40" x14ac:dyDescent="0.25">
      <c r="A7999" t="str">
        <f>"20190304154950485"</f>
        <v>20190304154950485</v>
      </c>
      <c r="B7999" t="str">
        <f>"1551685790475646"</f>
        <v>1551685790475646</v>
      </c>
      <c r="C7999" t="s">
        <v>40</v>
      </c>
      <c r="D7999">
        <v>5.155341</v>
      </c>
      <c r="E7999">
        <v>0.52153830000000001</v>
      </c>
      <c r="F7999" t="s">
        <v>44</v>
      </c>
      <c r="G7999">
        <v>-185.71180000000001</v>
      </c>
      <c r="H7999" s="1">
        <v>-4.0046389999999998E-6</v>
      </c>
      <c r="I7999">
        <v>347.19459999999998</v>
      </c>
      <c r="J7999">
        <v>-187.43809999999999</v>
      </c>
      <c r="K7999">
        <v>1.1107049999999901</v>
      </c>
      <c r="L7999">
        <v>44.927549999999997</v>
      </c>
      <c r="M7999">
        <v>1.5546360000000001E-3</v>
      </c>
      <c r="N7999">
        <v>-8.9428749999999994E-3</v>
      </c>
      <c r="O7999">
        <v>0.99995880000000004</v>
      </c>
      <c r="P7999">
        <v>-5.3181300000000001E-2</v>
      </c>
      <c r="Q7999">
        <v>0.2269128</v>
      </c>
      <c r="R7999">
        <v>0.97246200000000005</v>
      </c>
      <c r="S7999">
        <v>1.7623900000000001E-2</v>
      </c>
      <c r="T7999">
        <v>-1.1337760000000001E-2</v>
      </c>
      <c r="U7999">
        <v>3.088654</v>
      </c>
      <c r="V7999">
        <v>-5.4875599999999997E-2</v>
      </c>
      <c r="W7999">
        <v>0.23555760000000001</v>
      </c>
      <c r="X7999">
        <v>0.97030989999999995</v>
      </c>
      <c r="Y7999">
        <v>4.1509279999999999E-3</v>
      </c>
      <c r="Z7999">
        <v>5.2722219999999896E-3</v>
      </c>
      <c r="AA7999">
        <v>0.99997749999999996</v>
      </c>
      <c r="AB7999">
        <v>32</v>
      </c>
      <c r="AC7999">
        <v>1.72629999999998</v>
      </c>
      <c r="AD7999">
        <v>-1.11070900463899</v>
      </c>
      <c r="AE7999">
        <v>302.26704999999998</v>
      </c>
      <c r="AF7999">
        <v>1.25634691932005</v>
      </c>
      <c r="AG7999">
        <v>-1.11070900463899</v>
      </c>
      <c r="AH7999">
        <v>302.26528732356201</v>
      </c>
      <c r="AI7999">
        <v>90.210537249136905</v>
      </c>
      <c r="AJ7999">
        <v>89.761855017507003</v>
      </c>
      <c r="AK7999">
        <v>302.26993896659701</v>
      </c>
      <c r="AL7999">
        <v>76.375506459045795</v>
      </c>
      <c r="AM7999">
        <v>93.236898424114301</v>
      </c>
      <c r="AN7999">
        <v>1.00000000821556</v>
      </c>
    </row>
    <row r="8000" spans="1:40" x14ac:dyDescent="0.25">
      <c r="A8000" t="str">
        <f>"20190304154950507"</f>
        <v>20190304154950507</v>
      </c>
      <c r="B8000" t="str">
        <f>"1551685790504926"</f>
        <v>1551685790504926</v>
      </c>
      <c r="C8000" t="s">
        <v>40</v>
      </c>
      <c r="D8000">
        <v>4.5122049999999998</v>
      </c>
      <c r="E8000">
        <v>0.56306990000000001</v>
      </c>
      <c r="F8000" t="s">
        <v>53</v>
      </c>
      <c r="G8000">
        <v>-185.37989999999999</v>
      </c>
      <c r="H8000" s="1">
        <v>-3.907803E-6</v>
      </c>
      <c r="I8000">
        <v>355.61009999999999</v>
      </c>
      <c r="J8000">
        <v>-187.43799999999999</v>
      </c>
      <c r="K8000">
        <v>1.110706</v>
      </c>
      <c r="L8000">
        <v>45.257750000000001</v>
      </c>
      <c r="M8000">
        <v>1.1613939999999901E-3</v>
      </c>
      <c r="N8000">
        <v>-8.9494599999999994E-3</v>
      </c>
      <c r="O8000">
        <v>0.9999593</v>
      </c>
      <c r="P8000">
        <v>-5.167041E-2</v>
      </c>
      <c r="Q8000">
        <v>0.2270131</v>
      </c>
      <c r="R8000">
        <v>0.9725201</v>
      </c>
      <c r="S8000">
        <v>2.0462040000000001E-2</v>
      </c>
      <c r="T8000">
        <v>-1.1042120000000001E-2</v>
      </c>
      <c r="U8000">
        <v>3.088654</v>
      </c>
      <c r="V8000">
        <v>-5.298311E-2</v>
      </c>
      <c r="W8000">
        <v>0.2356656</v>
      </c>
      <c r="X8000">
        <v>0.97038880000000005</v>
      </c>
      <c r="Y8000">
        <v>5.4629379999999996E-3</v>
      </c>
      <c r="Z8000">
        <v>5.374546E-3</v>
      </c>
      <c r="AA8000">
        <v>0.99997060000000004</v>
      </c>
      <c r="AB8000">
        <v>32</v>
      </c>
      <c r="AC8000">
        <v>2.0580999999999898</v>
      </c>
      <c r="AD8000">
        <v>-1.1107099078030001</v>
      </c>
      <c r="AE8000">
        <v>310.35235</v>
      </c>
      <c r="AF8000">
        <v>1.69762108457989</v>
      </c>
      <c r="AG8000">
        <v>-1.1107099078030001</v>
      </c>
      <c r="AH8000">
        <v>310.35055615092398</v>
      </c>
      <c r="AI8000">
        <v>90.205051239566203</v>
      </c>
      <c r="AJ8000">
        <v>89.686594557851294</v>
      </c>
      <c r="AK8000">
        <v>310.35718663667802</v>
      </c>
      <c r="AL8000">
        <v>76.369138508754205</v>
      </c>
      <c r="AM8000">
        <v>93.125239431842701</v>
      </c>
      <c r="AN8000">
        <v>0.99999995406703501</v>
      </c>
    </row>
    <row r="8001" spans="1:40" x14ac:dyDescent="0.25">
      <c r="A8001" t="str">
        <f>"20190304154950529"</f>
        <v>20190304154950529</v>
      </c>
      <c r="B8001" t="str">
        <f>"1551685790525423"</f>
        <v>1551685790525423</v>
      </c>
      <c r="C8001" t="s">
        <v>40</v>
      </c>
      <c r="D8001">
        <v>4.570595</v>
      </c>
      <c r="E8001">
        <v>0.56756390000000001</v>
      </c>
      <c r="F8001" t="s">
        <v>70</v>
      </c>
      <c r="G8001">
        <v>-168.75389999999999</v>
      </c>
      <c r="H8001">
        <v>1.5701160000000001</v>
      </c>
      <c r="I8001">
        <v>208.2149</v>
      </c>
      <c r="J8001">
        <v>-187.43799999999999</v>
      </c>
      <c r="K8001">
        <v>1.1107100000000001</v>
      </c>
      <c r="L8001">
        <v>45.560090000000002</v>
      </c>
      <c r="M8001">
        <v>8.0150000000000002E-4</v>
      </c>
      <c r="N8001">
        <v>-8.9555190000000003E-3</v>
      </c>
      <c r="O8001">
        <v>0.99995959999999995</v>
      </c>
      <c r="P8001">
        <v>-4.9831680000000003E-2</v>
      </c>
      <c r="Q8001">
        <v>0.22870679999999999</v>
      </c>
      <c r="R8001">
        <v>0.9722191</v>
      </c>
      <c r="S8001">
        <v>0.35562129999999997</v>
      </c>
      <c r="T8001">
        <v>8.7448360000000006E-3</v>
      </c>
      <c r="U8001">
        <v>3.1016240000000002</v>
      </c>
      <c r="V8001">
        <v>-5.0796290000000001E-2</v>
      </c>
      <c r="W8001">
        <v>0.23736460000000001</v>
      </c>
      <c r="X8001">
        <v>0.97009160000000005</v>
      </c>
      <c r="Y8001">
        <v>0.11310290000000001</v>
      </c>
      <c r="Z8001">
        <v>1.175616E-2</v>
      </c>
      <c r="AA8001">
        <v>0.99351369999999894</v>
      </c>
      <c r="AB8001">
        <v>33</v>
      </c>
      <c r="AC8001">
        <v>18.684100000000001</v>
      </c>
      <c r="AD8001">
        <v>0.45940599999999998</v>
      </c>
      <c r="AE8001">
        <v>162.65481</v>
      </c>
      <c r="AF8001">
        <v>18.5535748616478</v>
      </c>
      <c r="AG8001">
        <v>0.45940599999999998</v>
      </c>
      <c r="AH8001">
        <v>162.668452891268</v>
      </c>
      <c r="AI8001">
        <v>89.8392288427887</v>
      </c>
      <c r="AJ8001">
        <v>83.493099525186096</v>
      </c>
      <c r="AK8001">
        <v>163.72376663166</v>
      </c>
      <c r="AL8001">
        <v>76.268950549084494</v>
      </c>
      <c r="AM8001">
        <v>92.997405048165405</v>
      </c>
      <c r="AN8001">
        <v>0.99999996440074101</v>
      </c>
    </row>
    <row r="8002" spans="1:40" x14ac:dyDescent="0.25">
      <c r="A8002" t="str">
        <f>"20190304154950551"</f>
        <v>20190304154950551</v>
      </c>
      <c r="B8002" t="str">
        <f>"1551685790544943"</f>
        <v>1551685790544943</v>
      </c>
      <c r="C8002" t="s">
        <v>40</v>
      </c>
      <c r="D8002">
        <v>4.544276</v>
      </c>
      <c r="E8002">
        <v>0.56914670000000001</v>
      </c>
      <c r="F8002" t="s">
        <v>70</v>
      </c>
      <c r="G8002">
        <v>-169.4008</v>
      </c>
      <c r="H8002">
        <v>2.7924509999999998</v>
      </c>
      <c r="I8002">
        <v>186.21430000000001</v>
      </c>
      <c r="J8002">
        <v>-187.43809999999999</v>
      </c>
      <c r="K8002">
        <v>1.1107229999999999</v>
      </c>
      <c r="L8002">
        <v>45.892060000000001</v>
      </c>
      <c r="M8002">
        <v>4.0668650000000002E-4</v>
      </c>
      <c r="N8002">
        <v>-8.9621800000000001E-3</v>
      </c>
      <c r="O8002">
        <v>0.99995979999999995</v>
      </c>
      <c r="P8002">
        <v>-4.7229970000000003E-2</v>
      </c>
      <c r="Q8002">
        <v>0.23126379999999999</v>
      </c>
      <c r="R8002">
        <v>0.97174400000000005</v>
      </c>
      <c r="S8002">
        <v>0.39720149999999999</v>
      </c>
      <c r="T8002">
        <v>3.7034749999999998E-2</v>
      </c>
      <c r="U8002">
        <v>3.0973820000000001</v>
      </c>
      <c r="V8002">
        <v>-4.7813359999999999E-2</v>
      </c>
      <c r="W8002">
        <v>0.23992620000000001</v>
      </c>
      <c r="X8002">
        <v>0.96961299999999995</v>
      </c>
      <c r="Y8002">
        <v>0.12676689999999999</v>
      </c>
      <c r="Z8002">
        <v>2.081999E-2</v>
      </c>
      <c r="AA8002">
        <v>0.99171399999999998</v>
      </c>
      <c r="AB8002">
        <v>33</v>
      </c>
      <c r="AC8002">
        <v>18.037299999999899</v>
      </c>
      <c r="AD8002">
        <v>1.6817279999999999</v>
      </c>
      <c r="AE8002">
        <v>140.32223999999999</v>
      </c>
      <c r="AF8002">
        <v>17.9776888159397</v>
      </c>
      <c r="AG8002">
        <v>1.6817279999999999</v>
      </c>
      <c r="AH8002">
        <v>140.30973849046401</v>
      </c>
      <c r="AI8002">
        <v>89.318863479886701</v>
      </c>
      <c r="AJ8002">
        <v>82.698554966839694</v>
      </c>
      <c r="AK8002">
        <v>141.466774259863</v>
      </c>
      <c r="AL8002">
        <v>76.117815816269996</v>
      </c>
      <c r="AM8002">
        <v>92.823071120733701</v>
      </c>
      <c r="AN8002">
        <v>1.00000003430496</v>
      </c>
    </row>
    <row r="8003" spans="1:40" x14ac:dyDescent="0.25">
      <c r="A8003" t="str">
        <f>"20190304154950585"</f>
        <v>20190304154950585</v>
      </c>
      <c r="B8003" t="str">
        <f>"1551685790575198"</f>
        <v>1551685790575198</v>
      </c>
      <c r="C8003" t="s">
        <v>40</v>
      </c>
      <c r="D8003">
        <v>4.5986979999999997</v>
      </c>
      <c r="E8003">
        <v>0.56920780000000004</v>
      </c>
      <c r="F8003" t="s">
        <v>48</v>
      </c>
      <c r="G8003">
        <v>-177.4795</v>
      </c>
      <c r="H8003">
        <v>2.9106429999999999</v>
      </c>
      <c r="I8003">
        <v>119.4883</v>
      </c>
      <c r="J8003">
        <v>-187.4385</v>
      </c>
      <c r="K8003">
        <v>1.110725</v>
      </c>
      <c r="L8003">
        <v>46.394260000000003</v>
      </c>
      <c r="M8003">
        <v>-1.9061720000000001E-4</v>
      </c>
      <c r="N8003">
        <v>-8.9723100000000007E-3</v>
      </c>
      <c r="O8003">
        <v>0.99995970000000001</v>
      </c>
      <c r="P8003">
        <v>-4.4898500000000001E-2</v>
      </c>
      <c r="Q8003">
        <v>0.2321394</v>
      </c>
      <c r="R8003">
        <v>0.97164569999999995</v>
      </c>
      <c r="S8003">
        <v>0.4180603</v>
      </c>
      <c r="T8003">
        <v>7.5560569999999994E-2</v>
      </c>
      <c r="U8003">
        <v>3.089569</v>
      </c>
      <c r="V8003">
        <v>-4.4903619999999998E-2</v>
      </c>
      <c r="W8003">
        <v>0.24081259999999999</v>
      </c>
      <c r="X8003">
        <v>0.96953230000000001</v>
      </c>
      <c r="Y8003">
        <v>0.13421559999999999</v>
      </c>
      <c r="Z8003">
        <v>3.3197190000000001E-2</v>
      </c>
      <c r="AA8003">
        <v>0.99039600000000005</v>
      </c>
      <c r="AB8003">
        <v>33</v>
      </c>
      <c r="AC8003">
        <v>9.9589999999999996</v>
      </c>
      <c r="AD8003">
        <v>1.7999179999999999</v>
      </c>
      <c r="AE8003">
        <v>73.094040000000007</v>
      </c>
      <c r="AF8003">
        <v>9.9669997692127392</v>
      </c>
      <c r="AG8003">
        <v>1.7999179999999999</v>
      </c>
      <c r="AH8003">
        <v>73.048652636031804</v>
      </c>
      <c r="AI8003">
        <v>88.601471026721896</v>
      </c>
      <c r="AJ8003">
        <v>82.230352546692203</v>
      </c>
      <c r="AK8003">
        <v>73.747450404375698</v>
      </c>
      <c r="AL8003">
        <v>76.065493837826295</v>
      </c>
      <c r="AM8003">
        <v>92.651743201898896</v>
      </c>
      <c r="AN8003">
        <v>0.99999996207557595</v>
      </c>
    </row>
    <row r="8004" spans="1:40" x14ac:dyDescent="0.25">
      <c r="A8004" t="str">
        <f>"20190304154950606"</f>
        <v>20190304154950606</v>
      </c>
      <c r="B8004" t="str">
        <f>"1551685790594722"</f>
        <v>1551685790594722</v>
      </c>
      <c r="C8004" t="s">
        <v>40</v>
      </c>
      <c r="D8004">
        <v>4.6723019999999904</v>
      </c>
      <c r="E8004">
        <v>0.56909330000000002</v>
      </c>
      <c r="F8004" t="s">
        <v>70</v>
      </c>
      <c r="G8004">
        <v>-168.4194</v>
      </c>
      <c r="H8004">
        <v>4.5275639999999999</v>
      </c>
      <c r="I8004">
        <v>184.07320000000001</v>
      </c>
      <c r="J8004">
        <v>-187.43889999999999</v>
      </c>
      <c r="K8004">
        <v>1.1107279999999999</v>
      </c>
      <c r="L8004">
        <v>46.704740000000001</v>
      </c>
      <c r="M8004">
        <v>-5.5985249999999996E-4</v>
      </c>
      <c r="N8004">
        <v>-8.9785939999999995E-3</v>
      </c>
      <c r="O8004">
        <v>0.9999595</v>
      </c>
      <c r="P8004">
        <v>-4.4291249999999997E-2</v>
      </c>
      <c r="Q8004">
        <v>0.23252220000000001</v>
      </c>
      <c r="R8004">
        <v>0.9715821</v>
      </c>
      <c r="S8004">
        <v>0.42671199999999998</v>
      </c>
      <c r="T8004">
        <v>7.6660629999999994E-2</v>
      </c>
      <c r="U8004">
        <v>3.088959</v>
      </c>
      <c r="V8004">
        <v>-4.3938079999999997E-2</v>
      </c>
      <c r="W8004">
        <v>0.24120179999999999</v>
      </c>
      <c r="X8004">
        <v>0.96947989999999995</v>
      </c>
      <c r="Y8004">
        <v>0.1373287</v>
      </c>
      <c r="Z8004">
        <v>3.3551020000000001E-2</v>
      </c>
      <c r="AA8004">
        <v>0.98995719999999998</v>
      </c>
      <c r="AB8004">
        <v>33</v>
      </c>
      <c r="AC8004">
        <v>19.019499999999901</v>
      </c>
      <c r="AD8004">
        <v>3.416836</v>
      </c>
      <c r="AE8004">
        <v>137.36846</v>
      </c>
      <c r="AF8004">
        <v>19.084820675131098</v>
      </c>
      <c r="AG8004">
        <v>3.416836</v>
      </c>
      <c r="AH8004">
        <v>137.27445687663899</v>
      </c>
      <c r="AI8004">
        <v>88.587748648374799</v>
      </c>
      <c r="AJ8004">
        <v>82.085088446913005</v>
      </c>
      <c r="AK8004">
        <v>138.63686976857599</v>
      </c>
      <c r="AL8004">
        <v>76.042518574567296</v>
      </c>
      <c r="AM8004">
        <v>92.594942941429807</v>
      </c>
      <c r="AN8004">
        <v>1.0000000698506599</v>
      </c>
    </row>
    <row r="8005" spans="1:40" x14ac:dyDescent="0.25">
      <c r="A8005" t="str">
        <f>"20190304154950630"</f>
        <v>20190304154950630</v>
      </c>
      <c r="B8005" t="str">
        <f>"1551685790624975"</f>
        <v>1551685790624975</v>
      </c>
      <c r="C8005" t="s">
        <v>40</v>
      </c>
      <c r="D8005">
        <v>4.5849539999999998</v>
      </c>
      <c r="E8005">
        <v>0.56878260000000003</v>
      </c>
      <c r="F8005" t="s">
        <v>70</v>
      </c>
      <c r="G8005">
        <v>-168.4194</v>
      </c>
      <c r="H8005">
        <v>4.1969240000000001</v>
      </c>
      <c r="I8005">
        <v>183.91229999999999</v>
      </c>
      <c r="J8005">
        <v>-187.43950000000001</v>
      </c>
      <c r="K8005">
        <v>1.110727</v>
      </c>
      <c r="L8005">
        <v>47.041870000000003</v>
      </c>
      <c r="M8005">
        <v>-9.6065300000000001E-4</v>
      </c>
      <c r="N8005">
        <v>-8.9855279999999996E-3</v>
      </c>
      <c r="O8005">
        <v>0.99995919999999905</v>
      </c>
      <c r="P8005">
        <v>-4.385965E-2</v>
      </c>
      <c r="Q8005">
        <v>0.23293639999999999</v>
      </c>
      <c r="R8005">
        <v>0.97150239999999999</v>
      </c>
      <c r="S8005">
        <v>0.428421</v>
      </c>
      <c r="T8005">
        <v>6.9518209999999997E-2</v>
      </c>
      <c r="U8005">
        <v>3.0906370000000001</v>
      </c>
      <c r="V8005">
        <v>-4.311794E-2</v>
      </c>
      <c r="W8005">
        <v>0.2416229</v>
      </c>
      <c r="X8005">
        <v>0.96941180000000005</v>
      </c>
      <c r="Y8005">
        <v>0.13819879999999901</v>
      </c>
      <c r="Z8005">
        <v>3.125609E-2</v>
      </c>
      <c r="AA8005">
        <v>0.98991119999999999</v>
      </c>
      <c r="AB8005">
        <v>33</v>
      </c>
      <c r="AC8005">
        <v>19.020099999999999</v>
      </c>
      <c r="AD8005">
        <v>3.0861969999999999</v>
      </c>
      <c r="AE8005">
        <v>136.87043</v>
      </c>
      <c r="AF8005">
        <v>19.142033583294001</v>
      </c>
      <c r="AG8005">
        <v>3.0861969999999999</v>
      </c>
      <c r="AH8005">
        <v>136.783867403405</v>
      </c>
      <c r="AI8005">
        <v>88.719948094470794</v>
      </c>
      <c r="AJ8005">
        <v>82.033556216710906</v>
      </c>
      <c r="AK8005">
        <v>138.15125205172399</v>
      </c>
      <c r="AL8005">
        <v>76.017655102292395</v>
      </c>
      <c r="AM8005">
        <v>92.546749248296706</v>
      </c>
      <c r="AN8005">
        <v>1.0000000102667399</v>
      </c>
    </row>
    <row r="8006" spans="1:40" x14ac:dyDescent="0.25">
      <c r="A8006" t="str">
        <f>"20190304154950654"</f>
        <v>20190304154950654</v>
      </c>
      <c r="B8006" t="str">
        <f>"1551685790645471"</f>
        <v>1551685790645471</v>
      </c>
      <c r="C8006" t="s">
        <v>40</v>
      </c>
      <c r="D8006">
        <v>5.4620939999999996</v>
      </c>
      <c r="E8006">
        <v>0.56889990000000001</v>
      </c>
      <c r="F8006" t="s">
        <v>48</v>
      </c>
      <c r="G8006">
        <v>-177.41040000000001</v>
      </c>
      <c r="H8006">
        <v>2.5969820000000001</v>
      </c>
      <c r="I8006">
        <v>119.52160000000001</v>
      </c>
      <c r="J8006">
        <v>-187.44030000000001</v>
      </c>
      <c r="K8006">
        <v>1.1107279999999999</v>
      </c>
      <c r="L8006">
        <v>47.392940000000003</v>
      </c>
      <c r="M8006">
        <v>-1.377573E-3</v>
      </c>
      <c r="N8006">
        <v>-8.9928130000000005E-3</v>
      </c>
      <c r="O8006">
        <v>0.99995860000000003</v>
      </c>
      <c r="P8006">
        <v>-4.3984160000000001E-2</v>
      </c>
      <c r="Q8006">
        <v>0.2320921</v>
      </c>
      <c r="R8006">
        <v>0.97169879999999997</v>
      </c>
      <c r="S8006">
        <v>0.42785640000000003</v>
      </c>
      <c r="T8006">
        <v>6.3405989999999995E-2</v>
      </c>
      <c r="U8006">
        <v>3.0921020000000001</v>
      </c>
      <c r="V8006">
        <v>-4.2837729999999997E-2</v>
      </c>
      <c r="W8006">
        <v>0.24078759999999999</v>
      </c>
      <c r="X8006">
        <v>0.96963200000000005</v>
      </c>
      <c r="Y8006">
        <v>0.13837749999999999</v>
      </c>
      <c r="Z8006">
        <v>2.9297090000000001E-2</v>
      </c>
      <c r="AA8006">
        <v>0.98994610000000005</v>
      </c>
      <c r="AB8006">
        <v>33</v>
      </c>
      <c r="AC8006">
        <v>10.0298999999999</v>
      </c>
      <c r="AD8006">
        <v>1.486254</v>
      </c>
      <c r="AE8006">
        <v>72.128659999999996</v>
      </c>
      <c r="AF8006">
        <v>10.1250395505929</v>
      </c>
      <c r="AG8006">
        <v>1.486254</v>
      </c>
      <c r="AH8006">
        <v>72.084748167636207</v>
      </c>
      <c r="AI8006">
        <v>88.830313322543702</v>
      </c>
      <c r="AJ8006">
        <v>82.004529496505299</v>
      </c>
      <c r="AK8006">
        <v>72.807529110972595</v>
      </c>
      <c r="AL8006">
        <v>76.066969876975193</v>
      </c>
      <c r="AM8006">
        <v>92.529646443569803</v>
      </c>
      <c r="AN8006">
        <v>0.99999997742465596</v>
      </c>
    </row>
    <row r="8007" spans="1:40" x14ac:dyDescent="0.25">
      <c r="A8007" t="str">
        <f>"20190304154950675"</f>
        <v>20190304154950675</v>
      </c>
      <c r="B8007" t="str">
        <f>"1551685790664991"</f>
        <v>1551685790664991</v>
      </c>
      <c r="C8007" t="s">
        <v>40</v>
      </c>
      <c r="D8007">
        <v>4.5704969999999996</v>
      </c>
      <c r="E8007">
        <v>0.56926119999999902</v>
      </c>
      <c r="F8007" t="s">
        <v>48</v>
      </c>
      <c r="G8007">
        <v>-177.42240000000001</v>
      </c>
      <c r="H8007">
        <v>2.7989920000000001</v>
      </c>
      <c r="I8007">
        <v>119.5159</v>
      </c>
      <c r="J8007">
        <v>-187.44110000000001</v>
      </c>
      <c r="K8007">
        <v>1.110716</v>
      </c>
      <c r="L8007">
        <v>47.720860000000002</v>
      </c>
      <c r="M8007">
        <v>-1.7669630000000001E-3</v>
      </c>
      <c r="N8007">
        <v>-8.9995839999999997E-3</v>
      </c>
      <c r="O8007">
        <v>0.99995789999999996</v>
      </c>
      <c r="P8007">
        <v>-4.4389400000000002E-2</v>
      </c>
      <c r="Q8007">
        <v>0.23199880000000001</v>
      </c>
      <c r="R8007">
        <v>0.97170270000000003</v>
      </c>
      <c r="S8007">
        <v>0.42913820000000003</v>
      </c>
      <c r="T8007">
        <v>7.2320339999999997E-2</v>
      </c>
      <c r="U8007">
        <v>3.0895389999999998</v>
      </c>
      <c r="V8007">
        <v>-4.286504E-2</v>
      </c>
      <c r="W8007">
        <v>0.2407011</v>
      </c>
      <c r="X8007">
        <v>0.96965230000000002</v>
      </c>
      <c r="Y8007">
        <v>0.13926720000000001</v>
      </c>
      <c r="Z8007">
        <v>3.2173729999999998E-2</v>
      </c>
      <c r="AA8007">
        <v>0.98973199999999995</v>
      </c>
      <c r="AB8007">
        <v>33</v>
      </c>
      <c r="AC8007">
        <v>10.0186999999999</v>
      </c>
      <c r="AD8007">
        <v>1.6882759999999899</v>
      </c>
      <c r="AE8007">
        <v>71.79504</v>
      </c>
      <c r="AF8007">
        <v>10.140048685832801</v>
      </c>
      <c r="AG8007">
        <v>1.6882759999999899</v>
      </c>
      <c r="AH8007">
        <v>71.7383134306953</v>
      </c>
      <c r="AI8007">
        <v>88.6651247683115</v>
      </c>
      <c r="AJ8007">
        <v>81.954668097243498</v>
      </c>
      <c r="AK8007">
        <v>72.471073381618297</v>
      </c>
      <c r="AL8007">
        <v>76.072076565574804</v>
      </c>
      <c r="AM8007">
        <v>92.531204128377695</v>
      </c>
      <c r="AN8007">
        <v>1.0000000070453501</v>
      </c>
    </row>
    <row r="8008" spans="1:40" x14ac:dyDescent="0.25">
      <c r="A8008" t="str">
        <f>"20190304154950697"</f>
        <v>20190304154950697</v>
      </c>
      <c r="B8008" t="str">
        <f>"1551685790685490"</f>
        <v>1551685790685490</v>
      </c>
      <c r="C8008" t="s">
        <v>40</v>
      </c>
      <c r="D8008">
        <v>4.5350380000000001</v>
      </c>
      <c r="E8008">
        <v>0.569133</v>
      </c>
      <c r="F8008" t="s">
        <v>48</v>
      </c>
      <c r="G8008">
        <v>-177.4196</v>
      </c>
      <c r="H8008">
        <v>2.6899959999999998</v>
      </c>
      <c r="I8008">
        <v>119.5172</v>
      </c>
      <c r="J8008">
        <v>-187.44200000000001</v>
      </c>
      <c r="K8008">
        <v>1.110725</v>
      </c>
      <c r="L8008">
        <v>48.032470000000004</v>
      </c>
      <c r="M8008">
        <v>-2.1369779999999999E-3</v>
      </c>
      <c r="N8008">
        <v>-9.006076E-3</v>
      </c>
      <c r="O8008">
        <v>0.99995710000000004</v>
      </c>
      <c r="P8008">
        <v>-4.5257819999999997E-2</v>
      </c>
      <c r="Q8008">
        <v>0.23271620000000001</v>
      </c>
      <c r="R8008">
        <v>0.97149110000000005</v>
      </c>
      <c r="S8008">
        <v>0.431427</v>
      </c>
      <c r="T8008">
        <v>6.7988399999999893E-2</v>
      </c>
      <c r="U8008">
        <v>3.0908509999999998</v>
      </c>
      <c r="V8008">
        <v>-4.3375329999999997E-2</v>
      </c>
      <c r="W8008">
        <v>0.2414221</v>
      </c>
      <c r="X8008">
        <v>0.96945040000000005</v>
      </c>
      <c r="Y8008">
        <v>0.14030049999999999</v>
      </c>
      <c r="Z8008">
        <v>3.0781349999999999E-2</v>
      </c>
      <c r="AA8008">
        <v>0.98963029999999996</v>
      </c>
      <c r="AB8008">
        <v>33</v>
      </c>
      <c r="AC8008">
        <v>10.022399999999999</v>
      </c>
      <c r="AD8008">
        <v>1.5792710000000001</v>
      </c>
      <c r="AE8008">
        <v>71.484729999999999</v>
      </c>
      <c r="AF8008">
        <v>10.1702764473893</v>
      </c>
      <c r="AG8008">
        <v>1.5792710000000001</v>
      </c>
      <c r="AH8008">
        <v>71.428957624818096</v>
      </c>
      <c r="AI8008">
        <v>88.746058000607803</v>
      </c>
      <c r="AJ8008">
        <v>81.896516828089901</v>
      </c>
      <c r="AK8008">
        <v>72.166644700137098</v>
      </c>
      <c r="AL8008">
        <v>76.029511852236595</v>
      </c>
      <c r="AM8008">
        <v>92.5618298512004</v>
      </c>
      <c r="AN8008">
        <v>1.0000000638405799</v>
      </c>
    </row>
    <row r="8009" spans="1:40" x14ac:dyDescent="0.25">
      <c r="A8009" t="str">
        <f>"20190304154950719"</f>
        <v>20190304154950719</v>
      </c>
      <c r="B8009" t="str">
        <f>"1551685790714767"</f>
        <v>1551685790714767</v>
      </c>
      <c r="C8009" t="s">
        <v>40</v>
      </c>
      <c r="D8009">
        <v>4.5971760000000002</v>
      </c>
      <c r="E8009">
        <v>0.56909540000000003</v>
      </c>
      <c r="F8009" t="s">
        <v>48</v>
      </c>
      <c r="G8009">
        <v>-177.54320000000001</v>
      </c>
      <c r="H8009">
        <v>2.684974</v>
      </c>
      <c r="I8009">
        <v>119.50749999999999</v>
      </c>
      <c r="J8009">
        <v>-187.44309999999999</v>
      </c>
      <c r="K8009">
        <v>1.1107309999999999</v>
      </c>
      <c r="L8009">
        <v>48.358609999999999</v>
      </c>
      <c r="M8009">
        <v>-2.5242519999999998E-3</v>
      </c>
      <c r="N8009">
        <v>-9.0129449999999996E-3</v>
      </c>
      <c r="O8009">
        <v>0.99995619999999996</v>
      </c>
      <c r="P8009">
        <v>-4.6518139999999999E-2</v>
      </c>
      <c r="Q8009">
        <v>0.2334801</v>
      </c>
      <c r="R8009">
        <v>0.97124820000000001</v>
      </c>
      <c r="S8009">
        <v>0.42817690000000003</v>
      </c>
      <c r="T8009">
        <v>6.809461E-2</v>
      </c>
      <c r="U8009">
        <v>3.091675</v>
      </c>
      <c r="V8009">
        <v>-4.426153E-2</v>
      </c>
      <c r="W8009">
        <v>0.24219019999999999</v>
      </c>
      <c r="X8009">
        <v>0.96921869999999999</v>
      </c>
      <c r="Y8009">
        <v>0.1396271</v>
      </c>
      <c r="Z8009">
        <v>3.0819280000000001E-2</v>
      </c>
      <c r="AA8009">
        <v>0.98972450000000001</v>
      </c>
      <c r="AB8009">
        <v>33</v>
      </c>
      <c r="AC8009">
        <v>9.8998999999999704</v>
      </c>
      <c r="AD8009">
        <v>1.5742430000000001</v>
      </c>
      <c r="AE8009">
        <v>71.148889999999994</v>
      </c>
      <c r="AF8009">
        <v>10.0746350028964</v>
      </c>
      <c r="AG8009">
        <v>1.5742430000000001</v>
      </c>
      <c r="AH8009">
        <v>71.089530762927893</v>
      </c>
      <c r="AI8009">
        <v>88.743966454467994</v>
      </c>
      <c r="AJ8009">
        <v>81.933895124168004</v>
      </c>
      <c r="AK8009">
        <v>71.817114224660301</v>
      </c>
      <c r="AL8009">
        <v>75.984156590254301</v>
      </c>
      <c r="AM8009">
        <v>92.614722691922495</v>
      </c>
      <c r="AN8009">
        <v>1.0000000322218301</v>
      </c>
    </row>
    <row r="8010" spans="1:40" x14ac:dyDescent="0.25">
      <c r="A8010" t="str">
        <f>"20190304154950743"</f>
        <v>20190304154950743</v>
      </c>
      <c r="B8010" t="str">
        <f>"1551685790735263"</f>
        <v>1551685790735263</v>
      </c>
      <c r="C8010" t="s">
        <v>40</v>
      </c>
      <c r="D8010">
        <v>4.4353230000000003</v>
      </c>
      <c r="E8010">
        <v>0.56884169999999901</v>
      </c>
      <c r="F8010" t="s">
        <v>70</v>
      </c>
      <c r="G8010">
        <v>-168.8099</v>
      </c>
      <c r="H8010">
        <v>4.044403</v>
      </c>
      <c r="I8010">
        <v>184.38220000000001</v>
      </c>
      <c r="J8010">
        <v>-187.4444</v>
      </c>
      <c r="K8010">
        <v>1.110733</v>
      </c>
      <c r="L8010">
        <v>48.70505</v>
      </c>
      <c r="M8010">
        <v>-2.9352409999999999E-3</v>
      </c>
      <c r="N8010">
        <v>-9.0202999999999898E-3</v>
      </c>
      <c r="O8010">
        <v>0.99995500000000004</v>
      </c>
      <c r="P8010">
        <v>-4.8491600000000003E-2</v>
      </c>
      <c r="Q8010">
        <v>0.2342987</v>
      </c>
      <c r="R8010">
        <v>0.97095450000000005</v>
      </c>
      <c r="S8010">
        <v>0.42370609999999997</v>
      </c>
      <c r="T8010">
        <v>6.6710350000000002E-2</v>
      </c>
      <c r="U8010">
        <v>3.0930789999999999</v>
      </c>
      <c r="V8010">
        <v>-4.583744E-2</v>
      </c>
      <c r="W8010">
        <v>0.2430117</v>
      </c>
      <c r="X8010">
        <v>0.96893980000000002</v>
      </c>
      <c r="Y8010">
        <v>0.13857050000000001</v>
      </c>
      <c r="Z8010">
        <v>3.0377910000000001E-2</v>
      </c>
      <c r="AA8010">
        <v>0.98988659999999995</v>
      </c>
      <c r="AB8010">
        <v>33</v>
      </c>
      <c r="AC8010">
        <v>18.634499999999999</v>
      </c>
      <c r="AD8010">
        <v>2.9336700000000002</v>
      </c>
      <c r="AE8010">
        <v>135.67715000000001</v>
      </c>
      <c r="AF8010">
        <v>19.023951469177302</v>
      </c>
      <c r="AG8010">
        <v>2.9336700000000002</v>
      </c>
      <c r="AH8010">
        <v>135.55966175107301</v>
      </c>
      <c r="AI8010">
        <v>88.772272613202105</v>
      </c>
      <c r="AJ8010">
        <v>82.011488121916599</v>
      </c>
      <c r="AK8010">
        <v>136.91946188630601</v>
      </c>
      <c r="AL8010">
        <v>75.935638898566097</v>
      </c>
      <c r="AM8010">
        <v>92.708460656605297</v>
      </c>
      <c r="AN8010">
        <v>1.0000000466333401</v>
      </c>
    </row>
    <row r="8011" spans="1:40" x14ac:dyDescent="0.25">
      <c r="A8011" t="str">
        <f>"20190304154950764"</f>
        <v>20190304154950764</v>
      </c>
      <c r="B8011" t="str">
        <f>"1551685790755759"</f>
        <v>1551685790755759</v>
      </c>
      <c r="C8011" t="s">
        <v>40</v>
      </c>
      <c r="D8011">
        <v>4.1738039999999996</v>
      </c>
      <c r="E8011">
        <v>0.56738389999999905</v>
      </c>
      <c r="F8011" t="s">
        <v>70</v>
      </c>
      <c r="G8011">
        <v>-169.19309999999999</v>
      </c>
      <c r="H8011">
        <v>4.1659639999999998</v>
      </c>
      <c r="I8011">
        <v>184.38220000000001</v>
      </c>
      <c r="J8011">
        <v>-187.44569999999999</v>
      </c>
      <c r="K8011">
        <v>1.1107340000000001</v>
      </c>
      <c r="L8011">
        <v>49.028869999999998</v>
      </c>
      <c r="M8011">
        <v>-3.3192149999999999E-3</v>
      </c>
      <c r="N8011">
        <v>-9.0269919999999993E-3</v>
      </c>
      <c r="O8011">
        <v>0.99995369999999995</v>
      </c>
      <c r="P8011">
        <v>-5.0286119999999997E-2</v>
      </c>
      <c r="Q8011">
        <v>0.23447589999999999</v>
      </c>
      <c r="R8011">
        <v>0.97082049999999998</v>
      </c>
      <c r="S8011">
        <v>0.41616819999999999</v>
      </c>
      <c r="T8011">
        <v>6.9666270000000002E-2</v>
      </c>
      <c r="U8011">
        <v>3.0937190000000001</v>
      </c>
      <c r="V8011">
        <v>-4.726052E-2</v>
      </c>
      <c r="W8011">
        <v>0.24319299999999999</v>
      </c>
      <c r="X8011">
        <v>0.96882590000000002</v>
      </c>
      <c r="Y8011">
        <v>0.13655120000000001</v>
      </c>
      <c r="Z8011">
        <v>3.133267E-2</v>
      </c>
      <c r="AA8011">
        <v>0.99013739999999995</v>
      </c>
      <c r="AB8011">
        <v>33</v>
      </c>
      <c r="AC8011">
        <v>18.252600000000001</v>
      </c>
      <c r="AD8011">
        <v>3.0552299999999999</v>
      </c>
      <c r="AE8011">
        <v>135.35333</v>
      </c>
      <c r="AF8011">
        <v>18.6924307546333</v>
      </c>
      <c r="AG8011">
        <v>3.0552299999999999</v>
      </c>
      <c r="AH8011">
        <v>135.22433037113501</v>
      </c>
      <c r="AI8011">
        <v>88.717878931250297</v>
      </c>
      <c r="AJ8011">
        <v>82.129723234991602</v>
      </c>
      <c r="AK8011">
        <v>136.54435514583301</v>
      </c>
      <c r="AL8011">
        <v>75.924929360202199</v>
      </c>
      <c r="AM8011">
        <v>92.792744844996506</v>
      </c>
      <c r="AN8011">
        <v>1.00000000825524</v>
      </c>
    </row>
    <row r="8012" spans="1:40" x14ac:dyDescent="0.25">
      <c r="A8012" t="str">
        <f>"20190304154950786"</f>
        <v>20190304154950786</v>
      </c>
      <c r="B8012" t="str">
        <f>"1551685790775279"</f>
        <v>1551685790775279</v>
      </c>
      <c r="C8012" t="s">
        <v>40</v>
      </c>
      <c r="D8012">
        <v>4.5263479999999996</v>
      </c>
      <c r="E8012">
        <v>0.51746919999999996</v>
      </c>
      <c r="F8012" t="s">
        <v>70</v>
      </c>
      <c r="G8012">
        <v>-168.41540000000001</v>
      </c>
      <c r="H8012">
        <v>4.7929269999999997</v>
      </c>
      <c r="I8012">
        <v>196.42590000000001</v>
      </c>
      <c r="J8012">
        <v>-187.44720000000001</v>
      </c>
      <c r="K8012">
        <v>1.1107359999999999</v>
      </c>
      <c r="L8012">
        <v>49.351840000000003</v>
      </c>
      <c r="M8012">
        <v>-3.7020540000000002E-3</v>
      </c>
      <c r="N8012">
        <v>-9.0335669999999993E-3</v>
      </c>
      <c r="O8012">
        <v>0.99995230000000002</v>
      </c>
      <c r="P8012">
        <v>-5.1760399999999998E-2</v>
      </c>
      <c r="Q8012">
        <v>0.23413410000000001</v>
      </c>
      <c r="R8012">
        <v>0.97082550000000001</v>
      </c>
      <c r="S8012">
        <v>0.399231</v>
      </c>
      <c r="T8012">
        <v>7.7248220000000006E-2</v>
      </c>
      <c r="U8012">
        <v>3.0921940000000001</v>
      </c>
      <c r="V8012">
        <v>-4.8363730000000001E-2</v>
      </c>
      <c r="W8012">
        <v>0.24285680000000001</v>
      </c>
      <c r="X8012">
        <v>0.96885580000000004</v>
      </c>
      <c r="Y8012">
        <v>0.13165350000000001</v>
      </c>
      <c r="Z8012">
        <v>3.379414E-2</v>
      </c>
      <c r="AA8012">
        <v>0.99071960000000003</v>
      </c>
      <c r="AB8012">
        <v>33</v>
      </c>
      <c r="AC8012">
        <v>19.0318</v>
      </c>
      <c r="AD8012">
        <v>3.682191</v>
      </c>
      <c r="AE8012">
        <v>147.07406</v>
      </c>
      <c r="AF8012">
        <v>19.5641067836636</v>
      </c>
      <c r="AG8012">
        <v>3.682191</v>
      </c>
      <c r="AH8012">
        <v>146.912022164267</v>
      </c>
      <c r="AI8012">
        <v>88.576802588868404</v>
      </c>
      <c r="AJ8012">
        <v>82.414615749685893</v>
      </c>
      <c r="AK8012">
        <v>148.25469659068801</v>
      </c>
      <c r="AL8012">
        <v>75.9447876947997</v>
      </c>
      <c r="AM8012">
        <v>92.857741450100804</v>
      </c>
      <c r="AN8012">
        <v>1.00000001843969</v>
      </c>
    </row>
    <row r="8013" spans="1:40" x14ac:dyDescent="0.25">
      <c r="A8013" t="str">
        <f>"20190304154950807"</f>
        <v>20190304154950807</v>
      </c>
      <c r="B8013" t="str">
        <f>"1551685790805535"</f>
        <v>1551685790805535</v>
      </c>
      <c r="C8013" t="s">
        <v>40</v>
      </c>
      <c r="D8013">
        <v>4.5503200000000001</v>
      </c>
      <c r="E8013">
        <v>0.51631149999999904</v>
      </c>
      <c r="F8013" t="s">
        <v>51</v>
      </c>
      <c r="G8013">
        <v>-187.7533</v>
      </c>
      <c r="H8013">
        <v>8.6474910000000005</v>
      </c>
      <c r="I8013">
        <v>391.87</v>
      </c>
      <c r="J8013">
        <v>-187.4487</v>
      </c>
      <c r="K8013">
        <v>1.110738</v>
      </c>
      <c r="L8013">
        <v>49.673029999999997</v>
      </c>
      <c r="M8013">
        <v>-4.0825559999999898E-3</v>
      </c>
      <c r="N8013">
        <v>-9.0401319999999993E-3</v>
      </c>
      <c r="O8013">
        <v>0.99995080000000003</v>
      </c>
      <c r="P8013">
        <v>-5.3239290000000002E-2</v>
      </c>
      <c r="Q8013">
        <v>0.2336927</v>
      </c>
      <c r="R8013">
        <v>0.97085180000000004</v>
      </c>
      <c r="S8013">
        <v>-2.746582E-3</v>
      </c>
      <c r="T8013">
        <v>6.7633509999999994E-2</v>
      </c>
      <c r="U8013">
        <v>3.0737000000000001</v>
      </c>
      <c r="V8013">
        <v>-4.947294E-2</v>
      </c>
      <c r="W8013">
        <v>0.242421</v>
      </c>
      <c r="X8013">
        <v>0.96890889999999996</v>
      </c>
      <c r="Y8013">
        <v>3.189772E-3</v>
      </c>
      <c r="Z8013">
        <v>3.103531E-2</v>
      </c>
      <c r="AA8013">
        <v>0.99951319999999999</v>
      </c>
      <c r="AB8013">
        <v>33</v>
      </c>
      <c r="AC8013">
        <v>-0.30459999999999299</v>
      </c>
      <c r="AD8013">
        <v>7.536753</v>
      </c>
      <c r="AE8013">
        <v>342.19697000000002</v>
      </c>
      <c r="AF8013">
        <v>1.0919682303498699</v>
      </c>
      <c r="AG8013">
        <v>7.536753</v>
      </c>
      <c r="AH8013">
        <v>342.02944899626902</v>
      </c>
      <c r="AI8013">
        <v>88.737675752386906</v>
      </c>
      <c r="AJ8013">
        <v>89.817077276313</v>
      </c>
      <c r="AK8013">
        <v>342.11421926177002</v>
      </c>
      <c r="AL8013">
        <v>75.970525869818005</v>
      </c>
      <c r="AM8013">
        <v>92.923010705586606</v>
      </c>
      <c r="AN8013">
        <v>0.99999998476622598</v>
      </c>
    </row>
    <row r="8014" spans="1:40" x14ac:dyDescent="0.25">
      <c r="A8014" t="str">
        <f>"20190304154950830"</f>
        <v>20190304154950830</v>
      </c>
      <c r="B8014" t="str">
        <f>"1551685790825055"</f>
        <v>1551685790825055</v>
      </c>
      <c r="C8014" t="s">
        <v>40</v>
      </c>
      <c r="D8014">
        <v>4.5236539999999996</v>
      </c>
      <c r="E8014">
        <v>0.51506490000000005</v>
      </c>
      <c r="F8014" t="s">
        <v>51</v>
      </c>
      <c r="G8014">
        <v>-189.28110000000001</v>
      </c>
      <c r="H8014">
        <v>9.0726080000000007</v>
      </c>
      <c r="I8014">
        <v>391.87</v>
      </c>
      <c r="J8014">
        <v>-187.45050000000001</v>
      </c>
      <c r="K8014">
        <v>1.110733</v>
      </c>
      <c r="L8014">
        <v>50.009549999999997</v>
      </c>
      <c r="M8014">
        <v>-4.4812289999999998E-3</v>
      </c>
      <c r="N8014">
        <v>-9.0469369999999997E-3</v>
      </c>
      <c r="O8014">
        <v>0.99994899999999998</v>
      </c>
      <c r="P8014">
        <v>-5.3705280000000001E-2</v>
      </c>
      <c r="Q8014">
        <v>0.2337824</v>
      </c>
      <c r="R8014">
        <v>0.97080460000000002</v>
      </c>
      <c r="S8014">
        <v>-1.644897E-2</v>
      </c>
      <c r="T8014">
        <v>7.1475029999999995E-2</v>
      </c>
      <c r="U8014">
        <v>3.0719599999999998</v>
      </c>
      <c r="V8014">
        <v>-4.9552569999999997E-2</v>
      </c>
      <c r="W8014">
        <v>0.24251719999999999</v>
      </c>
      <c r="X8014">
        <v>0.96888079999999999</v>
      </c>
      <c r="Y8014">
        <v>-8.7033610000000002E-4</v>
      </c>
      <c r="Z8014">
        <v>3.2303529999999997E-2</v>
      </c>
      <c r="AA8014">
        <v>0.99947770000000002</v>
      </c>
      <c r="AB8014">
        <v>33</v>
      </c>
      <c r="AC8014">
        <v>-1.8306</v>
      </c>
      <c r="AD8014">
        <v>7.961875</v>
      </c>
      <c r="AE8014">
        <v>341.86045000000001</v>
      </c>
      <c r="AF8014">
        <v>-0.29840205214348597</v>
      </c>
      <c r="AG8014">
        <v>7.961875</v>
      </c>
      <c r="AH8014">
        <v>341.67989331532902</v>
      </c>
      <c r="AI8014">
        <v>88.665127421744899</v>
      </c>
      <c r="AJ8014">
        <v>90.050038571697002</v>
      </c>
      <c r="AK8014">
        <v>341.772775383404</v>
      </c>
      <c r="AL8014">
        <v>75.964845083666006</v>
      </c>
      <c r="AM8014">
        <v>92.927792070995196</v>
      </c>
      <c r="AN8014">
        <v>1.0000000270490399</v>
      </c>
    </row>
    <row r="8015" spans="1:40" x14ac:dyDescent="0.25">
      <c r="A8015" t="str">
        <f>"20190304154950854"</f>
        <v>20190304154950854</v>
      </c>
      <c r="B8015" t="str">
        <f>"1551685790845551"</f>
        <v>1551685790845551</v>
      </c>
      <c r="C8015" t="s">
        <v>40</v>
      </c>
      <c r="D8015">
        <v>4.537382</v>
      </c>
      <c r="E8015">
        <v>0.514690799999999</v>
      </c>
      <c r="F8015" t="s">
        <v>51</v>
      </c>
      <c r="G8015">
        <v>-190.4888</v>
      </c>
      <c r="H8015">
        <v>6.0096080000000001</v>
      </c>
      <c r="I8015">
        <v>390.11860000000001</v>
      </c>
      <c r="J8015">
        <v>-187.45249999999999</v>
      </c>
      <c r="K8015">
        <v>1.1107320000000001</v>
      </c>
      <c r="L8015">
        <v>50.371029999999998</v>
      </c>
      <c r="M8015">
        <v>-4.9091179999999996E-3</v>
      </c>
      <c r="N8015">
        <v>-9.0542469999999996E-3</v>
      </c>
      <c r="O8015">
        <v>0.99994700000000003</v>
      </c>
      <c r="P8015">
        <v>-5.4811039999999998E-2</v>
      </c>
      <c r="Q8015">
        <v>0.23229240000000001</v>
      </c>
      <c r="R8015">
        <v>0.97110039999999997</v>
      </c>
      <c r="S8015">
        <v>-2.7496340000000001E-2</v>
      </c>
      <c r="T8015">
        <v>4.4335479999999997E-2</v>
      </c>
      <c r="U8015">
        <v>3.078033</v>
      </c>
      <c r="V8015">
        <v>-5.0241090000000002E-2</v>
      </c>
      <c r="W8015">
        <v>0.24103659999999999</v>
      </c>
      <c r="X8015">
        <v>0.96921469999999998</v>
      </c>
      <c r="Y8015">
        <v>-4.0211379999999996E-3</v>
      </c>
      <c r="Z8015">
        <v>2.3454260000000001E-2</v>
      </c>
      <c r="AA8015">
        <v>0.99971679999999996</v>
      </c>
      <c r="AB8015">
        <v>33</v>
      </c>
      <c r="AC8015">
        <v>-3.03630000000001</v>
      </c>
      <c r="AD8015">
        <v>4.8988759999999996</v>
      </c>
      <c r="AE8015">
        <v>339.74757</v>
      </c>
      <c r="AF8015">
        <v>-1.3680497859940799</v>
      </c>
      <c r="AG8015">
        <v>4.8988759999999996</v>
      </c>
      <c r="AH8015">
        <v>339.687762319988</v>
      </c>
      <c r="AI8015">
        <v>89.173761267154802</v>
      </c>
      <c r="AJ8015">
        <v>90.230750306055597</v>
      </c>
      <c r="AK8015">
        <v>339.72584007732002</v>
      </c>
      <c r="AL8015">
        <v>76.052270204705906</v>
      </c>
      <c r="AM8015">
        <v>92.967379914648603</v>
      </c>
      <c r="AN8015">
        <v>0.99999997218001802</v>
      </c>
    </row>
    <row r="8016" spans="1:40" x14ac:dyDescent="0.25">
      <c r="A8016" t="str">
        <f>"20190304154950875"</f>
        <v>20190304154950875</v>
      </c>
      <c r="B8016" t="str">
        <f>"1551685790865071"</f>
        <v>1551685790865071</v>
      </c>
      <c r="C8016" t="s">
        <v>40</v>
      </c>
      <c r="D8016">
        <v>4.5134109999999996</v>
      </c>
      <c r="E8016">
        <v>0.51447749999999903</v>
      </c>
      <c r="F8016" t="s">
        <v>51</v>
      </c>
      <c r="G8016">
        <v>-191.14920000000001</v>
      </c>
      <c r="H8016">
        <v>3.2347450000000002</v>
      </c>
      <c r="I8016">
        <v>391.87</v>
      </c>
      <c r="J8016">
        <v>-187.4545</v>
      </c>
      <c r="K8016">
        <v>1.1107389999999999</v>
      </c>
      <c r="L8016">
        <v>50.693759999999997</v>
      </c>
      <c r="M8016">
        <v>-5.2910659999999997E-3</v>
      </c>
      <c r="N8016">
        <v>-9.0607710000000004E-3</v>
      </c>
      <c r="O8016">
        <v>0.99994490000000003</v>
      </c>
      <c r="P8016">
        <v>-5.5760900000000002E-2</v>
      </c>
      <c r="Q8016">
        <v>0.23200609999999999</v>
      </c>
      <c r="R8016">
        <v>0.97111479999999994</v>
      </c>
      <c r="S8016">
        <v>-3.337097E-2</v>
      </c>
      <c r="T8016">
        <v>1.917398E-2</v>
      </c>
      <c r="U8016">
        <v>3.0827939999999998</v>
      </c>
      <c r="V8016">
        <v>-5.0820099999999903E-2</v>
      </c>
      <c r="W8016">
        <v>0.24075659999999999</v>
      </c>
      <c r="X8016">
        <v>0.96925410000000001</v>
      </c>
      <c r="Y8016">
        <v>-5.5318169999999996E-3</v>
      </c>
      <c r="Z8016">
        <v>1.5279279999999999E-2</v>
      </c>
      <c r="AA8016">
        <v>0.99986799999999998</v>
      </c>
      <c r="AB8016">
        <v>33</v>
      </c>
      <c r="AC8016">
        <v>-3.6947000000000099</v>
      </c>
      <c r="AD8016">
        <v>2.1240060000000001</v>
      </c>
      <c r="AE8016">
        <v>341.17624000000001</v>
      </c>
      <c r="AF8016">
        <v>-1.8893148592759199</v>
      </c>
      <c r="AG8016">
        <v>2.1240060000000001</v>
      </c>
      <c r="AH8016">
        <v>341.17779200803</v>
      </c>
      <c r="AI8016">
        <v>89.643314587483204</v>
      </c>
      <c r="AJ8016">
        <v>90.3172793296051</v>
      </c>
      <c r="AK8016">
        <v>341.18963447267902</v>
      </c>
      <c r="AL8016">
        <v>76.068799729248497</v>
      </c>
      <c r="AM8016">
        <v>93.001393906452194</v>
      </c>
      <c r="AN8016">
        <v>0.99999996668718905</v>
      </c>
    </row>
    <row r="8017" spans="1:40" x14ac:dyDescent="0.25">
      <c r="A8017" t="str">
        <f>"20190304154950897"</f>
        <v>20190304154950897</v>
      </c>
      <c r="B8017" t="str">
        <f>"1551685790895327"</f>
        <v>1551685790895327</v>
      </c>
      <c r="C8017" t="s">
        <v>40</v>
      </c>
      <c r="D8017">
        <v>4.5287220000000001</v>
      </c>
      <c r="E8017">
        <v>0.51424380000000003</v>
      </c>
      <c r="F8017" t="s">
        <v>51</v>
      </c>
      <c r="G8017">
        <v>-191.59960000000001</v>
      </c>
      <c r="H8017">
        <v>2.278089</v>
      </c>
      <c r="I8017">
        <v>391.87</v>
      </c>
      <c r="J8017">
        <v>-187.45660000000001</v>
      </c>
      <c r="K8017">
        <v>1.110741</v>
      </c>
      <c r="L8017">
        <v>51.018099999999997</v>
      </c>
      <c r="M8017">
        <v>-5.6750309999999997E-3</v>
      </c>
      <c r="N8017">
        <v>-9.0674180000000007E-3</v>
      </c>
      <c r="O8017">
        <v>0.99994280000000002</v>
      </c>
      <c r="P8017">
        <v>-5.6532499999999999E-2</v>
      </c>
      <c r="Q8017">
        <v>0.23315369999999999</v>
      </c>
      <c r="R8017">
        <v>0.97079530000000003</v>
      </c>
      <c r="S8017">
        <v>-3.7475590000000003E-2</v>
      </c>
      <c r="T8017">
        <v>1.0553959999999999E-2</v>
      </c>
      <c r="U8017">
        <v>3.0845639999999999</v>
      </c>
      <c r="V8017">
        <v>-5.1222330000000003E-2</v>
      </c>
      <c r="W8017">
        <v>0.24190700000000001</v>
      </c>
      <c r="X8017">
        <v>0.96894650000000004</v>
      </c>
      <c r="Y8017">
        <v>-6.4723439999999997E-3</v>
      </c>
      <c r="Z8017">
        <v>1.248819E-2</v>
      </c>
      <c r="AA8017">
        <v>0.99990109999999999</v>
      </c>
      <c r="AB8017">
        <v>33</v>
      </c>
      <c r="AC8017">
        <v>-4.1429999999999998</v>
      </c>
      <c r="AD8017">
        <v>1.1673480000000001</v>
      </c>
      <c r="AE8017">
        <v>340.8519</v>
      </c>
      <c r="AF8017">
        <v>-2.2084827828891198</v>
      </c>
      <c r="AG8017">
        <v>1.1673480000000001</v>
      </c>
      <c r="AH8017">
        <v>340.86592588823498</v>
      </c>
      <c r="AI8017">
        <v>89.803786640728504</v>
      </c>
      <c r="AJ8017">
        <v>90.371216253777405</v>
      </c>
      <c r="AK8017">
        <v>340.87507906738898</v>
      </c>
      <c r="AL8017">
        <v>76.0008798920815</v>
      </c>
      <c r="AM8017">
        <v>93.026063893851401</v>
      </c>
      <c r="AN8017">
        <v>1.00000002180093</v>
      </c>
    </row>
    <row r="8018" spans="1:40" x14ac:dyDescent="0.25">
      <c r="A8018" t="str">
        <f>"20190304154950919"</f>
        <v>20190304154950919</v>
      </c>
      <c r="B8018" t="str">
        <f>"1551685790914847"</f>
        <v>1551685790914847</v>
      </c>
      <c r="C8018" t="s">
        <v>40</v>
      </c>
      <c r="D8018">
        <v>4.5290670000000004</v>
      </c>
      <c r="E8018">
        <v>0.51370729999999998</v>
      </c>
      <c r="F8018" t="s">
        <v>51</v>
      </c>
      <c r="G8018">
        <v>-191.999</v>
      </c>
      <c r="H8018">
        <v>1.554324</v>
      </c>
      <c r="I8018">
        <v>391.87</v>
      </c>
      <c r="J8018">
        <v>-187.4588</v>
      </c>
      <c r="K8018">
        <v>1.110743</v>
      </c>
      <c r="L8018">
        <v>51.349640000000001</v>
      </c>
      <c r="M8018">
        <v>-6.0674169999999899E-3</v>
      </c>
      <c r="N8018">
        <v>-9.0743830000000001E-3</v>
      </c>
      <c r="O8018">
        <v>0.99994039999999995</v>
      </c>
      <c r="P8018">
        <v>-5.7421390000000003E-2</v>
      </c>
      <c r="Q8018">
        <v>0.2334975</v>
      </c>
      <c r="R8018">
        <v>0.97066039999999998</v>
      </c>
      <c r="S8018">
        <v>-4.1137699999999902E-2</v>
      </c>
      <c r="T8018">
        <v>4.0172339999999997E-3</v>
      </c>
      <c r="U8018">
        <v>3.086884</v>
      </c>
      <c r="V8018">
        <v>-5.1731909999999999E-2</v>
      </c>
      <c r="W8018">
        <v>0.2422562</v>
      </c>
      <c r="X8018">
        <v>0.96883209999999997</v>
      </c>
      <c r="Y8018">
        <v>-7.2570809999999899E-3</v>
      </c>
      <c r="Z8018">
        <v>1.0375229999999999E-2</v>
      </c>
      <c r="AA8018">
        <v>0.99991980000000003</v>
      </c>
      <c r="AB8018">
        <v>34</v>
      </c>
      <c r="AC8018">
        <v>-4.54020000000002</v>
      </c>
      <c r="AD8018">
        <v>0.443581</v>
      </c>
      <c r="AE8018">
        <v>340.52035999999998</v>
      </c>
      <c r="AF8018">
        <v>-2.47394809341966</v>
      </c>
      <c r="AG8018">
        <v>0.443581</v>
      </c>
      <c r="AH8018">
        <v>340.54106219983902</v>
      </c>
      <c r="AI8018">
        <v>89.925369839415794</v>
      </c>
      <c r="AJ8018">
        <v>90.416232597644395</v>
      </c>
      <c r="AK8018">
        <v>340.550337288729</v>
      </c>
      <c r="AL8018">
        <v>75.980257788391697</v>
      </c>
      <c r="AM8018">
        <v>93.056471769974493</v>
      </c>
      <c r="AN8018">
        <v>0.99999994747054699</v>
      </c>
    </row>
    <row r="8019" spans="1:40" x14ac:dyDescent="0.25">
      <c r="A8019" t="str">
        <f>"20190304154950942"</f>
        <v>20190304154950942</v>
      </c>
      <c r="B8019" t="str">
        <f>"1551685790935343"</f>
        <v>1551685790935343</v>
      </c>
      <c r="C8019" t="s">
        <v>40</v>
      </c>
      <c r="D8019">
        <v>4.4923449999999896</v>
      </c>
      <c r="E8019">
        <v>0.51328809999999903</v>
      </c>
      <c r="F8019" t="s">
        <v>51</v>
      </c>
      <c r="G8019">
        <v>-192.73400000000001</v>
      </c>
      <c r="H8019">
        <v>1.0825070000000001</v>
      </c>
      <c r="I8019">
        <v>391.87</v>
      </c>
      <c r="J8019">
        <v>-187.46129999999999</v>
      </c>
      <c r="K8019">
        <v>1.1107469999999999</v>
      </c>
      <c r="L8019">
        <v>51.691160000000004</v>
      </c>
      <c r="M8019">
        <v>-6.4716620000000004E-3</v>
      </c>
      <c r="N8019">
        <v>-9.0815119999999999E-3</v>
      </c>
      <c r="O8019">
        <v>0.99993779999999999</v>
      </c>
      <c r="P8019">
        <v>-5.8412760000000001E-2</v>
      </c>
      <c r="Q8019">
        <v>0.23347870000000001</v>
      </c>
      <c r="R8019">
        <v>0.97060579999999996</v>
      </c>
      <c r="S8019">
        <v>-4.7836299999999998E-2</v>
      </c>
      <c r="T8019">
        <v>-2.5606160000000002E-4</v>
      </c>
      <c r="U8019">
        <v>3.0879210000000001</v>
      </c>
      <c r="V8019">
        <v>-5.233173E-2</v>
      </c>
      <c r="W8019">
        <v>0.24224329999999999</v>
      </c>
      <c r="X8019">
        <v>0.96880319999999998</v>
      </c>
      <c r="Y8019">
        <v>-9.0170900000000002E-3</v>
      </c>
      <c r="Z8019">
        <v>8.9981460000000003E-3</v>
      </c>
      <c r="AA8019">
        <v>0.99991890000000005</v>
      </c>
      <c r="AB8019">
        <v>34</v>
      </c>
      <c r="AC8019">
        <v>-5.2727000000000102</v>
      </c>
      <c r="AD8019">
        <v>-2.8240000000000001E-2</v>
      </c>
      <c r="AE8019">
        <v>340.17883999999998</v>
      </c>
      <c r="AF8019">
        <v>-3.0709762463242201</v>
      </c>
      <c r="AG8019">
        <v>-2.8240000000000001E-2</v>
      </c>
      <c r="AH8019">
        <v>340.20583777903403</v>
      </c>
      <c r="AI8019">
        <v>90.004755846939204</v>
      </c>
      <c r="AJ8019">
        <v>90.517184537953199</v>
      </c>
      <c r="AK8019">
        <v>340.21969924085499</v>
      </c>
      <c r="AL8019">
        <v>75.981020823710097</v>
      </c>
      <c r="AM8019">
        <v>93.091934567602607</v>
      </c>
      <c r="AN8019">
        <v>1.0000000333449599</v>
      </c>
    </row>
    <row r="8020" spans="1:40" x14ac:dyDescent="0.25">
      <c r="A8020" t="str">
        <f>"20190304154950964"</f>
        <v>20190304154950964</v>
      </c>
      <c r="B8020" t="str">
        <f>"1551685790954863"</f>
        <v>1551685790954863</v>
      </c>
      <c r="C8020" t="s">
        <v>40</v>
      </c>
      <c r="D8020">
        <v>4.5190849999999996</v>
      </c>
      <c r="E8020">
        <v>0.51288149999999999</v>
      </c>
      <c r="F8020" t="s">
        <v>51</v>
      </c>
      <c r="G8020">
        <v>-193.45140000000001</v>
      </c>
      <c r="H8020">
        <v>0.3395185</v>
      </c>
      <c r="I8020">
        <v>391.87</v>
      </c>
      <c r="J8020">
        <v>-187.4639</v>
      </c>
      <c r="K8020">
        <v>1.1107479999999901</v>
      </c>
      <c r="L8020">
        <v>52.034999999999997</v>
      </c>
      <c r="M8020">
        <v>-6.8777919999999998E-3</v>
      </c>
      <c r="N8020">
        <v>-9.0886260000000007E-3</v>
      </c>
      <c r="O8020">
        <v>0.99993500000000002</v>
      </c>
      <c r="P8020">
        <v>-5.9022119999999997E-2</v>
      </c>
      <c r="Q8020">
        <v>0.23289080000000001</v>
      </c>
      <c r="R8020">
        <v>0.97071019999999997</v>
      </c>
      <c r="S8020">
        <v>-5.4397580000000001E-2</v>
      </c>
      <c r="T8020">
        <v>-7.0037839999999999E-3</v>
      </c>
      <c r="U8020">
        <v>3.089264</v>
      </c>
      <c r="V8020">
        <v>-5.2545599999999998E-2</v>
      </c>
      <c r="W8020">
        <v>0.24166360000000001</v>
      </c>
      <c r="X8020">
        <v>0.96893640000000003</v>
      </c>
      <c r="Y8020">
        <v>-1.0727469999999999E-2</v>
      </c>
      <c r="Z8020">
        <v>6.8213379999999997E-3</v>
      </c>
      <c r="AA8020">
        <v>0.99991920000000001</v>
      </c>
      <c r="AB8020">
        <v>34</v>
      </c>
      <c r="AC8020">
        <v>-5.9875000000000096</v>
      </c>
      <c r="AD8020">
        <v>-0.77122949999999901</v>
      </c>
      <c r="AE8020">
        <v>339.83499999999998</v>
      </c>
      <c r="AF8020">
        <v>-3.64992848923854</v>
      </c>
      <c r="AG8020">
        <v>-0.77122949999999901</v>
      </c>
      <c r="AH8020">
        <v>339.86639407652098</v>
      </c>
      <c r="AI8020">
        <v>90.130008651553894</v>
      </c>
      <c r="AJ8020">
        <v>90.615293134281799</v>
      </c>
      <c r="AK8020">
        <v>339.88686734779202</v>
      </c>
      <c r="AL8020">
        <v>76.015252391847696</v>
      </c>
      <c r="AM8020">
        <v>93.104120109831996</v>
      </c>
      <c r="AN8020">
        <v>1.00000004144463</v>
      </c>
    </row>
    <row r="8021" spans="1:40" x14ac:dyDescent="0.25">
      <c r="A8021" t="str">
        <f>"20190304154950987"</f>
        <v>20190304154950987</v>
      </c>
      <c r="B8021" t="str">
        <f>"1551685790975362"</f>
        <v>1551685790975362</v>
      </c>
      <c r="C8021" t="s">
        <v>40</v>
      </c>
      <c r="D8021">
        <v>4.5390430000000004</v>
      </c>
      <c r="E8021">
        <v>0.51278380000000001</v>
      </c>
      <c r="F8021" t="s">
        <v>44</v>
      </c>
      <c r="G8021">
        <v>-191.44470000000001</v>
      </c>
      <c r="H8021" s="1">
        <v>-2.8584780000000001E-6</v>
      </c>
      <c r="I8021">
        <v>255.3562</v>
      </c>
      <c r="J8021">
        <v>-187.4665</v>
      </c>
      <c r="K8021">
        <v>1.110744</v>
      </c>
      <c r="L8021">
        <v>52.35962</v>
      </c>
      <c r="M8021">
        <v>-7.2565540000000001E-3</v>
      </c>
      <c r="N8021">
        <v>-9.0953349999999995E-3</v>
      </c>
      <c r="O8021">
        <v>0.9999323</v>
      </c>
      <c r="P8021">
        <v>-5.9856859999999998E-2</v>
      </c>
      <c r="Q8021">
        <v>0.2320055</v>
      </c>
      <c r="R8021">
        <v>0.97087100000000004</v>
      </c>
      <c r="S8021">
        <v>-6.0516359999999998E-2</v>
      </c>
      <c r="T8021">
        <v>-1.688576E-2</v>
      </c>
      <c r="U8021">
        <v>3.0909119999999999</v>
      </c>
      <c r="V8021">
        <v>-5.3010290000000002E-2</v>
      </c>
      <c r="W8021">
        <v>0.24078579999999999</v>
      </c>
      <c r="X8021">
        <v>0.96912960000000004</v>
      </c>
      <c r="Y8021">
        <v>-1.231813E-2</v>
      </c>
      <c r="Z8021">
        <v>3.6327740000000001E-3</v>
      </c>
      <c r="AA8021">
        <v>0.99991750000000001</v>
      </c>
      <c r="AB8021">
        <v>34</v>
      </c>
      <c r="AC8021">
        <v>-3.97820000000001</v>
      </c>
      <c r="AD8021">
        <v>-1.110746858478</v>
      </c>
      <c r="AE8021">
        <v>202.99657999999999</v>
      </c>
      <c r="AF8021">
        <v>-2.5049036934926998</v>
      </c>
      <c r="AG8021">
        <v>-1.110746858478</v>
      </c>
      <c r="AH8021">
        <v>203.01402813112401</v>
      </c>
      <c r="AI8021">
        <v>90.313454341005894</v>
      </c>
      <c r="AJ8021">
        <v>90.706912367129405</v>
      </c>
      <c r="AK8021">
        <v>203.03251936357901</v>
      </c>
      <c r="AL8021">
        <v>76.067076981994006</v>
      </c>
      <c r="AM8021">
        <v>93.130894136336295</v>
      </c>
      <c r="AN8021">
        <v>1.00000003696184</v>
      </c>
    </row>
    <row r="8022" spans="1:40" x14ac:dyDescent="0.25">
      <c r="A8022" t="str">
        <f>"20190304154951008"</f>
        <v>20190304154951008</v>
      </c>
      <c r="B8022" t="str">
        <f>"1551685791005616"</f>
        <v>1551685791005616</v>
      </c>
      <c r="C8022" t="s">
        <v>40</v>
      </c>
      <c r="D8022">
        <v>4.632917</v>
      </c>
      <c r="E8022">
        <v>0.51279209999999997</v>
      </c>
      <c r="F8022" t="s">
        <v>54</v>
      </c>
      <c r="G8022">
        <v>-190.73070000000001</v>
      </c>
      <c r="H8022" s="1">
        <v>4.1061600000000003E-6</v>
      </c>
      <c r="I8022">
        <v>211.51439999999999</v>
      </c>
      <c r="J8022">
        <v>-187.4693</v>
      </c>
      <c r="K8022">
        <v>1.1107279999999999</v>
      </c>
      <c r="L8022">
        <v>52.6920199999999</v>
      </c>
      <c r="M8022">
        <v>-7.6352080000000001E-3</v>
      </c>
      <c r="N8022">
        <v>-9.1021590000000003E-3</v>
      </c>
      <c r="O8022">
        <v>0.99992939999999997</v>
      </c>
      <c r="P8022">
        <v>-6.0260960000000002E-2</v>
      </c>
      <c r="Q8022">
        <v>0.2307873</v>
      </c>
      <c r="R8022">
        <v>0.97113640000000001</v>
      </c>
      <c r="S8022">
        <v>-6.3400269999999995E-2</v>
      </c>
      <c r="T8022">
        <v>-2.1573780000000001E-2</v>
      </c>
      <c r="U8022">
        <v>3.0912480000000002</v>
      </c>
      <c r="V8022">
        <v>-5.3040469999999999E-2</v>
      </c>
      <c r="W8022">
        <v>0.23957809999999999</v>
      </c>
      <c r="X8022">
        <v>0.96942720000000004</v>
      </c>
      <c r="Y8022">
        <v>-1.2869790000000001E-2</v>
      </c>
      <c r="Z8022">
        <v>2.1240230000000001E-3</v>
      </c>
      <c r="AA8022">
        <v>0.99991490000000005</v>
      </c>
      <c r="AB8022">
        <v>34</v>
      </c>
      <c r="AC8022">
        <v>-3.2614000000000001</v>
      </c>
      <c r="AD8022">
        <v>-1.1107238938399999</v>
      </c>
      <c r="AE8022">
        <v>158.82238000000001</v>
      </c>
      <c r="AF8022">
        <v>-2.0485126056613598</v>
      </c>
      <c r="AG8022">
        <v>-1.1107238938399999</v>
      </c>
      <c r="AH8022">
        <v>158.834887479804</v>
      </c>
      <c r="AI8022">
        <v>90.400626481621302</v>
      </c>
      <c r="AJ8022">
        <v>90.738909577270206</v>
      </c>
      <c r="AK8022">
        <v>158.851980133035</v>
      </c>
      <c r="AL8022">
        <v>76.138359549065896</v>
      </c>
      <c r="AM8022">
        <v>93.131713308097801</v>
      </c>
      <c r="AN8022">
        <v>1.00000002677863</v>
      </c>
    </row>
    <row r="8023" spans="1:40" x14ac:dyDescent="0.25">
      <c r="A8023" t="str">
        <f>"20190304154951032"</f>
        <v>20190304154951032</v>
      </c>
      <c r="B8023" t="str">
        <f>"1551685791025135"</f>
        <v>1551685791025135</v>
      </c>
      <c r="C8023" t="s">
        <v>40</v>
      </c>
      <c r="D8023">
        <v>4.5952460000000004</v>
      </c>
      <c r="E8023">
        <v>0.5128393</v>
      </c>
      <c r="F8023" t="s">
        <v>44</v>
      </c>
      <c r="G8023">
        <v>-190.0043</v>
      </c>
      <c r="H8023" s="1">
        <v>-1.886849E-6</v>
      </c>
      <c r="I8023">
        <v>173.9847</v>
      </c>
      <c r="J8023">
        <v>-187.47229999999999</v>
      </c>
      <c r="K8023">
        <v>1.1107070000000001</v>
      </c>
      <c r="L8023">
        <v>53.041840000000001</v>
      </c>
      <c r="M8023">
        <v>-8.0170509999999903E-3</v>
      </c>
      <c r="N8023">
        <v>-9.1093879999999995E-3</v>
      </c>
      <c r="O8023">
        <v>0.99992639999999999</v>
      </c>
      <c r="P8023">
        <v>-6.0974680000000003E-2</v>
      </c>
      <c r="Q8023">
        <v>0.2285394</v>
      </c>
      <c r="R8023">
        <v>0.97162329999999997</v>
      </c>
      <c r="S8023">
        <v>-6.462097E-2</v>
      </c>
      <c r="T8023">
        <v>-2.831376E-2</v>
      </c>
      <c r="U8023">
        <v>3.091888</v>
      </c>
      <c r="V8023">
        <v>-5.3371559999999998E-2</v>
      </c>
      <c r="W8023">
        <v>0.23734279999999999</v>
      </c>
      <c r="X8023">
        <v>0.96995869999999995</v>
      </c>
      <c r="Y8023">
        <v>-1.2878219999999999E-2</v>
      </c>
      <c r="Z8023" s="1">
        <v>-4.6602859999999998E-5</v>
      </c>
      <c r="AA8023">
        <v>0.9999171</v>
      </c>
      <c r="AB8023">
        <v>34</v>
      </c>
      <c r="AC8023">
        <v>-2.5320000000000098</v>
      </c>
      <c r="AD8023">
        <v>-1.1107088868489901</v>
      </c>
      <c r="AE8023">
        <v>120.94286</v>
      </c>
      <c r="AF8023">
        <v>-1.5621416471878</v>
      </c>
      <c r="AG8023">
        <v>-1.1107088868489901</v>
      </c>
      <c r="AH8023">
        <v>120.94907641635</v>
      </c>
      <c r="AI8023">
        <v>90.526104354450695</v>
      </c>
      <c r="AJ8023">
        <v>90.739973794356999</v>
      </c>
      <c r="AK8023">
        <v>120.964263510862</v>
      </c>
      <c r="AL8023">
        <v>76.270236893994394</v>
      </c>
      <c r="AM8023">
        <v>93.149499586662699</v>
      </c>
      <c r="AN8023">
        <v>1.0000000039171799</v>
      </c>
    </row>
    <row r="8024" spans="1:40" x14ac:dyDescent="0.25">
      <c r="A8024" t="str">
        <f>"20190304154951056"</f>
        <v>20190304154951056</v>
      </c>
      <c r="B8024" t="str">
        <f>"1551685791045631"</f>
        <v>1551685791045631</v>
      </c>
      <c r="C8024" t="s">
        <v>40</v>
      </c>
      <c r="D8024">
        <v>4.5044469999999999</v>
      </c>
      <c r="E8024">
        <v>0.51286690000000001</v>
      </c>
      <c r="F8024" t="s">
        <v>79</v>
      </c>
      <c r="G8024">
        <v>-189.3776</v>
      </c>
      <c r="H8024" s="1">
        <v>-8.4775219999999999E-6</v>
      </c>
      <c r="I8024">
        <v>141.0428</v>
      </c>
      <c r="J8024">
        <v>-187.47559999999999</v>
      </c>
      <c r="K8024">
        <v>1.110673</v>
      </c>
      <c r="L8024">
        <v>53.4071</v>
      </c>
      <c r="M8024">
        <v>-8.3870109999999998E-3</v>
      </c>
      <c r="N8024">
        <v>-9.1168929999999992E-3</v>
      </c>
      <c r="O8024">
        <v>0.99992329999999996</v>
      </c>
      <c r="P8024">
        <v>-6.1530229999999998E-2</v>
      </c>
      <c r="Q8024">
        <v>0.22621949999999999</v>
      </c>
      <c r="R8024">
        <v>0.97213099999999997</v>
      </c>
      <c r="S8024">
        <v>-6.6955570000000006E-2</v>
      </c>
      <c r="T8024">
        <v>-3.9033529999999997E-2</v>
      </c>
      <c r="U8024">
        <v>3.09259</v>
      </c>
      <c r="V8024">
        <v>-5.3551359999999999E-2</v>
      </c>
      <c r="W8024">
        <v>0.2350372</v>
      </c>
      <c r="X8024">
        <v>0.97051010000000004</v>
      </c>
      <c r="Y8024">
        <v>-1.3257649999999999E-2</v>
      </c>
      <c r="Z8024">
        <v>-3.5020630000000001E-3</v>
      </c>
      <c r="AA8024">
        <v>0.99990599999999996</v>
      </c>
      <c r="AB8024">
        <v>34</v>
      </c>
      <c r="AC8024">
        <v>-1.9020000000000099</v>
      </c>
      <c r="AD8024">
        <v>-1.110681477522</v>
      </c>
      <c r="AE8024">
        <v>87.6357</v>
      </c>
      <c r="AF8024">
        <v>-1.1667136777501499</v>
      </c>
      <c r="AG8024">
        <v>-1.110681477522</v>
      </c>
      <c r="AH8024">
        <v>87.634500426719498</v>
      </c>
      <c r="AI8024">
        <v>90.726064684422695</v>
      </c>
      <c r="AJ8024">
        <v>90.762756907525002</v>
      </c>
      <c r="AK8024">
        <v>87.649304042822095</v>
      </c>
      <c r="AL8024">
        <v>76.4061850118579</v>
      </c>
      <c r="AM8024">
        <v>93.158296480661605</v>
      </c>
      <c r="AN8024">
        <v>1.0000000438718399</v>
      </c>
    </row>
    <row r="8025" spans="1:40" x14ac:dyDescent="0.25">
      <c r="A8025" t="str">
        <f>"20190304154951078"</f>
        <v>20190304154951078</v>
      </c>
      <c r="B8025" t="str">
        <f>"1551685791074912"</f>
        <v>1551685791074912</v>
      </c>
      <c r="C8025" t="s">
        <v>40</v>
      </c>
      <c r="D8025">
        <v>4.4724940000000002</v>
      </c>
      <c r="E8025">
        <v>0.51309159999999998</v>
      </c>
      <c r="F8025" t="s">
        <v>79</v>
      </c>
      <c r="G8025">
        <v>-189.0067</v>
      </c>
      <c r="H8025" s="1">
        <v>-1.9600470000000001E-6</v>
      </c>
      <c r="I8025">
        <v>122.95010000000001</v>
      </c>
      <c r="J8025">
        <v>-187.47880000000001</v>
      </c>
      <c r="K8025">
        <v>1.110649</v>
      </c>
      <c r="L8025">
        <v>53.744750000000003</v>
      </c>
      <c r="M8025">
        <v>-8.7061310000000006E-3</v>
      </c>
      <c r="N8025">
        <v>-9.1237969999999995E-3</v>
      </c>
      <c r="O8025">
        <v>0.99992049999999999</v>
      </c>
      <c r="P8025">
        <v>-6.1718660000000002E-2</v>
      </c>
      <c r="Q8025">
        <v>0.22608259999999999</v>
      </c>
      <c r="R8025">
        <v>0.97215099999999999</v>
      </c>
      <c r="S8025">
        <v>-6.8099980000000004E-2</v>
      </c>
      <c r="T8025">
        <v>-4.9401639999999997E-2</v>
      </c>
      <c r="U8025">
        <v>3.0932010000000001</v>
      </c>
      <c r="V8025">
        <v>-5.3418849999999997E-2</v>
      </c>
      <c r="W8025">
        <v>0.2349097</v>
      </c>
      <c r="X8025">
        <v>0.97054819999999997</v>
      </c>
      <c r="Y8025">
        <v>-1.330343E-2</v>
      </c>
      <c r="Z8025">
        <v>-6.8430349999999999E-3</v>
      </c>
      <c r="AA8025">
        <v>0.99988809999999995</v>
      </c>
      <c r="AB8025">
        <v>34</v>
      </c>
      <c r="AC8025">
        <v>-1.5278999999999801</v>
      </c>
      <c r="AD8025">
        <v>-1.110650960047</v>
      </c>
      <c r="AE8025">
        <v>69.205349999999996</v>
      </c>
      <c r="AF8025">
        <v>-0.92506803804125803</v>
      </c>
      <c r="AG8025">
        <v>-1.110650960047</v>
      </c>
      <c r="AH8025">
        <v>69.1982157095578</v>
      </c>
      <c r="AI8025">
        <v>90.919452391122604</v>
      </c>
      <c r="AJ8025">
        <v>90.765906125113204</v>
      </c>
      <c r="AK8025">
        <v>69.213310524902298</v>
      </c>
      <c r="AL8025">
        <v>76.413699688666696</v>
      </c>
      <c r="AM8025">
        <v>93.150373778780505</v>
      </c>
      <c r="AN8025">
        <v>0.99999997460632495</v>
      </c>
    </row>
    <row r="8026" spans="1:40" x14ac:dyDescent="0.25">
      <c r="A8026" t="str">
        <f>"20190304154951098"</f>
        <v>20190304154951098</v>
      </c>
      <c r="B8026" t="str">
        <f>"1551685791095407"</f>
        <v>1551685791095407</v>
      </c>
      <c r="C8026" t="s">
        <v>40</v>
      </c>
      <c r="D8026">
        <v>4.8920320000000004</v>
      </c>
      <c r="E8026">
        <v>0.51306149999999995</v>
      </c>
      <c r="F8026" t="s">
        <v>79</v>
      </c>
      <c r="G8026">
        <v>-188.93170000000001</v>
      </c>
      <c r="H8026" s="1">
        <v>-8.1559309999999898E-7</v>
      </c>
      <c r="I8026">
        <v>120.84350000000001</v>
      </c>
      <c r="J8026">
        <v>-187.48179999999999</v>
      </c>
      <c r="K8026">
        <v>1.11063</v>
      </c>
      <c r="L8026">
        <v>54.054200000000002</v>
      </c>
      <c r="M8026">
        <v>-8.9722780000000002E-3</v>
      </c>
      <c r="N8026">
        <v>-9.1301920000000005E-3</v>
      </c>
      <c r="O8026">
        <v>0.99991799999999997</v>
      </c>
      <c r="P8026">
        <v>-6.2060799999999999E-2</v>
      </c>
      <c r="Q8026">
        <v>0.2258936</v>
      </c>
      <c r="R8026">
        <v>0.97217310000000001</v>
      </c>
      <c r="S8026">
        <v>-6.6986080000000003E-2</v>
      </c>
      <c r="T8026">
        <v>-5.1206710000000003E-2</v>
      </c>
      <c r="U8026">
        <v>3.0935969999999999</v>
      </c>
      <c r="V8026">
        <v>-5.3490669999999997E-2</v>
      </c>
      <c r="W8026">
        <v>0.2347294</v>
      </c>
      <c r="X8026">
        <v>0.97058789999999995</v>
      </c>
      <c r="Y8026">
        <v>-1.267456E-2</v>
      </c>
      <c r="Z8026">
        <v>-7.417865E-3</v>
      </c>
      <c r="AA8026">
        <v>0.99989220000000001</v>
      </c>
      <c r="AB8026">
        <v>34</v>
      </c>
      <c r="AC8026">
        <v>-1.44990000000001</v>
      </c>
      <c r="AD8026">
        <v>-1.1106308155931</v>
      </c>
      <c r="AE8026">
        <v>66.789299999999997</v>
      </c>
      <c r="AF8026">
        <v>-0.85032942751529506</v>
      </c>
      <c r="AG8026">
        <v>-1.1106308155931</v>
      </c>
      <c r="AH8026">
        <v>66.781163250947102</v>
      </c>
      <c r="AI8026">
        <v>90.9527152999256</v>
      </c>
      <c r="AJ8026">
        <v>90.7295119200014</v>
      </c>
      <c r="AK8026">
        <v>66.795810692688605</v>
      </c>
      <c r="AL8026">
        <v>76.424327728721394</v>
      </c>
      <c r="AM8026">
        <v>93.154472038277802</v>
      </c>
      <c r="AN8026">
        <v>1.0000000073138999</v>
      </c>
    </row>
    <row r="8027" spans="1:40" x14ac:dyDescent="0.25">
      <c r="A8027" t="str">
        <f>"20190304154951122"</f>
        <v>20190304154951122</v>
      </c>
      <c r="B8027" t="str">
        <f>"1551685791114928"</f>
        <v>1551685791114928</v>
      </c>
      <c r="C8027" t="s">
        <v>40</v>
      </c>
      <c r="D8027">
        <v>4.5601349999999998</v>
      </c>
      <c r="E8027">
        <v>0.48061300000000001</v>
      </c>
      <c r="F8027" t="s">
        <v>44</v>
      </c>
      <c r="G8027">
        <v>-188.91</v>
      </c>
      <c r="H8027" s="1">
        <v>-4.3746490000000003E-6</v>
      </c>
      <c r="I8027">
        <v>119.37949999999999</v>
      </c>
      <c r="J8027">
        <v>-187.48519999999999</v>
      </c>
      <c r="K8027">
        <v>1.1106180000000001</v>
      </c>
      <c r="L8027">
        <v>54.405639999999998</v>
      </c>
      <c r="M8027">
        <v>-9.2324409999999992E-3</v>
      </c>
      <c r="N8027">
        <v>-9.1374669999999998E-3</v>
      </c>
      <c r="O8027">
        <v>0.99991569999999996</v>
      </c>
      <c r="P8027">
        <v>-6.2591750000000002E-2</v>
      </c>
      <c r="Q8027">
        <v>0.227878</v>
      </c>
      <c r="R8027">
        <v>0.97167579999999998</v>
      </c>
      <c r="S8027">
        <v>-6.7642209999999994E-2</v>
      </c>
      <c r="T8027">
        <v>-5.2599189999999997E-2</v>
      </c>
      <c r="U8027">
        <v>3.0937809999999999</v>
      </c>
      <c r="V8027">
        <v>-5.3758300000000002E-2</v>
      </c>
      <c r="W8027">
        <v>0.23672019999999999</v>
      </c>
      <c r="X8027">
        <v>0.97008950000000005</v>
      </c>
      <c r="Y8027">
        <v>-1.2624979999999999E-2</v>
      </c>
      <c r="Z8027">
        <v>-7.8594049999999999E-3</v>
      </c>
      <c r="AA8027">
        <v>0.99988940000000004</v>
      </c>
      <c r="AB8027">
        <v>34</v>
      </c>
      <c r="AC8027">
        <v>-1.4248000000000001</v>
      </c>
      <c r="AD8027">
        <v>-1.110622374649</v>
      </c>
      <c r="AE8027">
        <v>64.973859999999902</v>
      </c>
      <c r="AF8027">
        <v>-0.82460611821805996</v>
      </c>
      <c r="AG8027">
        <v>-1.110622374649</v>
      </c>
      <c r="AH8027">
        <v>64.965272871279197</v>
      </c>
      <c r="AI8027">
        <v>90.979333261090503</v>
      </c>
      <c r="AJ8027">
        <v>90.7272179604998</v>
      </c>
      <c r="AK8027">
        <v>64.979997972830404</v>
      </c>
      <c r="AL8027">
        <v>76.306955925371597</v>
      </c>
      <c r="AM8027">
        <v>93.171848133969903</v>
      </c>
      <c r="AN8027">
        <v>1.0000000229585799</v>
      </c>
    </row>
    <row r="8028" spans="1:40" x14ac:dyDescent="0.25">
      <c r="A8028" t="str">
        <f>"20190304154951144"</f>
        <v>20190304154951144</v>
      </c>
      <c r="B8028" t="str">
        <f>"1551685791135423"</f>
        <v>1551685791135423</v>
      </c>
      <c r="C8028" t="s">
        <v>40</v>
      </c>
      <c r="D8028">
        <v>4.5230810000000004</v>
      </c>
      <c r="E8028">
        <v>0.47725269999999997</v>
      </c>
      <c r="F8028" t="s">
        <v>44</v>
      </c>
      <c r="G8028">
        <v>-190.6893</v>
      </c>
      <c r="H8028" s="1">
        <v>-2.44488E-6</v>
      </c>
      <c r="I8028">
        <v>84.86063</v>
      </c>
      <c r="J8028">
        <v>-187.48859999999999</v>
      </c>
      <c r="K8028">
        <v>1.1105929999999999</v>
      </c>
      <c r="L8028">
        <v>54.747860000000003</v>
      </c>
      <c r="M8028">
        <v>-9.4368079999999997E-3</v>
      </c>
      <c r="N8028">
        <v>-9.1445399999999996E-3</v>
      </c>
      <c r="O8028">
        <v>0.99991359999999996</v>
      </c>
      <c r="P8028">
        <v>-6.329311E-2</v>
      </c>
      <c r="Q8028">
        <v>0.22929269999999999</v>
      </c>
      <c r="R8028">
        <v>0.97129750000000004</v>
      </c>
      <c r="S8028">
        <v>-0.3254089</v>
      </c>
      <c r="T8028">
        <v>-0.11279260000000001</v>
      </c>
      <c r="U8028">
        <v>3.0929570000000002</v>
      </c>
      <c r="V8028">
        <v>-5.4244929999999997E-2</v>
      </c>
      <c r="W8028">
        <v>0.23814270000000001</v>
      </c>
      <c r="X8028">
        <v>0.96971419999999997</v>
      </c>
      <c r="Y8028">
        <v>-9.5183920000000005E-2</v>
      </c>
      <c r="Z8028">
        <v>-2.7122770000000001E-2</v>
      </c>
      <c r="AA8028">
        <v>0.99509009999999998</v>
      </c>
      <c r="AB8028">
        <v>34</v>
      </c>
      <c r="AC8028">
        <v>-3.2007000000000101</v>
      </c>
      <c r="AD8028">
        <v>-1.1105954448799999</v>
      </c>
      <c r="AE8028">
        <v>30.112770000000001</v>
      </c>
      <c r="AF8028">
        <v>-2.9124598004829099</v>
      </c>
      <c r="AG8028">
        <v>-1.1105954448799999</v>
      </c>
      <c r="AH8028">
        <v>30.1011478027214</v>
      </c>
      <c r="AI8028">
        <v>92.103182380699394</v>
      </c>
      <c r="AJ8028">
        <v>95.526494478638696</v>
      </c>
      <c r="AK8028">
        <v>30.262104080398899</v>
      </c>
      <c r="AL8028">
        <v>76.223053714575499</v>
      </c>
      <c r="AM8028">
        <v>93.201736948740603</v>
      </c>
      <c r="AN8028">
        <v>1.00000004383781</v>
      </c>
    </row>
    <row r="8029" spans="1:40" x14ac:dyDescent="0.25">
      <c r="A8029" t="str">
        <f>"20190304154951166"</f>
        <v>20190304154951166</v>
      </c>
      <c r="B8029" t="str">
        <f>"1551685791154948"</f>
        <v>1551685791154948</v>
      </c>
      <c r="C8029" t="s">
        <v>40</v>
      </c>
      <c r="D8029">
        <v>4.4664479999999998</v>
      </c>
      <c r="E8029">
        <v>0.47591349999999999</v>
      </c>
      <c r="F8029" t="s">
        <v>44</v>
      </c>
      <c r="G8029">
        <v>-191.393</v>
      </c>
      <c r="H8029" s="1">
        <v>-4.2569389999999999E-6</v>
      </c>
      <c r="I8029">
        <v>88.769909999999996</v>
      </c>
      <c r="J8029">
        <v>-187.49189999999999</v>
      </c>
      <c r="K8029">
        <v>1.1105609999999999</v>
      </c>
      <c r="L8029">
        <v>55.089289999999998</v>
      </c>
      <c r="M8029">
        <v>-9.5872660000000005E-3</v>
      </c>
      <c r="N8029">
        <v>-9.1515850000000003E-3</v>
      </c>
      <c r="O8029">
        <v>0.99991209999999997</v>
      </c>
      <c r="P8029">
        <v>-6.4177360000000003E-2</v>
      </c>
      <c r="Q8029">
        <v>0.22947680000000001</v>
      </c>
      <c r="R8029">
        <v>0.97119599999999995</v>
      </c>
      <c r="S8029">
        <v>-0.35453800000000002</v>
      </c>
      <c r="T8029">
        <v>-0.1008472</v>
      </c>
      <c r="U8029">
        <v>3.0893549999999999</v>
      </c>
      <c r="V8029">
        <v>-5.4959840000000003E-2</v>
      </c>
      <c r="W8029">
        <v>0.2383381</v>
      </c>
      <c r="X8029">
        <v>0.96962590000000004</v>
      </c>
      <c r="Y8029">
        <v>-0.1044317</v>
      </c>
      <c r="Z8029">
        <v>-2.3285239999999999E-2</v>
      </c>
      <c r="AA8029">
        <v>0.99425940000000002</v>
      </c>
      <c r="AB8029">
        <v>34</v>
      </c>
      <c r="AC8029">
        <v>-3.9011000000000098</v>
      </c>
      <c r="AD8029">
        <v>-1.1105652569390001</v>
      </c>
      <c r="AE8029">
        <v>33.680619999999898</v>
      </c>
      <c r="AF8029">
        <v>-3.5741675310894401</v>
      </c>
      <c r="AG8029">
        <v>-1.1105652569390001</v>
      </c>
      <c r="AH8029">
        <v>33.680340331286402</v>
      </c>
      <c r="AI8029">
        <v>91.878031755105297</v>
      </c>
      <c r="AJ8029">
        <v>96.057573552139402</v>
      </c>
      <c r="AK8029">
        <v>33.887657835287101</v>
      </c>
      <c r="AL8029">
        <v>76.211525722278907</v>
      </c>
      <c r="AM8029">
        <v>93.244138833545506</v>
      </c>
      <c r="AN8029">
        <v>1.0000000099376201</v>
      </c>
    </row>
    <row r="8030" spans="1:40" x14ac:dyDescent="0.25">
      <c r="A8030" t="str">
        <f>"20190304154951188"</f>
        <v>20190304154951188</v>
      </c>
      <c r="B8030" t="str">
        <f>"1551685791185199"</f>
        <v>1551685791185199</v>
      </c>
      <c r="C8030" t="s">
        <v>40</v>
      </c>
      <c r="D8030">
        <v>4.4344479999999997</v>
      </c>
      <c r="E8030">
        <v>0.47541050000000001</v>
      </c>
      <c r="F8030" t="s">
        <v>44</v>
      </c>
      <c r="G8030">
        <v>-191.3776</v>
      </c>
      <c r="H8030" s="1">
        <v>-3.8567099999999997E-6</v>
      </c>
      <c r="I8030">
        <v>87.724769999999907</v>
      </c>
      <c r="J8030">
        <v>-187.49520000000001</v>
      </c>
      <c r="K8030">
        <v>1.1105179999999999</v>
      </c>
      <c r="L8030">
        <v>55.418640000000003</v>
      </c>
      <c r="M8030">
        <v>-9.6845469999999999E-3</v>
      </c>
      <c r="N8030">
        <v>-9.158401E-3</v>
      </c>
      <c r="O8030">
        <v>0.9999112</v>
      </c>
      <c r="P8030">
        <v>-6.6216120000000003E-2</v>
      </c>
      <c r="Q8030">
        <v>0.2298762</v>
      </c>
      <c r="R8030">
        <v>0.97096470000000001</v>
      </c>
      <c r="S8030">
        <v>-0.36784359999999999</v>
      </c>
      <c r="T8030">
        <v>-0.10513400000000001</v>
      </c>
      <c r="U8030">
        <v>3.0895079999999999</v>
      </c>
      <c r="V8030">
        <v>-5.6882309999999998E-2</v>
      </c>
      <c r="W8030">
        <v>0.2387475</v>
      </c>
      <c r="X8030">
        <v>0.96941429999999995</v>
      </c>
      <c r="Y8030">
        <v>-0.1085474</v>
      </c>
      <c r="Z8030">
        <v>-2.4638340000000002E-2</v>
      </c>
      <c r="AA8030">
        <v>0.9937859</v>
      </c>
      <c r="AB8030">
        <v>34</v>
      </c>
      <c r="AC8030">
        <v>-3.8823999999999899</v>
      </c>
      <c r="AD8030">
        <v>-1.1105218567099999</v>
      </c>
      <c r="AE8030">
        <v>32.306129999999897</v>
      </c>
      <c r="AF8030">
        <v>-3.5651817913096799</v>
      </c>
      <c r="AG8030">
        <v>-1.1105218567099999</v>
      </c>
      <c r="AH8030">
        <v>32.3045868169866</v>
      </c>
      <c r="AI8030">
        <v>91.956986449617602</v>
      </c>
      <c r="AJ8030">
        <v>96.297760966236794</v>
      </c>
      <c r="AK8030">
        <v>32.519688027647902</v>
      </c>
      <c r="AL8030">
        <v>76.187371766262501</v>
      </c>
      <c r="AM8030">
        <v>93.358093266106295</v>
      </c>
      <c r="AN8030">
        <v>1.0000000254958299</v>
      </c>
    </row>
    <row r="8031" spans="1:40" x14ac:dyDescent="0.25">
      <c r="A8031" t="str">
        <f>"20190304154951201"</f>
        <v>20190304154951201</v>
      </c>
      <c r="B8031" t="str">
        <f>"1551685791194959"</f>
        <v>1551685791194959</v>
      </c>
      <c r="C8031" t="s">
        <v>40</v>
      </c>
      <c r="D8031">
        <v>4.5064000000000002</v>
      </c>
      <c r="E8031">
        <v>0.47525230000000002</v>
      </c>
      <c r="F8031" t="s">
        <v>44</v>
      </c>
      <c r="G8031">
        <v>-192.0556</v>
      </c>
      <c r="H8031" s="1">
        <v>-1.8697249999999999E-6</v>
      </c>
      <c r="I8031">
        <v>92.672560000000004</v>
      </c>
      <c r="J8031">
        <v>-187.4973</v>
      </c>
      <c r="K8031">
        <v>1.110487</v>
      </c>
      <c r="L8031">
        <v>55.6318699999999</v>
      </c>
      <c r="M8031">
        <v>-9.7257090000000008E-3</v>
      </c>
      <c r="N8031">
        <v>-9.1628379999999995E-3</v>
      </c>
      <c r="O8031">
        <v>0.99991070000000004</v>
      </c>
      <c r="P8031">
        <v>-6.7028149999999995E-2</v>
      </c>
      <c r="Q8031">
        <v>0.22970750000000001</v>
      </c>
      <c r="R8031">
        <v>0.9709489</v>
      </c>
      <c r="S8031">
        <v>-0.37773129999999999</v>
      </c>
      <c r="T8031">
        <v>-9.1983800000000004E-2</v>
      </c>
      <c r="U8031">
        <v>3.0857239999999999</v>
      </c>
      <c r="V8031">
        <v>-5.7640440000000001E-2</v>
      </c>
      <c r="W8031">
        <v>0.2385854</v>
      </c>
      <c r="X8031">
        <v>0.96940939999999998</v>
      </c>
      <c r="Y8031">
        <v>-0.1118006</v>
      </c>
      <c r="Z8031">
        <v>-2.0435780000000001E-2</v>
      </c>
      <c r="AA8031">
        <v>0.99352050000000003</v>
      </c>
      <c r="AB8031">
        <v>34</v>
      </c>
      <c r="AC8031">
        <v>-4.5583</v>
      </c>
      <c r="AD8031">
        <v>-1.1104888697249999</v>
      </c>
      <c r="AE8031">
        <v>37.040689999999998</v>
      </c>
      <c r="AF8031">
        <v>-4.1941087997723399</v>
      </c>
      <c r="AG8031">
        <v>-1.1104888697249999</v>
      </c>
      <c r="AH8031">
        <v>37.050467832803101</v>
      </c>
      <c r="AI8031">
        <v>91.705885583266706</v>
      </c>
      <c r="AJ8031">
        <v>96.458383079081798</v>
      </c>
      <c r="AK8031">
        <v>37.3036312010465</v>
      </c>
      <c r="AL8031">
        <v>76.196935425645805</v>
      </c>
      <c r="AM8031">
        <v>93.402762767263098</v>
      </c>
      <c r="AN8031">
        <v>0.99999999911245596</v>
      </c>
    </row>
    <row r="8032" spans="1:40" x14ac:dyDescent="0.25">
      <c r="A8032" t="str">
        <f>"20190304154951222"</f>
        <v>20190304154951222</v>
      </c>
      <c r="B8032" t="str">
        <f>"1551685791215455"</f>
        <v>1551685791215455</v>
      </c>
      <c r="C8032" t="s">
        <v>40</v>
      </c>
      <c r="D8032">
        <v>4.5205840000000004</v>
      </c>
      <c r="E8032">
        <v>0.47506320000000002</v>
      </c>
      <c r="F8032" t="s">
        <v>44</v>
      </c>
      <c r="G8032">
        <v>-192.19</v>
      </c>
      <c r="H8032" s="1">
        <v>-2.312159E-6</v>
      </c>
      <c r="I8032">
        <v>93.620530000000002</v>
      </c>
      <c r="J8032">
        <v>-187.50040000000001</v>
      </c>
      <c r="K8032">
        <v>1.110447</v>
      </c>
      <c r="L8032">
        <v>55.94455</v>
      </c>
      <c r="M8032">
        <v>-9.7606800000000007E-3</v>
      </c>
      <c r="N8032">
        <v>-9.1692890000000006E-3</v>
      </c>
      <c r="O8032">
        <v>0.99991030000000003</v>
      </c>
      <c r="P8032">
        <v>-6.8433110000000005E-2</v>
      </c>
      <c r="Q8032">
        <v>0.22926579999999999</v>
      </c>
      <c r="R8032">
        <v>0.97095529999999997</v>
      </c>
      <c r="S8032">
        <v>-0.3810577</v>
      </c>
      <c r="T8032">
        <v>-9.017551E-2</v>
      </c>
      <c r="U8032">
        <v>3.0848080000000002</v>
      </c>
      <c r="V8032">
        <v>-5.8992889999999999E-2</v>
      </c>
      <c r="W8032">
        <v>0.2381547</v>
      </c>
      <c r="X8032">
        <v>0.96943400000000002</v>
      </c>
      <c r="Y8032">
        <v>-0.11285829999999999</v>
      </c>
      <c r="Z8032">
        <v>-1.9852930000000001E-2</v>
      </c>
      <c r="AA8032">
        <v>0.99341270000000004</v>
      </c>
      <c r="AB8032">
        <v>34</v>
      </c>
      <c r="AC8032">
        <v>-4.68959999999998</v>
      </c>
      <c r="AD8032">
        <v>-1.110449312159</v>
      </c>
      <c r="AE8032">
        <v>37.675979999999903</v>
      </c>
      <c r="AF8032">
        <v>-4.3179241917011204</v>
      </c>
      <c r="AG8032">
        <v>-1.110449312159</v>
      </c>
      <c r="AH8032">
        <v>37.687720989413798</v>
      </c>
      <c r="AI8032">
        <v>91.676739693394396</v>
      </c>
      <c r="AJ8032">
        <v>96.535942625298205</v>
      </c>
      <c r="AK8032">
        <v>37.950518841987602</v>
      </c>
      <c r="AL8032">
        <v>76.222345902113204</v>
      </c>
      <c r="AM8032">
        <v>93.482321308619007</v>
      </c>
      <c r="AN8032">
        <v>1.0000000512793099</v>
      </c>
    </row>
    <row r="8033" spans="1:40" x14ac:dyDescent="0.25">
      <c r="A8033" t="str">
        <f>"20190304154951246"</f>
        <v>20190304154951246</v>
      </c>
      <c r="B8033" t="str">
        <f>"1551685791234975"</f>
        <v>1551685791234975</v>
      </c>
      <c r="C8033" t="s">
        <v>40</v>
      </c>
      <c r="D8033">
        <v>4.5810909999999998</v>
      </c>
      <c r="E8033">
        <v>0.47504020000000002</v>
      </c>
      <c r="F8033" t="s">
        <v>44</v>
      </c>
      <c r="G8033">
        <v>-192.35560000000001</v>
      </c>
      <c r="H8033" s="1">
        <v>-2.7988589999999999E-6</v>
      </c>
      <c r="I8033">
        <v>94.652330000000006</v>
      </c>
      <c r="J8033">
        <v>-187.50409999999999</v>
      </c>
      <c r="K8033">
        <v>1.1104069999999999</v>
      </c>
      <c r="L8033">
        <v>56.316989999999997</v>
      </c>
      <c r="M8033">
        <v>-9.7581500000000002E-3</v>
      </c>
      <c r="N8033">
        <v>-9.1768969999999998E-3</v>
      </c>
      <c r="O8033">
        <v>0.99991030000000003</v>
      </c>
      <c r="P8033">
        <v>-6.9735850000000002E-2</v>
      </c>
      <c r="Q8033">
        <v>0.2288396</v>
      </c>
      <c r="R8033">
        <v>0.97096309999999997</v>
      </c>
      <c r="S8033">
        <v>-0.38674930000000002</v>
      </c>
      <c r="T8033">
        <v>-8.8455919999999993E-2</v>
      </c>
      <c r="U8033">
        <v>3.0833740000000001</v>
      </c>
      <c r="V8033">
        <v>-6.0277749999999998E-2</v>
      </c>
      <c r="W8033">
        <v>0.2377407</v>
      </c>
      <c r="X8033">
        <v>0.9694566</v>
      </c>
      <c r="Y8033">
        <v>-0.1147238</v>
      </c>
      <c r="Z8033">
        <v>-1.9299319999999998E-2</v>
      </c>
      <c r="AA8033">
        <v>0.99321000000000004</v>
      </c>
      <c r="AB8033">
        <v>34</v>
      </c>
      <c r="AC8033">
        <v>-4.8515000000000104</v>
      </c>
      <c r="AD8033">
        <v>-1.11040979885899</v>
      </c>
      <c r="AE8033">
        <v>38.335340000000002</v>
      </c>
      <c r="AF8033">
        <v>-4.4734771154350401</v>
      </c>
      <c r="AG8033">
        <v>-1.11040979885899</v>
      </c>
      <c r="AH8033">
        <v>38.349190070545397</v>
      </c>
      <c r="AI8033">
        <v>91.647385036108105</v>
      </c>
      <c r="AJ8033">
        <v>96.653547931660199</v>
      </c>
      <c r="AK8033">
        <v>38.625191086783502</v>
      </c>
      <c r="AL8033">
        <v>76.246768110951393</v>
      </c>
      <c r="AM8033">
        <v>93.557890469325599</v>
      </c>
      <c r="AN8033">
        <v>1.00000007343255</v>
      </c>
    </row>
    <row r="8034" spans="1:40" x14ac:dyDescent="0.25">
      <c r="A8034" t="str">
        <f>"20190304154951268"</f>
        <v>20190304154951268</v>
      </c>
      <c r="B8034" t="str">
        <f>"1551685791264765"</f>
        <v>1551685791264765</v>
      </c>
      <c r="C8034" t="s">
        <v>40</v>
      </c>
      <c r="D8034">
        <v>4.5384089999999997</v>
      </c>
      <c r="E8034">
        <v>0.4752557</v>
      </c>
      <c r="F8034" t="s">
        <v>44</v>
      </c>
      <c r="G8034">
        <v>-192.41550000000001</v>
      </c>
      <c r="H8034" s="1">
        <v>-2.9988259999999999E-6</v>
      </c>
      <c r="I8034">
        <v>95.081280000000007</v>
      </c>
      <c r="J8034">
        <v>-187.50739999999999</v>
      </c>
      <c r="K8034">
        <v>1.110371</v>
      </c>
      <c r="L8034">
        <v>56.653440000000003</v>
      </c>
      <c r="M8034">
        <v>-9.7118350000000003E-3</v>
      </c>
      <c r="N8034">
        <v>-9.1837599999999991E-3</v>
      </c>
      <c r="O8034">
        <v>0.99991070000000004</v>
      </c>
      <c r="P8034">
        <v>-7.0858690000000002E-2</v>
      </c>
      <c r="Q8034">
        <v>0.2286859</v>
      </c>
      <c r="R8034">
        <v>0.97091810000000001</v>
      </c>
      <c r="S8034">
        <v>-0.39054870000000003</v>
      </c>
      <c r="T8034">
        <v>-8.8298440000000006E-2</v>
      </c>
      <c r="U8034">
        <v>3.0824889999999998</v>
      </c>
      <c r="V8034">
        <v>-6.1427259999999997E-2</v>
      </c>
      <c r="W8034">
        <v>0.23759849999999999</v>
      </c>
      <c r="X8034">
        <v>0.96941920000000004</v>
      </c>
      <c r="Y8034">
        <v>-0.1160099</v>
      </c>
      <c r="Z8034">
        <v>-1.9245640000000001E-2</v>
      </c>
      <c r="AA8034">
        <v>0.99306159999999999</v>
      </c>
      <c r="AB8034">
        <v>34</v>
      </c>
      <c r="AC8034">
        <v>-4.9081000000000099</v>
      </c>
      <c r="AD8034">
        <v>-1.110373998826</v>
      </c>
      <c r="AE8034">
        <v>38.427840000000003</v>
      </c>
      <c r="AF8034">
        <v>-4.5309256873021697</v>
      </c>
      <c r="AG8034">
        <v>-1.110373998826</v>
      </c>
      <c r="AH8034">
        <v>38.4421151807502</v>
      </c>
      <c r="AI8034">
        <v>91.643121767203098</v>
      </c>
      <c r="AJ8034">
        <v>96.722073430871404</v>
      </c>
      <c r="AK8034">
        <v>38.724132496044199</v>
      </c>
      <c r="AL8034">
        <v>76.255154469843902</v>
      </c>
      <c r="AM8034">
        <v>93.625700439337805</v>
      </c>
      <c r="AN8034">
        <v>0.99999997040099797</v>
      </c>
    </row>
    <row r="8035" spans="1:40" x14ac:dyDescent="0.25">
      <c r="A8035" t="str">
        <f>"20190304154951292"</f>
        <v>20190304154951292</v>
      </c>
      <c r="B8035" t="str">
        <f>"1551685791285261"</f>
        <v>1551685791285261</v>
      </c>
      <c r="C8035" t="s">
        <v>40</v>
      </c>
      <c r="D8035">
        <v>4.458704</v>
      </c>
      <c r="E8035">
        <v>0.47528229999999999</v>
      </c>
      <c r="F8035" t="s">
        <v>44</v>
      </c>
      <c r="G8035">
        <v>-192.6232</v>
      </c>
      <c r="H8035" s="1">
        <v>-3.8199660000000002E-6</v>
      </c>
      <c r="I8035">
        <v>96.866550000000004</v>
      </c>
      <c r="J8035">
        <v>-187.51070000000001</v>
      </c>
      <c r="K8035">
        <v>1.110331</v>
      </c>
      <c r="L8035">
        <v>57.008299999999998</v>
      </c>
      <c r="M8035">
        <v>-9.6169710000000002E-3</v>
      </c>
      <c r="N8035">
        <v>-9.1909899999999996E-3</v>
      </c>
      <c r="O8035">
        <v>0.99991149999999995</v>
      </c>
      <c r="P8035">
        <v>-7.1410979999999999E-2</v>
      </c>
      <c r="Q8035">
        <v>0.2287218</v>
      </c>
      <c r="R8035">
        <v>0.97086910000000004</v>
      </c>
      <c r="S8035">
        <v>-0.39199830000000002</v>
      </c>
      <c r="T8035">
        <v>-8.5081580000000004E-2</v>
      </c>
      <c r="U8035">
        <v>3.081299</v>
      </c>
      <c r="V8035">
        <v>-6.2049149999999997E-2</v>
      </c>
      <c r="W8035">
        <v>0.23764669999999999</v>
      </c>
      <c r="X8035">
        <v>0.9693678</v>
      </c>
      <c r="Y8035">
        <v>-0.1166146</v>
      </c>
      <c r="Z8035">
        <v>-1.8212269999999999E-2</v>
      </c>
      <c r="AA8035">
        <v>0.99301019999999895</v>
      </c>
      <c r="AB8035">
        <v>34</v>
      </c>
      <c r="AC8035">
        <v>-5.1124999999999803</v>
      </c>
      <c r="AD8035">
        <v>-1.1103348199659999</v>
      </c>
      <c r="AE8035">
        <v>39.858249999999998</v>
      </c>
      <c r="AF8035">
        <v>-4.7253241449225802</v>
      </c>
      <c r="AG8035">
        <v>-1.1103348199659999</v>
      </c>
      <c r="AH8035">
        <v>39.875132539078898</v>
      </c>
      <c r="AI8035">
        <v>91.583928668288493</v>
      </c>
      <c r="AJ8035">
        <v>96.758206157676199</v>
      </c>
      <c r="AK8035">
        <v>40.169487508507302</v>
      </c>
      <c r="AL8035">
        <v>76.252311673896401</v>
      </c>
      <c r="AM8035">
        <v>93.662501317063601</v>
      </c>
      <c r="AN8035">
        <v>0.99999999135672601</v>
      </c>
    </row>
    <row r="8036" spans="1:40" x14ac:dyDescent="0.25">
      <c r="A8036" t="str">
        <f>"20190304154951312"</f>
        <v>20190304154951312</v>
      </c>
      <c r="B8036" t="str">
        <f>"1551685791305757"</f>
        <v>1551685791305757</v>
      </c>
      <c r="C8036" t="s">
        <v>40</v>
      </c>
      <c r="D8036">
        <v>4.4591250000000002</v>
      </c>
      <c r="E8036">
        <v>0.47552610000000001</v>
      </c>
      <c r="F8036" t="s">
        <v>44</v>
      </c>
      <c r="G8036">
        <v>-192.63509999999999</v>
      </c>
      <c r="H8036" s="1">
        <v>-3.9259260000000003E-6</v>
      </c>
      <c r="I8036">
        <v>97.149730000000005</v>
      </c>
      <c r="J8036">
        <v>-187.5138</v>
      </c>
      <c r="K8036">
        <v>1.1102860000000001</v>
      </c>
      <c r="L8036">
        <v>57.335239999999999</v>
      </c>
      <c r="M8036">
        <v>-9.4860429999999996E-3</v>
      </c>
      <c r="N8036">
        <v>-9.1977540000000007E-3</v>
      </c>
      <c r="O8036">
        <v>0.99991269999999999</v>
      </c>
      <c r="P8036">
        <v>-7.1862190000000006E-2</v>
      </c>
      <c r="Q8036">
        <v>0.22754450000000001</v>
      </c>
      <c r="R8036">
        <v>0.97111239999999999</v>
      </c>
      <c r="S8036">
        <v>-0.3933411</v>
      </c>
      <c r="T8036">
        <v>-8.5227129999999998E-2</v>
      </c>
      <c r="U8036">
        <v>3.0811769999999998</v>
      </c>
      <c r="V8036">
        <v>-6.260222E-2</v>
      </c>
      <c r="W8036">
        <v>0.23648440000000001</v>
      </c>
      <c r="X8036">
        <v>0.96961649999999999</v>
      </c>
      <c r="Y8036">
        <v>-0.11717519999999999</v>
      </c>
      <c r="Z8036">
        <v>-1.8251759999999999E-2</v>
      </c>
      <c r="AA8036">
        <v>0.99294349999999998</v>
      </c>
      <c r="AB8036">
        <v>34</v>
      </c>
      <c r="AC8036">
        <v>-5.12129999999999</v>
      </c>
      <c r="AD8036">
        <v>-1.110289925926</v>
      </c>
      <c r="AE8036">
        <v>39.814489999999999</v>
      </c>
      <c r="AF8036">
        <v>-4.7397456883948097</v>
      </c>
      <c r="AG8036">
        <v>-1.110289925926</v>
      </c>
      <c r="AH8036">
        <v>39.830810653296297</v>
      </c>
      <c r="AI8036">
        <v>91.585534548511205</v>
      </c>
      <c r="AJ8036">
        <v>96.786113003339807</v>
      </c>
      <c r="AK8036">
        <v>40.127190410107403</v>
      </c>
      <c r="AL8036">
        <v>76.320861228154897</v>
      </c>
      <c r="AM8036">
        <v>93.694111546036595</v>
      </c>
      <c r="AN8036">
        <v>1.0000000332322601</v>
      </c>
    </row>
    <row r="8037" spans="1:40" x14ac:dyDescent="0.25">
      <c r="A8037" t="str">
        <f>"20190304154951334"</f>
        <v>20190304154951334</v>
      </c>
      <c r="B8037" t="str">
        <f>"1551685791325277"</f>
        <v>1551685791325277</v>
      </c>
      <c r="C8037" t="s">
        <v>40</v>
      </c>
      <c r="D8037">
        <v>4.5728339999999896</v>
      </c>
      <c r="E8037">
        <v>0.47564630000000002</v>
      </c>
      <c r="F8037" t="s">
        <v>44</v>
      </c>
      <c r="G8037">
        <v>-192.7587</v>
      </c>
      <c r="H8037" s="1">
        <v>-4.3711289999999997E-6</v>
      </c>
      <c r="I8037">
        <v>98.393590000000003</v>
      </c>
      <c r="J8037">
        <v>-187.51679999999999</v>
      </c>
      <c r="K8037">
        <v>1.1102339999999999</v>
      </c>
      <c r="L8037">
        <v>57.671599999999998</v>
      </c>
      <c r="M8037">
        <v>-9.311092E-3</v>
      </c>
      <c r="N8037">
        <v>-9.2047710000000005E-3</v>
      </c>
      <c r="O8037">
        <v>0.99991430000000003</v>
      </c>
      <c r="P8037">
        <v>-7.1776399999999893E-2</v>
      </c>
      <c r="Q8037">
        <v>0.22608420000000001</v>
      </c>
      <c r="R8037">
        <v>0.97145970000000004</v>
      </c>
      <c r="S8037">
        <v>-0.39340209999999998</v>
      </c>
      <c r="T8037">
        <v>-8.3279249999999999E-2</v>
      </c>
      <c r="U8037">
        <v>3.0796510000000001</v>
      </c>
      <c r="V8037">
        <v>-6.265946E-2</v>
      </c>
      <c r="W8037">
        <v>0.2350409</v>
      </c>
      <c r="X8037">
        <v>0.96996369999999998</v>
      </c>
      <c r="Y8037">
        <v>-0.1174317</v>
      </c>
      <c r="Z8037">
        <v>-1.7630590000000002E-2</v>
      </c>
      <c r="AA8037">
        <v>0.99292449999999999</v>
      </c>
      <c r="AB8037">
        <v>35</v>
      </c>
      <c r="AC8037">
        <v>-5.24190000000001</v>
      </c>
      <c r="AD8037">
        <v>-1.110238371129</v>
      </c>
      <c r="AE8037">
        <v>40.721989999999998</v>
      </c>
      <c r="AF8037">
        <v>-4.8589376316537196</v>
      </c>
      <c r="AG8037">
        <v>-1.110238371129</v>
      </c>
      <c r="AH8037">
        <v>40.739245857633499</v>
      </c>
      <c r="AI8037">
        <v>91.550075028662505</v>
      </c>
      <c r="AJ8037">
        <v>96.8014930018619</v>
      </c>
      <c r="AK8037">
        <v>41.043002536336601</v>
      </c>
      <c r="AL8037">
        <v>76.405966382209897</v>
      </c>
      <c r="AM8037">
        <v>93.696160022192203</v>
      </c>
      <c r="AN8037">
        <v>1.00000000595899</v>
      </c>
    </row>
    <row r="8038" spans="1:40" x14ac:dyDescent="0.25">
      <c r="A8038" t="str">
        <f>"20190304154951355"</f>
        <v>20190304154951355</v>
      </c>
      <c r="B8038" t="str">
        <f>"1551685791344796"</f>
        <v>1551685791344796</v>
      </c>
      <c r="C8038" t="s">
        <v>40</v>
      </c>
      <c r="D8038">
        <v>4.4523469999999996</v>
      </c>
      <c r="E8038">
        <v>0.50776109999999997</v>
      </c>
      <c r="F8038" t="s">
        <v>44</v>
      </c>
      <c r="G8038">
        <v>-192.46789999999999</v>
      </c>
      <c r="H8038" s="1">
        <v>-3.62859E-6</v>
      </c>
      <c r="I8038">
        <v>96.516779999999997</v>
      </c>
      <c r="J8038">
        <v>-187.5198</v>
      </c>
      <c r="K8038">
        <v>1.110195</v>
      </c>
      <c r="L8038">
        <v>58.010800000000003</v>
      </c>
      <c r="M8038">
        <v>-9.1019510000000005E-3</v>
      </c>
      <c r="N8038">
        <v>-9.2118140000000005E-3</v>
      </c>
      <c r="O8038">
        <v>0.99991609999999997</v>
      </c>
      <c r="P8038">
        <v>-7.1562230000000004E-2</v>
      </c>
      <c r="Q8038">
        <v>0.2256367</v>
      </c>
      <c r="R8038">
        <v>0.97157959999999999</v>
      </c>
      <c r="S8038">
        <v>-0.39251710000000001</v>
      </c>
      <c r="T8038">
        <v>-8.8018890000000002E-2</v>
      </c>
      <c r="U8038">
        <v>3.0796199999999998</v>
      </c>
      <c r="V8038">
        <v>-6.2625990000000006E-2</v>
      </c>
      <c r="W8038">
        <v>0.2346066</v>
      </c>
      <c r="X8038">
        <v>0.97007100000000002</v>
      </c>
      <c r="Y8038">
        <v>-0.1173556</v>
      </c>
      <c r="Z8038">
        <v>-1.9150380000000002E-2</v>
      </c>
      <c r="AA8038">
        <v>0.99290529999999999</v>
      </c>
      <c r="AB8038">
        <v>35</v>
      </c>
      <c r="AC8038">
        <v>-4.9480999999999797</v>
      </c>
      <c r="AD8038">
        <v>-1.1101986285900001</v>
      </c>
      <c r="AE8038">
        <v>38.505980000000001</v>
      </c>
      <c r="AF8038">
        <v>-4.5936440312938798</v>
      </c>
      <c r="AG8038">
        <v>-1.1101986285900001</v>
      </c>
      <c r="AH8038">
        <v>38.517925209084801</v>
      </c>
      <c r="AI8038">
        <v>91.639363214583696</v>
      </c>
      <c r="AJ8038">
        <v>96.800967291458605</v>
      </c>
      <c r="AK8038">
        <v>38.806760608092702</v>
      </c>
      <c r="AL8038">
        <v>76.431565780918106</v>
      </c>
      <c r="AM8038">
        <v>93.693783675541695</v>
      </c>
      <c r="AN8038">
        <v>1.0000000082140199</v>
      </c>
    </row>
    <row r="8039" spans="1:40" x14ac:dyDescent="0.25">
      <c r="A8039" t="str">
        <f>"20190304154951377"</f>
        <v>20190304154951377</v>
      </c>
      <c r="B8039" t="str">
        <f>"1551685791375053"</f>
        <v>1551685791375053</v>
      </c>
      <c r="C8039" t="s">
        <v>40</v>
      </c>
      <c r="D8039">
        <v>4.4966189999999999</v>
      </c>
      <c r="E8039">
        <v>0.5124784</v>
      </c>
      <c r="F8039" t="s">
        <v>44</v>
      </c>
      <c r="G8039">
        <v>-189.33269999999999</v>
      </c>
      <c r="H8039" s="1">
        <v>-4.1489030000000001E-6</v>
      </c>
      <c r="I8039">
        <v>99.028040000000004</v>
      </c>
      <c r="J8039">
        <v>-187.52269999999999</v>
      </c>
      <c r="K8039">
        <v>1.110171</v>
      </c>
      <c r="L8039">
        <v>58.35501</v>
      </c>
      <c r="M8039">
        <v>-8.8593130000000006E-3</v>
      </c>
      <c r="N8039">
        <v>-9.2214619999999997E-3</v>
      </c>
      <c r="O8039">
        <v>0.99991819999999998</v>
      </c>
      <c r="P8039">
        <v>-7.1209239999999993E-2</v>
      </c>
      <c r="Q8039">
        <v>0.22674369999999999</v>
      </c>
      <c r="R8039">
        <v>0.97134779999999998</v>
      </c>
      <c r="S8039">
        <v>-0.1368866</v>
      </c>
      <c r="T8039">
        <v>-8.382916E-2</v>
      </c>
      <c r="U8039">
        <v>3.097137</v>
      </c>
      <c r="V8039">
        <v>-6.2492010000000001E-2</v>
      </c>
      <c r="W8039">
        <v>0.23572589999999999</v>
      </c>
      <c r="X8039">
        <v>0.96980829999999996</v>
      </c>
      <c r="Y8039">
        <v>-3.5288989999999999E-2</v>
      </c>
      <c r="Z8039">
        <v>-1.781611E-2</v>
      </c>
      <c r="AA8039">
        <v>0.9992183</v>
      </c>
      <c r="AB8039">
        <v>35</v>
      </c>
      <c r="AC8039">
        <v>-1.81</v>
      </c>
      <c r="AD8039">
        <v>-1.1101751489030001</v>
      </c>
      <c r="AE8039">
        <v>40.673029999999997</v>
      </c>
      <c r="AF8039">
        <v>-1.4485014890372601</v>
      </c>
      <c r="AG8039">
        <v>-1.1101751489030001</v>
      </c>
      <c r="AH8039">
        <v>40.657238981839697</v>
      </c>
      <c r="AI8039">
        <v>91.563122581542004</v>
      </c>
      <c r="AJ8039">
        <v>92.040422236288705</v>
      </c>
      <c r="AK8039">
        <v>40.698178424241597</v>
      </c>
      <c r="AL8039">
        <v>76.365584678770105</v>
      </c>
      <c r="AM8039">
        <v>93.686898800626693</v>
      </c>
      <c r="AN8039">
        <v>1.0000000449967601</v>
      </c>
    </row>
    <row r="8040" spans="1:40" x14ac:dyDescent="0.25">
      <c r="A8040" t="str">
        <f>"20190304154951400"</f>
        <v>20190304154951400</v>
      </c>
      <c r="B8040" t="str">
        <f>"1551685791395548"</f>
        <v>1551685791395548</v>
      </c>
      <c r="C8040" t="s">
        <v>40</v>
      </c>
      <c r="D8040">
        <v>4.5147449999999996</v>
      </c>
      <c r="E8040">
        <v>0.51475389999999999</v>
      </c>
      <c r="F8040" t="s">
        <v>79</v>
      </c>
      <c r="G8040">
        <v>-189.91489999999999</v>
      </c>
      <c r="H8040" s="1">
        <v>-5.6715529999999998E-6</v>
      </c>
      <c r="I8040">
        <v>132.17189999999999</v>
      </c>
      <c r="J8040">
        <v>-187.52549999999999</v>
      </c>
      <c r="K8040">
        <v>1.110152</v>
      </c>
      <c r="L8040">
        <v>58.69388</v>
      </c>
      <c r="M8040">
        <v>-8.5960410000000004E-3</v>
      </c>
      <c r="N8040">
        <v>-9.2398080000000004E-3</v>
      </c>
      <c r="O8040">
        <v>0.99992040000000004</v>
      </c>
      <c r="P8040">
        <v>-7.0989800000000006E-2</v>
      </c>
      <c r="Q8040">
        <v>0.22841159999999999</v>
      </c>
      <c r="R8040">
        <v>0.97097299999999997</v>
      </c>
      <c r="S8040">
        <v>-0.1002045</v>
      </c>
      <c r="T8040">
        <v>-4.6502590000000003E-2</v>
      </c>
      <c r="U8040">
        <v>3.0920100000000001</v>
      </c>
      <c r="V8040">
        <v>-6.2516000000000002E-2</v>
      </c>
      <c r="W8040">
        <v>0.23741180000000001</v>
      </c>
      <c r="X8040">
        <v>0.96939529999999996</v>
      </c>
      <c r="Y8040">
        <v>-2.3794240000000001E-2</v>
      </c>
      <c r="Z8040">
        <v>-5.7928719999999897E-3</v>
      </c>
      <c r="AA8040">
        <v>0.99970009999999998</v>
      </c>
      <c r="AB8040">
        <v>35</v>
      </c>
      <c r="AC8040">
        <v>-2.38939999999999</v>
      </c>
      <c r="AD8040">
        <v>-1.1101576715529999</v>
      </c>
      <c r="AE8040">
        <v>73.478019999999901</v>
      </c>
      <c r="AF8040">
        <v>-1.7572639866842701</v>
      </c>
      <c r="AG8040">
        <v>-1.1101576715529999</v>
      </c>
      <c r="AH8040">
        <v>73.479089688885395</v>
      </c>
      <c r="AI8040">
        <v>90.865339140994294</v>
      </c>
      <c r="AJ8040">
        <v>91.369976439301496</v>
      </c>
      <c r="AK8040">
        <v>73.508482832132103</v>
      </c>
      <c r="AL8040">
        <v>76.2661661320533</v>
      </c>
      <c r="AM8040">
        <v>93.689877277727504</v>
      </c>
      <c r="AN8040">
        <v>0.99999993034866197</v>
      </c>
    </row>
    <row r="8041" spans="1:40" x14ac:dyDescent="0.25">
      <c r="A8041" t="str">
        <f>"20190304154951422"</f>
        <v>20190304154951422</v>
      </c>
      <c r="B8041" t="str">
        <f>"1551685791415069"</f>
        <v>1551685791415069</v>
      </c>
      <c r="C8041" t="s">
        <v>40</v>
      </c>
      <c r="D8041">
        <v>4.4723439999999997</v>
      </c>
      <c r="E8041">
        <v>0.51594640000000003</v>
      </c>
      <c r="F8041" t="s">
        <v>44</v>
      </c>
      <c r="G8041">
        <v>-190.34059999999999</v>
      </c>
      <c r="H8041" s="1">
        <v>-2.2836E-6</v>
      </c>
      <c r="I8041">
        <v>164.23079999999999</v>
      </c>
      <c r="J8041">
        <v>-187.5283</v>
      </c>
      <c r="K8041">
        <v>1.1101369999999999</v>
      </c>
      <c r="L8041">
        <v>59.049160000000001</v>
      </c>
      <c r="M8041">
        <v>-8.3010289999999997E-3</v>
      </c>
      <c r="N8041">
        <v>-9.2645249999999991E-3</v>
      </c>
      <c r="O8041">
        <v>0.99992259999999999</v>
      </c>
      <c r="P8041">
        <v>-7.0675109999999999E-2</v>
      </c>
      <c r="Q8041">
        <v>0.2293261</v>
      </c>
      <c r="R8041">
        <v>0.97078039999999999</v>
      </c>
      <c r="S8041">
        <v>-8.2458500000000004E-2</v>
      </c>
      <c r="T8041">
        <v>-3.2517789999999998E-2</v>
      </c>
      <c r="U8041">
        <v>3.0913089999999999</v>
      </c>
      <c r="V8041">
        <v>-6.2476700000000003E-2</v>
      </c>
      <c r="W8041">
        <v>0.23835110000000001</v>
      </c>
      <c r="X8041">
        <v>0.96916740000000001</v>
      </c>
      <c r="Y8041">
        <v>-1.8363770000000001E-2</v>
      </c>
      <c r="Z8041">
        <v>-1.251783E-3</v>
      </c>
      <c r="AA8041">
        <v>0.99983060000000001</v>
      </c>
      <c r="AB8041">
        <v>35</v>
      </c>
      <c r="AC8041">
        <v>-2.8122999999999898</v>
      </c>
      <c r="AD8041">
        <v>-1.1101392835999999</v>
      </c>
      <c r="AE8041">
        <v>105.18164</v>
      </c>
      <c r="AF8041">
        <v>-1.93883392860229</v>
      </c>
      <c r="AG8041">
        <v>-1.1101392835999999</v>
      </c>
      <c r="AH8041">
        <v>105.189652249758</v>
      </c>
      <c r="AI8041">
        <v>90.604556934644506</v>
      </c>
      <c r="AJ8041">
        <v>91.055944397326002</v>
      </c>
      <c r="AK8041">
        <v>105.213375702221</v>
      </c>
      <c r="AL8041">
        <v>76.210758874478799</v>
      </c>
      <c r="AM8041">
        <v>93.6884288173069</v>
      </c>
      <c r="AN8041">
        <v>1.00000001706842</v>
      </c>
    </row>
    <row r="8042" spans="1:40" x14ac:dyDescent="0.25">
      <c r="A8042" t="str">
        <f>"20190304154951445"</f>
        <v>20190304154951445</v>
      </c>
      <c r="B8042" t="str">
        <f>"1551685791435568"</f>
        <v>1551685791435568</v>
      </c>
      <c r="C8042" t="s">
        <v>40</v>
      </c>
      <c r="D8042">
        <v>4.529102</v>
      </c>
      <c r="E8042">
        <v>0.51751659999999999</v>
      </c>
      <c r="F8042" t="s">
        <v>44</v>
      </c>
      <c r="G8042">
        <v>-190.56630000000001</v>
      </c>
      <c r="H8042" s="1">
        <v>-3.9566770000000002E-6</v>
      </c>
      <c r="I8042">
        <v>188.46100000000001</v>
      </c>
      <c r="J8042">
        <v>-187.53100000000001</v>
      </c>
      <c r="K8042">
        <v>1.1101350000000001</v>
      </c>
      <c r="L8042">
        <v>59.405880000000003</v>
      </c>
      <c r="M8042">
        <v>-7.9930490000000003E-3</v>
      </c>
      <c r="N8042">
        <v>-9.292804E-3</v>
      </c>
      <c r="O8042">
        <v>0.99992490000000001</v>
      </c>
      <c r="P8042">
        <v>-6.9954450000000001E-2</v>
      </c>
      <c r="Q8042">
        <v>0.23013059999999999</v>
      </c>
      <c r="R8042">
        <v>0.97064220000000001</v>
      </c>
      <c r="S8042">
        <v>-7.2570800000000005E-2</v>
      </c>
      <c r="T8042">
        <v>-2.6518110000000001E-2</v>
      </c>
      <c r="U8042">
        <v>3.091278</v>
      </c>
      <c r="V8042">
        <v>-6.2046299999999999E-2</v>
      </c>
      <c r="W8042">
        <v>0.23918410000000001</v>
      </c>
      <c r="X8042">
        <v>0.96898980000000001</v>
      </c>
      <c r="Y8042">
        <v>-1.547629E-2</v>
      </c>
      <c r="Z8042">
        <v>7.1601919999999999E-4</v>
      </c>
      <c r="AA8042">
        <v>0.99987999999999999</v>
      </c>
      <c r="AB8042">
        <v>35</v>
      </c>
      <c r="AC8042">
        <v>-3.0353000000000301</v>
      </c>
      <c r="AD8042">
        <v>-1.1101389566769999</v>
      </c>
      <c r="AE8042">
        <v>129.05511999999999</v>
      </c>
      <c r="AF8042">
        <v>-2.0034664493166199</v>
      </c>
      <c r="AG8042">
        <v>-1.1101389566769999</v>
      </c>
      <c r="AH8042">
        <v>129.06571435855301</v>
      </c>
      <c r="AI8042">
        <v>90.4927493516863</v>
      </c>
      <c r="AJ8042">
        <v>90.889321799777505</v>
      </c>
      <c r="AK8042">
        <v>129.08603684829899</v>
      </c>
      <c r="AL8042">
        <v>76.161609768303094</v>
      </c>
      <c r="AM8042">
        <v>93.663758326108095</v>
      </c>
      <c r="AN8042">
        <v>1.00000000477027</v>
      </c>
    </row>
    <row r="8043" spans="1:40" x14ac:dyDescent="0.25">
      <c r="A8043" t="str">
        <f>"20190304154951468"</f>
        <v>20190304154951468</v>
      </c>
      <c r="B8043" t="str">
        <f>"1551685791464844"</f>
        <v>1551685791464844</v>
      </c>
      <c r="C8043" t="s">
        <v>40</v>
      </c>
      <c r="D8043">
        <v>4.5629580000000001</v>
      </c>
      <c r="E8043">
        <v>0.5191249</v>
      </c>
      <c r="F8043" t="s">
        <v>44</v>
      </c>
      <c r="G8043">
        <v>-190.80860000000001</v>
      </c>
      <c r="H8043" s="1">
        <v>-1.210971E-6</v>
      </c>
      <c r="I8043">
        <v>231.69820000000001</v>
      </c>
      <c r="J8043">
        <v>-187.5335</v>
      </c>
      <c r="K8043">
        <v>1.1101319999999999</v>
      </c>
      <c r="L8043">
        <v>59.759740000000001</v>
      </c>
      <c r="M8043">
        <v>-7.6819219999999999E-3</v>
      </c>
      <c r="N8043">
        <v>-9.3310040000000004E-3</v>
      </c>
      <c r="O8043">
        <v>0.99992700000000001</v>
      </c>
      <c r="P8043">
        <v>-6.9602360000000002E-2</v>
      </c>
      <c r="Q8043">
        <v>0.23062199999999999</v>
      </c>
      <c r="R8043">
        <v>0.97055089999999999</v>
      </c>
      <c r="S8043">
        <v>-5.8807369999999998E-2</v>
      </c>
      <c r="T8043">
        <v>-1.9917730000000002E-2</v>
      </c>
      <c r="U8043">
        <v>3.0912169999999999</v>
      </c>
      <c r="V8043">
        <v>-6.1988990000000001E-2</v>
      </c>
      <c r="W8043">
        <v>0.2397128</v>
      </c>
      <c r="X8043">
        <v>0.96886280000000002</v>
      </c>
      <c r="Y8043">
        <v>-1.1338239999999999E-2</v>
      </c>
      <c r="Z8043">
        <v>2.88829E-3</v>
      </c>
      <c r="AA8043">
        <v>0.99993160000000003</v>
      </c>
      <c r="AB8043">
        <v>35</v>
      </c>
      <c r="AC8043">
        <v>-3.2751000000000001</v>
      </c>
      <c r="AD8043">
        <v>-1.11013321097099</v>
      </c>
      <c r="AE8043">
        <v>171.93845999999999</v>
      </c>
      <c r="AF8043">
        <v>-1.95404663928968</v>
      </c>
      <c r="AG8043">
        <v>-1.11013321097099</v>
      </c>
      <c r="AH8043">
        <v>171.95138083621799</v>
      </c>
      <c r="AI8043">
        <v>90.369877562085904</v>
      </c>
      <c r="AJ8043">
        <v>90.651078263003697</v>
      </c>
      <c r="AK8043">
        <v>171.966066610529</v>
      </c>
      <c r="AL8043">
        <v>76.130409692830696</v>
      </c>
      <c r="AM8043">
        <v>93.660861948964893</v>
      </c>
      <c r="AN8043">
        <v>0.99999999329445</v>
      </c>
    </row>
    <row r="8044" spans="1:40" x14ac:dyDescent="0.25">
      <c r="A8044" t="str">
        <f>"20190304154951489"</f>
        <v>20190304154951489</v>
      </c>
      <c r="B8044" t="str">
        <f>"1551685791485341"</f>
        <v>1551685791485341</v>
      </c>
      <c r="C8044" t="s">
        <v>40</v>
      </c>
      <c r="D8044">
        <v>4.4942979999999997</v>
      </c>
      <c r="E8044">
        <v>0.51954160000000005</v>
      </c>
      <c r="F8044" t="s">
        <v>54</v>
      </c>
      <c r="G8044">
        <v>-190.80709999999999</v>
      </c>
      <c r="H8044" s="1">
        <v>3.9697719999999997E-6</v>
      </c>
      <c r="I8044">
        <v>282.91950000000003</v>
      </c>
      <c r="J8044">
        <v>-187.53579999999999</v>
      </c>
      <c r="K8044">
        <v>1.1101299999999901</v>
      </c>
      <c r="L8044">
        <v>60.083829999999999</v>
      </c>
      <c r="M8044">
        <v>-7.3951889999999999E-3</v>
      </c>
      <c r="N8044">
        <v>-9.3780659999999991E-3</v>
      </c>
      <c r="O8044">
        <v>0.9999287</v>
      </c>
      <c r="P8044">
        <v>-6.9033250000000004E-2</v>
      </c>
      <c r="Q8044">
        <v>0.23097490000000001</v>
      </c>
      <c r="R8044">
        <v>0.97050760000000003</v>
      </c>
      <c r="S8044">
        <v>-4.534912E-2</v>
      </c>
      <c r="T8044">
        <v>-1.5378589999999999E-2</v>
      </c>
      <c r="U8044">
        <v>3.091431</v>
      </c>
      <c r="V8044">
        <v>-6.1693060000000001E-2</v>
      </c>
      <c r="W8044">
        <v>0.2401123</v>
      </c>
      <c r="X8044">
        <v>0.96878280000000006</v>
      </c>
      <c r="Y8044">
        <v>-7.27197E-3</v>
      </c>
      <c r="Z8044">
        <v>4.403672E-3</v>
      </c>
      <c r="AA8044">
        <v>0.99996390000000002</v>
      </c>
      <c r="AB8044">
        <v>35</v>
      </c>
      <c r="AC8044">
        <v>-3.2712999999999899</v>
      </c>
      <c r="AD8044">
        <v>-1.1101260302279901</v>
      </c>
      <c r="AE8044">
        <v>222.83566999999999</v>
      </c>
      <c r="AF8044">
        <v>-1.6231859317009401</v>
      </c>
      <c r="AG8044">
        <v>-1.1101260302279901</v>
      </c>
      <c r="AH8044">
        <v>222.848239453666</v>
      </c>
      <c r="AI8044">
        <v>90.285410928667005</v>
      </c>
      <c r="AJ8044">
        <v>90.417324627862101</v>
      </c>
      <c r="AK8044">
        <v>222.85691584505599</v>
      </c>
      <c r="AL8044">
        <v>76.106831960599095</v>
      </c>
      <c r="AM8044">
        <v>93.643732559031506</v>
      </c>
      <c r="AN8044">
        <v>1.00000003191964</v>
      </c>
    </row>
    <row r="8045" spans="1:40" x14ac:dyDescent="0.25">
      <c r="A8045" t="str">
        <f>"20190304154951512"</f>
        <v>20190304154951512</v>
      </c>
      <c r="B8045" t="str">
        <f>"1551685791504861"</f>
        <v>1551685791504861</v>
      </c>
      <c r="C8045" t="s">
        <v>40</v>
      </c>
      <c r="D8045">
        <v>4.5266029999999997</v>
      </c>
      <c r="E8045">
        <v>0.5200574</v>
      </c>
      <c r="F8045" t="s">
        <v>51</v>
      </c>
      <c r="G8045">
        <v>-191.88499999999999</v>
      </c>
      <c r="H8045">
        <v>0.12630839999999999</v>
      </c>
      <c r="I8045">
        <v>391.87</v>
      </c>
      <c r="J8045">
        <v>-187.53819999999999</v>
      </c>
      <c r="K8045">
        <v>1.110147</v>
      </c>
      <c r="L8045">
        <v>60.450560000000003</v>
      </c>
      <c r="M8045">
        <v>-7.0705619999999999E-3</v>
      </c>
      <c r="N8045">
        <v>-9.441975E-3</v>
      </c>
      <c r="O8045">
        <v>0.9999304</v>
      </c>
      <c r="P8045">
        <v>-6.8732600000000005E-2</v>
      </c>
      <c r="Q8045">
        <v>0.23188700000000001</v>
      </c>
      <c r="R8045">
        <v>0.97031140000000005</v>
      </c>
      <c r="S8045">
        <v>-4.0512079999999999E-2</v>
      </c>
      <c r="T8045">
        <v>-9.1639760000000008E-3</v>
      </c>
      <c r="U8045">
        <v>3.0904850000000001</v>
      </c>
      <c r="V8045">
        <v>-6.1703580000000001E-2</v>
      </c>
      <c r="W8045">
        <v>0.24108560000000001</v>
      </c>
      <c r="X8045">
        <v>0.96854039999999997</v>
      </c>
      <c r="Y8045">
        <v>-6.0362990000000002E-3</v>
      </c>
      <c r="Z8045">
        <v>6.4766839999999999E-3</v>
      </c>
      <c r="AA8045">
        <v>0.99996079999999998</v>
      </c>
      <c r="AB8045">
        <v>35</v>
      </c>
      <c r="AC8045">
        <v>-4.3468</v>
      </c>
      <c r="AD8045">
        <v>-0.98383860000000001</v>
      </c>
      <c r="AE8045">
        <v>331.41944000000001</v>
      </c>
      <c r="AF8045">
        <v>-2.0032474638416802</v>
      </c>
      <c r="AG8045">
        <v>-0.98383860000000001</v>
      </c>
      <c r="AH8045">
        <v>331.43897029250297</v>
      </c>
      <c r="AI8045">
        <v>90.170072349376198</v>
      </c>
      <c r="AJ8045">
        <v>90.346296717247796</v>
      </c>
      <c r="AK8045">
        <v>331.44648431888203</v>
      </c>
      <c r="AL8045">
        <v>76.049378543895401</v>
      </c>
      <c r="AM8045">
        <v>93.645261845692701</v>
      </c>
      <c r="AN8045">
        <v>1.0000000523721599</v>
      </c>
    </row>
    <row r="8046" spans="1:40" x14ac:dyDescent="0.25">
      <c r="A8046" t="str">
        <f>"20190304154951535"</f>
        <v>20190304154951535</v>
      </c>
      <c r="B8046" t="str">
        <f>"1551685791525360"</f>
        <v>1551685791525360</v>
      </c>
      <c r="C8046" t="s">
        <v>40</v>
      </c>
      <c r="D8046">
        <v>4.4725419999999998</v>
      </c>
      <c r="E8046">
        <v>0.51989379999999996</v>
      </c>
      <c r="F8046" t="s">
        <v>51</v>
      </c>
      <c r="G8046">
        <v>-191.351</v>
      </c>
      <c r="H8046">
        <v>0.62849429999999995</v>
      </c>
      <c r="I8046">
        <v>391.87</v>
      </c>
      <c r="J8046">
        <v>-187.54040000000001</v>
      </c>
      <c r="K8046">
        <v>1.1101589999999999</v>
      </c>
      <c r="L8046">
        <v>60.806980000000003</v>
      </c>
      <c r="M8046">
        <v>-6.7547919999999999E-3</v>
      </c>
      <c r="N8046">
        <v>-9.5125190000000005E-3</v>
      </c>
      <c r="O8046">
        <v>0.99993189999999998</v>
      </c>
      <c r="P8046">
        <v>-6.8475629999999996E-2</v>
      </c>
      <c r="Q8046">
        <v>0.23338349999999999</v>
      </c>
      <c r="R8046">
        <v>0.96997080000000002</v>
      </c>
      <c r="S8046">
        <v>-3.5552979999999998E-2</v>
      </c>
      <c r="T8046">
        <v>-4.4912099999999998E-3</v>
      </c>
      <c r="U8046">
        <v>3.0903320000000001</v>
      </c>
      <c r="V8046">
        <v>-6.1749909999999998E-2</v>
      </c>
      <c r="W8046">
        <v>0.24264759999999999</v>
      </c>
      <c r="X8046">
        <v>0.96814719999999999</v>
      </c>
      <c r="Y8046">
        <v>-4.7482870000000003E-3</v>
      </c>
      <c r="Z8046">
        <v>8.0590039999999998E-3</v>
      </c>
      <c r="AA8046">
        <v>0.99995630000000002</v>
      </c>
      <c r="AB8046">
        <v>35</v>
      </c>
      <c r="AC8046">
        <v>-3.8105999999999902</v>
      </c>
      <c r="AD8046">
        <v>-0.4816647</v>
      </c>
      <c r="AE8046">
        <v>331.06301999999999</v>
      </c>
      <c r="AF8046">
        <v>-1.57414661306069</v>
      </c>
      <c r="AG8046">
        <v>-0.4816647</v>
      </c>
      <c r="AH8046">
        <v>331.08050674424697</v>
      </c>
      <c r="AI8046">
        <v>90.083354418311103</v>
      </c>
      <c r="AJ8046">
        <v>90.272414943826703</v>
      </c>
      <c r="AK8046">
        <v>331.084599286149</v>
      </c>
      <c r="AL8046">
        <v>75.957142647227698</v>
      </c>
      <c r="AM8046">
        <v>93.649469074115402</v>
      </c>
      <c r="AN8046">
        <v>0.99999995501930306</v>
      </c>
    </row>
    <row r="8047" spans="1:40" x14ac:dyDescent="0.25">
      <c r="A8047" t="str">
        <f>"20190304154951556"</f>
        <v>20190304154951556</v>
      </c>
      <c r="B8047" t="str">
        <f>"1551685791544880"</f>
        <v>1551685791544880</v>
      </c>
      <c r="C8047" t="s">
        <v>40</v>
      </c>
      <c r="D8047">
        <v>4.5072900000000002</v>
      </c>
      <c r="E8047">
        <v>0.5199473</v>
      </c>
      <c r="F8047" t="s">
        <v>51</v>
      </c>
      <c r="G8047">
        <v>-191.47030000000001</v>
      </c>
      <c r="H8047">
        <v>0.57552340000000002</v>
      </c>
      <c r="I8047">
        <v>391.87</v>
      </c>
      <c r="J8047">
        <v>-187.54239999999999</v>
      </c>
      <c r="K8047">
        <v>1.1101669999999999</v>
      </c>
      <c r="L8047">
        <v>61.14423</v>
      </c>
      <c r="M8047">
        <v>-6.4549480000000003E-3</v>
      </c>
      <c r="N8047">
        <v>-9.5813879999999997E-3</v>
      </c>
      <c r="O8047">
        <v>0.99993319999999997</v>
      </c>
      <c r="P8047">
        <v>-6.7920019999999998E-2</v>
      </c>
      <c r="Q8047">
        <v>0.23353579999999999</v>
      </c>
      <c r="R8047">
        <v>0.96997310000000003</v>
      </c>
      <c r="S8047">
        <v>-3.6697390000000003E-2</v>
      </c>
      <c r="T8047">
        <v>-4.9924849999999996E-3</v>
      </c>
      <c r="U8047">
        <v>3.0914920000000001</v>
      </c>
      <c r="V8047">
        <v>-6.1481910000000001E-2</v>
      </c>
      <c r="W8047">
        <v>0.2428669</v>
      </c>
      <c r="X8047">
        <v>0.96810929999999995</v>
      </c>
      <c r="Y8047">
        <v>-5.4139080000000003E-3</v>
      </c>
      <c r="Z8047">
        <v>7.966295E-3</v>
      </c>
      <c r="AA8047">
        <v>0.9999536</v>
      </c>
      <c r="AB8047">
        <v>35</v>
      </c>
      <c r="AC8047">
        <v>-3.9279000000000202</v>
      </c>
      <c r="AD8047">
        <v>-0.534643599999999</v>
      </c>
      <c r="AE8047">
        <v>330.72577000000001</v>
      </c>
      <c r="AF8047">
        <v>-1.7928976958351399</v>
      </c>
      <c r="AG8047">
        <v>-0.534643599999999</v>
      </c>
      <c r="AH8047">
        <v>330.74337056551502</v>
      </c>
      <c r="AI8047">
        <v>90.092616656306504</v>
      </c>
      <c r="AJ8047">
        <v>90.310586617984697</v>
      </c>
      <c r="AK8047">
        <v>330.748662127248</v>
      </c>
      <c r="AL8047">
        <v>75.944190690024698</v>
      </c>
      <c r="AM8047">
        <v>93.633814459363194</v>
      </c>
      <c r="AN8047">
        <v>0.99999998655967304</v>
      </c>
    </row>
    <row r="8048" spans="1:40" x14ac:dyDescent="0.25">
      <c r="A8048" t="str">
        <f>"20190304154951579"</f>
        <v>20190304154951579</v>
      </c>
      <c r="B8048" t="str">
        <f>"1551685791575133"</f>
        <v>1551685791575133</v>
      </c>
      <c r="C8048" t="s">
        <v>40</v>
      </c>
      <c r="D8048">
        <v>4.4998740000000002</v>
      </c>
      <c r="E8048">
        <v>0.51969869999999996</v>
      </c>
      <c r="F8048" t="s">
        <v>51</v>
      </c>
      <c r="G8048">
        <v>-191.2774</v>
      </c>
      <c r="H8048">
        <v>0.68280600000000002</v>
      </c>
      <c r="I8048">
        <v>391.87</v>
      </c>
      <c r="J8048">
        <v>-187.54429999999999</v>
      </c>
      <c r="K8048">
        <v>1.1101760000000001</v>
      </c>
      <c r="L8048">
        <v>61.490969999999997</v>
      </c>
      <c r="M8048">
        <v>-6.1410099999999997E-3</v>
      </c>
      <c r="N8048">
        <v>-9.6551789999999998E-3</v>
      </c>
      <c r="O8048">
        <v>0.99993460000000001</v>
      </c>
      <c r="P8048">
        <v>-6.7593539999999994E-2</v>
      </c>
      <c r="Q8048">
        <v>0.23424739999999999</v>
      </c>
      <c r="R8048">
        <v>0.96982440000000003</v>
      </c>
      <c r="S8048">
        <v>-3.4912110000000003E-2</v>
      </c>
      <c r="T8048">
        <v>-3.9947029999999996E-3</v>
      </c>
      <c r="U8048">
        <v>3.0914000000000001</v>
      </c>
      <c r="V8048">
        <v>-6.1456080000000003E-2</v>
      </c>
      <c r="W8048">
        <v>0.24365000000000001</v>
      </c>
      <c r="X8048">
        <v>0.96791419999999995</v>
      </c>
      <c r="Y8048">
        <v>-5.1507949999999997E-3</v>
      </c>
      <c r="Z8048">
        <v>8.3627849999999993E-3</v>
      </c>
      <c r="AA8048">
        <v>0.99995179999999995</v>
      </c>
      <c r="AB8048">
        <v>35</v>
      </c>
      <c r="AC8048">
        <v>-3.7330999999999999</v>
      </c>
      <c r="AD8048">
        <v>-0.42736999999999897</v>
      </c>
      <c r="AE8048">
        <v>330.37903</v>
      </c>
      <c r="AF8048">
        <v>-1.7040713897496</v>
      </c>
      <c r="AG8048">
        <v>-0.42736999999999897</v>
      </c>
      <c r="AH8048">
        <v>330.39517301366902</v>
      </c>
      <c r="AI8048">
        <v>90.074111730287001</v>
      </c>
      <c r="AJ8048">
        <v>90.295510470038707</v>
      </c>
      <c r="AK8048">
        <v>330.39984390908899</v>
      </c>
      <c r="AL8048">
        <v>75.897933550366503</v>
      </c>
      <c r="AM8048">
        <v>93.633022087331199</v>
      </c>
      <c r="AN8048">
        <v>1.0000000354153</v>
      </c>
    </row>
    <row r="8049" spans="1:40" x14ac:dyDescent="0.25">
      <c r="A8049" t="str">
        <f>"20190304154951612"</f>
        <v>20190304154951612</v>
      </c>
      <c r="B8049" t="str">
        <f>"1551685791605389"</f>
        <v>1551685791605389</v>
      </c>
      <c r="C8049" t="s">
        <v>40</v>
      </c>
      <c r="D8049">
        <v>4.4638260000000001</v>
      </c>
      <c r="E8049">
        <v>0.5195379</v>
      </c>
      <c r="F8049" t="s">
        <v>51</v>
      </c>
      <c r="G8049">
        <v>-191.4222</v>
      </c>
      <c r="H8049">
        <v>0.86711119999999997</v>
      </c>
      <c r="I8049">
        <v>391.87</v>
      </c>
      <c r="J8049">
        <v>-187.5471</v>
      </c>
      <c r="K8049">
        <v>1.1101829999999999</v>
      </c>
      <c r="L8049">
        <v>62.017400000000002</v>
      </c>
      <c r="M8049">
        <v>-5.6417510000000004E-3</v>
      </c>
      <c r="N8049">
        <v>-9.7715730000000004E-3</v>
      </c>
      <c r="O8049">
        <v>0.9999363</v>
      </c>
      <c r="P8049">
        <v>-6.8296570000000001E-2</v>
      </c>
      <c r="Q8049">
        <v>0.237342</v>
      </c>
      <c r="R8049">
        <v>0.96902239999999995</v>
      </c>
      <c r="S8049">
        <v>-3.6285400000000002E-2</v>
      </c>
      <c r="T8049">
        <v>-2.2743939999999999E-3</v>
      </c>
      <c r="U8049">
        <v>3.09137</v>
      </c>
      <c r="V8049">
        <v>-6.2635510000000005E-2</v>
      </c>
      <c r="W8049">
        <v>0.24685209999999999</v>
      </c>
      <c r="X8049">
        <v>0.96702679999999996</v>
      </c>
      <c r="Y8049">
        <v>-6.0942269999999998E-3</v>
      </c>
      <c r="Z8049">
        <v>9.0356099999999995E-3</v>
      </c>
      <c r="AA8049">
        <v>0.99994059999999996</v>
      </c>
      <c r="AB8049">
        <v>35</v>
      </c>
      <c r="AC8049">
        <v>-3.8751000000000002</v>
      </c>
      <c r="AD8049">
        <v>-0.24307179999999901</v>
      </c>
      <c r="AE8049">
        <v>329.8526</v>
      </c>
      <c r="AF8049">
        <v>-2.0140020647052399</v>
      </c>
      <c r="AG8049">
        <v>-0.24307179999999901</v>
      </c>
      <c r="AH8049">
        <v>329.86903424654702</v>
      </c>
      <c r="AI8049">
        <v>90.042218955778907</v>
      </c>
      <c r="AJ8049">
        <v>90.349812720987003</v>
      </c>
      <c r="AK8049">
        <v>329.87527194830199</v>
      </c>
      <c r="AL8049">
        <v>75.708686447605601</v>
      </c>
      <c r="AM8049">
        <v>93.705941059587701</v>
      </c>
      <c r="AN8049">
        <v>0.99999999915280502</v>
      </c>
    </row>
    <row r="8050" spans="1:40" x14ac:dyDescent="0.25">
      <c r="A8050" t="str">
        <f>"20190304154951634"</f>
        <v>20190304154951634</v>
      </c>
      <c r="B8050" t="str">
        <f>"1551685791624912"</f>
        <v>1551685791624912</v>
      </c>
      <c r="C8050" t="s">
        <v>40</v>
      </c>
      <c r="D8050">
        <v>4.4913160000000003</v>
      </c>
      <c r="E8050">
        <v>0.51937540000000004</v>
      </c>
      <c r="F8050" t="s">
        <v>51</v>
      </c>
      <c r="G8050">
        <v>-191.8741</v>
      </c>
      <c r="H8050">
        <v>1.6746220000000001</v>
      </c>
      <c r="I8050">
        <v>391.87</v>
      </c>
      <c r="J8050">
        <v>-187.5488</v>
      </c>
      <c r="K8050">
        <v>1.1101829999999999</v>
      </c>
      <c r="L8050">
        <v>62.379089999999998</v>
      </c>
      <c r="M8050">
        <v>-5.2697949999999999E-3</v>
      </c>
      <c r="N8050">
        <v>-9.8522230000000002E-3</v>
      </c>
      <c r="O8050">
        <v>0.99993759999999998</v>
      </c>
      <c r="P8050">
        <v>-6.8859310000000007E-2</v>
      </c>
      <c r="Q8050">
        <v>0.2387503</v>
      </c>
      <c r="R8050">
        <v>0.96863650000000001</v>
      </c>
      <c r="S8050">
        <v>-4.0557860000000001E-2</v>
      </c>
      <c r="T8050">
        <v>5.2905080000000002E-3</v>
      </c>
      <c r="U8050">
        <v>3.091736</v>
      </c>
      <c r="V8050">
        <v>-6.3548019999999997E-2</v>
      </c>
      <c r="W8050">
        <v>0.2483378</v>
      </c>
      <c r="X8050">
        <v>0.96658679999999997</v>
      </c>
      <c r="Y8050">
        <v>-7.8460549999999993E-3</v>
      </c>
      <c r="Z8050">
        <v>1.156282E-2</v>
      </c>
      <c r="AA8050">
        <v>0.99990239999999997</v>
      </c>
      <c r="AB8050">
        <v>35</v>
      </c>
      <c r="AC8050">
        <v>-4.3252999999999897</v>
      </c>
      <c r="AD8050">
        <v>0.56443900000000002</v>
      </c>
      <c r="AE8050">
        <v>329.49090999999999</v>
      </c>
      <c r="AF8050">
        <v>-2.5887985484475502</v>
      </c>
      <c r="AG8050">
        <v>0.56443900000000002</v>
      </c>
      <c r="AH8050">
        <v>329.50816216723399</v>
      </c>
      <c r="AI8050">
        <v>89.901856929436505</v>
      </c>
      <c r="AJ8050">
        <v>90.450138103162004</v>
      </c>
      <c r="AK8050">
        <v>329.51881494709397</v>
      </c>
      <c r="AL8050">
        <v>75.620826878533506</v>
      </c>
      <c r="AM8050">
        <v>93.7614841589712</v>
      </c>
      <c r="AN8050">
        <v>1.00000002784449</v>
      </c>
    </row>
    <row r="8051" spans="1:40" x14ac:dyDescent="0.25">
      <c r="A8051" t="str">
        <f>"20190304154951657"</f>
        <v>20190304154951657</v>
      </c>
      <c r="B8051" t="str">
        <f>"1551685791645408"</f>
        <v>1551685791645408</v>
      </c>
      <c r="C8051" t="s">
        <v>40</v>
      </c>
      <c r="D8051">
        <v>4.4375980000000004</v>
      </c>
      <c r="E8051">
        <v>0.51958649999999995</v>
      </c>
      <c r="F8051" t="s">
        <v>51</v>
      </c>
      <c r="G8051">
        <v>-192.31209999999999</v>
      </c>
      <c r="H8051">
        <v>2.181241</v>
      </c>
      <c r="I8051">
        <v>391.87</v>
      </c>
      <c r="J8051">
        <v>-187.55019999999999</v>
      </c>
      <c r="K8051">
        <v>1.1101780000000001</v>
      </c>
      <c r="L8051">
        <v>62.721069999999997</v>
      </c>
      <c r="M8051">
        <v>-4.8966950000000004E-3</v>
      </c>
      <c r="N8051">
        <v>-9.9261560000000002E-3</v>
      </c>
      <c r="O8051">
        <v>0.99993869999999896</v>
      </c>
      <c r="P8051">
        <v>-6.9596060000000001E-2</v>
      </c>
      <c r="Q8051">
        <v>0.24001639999999999</v>
      </c>
      <c r="R8051">
        <v>0.96827090000000005</v>
      </c>
      <c r="S8051">
        <v>-4.4692990000000002E-2</v>
      </c>
      <c r="T8051">
        <v>1.004934E-2</v>
      </c>
      <c r="U8051">
        <v>3.0914920000000001</v>
      </c>
      <c r="V8051">
        <v>-6.4634869999999997E-2</v>
      </c>
      <c r="W8051">
        <v>0.24967619999999999</v>
      </c>
      <c r="X8051">
        <v>0.96616979999999997</v>
      </c>
      <c r="Y8051">
        <v>-9.5570929999999991E-3</v>
      </c>
      <c r="Z8051">
        <v>1.3175920000000001E-2</v>
      </c>
      <c r="AA8051">
        <v>0.99986750000000002</v>
      </c>
      <c r="AB8051">
        <v>35</v>
      </c>
      <c r="AC8051">
        <v>-4.76189999999999</v>
      </c>
      <c r="AD8051">
        <v>1.0710630000000001</v>
      </c>
      <c r="AE8051">
        <v>329.14893000000001</v>
      </c>
      <c r="AF8051">
        <v>-3.14998815746939</v>
      </c>
      <c r="AG8051">
        <v>1.0710630000000001</v>
      </c>
      <c r="AH8051">
        <v>329.16481748646203</v>
      </c>
      <c r="AI8051">
        <v>89.813575570882193</v>
      </c>
      <c r="AJ8051">
        <v>90.548283134442698</v>
      </c>
      <c r="AK8051">
        <v>329.18163173579097</v>
      </c>
      <c r="AL8051">
        <v>75.541647454112194</v>
      </c>
      <c r="AM8051">
        <v>93.827272929290402</v>
      </c>
      <c r="AN8051">
        <v>0.99999997684919795</v>
      </c>
    </row>
    <row r="8052" spans="1:40" x14ac:dyDescent="0.25">
      <c r="A8052" t="str">
        <f>"20190304154951680"</f>
        <v>20190304154951680</v>
      </c>
      <c r="B8052" t="str">
        <f>"1551685791675661"</f>
        <v>1551685791675661</v>
      </c>
      <c r="C8052" t="s">
        <v>40</v>
      </c>
      <c r="D8052">
        <v>4.4615549999999997</v>
      </c>
      <c r="E8052">
        <v>0.51930229999999999</v>
      </c>
      <c r="F8052" t="s">
        <v>51</v>
      </c>
      <c r="G8052">
        <v>-192.44450000000001</v>
      </c>
      <c r="H8052">
        <v>2.4629490000000001</v>
      </c>
      <c r="I8052">
        <v>391.87</v>
      </c>
      <c r="J8052">
        <v>-187.55160000000001</v>
      </c>
      <c r="K8052">
        <v>1.1101639999999999</v>
      </c>
      <c r="L8052">
        <v>63.092680000000001</v>
      </c>
      <c r="M8052">
        <v>-4.4566689999999999E-3</v>
      </c>
      <c r="N8052">
        <v>-1.000262E-2</v>
      </c>
      <c r="O8052">
        <v>0.99994000000000005</v>
      </c>
      <c r="P8052">
        <v>-7.0438500000000001E-2</v>
      </c>
      <c r="Q8052">
        <v>0.2406614</v>
      </c>
      <c r="R8052">
        <v>0.96804979999999996</v>
      </c>
      <c r="S8052">
        <v>-4.5974729999999998E-2</v>
      </c>
      <c r="T8052">
        <v>1.270723E-2</v>
      </c>
      <c r="U8052">
        <v>3.0918580000000002</v>
      </c>
      <c r="V8052">
        <v>-6.5888169999999996E-2</v>
      </c>
      <c r="W8052">
        <v>0.25039739999999999</v>
      </c>
      <c r="X8052">
        <v>0.96589849999999999</v>
      </c>
      <c r="Y8052">
        <v>-1.040964E-2</v>
      </c>
      <c r="Z8052">
        <v>1.4111469999999999E-2</v>
      </c>
      <c r="AA8052">
        <v>0.99984620000000002</v>
      </c>
      <c r="AB8052">
        <v>35</v>
      </c>
      <c r="AC8052">
        <v>-4.8928999999999903</v>
      </c>
      <c r="AD8052">
        <v>1.3527849999999999</v>
      </c>
      <c r="AE8052">
        <v>328.77731999999997</v>
      </c>
      <c r="AF8052">
        <v>-3.4274683333943301</v>
      </c>
      <c r="AG8052">
        <v>1.3527849999999999</v>
      </c>
      <c r="AH8052">
        <v>328.79029656610498</v>
      </c>
      <c r="AI8052">
        <v>89.764274604484996</v>
      </c>
      <c r="AJ8052">
        <v>90.597257154259694</v>
      </c>
      <c r="AK8052">
        <v>328.81094367806497</v>
      </c>
      <c r="AL8052">
        <v>75.498970648030095</v>
      </c>
      <c r="AM8052">
        <v>93.902350918395001</v>
      </c>
      <c r="AN8052">
        <v>1.00000001058747</v>
      </c>
    </row>
    <row r="8053" spans="1:40" x14ac:dyDescent="0.25">
      <c r="A8053" t="str">
        <f>"20190304154951702"</f>
        <v>20190304154951702</v>
      </c>
      <c r="B8053" t="str">
        <f>"1551685791695181"</f>
        <v>1551685791695181</v>
      </c>
      <c r="C8053" t="s">
        <v>40</v>
      </c>
      <c r="D8053">
        <v>4.6743480000000002</v>
      </c>
      <c r="E8053">
        <v>0.51937219999999995</v>
      </c>
      <c r="F8053" t="s">
        <v>51</v>
      </c>
      <c r="G8053">
        <v>-192.99289999999999</v>
      </c>
      <c r="H8053">
        <v>2.379346</v>
      </c>
      <c r="I8053">
        <v>391.87</v>
      </c>
      <c r="J8053">
        <v>-187.55269999999999</v>
      </c>
      <c r="K8053">
        <v>1.1101479999999999</v>
      </c>
      <c r="L8053">
        <v>63.433810000000001</v>
      </c>
      <c r="M8053">
        <v>-4.017456E-3</v>
      </c>
      <c r="N8053">
        <v>-1.0075260000000001E-2</v>
      </c>
      <c r="O8053">
        <v>0.99994119999999997</v>
      </c>
      <c r="P8053">
        <v>-7.058528E-2</v>
      </c>
      <c r="Q8053">
        <v>0.24067150000000001</v>
      </c>
      <c r="R8053">
        <v>0.96803669999999997</v>
      </c>
      <c r="S8053">
        <v>-5.1177979999999998E-2</v>
      </c>
      <c r="T8053">
        <v>1.193726E-2</v>
      </c>
      <c r="U8053">
        <v>3.0923159999999998</v>
      </c>
      <c r="V8053">
        <v>-6.644303E-2</v>
      </c>
      <c r="W8053">
        <v>0.25048229999999999</v>
      </c>
      <c r="X8053">
        <v>0.96583839999999999</v>
      </c>
      <c r="Y8053">
        <v>-1.2528539999999999E-2</v>
      </c>
      <c r="Z8053">
        <v>1.3934459999999999E-2</v>
      </c>
      <c r="AA8053">
        <v>0.99982439999999995</v>
      </c>
      <c r="AB8053">
        <v>35</v>
      </c>
      <c r="AC8053">
        <v>-5.4401999999999999</v>
      </c>
      <c r="AD8053">
        <v>1.269198</v>
      </c>
      <c r="AE8053">
        <v>328.43619000000001</v>
      </c>
      <c r="AF8053">
        <v>-4.1205496943279103</v>
      </c>
      <c r="AG8053">
        <v>1.269198</v>
      </c>
      <c r="AH8053">
        <v>328.45049260579799</v>
      </c>
      <c r="AI8053">
        <v>89.778616240107993</v>
      </c>
      <c r="AJ8053">
        <v>90.718761966746897</v>
      </c>
      <c r="AK8053">
        <v>328.47879061872197</v>
      </c>
      <c r="AL8053">
        <v>75.493945022781006</v>
      </c>
      <c r="AM8053">
        <v>93.935354826048695</v>
      </c>
      <c r="AN8053">
        <v>0.99999993688171296</v>
      </c>
    </row>
    <row r="8054" spans="1:40" x14ac:dyDescent="0.25">
      <c r="A8054" t="str">
        <f>"20190304154951725"</f>
        <v>20190304154951725</v>
      </c>
      <c r="B8054" t="str">
        <f>"1551685791715677"</f>
        <v>1551685791715677</v>
      </c>
      <c r="C8054" t="s">
        <v>40</v>
      </c>
      <c r="D8054">
        <v>4.430072</v>
      </c>
      <c r="E8054">
        <v>0.51919470000000001</v>
      </c>
      <c r="F8054" t="s">
        <v>51</v>
      </c>
      <c r="G8054">
        <v>-193.02</v>
      </c>
      <c r="H8054">
        <v>2.2102750000000002</v>
      </c>
      <c r="I8054">
        <v>391.87</v>
      </c>
      <c r="J8054">
        <v>-187.55359999999999</v>
      </c>
      <c r="K8054">
        <v>1.110128</v>
      </c>
      <c r="L8054">
        <v>63.801760000000002</v>
      </c>
      <c r="M8054">
        <v>-3.5043240000000001E-3</v>
      </c>
      <c r="N8054">
        <v>-1.01619E-2</v>
      </c>
      <c r="O8054">
        <v>0.9999422</v>
      </c>
      <c r="P8054">
        <v>-7.0908680000000002E-2</v>
      </c>
      <c r="Q8054">
        <v>0.24204290000000001</v>
      </c>
      <c r="R8054">
        <v>0.96767099999999995</v>
      </c>
      <c r="S8054">
        <v>-5.1483149999999998E-2</v>
      </c>
      <c r="T8054">
        <v>1.0359409999999999E-2</v>
      </c>
      <c r="U8054">
        <v>3.092743</v>
      </c>
      <c r="V8054">
        <v>-6.7243869999999997E-2</v>
      </c>
      <c r="W8054">
        <v>0.25193939999999998</v>
      </c>
      <c r="X8054">
        <v>0.96540400000000004</v>
      </c>
      <c r="Y8054">
        <v>-1.313804E-2</v>
      </c>
      <c r="Z8054">
        <v>1.351053E-2</v>
      </c>
      <c r="AA8054">
        <v>0.9998224</v>
      </c>
      <c r="AB8054">
        <v>35</v>
      </c>
      <c r="AC8054">
        <v>-5.4664000000000197</v>
      </c>
      <c r="AD8054">
        <v>1.100147</v>
      </c>
      <c r="AE8054">
        <v>328.06824</v>
      </c>
      <c r="AF8054">
        <v>-4.31660110283436</v>
      </c>
      <c r="AG8054">
        <v>1.100147</v>
      </c>
      <c r="AH8054">
        <v>328.08169405584403</v>
      </c>
      <c r="AI8054">
        <v>89.807889041852206</v>
      </c>
      <c r="AJ8054">
        <v>90.753802359930503</v>
      </c>
      <c r="AK8054">
        <v>328.11193416737399</v>
      </c>
      <c r="AL8054">
        <v>75.407695002364903</v>
      </c>
      <c r="AM8054">
        <v>93.984422335399501</v>
      </c>
      <c r="AN8054">
        <v>1.0000000412704599</v>
      </c>
    </row>
    <row r="8055" spans="1:40" x14ac:dyDescent="0.25">
      <c r="A8055" t="str">
        <f>"20190304154951746"</f>
        <v>20190304154951746</v>
      </c>
      <c r="B8055" t="str">
        <f>"1551685791735197"</f>
        <v>1551685791735197</v>
      </c>
      <c r="C8055" t="s">
        <v>40</v>
      </c>
      <c r="D8055">
        <v>4.4780600000000002</v>
      </c>
      <c r="E8055">
        <v>0.51918839999999999</v>
      </c>
      <c r="F8055" t="s">
        <v>51</v>
      </c>
      <c r="G8055">
        <v>-193.31870000000001</v>
      </c>
      <c r="H8055">
        <v>2.489881</v>
      </c>
      <c r="I8055">
        <v>391.87</v>
      </c>
      <c r="J8055">
        <v>-187.55439999999999</v>
      </c>
      <c r="K8055">
        <v>1.1101179999999999</v>
      </c>
      <c r="L8055">
        <v>64.145290000000003</v>
      </c>
      <c r="M8055">
        <v>-2.9891420000000002E-3</v>
      </c>
      <c r="N8055">
        <v>-1.024927E-2</v>
      </c>
      <c r="O8055">
        <v>0.99994300000000003</v>
      </c>
      <c r="P8055">
        <v>-7.1024509999999999E-2</v>
      </c>
      <c r="Q8055">
        <v>0.2436439</v>
      </c>
      <c r="R8055">
        <v>0.96726069999999997</v>
      </c>
      <c r="S8055">
        <v>-5.435181E-2</v>
      </c>
      <c r="T8055">
        <v>1.300812E-2</v>
      </c>
      <c r="U8055">
        <v>3.0929869999999999</v>
      </c>
      <c r="V8055">
        <v>-6.7838090000000004E-2</v>
      </c>
      <c r="W8055">
        <v>0.25362620000000002</v>
      </c>
      <c r="X8055">
        <v>0.96492060000000002</v>
      </c>
      <c r="Y8055">
        <v>-1.457868E-2</v>
      </c>
      <c r="Z8055">
        <v>1.445375E-2</v>
      </c>
      <c r="AA8055">
        <v>0.99978920000000004</v>
      </c>
      <c r="AB8055">
        <v>35</v>
      </c>
      <c r="AC8055">
        <v>-5.7643000000000102</v>
      </c>
      <c r="AD8055">
        <v>1.3797629999999901</v>
      </c>
      <c r="AE8055">
        <v>327.72471000000002</v>
      </c>
      <c r="AF8055">
        <v>-4.7845223057913602</v>
      </c>
      <c r="AG8055">
        <v>1.3797629999999901</v>
      </c>
      <c r="AH8055">
        <v>327.734669595247</v>
      </c>
      <c r="AI8055">
        <v>89.758811885991094</v>
      </c>
      <c r="AJ8055">
        <v>90.836388360028096</v>
      </c>
      <c r="AK8055">
        <v>327.77249587837099</v>
      </c>
      <c r="AL8055">
        <v>75.307803857580595</v>
      </c>
      <c r="AM8055">
        <v>94.021524001666805</v>
      </c>
      <c r="AN8055">
        <v>1.0000000100428199</v>
      </c>
    </row>
    <row r="8056" spans="1:40" x14ac:dyDescent="0.25">
      <c r="A8056" t="str">
        <f>"20190304154951768"</f>
        <v>20190304154951768</v>
      </c>
      <c r="B8056" t="str">
        <f>"1551685791765139"</f>
        <v>1551685791765139</v>
      </c>
      <c r="C8056" t="s">
        <v>40</v>
      </c>
      <c r="D8056">
        <v>4.4843449999999896</v>
      </c>
      <c r="E8056">
        <v>0.51909039999999995</v>
      </c>
      <c r="F8056" t="s">
        <v>51</v>
      </c>
      <c r="G8056">
        <v>-193.41120000000001</v>
      </c>
      <c r="H8056">
        <v>2.8294800000000002</v>
      </c>
      <c r="I8056">
        <v>391.87</v>
      </c>
      <c r="J8056">
        <v>-187.5549</v>
      </c>
      <c r="K8056">
        <v>1.110101</v>
      </c>
      <c r="L8056">
        <v>64.475519999999904</v>
      </c>
      <c r="M8056">
        <v>-2.46328E-3</v>
      </c>
      <c r="N8056">
        <v>-1.034036E-2</v>
      </c>
      <c r="O8056">
        <v>0.99994349999999999</v>
      </c>
      <c r="P8056">
        <v>-7.0669350000000006E-2</v>
      </c>
      <c r="Q8056">
        <v>0.24544579999999999</v>
      </c>
      <c r="R8056">
        <v>0.966831</v>
      </c>
      <c r="S8056">
        <v>-5.528259E-2</v>
      </c>
      <c r="T8056">
        <v>1.6229150000000001E-2</v>
      </c>
      <c r="U8056">
        <v>3.0934140000000001</v>
      </c>
      <c r="V8056">
        <v>-6.7971509999999999E-2</v>
      </c>
      <c r="W8056">
        <v>0.25551629999999997</v>
      </c>
      <c r="X8056">
        <v>0.96441239999999995</v>
      </c>
      <c r="Y8056">
        <v>-1.5402559999999999E-2</v>
      </c>
      <c r="Z8056">
        <v>1.558525E-2</v>
      </c>
      <c r="AA8056">
        <v>0.99975990000000003</v>
      </c>
      <c r="AB8056">
        <v>35</v>
      </c>
      <c r="AC8056">
        <v>-5.8563000000000001</v>
      </c>
      <c r="AD8056">
        <v>1.71937899999999</v>
      </c>
      <c r="AE8056">
        <v>327.39447999999999</v>
      </c>
      <c r="AF8056">
        <v>-5.0496356089972503</v>
      </c>
      <c r="AG8056">
        <v>1.71937899999999</v>
      </c>
      <c r="AH8056">
        <v>327.398886193284</v>
      </c>
      <c r="AI8056">
        <v>89.699142105706599</v>
      </c>
      <c r="AJ8056">
        <v>90.883631197810899</v>
      </c>
      <c r="AK8056">
        <v>327.442339602765</v>
      </c>
      <c r="AL8056">
        <v>75.195819375153704</v>
      </c>
      <c r="AM8056">
        <v>94.031523581892998</v>
      </c>
      <c r="AN8056">
        <v>0.99999999150556496</v>
      </c>
    </row>
    <row r="8057" spans="1:40" x14ac:dyDescent="0.25">
      <c r="A8057" t="str">
        <f>"20190304154951791"</f>
        <v>20190304154951791</v>
      </c>
      <c r="B8057" t="str">
        <f>"1551685791785636"</f>
        <v>1551685791785636</v>
      </c>
      <c r="C8057" t="s">
        <v>40</v>
      </c>
      <c r="D8057">
        <v>4.4804339999999998</v>
      </c>
      <c r="E8057">
        <v>0.5191578</v>
      </c>
      <c r="F8057" t="s">
        <v>51</v>
      </c>
      <c r="G8057">
        <v>-193.4007</v>
      </c>
      <c r="H8057">
        <v>3.3344800000000001</v>
      </c>
      <c r="I8057">
        <v>391.87</v>
      </c>
      <c r="J8057">
        <v>-187.55520000000001</v>
      </c>
      <c r="K8057">
        <v>1.110087</v>
      </c>
      <c r="L8057">
        <v>64.847110000000001</v>
      </c>
      <c r="M8057">
        <v>-1.840499E-3</v>
      </c>
      <c r="N8057">
        <v>-1.0454639999999999E-2</v>
      </c>
      <c r="O8057">
        <v>0.99994369999999999</v>
      </c>
      <c r="P8057">
        <v>-7.0273760000000005E-2</v>
      </c>
      <c r="Q8057">
        <v>0.24687590000000001</v>
      </c>
      <c r="R8057">
        <v>0.96649569999999996</v>
      </c>
      <c r="S8057">
        <v>-5.5236819999999999E-2</v>
      </c>
      <c r="T8057">
        <v>2.101803E-2</v>
      </c>
      <c r="U8057">
        <v>3.0935359999999998</v>
      </c>
      <c r="V8057">
        <v>-6.8156969999999997E-2</v>
      </c>
      <c r="W8057">
        <v>0.25705800000000001</v>
      </c>
      <c r="X8057">
        <v>0.96398950000000005</v>
      </c>
      <c r="Y8057">
        <v>-1.6009410000000002E-2</v>
      </c>
      <c r="Z8057">
        <v>1.7246879999999999E-2</v>
      </c>
      <c r="AA8057">
        <v>0.99972309999999998</v>
      </c>
      <c r="AB8057">
        <v>35</v>
      </c>
      <c r="AC8057">
        <v>-5.8454999999999799</v>
      </c>
      <c r="AD8057">
        <v>2.2243930000000001</v>
      </c>
      <c r="AE8057">
        <v>327.02289000000002</v>
      </c>
      <c r="AF8057">
        <v>-5.2433294147374898</v>
      </c>
      <c r="AG8057">
        <v>2.2243930000000001</v>
      </c>
      <c r="AH8057">
        <v>327.01797013149201</v>
      </c>
      <c r="AI8057">
        <v>89.610327264596293</v>
      </c>
      <c r="AJ8057">
        <v>90.918588375130199</v>
      </c>
      <c r="AK8057">
        <v>327.067566744994</v>
      </c>
      <c r="AL8057">
        <v>75.104433963067606</v>
      </c>
      <c r="AM8057">
        <v>94.044254705403205</v>
      </c>
      <c r="AN8057">
        <v>0.99999997201691504</v>
      </c>
    </row>
    <row r="8058" spans="1:40" x14ac:dyDescent="0.25">
      <c r="A8058" t="str">
        <f>"20190304154951814"</f>
        <v>20190304154951814</v>
      </c>
      <c r="B8058" t="str">
        <f>"1551685791805156"</f>
        <v>1551685791805156</v>
      </c>
      <c r="C8058" t="s">
        <v>40</v>
      </c>
      <c r="D8058">
        <v>4.487876</v>
      </c>
      <c r="E8058">
        <v>0.51935140000000002</v>
      </c>
      <c r="F8058" t="s">
        <v>51</v>
      </c>
      <c r="G8058">
        <v>-193.2407</v>
      </c>
      <c r="H8058">
        <v>3.7063250000000001</v>
      </c>
      <c r="I8058">
        <v>391.87</v>
      </c>
      <c r="J8058">
        <v>-187.55520000000001</v>
      </c>
      <c r="K8058">
        <v>1.1100810000000001</v>
      </c>
      <c r="L8058">
        <v>65.209199999999996</v>
      </c>
      <c r="M8058">
        <v>-1.202633E-3</v>
      </c>
      <c r="N8058">
        <v>-1.058214E-2</v>
      </c>
      <c r="O8058">
        <v>0.99994329999999998</v>
      </c>
      <c r="P8058">
        <v>-6.9696610000000006E-2</v>
      </c>
      <c r="Q8058">
        <v>0.2473004</v>
      </c>
      <c r="R8058">
        <v>0.96642890000000004</v>
      </c>
      <c r="S8058">
        <v>-5.3787229999999998E-2</v>
      </c>
      <c r="T8058">
        <v>2.4561759999999998E-2</v>
      </c>
      <c r="U8058">
        <v>3.0938110000000001</v>
      </c>
      <c r="V8058">
        <v>-6.8177879999999996E-2</v>
      </c>
      <c r="W8058">
        <v>0.25760870000000002</v>
      </c>
      <c r="X8058">
        <v>0.96384099999999995</v>
      </c>
      <c r="Y8058">
        <v>-1.6177070000000002E-2</v>
      </c>
      <c r="Z8058">
        <v>1.8518880000000001E-2</v>
      </c>
      <c r="AA8058">
        <v>0.99969759999999996</v>
      </c>
      <c r="AB8058">
        <v>35</v>
      </c>
      <c r="AC8058">
        <v>-5.6854999999999896</v>
      </c>
      <c r="AD8058">
        <v>2.596244</v>
      </c>
      <c r="AE8058">
        <v>326.66079999999999</v>
      </c>
      <c r="AF8058">
        <v>-5.2922866364205703</v>
      </c>
      <c r="AG8058">
        <v>2.596244</v>
      </c>
      <c r="AH8058">
        <v>326.64677432983501</v>
      </c>
      <c r="AI8058">
        <v>89.544672764981499</v>
      </c>
      <c r="AJ8058">
        <v>90.928217217979295</v>
      </c>
      <c r="AK8058">
        <v>326.699960148201</v>
      </c>
      <c r="AL8058">
        <v>75.071781490733301</v>
      </c>
      <c r="AM8058">
        <v>94.046112553782194</v>
      </c>
      <c r="AN8058">
        <v>0.99999996945899094</v>
      </c>
    </row>
    <row r="8059" spans="1:40" x14ac:dyDescent="0.25">
      <c r="A8059" t="str">
        <f>"20190304154951836"</f>
        <v>20190304154951836</v>
      </c>
      <c r="B8059" t="str">
        <f>"1551685791825656"</f>
        <v>1551685791825656</v>
      </c>
      <c r="C8059" t="s">
        <v>40</v>
      </c>
      <c r="D8059">
        <v>4.5588329999999999</v>
      </c>
      <c r="E8059">
        <v>0.51942929999999998</v>
      </c>
      <c r="F8059" t="s">
        <v>51</v>
      </c>
      <c r="G8059">
        <v>-192.8313</v>
      </c>
      <c r="H8059">
        <v>3.8298399999999999</v>
      </c>
      <c r="I8059">
        <v>391.87</v>
      </c>
      <c r="J8059">
        <v>-187.55500000000001</v>
      </c>
      <c r="K8059">
        <v>1.1100829999999999</v>
      </c>
      <c r="L8059">
        <v>65.558040000000005</v>
      </c>
      <c r="M8059">
        <v>-5.6719889999999997E-4</v>
      </c>
      <c r="N8059">
        <v>-1.0720550000000001E-2</v>
      </c>
      <c r="O8059">
        <v>0.99994240000000001</v>
      </c>
      <c r="P8059">
        <v>-6.9315989999999994E-2</v>
      </c>
      <c r="Q8059">
        <v>0.2475781</v>
      </c>
      <c r="R8059">
        <v>0.96638520000000006</v>
      </c>
      <c r="S8059">
        <v>-4.9972530000000001E-2</v>
      </c>
      <c r="T8059">
        <v>2.576065E-2</v>
      </c>
      <c r="U8059">
        <v>3.0940249999999998</v>
      </c>
      <c r="V8059">
        <v>-6.8395250000000005E-2</v>
      </c>
      <c r="W8059">
        <v>0.25802380000000003</v>
      </c>
      <c r="X8059">
        <v>0.96371459999999998</v>
      </c>
      <c r="Y8059">
        <v>-1.557891E-2</v>
      </c>
      <c r="Z8059">
        <v>1.9044249999999999E-2</v>
      </c>
      <c r="AA8059">
        <v>0.99969730000000001</v>
      </c>
      <c r="AB8059">
        <v>35</v>
      </c>
      <c r="AC8059">
        <v>-5.2762999999999902</v>
      </c>
      <c r="AD8059">
        <v>2.719757</v>
      </c>
      <c r="AE8059">
        <v>326.31196</v>
      </c>
      <c r="AF8059">
        <v>-5.0908511682546003</v>
      </c>
      <c r="AG8059">
        <v>2.719757</v>
      </c>
      <c r="AH8059">
        <v>326.29223895138</v>
      </c>
      <c r="AI8059">
        <v>89.522489326503802</v>
      </c>
      <c r="AJ8059">
        <v>90.893863190244204</v>
      </c>
      <c r="AK8059">
        <v>326.34328404865499</v>
      </c>
      <c r="AL8059">
        <v>75.047166489088596</v>
      </c>
      <c r="AM8059">
        <v>94.059500225348003</v>
      </c>
      <c r="AN8059">
        <v>1.00000001092108</v>
      </c>
    </row>
    <row r="8060" spans="1:40" x14ac:dyDescent="0.25">
      <c r="A8060" t="str">
        <f>"20190304154951857"</f>
        <v>20190304154951857</v>
      </c>
      <c r="B8060" t="str">
        <f>"1551685791854936"</f>
        <v>1551685791854936</v>
      </c>
      <c r="C8060" t="s">
        <v>40</v>
      </c>
      <c r="D8060">
        <v>4.5257630000000004</v>
      </c>
      <c r="E8060">
        <v>0.5254006</v>
      </c>
      <c r="F8060" t="s">
        <v>51</v>
      </c>
      <c r="G8060">
        <v>-192.61349999999999</v>
      </c>
      <c r="H8060">
        <v>3.6496930000000001</v>
      </c>
      <c r="I8060">
        <v>391.87</v>
      </c>
      <c r="J8060">
        <v>-187.55459999999999</v>
      </c>
      <c r="K8060">
        <v>1.1100810000000001</v>
      </c>
      <c r="L8060">
        <v>65.901919999999905</v>
      </c>
      <c r="M8060" s="1">
        <v>7.2400939999999996E-5</v>
      </c>
      <c r="N8060">
        <v>-1.086256E-2</v>
      </c>
      <c r="O8060">
        <v>0.99994099999999997</v>
      </c>
      <c r="P8060">
        <v>-6.8171159999999995E-2</v>
      </c>
      <c r="Q8060">
        <v>0.2474642</v>
      </c>
      <c r="R8060">
        <v>0.96649580000000002</v>
      </c>
      <c r="S8060">
        <v>-4.7973630000000003E-2</v>
      </c>
      <c r="T8060">
        <v>2.4085519999999999E-2</v>
      </c>
      <c r="U8060">
        <v>3.0947269999999998</v>
      </c>
      <c r="V8060">
        <v>-6.7855230000000002E-2</v>
      </c>
      <c r="W8060">
        <v>0.25805</v>
      </c>
      <c r="X8060">
        <v>0.96374579999999999</v>
      </c>
      <c r="Y8060">
        <v>-1.5569319999999999E-2</v>
      </c>
      <c r="Z8060">
        <v>1.8643369999999999E-2</v>
      </c>
      <c r="AA8060">
        <v>0.99970499999999995</v>
      </c>
      <c r="AB8060">
        <v>35</v>
      </c>
      <c r="AC8060">
        <v>-5.0588999999999897</v>
      </c>
      <c r="AD8060">
        <v>2.539612</v>
      </c>
      <c r="AE8060">
        <v>325.96807999999999</v>
      </c>
      <c r="AF8060">
        <v>-5.0821933626430003</v>
      </c>
      <c r="AG8060">
        <v>2.539612</v>
      </c>
      <c r="AH8060">
        <v>325.947932766245</v>
      </c>
      <c r="AI8060">
        <v>89.553645208227906</v>
      </c>
      <c r="AJ8060">
        <v>90.893285728883399</v>
      </c>
      <c r="AK8060">
        <v>325.997443537636</v>
      </c>
      <c r="AL8060">
        <v>75.045613332917696</v>
      </c>
      <c r="AM8060">
        <v>94.027424067172205</v>
      </c>
      <c r="AN8060">
        <v>1.00000005087799</v>
      </c>
    </row>
    <row r="8061" spans="1:40" x14ac:dyDescent="0.25">
      <c r="A8061" t="str">
        <f>"20190304154951882"</f>
        <v>20190304154951882</v>
      </c>
      <c r="B8061" t="str">
        <f>"1551685791875431"</f>
        <v>1551685791875431</v>
      </c>
      <c r="C8061" t="s">
        <v>40</v>
      </c>
      <c r="D8061">
        <v>4.5084860000000004</v>
      </c>
      <c r="E8061">
        <v>0.52543209999999996</v>
      </c>
      <c r="F8061" t="s">
        <v>51</v>
      </c>
      <c r="G8061">
        <v>-187.33930000000001</v>
      </c>
      <c r="H8061">
        <v>14.1741799999999</v>
      </c>
      <c r="I8061">
        <v>391.87</v>
      </c>
      <c r="J8061">
        <v>-187.5538</v>
      </c>
      <c r="K8061">
        <v>1.1100829999999999</v>
      </c>
      <c r="L8061">
        <v>66.273929999999993</v>
      </c>
      <c r="M8061">
        <v>7.7647670000000003E-4</v>
      </c>
      <c r="N8061">
        <v>-1.102206E-2</v>
      </c>
      <c r="O8061">
        <v>0.99993900000000002</v>
      </c>
      <c r="P8061">
        <v>-6.717215E-2</v>
      </c>
      <c r="Q8061">
        <v>0.24679690000000001</v>
      </c>
      <c r="R8061">
        <v>0.96673640000000005</v>
      </c>
      <c r="S8061">
        <v>2.0294190000000002E-3</v>
      </c>
      <c r="T8061">
        <v>0.1231444</v>
      </c>
      <c r="U8061">
        <v>3.072632</v>
      </c>
      <c r="V8061">
        <v>-6.7526020000000006E-2</v>
      </c>
      <c r="W8061">
        <v>0.25754139999999998</v>
      </c>
      <c r="X8061">
        <v>0.96390489999999995</v>
      </c>
      <c r="Y8061">
        <v>-1.169217E-4</v>
      </c>
      <c r="Z8061">
        <v>5.105643E-2</v>
      </c>
      <c r="AA8061">
        <v>0.99869580000000002</v>
      </c>
      <c r="AB8061">
        <v>35</v>
      </c>
      <c r="AC8061">
        <v>0.21449999999998601</v>
      </c>
      <c r="AD8061">
        <v>13.064097</v>
      </c>
      <c r="AE8061">
        <v>325.59607</v>
      </c>
      <c r="AF8061">
        <v>-3.8271559651761898E-2</v>
      </c>
      <c r="AG8061">
        <v>13.064097</v>
      </c>
      <c r="AH8061">
        <v>325.07280201349403</v>
      </c>
      <c r="AI8061">
        <v>87.698623119766793</v>
      </c>
      <c r="AJ8061">
        <v>90.006745562285403</v>
      </c>
      <c r="AK8061">
        <v>325.335209751484</v>
      </c>
      <c r="AL8061">
        <v>75.075772556284207</v>
      </c>
      <c r="AM8061">
        <v>94.007288851233199</v>
      </c>
      <c r="AN8061">
        <v>0.99999999616750501</v>
      </c>
    </row>
    <row r="8062" spans="1:40" x14ac:dyDescent="0.25">
      <c r="A8062" t="str">
        <f>"20190304154951903"</f>
        <v>20190304154951903</v>
      </c>
      <c r="B8062" t="str">
        <f>"1551685791894952"</f>
        <v>1551685791894952</v>
      </c>
      <c r="C8062" t="s">
        <v>40</v>
      </c>
      <c r="D8062">
        <v>4.5047189999999997</v>
      </c>
      <c r="E8062">
        <v>0.52607459999999995</v>
      </c>
      <c r="F8062" t="s">
        <v>51</v>
      </c>
      <c r="G8062">
        <v>-187.05240000000001</v>
      </c>
      <c r="H8062">
        <v>14.44861</v>
      </c>
      <c r="I8062">
        <v>391.87</v>
      </c>
      <c r="J8062">
        <v>-187.55289999999999</v>
      </c>
      <c r="K8062">
        <v>1.1100890000000001</v>
      </c>
      <c r="L8062">
        <v>66.619050000000001</v>
      </c>
      <c r="M8062">
        <v>1.438761E-3</v>
      </c>
      <c r="N8062">
        <v>-1.117609E-2</v>
      </c>
      <c r="O8062">
        <v>0.99993650000000001</v>
      </c>
      <c r="P8062">
        <v>-6.5992819999999994E-2</v>
      </c>
      <c r="Q8062">
        <v>0.24552979999999999</v>
      </c>
      <c r="R8062">
        <v>0.96714009999999995</v>
      </c>
      <c r="S8062">
        <v>4.7302250000000002E-3</v>
      </c>
      <c r="T8062">
        <v>0.1258261</v>
      </c>
      <c r="U8062">
        <v>3.0714419999999998</v>
      </c>
      <c r="V8062">
        <v>-6.6980269999999995E-2</v>
      </c>
      <c r="W8062">
        <v>0.25642809999999999</v>
      </c>
      <c r="X8062">
        <v>0.96423970000000003</v>
      </c>
      <c r="Y8062" s="1">
        <v>9.9139929999999998E-5</v>
      </c>
      <c r="Z8062">
        <v>5.2096209999999997E-2</v>
      </c>
      <c r="AA8062">
        <v>0.99864209999999998</v>
      </c>
      <c r="AB8062">
        <v>35</v>
      </c>
      <c r="AC8062">
        <v>0.50049999999998795</v>
      </c>
      <c r="AD8062">
        <v>13.338521</v>
      </c>
      <c r="AE8062">
        <v>325.25094999999999</v>
      </c>
      <c r="AF8062">
        <v>3.2457280018943102E-2</v>
      </c>
      <c r="AG8062">
        <v>13.338521</v>
      </c>
      <c r="AH8062">
        <v>324.70524063061401</v>
      </c>
      <c r="AI8062">
        <v>87.647677293146998</v>
      </c>
      <c r="AJ8062">
        <v>89.994272759042104</v>
      </c>
      <c r="AK8062">
        <v>324.97909238738299</v>
      </c>
      <c r="AL8062">
        <v>75.141776166615898</v>
      </c>
      <c r="AM8062">
        <v>93.973630141618798</v>
      </c>
      <c r="AN8062">
        <v>0.99999996304748495</v>
      </c>
    </row>
    <row r="8063" spans="1:40" x14ac:dyDescent="0.25">
      <c r="A8063" t="str">
        <f>"20190304154951925"</f>
        <v>20190304154951925</v>
      </c>
      <c r="B8063" t="str">
        <f>"1551685791915447"</f>
        <v>1551685791915447</v>
      </c>
      <c r="C8063" t="s">
        <v>40</v>
      </c>
      <c r="D8063">
        <v>4.5109700000000004</v>
      </c>
      <c r="E8063">
        <v>0.52618500000000001</v>
      </c>
      <c r="F8063" t="s">
        <v>51</v>
      </c>
      <c r="G8063">
        <v>-186.14619999999999</v>
      </c>
      <c r="H8063">
        <v>13.54881</v>
      </c>
      <c r="I8063">
        <v>391.87</v>
      </c>
      <c r="J8063">
        <v>-187.55170000000001</v>
      </c>
      <c r="K8063">
        <v>1.1100950000000001</v>
      </c>
      <c r="L8063">
        <v>66.969300000000004</v>
      </c>
      <c r="M8063">
        <v>2.1168179999999999E-3</v>
      </c>
      <c r="N8063">
        <v>-1.1337059999999999E-2</v>
      </c>
      <c r="O8063">
        <v>0.99993350000000003</v>
      </c>
      <c r="P8063">
        <v>-6.4478419999999995E-2</v>
      </c>
      <c r="Q8063">
        <v>0.24483540000000001</v>
      </c>
      <c r="R8063">
        <v>0.96741829999999995</v>
      </c>
      <c r="S8063">
        <v>1.3290410000000001E-2</v>
      </c>
      <c r="T8063">
        <v>0.117522</v>
      </c>
      <c r="U8063">
        <v>3.0729980000000001</v>
      </c>
      <c r="V8063">
        <v>-6.611591E-2</v>
      </c>
      <c r="W8063">
        <v>0.25589190000000001</v>
      </c>
      <c r="X8063">
        <v>0.96444180000000002</v>
      </c>
      <c r="Y8063">
        <v>2.2029409999999999E-3</v>
      </c>
      <c r="Z8063">
        <v>4.9541420000000003E-2</v>
      </c>
      <c r="AA8063">
        <v>0.99876960000000004</v>
      </c>
      <c r="AB8063">
        <v>35</v>
      </c>
      <c r="AC8063">
        <v>1.40550000000001</v>
      </c>
      <c r="AD8063">
        <v>12.438715</v>
      </c>
      <c r="AE8063">
        <v>324.90069999999997</v>
      </c>
      <c r="AF8063">
        <v>0.71664662250130495</v>
      </c>
      <c r="AG8063">
        <v>12.438715</v>
      </c>
      <c r="AH8063">
        <v>324.427437866481</v>
      </c>
      <c r="AI8063">
        <v>87.804331121589399</v>
      </c>
      <c r="AJ8063">
        <v>89.8734362285863</v>
      </c>
      <c r="AK8063">
        <v>324.66659460720899</v>
      </c>
      <c r="AL8063">
        <v>75.173558890195594</v>
      </c>
      <c r="AM8063">
        <v>93.921693366416605</v>
      </c>
      <c r="AN8063">
        <v>0.99999998181398797</v>
      </c>
    </row>
    <row r="8064" spans="1:40" x14ac:dyDescent="0.25">
      <c r="A8064" t="str">
        <f>"20190304154951947"</f>
        <v>20190304154951947</v>
      </c>
      <c r="B8064" t="str">
        <f>"1551685791934968"</f>
        <v>1551685791934968</v>
      </c>
      <c r="C8064" t="s">
        <v>40</v>
      </c>
      <c r="D8064">
        <v>4.5528559999999896</v>
      </c>
      <c r="E8064">
        <v>0.52405420000000003</v>
      </c>
      <c r="F8064" t="s">
        <v>51</v>
      </c>
      <c r="G8064">
        <v>-185.59289999999999</v>
      </c>
      <c r="H8064">
        <v>13.53191</v>
      </c>
      <c r="I8064">
        <v>391.87</v>
      </c>
      <c r="J8064">
        <v>-187.55019999999999</v>
      </c>
      <c r="K8064">
        <v>1.1101080000000001</v>
      </c>
      <c r="L8064">
        <v>67.318629999999999</v>
      </c>
      <c r="M8064">
        <v>2.7958169999999999E-3</v>
      </c>
      <c r="N8064">
        <v>-1.150383E-2</v>
      </c>
      <c r="O8064">
        <v>0.99992990000000004</v>
      </c>
      <c r="P8064">
        <v>-6.2648239999999994E-2</v>
      </c>
      <c r="Q8064">
        <v>0.2447771</v>
      </c>
      <c r="R8064">
        <v>0.96755329999999995</v>
      </c>
      <c r="S8064">
        <v>1.852417E-2</v>
      </c>
      <c r="T8064">
        <v>0.11747009999999999</v>
      </c>
      <c r="U8064">
        <v>3.0725099999999999</v>
      </c>
      <c r="V8064">
        <v>-6.4938109999999993E-2</v>
      </c>
      <c r="W8064">
        <v>0.25599529999999998</v>
      </c>
      <c r="X8064">
        <v>0.96449439999999997</v>
      </c>
      <c r="Y8064">
        <v>3.2259659999999998E-3</v>
      </c>
      <c r="Z8064">
        <v>4.9696860000000002E-2</v>
      </c>
      <c r="AA8064">
        <v>0.99875919999999896</v>
      </c>
      <c r="AB8064">
        <v>35</v>
      </c>
      <c r="AC8064">
        <v>1.9573</v>
      </c>
      <c r="AD8064">
        <v>12.421802</v>
      </c>
      <c r="AE8064">
        <v>324.55137000000002</v>
      </c>
      <c r="AF8064">
        <v>1.0483104523784099</v>
      </c>
      <c r="AG8064">
        <v>12.421802</v>
      </c>
      <c r="AH8064">
        <v>324.08085142352701</v>
      </c>
      <c r="AI8064">
        <v>87.804977129356203</v>
      </c>
      <c r="AJ8064">
        <v>89.814664906032803</v>
      </c>
      <c r="AK8064">
        <v>324.32051797431802</v>
      </c>
      <c r="AL8064">
        <v>75.167430647452207</v>
      </c>
      <c r="AM8064">
        <v>93.851834437500202</v>
      </c>
      <c r="AN8064">
        <v>0.999999999691911</v>
      </c>
    </row>
    <row r="8065" spans="1:40" x14ac:dyDescent="0.25">
      <c r="A8065" t="str">
        <f>"20190304154951969"</f>
        <v>20190304154951969</v>
      </c>
      <c r="B8065" t="str">
        <f>"1551685791965731"</f>
        <v>1551685791965731</v>
      </c>
      <c r="C8065" t="s">
        <v>40</v>
      </c>
      <c r="D8065">
        <v>4.5028879999999996</v>
      </c>
      <c r="E8065">
        <v>0.52241309999999996</v>
      </c>
      <c r="F8065" t="s">
        <v>51</v>
      </c>
      <c r="G8065">
        <v>-186.7842</v>
      </c>
      <c r="H8065">
        <v>11.1533</v>
      </c>
      <c r="I8065">
        <v>391.87</v>
      </c>
      <c r="J8065">
        <v>-187.54859999999999</v>
      </c>
      <c r="K8065">
        <v>1.110133</v>
      </c>
      <c r="L8065">
        <v>67.659819999999996</v>
      </c>
      <c r="M8065">
        <v>3.459869E-3</v>
      </c>
      <c r="N8065">
        <v>-1.167385E-2</v>
      </c>
      <c r="O8065">
        <v>0.99992590000000003</v>
      </c>
      <c r="P8065">
        <v>-6.0843250000000001E-2</v>
      </c>
      <c r="Q8065">
        <v>0.2449268</v>
      </c>
      <c r="R8065">
        <v>0.96763060000000001</v>
      </c>
      <c r="S8065">
        <v>7.2631839999999998E-3</v>
      </c>
      <c r="T8065">
        <v>9.5217109999999994E-2</v>
      </c>
      <c r="U8065">
        <v>3.0769959999999998</v>
      </c>
      <c r="V8065">
        <v>-6.3773629999999998E-2</v>
      </c>
      <c r="W8065">
        <v>0.25630779999999997</v>
      </c>
      <c r="X8065">
        <v>0.96448909999999999</v>
      </c>
      <c r="Y8065">
        <v>-1.1019039999999999E-3</v>
      </c>
      <c r="Z8065">
        <v>4.2595800000000003E-2</v>
      </c>
      <c r="AA8065">
        <v>0.99909179999999997</v>
      </c>
      <c r="AB8065">
        <v>35</v>
      </c>
      <c r="AC8065">
        <v>0.76439999999999397</v>
      </c>
      <c r="AD8065">
        <v>10.043167</v>
      </c>
      <c r="AE8065">
        <v>324.21017999999998</v>
      </c>
      <c r="AF8065">
        <v>-0.35706310358099103</v>
      </c>
      <c r="AG8065">
        <v>10.043167</v>
      </c>
      <c r="AH8065">
        <v>323.90007289096297</v>
      </c>
      <c r="AI8065">
        <v>88.224000319022593</v>
      </c>
      <c r="AJ8065">
        <v>90.063162074602502</v>
      </c>
      <c r="AK8065">
        <v>324.05593640021698</v>
      </c>
      <c r="AL8065">
        <v>75.148907644740305</v>
      </c>
      <c r="AM8065">
        <v>93.782985872775299</v>
      </c>
      <c r="AN8065">
        <v>0.99999999412151297</v>
      </c>
    </row>
    <row r="8066" spans="1:40" x14ac:dyDescent="0.25">
      <c r="A8066" t="str">
        <f>"20190304154951992"</f>
        <v>20190304154951992</v>
      </c>
      <c r="B8066" t="str">
        <f>"1551685791985250"</f>
        <v>1551685791985250</v>
      </c>
      <c r="C8066" t="s">
        <v>40</v>
      </c>
      <c r="D8066">
        <v>4.4463679999999997</v>
      </c>
      <c r="E8066">
        <v>0.5216035</v>
      </c>
      <c r="F8066" t="s">
        <v>51</v>
      </c>
      <c r="G8066">
        <v>-187.5711</v>
      </c>
      <c r="H8066">
        <v>8.9598119999999994</v>
      </c>
      <c r="I8066">
        <v>391.87</v>
      </c>
      <c r="J8066">
        <v>-187.54660000000001</v>
      </c>
      <c r="K8066">
        <v>1.110158</v>
      </c>
      <c r="L8066">
        <v>68.023380000000003</v>
      </c>
      <c r="M8066">
        <v>4.1690609999999999E-3</v>
      </c>
      <c r="N8066">
        <v>-1.185834E-2</v>
      </c>
      <c r="O8066">
        <v>0.99992099999999995</v>
      </c>
      <c r="P8066">
        <v>-5.9406130000000001E-2</v>
      </c>
      <c r="Q8066">
        <v>0.24461669999999999</v>
      </c>
      <c r="R8066">
        <v>0.9677983</v>
      </c>
      <c r="S8066">
        <v>-2.13623E-4</v>
      </c>
      <c r="T8066">
        <v>7.4607129999999994E-2</v>
      </c>
      <c r="U8066">
        <v>3.0814509999999999</v>
      </c>
      <c r="V8066">
        <v>-6.3024419999999998E-2</v>
      </c>
      <c r="W8066">
        <v>0.25617600000000001</v>
      </c>
      <c r="X8066">
        <v>0.96457340000000003</v>
      </c>
      <c r="Y8066">
        <v>-4.2389439999999997E-3</v>
      </c>
      <c r="Z8066">
        <v>3.605734E-2</v>
      </c>
      <c r="AA8066">
        <v>0.99934069999999997</v>
      </c>
      <c r="AB8066">
        <v>35</v>
      </c>
      <c r="AC8066">
        <v>-2.4499999999988999E-2</v>
      </c>
      <c r="AD8066">
        <v>7.8496539999999904</v>
      </c>
      <c r="AE8066">
        <v>323.84661999999997</v>
      </c>
      <c r="AF8066">
        <v>-1.3739238265904801</v>
      </c>
      <c r="AG8066">
        <v>7.8496539999999904</v>
      </c>
      <c r="AH8066">
        <v>323.65355026915398</v>
      </c>
      <c r="AI8066">
        <v>88.610675392957305</v>
      </c>
      <c r="AJ8066">
        <v>90.243221690972007</v>
      </c>
      <c r="AK8066">
        <v>323.75164144206099</v>
      </c>
      <c r="AL8066">
        <v>75.156720643030795</v>
      </c>
      <c r="AM8066">
        <v>93.738344481076098</v>
      </c>
      <c r="AN8066">
        <v>1.0000000322399401</v>
      </c>
    </row>
    <row r="8067" spans="1:40" x14ac:dyDescent="0.25">
      <c r="A8067" t="str">
        <f>"20190304154952015"</f>
        <v>20190304154952015</v>
      </c>
      <c r="B8067" t="str">
        <f>"1551685792005746"</f>
        <v>1551685792005746</v>
      </c>
      <c r="C8067" t="s">
        <v>40</v>
      </c>
      <c r="D8067">
        <v>4.4678129999999996</v>
      </c>
      <c r="E8067">
        <v>0.52121809999999902</v>
      </c>
      <c r="F8067" t="s">
        <v>51</v>
      </c>
      <c r="G8067">
        <v>-187.7534</v>
      </c>
      <c r="H8067">
        <v>8.0153599999999994</v>
      </c>
      <c r="I8067">
        <v>391.87</v>
      </c>
      <c r="J8067">
        <v>-187.5444</v>
      </c>
      <c r="K8067">
        <v>1.1101780000000001</v>
      </c>
      <c r="L8067">
        <v>68.384309999999999</v>
      </c>
      <c r="M8067">
        <v>4.8747520000000004E-3</v>
      </c>
      <c r="N8067">
        <v>-1.203833E-2</v>
      </c>
      <c r="O8067">
        <v>0.99991569999999996</v>
      </c>
      <c r="P8067">
        <v>-5.8057909999999997E-2</v>
      </c>
      <c r="Q8067">
        <v>0.2446701</v>
      </c>
      <c r="R8067">
        <v>0.96786669999999997</v>
      </c>
      <c r="S8067">
        <v>-1.9683840000000001E-3</v>
      </c>
      <c r="T8067">
        <v>6.5738560000000001E-2</v>
      </c>
      <c r="U8067">
        <v>3.0830690000000001</v>
      </c>
      <c r="V8067">
        <v>-6.2360520000000003E-2</v>
      </c>
      <c r="W8067">
        <v>0.25640180000000001</v>
      </c>
      <c r="X8067">
        <v>0.96455650000000004</v>
      </c>
      <c r="Y8067">
        <v>-5.5134989999999998E-3</v>
      </c>
      <c r="Z8067">
        <v>3.335113E-2</v>
      </c>
      <c r="AA8067">
        <v>0.99942850000000005</v>
      </c>
      <c r="AB8067">
        <v>35</v>
      </c>
      <c r="AC8067">
        <v>-0.20900000000000299</v>
      </c>
      <c r="AD8067">
        <v>6.9051819999999999</v>
      </c>
      <c r="AE8067">
        <v>323.48568999999998</v>
      </c>
      <c r="AF8067">
        <v>-1.78521078762531</v>
      </c>
      <c r="AG8067">
        <v>6.9051819999999999</v>
      </c>
      <c r="AH8067">
        <v>323.33349718409897</v>
      </c>
      <c r="AI8067">
        <v>88.776583220767293</v>
      </c>
      <c r="AJ8067">
        <v>90.316342121110196</v>
      </c>
      <c r="AK8067">
        <v>323.412150231417</v>
      </c>
      <c r="AL8067">
        <v>75.143335419593299</v>
      </c>
      <c r="AM8067">
        <v>93.699139261584094</v>
      </c>
      <c r="AN8067">
        <v>0.99999997959508002</v>
      </c>
    </row>
    <row r="8068" spans="1:40" x14ac:dyDescent="0.25">
      <c r="A8068" t="str">
        <f>"20190304154952036"</f>
        <v>20190304154952036</v>
      </c>
      <c r="B8068" t="str">
        <f>"1551685792025266"</f>
        <v>1551685792025266</v>
      </c>
      <c r="C8068" t="s">
        <v>40</v>
      </c>
      <c r="D8068">
        <v>4.4401349999999997</v>
      </c>
      <c r="E8068">
        <v>0.52061290000000005</v>
      </c>
      <c r="F8068" t="s">
        <v>51</v>
      </c>
      <c r="G8068">
        <v>-187.63030000000001</v>
      </c>
      <c r="H8068">
        <v>7.2807789999999901</v>
      </c>
      <c r="I8068">
        <v>390.11860000000001</v>
      </c>
      <c r="J8068">
        <v>-187.542</v>
      </c>
      <c r="K8068">
        <v>1.1101970000000001</v>
      </c>
      <c r="L8068">
        <v>68.72681</v>
      </c>
      <c r="M8068">
        <v>5.5446200000000001E-3</v>
      </c>
      <c r="N8068">
        <v>-1.219928E-2</v>
      </c>
      <c r="O8068">
        <v>0.99991019999999997</v>
      </c>
      <c r="P8068">
        <v>-5.7462100000000002E-2</v>
      </c>
      <c r="Q8068">
        <v>0.24483659999999999</v>
      </c>
      <c r="R8068">
        <v>0.9678601</v>
      </c>
      <c r="S8068">
        <v>-8.2397459999999998E-4</v>
      </c>
      <c r="T8068">
        <v>5.9159990000000003E-2</v>
      </c>
      <c r="U8068">
        <v>3.0845950000000002</v>
      </c>
      <c r="V8068">
        <v>-6.2412950000000002E-2</v>
      </c>
      <c r="W8068">
        <v>0.25672299999999998</v>
      </c>
      <c r="X8068">
        <v>0.96446770000000004</v>
      </c>
      <c r="Y8068">
        <v>-5.8122709999999999E-3</v>
      </c>
      <c r="Z8068">
        <v>3.1370670000000003E-2</v>
      </c>
      <c r="AA8068">
        <v>0.99949089999999996</v>
      </c>
      <c r="AB8068">
        <v>35</v>
      </c>
      <c r="AC8068">
        <v>-8.8300000000003806E-2</v>
      </c>
      <c r="AD8068">
        <v>6.1705819999999996</v>
      </c>
      <c r="AE8068">
        <v>321.39179000000001</v>
      </c>
      <c r="AF8068">
        <v>-1.8697373996083</v>
      </c>
      <c r="AG8068">
        <v>6.1705819999999996</v>
      </c>
      <c r="AH8068">
        <v>321.26793254293</v>
      </c>
      <c r="AI8068">
        <v>88.899675881486402</v>
      </c>
      <c r="AJ8068">
        <v>90.333450187401894</v>
      </c>
      <c r="AK8068">
        <v>321.33262591988802</v>
      </c>
      <c r="AL8068">
        <v>75.124295134831996</v>
      </c>
      <c r="AM8068">
        <v>93.702580612882997</v>
      </c>
      <c r="AN8068">
        <v>1.0000000096999899</v>
      </c>
    </row>
    <row r="8069" spans="1:40" x14ac:dyDescent="0.25">
      <c r="A8069" t="str">
        <f>"20190304154952058"</f>
        <v>20190304154952058</v>
      </c>
      <c r="B8069" t="str">
        <f>"1551685792055523"</f>
        <v>1551685792055523</v>
      </c>
      <c r="C8069" t="s">
        <v>40</v>
      </c>
      <c r="D8069">
        <v>4.0701720000000003</v>
      </c>
      <c r="E8069">
        <v>0.52010239999999996</v>
      </c>
      <c r="F8069" t="s">
        <v>51</v>
      </c>
      <c r="G8069">
        <v>-187.8837</v>
      </c>
      <c r="H8069">
        <v>6.582891</v>
      </c>
      <c r="I8069">
        <v>390.11860000000001</v>
      </c>
      <c r="J8069">
        <v>-187.5394</v>
      </c>
      <c r="K8069">
        <v>1.1102160000000001</v>
      </c>
      <c r="L8069">
        <v>69.065399999999997</v>
      </c>
      <c r="M8069">
        <v>6.2051559999999999E-3</v>
      </c>
      <c r="N8069">
        <v>-1.234496E-2</v>
      </c>
      <c r="O8069">
        <v>0.99990460000000003</v>
      </c>
      <c r="P8069">
        <v>-5.657293E-2</v>
      </c>
      <c r="Q8069">
        <v>0.2454267</v>
      </c>
      <c r="R8069">
        <v>0.96776300000000004</v>
      </c>
      <c r="S8069">
        <v>-3.28064E-3</v>
      </c>
      <c r="T8069">
        <v>5.2551269999999997E-2</v>
      </c>
      <c r="U8069">
        <v>3.0861510000000001</v>
      </c>
      <c r="V8069">
        <v>-6.2160880000000002E-2</v>
      </c>
      <c r="W8069">
        <v>0.2574515</v>
      </c>
      <c r="X8069">
        <v>0.96428979999999997</v>
      </c>
      <c r="Y8069">
        <v>-7.2683749999999997E-3</v>
      </c>
      <c r="Z8069">
        <v>2.9366819999999998E-2</v>
      </c>
      <c r="AA8069">
        <v>0.99954229999999999</v>
      </c>
      <c r="AB8069">
        <v>35</v>
      </c>
      <c r="AC8069">
        <v>-0.34430000000000399</v>
      </c>
      <c r="AD8069">
        <v>5.4726749999999997</v>
      </c>
      <c r="AE8069">
        <v>321.0532</v>
      </c>
      <c r="AF8069">
        <v>-2.3359515218734899</v>
      </c>
      <c r="AG8069">
        <v>5.4726749999999997</v>
      </c>
      <c r="AH8069">
        <v>320.95162385833299</v>
      </c>
      <c r="AI8069">
        <v>89.023147195627899</v>
      </c>
      <c r="AJ8069">
        <v>90.417003031624304</v>
      </c>
      <c r="AK8069">
        <v>321.006778274959</v>
      </c>
      <c r="AL8069">
        <v>75.081103779579394</v>
      </c>
      <c r="AM8069">
        <v>93.688346632523704</v>
      </c>
      <c r="AN8069">
        <v>1.00000003411933</v>
      </c>
    </row>
    <row r="8070" spans="1:40" x14ac:dyDescent="0.25">
      <c r="A8070" t="str">
        <f>"20190304154952082"</f>
        <v>20190304154952082</v>
      </c>
      <c r="B8070" t="str">
        <f>"1551685792075043"</f>
        <v>1551685792075043</v>
      </c>
      <c r="C8070" t="s">
        <v>40</v>
      </c>
      <c r="D8070">
        <v>4.77088</v>
      </c>
      <c r="E8070">
        <v>0.55447939999999996</v>
      </c>
      <c r="F8070" t="s">
        <v>51</v>
      </c>
      <c r="G8070">
        <v>-188.00919999999999</v>
      </c>
      <c r="H8070">
        <v>6.2812199999999896</v>
      </c>
      <c r="I8070">
        <v>390.11860000000001</v>
      </c>
      <c r="J8070">
        <v>-187.53630000000001</v>
      </c>
      <c r="K8070">
        <v>1.1102270000000001</v>
      </c>
      <c r="L8070">
        <v>69.448239999999998</v>
      </c>
      <c r="M8070">
        <v>6.9489069999999998E-3</v>
      </c>
      <c r="N8070">
        <v>-1.2494699999999999E-2</v>
      </c>
      <c r="O8070">
        <v>0.99989779999999995</v>
      </c>
      <c r="P8070">
        <v>-5.5558620000000003E-2</v>
      </c>
      <c r="Q8070">
        <v>0.24616270000000001</v>
      </c>
      <c r="R8070">
        <v>0.96763489999999996</v>
      </c>
      <c r="S8070">
        <v>-4.5166019999999998E-3</v>
      </c>
      <c r="T8070">
        <v>4.9721479999999998E-2</v>
      </c>
      <c r="U8070">
        <v>3.0870669999999998</v>
      </c>
      <c r="V8070">
        <v>-6.186357E-2</v>
      </c>
      <c r="W8070">
        <v>0.25832919999999998</v>
      </c>
      <c r="X8070">
        <v>0.96407410000000004</v>
      </c>
      <c r="Y8070">
        <v>-8.4120710000000001E-3</v>
      </c>
      <c r="Z8070">
        <v>2.8595309999999999E-2</v>
      </c>
      <c r="AA8070">
        <v>0.99955559999999999</v>
      </c>
      <c r="AB8070">
        <v>35</v>
      </c>
      <c r="AC8070">
        <v>-0.472899999999981</v>
      </c>
      <c r="AD8070">
        <v>5.1709929999999904</v>
      </c>
      <c r="AE8070">
        <v>320.67036000000002</v>
      </c>
      <c r="AF8070">
        <v>-2.7006687678128198</v>
      </c>
      <c r="AG8070">
        <v>5.1709929999999904</v>
      </c>
      <c r="AH8070">
        <v>320.575969654532</v>
      </c>
      <c r="AI8070">
        <v>89.075913665125398</v>
      </c>
      <c r="AJ8070">
        <v>90.482672678090793</v>
      </c>
      <c r="AK8070">
        <v>320.62904593991902</v>
      </c>
      <c r="AL8070">
        <v>75.029053742852895</v>
      </c>
      <c r="AM8070">
        <v>93.671572985224898</v>
      </c>
      <c r="AN8070">
        <v>0.99999997357829695</v>
      </c>
    </row>
    <row r="8071" spans="1:40" x14ac:dyDescent="0.25">
      <c r="A8071" t="str">
        <f>"20190304154952106"</f>
        <v>20190304154952106</v>
      </c>
      <c r="B8071" t="str">
        <f>"1551685792095540"</f>
        <v>1551685792095540</v>
      </c>
      <c r="C8071" t="s">
        <v>40</v>
      </c>
      <c r="D8071">
        <v>4.7870780000000002</v>
      </c>
      <c r="E8071">
        <v>0.55631600000000003</v>
      </c>
      <c r="F8071" t="s">
        <v>105</v>
      </c>
      <c r="G8071">
        <v>-167.89850000000001</v>
      </c>
      <c r="H8071">
        <v>9.8192769999999996</v>
      </c>
      <c r="I8071">
        <v>292.1576</v>
      </c>
      <c r="J8071">
        <v>-187.53299999999999</v>
      </c>
      <c r="K8071">
        <v>1.1102449999999999</v>
      </c>
      <c r="L8071">
        <v>69.817539999999994</v>
      </c>
      <c r="M8071">
        <v>7.6639960000000002E-3</v>
      </c>
      <c r="N8071">
        <v>-1.263106E-2</v>
      </c>
      <c r="O8071">
        <v>0.99989090000000003</v>
      </c>
      <c r="P8071">
        <v>-5.4737689999999999E-2</v>
      </c>
      <c r="Q8071">
        <v>0.2461546</v>
      </c>
      <c r="R8071">
        <v>0.96768370000000004</v>
      </c>
      <c r="S8071">
        <v>0.27204899999999999</v>
      </c>
      <c r="T8071">
        <v>0.1206504</v>
      </c>
      <c r="U8071">
        <v>3.0852659999999998</v>
      </c>
      <c r="V8071">
        <v>-6.1734110000000002E-2</v>
      </c>
      <c r="W8071">
        <v>0.25845269999999998</v>
      </c>
      <c r="X8071">
        <v>0.9640493</v>
      </c>
      <c r="Y8071">
        <v>8.0094970000000001E-2</v>
      </c>
      <c r="Z8071">
        <v>5.1549640000000001E-2</v>
      </c>
      <c r="AA8071">
        <v>0.99545340000000004</v>
      </c>
      <c r="AB8071">
        <v>35</v>
      </c>
      <c r="AC8071">
        <v>19.6344999999999</v>
      </c>
      <c r="AD8071">
        <v>8.7090319999999899</v>
      </c>
      <c r="AE8071">
        <v>222.34005999999999</v>
      </c>
      <c r="AF8071">
        <v>17.9025191503789</v>
      </c>
      <c r="AG8071">
        <v>8.7090319999999899</v>
      </c>
      <c r="AH8071">
        <v>222.14582352941301</v>
      </c>
      <c r="AI8071">
        <v>87.762166728886299</v>
      </c>
      <c r="AJ8071">
        <v>85.392545305248902</v>
      </c>
      <c r="AK8071">
        <v>223.036127884851</v>
      </c>
      <c r="AL8071">
        <v>75.021728999476494</v>
      </c>
      <c r="AM8071">
        <v>93.664004544452894</v>
      </c>
      <c r="AN8071">
        <v>0.99999997565263499</v>
      </c>
    </row>
    <row r="8072" spans="1:40" x14ac:dyDescent="0.25">
      <c r="A8072" t="str">
        <f>"20190304154952126"</f>
        <v>20190304154952126</v>
      </c>
      <c r="B8072" t="str">
        <f>"1551685792115058"</f>
        <v>1551685792115058</v>
      </c>
      <c r="C8072" t="s">
        <v>40</v>
      </c>
      <c r="D8072">
        <v>4.7513180000000004</v>
      </c>
      <c r="E8072">
        <v>0.55664880000000005</v>
      </c>
      <c r="F8072" t="s">
        <v>105</v>
      </c>
      <c r="G8072">
        <v>-167.67859999999999</v>
      </c>
      <c r="H8072">
        <v>6.6740909999999998</v>
      </c>
      <c r="I8072">
        <v>282.31700000000001</v>
      </c>
      <c r="J8072">
        <v>-187.52979999999999</v>
      </c>
      <c r="K8072">
        <v>1.110257</v>
      </c>
      <c r="L8072">
        <v>70.146879999999996</v>
      </c>
      <c r="M8072">
        <v>8.3015239999999994E-3</v>
      </c>
      <c r="N8072">
        <v>-1.2749389999999999E-2</v>
      </c>
      <c r="O8072">
        <v>0.9998842</v>
      </c>
      <c r="P8072">
        <v>-5.3437989999999998E-2</v>
      </c>
      <c r="Q8072">
        <v>0.2458844</v>
      </c>
      <c r="R8072">
        <v>0.96782500000000005</v>
      </c>
      <c r="S8072">
        <v>0.28926089999999999</v>
      </c>
      <c r="T8072">
        <v>8.106112E-2</v>
      </c>
      <c r="U8072">
        <v>3.095917</v>
      </c>
      <c r="V8072">
        <v>-6.1052700000000001E-2</v>
      </c>
      <c r="W8072">
        <v>0.258297</v>
      </c>
      <c r="X8072">
        <v>0.96413450000000001</v>
      </c>
      <c r="Y8072">
        <v>8.4695560000000003E-2</v>
      </c>
      <c r="Z8072">
        <v>3.8807139999999997E-2</v>
      </c>
      <c r="AA8072">
        <v>0.99565090000000001</v>
      </c>
      <c r="AB8072">
        <v>35</v>
      </c>
      <c r="AC8072">
        <v>19.851199999999999</v>
      </c>
      <c r="AD8072">
        <v>5.5638339999999999</v>
      </c>
      <c r="AE8072">
        <v>212.17012</v>
      </c>
      <c r="AF8072">
        <v>18.0767142971639</v>
      </c>
      <c r="AG8072">
        <v>5.5638339999999999</v>
      </c>
      <c r="AH8072">
        <v>212.18297084412299</v>
      </c>
      <c r="AI8072">
        <v>88.503360811902695</v>
      </c>
      <c r="AJ8072">
        <v>85.1305020744621</v>
      </c>
      <c r="AK8072">
        <v>213.02426379358499</v>
      </c>
      <c r="AL8072">
        <v>75.030964701456995</v>
      </c>
      <c r="AM8072">
        <v>93.623350910502793</v>
      </c>
      <c r="AN8072">
        <v>1.00000005323826</v>
      </c>
    </row>
    <row r="8073" spans="1:40" x14ac:dyDescent="0.25">
      <c r="A8073" t="str">
        <f>"20190304154952147"</f>
        <v>20190304154952147</v>
      </c>
      <c r="B8073" t="str">
        <f>"1551685792145821"</f>
        <v>1551685792145821</v>
      </c>
      <c r="C8073" t="s">
        <v>40</v>
      </c>
      <c r="D8073">
        <v>4.8749079999999996</v>
      </c>
      <c r="E8073">
        <v>0.55828669999999903</v>
      </c>
      <c r="F8073" t="s">
        <v>105</v>
      </c>
      <c r="G8073">
        <v>-168.35050000000001</v>
      </c>
      <c r="H8073">
        <v>3.7975180000000002</v>
      </c>
      <c r="I8073">
        <v>271.14060000000001</v>
      </c>
      <c r="J8073">
        <v>-187.5264</v>
      </c>
      <c r="K8073">
        <v>1.1102669999999999</v>
      </c>
      <c r="L8073">
        <v>70.474760000000003</v>
      </c>
      <c r="M8073">
        <v>8.9362230000000001E-3</v>
      </c>
      <c r="N8073">
        <v>-1.2865150000000001E-2</v>
      </c>
      <c r="O8073">
        <v>0.99987729999999997</v>
      </c>
      <c r="P8073">
        <v>-5.2350500000000001E-2</v>
      </c>
      <c r="Q8073">
        <v>0.2452772</v>
      </c>
      <c r="R8073">
        <v>0.96803850000000002</v>
      </c>
      <c r="S8073">
        <v>0.29634090000000002</v>
      </c>
      <c r="T8073">
        <v>4.1522150000000001E-2</v>
      </c>
      <c r="U8073">
        <v>3.1055600000000001</v>
      </c>
      <c r="V8073">
        <v>-6.0583779999999997E-2</v>
      </c>
      <c r="W8073">
        <v>0.25780219999999998</v>
      </c>
      <c r="X8073">
        <v>0.9642965</v>
      </c>
      <c r="Y8073">
        <v>8.6058560000000006E-2</v>
      </c>
      <c r="Z8073">
        <v>2.6170659999999998E-2</v>
      </c>
      <c r="AA8073">
        <v>0.99594629999999995</v>
      </c>
      <c r="AB8073">
        <v>35</v>
      </c>
      <c r="AC8073">
        <v>19.175899999999899</v>
      </c>
      <c r="AD8073">
        <v>2.6872509999999998</v>
      </c>
      <c r="AE8073">
        <v>200.66584</v>
      </c>
      <c r="AF8073">
        <v>17.378702637446199</v>
      </c>
      <c r="AG8073">
        <v>2.6872509999999998</v>
      </c>
      <c r="AH8073">
        <v>200.79351680658399</v>
      </c>
      <c r="AI8073">
        <v>89.236102876967493</v>
      </c>
      <c r="AJ8073">
        <v>85.053370533733499</v>
      </c>
      <c r="AK8073">
        <v>201.56209220697701</v>
      </c>
      <c r="AL8073">
        <v>75.060308493083895</v>
      </c>
      <c r="AM8073">
        <v>93.594992302561195</v>
      </c>
      <c r="AN8073">
        <v>1.00000005431808</v>
      </c>
    </row>
    <row r="8074" spans="1:40" x14ac:dyDescent="0.25">
      <c r="A8074" t="str">
        <f>"20190304154952172"</f>
        <v>20190304154952172</v>
      </c>
      <c r="B8074" t="str">
        <f>"1551685792165341"</f>
        <v>1551685792165341</v>
      </c>
      <c r="C8074" t="s">
        <v>40</v>
      </c>
      <c r="D8074">
        <v>4.697381</v>
      </c>
      <c r="E8074">
        <v>0.5584962</v>
      </c>
      <c r="F8074" t="s">
        <v>105</v>
      </c>
      <c r="G8074">
        <v>-167.46950000000001</v>
      </c>
      <c r="H8074">
        <v>2.3975369999999998</v>
      </c>
      <c r="I8074">
        <v>269.69009999999997</v>
      </c>
      <c r="J8074">
        <v>-187.5224</v>
      </c>
      <c r="K8074">
        <v>1.1102810000000001</v>
      </c>
      <c r="L8074">
        <v>70.841859999999997</v>
      </c>
      <c r="M8074">
        <v>9.6446910000000004E-3</v>
      </c>
      <c r="N8074">
        <v>-1.298888E-2</v>
      </c>
      <c r="O8074">
        <v>0.99986909999999896</v>
      </c>
      <c r="P8074">
        <v>-5.1483389999999997E-2</v>
      </c>
      <c r="Q8074">
        <v>0.24457690000000001</v>
      </c>
      <c r="R8074">
        <v>0.96826210000000001</v>
      </c>
      <c r="S8074">
        <v>0.31320189999999998</v>
      </c>
      <c r="T8074">
        <v>2.0102740000000001E-2</v>
      </c>
      <c r="U8074">
        <v>3.1108699999999998</v>
      </c>
      <c r="V8074">
        <v>-6.0408120000000003E-2</v>
      </c>
      <c r="W8074">
        <v>0.25722299999999998</v>
      </c>
      <c r="X8074">
        <v>0.96446209999999999</v>
      </c>
      <c r="Y8074">
        <v>9.0549039999999997E-2</v>
      </c>
      <c r="Z8074">
        <v>1.9413759999999999E-2</v>
      </c>
      <c r="AA8074">
        <v>0.99570270000000005</v>
      </c>
      <c r="AB8074">
        <v>35</v>
      </c>
      <c r="AC8074">
        <v>20.052899999999902</v>
      </c>
      <c r="AD8074">
        <v>1.287256</v>
      </c>
      <c r="AE8074">
        <v>198.84824</v>
      </c>
      <c r="AF8074">
        <v>18.133223221203501</v>
      </c>
      <c r="AG8074">
        <v>1.287256</v>
      </c>
      <c r="AH8074">
        <v>199.02415359778001</v>
      </c>
      <c r="AI8074">
        <v>89.630953888604097</v>
      </c>
      <c r="AJ8074">
        <v>84.794116555353099</v>
      </c>
      <c r="AK8074">
        <v>199.852657044414</v>
      </c>
      <c r="AL8074">
        <v>75.0946512882185</v>
      </c>
      <c r="AM8074">
        <v>93.583982120574603</v>
      </c>
      <c r="AN8074">
        <v>0.99999997751367098</v>
      </c>
    </row>
    <row r="8075" spans="1:40" x14ac:dyDescent="0.25">
      <c r="A8075" t="str">
        <f>"20190304154952194"</f>
        <v>20190304154952194</v>
      </c>
      <c r="B8075" t="str">
        <f>"1551685792184864"</f>
        <v>1551685792184864</v>
      </c>
      <c r="C8075" t="s">
        <v>40</v>
      </c>
      <c r="D8075">
        <v>4.7084159999999997</v>
      </c>
      <c r="E8075">
        <v>0.55859459999999905</v>
      </c>
      <c r="F8075" t="s">
        <v>105</v>
      </c>
      <c r="G8075">
        <v>-167.1652</v>
      </c>
      <c r="H8075">
        <v>2.140898</v>
      </c>
      <c r="I8075">
        <v>269.69009999999997</v>
      </c>
      <c r="J8075">
        <v>-187.51830000000001</v>
      </c>
      <c r="K8075">
        <v>1.1103000000000001</v>
      </c>
      <c r="L8075">
        <v>71.194789999999998</v>
      </c>
      <c r="M8075">
        <v>1.0316189999999999E-2</v>
      </c>
      <c r="N8075">
        <v>-1.3101969999999999E-2</v>
      </c>
      <c r="O8075">
        <v>0.99986090000000005</v>
      </c>
      <c r="P8075">
        <v>-5.0616670000000002E-2</v>
      </c>
      <c r="Q8075">
        <v>0.24373110000000001</v>
      </c>
      <c r="R8075">
        <v>0.96852110000000002</v>
      </c>
      <c r="S8075">
        <v>0.31851200000000002</v>
      </c>
      <c r="T8075">
        <v>1.6126390000000001E-2</v>
      </c>
      <c r="U8075">
        <v>3.1112060000000001</v>
      </c>
      <c r="V8075">
        <v>-6.0199990000000002E-2</v>
      </c>
      <c r="W8075">
        <v>0.25648799999999999</v>
      </c>
      <c r="X8075">
        <v>0.9646709</v>
      </c>
      <c r="Y8075">
        <v>9.1552850000000005E-2</v>
      </c>
      <c r="Z8075">
        <v>1.8252930000000001E-2</v>
      </c>
      <c r="AA8075">
        <v>0.99563290000000004</v>
      </c>
      <c r="AB8075">
        <v>35</v>
      </c>
      <c r="AC8075">
        <v>20.353100000000001</v>
      </c>
      <c r="AD8075">
        <v>1.0305979999999999</v>
      </c>
      <c r="AE8075">
        <v>198.49530999999999</v>
      </c>
      <c r="AF8075">
        <v>18.303637264095499</v>
      </c>
      <c r="AG8075">
        <v>1.0305979999999999</v>
      </c>
      <c r="AH8075">
        <v>198.68942965098901</v>
      </c>
      <c r="AI8075">
        <v>89.704063677842498</v>
      </c>
      <c r="AJ8075">
        <v>84.736662403411003</v>
      </c>
      <c r="AK8075">
        <v>199.53339250453399</v>
      </c>
      <c r="AL8075">
        <v>75.138226551698594</v>
      </c>
      <c r="AM8075">
        <v>93.570894821202799</v>
      </c>
      <c r="AN8075">
        <v>1.0000000391234001</v>
      </c>
    </row>
    <row r="8076" spans="1:40" x14ac:dyDescent="0.25">
      <c r="A8076" t="str">
        <f>"20190304154952207"</f>
        <v>20190304154952207</v>
      </c>
      <c r="B8076" t="str">
        <f>"1551685792205358"</f>
        <v>1551685792205358</v>
      </c>
      <c r="C8076" t="s">
        <v>40</v>
      </c>
      <c r="D8076">
        <v>4.6641380000000003</v>
      </c>
      <c r="E8076">
        <v>0.5592104</v>
      </c>
      <c r="F8076" t="s">
        <v>105</v>
      </c>
      <c r="G8076">
        <v>-166.93440000000001</v>
      </c>
      <c r="H8076">
        <v>1.911643</v>
      </c>
      <c r="I8076">
        <v>269.69009999999997</v>
      </c>
      <c r="J8076">
        <v>-187.51560000000001</v>
      </c>
      <c r="K8076">
        <v>1.1103130000000001</v>
      </c>
      <c r="L8076">
        <v>71.416079999999994</v>
      </c>
      <c r="M8076">
        <v>1.072825E-2</v>
      </c>
      <c r="N8076">
        <v>-1.317163E-2</v>
      </c>
      <c r="O8076">
        <v>0.99985570000000001</v>
      </c>
      <c r="P8076">
        <v>-5.0366109999999999E-2</v>
      </c>
      <c r="Q8076">
        <v>0.2437146</v>
      </c>
      <c r="R8076">
        <v>0.96853829999999996</v>
      </c>
      <c r="S8076">
        <v>0.32263180000000002</v>
      </c>
      <c r="T8076">
        <v>1.256144E-2</v>
      </c>
      <c r="U8076">
        <v>3.1112060000000001</v>
      </c>
      <c r="V8076">
        <v>-6.0353270000000001E-2</v>
      </c>
      <c r="W8076">
        <v>0.25653779999999998</v>
      </c>
      <c r="X8076">
        <v>0.96464810000000001</v>
      </c>
      <c r="Y8076">
        <v>9.2448119999999995E-2</v>
      </c>
      <c r="Z8076">
        <v>1.7181539999999999E-2</v>
      </c>
      <c r="AA8076">
        <v>0.99556920000000004</v>
      </c>
      <c r="AB8076">
        <v>35</v>
      </c>
      <c r="AC8076">
        <v>20.5811999999999</v>
      </c>
      <c r="AD8076">
        <v>0.80132999999999999</v>
      </c>
      <c r="AE8076">
        <v>198.27401999999901</v>
      </c>
      <c r="AF8076">
        <v>18.452399381896601</v>
      </c>
      <c r="AG8076">
        <v>0.80132999999999999</v>
      </c>
      <c r="AH8076">
        <v>198.48021949061501</v>
      </c>
      <c r="AI8076">
        <v>89.769672552208405</v>
      </c>
      <c r="AJ8076">
        <v>84.688567256087097</v>
      </c>
      <c r="AK8076">
        <v>199.33773025135201</v>
      </c>
      <c r="AL8076">
        <v>75.135274740577103</v>
      </c>
      <c r="AM8076">
        <v>93.580047740386604</v>
      </c>
      <c r="AN8076">
        <v>1.00000005843106</v>
      </c>
    </row>
    <row r="8077" spans="1:40" x14ac:dyDescent="0.25">
      <c r="A8077" t="str">
        <f>"20190304154952226"</f>
        <v>20190304154952226</v>
      </c>
      <c r="B8077" t="str">
        <f>"1551685792215117"</f>
        <v>1551685792215117</v>
      </c>
      <c r="C8077" t="s">
        <v>40</v>
      </c>
      <c r="D8077">
        <v>4.6770699999999996</v>
      </c>
      <c r="E8077">
        <v>0.5591834</v>
      </c>
      <c r="F8077" t="s">
        <v>105</v>
      </c>
      <c r="G8077">
        <v>-166.60149999999999</v>
      </c>
      <c r="H8077">
        <v>1.5162059999999999</v>
      </c>
      <c r="I8077">
        <v>269.69009999999997</v>
      </c>
      <c r="J8077">
        <v>-187.51179999999999</v>
      </c>
      <c r="K8077">
        <v>1.110331</v>
      </c>
      <c r="L8077">
        <v>71.716399999999993</v>
      </c>
      <c r="M8077">
        <v>1.127775E-2</v>
      </c>
      <c r="N8077">
        <v>-1.326285E-2</v>
      </c>
      <c r="O8077">
        <v>0.99984839999999997</v>
      </c>
      <c r="P8077">
        <v>-4.946499E-2</v>
      </c>
      <c r="Q8077">
        <v>0.24270829999999999</v>
      </c>
      <c r="R8077">
        <v>0.96883739999999996</v>
      </c>
      <c r="S8077">
        <v>0.32835389999999998</v>
      </c>
      <c r="T8077">
        <v>6.3737630000000002E-3</v>
      </c>
      <c r="U8077">
        <v>3.1129150000000001</v>
      </c>
      <c r="V8077">
        <v>-5.9995739999999999E-2</v>
      </c>
      <c r="W8077">
        <v>0.2556214</v>
      </c>
      <c r="X8077">
        <v>0.96491349999999998</v>
      </c>
      <c r="Y8077">
        <v>9.3656790000000004E-2</v>
      </c>
      <c r="Z8077">
        <v>1.529195E-2</v>
      </c>
      <c r="AA8077">
        <v>0.99548709999999996</v>
      </c>
      <c r="AB8077">
        <v>35</v>
      </c>
      <c r="AC8077">
        <v>20.910299999999999</v>
      </c>
      <c r="AD8077">
        <v>0.40587499999999999</v>
      </c>
      <c r="AE8077">
        <v>197.97370000000001</v>
      </c>
      <c r="AF8077">
        <v>18.6759979400458</v>
      </c>
      <c r="AG8077">
        <v>0.40587499999999999</v>
      </c>
      <c r="AH8077">
        <v>198.19612552153001</v>
      </c>
      <c r="AI8077">
        <v>89.883184741999202</v>
      </c>
      <c r="AJ8077">
        <v>84.616920392969206</v>
      </c>
      <c r="AK8077">
        <v>199.07451319874801</v>
      </c>
      <c r="AL8077">
        <v>75.189589744454196</v>
      </c>
      <c r="AM8077">
        <v>93.557918010491406</v>
      </c>
      <c r="AN8077">
        <v>0.99999992571917595</v>
      </c>
    </row>
    <row r="8078" spans="1:40" x14ac:dyDescent="0.25">
      <c r="A8078" t="str">
        <f>"20190304154952249"</f>
        <v>20190304154952249</v>
      </c>
      <c r="B8078" t="str">
        <f>"1551685792245373"</f>
        <v>1551685792245373</v>
      </c>
      <c r="C8078" t="s">
        <v>40</v>
      </c>
      <c r="D8078">
        <v>4.6329949999999904</v>
      </c>
      <c r="E8078">
        <v>0.55945319999999898</v>
      </c>
      <c r="F8078" t="s">
        <v>71</v>
      </c>
      <c r="G8078">
        <v>-168.35059999999999</v>
      </c>
      <c r="H8078">
        <v>1.1465430000000001</v>
      </c>
      <c r="I8078">
        <v>251.6549</v>
      </c>
      <c r="J8078">
        <v>-187.50729999999999</v>
      </c>
      <c r="K8078">
        <v>1.11036</v>
      </c>
      <c r="L8078">
        <v>72.064790000000002</v>
      </c>
      <c r="M8078">
        <v>1.1888879999999999E-2</v>
      </c>
      <c r="N8078">
        <v>-1.336115E-2</v>
      </c>
      <c r="O8078">
        <v>0.99984010000000001</v>
      </c>
      <c r="P8078">
        <v>-4.8584710000000003E-2</v>
      </c>
      <c r="Q8078">
        <v>0.2422038</v>
      </c>
      <c r="R8078">
        <v>0.96900819999999999</v>
      </c>
      <c r="S8078">
        <v>0.33152769999999998</v>
      </c>
      <c r="T8078">
        <v>6.2751769999999998E-4</v>
      </c>
      <c r="U8078">
        <v>3.1132810000000002</v>
      </c>
      <c r="V8078">
        <v>-5.9722709999999998E-2</v>
      </c>
      <c r="W8078">
        <v>0.25520969999999998</v>
      </c>
      <c r="X8078">
        <v>0.96503950000000005</v>
      </c>
      <c r="Y8078">
        <v>9.4040970000000002E-2</v>
      </c>
      <c r="Z8078">
        <v>1.3553229999999999E-2</v>
      </c>
      <c r="AA8078">
        <v>0.99547609999999997</v>
      </c>
      <c r="AB8078">
        <v>35</v>
      </c>
      <c r="AC8078">
        <v>19.156700000000001</v>
      </c>
      <c r="AD8078">
        <v>3.6183E-2</v>
      </c>
      <c r="AE8078">
        <v>179.59010999999899</v>
      </c>
      <c r="AF8078">
        <v>17.020029394491601</v>
      </c>
      <c r="AG8078">
        <v>3.6183E-2</v>
      </c>
      <c r="AH8078">
        <v>179.80517997458699</v>
      </c>
      <c r="AI8078">
        <v>89.988521424669003</v>
      </c>
      <c r="AJ8078">
        <v>84.592598332216397</v>
      </c>
      <c r="AK8078">
        <v>180.60892961172399</v>
      </c>
      <c r="AL8078">
        <v>75.213989011942303</v>
      </c>
      <c r="AM8078">
        <v>93.541306611401495</v>
      </c>
      <c r="AN8078">
        <v>1.00000001481204</v>
      </c>
    </row>
    <row r="8079" spans="1:40" x14ac:dyDescent="0.25">
      <c r="A8079" t="str">
        <f>"20190304154952272"</f>
        <v>20190304154952272</v>
      </c>
      <c r="B8079" t="str">
        <f>"1551685792264894"</f>
        <v>1551685792264894</v>
      </c>
      <c r="C8079" t="s">
        <v>40</v>
      </c>
      <c r="D8079">
        <v>4.6078580000000002</v>
      </c>
      <c r="E8079">
        <v>0.55944300000000002</v>
      </c>
      <c r="F8079" t="s">
        <v>71</v>
      </c>
      <c r="G8079">
        <v>-168.34909999999999</v>
      </c>
      <c r="H8079">
        <v>0.69845199999999996</v>
      </c>
      <c r="I8079">
        <v>249.3853</v>
      </c>
      <c r="J8079">
        <v>-187.5025</v>
      </c>
      <c r="K8079">
        <v>1.110398</v>
      </c>
      <c r="L8079">
        <v>72.420529999999999</v>
      </c>
      <c r="M8079">
        <v>1.246733E-2</v>
      </c>
      <c r="N8079">
        <v>-1.345119E-2</v>
      </c>
      <c r="O8079">
        <v>0.99983180000000005</v>
      </c>
      <c r="P8079">
        <v>-4.7785460000000002E-2</v>
      </c>
      <c r="Q8079">
        <v>0.24228469999999999</v>
      </c>
      <c r="R8079">
        <v>0.96902770000000005</v>
      </c>
      <c r="S8079">
        <v>0.33651730000000002</v>
      </c>
      <c r="T8079">
        <v>-7.2342159999999999E-3</v>
      </c>
      <c r="U8079">
        <v>3.114655</v>
      </c>
      <c r="V8079">
        <v>-5.9502399999999997E-2</v>
      </c>
      <c r="W8079">
        <v>0.25537290000000001</v>
      </c>
      <c r="X8079">
        <v>0.96500989999999998</v>
      </c>
      <c r="Y8079">
        <v>9.4996739999999996E-2</v>
      </c>
      <c r="Z8079">
        <v>1.113195E-2</v>
      </c>
      <c r="AA8079">
        <v>0.9954153</v>
      </c>
      <c r="AB8079">
        <v>35</v>
      </c>
      <c r="AC8079">
        <v>19.153400000000001</v>
      </c>
      <c r="AD8079">
        <v>-0.41194599999999898</v>
      </c>
      <c r="AE8079">
        <v>176.96476999999999</v>
      </c>
      <c r="AF8079">
        <v>16.945342551732999</v>
      </c>
      <c r="AG8079">
        <v>-0.41194599999999898</v>
      </c>
      <c r="AH8079">
        <v>177.188878099699</v>
      </c>
      <c r="AI8079">
        <v>90.132601581188993</v>
      </c>
      <c r="AJ8079">
        <v>84.537169367244203</v>
      </c>
      <c r="AK8079">
        <v>177.99778890742601</v>
      </c>
      <c r="AL8079">
        <v>75.204317358927995</v>
      </c>
      <c r="AM8079">
        <v>93.528384162406695</v>
      </c>
      <c r="AN8079">
        <v>0.99999998037908899</v>
      </c>
    </row>
    <row r="8080" spans="1:40" x14ac:dyDescent="0.25">
      <c r="A8080" t="str">
        <f>"20190304154952297"</f>
        <v>20190304154952297</v>
      </c>
      <c r="B8080" t="str">
        <f>"1551685792285390"</f>
        <v>1551685792285390</v>
      </c>
      <c r="C8080" t="s">
        <v>40</v>
      </c>
      <c r="D8080">
        <v>4.6433369999999998</v>
      </c>
      <c r="E8080">
        <v>0.55966899999999997</v>
      </c>
      <c r="F8080" t="s">
        <v>71</v>
      </c>
      <c r="G8080">
        <v>-168.2166</v>
      </c>
      <c r="H8080">
        <v>0.41686630000000002</v>
      </c>
      <c r="I8080">
        <v>249.3853</v>
      </c>
      <c r="J8080">
        <v>-187.49709999999999</v>
      </c>
      <c r="K8080">
        <v>1.1104560000000001</v>
      </c>
      <c r="L8080">
        <v>72.802369999999996</v>
      </c>
      <c r="M8080">
        <v>1.301591E-2</v>
      </c>
      <c r="N8080">
        <v>-1.354112E-2</v>
      </c>
      <c r="O8080">
        <v>0.99982360000000003</v>
      </c>
      <c r="P8080">
        <v>-4.7129530000000003E-2</v>
      </c>
      <c r="Q8080">
        <v>0.24201259999999999</v>
      </c>
      <c r="R8080">
        <v>0.96912779999999998</v>
      </c>
      <c r="S8080">
        <v>0.33955380000000002</v>
      </c>
      <c r="T8080">
        <v>-1.220953E-2</v>
      </c>
      <c r="U8080">
        <v>3.1156920000000001</v>
      </c>
      <c r="V8080">
        <v>-5.9408870000000003E-2</v>
      </c>
      <c r="W8080">
        <v>0.25518210000000002</v>
      </c>
      <c r="X8080">
        <v>0.96506619999999999</v>
      </c>
      <c r="Y8080">
        <v>9.5374440000000005E-2</v>
      </c>
      <c r="Z8080">
        <v>9.6340799999999997E-3</v>
      </c>
      <c r="AA8080">
        <v>0.99539480000000002</v>
      </c>
      <c r="AB8080">
        <v>35</v>
      </c>
      <c r="AC8080">
        <v>19.2804999999999</v>
      </c>
      <c r="AD8080">
        <v>-0.69358969999999998</v>
      </c>
      <c r="AE8080">
        <v>176.58293</v>
      </c>
      <c r="AF8080">
        <v>16.9800092948275</v>
      </c>
      <c r="AG8080">
        <v>-0.69358969999999998</v>
      </c>
      <c r="AH8080">
        <v>176.81624931165501</v>
      </c>
      <c r="AI8080">
        <v>90.223721386782501</v>
      </c>
      <c r="AJ8080">
        <v>84.514595651396803</v>
      </c>
      <c r="AK8080">
        <v>177.631044029375</v>
      </c>
      <c r="AL8080">
        <v>75.215624972633194</v>
      </c>
      <c r="AM8080">
        <v>93.522646983290599</v>
      </c>
      <c r="AN8080">
        <v>1.00000004418876</v>
      </c>
    </row>
    <row r="8081" spans="1:40" x14ac:dyDescent="0.25">
      <c r="A8081" t="str">
        <f>"20190304154952317"</f>
        <v>20190304154952317</v>
      </c>
      <c r="B8081" t="str">
        <f>"1551685792304909"</f>
        <v>1551685792304909</v>
      </c>
      <c r="C8081" t="s">
        <v>40</v>
      </c>
      <c r="D8081">
        <v>4.7001150000000003</v>
      </c>
      <c r="E8081">
        <v>0.56013740000000001</v>
      </c>
      <c r="F8081" t="s">
        <v>71</v>
      </c>
      <c r="G8081">
        <v>-168.0333</v>
      </c>
      <c r="H8081">
        <v>7.790184E-2</v>
      </c>
      <c r="I8081">
        <v>249.3853</v>
      </c>
      <c r="J8081">
        <v>-187.4924</v>
      </c>
      <c r="K8081">
        <v>1.1105119999999999</v>
      </c>
      <c r="L8081">
        <v>73.126369999999994</v>
      </c>
      <c r="M8081">
        <v>1.343277E-2</v>
      </c>
      <c r="N8081">
        <v>-1.361248E-2</v>
      </c>
      <c r="O8081">
        <v>0.99981710000000001</v>
      </c>
      <c r="P8081">
        <v>-4.6698379999999998E-2</v>
      </c>
      <c r="Q8081">
        <v>0.24205280000000001</v>
      </c>
      <c r="R8081">
        <v>0.96913859999999996</v>
      </c>
      <c r="S8081">
        <v>0.34355160000000001</v>
      </c>
      <c r="T8081">
        <v>-1.8224359999999998E-2</v>
      </c>
      <c r="U8081">
        <v>3.1168209999999998</v>
      </c>
      <c r="V8081">
        <v>-5.9409049999999998E-2</v>
      </c>
      <c r="W8081">
        <v>0.25528390000000001</v>
      </c>
      <c r="X8081">
        <v>0.96503919999999999</v>
      </c>
      <c r="Y8081">
        <v>9.6182420000000005E-2</v>
      </c>
      <c r="Z8081">
        <v>7.7877019999999996E-3</v>
      </c>
      <c r="AA8081">
        <v>0.99533329999999998</v>
      </c>
      <c r="AB8081">
        <v>35</v>
      </c>
      <c r="AC8081">
        <v>19.459099999999999</v>
      </c>
      <c r="AD8081">
        <v>-1.0326101599999999</v>
      </c>
      <c r="AE8081">
        <v>176.25892999999999</v>
      </c>
      <c r="AF8081">
        <v>17.088899450014701</v>
      </c>
      <c r="AG8081">
        <v>-1.0326101599999999</v>
      </c>
      <c r="AH8081">
        <v>176.49845334767201</v>
      </c>
      <c r="AI8081">
        <v>90.333646871357303</v>
      </c>
      <c r="AJ8081">
        <v>84.469757037695302</v>
      </c>
      <c r="AK8081">
        <v>177.326819185017</v>
      </c>
      <c r="AL8081">
        <v>75.209591510078099</v>
      </c>
      <c r="AM8081">
        <v>93.522755938720593</v>
      </c>
      <c r="AN8081">
        <v>0.99999998117887601</v>
      </c>
    </row>
    <row r="8082" spans="1:40" x14ac:dyDescent="0.25">
      <c r="A8082" t="str">
        <f>"20190304154952339"</f>
        <v>20190304154952339</v>
      </c>
      <c r="B8082" t="str">
        <f>"1551685792335164"</f>
        <v>1551685792335164</v>
      </c>
      <c r="C8082" t="s">
        <v>40</v>
      </c>
      <c r="D8082">
        <v>4.6640069999999998</v>
      </c>
      <c r="E8082">
        <v>0.55941919999999901</v>
      </c>
      <c r="F8082" t="s">
        <v>45</v>
      </c>
      <c r="G8082">
        <v>-169.63589999999999</v>
      </c>
      <c r="H8082">
        <v>-0.05</v>
      </c>
      <c r="I8082">
        <v>233.00020000000001</v>
      </c>
      <c r="J8082">
        <v>-187.48759999999999</v>
      </c>
      <c r="K8082">
        <v>1.1105750000000001</v>
      </c>
      <c r="L8082">
        <v>73.4559</v>
      </c>
      <c r="M8082">
        <v>1.3797129999999999E-2</v>
      </c>
      <c r="N8082">
        <v>-1.3678320000000001E-2</v>
      </c>
      <c r="O8082">
        <v>0.99981120000000001</v>
      </c>
      <c r="P8082">
        <v>-4.6207560000000002E-2</v>
      </c>
      <c r="Q8082">
        <v>0.24258640000000001</v>
      </c>
      <c r="R8082">
        <v>0.96902880000000002</v>
      </c>
      <c r="S8082">
        <v>0.34825129999999999</v>
      </c>
      <c r="T8082">
        <v>-2.2633190000000001E-2</v>
      </c>
      <c r="U8082">
        <v>3.1179809999999999</v>
      </c>
      <c r="V8082">
        <v>-5.9300579999999999E-2</v>
      </c>
      <c r="W8082">
        <v>0.25587219999999999</v>
      </c>
      <c r="X8082">
        <v>0.96489009999999997</v>
      </c>
      <c r="Y8082">
        <v>9.7261200000000006E-2</v>
      </c>
      <c r="Z8082">
        <v>6.4500829999999997E-3</v>
      </c>
      <c r="AA8082">
        <v>0.99523799999999996</v>
      </c>
      <c r="AB8082">
        <v>35</v>
      </c>
      <c r="AC8082">
        <v>17.851699999999902</v>
      </c>
      <c r="AD8082">
        <v>-1.1605749999999999</v>
      </c>
      <c r="AE8082">
        <v>159.54429999999999</v>
      </c>
      <c r="AF8082">
        <v>15.6477231804434</v>
      </c>
      <c r="AG8082">
        <v>-1.1605749999999999</v>
      </c>
      <c r="AH8082">
        <v>159.76708658903999</v>
      </c>
      <c r="AI8082">
        <v>90.414217004273596</v>
      </c>
      <c r="AJ8082">
        <v>84.406243384669807</v>
      </c>
      <c r="AK8082">
        <v>160.53572852238301</v>
      </c>
      <c r="AL8082">
        <v>75.174727117892601</v>
      </c>
      <c r="AM8082">
        <v>93.516882187306194</v>
      </c>
      <c r="AN8082">
        <v>1.00000002329959</v>
      </c>
    </row>
    <row r="8083" spans="1:40" x14ac:dyDescent="0.25">
      <c r="A8083" t="str">
        <f>"20190304154952361"</f>
        <v>20190304154952361</v>
      </c>
      <c r="B8083" t="str">
        <f>"1551685792355662"</f>
        <v>1551685792355662</v>
      </c>
      <c r="C8083" t="s">
        <v>40</v>
      </c>
      <c r="D8083">
        <v>4.6944350000000004</v>
      </c>
      <c r="E8083">
        <v>0.55895699999999904</v>
      </c>
      <c r="F8083" t="s">
        <v>45</v>
      </c>
      <c r="G8083">
        <v>-172.19290000000001</v>
      </c>
      <c r="H8083">
        <v>-0.05</v>
      </c>
      <c r="I8083">
        <v>212.346</v>
      </c>
      <c r="J8083">
        <v>-187.48240000000001</v>
      </c>
      <c r="K8083">
        <v>1.1106389999999999</v>
      </c>
      <c r="L8083">
        <v>73.806790000000007</v>
      </c>
      <c r="M8083">
        <v>1.4106479999999999E-2</v>
      </c>
      <c r="N8083">
        <v>-1.3740489999999999E-2</v>
      </c>
      <c r="O8083">
        <v>0.99980610000000003</v>
      </c>
      <c r="P8083">
        <v>-4.5713089999999998E-2</v>
      </c>
      <c r="Q8083">
        <v>0.24284439999999999</v>
      </c>
      <c r="R8083">
        <v>0.96898759999999995</v>
      </c>
      <c r="S8083">
        <v>0.34344479999999999</v>
      </c>
      <c r="T8083">
        <v>-2.6060940000000001E-2</v>
      </c>
      <c r="U8083">
        <v>3.118805</v>
      </c>
      <c r="V8083">
        <v>-5.9142819999999999E-2</v>
      </c>
      <c r="W8083">
        <v>0.25618049999999998</v>
      </c>
      <c r="X8083">
        <v>0.96481790000000001</v>
      </c>
      <c r="Y8083">
        <v>9.5409010000000002E-2</v>
      </c>
      <c r="Z8083">
        <v>5.4198090000000003E-3</v>
      </c>
      <c r="AA8083">
        <v>0.99542339999999996</v>
      </c>
      <c r="AB8083">
        <v>35</v>
      </c>
      <c r="AC8083">
        <v>15.2895</v>
      </c>
      <c r="AD8083">
        <v>-1.160639</v>
      </c>
      <c r="AE8083">
        <v>138.539209999999</v>
      </c>
      <c r="AF8083">
        <v>13.332568813476</v>
      </c>
      <c r="AG8083">
        <v>-1.160639</v>
      </c>
      <c r="AH8083">
        <v>138.73150413994</v>
      </c>
      <c r="AI8083">
        <v>90.477131753956598</v>
      </c>
      <c r="AJ8083">
        <v>84.510539502701107</v>
      </c>
      <c r="AK8083">
        <v>139.37551691378499</v>
      </c>
      <c r="AL8083">
        <v>75.156452676683898</v>
      </c>
      <c r="AM8083">
        <v>93.5078112810683</v>
      </c>
      <c r="AN8083">
        <v>0.99999995094910499</v>
      </c>
    </row>
    <row r="8084" spans="1:40" x14ac:dyDescent="0.25">
      <c r="A8084" t="str">
        <f>"20190304154952383"</f>
        <v>20190304154952383</v>
      </c>
      <c r="B8084" t="str">
        <f>"1551685792375181"</f>
        <v>1551685792375181</v>
      </c>
      <c r="C8084" t="s">
        <v>40</v>
      </c>
      <c r="D8084">
        <v>4.7509610000000002</v>
      </c>
      <c r="E8084">
        <v>0.55914589999999997</v>
      </c>
      <c r="F8084" t="s">
        <v>44</v>
      </c>
      <c r="G8084">
        <v>-174.96770000000001</v>
      </c>
      <c r="H8084">
        <v>7.9986630000000003E-2</v>
      </c>
      <c r="I8084">
        <v>188.22880000000001</v>
      </c>
      <c r="J8084">
        <v>-187.47720000000001</v>
      </c>
      <c r="K8084">
        <v>1.1107149999999999</v>
      </c>
      <c r="L8084">
        <v>74.155270000000002</v>
      </c>
      <c r="M8084">
        <v>1.433017E-2</v>
      </c>
      <c r="N8084">
        <v>-1.3797169999999999E-2</v>
      </c>
      <c r="O8084">
        <v>0.99980210000000003</v>
      </c>
      <c r="P8084">
        <v>-4.5512520000000001E-2</v>
      </c>
      <c r="Q8084">
        <v>0.24282960000000001</v>
      </c>
      <c r="R8084">
        <v>0.96900070000000005</v>
      </c>
      <c r="S8084">
        <v>0.34115600000000001</v>
      </c>
      <c r="T8084">
        <v>-2.809584E-2</v>
      </c>
      <c r="U8084">
        <v>3.1191710000000001</v>
      </c>
      <c r="V8084">
        <v>-5.9200759999999998E-2</v>
      </c>
      <c r="W8084">
        <v>0.25621090000000002</v>
      </c>
      <c r="X8084">
        <v>0.96480630000000001</v>
      </c>
      <c r="Y8084">
        <v>9.4451750000000001E-2</v>
      </c>
      <c r="Z8084">
        <v>4.8278130000000002E-3</v>
      </c>
      <c r="AA8084">
        <v>0.99551769999999995</v>
      </c>
      <c r="AB8084">
        <v>35</v>
      </c>
      <c r="AC8084">
        <v>12.509499999999999</v>
      </c>
      <c r="AD8084">
        <v>-1.0307283699999901</v>
      </c>
      <c r="AE8084">
        <v>114.07353000000001</v>
      </c>
      <c r="AF8084">
        <v>10.8724894105047</v>
      </c>
      <c r="AG8084">
        <v>-1.0307283699999901</v>
      </c>
      <c r="AH8084">
        <v>114.23187937732899</v>
      </c>
      <c r="AI8084">
        <v>90.514647142997006</v>
      </c>
      <c r="AJ8084">
        <v>84.563016817823893</v>
      </c>
      <c r="AK8084">
        <v>114.75275897786101</v>
      </c>
      <c r="AL8084">
        <v>75.154651124110998</v>
      </c>
      <c r="AM8084">
        <v>93.511281269279905</v>
      </c>
      <c r="AN8084">
        <v>0.999999975891538</v>
      </c>
    </row>
    <row r="8085" spans="1:40" x14ac:dyDescent="0.25">
      <c r="A8085" t="str">
        <f>"20190304154952406"</f>
        <v>20190304154952406</v>
      </c>
      <c r="B8085" t="str">
        <f>"1551685792395689"</f>
        <v>1551685792395689</v>
      </c>
      <c r="C8085" t="s">
        <v>40</v>
      </c>
      <c r="D8085">
        <v>4.6828209999999997</v>
      </c>
      <c r="E8085">
        <v>0.55888850000000001</v>
      </c>
      <c r="F8085" t="s">
        <v>44</v>
      </c>
      <c r="G8085">
        <v>-176.34399999999999</v>
      </c>
      <c r="H8085">
        <v>7.9985719999999996E-2</v>
      </c>
      <c r="I8085">
        <v>175.29259999999999</v>
      </c>
      <c r="J8085">
        <v>-187.47200000000001</v>
      </c>
      <c r="K8085">
        <v>1.1107940000000001</v>
      </c>
      <c r="L8085">
        <v>74.508300000000006</v>
      </c>
      <c r="M8085">
        <v>1.447882E-2</v>
      </c>
      <c r="N8085">
        <v>-1.385246E-2</v>
      </c>
      <c r="O8085">
        <v>0.9997992</v>
      </c>
      <c r="P8085">
        <v>-4.5690460000000002E-2</v>
      </c>
      <c r="Q8085">
        <v>0.24310560000000001</v>
      </c>
      <c r="R8085">
        <v>0.96892319999999998</v>
      </c>
      <c r="S8085">
        <v>0.34346009999999999</v>
      </c>
      <c r="T8085">
        <v>-3.1798010000000002E-2</v>
      </c>
      <c r="U8085">
        <v>3.1200869999999998</v>
      </c>
      <c r="V8085">
        <v>-5.9564979999999997E-2</v>
      </c>
      <c r="W8085">
        <v>0.25652900000000001</v>
      </c>
      <c r="X8085">
        <v>0.96469939999999998</v>
      </c>
      <c r="Y8085">
        <v>9.4998120000000005E-2</v>
      </c>
      <c r="Z8085">
        <v>3.7061170000000001E-3</v>
      </c>
      <c r="AA8085">
        <v>0.99547050000000004</v>
      </c>
      <c r="AB8085">
        <v>35</v>
      </c>
      <c r="AC8085">
        <v>11.127999999999901</v>
      </c>
      <c r="AD8085">
        <v>-1.03080828</v>
      </c>
      <c r="AE8085">
        <v>100.7843</v>
      </c>
      <c r="AF8085">
        <v>9.6664564880003692</v>
      </c>
      <c r="AG8085">
        <v>-1.03080828</v>
      </c>
      <c r="AH8085">
        <v>100.924438702606</v>
      </c>
      <c r="AI8085">
        <v>90.582513874857995</v>
      </c>
      <c r="AJ8085">
        <v>84.528948301084199</v>
      </c>
      <c r="AK8085">
        <v>101.391544391929</v>
      </c>
      <c r="AL8085">
        <v>75.135795869704907</v>
      </c>
      <c r="AM8085">
        <v>93.533219617530904</v>
      </c>
      <c r="AN8085">
        <v>1.00000002352188</v>
      </c>
    </row>
    <row r="8086" spans="1:40" x14ac:dyDescent="0.25">
      <c r="A8086" t="str">
        <f>"20190304154952427"</f>
        <v>20190304154952427</v>
      </c>
      <c r="B8086" t="str">
        <f>"1551685792424957"</f>
        <v>1551685792424957</v>
      </c>
      <c r="C8086" t="s">
        <v>40</v>
      </c>
      <c r="D8086">
        <v>4.6623349999999997</v>
      </c>
      <c r="E8086">
        <v>0.55850859999999902</v>
      </c>
      <c r="F8086" t="s">
        <v>44</v>
      </c>
      <c r="G8086">
        <v>-176.6951</v>
      </c>
      <c r="H8086">
        <v>7.9986479999999999E-2</v>
      </c>
      <c r="I8086">
        <v>172.96119999999999</v>
      </c>
      <c r="J8086">
        <v>-187.46709999999999</v>
      </c>
      <c r="K8086">
        <v>1.110862</v>
      </c>
      <c r="L8086">
        <v>74.839479999999995</v>
      </c>
      <c r="M8086">
        <v>1.4561549999999999E-2</v>
      </c>
      <c r="N8086">
        <v>-1.390394E-2</v>
      </c>
      <c r="O8086">
        <v>0.9997973</v>
      </c>
      <c r="P8086">
        <v>-4.5641660000000001E-2</v>
      </c>
      <c r="Q8086">
        <v>0.24281150000000001</v>
      </c>
      <c r="R8086">
        <v>0.96899919999999995</v>
      </c>
      <c r="S8086">
        <v>0.34158329999999998</v>
      </c>
      <c r="T8086">
        <v>-3.267229E-2</v>
      </c>
      <c r="U8086">
        <v>3.1205440000000002</v>
      </c>
      <c r="V8086">
        <v>-5.963396E-2</v>
      </c>
      <c r="W8086">
        <v>0.25627739999999999</v>
      </c>
      <c r="X8086">
        <v>0.96476200000000001</v>
      </c>
      <c r="Y8086">
        <v>9.4308180000000005E-2</v>
      </c>
      <c r="Z8086">
        <v>3.479748E-3</v>
      </c>
      <c r="AA8086">
        <v>0.99553700000000001</v>
      </c>
      <c r="AB8086">
        <v>35</v>
      </c>
      <c r="AC8086">
        <v>10.771999999999901</v>
      </c>
      <c r="AD8086">
        <v>-1.0308755199999999</v>
      </c>
      <c r="AE8086">
        <v>98.121719999999897</v>
      </c>
      <c r="AF8086">
        <v>9.3408964672056793</v>
      </c>
      <c r="AG8086">
        <v>-1.0308755199999999</v>
      </c>
      <c r="AH8086">
        <v>98.257470514602403</v>
      </c>
      <c r="AI8086">
        <v>90.598403114557499</v>
      </c>
      <c r="AJ8086">
        <v>84.569467695136595</v>
      </c>
      <c r="AK8086">
        <v>98.705853742707404</v>
      </c>
      <c r="AL8086">
        <v>75.150709953075804</v>
      </c>
      <c r="AM8086">
        <v>93.537071985079606</v>
      </c>
      <c r="AN8086">
        <v>1.00000001579002</v>
      </c>
    </row>
    <row r="8087" spans="1:40" x14ac:dyDescent="0.25">
      <c r="A8087" t="str">
        <f>"20190304154952449"</f>
        <v>20190304154952449</v>
      </c>
      <c r="B8087" t="str">
        <f>"1551685792445455"</f>
        <v>1551685792445455</v>
      </c>
      <c r="C8087" t="s">
        <v>40</v>
      </c>
      <c r="D8087">
        <v>4.7544129999999996</v>
      </c>
      <c r="E8087">
        <v>0.5581661</v>
      </c>
      <c r="F8087" t="s">
        <v>44</v>
      </c>
      <c r="G8087">
        <v>-177.95349999999999</v>
      </c>
      <c r="H8087">
        <v>7.9986139999999997E-2</v>
      </c>
      <c r="I8087">
        <v>162.39009999999999</v>
      </c>
      <c r="J8087">
        <v>-187.46209999999999</v>
      </c>
      <c r="K8087">
        <v>1.110916</v>
      </c>
      <c r="L8087">
        <v>75.177549999999997</v>
      </c>
      <c r="M8087">
        <v>1.4605190000000001E-2</v>
      </c>
      <c r="N8087">
        <v>-1.395557E-2</v>
      </c>
      <c r="O8087">
        <v>0.99979600000000002</v>
      </c>
      <c r="P8087">
        <v>-4.5768450000000002E-2</v>
      </c>
      <c r="Q8087">
        <v>0.24268590000000001</v>
      </c>
      <c r="R8087">
        <v>0.96902469999999996</v>
      </c>
      <c r="S8087">
        <v>0.33915709999999999</v>
      </c>
      <c r="T8087">
        <v>-3.6750440000000002E-2</v>
      </c>
      <c r="U8087">
        <v>3.1211549999999999</v>
      </c>
      <c r="V8087">
        <v>-5.983405E-2</v>
      </c>
      <c r="W8087">
        <v>0.2561948</v>
      </c>
      <c r="X8087">
        <v>0.9647715</v>
      </c>
      <c r="Y8087">
        <v>9.3478439999999996E-2</v>
      </c>
      <c r="Z8087">
        <v>2.233025E-3</v>
      </c>
      <c r="AA8087">
        <v>0.99561880000000003</v>
      </c>
      <c r="AB8087">
        <v>35</v>
      </c>
      <c r="AC8087">
        <v>9.5085999999999995</v>
      </c>
      <c r="AD8087">
        <v>-1.0309298600000001</v>
      </c>
      <c r="AE8087">
        <v>87.212549999999993</v>
      </c>
      <c r="AF8087">
        <v>8.2325689026270208</v>
      </c>
      <c r="AG8087">
        <v>-1.0309298600000001</v>
      </c>
      <c r="AH8087">
        <v>87.330074820713804</v>
      </c>
      <c r="AI8087">
        <v>90.673359069539998</v>
      </c>
      <c r="AJ8087">
        <v>84.614666384052299</v>
      </c>
      <c r="AK8087">
        <v>87.723314890080403</v>
      </c>
      <c r="AL8087">
        <v>75.155605320721506</v>
      </c>
      <c r="AM8087">
        <v>93.548874795496005</v>
      </c>
      <c r="AN8087">
        <v>0.999999968149345</v>
      </c>
    </row>
    <row r="8088" spans="1:40" x14ac:dyDescent="0.25">
      <c r="A8088" t="str">
        <f>"20190304154952463"</f>
        <v>20190304154952463</v>
      </c>
      <c r="B8088" t="str">
        <f>"1551685792455213"</f>
        <v>1551685792455213</v>
      </c>
      <c r="C8088" t="s">
        <v>40</v>
      </c>
      <c r="D8088">
        <v>4.4033730000000002</v>
      </c>
      <c r="E8088">
        <v>0.55821580000000004</v>
      </c>
      <c r="F8088" t="s">
        <v>79</v>
      </c>
      <c r="G8088">
        <v>-178.55850000000001</v>
      </c>
      <c r="H8088">
        <v>7.9984830000000007E-2</v>
      </c>
      <c r="I8088">
        <v>157.84549999999999</v>
      </c>
      <c r="J8088">
        <v>-187.45869999999999</v>
      </c>
      <c r="K8088">
        <v>1.1109469999999999</v>
      </c>
      <c r="L8088">
        <v>75.407229999999998</v>
      </c>
      <c r="M8088">
        <v>1.461407E-2</v>
      </c>
      <c r="N8088">
        <v>-1.3988260000000001E-2</v>
      </c>
      <c r="O8088">
        <v>0.9997954</v>
      </c>
      <c r="P8088">
        <v>-4.5930140000000001E-2</v>
      </c>
      <c r="Q8088">
        <v>0.2423719</v>
      </c>
      <c r="R8088">
        <v>0.96909559999999995</v>
      </c>
      <c r="S8088">
        <v>0.33619690000000002</v>
      </c>
      <c r="T8088">
        <v>-3.8927669999999998E-2</v>
      </c>
      <c r="U8088">
        <v>3.121521</v>
      </c>
      <c r="V8088">
        <v>-6.0020450000000003E-2</v>
      </c>
      <c r="W8088">
        <v>0.25590940000000001</v>
      </c>
      <c r="X8088">
        <v>0.96483569999999996</v>
      </c>
      <c r="Y8088">
        <v>9.2523569999999999E-2</v>
      </c>
      <c r="Z8088">
        <v>1.5722550000000001E-3</v>
      </c>
      <c r="AA8088">
        <v>0.99570919999999896</v>
      </c>
      <c r="AB8088">
        <v>35</v>
      </c>
      <c r="AC8088">
        <v>8.9001999999999803</v>
      </c>
      <c r="AD8088">
        <v>-1.03096217</v>
      </c>
      <c r="AE8088">
        <v>82.438269999999903</v>
      </c>
      <c r="AF8088">
        <v>7.6931835410905096</v>
      </c>
      <c r="AG8088">
        <v>-1.03096217</v>
      </c>
      <c r="AH8088">
        <v>82.546784155962598</v>
      </c>
      <c r="AI8088">
        <v>90.712467167567596</v>
      </c>
      <c r="AJ8088">
        <v>84.675536296226198</v>
      </c>
      <c r="AK8088">
        <v>82.910913217042506</v>
      </c>
      <c r="AL8088">
        <v>75.172521979854807</v>
      </c>
      <c r="AM8088">
        <v>93.5596658916499</v>
      </c>
      <c r="AN8088">
        <v>1.0000000017105199</v>
      </c>
    </row>
    <row r="8089" spans="1:40" x14ac:dyDescent="0.25">
      <c r="A8089" t="str">
        <f>"20190304154952478"</f>
        <v>20190304154952478</v>
      </c>
      <c r="B8089" t="str">
        <f>"1551685792475709"</f>
        <v>1551685792475709</v>
      </c>
      <c r="C8089" t="s">
        <v>40</v>
      </c>
      <c r="D8089">
        <v>4.6709129999999996</v>
      </c>
      <c r="E8089">
        <v>0.55814949999999997</v>
      </c>
      <c r="F8089" t="s">
        <v>79</v>
      </c>
      <c r="G8089">
        <v>-178.39769999999999</v>
      </c>
      <c r="H8089">
        <v>7.9985020000000004E-2</v>
      </c>
      <c r="I8089">
        <v>159.49359999999999</v>
      </c>
      <c r="J8089">
        <v>-187.4555</v>
      </c>
      <c r="K8089">
        <v>1.1109709999999999</v>
      </c>
      <c r="L8089">
        <v>75.622829999999993</v>
      </c>
      <c r="M8089">
        <v>1.461262E-2</v>
      </c>
      <c r="N8089">
        <v>-1.4018549999999999E-2</v>
      </c>
      <c r="O8089">
        <v>0.99979499999999999</v>
      </c>
      <c r="P8089">
        <v>-4.5886009999999998E-2</v>
      </c>
      <c r="Q8089">
        <v>0.2423728</v>
      </c>
      <c r="R8089">
        <v>0.96909749999999995</v>
      </c>
      <c r="S8089">
        <v>0.33633420000000003</v>
      </c>
      <c r="T8089">
        <v>-3.8268089999999998E-2</v>
      </c>
      <c r="U8089">
        <v>3.1211850000000001</v>
      </c>
      <c r="V8089">
        <v>-5.9986890000000001E-2</v>
      </c>
      <c r="W8089">
        <v>0.25593670000000002</v>
      </c>
      <c r="X8089">
        <v>0.96483050000000004</v>
      </c>
      <c r="Y8089">
        <v>9.2579739999999994E-2</v>
      </c>
      <c r="Z8089">
        <v>1.8114520000000001E-3</v>
      </c>
      <c r="AA8089">
        <v>0.99570360000000002</v>
      </c>
      <c r="AB8089">
        <v>35</v>
      </c>
      <c r="AC8089">
        <v>9.0578000000000092</v>
      </c>
      <c r="AD8089">
        <v>-1.0309859800000001</v>
      </c>
      <c r="AE8089">
        <v>83.870769999999894</v>
      </c>
      <c r="AF8089">
        <v>7.8299711084510699</v>
      </c>
      <c r="AG8089">
        <v>-1.0309859800000001</v>
      </c>
      <c r="AH8089">
        <v>83.981640646577304</v>
      </c>
      <c r="AI8089">
        <v>90.700309445211403</v>
      </c>
      <c r="AJ8089">
        <v>84.673465257827004</v>
      </c>
      <c r="AK8089">
        <v>84.352162659536901</v>
      </c>
      <c r="AL8089">
        <v>75.170903249234001</v>
      </c>
      <c r="AM8089">
        <v>93.557699768750993</v>
      </c>
      <c r="AN8089">
        <v>0.99999995755450499</v>
      </c>
    </row>
    <row r="8090" spans="1:40" x14ac:dyDescent="0.25">
      <c r="A8090" t="str">
        <f>"20190304154952496"</f>
        <v>20190304154952496</v>
      </c>
      <c r="B8090" t="str">
        <f>"1551685792485469"</f>
        <v>1551685792485469</v>
      </c>
      <c r="C8090" t="s">
        <v>40</v>
      </c>
      <c r="D8090">
        <v>4.6838069999999998</v>
      </c>
      <c r="E8090">
        <v>0.55818500000000004</v>
      </c>
      <c r="F8090" t="s">
        <v>79</v>
      </c>
      <c r="G8090">
        <v>-178.47919999999999</v>
      </c>
      <c r="H8090">
        <v>7.9984959999999994E-2</v>
      </c>
      <c r="I8090">
        <v>158.99289999999999</v>
      </c>
      <c r="J8090">
        <v>-187.45140000000001</v>
      </c>
      <c r="K8090">
        <v>1.1109979999999999</v>
      </c>
      <c r="L8090">
        <v>75.90549</v>
      </c>
      <c r="M8090">
        <v>1.4596619999999999E-2</v>
      </c>
      <c r="N8090">
        <v>-1.405812E-2</v>
      </c>
      <c r="O8090">
        <v>0.99979470000000004</v>
      </c>
      <c r="P8090">
        <v>-4.6579559999999999E-2</v>
      </c>
      <c r="Q8090">
        <v>0.24195439999999999</v>
      </c>
      <c r="R8090">
        <v>0.96916899999999995</v>
      </c>
      <c r="S8090">
        <v>0.33605960000000001</v>
      </c>
      <c r="T8090">
        <v>-3.8598540000000001E-2</v>
      </c>
      <c r="U8090">
        <v>3.1212460000000002</v>
      </c>
      <c r="V8090">
        <v>-6.0680110000000002E-2</v>
      </c>
      <c r="W8090">
        <v>0.25555410000000001</v>
      </c>
      <c r="X8090">
        <v>0.96488859999999999</v>
      </c>
      <c r="Y8090">
        <v>9.2506870000000005E-2</v>
      </c>
      <c r="Z8090">
        <v>1.745847E-3</v>
      </c>
      <c r="AA8090">
        <v>0.99571050000000005</v>
      </c>
      <c r="AB8090">
        <v>35</v>
      </c>
      <c r="AC8090">
        <v>8.9722000000000097</v>
      </c>
      <c r="AD8090">
        <v>-1.0310130399999999</v>
      </c>
      <c r="AE8090">
        <v>83.087409999999906</v>
      </c>
      <c r="AF8090">
        <v>7.7571481556126098</v>
      </c>
      <c r="AG8090">
        <v>-1.0310130399999999</v>
      </c>
      <c r="AH8090">
        <v>83.196870345787303</v>
      </c>
      <c r="AI8090">
        <v>90.706932861699997</v>
      </c>
      <c r="AJ8090">
        <v>84.673230004015394</v>
      </c>
      <c r="AK8090">
        <v>83.564080625173602</v>
      </c>
      <c r="AL8090">
        <v>75.193579229895505</v>
      </c>
      <c r="AM8090">
        <v>93.598489676829502</v>
      </c>
      <c r="AN8090">
        <v>0.99999999209319101</v>
      </c>
    </row>
    <row r="8091" spans="1:40" x14ac:dyDescent="0.25">
      <c r="A8091" t="str">
        <f>"20190304154952518"</f>
        <v>20190304154952518</v>
      </c>
      <c r="B8091" t="str">
        <f>"1551685792515725"</f>
        <v>1551685792515725</v>
      </c>
      <c r="C8091" t="s">
        <v>40</v>
      </c>
      <c r="D8091">
        <v>4.6685109999999996</v>
      </c>
      <c r="E8091">
        <v>0.55833710000000003</v>
      </c>
      <c r="F8091" t="s">
        <v>79</v>
      </c>
      <c r="G8091">
        <v>-178.91890000000001</v>
      </c>
      <c r="H8091">
        <v>7.9984589999999994E-2</v>
      </c>
      <c r="I8091">
        <v>155.578</v>
      </c>
      <c r="J8091">
        <v>-187.44649999999999</v>
      </c>
      <c r="K8091">
        <v>1.111027</v>
      </c>
      <c r="L8091">
        <v>76.243440000000007</v>
      </c>
      <c r="M8091">
        <v>1.456238E-2</v>
      </c>
      <c r="N8091">
        <v>-1.41039999999999E-2</v>
      </c>
      <c r="O8091">
        <v>0.99979450000000003</v>
      </c>
      <c r="P8091">
        <v>-4.7560619999999998E-2</v>
      </c>
      <c r="Q8091">
        <v>0.2421006</v>
      </c>
      <c r="R8091">
        <v>0.96908470000000002</v>
      </c>
      <c r="S8091">
        <v>0.33430480000000001</v>
      </c>
      <c r="T8091">
        <v>-4.0395260000000002E-2</v>
      </c>
      <c r="U8091">
        <v>3.1215820000000001</v>
      </c>
      <c r="V8091">
        <v>-6.164037E-2</v>
      </c>
      <c r="W8091">
        <v>0.25574029999999998</v>
      </c>
      <c r="X8091">
        <v>0.96477840000000004</v>
      </c>
      <c r="Y8091">
        <v>9.1975909999999994E-2</v>
      </c>
      <c r="Z8091">
        <v>1.2198669999999999E-3</v>
      </c>
      <c r="AA8091">
        <v>0.99576050000000005</v>
      </c>
      <c r="AB8091">
        <v>35</v>
      </c>
      <c r="AC8091">
        <v>8.5275999999999694</v>
      </c>
      <c r="AD8091">
        <v>-1.03104241</v>
      </c>
      <c r="AE8091">
        <v>79.334559999999996</v>
      </c>
      <c r="AF8091">
        <v>7.3700500803373501</v>
      </c>
      <c r="AG8091">
        <v>-1.03104241</v>
      </c>
      <c r="AH8091">
        <v>79.437076793135205</v>
      </c>
      <c r="AI8091">
        <v>90.740441171772602</v>
      </c>
      <c r="AJ8091">
        <v>84.699359775932805</v>
      </c>
      <c r="AK8091">
        <v>79.784897418473605</v>
      </c>
      <c r="AL8091">
        <v>75.1825441583387</v>
      </c>
      <c r="AM8091">
        <v>93.655698808122906</v>
      </c>
      <c r="AN8091">
        <v>0.99999999868219303</v>
      </c>
    </row>
    <row r="8092" spans="1:40" x14ac:dyDescent="0.25">
      <c r="A8092" t="str">
        <f>"20190304154952538"</f>
        <v>20190304154952538</v>
      </c>
      <c r="B8092" t="str">
        <f>"1551685792535245"</f>
        <v>1551685792535245</v>
      </c>
      <c r="C8092" t="s">
        <v>40</v>
      </c>
      <c r="D8092">
        <v>4.6499930000000003</v>
      </c>
      <c r="E8092">
        <v>0.55842369999999997</v>
      </c>
      <c r="F8092" t="s">
        <v>79</v>
      </c>
      <c r="G8092">
        <v>-179.03809999999999</v>
      </c>
      <c r="H8092">
        <v>7.9984550000000001E-2</v>
      </c>
      <c r="I8092">
        <v>155.21940000000001</v>
      </c>
      <c r="J8092">
        <v>-187.44200000000001</v>
      </c>
      <c r="K8092">
        <v>1.111049</v>
      </c>
      <c r="L8092">
        <v>76.552459999999996</v>
      </c>
      <c r="M8092">
        <v>1.452325E-2</v>
      </c>
      <c r="N8092">
        <v>-1.4144210000000001E-2</v>
      </c>
      <c r="O8092">
        <v>0.99979450000000003</v>
      </c>
      <c r="P8092">
        <v>-4.8411160000000002E-2</v>
      </c>
      <c r="Q8092">
        <v>0.24159320000000001</v>
      </c>
      <c r="R8092">
        <v>0.96916930000000001</v>
      </c>
      <c r="S8092">
        <v>0.33241270000000001</v>
      </c>
      <c r="T8092">
        <v>-4.0760640000000001E-2</v>
      </c>
      <c r="U8092">
        <v>3.1221920000000001</v>
      </c>
      <c r="V8092">
        <v>-6.2465859999999998E-2</v>
      </c>
      <c r="W8092">
        <v>0.2552701</v>
      </c>
      <c r="X8092">
        <v>0.96484979999999998</v>
      </c>
      <c r="Y8092">
        <v>9.1397599999999996E-2</v>
      </c>
      <c r="Z8092">
        <v>1.145465E-3</v>
      </c>
      <c r="AA8092">
        <v>0.99581379999999997</v>
      </c>
      <c r="AB8092">
        <v>35</v>
      </c>
      <c r="AC8092">
        <v>8.4039000000000197</v>
      </c>
      <c r="AD8092">
        <v>-1.0310644499999999</v>
      </c>
      <c r="AE8092">
        <v>78.666939999999997</v>
      </c>
      <c r="AF8092">
        <v>7.2591666078082104</v>
      </c>
      <c r="AG8092">
        <v>-1.0310644499999999</v>
      </c>
      <c r="AH8092">
        <v>78.767327224567197</v>
      </c>
      <c r="AI8092">
        <v>90.746794675736894</v>
      </c>
      <c r="AJ8092">
        <v>84.734516640154297</v>
      </c>
      <c r="AK8092">
        <v>79.107840520658996</v>
      </c>
      <c r="AL8092">
        <v>75.210409148959201</v>
      </c>
      <c r="AM8092">
        <v>93.704247249417804</v>
      </c>
      <c r="AN8092">
        <v>0.99999997208979396</v>
      </c>
    </row>
    <row r="8093" spans="1:40" x14ac:dyDescent="0.25">
      <c r="A8093" t="str">
        <f>"20190304154952562"</f>
        <v>20190304154952562</v>
      </c>
      <c r="B8093" t="str">
        <f>"1551685792555742"</f>
        <v>1551685792555742</v>
      </c>
      <c r="C8093" t="s">
        <v>40</v>
      </c>
      <c r="D8093">
        <v>4.6708879999999997</v>
      </c>
      <c r="E8093">
        <v>0.55857349999999995</v>
      </c>
      <c r="F8093" t="s">
        <v>79</v>
      </c>
      <c r="G8093">
        <v>-179.49440000000001</v>
      </c>
      <c r="H8093">
        <v>7.9984710000000001E-2</v>
      </c>
      <c r="I8093">
        <v>151.66229999999999</v>
      </c>
      <c r="J8093">
        <v>-187.4367</v>
      </c>
      <c r="K8093">
        <v>1.111073</v>
      </c>
      <c r="L8093">
        <v>76.916659999999993</v>
      </c>
      <c r="M8093">
        <v>1.4472219999999999E-2</v>
      </c>
      <c r="N8093">
        <v>-1.419258E-2</v>
      </c>
      <c r="O8093">
        <v>0.99979450000000003</v>
      </c>
      <c r="P8093">
        <v>-4.9939610000000002E-2</v>
      </c>
      <c r="Q8093">
        <v>0.24161530000000001</v>
      </c>
      <c r="R8093">
        <v>0.96908620000000001</v>
      </c>
      <c r="S8093">
        <v>0.33041379999999998</v>
      </c>
      <c r="T8093">
        <v>-4.2865510000000002E-2</v>
      </c>
      <c r="U8093">
        <v>3.12262</v>
      </c>
      <c r="V8093">
        <v>-6.3955310000000001E-2</v>
      </c>
      <c r="W8093">
        <v>0.25533420000000001</v>
      </c>
      <c r="X8093">
        <v>0.96473529999999996</v>
      </c>
      <c r="Y8093">
        <v>9.0803330000000002E-2</v>
      </c>
      <c r="Z8093">
        <v>5.2429349999999996E-4</v>
      </c>
      <c r="AA8093">
        <v>0.99586870000000005</v>
      </c>
      <c r="AB8093">
        <v>34</v>
      </c>
      <c r="AC8093">
        <v>7.9422999999999799</v>
      </c>
      <c r="AD8093">
        <v>-1.03108829</v>
      </c>
      <c r="AE8093">
        <v>74.745639999999995</v>
      </c>
      <c r="AF8093">
        <v>6.8583331829341301</v>
      </c>
      <c r="AG8093">
        <v>-1.03108829</v>
      </c>
      <c r="AH8093">
        <v>74.838682565391196</v>
      </c>
      <c r="AI8093">
        <v>90.786048023296402</v>
      </c>
      <c r="AJ8093">
        <v>84.763950786547795</v>
      </c>
      <c r="AK8093">
        <v>75.159352613186499</v>
      </c>
      <c r="AL8093">
        <v>75.206611293660302</v>
      </c>
      <c r="AM8093">
        <v>93.792766183452798</v>
      </c>
      <c r="AN8093">
        <v>1.00000001721646</v>
      </c>
    </row>
    <row r="8094" spans="1:40" x14ac:dyDescent="0.25">
      <c r="A8094" t="str">
        <f>"20190304154952584"</f>
        <v>20190304154952584</v>
      </c>
      <c r="B8094" t="str">
        <f>"1551685792575261"</f>
        <v>1551685792575261</v>
      </c>
      <c r="C8094" t="s">
        <v>40</v>
      </c>
      <c r="D8094">
        <v>4.7024629999999998</v>
      </c>
      <c r="E8094">
        <v>0.55870050000000004</v>
      </c>
      <c r="F8094" t="s">
        <v>79</v>
      </c>
      <c r="G8094">
        <v>-179.44970000000001</v>
      </c>
      <c r="H8094">
        <v>7.9984810000000003E-2</v>
      </c>
      <c r="I8094">
        <v>153.12530000000001</v>
      </c>
      <c r="J8094">
        <v>-187.43180000000001</v>
      </c>
      <c r="K8094">
        <v>1.111094</v>
      </c>
      <c r="L8094">
        <v>77.260589999999993</v>
      </c>
      <c r="M8094">
        <v>1.4421069999999999E-2</v>
      </c>
      <c r="N8094">
        <v>-1.4238290000000001E-2</v>
      </c>
      <c r="O8094">
        <v>0.99979459999999998</v>
      </c>
      <c r="P8094">
        <v>-5.1996750000000001E-2</v>
      </c>
      <c r="Q8094">
        <v>0.241567</v>
      </c>
      <c r="R8094">
        <v>0.96899000000000002</v>
      </c>
      <c r="S8094">
        <v>0.3273163</v>
      </c>
      <c r="T8094">
        <v>-4.2255040000000001E-2</v>
      </c>
      <c r="U8094">
        <v>3.1231080000000002</v>
      </c>
      <c r="V8094">
        <v>-6.596929E-2</v>
      </c>
      <c r="W8094">
        <v>0.25532680000000002</v>
      </c>
      <c r="X8094">
        <v>0.96460159999999995</v>
      </c>
      <c r="Y8094">
        <v>8.9861280000000002E-2</v>
      </c>
      <c r="Z8094">
        <v>7.6539759999999903E-4</v>
      </c>
      <c r="AA8094">
        <v>0.99595400000000001</v>
      </c>
      <c r="AB8094">
        <v>34</v>
      </c>
      <c r="AC8094">
        <v>7.9821</v>
      </c>
      <c r="AD8094">
        <v>-1.03110919</v>
      </c>
      <c r="AE8094">
        <v>75.864710000000002</v>
      </c>
      <c r="AF8094">
        <v>6.8858504654472297</v>
      </c>
      <c r="AG8094">
        <v>-1.03110919</v>
      </c>
      <c r="AH8094">
        <v>75.958063544575893</v>
      </c>
      <c r="AI8094">
        <v>90.774550467429506</v>
      </c>
      <c r="AJ8094">
        <v>84.820106032544899</v>
      </c>
      <c r="AK8094">
        <v>76.276507131855695</v>
      </c>
      <c r="AL8094">
        <v>75.207049320856498</v>
      </c>
      <c r="AM8094">
        <v>93.912377351192902</v>
      </c>
      <c r="AN8094">
        <v>0.99999998437195103</v>
      </c>
    </row>
    <row r="8095" spans="1:40" x14ac:dyDescent="0.25">
      <c r="A8095" t="str">
        <f>"20190304154952617"</f>
        <v>20190304154952617</v>
      </c>
      <c r="B8095" t="str">
        <f>"1551685792605517"</f>
        <v>1551685792605517</v>
      </c>
      <c r="C8095" t="s">
        <v>40</v>
      </c>
      <c r="D8095">
        <v>4.1073370000000002</v>
      </c>
      <c r="E8095">
        <v>0.55869550000000001</v>
      </c>
      <c r="F8095" t="s">
        <v>79</v>
      </c>
      <c r="G8095">
        <v>-179.51439999999999</v>
      </c>
      <c r="H8095">
        <v>7.9984699999999895E-2</v>
      </c>
      <c r="I8095">
        <v>153.9187</v>
      </c>
      <c r="J8095">
        <v>-187.4247</v>
      </c>
      <c r="K8095">
        <v>1.1111219999999999</v>
      </c>
      <c r="L8095">
        <v>77.75909</v>
      </c>
      <c r="M8095">
        <v>1.4342199999999999E-2</v>
      </c>
      <c r="N8095">
        <v>-1.4298780000000001E-2</v>
      </c>
      <c r="O8095">
        <v>0.99979490000000004</v>
      </c>
      <c r="P8095">
        <v>-5.3887530000000003E-2</v>
      </c>
      <c r="Q8095">
        <v>0.2413478</v>
      </c>
      <c r="R8095">
        <v>0.96894139999999995</v>
      </c>
      <c r="S8095">
        <v>0.32263180000000002</v>
      </c>
      <c r="T8095">
        <v>-4.2017220000000001E-2</v>
      </c>
      <c r="U8095">
        <v>3.1237789999999999</v>
      </c>
      <c r="V8095">
        <v>-6.7791340000000005E-2</v>
      </c>
      <c r="W8095">
        <v>0.25516220000000001</v>
      </c>
      <c r="X8095">
        <v>0.96451880000000001</v>
      </c>
      <c r="Y8095">
        <v>8.8440199999999997E-2</v>
      </c>
      <c r="Z8095">
        <v>9.0277800000000002E-4</v>
      </c>
      <c r="AA8095">
        <v>0.99608110000000005</v>
      </c>
      <c r="AB8095">
        <v>34</v>
      </c>
      <c r="AC8095">
        <v>7.9103000000000003</v>
      </c>
      <c r="AD8095">
        <v>-1.0311372999999999</v>
      </c>
      <c r="AE8095">
        <v>76.159610000000001</v>
      </c>
      <c r="AF8095">
        <v>6.81584211185098</v>
      </c>
      <c r="AG8095">
        <v>-1.0311372999999999</v>
      </c>
      <c r="AH8095">
        <v>76.251409349674304</v>
      </c>
      <c r="AI8095">
        <v>90.7716793797902</v>
      </c>
      <c r="AJ8095">
        <v>84.892109220443302</v>
      </c>
      <c r="AK8095">
        <v>76.562369187719995</v>
      </c>
      <c r="AL8095">
        <v>75.216802995966702</v>
      </c>
      <c r="AM8095">
        <v>94.020430338994302</v>
      </c>
      <c r="AN8095">
        <v>0.99999996482063702</v>
      </c>
    </row>
    <row r="8096" spans="1:40" x14ac:dyDescent="0.25">
      <c r="A8096" t="str">
        <f>"20190304154952639"</f>
        <v>20190304154952639</v>
      </c>
      <c r="B8096" t="str">
        <f>"1551685792635774"</f>
        <v>1551685792635774</v>
      </c>
      <c r="C8096" t="s">
        <v>40</v>
      </c>
      <c r="D8096">
        <v>4.5128810000000001</v>
      </c>
      <c r="E8096">
        <v>0.50822789999999995</v>
      </c>
      <c r="F8096" t="s">
        <v>79</v>
      </c>
      <c r="G8096">
        <v>-179.28980000000001</v>
      </c>
      <c r="H8096">
        <v>7.9984849999999996E-2</v>
      </c>
      <c r="I8096">
        <v>158.00579999999999</v>
      </c>
      <c r="J8096">
        <v>-187.41990000000001</v>
      </c>
      <c r="K8096">
        <v>1.111135</v>
      </c>
      <c r="L8096">
        <v>78.096919999999997</v>
      </c>
      <c r="M8096">
        <v>1.428656E-2</v>
      </c>
      <c r="N8096">
        <v>-1.433443E-2</v>
      </c>
      <c r="O8096">
        <v>0.9997952</v>
      </c>
      <c r="P8096">
        <v>-5.4596869999999999E-2</v>
      </c>
      <c r="Q8096">
        <v>0.24111350000000001</v>
      </c>
      <c r="R8096">
        <v>0.96896000000000004</v>
      </c>
      <c r="S8096">
        <v>0.31666559999999999</v>
      </c>
      <c r="T8096">
        <v>-4.0139319999999999E-2</v>
      </c>
      <c r="U8096">
        <v>3.1237789999999999</v>
      </c>
      <c r="V8096">
        <v>-6.8449990000000002E-2</v>
      </c>
      <c r="W8096">
        <v>0.25496210000000002</v>
      </c>
      <c r="X8096">
        <v>0.96452519999999997</v>
      </c>
      <c r="Y8096">
        <v>8.6613319999999994E-2</v>
      </c>
      <c r="Z8096">
        <v>1.5345580000000001E-3</v>
      </c>
      <c r="AA8096">
        <v>0.99624080000000004</v>
      </c>
      <c r="AB8096">
        <v>34</v>
      </c>
      <c r="AC8096">
        <v>8.1300999999999899</v>
      </c>
      <c r="AD8096">
        <v>-1.03115015</v>
      </c>
      <c r="AE8096">
        <v>79.908879999999996</v>
      </c>
      <c r="AF8096">
        <v>6.9863783667191104</v>
      </c>
      <c r="AG8096">
        <v>-1.03115015</v>
      </c>
      <c r="AH8096">
        <v>80.003700730105905</v>
      </c>
      <c r="AI8096">
        <v>90.735632598321999</v>
      </c>
      <c r="AJ8096">
        <v>85.009266897453898</v>
      </c>
      <c r="AK8096">
        <v>80.314786209185399</v>
      </c>
      <c r="AL8096">
        <v>75.228660098757899</v>
      </c>
      <c r="AM8096">
        <v>94.059335401698306</v>
      </c>
      <c r="AN8096">
        <v>0.999999967501224</v>
      </c>
    </row>
    <row r="8097" spans="1:40" x14ac:dyDescent="0.25">
      <c r="A8097" t="str">
        <f>"20190304154952662"</f>
        <v>20190304154952662</v>
      </c>
      <c r="B8097" t="str">
        <f>"1551685792655294"</f>
        <v>1551685792655294</v>
      </c>
      <c r="C8097" t="s">
        <v>40</v>
      </c>
      <c r="D8097">
        <v>4.4894410000000002</v>
      </c>
      <c r="E8097">
        <v>0.50747200000000003</v>
      </c>
      <c r="F8097" t="s">
        <v>51</v>
      </c>
      <c r="G8097">
        <v>-196.61060000000001</v>
      </c>
      <c r="H8097">
        <v>9.5652100000000004</v>
      </c>
      <c r="I8097">
        <v>391.87</v>
      </c>
      <c r="J8097">
        <v>-187.41489999999999</v>
      </c>
      <c r="K8097">
        <v>1.1111409999999999</v>
      </c>
      <c r="L8097">
        <v>78.447749999999999</v>
      </c>
      <c r="M8097">
        <v>1.4227160000000001E-2</v>
      </c>
      <c r="N8097">
        <v>-1.4367319999999999E-2</v>
      </c>
      <c r="O8097">
        <v>0.99979560000000001</v>
      </c>
      <c r="P8097">
        <v>-5.516621E-2</v>
      </c>
      <c r="Q8097">
        <v>0.24211050000000001</v>
      </c>
      <c r="R8097">
        <v>0.96867910000000002</v>
      </c>
      <c r="S8097">
        <v>-8.9935299999999996E-2</v>
      </c>
      <c r="T8097">
        <v>8.2727549999999997E-2</v>
      </c>
      <c r="U8097">
        <v>3.0704349999999998</v>
      </c>
      <c r="V8097">
        <v>-6.8960060000000004E-2</v>
      </c>
      <c r="W8097">
        <v>0.25598559999999998</v>
      </c>
      <c r="X8097">
        <v>0.96421780000000001</v>
      </c>
      <c r="Y8097">
        <v>-4.3476720000000003E-2</v>
      </c>
      <c r="Z8097">
        <v>4.1273219999999999E-2</v>
      </c>
      <c r="AA8097">
        <v>0.99820149999999996</v>
      </c>
      <c r="AB8097">
        <v>34</v>
      </c>
      <c r="AC8097">
        <v>-9.1957000000000093</v>
      </c>
      <c r="AD8097">
        <v>8.4540690000000005</v>
      </c>
      <c r="AE8097">
        <v>313.42225000000002</v>
      </c>
      <c r="AF8097">
        <v>-13.644419063272901</v>
      </c>
      <c r="AG8097">
        <v>8.4540690000000005</v>
      </c>
      <c r="AH8097">
        <v>313.03212402501799</v>
      </c>
      <c r="AI8097">
        <v>88.454453808513904</v>
      </c>
      <c r="AJ8097">
        <v>92.495824021542006</v>
      </c>
      <c r="AK8097">
        <v>313.44337945767001</v>
      </c>
      <c r="AL8097">
        <v>75.168006208680197</v>
      </c>
      <c r="AM8097">
        <v>94.090781504485506</v>
      </c>
      <c r="AN8097">
        <v>1.0000000415596999</v>
      </c>
    </row>
    <row r="8098" spans="1:40" x14ac:dyDescent="0.25">
      <c r="A8098" t="str">
        <f>"20190304154952685"</f>
        <v>20190304154952685</v>
      </c>
      <c r="B8098" t="str">
        <f>"1551685792675793"</f>
        <v>1551685792675793</v>
      </c>
      <c r="C8098" t="s">
        <v>40</v>
      </c>
      <c r="D8098">
        <v>4.4782960000000003</v>
      </c>
      <c r="E8098">
        <v>0.50597269999999905</v>
      </c>
      <c r="F8098" t="s">
        <v>51</v>
      </c>
      <c r="G8098">
        <v>-197.351</v>
      </c>
      <c r="H8098">
        <v>8.5395749999999992</v>
      </c>
      <c r="I8098">
        <v>391.87</v>
      </c>
      <c r="J8098">
        <v>-187.40989999999999</v>
      </c>
      <c r="K8098">
        <v>1.1111530000000001</v>
      </c>
      <c r="L8098">
        <v>78.802669999999907</v>
      </c>
      <c r="M8098">
        <v>1.4162340000000001E-2</v>
      </c>
      <c r="N8098">
        <v>-1.4396529999999999E-2</v>
      </c>
      <c r="O8098">
        <v>0.99979609999999997</v>
      </c>
      <c r="P8098">
        <v>-5.4929869999999999E-2</v>
      </c>
      <c r="Q8098">
        <v>0.24229970000000001</v>
      </c>
      <c r="R8098">
        <v>0.96864519999999998</v>
      </c>
      <c r="S8098">
        <v>-9.7427369999999999E-2</v>
      </c>
      <c r="T8098">
        <v>7.2839020000000004E-2</v>
      </c>
      <c r="U8098">
        <v>3.073242</v>
      </c>
      <c r="V8098">
        <v>-6.8664039999999996E-2</v>
      </c>
      <c r="W8098">
        <v>0.25620130000000002</v>
      </c>
      <c r="X8098">
        <v>0.96418159999999997</v>
      </c>
      <c r="Y8098">
        <v>-4.5819520000000002E-2</v>
      </c>
      <c r="Z8098">
        <v>3.8065710000000003E-2</v>
      </c>
      <c r="AA8098">
        <v>0.99822420000000001</v>
      </c>
      <c r="AB8098">
        <v>34</v>
      </c>
      <c r="AC8098">
        <v>-9.9411000000000005</v>
      </c>
      <c r="AD8098">
        <v>7.4284219999999896</v>
      </c>
      <c r="AE8098">
        <v>313.067329999999</v>
      </c>
      <c r="AF8098">
        <v>-14.3662479185967</v>
      </c>
      <c r="AG8098">
        <v>7.4284219999999896</v>
      </c>
      <c r="AH8098">
        <v>312.71923451597701</v>
      </c>
      <c r="AI8098">
        <v>88.640668711072493</v>
      </c>
      <c r="AJ8098">
        <v>92.630305258754603</v>
      </c>
      <c r="AK8098">
        <v>313.13717468375899</v>
      </c>
      <c r="AL8098">
        <v>75.155220631290206</v>
      </c>
      <c r="AM8098">
        <v>94.073432944344006</v>
      </c>
      <c r="AN8098">
        <v>1.00000000714468</v>
      </c>
    </row>
    <row r="8099" spans="1:40" x14ac:dyDescent="0.25">
      <c r="A8099" t="str">
        <f>"20190304154952707"</f>
        <v>20190304154952707</v>
      </c>
      <c r="B8099" t="str">
        <f>"1551685792705069"</f>
        <v>1551685792705069</v>
      </c>
      <c r="C8099" t="s">
        <v>40</v>
      </c>
      <c r="D8099">
        <v>4.5116239999999896</v>
      </c>
      <c r="E8099">
        <v>0.50613829999999904</v>
      </c>
      <c r="F8099" t="s">
        <v>51</v>
      </c>
      <c r="G8099">
        <v>-198.39699999999999</v>
      </c>
      <c r="H8099">
        <v>4.6786510000000003</v>
      </c>
      <c r="I8099">
        <v>391.87</v>
      </c>
      <c r="J8099">
        <v>-187.4051</v>
      </c>
      <c r="K8099">
        <v>1.111164</v>
      </c>
      <c r="L8099">
        <v>79.151859999999999</v>
      </c>
      <c r="M8099">
        <v>1.4088699999999999E-2</v>
      </c>
      <c r="N8099">
        <v>-1.442119E-2</v>
      </c>
      <c r="O8099">
        <v>0.99979669999999998</v>
      </c>
      <c r="P8099">
        <v>-5.3988679999999997E-2</v>
      </c>
      <c r="Q8099">
        <v>0.2424248</v>
      </c>
      <c r="R8099">
        <v>0.9686669</v>
      </c>
      <c r="S8099">
        <v>-0.1081696</v>
      </c>
      <c r="T8099">
        <v>3.5122750000000001E-2</v>
      </c>
      <c r="U8099">
        <v>3.082214</v>
      </c>
      <c r="V8099">
        <v>-6.7657140000000004E-2</v>
      </c>
      <c r="W8099">
        <v>0.25634970000000001</v>
      </c>
      <c r="X8099">
        <v>0.96421330000000005</v>
      </c>
      <c r="Y8099">
        <v>-4.9138420000000002E-2</v>
      </c>
      <c r="Z8099">
        <v>2.5805109999999999E-2</v>
      </c>
      <c r="AA8099">
        <v>0.99845859999999997</v>
      </c>
      <c r="AB8099">
        <v>34</v>
      </c>
      <c r="AC8099">
        <v>-10.991899999999999</v>
      </c>
      <c r="AD8099">
        <v>3.5674869999999999</v>
      </c>
      <c r="AE8099">
        <v>312.71814000000001</v>
      </c>
      <c r="AF8099">
        <v>-15.3950582238287</v>
      </c>
      <c r="AG8099">
        <v>3.5674869999999999</v>
      </c>
      <c r="AH8099">
        <v>312.49160015578502</v>
      </c>
      <c r="AI8099">
        <v>89.346716836507198</v>
      </c>
      <c r="AJ8099">
        <v>92.820425495623695</v>
      </c>
      <c r="AK8099">
        <v>312.89093139484498</v>
      </c>
      <c r="AL8099">
        <v>75.146423644003903</v>
      </c>
      <c r="AM8099">
        <v>94.013764661363993</v>
      </c>
      <c r="AN8099">
        <v>0.99999997258997897</v>
      </c>
    </row>
    <row r="8100" spans="1:40" x14ac:dyDescent="0.25">
      <c r="A8100" t="str">
        <f>"20190304154952728"</f>
        <v>20190304154952728</v>
      </c>
      <c r="B8100" t="str">
        <f>"1551685792725566"</f>
        <v>1551685792725566</v>
      </c>
      <c r="C8100" t="s">
        <v>40</v>
      </c>
      <c r="D8100">
        <v>4.5070620000000003</v>
      </c>
      <c r="E8100">
        <v>0.50633879999999998</v>
      </c>
      <c r="F8100" t="s">
        <v>51</v>
      </c>
      <c r="G8100">
        <v>-198.0121</v>
      </c>
      <c r="H8100">
        <v>2.8349150000000001</v>
      </c>
      <c r="I8100">
        <v>391.87</v>
      </c>
      <c r="J8100">
        <v>-187.4007</v>
      </c>
      <c r="K8100">
        <v>1.1111819999999999</v>
      </c>
      <c r="L8100">
        <v>79.465419999999995</v>
      </c>
      <c r="M8100">
        <v>1.400682E-2</v>
      </c>
      <c r="N8100">
        <v>-1.4440110000000001E-2</v>
      </c>
      <c r="O8100">
        <v>0.99979759999999995</v>
      </c>
      <c r="P8100">
        <v>-5.3663879999999997E-2</v>
      </c>
      <c r="Q8100">
        <v>0.2424145</v>
      </c>
      <c r="R8100">
        <v>0.96868750000000003</v>
      </c>
      <c r="S8100">
        <v>-0.1047058</v>
      </c>
      <c r="T8100">
        <v>1.7015700000000002E-2</v>
      </c>
      <c r="U8100">
        <v>3.0869450000000001</v>
      </c>
      <c r="V8100">
        <v>-6.7261139999999997E-2</v>
      </c>
      <c r="W8100">
        <v>0.25635669999999999</v>
      </c>
      <c r="X8100">
        <v>0.96423919999999996</v>
      </c>
      <c r="Y8100">
        <v>-4.7886489999999997E-2</v>
      </c>
      <c r="Z8100">
        <v>1.9949250000000002E-2</v>
      </c>
      <c r="AA8100">
        <v>0.99865349999999997</v>
      </c>
      <c r="AB8100">
        <v>34</v>
      </c>
      <c r="AC8100">
        <v>-10.6114</v>
      </c>
      <c r="AD8100">
        <v>1.723733</v>
      </c>
      <c r="AE8100">
        <v>312.40457999999899</v>
      </c>
      <c r="AF8100">
        <v>-14.986154200843201</v>
      </c>
      <c r="AG8100">
        <v>1.723733</v>
      </c>
      <c r="AH8100">
        <v>312.21578492661598</v>
      </c>
      <c r="AI8100">
        <v>89.684038874899898</v>
      </c>
      <c r="AJ8100">
        <v>92.748050925382302</v>
      </c>
      <c r="AK8100">
        <v>312.579993650473</v>
      </c>
      <c r="AL8100">
        <v>75.146009529978798</v>
      </c>
      <c r="AM8100">
        <v>93.990241210815</v>
      </c>
      <c r="AN8100">
        <v>1.00000002670281</v>
      </c>
    </row>
    <row r="8101" spans="1:40" x14ac:dyDescent="0.25">
      <c r="A8101" t="str">
        <f>"20190304154952750"</f>
        <v>20190304154952750</v>
      </c>
      <c r="B8101" t="str">
        <f>"1551685792745085"</f>
        <v>1551685792745085</v>
      </c>
      <c r="C8101" t="s">
        <v>40</v>
      </c>
      <c r="D8101">
        <v>4.6220059999999998</v>
      </c>
      <c r="E8101">
        <v>0.50634630000000003</v>
      </c>
      <c r="F8101" t="s">
        <v>51</v>
      </c>
      <c r="G8101">
        <v>-197.72470000000001</v>
      </c>
      <c r="H8101">
        <v>2.225428</v>
      </c>
      <c r="I8101">
        <v>391.87</v>
      </c>
      <c r="J8101">
        <v>-187.39599999999999</v>
      </c>
      <c r="K8101">
        <v>1.111202</v>
      </c>
      <c r="L8101">
        <v>79.809200000000004</v>
      </c>
      <c r="M8101">
        <v>1.3892399999999999E-2</v>
      </c>
      <c r="N8101">
        <v>-1.4457960000000001E-2</v>
      </c>
      <c r="O8101">
        <v>0.99979899999999999</v>
      </c>
      <c r="P8101">
        <v>-5.3670040000000002E-2</v>
      </c>
      <c r="Q8101">
        <v>0.242256</v>
      </c>
      <c r="R8101">
        <v>0.9687268</v>
      </c>
      <c r="S8101">
        <v>-0.102066</v>
      </c>
      <c r="T8101">
        <v>1.1015769999999999E-2</v>
      </c>
      <c r="U8101">
        <v>3.0885310000000001</v>
      </c>
      <c r="V8101">
        <v>-6.7169090000000001E-2</v>
      </c>
      <c r="W8101">
        <v>0.25621280000000002</v>
      </c>
      <c r="X8101">
        <v>0.96428380000000002</v>
      </c>
      <c r="Y8101">
        <v>-4.690279E-2</v>
      </c>
      <c r="Z8101">
        <v>1.802401E-2</v>
      </c>
      <c r="AA8101">
        <v>0.99873690000000004</v>
      </c>
      <c r="AB8101">
        <v>34</v>
      </c>
      <c r="AC8101">
        <v>-10.3287</v>
      </c>
      <c r="AD8101">
        <v>1.1142259999999999</v>
      </c>
      <c r="AE8101">
        <v>312.06079999999997</v>
      </c>
      <c r="AF8101">
        <v>-14.6632427767184</v>
      </c>
      <c r="AG8101">
        <v>1.1142259999999999</v>
      </c>
      <c r="AH8101">
        <v>311.88320137492599</v>
      </c>
      <c r="AI8101">
        <v>89.795533277568694</v>
      </c>
      <c r="AJ8101">
        <v>92.691788839771604</v>
      </c>
      <c r="AK8101">
        <v>312.22969667887202</v>
      </c>
      <c r="AL8101">
        <v>75.154538356310994</v>
      </c>
      <c r="AM8101">
        <v>93.984614273049004</v>
      </c>
      <c r="AN8101">
        <v>0.99999996623885301</v>
      </c>
    </row>
    <row r="8102" spans="1:40" x14ac:dyDescent="0.25">
      <c r="A8102" t="str">
        <f>"20190304154952775"</f>
        <v>20190304154952775</v>
      </c>
      <c r="B8102" t="str">
        <f>"1551685792765585"</f>
        <v>1551685792765585</v>
      </c>
      <c r="C8102" t="s">
        <v>40</v>
      </c>
      <c r="D8102">
        <v>4.4985419999999996</v>
      </c>
      <c r="E8102">
        <v>0.50622060000000002</v>
      </c>
      <c r="F8102" t="s">
        <v>51</v>
      </c>
      <c r="G8102">
        <v>-197.66669999999999</v>
      </c>
      <c r="H8102">
        <v>1.0356939999999999</v>
      </c>
      <c r="I8102">
        <v>391.87</v>
      </c>
      <c r="J8102">
        <v>-187.3912</v>
      </c>
      <c r="K8102">
        <v>1.111227</v>
      </c>
      <c r="L8102">
        <v>80.160640000000001</v>
      </c>
      <c r="M8102">
        <v>1.3736740000000001E-2</v>
      </c>
      <c r="N8102">
        <v>-1.447319E-2</v>
      </c>
      <c r="O8102">
        <v>0.99980089999999999</v>
      </c>
      <c r="P8102">
        <v>-5.3617940000000003E-2</v>
      </c>
      <c r="Q8102">
        <v>0.2417735</v>
      </c>
      <c r="R8102">
        <v>0.96885019999999999</v>
      </c>
      <c r="S8102">
        <v>-0.10174560000000001</v>
      </c>
      <c r="T8102">
        <v>-7.4803830000000002E-4</v>
      </c>
      <c r="U8102">
        <v>3.0914000000000001</v>
      </c>
      <c r="V8102">
        <v>-6.6985059999999999E-2</v>
      </c>
      <c r="W8102">
        <v>0.25574219999999998</v>
      </c>
      <c r="X8102">
        <v>0.96442159999999999</v>
      </c>
      <c r="Y8102">
        <v>-4.6614009999999997E-2</v>
      </c>
      <c r="Z8102">
        <v>1.4234749999999999E-2</v>
      </c>
      <c r="AA8102">
        <v>0.99881149999999996</v>
      </c>
      <c r="AB8102">
        <v>34</v>
      </c>
      <c r="AC8102">
        <v>-10.2754999999999</v>
      </c>
      <c r="AD8102">
        <v>-7.5532999999999795E-2</v>
      </c>
      <c r="AE8102">
        <v>311.70936</v>
      </c>
      <c r="AF8102">
        <v>-14.5568483636546</v>
      </c>
      <c r="AG8102">
        <v>-7.5532999999999795E-2</v>
      </c>
      <c r="AH8102">
        <v>311.53875804963599</v>
      </c>
      <c r="AI8102">
        <v>90.013876300501806</v>
      </c>
      <c r="AJ8102">
        <v>92.675236257964301</v>
      </c>
      <c r="AK8102">
        <v>311.87867081066298</v>
      </c>
      <c r="AL8102">
        <v>75.182432281508696</v>
      </c>
      <c r="AM8102">
        <v>93.973166278885699</v>
      </c>
      <c r="AN8102">
        <v>1.0000000468353001</v>
      </c>
    </row>
    <row r="8103" spans="1:40" x14ac:dyDescent="0.25">
      <c r="A8103" t="str">
        <f>"20190304154952795"</f>
        <v>20190304154952795</v>
      </c>
      <c r="B8103" t="str">
        <f>"1551685792785101"</f>
        <v>1551685792785101</v>
      </c>
      <c r="C8103" t="s">
        <v>40</v>
      </c>
      <c r="D8103">
        <v>4.4674379999999996</v>
      </c>
      <c r="E8103">
        <v>0.50617420000000002</v>
      </c>
      <c r="F8103" t="s">
        <v>51</v>
      </c>
      <c r="G8103">
        <v>-197.82400000000001</v>
      </c>
      <c r="H8103">
        <v>0.62831020000000004</v>
      </c>
      <c r="I8103">
        <v>391.87</v>
      </c>
      <c r="J8103">
        <v>-187.38679999999999</v>
      </c>
      <c r="K8103">
        <v>1.1112599999999999</v>
      </c>
      <c r="L8103">
        <v>80.495059999999995</v>
      </c>
      <c r="M8103">
        <v>1.355044E-2</v>
      </c>
      <c r="N8103">
        <v>-1.4485349999999999E-2</v>
      </c>
      <c r="O8103">
        <v>0.9998032</v>
      </c>
      <c r="P8103">
        <v>-5.421604E-2</v>
      </c>
      <c r="Q8103">
        <v>0.24152460000000001</v>
      </c>
      <c r="R8103">
        <v>0.96887900000000005</v>
      </c>
      <c r="S8103">
        <v>-0.1034851</v>
      </c>
      <c r="T8103">
        <v>-4.7901869999999996E-3</v>
      </c>
      <c r="U8103">
        <v>3.0919189999999999</v>
      </c>
      <c r="V8103">
        <v>-6.7422239999999994E-2</v>
      </c>
      <c r="W8103">
        <v>0.25550060000000002</v>
      </c>
      <c r="X8103">
        <v>0.96445510000000001</v>
      </c>
      <c r="Y8103">
        <v>-4.6983759999999999E-2</v>
      </c>
      <c r="Z8103">
        <v>1.2941019999999999E-2</v>
      </c>
      <c r="AA8103">
        <v>0.99881180000000003</v>
      </c>
      <c r="AB8103">
        <v>34</v>
      </c>
      <c r="AC8103">
        <v>-10.437200000000001</v>
      </c>
      <c r="AD8103">
        <v>-0.48294979999999998</v>
      </c>
      <c r="AE8103">
        <v>311.37493999999998</v>
      </c>
      <c r="AF8103">
        <v>-14.6559167494347</v>
      </c>
      <c r="AG8103">
        <v>-0.48294979999999998</v>
      </c>
      <c r="AH8103">
        <v>311.20415490275798</v>
      </c>
      <c r="AI8103">
        <v>90.088817351463206</v>
      </c>
      <c r="AJ8103">
        <v>92.696307839311203</v>
      </c>
      <c r="AK8103">
        <v>311.54944256893702</v>
      </c>
      <c r="AL8103">
        <v>75.1967495904006</v>
      </c>
      <c r="AM8103">
        <v>93.998874952547993</v>
      </c>
      <c r="AN8103">
        <v>0.99999997748149305</v>
      </c>
    </row>
    <row r="8104" spans="1:40" x14ac:dyDescent="0.25">
      <c r="A8104" t="str">
        <f>"20190304154952819"</f>
        <v>20190304154952819</v>
      </c>
      <c r="B8104" t="str">
        <f>"1551685792815358"</f>
        <v>1551685792815358</v>
      </c>
      <c r="C8104" t="s">
        <v>40</v>
      </c>
      <c r="D8104">
        <v>4.5134650000000001</v>
      </c>
      <c r="E8104">
        <v>0.50609989999999905</v>
      </c>
      <c r="F8104" t="s">
        <v>51</v>
      </c>
      <c r="G8104">
        <v>-198.14779999999999</v>
      </c>
      <c r="H8104">
        <v>0.28034779999999998</v>
      </c>
      <c r="I8104">
        <v>391.87</v>
      </c>
      <c r="J8104">
        <v>-187.38239999999999</v>
      </c>
      <c r="K8104">
        <v>1.1112899999999999</v>
      </c>
      <c r="L8104">
        <v>80.833370000000002</v>
      </c>
      <c r="M8104">
        <v>1.3327429999999999E-2</v>
      </c>
      <c r="N8104">
        <v>-1.449566E-2</v>
      </c>
      <c r="O8104">
        <v>0.99980610000000003</v>
      </c>
      <c r="P8104">
        <v>-5.5467830000000003E-2</v>
      </c>
      <c r="Q8104">
        <v>0.2412251</v>
      </c>
      <c r="R8104">
        <v>0.96888269999999999</v>
      </c>
      <c r="S8104">
        <v>-0.1068726</v>
      </c>
      <c r="T8104">
        <v>-8.2522629999999993E-3</v>
      </c>
      <c r="U8104">
        <v>3.092438</v>
      </c>
      <c r="V8104">
        <v>-6.847673E-2</v>
      </c>
      <c r="W8104">
        <v>0.25520559999999998</v>
      </c>
      <c r="X8104">
        <v>0.96445890000000001</v>
      </c>
      <c r="Y8104">
        <v>-4.7848139999999997E-2</v>
      </c>
      <c r="Z8104">
        <v>1.1833389999999999E-2</v>
      </c>
      <c r="AA8104">
        <v>0.99878449999999996</v>
      </c>
      <c r="AB8104">
        <v>34</v>
      </c>
      <c r="AC8104">
        <v>-10.7654</v>
      </c>
      <c r="AD8104">
        <v>-0.83094219999999896</v>
      </c>
      <c r="AE8104">
        <v>311.03663</v>
      </c>
      <c r="AF8104">
        <v>-14.9100919278413</v>
      </c>
      <c r="AG8104">
        <v>-0.83094219999999896</v>
      </c>
      <c r="AH8104">
        <v>310.86329355925301</v>
      </c>
      <c r="AI8104">
        <v>90.152976245912299</v>
      </c>
      <c r="AJ8104">
        <v>92.746001751573601</v>
      </c>
      <c r="AK8104">
        <v>311.22176753681998</v>
      </c>
      <c r="AL8104">
        <v>75.214231221200393</v>
      </c>
      <c r="AM8104">
        <v>94.061194103713305</v>
      </c>
      <c r="AN8104">
        <v>0.99999996530602997</v>
      </c>
    </row>
    <row r="8105" spans="1:40" x14ac:dyDescent="0.25">
      <c r="A8105" t="str">
        <f>"20190304154952840"</f>
        <v>20190304154952840</v>
      </c>
      <c r="B8105" t="str">
        <f>"1551685792834881"</f>
        <v>1551685792834881</v>
      </c>
      <c r="C8105" t="s">
        <v>40</v>
      </c>
      <c r="D8105">
        <v>4.4881979999999997</v>
      </c>
      <c r="E8105">
        <v>0.50612349999999995</v>
      </c>
      <c r="F8105" t="s">
        <v>44</v>
      </c>
      <c r="G8105">
        <v>-195.53720000000001</v>
      </c>
      <c r="H8105" s="1">
        <v>-3.9559319999999997E-6</v>
      </c>
      <c r="I8105">
        <v>305.72519999999997</v>
      </c>
      <c r="J8105">
        <v>-187.3783</v>
      </c>
      <c r="K8105">
        <v>1.111313</v>
      </c>
      <c r="L8105">
        <v>81.160550000000001</v>
      </c>
      <c r="M8105">
        <v>1.307704E-2</v>
      </c>
      <c r="N8105">
        <v>-1.450398E-2</v>
      </c>
      <c r="O8105">
        <v>0.99980930000000001</v>
      </c>
      <c r="P8105">
        <v>-5.7068569999999999E-2</v>
      </c>
      <c r="Q8105">
        <v>0.2409654</v>
      </c>
      <c r="R8105">
        <v>0.9688544</v>
      </c>
      <c r="S8105">
        <v>-0.11218259999999999</v>
      </c>
      <c r="T8105">
        <v>-1.528764E-2</v>
      </c>
      <c r="U8105">
        <v>3.09375</v>
      </c>
      <c r="V8105">
        <v>-6.9851579999999996E-2</v>
      </c>
      <c r="W8105">
        <v>0.25494830000000002</v>
      </c>
      <c r="X8105">
        <v>0.96442839999999996</v>
      </c>
      <c r="Y8105">
        <v>-4.9295360000000003E-2</v>
      </c>
      <c r="Z8105">
        <v>9.5716240000000008E-3</v>
      </c>
      <c r="AA8105">
        <v>0.99873840000000003</v>
      </c>
      <c r="AB8105">
        <v>34</v>
      </c>
      <c r="AC8105">
        <v>-8.1589000000000098</v>
      </c>
      <c r="AD8105">
        <v>-1.111316955932</v>
      </c>
      <c r="AE8105">
        <v>224.56465</v>
      </c>
      <c r="AF8105">
        <v>-11.0948806701116</v>
      </c>
      <c r="AG8105">
        <v>-1.111316955932</v>
      </c>
      <c r="AH8105">
        <v>224.433249189176</v>
      </c>
      <c r="AI8105">
        <v>90.283360827374395</v>
      </c>
      <c r="AJ8105">
        <v>92.830118789063206</v>
      </c>
      <c r="AK8105">
        <v>224.71006818581</v>
      </c>
      <c r="AL8105">
        <v>75.229478427432895</v>
      </c>
      <c r="AM8105">
        <v>94.142582705614402</v>
      </c>
      <c r="AN8105">
        <v>1.00000000881397</v>
      </c>
    </row>
    <row r="8106" spans="1:40" x14ac:dyDescent="0.25">
      <c r="A8106" t="str">
        <f>"20190304154952863"</f>
        <v>20190304154952863</v>
      </c>
      <c r="B8106" t="str">
        <f>"1551685792855374"</f>
        <v>1551685792855374</v>
      </c>
      <c r="C8106" t="s">
        <v>40</v>
      </c>
      <c r="D8106">
        <v>4.4990019999999999</v>
      </c>
      <c r="E8106">
        <v>0.50607789999999997</v>
      </c>
      <c r="F8106" t="s">
        <v>54</v>
      </c>
      <c r="G8106">
        <v>-195.49520000000001</v>
      </c>
      <c r="H8106" s="1">
        <v>9.28745199999999E-7</v>
      </c>
      <c r="I8106">
        <v>295.59969999999998</v>
      </c>
      <c r="J8106">
        <v>-187.3741</v>
      </c>
      <c r="K8106">
        <v>1.1113459999999999</v>
      </c>
      <c r="L8106">
        <v>81.509519999999995</v>
      </c>
      <c r="M8106">
        <v>1.277271E-2</v>
      </c>
      <c r="N8106">
        <v>-1.451121E-2</v>
      </c>
      <c r="O8106">
        <v>0.99981310000000001</v>
      </c>
      <c r="P8106">
        <v>-5.9246640000000003E-2</v>
      </c>
      <c r="Q8106">
        <v>0.24068410000000001</v>
      </c>
      <c r="R8106">
        <v>0.96879360000000003</v>
      </c>
      <c r="S8106">
        <v>-0.1170959</v>
      </c>
      <c r="T8106">
        <v>-1.6031980000000001E-2</v>
      </c>
      <c r="U8106">
        <v>3.0935359999999998</v>
      </c>
      <c r="V8106">
        <v>-7.1752090000000004E-2</v>
      </c>
      <c r="W8106">
        <v>0.25466699999999998</v>
      </c>
      <c r="X8106">
        <v>0.96436319999999998</v>
      </c>
      <c r="Y8106">
        <v>-5.057768E-2</v>
      </c>
      <c r="Z8106">
        <v>9.3385329999999996E-3</v>
      </c>
      <c r="AA8106">
        <v>0.99867649999999997</v>
      </c>
      <c r="AB8106">
        <v>34</v>
      </c>
      <c r="AC8106">
        <v>-8.1211000000000109</v>
      </c>
      <c r="AD8106">
        <v>-1.1113450712548001</v>
      </c>
      <c r="AE8106">
        <v>214.09018</v>
      </c>
      <c r="AF8106">
        <v>-10.854945106788</v>
      </c>
      <c r="AG8106">
        <v>-1.1113450712548001</v>
      </c>
      <c r="AH8106">
        <v>213.963215362672</v>
      </c>
      <c r="AI8106">
        <v>90.297214758240003</v>
      </c>
      <c r="AJ8106">
        <v>92.904283219568597</v>
      </c>
      <c r="AK8106">
        <v>214.241271582933</v>
      </c>
      <c r="AL8106">
        <v>75.246145948159693</v>
      </c>
      <c r="AM8106">
        <v>94.255171532484496</v>
      </c>
      <c r="AN8106">
        <v>1.0000000124113</v>
      </c>
    </row>
    <row r="8107" spans="1:40" x14ac:dyDescent="0.25">
      <c r="A8107" t="str">
        <f>"20190304154952886"</f>
        <v>20190304154952886</v>
      </c>
      <c r="B8107" t="str">
        <f>"1551685792874897"</f>
        <v>1551685792874897</v>
      </c>
      <c r="C8107" t="s">
        <v>40</v>
      </c>
      <c r="D8107">
        <v>4.488645</v>
      </c>
      <c r="E8107">
        <v>0.50613929999999996</v>
      </c>
      <c r="F8107" t="s">
        <v>54</v>
      </c>
      <c r="G8107">
        <v>-195.70760000000001</v>
      </c>
      <c r="H8107" s="1">
        <v>2.654181E-6</v>
      </c>
      <c r="I8107">
        <v>288.02499999999998</v>
      </c>
      <c r="J8107">
        <v>-187.37</v>
      </c>
      <c r="K8107">
        <v>1.1113789999999999</v>
      </c>
      <c r="L8107">
        <v>81.856569999999905</v>
      </c>
      <c r="M8107">
        <v>1.243671E-2</v>
      </c>
      <c r="N8107">
        <v>-1.4516960000000001E-2</v>
      </c>
      <c r="O8107">
        <v>0.99981730000000002</v>
      </c>
      <c r="P8107">
        <v>-6.1505320000000002E-2</v>
      </c>
      <c r="Q8107">
        <v>0.24152319999999999</v>
      </c>
      <c r="R8107">
        <v>0.96844390000000002</v>
      </c>
      <c r="S8107">
        <v>-0.124816899999999</v>
      </c>
      <c r="T8107">
        <v>-1.6645429999999999E-2</v>
      </c>
      <c r="U8107">
        <v>3.09314</v>
      </c>
      <c r="V8107">
        <v>-7.3698250000000007E-2</v>
      </c>
      <c r="W8107">
        <v>0.25550060000000002</v>
      </c>
      <c r="X8107">
        <v>0.96399590000000002</v>
      </c>
      <c r="Y8107">
        <v>-5.2735490000000003E-2</v>
      </c>
      <c r="Z8107">
        <v>9.1461870000000001E-3</v>
      </c>
      <c r="AA8107">
        <v>0.99856659999999997</v>
      </c>
      <c r="AB8107">
        <v>34</v>
      </c>
      <c r="AC8107">
        <v>-8.3376000000000001</v>
      </c>
      <c r="AD8107">
        <v>-1.111376345819</v>
      </c>
      <c r="AE8107">
        <v>206.16843</v>
      </c>
      <c r="AF8107">
        <v>-10.9009659261433</v>
      </c>
      <c r="AG8107">
        <v>-1.111376345819</v>
      </c>
      <c r="AH8107">
        <v>206.042800983277</v>
      </c>
      <c r="AI8107">
        <v>90.308613680065903</v>
      </c>
      <c r="AJ8107">
        <v>93.028485174380194</v>
      </c>
      <c r="AK8107">
        <v>206.333957584638</v>
      </c>
      <c r="AL8107">
        <v>75.196750566336405</v>
      </c>
      <c r="AM8107">
        <v>94.371803626298501</v>
      </c>
      <c r="AN8107">
        <v>1.0000000419351101</v>
      </c>
    </row>
    <row r="8108" spans="1:40" x14ac:dyDescent="0.25">
      <c r="A8108" t="str">
        <f>"20190304154952909"</f>
        <v>20190304154952909</v>
      </c>
      <c r="B8108" t="str">
        <f>"1551685792905150"</f>
        <v>1551685792905150</v>
      </c>
      <c r="C8108" t="s">
        <v>40</v>
      </c>
      <c r="D8108">
        <v>4.4837910000000001</v>
      </c>
      <c r="E8108">
        <v>0.50629860000000004</v>
      </c>
      <c r="F8108" t="s">
        <v>44</v>
      </c>
      <c r="G8108">
        <v>-198.12710000000001</v>
      </c>
      <c r="H8108" s="1">
        <v>-3.9302439999999996E-6</v>
      </c>
      <c r="I8108">
        <v>334.2998</v>
      </c>
      <c r="J8108">
        <v>-187.36609999999999</v>
      </c>
      <c r="K8108">
        <v>1.111407</v>
      </c>
      <c r="L8108">
        <v>82.195859999999996</v>
      </c>
      <c r="M8108">
        <v>1.208211E-2</v>
      </c>
      <c r="N8108">
        <v>-1.4521310000000001E-2</v>
      </c>
      <c r="O8108">
        <v>0.99982150000000003</v>
      </c>
      <c r="P8108">
        <v>-6.4395569999999999E-2</v>
      </c>
      <c r="Q8108">
        <v>0.24245849999999999</v>
      </c>
      <c r="R8108">
        <v>0.96802220000000005</v>
      </c>
      <c r="S8108">
        <v>-0.1317902</v>
      </c>
      <c r="T8108">
        <v>-1.3616090000000001E-2</v>
      </c>
      <c r="U8108">
        <v>3.0928040000000001</v>
      </c>
      <c r="V8108">
        <v>-7.6255980000000001E-2</v>
      </c>
      <c r="W8108">
        <v>0.25642759999999998</v>
      </c>
      <c r="X8108">
        <v>0.96355069999999998</v>
      </c>
      <c r="Y8108">
        <v>-5.463287E-2</v>
      </c>
      <c r="Z8108">
        <v>1.0128669999999999E-2</v>
      </c>
      <c r="AA8108">
        <v>0.99845510000000004</v>
      </c>
      <c r="AB8108">
        <v>34</v>
      </c>
      <c r="AC8108">
        <v>-10.760999999999999</v>
      </c>
      <c r="AD8108">
        <v>-1.1114109302440001</v>
      </c>
      <c r="AE8108">
        <v>252.10393999999999</v>
      </c>
      <c r="AF8108">
        <v>-13.8062154538163</v>
      </c>
      <c r="AG8108">
        <v>-1.1114109302440001</v>
      </c>
      <c r="AH8108">
        <v>251.95061758753999</v>
      </c>
      <c r="AI8108">
        <v>90.252364346933206</v>
      </c>
      <c r="AJ8108">
        <v>93.136517567968099</v>
      </c>
      <c r="AK8108">
        <v>252.331053424179</v>
      </c>
      <c r="AL8108">
        <v>75.141806671222</v>
      </c>
      <c r="AM8108">
        <v>94.524991036910393</v>
      </c>
      <c r="AN8108">
        <v>1.000000019999</v>
      </c>
    </row>
    <row r="8109" spans="1:40" x14ac:dyDescent="0.25">
      <c r="A8109" t="str">
        <f>"20190304154952930"</f>
        <v>20190304154952930</v>
      </c>
      <c r="B8109" t="str">
        <f>"1551685792925646"</f>
        <v>1551685792925646</v>
      </c>
      <c r="C8109" t="s">
        <v>40</v>
      </c>
      <c r="D8109">
        <v>4.5174770000000004</v>
      </c>
      <c r="E8109">
        <v>0.5063145</v>
      </c>
      <c r="F8109" t="s">
        <v>51</v>
      </c>
      <c r="G8109">
        <v>-201.38210000000001</v>
      </c>
      <c r="H8109">
        <v>0.1506014</v>
      </c>
      <c r="I8109">
        <v>391.87</v>
      </c>
      <c r="J8109">
        <v>-187.36259999999999</v>
      </c>
      <c r="K8109">
        <v>1.1114389999999901</v>
      </c>
      <c r="L8109">
        <v>82.515259999999998</v>
      </c>
      <c r="M8109">
        <v>1.173049E-2</v>
      </c>
      <c r="N8109">
        <v>-1.452434E-2</v>
      </c>
      <c r="O8109">
        <v>0.99982570000000004</v>
      </c>
      <c r="P8109">
        <v>-6.8539899999999904E-2</v>
      </c>
      <c r="Q8109">
        <v>0.24298890000000001</v>
      </c>
      <c r="R8109">
        <v>0.96760460000000004</v>
      </c>
      <c r="S8109">
        <v>-0.13995360000000001</v>
      </c>
      <c r="T8109">
        <v>-9.593964E-3</v>
      </c>
      <c r="U8109">
        <v>3.0921940000000001</v>
      </c>
      <c r="V8109">
        <v>-8.0067520000000003E-2</v>
      </c>
      <c r="W8109">
        <v>0.25694790000000001</v>
      </c>
      <c r="X8109">
        <v>0.96310280000000004</v>
      </c>
      <c r="Y8109">
        <v>-5.6920400000000003E-2</v>
      </c>
      <c r="Z8109">
        <v>1.1430249999999999E-2</v>
      </c>
      <c r="AA8109">
        <v>0.99831329999999996</v>
      </c>
      <c r="AB8109">
        <v>34</v>
      </c>
      <c r="AC8109">
        <v>-14.019500000000001</v>
      </c>
      <c r="AD8109">
        <v>-0.96083759999999896</v>
      </c>
      <c r="AE8109">
        <v>309.35473999999999</v>
      </c>
      <c r="AF8109">
        <v>-17.647630824001599</v>
      </c>
      <c r="AG8109">
        <v>-0.96083759999999896</v>
      </c>
      <c r="AH8109">
        <v>309.16600116425002</v>
      </c>
      <c r="AI8109">
        <v>90.177775996566496</v>
      </c>
      <c r="AJ8109">
        <v>93.266978625099398</v>
      </c>
      <c r="AK8109">
        <v>309.67075799708101</v>
      </c>
      <c r="AL8109">
        <v>75.110962172584607</v>
      </c>
      <c r="AM8109">
        <v>94.7523543648052</v>
      </c>
      <c r="AN8109">
        <v>1.0000000172206001</v>
      </c>
    </row>
    <row r="8110" spans="1:40" x14ac:dyDescent="0.25">
      <c r="A8110" t="str">
        <f>"20190304154952952"</f>
        <v>20190304154952952</v>
      </c>
      <c r="B8110" t="str">
        <f>"1551685792945166"</f>
        <v>1551685792945166</v>
      </c>
      <c r="C8110" t="s">
        <v>40</v>
      </c>
      <c r="D8110">
        <v>4.5054449999999999</v>
      </c>
      <c r="E8110">
        <v>0.46089330000000001</v>
      </c>
      <c r="F8110" t="s">
        <v>51</v>
      </c>
      <c r="G8110">
        <v>-202.67070000000001</v>
      </c>
      <c r="H8110">
        <v>0.32633400000000001</v>
      </c>
      <c r="I8110">
        <v>391.00349999999997</v>
      </c>
      <c r="J8110">
        <v>-187.35900000000001</v>
      </c>
      <c r="K8110">
        <v>1.111459</v>
      </c>
      <c r="L8110">
        <v>82.853210000000004</v>
      </c>
      <c r="M8110">
        <v>1.134547E-2</v>
      </c>
      <c r="N8110">
        <v>-1.452668E-2</v>
      </c>
      <c r="O8110">
        <v>0.99983010000000005</v>
      </c>
      <c r="P8110">
        <v>-7.349783E-2</v>
      </c>
      <c r="Q8110">
        <v>0.24302689999999999</v>
      </c>
      <c r="R8110">
        <v>0.96723110000000001</v>
      </c>
      <c r="S8110">
        <v>-0.15341189999999999</v>
      </c>
      <c r="T8110">
        <v>-7.8680520000000004E-3</v>
      </c>
      <c r="U8110">
        <v>3.0915530000000002</v>
      </c>
      <c r="V8110">
        <v>-8.4658819999999996E-2</v>
      </c>
      <c r="W8110">
        <v>0.2569765</v>
      </c>
      <c r="X8110">
        <v>0.96270250000000002</v>
      </c>
      <c r="Y8110">
        <v>-6.0880360000000001E-2</v>
      </c>
      <c r="Z8110">
        <v>1.199015E-2</v>
      </c>
      <c r="AA8110">
        <v>0.99807299999999999</v>
      </c>
      <c r="AB8110">
        <v>34</v>
      </c>
      <c r="AC8110">
        <v>-15.3117</v>
      </c>
      <c r="AD8110">
        <v>-0.78512499999999996</v>
      </c>
      <c r="AE8110">
        <v>308.15028999999998</v>
      </c>
      <c r="AF8110">
        <v>-18.807071372736701</v>
      </c>
      <c r="AG8110">
        <v>-0.78512499999999996</v>
      </c>
      <c r="AH8110">
        <v>307.954721704017</v>
      </c>
      <c r="AI8110">
        <v>90.145802595939202</v>
      </c>
      <c r="AJ8110">
        <v>93.494764260069701</v>
      </c>
      <c r="AK8110">
        <v>308.52946856772598</v>
      </c>
      <c r="AL8110">
        <v>75.109267388389995</v>
      </c>
      <c r="AM8110">
        <v>95.025589128495696</v>
      </c>
      <c r="AN8110">
        <v>1.00000007043114</v>
      </c>
    </row>
    <row r="8111" spans="1:40" x14ac:dyDescent="0.25">
      <c r="A8111" t="str">
        <f>"20190304154952975"</f>
        <v>20190304154952975</v>
      </c>
      <c r="B8111" t="str">
        <f>"1551685792965663"</f>
        <v>1551685792965663</v>
      </c>
      <c r="C8111" t="s">
        <v>40</v>
      </c>
      <c r="D8111">
        <v>4.4546599999999996</v>
      </c>
      <c r="E8111">
        <v>0.45321519999999998</v>
      </c>
      <c r="F8111" t="s">
        <v>106</v>
      </c>
      <c r="G8111">
        <v>-232.12190000000001</v>
      </c>
      <c r="H8111">
        <v>3.7610070000000002</v>
      </c>
      <c r="I8111">
        <v>340.19560000000001</v>
      </c>
      <c r="J8111">
        <v>-187.35560000000001</v>
      </c>
      <c r="K8111">
        <v>1.1114809999999999</v>
      </c>
      <c r="L8111">
        <v>83.196259999999995</v>
      </c>
      <c r="M8111">
        <v>1.094551E-2</v>
      </c>
      <c r="N8111">
        <v>-1.4528259999999999E-2</v>
      </c>
      <c r="O8111">
        <v>0.99983449999999996</v>
      </c>
      <c r="P8111">
        <v>-7.911087E-2</v>
      </c>
      <c r="Q8111">
        <v>0.24279609999999999</v>
      </c>
      <c r="R8111">
        <v>0.96684619999999999</v>
      </c>
      <c r="S8111">
        <v>-0.53111269999999999</v>
      </c>
      <c r="T8111">
        <v>3.1438109999999998E-2</v>
      </c>
      <c r="U8111">
        <v>3.053375</v>
      </c>
      <c r="V8111">
        <v>-8.9887519999999999E-2</v>
      </c>
      <c r="W8111">
        <v>0.25673499999999999</v>
      </c>
      <c r="X8111">
        <v>0.96229279999999995</v>
      </c>
      <c r="Y8111">
        <v>-0.1820862</v>
      </c>
      <c r="Z8111">
        <v>2.4672719999999999E-2</v>
      </c>
      <c r="AA8111">
        <v>0.98297299999999999</v>
      </c>
      <c r="AB8111">
        <v>34</v>
      </c>
      <c r="AC8111">
        <v>-44.766300000000001</v>
      </c>
      <c r="AD8111">
        <v>2.6495259999999998</v>
      </c>
      <c r="AE8111">
        <v>256.99934000000002</v>
      </c>
      <c r="AF8111">
        <v>-47.571996359563201</v>
      </c>
      <c r="AG8111">
        <v>2.6495259999999998</v>
      </c>
      <c r="AH8111">
        <v>256.46744381029703</v>
      </c>
      <c r="AI8111">
        <v>89.418033406359797</v>
      </c>
      <c r="AJ8111">
        <v>100.508329276528</v>
      </c>
      <c r="AK8111">
        <v>260.855639310801</v>
      </c>
      <c r="AL8111">
        <v>75.123584046503595</v>
      </c>
      <c r="AM8111">
        <v>95.336498809637106</v>
      </c>
      <c r="AN8111">
        <v>1.0000000297042899</v>
      </c>
    </row>
    <row r="8112" spans="1:40" x14ac:dyDescent="0.25">
      <c r="A8112" t="str">
        <f>"20190304154952996"</f>
        <v>20190304154952996</v>
      </c>
      <c r="B8112" t="str">
        <f>"1551685792985200"</f>
        <v>1551685792985200</v>
      </c>
      <c r="C8112" t="s">
        <v>40</v>
      </c>
      <c r="D8112">
        <v>4.442825</v>
      </c>
      <c r="E8112">
        <v>0.45063760000000003</v>
      </c>
      <c r="F8112" t="s">
        <v>46</v>
      </c>
      <c r="G8112">
        <v>-231.11199999999999</v>
      </c>
      <c r="H8112">
        <v>2.067901</v>
      </c>
      <c r="I8112">
        <v>301.88839999999999</v>
      </c>
      <c r="J8112">
        <v>-187.35249999999999</v>
      </c>
      <c r="K8112">
        <v>1.1114889999999999</v>
      </c>
      <c r="L8112">
        <v>83.516509999999997</v>
      </c>
      <c r="M8112">
        <v>1.056786E-2</v>
      </c>
      <c r="N8112">
        <v>-1.452905E-2</v>
      </c>
      <c r="O8112">
        <v>0.99983860000000002</v>
      </c>
      <c r="P8112">
        <v>-8.5020589999999993E-2</v>
      </c>
      <c r="Q8112">
        <v>0.2428824</v>
      </c>
      <c r="R8112">
        <v>0.96632280000000004</v>
      </c>
      <c r="S8112">
        <v>-0.6101685</v>
      </c>
      <c r="T8112">
        <v>1.333809E-2</v>
      </c>
      <c r="U8112">
        <v>3.0495909999999999</v>
      </c>
      <c r="V8112">
        <v>-9.5430749999999995E-2</v>
      </c>
      <c r="W8112">
        <v>0.25680779999999997</v>
      </c>
      <c r="X8112">
        <v>0.96173940000000002</v>
      </c>
      <c r="Y8112">
        <v>-0.20649609999999999</v>
      </c>
      <c r="Z8112">
        <v>1.8827400000000001E-2</v>
      </c>
      <c r="AA8112">
        <v>0.97826619999999997</v>
      </c>
      <c r="AB8112">
        <v>34</v>
      </c>
      <c r="AC8112">
        <v>-43.759500000000003</v>
      </c>
      <c r="AD8112">
        <v>0.95641200000000004</v>
      </c>
      <c r="AE8112">
        <v>218.37188999999901</v>
      </c>
      <c r="AF8112">
        <v>-46.064173570317003</v>
      </c>
      <c r="AG8112">
        <v>0.95641200000000004</v>
      </c>
      <c r="AH8112">
        <v>217.89318185405401</v>
      </c>
      <c r="AI8112">
        <v>89.753947942661696</v>
      </c>
      <c r="AJ8112">
        <v>101.936974892097</v>
      </c>
      <c r="AK8112">
        <v>222.711161617719</v>
      </c>
      <c r="AL8112">
        <v>75.119267362981503</v>
      </c>
      <c r="AM8112">
        <v>95.666752500854599</v>
      </c>
      <c r="AN8112">
        <v>0.99999997384938</v>
      </c>
    </row>
    <row r="8113" spans="1:40" x14ac:dyDescent="0.25">
      <c r="A8113" t="str">
        <f>"20190304154953019"</f>
        <v>20190304154953019</v>
      </c>
      <c r="B8113" t="str">
        <f>"1551685793015438"</f>
        <v>1551685793015438</v>
      </c>
      <c r="C8113" t="s">
        <v>40</v>
      </c>
      <c r="D8113">
        <v>4.3978129999999904</v>
      </c>
      <c r="E8113">
        <v>0.448967</v>
      </c>
      <c r="F8113" t="s">
        <v>46</v>
      </c>
      <c r="G8113">
        <v>-233.88749999999999</v>
      </c>
      <c r="H8113">
        <v>1.179079</v>
      </c>
      <c r="I8113">
        <v>301.88839999999999</v>
      </c>
      <c r="J8113">
        <v>-187.3494</v>
      </c>
      <c r="K8113">
        <v>1.1114930000000001</v>
      </c>
      <c r="L8113">
        <v>83.850560000000002</v>
      </c>
      <c r="M8113">
        <v>1.0172499999999999E-2</v>
      </c>
      <c r="N8113">
        <v>-1.452931E-2</v>
      </c>
      <c r="O8113">
        <v>0.99984269999999997</v>
      </c>
      <c r="P8113">
        <v>-9.0819230000000001E-2</v>
      </c>
      <c r="Q8113">
        <v>0.24272170000000001</v>
      </c>
      <c r="R8113">
        <v>0.96583540000000001</v>
      </c>
      <c r="S8113">
        <v>-0.64935299999999996</v>
      </c>
      <c r="T8113">
        <v>9.4425680000000004E-4</v>
      </c>
      <c r="U8113">
        <v>3.04718</v>
      </c>
      <c r="V8113">
        <v>-0.1008449</v>
      </c>
      <c r="W8113">
        <v>0.256635</v>
      </c>
      <c r="X8113">
        <v>0.961233</v>
      </c>
      <c r="Y8113">
        <v>-0.21831390000000001</v>
      </c>
      <c r="Z8113">
        <v>1.4847559999999999E-2</v>
      </c>
      <c r="AA8113">
        <v>0.97576560000000001</v>
      </c>
      <c r="AB8113">
        <v>34</v>
      </c>
      <c r="AC8113">
        <v>-46.538099999999901</v>
      </c>
      <c r="AD8113">
        <v>6.7585999999999896E-2</v>
      </c>
      <c r="AE8113">
        <v>218.03783999999999</v>
      </c>
      <c r="AF8113">
        <v>-48.753911141628599</v>
      </c>
      <c r="AG8113">
        <v>6.7585999999999896E-2</v>
      </c>
      <c r="AH8113">
        <v>217.55307728491499</v>
      </c>
      <c r="AI8113">
        <v>89.982631044238204</v>
      </c>
      <c r="AJ8113">
        <v>102.63135942483601</v>
      </c>
      <c r="AK8113">
        <v>222.949074578948</v>
      </c>
      <c r="AL8113">
        <v>75.129512536739199</v>
      </c>
      <c r="AM8113">
        <v>95.989107242872393</v>
      </c>
      <c r="AN8113">
        <v>1.000000048685</v>
      </c>
    </row>
    <row r="8114" spans="1:40" x14ac:dyDescent="0.25">
      <c r="A8114" t="str">
        <f>"20190304154953042"</f>
        <v>20190304154953042</v>
      </c>
      <c r="B8114" t="str">
        <f>"1551685793034958"</f>
        <v>1551685793034958</v>
      </c>
      <c r="C8114" t="s">
        <v>40</v>
      </c>
      <c r="D8114">
        <v>4.5985389999999997</v>
      </c>
      <c r="E8114">
        <v>0.44875130000000002</v>
      </c>
      <c r="F8114" t="s">
        <v>46</v>
      </c>
      <c r="G8114">
        <v>-236.11340000000001</v>
      </c>
      <c r="H8114">
        <v>0.44628499999999999</v>
      </c>
      <c r="I8114">
        <v>301.88839999999999</v>
      </c>
      <c r="J8114">
        <v>-187.34630000000001</v>
      </c>
      <c r="K8114">
        <v>1.1114949999999999</v>
      </c>
      <c r="L8114">
        <v>84.196690000000004</v>
      </c>
      <c r="M8114">
        <v>9.7632699999999992E-3</v>
      </c>
      <c r="N8114">
        <v>-1.452899E-2</v>
      </c>
      <c r="O8114">
        <v>0.99984680000000004</v>
      </c>
      <c r="P8114">
        <v>-9.6714259999999996E-2</v>
      </c>
      <c r="Q8114">
        <v>0.2424703</v>
      </c>
      <c r="R8114">
        <v>0.96532609999999996</v>
      </c>
      <c r="S8114">
        <v>-0.68087769999999903</v>
      </c>
      <c r="T8114">
        <v>-9.2870000000000001E-3</v>
      </c>
      <c r="U8114">
        <v>3.044403</v>
      </c>
      <c r="V8114">
        <v>-0.10634159999999999</v>
      </c>
      <c r="W8114">
        <v>0.2563705</v>
      </c>
      <c r="X8114">
        <v>0.96071099999999998</v>
      </c>
      <c r="Y8114">
        <v>-0.2277324</v>
      </c>
      <c r="Z8114">
        <v>1.1571430000000001E-2</v>
      </c>
      <c r="AA8114">
        <v>0.97365500000000005</v>
      </c>
      <c r="AB8114">
        <v>34</v>
      </c>
      <c r="AC8114">
        <v>-48.767099999999999</v>
      </c>
      <c r="AD8114">
        <v>-0.66520999999999997</v>
      </c>
      <c r="AE8114">
        <v>217.69171</v>
      </c>
      <c r="AF8114">
        <v>-50.889929961629797</v>
      </c>
      <c r="AG8114">
        <v>-0.66520999999999997</v>
      </c>
      <c r="AH8114">
        <v>217.203224370057</v>
      </c>
      <c r="AI8114">
        <v>90.170847753143704</v>
      </c>
      <c r="AJ8114">
        <v>103.186340795324</v>
      </c>
      <c r="AK8114">
        <v>223.08623478958299</v>
      </c>
      <c r="AL8114">
        <v>75.145191064162304</v>
      </c>
      <c r="AM8114">
        <v>96.316386422604893</v>
      </c>
      <c r="AN8114">
        <v>0.99999999734090494</v>
      </c>
    </row>
    <row r="8115" spans="1:40" x14ac:dyDescent="0.25">
      <c r="A8115" t="str">
        <f>"20190304154953065"</f>
        <v>20190304154953065</v>
      </c>
      <c r="B8115" t="str">
        <f>"1551685793055454"</f>
        <v>1551685793055454</v>
      </c>
      <c r="C8115" t="s">
        <v>40</v>
      </c>
      <c r="D8115">
        <v>4.4703710000000001</v>
      </c>
      <c r="E8115">
        <v>0.44841989999999998</v>
      </c>
      <c r="F8115" t="s">
        <v>57</v>
      </c>
      <c r="G8115">
        <v>-210.34180000000001</v>
      </c>
      <c r="H8115">
        <v>0.53471919999999995</v>
      </c>
      <c r="I8115">
        <v>183.9528</v>
      </c>
      <c r="J8115">
        <v>-187.3434</v>
      </c>
      <c r="K8115">
        <v>1.1114949999999999</v>
      </c>
      <c r="L8115">
        <v>84.536590000000004</v>
      </c>
      <c r="M8115">
        <v>9.362871E-3</v>
      </c>
      <c r="N8115">
        <v>-1.452822E-2</v>
      </c>
      <c r="O8115">
        <v>0.99985060000000003</v>
      </c>
      <c r="P8115">
        <v>-0.10229050000000001</v>
      </c>
      <c r="Q8115">
        <v>0.24230450000000001</v>
      </c>
      <c r="R8115">
        <v>0.96479280000000001</v>
      </c>
      <c r="S8115">
        <v>-0.70121769999999894</v>
      </c>
      <c r="T8115">
        <v>-1.7588019999999999E-2</v>
      </c>
      <c r="U8115">
        <v>3.0419309999999999</v>
      </c>
      <c r="V8115">
        <v>-0.111528</v>
      </c>
      <c r="W8115">
        <v>0.25619069999999999</v>
      </c>
      <c r="X8115">
        <v>0.96017070000000004</v>
      </c>
      <c r="Y8115">
        <v>-0.2336984</v>
      </c>
      <c r="Z8115">
        <v>8.9165149999999999E-3</v>
      </c>
      <c r="AA8115">
        <v>0.97226820000000003</v>
      </c>
      <c r="AB8115">
        <v>33</v>
      </c>
      <c r="AC8115">
        <v>-22.9984</v>
      </c>
      <c r="AD8115">
        <v>-0.57677579999999995</v>
      </c>
      <c r="AE8115">
        <v>99.416210000000007</v>
      </c>
      <c r="AF8115">
        <v>-23.9275466629032</v>
      </c>
      <c r="AG8115">
        <v>-0.57677579999999995</v>
      </c>
      <c r="AH8115">
        <v>99.193328481586605</v>
      </c>
      <c r="AI8115">
        <v>90.323862909433004</v>
      </c>
      <c r="AJ8115">
        <v>103.561880838438</v>
      </c>
      <c r="AK8115">
        <v>102.040073377496</v>
      </c>
      <c r="AL8115">
        <v>75.155848392678394</v>
      </c>
      <c r="AM8115">
        <v>96.625463718844301</v>
      </c>
      <c r="AN8115">
        <v>0.99999997134448904</v>
      </c>
    </row>
    <row r="8116" spans="1:40" x14ac:dyDescent="0.25">
      <c r="A8116" t="str">
        <f>"20190304154953086"</f>
        <v>20190304154953086</v>
      </c>
      <c r="B8116" t="str">
        <f>"1551685793074977"</f>
        <v>1551685793074977</v>
      </c>
      <c r="C8116" t="s">
        <v>40</v>
      </c>
      <c r="D8116">
        <v>4.438955</v>
      </c>
      <c r="E8116">
        <v>0.44874360000000002</v>
      </c>
      <c r="F8116" t="s">
        <v>57</v>
      </c>
      <c r="G8116">
        <v>-210.29349999999999</v>
      </c>
      <c r="H8116">
        <v>0.49661880000000003</v>
      </c>
      <c r="I8116">
        <v>181.21539999999999</v>
      </c>
      <c r="J8116">
        <v>-187.3407</v>
      </c>
      <c r="K8116">
        <v>1.111499</v>
      </c>
      <c r="L8116">
        <v>84.864440000000002</v>
      </c>
      <c r="M8116">
        <v>8.9778089999999998E-3</v>
      </c>
      <c r="N8116">
        <v>-1.4527109999999999E-2</v>
      </c>
      <c r="O8116">
        <v>0.99985409999999997</v>
      </c>
      <c r="P8116">
        <v>-0.10772279999999999</v>
      </c>
      <c r="Q8116">
        <v>0.2416732</v>
      </c>
      <c r="R8116">
        <v>0.96435979999999999</v>
      </c>
      <c r="S8116">
        <v>-0.72114560000000005</v>
      </c>
      <c r="T8116">
        <v>-1.9320850000000001E-2</v>
      </c>
      <c r="U8116">
        <v>3.0378720000000001</v>
      </c>
      <c r="V8116">
        <v>-0.1165856</v>
      </c>
      <c r="W8116">
        <v>0.25554769999999999</v>
      </c>
      <c r="X8116">
        <v>0.95974119999999996</v>
      </c>
      <c r="Y8116">
        <v>-0.23964969999999999</v>
      </c>
      <c r="Z8116">
        <v>8.3618100000000008E-3</v>
      </c>
      <c r="AA8116">
        <v>0.9708234</v>
      </c>
      <c r="AB8116">
        <v>33</v>
      </c>
      <c r="AC8116">
        <v>-22.9528</v>
      </c>
      <c r="AD8116">
        <v>-0.61488019999999999</v>
      </c>
      <c r="AE8116">
        <v>96.350960000000001</v>
      </c>
      <c r="AF8116">
        <v>-23.816068802596099</v>
      </c>
      <c r="AG8116">
        <v>-0.61488019999999999</v>
      </c>
      <c r="AH8116">
        <v>96.137283485339395</v>
      </c>
      <c r="AI8116">
        <v>90.355698719223398</v>
      </c>
      <c r="AJ8116">
        <v>103.913756015277</v>
      </c>
      <c r="AK8116">
        <v>99.045244645115901</v>
      </c>
      <c r="AL8116">
        <v>75.193958637235795</v>
      </c>
      <c r="AM8116">
        <v>96.926131458342098</v>
      </c>
      <c r="AN8116">
        <v>1.00000000004004</v>
      </c>
    </row>
    <row r="8117" spans="1:40" x14ac:dyDescent="0.25">
      <c r="A8117" t="str">
        <f>"20190304154953110"</f>
        <v>20190304154953110</v>
      </c>
      <c r="B8117" t="str">
        <f>"1551685793105230"</f>
        <v>1551685793105230</v>
      </c>
      <c r="C8117" t="s">
        <v>40</v>
      </c>
      <c r="D8117">
        <v>4.379372</v>
      </c>
      <c r="E8117">
        <v>0.44916159999999999</v>
      </c>
      <c r="F8117" t="s">
        <v>57</v>
      </c>
      <c r="G8117">
        <v>-210.29349999999999</v>
      </c>
      <c r="H8117">
        <v>0.22398680000000001</v>
      </c>
      <c r="I8117">
        <v>179.56479999999999</v>
      </c>
      <c r="J8117">
        <v>-187.3381</v>
      </c>
      <c r="K8117">
        <v>1.1114999999999999</v>
      </c>
      <c r="L8117">
        <v>85.200409999999906</v>
      </c>
      <c r="M8117">
        <v>8.5836519999999902E-3</v>
      </c>
      <c r="N8117">
        <v>-1.4525679999999999E-2</v>
      </c>
      <c r="O8117">
        <v>0.99985769999999996</v>
      </c>
      <c r="P8117">
        <v>-0.1101356</v>
      </c>
      <c r="Q8117">
        <v>0.24130090000000001</v>
      </c>
      <c r="R8117">
        <v>0.9641805</v>
      </c>
      <c r="S8117">
        <v>-0.73579410000000001</v>
      </c>
      <c r="T8117">
        <v>-2.845085E-2</v>
      </c>
      <c r="U8117">
        <v>3.0357970000000001</v>
      </c>
      <c r="V8117">
        <v>-0.11861670000000001</v>
      </c>
      <c r="W8117">
        <v>0.25517000000000001</v>
      </c>
      <c r="X8117">
        <v>0.95959280000000002</v>
      </c>
      <c r="Y8117">
        <v>-0.24384220000000001</v>
      </c>
      <c r="Z8117">
        <v>5.4431899999999997E-3</v>
      </c>
      <c r="AA8117">
        <v>0.96979959999999998</v>
      </c>
      <c r="AB8117">
        <v>33</v>
      </c>
      <c r="AC8117">
        <v>-22.955400000000001</v>
      </c>
      <c r="AD8117">
        <v>-0.887513199999999</v>
      </c>
      <c r="AE8117">
        <v>94.36439</v>
      </c>
      <c r="AF8117">
        <v>-23.762646113106999</v>
      </c>
      <c r="AG8117">
        <v>-0.887513199999999</v>
      </c>
      <c r="AH8117">
        <v>94.155987472397896</v>
      </c>
      <c r="AI8117">
        <v>90.523635652633104</v>
      </c>
      <c r="AJ8117">
        <v>104.164261105224</v>
      </c>
      <c r="AK8117">
        <v>97.112311304382501</v>
      </c>
      <c r="AL8117">
        <v>75.216341261723699</v>
      </c>
      <c r="AM8117">
        <v>97.046671427965904</v>
      </c>
      <c r="AN8117">
        <v>0.99999999611536505</v>
      </c>
    </row>
    <row r="8118" spans="1:40" x14ac:dyDescent="0.25">
      <c r="A8118" t="str">
        <f>"20190304154953131"</f>
        <v>20190304154953131</v>
      </c>
      <c r="B8118" t="str">
        <f>"1551685793125726"</f>
        <v>1551685793125726</v>
      </c>
      <c r="C8118" t="s">
        <v>40</v>
      </c>
      <c r="D8118">
        <v>4.4540569999999997</v>
      </c>
      <c r="E8118">
        <v>0.4492718</v>
      </c>
      <c r="F8118" t="s">
        <v>45</v>
      </c>
      <c r="G8118">
        <v>-210.5489</v>
      </c>
      <c r="H8118">
        <v>-0.05</v>
      </c>
      <c r="I8118">
        <v>180.46520000000001</v>
      </c>
      <c r="J8118">
        <v>-187.33580000000001</v>
      </c>
      <c r="K8118">
        <v>1.1115010000000001</v>
      </c>
      <c r="L8118">
        <v>85.523799999999994</v>
      </c>
      <c r="M8118">
        <v>8.2046719999999997E-3</v>
      </c>
      <c r="N8118">
        <v>-1.452405E-2</v>
      </c>
      <c r="O8118">
        <v>0.99986090000000005</v>
      </c>
      <c r="P8118">
        <v>-0.1138019</v>
      </c>
      <c r="Q8118">
        <v>0.24133640000000001</v>
      </c>
      <c r="R8118">
        <v>0.96374579999999999</v>
      </c>
      <c r="S8118">
        <v>-0.73976140000000001</v>
      </c>
      <c r="T8118">
        <v>-3.7018660000000002E-2</v>
      </c>
      <c r="U8118">
        <v>3.0362239999999998</v>
      </c>
      <c r="V8118">
        <v>-0.1219142</v>
      </c>
      <c r="W8118">
        <v>0.2551949</v>
      </c>
      <c r="X8118">
        <v>0.95917280000000005</v>
      </c>
      <c r="Y8118">
        <v>-0.24463750000000001</v>
      </c>
      <c r="Z8118">
        <v>2.7060209999999999E-3</v>
      </c>
      <c r="AA8118">
        <v>0.96961079999999999</v>
      </c>
      <c r="AB8118">
        <v>33</v>
      </c>
      <c r="AC8118">
        <v>-23.213100000000001</v>
      </c>
      <c r="AD8118">
        <v>-1.1615009999999999</v>
      </c>
      <c r="AE8118">
        <v>94.941400000000002</v>
      </c>
      <c r="AF8118">
        <v>-23.987975987866399</v>
      </c>
      <c r="AG8118">
        <v>-1.1615009999999999</v>
      </c>
      <c r="AH8118">
        <v>94.734348870386995</v>
      </c>
      <c r="AI8118">
        <v>90.680956914954393</v>
      </c>
      <c r="AJ8118">
        <v>104.209378644011</v>
      </c>
      <c r="AK8118">
        <v>97.7311052452783</v>
      </c>
      <c r="AL8118">
        <v>75.214865574246701</v>
      </c>
      <c r="AM8118">
        <v>97.243651783034394</v>
      </c>
      <c r="AN8118">
        <v>0.99999998470374396</v>
      </c>
    </row>
    <row r="8119" spans="1:40" x14ac:dyDescent="0.25">
      <c r="A8119" t="str">
        <f>"20190304154953155"</f>
        <v>20190304154953155</v>
      </c>
      <c r="B8119" t="str">
        <f>"1551685793145245"</f>
        <v>1551685793145245</v>
      </c>
      <c r="C8119" t="s">
        <v>40</v>
      </c>
      <c r="D8119">
        <v>4.3808509999999998</v>
      </c>
      <c r="E8119">
        <v>0.44958599999999999</v>
      </c>
      <c r="F8119" t="s">
        <v>45</v>
      </c>
      <c r="G8119">
        <v>-210.3699</v>
      </c>
      <c r="H8119">
        <v>-0.05</v>
      </c>
      <c r="I8119">
        <v>178.7028</v>
      </c>
      <c r="J8119">
        <v>-187.33330000000001</v>
      </c>
      <c r="K8119">
        <v>1.111502</v>
      </c>
      <c r="L8119">
        <v>85.876800000000003</v>
      </c>
      <c r="M8119">
        <v>7.7899459999999998E-3</v>
      </c>
      <c r="N8119">
        <v>-1.4522E-2</v>
      </c>
      <c r="O8119">
        <v>0.99986419999999998</v>
      </c>
      <c r="P8119">
        <v>-0.1165813</v>
      </c>
      <c r="Q8119">
        <v>0.2414539</v>
      </c>
      <c r="R8119">
        <v>0.96338400000000002</v>
      </c>
      <c r="S8119">
        <v>-0.74995419999999902</v>
      </c>
      <c r="T8119">
        <v>-3.7816519999999999E-2</v>
      </c>
      <c r="U8119">
        <v>3.0337519999999998</v>
      </c>
      <c r="V8119">
        <v>-0.1242916</v>
      </c>
      <c r="W8119">
        <v>0.25530429999999998</v>
      </c>
      <c r="X8119">
        <v>0.95883850000000004</v>
      </c>
      <c r="Y8119">
        <v>-0.2474877</v>
      </c>
      <c r="Z8119">
        <v>2.4480109999999999E-3</v>
      </c>
      <c r="AA8119">
        <v>0.96888790000000002</v>
      </c>
      <c r="AB8119">
        <v>33</v>
      </c>
      <c r="AC8119">
        <v>-23.0366</v>
      </c>
      <c r="AD8119">
        <v>-1.161502</v>
      </c>
      <c r="AE8119">
        <v>92.825999999999993</v>
      </c>
      <c r="AF8119">
        <v>-23.755583099025301</v>
      </c>
      <c r="AG8119">
        <v>-1.161502</v>
      </c>
      <c r="AH8119">
        <v>92.630048635319497</v>
      </c>
      <c r="AI8119">
        <v>90.695885213538801</v>
      </c>
      <c r="AJ8119">
        <v>104.38388359356701</v>
      </c>
      <c r="AK8119">
        <v>95.634735977323402</v>
      </c>
      <c r="AL8119">
        <v>75.208382573395696</v>
      </c>
      <c r="AM8119">
        <v>97.385909182236503</v>
      </c>
      <c r="AN8119">
        <v>0.99999997825564901</v>
      </c>
    </row>
    <row r="8120" spans="1:40" x14ac:dyDescent="0.25">
      <c r="A8120" t="str">
        <f>"20190304154953177"</f>
        <v>20190304154953177</v>
      </c>
      <c r="B8120" t="str">
        <f>"1551685793165745"</f>
        <v>1551685793165745</v>
      </c>
      <c r="C8120" t="s">
        <v>40</v>
      </c>
      <c r="D8120">
        <v>4.4570420000000004</v>
      </c>
      <c r="E8120">
        <v>0.44997500000000001</v>
      </c>
      <c r="F8120" t="s">
        <v>45</v>
      </c>
      <c r="G8120">
        <v>-208.35319999999999</v>
      </c>
      <c r="H8120">
        <v>-0.05</v>
      </c>
      <c r="I8120">
        <v>170.27109999999999</v>
      </c>
      <c r="J8120">
        <v>-187.3312</v>
      </c>
      <c r="K8120">
        <v>1.1114999999999999</v>
      </c>
      <c r="L8120">
        <v>86.203339999999997</v>
      </c>
      <c r="M8120">
        <v>7.4054189999999999E-3</v>
      </c>
      <c r="N8120">
        <v>-1.4519860000000001E-2</v>
      </c>
      <c r="O8120">
        <v>0.99986710000000001</v>
      </c>
      <c r="P8120">
        <v>-0.1180678</v>
      </c>
      <c r="Q8120">
        <v>0.24122779999999999</v>
      </c>
      <c r="R8120">
        <v>0.96325959999999999</v>
      </c>
      <c r="S8120">
        <v>-0.75543209999999905</v>
      </c>
      <c r="T8120">
        <v>-4.1743280000000001E-2</v>
      </c>
      <c r="U8120">
        <v>3.0330509999999999</v>
      </c>
      <c r="V8120">
        <v>-0.12540679999999901</v>
      </c>
      <c r="W8120">
        <v>0.25507370000000001</v>
      </c>
      <c r="X8120">
        <v>0.95875469999999896</v>
      </c>
      <c r="Y8120">
        <v>-0.2488136</v>
      </c>
      <c r="Z8120">
        <v>1.192329E-3</v>
      </c>
      <c r="AA8120">
        <v>0.96855069999999999</v>
      </c>
      <c r="AB8120">
        <v>33</v>
      </c>
      <c r="AC8120">
        <v>-21.021999999999899</v>
      </c>
      <c r="AD8120">
        <v>-1.1615</v>
      </c>
      <c r="AE8120">
        <v>84.067759999999893</v>
      </c>
      <c r="AF8120">
        <v>-21.640158351091301</v>
      </c>
      <c r="AG8120">
        <v>-1.1615</v>
      </c>
      <c r="AH8120">
        <v>83.894689131013905</v>
      </c>
      <c r="AI8120">
        <v>90.768057529832404</v>
      </c>
      <c r="AJ8120">
        <v>104.463837061514</v>
      </c>
      <c r="AK8120">
        <v>86.648510662906304</v>
      </c>
      <c r="AL8120">
        <v>75.2220479825707</v>
      </c>
      <c r="AM8120">
        <v>97.452081385220794</v>
      </c>
      <c r="AN8120">
        <v>1.000000016345</v>
      </c>
    </row>
    <row r="8121" spans="1:40" x14ac:dyDescent="0.25">
      <c r="A8121" t="str">
        <f>"20190304154953197"</f>
        <v>20190304154953197</v>
      </c>
      <c r="B8121" t="str">
        <f>"1551685793195022"</f>
        <v>1551685793195022</v>
      </c>
      <c r="C8121" t="s">
        <v>40</v>
      </c>
      <c r="D8121">
        <v>4.4184469999999996</v>
      </c>
      <c r="E8121">
        <v>0.45021539999999999</v>
      </c>
      <c r="F8121" t="s">
        <v>79</v>
      </c>
      <c r="G8121">
        <v>-203.64070000000001</v>
      </c>
      <c r="H8121">
        <v>7.9984719999999995E-2</v>
      </c>
      <c r="I8121">
        <v>151.6216</v>
      </c>
      <c r="J8121">
        <v>-187.32929999999999</v>
      </c>
      <c r="K8121">
        <v>1.111494</v>
      </c>
      <c r="L8121">
        <v>86.515349999999998</v>
      </c>
      <c r="M8121">
        <v>7.0367240000000003E-3</v>
      </c>
      <c r="N8121">
        <v>-1.451765E-2</v>
      </c>
      <c r="O8121">
        <v>0.99986980000000003</v>
      </c>
      <c r="P8121">
        <v>-0.1188906</v>
      </c>
      <c r="Q8121">
        <v>0.2410455</v>
      </c>
      <c r="R8121">
        <v>0.96320410000000001</v>
      </c>
      <c r="S8121">
        <v>-0.75633240000000002</v>
      </c>
      <c r="T8121">
        <v>-4.7835229999999999E-2</v>
      </c>
      <c r="U8121">
        <v>3.0336910000000001</v>
      </c>
      <c r="V8121">
        <v>-0.1258745</v>
      </c>
      <c r="W8121">
        <v>0.25488840000000001</v>
      </c>
      <c r="X8121">
        <v>0.95874269999999995</v>
      </c>
      <c r="Y8121">
        <v>-0.2486757</v>
      </c>
      <c r="Z8121">
        <v>-7.5390470000000003E-4</v>
      </c>
      <c r="AA8121">
        <v>0.96858650000000002</v>
      </c>
      <c r="AB8121">
        <v>33</v>
      </c>
      <c r="AC8121">
        <v>-16.311399999999999</v>
      </c>
      <c r="AD8121">
        <v>-1.0315092800000001</v>
      </c>
      <c r="AE8121">
        <v>65.106250000000003</v>
      </c>
      <c r="AF8121">
        <v>-16.765219312469299</v>
      </c>
      <c r="AG8121">
        <v>-1.0315092800000001</v>
      </c>
      <c r="AH8121">
        <v>64.974500470021297</v>
      </c>
      <c r="AI8121">
        <v>90.880688346959005</v>
      </c>
      <c r="AJ8121">
        <v>104.46831505819399</v>
      </c>
      <c r="AK8121">
        <v>67.110523029691194</v>
      </c>
      <c r="AL8121">
        <v>75.2330279555798</v>
      </c>
      <c r="AM8121">
        <v>97.479652104293194</v>
      </c>
      <c r="AN8121">
        <v>1.00000002550404</v>
      </c>
    </row>
    <row r="8122" spans="1:40" x14ac:dyDescent="0.25">
      <c r="A8122" t="str">
        <f>"20190304154953221"</f>
        <v>20190304154953221</v>
      </c>
      <c r="B8122" t="str">
        <f>"1551685793215518"</f>
        <v>1551685793215518</v>
      </c>
      <c r="C8122" t="s">
        <v>40</v>
      </c>
      <c r="D8122">
        <v>4.469354</v>
      </c>
      <c r="E8122">
        <v>0.45026670000000002</v>
      </c>
      <c r="F8122" t="s">
        <v>79</v>
      </c>
      <c r="G8122">
        <v>-203.06540000000001</v>
      </c>
      <c r="H8122">
        <v>7.0373190000000002E-2</v>
      </c>
      <c r="I8122">
        <v>149.68809999999999</v>
      </c>
      <c r="J8122">
        <v>-187.32730000000001</v>
      </c>
      <c r="K8122">
        <v>1.111499</v>
      </c>
      <c r="L8122">
        <v>86.858729999999994</v>
      </c>
      <c r="M8122">
        <v>6.6279269999999996E-3</v>
      </c>
      <c r="N8122">
        <v>-1.451501E-2</v>
      </c>
      <c r="O8122">
        <v>0.99987269999999995</v>
      </c>
      <c r="P8122">
        <v>-0.1183517</v>
      </c>
      <c r="Q8122">
        <v>0.24151610000000001</v>
      </c>
      <c r="R8122">
        <v>0.96315260000000003</v>
      </c>
      <c r="S8122">
        <v>-0.755722</v>
      </c>
      <c r="T8122">
        <v>-4.999936E-2</v>
      </c>
      <c r="U8122">
        <v>3.0338440000000002</v>
      </c>
      <c r="V8122">
        <v>-0.1249427</v>
      </c>
      <c r="W8122">
        <v>0.25535720000000001</v>
      </c>
      <c r="X8122">
        <v>0.95873980000000003</v>
      </c>
      <c r="Y8122">
        <v>-0.24808350000000001</v>
      </c>
      <c r="Z8122">
        <v>-1.4495650000000001E-3</v>
      </c>
      <c r="AA8122">
        <v>0.96873759999999998</v>
      </c>
      <c r="AB8122">
        <v>33</v>
      </c>
      <c r="AC8122">
        <v>-15.738099999999999</v>
      </c>
      <c r="AD8122">
        <v>-1.04112581</v>
      </c>
      <c r="AE8122">
        <v>62.829369999999898</v>
      </c>
      <c r="AF8122">
        <v>-16.150053802479398</v>
      </c>
      <c r="AG8122">
        <v>-1.04112581</v>
      </c>
      <c r="AH8122">
        <v>62.7074656032609</v>
      </c>
      <c r="AI8122">
        <v>90.9211352051408</v>
      </c>
      <c r="AJ8122">
        <v>104.442434123984</v>
      </c>
      <c r="AK8122">
        <v>64.762137265221398</v>
      </c>
      <c r="AL8122">
        <v>75.205247910638704</v>
      </c>
      <c r="AM8122">
        <v>97.424925424340401</v>
      </c>
      <c r="AN8122">
        <v>0.99999999098958403</v>
      </c>
    </row>
    <row r="8123" spans="1:40" x14ac:dyDescent="0.25">
      <c r="A8123" t="str">
        <f>"20190304154953243"</f>
        <v>20190304154953243</v>
      </c>
      <c r="B8123" t="str">
        <f>"1551685793235038"</f>
        <v>1551685793235038</v>
      </c>
      <c r="C8123" t="s">
        <v>40</v>
      </c>
      <c r="D8123">
        <v>4.4606009999999996</v>
      </c>
      <c r="E8123">
        <v>0.4503047</v>
      </c>
      <c r="F8123" t="s">
        <v>79</v>
      </c>
      <c r="G8123">
        <v>-203.3922</v>
      </c>
      <c r="H8123">
        <v>7.9984749999999993E-2</v>
      </c>
      <c r="I8123">
        <v>151.62029999999999</v>
      </c>
      <c r="J8123">
        <v>-187.32550000000001</v>
      </c>
      <c r="K8123">
        <v>1.111505</v>
      </c>
      <c r="L8123">
        <v>87.197569999999999</v>
      </c>
      <c r="M8123">
        <v>6.2187700000000002E-3</v>
      </c>
      <c r="N8123">
        <v>-1.4512270000000001E-2</v>
      </c>
      <c r="O8123">
        <v>0.99987539999999997</v>
      </c>
      <c r="P8123">
        <v>-0.11685619999999999</v>
      </c>
      <c r="Q8123">
        <v>0.24294789999999999</v>
      </c>
      <c r="R8123">
        <v>0.96297509999999997</v>
      </c>
      <c r="S8123">
        <v>-0.7527161</v>
      </c>
      <c r="T8123">
        <v>-4.8331499999999999E-2</v>
      </c>
      <c r="U8123">
        <v>3.0343930000000001</v>
      </c>
      <c r="V8123">
        <v>-0.1230556</v>
      </c>
      <c r="W8123">
        <v>0.25678469999999998</v>
      </c>
      <c r="X8123">
        <v>0.95860259999999997</v>
      </c>
      <c r="Y8123">
        <v>-0.2467432</v>
      </c>
      <c r="Z8123">
        <v>-9.2206720000000001E-4</v>
      </c>
      <c r="AA8123">
        <v>0.96908039999999995</v>
      </c>
      <c r="AB8123">
        <v>33</v>
      </c>
      <c r="AC8123">
        <v>-16.066699999999901</v>
      </c>
      <c r="AD8123">
        <v>-1.03152025</v>
      </c>
      <c r="AE8123">
        <v>64.422729999999902</v>
      </c>
      <c r="AF8123">
        <v>-16.463087981936901</v>
      </c>
      <c r="AG8123">
        <v>-1.03152025</v>
      </c>
      <c r="AH8123">
        <v>64.306037242230303</v>
      </c>
      <c r="AI8123">
        <v>90.8902836964334</v>
      </c>
      <c r="AJ8123">
        <v>104.359957366891</v>
      </c>
      <c r="AK8123">
        <v>66.387978774219803</v>
      </c>
      <c r="AL8123">
        <v>75.1206372752075</v>
      </c>
      <c r="AM8123">
        <v>97.315040354486001</v>
      </c>
      <c r="AN8123">
        <v>1.0000000037861001</v>
      </c>
    </row>
    <row r="8124" spans="1:40" x14ac:dyDescent="0.25">
      <c r="A8124" t="str">
        <f>"20190304154953266"</f>
        <v>20190304154953266</v>
      </c>
      <c r="B8124" t="str">
        <f>"1551685793255534"</f>
        <v>1551685793255534</v>
      </c>
      <c r="C8124" t="s">
        <v>40</v>
      </c>
      <c r="D8124">
        <v>4.4997259999999999</v>
      </c>
      <c r="E8124">
        <v>0.48726649999999999</v>
      </c>
      <c r="F8124" t="s">
        <v>45</v>
      </c>
      <c r="G8124">
        <v>-208.1516</v>
      </c>
      <c r="H8124">
        <v>-0.05</v>
      </c>
      <c r="I8124">
        <v>171.79130000000001</v>
      </c>
      <c r="J8124">
        <v>-187.32390000000001</v>
      </c>
      <c r="K8124">
        <v>1.1115189999999999</v>
      </c>
      <c r="L8124">
        <v>87.529269999999997</v>
      </c>
      <c r="M8124">
        <v>5.8093440000000001E-3</v>
      </c>
      <c r="N8124">
        <v>-1.450945E-2</v>
      </c>
      <c r="O8124">
        <v>0.99987789999999999</v>
      </c>
      <c r="P8124">
        <v>-0.11566319999999999</v>
      </c>
      <c r="Q8124">
        <v>0.24373610000000001</v>
      </c>
      <c r="R8124">
        <v>0.96291990000000005</v>
      </c>
      <c r="S8124">
        <v>-0.74722290000000002</v>
      </c>
      <c r="T8124">
        <v>-4.16739E-2</v>
      </c>
      <c r="U8124">
        <v>3.0351560000000002</v>
      </c>
      <c r="V8124">
        <v>-0.12147230000000001</v>
      </c>
      <c r="W8124">
        <v>0.25757039999999998</v>
      </c>
      <c r="X8124">
        <v>0.95859369999999999</v>
      </c>
      <c r="Y8124">
        <v>-0.2446401</v>
      </c>
      <c r="Z8124">
        <v>1.1984249999999999E-3</v>
      </c>
      <c r="AA8124">
        <v>0.96961319999999995</v>
      </c>
      <c r="AB8124">
        <v>33</v>
      </c>
      <c r="AC8124">
        <v>-20.8277</v>
      </c>
      <c r="AD8124">
        <v>-1.161519</v>
      </c>
      <c r="AE8124">
        <v>84.262029999999996</v>
      </c>
      <c r="AF8124">
        <v>-21.313090471837601</v>
      </c>
      <c r="AG8124">
        <v>-1.161519</v>
      </c>
      <c r="AH8124">
        <v>84.124535264005303</v>
      </c>
      <c r="AI8124">
        <v>90.766816332403295</v>
      </c>
      <c r="AJ8124">
        <v>104.21684006703801</v>
      </c>
      <c r="AK8124">
        <v>86.790174474032298</v>
      </c>
      <c r="AL8124">
        <v>75.074052354361896</v>
      </c>
      <c r="AM8124">
        <v>97.221987520268897</v>
      </c>
      <c r="AN8124">
        <v>0.999999956151569</v>
      </c>
    </row>
    <row r="8125" spans="1:40" x14ac:dyDescent="0.25">
      <c r="A8125" t="str">
        <f>"20190304154953288"</f>
        <v>20190304154953288</v>
      </c>
      <c r="B8125" t="str">
        <f>"1551685793285791"</f>
        <v>1551685793285791</v>
      </c>
      <c r="C8125" t="s">
        <v>40</v>
      </c>
      <c r="D8125">
        <v>4.849831</v>
      </c>
      <c r="E8125">
        <v>0.56951609999999997</v>
      </c>
      <c r="F8125" t="s">
        <v>51</v>
      </c>
      <c r="G8125">
        <v>-232.7345</v>
      </c>
      <c r="H8125">
        <v>24.91113</v>
      </c>
      <c r="I8125">
        <v>391.00349999999997</v>
      </c>
      <c r="J8125">
        <v>-187.32239999999999</v>
      </c>
      <c r="K8125">
        <v>1.1115299999999999</v>
      </c>
      <c r="L8125">
        <v>87.846829999999997</v>
      </c>
      <c r="M8125">
        <v>5.4051990000000003E-3</v>
      </c>
      <c r="N8125">
        <v>-1.4506679999999999E-2</v>
      </c>
      <c r="O8125">
        <v>0.99988010000000005</v>
      </c>
      <c r="P8125">
        <v>-0.1141142</v>
      </c>
      <c r="Q8125">
        <v>0.24383550000000001</v>
      </c>
      <c r="R8125">
        <v>0.96307960000000004</v>
      </c>
      <c r="S8125">
        <v>-0.44920349999999998</v>
      </c>
      <c r="T8125">
        <v>0.2354271</v>
      </c>
      <c r="U8125">
        <v>3.0019840000000002</v>
      </c>
      <c r="V8125">
        <v>-0.1195403</v>
      </c>
      <c r="W8125">
        <v>0.25766899999999998</v>
      </c>
      <c r="X8125">
        <v>0.9588101</v>
      </c>
      <c r="Y8125">
        <v>-0.1527773</v>
      </c>
      <c r="Z8125">
        <v>9.1755530000000002E-2</v>
      </c>
      <c r="AA8125">
        <v>0.98399190000000003</v>
      </c>
      <c r="AB8125">
        <v>33</v>
      </c>
      <c r="AC8125">
        <v>-45.412100000000002</v>
      </c>
      <c r="AD8125">
        <v>23.799600000000002</v>
      </c>
      <c r="AE8125">
        <v>303.15667000000002</v>
      </c>
      <c r="AF8125">
        <v>-46.768315450824502</v>
      </c>
      <c r="AG8125">
        <v>23.799600000000002</v>
      </c>
      <c r="AH8125">
        <v>301.09179572650697</v>
      </c>
      <c r="AI8125">
        <v>85.533826639194899</v>
      </c>
      <c r="AJ8125">
        <v>98.829145312987606</v>
      </c>
      <c r="AK8125">
        <v>305.63043981920498</v>
      </c>
      <c r="AL8125">
        <v>75.068206348856194</v>
      </c>
      <c r="AM8125">
        <v>97.106719260354794</v>
      </c>
      <c r="AN8125">
        <v>1.00000000237355</v>
      </c>
    </row>
    <row r="8126" spans="1:40" x14ac:dyDescent="0.25">
      <c r="A8126" t="str">
        <f>"20190304154953313"</f>
        <v>20190304154953313</v>
      </c>
      <c r="B8126" t="str">
        <f>"1551685793305311"</f>
        <v>1551685793305311</v>
      </c>
      <c r="C8126" t="s">
        <v>40</v>
      </c>
      <c r="D8126">
        <v>4.6829010000000002</v>
      </c>
      <c r="E8126">
        <v>0.57072149999999999</v>
      </c>
      <c r="F8126" t="s">
        <v>43</v>
      </c>
      <c r="G8126">
        <v>-168.84350000000001</v>
      </c>
      <c r="H8126">
        <v>9.1501640000000002</v>
      </c>
      <c r="I8126">
        <v>366.38830000000002</v>
      </c>
      <c r="J8126">
        <v>-187.321</v>
      </c>
      <c r="K8126">
        <v>1.1115520000000001</v>
      </c>
      <c r="L8126">
        <v>88.202510000000004</v>
      </c>
      <c r="M8126">
        <v>4.9344139999999998E-3</v>
      </c>
      <c r="N8126">
        <v>-1.4503540000000001E-2</v>
      </c>
      <c r="O8126">
        <v>0.99988259999999995</v>
      </c>
      <c r="P8126">
        <v>-0.1124687</v>
      </c>
      <c r="Q8126">
        <v>0.24340899999999999</v>
      </c>
      <c r="R8126">
        <v>0.96338089999999998</v>
      </c>
      <c r="S8126">
        <v>0.20677190000000001</v>
      </c>
      <c r="T8126">
        <v>8.9949849999999998E-2</v>
      </c>
      <c r="U8126">
        <v>3.1167600000000002</v>
      </c>
      <c r="V8126">
        <v>-0.11745070000000001</v>
      </c>
      <c r="W8126">
        <v>0.2572429</v>
      </c>
      <c r="X8126">
        <v>0.95918270000000005</v>
      </c>
      <c r="Y8126">
        <v>6.1215819999999997E-2</v>
      </c>
      <c r="Z8126">
        <v>4.328096E-2</v>
      </c>
      <c r="AA8126">
        <v>0.99718569999999995</v>
      </c>
      <c r="AB8126">
        <v>33</v>
      </c>
      <c r="AC8126">
        <v>18.4774999999999</v>
      </c>
      <c r="AD8126">
        <v>8.0386119999999899</v>
      </c>
      <c r="AE8126">
        <v>278.18579</v>
      </c>
      <c r="AF8126">
        <v>17.090238833428199</v>
      </c>
      <c r="AG8126">
        <v>8.0386119999999899</v>
      </c>
      <c r="AH8126">
        <v>278.04243906101698</v>
      </c>
      <c r="AI8126">
        <v>88.347074633514296</v>
      </c>
      <c r="AJ8126">
        <v>86.482665828239305</v>
      </c>
      <c r="AK8126">
        <v>278.68314169549097</v>
      </c>
      <c r="AL8126">
        <v>75.093471958588395</v>
      </c>
      <c r="AM8126">
        <v>96.981043114309401</v>
      </c>
      <c r="AN8126">
        <v>1.00000001425509</v>
      </c>
    </row>
    <row r="8127" spans="1:40" x14ac:dyDescent="0.25">
      <c r="A8127" t="str">
        <f>"20190304154953333"</f>
        <v>20190304154953333</v>
      </c>
      <c r="B8127" t="str">
        <f>"1551685793325807"</f>
        <v>1551685793325807</v>
      </c>
      <c r="C8127" t="s">
        <v>40</v>
      </c>
      <c r="D8127">
        <v>4.7364689999999996</v>
      </c>
      <c r="E8127">
        <v>0.57417549999999995</v>
      </c>
      <c r="F8127" t="s">
        <v>43</v>
      </c>
      <c r="G8127">
        <v>-168.56399999999999</v>
      </c>
      <c r="H8127">
        <v>5.0333110000000003</v>
      </c>
      <c r="I8127">
        <v>353.69009999999997</v>
      </c>
      <c r="J8127">
        <v>-187.32</v>
      </c>
      <c r="K8127">
        <v>1.1115619999999999</v>
      </c>
      <c r="L8127">
        <v>88.510249999999999</v>
      </c>
      <c r="M8127">
        <v>4.507273E-3</v>
      </c>
      <c r="N8127">
        <v>-1.4500829999999999E-2</v>
      </c>
      <c r="O8127">
        <v>0.99988469999999996</v>
      </c>
      <c r="P8127">
        <v>-0.1111958</v>
      </c>
      <c r="Q8127">
        <v>0.24329219999999999</v>
      </c>
      <c r="R8127">
        <v>0.96355820000000003</v>
      </c>
      <c r="S8127">
        <v>0.22100829999999999</v>
      </c>
      <c r="T8127">
        <v>4.6209689999999998E-2</v>
      </c>
      <c r="U8127">
        <v>3.1281430000000001</v>
      </c>
      <c r="V8127">
        <v>-0.1157757</v>
      </c>
      <c r="W8127">
        <v>0.25712489999999999</v>
      </c>
      <c r="X8127">
        <v>0.95941790000000005</v>
      </c>
      <c r="Y8127">
        <v>6.5948670000000001E-2</v>
      </c>
      <c r="Z8127">
        <v>2.9231360000000001E-2</v>
      </c>
      <c r="AA8127">
        <v>0.99739469999999997</v>
      </c>
      <c r="AB8127">
        <v>33</v>
      </c>
      <c r="AC8127">
        <v>18.755999999999901</v>
      </c>
      <c r="AD8127">
        <v>3.9217489999999899</v>
      </c>
      <c r="AE8127">
        <v>265.17984999999999</v>
      </c>
      <c r="AF8127">
        <v>17.5566249971424</v>
      </c>
      <c r="AG8127">
        <v>3.9217489999999899</v>
      </c>
      <c r="AH8127">
        <v>265.203987731582</v>
      </c>
      <c r="AI8127">
        <v>89.1546407816829</v>
      </c>
      <c r="AJ8127">
        <v>86.212519679608903</v>
      </c>
      <c r="AK8127">
        <v>265.81341257589401</v>
      </c>
      <c r="AL8127">
        <v>75.100467474282397</v>
      </c>
      <c r="AM8127">
        <v>96.880775038257894</v>
      </c>
      <c r="AN8127">
        <v>0.999999966875454</v>
      </c>
    </row>
    <row r="8128" spans="1:40" x14ac:dyDescent="0.25">
      <c r="A8128" t="str">
        <f>"20190304154953356"</f>
        <v>20190304154953356</v>
      </c>
      <c r="B8128" t="str">
        <f>"1551685793345326"</f>
        <v>1551685793345326</v>
      </c>
      <c r="C8128" t="s">
        <v>40</v>
      </c>
      <c r="D8128">
        <v>4.38781</v>
      </c>
      <c r="E8128">
        <v>0.57607489999999995</v>
      </c>
      <c r="F8128" t="s">
        <v>47</v>
      </c>
      <c r="G8128">
        <v>-168.9829</v>
      </c>
      <c r="H8128">
        <v>3.2141839999999999</v>
      </c>
      <c r="I8128">
        <v>315.87150000000003</v>
      </c>
      <c r="J8128">
        <v>-187.31899999999999</v>
      </c>
      <c r="K8128">
        <v>1.1115740000000001</v>
      </c>
      <c r="L8128">
        <v>88.841189999999997</v>
      </c>
      <c r="M8128">
        <v>4.0306090000000001E-3</v>
      </c>
      <c r="N8128">
        <v>-1.4498E-2</v>
      </c>
      <c r="O8128">
        <v>0.99988679999999996</v>
      </c>
      <c r="P8128">
        <v>-0.1098961</v>
      </c>
      <c r="Q8128">
        <v>0.2433961</v>
      </c>
      <c r="R8128">
        <v>0.96368100000000001</v>
      </c>
      <c r="S8128">
        <v>0.2528687</v>
      </c>
      <c r="T8128">
        <v>2.8995279999999998E-2</v>
      </c>
      <c r="U8128">
        <v>3.1353149999999999</v>
      </c>
      <c r="V8128">
        <v>-0.11402610000000001</v>
      </c>
      <c r="W8128">
        <v>0.25722620000000002</v>
      </c>
      <c r="X8128">
        <v>0.95960029999999996</v>
      </c>
      <c r="Y8128">
        <v>7.6346559999999994E-2</v>
      </c>
      <c r="Z8128">
        <v>2.3713049999999999E-2</v>
      </c>
      <c r="AA8128">
        <v>0.99679930000000005</v>
      </c>
      <c r="AB8128">
        <v>33</v>
      </c>
      <c r="AC8128">
        <v>18.336099999999998</v>
      </c>
      <c r="AD8128">
        <v>2.1026099999999999</v>
      </c>
      <c r="AE8128">
        <v>227.03030999999999</v>
      </c>
      <c r="AF8128">
        <v>17.419300032799399</v>
      </c>
      <c r="AG8128">
        <v>2.1026099999999999</v>
      </c>
      <c r="AH8128">
        <v>227.08302754883599</v>
      </c>
      <c r="AI8128">
        <v>89.471055217753701</v>
      </c>
      <c r="AJ8128">
        <v>85.613491389254506</v>
      </c>
      <c r="AK8128">
        <v>227.75986122051901</v>
      </c>
      <c r="AL8128">
        <v>75.094461940251307</v>
      </c>
      <c r="AM8128">
        <v>96.776491228117493</v>
      </c>
      <c r="AN8128">
        <v>1.00000000260387</v>
      </c>
    </row>
    <row r="8129" spans="1:40" x14ac:dyDescent="0.25">
      <c r="A8129" t="str">
        <f>"20190304154953377"</f>
        <v>20190304154953377</v>
      </c>
      <c r="B8129" t="str">
        <f>"1551685793365822"</f>
        <v>1551685793365822</v>
      </c>
      <c r="C8129" t="s">
        <v>40</v>
      </c>
      <c r="D8129">
        <v>4.7382039999999996</v>
      </c>
      <c r="E8129">
        <v>0.57583619999999902</v>
      </c>
      <c r="F8129" t="s">
        <v>47</v>
      </c>
      <c r="G8129">
        <v>-167.6679</v>
      </c>
      <c r="H8129">
        <v>4.5214720000000002</v>
      </c>
      <c r="I8129">
        <v>314.49709999999999</v>
      </c>
      <c r="J8129">
        <v>-187.31819999999999</v>
      </c>
      <c r="K8129">
        <v>1.1115759999999999</v>
      </c>
      <c r="L8129">
        <v>89.155730000000005</v>
      </c>
      <c r="M8129">
        <v>3.5627200000000001E-3</v>
      </c>
      <c r="N8129">
        <v>-1.4495070000000001E-2</v>
      </c>
      <c r="O8129">
        <v>0.99988860000000002</v>
      </c>
      <c r="P8129">
        <v>-0.1079262</v>
      </c>
      <c r="Q8129">
        <v>0.24341270000000001</v>
      </c>
      <c r="R8129">
        <v>0.96389950000000002</v>
      </c>
      <c r="S8129">
        <v>0.27276610000000001</v>
      </c>
      <c r="T8129">
        <v>4.7330980000000002E-2</v>
      </c>
      <c r="U8129">
        <v>3.1322019999999999</v>
      </c>
      <c r="V8129">
        <v>-0.1116139</v>
      </c>
      <c r="W8129">
        <v>0.25724330000000001</v>
      </c>
      <c r="X8129">
        <v>0.95987929999999999</v>
      </c>
      <c r="Y8129">
        <v>8.3168370000000005E-2</v>
      </c>
      <c r="Z8129">
        <v>2.9544150000000002E-2</v>
      </c>
      <c r="AA8129">
        <v>0.99609740000000002</v>
      </c>
      <c r="AB8129">
        <v>33</v>
      </c>
      <c r="AC8129">
        <v>19.650299999999898</v>
      </c>
      <c r="AD8129">
        <v>3.4098959999999998</v>
      </c>
      <c r="AE8129">
        <v>225.34137000000001</v>
      </c>
      <c r="AF8129">
        <v>18.842980577417201</v>
      </c>
      <c r="AG8129">
        <v>3.4098959999999998</v>
      </c>
      <c r="AH8129">
        <v>225.35874189779199</v>
      </c>
      <c r="AI8129">
        <v>89.136139505900204</v>
      </c>
      <c r="AJ8129">
        <v>85.220430295072902</v>
      </c>
      <c r="AK8129">
        <v>226.17083776987499</v>
      </c>
      <c r="AL8129">
        <v>75.093448395627107</v>
      </c>
      <c r="AM8129">
        <v>96.632516258700505</v>
      </c>
      <c r="AN8129">
        <v>1.00000002431829</v>
      </c>
    </row>
    <row r="8130" spans="1:40" x14ac:dyDescent="0.25">
      <c r="A8130" t="str">
        <f>"20190304154953390"</f>
        <v>20190304154953390</v>
      </c>
      <c r="B8130" t="str">
        <f>"1551685793385342"</f>
        <v>1551685793385342</v>
      </c>
      <c r="C8130" t="s">
        <v>40</v>
      </c>
      <c r="D8130">
        <v>4.6814400000000003</v>
      </c>
      <c r="E8130">
        <v>0.57585500000000001</v>
      </c>
      <c r="F8130" t="s">
        <v>47</v>
      </c>
      <c r="G8130">
        <v>-167.3536</v>
      </c>
      <c r="H8130">
        <v>3.4521139999999999</v>
      </c>
      <c r="I8130">
        <v>314.49709999999999</v>
      </c>
      <c r="J8130">
        <v>-187.3177</v>
      </c>
      <c r="K8130">
        <v>1.11158</v>
      </c>
      <c r="L8130">
        <v>89.358400000000003</v>
      </c>
      <c r="M8130">
        <v>3.255684E-3</v>
      </c>
      <c r="N8130">
        <v>-1.449305E-2</v>
      </c>
      <c r="O8130">
        <v>0.99988969999999999</v>
      </c>
      <c r="P8130">
        <v>-0.1069031</v>
      </c>
      <c r="Q8130">
        <v>0.24335780000000001</v>
      </c>
      <c r="R8130">
        <v>0.96402730000000003</v>
      </c>
      <c r="S8130">
        <v>0.27777099999999999</v>
      </c>
      <c r="T8130">
        <v>3.256452E-2</v>
      </c>
      <c r="U8130">
        <v>3.1352229999999999</v>
      </c>
      <c r="V8130">
        <v>-0.11029949999999999</v>
      </c>
      <c r="W8130">
        <v>0.25718839999999998</v>
      </c>
      <c r="X8130">
        <v>0.96004590000000001</v>
      </c>
      <c r="Y8130">
        <v>8.4977650000000002E-2</v>
      </c>
      <c r="Z8130">
        <v>2.4836069999999998E-2</v>
      </c>
      <c r="AA8130">
        <v>0.99607319999999999</v>
      </c>
      <c r="AB8130">
        <v>33</v>
      </c>
      <c r="AC8130">
        <v>19.964099999999998</v>
      </c>
      <c r="AD8130">
        <v>2.3405339999999999</v>
      </c>
      <c r="AE8130">
        <v>225.1387</v>
      </c>
      <c r="AF8130">
        <v>19.2288747709731</v>
      </c>
      <c r="AG8130">
        <v>2.3405339999999999</v>
      </c>
      <c r="AH8130">
        <v>225.178363669286</v>
      </c>
      <c r="AI8130">
        <v>89.406640798954996</v>
      </c>
      <c r="AJ8130">
        <v>85.119126842007901</v>
      </c>
      <c r="AK8130">
        <v>226.01000683407801</v>
      </c>
      <c r="AL8130">
        <v>75.096702952412002</v>
      </c>
      <c r="AM8130">
        <v>96.553965833553306</v>
      </c>
      <c r="AN8130">
        <v>0.99999999145080998</v>
      </c>
    </row>
    <row r="8131" spans="1:40" x14ac:dyDescent="0.25">
      <c r="A8131" t="str">
        <f>"20190304154953411"</f>
        <v>20190304154953411</v>
      </c>
      <c r="B8131" t="str">
        <f>"1551685793405838"</f>
        <v>1551685793405838</v>
      </c>
      <c r="C8131" t="s">
        <v>40</v>
      </c>
      <c r="D8131">
        <v>4.7745819999999997</v>
      </c>
      <c r="E8131">
        <v>0.575492</v>
      </c>
      <c r="F8131" t="s">
        <v>47</v>
      </c>
      <c r="G8131">
        <v>-167.0823</v>
      </c>
      <c r="H8131">
        <v>2.7786460000000002</v>
      </c>
      <c r="I8131">
        <v>314.49709999999999</v>
      </c>
      <c r="J8131">
        <v>-187.31729999999999</v>
      </c>
      <c r="K8131">
        <v>1.111588</v>
      </c>
      <c r="L8131">
        <v>89.652100000000004</v>
      </c>
      <c r="M8131">
        <v>2.803313E-3</v>
      </c>
      <c r="N8131">
        <v>-1.4490050000000001E-2</v>
      </c>
      <c r="O8131">
        <v>0.99989110000000003</v>
      </c>
      <c r="P8131">
        <v>-0.1050485</v>
      </c>
      <c r="Q8131">
        <v>0.24234900000000001</v>
      </c>
      <c r="R8131">
        <v>0.96448520000000004</v>
      </c>
      <c r="S8131">
        <v>0.28198240000000002</v>
      </c>
      <c r="T8131">
        <v>2.3230790000000001E-2</v>
      </c>
      <c r="U8131">
        <v>3.1373289999999998</v>
      </c>
      <c r="V8131">
        <v>-0.1080135</v>
      </c>
      <c r="W8131">
        <v>0.25618469999999999</v>
      </c>
      <c r="X8131">
        <v>0.96057400000000004</v>
      </c>
      <c r="Y8131">
        <v>8.6700360000000004E-2</v>
      </c>
      <c r="Z8131">
        <v>2.1862639999999999E-2</v>
      </c>
      <c r="AA8131">
        <v>0.9959945</v>
      </c>
      <c r="AB8131">
        <v>33</v>
      </c>
      <c r="AC8131">
        <v>20.2349999999999</v>
      </c>
      <c r="AD8131">
        <v>1.6670579999999899</v>
      </c>
      <c r="AE8131">
        <v>224.845</v>
      </c>
      <c r="AF8131">
        <v>19.603474423665499</v>
      </c>
      <c r="AG8131">
        <v>1.6670579999999899</v>
      </c>
      <c r="AH8131">
        <v>224.88858425976801</v>
      </c>
      <c r="AI8131">
        <v>89.576889046680094</v>
      </c>
      <c r="AJ8131">
        <v>85.018135932875396</v>
      </c>
      <c r="AK8131">
        <v>225.74753735581999</v>
      </c>
      <c r="AL8131">
        <v>75.156203910836098</v>
      </c>
      <c r="AM8131">
        <v>96.415778294786506</v>
      </c>
      <c r="AN8131">
        <v>0.99999996308616901</v>
      </c>
    </row>
    <row r="8132" spans="1:40" x14ac:dyDescent="0.25">
      <c r="A8132" t="str">
        <f>"20190304154953425"</f>
        <v>20190304154953425</v>
      </c>
      <c r="B8132" t="str">
        <f>"1551685793415598"</f>
        <v>1551685793415598</v>
      </c>
      <c r="C8132" t="s">
        <v>40</v>
      </c>
      <c r="D8132">
        <v>4.7601060000000004</v>
      </c>
      <c r="E8132">
        <v>0.57551039999999998</v>
      </c>
      <c r="F8132" t="s">
        <v>105</v>
      </c>
      <c r="G8132">
        <v>-168.3484</v>
      </c>
      <c r="H8132">
        <v>1.5926100000000001</v>
      </c>
      <c r="I8132">
        <v>297.38529999999997</v>
      </c>
      <c r="J8132">
        <v>-187.31700000000001</v>
      </c>
      <c r="K8132">
        <v>1.1115889999999999</v>
      </c>
      <c r="L8132">
        <v>89.862300000000005</v>
      </c>
      <c r="M8132">
        <v>2.4756510000000002E-3</v>
      </c>
      <c r="N8132">
        <v>-1.448787E-2</v>
      </c>
      <c r="O8132">
        <v>0.999892</v>
      </c>
      <c r="P8132">
        <v>-0.10376000000000001</v>
      </c>
      <c r="Q8132">
        <v>0.24152860000000001</v>
      </c>
      <c r="R8132">
        <v>0.96483050000000004</v>
      </c>
      <c r="S8132">
        <v>0.28671259999999998</v>
      </c>
      <c r="T8132">
        <v>7.2717669999999898E-3</v>
      </c>
      <c r="U8132">
        <v>3.1398619999999999</v>
      </c>
      <c r="V8132">
        <v>-0.1064116</v>
      </c>
      <c r="W8132">
        <v>0.2553684</v>
      </c>
      <c r="X8132">
        <v>0.9609702</v>
      </c>
      <c r="Y8132">
        <v>8.8448899999999997E-2</v>
      </c>
      <c r="Z8132">
        <v>1.679255E-2</v>
      </c>
      <c r="AA8132">
        <v>0.99593909999999997</v>
      </c>
      <c r="AB8132">
        <v>33</v>
      </c>
      <c r="AC8132">
        <v>18.968599999999999</v>
      </c>
      <c r="AD8132">
        <v>0.48102099999999998</v>
      </c>
      <c r="AE8132">
        <v>207.523</v>
      </c>
      <c r="AF8132">
        <v>18.454635090417501</v>
      </c>
      <c r="AG8132">
        <v>0.48102099999999998</v>
      </c>
      <c r="AH8132">
        <v>207.568222519568</v>
      </c>
      <c r="AI8132">
        <v>89.867744031094901</v>
      </c>
      <c r="AJ8132">
        <v>84.919262040521502</v>
      </c>
      <c r="AK8132">
        <v>208.38755226129999</v>
      </c>
      <c r="AL8132">
        <v>75.204585642616394</v>
      </c>
      <c r="AM8132">
        <v>96.318819560497701</v>
      </c>
      <c r="AN8132">
        <v>1.0000000868105701</v>
      </c>
    </row>
    <row r="8133" spans="1:40" x14ac:dyDescent="0.25">
      <c r="A8133" t="str">
        <f>"20190304154953444"</f>
        <v>20190304154953444</v>
      </c>
      <c r="B8133" t="str">
        <f>"1551685793435118"</f>
        <v>1551685793435118</v>
      </c>
      <c r="C8133" t="s">
        <v>40</v>
      </c>
      <c r="D8133">
        <v>4.9787530000000002</v>
      </c>
      <c r="E8133">
        <v>0.57500680000000004</v>
      </c>
      <c r="F8133" t="s">
        <v>105</v>
      </c>
      <c r="G8133">
        <v>-168.05090000000001</v>
      </c>
      <c r="H8133">
        <v>1.1524110000000001</v>
      </c>
      <c r="I8133">
        <v>297.38529999999997</v>
      </c>
      <c r="J8133">
        <v>-187.3167</v>
      </c>
      <c r="K8133">
        <v>1.1115930000000001</v>
      </c>
      <c r="L8133">
        <v>90.15204</v>
      </c>
      <c r="M8133">
        <v>2.022229E-3</v>
      </c>
      <c r="N8133">
        <v>-1.448486E-2</v>
      </c>
      <c r="O8133">
        <v>0.99989309999999998</v>
      </c>
      <c r="P8133">
        <v>-0.10142959999999999</v>
      </c>
      <c r="Q8133">
        <v>0.24039669999999999</v>
      </c>
      <c r="R8133">
        <v>0.96536080000000002</v>
      </c>
      <c r="S8133">
        <v>0.29156490000000002</v>
      </c>
      <c r="T8133">
        <v>6.1893460000000001E-4</v>
      </c>
      <c r="U8133">
        <v>3.1405639999999999</v>
      </c>
      <c r="V8133">
        <v>-0.1036458</v>
      </c>
      <c r="W8133">
        <v>0.25424459999999999</v>
      </c>
      <c r="X8133">
        <v>0.96157020000000004</v>
      </c>
      <c r="Y8133">
        <v>9.0407619999999994E-2</v>
      </c>
      <c r="Z8133">
        <v>1.467973E-2</v>
      </c>
      <c r="AA8133">
        <v>0.99579660000000003</v>
      </c>
      <c r="AB8133">
        <v>33</v>
      </c>
      <c r="AC8133">
        <v>19.265799999999899</v>
      </c>
      <c r="AD8133">
        <v>4.0818E-2</v>
      </c>
      <c r="AE8133">
        <v>207.23326</v>
      </c>
      <c r="AF8133">
        <v>18.846642819225199</v>
      </c>
      <c r="AG8133">
        <v>4.0818E-2</v>
      </c>
      <c r="AH8133">
        <v>207.27179215246301</v>
      </c>
      <c r="AI8133">
        <v>89.988763108007703</v>
      </c>
      <c r="AJ8133">
        <v>84.804542265486006</v>
      </c>
      <c r="AK8133">
        <v>208.12686860124199</v>
      </c>
      <c r="AL8133">
        <v>75.271171362154007</v>
      </c>
      <c r="AM8133">
        <v>96.152049710311005</v>
      </c>
      <c r="AN8133">
        <v>1.0000000090074199</v>
      </c>
    </row>
    <row r="8134" spans="1:40" x14ac:dyDescent="0.25">
      <c r="A8134" t="str">
        <f>"20190304154953466"</f>
        <v>20190304154953466</v>
      </c>
      <c r="B8134" t="str">
        <f>"1551685793455614"</f>
        <v>1551685793455614</v>
      </c>
      <c r="C8134" t="s">
        <v>40</v>
      </c>
      <c r="D8134">
        <v>5.9088729999999998</v>
      </c>
      <c r="E8134">
        <v>0.57466980000000001</v>
      </c>
      <c r="F8134" t="s">
        <v>105</v>
      </c>
      <c r="G8134">
        <v>-167.7165</v>
      </c>
      <c r="H8134">
        <v>0.47362799999999999</v>
      </c>
      <c r="I8134">
        <v>297.38529999999997</v>
      </c>
      <c r="J8134">
        <v>-187.31659999999999</v>
      </c>
      <c r="K8134">
        <v>1.1115969999999999</v>
      </c>
      <c r="L8134">
        <v>90.462100000000007</v>
      </c>
      <c r="M8134">
        <v>1.5353700000000001E-3</v>
      </c>
      <c r="N8134">
        <v>-1.4481580000000001E-2</v>
      </c>
      <c r="O8134">
        <v>0.99989399999999995</v>
      </c>
      <c r="P8134">
        <v>-9.8420889999999997E-2</v>
      </c>
      <c r="Q8134">
        <v>0.23975469999999999</v>
      </c>
      <c r="R8134">
        <v>0.96583180000000002</v>
      </c>
      <c r="S8134">
        <v>0.29710389999999998</v>
      </c>
      <c r="T8134">
        <v>-9.6691850000000003E-3</v>
      </c>
      <c r="U8134">
        <v>3.1412659999999999</v>
      </c>
      <c r="V8134">
        <v>-0.1001681</v>
      </c>
      <c r="W8134">
        <v>0.25361</v>
      </c>
      <c r="X8134">
        <v>0.96210620000000002</v>
      </c>
      <c r="Y8134">
        <v>9.2614020000000005E-2</v>
      </c>
      <c r="Z8134">
        <v>1.141614E-2</v>
      </c>
      <c r="AA8134">
        <v>0.99563659999999998</v>
      </c>
      <c r="AB8134">
        <v>33</v>
      </c>
      <c r="AC8134">
        <v>19.600100000000001</v>
      </c>
      <c r="AD8134">
        <v>-0.63796900000000001</v>
      </c>
      <c r="AE8134">
        <v>206.92319999999901</v>
      </c>
      <c r="AF8134">
        <v>19.282158254602599</v>
      </c>
      <c r="AG8134">
        <v>-0.63796900000000001</v>
      </c>
      <c r="AH8134">
        <v>206.951102905753</v>
      </c>
      <c r="AI8134">
        <v>90.175863678635395</v>
      </c>
      <c r="AJ8134">
        <v>84.676974928368693</v>
      </c>
      <c r="AK8134">
        <v>207.84842463994801</v>
      </c>
      <c r="AL8134">
        <v>75.308763425360596</v>
      </c>
      <c r="AM8134">
        <v>95.943841035738402</v>
      </c>
      <c r="AN8134">
        <v>1.00000001021802</v>
      </c>
    </row>
    <row r="8135" spans="1:40" x14ac:dyDescent="0.25">
      <c r="A8135" t="str">
        <f>"20190304154953480"</f>
        <v>20190304154953480</v>
      </c>
      <c r="B8135" t="str">
        <f>"1551685793475135"</f>
        <v>1551685793475135</v>
      </c>
      <c r="C8135" t="s">
        <v>40</v>
      </c>
      <c r="D8135">
        <v>4.8753449999999896</v>
      </c>
      <c r="E8135">
        <v>0.57607759999999997</v>
      </c>
      <c r="F8135" t="s">
        <v>105</v>
      </c>
      <c r="G8135">
        <v>-167.20599999999999</v>
      </c>
      <c r="H8135">
        <v>0.45669559999999998</v>
      </c>
      <c r="I8135">
        <v>297.38529999999997</v>
      </c>
      <c r="J8135">
        <v>-187.31659999999999</v>
      </c>
      <c r="K8135">
        <v>1.1115980000000001</v>
      </c>
      <c r="L8135">
        <v>90.675349999999995</v>
      </c>
      <c r="M8135">
        <v>1.200326E-3</v>
      </c>
      <c r="N8135">
        <v>-1.4479290000000001E-2</v>
      </c>
      <c r="O8135">
        <v>0.99989439999999996</v>
      </c>
      <c r="P8135">
        <v>-9.6975169999999999E-2</v>
      </c>
      <c r="Q8135">
        <v>0.2396237</v>
      </c>
      <c r="R8135">
        <v>0.96601049999999999</v>
      </c>
      <c r="S8135">
        <v>0.30514530000000001</v>
      </c>
      <c r="T8135">
        <v>-9.9358559999999999E-3</v>
      </c>
      <c r="U8135">
        <v>3.1397089999999999</v>
      </c>
      <c r="V8135">
        <v>-9.8400029999999999E-2</v>
      </c>
      <c r="W8135">
        <v>0.25348179999999998</v>
      </c>
      <c r="X8135">
        <v>0.96232240000000002</v>
      </c>
      <c r="Y8135">
        <v>9.5519960000000001E-2</v>
      </c>
      <c r="Z8135">
        <v>1.13288E-2</v>
      </c>
      <c r="AA8135">
        <v>0.99536309999999995</v>
      </c>
      <c r="AB8135">
        <v>33</v>
      </c>
      <c r="AC8135">
        <v>20.110600000000002</v>
      </c>
      <c r="AD8135">
        <v>-0.654902399999999</v>
      </c>
      <c r="AE8135">
        <v>206.70994999999999</v>
      </c>
      <c r="AF8135">
        <v>19.8622426565266</v>
      </c>
      <c r="AG8135">
        <v>-0.654902399999999</v>
      </c>
      <c r="AH8135">
        <v>206.73188722715801</v>
      </c>
      <c r="AI8135">
        <v>90.180673745203293</v>
      </c>
      <c r="AJ8135">
        <v>84.5120207644202</v>
      </c>
      <c r="AK8135">
        <v>207.68488336179601</v>
      </c>
      <c r="AL8135">
        <v>75.3163566469361</v>
      </c>
      <c r="AM8135">
        <v>95.838354725096906</v>
      </c>
      <c r="AN8135">
        <v>0.99999999518850002</v>
      </c>
    </row>
    <row r="8136" spans="1:40" x14ac:dyDescent="0.25">
      <c r="A8136" t="str">
        <f>"20190304154953500"</f>
        <v>20190304154953500</v>
      </c>
      <c r="B8136" t="str">
        <f>"1551685793495630"</f>
        <v>1551685793495630</v>
      </c>
      <c r="C8136" t="s">
        <v>40</v>
      </c>
      <c r="D8136">
        <v>4.8772630000000001</v>
      </c>
      <c r="E8136">
        <v>0.56362209999999902</v>
      </c>
      <c r="F8136" t="s">
        <v>47</v>
      </c>
      <c r="G8136">
        <v>-163.73929999999999</v>
      </c>
      <c r="H8136">
        <v>42.571919999999999</v>
      </c>
      <c r="I8136">
        <v>315.18990000000002</v>
      </c>
      <c r="J8136">
        <v>-187.3167</v>
      </c>
      <c r="K8136">
        <v>1.11159599999999</v>
      </c>
      <c r="L8136">
        <v>90.955719999999999</v>
      </c>
      <c r="M8136">
        <v>7.6017740000000004E-4</v>
      </c>
      <c r="N8136">
        <v>-1.4476320000000001E-2</v>
      </c>
      <c r="O8136">
        <v>0.99989490000000003</v>
      </c>
      <c r="P8136">
        <v>-9.3997460000000005E-2</v>
      </c>
      <c r="Q8136">
        <v>0.2389146</v>
      </c>
      <c r="R8136">
        <v>0.96648040000000002</v>
      </c>
      <c r="S8136">
        <v>0.31501770000000001</v>
      </c>
      <c r="T8136">
        <v>0.55395439999999996</v>
      </c>
      <c r="U8136">
        <v>2.9997560000000001</v>
      </c>
      <c r="V8136">
        <v>-9.4997010000000007E-2</v>
      </c>
      <c r="W8136">
        <v>0.25278010000000001</v>
      </c>
      <c r="X8136">
        <v>0.96284879999999995</v>
      </c>
      <c r="Y8136">
        <v>0.1018076</v>
      </c>
      <c r="Z8136">
        <v>0.1948607</v>
      </c>
      <c r="AA8136">
        <v>0.97553290000000004</v>
      </c>
      <c r="AB8136">
        <v>33</v>
      </c>
      <c r="AC8136">
        <v>23.577400000000001</v>
      </c>
      <c r="AD8136">
        <v>41.460324</v>
      </c>
      <c r="AE8136">
        <v>224.23418000000001</v>
      </c>
      <c r="AF8136">
        <v>22.6413407089934</v>
      </c>
      <c r="AG8136">
        <v>41.460324</v>
      </c>
      <c r="AH8136">
        <v>216.91736345151</v>
      </c>
      <c r="AI8136">
        <v>79.236423289416805</v>
      </c>
      <c r="AJ8136">
        <v>84.041174313452899</v>
      </c>
      <c r="AK8136">
        <v>222.001647160647</v>
      </c>
      <c r="AL8136">
        <v>75.357914794200099</v>
      </c>
      <c r="AM8136">
        <v>95.634705251277296</v>
      </c>
      <c r="AN8136">
        <v>1.0000000112631899</v>
      </c>
    </row>
    <row r="8137" spans="1:40" x14ac:dyDescent="0.25">
      <c r="A8137" t="str">
        <f>"20190304154953522"</f>
        <v>20190304154953522</v>
      </c>
      <c r="B8137" t="str">
        <f>"1551685793515151"</f>
        <v>1551685793515151</v>
      </c>
      <c r="C8137" t="s">
        <v>40</v>
      </c>
      <c r="D8137">
        <v>4.9355159999999998</v>
      </c>
      <c r="E8137">
        <v>0.56099180000000004</v>
      </c>
      <c r="F8137" t="s">
        <v>44</v>
      </c>
      <c r="G8137">
        <v>-176.28299999999999</v>
      </c>
      <c r="H8137">
        <v>7.9986450000000001E-2</v>
      </c>
      <c r="I8137">
        <v>239.2756</v>
      </c>
      <c r="J8137">
        <v>-187.31700000000001</v>
      </c>
      <c r="K8137">
        <v>1.1115950000000001</v>
      </c>
      <c r="L8137">
        <v>91.287080000000003</v>
      </c>
      <c r="M8137">
        <v>2.4080790000000001E-4</v>
      </c>
      <c r="N8137">
        <v>-1.4472860000000001E-2</v>
      </c>
      <c r="O8137">
        <v>0.99989519999999998</v>
      </c>
      <c r="P8137">
        <v>-9.1088429999999998E-2</v>
      </c>
      <c r="Q8137">
        <v>0.2382705</v>
      </c>
      <c r="R8137">
        <v>0.96691780000000005</v>
      </c>
      <c r="S8137">
        <v>0.23300170000000001</v>
      </c>
      <c r="T8137">
        <v>-2.178478E-2</v>
      </c>
      <c r="U8137">
        <v>3.1321110000000001</v>
      </c>
      <c r="V8137">
        <v>-9.1585700000000006E-2</v>
      </c>
      <c r="W8137">
        <v>0.25214340000000002</v>
      </c>
      <c r="X8137">
        <v>0.96334609999999998</v>
      </c>
      <c r="Y8137">
        <v>7.3932590000000006E-2</v>
      </c>
      <c r="Z8137">
        <v>7.5370749999999999E-3</v>
      </c>
      <c r="AA8137">
        <v>0.99723479999999998</v>
      </c>
      <c r="AB8137">
        <v>33</v>
      </c>
      <c r="AC8137">
        <v>11.034000000000001</v>
      </c>
      <c r="AD8137">
        <v>-1.0316085500000001</v>
      </c>
      <c r="AE8137">
        <v>147.98851999999999</v>
      </c>
      <c r="AF8137">
        <v>10.997827678120199</v>
      </c>
      <c r="AG8137">
        <v>-1.0316085500000001</v>
      </c>
      <c r="AH8137">
        <v>147.984021826765</v>
      </c>
      <c r="AI8137">
        <v>90.398308627464999</v>
      </c>
      <c r="AJ8137">
        <v>85.749724603850495</v>
      </c>
      <c r="AK8137">
        <v>148.39571134592299</v>
      </c>
      <c r="AL8137">
        <v>75.395615692838902</v>
      </c>
      <c r="AM8137">
        <v>95.430810072189601</v>
      </c>
      <c r="AN8137">
        <v>0.999999971496629</v>
      </c>
    </row>
    <row r="8138" spans="1:40" x14ac:dyDescent="0.25">
      <c r="A8138" t="str">
        <f>"20190304154953545"</f>
        <v>20190304154953545</v>
      </c>
      <c r="B8138" t="str">
        <f>"1551685793535649"</f>
        <v>1551685793535649</v>
      </c>
      <c r="C8138" t="s">
        <v>40</v>
      </c>
      <c r="D8138">
        <v>4.8916909999999998</v>
      </c>
      <c r="E8138">
        <v>0.56206480000000003</v>
      </c>
      <c r="F8138" t="s">
        <v>79</v>
      </c>
      <c r="G8138">
        <v>-182.88939999999999</v>
      </c>
      <c r="H8138" s="1">
        <v>-1.237845E-5</v>
      </c>
      <c r="I8138">
        <v>153.68360000000001</v>
      </c>
      <c r="J8138">
        <v>-187.3175</v>
      </c>
      <c r="K8138">
        <v>1.111599</v>
      </c>
      <c r="L8138">
        <v>91.611819999999994</v>
      </c>
      <c r="M8138">
        <v>-2.675194E-4</v>
      </c>
      <c r="N8138">
        <v>-1.446939E-2</v>
      </c>
      <c r="O8138">
        <v>0.99989530000000004</v>
      </c>
      <c r="P8138">
        <v>-8.8041389999999997E-2</v>
      </c>
      <c r="Q8138">
        <v>0.23775840000000001</v>
      </c>
      <c r="R8138">
        <v>0.96732600000000002</v>
      </c>
      <c r="S8138">
        <v>0.22262570000000001</v>
      </c>
      <c r="T8138">
        <v>-5.58933E-2</v>
      </c>
      <c r="U8138">
        <v>3.1373899999999999</v>
      </c>
      <c r="V8138">
        <v>-8.8046659999999999E-2</v>
      </c>
      <c r="W8138">
        <v>0.25163859999999999</v>
      </c>
      <c r="X8138">
        <v>0.963808</v>
      </c>
      <c r="Y8138">
        <v>7.1030860000000001E-2</v>
      </c>
      <c r="Z8138">
        <v>-3.2984720000000002E-3</v>
      </c>
      <c r="AA8138">
        <v>0.99746869999999999</v>
      </c>
      <c r="AB8138">
        <v>33</v>
      </c>
      <c r="AC8138">
        <v>4.4280999999999997</v>
      </c>
      <c r="AD8138">
        <v>-1.1116113784499999</v>
      </c>
      <c r="AE8138">
        <v>62.071779999999997</v>
      </c>
      <c r="AF8138">
        <v>4.4432891765955</v>
      </c>
      <c r="AG8138">
        <v>-1.1116113784499999</v>
      </c>
      <c r="AH8138">
        <v>62.050793274008598</v>
      </c>
      <c r="AI8138">
        <v>91.023697073510903</v>
      </c>
      <c r="AJ8138">
        <v>85.904195482817599</v>
      </c>
      <c r="AK8138">
        <v>62.219606592273699</v>
      </c>
      <c r="AL8138">
        <v>75.425503151384603</v>
      </c>
      <c r="AM8138">
        <v>95.219648100431101</v>
      </c>
      <c r="AN8138">
        <v>1.0000000301055501</v>
      </c>
    </row>
    <row r="8139" spans="1:40" x14ac:dyDescent="0.25">
      <c r="A8139" t="str">
        <f>"20190304154953566"</f>
        <v>20190304154953566</v>
      </c>
      <c r="B8139" t="str">
        <f>"1551685793555166"</f>
        <v>1551685793555166</v>
      </c>
      <c r="C8139" t="s">
        <v>40</v>
      </c>
      <c r="D8139">
        <v>4.7774049999999999</v>
      </c>
      <c r="E8139">
        <v>0.56376979999999999</v>
      </c>
      <c r="F8139" t="s">
        <v>79</v>
      </c>
      <c r="G8139">
        <v>-182.55160000000001</v>
      </c>
      <c r="H8139" s="1">
        <v>-1.240639E-5</v>
      </c>
      <c r="I8139">
        <v>153.75470000000001</v>
      </c>
      <c r="J8139">
        <v>-187.31800000000001</v>
      </c>
      <c r="K8139">
        <v>1.1115950000000001</v>
      </c>
      <c r="L8139">
        <v>91.918520000000001</v>
      </c>
      <c r="M8139">
        <v>-7.4731410000000004E-4</v>
      </c>
      <c r="N8139">
        <v>-1.4466100000000001E-2</v>
      </c>
      <c r="O8139">
        <v>0.99989510000000004</v>
      </c>
      <c r="P8139">
        <v>-8.4910470000000002E-2</v>
      </c>
      <c r="Q8139">
        <v>0.2376133</v>
      </c>
      <c r="R8139">
        <v>0.96764150000000004</v>
      </c>
      <c r="S8139">
        <v>0.2405853</v>
      </c>
      <c r="T8139">
        <v>-5.6115030000000003E-2</v>
      </c>
      <c r="U8139">
        <v>3.1370239999999998</v>
      </c>
      <c r="V8139">
        <v>-8.4451180000000001E-2</v>
      </c>
      <c r="W8139">
        <v>0.25149870000000002</v>
      </c>
      <c r="X8139">
        <v>0.96416619999999997</v>
      </c>
      <c r="Y8139">
        <v>7.719442E-2</v>
      </c>
      <c r="Z8139">
        <v>-3.3661839999999999E-3</v>
      </c>
      <c r="AA8139">
        <v>0.99701039999999996</v>
      </c>
      <c r="AB8139">
        <v>33</v>
      </c>
      <c r="AC8139">
        <v>4.7663999999999698</v>
      </c>
      <c r="AD8139">
        <v>-1.1116074063899899</v>
      </c>
      <c r="AE8139">
        <v>61.836179999999999</v>
      </c>
      <c r="AF8139">
        <v>4.8110689911396998</v>
      </c>
      <c r="AG8139">
        <v>-1.1116074063899899</v>
      </c>
      <c r="AH8139">
        <v>61.812742937324202</v>
      </c>
      <c r="AI8139">
        <v>91.027159804655199</v>
      </c>
      <c r="AJ8139">
        <v>85.5494722427336</v>
      </c>
      <c r="AK8139">
        <v>62.009654452344499</v>
      </c>
      <c r="AL8139">
        <v>75.433785177334698</v>
      </c>
      <c r="AM8139">
        <v>95.005753891030196</v>
      </c>
      <c r="AN8139">
        <v>1.0000000295637601</v>
      </c>
    </row>
    <row r="8140" spans="1:40" x14ac:dyDescent="0.25">
      <c r="A8140" t="str">
        <f>"20190304154953588"</f>
        <v>20190304154953588</v>
      </c>
      <c r="B8140" t="str">
        <f>"1551685793585423"</f>
        <v>1551685793585423</v>
      </c>
      <c r="C8140" t="s">
        <v>40</v>
      </c>
      <c r="D8140">
        <v>4.7020869999999997</v>
      </c>
      <c r="E8140">
        <v>0.56246890000000005</v>
      </c>
      <c r="F8140" t="s">
        <v>79</v>
      </c>
      <c r="G8140">
        <v>-183.1429</v>
      </c>
      <c r="H8140" s="1">
        <v>-9.1688919999999994E-6</v>
      </c>
      <c r="I8140">
        <v>141.58770000000001</v>
      </c>
      <c r="J8140">
        <v>-187.31880000000001</v>
      </c>
      <c r="K8140">
        <v>1.111594</v>
      </c>
      <c r="L8140">
        <v>92.235439999999997</v>
      </c>
      <c r="M8140">
        <v>-1.242986E-3</v>
      </c>
      <c r="N8140">
        <v>-1.446274E-2</v>
      </c>
      <c r="O8140">
        <v>0.99989459999999997</v>
      </c>
      <c r="P8140">
        <v>-8.0320820000000001E-2</v>
      </c>
      <c r="Q8140">
        <v>0.2379193</v>
      </c>
      <c r="R8140">
        <v>0.96795819999999999</v>
      </c>
      <c r="S8140">
        <v>0.26400759999999901</v>
      </c>
      <c r="T8140">
        <v>-7.0290450000000004E-2</v>
      </c>
      <c r="U8140">
        <v>3.1407470000000002</v>
      </c>
      <c r="V8140">
        <v>-7.9381030000000005E-2</v>
      </c>
      <c r="W8140">
        <v>0.25181249999999999</v>
      </c>
      <c r="X8140">
        <v>0.96451500000000001</v>
      </c>
      <c r="Y8140">
        <v>8.4976990000000002E-2</v>
      </c>
      <c r="Z8140">
        <v>-7.8325670000000003E-3</v>
      </c>
      <c r="AA8140">
        <v>0.99635209999999996</v>
      </c>
      <c r="AB8140">
        <v>33</v>
      </c>
      <c r="AC8140">
        <v>4.1759000000000102</v>
      </c>
      <c r="AD8140">
        <v>-1.1116031688920001</v>
      </c>
      <c r="AE8140">
        <v>49.352260000000001</v>
      </c>
      <c r="AF8140">
        <v>4.23511405883474</v>
      </c>
      <c r="AG8140">
        <v>-1.1116031688920001</v>
      </c>
      <c r="AH8140">
        <v>49.322186282002001</v>
      </c>
      <c r="AI8140">
        <v>91.2863583000983</v>
      </c>
      <c r="AJ8140">
        <v>85.092260926178398</v>
      </c>
      <c r="AK8140">
        <v>49.516158093423797</v>
      </c>
      <c r="AL8140">
        <v>75.415207954906094</v>
      </c>
      <c r="AM8140">
        <v>94.704924649047697</v>
      </c>
      <c r="AN8140">
        <v>1.0000000341525499</v>
      </c>
    </row>
    <row r="8141" spans="1:40" x14ac:dyDescent="0.25">
      <c r="A8141" t="str">
        <f>"20190304154953602"</f>
        <v>20190304154953602</v>
      </c>
      <c r="B8141" t="str">
        <f>"1551685793595182"</f>
        <v>1551685793595182</v>
      </c>
      <c r="C8141" t="s">
        <v>40</v>
      </c>
      <c r="D8141">
        <v>4.5660819999999998</v>
      </c>
      <c r="E8141">
        <v>0.56268430000000003</v>
      </c>
      <c r="F8141" t="s">
        <v>44</v>
      </c>
      <c r="G8141">
        <v>-179.93340000000001</v>
      </c>
      <c r="H8141">
        <v>7.4322379999999993E-2</v>
      </c>
      <c r="I8141">
        <v>178.5976</v>
      </c>
      <c r="J8141">
        <v>-187.3194</v>
      </c>
      <c r="K8141">
        <v>1.1115919999999999</v>
      </c>
      <c r="L8141">
        <v>92.440460000000002</v>
      </c>
      <c r="M8141">
        <v>-1.5636269999999999E-3</v>
      </c>
      <c r="N8141">
        <v>-1.4460570000000001E-2</v>
      </c>
      <c r="O8141">
        <v>0.99989419999999996</v>
      </c>
      <c r="P8141">
        <v>-7.9253439999999994E-2</v>
      </c>
      <c r="Q8141">
        <v>0.23834730000000001</v>
      </c>
      <c r="R8141">
        <v>0.96794080000000005</v>
      </c>
      <c r="S8141">
        <v>0.26773069999999999</v>
      </c>
      <c r="T8141">
        <v>-3.7602780000000002E-2</v>
      </c>
      <c r="U8141">
        <v>3.1307680000000002</v>
      </c>
      <c r="V8141">
        <v>-7.8003260000000005E-2</v>
      </c>
      <c r="W8141">
        <v>0.25223980000000001</v>
      </c>
      <c r="X8141">
        <v>0.96451569999999998</v>
      </c>
      <c r="Y8141">
        <v>8.6746190000000001E-2</v>
      </c>
      <c r="Z8141">
        <v>2.496383E-3</v>
      </c>
      <c r="AA8141">
        <v>0.99622730000000004</v>
      </c>
      <c r="AB8141">
        <v>32</v>
      </c>
      <c r="AC8141">
        <v>7.3859999999999904</v>
      </c>
      <c r="AD8141">
        <v>-1.03726962</v>
      </c>
      <c r="AE8141">
        <v>86.157139999999998</v>
      </c>
      <c r="AF8141">
        <v>7.5196407126868197</v>
      </c>
      <c r="AG8141">
        <v>-1.03726962</v>
      </c>
      <c r="AH8141">
        <v>86.133091087855803</v>
      </c>
      <c r="AI8141">
        <v>90.687344811352304</v>
      </c>
      <c r="AJ8141">
        <v>85.010581222564994</v>
      </c>
      <c r="AK8141">
        <v>86.466931858724706</v>
      </c>
      <c r="AL8141">
        <v>75.389908021108297</v>
      </c>
      <c r="AM8141">
        <v>94.623617852435899</v>
      </c>
      <c r="AN8141">
        <v>0.99999998041057803</v>
      </c>
    </row>
    <row r="8142" spans="1:40" x14ac:dyDescent="0.25">
      <c r="A8142" t="str">
        <f>"20190304154953622"</f>
        <v>20190304154953622</v>
      </c>
      <c r="B8142" t="str">
        <f>"1551685793615679"</f>
        <v>1551685793615679</v>
      </c>
      <c r="C8142" t="s">
        <v>40</v>
      </c>
      <c r="D8142">
        <v>4.3922619999999997</v>
      </c>
      <c r="E8142">
        <v>0.51287950000000004</v>
      </c>
      <c r="F8142" t="s">
        <v>48</v>
      </c>
      <c r="G8142">
        <v>-177.48099999999999</v>
      </c>
      <c r="H8142">
        <v>0.38737700000000003</v>
      </c>
      <c r="I8142">
        <v>205.38380000000001</v>
      </c>
      <c r="J8142">
        <v>-187.3202</v>
      </c>
      <c r="K8142">
        <v>1.111591</v>
      </c>
      <c r="L8142">
        <v>92.72739</v>
      </c>
      <c r="M8142">
        <v>-2.0123889999999998E-3</v>
      </c>
      <c r="N8142">
        <v>-1.445756E-2</v>
      </c>
      <c r="O8142">
        <v>0.99989349999999999</v>
      </c>
      <c r="P8142">
        <v>-7.6977240000000002E-2</v>
      </c>
      <c r="Q8142">
        <v>0.2380273</v>
      </c>
      <c r="R8142">
        <v>0.96820320000000004</v>
      </c>
      <c r="S8142">
        <v>0.27235409999999999</v>
      </c>
      <c r="T8142">
        <v>-2.00485E-2</v>
      </c>
      <c r="U8142">
        <v>3.126617</v>
      </c>
      <c r="V8142">
        <v>-7.5291250000000004E-2</v>
      </c>
      <c r="W8142">
        <v>0.25192419999999999</v>
      </c>
      <c r="X8142">
        <v>0.96481360000000005</v>
      </c>
      <c r="Y8142">
        <v>8.8768269999999996E-2</v>
      </c>
      <c r="Z8142">
        <v>8.0718909999999994E-3</v>
      </c>
      <c r="AA8142">
        <v>0.9960196</v>
      </c>
      <c r="AB8142">
        <v>32</v>
      </c>
      <c r="AC8142">
        <v>9.8391999999999999</v>
      </c>
      <c r="AD8142">
        <v>-0.72421400000000002</v>
      </c>
      <c r="AE8142">
        <v>112.65640999999999</v>
      </c>
      <c r="AF8142">
        <v>10.065499464370999</v>
      </c>
      <c r="AG8142">
        <v>-0.72421400000000002</v>
      </c>
      <c r="AH8142">
        <v>112.63176010324</v>
      </c>
      <c r="AI8142">
        <v>90.366940300360397</v>
      </c>
      <c r="AJ8142">
        <v>84.893246101611297</v>
      </c>
      <c r="AK8142">
        <v>113.082943671178</v>
      </c>
      <c r="AL8142">
        <v>75.408593247795906</v>
      </c>
      <c r="AM8142">
        <v>94.462152963038406</v>
      </c>
      <c r="AN8142">
        <v>0.99999992880857802</v>
      </c>
    </row>
    <row r="8143" spans="1:40" x14ac:dyDescent="0.25">
      <c r="A8143" t="str">
        <f>"20190304154953644"</f>
        <v>20190304154953644</v>
      </c>
      <c r="B8143" t="str">
        <f>"1551685793635198"</f>
        <v>1551685793635198</v>
      </c>
      <c r="C8143" t="s">
        <v>40</v>
      </c>
      <c r="D8143">
        <v>4.342314</v>
      </c>
      <c r="E8143">
        <v>0.51311110000000004</v>
      </c>
      <c r="F8143" t="s">
        <v>54</v>
      </c>
      <c r="G8143">
        <v>-191.76499999999999</v>
      </c>
      <c r="H8143" s="1">
        <v>4.0389700000000002E-6</v>
      </c>
      <c r="I8143">
        <v>210.18440000000001</v>
      </c>
      <c r="J8143">
        <v>-187.32140000000001</v>
      </c>
      <c r="K8143">
        <v>1.111588</v>
      </c>
      <c r="L8143">
        <v>93.056209999999993</v>
      </c>
      <c r="M8143">
        <v>-2.526791E-3</v>
      </c>
      <c r="N8143">
        <v>-1.4454089999999999E-2</v>
      </c>
      <c r="O8143">
        <v>0.99989240000000001</v>
      </c>
      <c r="P8143">
        <v>-7.4706659999999994E-2</v>
      </c>
      <c r="Q8143">
        <v>0.2370497</v>
      </c>
      <c r="R8143">
        <v>0.96862079999999995</v>
      </c>
      <c r="S8143">
        <v>-0.1171722</v>
      </c>
      <c r="T8143">
        <v>-2.930367E-2</v>
      </c>
      <c r="U8143">
        <v>3.0964049999999999</v>
      </c>
      <c r="V8143">
        <v>-7.2520050000000003E-2</v>
      </c>
      <c r="W8143">
        <v>0.25095269999999997</v>
      </c>
      <c r="X8143">
        <v>0.965279</v>
      </c>
      <c r="Y8143">
        <v>-3.5282389999999997E-2</v>
      </c>
      <c r="Z8143">
        <v>4.9967730000000004E-3</v>
      </c>
      <c r="AA8143">
        <v>0.9993649</v>
      </c>
      <c r="AB8143">
        <v>32</v>
      </c>
      <c r="AC8143">
        <v>-4.4435999999999698</v>
      </c>
      <c r="AD8143">
        <v>-1.11158396102999</v>
      </c>
      <c r="AE8143">
        <v>117.12819</v>
      </c>
      <c r="AF8143">
        <v>-4.1472234640691097</v>
      </c>
      <c r="AG8143">
        <v>-1.11158396102999</v>
      </c>
      <c r="AH8143">
        <v>117.128511075283</v>
      </c>
      <c r="AI8143">
        <v>90.543396948849704</v>
      </c>
      <c r="AJ8143">
        <v>92.027851065638302</v>
      </c>
      <c r="AK8143">
        <v>117.20718061653101</v>
      </c>
      <c r="AL8143">
        <v>75.466104510751904</v>
      </c>
      <c r="AM8143">
        <v>94.296479698130995</v>
      </c>
      <c r="AN8143">
        <v>0.99999998156514602</v>
      </c>
    </row>
    <row r="8144" spans="1:40" x14ac:dyDescent="0.25">
      <c r="A8144" t="str">
        <f>"20190304154953666"</f>
        <v>20190304154953666</v>
      </c>
      <c r="B8144" t="str">
        <f>"1551685793655266"</f>
        <v>1551685793655266</v>
      </c>
      <c r="C8144" t="s">
        <v>40</v>
      </c>
      <c r="D8144">
        <v>4.3603519999999998</v>
      </c>
      <c r="E8144">
        <v>0.51409189999999905</v>
      </c>
      <c r="F8144" t="s">
        <v>44</v>
      </c>
      <c r="G8144">
        <v>-190.01849999999999</v>
      </c>
      <c r="H8144" s="1">
        <v>-2.306019E-7</v>
      </c>
      <c r="I8144">
        <v>170.11519999999999</v>
      </c>
      <c r="J8144">
        <v>-187.3227</v>
      </c>
      <c r="K8144">
        <v>1.1115919999999999</v>
      </c>
      <c r="L8144">
        <v>93.363799999999998</v>
      </c>
      <c r="M8144">
        <v>-3.008035E-3</v>
      </c>
      <c r="N8144">
        <v>-1.4450889999999999E-2</v>
      </c>
      <c r="O8144">
        <v>0.99989099999999997</v>
      </c>
      <c r="P8144">
        <v>-7.2535740000000001E-2</v>
      </c>
      <c r="Q8144">
        <v>0.23629149999999999</v>
      </c>
      <c r="R8144">
        <v>0.96897109999999997</v>
      </c>
      <c r="S8144">
        <v>-0.10849</v>
      </c>
      <c r="T8144">
        <v>-4.4714570000000002E-2</v>
      </c>
      <c r="U8144">
        <v>3.0997620000000001</v>
      </c>
      <c r="V8144">
        <v>-6.9880319999999996E-2</v>
      </c>
      <c r="W8144">
        <v>0.25020019999999998</v>
      </c>
      <c r="X8144">
        <v>0.965669</v>
      </c>
      <c r="Y8144">
        <v>-3.1964720000000002E-2</v>
      </c>
      <c r="Z8144" s="1">
        <v>3.466779E-5</v>
      </c>
      <c r="AA8144">
        <v>0.99948899999999996</v>
      </c>
      <c r="AB8144">
        <v>32</v>
      </c>
      <c r="AC8144">
        <v>-2.69579999999999</v>
      </c>
      <c r="AD8144">
        <v>-1.1115922306018999</v>
      </c>
      <c r="AE8144">
        <v>76.751399999999904</v>
      </c>
      <c r="AF8144">
        <v>-2.4643764953239402</v>
      </c>
      <c r="AG8144">
        <v>-1.1115922306018999</v>
      </c>
      <c r="AH8144">
        <v>76.743084964667901</v>
      </c>
      <c r="AI8144">
        <v>90.829420453004005</v>
      </c>
      <c r="AJ8144">
        <v>91.839251948401099</v>
      </c>
      <c r="AK8144">
        <v>76.790688749952494</v>
      </c>
      <c r="AL8144">
        <v>75.510640821556194</v>
      </c>
      <c r="AM8144">
        <v>94.138975543589197</v>
      </c>
      <c r="AN8144">
        <v>1.0000000083821701</v>
      </c>
    </row>
    <row r="8145" spans="1:40" x14ac:dyDescent="0.25">
      <c r="A8145" t="str">
        <f>"20190304154953688"</f>
        <v>20190304154953688</v>
      </c>
      <c r="B8145" t="str">
        <f>"1551685793685523"</f>
        <v>1551685793685523</v>
      </c>
      <c r="C8145" t="s">
        <v>40</v>
      </c>
      <c r="D8145">
        <v>4.3098020000000004</v>
      </c>
      <c r="E8145">
        <v>0.51473709999999995</v>
      </c>
      <c r="F8145" t="s">
        <v>44</v>
      </c>
      <c r="G8145">
        <v>-190.1601</v>
      </c>
      <c r="H8145" s="1">
        <v>-2.9649979999999999E-6</v>
      </c>
      <c r="I8145">
        <v>186.40129999999999</v>
      </c>
      <c r="J8145">
        <v>-187.32419999999999</v>
      </c>
      <c r="K8145">
        <v>1.1115919999999999</v>
      </c>
      <c r="L8145">
        <v>93.679469999999995</v>
      </c>
      <c r="M8145">
        <v>-3.502065E-3</v>
      </c>
      <c r="N8145">
        <v>-1.4447669999999999E-2</v>
      </c>
      <c r="O8145">
        <v>0.99988949999999999</v>
      </c>
      <c r="P8145">
        <v>-7.0031079999999996E-2</v>
      </c>
      <c r="Q8145">
        <v>0.23566280000000001</v>
      </c>
      <c r="R8145">
        <v>0.96930839999999996</v>
      </c>
      <c r="S8145">
        <v>-9.4482419999999998E-2</v>
      </c>
      <c r="T8145">
        <v>-3.7014600000000002E-2</v>
      </c>
      <c r="U8145">
        <v>3.0980219999999998</v>
      </c>
      <c r="V8145">
        <v>-6.6894380000000003E-2</v>
      </c>
      <c r="W8145">
        <v>0.24957650000000001</v>
      </c>
      <c r="X8145">
        <v>0.96604179999999995</v>
      </c>
      <c r="Y8145">
        <v>-2.6977250000000001E-2</v>
      </c>
      <c r="Z8145">
        <v>2.5052160000000002E-3</v>
      </c>
      <c r="AA8145">
        <v>0.99963290000000005</v>
      </c>
      <c r="AB8145">
        <v>32</v>
      </c>
      <c r="AC8145">
        <v>-2.8359000000000001</v>
      </c>
      <c r="AD8145">
        <v>-1.1115949649979999</v>
      </c>
      <c r="AE8145">
        <v>92.721829999999997</v>
      </c>
      <c r="AF8145">
        <v>-2.5107703163555</v>
      </c>
      <c r="AG8145">
        <v>-1.1115949649979999</v>
      </c>
      <c r="AH8145">
        <v>92.717880504354895</v>
      </c>
      <c r="AI8145">
        <v>90.6866346869582</v>
      </c>
      <c r="AJ8145">
        <v>91.551172151175507</v>
      </c>
      <c r="AK8145">
        <v>92.758530476541793</v>
      </c>
      <c r="AL8145">
        <v>75.547547284384606</v>
      </c>
      <c r="AM8145">
        <v>93.961171443209395</v>
      </c>
      <c r="AN8145">
        <v>1.0000000233875299</v>
      </c>
    </row>
    <row r="8146" spans="1:40" x14ac:dyDescent="0.25">
      <c r="A8146" t="str">
        <f>"20190304154953713"</f>
        <v>20190304154953713</v>
      </c>
      <c r="B8146" t="str">
        <f>"1551685793705041"</f>
        <v>1551685793705041</v>
      </c>
      <c r="C8146" t="s">
        <v>40</v>
      </c>
      <c r="D8146">
        <v>4.3155219999999996</v>
      </c>
      <c r="E8146">
        <v>0.5146984</v>
      </c>
      <c r="F8146" t="s">
        <v>54</v>
      </c>
      <c r="G8146">
        <v>-190.19380000000001</v>
      </c>
      <c r="H8146" s="1">
        <v>6.9050269999999996E-6</v>
      </c>
      <c r="I8146">
        <v>202.3783</v>
      </c>
      <c r="J8146">
        <v>-187.32589999999999</v>
      </c>
      <c r="K8146">
        <v>1.1115919999999999</v>
      </c>
      <c r="L8146">
        <v>94.023560000000003</v>
      </c>
      <c r="M8146">
        <v>-4.0410400000000001E-3</v>
      </c>
      <c r="N8146">
        <v>-1.444411E-2</v>
      </c>
      <c r="O8146">
        <v>0.99988750000000004</v>
      </c>
      <c r="P8146">
        <v>-6.7437590000000006E-2</v>
      </c>
      <c r="Q8146">
        <v>0.23515140000000001</v>
      </c>
      <c r="R8146">
        <v>0.96961640000000004</v>
      </c>
      <c r="S8146">
        <v>-8.1756590000000004E-2</v>
      </c>
      <c r="T8146">
        <v>-3.1668780000000001E-2</v>
      </c>
      <c r="U8146">
        <v>3.0968019999999998</v>
      </c>
      <c r="V8146">
        <v>-6.3775780000000004E-2</v>
      </c>
      <c r="W8146">
        <v>0.24907000000000001</v>
      </c>
      <c r="X8146">
        <v>0.96638329999999995</v>
      </c>
      <c r="Y8146">
        <v>-2.2346649999999999E-2</v>
      </c>
      <c r="Z8146">
        <v>4.2210850000000003E-3</v>
      </c>
      <c r="AA8146">
        <v>0.9997414</v>
      </c>
      <c r="AB8146">
        <v>32</v>
      </c>
      <c r="AC8146">
        <v>-2.8679000000000201</v>
      </c>
      <c r="AD8146">
        <v>-1.111585094973</v>
      </c>
      <c r="AE8146">
        <v>108.35474000000001</v>
      </c>
      <c r="AF8146">
        <v>-2.4297095221866498</v>
      </c>
      <c r="AG8146">
        <v>-1.111585094973</v>
      </c>
      <c r="AH8146">
        <v>108.354050175612</v>
      </c>
      <c r="AI8146">
        <v>90.587618973904696</v>
      </c>
      <c r="AJ8146">
        <v>91.284573808583403</v>
      </c>
      <c r="AK8146">
        <v>108.386988606773</v>
      </c>
      <c r="AL8146">
        <v>75.577512834020396</v>
      </c>
      <c r="AM8146">
        <v>93.775719259472893</v>
      </c>
      <c r="AN8146">
        <v>0.99999994876674703</v>
      </c>
    </row>
    <row r="8147" spans="1:40" x14ac:dyDescent="0.25">
      <c r="A8147" t="str">
        <f>"20190304154953736"</f>
        <v>20190304154953736</v>
      </c>
      <c r="B8147" t="str">
        <f>"1551685793725542"</f>
        <v>1551685793725542</v>
      </c>
      <c r="C8147" t="s">
        <v>40</v>
      </c>
      <c r="D8147">
        <v>4.3390559999999896</v>
      </c>
      <c r="E8147">
        <v>0.51442659999999996</v>
      </c>
      <c r="F8147" t="s">
        <v>54</v>
      </c>
      <c r="G8147">
        <v>-190.10489999999999</v>
      </c>
      <c r="H8147" s="1">
        <v>4.3665600000000004E-6</v>
      </c>
      <c r="I8147">
        <v>209.8056</v>
      </c>
      <c r="J8147">
        <v>-187.3278</v>
      </c>
      <c r="K8147">
        <v>1.1115930000000001</v>
      </c>
      <c r="L8147">
        <v>94.353359999999995</v>
      </c>
      <c r="M8147">
        <v>-4.5575529999999998E-3</v>
      </c>
      <c r="N8147">
        <v>-1.4440669999999999E-2</v>
      </c>
      <c r="O8147">
        <v>0.99988529999999998</v>
      </c>
      <c r="P8147">
        <v>-6.4443319999999998E-2</v>
      </c>
      <c r="Q8147">
        <v>0.23410890000000001</v>
      </c>
      <c r="R8147">
        <v>0.97007220000000005</v>
      </c>
      <c r="S8147">
        <v>-7.4310299999999996E-2</v>
      </c>
      <c r="T8147">
        <v>-2.972412E-2</v>
      </c>
      <c r="U8147">
        <v>3.0960390000000002</v>
      </c>
      <c r="V8147">
        <v>-6.0276830000000003E-2</v>
      </c>
      <c r="W8147">
        <v>0.24803529999999999</v>
      </c>
      <c r="X8147">
        <v>0.96687389999999995</v>
      </c>
      <c r="Y8147">
        <v>-1.943421E-2</v>
      </c>
      <c r="Z8147">
        <v>4.8423980000000004E-3</v>
      </c>
      <c r="AA8147">
        <v>0.9997994</v>
      </c>
      <c r="AB8147">
        <v>32</v>
      </c>
      <c r="AC8147">
        <v>-2.7770999999999901</v>
      </c>
      <c r="AD8147">
        <v>-1.11158863344</v>
      </c>
      <c r="AE8147">
        <v>115.45223999999899</v>
      </c>
      <c r="AF8147">
        <v>-2.25062804149883</v>
      </c>
      <c r="AG8147">
        <v>-1.11158863344</v>
      </c>
      <c r="AH8147">
        <v>115.453002402088</v>
      </c>
      <c r="AI8147">
        <v>90.551525480202699</v>
      </c>
      <c r="AJ8147">
        <v>91.1167761315305</v>
      </c>
      <c r="AK8147">
        <v>115.480287146888</v>
      </c>
      <c r="AL8147">
        <v>75.638717830891906</v>
      </c>
      <c r="AM8147">
        <v>93.567315439428896</v>
      </c>
      <c r="AN8147">
        <v>0.99999997239107397</v>
      </c>
    </row>
    <row r="8148" spans="1:40" x14ac:dyDescent="0.25">
      <c r="A8148" t="str">
        <f>"20190304154953756"</f>
        <v>20190304154953756</v>
      </c>
      <c r="B8148" t="str">
        <f>"1551685793745058"</f>
        <v>1551685793745058</v>
      </c>
      <c r="C8148" t="s">
        <v>40</v>
      </c>
      <c r="D8148">
        <v>4.3445529999999897</v>
      </c>
      <c r="E8148">
        <v>0.51441009999999998</v>
      </c>
      <c r="F8148" t="s">
        <v>54</v>
      </c>
      <c r="G8148">
        <v>-189.7354</v>
      </c>
      <c r="H8148" s="1">
        <v>6.0874969999999999E-6</v>
      </c>
      <c r="I8148">
        <v>204.75700000000001</v>
      </c>
      <c r="J8148">
        <v>-187.3297</v>
      </c>
      <c r="K8148">
        <v>1.1115930000000001</v>
      </c>
      <c r="L8148">
        <v>94.659059999999997</v>
      </c>
      <c r="M8148">
        <v>-5.0365109999999996E-3</v>
      </c>
      <c r="N8148">
        <v>-1.4437439999999999E-2</v>
      </c>
      <c r="O8148">
        <v>0.99988310000000002</v>
      </c>
      <c r="P8148">
        <v>-6.1714980000000003E-2</v>
      </c>
      <c r="Q8148">
        <v>0.2334909</v>
      </c>
      <c r="R8148">
        <v>0.97039850000000005</v>
      </c>
      <c r="S8148">
        <v>-6.7504880000000003E-2</v>
      </c>
      <c r="T8148">
        <v>-3.1167509999999999E-2</v>
      </c>
      <c r="U8148">
        <v>3.0955810000000001</v>
      </c>
      <c r="V8148">
        <v>-5.708104E-2</v>
      </c>
      <c r="W8148">
        <v>0.2474227</v>
      </c>
      <c r="X8148">
        <v>0.9672248</v>
      </c>
      <c r="Y8148">
        <v>-1.676238E-2</v>
      </c>
      <c r="Z8148">
        <v>4.3711829999999998E-3</v>
      </c>
      <c r="AA8148">
        <v>0.99985000000000002</v>
      </c>
      <c r="AB8148">
        <v>32</v>
      </c>
      <c r="AC8148">
        <v>-2.4056999999999902</v>
      </c>
      <c r="AD8148">
        <v>-1.111586912503</v>
      </c>
      <c r="AE8148">
        <v>110.09793999999999</v>
      </c>
      <c r="AF8148">
        <v>-1.8509136160231401</v>
      </c>
      <c r="AG8148">
        <v>-1.111586912503</v>
      </c>
      <c r="AH8148">
        <v>110.097443341</v>
      </c>
      <c r="AI8148">
        <v>90.578379255117497</v>
      </c>
      <c r="AJ8148">
        <v>90.963142703411094</v>
      </c>
      <c r="AK8148">
        <v>110.118611219461</v>
      </c>
      <c r="AL8148">
        <v>75.674947277142905</v>
      </c>
      <c r="AM8148">
        <v>93.377409013796097</v>
      </c>
      <c r="AN8148">
        <v>1.0000000256688999</v>
      </c>
    </row>
    <row r="8149" spans="1:40" x14ac:dyDescent="0.25">
      <c r="A8149" t="str">
        <f>"20190304154953778"</f>
        <v>20190304154953778</v>
      </c>
      <c r="B8149" t="str">
        <f>"1551685793775314"</f>
        <v>1551685793775314</v>
      </c>
      <c r="C8149" t="s">
        <v>40</v>
      </c>
      <c r="D8149">
        <v>4.3453670000000004</v>
      </c>
      <c r="E8149">
        <v>0.51477119999999998</v>
      </c>
      <c r="F8149" t="s">
        <v>54</v>
      </c>
      <c r="G8149">
        <v>-189.50399999999999</v>
      </c>
      <c r="H8149" s="1">
        <v>5.0211990000000001E-6</v>
      </c>
      <c r="I8149">
        <v>207.6574</v>
      </c>
      <c r="J8149">
        <v>-187.33179999999999</v>
      </c>
      <c r="K8149">
        <v>1.111583</v>
      </c>
      <c r="L8149">
        <v>94.968109999999996</v>
      </c>
      <c r="M8149">
        <v>-5.5207619999999898E-3</v>
      </c>
      <c r="N8149">
        <v>-1.443417E-2</v>
      </c>
      <c r="O8149">
        <v>0.99988060000000001</v>
      </c>
      <c r="P8149">
        <v>-5.9215450000000003E-2</v>
      </c>
      <c r="Q8149">
        <v>0.2326743</v>
      </c>
      <c r="R8149">
        <v>0.97075029999999995</v>
      </c>
      <c r="S8149">
        <v>-5.9555049999999998E-2</v>
      </c>
      <c r="T8149">
        <v>-3.0446770000000001E-2</v>
      </c>
      <c r="U8149">
        <v>3.095062</v>
      </c>
      <c r="V8149">
        <v>-5.4107839999999997E-2</v>
      </c>
      <c r="W8149">
        <v>0.24661140000000001</v>
      </c>
      <c r="X8149">
        <v>0.96760279999999999</v>
      </c>
      <c r="Y8149">
        <v>-1.371518E-2</v>
      </c>
      <c r="Z8149">
        <v>4.5986009999999999E-3</v>
      </c>
      <c r="AA8149">
        <v>0.99989539999999999</v>
      </c>
      <c r="AB8149">
        <v>32</v>
      </c>
      <c r="AC8149">
        <v>-2.1722000000000299</v>
      </c>
      <c r="AD8149">
        <v>-1.1115779788010001</v>
      </c>
      <c r="AE8149">
        <v>112.689289999999</v>
      </c>
      <c r="AF8149">
        <v>-1.5498205904359299</v>
      </c>
      <c r="AG8149">
        <v>-1.1115779788010001</v>
      </c>
      <c r="AH8149">
        <v>112.688605186902</v>
      </c>
      <c r="AI8149">
        <v>90.565102738260506</v>
      </c>
      <c r="AJ8149">
        <v>90.787946400103394</v>
      </c>
      <c r="AK8149">
        <v>112.704743859498</v>
      </c>
      <c r="AL8149">
        <v>75.722917666692993</v>
      </c>
      <c r="AM8149">
        <v>93.200616556662993</v>
      </c>
      <c r="AN8149">
        <v>1.0000000097636299</v>
      </c>
    </row>
    <row r="8150" spans="1:40" x14ac:dyDescent="0.25">
      <c r="A8150" t="str">
        <f>"20190304154953800"</f>
        <v>20190304154953800</v>
      </c>
      <c r="B8150" t="str">
        <f>"1551685793795810"</f>
        <v>1551685793795810</v>
      </c>
      <c r="C8150" t="s">
        <v>40</v>
      </c>
      <c r="D8150">
        <v>4.2654759999999996</v>
      </c>
      <c r="E8150">
        <v>0.51477039999999996</v>
      </c>
      <c r="F8150" t="s">
        <v>54</v>
      </c>
      <c r="G8150">
        <v>-189.04730000000001</v>
      </c>
      <c r="H8150" s="1">
        <v>6.5230120000000004E-6</v>
      </c>
      <c r="I8150">
        <v>203.06559999999999</v>
      </c>
      <c r="J8150">
        <v>-187.334</v>
      </c>
      <c r="K8150">
        <v>1.111575</v>
      </c>
      <c r="L8150">
        <v>95.285489999999996</v>
      </c>
      <c r="M8150">
        <v>-6.0182059999999999E-3</v>
      </c>
      <c r="N8150">
        <v>-1.4430780000000001E-2</v>
      </c>
      <c r="O8150">
        <v>0.99987780000000004</v>
      </c>
      <c r="P8150">
        <v>-5.7317380000000001E-2</v>
      </c>
      <c r="Q8150">
        <v>0.23135919999999999</v>
      </c>
      <c r="R8150">
        <v>0.97117849999999994</v>
      </c>
      <c r="S8150">
        <v>-4.9118040000000002E-2</v>
      </c>
      <c r="T8150">
        <v>-3.1826500000000001E-2</v>
      </c>
      <c r="U8150">
        <v>3.0950319999999998</v>
      </c>
      <c r="V8150">
        <v>-5.1722490000000003E-2</v>
      </c>
      <c r="W8150">
        <v>0.24530199999999999</v>
      </c>
      <c r="X8150">
        <v>0.96806599999999998</v>
      </c>
      <c r="Y8150">
        <v>-9.8477110000000003E-3</v>
      </c>
      <c r="Z8150">
        <v>4.1490269999999996E-3</v>
      </c>
      <c r="AA8150">
        <v>0.99994289999999997</v>
      </c>
      <c r="AB8150">
        <v>32</v>
      </c>
      <c r="AC8150">
        <v>-1.7133</v>
      </c>
      <c r="AD8150">
        <v>-1.1115684769880001</v>
      </c>
      <c r="AE8150">
        <v>107.78010999999999</v>
      </c>
      <c r="AF8150">
        <v>-1.0644453482078899</v>
      </c>
      <c r="AG8150">
        <v>-1.1115684769880001</v>
      </c>
      <c r="AH8150">
        <v>107.77700909635</v>
      </c>
      <c r="AI8150">
        <v>90.590875728267406</v>
      </c>
      <c r="AJ8150">
        <v>90.565855775901994</v>
      </c>
      <c r="AK8150">
        <v>107.787997096769</v>
      </c>
      <c r="AL8150">
        <v>75.800318803405204</v>
      </c>
      <c r="AM8150">
        <v>93.058330040313606</v>
      </c>
      <c r="AN8150">
        <v>1.0000000337658901</v>
      </c>
    </row>
    <row r="8151" spans="1:40" x14ac:dyDescent="0.25">
      <c r="A8151" t="str">
        <f>"20190304154953824"</f>
        <v>20190304154953824</v>
      </c>
      <c r="B8151" t="str">
        <f>"1551685793815330"</f>
        <v>1551685793815330</v>
      </c>
      <c r="C8151" t="s">
        <v>40</v>
      </c>
      <c r="D8151">
        <v>4.2850890000000001</v>
      </c>
      <c r="E8151">
        <v>0.51473649999999904</v>
      </c>
      <c r="F8151" t="s">
        <v>44</v>
      </c>
      <c r="G8151">
        <v>-188.71549999999999</v>
      </c>
      <c r="H8151" s="1">
        <v>-2.7281370000000002E-6</v>
      </c>
      <c r="I8151">
        <v>195.46100000000001</v>
      </c>
      <c r="J8151">
        <v>-187.33670000000001</v>
      </c>
      <c r="K8151">
        <v>1.1115729999999999</v>
      </c>
      <c r="L8151">
        <v>95.629729999999995</v>
      </c>
      <c r="M8151">
        <v>-6.5580289999999999E-3</v>
      </c>
      <c r="N8151">
        <v>-1.442708E-2</v>
      </c>
      <c r="O8151">
        <v>0.99987440000000005</v>
      </c>
      <c r="P8151">
        <v>-5.4899730000000001E-2</v>
      </c>
      <c r="Q8151">
        <v>0.23061509999999999</v>
      </c>
      <c r="R8151">
        <v>0.97149509999999994</v>
      </c>
      <c r="S8151">
        <v>-4.2678830000000001E-2</v>
      </c>
      <c r="T8151">
        <v>-3.4339670000000003E-2</v>
      </c>
      <c r="U8151">
        <v>3.0946959999999999</v>
      </c>
      <c r="V8151">
        <v>-4.8776899999999998E-2</v>
      </c>
      <c r="W8151">
        <v>0.2445618</v>
      </c>
      <c r="X8151">
        <v>0.96840610000000005</v>
      </c>
      <c r="Y8151">
        <v>-7.2298589999999999E-3</v>
      </c>
      <c r="Z8151">
        <v>3.332106E-3</v>
      </c>
      <c r="AA8151">
        <v>0.99996830000000003</v>
      </c>
      <c r="AB8151">
        <v>32</v>
      </c>
      <c r="AC8151">
        <v>-1.37879999999998</v>
      </c>
      <c r="AD8151">
        <v>-1.111575728137</v>
      </c>
      <c r="AE8151">
        <v>99.831269999999904</v>
      </c>
      <c r="AF8151">
        <v>-0.72391609075483698</v>
      </c>
      <c r="AG8151">
        <v>-1.111575728137</v>
      </c>
      <c r="AH8151">
        <v>99.825792072721697</v>
      </c>
      <c r="AI8151">
        <v>90.637954280637004</v>
      </c>
      <c r="AJ8151">
        <v>90.415489913041299</v>
      </c>
      <c r="AK8151">
        <v>99.834605313248503</v>
      </c>
      <c r="AL8151">
        <v>75.844061291488103</v>
      </c>
      <c r="AM8151">
        <v>92.883450180490797</v>
      </c>
      <c r="AN8151">
        <v>1.0000000172550201</v>
      </c>
    </row>
    <row r="8152" spans="1:40" x14ac:dyDescent="0.25">
      <c r="A8152" t="str">
        <f>"20190304154953845"</f>
        <v>20190304154953845</v>
      </c>
      <c r="B8152" t="str">
        <f>"1551685793835830"</f>
        <v>1551685793835830</v>
      </c>
      <c r="C8152" t="s">
        <v>40</v>
      </c>
      <c r="D8152">
        <v>4.2996239999999997</v>
      </c>
      <c r="E8152">
        <v>0.51450280000000004</v>
      </c>
      <c r="F8152" t="s">
        <v>44</v>
      </c>
      <c r="G8152">
        <v>-188.47280000000001</v>
      </c>
      <c r="H8152" s="1">
        <v>-2.7657289999999998E-6</v>
      </c>
      <c r="I8152">
        <v>195.44829999999999</v>
      </c>
      <c r="J8152">
        <v>-187.3391</v>
      </c>
      <c r="K8152">
        <v>1.1115710000000001</v>
      </c>
      <c r="L8152">
        <v>95.928650000000005</v>
      </c>
      <c r="M8152">
        <v>-7.0269590000000002E-3</v>
      </c>
      <c r="N8152">
        <v>-1.442386E-2</v>
      </c>
      <c r="O8152">
        <v>0.99987130000000002</v>
      </c>
      <c r="P8152">
        <v>-5.2684429999999997E-2</v>
      </c>
      <c r="Q8152">
        <v>0.22987949999999999</v>
      </c>
      <c r="R8152">
        <v>0.97179199999999999</v>
      </c>
      <c r="S8152">
        <v>-3.5217289999999998E-2</v>
      </c>
      <c r="T8152">
        <v>-3.4456970000000003E-2</v>
      </c>
      <c r="U8152">
        <v>3.0942080000000001</v>
      </c>
      <c r="V8152">
        <v>-4.6102570000000002E-2</v>
      </c>
      <c r="W8152">
        <v>0.24383079999999999</v>
      </c>
      <c r="X8152">
        <v>0.96872139999999995</v>
      </c>
      <c r="Y8152">
        <v>-4.3525650000000001E-3</v>
      </c>
      <c r="Z8152">
        <v>3.2891090000000001E-3</v>
      </c>
      <c r="AA8152">
        <v>0.99998509999999996</v>
      </c>
      <c r="AB8152">
        <v>32</v>
      </c>
      <c r="AC8152">
        <v>-1.1336999999999999</v>
      </c>
      <c r="AD8152">
        <v>-1.1115737657289999</v>
      </c>
      <c r="AE8152">
        <v>99.519649999999899</v>
      </c>
      <c r="AF8152">
        <v>-0.43422459627573401</v>
      </c>
      <c r="AG8152">
        <v>-1.1115737657289999</v>
      </c>
      <c r="AH8152">
        <v>99.512746573711297</v>
      </c>
      <c r="AI8152">
        <v>90.639970583564093</v>
      </c>
      <c r="AJ8152">
        <v>90.250008965523804</v>
      </c>
      <c r="AK8152">
        <v>99.519901918562795</v>
      </c>
      <c r="AL8152">
        <v>75.8872522327664</v>
      </c>
      <c r="AM8152">
        <v>92.724716460462403</v>
      </c>
      <c r="AN8152">
        <v>1.0000000284035999</v>
      </c>
    </row>
    <row r="8153" spans="1:40" x14ac:dyDescent="0.25">
      <c r="A8153" t="str">
        <f>"20190304154953867"</f>
        <v>20190304154953867</v>
      </c>
      <c r="B8153" t="str">
        <f>"1551685793855335"</f>
        <v>1551685793855335</v>
      </c>
      <c r="C8153" t="s">
        <v>40</v>
      </c>
      <c r="D8153">
        <v>4.3286790000000002</v>
      </c>
      <c r="E8153">
        <v>0.51424150000000002</v>
      </c>
      <c r="F8153" t="s">
        <v>44</v>
      </c>
      <c r="G8153">
        <v>-188.2527</v>
      </c>
      <c r="H8153" s="1">
        <v>-7.8287580000000004E-7</v>
      </c>
      <c r="I8153">
        <v>190.58240000000001</v>
      </c>
      <c r="J8153">
        <v>-187.34180000000001</v>
      </c>
      <c r="K8153">
        <v>1.111572</v>
      </c>
      <c r="L8153">
        <v>96.240020000000001</v>
      </c>
      <c r="M8153">
        <v>-7.5153290000000003E-3</v>
      </c>
      <c r="N8153">
        <v>-1.4420530000000001E-2</v>
      </c>
      <c r="O8153">
        <v>0.99986779999999997</v>
      </c>
      <c r="P8153">
        <v>-5.0364520000000003E-2</v>
      </c>
      <c r="Q8153">
        <v>0.22929659999999999</v>
      </c>
      <c r="R8153">
        <v>0.97205280000000005</v>
      </c>
      <c r="S8153">
        <v>-2.9861450000000001E-2</v>
      </c>
      <c r="T8153">
        <v>-3.6335230000000003E-2</v>
      </c>
      <c r="U8153">
        <v>3.094055</v>
      </c>
      <c r="V8153">
        <v>-4.3305000000000003E-2</v>
      </c>
      <c r="W8153">
        <v>0.2432513</v>
      </c>
      <c r="X8153">
        <v>0.96899610000000003</v>
      </c>
      <c r="Y8153">
        <v>-2.1343149999999999E-3</v>
      </c>
      <c r="Z8153">
        <v>2.678269E-3</v>
      </c>
      <c r="AA8153">
        <v>0.99999420000000006</v>
      </c>
      <c r="AB8153">
        <v>32</v>
      </c>
      <c r="AC8153">
        <v>-0.91089999999999705</v>
      </c>
      <c r="AD8153">
        <v>-1.1115727828758</v>
      </c>
      <c r="AE8153">
        <v>94.342380000000006</v>
      </c>
      <c r="AF8153">
        <v>-0.20175852555487001</v>
      </c>
      <c r="AG8153">
        <v>-1.1115727828758</v>
      </c>
      <c r="AH8153">
        <v>94.333467140314497</v>
      </c>
      <c r="AI8153">
        <v>90.675108611061106</v>
      </c>
      <c r="AJ8153">
        <v>90.122542876023502</v>
      </c>
      <c r="AK8153">
        <v>94.340231732103902</v>
      </c>
      <c r="AL8153">
        <v>75.921485194849197</v>
      </c>
      <c r="AM8153">
        <v>92.558879086606893</v>
      </c>
      <c r="AN8153">
        <v>0.99999997989594902</v>
      </c>
    </row>
    <row r="8154" spans="1:40" x14ac:dyDescent="0.25">
      <c r="A8154" t="str">
        <f>"20190304154953890"</f>
        <v>20190304154953890</v>
      </c>
      <c r="B8154" t="str">
        <f>"1551685793885592"</f>
        <v>1551685793885592</v>
      </c>
      <c r="C8154" t="s">
        <v>40</v>
      </c>
      <c r="D8154">
        <v>5.25779</v>
      </c>
      <c r="E8154">
        <v>0.51410900000000004</v>
      </c>
      <c r="F8154" t="s">
        <v>44</v>
      </c>
      <c r="G8154">
        <v>-188.07599999999999</v>
      </c>
      <c r="H8154" s="1">
        <v>-1.2309999999999999E-6</v>
      </c>
      <c r="I8154">
        <v>191.70670000000001</v>
      </c>
      <c r="J8154">
        <v>-187.34479999999999</v>
      </c>
      <c r="K8154">
        <v>1.1115699999999999</v>
      </c>
      <c r="L8154">
        <v>96.562560000000005</v>
      </c>
      <c r="M8154">
        <v>-8.0212859999999903E-3</v>
      </c>
      <c r="N8154">
        <v>-1.4417050000000001E-2</v>
      </c>
      <c r="O8154">
        <v>0.99986390000000003</v>
      </c>
      <c r="P8154">
        <v>-4.74691E-2</v>
      </c>
      <c r="Q8154">
        <v>0.22879920000000001</v>
      </c>
      <c r="R8154">
        <v>0.97231559999999995</v>
      </c>
      <c r="S8154">
        <v>-2.3788449999999999E-2</v>
      </c>
      <c r="T8154">
        <v>-3.601944E-2</v>
      </c>
      <c r="U8154">
        <v>3.0935060000000001</v>
      </c>
      <c r="V8154">
        <v>-3.9914199999999997E-2</v>
      </c>
      <c r="W8154">
        <v>0.24275820000000001</v>
      </c>
      <c r="X8154">
        <v>0.9692653</v>
      </c>
      <c r="Y8154">
        <v>3.325208E-4</v>
      </c>
      <c r="Z8154">
        <v>2.7747959999999999E-3</v>
      </c>
      <c r="AA8154">
        <v>0.99999610000000005</v>
      </c>
      <c r="AB8154">
        <v>32</v>
      </c>
      <c r="AC8154">
        <v>-0.73120000000000096</v>
      </c>
      <c r="AD8154">
        <v>-1.1115712309999899</v>
      </c>
      <c r="AE8154">
        <v>95.144139999999993</v>
      </c>
      <c r="AF8154">
        <v>3.2076830538121097E-2</v>
      </c>
      <c r="AG8154">
        <v>-1.1115712309999899</v>
      </c>
      <c r="AH8154">
        <v>95.133959895927703</v>
      </c>
      <c r="AI8154">
        <v>90.669429072014097</v>
      </c>
      <c r="AJ8154">
        <v>89.980681273623404</v>
      </c>
      <c r="AK8154">
        <v>95.140459032972004</v>
      </c>
      <c r="AL8154">
        <v>75.950610415814495</v>
      </c>
      <c r="AM8154">
        <v>92.358099288799906</v>
      </c>
      <c r="AN8154">
        <v>0.99999995440648304</v>
      </c>
    </row>
    <row r="8155" spans="1:40" x14ac:dyDescent="0.25">
      <c r="A8155" t="str">
        <f>"20190304154953914"</f>
        <v>20190304154953914</v>
      </c>
      <c r="B8155" t="str">
        <f>"1551685793906088"</f>
        <v>1551685793906088</v>
      </c>
      <c r="C8155" t="s">
        <v>40</v>
      </c>
      <c r="D8155">
        <v>4.8216580000000002</v>
      </c>
      <c r="E8155">
        <v>0.58568359999999997</v>
      </c>
      <c r="F8155" t="s">
        <v>44</v>
      </c>
      <c r="G8155">
        <v>-187.84880000000001</v>
      </c>
      <c r="H8155" s="1">
        <v>-1.5722880000000001E-6</v>
      </c>
      <c r="I8155">
        <v>192.4083</v>
      </c>
      <c r="J8155">
        <v>-187.34819999999999</v>
      </c>
      <c r="K8155">
        <v>1.1115679999999999</v>
      </c>
      <c r="L8155">
        <v>96.912989999999994</v>
      </c>
      <c r="M8155">
        <v>-8.5707590000000007E-3</v>
      </c>
      <c r="N8155">
        <v>-1.4413280000000001E-2</v>
      </c>
      <c r="O8155">
        <v>0.99985939999999995</v>
      </c>
      <c r="P8155">
        <v>-4.4342600000000003E-2</v>
      </c>
      <c r="Q8155">
        <v>0.2267103</v>
      </c>
      <c r="R8155">
        <v>0.97295229999999999</v>
      </c>
      <c r="S8155">
        <v>-1.6265870000000002E-2</v>
      </c>
      <c r="T8155">
        <v>-3.5871979999999998E-2</v>
      </c>
      <c r="U8155">
        <v>3.0930789999999999</v>
      </c>
      <c r="V8155">
        <v>-3.624459E-2</v>
      </c>
      <c r="W8155">
        <v>0.2406788</v>
      </c>
      <c r="X8155">
        <v>0.96992780000000001</v>
      </c>
      <c r="Y8155">
        <v>3.312401E-3</v>
      </c>
      <c r="Z8155">
        <v>2.8172240000000001E-3</v>
      </c>
      <c r="AA8155">
        <v>0.9999905</v>
      </c>
      <c r="AB8155">
        <v>32</v>
      </c>
      <c r="AC8155">
        <v>-0.50060000000001903</v>
      </c>
      <c r="AD8155">
        <v>-1.1115695722879999</v>
      </c>
      <c r="AE8155">
        <v>95.495310000000003</v>
      </c>
      <c r="AF8155">
        <v>0.31792762349577203</v>
      </c>
      <c r="AG8155">
        <v>-1.1115695722879999</v>
      </c>
      <c r="AH8155">
        <v>95.483156015503695</v>
      </c>
      <c r="AI8155">
        <v>90.666976437561502</v>
      </c>
      <c r="AJ8155">
        <v>89.809224532794005</v>
      </c>
      <c r="AK8155">
        <v>95.490155239002803</v>
      </c>
      <c r="AL8155">
        <v>76.073392095495507</v>
      </c>
      <c r="AM8155">
        <v>92.140052315581897</v>
      </c>
      <c r="AN8155">
        <v>0.99999994614327203</v>
      </c>
    </row>
    <row r="8156" spans="1:40" x14ac:dyDescent="0.25">
      <c r="A8156" t="str">
        <f>"20190304154953935"</f>
        <v>20190304154953935</v>
      </c>
      <c r="B8156" t="str">
        <f>"1551685793925608"</f>
        <v>1551685793925608</v>
      </c>
      <c r="C8156" t="s">
        <v>40</v>
      </c>
      <c r="D8156">
        <v>4.4782190000000002</v>
      </c>
      <c r="E8156">
        <v>0.59104480000000004</v>
      </c>
      <c r="F8156" t="s">
        <v>70</v>
      </c>
      <c r="G8156">
        <v>-168.41220000000001</v>
      </c>
      <c r="H8156">
        <v>0.19624140000000001</v>
      </c>
      <c r="I8156">
        <v>201.6259</v>
      </c>
      <c r="J8156">
        <v>-187.35120000000001</v>
      </c>
      <c r="K8156">
        <v>1.1115549999999901</v>
      </c>
      <c r="L8156">
        <v>97.20926</v>
      </c>
      <c r="M8156">
        <v>-9.0328460000000006E-3</v>
      </c>
      <c r="N8156">
        <v>-1.441017E-2</v>
      </c>
      <c r="O8156">
        <v>0.9998553</v>
      </c>
      <c r="P8156">
        <v>-4.1594220000000001E-2</v>
      </c>
      <c r="Q8156">
        <v>0.22479879999999999</v>
      </c>
      <c r="R8156">
        <v>0.97351699999999997</v>
      </c>
      <c r="S8156">
        <v>0.56338500000000002</v>
      </c>
      <c r="T8156">
        <v>-2.7231809999999999E-2</v>
      </c>
      <c r="U8156">
        <v>3.1154169999999999</v>
      </c>
      <c r="V8156">
        <v>-3.3038159999999997E-2</v>
      </c>
      <c r="W8156">
        <v>0.23877570000000001</v>
      </c>
      <c r="X8156">
        <v>0.97051259999999995</v>
      </c>
      <c r="Y8156">
        <v>0.18679999999999999</v>
      </c>
      <c r="Z8156">
        <v>5.8287039999999997E-3</v>
      </c>
      <c r="AA8156">
        <v>0.9823807</v>
      </c>
      <c r="AB8156">
        <v>32</v>
      </c>
      <c r="AC8156">
        <v>18.939</v>
      </c>
      <c r="AD8156">
        <v>-0.91531359999999895</v>
      </c>
      <c r="AE8156">
        <v>104.41664</v>
      </c>
      <c r="AF8156">
        <v>19.880025648347999</v>
      </c>
      <c r="AG8156">
        <v>-0.91531359999999895</v>
      </c>
      <c r="AH8156">
        <v>104.233533947109</v>
      </c>
      <c r="AI8156">
        <v>90.494214599005403</v>
      </c>
      <c r="AJ8156">
        <v>79.201901109817996</v>
      </c>
      <c r="AK8156">
        <v>106.116364514944</v>
      </c>
      <c r="AL8156">
        <v>76.185707978768605</v>
      </c>
      <c r="AM8156">
        <v>91.949708248384496</v>
      </c>
      <c r="AN8156">
        <v>1.0000000308427099</v>
      </c>
    </row>
    <row r="8157" spans="1:40" x14ac:dyDescent="0.25">
      <c r="A8157" t="str">
        <f>"20190304154953956"</f>
        <v>20190304154953956</v>
      </c>
      <c r="B8157" t="str">
        <f>"1551685793945128"</f>
        <v>1551685793945128</v>
      </c>
      <c r="C8157" t="s">
        <v>40</v>
      </c>
      <c r="D8157">
        <v>4.5972369999999998</v>
      </c>
      <c r="E8157">
        <v>0.59142510000000004</v>
      </c>
      <c r="F8157" t="s">
        <v>44</v>
      </c>
      <c r="G8157">
        <v>-175.0086</v>
      </c>
      <c r="H8157">
        <v>7.9985600000000004E-2</v>
      </c>
      <c r="I8157">
        <v>159.7422</v>
      </c>
      <c r="J8157">
        <v>-187.3544</v>
      </c>
      <c r="K8157">
        <v>1.1115440000000001</v>
      </c>
      <c r="L8157">
        <v>97.510409999999993</v>
      </c>
      <c r="M8157">
        <v>-9.49937E-3</v>
      </c>
      <c r="N8157">
        <v>-1.440696E-2</v>
      </c>
      <c r="O8157">
        <v>0.99985109999999999</v>
      </c>
      <c r="P8157">
        <v>-3.8736279999999998E-2</v>
      </c>
      <c r="Q8157">
        <v>0.2226669</v>
      </c>
      <c r="R8157">
        <v>0.97412469999999995</v>
      </c>
      <c r="S8157">
        <v>0.61578369999999905</v>
      </c>
      <c r="T8157">
        <v>-5.1465749999999998E-2</v>
      </c>
      <c r="U8157">
        <v>3.119812</v>
      </c>
      <c r="V8157">
        <v>-2.9716320000000001E-2</v>
      </c>
      <c r="W8157">
        <v>0.236653</v>
      </c>
      <c r="X8157">
        <v>0.97113970000000005</v>
      </c>
      <c r="Y8157">
        <v>0.2029097</v>
      </c>
      <c r="Z8157">
        <v>-1.7455120000000001E-3</v>
      </c>
      <c r="AA8157">
        <v>0.97919590000000001</v>
      </c>
      <c r="AB8157">
        <v>32</v>
      </c>
      <c r="AC8157">
        <v>12.345799999999899</v>
      </c>
      <c r="AD8157">
        <v>-1.0315584</v>
      </c>
      <c r="AE8157">
        <v>62.231789999999997</v>
      </c>
      <c r="AF8157">
        <v>12.9330479917102</v>
      </c>
      <c r="AG8157">
        <v>-1.0315584</v>
      </c>
      <c r="AH8157">
        <v>62.095276406967798</v>
      </c>
      <c r="AI8157">
        <v>90.931747957759498</v>
      </c>
      <c r="AJ8157">
        <v>78.234777877441601</v>
      </c>
      <c r="AK8157">
        <v>63.436197830152302</v>
      </c>
      <c r="AL8157">
        <v>76.310918614830399</v>
      </c>
      <c r="AM8157">
        <v>91.752671232754906</v>
      </c>
      <c r="AN8157">
        <v>1.0000000094997099</v>
      </c>
    </row>
    <row r="8158" spans="1:40" x14ac:dyDescent="0.25">
      <c r="A8158" t="str">
        <f>"20190304154953979"</f>
        <v>20190304154953979</v>
      </c>
      <c r="B8158" t="str">
        <f>"1551685793975384"</f>
        <v>1551685793975384</v>
      </c>
      <c r="C8158" t="s">
        <v>40</v>
      </c>
      <c r="D8158">
        <v>4.6250869999999997</v>
      </c>
      <c r="E8158">
        <v>0.59225360000000005</v>
      </c>
      <c r="F8158" t="s">
        <v>70</v>
      </c>
      <c r="G8158">
        <v>-168.41550000000001</v>
      </c>
      <c r="H8158">
        <v>0.1680479</v>
      </c>
      <c r="I8158">
        <v>191.4376</v>
      </c>
      <c r="J8158">
        <v>-187.3579</v>
      </c>
      <c r="K8158">
        <v>1.1115349999999999</v>
      </c>
      <c r="L8158">
        <v>97.823639999999997</v>
      </c>
      <c r="M8158">
        <v>-9.9761220000000005E-3</v>
      </c>
      <c r="N8158">
        <v>-1.4403539999999999E-2</v>
      </c>
      <c r="O8158">
        <v>0.99984649999999997</v>
      </c>
      <c r="P8158">
        <v>-3.5226889999999997E-2</v>
      </c>
      <c r="Q8158">
        <v>0.22004280000000001</v>
      </c>
      <c r="R8158">
        <v>0.97485390000000005</v>
      </c>
      <c r="S8158">
        <v>0.62744140000000004</v>
      </c>
      <c r="T8158">
        <v>-3.1256680000000002E-2</v>
      </c>
      <c r="U8158">
        <v>3.1117859999999999</v>
      </c>
      <c r="V8158">
        <v>-2.572907E-2</v>
      </c>
      <c r="W8158">
        <v>0.23404059999999999</v>
      </c>
      <c r="X8158">
        <v>0.97188629999999998</v>
      </c>
      <c r="Y8158">
        <v>0.2073885</v>
      </c>
      <c r="Z8158">
        <v>4.5829950000000003E-3</v>
      </c>
      <c r="AA8158">
        <v>0.97824789999999995</v>
      </c>
      <c r="AB8158">
        <v>32</v>
      </c>
      <c r="AC8158">
        <v>18.9423999999999</v>
      </c>
      <c r="AD8158">
        <v>-0.94348710000000002</v>
      </c>
      <c r="AE8158">
        <v>93.613959999999906</v>
      </c>
      <c r="AF8158">
        <v>19.8735190808721</v>
      </c>
      <c r="AG8158">
        <v>-0.94348710000000002</v>
      </c>
      <c r="AH8158">
        <v>93.411194129630204</v>
      </c>
      <c r="AI8158">
        <v>90.566021042144698</v>
      </c>
      <c r="AJ8158">
        <v>77.989227588280201</v>
      </c>
      <c r="AK8158">
        <v>95.506534421939506</v>
      </c>
      <c r="AL8158">
        <v>76.464923591460803</v>
      </c>
      <c r="AM8158">
        <v>91.516456073854798</v>
      </c>
      <c r="AN8158">
        <v>0.99999998380955701</v>
      </c>
    </row>
    <row r="8159" spans="1:40" x14ac:dyDescent="0.25">
      <c r="A8159" t="str">
        <f>"20190304154954001"</f>
        <v>20190304154954001</v>
      </c>
      <c r="B8159" t="str">
        <f>"1551685793995880"</f>
        <v>1551685793995880</v>
      </c>
      <c r="C8159" t="s">
        <v>40</v>
      </c>
      <c r="D8159">
        <v>4.5606059999999999</v>
      </c>
      <c r="E8159">
        <v>0.59435309999999997</v>
      </c>
      <c r="F8159" t="s">
        <v>70</v>
      </c>
      <c r="G8159">
        <v>-169.3818</v>
      </c>
      <c r="H8159">
        <v>0.78088809999999997</v>
      </c>
      <c r="I8159">
        <v>184.38339999999999</v>
      </c>
      <c r="J8159">
        <v>-187.36170000000001</v>
      </c>
      <c r="K8159">
        <v>1.1115139999999999</v>
      </c>
      <c r="L8159">
        <v>98.147829999999999</v>
      </c>
      <c r="M8159">
        <v>-1.0452599999999999E-2</v>
      </c>
      <c r="N8159">
        <v>-1.440001E-2</v>
      </c>
      <c r="O8159">
        <v>0.99984170000000006</v>
      </c>
      <c r="P8159">
        <v>-3.2183440000000001E-2</v>
      </c>
      <c r="Q8159">
        <v>0.21836530000000001</v>
      </c>
      <c r="R8159">
        <v>0.97533630000000004</v>
      </c>
      <c r="S8159">
        <v>0.64448549999999905</v>
      </c>
      <c r="T8159">
        <v>-1.1853219999999999E-2</v>
      </c>
      <c r="U8159">
        <v>3.1033629999999999</v>
      </c>
      <c r="V8159">
        <v>-2.2207629999999999E-2</v>
      </c>
      <c r="W8159">
        <v>0.2323704</v>
      </c>
      <c r="X8159">
        <v>0.97237379999999995</v>
      </c>
      <c r="Y8159">
        <v>0.21351980000000001</v>
      </c>
      <c r="Z8159">
        <v>1.0680510000000001E-2</v>
      </c>
      <c r="AA8159">
        <v>0.97688039999999998</v>
      </c>
      <c r="AB8159">
        <v>32</v>
      </c>
      <c r="AC8159">
        <v>17.979900000000001</v>
      </c>
      <c r="AD8159">
        <v>-0.33062589999999897</v>
      </c>
      <c r="AE8159">
        <v>86.235569999999996</v>
      </c>
      <c r="AF8159">
        <v>18.8801309606567</v>
      </c>
      <c r="AG8159">
        <v>-0.33062589999999897</v>
      </c>
      <c r="AH8159">
        <v>86.041689719527596</v>
      </c>
      <c r="AI8159">
        <v>90.215048743774403</v>
      </c>
      <c r="AJ8159">
        <v>77.6237341904082</v>
      </c>
      <c r="AK8159">
        <v>88.089392257914696</v>
      </c>
      <c r="AL8159">
        <v>76.563332540330194</v>
      </c>
      <c r="AM8159">
        <v>91.308326399242105</v>
      </c>
      <c r="AN8159">
        <v>0.99999999427640796</v>
      </c>
    </row>
    <row r="8160" spans="1:40" x14ac:dyDescent="0.25">
      <c r="A8160" t="str">
        <f>"20190304154954025"</f>
        <v>20190304154954025</v>
      </c>
      <c r="B8160" t="str">
        <f>"1551685794015400"</f>
        <v>1551685794015400</v>
      </c>
      <c r="C8160" t="s">
        <v>40</v>
      </c>
      <c r="D8160">
        <v>8.062443</v>
      </c>
      <c r="E8160">
        <v>0.59525980000000001</v>
      </c>
      <c r="F8160" t="s">
        <v>70</v>
      </c>
      <c r="G8160">
        <v>-168.7046</v>
      </c>
      <c r="H8160">
        <v>1.0118049999999901</v>
      </c>
      <c r="I8160">
        <v>184.38310000000001</v>
      </c>
      <c r="J8160">
        <v>-187.3656</v>
      </c>
      <c r="K8160">
        <v>1.1114930000000001</v>
      </c>
      <c r="L8160">
        <v>98.479489999999998</v>
      </c>
      <c r="M8160">
        <v>-1.0913269999999999E-2</v>
      </c>
      <c r="N8160">
        <v>-1.439645E-2</v>
      </c>
      <c r="O8160">
        <v>0.99983679999999997</v>
      </c>
      <c r="P8160">
        <v>-2.9727900000000002E-2</v>
      </c>
      <c r="Q8160">
        <v>0.21714549999999999</v>
      </c>
      <c r="R8160">
        <v>0.97568650000000001</v>
      </c>
      <c r="S8160">
        <v>0.67042539999999995</v>
      </c>
      <c r="T8160">
        <v>-3.5817620000000001E-3</v>
      </c>
      <c r="U8160">
        <v>3.0987849999999999</v>
      </c>
      <c r="V8160">
        <v>-1.928709E-2</v>
      </c>
      <c r="W8160">
        <v>0.231156</v>
      </c>
      <c r="X8160">
        <v>0.97272550000000002</v>
      </c>
      <c r="Y8160">
        <v>0.2220705</v>
      </c>
      <c r="Z8160">
        <v>1.3285079999999999E-2</v>
      </c>
      <c r="AA8160">
        <v>0.97494009999999998</v>
      </c>
      <c r="AB8160">
        <v>32</v>
      </c>
      <c r="AC8160">
        <v>18.660999999999898</v>
      </c>
      <c r="AD8160">
        <v>-9.9688000000000193E-2</v>
      </c>
      <c r="AE8160">
        <v>85.90361</v>
      </c>
      <c r="AF8160">
        <v>19.597449740402801</v>
      </c>
      <c r="AG8160">
        <v>-9.9688000000000193E-2</v>
      </c>
      <c r="AH8160">
        <v>85.694709406988096</v>
      </c>
      <c r="AI8160">
        <v>90.064974328051207</v>
      </c>
      <c r="AJ8160">
        <v>77.118588881837198</v>
      </c>
      <c r="AK8160">
        <v>87.907071355910205</v>
      </c>
      <c r="AL8160">
        <v>76.634860061889498</v>
      </c>
      <c r="AM8160">
        <v>91.135905322508407</v>
      </c>
      <c r="AN8160">
        <v>0.99999999326345901</v>
      </c>
    </row>
    <row r="8161" spans="1:40" x14ac:dyDescent="0.25">
      <c r="A8161" t="str">
        <f>"20190304154954047"</f>
        <v>20190304154954047</v>
      </c>
      <c r="B8161" t="str">
        <f>"1551685794034919"</f>
        <v>1551685794034919</v>
      </c>
      <c r="C8161" t="s">
        <v>40</v>
      </c>
      <c r="D8161">
        <v>4.644501</v>
      </c>
      <c r="E8161">
        <v>0.59520499999999998</v>
      </c>
      <c r="F8161" t="s">
        <v>70</v>
      </c>
      <c r="G8161">
        <v>-168.41820000000001</v>
      </c>
      <c r="H8161">
        <v>0.81063280000000004</v>
      </c>
      <c r="I8161">
        <v>184.13640000000001</v>
      </c>
      <c r="J8161">
        <v>-187.36940000000001</v>
      </c>
      <c r="K8161">
        <v>1.111467</v>
      </c>
      <c r="L8161">
        <v>98.788730000000001</v>
      </c>
      <c r="M8161">
        <v>-1.1305839999999999E-2</v>
      </c>
      <c r="N8161">
        <v>-1.4393110000000001E-2</v>
      </c>
      <c r="O8161">
        <v>0.99983250000000001</v>
      </c>
      <c r="P8161">
        <v>-2.7531920000000001E-2</v>
      </c>
      <c r="Q8161">
        <v>0.21623390000000001</v>
      </c>
      <c r="R8161">
        <v>0.97595330000000002</v>
      </c>
      <c r="S8161">
        <v>0.68530269999999904</v>
      </c>
      <c r="T8161">
        <v>-1.088071E-2</v>
      </c>
      <c r="U8161">
        <v>3.0980829999999999</v>
      </c>
      <c r="V8161">
        <v>-1.6689079999999998E-2</v>
      </c>
      <c r="W8161">
        <v>0.23024800000000001</v>
      </c>
      <c r="X8161">
        <v>0.97298879999999999</v>
      </c>
      <c r="Y8161">
        <v>0.2269658</v>
      </c>
      <c r="Z8161">
        <v>1.098667E-2</v>
      </c>
      <c r="AA8161">
        <v>0.97384079999999995</v>
      </c>
      <c r="AB8161">
        <v>32</v>
      </c>
      <c r="AC8161">
        <v>18.9512</v>
      </c>
      <c r="AD8161">
        <v>-0.300834199999999</v>
      </c>
      <c r="AE8161">
        <v>85.347669999999994</v>
      </c>
      <c r="AF8161">
        <v>19.914779778636699</v>
      </c>
      <c r="AG8161">
        <v>-0.300834199999999</v>
      </c>
      <c r="AH8161">
        <v>85.126924665585094</v>
      </c>
      <c r="AI8161">
        <v>90.197156340087204</v>
      </c>
      <c r="AJ8161">
        <v>76.832898080782599</v>
      </c>
      <c r="AK8161">
        <v>87.425867212557193</v>
      </c>
      <c r="AL8161">
        <v>76.6883261527489</v>
      </c>
      <c r="AM8161">
        <v>90.982662997159096</v>
      </c>
      <c r="AN8161">
        <v>0.99999993591034098</v>
      </c>
    </row>
    <row r="8162" spans="1:40" x14ac:dyDescent="0.25">
      <c r="A8162" t="str">
        <f>"20190304154954068"</f>
        <v>20190304154954068</v>
      </c>
      <c r="B8162" t="str">
        <f>"1551685794065682"</f>
        <v>1551685794065682</v>
      </c>
      <c r="C8162" t="s">
        <v>40</v>
      </c>
      <c r="D8162">
        <v>4.0559699999999896</v>
      </c>
      <c r="E8162">
        <v>0.59386190000000005</v>
      </c>
      <c r="F8162" t="s">
        <v>70</v>
      </c>
      <c r="G8162">
        <v>-168.41820000000001</v>
      </c>
      <c r="H8162">
        <v>0.52878429999999998</v>
      </c>
      <c r="I8162">
        <v>183.6592</v>
      </c>
      <c r="J8162">
        <v>-187.3733</v>
      </c>
      <c r="K8162">
        <v>1.111429</v>
      </c>
      <c r="L8162">
        <v>99.097200000000001</v>
      </c>
      <c r="M8162">
        <v>-1.1649710000000001E-2</v>
      </c>
      <c r="N8162">
        <v>-1.438947E-2</v>
      </c>
      <c r="O8162">
        <v>0.99982859999999996</v>
      </c>
      <c r="P8162">
        <v>-2.523185E-2</v>
      </c>
      <c r="Q8162">
        <v>0.21539079999999999</v>
      </c>
      <c r="R8162">
        <v>0.97620189999999996</v>
      </c>
      <c r="S8162">
        <v>0.69180299999999995</v>
      </c>
      <c r="T8162">
        <v>-2.1269199999999999E-2</v>
      </c>
      <c r="U8162">
        <v>3.0981450000000001</v>
      </c>
      <c r="V8162">
        <v>-1.4029689999999999E-2</v>
      </c>
      <c r="W8162">
        <v>0.22940849999999999</v>
      </c>
      <c r="X8162">
        <v>0.97322909999999996</v>
      </c>
      <c r="Y8162">
        <v>0.22924420000000001</v>
      </c>
      <c r="Z8162">
        <v>7.7178389999999998E-3</v>
      </c>
      <c r="AA8162">
        <v>0.97333840000000005</v>
      </c>
      <c r="AB8162">
        <v>32</v>
      </c>
      <c r="AC8162">
        <v>18.955099999999899</v>
      </c>
      <c r="AD8162">
        <v>-0.58264469999999902</v>
      </c>
      <c r="AE8162">
        <v>84.561999999999998</v>
      </c>
      <c r="AF8162">
        <v>19.938136956190402</v>
      </c>
      <c r="AG8162">
        <v>-0.58264469999999902</v>
      </c>
      <c r="AH8162">
        <v>84.331604105852605</v>
      </c>
      <c r="AI8162">
        <v>90.385228802852694</v>
      </c>
      <c r="AJ8162">
        <v>76.698075768458907</v>
      </c>
      <c r="AK8162">
        <v>86.658457355277804</v>
      </c>
      <c r="AL8162">
        <v>76.737749637803205</v>
      </c>
      <c r="AM8162">
        <v>90.825896338016506</v>
      </c>
      <c r="AN8162">
        <v>0.999999986580278</v>
      </c>
    </row>
    <row r="8163" spans="1:40" x14ac:dyDescent="0.25">
      <c r="A8163" t="str">
        <f>"20190304154954093"</f>
        <v>20190304154954093</v>
      </c>
      <c r="B8163" t="str">
        <f>"1551685794085202"</f>
        <v>1551685794085202</v>
      </c>
      <c r="C8163" t="s">
        <v>40</v>
      </c>
      <c r="D8163">
        <v>4.4149479999999999</v>
      </c>
      <c r="E8163">
        <v>0.59284599999999998</v>
      </c>
      <c r="F8163" t="s">
        <v>70</v>
      </c>
      <c r="G8163">
        <v>-168.41839999999999</v>
      </c>
      <c r="H8163">
        <v>0.28667029999999999</v>
      </c>
      <c r="I8163">
        <v>184.38329999999999</v>
      </c>
      <c r="J8163">
        <v>-187.3775</v>
      </c>
      <c r="K8163">
        <v>1.111378</v>
      </c>
      <c r="L8163">
        <v>99.430509999999998</v>
      </c>
      <c r="M8163">
        <v>-1.1953409999999999E-2</v>
      </c>
      <c r="N8163">
        <v>-1.4385459999999999E-2</v>
      </c>
      <c r="O8163">
        <v>0.99982510000000002</v>
      </c>
      <c r="P8163">
        <v>-2.463154E-2</v>
      </c>
      <c r="Q8163">
        <v>0.2160241</v>
      </c>
      <c r="R8163">
        <v>0.97607730000000004</v>
      </c>
      <c r="S8163">
        <v>0.68843080000000001</v>
      </c>
      <c r="T8163">
        <v>-2.9953480000000001E-2</v>
      </c>
      <c r="U8163">
        <v>3.097534</v>
      </c>
      <c r="V8163">
        <v>-1.31065E-2</v>
      </c>
      <c r="W8163">
        <v>0.2300382</v>
      </c>
      <c r="X8163">
        <v>0.97309330000000005</v>
      </c>
      <c r="Y8163">
        <v>0.22857050000000001</v>
      </c>
      <c r="Z8163">
        <v>4.979023E-3</v>
      </c>
      <c r="AA8163">
        <v>0.97351460000000001</v>
      </c>
      <c r="AB8163">
        <v>32</v>
      </c>
      <c r="AC8163">
        <v>18.959099999999999</v>
      </c>
      <c r="AD8163">
        <v>-0.82470769999999904</v>
      </c>
      <c r="AE8163">
        <v>84.952789999999993</v>
      </c>
      <c r="AF8163">
        <v>19.9715329210267</v>
      </c>
      <c r="AG8163">
        <v>-0.82470769999999904</v>
      </c>
      <c r="AH8163">
        <v>84.712465268972295</v>
      </c>
      <c r="AI8163">
        <v>90.542895865211804</v>
      </c>
      <c r="AJ8163">
        <v>76.734367970480307</v>
      </c>
      <c r="AK8163">
        <v>87.038750232025507</v>
      </c>
      <c r="AL8163">
        <v>76.700678736921006</v>
      </c>
      <c r="AM8163">
        <v>90.771664679033904</v>
      </c>
      <c r="AN8163">
        <v>0.99999996215318898</v>
      </c>
    </row>
    <row r="8164" spans="1:40" x14ac:dyDescent="0.25">
      <c r="A8164" t="str">
        <f>"20190304154954115"</f>
        <v>20190304154954115</v>
      </c>
      <c r="B8164" t="str">
        <f>"1551685794105698"</f>
        <v>1551685794105698</v>
      </c>
      <c r="C8164" t="s">
        <v>40</v>
      </c>
      <c r="D8164">
        <v>4.6436000000000002</v>
      </c>
      <c r="E8164">
        <v>0.59241630000000001</v>
      </c>
      <c r="F8164" t="s">
        <v>70</v>
      </c>
      <c r="G8164">
        <v>-168.6611</v>
      </c>
      <c r="H8164">
        <v>0.54257169999999999</v>
      </c>
      <c r="I8164">
        <v>184.38329999999999</v>
      </c>
      <c r="J8164">
        <v>-187.3817</v>
      </c>
      <c r="K8164">
        <v>1.1113219999999999</v>
      </c>
      <c r="L8164">
        <v>99.752319999999997</v>
      </c>
      <c r="M8164">
        <v>-1.216354E-2</v>
      </c>
      <c r="N8164">
        <v>-1.438157E-2</v>
      </c>
      <c r="O8164">
        <v>0.99982260000000001</v>
      </c>
      <c r="P8164">
        <v>-2.267628E-2</v>
      </c>
      <c r="Q8164">
        <v>0.21624119999999999</v>
      </c>
      <c r="R8164">
        <v>0.97607659999999996</v>
      </c>
      <c r="S8164">
        <v>0.68194580000000005</v>
      </c>
      <c r="T8164">
        <v>-2.0723579999999998E-2</v>
      </c>
      <c r="U8164">
        <v>3.0953059999999999</v>
      </c>
      <c r="V8164">
        <v>-1.0913930000000001E-2</v>
      </c>
      <c r="W8164">
        <v>0.2302536</v>
      </c>
      <c r="X8164">
        <v>0.97306950000000003</v>
      </c>
      <c r="Y8164">
        <v>0.22697980000000001</v>
      </c>
      <c r="Z8164">
        <v>7.8723639999999998E-3</v>
      </c>
      <c r="AA8164">
        <v>0.9738677</v>
      </c>
      <c r="AB8164">
        <v>31</v>
      </c>
      <c r="AC8164">
        <v>18.720599999999902</v>
      </c>
      <c r="AD8164">
        <v>-0.56875029999999904</v>
      </c>
      <c r="AE8164">
        <v>84.630979999999994</v>
      </c>
      <c r="AF8164">
        <v>19.747883293933999</v>
      </c>
      <c r="AG8164">
        <v>-0.56875029999999904</v>
      </c>
      <c r="AH8164">
        <v>84.393351832374293</v>
      </c>
      <c r="AI8164">
        <v>90.375970684644798</v>
      </c>
      <c r="AJ8164">
        <v>76.829861755179806</v>
      </c>
      <c r="AK8164">
        <v>86.674911046954705</v>
      </c>
      <c r="AL8164">
        <v>76.687997889216504</v>
      </c>
      <c r="AM8164">
        <v>90.642601486741995</v>
      </c>
      <c r="AN8164">
        <v>1.00000004300562</v>
      </c>
    </row>
    <row r="8165" spans="1:40" x14ac:dyDescent="0.25">
      <c r="A8165" t="str">
        <f>"20190304154954137"</f>
        <v>20190304154954137</v>
      </c>
      <c r="B8165" t="str">
        <f>"1551685794134978"</f>
        <v>1551685794134978</v>
      </c>
      <c r="C8165" t="s">
        <v>40</v>
      </c>
      <c r="D8165">
        <v>4.610951</v>
      </c>
      <c r="E8165">
        <v>0.59259269999999997</v>
      </c>
      <c r="F8165" t="s">
        <v>70</v>
      </c>
      <c r="G8165">
        <v>-168.64879999999999</v>
      </c>
      <c r="H8165">
        <v>0.43019829999999998</v>
      </c>
      <c r="I8165">
        <v>184.38329999999999</v>
      </c>
      <c r="J8165">
        <v>-187.38560000000001</v>
      </c>
      <c r="K8165">
        <v>1.11127</v>
      </c>
      <c r="L8165">
        <v>100.0633</v>
      </c>
      <c r="M8165">
        <v>-1.230466E-2</v>
      </c>
      <c r="N8165">
        <v>-1.4377859999999999E-2</v>
      </c>
      <c r="O8165">
        <v>0.99982090000000001</v>
      </c>
      <c r="P8165">
        <v>-2.1008410000000002E-2</v>
      </c>
      <c r="Q8165">
        <v>0.2161381</v>
      </c>
      <c r="R8165">
        <v>0.97613669999999997</v>
      </c>
      <c r="S8165">
        <v>0.68505859999999996</v>
      </c>
      <c r="T8165">
        <v>-2.4907350000000002E-2</v>
      </c>
      <c r="U8165">
        <v>3.0949399999999998</v>
      </c>
      <c r="V8165">
        <v>-9.077646E-3</v>
      </c>
      <c r="W8165">
        <v>0.2301501</v>
      </c>
      <c r="X8165">
        <v>0.9731128</v>
      </c>
      <c r="Y8165">
        <v>0.228075</v>
      </c>
      <c r="Z8165">
        <v>6.5519840000000003E-3</v>
      </c>
      <c r="AA8165">
        <v>0.97362150000000003</v>
      </c>
      <c r="AB8165">
        <v>31</v>
      </c>
      <c r="AC8165">
        <v>18.736799999999999</v>
      </c>
      <c r="AD8165">
        <v>-0.68107169999999995</v>
      </c>
      <c r="AE8165">
        <v>84.32</v>
      </c>
      <c r="AF8165">
        <v>19.771788197259902</v>
      </c>
      <c r="AG8165">
        <v>-0.68107169999999995</v>
      </c>
      <c r="AH8165">
        <v>84.077814165872894</v>
      </c>
      <c r="AI8165">
        <v>90.451790382036506</v>
      </c>
      <c r="AJ8165">
        <v>76.766729651140494</v>
      </c>
      <c r="AK8165">
        <v>86.373990888975996</v>
      </c>
      <c r="AL8165">
        <v>76.694091037860005</v>
      </c>
      <c r="AM8165">
        <v>90.534466012352098</v>
      </c>
      <c r="AN8165">
        <v>0.999999996855375</v>
      </c>
    </row>
    <row r="8166" spans="1:40" x14ac:dyDescent="0.25">
      <c r="A8166" t="str">
        <f>"20190304154954160"</f>
        <v>20190304154954160</v>
      </c>
      <c r="B8166" t="str">
        <f>"1551685794155007"</f>
        <v>1551685794155007</v>
      </c>
      <c r="C8166" t="s">
        <v>40</v>
      </c>
      <c r="D8166">
        <v>4.3400030000000003</v>
      </c>
      <c r="E8166">
        <v>0.5929219</v>
      </c>
      <c r="F8166" t="s">
        <v>70</v>
      </c>
      <c r="G8166">
        <v>-168.5378</v>
      </c>
      <c r="H8166">
        <v>0.46009709999999998</v>
      </c>
      <c r="I8166">
        <v>184.38329999999999</v>
      </c>
      <c r="J8166">
        <v>-187.3897</v>
      </c>
      <c r="K8166">
        <v>1.111218</v>
      </c>
      <c r="L8166">
        <v>100.3824</v>
      </c>
      <c r="M8166">
        <v>-1.2389219999999999E-2</v>
      </c>
      <c r="N8166">
        <v>-1.437419E-2</v>
      </c>
      <c r="O8166">
        <v>0.99981989999999998</v>
      </c>
      <c r="P8166">
        <v>-1.872832E-2</v>
      </c>
      <c r="Q8166">
        <v>0.21587149999999999</v>
      </c>
      <c r="R8166">
        <v>0.9762421</v>
      </c>
      <c r="S8166">
        <v>0.6914825</v>
      </c>
      <c r="T8166">
        <v>-2.388883E-2</v>
      </c>
      <c r="U8166">
        <v>3.0935060000000001</v>
      </c>
      <c r="V8166">
        <v>-6.6855860000000003E-3</v>
      </c>
      <c r="W8166">
        <v>0.2298828</v>
      </c>
      <c r="X8166">
        <v>0.97319540000000004</v>
      </c>
      <c r="Y8166">
        <v>0.2301783</v>
      </c>
      <c r="Z8166">
        <v>6.8696019999999998E-3</v>
      </c>
      <c r="AA8166">
        <v>0.97312430000000005</v>
      </c>
      <c r="AB8166">
        <v>31</v>
      </c>
      <c r="AC8166">
        <v>18.851900000000001</v>
      </c>
      <c r="AD8166">
        <v>-0.6511209</v>
      </c>
      <c r="AE8166">
        <v>84.000899999999902</v>
      </c>
      <c r="AF8166">
        <v>19.890128257224401</v>
      </c>
      <c r="AG8166">
        <v>-0.6511209</v>
      </c>
      <c r="AH8166">
        <v>83.756076127210804</v>
      </c>
      <c r="AI8166">
        <v>90.433357626364696</v>
      </c>
      <c r="AJ8166">
        <v>76.641037700051598</v>
      </c>
      <c r="AK8166">
        <v>86.087870508814305</v>
      </c>
      <c r="AL8166">
        <v>76.709828783752599</v>
      </c>
      <c r="AM8166">
        <v>90.393600129709696</v>
      </c>
      <c r="AN8166">
        <v>1.00000004268858</v>
      </c>
    </row>
    <row r="8167" spans="1:40" x14ac:dyDescent="0.25">
      <c r="A8167" t="str">
        <f>"20190304154954181"</f>
        <v>20190304154954181</v>
      </c>
      <c r="B8167" t="str">
        <f>"1551685794175502"</f>
        <v>1551685794175502</v>
      </c>
      <c r="C8167" t="s">
        <v>40</v>
      </c>
      <c r="D8167">
        <v>4.5626790000000002</v>
      </c>
      <c r="E8167">
        <v>0.59283229999999998</v>
      </c>
      <c r="F8167" t="s">
        <v>70</v>
      </c>
      <c r="G8167">
        <v>-168.41810000000001</v>
      </c>
      <c r="H8167">
        <v>0.56264440000000004</v>
      </c>
      <c r="I8167">
        <v>183.97</v>
      </c>
      <c r="J8167">
        <v>-187.39320000000001</v>
      </c>
      <c r="K8167">
        <v>1.111178</v>
      </c>
      <c r="L8167">
        <v>100.6648</v>
      </c>
      <c r="M8167">
        <v>-1.242187E-2</v>
      </c>
      <c r="N8167">
        <v>-1.437098E-2</v>
      </c>
      <c r="O8167">
        <v>0.99981960000000003</v>
      </c>
      <c r="P8167">
        <v>-1.635638E-2</v>
      </c>
      <c r="Q8167">
        <v>0.2150658</v>
      </c>
      <c r="R8167">
        <v>0.97646259999999996</v>
      </c>
      <c r="S8167">
        <v>0.70153809999999905</v>
      </c>
      <c r="T8167">
        <v>-2.028394E-2</v>
      </c>
      <c r="U8167">
        <v>3.0909420000000001</v>
      </c>
      <c r="V8167">
        <v>-4.2579940000000002E-3</v>
      </c>
      <c r="W8167">
        <v>0.22907759999999999</v>
      </c>
      <c r="X8167">
        <v>0.97339889999999996</v>
      </c>
      <c r="Y8167">
        <v>0.23339289999999999</v>
      </c>
      <c r="Z8167">
        <v>8.0017439999999999E-3</v>
      </c>
      <c r="AA8167">
        <v>0.97234960000000004</v>
      </c>
      <c r="AB8167">
        <v>31</v>
      </c>
      <c r="AC8167">
        <v>18.975100000000001</v>
      </c>
      <c r="AD8167">
        <v>-0.54853359999999995</v>
      </c>
      <c r="AE8167">
        <v>83.305199999999999</v>
      </c>
      <c r="AF8167">
        <v>20.007724198368301</v>
      </c>
      <c r="AG8167">
        <v>-0.54853359999999995</v>
      </c>
      <c r="AH8167">
        <v>83.059617133936698</v>
      </c>
      <c r="AI8167">
        <v>90.367859519960405</v>
      </c>
      <c r="AJ8167">
        <v>76.456391002295305</v>
      </c>
      <c r="AK8167">
        <v>85.437169400352005</v>
      </c>
      <c r="AL8167">
        <v>76.757228350235593</v>
      </c>
      <c r="AM8167">
        <v>90.2506305783985</v>
      </c>
      <c r="AN8167">
        <v>1.0000000479279301</v>
      </c>
    </row>
    <row r="8168" spans="1:40" x14ac:dyDescent="0.25">
      <c r="A8168" t="str">
        <f>"20190304154954194"</f>
        <v>20190304154954194</v>
      </c>
      <c r="B8168" t="str">
        <f>"1551685794185263"</f>
        <v>1551685794185263</v>
      </c>
      <c r="C8168" t="s">
        <v>40</v>
      </c>
      <c r="D8168">
        <v>4.5192579999999998</v>
      </c>
      <c r="E8168">
        <v>0.59281340000000005</v>
      </c>
      <c r="F8168" t="s">
        <v>70</v>
      </c>
      <c r="G8168">
        <v>-168.41829999999999</v>
      </c>
      <c r="H8168">
        <v>0.56032029999999999</v>
      </c>
      <c r="I8168">
        <v>183.38829999999999</v>
      </c>
      <c r="J8168">
        <v>-187.3956</v>
      </c>
      <c r="K8168">
        <v>1.1111549999999999</v>
      </c>
      <c r="L8168">
        <v>100.85129999999999</v>
      </c>
      <c r="M8168">
        <v>-1.242505E-2</v>
      </c>
      <c r="N8168">
        <v>-1.4368870000000001E-2</v>
      </c>
      <c r="O8168">
        <v>0.99981960000000003</v>
      </c>
      <c r="P8168">
        <v>-1.513657E-2</v>
      </c>
      <c r="Q8168">
        <v>0.21482229999999999</v>
      </c>
      <c r="R8168">
        <v>0.97653590000000001</v>
      </c>
      <c r="S8168">
        <v>0.70848080000000002</v>
      </c>
      <c r="T8168">
        <v>-2.0566339999999999E-2</v>
      </c>
      <c r="U8168">
        <v>3.0887150000000001</v>
      </c>
      <c r="V8168">
        <v>-3.0225949999999999E-3</v>
      </c>
      <c r="W8168">
        <v>0.22883339999999999</v>
      </c>
      <c r="X8168">
        <v>0.97346089999999996</v>
      </c>
      <c r="Y8168">
        <v>0.2356239</v>
      </c>
      <c r="Z8168">
        <v>7.9096949999999996E-3</v>
      </c>
      <c r="AA8168">
        <v>0.97181209999999996</v>
      </c>
      <c r="AB8168">
        <v>31</v>
      </c>
      <c r="AC8168">
        <v>18.9773</v>
      </c>
      <c r="AD8168">
        <v>-0.55083469999999901</v>
      </c>
      <c r="AE8168">
        <v>82.536999999999907</v>
      </c>
      <c r="AF8168">
        <v>20.000620872089499</v>
      </c>
      <c r="AG8168">
        <v>-0.55083469999999901</v>
      </c>
      <c r="AH8168">
        <v>82.291327913650804</v>
      </c>
      <c r="AI8168">
        <v>90.372667109732205</v>
      </c>
      <c r="AJ8168">
        <v>76.339335117984504</v>
      </c>
      <c r="AK8168">
        <v>84.688788537372403</v>
      </c>
      <c r="AL8168">
        <v>76.771601034529994</v>
      </c>
      <c r="AM8168">
        <v>90.177902759248397</v>
      </c>
      <c r="AN8168">
        <v>0.99999999243245097</v>
      </c>
    </row>
    <row r="8169" spans="1:40" x14ac:dyDescent="0.25">
      <c r="A8169" t="str">
        <f>"20190304154954205"</f>
        <v>20190304154954205</v>
      </c>
      <c r="B8169" t="str">
        <f>"1551685794195022"</f>
        <v>1551685794195022</v>
      </c>
      <c r="C8169" t="s">
        <v>40</v>
      </c>
      <c r="D8169">
        <v>4.3072089999999896</v>
      </c>
      <c r="E8169">
        <v>0.59333239999999998</v>
      </c>
      <c r="F8169" t="s">
        <v>70</v>
      </c>
      <c r="G8169">
        <v>-168.41839999999999</v>
      </c>
      <c r="H8169">
        <v>0.54869950000000001</v>
      </c>
      <c r="I8169">
        <v>183.10230000000001</v>
      </c>
      <c r="J8169">
        <v>-187.39769999999999</v>
      </c>
      <c r="K8169">
        <v>1.111138</v>
      </c>
      <c r="L8169">
        <v>101.02330000000001</v>
      </c>
      <c r="M8169">
        <v>-1.2407100000000001E-2</v>
      </c>
      <c r="N8169">
        <v>-1.436698E-2</v>
      </c>
      <c r="O8169">
        <v>0.99981980000000004</v>
      </c>
      <c r="P8169">
        <v>-1.4083780000000001E-2</v>
      </c>
      <c r="Q8169">
        <v>0.2146487</v>
      </c>
      <c r="R8169">
        <v>0.97658979999999995</v>
      </c>
      <c r="S8169">
        <v>0.71241759999999998</v>
      </c>
      <c r="T8169">
        <v>-2.1113989999999999E-2</v>
      </c>
      <c r="U8169">
        <v>3.0877690000000002</v>
      </c>
      <c r="V8169">
        <v>-1.9750169999999999E-3</v>
      </c>
      <c r="W8169">
        <v>0.22865840000000001</v>
      </c>
      <c r="X8169">
        <v>0.9735047</v>
      </c>
      <c r="Y8169">
        <v>0.23684769999999999</v>
      </c>
      <c r="Z8169">
        <v>7.7353129999999997E-3</v>
      </c>
      <c r="AA8169">
        <v>0.97151600000000005</v>
      </c>
      <c r="AB8169">
        <v>31</v>
      </c>
      <c r="AC8169">
        <v>18.979299999999899</v>
      </c>
      <c r="AD8169">
        <v>-0.56243849999999995</v>
      </c>
      <c r="AE8169">
        <v>82.078999999999994</v>
      </c>
      <c r="AF8169">
        <v>19.995415089768699</v>
      </c>
      <c r="AG8169">
        <v>-0.56243849999999995</v>
      </c>
      <c r="AH8169">
        <v>81.833531104568195</v>
      </c>
      <c r="AI8169">
        <v>90.382532014956894</v>
      </c>
      <c r="AJ8169">
        <v>76.269239828030194</v>
      </c>
      <c r="AK8169">
        <v>84.242861862123206</v>
      </c>
      <c r="AL8169">
        <v>76.781900754294796</v>
      </c>
      <c r="AM8169">
        <v>90.116239791461396</v>
      </c>
      <c r="AN8169">
        <v>0.99999998275239999</v>
      </c>
    </row>
    <row r="8170" spans="1:40" x14ac:dyDescent="0.25">
      <c r="A8170" t="str">
        <f>"20190304154954220"</f>
        <v>20190304154954220</v>
      </c>
      <c r="B8170" t="str">
        <f>"1551685794215518"</f>
        <v>1551685794215518</v>
      </c>
      <c r="C8170" t="s">
        <v>40</v>
      </c>
      <c r="D8170">
        <v>4.5279540000000003</v>
      </c>
      <c r="E8170">
        <v>0.59389259999999999</v>
      </c>
      <c r="F8170" t="s">
        <v>70</v>
      </c>
      <c r="G8170">
        <v>-168.4187</v>
      </c>
      <c r="H8170">
        <v>0.64815909999999999</v>
      </c>
      <c r="I8170">
        <v>182.3835</v>
      </c>
      <c r="J8170">
        <v>-187.40010000000001</v>
      </c>
      <c r="K8170">
        <v>1.111116</v>
      </c>
      <c r="L8170">
        <v>101.2146</v>
      </c>
      <c r="M8170">
        <v>-1.237039E-2</v>
      </c>
      <c r="N8170">
        <v>-1.436489E-2</v>
      </c>
      <c r="O8170">
        <v>0.9998203</v>
      </c>
      <c r="P8170">
        <v>-1.278924E-2</v>
      </c>
      <c r="Q8170">
        <v>0.21401609999999999</v>
      </c>
      <c r="R8170">
        <v>0.97674640000000001</v>
      </c>
      <c r="S8170">
        <v>0.71990969999999999</v>
      </c>
      <c r="T8170">
        <v>-1.7560360000000001E-2</v>
      </c>
      <c r="U8170">
        <v>3.0861510000000001</v>
      </c>
      <c r="V8170">
        <v>-7.0134919999999897E-4</v>
      </c>
      <c r="W8170">
        <v>0.22802610000000001</v>
      </c>
      <c r="X8170">
        <v>0.97365469999999998</v>
      </c>
      <c r="Y8170">
        <v>0.23916029999999999</v>
      </c>
      <c r="Z8170">
        <v>8.8532160000000006E-3</v>
      </c>
      <c r="AA8170">
        <v>0.97093980000000002</v>
      </c>
      <c r="AB8170">
        <v>31</v>
      </c>
      <c r="AC8170">
        <v>18.981400000000001</v>
      </c>
      <c r="AD8170">
        <v>-0.4629569</v>
      </c>
      <c r="AE8170">
        <v>81.168899999999994</v>
      </c>
      <c r="AF8170">
        <v>19.983525490123199</v>
      </c>
      <c r="AG8170">
        <v>-0.4629569</v>
      </c>
      <c r="AH8170">
        <v>80.925360325456197</v>
      </c>
      <c r="AI8170">
        <v>90.318215145876906</v>
      </c>
      <c r="AJ8170">
        <v>76.129008925172698</v>
      </c>
      <c r="AK8170">
        <v>83.357480551601299</v>
      </c>
      <c r="AL8170">
        <v>76.819111315357702</v>
      </c>
      <c r="AM8170">
        <v>90.041271656342502</v>
      </c>
      <c r="AN8170">
        <v>0.99999993450199798</v>
      </c>
    </row>
    <row r="8171" spans="1:40" x14ac:dyDescent="0.25">
      <c r="A8171" t="str">
        <f>"20190304154954237"</f>
        <v>20190304154954237</v>
      </c>
      <c r="B8171" t="str">
        <f>"1551685794225279"</f>
        <v>1551685794225279</v>
      </c>
      <c r="C8171" t="s">
        <v>40</v>
      </c>
      <c r="D8171">
        <v>4.5039420000000003</v>
      </c>
      <c r="E8171">
        <v>0.59388459999999998</v>
      </c>
      <c r="F8171" t="s">
        <v>70</v>
      </c>
      <c r="G8171">
        <v>-168.41900000000001</v>
      </c>
      <c r="H8171">
        <v>0.72157669999999996</v>
      </c>
      <c r="I8171">
        <v>181.559</v>
      </c>
      <c r="J8171">
        <v>-187.40309999999999</v>
      </c>
      <c r="K8171">
        <v>1.111073</v>
      </c>
      <c r="L8171">
        <v>101.4633</v>
      </c>
      <c r="M8171">
        <v>-1.229501E-2</v>
      </c>
      <c r="N8171">
        <v>-1.436217E-2</v>
      </c>
      <c r="O8171">
        <v>0.99982119999999997</v>
      </c>
      <c r="P8171">
        <v>-1.085712E-2</v>
      </c>
      <c r="Q8171">
        <v>0.2134094</v>
      </c>
      <c r="R8171">
        <v>0.97690250000000001</v>
      </c>
      <c r="S8171">
        <v>0.72863769999999894</v>
      </c>
      <c r="T8171">
        <v>-1.495206E-2</v>
      </c>
      <c r="U8171">
        <v>3.0842290000000001</v>
      </c>
      <c r="V8171">
        <v>1.178101E-3</v>
      </c>
      <c r="W8171">
        <v>0.2274188</v>
      </c>
      <c r="X8171">
        <v>0.97379629999999995</v>
      </c>
      <c r="Y8171">
        <v>0.24182339999999999</v>
      </c>
      <c r="Z8171">
        <v>9.6725500000000002E-3</v>
      </c>
      <c r="AA8171">
        <v>0.97027209999999997</v>
      </c>
      <c r="AB8171">
        <v>31</v>
      </c>
      <c r="AC8171">
        <v>18.984099999999899</v>
      </c>
      <c r="AD8171">
        <v>-0.38949629999999902</v>
      </c>
      <c r="AE8171">
        <v>80.095699999999994</v>
      </c>
      <c r="AF8171">
        <v>19.967096779301901</v>
      </c>
      <c r="AG8171">
        <v>-0.38949629999999902</v>
      </c>
      <c r="AH8171">
        <v>79.854422876634601</v>
      </c>
      <c r="AI8171">
        <v>90.271115791956205</v>
      </c>
      <c r="AJ8171">
        <v>75.961399054437194</v>
      </c>
      <c r="AK8171">
        <v>82.313823347734896</v>
      </c>
      <c r="AL8171">
        <v>76.854846357897102</v>
      </c>
      <c r="AM8171">
        <v>89.9306834681867</v>
      </c>
      <c r="AN8171">
        <v>0.99999996620454701</v>
      </c>
    </row>
    <row r="8172" spans="1:40" x14ac:dyDescent="0.25">
      <c r="A8172" t="str">
        <f>"20190304154954258"</f>
        <v>20190304154954258</v>
      </c>
      <c r="B8172" t="str">
        <f>"1551685794255535"</f>
        <v>1551685794255535</v>
      </c>
      <c r="C8172" t="s">
        <v>40</v>
      </c>
      <c r="D8172">
        <v>4.6419519999999999</v>
      </c>
      <c r="E8172">
        <v>0.59470339999999999</v>
      </c>
      <c r="F8172" t="s">
        <v>70</v>
      </c>
      <c r="G8172">
        <v>-168.41909999999999</v>
      </c>
      <c r="H8172">
        <v>0.68915079999999995</v>
      </c>
      <c r="I8172">
        <v>181.09719999999999</v>
      </c>
      <c r="J8172">
        <v>-187.40649999999999</v>
      </c>
      <c r="K8172">
        <v>1.1110310000000001</v>
      </c>
      <c r="L8172">
        <v>101.75230000000001</v>
      </c>
      <c r="M8172">
        <v>-1.216339E-2</v>
      </c>
      <c r="N8172">
        <v>-1.435904E-2</v>
      </c>
      <c r="O8172">
        <v>0.99982289999999996</v>
      </c>
      <c r="P8172">
        <v>-8.8234799999999999E-3</v>
      </c>
      <c r="Q8172">
        <v>0.2128603</v>
      </c>
      <c r="R8172">
        <v>0.97704279999999999</v>
      </c>
      <c r="S8172">
        <v>0.73487849999999999</v>
      </c>
      <c r="T8172">
        <v>-1.633167E-2</v>
      </c>
      <c r="U8172">
        <v>3.0826720000000001</v>
      </c>
      <c r="V8172">
        <v>3.109433E-3</v>
      </c>
      <c r="W8172">
        <v>0.2268676</v>
      </c>
      <c r="X8172">
        <v>0.97392060000000003</v>
      </c>
      <c r="Y8172">
        <v>0.2436643</v>
      </c>
      <c r="Z8172">
        <v>9.2346159999999993E-3</v>
      </c>
      <c r="AA8172">
        <v>0.96981569999999995</v>
      </c>
      <c r="AB8172">
        <v>31</v>
      </c>
      <c r="AC8172">
        <v>18.987400000000001</v>
      </c>
      <c r="AD8172">
        <v>-0.42188019999999898</v>
      </c>
      <c r="AE8172">
        <v>79.344899999999896</v>
      </c>
      <c r="AF8172">
        <v>19.950664100138098</v>
      </c>
      <c r="AG8172">
        <v>-0.42188019999999898</v>
      </c>
      <c r="AH8172">
        <v>79.105938874424893</v>
      </c>
      <c r="AI8172">
        <v>90.296284186220205</v>
      </c>
      <c r="AJ8172">
        <v>75.845082476173801</v>
      </c>
      <c r="AK8172">
        <v>81.584045904477804</v>
      </c>
      <c r="AL8172">
        <v>76.887275306300197</v>
      </c>
      <c r="AM8172">
        <v>89.817072580409004</v>
      </c>
      <c r="AN8172">
        <v>0.99999995580384904</v>
      </c>
    </row>
    <row r="8173" spans="1:40" x14ac:dyDescent="0.25">
      <c r="A8173" t="str">
        <f>"20190304154954281"</f>
        <v>20190304154954281</v>
      </c>
      <c r="B8173" t="str">
        <f>"1551685794275055"</f>
        <v>1551685794275055</v>
      </c>
      <c r="C8173" t="s">
        <v>40</v>
      </c>
      <c r="D8173">
        <v>4.5705309999999999</v>
      </c>
      <c r="E8173">
        <v>0.59461090000000005</v>
      </c>
      <c r="F8173" t="s">
        <v>70</v>
      </c>
      <c r="G8173">
        <v>-168.4195</v>
      </c>
      <c r="H8173">
        <v>0.63012219999999997</v>
      </c>
      <c r="I8173">
        <v>179.95670000000001</v>
      </c>
      <c r="J8173">
        <v>-187.4102</v>
      </c>
      <c r="K8173">
        <v>1.110978</v>
      </c>
      <c r="L8173">
        <v>102.0745</v>
      </c>
      <c r="M8173">
        <v>-1.196322E-2</v>
      </c>
      <c r="N8173">
        <v>-1.4355690000000001E-2</v>
      </c>
      <c r="O8173">
        <v>0.99982539999999998</v>
      </c>
      <c r="P8173">
        <v>-6.9253530000000004E-3</v>
      </c>
      <c r="Q8173">
        <v>0.21241270000000001</v>
      </c>
      <c r="R8173">
        <v>0.97715549999999995</v>
      </c>
      <c r="S8173">
        <v>0.74812319999999999</v>
      </c>
      <c r="T8173">
        <v>-1.894736E-2</v>
      </c>
      <c r="U8173">
        <v>3.0813899999999999</v>
      </c>
      <c r="V8173">
        <v>4.8416529999999996E-3</v>
      </c>
      <c r="W8173">
        <v>0.22641710000000001</v>
      </c>
      <c r="X8173">
        <v>0.97401839999999995</v>
      </c>
      <c r="Y8173">
        <v>0.24749930000000001</v>
      </c>
      <c r="Z8173">
        <v>8.4107169999999998E-3</v>
      </c>
      <c r="AA8173">
        <v>0.96885160000000003</v>
      </c>
      <c r="AB8173">
        <v>31</v>
      </c>
      <c r="AC8173">
        <v>18.9907</v>
      </c>
      <c r="AD8173">
        <v>-0.4808558</v>
      </c>
      <c r="AE8173">
        <v>77.882199999999997</v>
      </c>
      <c r="AF8173">
        <v>19.920441856560299</v>
      </c>
      <c r="AG8173">
        <v>-0.4808558</v>
      </c>
      <c r="AH8173">
        <v>77.646618341857305</v>
      </c>
      <c r="AI8173">
        <v>90.343690840999002</v>
      </c>
      <c r="AJ8173">
        <v>75.610953083461297</v>
      </c>
      <c r="AK8173">
        <v>80.162663166757596</v>
      </c>
      <c r="AL8173">
        <v>76.913777184468202</v>
      </c>
      <c r="AM8173">
        <v>89.715196347418498</v>
      </c>
      <c r="AN8173">
        <v>0.99999999415737095</v>
      </c>
    </row>
    <row r="8174" spans="1:40" x14ac:dyDescent="0.25">
      <c r="A8174" t="str">
        <f>"20190304154954305"</f>
        <v>20190304154954305</v>
      </c>
      <c r="B8174" t="str">
        <f>"1551685794295566"</f>
        <v>1551685794295566</v>
      </c>
      <c r="C8174" t="s">
        <v>40</v>
      </c>
      <c r="D8174">
        <v>4.5455509999999997</v>
      </c>
      <c r="E8174">
        <v>0.59445439999999905</v>
      </c>
      <c r="F8174" t="s">
        <v>70</v>
      </c>
      <c r="G8174">
        <v>-168.4196</v>
      </c>
      <c r="H8174">
        <v>0.61513469999999904</v>
      </c>
      <c r="I8174">
        <v>179.6994</v>
      </c>
      <c r="J8174">
        <v>-187.41380000000001</v>
      </c>
      <c r="K8174">
        <v>1.1109279999999999</v>
      </c>
      <c r="L8174">
        <v>102.3977</v>
      </c>
      <c r="M8174">
        <v>-1.170208E-2</v>
      </c>
      <c r="N8174">
        <v>-1.435235E-2</v>
      </c>
      <c r="O8174">
        <v>0.99982850000000001</v>
      </c>
      <c r="P8174">
        <v>-5.0959070000000002E-3</v>
      </c>
      <c r="Q8174">
        <v>0.21196300000000001</v>
      </c>
      <c r="R8174">
        <v>0.97726440000000003</v>
      </c>
      <c r="S8174">
        <v>0.75344849999999997</v>
      </c>
      <c r="T8174">
        <v>-1.9670960000000001E-2</v>
      </c>
      <c r="U8174">
        <v>3.079742</v>
      </c>
      <c r="V8174">
        <v>6.4453990000000001E-3</v>
      </c>
      <c r="W8174">
        <v>0.2259642</v>
      </c>
      <c r="X8174">
        <v>0.97411429999999999</v>
      </c>
      <c r="Y8174">
        <v>0.248946</v>
      </c>
      <c r="Z8174">
        <v>8.1784130000000007E-3</v>
      </c>
      <c r="AA8174">
        <v>0.96848290000000004</v>
      </c>
      <c r="AB8174">
        <v>31</v>
      </c>
      <c r="AC8174">
        <v>18.994199999999999</v>
      </c>
      <c r="AD8174">
        <v>-0.49579329999999999</v>
      </c>
      <c r="AE8174">
        <v>77.301699999999997</v>
      </c>
      <c r="AF8174">
        <v>19.896811171618499</v>
      </c>
      <c r="AG8174">
        <v>-0.49579329999999999</v>
      </c>
      <c r="AH8174">
        <v>77.071121494011706</v>
      </c>
      <c r="AI8174">
        <v>90.356874518255694</v>
      </c>
      <c r="AJ8174">
        <v>75.524485871817902</v>
      </c>
      <c r="AK8174">
        <v>79.599539409095101</v>
      </c>
      <c r="AL8174">
        <v>76.940417155016306</v>
      </c>
      <c r="AM8174">
        <v>89.620897906090903</v>
      </c>
      <c r="AN8174">
        <v>1.00000001615719</v>
      </c>
    </row>
    <row r="8175" spans="1:40" x14ac:dyDescent="0.25">
      <c r="A8175" t="str">
        <f>"20190304154954326"</f>
        <v>20190304154954326</v>
      </c>
      <c r="B8175" t="str">
        <f>"1551685794315070"</f>
        <v>1551685794315070</v>
      </c>
      <c r="C8175" t="s">
        <v>40</v>
      </c>
      <c r="D8175">
        <v>4.1176430000000002</v>
      </c>
      <c r="E8175">
        <v>0.59407140000000003</v>
      </c>
      <c r="F8175" t="s">
        <v>70</v>
      </c>
      <c r="G8175">
        <v>-168.4196</v>
      </c>
      <c r="H8175">
        <v>0.65861320000000001</v>
      </c>
      <c r="I8175">
        <v>179.4836</v>
      </c>
      <c r="J8175">
        <v>-187.4171</v>
      </c>
      <c r="K8175">
        <v>1.1108800000000001</v>
      </c>
      <c r="L8175">
        <v>102.70480000000001</v>
      </c>
      <c r="M8175">
        <v>-1.1389059999999999E-2</v>
      </c>
      <c r="N8175">
        <v>-1.434918E-2</v>
      </c>
      <c r="O8175">
        <v>0.99983219999999995</v>
      </c>
      <c r="P8175">
        <v>-3.3138780000000001E-3</v>
      </c>
      <c r="Q8175">
        <v>0.21144170000000001</v>
      </c>
      <c r="R8175">
        <v>0.97738499999999995</v>
      </c>
      <c r="S8175">
        <v>0.75834659999999998</v>
      </c>
      <c r="T8175">
        <v>-1.805735E-2</v>
      </c>
      <c r="U8175">
        <v>3.0776669999999999</v>
      </c>
      <c r="V8175">
        <v>7.9499630000000009E-3</v>
      </c>
      <c r="W8175">
        <v>0.2254398</v>
      </c>
      <c r="X8175">
        <v>0.97422470000000005</v>
      </c>
      <c r="Y8175">
        <v>0.25024669999999999</v>
      </c>
      <c r="Z8175">
        <v>8.6812269999999997E-3</v>
      </c>
      <c r="AA8175">
        <v>0.96814319999999998</v>
      </c>
      <c r="AB8175">
        <v>31</v>
      </c>
      <c r="AC8175">
        <v>18.997499999999999</v>
      </c>
      <c r="AD8175">
        <v>-0.45226679999999903</v>
      </c>
      <c r="AE8175">
        <v>76.778799999999904</v>
      </c>
      <c r="AF8175">
        <v>19.870146314310901</v>
      </c>
      <c r="AG8175">
        <v>-0.45226679999999903</v>
      </c>
      <c r="AH8175">
        <v>76.554930283319607</v>
      </c>
      <c r="AI8175">
        <v>90.327628961243306</v>
      </c>
      <c r="AJ8175">
        <v>75.449716687510104</v>
      </c>
      <c r="AK8175">
        <v>79.092885966403003</v>
      </c>
      <c r="AL8175">
        <v>76.971259149054603</v>
      </c>
      <c r="AM8175">
        <v>89.532459793973302</v>
      </c>
      <c r="AN8175">
        <v>1.00000003571291</v>
      </c>
    </row>
    <row r="8176" spans="1:40" x14ac:dyDescent="0.25">
      <c r="A8176" t="str">
        <f>"20190304154954348"</f>
        <v>20190304154954348</v>
      </c>
      <c r="B8176" t="str">
        <f>"1551685794345327"</f>
        <v>1551685794345327</v>
      </c>
      <c r="C8176" t="s">
        <v>40</v>
      </c>
      <c r="D8176">
        <v>4.3863120000000002</v>
      </c>
      <c r="E8176">
        <v>0.53008100000000002</v>
      </c>
      <c r="F8176" t="s">
        <v>70</v>
      </c>
      <c r="G8176">
        <v>-168.4196</v>
      </c>
      <c r="H8176">
        <v>0.59008549999999904</v>
      </c>
      <c r="I8176">
        <v>179.5078</v>
      </c>
      <c r="J8176">
        <v>-187.42019999999999</v>
      </c>
      <c r="K8176">
        <v>1.1108290000000001</v>
      </c>
      <c r="L8176">
        <v>103.0035</v>
      </c>
      <c r="M8176">
        <v>-1.1016389999999999E-2</v>
      </c>
      <c r="N8176">
        <v>-1.434616E-2</v>
      </c>
      <c r="O8176">
        <v>0.99983639999999996</v>
      </c>
      <c r="P8176">
        <v>-1.6785929999999999E-3</v>
      </c>
      <c r="Q8176">
        <v>0.21141450000000001</v>
      </c>
      <c r="R8176">
        <v>0.97739509999999996</v>
      </c>
      <c r="S8176">
        <v>0.7609863</v>
      </c>
      <c r="T8176">
        <v>-2.086008E-2</v>
      </c>
      <c r="U8176">
        <v>3.076508</v>
      </c>
      <c r="V8176">
        <v>9.2497510000000005E-3</v>
      </c>
      <c r="W8176">
        <v>0.22540769999999999</v>
      </c>
      <c r="X8176">
        <v>0.97422059999999999</v>
      </c>
      <c r="Y8176">
        <v>0.25075360000000002</v>
      </c>
      <c r="Z8176">
        <v>7.793459E-3</v>
      </c>
      <c r="AA8176">
        <v>0.96801950000000003</v>
      </c>
      <c r="AB8176">
        <v>31</v>
      </c>
      <c r="AC8176">
        <v>19.000599999999899</v>
      </c>
      <c r="AD8176">
        <v>-0.52074350000000003</v>
      </c>
      <c r="AE8176">
        <v>76.504300000000001</v>
      </c>
      <c r="AF8176">
        <v>19.841468836664401</v>
      </c>
      <c r="AG8176">
        <v>-0.52074350000000003</v>
      </c>
      <c r="AH8176">
        <v>76.2869878889435</v>
      </c>
      <c r="AI8176">
        <v>90.378508747630505</v>
      </c>
      <c r="AJ8176">
        <v>75.420963541157207</v>
      </c>
      <c r="AK8176">
        <v>78.826769441332104</v>
      </c>
      <c r="AL8176">
        <v>76.973146238604897</v>
      </c>
      <c r="AM8176">
        <v>89.456020772090099</v>
      </c>
      <c r="AN8176">
        <v>0.99999998328860495</v>
      </c>
    </row>
    <row r="8177" spans="1:40" x14ac:dyDescent="0.25">
      <c r="A8177" t="str">
        <f>"20190304154954361"</f>
        <v>20190304154954361</v>
      </c>
      <c r="B8177" t="str">
        <f>"1551685794355087"</f>
        <v>1551685794355087</v>
      </c>
      <c r="C8177" t="s">
        <v>40</v>
      </c>
      <c r="D8177">
        <v>4.3584860000000001</v>
      </c>
      <c r="E8177">
        <v>0.52859750000000005</v>
      </c>
      <c r="F8177" t="s">
        <v>44</v>
      </c>
      <c r="G8177">
        <v>-181.2509</v>
      </c>
      <c r="H8177" s="1">
        <v>-4.9103040000000003E-6</v>
      </c>
      <c r="I8177">
        <v>177.23650000000001</v>
      </c>
      <c r="J8177">
        <v>-187.422</v>
      </c>
      <c r="K8177">
        <v>1.1107910000000001</v>
      </c>
      <c r="L8177">
        <v>103.1919</v>
      </c>
      <c r="M8177">
        <v>-1.0740080000000001E-2</v>
      </c>
      <c r="N8177">
        <v>-1.434436E-2</v>
      </c>
      <c r="O8177">
        <v>0.99983940000000004</v>
      </c>
      <c r="P8177">
        <v>-1.102762E-3</v>
      </c>
      <c r="Q8177">
        <v>0.21085960000000001</v>
      </c>
      <c r="R8177">
        <v>0.97751569999999999</v>
      </c>
      <c r="S8177">
        <v>0.25595089999999998</v>
      </c>
      <c r="T8177">
        <v>-4.6086189999999999E-2</v>
      </c>
      <c r="U8177">
        <v>3.0797729999999999</v>
      </c>
      <c r="V8177">
        <v>9.5761739999999998E-3</v>
      </c>
      <c r="W8177">
        <v>0.22485160000000001</v>
      </c>
      <c r="X8177">
        <v>0.97434600000000005</v>
      </c>
      <c r="Y8177">
        <v>9.3501470000000003E-2</v>
      </c>
      <c r="Z8177">
        <v>-5.5203659999999999E-4</v>
      </c>
      <c r="AA8177">
        <v>0.99561900000000003</v>
      </c>
      <c r="AB8177">
        <v>31</v>
      </c>
      <c r="AC8177">
        <v>6.1710999999999903</v>
      </c>
      <c r="AD8177">
        <v>-1.1107959103039999</v>
      </c>
      <c r="AE8177">
        <v>74.044600000000003</v>
      </c>
      <c r="AF8177">
        <v>6.9645142193133598</v>
      </c>
      <c r="AG8177">
        <v>-1.1107959103039999</v>
      </c>
      <c r="AH8177">
        <v>73.957514141622198</v>
      </c>
      <c r="AI8177">
        <v>90.856692761922503</v>
      </c>
      <c r="AJ8177">
        <v>84.620371148663395</v>
      </c>
      <c r="AK8177">
        <v>74.293015983157005</v>
      </c>
      <c r="AL8177">
        <v>77.005848615911006</v>
      </c>
      <c r="AM8177">
        <v>89.436897479350094</v>
      </c>
      <c r="AN8177">
        <v>1.00000003642351</v>
      </c>
    </row>
    <row r="8178" spans="1:40" x14ac:dyDescent="0.25">
      <c r="A8178" t="str">
        <f>"20190304154954376"</f>
        <v>20190304154954376</v>
      </c>
      <c r="B8178" t="str">
        <f>"1551685794365824"</f>
        <v>1551685794365824</v>
      </c>
      <c r="C8178" t="s">
        <v>40</v>
      </c>
      <c r="D8178">
        <v>4.2913480000000002</v>
      </c>
      <c r="E8178">
        <v>0.52685879999999996</v>
      </c>
      <c r="F8178" t="s">
        <v>44</v>
      </c>
      <c r="G8178">
        <v>-181.9777</v>
      </c>
      <c r="H8178" s="1">
        <v>-2.7368319999999998E-6</v>
      </c>
      <c r="I8178">
        <v>171.4179</v>
      </c>
      <c r="J8178">
        <v>-187.4239</v>
      </c>
      <c r="K8178">
        <v>1.1107479999999901</v>
      </c>
      <c r="L8178">
        <v>103.3935</v>
      </c>
      <c r="M8178">
        <v>-1.041716E-2</v>
      </c>
      <c r="N8178">
        <v>-1.434246E-2</v>
      </c>
      <c r="O8178">
        <v>0.99984289999999998</v>
      </c>
      <c r="P8178">
        <v>-5.562284E-4</v>
      </c>
      <c r="Q8178">
        <v>0.210704</v>
      </c>
      <c r="R8178">
        <v>0.97754969999999997</v>
      </c>
      <c r="S8178">
        <v>0.2457886</v>
      </c>
      <c r="T8178">
        <v>-5.0147530000000003E-2</v>
      </c>
      <c r="U8178">
        <v>3.0801090000000002</v>
      </c>
      <c r="V8178">
        <v>9.8295699999999993E-3</v>
      </c>
      <c r="W8178">
        <v>0.22469359999999999</v>
      </c>
      <c r="X8178">
        <v>0.97437989999999997</v>
      </c>
      <c r="Y8178">
        <v>8.9906899999999998E-2</v>
      </c>
      <c r="Z8178">
        <v>-1.870687E-3</v>
      </c>
      <c r="AA8178">
        <v>0.99594839999999996</v>
      </c>
      <c r="AB8178">
        <v>31</v>
      </c>
      <c r="AC8178">
        <v>5.4462000000000002</v>
      </c>
      <c r="AD8178">
        <v>-1.11075073683199</v>
      </c>
      <c r="AE8178">
        <v>68.0244</v>
      </c>
      <c r="AF8178">
        <v>6.1529682674725104</v>
      </c>
      <c r="AG8178">
        <v>-1.11075073683199</v>
      </c>
      <c r="AH8178">
        <v>67.945967629691594</v>
      </c>
      <c r="AI8178">
        <v>90.932746708912504</v>
      </c>
      <c r="AJ8178">
        <v>84.8255920090334</v>
      </c>
      <c r="AK8178">
        <v>68.233036740533507</v>
      </c>
      <c r="AL8178">
        <v>77.015138756471302</v>
      </c>
      <c r="AM8178">
        <v>89.422018278969603</v>
      </c>
      <c r="AN8178">
        <v>1.00000001192567</v>
      </c>
    </row>
    <row r="8179" spans="1:40" x14ac:dyDescent="0.25">
      <c r="A8179" t="str">
        <f>"20190304154954393"</f>
        <v>20190304154954393</v>
      </c>
      <c r="B8179" t="str">
        <f>"1551685794385342"</f>
        <v>1551685794385342</v>
      </c>
      <c r="C8179" t="s">
        <v>40</v>
      </c>
      <c r="D8179">
        <v>4.3738320000000002</v>
      </c>
      <c r="E8179">
        <v>0.52579209999999998</v>
      </c>
      <c r="F8179" t="s">
        <v>44</v>
      </c>
      <c r="G8179">
        <v>-182.78219999999999</v>
      </c>
      <c r="H8179" s="1">
        <v>-3.8021739999999999E-6</v>
      </c>
      <c r="I8179">
        <v>164.5445</v>
      </c>
      <c r="J8179">
        <v>-187.42590000000001</v>
      </c>
      <c r="K8179">
        <v>1.1106879999999999</v>
      </c>
      <c r="L8179">
        <v>103.6233</v>
      </c>
      <c r="M8179">
        <v>-1.0007429999999999E-2</v>
      </c>
      <c r="N8179">
        <v>-1.43403E-2</v>
      </c>
      <c r="O8179">
        <v>0.99984709999999999</v>
      </c>
      <c r="P8179">
        <v>4.9261400000000005E-4</v>
      </c>
      <c r="Q8179">
        <v>0.2097405</v>
      </c>
      <c r="R8179">
        <v>0.97775699999999999</v>
      </c>
      <c r="S8179">
        <v>0.23387150000000001</v>
      </c>
      <c r="T8179">
        <v>-5.5965069999999999E-2</v>
      </c>
      <c r="U8179">
        <v>3.0810849999999999</v>
      </c>
      <c r="V8179">
        <v>1.050599E-2</v>
      </c>
      <c r="W8179">
        <v>0.22372890000000001</v>
      </c>
      <c r="X8179">
        <v>0.97459479999999998</v>
      </c>
      <c r="Y8179">
        <v>8.5643360000000002E-2</v>
      </c>
      <c r="Z8179">
        <v>-3.7550909999999999E-3</v>
      </c>
      <c r="AA8179">
        <v>0.99631879999999995</v>
      </c>
      <c r="AB8179">
        <v>31</v>
      </c>
      <c r="AC8179">
        <v>4.6437000000000204</v>
      </c>
      <c r="AD8179">
        <v>-1.110691802174</v>
      </c>
      <c r="AE8179">
        <v>60.921199999999999</v>
      </c>
      <c r="AF8179">
        <v>5.2514592940609699</v>
      </c>
      <c r="AG8179">
        <v>-1.110691802174</v>
      </c>
      <c r="AH8179">
        <v>60.851562710917399</v>
      </c>
      <c r="AI8179">
        <v>91.041802424247905</v>
      </c>
      <c r="AJ8179">
        <v>85.067623579927897</v>
      </c>
      <c r="AK8179">
        <v>61.087839586592899</v>
      </c>
      <c r="AL8179">
        <v>77.071855964748394</v>
      </c>
      <c r="AM8179">
        <v>89.3823837643193</v>
      </c>
      <c r="AN8179">
        <v>1.0000000103540601</v>
      </c>
    </row>
    <row r="8180" spans="1:40" x14ac:dyDescent="0.25">
      <c r="A8180" t="str">
        <f>"20190304154954406"</f>
        <v>20190304154954406</v>
      </c>
      <c r="B8180" t="str">
        <f>"1551685794395101"</f>
        <v>1551685794395101</v>
      </c>
      <c r="C8180" t="s">
        <v>40</v>
      </c>
      <c r="D8180">
        <v>4.339753</v>
      </c>
      <c r="E8180">
        <v>0.52561530000000001</v>
      </c>
      <c r="F8180" t="s">
        <v>44</v>
      </c>
      <c r="G8180">
        <v>-182.98929999999999</v>
      </c>
      <c r="H8180" s="1">
        <v>-3.2836869999999999E-6</v>
      </c>
      <c r="I8180">
        <v>163.33779999999999</v>
      </c>
      <c r="J8180">
        <v>-187.42740000000001</v>
      </c>
      <c r="K8180">
        <v>1.1106469999999999</v>
      </c>
      <c r="L8180">
        <v>103.8111</v>
      </c>
      <c r="M8180">
        <v>-9.6323989999999998E-3</v>
      </c>
      <c r="N8180">
        <v>-1.433861E-2</v>
      </c>
      <c r="O8180">
        <v>0.99985080000000004</v>
      </c>
      <c r="P8180">
        <v>1.372917E-3</v>
      </c>
      <c r="Q8180">
        <v>0.20916979999999999</v>
      </c>
      <c r="R8180">
        <v>0.97787840000000004</v>
      </c>
      <c r="S8180">
        <v>0.2288666</v>
      </c>
      <c r="T8180">
        <v>-5.7295800000000001E-2</v>
      </c>
      <c r="U8180">
        <v>3.0804140000000002</v>
      </c>
      <c r="V8180">
        <v>1.1042659999999999E-2</v>
      </c>
      <c r="W8180">
        <v>0.22315679999999999</v>
      </c>
      <c r="X8180">
        <v>0.97472000000000003</v>
      </c>
      <c r="Y8180">
        <v>8.3676239999999999E-2</v>
      </c>
      <c r="Z8180">
        <v>-4.1942059999999998E-3</v>
      </c>
      <c r="AA8180">
        <v>0.99648419999999904</v>
      </c>
      <c r="AB8180">
        <v>31</v>
      </c>
      <c r="AC8180">
        <v>4.4381000000000199</v>
      </c>
      <c r="AD8180">
        <v>-1.110650283687</v>
      </c>
      <c r="AE8180">
        <v>59.526699999999899</v>
      </c>
      <c r="AF8180">
        <v>5.00960362850532</v>
      </c>
      <c r="AG8180">
        <v>-1.110650283687</v>
      </c>
      <c r="AH8180">
        <v>59.4605987897665</v>
      </c>
      <c r="AI8180">
        <v>91.066312822961706</v>
      </c>
      <c r="AJ8180">
        <v>85.184157264626407</v>
      </c>
      <c r="AK8180">
        <v>59.681592480470599</v>
      </c>
      <c r="AL8180">
        <v>77.105484832997305</v>
      </c>
      <c r="AM8180">
        <v>89.350920524588005</v>
      </c>
      <c r="AN8180">
        <v>0.99999998806305701</v>
      </c>
    </row>
    <row r="8181" spans="1:40" x14ac:dyDescent="0.25">
      <c r="A8181" t="str">
        <f>"20190304154954419"</f>
        <v>20190304154954419</v>
      </c>
      <c r="B8181" t="str">
        <f>"1551685794415600"</f>
        <v>1551685794415600</v>
      </c>
      <c r="C8181" t="s">
        <v>40</v>
      </c>
      <c r="D8181">
        <v>4.3922420000000004</v>
      </c>
      <c r="E8181">
        <v>0.52555289999999999</v>
      </c>
      <c r="F8181" t="s">
        <v>44</v>
      </c>
      <c r="G8181">
        <v>-183.15940000000001</v>
      </c>
      <c r="H8181" s="1">
        <v>-2.3084370000000002E-6</v>
      </c>
      <c r="I8181">
        <v>160.9161</v>
      </c>
      <c r="J8181">
        <v>-187.42869999999999</v>
      </c>
      <c r="K8181">
        <v>1.110608</v>
      </c>
      <c r="L8181">
        <v>103.9845</v>
      </c>
      <c r="M8181">
        <v>-9.2616209999999994E-3</v>
      </c>
      <c r="N8181">
        <v>-1.433709E-2</v>
      </c>
      <c r="O8181">
        <v>0.99985429999999997</v>
      </c>
      <c r="P8181">
        <v>2.2241700000000001E-3</v>
      </c>
      <c r="Q8181">
        <v>0.20891660000000001</v>
      </c>
      <c r="R8181">
        <v>0.97793090000000005</v>
      </c>
      <c r="S8181">
        <v>0.2302246</v>
      </c>
      <c r="T8181">
        <v>-5.9910539999999998E-2</v>
      </c>
      <c r="U8181">
        <v>3.0803530000000001</v>
      </c>
      <c r="V8181">
        <v>1.155204E-2</v>
      </c>
      <c r="W8181">
        <v>0.22290109999999999</v>
      </c>
      <c r="X8181">
        <v>0.97477259999999999</v>
      </c>
      <c r="Y8181">
        <v>8.3744260000000001E-2</v>
      </c>
      <c r="Z8181">
        <v>-5.0418059999999898E-3</v>
      </c>
      <c r="AA8181">
        <v>0.99647450000000004</v>
      </c>
      <c r="AB8181">
        <v>31</v>
      </c>
      <c r="AC8181">
        <v>4.2692999999999799</v>
      </c>
      <c r="AD8181">
        <v>-1.110610308437</v>
      </c>
      <c r="AE8181">
        <v>56.931600000000003</v>
      </c>
      <c r="AF8181">
        <v>4.7946355525077502</v>
      </c>
      <c r="AG8181">
        <v>-1.110610308437</v>
      </c>
      <c r="AH8181">
        <v>56.868092636059004</v>
      </c>
      <c r="AI8181">
        <v>91.1148661740948</v>
      </c>
      <c r="AJ8181">
        <v>85.180703165619704</v>
      </c>
      <c r="AK8181">
        <v>57.080661746356498</v>
      </c>
      <c r="AL8181">
        <v>77.120513890499296</v>
      </c>
      <c r="AM8181">
        <v>89.321018919694694</v>
      </c>
      <c r="AN8181">
        <v>0.999999985860065</v>
      </c>
    </row>
    <row r="8182" spans="1:40" x14ac:dyDescent="0.25">
      <c r="A8182" t="str">
        <f>"20190304154954437"</f>
        <v>20190304154954437</v>
      </c>
      <c r="B8182" t="str">
        <f>"1551685794425358"</f>
        <v>1551685794425358</v>
      </c>
      <c r="C8182" t="s">
        <v>40</v>
      </c>
      <c r="D8182">
        <v>4.4328510000000003</v>
      </c>
      <c r="E8182">
        <v>0.52582430000000002</v>
      </c>
      <c r="F8182" t="s">
        <v>44</v>
      </c>
      <c r="G8182">
        <v>-183.10149999999999</v>
      </c>
      <c r="H8182" s="1">
        <v>-2.487166E-6</v>
      </c>
      <c r="I8182">
        <v>161.34139999999999</v>
      </c>
      <c r="J8182">
        <v>-187.43049999999999</v>
      </c>
      <c r="K8182">
        <v>1.1105590000000001</v>
      </c>
      <c r="L8182">
        <v>104.2341</v>
      </c>
      <c r="M8182">
        <v>-8.6837319999999996E-3</v>
      </c>
      <c r="N8182">
        <v>-1.4334960000000001E-2</v>
      </c>
      <c r="O8182">
        <v>0.99985950000000001</v>
      </c>
      <c r="P8182">
        <v>3.9160509999999898E-3</v>
      </c>
      <c r="Q8182">
        <v>0.20833840000000001</v>
      </c>
      <c r="R8182">
        <v>0.97804899999999995</v>
      </c>
      <c r="S8182">
        <v>0.23236080000000001</v>
      </c>
      <c r="T8182">
        <v>-5.9636830000000002E-2</v>
      </c>
      <c r="U8182">
        <v>3.0799099999999999</v>
      </c>
      <c r="V8182">
        <v>1.270874E-2</v>
      </c>
      <c r="W8182">
        <v>0.22231960000000001</v>
      </c>
      <c r="X8182">
        <v>0.97489099999999995</v>
      </c>
      <c r="Y8182">
        <v>8.3866309999999999E-2</v>
      </c>
      <c r="Z8182">
        <v>-4.9579890000000003E-3</v>
      </c>
      <c r="AA8182">
        <v>0.99646469999999998</v>
      </c>
      <c r="AB8182">
        <v>31</v>
      </c>
      <c r="AC8182">
        <v>4.3289999999999997</v>
      </c>
      <c r="AD8182">
        <v>-1.1105614871659999</v>
      </c>
      <c r="AE8182">
        <v>57.107300000000002</v>
      </c>
      <c r="AF8182">
        <v>4.8229786659798197</v>
      </c>
      <c r="AG8182">
        <v>-1.1105614871659999</v>
      </c>
      <c r="AH8182">
        <v>57.046100024840598</v>
      </c>
      <c r="AI8182">
        <v>91.111317589603701</v>
      </c>
      <c r="AJ8182">
        <v>85.167404556149805</v>
      </c>
      <c r="AK8182">
        <v>57.260387687068501</v>
      </c>
      <c r="AL8182">
        <v>77.154688968690806</v>
      </c>
      <c r="AM8182">
        <v>89.253130943132106</v>
      </c>
      <c r="AN8182">
        <v>0.99999998924877298</v>
      </c>
    </row>
    <row r="8183" spans="1:40" x14ac:dyDescent="0.25">
      <c r="A8183" t="str">
        <f>"20190304154954459"</f>
        <v>20190304154954459</v>
      </c>
      <c r="B8183" t="str">
        <f>"1551685794455615"</f>
        <v>1551685794455615</v>
      </c>
      <c r="C8183" t="s">
        <v>40</v>
      </c>
      <c r="D8183">
        <v>4.4100950000000001</v>
      </c>
      <c r="E8183">
        <v>0.52564829999999996</v>
      </c>
      <c r="F8183" t="s">
        <v>79</v>
      </c>
      <c r="G8183">
        <v>-183.29230000000001</v>
      </c>
      <c r="H8183" s="1">
        <v>-1.398313E-5</v>
      </c>
      <c r="I8183">
        <v>157.32079999999999</v>
      </c>
      <c r="J8183">
        <v>-187.4323</v>
      </c>
      <c r="K8183">
        <v>1.110492</v>
      </c>
      <c r="L8183">
        <v>104.53919999999999</v>
      </c>
      <c r="M8183">
        <v>-7.8909050000000001E-3</v>
      </c>
      <c r="N8183">
        <v>-1.433242E-2</v>
      </c>
      <c r="O8183">
        <v>0.99986609999999998</v>
      </c>
      <c r="P8183">
        <v>5.4666949999999997E-3</v>
      </c>
      <c r="Q8183">
        <v>0.2085825</v>
      </c>
      <c r="R8183">
        <v>0.97798949999999996</v>
      </c>
      <c r="S8183">
        <v>0.240097</v>
      </c>
      <c r="T8183">
        <v>-6.4435240000000005E-2</v>
      </c>
      <c r="U8183">
        <v>3.0800779999999999</v>
      </c>
      <c r="V8183">
        <v>1.352154E-2</v>
      </c>
      <c r="W8183">
        <v>0.22255710000000001</v>
      </c>
      <c r="X8183">
        <v>0.97482590000000002</v>
      </c>
      <c r="Y8183">
        <v>8.5558099999999998E-2</v>
      </c>
      <c r="Z8183">
        <v>-6.5086629999999996E-3</v>
      </c>
      <c r="AA8183">
        <v>0.99631190000000003</v>
      </c>
      <c r="AB8183">
        <v>31</v>
      </c>
      <c r="AC8183">
        <v>4.1399999999999801</v>
      </c>
      <c r="AD8183">
        <v>-1.1105059831299999</v>
      </c>
      <c r="AE8183">
        <v>52.781599999999997</v>
      </c>
      <c r="AF8183">
        <v>4.5544047211539098</v>
      </c>
      <c r="AG8183">
        <v>-1.1105059831299999</v>
      </c>
      <c r="AH8183">
        <v>52.724088193830397</v>
      </c>
      <c r="AI8183">
        <v>91.202143806549202</v>
      </c>
      <c r="AJ8183">
        <v>85.062939574739204</v>
      </c>
      <c r="AK8183">
        <v>52.932081970893996</v>
      </c>
      <c r="AL8183">
        <v>77.140731879643099</v>
      </c>
      <c r="AM8183">
        <v>89.205317077436902</v>
      </c>
      <c r="AN8183">
        <v>1.0000000150575901</v>
      </c>
    </row>
    <row r="8184" spans="1:40" x14ac:dyDescent="0.25">
      <c r="A8184" t="str">
        <f>"20190304154954473"</f>
        <v>20190304154954473</v>
      </c>
      <c r="B8184" t="str">
        <f>"1551685794465375"</f>
        <v>1551685794465375</v>
      </c>
      <c r="C8184" t="s">
        <v>40</v>
      </c>
      <c r="D8184">
        <v>4.3664940000000003</v>
      </c>
      <c r="E8184">
        <v>0.52530269999999901</v>
      </c>
      <c r="F8184" t="s">
        <v>44</v>
      </c>
      <c r="G8184">
        <v>-183.00380000000001</v>
      </c>
      <c r="H8184" s="1">
        <v>-2.1931630000000001E-6</v>
      </c>
      <c r="I8184">
        <v>160.50810000000001</v>
      </c>
      <c r="J8184">
        <v>-187.4333</v>
      </c>
      <c r="K8184">
        <v>1.1104510000000001</v>
      </c>
      <c r="L8184">
        <v>104.7323</v>
      </c>
      <c r="M8184">
        <v>-7.3492399999999999E-3</v>
      </c>
      <c r="N8184">
        <v>-1.4330860000000001E-2</v>
      </c>
      <c r="O8184">
        <v>0.99987029999999999</v>
      </c>
      <c r="P8184">
        <v>6.1943819999999896E-3</v>
      </c>
      <c r="Q8184">
        <v>0.20912169999999999</v>
      </c>
      <c r="R8184">
        <v>0.97787000000000002</v>
      </c>
      <c r="S8184">
        <v>0.2436371</v>
      </c>
      <c r="T8184">
        <v>-6.1095120000000003E-2</v>
      </c>
      <c r="U8184">
        <v>3.0791930000000001</v>
      </c>
      <c r="V8184">
        <v>1.3743729999999999E-2</v>
      </c>
      <c r="W8184">
        <v>0.22309119999999999</v>
      </c>
      <c r="X8184">
        <v>0.97470069999999998</v>
      </c>
      <c r="Y8184">
        <v>8.6179930000000002E-2</v>
      </c>
      <c r="Z8184">
        <v>-5.4345419999999997E-3</v>
      </c>
      <c r="AA8184">
        <v>0.99626479999999995</v>
      </c>
      <c r="AB8184">
        <v>31</v>
      </c>
      <c r="AC8184">
        <v>4.4294999999999902</v>
      </c>
      <c r="AD8184">
        <v>-1.110453193163</v>
      </c>
      <c r="AE8184">
        <v>55.775799999999997</v>
      </c>
      <c r="AF8184">
        <v>4.8374267617598896</v>
      </c>
      <c r="AG8184">
        <v>-1.110453193163</v>
      </c>
      <c r="AH8184">
        <v>55.719788962250099</v>
      </c>
      <c r="AI8184">
        <v>91.1374330031244</v>
      </c>
      <c r="AJ8184">
        <v>85.038191500248203</v>
      </c>
      <c r="AK8184">
        <v>55.940402983597501</v>
      </c>
      <c r="AL8184">
        <v>77.109340982320404</v>
      </c>
      <c r="AM8184">
        <v>89.192156585349295</v>
      </c>
      <c r="AN8184">
        <v>1.00000001410612</v>
      </c>
    </row>
    <row r="8185" spans="1:40" x14ac:dyDescent="0.25">
      <c r="A8185" t="str">
        <f>"20190304154954485"</f>
        <v>20190304154954485</v>
      </c>
      <c r="B8185" t="str">
        <f>"1551685794475135"</f>
        <v>1551685794475135</v>
      </c>
      <c r="C8185" t="s">
        <v>40</v>
      </c>
      <c r="D8185">
        <v>4.3487390000000001</v>
      </c>
      <c r="E8185">
        <v>0.52512599999999998</v>
      </c>
      <c r="F8185" t="s">
        <v>44</v>
      </c>
      <c r="G8185">
        <v>-182.89689999999999</v>
      </c>
      <c r="H8185" s="1">
        <v>-2.8503469999999999E-6</v>
      </c>
      <c r="I8185">
        <v>162.1454</v>
      </c>
      <c r="J8185">
        <v>-187.4341</v>
      </c>
      <c r="K8185">
        <v>1.1104130000000001</v>
      </c>
      <c r="L8185">
        <v>104.9083</v>
      </c>
      <c r="M8185">
        <v>-6.8156750000000002E-3</v>
      </c>
      <c r="N8185">
        <v>-1.432955E-2</v>
      </c>
      <c r="O8185">
        <v>0.99987409999999999</v>
      </c>
      <c r="P8185">
        <v>7.1086489999999999E-3</v>
      </c>
      <c r="Q8185">
        <v>0.2098612</v>
      </c>
      <c r="R8185">
        <v>0.97770539999999995</v>
      </c>
      <c r="S8185">
        <v>0.24328610000000001</v>
      </c>
      <c r="T8185">
        <v>-5.9553740000000001E-2</v>
      </c>
      <c r="U8185">
        <v>3.0790709999999999</v>
      </c>
      <c r="V8185">
        <v>1.4158860000000001E-2</v>
      </c>
      <c r="W8185">
        <v>0.22382469999999999</v>
      </c>
      <c r="X8185">
        <v>0.97452660000000002</v>
      </c>
      <c r="Y8185">
        <v>8.5539190000000001E-2</v>
      </c>
      <c r="Z8185">
        <v>-4.9390079999999999E-3</v>
      </c>
      <c r="AA8185">
        <v>0.99632259999999995</v>
      </c>
      <c r="AB8185">
        <v>31</v>
      </c>
      <c r="AC8185">
        <v>4.5372000000000101</v>
      </c>
      <c r="AD8185">
        <v>-1.1104158503470001</v>
      </c>
      <c r="AE8185">
        <v>57.237099999999998</v>
      </c>
      <c r="AF8185">
        <v>4.9254019192584302</v>
      </c>
      <c r="AG8185">
        <v>-1.1104158503470001</v>
      </c>
      <c r="AH8185">
        <v>57.183455232272898</v>
      </c>
      <c r="AI8185">
        <v>91.108354416553595</v>
      </c>
      <c r="AJ8185">
        <v>85.077073541482306</v>
      </c>
      <c r="AK8185">
        <v>57.405924430569797</v>
      </c>
      <c r="AL8185">
        <v>77.066224493385405</v>
      </c>
      <c r="AM8185">
        <v>89.167610359748593</v>
      </c>
      <c r="AN8185">
        <v>1.0000000318770701</v>
      </c>
    </row>
    <row r="8186" spans="1:40" x14ac:dyDescent="0.25">
      <c r="A8186" t="str">
        <f>"20190304154954504"</f>
        <v>20190304154954504</v>
      </c>
      <c r="B8186" t="str">
        <f>"1551685794495630"</f>
        <v>1551685794495630</v>
      </c>
      <c r="C8186" t="s">
        <v>40</v>
      </c>
      <c r="D8186">
        <v>4.3317449999999997</v>
      </c>
      <c r="E8186">
        <v>0.5248218</v>
      </c>
      <c r="F8186" t="s">
        <v>44</v>
      </c>
      <c r="G8186">
        <v>-182.6525</v>
      </c>
      <c r="H8186" s="1">
        <v>-4.0364150000000002E-6</v>
      </c>
      <c r="I8186">
        <v>165.06469999999999</v>
      </c>
      <c r="J8186">
        <v>-187.435</v>
      </c>
      <c r="K8186">
        <v>1.11036</v>
      </c>
      <c r="L8186">
        <v>105.16419999999999</v>
      </c>
      <c r="M8186">
        <v>-5.9896119999999897E-3</v>
      </c>
      <c r="N8186">
        <v>-1.4327660000000001E-2</v>
      </c>
      <c r="O8186">
        <v>0.99987939999999997</v>
      </c>
      <c r="P8186">
        <v>8.5684230000000004E-3</v>
      </c>
      <c r="Q8186">
        <v>0.21041950000000001</v>
      </c>
      <c r="R8186">
        <v>0.97757360000000004</v>
      </c>
      <c r="S8186">
        <v>0.24472050000000001</v>
      </c>
      <c r="T8186">
        <v>-5.6831600000000003E-2</v>
      </c>
      <c r="U8186">
        <v>3.078827</v>
      </c>
      <c r="V8186">
        <v>1.484483E-2</v>
      </c>
      <c r="W8186">
        <v>0.2243763</v>
      </c>
      <c r="X8186">
        <v>0.97438950000000002</v>
      </c>
      <c r="Y8186">
        <v>8.518444E-2</v>
      </c>
      <c r="Z8186">
        <v>-4.0621499999999996E-3</v>
      </c>
      <c r="AA8186">
        <v>0.99635689999999999</v>
      </c>
      <c r="AB8186">
        <v>31</v>
      </c>
      <c r="AC8186">
        <v>4.78249999999999</v>
      </c>
      <c r="AD8186">
        <v>-1.110364036415</v>
      </c>
      <c r="AE8186">
        <v>59.900500000000001</v>
      </c>
      <c r="AF8186">
        <v>5.1394769781514498</v>
      </c>
      <c r="AG8186">
        <v>-1.110364036415</v>
      </c>
      <c r="AH8186">
        <v>59.850341925591003</v>
      </c>
      <c r="AI8186">
        <v>91.058952682709503</v>
      </c>
      <c r="AJ8186">
        <v>85.091929211017899</v>
      </c>
      <c r="AK8186">
        <v>60.080866842219201</v>
      </c>
      <c r="AL8186">
        <v>77.033794858245699</v>
      </c>
      <c r="AM8186">
        <v>89.127165973873304</v>
      </c>
      <c r="AN8186">
        <v>0.99999999534483397</v>
      </c>
    </row>
    <row r="8187" spans="1:40" x14ac:dyDescent="0.25">
      <c r="A8187" t="str">
        <f>"20190304154954518"</f>
        <v>20190304154954518</v>
      </c>
      <c r="B8187" t="str">
        <f>"1551685794505391"</f>
        <v>1551685794505391</v>
      </c>
      <c r="C8187" t="s">
        <v>40</v>
      </c>
      <c r="D8187">
        <v>4.3763300000000003</v>
      </c>
      <c r="E8187">
        <v>0.52479940000000003</v>
      </c>
      <c r="F8187" t="s">
        <v>44</v>
      </c>
      <c r="G8187">
        <v>-182.49010000000001</v>
      </c>
      <c r="H8187" s="1">
        <v>-4.8450329999999996E-6</v>
      </c>
      <c r="I8187">
        <v>167.05779999999999</v>
      </c>
      <c r="J8187">
        <v>-187.43539999999999</v>
      </c>
      <c r="K8187">
        <v>1.1103179999999999</v>
      </c>
      <c r="L8187">
        <v>105.3365</v>
      </c>
      <c r="M8187">
        <v>-5.3948390000000002E-3</v>
      </c>
      <c r="N8187">
        <v>-1.4326419999999999E-2</v>
      </c>
      <c r="O8187">
        <v>0.99988279999999996</v>
      </c>
      <c r="P8187">
        <v>9.6927349999999992E-3</v>
      </c>
      <c r="Q8187">
        <v>0.21020539999999999</v>
      </c>
      <c r="R8187">
        <v>0.97760919999999896</v>
      </c>
      <c r="S8187">
        <v>0.24595639999999999</v>
      </c>
      <c r="T8187">
        <v>-5.5228949999999999E-2</v>
      </c>
      <c r="U8187">
        <v>3.0785520000000002</v>
      </c>
      <c r="V8187">
        <v>1.541121E-2</v>
      </c>
      <c r="W8187">
        <v>0.2241583</v>
      </c>
      <c r="X8187">
        <v>0.97443089999999999</v>
      </c>
      <c r="Y8187">
        <v>8.4996779999999994E-2</v>
      </c>
      <c r="Z8187">
        <v>-3.5466669999999999E-3</v>
      </c>
      <c r="AA8187">
        <v>0.99637489999999995</v>
      </c>
      <c r="AB8187">
        <v>31</v>
      </c>
      <c r="AC8187">
        <v>4.9452999999999703</v>
      </c>
      <c r="AD8187">
        <v>-1.110322845033</v>
      </c>
      <c r="AE8187">
        <v>61.7212999999999</v>
      </c>
      <c r="AF8187">
        <v>5.2765420035389203</v>
      </c>
      <c r="AG8187">
        <v>-1.110322845033</v>
      </c>
      <c r="AH8187">
        <v>61.673888521429298</v>
      </c>
      <c r="AI8187">
        <v>91.027638413013506</v>
      </c>
      <c r="AJ8187">
        <v>85.109937559200603</v>
      </c>
      <c r="AK8187">
        <v>61.909153101047998</v>
      </c>
      <c r="AL8187">
        <v>77.046612060113503</v>
      </c>
      <c r="AM8187">
        <v>89.093908373680193</v>
      </c>
      <c r="AN8187">
        <v>1.00000001386368</v>
      </c>
    </row>
    <row r="8188" spans="1:40" x14ac:dyDescent="0.25">
      <c r="A8188" t="str">
        <f>"20190304154954533"</f>
        <v>20190304154954533</v>
      </c>
      <c r="B8188" t="str">
        <f>"1551685794525887"</f>
        <v>1551685794525887</v>
      </c>
      <c r="C8188" t="s">
        <v>40</v>
      </c>
      <c r="D8188">
        <v>4.408989</v>
      </c>
      <c r="E8188">
        <v>0.52450819999999998</v>
      </c>
      <c r="F8188" t="s">
        <v>44</v>
      </c>
      <c r="G8188">
        <v>-182.37700000000001</v>
      </c>
      <c r="H8188" s="1">
        <v>-5.2167030000000003E-6</v>
      </c>
      <c r="I8188">
        <v>167.8065</v>
      </c>
      <c r="J8188">
        <v>-187.4358</v>
      </c>
      <c r="K8188">
        <v>1.110263</v>
      </c>
      <c r="L8188">
        <v>105.5531</v>
      </c>
      <c r="M8188">
        <v>-4.604403E-3</v>
      </c>
      <c r="N8188">
        <v>-1.432491E-2</v>
      </c>
      <c r="O8188">
        <v>0.99988679999999996</v>
      </c>
      <c r="P8188">
        <v>1.1296809999999999E-2</v>
      </c>
      <c r="Q8188">
        <v>0.21029410000000001</v>
      </c>
      <c r="R8188">
        <v>0.97757289999999997</v>
      </c>
      <c r="S8188">
        <v>0.24923709999999999</v>
      </c>
      <c r="T8188">
        <v>-5.4707529999999997E-2</v>
      </c>
      <c r="U8188">
        <v>3.0780029999999998</v>
      </c>
      <c r="V8188">
        <v>1.6273699999999999E-2</v>
      </c>
      <c r="W8188">
        <v>0.224241</v>
      </c>
      <c r="X8188">
        <v>0.97439779999999998</v>
      </c>
      <c r="Y8188">
        <v>8.5278469999999995E-2</v>
      </c>
      <c r="Z8188">
        <v>-3.3821419999999999E-3</v>
      </c>
      <c r="AA8188">
        <v>0.9963514</v>
      </c>
      <c r="AB8188">
        <v>31</v>
      </c>
      <c r="AC8188">
        <v>5.05879999999999</v>
      </c>
      <c r="AD8188">
        <v>-1.110268216703</v>
      </c>
      <c r="AE8188">
        <v>62.253399999999999</v>
      </c>
      <c r="AF8188">
        <v>5.3437269614592999</v>
      </c>
      <c r="AG8188">
        <v>-1.110268216703</v>
      </c>
      <c r="AH8188">
        <v>62.209787237989801</v>
      </c>
      <c r="AI8188">
        <v>91.0187079782594</v>
      </c>
      <c r="AJ8188">
        <v>85.090430397871899</v>
      </c>
      <c r="AK8188">
        <v>62.4487449157116</v>
      </c>
      <c r="AL8188">
        <v>77.041749294205999</v>
      </c>
      <c r="AM8188">
        <v>89.043175541000807</v>
      </c>
      <c r="AN8188">
        <v>0.99999996601876395</v>
      </c>
    </row>
    <row r="8189" spans="1:40" x14ac:dyDescent="0.25">
      <c r="A8189" t="str">
        <f>"20190304154954561"</f>
        <v>20190304154954561</v>
      </c>
      <c r="B8189" t="str">
        <f>"1551685794555166"</f>
        <v>1551685794555166</v>
      </c>
      <c r="C8189" t="s">
        <v>40</v>
      </c>
      <c r="D8189">
        <v>4.3822939999999999</v>
      </c>
      <c r="E8189">
        <v>0.5241323</v>
      </c>
      <c r="F8189" t="s">
        <v>44</v>
      </c>
      <c r="G8189">
        <v>-182.1172</v>
      </c>
      <c r="H8189" s="1">
        <v>-2.3996919999999999E-6</v>
      </c>
      <c r="I8189">
        <v>170.53630000000001</v>
      </c>
      <c r="J8189">
        <v>-187.4359</v>
      </c>
      <c r="K8189">
        <v>1.11015</v>
      </c>
      <c r="L8189">
        <v>105.9277</v>
      </c>
      <c r="M8189">
        <v>-3.0989199999999998E-3</v>
      </c>
      <c r="N8189">
        <v>-1.432274E-2</v>
      </c>
      <c r="O8189">
        <v>0.99989260000000002</v>
      </c>
      <c r="P8189">
        <v>1.4225389999999999E-2</v>
      </c>
      <c r="Q8189">
        <v>0.20939150000000001</v>
      </c>
      <c r="R8189">
        <v>0.97772840000000005</v>
      </c>
      <c r="S8189">
        <v>0.25186160000000002</v>
      </c>
      <c r="T8189">
        <v>-5.2575950000000003E-2</v>
      </c>
      <c r="U8189">
        <v>3.0772400000000002</v>
      </c>
      <c r="V8189">
        <v>1.7784700000000001E-2</v>
      </c>
      <c r="W8189">
        <v>0.22333149999999999</v>
      </c>
      <c r="X8189">
        <v>0.97458029999999995</v>
      </c>
      <c r="Y8189">
        <v>8.4643070000000001E-2</v>
      </c>
      <c r="Z8189">
        <v>-2.699487E-3</v>
      </c>
      <c r="AA8189">
        <v>0.99640770000000001</v>
      </c>
      <c r="AB8189">
        <v>31</v>
      </c>
      <c r="AC8189">
        <v>5.3186999999999998</v>
      </c>
      <c r="AD8189">
        <v>-1.110152399692</v>
      </c>
      <c r="AE8189">
        <v>64.608599999999996</v>
      </c>
      <c r="AF8189">
        <v>5.5172938868617196</v>
      </c>
      <c r="AG8189">
        <v>-1.110152399692</v>
      </c>
      <c r="AH8189">
        <v>64.572869217357095</v>
      </c>
      <c r="AI8189">
        <v>90.981370851173693</v>
      </c>
      <c r="AJ8189">
        <v>85.116343153446095</v>
      </c>
      <c r="AK8189">
        <v>64.817655072876903</v>
      </c>
      <c r="AL8189">
        <v>77.095216362803001</v>
      </c>
      <c r="AM8189">
        <v>88.954549808502904</v>
      </c>
      <c r="AN8189">
        <v>1.00000000779721</v>
      </c>
    </row>
    <row r="8190" spans="1:40" x14ac:dyDescent="0.25">
      <c r="A8190" t="str">
        <f>"20190304154954582"</f>
        <v>20190304154954582</v>
      </c>
      <c r="B8190" t="str">
        <f>"1551685794575662"</f>
        <v>1551685794575662</v>
      </c>
      <c r="C8190" t="s">
        <v>40</v>
      </c>
      <c r="D8190">
        <v>4.3837900000000003</v>
      </c>
      <c r="E8190">
        <v>0.52350649999999999</v>
      </c>
      <c r="F8190" t="s">
        <v>44</v>
      </c>
      <c r="G8190">
        <v>-182.3742</v>
      </c>
      <c r="H8190" s="1">
        <v>-4.5374019999999996E-6</v>
      </c>
      <c r="I8190">
        <v>166.1764</v>
      </c>
      <c r="J8190">
        <v>-187.43549999999999</v>
      </c>
      <c r="K8190">
        <v>1.1100650000000001</v>
      </c>
      <c r="L8190">
        <v>106.2278</v>
      </c>
      <c r="M8190">
        <v>-1.79663E-3</v>
      </c>
      <c r="N8190">
        <v>-1.43211E-2</v>
      </c>
      <c r="O8190">
        <v>0.9998958</v>
      </c>
      <c r="P8190">
        <v>1.6541980000000001E-2</v>
      </c>
      <c r="Q8190">
        <v>0.20899980000000001</v>
      </c>
      <c r="R8190">
        <v>0.97777579999999997</v>
      </c>
      <c r="S8190">
        <v>0.25848389999999999</v>
      </c>
      <c r="T8190">
        <v>-5.6691999999999999E-2</v>
      </c>
      <c r="U8190">
        <v>3.0767060000000002</v>
      </c>
      <c r="V8190">
        <v>1.8869440000000001E-2</v>
      </c>
      <c r="W8190">
        <v>0.2229332</v>
      </c>
      <c r="X8190">
        <v>0.97465109999999999</v>
      </c>
      <c r="Y8190">
        <v>8.5487980000000005E-2</v>
      </c>
      <c r="Z8190">
        <v>-4.0353489999999997E-3</v>
      </c>
      <c r="AA8190">
        <v>0.99633099999999997</v>
      </c>
      <c r="AB8190">
        <v>31</v>
      </c>
      <c r="AC8190">
        <v>5.0612999999999797</v>
      </c>
      <c r="AD8190">
        <v>-1.11006953740199</v>
      </c>
      <c r="AE8190">
        <v>59.948599999999999</v>
      </c>
      <c r="AF8190">
        <v>5.1672491257870199</v>
      </c>
      <c r="AG8190">
        <v>-1.11006953740199</v>
      </c>
      <c r="AH8190">
        <v>59.919009382421002</v>
      </c>
      <c r="AI8190">
        <v>91.057425945945596</v>
      </c>
      <c r="AJ8190">
        <v>85.071165153085801</v>
      </c>
      <c r="AK8190">
        <v>60.151645058771798</v>
      </c>
      <c r="AL8190">
        <v>77.118627631531496</v>
      </c>
      <c r="AM8190">
        <v>88.890880821286501</v>
      </c>
      <c r="AN8190">
        <v>1.0000000170796799</v>
      </c>
    </row>
    <row r="8191" spans="1:40" x14ac:dyDescent="0.25">
      <c r="A8191" t="str">
        <f>"20190304154954604"</f>
        <v>20190304154954604</v>
      </c>
      <c r="B8191" t="str">
        <f>"1551685794595182"</f>
        <v>1551685794595182</v>
      </c>
      <c r="C8191" t="s">
        <v>40</v>
      </c>
      <c r="D8191">
        <v>4.3777109999999997</v>
      </c>
      <c r="E8191">
        <v>0.52314659999999902</v>
      </c>
      <c r="F8191" t="s">
        <v>44</v>
      </c>
      <c r="G8191">
        <v>-182.66810000000001</v>
      </c>
      <c r="H8191" s="1">
        <v>-3.056918E-6</v>
      </c>
      <c r="I8191">
        <v>162.5248</v>
      </c>
      <c r="J8191">
        <v>-187.43459999999999</v>
      </c>
      <c r="K8191">
        <v>1.109988</v>
      </c>
      <c r="L8191">
        <v>106.5329</v>
      </c>
      <c r="M8191">
        <v>-3.7815789999999999E-4</v>
      </c>
      <c r="N8191">
        <v>-1.4319399999999999E-2</v>
      </c>
      <c r="O8191">
        <v>0.99989740000000005</v>
      </c>
      <c r="P8191">
        <v>1.92991E-2</v>
      </c>
      <c r="Q8191">
        <v>0.20900589999999999</v>
      </c>
      <c r="R8191">
        <v>0.97772400000000004</v>
      </c>
      <c r="S8191">
        <v>0.26054379999999999</v>
      </c>
      <c r="T8191">
        <v>-6.0667279999999997E-2</v>
      </c>
      <c r="U8191">
        <v>3.0767359999999999</v>
      </c>
      <c r="V8191">
        <v>2.0280360000000001E-2</v>
      </c>
      <c r="W8191">
        <v>0.2229304</v>
      </c>
      <c r="X8191">
        <v>0.97462340000000003</v>
      </c>
      <c r="Y8191">
        <v>8.4734950000000003E-2</v>
      </c>
      <c r="Z8191">
        <v>-5.3247700000000004E-3</v>
      </c>
      <c r="AA8191">
        <v>0.99638930000000003</v>
      </c>
      <c r="AB8191">
        <v>31</v>
      </c>
      <c r="AC8191">
        <v>4.7664999999999704</v>
      </c>
      <c r="AD8191">
        <v>-1.109991056918</v>
      </c>
      <c r="AE8191">
        <v>55.991900000000001</v>
      </c>
      <c r="AF8191">
        <v>4.7858083360619998</v>
      </c>
      <c r="AG8191">
        <v>-1.109991056918</v>
      </c>
      <c r="AH8191">
        <v>55.968256248928597</v>
      </c>
      <c r="AI8191">
        <v>91.132040196298206</v>
      </c>
      <c r="AJ8191">
        <v>85.1125649532881</v>
      </c>
      <c r="AK8191">
        <v>56.183465086462</v>
      </c>
      <c r="AL8191">
        <v>77.118792161395007</v>
      </c>
      <c r="AM8191">
        <v>88.807938153125605</v>
      </c>
      <c r="AN8191">
        <v>1.00000001403672</v>
      </c>
    </row>
    <row r="8192" spans="1:40" x14ac:dyDescent="0.25">
      <c r="A8192" t="str">
        <f>"20190304154954627"</f>
        <v>20190304154954627</v>
      </c>
      <c r="B8192" t="str">
        <f>"1551685794615681"</f>
        <v>1551685794615681</v>
      </c>
      <c r="C8192" t="s">
        <v>40</v>
      </c>
      <c r="D8192">
        <v>4.3710969999999998</v>
      </c>
      <c r="E8192">
        <v>0.52283109999999999</v>
      </c>
      <c r="F8192" t="s">
        <v>44</v>
      </c>
      <c r="G8192">
        <v>-182.54519999999999</v>
      </c>
      <c r="H8192" s="1">
        <v>-3.2960919999999999E-6</v>
      </c>
      <c r="I8192">
        <v>163.0624</v>
      </c>
      <c r="J8192">
        <v>-187.4331</v>
      </c>
      <c r="K8192">
        <v>1.109912</v>
      </c>
      <c r="L8192">
        <v>106.8394</v>
      </c>
      <c r="M8192">
        <v>1.1477589999999999E-3</v>
      </c>
      <c r="N8192">
        <v>-1.431779E-2</v>
      </c>
      <c r="O8192">
        <v>0.99989680000000003</v>
      </c>
      <c r="P8192">
        <v>2.2523339999999999E-2</v>
      </c>
      <c r="Q8192">
        <v>0.20886959999999999</v>
      </c>
      <c r="R8192">
        <v>0.97768409999999994</v>
      </c>
      <c r="S8192">
        <v>0.26605220000000002</v>
      </c>
      <c r="T8192">
        <v>-6.039953E-2</v>
      </c>
      <c r="U8192">
        <v>3.0760190000000001</v>
      </c>
      <c r="V8192">
        <v>2.2053199999999998E-2</v>
      </c>
      <c r="W8192">
        <v>0.2227835</v>
      </c>
      <c r="X8192">
        <v>0.97461850000000005</v>
      </c>
      <c r="Y8192">
        <v>8.5005230000000001E-2</v>
      </c>
      <c r="Z8192">
        <v>-5.2434519999999896E-3</v>
      </c>
      <c r="AA8192">
        <v>0.99636670000000005</v>
      </c>
      <c r="AB8192">
        <v>31</v>
      </c>
      <c r="AC8192">
        <v>4.8879000000000001</v>
      </c>
      <c r="AD8192">
        <v>-1.109915296092</v>
      </c>
      <c r="AE8192">
        <v>56.222999999999999</v>
      </c>
      <c r="AF8192">
        <v>4.8214947749134698</v>
      </c>
      <c r="AG8192">
        <v>-1.109915296092</v>
      </c>
      <c r="AH8192">
        <v>56.206833111054699</v>
      </c>
      <c r="AI8192">
        <v>91.127133380459597</v>
      </c>
      <c r="AJ8192">
        <v>85.0970963795031</v>
      </c>
      <c r="AK8192">
        <v>56.424168688629898</v>
      </c>
      <c r="AL8192">
        <v>77.127426200362805</v>
      </c>
      <c r="AM8192">
        <v>88.703759776525899</v>
      </c>
      <c r="AN8192">
        <v>1.00000002602236</v>
      </c>
    </row>
    <row r="8193" spans="1:40" x14ac:dyDescent="0.25">
      <c r="A8193" t="str">
        <f>"20190304154954648"</f>
        <v>20190304154954648</v>
      </c>
      <c r="B8193" t="str">
        <f>"1551685794644958"</f>
        <v>1551685794644958</v>
      </c>
      <c r="C8193" t="s">
        <v>40</v>
      </c>
      <c r="D8193">
        <v>4.3021010000000004</v>
      </c>
      <c r="E8193">
        <v>0.52224340000000002</v>
      </c>
      <c r="F8193" t="s">
        <v>44</v>
      </c>
      <c r="G8193">
        <v>-182.44749999999999</v>
      </c>
      <c r="H8193" s="1">
        <v>-3.2715419999999998E-6</v>
      </c>
      <c r="I8193">
        <v>162.9308</v>
      </c>
      <c r="J8193">
        <v>-187.43109999999999</v>
      </c>
      <c r="K8193">
        <v>1.1098380000000001</v>
      </c>
      <c r="L8193">
        <v>107.13460000000001</v>
      </c>
      <c r="M8193">
        <v>2.7146240000000001E-3</v>
      </c>
      <c r="N8193">
        <v>-1.431646E-2</v>
      </c>
      <c r="O8193">
        <v>0.99989380000000005</v>
      </c>
      <c r="P8193">
        <v>2.5681369999999999E-2</v>
      </c>
      <c r="Q8193">
        <v>0.20849809999999999</v>
      </c>
      <c r="R8193">
        <v>0.97768549999999999</v>
      </c>
      <c r="S8193">
        <v>0.27333069999999998</v>
      </c>
      <c r="T8193">
        <v>-6.0850500000000002E-2</v>
      </c>
      <c r="U8193">
        <v>3.07518</v>
      </c>
      <c r="V8193">
        <v>2.371887E-2</v>
      </c>
      <c r="W8193">
        <v>0.2224023</v>
      </c>
      <c r="X8193">
        <v>0.97466640000000004</v>
      </c>
      <c r="Y8193">
        <v>8.5807079999999994E-2</v>
      </c>
      <c r="Z8193">
        <v>-5.394355E-3</v>
      </c>
      <c r="AA8193">
        <v>0.99629719999999999</v>
      </c>
      <c r="AB8193">
        <v>31</v>
      </c>
      <c r="AC8193">
        <v>4.9835999999999903</v>
      </c>
      <c r="AD8193">
        <v>-1.1098412715420001</v>
      </c>
      <c r="AE8193">
        <v>55.796199999999999</v>
      </c>
      <c r="AF8193">
        <v>4.8302044500156098</v>
      </c>
      <c r="AG8193">
        <v>-1.1098412715420001</v>
      </c>
      <c r="AH8193">
        <v>55.7876266099601</v>
      </c>
      <c r="AI8193">
        <v>91.135447344512102</v>
      </c>
      <c r="AJ8193">
        <v>85.051557268768406</v>
      </c>
      <c r="AK8193">
        <v>56.007337960746597</v>
      </c>
      <c r="AL8193">
        <v>77.1498288072696</v>
      </c>
      <c r="AM8193">
        <v>88.605961002084996</v>
      </c>
      <c r="AN8193">
        <v>0.99999997956416298</v>
      </c>
    </row>
    <row r="8194" spans="1:40" x14ac:dyDescent="0.25">
      <c r="A8194" t="str">
        <f>"20190304154954671"</f>
        <v>20190304154954671</v>
      </c>
      <c r="B8194" t="str">
        <f>"1551685794665454"</f>
        <v>1551685794665454</v>
      </c>
      <c r="C8194" t="s">
        <v>40</v>
      </c>
      <c r="D8194">
        <v>4.5032449999999997</v>
      </c>
      <c r="E8194">
        <v>0.52207329999999996</v>
      </c>
      <c r="F8194" t="s">
        <v>44</v>
      </c>
      <c r="G8194">
        <v>-182.59960000000001</v>
      </c>
      <c r="H8194" s="1">
        <v>-2.2965299999999999E-6</v>
      </c>
      <c r="I8194">
        <v>160.49719999999999</v>
      </c>
      <c r="J8194">
        <v>-187.42850000000001</v>
      </c>
      <c r="K8194">
        <v>1.109761</v>
      </c>
      <c r="L8194">
        <v>107.443</v>
      </c>
      <c r="M8194">
        <v>4.449878E-3</v>
      </c>
      <c r="N8194">
        <v>-1.43153E-2</v>
      </c>
      <c r="O8194">
        <v>0.99988759999999999</v>
      </c>
      <c r="P8194">
        <v>2.916293E-2</v>
      </c>
      <c r="Q8194">
        <v>0.20842740000000001</v>
      </c>
      <c r="R8194">
        <v>0.977603</v>
      </c>
      <c r="S8194">
        <v>0.27839659999999999</v>
      </c>
      <c r="T8194">
        <v>-6.3949939999999997E-2</v>
      </c>
      <c r="U8194">
        <v>3.0747990000000001</v>
      </c>
      <c r="V8194">
        <v>2.5548069999999999E-2</v>
      </c>
      <c r="W8194">
        <v>0.22231909999999999</v>
      </c>
      <c r="X8194">
        <v>0.97463920000000004</v>
      </c>
      <c r="Y8194">
        <v>8.571616E-2</v>
      </c>
      <c r="Z8194">
        <v>-6.4012119999999999E-3</v>
      </c>
      <c r="AA8194">
        <v>0.99629900000000005</v>
      </c>
      <c r="AB8194">
        <v>31</v>
      </c>
      <c r="AC8194">
        <v>4.8289</v>
      </c>
      <c r="AD8194">
        <v>-1.1097632965299999</v>
      </c>
      <c r="AE8194">
        <v>53.054200000000002</v>
      </c>
      <c r="AF8194">
        <v>4.5907511128865703</v>
      </c>
      <c r="AG8194">
        <v>-1.1097632965299999</v>
      </c>
      <c r="AH8194">
        <v>53.052142937994503</v>
      </c>
      <c r="AI8194">
        <v>91.193898124436302</v>
      </c>
      <c r="AJ8194">
        <v>85.054354739693693</v>
      </c>
      <c r="AK8194">
        <v>53.261960540973298</v>
      </c>
      <c r="AL8194">
        <v>77.154718860053293</v>
      </c>
      <c r="AM8194">
        <v>88.498458240664505</v>
      </c>
      <c r="AN8194">
        <v>1.0000000281410799</v>
      </c>
    </row>
    <row r="8195" spans="1:40" x14ac:dyDescent="0.25">
      <c r="A8195" t="str">
        <f>"20190304154954694"</f>
        <v>20190304154954694</v>
      </c>
      <c r="B8195" t="str">
        <f>"1551685794685957"</f>
        <v>1551685794685957</v>
      </c>
      <c r="C8195" t="s">
        <v>40</v>
      </c>
      <c r="D8195">
        <v>4.3996079999999997</v>
      </c>
      <c r="E8195">
        <v>0.52173499999999995</v>
      </c>
      <c r="F8195" t="s">
        <v>79</v>
      </c>
      <c r="G8195">
        <v>-182.6183</v>
      </c>
      <c r="H8195" s="1">
        <v>-1.464322E-5</v>
      </c>
      <c r="I8195">
        <v>158.83709999999999</v>
      </c>
      <c r="J8195">
        <v>-187.42500000000001</v>
      </c>
      <c r="K8195">
        <v>1.109675</v>
      </c>
      <c r="L8195">
        <v>107.76139999999999</v>
      </c>
      <c r="M8195">
        <v>6.3594439999999997E-3</v>
      </c>
      <c r="N8195">
        <v>-1.4314169999999999E-2</v>
      </c>
      <c r="O8195">
        <v>0.99987729999999997</v>
      </c>
      <c r="P8195">
        <v>3.3155770000000001E-2</v>
      </c>
      <c r="Q8195">
        <v>0.20903579999999999</v>
      </c>
      <c r="R8195">
        <v>0.97734580000000004</v>
      </c>
      <c r="S8195">
        <v>0.28773500000000002</v>
      </c>
      <c r="T8195">
        <v>-6.6384910000000005E-2</v>
      </c>
      <c r="U8195">
        <v>3.0743100000000001</v>
      </c>
      <c r="V8195">
        <v>2.7723999999999999E-2</v>
      </c>
      <c r="W8195">
        <v>0.2229109</v>
      </c>
      <c r="X8195">
        <v>0.97444450000000005</v>
      </c>
      <c r="Y8195">
        <v>8.6827189999999999E-2</v>
      </c>
      <c r="Z8195">
        <v>-7.1912240000000004E-3</v>
      </c>
      <c r="AA8195">
        <v>0.99619749999999996</v>
      </c>
      <c r="AB8195">
        <v>30</v>
      </c>
      <c r="AC8195">
        <v>4.8067000000000002</v>
      </c>
      <c r="AD8195">
        <v>-1.1096896432200001</v>
      </c>
      <c r="AE8195">
        <v>51.075699999999998</v>
      </c>
      <c r="AF8195">
        <v>4.4796604443048302</v>
      </c>
      <c r="AG8195">
        <v>-1.1096896432200001</v>
      </c>
      <c r="AH8195">
        <v>51.081337520636403</v>
      </c>
      <c r="AI8195">
        <v>91.239739664923405</v>
      </c>
      <c r="AJ8195">
        <v>84.988175917506993</v>
      </c>
      <c r="AK8195">
        <v>51.2893927795769</v>
      </c>
      <c r="AL8195">
        <v>77.119937908902301</v>
      </c>
      <c r="AM8195">
        <v>88.3703127303461</v>
      </c>
      <c r="AN8195">
        <v>0.99999998654752997</v>
      </c>
    </row>
    <row r="8196" spans="1:40" x14ac:dyDescent="0.25">
      <c r="A8196" t="str">
        <f>"20190304154954716"</f>
        <v>20190304154954716</v>
      </c>
      <c r="B8196" t="str">
        <f>"1551685794705470"</f>
        <v>1551685794705470</v>
      </c>
      <c r="C8196" t="s">
        <v>40</v>
      </c>
      <c r="D8196">
        <v>4.6426080000000001</v>
      </c>
      <c r="E8196">
        <v>0.56461779999999995</v>
      </c>
      <c r="F8196" t="s">
        <v>44</v>
      </c>
      <c r="G8196">
        <v>-182.31370000000001</v>
      </c>
      <c r="H8196" s="1">
        <v>-2.411436E-6</v>
      </c>
      <c r="I8196">
        <v>160.59829999999999</v>
      </c>
      <c r="J8196">
        <v>-187.4212</v>
      </c>
      <c r="K8196">
        <v>1.1096029999999999</v>
      </c>
      <c r="L8196">
        <v>108.0501</v>
      </c>
      <c r="M8196">
        <v>8.1837500000000001E-3</v>
      </c>
      <c r="N8196">
        <v>-1.4311310000000001E-2</v>
      </c>
      <c r="O8196">
        <v>0.99986410000000003</v>
      </c>
      <c r="P8196">
        <v>3.7522279999999998E-2</v>
      </c>
      <c r="Q8196">
        <v>0.2097338</v>
      </c>
      <c r="R8196">
        <v>0.97703830000000003</v>
      </c>
      <c r="S8196">
        <v>0.29730220000000002</v>
      </c>
      <c r="T8196">
        <v>-6.4544679999999993E-2</v>
      </c>
      <c r="U8196">
        <v>3.0732729999999999</v>
      </c>
      <c r="V8196">
        <v>3.035357E-2</v>
      </c>
      <c r="W8196">
        <v>0.22358800000000001</v>
      </c>
      <c r="X8196">
        <v>0.97421100000000005</v>
      </c>
      <c r="Y8196">
        <v>8.8114479999999995E-2</v>
      </c>
      <c r="Z8196">
        <v>-6.601984E-3</v>
      </c>
      <c r="AA8196">
        <v>0.99608850000000004</v>
      </c>
      <c r="AB8196">
        <v>30</v>
      </c>
      <c r="AC8196">
        <v>5.1074999999999804</v>
      </c>
      <c r="AD8196">
        <v>-1.1096054114360001</v>
      </c>
      <c r="AE8196">
        <v>52.548200000000001</v>
      </c>
      <c r="AF8196">
        <v>4.6751784753803403</v>
      </c>
      <c r="AG8196">
        <v>-1.1096054114360001</v>
      </c>
      <c r="AH8196">
        <v>52.5650241886107</v>
      </c>
      <c r="AI8196">
        <v>91.204534828052701</v>
      </c>
      <c r="AJ8196">
        <v>84.917437751870906</v>
      </c>
      <c r="AK8196">
        <v>52.784185945176603</v>
      </c>
      <c r="AL8196">
        <v>77.080138663211201</v>
      </c>
      <c r="AM8196">
        <v>88.215408140681504</v>
      </c>
      <c r="AN8196">
        <v>1.00000000273837</v>
      </c>
    </row>
    <row r="8197" spans="1:40" x14ac:dyDescent="0.25">
      <c r="A8197" t="str">
        <f>"20190304154954739"</f>
        <v>20190304154954739</v>
      </c>
      <c r="B8197" t="str">
        <f>"1551685794735726"</f>
        <v>1551685794735726</v>
      </c>
      <c r="C8197" t="s">
        <v>40</v>
      </c>
      <c r="D8197">
        <v>4.7733939999999997</v>
      </c>
      <c r="E8197">
        <v>0.6005395</v>
      </c>
      <c r="F8197" t="s">
        <v>76</v>
      </c>
      <c r="G8197">
        <v>-173.60900000000001</v>
      </c>
      <c r="H8197">
        <v>5.2558689999999997</v>
      </c>
      <c r="I8197">
        <v>172.5395</v>
      </c>
      <c r="J8197">
        <v>-187.41650000000001</v>
      </c>
      <c r="K8197">
        <v>1.109529</v>
      </c>
      <c r="L8197">
        <v>108.3618</v>
      </c>
      <c r="M8197">
        <v>1.0239939999999999E-2</v>
      </c>
      <c r="N8197">
        <v>-1.430705E-2</v>
      </c>
      <c r="O8197">
        <v>0.99984519999999999</v>
      </c>
      <c r="P8197">
        <v>4.218264E-2</v>
      </c>
      <c r="Q8197">
        <v>0.21025550000000001</v>
      </c>
      <c r="R8197">
        <v>0.97673600000000005</v>
      </c>
      <c r="S8197">
        <v>0.64346309999999995</v>
      </c>
      <c r="T8197">
        <v>0.19316069999999999</v>
      </c>
      <c r="U8197">
        <v>3.0043329999999999</v>
      </c>
      <c r="V8197">
        <v>3.3049179999999997E-2</v>
      </c>
      <c r="W8197">
        <v>0.2240867</v>
      </c>
      <c r="X8197">
        <v>0.97400869999999995</v>
      </c>
      <c r="Y8197">
        <v>0.19884959999999999</v>
      </c>
      <c r="Z8197">
        <v>7.7062510000000001E-2</v>
      </c>
      <c r="AA8197">
        <v>0.97699550000000002</v>
      </c>
      <c r="AB8197">
        <v>30</v>
      </c>
      <c r="AC8197">
        <v>13.807499999999999</v>
      </c>
      <c r="AD8197">
        <v>4.1463400000000004</v>
      </c>
      <c r="AE8197">
        <v>64.177700000000002</v>
      </c>
      <c r="AF8197">
        <v>13.097282197227401</v>
      </c>
      <c r="AG8197">
        <v>4.1463400000000004</v>
      </c>
      <c r="AH8197">
        <v>64.060173532940496</v>
      </c>
      <c r="AI8197">
        <v>86.3715100506531</v>
      </c>
      <c r="AJ8197">
        <v>78.444964521635598</v>
      </c>
      <c r="AK8197">
        <v>65.516690769756195</v>
      </c>
      <c r="AL8197">
        <v>77.050821636840098</v>
      </c>
      <c r="AM8197">
        <v>88.056637145450097</v>
      </c>
      <c r="AN8197">
        <v>1.00000002254562</v>
      </c>
    </row>
    <row r="8198" spans="1:40" x14ac:dyDescent="0.25">
      <c r="A8198" t="str">
        <f>"20190304154954761"</f>
        <v>20190304154954761</v>
      </c>
      <c r="B8198" t="str">
        <f>"1551685794755246"</f>
        <v>1551685794755246</v>
      </c>
      <c r="C8198" t="s">
        <v>40</v>
      </c>
      <c r="D8198">
        <v>4.7316760000000002</v>
      </c>
      <c r="E8198">
        <v>0.61122010000000004</v>
      </c>
      <c r="F8198" t="s">
        <v>70</v>
      </c>
      <c r="G8198">
        <v>-167.41319999999999</v>
      </c>
      <c r="H8198">
        <v>2.356503</v>
      </c>
      <c r="I8198">
        <v>171.94909999999999</v>
      </c>
      <c r="J8198">
        <v>-187.41120000000001</v>
      </c>
      <c r="K8198">
        <v>1.1094660000000001</v>
      </c>
      <c r="L8198">
        <v>108.66</v>
      </c>
      <c r="M8198">
        <v>1.22915E-2</v>
      </c>
      <c r="N8198">
        <v>-1.4302809999999999E-2</v>
      </c>
      <c r="O8198">
        <v>0.99982210000000005</v>
      </c>
      <c r="P8198">
        <v>4.7325680000000002E-2</v>
      </c>
      <c r="Q8198">
        <v>0.2104993</v>
      </c>
      <c r="R8198">
        <v>0.97644779999999998</v>
      </c>
      <c r="S8198">
        <v>0.94931030000000005</v>
      </c>
      <c r="T8198">
        <v>5.9179900000000001E-2</v>
      </c>
      <c r="U8198">
        <v>3.0177</v>
      </c>
      <c r="V8198">
        <v>3.6226840000000003E-2</v>
      </c>
      <c r="W8198">
        <v>0.22430659999999999</v>
      </c>
      <c r="X8198">
        <v>0.97384510000000002</v>
      </c>
      <c r="Y8198">
        <v>0.28817920000000002</v>
      </c>
      <c r="Z8198">
        <v>3.3007719999999997E-2</v>
      </c>
      <c r="AA8198">
        <v>0.95700750000000001</v>
      </c>
      <c r="AB8198">
        <v>30</v>
      </c>
      <c r="AC8198">
        <v>19.998000000000001</v>
      </c>
      <c r="AD8198">
        <v>1.247037</v>
      </c>
      <c r="AE8198">
        <v>63.289099999999898</v>
      </c>
      <c r="AF8198">
        <v>19.2117097095215</v>
      </c>
      <c r="AG8198">
        <v>1.247037</v>
      </c>
      <c r="AH8198">
        <v>63.507730524317502</v>
      </c>
      <c r="AI8198">
        <v>88.923262204401198</v>
      </c>
      <c r="AJ8198">
        <v>73.1689205430946</v>
      </c>
      <c r="AK8198">
        <v>66.361711306985001</v>
      </c>
      <c r="AL8198">
        <v>77.037893638929503</v>
      </c>
      <c r="AM8198">
        <v>87.869590976861303</v>
      </c>
      <c r="AN8198">
        <v>1.00000005676697</v>
      </c>
    </row>
    <row r="8199" spans="1:40" x14ac:dyDescent="0.25">
      <c r="A8199" t="str">
        <f>"20190304154954783"</f>
        <v>20190304154954783</v>
      </c>
      <c r="B8199" t="str">
        <f>"1551685794775746"</f>
        <v>1551685794775746</v>
      </c>
      <c r="C8199" t="s">
        <v>40</v>
      </c>
      <c r="D8199">
        <v>4.7549519999999896</v>
      </c>
      <c r="E8199">
        <v>0.61615629999999999</v>
      </c>
      <c r="F8199" t="s">
        <v>70</v>
      </c>
      <c r="G8199">
        <v>-165.89320000000001</v>
      </c>
      <c r="H8199">
        <v>1.2505120000000001</v>
      </c>
      <c r="I8199">
        <v>170.4315</v>
      </c>
      <c r="J8199">
        <v>-187.4051</v>
      </c>
      <c r="K8199">
        <v>1.109397</v>
      </c>
      <c r="L8199">
        <v>108.9676</v>
      </c>
      <c r="M8199">
        <v>1.4499959999999999E-2</v>
      </c>
      <c r="N8199">
        <v>-1.429851E-2</v>
      </c>
      <c r="O8199">
        <v>0.99979260000000003</v>
      </c>
      <c r="P8199">
        <v>5.1938610000000003E-2</v>
      </c>
      <c r="Q8199">
        <v>0.21035229999999999</v>
      </c>
      <c r="R8199">
        <v>0.97624500000000003</v>
      </c>
      <c r="S8199">
        <v>1.051971</v>
      </c>
      <c r="T8199">
        <v>6.8969729999999998E-3</v>
      </c>
      <c r="U8199">
        <v>3.019882</v>
      </c>
      <c r="V8199">
        <v>3.8719940000000001E-2</v>
      </c>
      <c r="W8199">
        <v>0.2241379</v>
      </c>
      <c r="X8199">
        <v>0.97378799999999999</v>
      </c>
      <c r="Y8199">
        <v>0.31516080000000002</v>
      </c>
      <c r="Z8199">
        <v>1.642476E-2</v>
      </c>
      <c r="AA8199">
        <v>0.94889619999999997</v>
      </c>
      <c r="AB8199">
        <v>30</v>
      </c>
      <c r="AC8199">
        <v>21.511900000000001</v>
      </c>
      <c r="AD8199">
        <v>0.14111499999999999</v>
      </c>
      <c r="AE8199">
        <v>61.463900000000002</v>
      </c>
      <c r="AF8199">
        <v>20.6182259339766</v>
      </c>
      <c r="AG8199">
        <v>0.14111499999999999</v>
      </c>
      <c r="AH8199">
        <v>61.769100507855697</v>
      </c>
      <c r="AI8199">
        <v>89.875839083945195</v>
      </c>
      <c r="AJ8199">
        <v>71.541240542471996</v>
      </c>
      <c r="AK8199">
        <v>65.119528036199</v>
      </c>
      <c r="AL8199">
        <v>77.047811893585703</v>
      </c>
      <c r="AM8199">
        <v>87.722994033822999</v>
      </c>
      <c r="AN8199">
        <v>1.0000000504569999</v>
      </c>
    </row>
    <row r="8200" spans="1:40" x14ac:dyDescent="0.25">
      <c r="A8200" t="str">
        <f>"20190304154954805"</f>
        <v>20190304154954805</v>
      </c>
      <c r="B8200" t="str">
        <f>"1551685794795262"</f>
        <v>1551685794795262</v>
      </c>
      <c r="C8200" t="s">
        <v>40</v>
      </c>
      <c r="D8200">
        <v>4.6875730000000004</v>
      </c>
      <c r="E8200">
        <v>0.6209576</v>
      </c>
      <c r="F8200" t="s">
        <v>70</v>
      </c>
      <c r="G8200">
        <v>-165.142</v>
      </c>
      <c r="H8200">
        <v>0.8754864</v>
      </c>
      <c r="I8200">
        <v>169.68129999999999</v>
      </c>
      <c r="J8200">
        <v>-187.39840000000001</v>
      </c>
      <c r="K8200">
        <v>1.109321</v>
      </c>
      <c r="L8200">
        <v>109.2672</v>
      </c>
      <c r="M8200">
        <v>1.6741450000000001E-2</v>
      </c>
      <c r="N8200">
        <v>-1.4294690000000001E-2</v>
      </c>
      <c r="O8200">
        <v>0.99975760000000002</v>
      </c>
      <c r="P8200">
        <v>5.6746199999999997E-2</v>
      </c>
      <c r="Q8200">
        <v>0.20974409999999999</v>
      </c>
      <c r="R8200">
        <v>0.97610830000000004</v>
      </c>
      <c r="S8200">
        <v>1.1061859999999999</v>
      </c>
      <c r="T8200">
        <v>-1.162064E-2</v>
      </c>
      <c r="U8200">
        <v>3.0166780000000002</v>
      </c>
      <c r="V8200">
        <v>4.1373710000000001E-2</v>
      </c>
      <c r="W8200">
        <v>0.2235086</v>
      </c>
      <c r="X8200">
        <v>0.97382340000000001</v>
      </c>
      <c r="Y8200">
        <v>0.32844590000000001</v>
      </c>
      <c r="Z8200">
        <v>1.0626119999999999E-2</v>
      </c>
      <c r="AA8200">
        <v>0.94446300000000005</v>
      </c>
      <c r="AB8200">
        <v>30</v>
      </c>
      <c r="AC8200">
        <v>22.256399999999999</v>
      </c>
      <c r="AD8200">
        <v>-0.2338346</v>
      </c>
      <c r="AE8200">
        <v>60.414099999999898</v>
      </c>
      <c r="AF8200">
        <v>21.2414769322084</v>
      </c>
      <c r="AG8200">
        <v>-0.2338346</v>
      </c>
      <c r="AH8200">
        <v>60.777472162240002</v>
      </c>
      <c r="AI8200">
        <v>90.208095128311001</v>
      </c>
      <c r="AJ8200">
        <v>70.735688942546503</v>
      </c>
      <c r="AK8200">
        <v>64.382887037733596</v>
      </c>
      <c r="AL8200">
        <v>77.084805324857001</v>
      </c>
      <c r="AM8200">
        <v>87.567203461006699</v>
      </c>
      <c r="AN8200">
        <v>0.99999994627033995</v>
      </c>
    </row>
    <row r="8201" spans="1:40" x14ac:dyDescent="0.25">
      <c r="A8201" t="str">
        <f>"20190304154954827"</f>
        <v>20190304154954827</v>
      </c>
      <c r="B8201" t="str">
        <f>"1551685794815758"</f>
        <v>1551685794815758</v>
      </c>
      <c r="C8201" t="s">
        <v>40</v>
      </c>
      <c r="D8201">
        <v>4.6846610000000002</v>
      </c>
      <c r="E8201">
        <v>0.62391249999999998</v>
      </c>
      <c r="F8201" t="s">
        <v>70</v>
      </c>
      <c r="G8201">
        <v>-164.4006</v>
      </c>
      <c r="H8201">
        <v>0.71908380000000005</v>
      </c>
      <c r="I8201">
        <v>168.9408</v>
      </c>
      <c r="J8201">
        <v>-187.3912</v>
      </c>
      <c r="K8201">
        <v>1.109243</v>
      </c>
      <c r="L8201">
        <v>109.5585</v>
      </c>
      <c r="M8201">
        <v>1.900694E-2</v>
      </c>
      <c r="N8201">
        <v>-1.4291430000000001E-2</v>
      </c>
      <c r="O8201">
        <v>0.99971719999999997</v>
      </c>
      <c r="P8201">
        <v>6.1522500000000001E-2</v>
      </c>
      <c r="Q8201">
        <v>0.2086934</v>
      </c>
      <c r="R8201">
        <v>0.97604409999999997</v>
      </c>
      <c r="S8201">
        <v>1.16011</v>
      </c>
      <c r="T8201">
        <v>-1.9683599999999999E-2</v>
      </c>
      <c r="U8201">
        <v>3.0101930000000001</v>
      </c>
      <c r="V8201">
        <v>4.3970290000000002E-2</v>
      </c>
      <c r="W8201">
        <v>0.22243769999999999</v>
      </c>
      <c r="X8201">
        <v>0.97395489999999996</v>
      </c>
      <c r="Y8201">
        <v>0.34174969999999999</v>
      </c>
      <c r="Z8201">
        <v>8.1204859999999997E-3</v>
      </c>
      <c r="AA8201">
        <v>0.93975589999999998</v>
      </c>
      <c r="AB8201">
        <v>30</v>
      </c>
      <c r="AC8201">
        <v>22.990600000000001</v>
      </c>
      <c r="AD8201">
        <v>-0.39015919999999898</v>
      </c>
      <c r="AE8201">
        <v>59.382300000000001</v>
      </c>
      <c r="AF8201">
        <v>21.856834302295599</v>
      </c>
      <c r="AG8201">
        <v>-0.39015919999999898</v>
      </c>
      <c r="AH8201">
        <v>59.806350872399904</v>
      </c>
      <c r="AI8201">
        <v>90.351066413533502</v>
      </c>
      <c r="AJ8201">
        <v>69.924659241787595</v>
      </c>
      <c r="AK8201">
        <v>63.676314549383001</v>
      </c>
      <c r="AL8201">
        <v>77.147749110591505</v>
      </c>
      <c r="AM8201">
        <v>87.415072778602706</v>
      </c>
      <c r="AN8201">
        <v>1.0000000320089899</v>
      </c>
    </row>
    <row r="8202" spans="1:40" x14ac:dyDescent="0.25">
      <c r="A8202" t="str">
        <f>"20190304154954850"</f>
        <v>20190304154954850</v>
      </c>
      <c r="B8202" t="str">
        <f>"1551685794845039"</f>
        <v>1551685794845039</v>
      </c>
      <c r="C8202" t="s">
        <v>40</v>
      </c>
      <c r="D8202">
        <v>4.704631</v>
      </c>
      <c r="E8202">
        <v>0.62640030000000002</v>
      </c>
      <c r="F8202" t="s">
        <v>70</v>
      </c>
      <c r="G8202">
        <v>-163.899</v>
      </c>
      <c r="H8202">
        <v>0.61820030000000004</v>
      </c>
      <c r="I8202">
        <v>168.43989999999999</v>
      </c>
      <c r="J8202">
        <v>-187.3826</v>
      </c>
      <c r="K8202">
        <v>1.1091580000000001</v>
      </c>
      <c r="L8202">
        <v>109.8693</v>
      </c>
      <c r="M8202">
        <v>2.1519190000000001E-2</v>
      </c>
      <c r="N8202">
        <v>-1.428839E-2</v>
      </c>
      <c r="O8202">
        <v>0.99966630000000001</v>
      </c>
      <c r="P8202">
        <v>6.6447939999999997E-2</v>
      </c>
      <c r="Q8202">
        <v>0.20729510000000001</v>
      </c>
      <c r="R8202">
        <v>0.97601910000000003</v>
      </c>
      <c r="S8202">
        <v>1.1983029999999999</v>
      </c>
      <c r="T8202">
        <v>-2.5045749999999999E-2</v>
      </c>
      <c r="U8202">
        <v>3.0034640000000001</v>
      </c>
      <c r="V8202">
        <v>4.647565E-2</v>
      </c>
      <c r="W8202">
        <v>0.22101899999999999</v>
      </c>
      <c r="X8202">
        <v>0.97416150000000001</v>
      </c>
      <c r="Y8202">
        <v>0.35043289999999999</v>
      </c>
      <c r="Z8202">
        <v>6.4562669999999999E-3</v>
      </c>
      <c r="AA8202">
        <v>0.9365656</v>
      </c>
      <c r="AB8202">
        <v>30</v>
      </c>
      <c r="AC8202">
        <v>23.483599999999999</v>
      </c>
      <c r="AD8202">
        <v>-0.4909577</v>
      </c>
      <c r="AE8202">
        <v>58.570599999999999</v>
      </c>
      <c r="AF8202">
        <v>22.216295530962</v>
      </c>
      <c r="AG8202">
        <v>-0.4909577</v>
      </c>
      <c r="AH8202">
        <v>59.058859039462398</v>
      </c>
      <c r="AI8202">
        <v>90.4457936686388</v>
      </c>
      <c r="AJ8202">
        <v>69.385100224311103</v>
      </c>
      <c r="AK8202">
        <v>63.101138322738102</v>
      </c>
      <c r="AL8202">
        <v>77.231109273854301</v>
      </c>
      <c r="AM8202">
        <v>87.268583238362496</v>
      </c>
      <c r="AN8202">
        <v>1.0000000062430801</v>
      </c>
    </row>
    <row r="8203" spans="1:40" x14ac:dyDescent="0.25">
      <c r="A8203" t="str">
        <f>"20190304154954873"</f>
        <v>20190304154954873</v>
      </c>
      <c r="B8203" t="str">
        <f>"1551685794865538"</f>
        <v>1551685794865538</v>
      </c>
      <c r="C8203" t="s">
        <v>40</v>
      </c>
      <c r="D8203">
        <v>4.7104739999999996</v>
      </c>
      <c r="E8203">
        <v>0.6269342</v>
      </c>
      <c r="F8203" t="s">
        <v>70</v>
      </c>
      <c r="G8203">
        <v>-163.46549999999999</v>
      </c>
      <c r="H8203">
        <v>0.407692</v>
      </c>
      <c r="I8203">
        <v>168.0069</v>
      </c>
      <c r="J8203">
        <v>-187.3734</v>
      </c>
      <c r="K8203">
        <v>1.109081</v>
      </c>
      <c r="L8203">
        <v>110.1737</v>
      </c>
      <c r="M8203">
        <v>2.408391E-2</v>
      </c>
      <c r="N8203">
        <v>-1.4285880000000001E-2</v>
      </c>
      <c r="O8203">
        <v>0.99960789999999999</v>
      </c>
      <c r="P8203">
        <v>7.0170540000000003E-2</v>
      </c>
      <c r="Q8203">
        <v>0.20588419999999999</v>
      </c>
      <c r="R8203">
        <v>0.97605730000000002</v>
      </c>
      <c r="S8203">
        <v>1.233109</v>
      </c>
      <c r="T8203">
        <v>-3.6164160000000001E-2</v>
      </c>
      <c r="U8203">
        <v>2.9974370000000001</v>
      </c>
      <c r="V8203">
        <v>4.772407E-2</v>
      </c>
      <c r="W8203">
        <v>0.2195944</v>
      </c>
      <c r="X8203">
        <v>0.97442329999999999</v>
      </c>
      <c r="Y8203">
        <v>0.35800189999999998</v>
      </c>
      <c r="Z8203">
        <v>3.01454E-3</v>
      </c>
      <c r="AA8203">
        <v>0.93371599999999999</v>
      </c>
      <c r="AB8203">
        <v>30</v>
      </c>
      <c r="AC8203">
        <v>23.907900000000001</v>
      </c>
      <c r="AD8203">
        <v>-0.70138900000000004</v>
      </c>
      <c r="AE8203">
        <v>57.833199999999998</v>
      </c>
      <c r="AF8203">
        <v>22.5051451779598</v>
      </c>
      <c r="AG8203">
        <v>-0.70138900000000004</v>
      </c>
      <c r="AH8203">
        <v>58.384941872614903</v>
      </c>
      <c r="AI8203">
        <v>90.642217026352</v>
      </c>
      <c r="AJ8203">
        <v>68.920271172721399</v>
      </c>
      <c r="AK8203">
        <v>62.576153153409699</v>
      </c>
      <c r="AL8203">
        <v>77.314789074373493</v>
      </c>
      <c r="AM8203">
        <v>87.196080400027896</v>
      </c>
      <c r="AN8203">
        <v>1.0000000274758001</v>
      </c>
    </row>
    <row r="8204" spans="1:40" x14ac:dyDescent="0.25">
      <c r="A8204" t="str">
        <f>"20190304154954895"</f>
        <v>20190304154954895</v>
      </c>
      <c r="B8204" t="str">
        <f>"1551685794885054"</f>
        <v>1551685794885054</v>
      </c>
      <c r="C8204" t="s">
        <v>40</v>
      </c>
      <c r="D8204">
        <v>4.7195539999999996</v>
      </c>
      <c r="E8204">
        <v>0.62760389999999999</v>
      </c>
      <c r="F8204" t="s">
        <v>70</v>
      </c>
      <c r="G8204">
        <v>-163.3047</v>
      </c>
      <c r="H8204">
        <v>0.24958230000000001</v>
      </c>
      <c r="I8204">
        <v>167.84639999999999</v>
      </c>
      <c r="J8204">
        <v>-187.3631</v>
      </c>
      <c r="K8204">
        <v>1.109005</v>
      </c>
      <c r="L8204">
        <v>110.47790000000001</v>
      </c>
      <c r="M8204">
        <v>2.675642E-2</v>
      </c>
      <c r="N8204">
        <v>-1.428392E-2</v>
      </c>
      <c r="O8204">
        <v>0.99953990000000004</v>
      </c>
      <c r="P8204">
        <v>7.4206820000000007E-2</v>
      </c>
      <c r="Q8204">
        <v>0.2039734</v>
      </c>
      <c r="R8204">
        <v>0.97615989999999997</v>
      </c>
      <c r="S8204">
        <v>1.249161</v>
      </c>
      <c r="T8204">
        <v>-4.460621E-2</v>
      </c>
      <c r="U8204">
        <v>2.9932099999999999</v>
      </c>
      <c r="V8204">
        <v>4.9174309999999999E-2</v>
      </c>
      <c r="W8204">
        <v>0.21767030000000001</v>
      </c>
      <c r="X8204">
        <v>0.97478279999999995</v>
      </c>
      <c r="Y8204">
        <v>0.360236</v>
      </c>
      <c r="Z8204">
        <v>3.92173E-4</v>
      </c>
      <c r="AA8204">
        <v>0.9328611</v>
      </c>
      <c r="AB8204">
        <v>30</v>
      </c>
      <c r="AC8204">
        <v>24.058399999999999</v>
      </c>
      <c r="AD8204">
        <v>-0.85942269999999998</v>
      </c>
      <c r="AE8204">
        <v>57.368499999999898</v>
      </c>
      <c r="AF8204">
        <v>22.510356328182599</v>
      </c>
      <c r="AG8204">
        <v>-0.85942269999999998</v>
      </c>
      <c r="AH8204">
        <v>57.980673235409199</v>
      </c>
      <c r="AI8204">
        <v>90.791647673640895</v>
      </c>
      <c r="AJ8204">
        <v>68.781847851720599</v>
      </c>
      <c r="AK8204">
        <v>62.203000074195202</v>
      </c>
      <c r="AL8204">
        <v>77.427764613150799</v>
      </c>
      <c r="AM8204">
        <v>87.112080709731899</v>
      </c>
      <c r="AN8204">
        <v>0.99999998972095305</v>
      </c>
    </row>
    <row r="8205" spans="1:40" x14ac:dyDescent="0.25">
      <c r="A8205" t="str">
        <f>"20190304154954916"</f>
        <v>20190304154954916</v>
      </c>
      <c r="B8205" t="str">
        <f>"1551685794905550"</f>
        <v>1551685794905550</v>
      </c>
      <c r="C8205" t="s">
        <v>40</v>
      </c>
      <c r="D8205">
        <v>4.6866700000000003</v>
      </c>
      <c r="E8205">
        <v>0.62796779999999996</v>
      </c>
      <c r="F8205" t="s">
        <v>70</v>
      </c>
      <c r="G8205">
        <v>-163.11070000000001</v>
      </c>
      <c r="H8205">
        <v>7.0688249999999994E-2</v>
      </c>
      <c r="I8205">
        <v>167.65270000000001</v>
      </c>
      <c r="J8205">
        <v>-187.3527</v>
      </c>
      <c r="K8205">
        <v>1.1089370000000001</v>
      </c>
      <c r="L8205">
        <v>110.76439999999999</v>
      </c>
      <c r="M8205">
        <v>2.9350089999999999E-2</v>
      </c>
      <c r="N8205">
        <v>-1.4282339999999999E-2</v>
      </c>
      <c r="O8205">
        <v>0.99946710000000005</v>
      </c>
      <c r="P8205">
        <v>7.8150059999999993E-2</v>
      </c>
      <c r="Q8205">
        <v>0.2031135</v>
      </c>
      <c r="R8205">
        <v>0.97603150000000005</v>
      </c>
      <c r="S8205">
        <v>1.2675479999999999</v>
      </c>
      <c r="T8205">
        <v>-5.4265620000000001E-2</v>
      </c>
      <c r="U8205">
        <v>2.9882200000000001</v>
      </c>
      <c r="V8205">
        <v>5.0612259999999999E-2</v>
      </c>
      <c r="W8205">
        <v>0.2167953</v>
      </c>
      <c r="X8205">
        <v>0.9749042</v>
      </c>
      <c r="Y8205">
        <v>0.36323309999999998</v>
      </c>
      <c r="Z8205">
        <v>-2.6039079999999998E-3</v>
      </c>
      <c r="AA8205">
        <v>0.93169469999999999</v>
      </c>
      <c r="AB8205">
        <v>30</v>
      </c>
      <c r="AC8205">
        <v>24.241999999999901</v>
      </c>
      <c r="AD8205">
        <v>-1.0382487499999999</v>
      </c>
      <c r="AE8205">
        <v>56.888300000000001</v>
      </c>
      <c r="AF8205">
        <v>22.555348837879301</v>
      </c>
      <c r="AG8205">
        <v>-1.0382487499999999</v>
      </c>
      <c r="AH8205">
        <v>57.559138892415298</v>
      </c>
      <c r="AI8205">
        <v>90.962164535133198</v>
      </c>
      <c r="AJ8205">
        <v>68.601580013002305</v>
      </c>
      <c r="AK8205">
        <v>61.829412027785402</v>
      </c>
      <c r="AL8205">
        <v>77.479125060183705</v>
      </c>
      <c r="AM8205">
        <v>87.028151204237801</v>
      </c>
      <c r="AN8205">
        <v>1.0000000010710099</v>
      </c>
    </row>
    <row r="8206" spans="1:40" x14ac:dyDescent="0.25">
      <c r="A8206" t="str">
        <f>"20190304154954940"</f>
        <v>20190304154954940</v>
      </c>
      <c r="B8206" t="str">
        <f>"1551685794935807"</f>
        <v>1551685794935807</v>
      </c>
      <c r="C8206" t="s">
        <v>40</v>
      </c>
      <c r="D8206">
        <v>4.7329249999999998</v>
      </c>
      <c r="E8206">
        <v>0.62757869999999905</v>
      </c>
      <c r="F8206" t="s">
        <v>70</v>
      </c>
      <c r="G8206">
        <v>-162.95930000000001</v>
      </c>
      <c r="H8206">
        <v>-8.1062319999999997E-4</v>
      </c>
      <c r="I8206">
        <v>167.50149999999999</v>
      </c>
      <c r="J8206">
        <v>-187.34039999999999</v>
      </c>
      <c r="K8206">
        <v>1.108873</v>
      </c>
      <c r="L8206">
        <v>111.077</v>
      </c>
      <c r="M8206">
        <v>3.2265670000000003E-2</v>
      </c>
      <c r="N8206">
        <v>-1.4280670000000001E-2</v>
      </c>
      <c r="O8206">
        <v>0.99937730000000002</v>
      </c>
      <c r="P8206">
        <v>8.2970139999999998E-2</v>
      </c>
      <c r="Q8206">
        <v>0.20270730000000001</v>
      </c>
      <c r="R8206">
        <v>0.97571799999999997</v>
      </c>
      <c r="S8206">
        <v>1.282562</v>
      </c>
      <c r="T8206">
        <v>-5.8346629999999997E-2</v>
      </c>
      <c r="U8206">
        <v>2.9831240000000001</v>
      </c>
      <c r="V8206">
        <v>5.2618659999999998E-2</v>
      </c>
      <c r="W8206">
        <v>0.2163689</v>
      </c>
      <c r="X8206">
        <v>0.97489269999999995</v>
      </c>
      <c r="Y8206">
        <v>0.36504639999999999</v>
      </c>
      <c r="Z8206">
        <v>-3.8805319999999999E-3</v>
      </c>
      <c r="AA8206">
        <v>0.93098119999999995</v>
      </c>
      <c r="AB8206">
        <v>30</v>
      </c>
      <c r="AC8206">
        <v>24.381099999999901</v>
      </c>
      <c r="AD8206">
        <v>-1.1096836232</v>
      </c>
      <c r="AE8206">
        <v>56.424499999999902</v>
      </c>
      <c r="AF8206">
        <v>22.5402964313814</v>
      </c>
      <c r="AG8206">
        <v>-1.1096836232</v>
      </c>
      <c r="AH8206">
        <v>57.163237156981999</v>
      </c>
      <c r="AI8206">
        <v>91.034607983930897</v>
      </c>
      <c r="AJ8206">
        <v>68.479960565873995</v>
      </c>
      <c r="AK8206">
        <v>61.456749370785197</v>
      </c>
      <c r="AL8206">
        <v>77.504149952975496</v>
      </c>
      <c r="AM8206">
        <v>86.910526994991599</v>
      </c>
      <c r="AN8206">
        <v>1.00000000039034</v>
      </c>
    </row>
    <row r="8207" spans="1:40" x14ac:dyDescent="0.25">
      <c r="A8207" t="str">
        <f>"20190304154954962"</f>
        <v>20190304154954962</v>
      </c>
      <c r="B8207" t="str">
        <f>"1551685794955327"</f>
        <v>1551685794955327</v>
      </c>
      <c r="C8207" t="s">
        <v>40</v>
      </c>
      <c r="D8207">
        <v>4.656663</v>
      </c>
      <c r="E8207">
        <v>0.62743179999999998</v>
      </c>
      <c r="F8207" t="s">
        <v>45</v>
      </c>
      <c r="G8207">
        <v>-164.3536</v>
      </c>
      <c r="H8207">
        <v>-0.05</v>
      </c>
      <c r="I8207">
        <v>163.9658</v>
      </c>
      <c r="J8207">
        <v>-187.328</v>
      </c>
      <c r="K8207">
        <v>1.1088119999999999</v>
      </c>
      <c r="L8207">
        <v>111.3691</v>
      </c>
      <c r="M8207">
        <v>3.5069999999999997E-2</v>
      </c>
      <c r="N8207">
        <v>-1.427934E-2</v>
      </c>
      <c r="O8207">
        <v>0.99928280000000003</v>
      </c>
      <c r="P8207">
        <v>8.7521539999999995E-2</v>
      </c>
      <c r="Q8207">
        <v>0.20207059999999999</v>
      </c>
      <c r="R8207">
        <v>0.9754524</v>
      </c>
      <c r="S8207">
        <v>1.294373</v>
      </c>
      <c r="T8207">
        <v>-6.5255279999999999E-2</v>
      </c>
      <c r="U8207">
        <v>2.9781339999999998</v>
      </c>
      <c r="V8207">
        <v>5.4458659999999999E-2</v>
      </c>
      <c r="W8207">
        <v>0.21571380000000001</v>
      </c>
      <c r="X8207">
        <v>0.97493680000000005</v>
      </c>
      <c r="Y8207">
        <v>0.36609960000000003</v>
      </c>
      <c r="Z8207">
        <v>-6.0382869999999998E-3</v>
      </c>
      <c r="AA8207">
        <v>0.9305561</v>
      </c>
      <c r="AB8207">
        <v>30</v>
      </c>
      <c r="AC8207">
        <v>22.974399999999999</v>
      </c>
      <c r="AD8207">
        <v>-1.158812</v>
      </c>
      <c r="AE8207">
        <v>52.596699999999998</v>
      </c>
      <c r="AF8207">
        <v>21.106906269803801</v>
      </c>
      <c r="AG8207">
        <v>-1.158812</v>
      </c>
      <c r="AH8207">
        <v>53.348386711730797</v>
      </c>
      <c r="AI8207">
        <v>91.157114182309101</v>
      </c>
      <c r="AJ8207">
        <v>68.414127050383698</v>
      </c>
      <c r="AK8207">
        <v>57.3837494616551</v>
      </c>
      <c r="AL8207">
        <v>77.542591962870404</v>
      </c>
      <c r="AM8207">
        <v>86.802857190980205</v>
      </c>
      <c r="AN8207">
        <v>0.99999997657683704</v>
      </c>
    </row>
    <row r="8208" spans="1:40" x14ac:dyDescent="0.25">
      <c r="A8208" t="str">
        <f>"20190304154954984"</f>
        <v>20190304154954984</v>
      </c>
      <c r="B8208" t="str">
        <f>"1551685794975826"</f>
        <v>1551685794975826</v>
      </c>
      <c r="C8208" t="s">
        <v>40</v>
      </c>
      <c r="D8208">
        <v>4.6361030000000003</v>
      </c>
      <c r="E8208">
        <v>0.62770429999999999</v>
      </c>
      <c r="F8208" t="s">
        <v>45</v>
      </c>
      <c r="G8208">
        <v>-164.38499999999999</v>
      </c>
      <c r="H8208">
        <v>-0.05</v>
      </c>
      <c r="I8208">
        <v>163.51990000000001</v>
      </c>
      <c r="J8208">
        <v>-187.3141</v>
      </c>
      <c r="K8208">
        <v>1.1087480000000001</v>
      </c>
      <c r="L8208">
        <v>111.67359999999999</v>
      </c>
      <c r="M8208">
        <v>3.8071849999999997E-2</v>
      </c>
      <c r="N8208">
        <v>-1.42782E-2</v>
      </c>
      <c r="O8208">
        <v>0.99917299999999998</v>
      </c>
      <c r="P8208">
        <v>9.2676919999999996E-2</v>
      </c>
      <c r="Q8208">
        <v>0.20092270000000001</v>
      </c>
      <c r="R8208">
        <v>0.97521329999999995</v>
      </c>
      <c r="S8208">
        <v>1.307434</v>
      </c>
      <c r="T8208">
        <v>-6.6036220000000007E-2</v>
      </c>
      <c r="U8208">
        <v>2.9718779999999998</v>
      </c>
      <c r="V8208">
        <v>5.6705409999999998E-2</v>
      </c>
      <c r="W8208">
        <v>0.2145464</v>
      </c>
      <c r="X8208">
        <v>0.97506630000000005</v>
      </c>
      <c r="Y8208">
        <v>0.3674501</v>
      </c>
      <c r="Z8208">
        <v>-6.3044370000000004E-3</v>
      </c>
      <c r="AA8208">
        <v>0.93002189999999996</v>
      </c>
      <c r="AB8208">
        <v>30</v>
      </c>
      <c r="AC8208">
        <v>22.929099999999998</v>
      </c>
      <c r="AD8208">
        <v>-1.1587479999999999</v>
      </c>
      <c r="AE8208">
        <v>51.846299999999999</v>
      </c>
      <c r="AF8208">
        <v>20.929643069141601</v>
      </c>
      <c r="AG8208">
        <v>-1.1587479999999999</v>
      </c>
      <c r="AH8208">
        <v>52.659745343249199</v>
      </c>
      <c r="AI8208">
        <v>91.171451407792006</v>
      </c>
      <c r="AJ8208">
        <v>68.324627452745503</v>
      </c>
      <c r="AK8208">
        <v>56.678403607944297</v>
      </c>
      <c r="AL8208">
        <v>77.611082730883894</v>
      </c>
      <c r="AM8208">
        <v>86.671687515829007</v>
      </c>
      <c r="AN8208">
        <v>0.99999997533595797</v>
      </c>
    </row>
    <row r="8209" spans="1:40" x14ac:dyDescent="0.25">
      <c r="A8209" t="str">
        <f>"20190304154955006"</f>
        <v>20190304154955006</v>
      </c>
      <c r="B8209" t="str">
        <f>"1551685794995342"</f>
        <v>1551685794995342</v>
      </c>
      <c r="C8209" t="s">
        <v>40</v>
      </c>
      <c r="D8209">
        <v>4.6354449999999998</v>
      </c>
      <c r="E8209">
        <v>0.62785849999999999</v>
      </c>
      <c r="F8209" t="s">
        <v>45</v>
      </c>
      <c r="G8209">
        <v>-165.0712</v>
      </c>
      <c r="H8209">
        <v>-0.05</v>
      </c>
      <c r="I8209">
        <v>161.4179</v>
      </c>
      <c r="J8209">
        <v>-187.2998</v>
      </c>
      <c r="K8209">
        <v>1.108689</v>
      </c>
      <c r="L8209">
        <v>111.9688</v>
      </c>
      <c r="M8209">
        <v>4.1053399999999997E-2</v>
      </c>
      <c r="N8209">
        <v>-1.4277410000000001E-2</v>
      </c>
      <c r="O8209">
        <v>0.99905500000000003</v>
      </c>
      <c r="P8209">
        <v>9.7620490000000004E-2</v>
      </c>
      <c r="Q8209">
        <v>0.19811780000000001</v>
      </c>
      <c r="R8209">
        <v>0.97530479999999997</v>
      </c>
      <c r="S8209">
        <v>1.3255619999999999</v>
      </c>
      <c r="T8209">
        <v>-6.9055199999999997E-2</v>
      </c>
      <c r="U8209">
        <v>2.964493</v>
      </c>
      <c r="V8209">
        <v>5.873519E-2</v>
      </c>
      <c r="W8209">
        <v>0.21172730000000001</v>
      </c>
      <c r="X8209">
        <v>0.97556229999999999</v>
      </c>
      <c r="Y8209">
        <v>0.37027120000000002</v>
      </c>
      <c r="Z8209">
        <v>-7.2584269999999996E-3</v>
      </c>
      <c r="AA8209">
        <v>0.92889540000000004</v>
      </c>
      <c r="AB8209">
        <v>30</v>
      </c>
      <c r="AC8209">
        <v>22.2286</v>
      </c>
      <c r="AD8209">
        <v>-1.1586889999999901</v>
      </c>
      <c r="AE8209">
        <v>49.449100000000001</v>
      </c>
      <c r="AF8209">
        <v>20.170382956737001</v>
      </c>
      <c r="AG8209">
        <v>-1.1586889999999901</v>
      </c>
      <c r="AH8209">
        <v>50.297082602346201</v>
      </c>
      <c r="AI8209">
        <v>91.224892364660505</v>
      </c>
      <c r="AJ8209">
        <v>68.147985186662694</v>
      </c>
      <c r="AK8209">
        <v>54.203168054343301</v>
      </c>
      <c r="AL8209">
        <v>77.776404786040402</v>
      </c>
      <c r="AM8209">
        <v>86.554580740188399</v>
      </c>
      <c r="AN8209">
        <v>1.00000003664545</v>
      </c>
    </row>
    <row r="8210" spans="1:40" x14ac:dyDescent="0.25">
      <c r="A8210" t="str">
        <f>"20190304154955027"</f>
        <v>20190304154955027</v>
      </c>
      <c r="B8210" t="str">
        <f>"1551685795025598"</f>
        <v>1551685795025598</v>
      </c>
      <c r="C8210" t="s">
        <v>40</v>
      </c>
      <c r="D8210">
        <v>4.6635150000000003</v>
      </c>
      <c r="E8210">
        <v>0.62776799999999999</v>
      </c>
      <c r="F8210" t="s">
        <v>44</v>
      </c>
      <c r="G8210">
        <v>-169.48580000000001</v>
      </c>
      <c r="H8210">
        <v>7.9986740000000001E-2</v>
      </c>
      <c r="I8210">
        <v>151.2208</v>
      </c>
      <c r="J8210">
        <v>-187.28489999999999</v>
      </c>
      <c r="K8210">
        <v>1.108625</v>
      </c>
      <c r="L8210">
        <v>112.25360000000001</v>
      </c>
      <c r="M8210">
        <v>4.3996069999999998E-2</v>
      </c>
      <c r="N8210">
        <v>-1.4276809999999999E-2</v>
      </c>
      <c r="O8210">
        <v>0.99892970000000003</v>
      </c>
      <c r="P8210">
        <v>0.1036849</v>
      </c>
      <c r="Q8210">
        <v>0.1954063</v>
      </c>
      <c r="R8210">
        <v>0.97522600000000004</v>
      </c>
      <c r="S8210">
        <v>1.342163</v>
      </c>
      <c r="T8210">
        <v>-7.7505710000000005E-2</v>
      </c>
      <c r="U8210">
        <v>2.9573670000000001</v>
      </c>
      <c r="V8210">
        <v>6.1926120000000001E-2</v>
      </c>
      <c r="W8210">
        <v>0.20899419999999999</v>
      </c>
      <c r="X8210">
        <v>0.97595419999999999</v>
      </c>
      <c r="Y8210">
        <v>0.37268390000000001</v>
      </c>
      <c r="Z8210">
        <v>-9.8984659999999999E-3</v>
      </c>
      <c r="AA8210">
        <v>0.9279056</v>
      </c>
      <c r="AB8210">
        <v>30</v>
      </c>
      <c r="AC8210">
        <v>17.7990999999999</v>
      </c>
      <c r="AD8210">
        <v>-1.0286382599999999</v>
      </c>
      <c r="AE8210">
        <v>38.967199999999899</v>
      </c>
      <c r="AF8210">
        <v>16.058025201287801</v>
      </c>
      <c r="AG8210">
        <v>-1.0286382599999999</v>
      </c>
      <c r="AH8210">
        <v>39.689748029515798</v>
      </c>
      <c r="AI8210">
        <v>91.376272374792705</v>
      </c>
      <c r="AJ8210">
        <v>67.972298453754306</v>
      </c>
      <c r="AK8210">
        <v>42.827495475238599</v>
      </c>
      <c r="AL8210">
        <v>77.9365838098567</v>
      </c>
      <c r="AM8210">
        <v>86.369342880407899</v>
      </c>
      <c r="AN8210">
        <v>1.0000000102347599</v>
      </c>
    </row>
    <row r="8211" spans="1:40" x14ac:dyDescent="0.25">
      <c r="A8211" t="str">
        <f>"20190304154955050"</f>
        <v>20190304154955050</v>
      </c>
      <c r="B8211" t="str">
        <f>"1551685795045119"</f>
        <v>1551685795045119</v>
      </c>
      <c r="C8211" t="s">
        <v>40</v>
      </c>
      <c r="D8211">
        <v>4.5977119999999996</v>
      </c>
      <c r="E8211">
        <v>0.62794850000000002</v>
      </c>
      <c r="F8211" t="s">
        <v>79</v>
      </c>
      <c r="G8211">
        <v>-170.04939999999999</v>
      </c>
      <c r="H8211">
        <v>1.506241E-2</v>
      </c>
      <c r="I8211">
        <v>149.6163</v>
      </c>
      <c r="J8211">
        <v>-187.2679</v>
      </c>
      <c r="K8211">
        <v>1.10856</v>
      </c>
      <c r="L8211">
        <v>112.563</v>
      </c>
      <c r="M8211">
        <v>4.7262039999999998E-2</v>
      </c>
      <c r="N8211">
        <v>-1.4276270000000001E-2</v>
      </c>
      <c r="O8211">
        <v>0.99878049999999996</v>
      </c>
      <c r="P8211">
        <v>0.1092547</v>
      </c>
      <c r="Q8211">
        <v>0.19363250000000001</v>
      </c>
      <c r="R8211">
        <v>0.9749717</v>
      </c>
      <c r="S8211">
        <v>1.3603209999999999</v>
      </c>
      <c r="T8211">
        <v>-8.6309910000000004E-2</v>
      </c>
      <c r="U8211">
        <v>2.948868</v>
      </c>
      <c r="V8211">
        <v>6.4318899999999998E-2</v>
      </c>
      <c r="W8211">
        <v>0.2072</v>
      </c>
      <c r="X8211">
        <v>0.97618199999999999</v>
      </c>
      <c r="Y8211">
        <v>0.37535590000000002</v>
      </c>
      <c r="Z8211">
        <v>-1.2656779999999999E-2</v>
      </c>
      <c r="AA8211">
        <v>0.92679440000000002</v>
      </c>
      <c r="AB8211">
        <v>30</v>
      </c>
      <c r="AC8211">
        <v>17.218499999999999</v>
      </c>
      <c r="AD8211">
        <v>-1.0934975899999999</v>
      </c>
      <c r="AE8211">
        <v>37.0533</v>
      </c>
      <c r="AF8211">
        <v>15.4368050811918</v>
      </c>
      <c r="AG8211">
        <v>-1.0934975899999999</v>
      </c>
      <c r="AH8211">
        <v>37.798676233184104</v>
      </c>
      <c r="AI8211">
        <v>91.534137601373402</v>
      </c>
      <c r="AJ8211">
        <v>67.785121969445797</v>
      </c>
      <c r="AK8211">
        <v>40.843978908464898</v>
      </c>
      <c r="AL8211">
        <v>78.041684992556</v>
      </c>
      <c r="AM8211">
        <v>86.230331478387001</v>
      </c>
      <c r="AN8211">
        <v>1.0000000290105999</v>
      </c>
    </row>
    <row r="8212" spans="1:40" x14ac:dyDescent="0.25">
      <c r="A8212" t="str">
        <f>"20190304154955074"</f>
        <v>20190304154955074</v>
      </c>
      <c r="B8212" t="str">
        <f>"1551685795065618"</f>
        <v>1551685795065618</v>
      </c>
      <c r="C8212" t="s">
        <v>40</v>
      </c>
      <c r="D8212">
        <v>4.6421530000000004</v>
      </c>
      <c r="E8212">
        <v>0.62795679999999998</v>
      </c>
      <c r="F8212" t="s">
        <v>79</v>
      </c>
      <c r="G8212">
        <v>-170.82740000000001</v>
      </c>
      <c r="H8212" s="1">
        <v>-6.5730049999999999E-6</v>
      </c>
      <c r="I8212">
        <v>147.61580000000001</v>
      </c>
      <c r="J8212">
        <v>-187.2499</v>
      </c>
      <c r="K8212">
        <v>1.108498</v>
      </c>
      <c r="L8212">
        <v>112.8677</v>
      </c>
      <c r="M8212">
        <v>5.0554710000000003E-2</v>
      </c>
      <c r="N8212">
        <v>-1.4275899999999999E-2</v>
      </c>
      <c r="O8212">
        <v>0.99861929999999999</v>
      </c>
      <c r="P8212">
        <v>0.11364059999999999</v>
      </c>
      <c r="Q8212">
        <v>0.1932237</v>
      </c>
      <c r="R8212">
        <v>0.97455139999999996</v>
      </c>
      <c r="S8212">
        <v>1.3793489999999999</v>
      </c>
      <c r="T8212">
        <v>-9.3008400000000005E-2</v>
      </c>
      <c r="U8212">
        <v>2.9409179999999999</v>
      </c>
      <c r="V8212">
        <v>6.5515690000000001E-2</v>
      </c>
      <c r="W8212">
        <v>0.2067754</v>
      </c>
      <c r="X8212">
        <v>0.97619239999999996</v>
      </c>
      <c r="Y8212">
        <v>0.37815989999999999</v>
      </c>
      <c r="Z8212">
        <v>-1.4756129999999999E-2</v>
      </c>
      <c r="AA8212">
        <v>0.92562270000000002</v>
      </c>
      <c r="AB8212">
        <v>30</v>
      </c>
      <c r="AC8212">
        <v>16.4224999999999</v>
      </c>
      <c r="AD8212">
        <v>-1.108504573005</v>
      </c>
      <c r="AE8212">
        <v>34.748100000000001</v>
      </c>
      <c r="AF8212">
        <v>14.632464738181399</v>
      </c>
      <c r="AG8212">
        <v>-1.108504573005</v>
      </c>
      <c r="AH8212">
        <v>35.504442453596397</v>
      </c>
      <c r="AI8212">
        <v>91.653451496933599</v>
      </c>
      <c r="AJ8212">
        <v>67.601945611934397</v>
      </c>
      <c r="AK8212">
        <v>38.417486131229801</v>
      </c>
      <c r="AL8212">
        <v>78.066550784256606</v>
      </c>
      <c r="AM8212">
        <v>86.160437461216702</v>
      </c>
      <c r="AN8212">
        <v>0.99999998674954704</v>
      </c>
    </row>
    <row r="8213" spans="1:40" x14ac:dyDescent="0.25">
      <c r="A8213" t="str">
        <f>"20190304154955094"</f>
        <v>20190304154955094</v>
      </c>
      <c r="B8213" t="str">
        <f>"1551685795085134"</f>
        <v>1551685795085134</v>
      </c>
      <c r="C8213" t="s">
        <v>40</v>
      </c>
      <c r="D8213">
        <v>4.6281400000000001</v>
      </c>
      <c r="E8213">
        <v>0.62779490000000004</v>
      </c>
      <c r="F8213" t="s">
        <v>79</v>
      </c>
      <c r="G8213">
        <v>-171.07</v>
      </c>
      <c r="H8213" s="1">
        <v>-6.4728659999999998E-6</v>
      </c>
      <c r="I8213">
        <v>146.97380000000001</v>
      </c>
      <c r="J8213">
        <v>-187.2321</v>
      </c>
      <c r="K8213">
        <v>1.108449</v>
      </c>
      <c r="L8213">
        <v>113.1529</v>
      </c>
      <c r="M8213">
        <v>5.3699330000000003E-2</v>
      </c>
      <c r="N8213">
        <v>-1.4275660000000001E-2</v>
      </c>
      <c r="O8213">
        <v>0.99845510000000004</v>
      </c>
      <c r="P8213">
        <v>0.1189231</v>
      </c>
      <c r="Q8213">
        <v>0.1927613</v>
      </c>
      <c r="R8213">
        <v>0.97401249999999995</v>
      </c>
      <c r="S8213">
        <v>1.3923030000000001</v>
      </c>
      <c r="T8213">
        <v>-9.5388650000000005E-2</v>
      </c>
      <c r="U8213">
        <v>2.9348909999999999</v>
      </c>
      <c r="V8213">
        <v>6.7756049999999998E-2</v>
      </c>
      <c r="W8213">
        <v>0.20629069999999999</v>
      </c>
      <c r="X8213">
        <v>0.97614199999999995</v>
      </c>
      <c r="Y8213">
        <v>0.3793086</v>
      </c>
      <c r="Z8213">
        <v>-1.552008E-2</v>
      </c>
      <c r="AA8213">
        <v>0.92514010000000002</v>
      </c>
      <c r="AB8213">
        <v>30</v>
      </c>
      <c r="AC8213">
        <v>16.162099999999999</v>
      </c>
      <c r="AD8213">
        <v>-1.1084554728659901</v>
      </c>
      <c r="AE8213">
        <v>33.820900000000002</v>
      </c>
      <c r="AF8213">
        <v>14.309917558797</v>
      </c>
      <c r="AG8213">
        <v>-1.1084554728659901</v>
      </c>
      <c r="AH8213">
        <v>34.6098090883251</v>
      </c>
      <c r="AI8213">
        <v>91.695294871223894</v>
      </c>
      <c r="AJ8213">
        <v>67.536656526919103</v>
      </c>
      <c r="AK8213">
        <v>37.467870225103603</v>
      </c>
      <c r="AL8213">
        <v>78.094933796064595</v>
      </c>
      <c r="AM8213">
        <v>86.029349310846399</v>
      </c>
      <c r="AN8213">
        <v>0.99999996969104499</v>
      </c>
    </row>
    <row r="8214" spans="1:40" x14ac:dyDescent="0.25">
      <c r="A8214" t="str">
        <f>"20190304154955106"</f>
        <v>20190304154955106</v>
      </c>
      <c r="B8214" t="str">
        <f>"1551685795095871"</f>
        <v>1551685795095871</v>
      </c>
      <c r="C8214" t="s">
        <v>40</v>
      </c>
      <c r="D8214">
        <v>4.6607919999999998</v>
      </c>
      <c r="E8214">
        <v>0.62759869999999995</v>
      </c>
      <c r="F8214" t="s">
        <v>79</v>
      </c>
      <c r="G8214">
        <v>-171.2286</v>
      </c>
      <c r="H8214" s="1">
        <v>-6.3798149999999997E-6</v>
      </c>
      <c r="I8214">
        <v>146.46899999999999</v>
      </c>
      <c r="J8214">
        <v>-187.2218</v>
      </c>
      <c r="K8214">
        <v>1.1084270000000001</v>
      </c>
      <c r="L8214">
        <v>113.3111</v>
      </c>
      <c r="M8214">
        <v>5.5465380000000002E-2</v>
      </c>
      <c r="N8214">
        <v>-1.427549E-2</v>
      </c>
      <c r="O8214">
        <v>0.99835850000000004</v>
      </c>
      <c r="P8214">
        <v>0.1214895</v>
      </c>
      <c r="Q8214">
        <v>0.19221820000000001</v>
      </c>
      <c r="R8214">
        <v>0.97380310000000003</v>
      </c>
      <c r="S8214">
        <v>1.406296</v>
      </c>
      <c r="T8214">
        <v>-9.740472E-2</v>
      </c>
      <c r="U8214">
        <v>2.9276279999999999</v>
      </c>
      <c r="V8214">
        <v>6.8606189999999997E-2</v>
      </c>
      <c r="W8214">
        <v>0.2057387</v>
      </c>
      <c r="X8214">
        <v>0.97619920000000004</v>
      </c>
      <c r="Y8214">
        <v>0.38215100000000002</v>
      </c>
      <c r="Z8214">
        <v>-1.6168660000000001E-2</v>
      </c>
      <c r="AA8214">
        <v>0.92395839999999996</v>
      </c>
      <c r="AB8214">
        <v>30</v>
      </c>
      <c r="AC8214">
        <v>15.9932</v>
      </c>
      <c r="AD8214">
        <v>-1.1084333798149999</v>
      </c>
      <c r="AE8214">
        <v>33.157899999999998</v>
      </c>
      <c r="AF8214">
        <v>14.1164744445003</v>
      </c>
      <c r="AG8214">
        <v>-1.1084333798149999</v>
      </c>
      <c r="AH8214">
        <v>33.963215635462802</v>
      </c>
      <c r="AI8214">
        <v>91.726187780104596</v>
      </c>
      <c r="AJ8214">
        <v>67.430270224699001</v>
      </c>
      <c r="AK8214">
        <v>36.796786430348298</v>
      </c>
      <c r="AL8214">
        <v>78.127255347777606</v>
      </c>
      <c r="AM8214">
        <v>85.979926426855897</v>
      </c>
      <c r="AN8214">
        <v>1.0000000500323201</v>
      </c>
    </row>
    <row r="8215" spans="1:40" x14ac:dyDescent="0.25">
      <c r="A8215" t="str">
        <f>"20190304154955118"</f>
        <v>20190304154955118</v>
      </c>
      <c r="B8215" t="str">
        <f>"1551685795115391"</f>
        <v>1551685795115391</v>
      </c>
      <c r="C8215" t="s">
        <v>40</v>
      </c>
      <c r="D8215">
        <v>4.664593</v>
      </c>
      <c r="E8215">
        <v>0.62745740000000005</v>
      </c>
      <c r="F8215" t="s">
        <v>79</v>
      </c>
      <c r="G8215">
        <v>-171.46729999999999</v>
      </c>
      <c r="H8215" s="1">
        <v>-6.3108330000000001E-6</v>
      </c>
      <c r="I8215">
        <v>145.92859999999999</v>
      </c>
      <c r="J8215">
        <v>-187.21199999999999</v>
      </c>
      <c r="K8215">
        <v>1.1084050000000001</v>
      </c>
      <c r="L8215">
        <v>113.4579</v>
      </c>
      <c r="M8215">
        <v>5.711931E-2</v>
      </c>
      <c r="N8215">
        <v>-1.4275309999999999E-2</v>
      </c>
      <c r="O8215">
        <v>0.99826530000000002</v>
      </c>
      <c r="P8215">
        <v>0.1238353</v>
      </c>
      <c r="Q8215">
        <v>0.19170039999999999</v>
      </c>
      <c r="R8215">
        <v>0.97360970000000002</v>
      </c>
      <c r="S8215">
        <v>1.412369</v>
      </c>
      <c r="T8215">
        <v>-9.9369529999999998E-2</v>
      </c>
      <c r="U8215">
        <v>2.924118</v>
      </c>
      <c r="V8215">
        <v>6.9343849999999999E-2</v>
      </c>
      <c r="W8215">
        <v>0.2052137</v>
      </c>
      <c r="X8215">
        <v>0.97625759999999995</v>
      </c>
      <c r="Y8215">
        <v>0.38260379999999999</v>
      </c>
      <c r="Z8215">
        <v>-1.6797779999999998E-2</v>
      </c>
      <c r="AA8215">
        <v>0.92375980000000002</v>
      </c>
      <c r="AB8215">
        <v>30</v>
      </c>
      <c r="AC8215">
        <v>15.7447</v>
      </c>
      <c r="AD8215">
        <v>-1.10841131083299</v>
      </c>
      <c r="AE8215">
        <v>32.470699999999901</v>
      </c>
      <c r="AF8215">
        <v>13.851028849095099</v>
      </c>
      <c r="AG8215">
        <v>-1.10841131083299</v>
      </c>
      <c r="AH8215">
        <v>33.2856914904036</v>
      </c>
      <c r="AI8215">
        <v>91.760964087354793</v>
      </c>
      <c r="AJ8215">
        <v>67.406554296330896</v>
      </c>
      <c r="AK8215">
        <v>36.069610946152103</v>
      </c>
      <c r="AL8215">
        <v>78.157991677258806</v>
      </c>
      <c r="AM8215">
        <v>85.937088479411798</v>
      </c>
      <c r="AN8215">
        <v>1.00000006687913</v>
      </c>
    </row>
    <row r="8216" spans="1:40" x14ac:dyDescent="0.25">
      <c r="A8216" t="str">
        <f>"20190304154955131"</f>
        <v>20190304154955131</v>
      </c>
      <c r="B8216" t="str">
        <f>"1551685795125151"</f>
        <v>1551685795125151</v>
      </c>
      <c r="C8216" t="s">
        <v>40</v>
      </c>
      <c r="D8216">
        <v>4.6917770000000001</v>
      </c>
      <c r="E8216">
        <v>0.62732399999999999</v>
      </c>
      <c r="F8216" t="s">
        <v>79</v>
      </c>
      <c r="G8216">
        <v>-171.5488</v>
      </c>
      <c r="H8216" s="1">
        <v>-6.2743759999999998E-6</v>
      </c>
      <c r="I8216">
        <v>145.70439999999999</v>
      </c>
      <c r="J8216">
        <v>-187.20009999999999</v>
      </c>
      <c r="K8216">
        <v>1.108387</v>
      </c>
      <c r="L8216">
        <v>113.63209999999999</v>
      </c>
      <c r="M8216">
        <v>5.9095099999999998E-2</v>
      </c>
      <c r="N8216">
        <v>-1.4275039999999999E-2</v>
      </c>
      <c r="O8216">
        <v>0.99815030000000005</v>
      </c>
      <c r="P8216">
        <v>0.12656539999999999</v>
      </c>
      <c r="Q8216">
        <v>0.19093270000000001</v>
      </c>
      <c r="R8216">
        <v>0.97340939999999998</v>
      </c>
      <c r="S8216">
        <v>1.418655</v>
      </c>
      <c r="T8216">
        <v>-0.10039140000000001</v>
      </c>
      <c r="U8216">
        <v>2.920639</v>
      </c>
      <c r="V8216">
        <v>7.0149749999999997E-2</v>
      </c>
      <c r="W8216">
        <v>0.20443800000000001</v>
      </c>
      <c r="X8216">
        <v>0.97636270000000003</v>
      </c>
      <c r="Y8216">
        <v>0.38281280000000001</v>
      </c>
      <c r="Z8216">
        <v>-1.7135350000000001E-2</v>
      </c>
      <c r="AA8216">
        <v>0.92366700000000002</v>
      </c>
      <c r="AB8216">
        <v>30</v>
      </c>
      <c r="AC8216">
        <v>15.6512999999999</v>
      </c>
      <c r="AD8216">
        <v>-1.1083932743760001</v>
      </c>
      <c r="AE8216">
        <v>32.072299999999998</v>
      </c>
      <c r="AF8216">
        <v>13.7152026974937</v>
      </c>
      <c r="AG8216">
        <v>-1.1083932743760001</v>
      </c>
      <c r="AH8216">
        <v>32.909501869338001</v>
      </c>
      <c r="AI8216">
        <v>91.780654285243997</v>
      </c>
      <c r="AJ8216">
        <v>67.375817932538794</v>
      </c>
      <c r="AK8216">
        <v>35.670304652077</v>
      </c>
      <c r="AL8216">
        <v>78.203397942905397</v>
      </c>
      <c r="AM8216">
        <v>85.890471939692603</v>
      </c>
      <c r="AN8216">
        <v>1.0000000026101701</v>
      </c>
    </row>
    <row r="8217" spans="1:40" x14ac:dyDescent="0.25">
      <c r="A8217" t="str">
        <f>"20190304154955145"</f>
        <v>20190304154955145</v>
      </c>
      <c r="B8217" t="str">
        <f>"1551685795135887"</f>
        <v>1551685795135887</v>
      </c>
      <c r="C8217" t="s">
        <v>40</v>
      </c>
      <c r="D8217">
        <v>4.6890960000000002</v>
      </c>
      <c r="E8217">
        <v>0.62727670000000002</v>
      </c>
      <c r="F8217" t="s">
        <v>79</v>
      </c>
      <c r="G8217">
        <v>-171.8613</v>
      </c>
      <c r="H8217" s="1">
        <v>-6.1881379999999999E-6</v>
      </c>
      <c r="I8217">
        <v>145.00960000000001</v>
      </c>
      <c r="J8217">
        <v>-187.18729999999999</v>
      </c>
      <c r="K8217">
        <v>1.1083540000000001</v>
      </c>
      <c r="L8217">
        <v>113.8109</v>
      </c>
      <c r="M8217">
        <v>6.1169630000000003E-2</v>
      </c>
      <c r="N8217">
        <v>-1.427495E-2</v>
      </c>
      <c r="O8217">
        <v>0.9980253</v>
      </c>
      <c r="P8217">
        <v>0.12931899999999999</v>
      </c>
      <c r="Q8217">
        <v>0.19006390000000001</v>
      </c>
      <c r="R8217">
        <v>0.97321749999999996</v>
      </c>
      <c r="S8217">
        <v>1.4258580000000001</v>
      </c>
      <c r="T8217">
        <v>-0.10303320000000001</v>
      </c>
      <c r="U8217">
        <v>2.916763</v>
      </c>
      <c r="V8217">
        <v>7.0884230000000006E-2</v>
      </c>
      <c r="W8217">
        <v>0.20356079999999999</v>
      </c>
      <c r="X8217">
        <v>0.9764929</v>
      </c>
      <c r="Y8217">
        <v>0.38320890000000002</v>
      </c>
      <c r="Z8217">
        <v>-1.7976990000000002E-2</v>
      </c>
      <c r="AA8217">
        <v>0.92348680000000005</v>
      </c>
      <c r="AB8217">
        <v>30</v>
      </c>
      <c r="AC8217">
        <v>15.325999999999899</v>
      </c>
      <c r="AD8217">
        <v>-1.1083601881380001</v>
      </c>
      <c r="AE8217">
        <v>31.198699999999999</v>
      </c>
      <c r="AF8217">
        <v>13.375088145685799</v>
      </c>
      <c r="AG8217">
        <v>-1.1083601881380001</v>
      </c>
      <c r="AH8217">
        <v>32.045264738363997</v>
      </c>
      <c r="AI8217">
        <v>91.828184127470394</v>
      </c>
      <c r="AJ8217">
        <v>67.345264757815698</v>
      </c>
      <c r="AK8217">
        <v>34.742199662130702</v>
      </c>
      <c r="AL8217">
        <v>78.254737133072098</v>
      </c>
      <c r="AM8217">
        <v>85.848145923068301</v>
      </c>
      <c r="AN8217">
        <v>0.99999997855487099</v>
      </c>
    </row>
    <row r="8218" spans="1:40" x14ac:dyDescent="0.25">
      <c r="A8218" t="str">
        <f>"20190304154955165"</f>
        <v>20190304154955165</v>
      </c>
      <c r="B8218" t="str">
        <f>"1551685795155407"</f>
        <v>1551685795155407</v>
      </c>
      <c r="C8218" t="s">
        <v>40</v>
      </c>
      <c r="D8218">
        <v>4.6605610000000004</v>
      </c>
      <c r="E8218">
        <v>0.62726649999999995</v>
      </c>
      <c r="F8218" t="s">
        <v>79</v>
      </c>
      <c r="G8218">
        <v>-172.10120000000001</v>
      </c>
      <c r="H8218" s="1">
        <v>-6.1156749999999997E-6</v>
      </c>
      <c r="I8218">
        <v>144.45679999999999</v>
      </c>
      <c r="J8218">
        <v>-187.16800000000001</v>
      </c>
      <c r="K8218">
        <v>1.108287</v>
      </c>
      <c r="L8218">
        <v>114.0735</v>
      </c>
      <c r="M8218">
        <v>6.4278970000000005E-2</v>
      </c>
      <c r="N8218">
        <v>-1.427544E-2</v>
      </c>
      <c r="O8218">
        <v>0.99782990000000005</v>
      </c>
      <c r="P8218">
        <v>0.1343509</v>
      </c>
      <c r="Q8218">
        <v>0.18797920000000001</v>
      </c>
      <c r="R8218">
        <v>0.97294069999999999</v>
      </c>
      <c r="S8218">
        <v>1.433792</v>
      </c>
      <c r="T8218">
        <v>-0.1053388</v>
      </c>
      <c r="U8218">
        <v>2.912598</v>
      </c>
      <c r="V8218">
        <v>7.2886740000000005E-2</v>
      </c>
      <c r="W8218">
        <v>0.20145669999999999</v>
      </c>
      <c r="X8218">
        <v>0.97678180000000003</v>
      </c>
      <c r="Y8218">
        <v>0.38287169999999998</v>
      </c>
      <c r="Z8218">
        <v>-1.872045E-2</v>
      </c>
      <c r="AA8218">
        <v>0.92361179999999998</v>
      </c>
      <c r="AB8218">
        <v>30</v>
      </c>
      <c r="AC8218">
        <v>15.066800000000001</v>
      </c>
      <c r="AD8218">
        <v>-1.108293115675</v>
      </c>
      <c r="AE8218">
        <v>30.383299999999899</v>
      </c>
      <c r="AF8218">
        <v>13.0684722937497</v>
      </c>
      <c r="AG8218">
        <v>-1.108293115675</v>
      </c>
      <c r="AH8218">
        <v>31.255650937659802</v>
      </c>
      <c r="AI8218">
        <v>91.873734644180502</v>
      </c>
      <c r="AJ8218">
        <v>67.309439032194604</v>
      </c>
      <c r="AK8218">
        <v>33.895855163420698</v>
      </c>
      <c r="AL8218">
        <v>78.377843967167394</v>
      </c>
      <c r="AM8218">
        <v>85.732539773408305</v>
      </c>
      <c r="AN8218">
        <v>0.99999998182697802</v>
      </c>
    </row>
    <row r="8219" spans="1:40" x14ac:dyDescent="0.25">
      <c r="A8219" t="str">
        <f>"20190304154955178"</f>
        <v>20190304154955178</v>
      </c>
      <c r="B8219" t="str">
        <f>"1551685795175903"</f>
        <v>1551685795175903</v>
      </c>
      <c r="C8219" t="s">
        <v>40</v>
      </c>
      <c r="D8219">
        <v>4.6681980000000003</v>
      </c>
      <c r="E8219">
        <v>0.62701379999999995</v>
      </c>
      <c r="F8219" t="s">
        <v>79</v>
      </c>
      <c r="G8219">
        <v>-172.59649999999999</v>
      </c>
      <c r="H8219" s="1">
        <v>-5.9503179999999997E-6</v>
      </c>
      <c r="I8219">
        <v>143.267</v>
      </c>
      <c r="J8219">
        <v>-187.15379999999999</v>
      </c>
      <c r="K8219">
        <v>1.108231</v>
      </c>
      <c r="L8219">
        <v>114.2587</v>
      </c>
      <c r="M8219">
        <v>6.6529550000000007E-2</v>
      </c>
      <c r="N8219">
        <v>-1.4276499999999999E-2</v>
      </c>
      <c r="O8219">
        <v>0.99768230000000002</v>
      </c>
      <c r="P8219">
        <v>0.13746920000000001</v>
      </c>
      <c r="Q8219">
        <v>0.1871353</v>
      </c>
      <c r="R8219">
        <v>0.97266779999999997</v>
      </c>
      <c r="S8219">
        <v>1.4497530000000001</v>
      </c>
      <c r="T8219">
        <v>-0.1102669</v>
      </c>
      <c r="U8219">
        <v>2.904541</v>
      </c>
      <c r="V8219">
        <v>7.3826080000000002E-2</v>
      </c>
      <c r="W8219">
        <v>0.2006001</v>
      </c>
      <c r="X8219">
        <v>0.97688759999999997</v>
      </c>
      <c r="Y8219">
        <v>0.38585419999999998</v>
      </c>
      <c r="Z8219">
        <v>-2.027727E-2</v>
      </c>
      <c r="AA8219">
        <v>0.92233690000000002</v>
      </c>
      <c r="AB8219">
        <v>30</v>
      </c>
      <c r="AC8219">
        <v>14.5572999999999</v>
      </c>
      <c r="AD8219">
        <v>-1.1082369503180001</v>
      </c>
      <c r="AE8219">
        <v>29.008299999999899</v>
      </c>
      <c r="AF8219">
        <v>12.5802674449397</v>
      </c>
      <c r="AG8219">
        <v>-1.1082369503180001</v>
      </c>
      <c r="AH8219">
        <v>29.877771573627001</v>
      </c>
      <c r="AI8219">
        <v>91.957926126882697</v>
      </c>
      <c r="AJ8219">
        <v>67.166096441952504</v>
      </c>
      <c r="AK8219">
        <v>32.437209379508801</v>
      </c>
      <c r="AL8219">
        <v>78.427946996943405</v>
      </c>
      <c r="AM8219">
        <v>85.678215607621297</v>
      </c>
      <c r="AN8219">
        <v>1.00000003662096</v>
      </c>
    </row>
    <row r="8220" spans="1:40" x14ac:dyDescent="0.25">
      <c r="A8220" t="str">
        <f>"20190304154955196"</f>
        <v>20190304154955196</v>
      </c>
      <c r="B8220" t="str">
        <f>"1551685795185666"</f>
        <v>1551685795185666</v>
      </c>
      <c r="C8220" t="s">
        <v>40</v>
      </c>
      <c r="D8220">
        <v>4.6052269999999904</v>
      </c>
      <c r="E8220">
        <v>0.62674079999999999</v>
      </c>
      <c r="F8220" t="s">
        <v>79</v>
      </c>
      <c r="G8220">
        <v>-172.60820000000001</v>
      </c>
      <c r="H8220" s="1">
        <v>-5.9328829999999997E-6</v>
      </c>
      <c r="I8220">
        <v>143.19720000000001</v>
      </c>
      <c r="J8220">
        <v>-187.1353</v>
      </c>
      <c r="K8220">
        <v>1.1081570000000001</v>
      </c>
      <c r="L8220">
        <v>114.49169999999999</v>
      </c>
      <c r="M8220">
        <v>6.9431010000000001E-2</v>
      </c>
      <c r="N8220">
        <v>-1.4278600000000001E-2</v>
      </c>
      <c r="O8220">
        <v>0.99748460000000005</v>
      </c>
      <c r="P8220">
        <v>0.14247860000000001</v>
      </c>
      <c r="Q8220">
        <v>0.1856575</v>
      </c>
      <c r="R8220">
        <v>0.97223000000000004</v>
      </c>
      <c r="S8220">
        <v>1.457489</v>
      </c>
      <c r="T8220">
        <v>-0.1110466</v>
      </c>
      <c r="U8220">
        <v>2.8996729999999999</v>
      </c>
      <c r="V8220">
        <v>7.6030269999999997E-2</v>
      </c>
      <c r="W8220">
        <v>0.19909750000000001</v>
      </c>
      <c r="X8220">
        <v>0.9770259</v>
      </c>
      <c r="Y8220">
        <v>0.38575300000000001</v>
      </c>
      <c r="Z8220">
        <v>-2.055127E-2</v>
      </c>
      <c r="AA8220">
        <v>0.9223732</v>
      </c>
      <c r="AB8220">
        <v>30</v>
      </c>
      <c r="AC8220">
        <v>14.5270999999999</v>
      </c>
      <c r="AD8220">
        <v>-1.1081629328829901</v>
      </c>
      <c r="AE8220">
        <v>28.705500000000001</v>
      </c>
      <c r="AF8220">
        <v>12.483968819693301</v>
      </c>
      <c r="AG8220">
        <v>-1.1081629328829901</v>
      </c>
      <c r="AH8220">
        <v>29.609815957900601</v>
      </c>
      <c r="AI8220">
        <v>91.975104490205595</v>
      </c>
      <c r="AJ8220">
        <v>67.138938993013099</v>
      </c>
      <c r="AK8220">
        <v>32.153051233710798</v>
      </c>
      <c r="AL8220">
        <v>78.515811891116599</v>
      </c>
      <c r="AM8220">
        <v>85.550320457142405</v>
      </c>
      <c r="AN8220">
        <v>1.00000001286666</v>
      </c>
    </row>
    <row r="8221" spans="1:40" x14ac:dyDescent="0.25">
      <c r="A8221" t="str">
        <f>"20190304154956814"</f>
        <v>20190304154956814</v>
      </c>
      <c r="B8221" t="str">
        <f>"1551685796805953"</f>
        <v>1551685796805953</v>
      </c>
      <c r="C8221" t="s">
        <v>40</v>
      </c>
      <c r="D8221">
        <v>4.5402399999999998</v>
      </c>
      <c r="E8221">
        <v>0.64122190000000001</v>
      </c>
      <c r="F8221" t="s">
        <v>79</v>
      </c>
      <c r="G8221">
        <v>-172.79400000000001</v>
      </c>
      <c r="H8221" s="1">
        <v>-5.8480800000000003E-6</v>
      </c>
      <c r="I8221">
        <v>142.68039999999999</v>
      </c>
      <c r="J8221">
        <v>-178.77459999999999</v>
      </c>
      <c r="K8221">
        <v>1.099953</v>
      </c>
      <c r="L8221">
        <v>132.44370000000001</v>
      </c>
      <c r="M8221">
        <v>0.78737849999999998</v>
      </c>
      <c r="N8221">
        <v>-1.6029379999999999E-2</v>
      </c>
      <c r="O8221">
        <v>0.61626139999999996</v>
      </c>
      <c r="P8221">
        <v>0.86820779999999997</v>
      </c>
      <c r="Q8221">
        <v>0.17879</v>
      </c>
      <c r="R8221">
        <v>0.46287089999999997</v>
      </c>
      <c r="S8221">
        <v>1.471222</v>
      </c>
      <c r="T8221">
        <v>-0.1136829</v>
      </c>
      <c r="U8221">
        <v>2.891785</v>
      </c>
      <c r="V8221">
        <v>0.17574699999999999</v>
      </c>
      <c r="W8221">
        <v>0.18966549999999999</v>
      </c>
      <c r="X8221">
        <v>0.96599170000000001</v>
      </c>
      <c r="Y8221">
        <v>-0.422153</v>
      </c>
      <c r="Z8221">
        <v>-2.8053409999999998E-3</v>
      </c>
      <c r="AA8221">
        <v>0.9065202</v>
      </c>
      <c r="AB8221">
        <v>26</v>
      </c>
      <c r="AC8221">
        <v>5.9805999999999804</v>
      </c>
      <c r="AD8221">
        <v>-1.09995884808</v>
      </c>
      <c r="AE8221">
        <v>10.2366999999999</v>
      </c>
      <c r="AF8221">
        <v>-4.3377675828060003</v>
      </c>
      <c r="AG8221">
        <v>-1.09995884808</v>
      </c>
      <c r="AH8221">
        <v>10.924854523789</v>
      </c>
      <c r="AI8221">
        <v>95.346029973756401</v>
      </c>
      <c r="AJ8221">
        <v>111.65579739878901</v>
      </c>
      <c r="AK8221">
        <v>11.805870719089899</v>
      </c>
      <c r="AL8221">
        <v>79.066736047716503</v>
      </c>
      <c r="AM8221">
        <v>79.688714843026801</v>
      </c>
      <c r="AN8221">
        <v>0.99999998718406902</v>
      </c>
    </row>
    <row r="8222" spans="1:40" x14ac:dyDescent="0.25">
      <c r="A8222" t="str">
        <f>"20190304154956831"</f>
        <v>20190304154956831</v>
      </c>
      <c r="B8222" t="str">
        <f>"1551685796825472"</f>
        <v>1551685796825472</v>
      </c>
      <c r="C8222" t="s">
        <v>40</v>
      </c>
      <c r="D8222">
        <v>4.599621</v>
      </c>
      <c r="E8222">
        <v>0.63544659999999997</v>
      </c>
      <c r="F8222" t="s">
        <v>44</v>
      </c>
      <c r="G8222">
        <v>-139.92019999999999</v>
      </c>
      <c r="H8222" s="1">
        <v>-6.0324239999999996E-7</v>
      </c>
      <c r="I8222">
        <v>137.39869999999999</v>
      </c>
      <c r="J8222">
        <v>-178.60910000000001</v>
      </c>
      <c r="K8222">
        <v>1.100004</v>
      </c>
      <c r="L8222">
        <v>132.5581</v>
      </c>
      <c r="M8222">
        <v>0.79437239999999998</v>
      </c>
      <c r="N8222">
        <v>-1.602E-2</v>
      </c>
      <c r="O8222">
        <v>0.60721979999999998</v>
      </c>
      <c r="P8222">
        <v>0.87295560000000005</v>
      </c>
      <c r="Q8222">
        <v>0.1791886</v>
      </c>
      <c r="R8222">
        <v>0.45369589999999999</v>
      </c>
      <c r="S8222">
        <v>3.2531889999999999</v>
      </c>
      <c r="T8222">
        <v>-9.2096689999999995E-2</v>
      </c>
      <c r="U8222">
        <v>0.4148712</v>
      </c>
      <c r="V8222">
        <v>0.17482120000000001</v>
      </c>
      <c r="W8222">
        <v>0.19009999999999999</v>
      </c>
      <c r="X8222">
        <v>0.96607430000000005</v>
      </c>
      <c r="Y8222">
        <v>0.50160159999999998</v>
      </c>
      <c r="Z8222">
        <v>-1.67449E-2</v>
      </c>
      <c r="AA8222">
        <v>0.86493659999999895</v>
      </c>
      <c r="AB8222">
        <v>26</v>
      </c>
      <c r="AC8222">
        <v>38.688899999999997</v>
      </c>
      <c r="AD8222">
        <v>-1.10000460324239</v>
      </c>
      <c r="AE8222">
        <v>4.8405999999999896</v>
      </c>
      <c r="AF8222">
        <v>19.634320990151299</v>
      </c>
      <c r="AG8222">
        <v>-1.10000460324239</v>
      </c>
      <c r="AH8222">
        <v>33.650240663760201</v>
      </c>
      <c r="AI8222">
        <v>91.617290445418902</v>
      </c>
      <c r="AJ8222">
        <v>59.737193557264497</v>
      </c>
      <c r="AK8222">
        <v>38.975059558651502</v>
      </c>
      <c r="AL8222">
        <v>79.041379943400898</v>
      </c>
      <c r="AM8222">
        <v>79.742734795392494</v>
      </c>
      <c r="AN8222">
        <v>1.00000000754496</v>
      </c>
    </row>
    <row r="8223" spans="1:40" x14ac:dyDescent="0.25">
      <c r="A8223" t="str">
        <f>"20190304154956843"</f>
        <v>20190304154956843</v>
      </c>
      <c r="B8223" t="str">
        <f>"1551685796835232"</f>
        <v>1551685796835232</v>
      </c>
      <c r="C8223" t="s">
        <v>40</v>
      </c>
      <c r="D8223">
        <v>4.5202609999999996</v>
      </c>
      <c r="E8223">
        <v>0.63605679999999998</v>
      </c>
      <c r="F8223" t="s">
        <v>44</v>
      </c>
      <c r="G8223">
        <v>-149.1343</v>
      </c>
      <c r="H8223" s="1">
        <v>-1.1365620000000001E-6</v>
      </c>
      <c r="I8223">
        <v>136.39949999999999</v>
      </c>
      <c r="J8223">
        <v>-178.4837</v>
      </c>
      <c r="K8223">
        <v>1.100044</v>
      </c>
      <c r="L8223">
        <v>132.64259999999999</v>
      </c>
      <c r="M8223">
        <v>0.79954769999999997</v>
      </c>
      <c r="N8223">
        <v>-1.601176E-2</v>
      </c>
      <c r="O8223">
        <v>0.60038919999999996</v>
      </c>
      <c r="P8223">
        <v>0.87629190000000001</v>
      </c>
      <c r="Q8223">
        <v>0.1796751</v>
      </c>
      <c r="R8223">
        <v>0.4470229</v>
      </c>
      <c r="S8223">
        <v>3.2418520000000002</v>
      </c>
      <c r="T8223">
        <v>-0.1209862</v>
      </c>
      <c r="U8223">
        <v>0.4225006</v>
      </c>
      <c r="V8223">
        <v>0.17384469999999999</v>
      </c>
      <c r="W8223">
        <v>0.19062100000000001</v>
      </c>
      <c r="X8223">
        <v>0.9661478</v>
      </c>
      <c r="Y8223">
        <v>0.49154160000000002</v>
      </c>
      <c r="Z8223">
        <v>-2.373757E-2</v>
      </c>
      <c r="AA8223">
        <v>0.87053049999999998</v>
      </c>
      <c r="AB8223">
        <v>26</v>
      </c>
      <c r="AC8223">
        <v>29.349399999999999</v>
      </c>
      <c r="AD8223">
        <v>-1.1000451365620001</v>
      </c>
      <c r="AE8223">
        <v>3.7568999999999999</v>
      </c>
      <c r="AF8223">
        <v>14.598937140258201</v>
      </c>
      <c r="AG8223">
        <v>-1.1000451365620001</v>
      </c>
      <c r="AH8223">
        <v>25.6896364751953</v>
      </c>
      <c r="AI8223">
        <v>92.132082498334896</v>
      </c>
      <c r="AJ8223">
        <v>60.391245423188799</v>
      </c>
      <c r="AK8223">
        <v>29.568504986816102</v>
      </c>
      <c r="AL8223">
        <v>79.010972278581093</v>
      </c>
      <c r="AM8223">
        <v>79.799582219957003</v>
      </c>
      <c r="AN8223">
        <v>0.99999995840196398</v>
      </c>
    </row>
    <row r="8224" spans="1:40" x14ac:dyDescent="0.25">
      <c r="A8224" t="str">
        <f>"20190304154956855"</f>
        <v>20190304154956855</v>
      </c>
      <c r="B8224" t="str">
        <f>"1551685796845967"</f>
        <v>1551685796845967</v>
      </c>
      <c r="C8224" t="s">
        <v>40</v>
      </c>
      <c r="D8224">
        <v>4.5991910000000003</v>
      </c>
      <c r="E8224">
        <v>0.63416209999999995</v>
      </c>
      <c r="F8224" t="s">
        <v>44</v>
      </c>
      <c r="G8224">
        <v>-146.97149999999999</v>
      </c>
      <c r="H8224" s="1">
        <v>-1.8556869999999999E-6</v>
      </c>
      <c r="I8224">
        <v>136.46289999999999</v>
      </c>
      <c r="J8224">
        <v>-178.35769999999999</v>
      </c>
      <c r="K8224">
        <v>1.1000890000000001</v>
      </c>
      <c r="L8224">
        <v>132.72649999999999</v>
      </c>
      <c r="M8224">
        <v>0.80466419999999905</v>
      </c>
      <c r="N8224">
        <v>-1.6003239999999998E-2</v>
      </c>
      <c r="O8224">
        <v>0.5935144</v>
      </c>
      <c r="P8224">
        <v>0.87953400000000004</v>
      </c>
      <c r="Q8224">
        <v>0.18001819999999999</v>
      </c>
      <c r="R8224">
        <v>0.44046960000000002</v>
      </c>
      <c r="S8224">
        <v>3.2460170000000002</v>
      </c>
      <c r="T8224">
        <v>-0.1133137</v>
      </c>
      <c r="U8224">
        <v>0.39352419999999999</v>
      </c>
      <c r="V8224">
        <v>0.17272170000000001</v>
      </c>
      <c r="W8224">
        <v>0.19100339999999999</v>
      </c>
      <c r="X8224">
        <v>0.96627370000000001</v>
      </c>
      <c r="Y8224">
        <v>0.49194280000000001</v>
      </c>
      <c r="Z8224">
        <v>-2.1785780000000001E-2</v>
      </c>
      <c r="AA8224">
        <v>0.87035499999999899</v>
      </c>
      <c r="AB8224">
        <v>26</v>
      </c>
      <c r="AC8224">
        <v>31.386199999999999</v>
      </c>
      <c r="AD8224">
        <v>-1.1000908556869999</v>
      </c>
      <c r="AE8224">
        <v>3.7364000000000002</v>
      </c>
      <c r="AF8224">
        <v>15.6047130194573</v>
      </c>
      <c r="AG8224">
        <v>-1.1000908556869999</v>
      </c>
      <c r="AH8224">
        <v>27.443235195893202</v>
      </c>
      <c r="AI8224">
        <v>91.995752692535106</v>
      </c>
      <c r="AJ8224">
        <v>60.376667529866303</v>
      </c>
      <c r="AK8224">
        <v>31.588738916384401</v>
      </c>
      <c r="AL8224">
        <v>78.988652448824794</v>
      </c>
      <c r="AM8224">
        <v>79.865397569799995</v>
      </c>
      <c r="AN8224">
        <v>0.99999997388706896</v>
      </c>
    </row>
    <row r="8225" spans="1:40" x14ac:dyDescent="0.25">
      <c r="A8225" t="str">
        <f>"20190304154956868"</f>
        <v>20190304154956868</v>
      </c>
      <c r="B8225" t="str">
        <f>"1551685796865487"</f>
        <v>1551685796865487</v>
      </c>
      <c r="C8225" t="s">
        <v>40</v>
      </c>
      <c r="D8225">
        <v>4.562786</v>
      </c>
      <c r="E8225">
        <v>0.6304438</v>
      </c>
      <c r="F8225" t="s">
        <v>44</v>
      </c>
      <c r="G8225">
        <v>-147.2354</v>
      </c>
      <c r="H8225" s="1">
        <v>-1.7815509999999999E-6</v>
      </c>
      <c r="I8225">
        <v>136.404</v>
      </c>
      <c r="J8225">
        <v>-178.22829999999999</v>
      </c>
      <c r="K8225">
        <v>1.100141</v>
      </c>
      <c r="L8225">
        <v>132.8109</v>
      </c>
      <c r="M8225">
        <v>0.80981150000000002</v>
      </c>
      <c r="N8225">
        <v>-1.5993670000000001E-2</v>
      </c>
      <c r="O8225">
        <v>0.58647199999999999</v>
      </c>
      <c r="P8225">
        <v>0.88242469999999995</v>
      </c>
      <c r="Q8225">
        <v>0.18111849999999999</v>
      </c>
      <c r="R8225">
        <v>0.43419209999999903</v>
      </c>
      <c r="S8225">
        <v>3.2424770000000001</v>
      </c>
      <c r="T8225">
        <v>-0.1146129</v>
      </c>
      <c r="U8225">
        <v>0.38314819999999999</v>
      </c>
      <c r="V8225">
        <v>0.17104810000000001</v>
      </c>
      <c r="W8225">
        <v>0.19215850000000001</v>
      </c>
      <c r="X8225">
        <v>0.96634240000000005</v>
      </c>
      <c r="Y8225">
        <v>0.48696430000000002</v>
      </c>
      <c r="Z8225">
        <v>-2.195863E-2</v>
      </c>
      <c r="AA8225">
        <v>0.87314579999999997</v>
      </c>
      <c r="AB8225">
        <v>26</v>
      </c>
      <c r="AC8225">
        <v>30.992899999999899</v>
      </c>
      <c r="AD8225">
        <v>-1.1001427815510001</v>
      </c>
      <c r="AE8225">
        <v>3.59309999999999</v>
      </c>
      <c r="AF8225">
        <v>15.2497283475924</v>
      </c>
      <c r="AG8225">
        <v>-1.1001427815510001</v>
      </c>
      <c r="AH8225">
        <v>27.175354311188499</v>
      </c>
      <c r="AI8225">
        <v>92.021946393290307</v>
      </c>
      <c r="AJ8225">
        <v>60.700592075555299</v>
      </c>
      <c r="AK8225">
        <v>31.1811547373376</v>
      </c>
      <c r="AL8225">
        <v>78.921221200006599</v>
      </c>
      <c r="AM8225">
        <v>79.962289985336795</v>
      </c>
      <c r="AN8225">
        <v>0.99999998783680899</v>
      </c>
    </row>
    <row r="8226" spans="1:40" x14ac:dyDescent="0.25">
      <c r="A8226" t="str">
        <f>"20190304154956885"</f>
        <v>20190304154956885</v>
      </c>
      <c r="B8226" t="str">
        <f>"1551685796875248"</f>
        <v>1551685796875248</v>
      </c>
      <c r="C8226" t="s">
        <v>40</v>
      </c>
      <c r="D8226">
        <v>4.5905399999999998</v>
      </c>
      <c r="E8226">
        <v>0.63124049999999998</v>
      </c>
      <c r="F8226" t="s">
        <v>44</v>
      </c>
      <c r="G8226">
        <v>-148.22819999999999</v>
      </c>
      <c r="H8226" s="1">
        <v>-1.442448E-6</v>
      </c>
      <c r="I8226">
        <v>136.40870000000001</v>
      </c>
      <c r="J8226">
        <v>-178.06399999999999</v>
      </c>
      <c r="K8226">
        <v>1.100206</v>
      </c>
      <c r="L8226">
        <v>132.91560000000001</v>
      </c>
      <c r="M8226">
        <v>0.81619330000000001</v>
      </c>
      <c r="N8226">
        <v>-1.5979730000000001E-2</v>
      </c>
      <c r="O8226">
        <v>0.57755800000000002</v>
      </c>
      <c r="P8226">
        <v>0.88662839999999998</v>
      </c>
      <c r="Q8226">
        <v>0.1816005</v>
      </c>
      <c r="R8226">
        <v>0.42533670000000001</v>
      </c>
      <c r="S8226">
        <v>3.233276</v>
      </c>
      <c r="T8226">
        <v>-0.1185683</v>
      </c>
      <c r="U8226">
        <v>0.3877563</v>
      </c>
      <c r="V8226">
        <v>0.17005129999999999</v>
      </c>
      <c r="W8226">
        <v>0.1926783</v>
      </c>
      <c r="X8226">
        <v>0.96641480000000002</v>
      </c>
      <c r="Y8226">
        <v>0.4758057</v>
      </c>
      <c r="Z8226">
        <v>-2.2619690000000001E-2</v>
      </c>
      <c r="AA8226">
        <v>0.87925949999999997</v>
      </c>
      <c r="AB8226">
        <v>26</v>
      </c>
      <c r="AC8226">
        <v>29.835799999999999</v>
      </c>
      <c r="AD8226">
        <v>-1.100207442448</v>
      </c>
      <c r="AE8226">
        <v>3.4930999999999899</v>
      </c>
      <c r="AF8226">
        <v>14.3634286599893</v>
      </c>
      <c r="AG8226">
        <v>-1.100207442448</v>
      </c>
      <c r="AH8226">
        <v>26.3372849018454</v>
      </c>
      <c r="AI8226">
        <v>92.100346036436605</v>
      </c>
      <c r="AJ8226">
        <v>61.393502536689702</v>
      </c>
      <c r="AK8226">
        <v>30.019512242672999</v>
      </c>
      <c r="AL8226">
        <v>78.890871497192407</v>
      </c>
      <c r="AM8226">
        <v>80.020338965678803</v>
      </c>
      <c r="AN8226">
        <v>0.99999996879080899</v>
      </c>
    </row>
    <row r="8227" spans="1:40" x14ac:dyDescent="0.25">
      <c r="A8227" t="str">
        <f>"20190304154956895"</f>
        <v>20190304154956895</v>
      </c>
      <c r="B8227" t="str">
        <f>"1551685796885984"</f>
        <v>1551685796885984</v>
      </c>
      <c r="C8227" t="s">
        <v>40</v>
      </c>
      <c r="D8227">
        <v>4.4786609999999998</v>
      </c>
      <c r="E8227">
        <v>0.62985089999999999</v>
      </c>
      <c r="F8227" t="s">
        <v>44</v>
      </c>
      <c r="G8227">
        <v>-147.84880000000001</v>
      </c>
      <c r="H8227" s="1">
        <v>-1.631762E-6</v>
      </c>
      <c r="I8227">
        <v>136.1824</v>
      </c>
      <c r="J8227">
        <v>-177.95189999999999</v>
      </c>
      <c r="K8227">
        <v>1.100247</v>
      </c>
      <c r="L8227">
        <v>132.98580000000001</v>
      </c>
      <c r="M8227">
        <v>0.82045489999999999</v>
      </c>
      <c r="N8227">
        <v>-1.5969580000000001E-2</v>
      </c>
      <c r="O8227">
        <v>0.57148829999999995</v>
      </c>
      <c r="P8227">
        <v>0.88939469999999998</v>
      </c>
      <c r="Q8227">
        <v>0.18177840000000001</v>
      </c>
      <c r="R8227">
        <v>0.4194447</v>
      </c>
      <c r="S8227">
        <v>3.2397309999999999</v>
      </c>
      <c r="T8227">
        <v>-0.1179663</v>
      </c>
      <c r="U8227">
        <v>0.3502808</v>
      </c>
      <c r="V8227">
        <v>0.16925609999999999</v>
      </c>
      <c r="W8227">
        <v>0.19288649999999999</v>
      </c>
      <c r="X8227">
        <v>0.96651290000000001</v>
      </c>
      <c r="Y8227">
        <v>0.47952939999999999</v>
      </c>
      <c r="Z8227">
        <v>-2.2489930000000002E-2</v>
      </c>
      <c r="AA8227">
        <v>0.87723759999999995</v>
      </c>
      <c r="AB8227">
        <v>26</v>
      </c>
      <c r="AC8227">
        <v>30.103099999999898</v>
      </c>
      <c r="AD8227">
        <v>-1.1002486317619999</v>
      </c>
      <c r="AE8227">
        <v>3.1965999999999801</v>
      </c>
      <c r="AF8227">
        <v>14.5635240290637</v>
      </c>
      <c r="AG8227">
        <v>-1.1002486317619999</v>
      </c>
      <c r="AH8227">
        <v>26.493439635831201</v>
      </c>
      <c r="AI8227">
        <v>92.084246524403298</v>
      </c>
      <c r="AJ8227">
        <v>61.2022713559331</v>
      </c>
      <c r="AK8227">
        <v>30.2524234225003</v>
      </c>
      <c r="AL8227">
        <v>78.878714905011506</v>
      </c>
      <c r="AM8227">
        <v>80.067062680017997</v>
      </c>
      <c r="AN8227">
        <v>1.0000000075679301</v>
      </c>
    </row>
    <row r="8228" spans="1:40" x14ac:dyDescent="0.25">
      <c r="A8228" t="str">
        <f>"20190304154956907"</f>
        <v>20190304154956907</v>
      </c>
      <c r="B8228" t="str">
        <f>"1551685796895743"</f>
        <v>1551685796895743</v>
      </c>
      <c r="C8228" t="s">
        <v>40</v>
      </c>
      <c r="D8228">
        <v>4.5318779999999999</v>
      </c>
      <c r="E8228">
        <v>0.62793359999999998</v>
      </c>
      <c r="F8228" t="s">
        <v>44</v>
      </c>
      <c r="G8228">
        <v>-149.0891</v>
      </c>
      <c r="H8228" s="1">
        <v>-1.255758E-6</v>
      </c>
      <c r="I8228">
        <v>136.0093</v>
      </c>
      <c r="J8228">
        <v>-177.83</v>
      </c>
      <c r="K8228">
        <v>1.1002989999999999</v>
      </c>
      <c r="L8228">
        <v>133.0608</v>
      </c>
      <c r="M8228">
        <v>0.82500669999999898</v>
      </c>
      <c r="N8228">
        <v>-1.5957659999999999E-2</v>
      </c>
      <c r="O8228">
        <v>0.56489769999999995</v>
      </c>
      <c r="P8228">
        <v>0.89221280000000003</v>
      </c>
      <c r="Q8228">
        <v>0.18218110000000001</v>
      </c>
      <c r="R8228">
        <v>0.41323880000000002</v>
      </c>
      <c r="S8228">
        <v>3.238327</v>
      </c>
      <c r="T8228">
        <v>-0.1234446</v>
      </c>
      <c r="U8228">
        <v>0.33923340000000002</v>
      </c>
      <c r="V8228">
        <v>0.1681839</v>
      </c>
      <c r="W8228">
        <v>0.19332769999999999</v>
      </c>
      <c r="X8228">
        <v>0.96661189999999997</v>
      </c>
      <c r="Y8228">
        <v>0.47536630000000002</v>
      </c>
      <c r="Z8228">
        <v>-2.3635550000000002E-2</v>
      </c>
      <c r="AA8228">
        <v>0.87947039999999999</v>
      </c>
      <c r="AB8228">
        <v>26</v>
      </c>
      <c r="AC8228">
        <v>28.7409</v>
      </c>
      <c r="AD8228">
        <v>-1.1003002557579999</v>
      </c>
      <c r="AE8228">
        <v>2.9484999999999899</v>
      </c>
      <c r="AF8228">
        <v>13.784900043217499</v>
      </c>
      <c r="AG8228">
        <v>-1.1003002557579999</v>
      </c>
      <c r="AH8228">
        <v>25.343509071443101</v>
      </c>
      <c r="AI8228">
        <v>92.184132829603101</v>
      </c>
      <c r="AJ8228">
        <v>61.4572441231794</v>
      </c>
      <c r="AK8228">
        <v>28.870877747457602</v>
      </c>
      <c r="AL8228">
        <v>78.852950924674104</v>
      </c>
      <c r="AM8228">
        <v>80.129735180531299</v>
      </c>
      <c r="AN8228">
        <v>0.99999999451405497</v>
      </c>
    </row>
    <row r="8229" spans="1:40" x14ac:dyDescent="0.25">
      <c r="A8229" t="str">
        <f>"20190304154956921"</f>
        <v>20190304154956921</v>
      </c>
      <c r="B8229" t="str">
        <f>"1551685796915264"</f>
        <v>1551685796915264</v>
      </c>
      <c r="C8229" t="s">
        <v>40</v>
      </c>
      <c r="D8229">
        <v>4.4344950000000001</v>
      </c>
      <c r="E8229">
        <v>0.62658499999999995</v>
      </c>
      <c r="F8229" t="s">
        <v>44</v>
      </c>
      <c r="G8229">
        <v>-149.22579999999999</v>
      </c>
      <c r="H8229" s="1">
        <v>-1.2155249999999999E-6</v>
      </c>
      <c r="I8229">
        <v>135.98560000000001</v>
      </c>
      <c r="J8229">
        <v>-177.70150000000001</v>
      </c>
      <c r="K8229">
        <v>1.1003590000000001</v>
      </c>
      <c r="L8229">
        <v>133.13829999999999</v>
      </c>
      <c r="M8229">
        <v>0.82969709999999997</v>
      </c>
      <c r="N8229">
        <v>-1.5943760000000001E-2</v>
      </c>
      <c r="O8229">
        <v>0.55798610000000004</v>
      </c>
      <c r="P8229">
        <v>0.89526329999999998</v>
      </c>
      <c r="Q8229">
        <v>0.18234620000000001</v>
      </c>
      <c r="R8229">
        <v>0.40651399999999999</v>
      </c>
      <c r="S8229">
        <v>3.2346499999999998</v>
      </c>
      <c r="T8229">
        <v>-0.12442540000000001</v>
      </c>
      <c r="U8229">
        <v>0.33074949999999997</v>
      </c>
      <c r="V8229">
        <v>0.16733779999999901</v>
      </c>
      <c r="W8229">
        <v>0.19352559999999999</v>
      </c>
      <c r="X8229">
        <v>0.9667192</v>
      </c>
      <c r="Y8229">
        <v>0.47018310000000002</v>
      </c>
      <c r="Z8229">
        <v>-2.3683940000000001E-2</v>
      </c>
      <c r="AA8229">
        <v>0.88225109999999995</v>
      </c>
      <c r="AB8229">
        <v>26</v>
      </c>
      <c r="AC8229">
        <v>28.4757</v>
      </c>
      <c r="AD8229">
        <v>-1.1003602155249901</v>
      </c>
      <c r="AE8229">
        <v>2.8473000000000099</v>
      </c>
      <c r="AF8229">
        <v>13.508396831413201</v>
      </c>
      <c r="AG8229">
        <v>-1.1003602155249901</v>
      </c>
      <c r="AH8229">
        <v>25.180937179985801</v>
      </c>
      <c r="AI8229">
        <v>92.205209746725401</v>
      </c>
      <c r="AJ8229">
        <v>61.788519701102402</v>
      </c>
      <c r="AK8229">
        <v>28.596628731744602</v>
      </c>
      <c r="AL8229">
        <v>78.841394507988696</v>
      </c>
      <c r="AM8229">
        <v>80.179490045985006</v>
      </c>
      <c r="AN8229">
        <v>1.00000005440641</v>
      </c>
    </row>
    <row r="8230" spans="1:40" x14ac:dyDescent="0.25">
      <c r="A8230" t="str">
        <f>"20190304154956932"</f>
        <v>20190304154956932</v>
      </c>
      <c r="B8230" t="str">
        <f>"1551685796925999"</f>
        <v>1551685796925999</v>
      </c>
      <c r="C8230" t="s">
        <v>40</v>
      </c>
      <c r="D8230">
        <v>4.5933460000000004</v>
      </c>
      <c r="E8230">
        <v>0.62513629999999998</v>
      </c>
      <c r="F8230" t="s">
        <v>44</v>
      </c>
      <c r="G8230">
        <v>-149.53139999999999</v>
      </c>
      <c r="H8230" s="1">
        <v>-1.1361629999999899E-6</v>
      </c>
      <c r="I8230">
        <v>135.8931</v>
      </c>
      <c r="J8230">
        <v>-177.57810000000001</v>
      </c>
      <c r="K8230">
        <v>1.1004229999999999</v>
      </c>
      <c r="L8230">
        <v>133.21170000000001</v>
      </c>
      <c r="M8230">
        <v>0.83412090000000005</v>
      </c>
      <c r="N8230">
        <v>-1.593031E-2</v>
      </c>
      <c r="O8230">
        <v>0.55135159999999905</v>
      </c>
      <c r="P8230">
        <v>0.89796299999999996</v>
      </c>
      <c r="Q8230">
        <v>0.18239359999999999</v>
      </c>
      <c r="R8230">
        <v>0.4004935</v>
      </c>
      <c r="S8230">
        <v>3.2331240000000001</v>
      </c>
      <c r="T8230">
        <v>-0.12629000000000001</v>
      </c>
      <c r="U8230">
        <v>0.3161774</v>
      </c>
      <c r="V8230">
        <v>0.16608489999999901</v>
      </c>
      <c r="W8230">
        <v>0.19361729999999999</v>
      </c>
      <c r="X8230">
        <v>0.96691680000000002</v>
      </c>
      <c r="Y8230">
        <v>0.4670223</v>
      </c>
      <c r="Z8230">
        <v>-2.3975819999999998E-2</v>
      </c>
      <c r="AA8230">
        <v>0.88392039999999905</v>
      </c>
      <c r="AB8230">
        <v>26</v>
      </c>
      <c r="AC8230">
        <v>28.046700000000001</v>
      </c>
      <c r="AD8230">
        <v>-1.1004241361629901</v>
      </c>
      <c r="AE8230">
        <v>2.6813999999999898</v>
      </c>
      <c r="AF8230">
        <v>13.208510293468599</v>
      </c>
      <c r="AG8230">
        <v>-1.1004241361629901</v>
      </c>
      <c r="AH8230">
        <v>24.837999247402902</v>
      </c>
      <c r="AI8230">
        <v>92.240091907653607</v>
      </c>
      <c r="AJ8230">
        <v>61.996561957055398</v>
      </c>
      <c r="AK8230">
        <v>28.153186037571398</v>
      </c>
      <c r="AL8230">
        <v>78.836038303609001</v>
      </c>
      <c r="AM8230">
        <v>80.253556662890603</v>
      </c>
      <c r="AN8230">
        <v>0.99999997549476904</v>
      </c>
    </row>
    <row r="8231" spans="1:40" x14ac:dyDescent="0.25">
      <c r="A8231" t="str">
        <f>"20190304154956944"</f>
        <v>20190304154956944</v>
      </c>
      <c r="B8231" t="str">
        <f>"1551685796935759"</f>
        <v>1551685796935759</v>
      </c>
      <c r="C8231" t="s">
        <v>40</v>
      </c>
      <c r="D8231">
        <v>4.3871449999999896</v>
      </c>
      <c r="E8231">
        <v>0.62471699999999997</v>
      </c>
      <c r="F8231" t="s">
        <v>44</v>
      </c>
      <c r="G8231">
        <v>-150.27709999999999</v>
      </c>
      <c r="H8231" s="1">
        <v>-4.8322530000000001E-6</v>
      </c>
      <c r="I8231">
        <v>135.78909999999999</v>
      </c>
      <c r="J8231">
        <v>-177.45240000000001</v>
      </c>
      <c r="K8231">
        <v>1.100487</v>
      </c>
      <c r="L8231">
        <v>133.28469999999999</v>
      </c>
      <c r="M8231">
        <v>0.83851749999999903</v>
      </c>
      <c r="N8231">
        <v>-1.5914640000000001E-2</v>
      </c>
      <c r="O8231">
        <v>0.54464219999999997</v>
      </c>
      <c r="P8231">
        <v>0.90078879999999995</v>
      </c>
      <c r="Q8231">
        <v>0.182502</v>
      </c>
      <c r="R8231">
        <v>0.39404630000000002</v>
      </c>
      <c r="S8231">
        <v>3.231293</v>
      </c>
      <c r="T8231">
        <v>-0.1302441</v>
      </c>
      <c r="U8231">
        <v>0.30505369999999998</v>
      </c>
      <c r="V8231">
        <v>0.16521749999999999</v>
      </c>
      <c r="W8231">
        <v>0.19375899999999999</v>
      </c>
      <c r="X8231">
        <v>0.96703700000000004</v>
      </c>
      <c r="Y8231">
        <v>0.46285589999999999</v>
      </c>
      <c r="Z8231">
        <v>-2.4711609999999998E-2</v>
      </c>
      <c r="AA8231">
        <v>0.88608899999999902</v>
      </c>
      <c r="AB8231">
        <v>26</v>
      </c>
      <c r="AC8231">
        <v>27.1753</v>
      </c>
      <c r="AD8231">
        <v>-1.100491832253</v>
      </c>
      <c r="AE8231">
        <v>2.5044</v>
      </c>
      <c r="AF8231">
        <v>12.681818530589</v>
      </c>
      <c r="AG8231">
        <v>-1.100491832253</v>
      </c>
      <c r="AH8231">
        <v>24.1148120242777</v>
      </c>
      <c r="AI8231">
        <v>92.312961007917494</v>
      </c>
      <c r="AJ8231">
        <v>62.260417767528899</v>
      </c>
      <c r="AK8231">
        <v>27.268365599754901</v>
      </c>
      <c r="AL8231">
        <v>78.827762670232303</v>
      </c>
      <c r="AM8231">
        <v>80.304672277292099</v>
      </c>
      <c r="AN8231">
        <v>0.99999996587812401</v>
      </c>
    </row>
    <row r="8232" spans="1:40" x14ac:dyDescent="0.25">
      <c r="A8232" t="str">
        <f>"20190304154956958"</f>
        <v>20190304154956958</v>
      </c>
      <c r="B8232" t="str">
        <f>"1551685796955280"</f>
        <v>1551685796955280</v>
      </c>
      <c r="C8232" t="s">
        <v>40</v>
      </c>
      <c r="D8232">
        <v>4.4559759999999997</v>
      </c>
      <c r="E8232">
        <v>0.62194130000000003</v>
      </c>
      <c r="F8232" t="s">
        <v>44</v>
      </c>
      <c r="G8232">
        <v>-150.24440000000001</v>
      </c>
      <c r="H8232" s="1">
        <v>-4.8651509999999997E-6</v>
      </c>
      <c r="I8232">
        <v>135.68270000000001</v>
      </c>
      <c r="J8232">
        <v>-177.31200000000001</v>
      </c>
      <c r="K8232">
        <v>1.100568</v>
      </c>
      <c r="L8232">
        <v>133.36500000000001</v>
      </c>
      <c r="M8232">
        <v>0.84332589999999996</v>
      </c>
      <c r="N8232">
        <v>-1.5896710000000001E-2</v>
      </c>
      <c r="O8232">
        <v>0.53716730000000001</v>
      </c>
      <c r="P8232">
        <v>0.90328900000000001</v>
      </c>
      <c r="Q8232">
        <v>0.18273890000000001</v>
      </c>
      <c r="R8232">
        <v>0.3881695</v>
      </c>
      <c r="S8232">
        <v>3.2322850000000001</v>
      </c>
      <c r="T8232">
        <v>-0.13073750000000001</v>
      </c>
      <c r="U8232">
        <v>0.28488160000000001</v>
      </c>
      <c r="V8232">
        <v>0.16286110000000001</v>
      </c>
      <c r="W8232">
        <v>0.19407199999999999</v>
      </c>
      <c r="X8232">
        <v>0.96737390000000001</v>
      </c>
      <c r="Y8232">
        <v>0.46048430000000001</v>
      </c>
      <c r="Z8232">
        <v>-2.465647E-2</v>
      </c>
      <c r="AA8232">
        <v>0.88732529999999998</v>
      </c>
      <c r="AB8232">
        <v>26</v>
      </c>
      <c r="AC8232">
        <v>27.067599999999999</v>
      </c>
      <c r="AD8232">
        <v>-1.1005728651510001</v>
      </c>
      <c r="AE8232">
        <v>2.3176999999999999</v>
      </c>
      <c r="AF8232">
        <v>12.566219862943701</v>
      </c>
      <c r="AG8232">
        <v>-1.1005728651510001</v>
      </c>
      <c r="AH8232">
        <v>24.0353957932325</v>
      </c>
      <c r="AI8232">
        <v>92.323696378775495</v>
      </c>
      <c r="AJ8232">
        <v>62.398467487186103</v>
      </c>
      <c r="AK8232">
        <v>27.144454188888901</v>
      </c>
      <c r="AL8232">
        <v>78.809482148015306</v>
      </c>
      <c r="AM8232">
        <v>80.443648958336894</v>
      </c>
      <c r="AN8232">
        <v>0.99999997073920899</v>
      </c>
    </row>
    <row r="8233" spans="1:40" x14ac:dyDescent="0.25">
      <c r="A8233" t="str">
        <f>"20190304154956973"</f>
        <v>20190304154956973</v>
      </c>
      <c r="B8233" t="str">
        <f>"1551685796966015"</f>
        <v>1551685796966015</v>
      </c>
      <c r="C8233" t="s">
        <v>40</v>
      </c>
      <c r="D8233">
        <v>4.479476</v>
      </c>
      <c r="E8233">
        <v>0.62048910000000002</v>
      </c>
      <c r="F8233" t="s">
        <v>44</v>
      </c>
      <c r="G8233">
        <v>-149.363</v>
      </c>
      <c r="H8233" s="1">
        <v>-1.2119289999999999E-6</v>
      </c>
      <c r="I8233">
        <v>135.8236</v>
      </c>
      <c r="J8233">
        <v>-177.15530000000001</v>
      </c>
      <c r="K8233">
        <v>1.100654</v>
      </c>
      <c r="L8233">
        <v>133.4528</v>
      </c>
      <c r="M8233">
        <v>0.84856330000000002</v>
      </c>
      <c r="N8233">
        <v>-1.5875940000000002E-2</v>
      </c>
      <c r="O8233">
        <v>0.52885569999999904</v>
      </c>
      <c r="P8233">
        <v>0.90652690000000002</v>
      </c>
      <c r="Q8233">
        <v>0.1829606</v>
      </c>
      <c r="R8233">
        <v>0.3804399</v>
      </c>
      <c r="S8233">
        <v>3.2249759999999998</v>
      </c>
      <c r="T8233">
        <v>-0.1269922</v>
      </c>
      <c r="U8233">
        <v>0.28370669999999998</v>
      </c>
      <c r="V8233">
        <v>0.1615578</v>
      </c>
      <c r="W8233">
        <v>0.1943405</v>
      </c>
      <c r="X8233">
        <v>0.96753849999999997</v>
      </c>
      <c r="Y8233">
        <v>0.45193250000000001</v>
      </c>
      <c r="Z8233">
        <v>-2.3511480000000001E-2</v>
      </c>
      <c r="AA8233">
        <v>0.89174219999999904</v>
      </c>
      <c r="AB8233">
        <v>26</v>
      </c>
      <c r="AC8233">
        <v>27.792300000000001</v>
      </c>
      <c r="AD8233">
        <v>-1.1006552119290001</v>
      </c>
      <c r="AE8233">
        <v>2.3708</v>
      </c>
      <c r="AF8233">
        <v>12.668215872542801</v>
      </c>
      <c r="AG8233">
        <v>-1.1006552119290001</v>
      </c>
      <c r="AH8233">
        <v>24.801848759233</v>
      </c>
      <c r="AI8233">
        <v>92.263209511276102</v>
      </c>
      <c r="AJ8233">
        <v>62.943096319429799</v>
      </c>
      <c r="AK8233">
        <v>27.871613465401701</v>
      </c>
      <c r="AL8233">
        <v>78.793799421179102</v>
      </c>
      <c r="AM8233">
        <v>80.520313685686304</v>
      </c>
      <c r="AN8233">
        <v>0.99999995083166804</v>
      </c>
    </row>
    <row r="8234" spans="1:40" x14ac:dyDescent="0.25">
      <c r="A8234" t="str">
        <f>"20190304154956986"</f>
        <v>20190304154956986</v>
      </c>
      <c r="B8234" t="str">
        <f>"1551685796975776"</f>
        <v>1551685796975776</v>
      </c>
      <c r="C8234" t="s">
        <v>40</v>
      </c>
      <c r="D8234">
        <v>4.4536800000000003</v>
      </c>
      <c r="E8234">
        <v>0.61944489999999996</v>
      </c>
      <c r="F8234" t="s">
        <v>44</v>
      </c>
      <c r="G8234">
        <v>-149.17869999999999</v>
      </c>
      <c r="H8234" s="1">
        <v>-1.2893530000000001E-6</v>
      </c>
      <c r="I8234">
        <v>135.76840000000001</v>
      </c>
      <c r="J8234">
        <v>-177.0164</v>
      </c>
      <c r="K8234">
        <v>1.10073</v>
      </c>
      <c r="L8234">
        <v>133.52879999999999</v>
      </c>
      <c r="M8234">
        <v>0.85307710000000003</v>
      </c>
      <c r="N8234">
        <v>-1.5855850000000001E-2</v>
      </c>
      <c r="O8234">
        <v>0.52154400000000001</v>
      </c>
      <c r="P8234">
        <v>0.90914640000000002</v>
      </c>
      <c r="Q8234">
        <v>0.18360609999999999</v>
      </c>
      <c r="R8234">
        <v>0.3738204</v>
      </c>
      <c r="S8234">
        <v>3.2229920000000001</v>
      </c>
      <c r="T8234">
        <v>-0.12679860000000001</v>
      </c>
      <c r="U8234">
        <v>0.26676939999999999</v>
      </c>
      <c r="V8234">
        <v>0.1602045</v>
      </c>
      <c r="W8234">
        <v>0.19503180000000001</v>
      </c>
      <c r="X8234">
        <v>0.9676245</v>
      </c>
      <c r="Y8234">
        <v>0.4488743</v>
      </c>
      <c r="Z8234">
        <v>-2.3308309999999999E-2</v>
      </c>
      <c r="AA8234">
        <v>0.8932909</v>
      </c>
      <c r="AB8234">
        <v>26</v>
      </c>
      <c r="AC8234">
        <v>27.837700000000002</v>
      </c>
      <c r="AD8234">
        <v>-1.1007312893529999</v>
      </c>
      <c r="AE8234">
        <v>2.2396000000000198</v>
      </c>
      <c r="AF8234">
        <v>12.5900606623487</v>
      </c>
      <c r="AG8234">
        <v>-1.1007312893529999</v>
      </c>
      <c r="AH8234">
        <v>24.8802358918498</v>
      </c>
      <c r="AI8234">
        <v>92.260571908783604</v>
      </c>
      <c r="AJ8234">
        <v>63.159377204265802</v>
      </c>
      <c r="AK8234">
        <v>27.9060454899485</v>
      </c>
      <c r="AL8234">
        <v>78.753419064111199</v>
      </c>
      <c r="AM8234">
        <v>80.599118051576895</v>
      </c>
      <c r="AN8234">
        <v>1.0000000289158599</v>
      </c>
    </row>
    <row r="8235" spans="1:40" x14ac:dyDescent="0.25">
      <c r="A8235" t="str">
        <f>"20190304154957004"</f>
        <v>20190304154957004</v>
      </c>
      <c r="B8235" t="str">
        <f>"1551685796995295"</f>
        <v>1551685796995295</v>
      </c>
      <c r="C8235" t="s">
        <v>40</v>
      </c>
      <c r="D8235">
        <v>4.4973020000000004</v>
      </c>
      <c r="E8235">
        <v>0.61675530000000001</v>
      </c>
      <c r="F8235" t="s">
        <v>44</v>
      </c>
      <c r="G8235">
        <v>-148.52969999999999</v>
      </c>
      <c r="H8235" s="1">
        <v>-1.5153649999999901E-6</v>
      </c>
      <c r="I8235">
        <v>135.749</v>
      </c>
      <c r="J8235">
        <v>-176.84129999999999</v>
      </c>
      <c r="K8235">
        <v>1.100841</v>
      </c>
      <c r="L8235">
        <v>133.6224</v>
      </c>
      <c r="M8235">
        <v>0.85860969999999903</v>
      </c>
      <c r="N8235">
        <v>-1.5829389999999999E-2</v>
      </c>
      <c r="O8235">
        <v>0.51238539999999999</v>
      </c>
      <c r="P8235">
        <v>0.91206989999999999</v>
      </c>
      <c r="Q8235">
        <v>0.184277</v>
      </c>
      <c r="R8235">
        <v>0.36629289999999998</v>
      </c>
      <c r="S8235">
        <v>3.221695</v>
      </c>
      <c r="T8235">
        <v>-0.124487</v>
      </c>
      <c r="U8235">
        <v>0.25109860000000001</v>
      </c>
      <c r="V8235">
        <v>0.1577392</v>
      </c>
      <c r="W8235">
        <v>0.19578090000000001</v>
      </c>
      <c r="X8235">
        <v>0.96787820000000002</v>
      </c>
      <c r="Y8235">
        <v>0.44362079999999998</v>
      </c>
      <c r="Z8235">
        <v>-2.254076E-2</v>
      </c>
      <c r="AA8235">
        <v>0.89593109999999998</v>
      </c>
      <c r="AB8235">
        <v>26</v>
      </c>
      <c r="AC8235">
        <v>28.311599999999999</v>
      </c>
      <c r="AD8235">
        <v>-1.1008425153650001</v>
      </c>
      <c r="AE8235">
        <v>2.1265999999999901</v>
      </c>
      <c r="AF8235">
        <v>12.663082342372499</v>
      </c>
      <c r="AG8235">
        <v>-1.1008425153650001</v>
      </c>
      <c r="AH8235">
        <v>25.363304477866901</v>
      </c>
      <c r="AI8235">
        <v>92.223801217238503</v>
      </c>
      <c r="AJ8235">
        <v>63.468518211111203</v>
      </c>
      <c r="AK8235">
        <v>28.370102620370002</v>
      </c>
      <c r="AL8235">
        <v>78.709654948958104</v>
      </c>
      <c r="AM8235">
        <v>80.743643655818602</v>
      </c>
      <c r="AN8235">
        <v>1.00000001302834</v>
      </c>
    </row>
    <row r="8236" spans="1:40" x14ac:dyDescent="0.25">
      <c r="A8236" t="str">
        <f>"20190304154957023"</f>
        <v>20190304154957023</v>
      </c>
      <c r="B8236" t="str">
        <f>"1551685797015791"</f>
        <v>1551685797015791</v>
      </c>
      <c r="C8236" t="s">
        <v>40</v>
      </c>
      <c r="D8236">
        <v>4.4803169999999897</v>
      </c>
      <c r="E8236">
        <v>0.61407880000000004</v>
      </c>
      <c r="F8236" t="s">
        <v>44</v>
      </c>
      <c r="G8236">
        <v>-149.3322</v>
      </c>
      <c r="H8236" s="1">
        <v>-1.2514889999999999E-6</v>
      </c>
      <c r="I8236">
        <v>135.71440000000001</v>
      </c>
      <c r="J8236">
        <v>-176.62540000000001</v>
      </c>
      <c r="K8236">
        <v>1.1009770000000001</v>
      </c>
      <c r="L8236">
        <v>133.73490000000001</v>
      </c>
      <c r="M8236">
        <v>0.86519550000000001</v>
      </c>
      <c r="N8236">
        <v>-1.5794579999999999E-2</v>
      </c>
      <c r="O8236">
        <v>0.50118609999999997</v>
      </c>
      <c r="P8236">
        <v>0.91612490000000002</v>
      </c>
      <c r="Q8236">
        <v>0.1850282</v>
      </c>
      <c r="R8236">
        <v>0.35563990000000001</v>
      </c>
      <c r="S8236">
        <v>3.21698</v>
      </c>
      <c r="T8236">
        <v>-0.1287346</v>
      </c>
      <c r="U8236">
        <v>0.24464420000000001</v>
      </c>
      <c r="V8236">
        <v>0.15631500000000001</v>
      </c>
      <c r="W8236">
        <v>0.1965847</v>
      </c>
      <c r="X8236">
        <v>0.96794639999999998</v>
      </c>
      <c r="Y8236">
        <v>0.43360569999999998</v>
      </c>
      <c r="Z8236">
        <v>-2.306718E-2</v>
      </c>
      <c r="AA8236">
        <v>0.90080740000000004</v>
      </c>
      <c r="AB8236">
        <v>26</v>
      </c>
      <c r="AC8236">
        <v>27.293199999999999</v>
      </c>
      <c r="AD8236">
        <v>-1.1009782514890001</v>
      </c>
      <c r="AE8236">
        <v>1.9795</v>
      </c>
      <c r="AF8236">
        <v>11.948468342357501</v>
      </c>
      <c r="AG8236">
        <v>-1.1009782514890001</v>
      </c>
      <c r="AH8236">
        <v>24.569347941069601</v>
      </c>
      <c r="AI8236">
        <v>92.307677811852301</v>
      </c>
      <c r="AJ8236">
        <v>64.0656012963167</v>
      </c>
      <c r="AK8236">
        <v>27.3428401430413</v>
      </c>
      <c r="AL8236">
        <v>78.662688656810303</v>
      </c>
      <c r="AM8236">
        <v>80.826425644753002</v>
      </c>
      <c r="AN8236">
        <v>1.0000000783860199</v>
      </c>
    </row>
    <row r="8237" spans="1:40" x14ac:dyDescent="0.25">
      <c r="A8237" t="str">
        <f>"20190304154957036"</f>
        <v>20190304154957036</v>
      </c>
      <c r="B8237" t="str">
        <f>"1551685797025552"</f>
        <v>1551685797025552</v>
      </c>
      <c r="C8237" t="s">
        <v>40</v>
      </c>
      <c r="D8237">
        <v>4.5364810000000002</v>
      </c>
      <c r="E8237">
        <v>0.61420240000000004</v>
      </c>
      <c r="F8237" t="s">
        <v>44</v>
      </c>
      <c r="G8237">
        <v>-149.06460000000001</v>
      </c>
      <c r="H8237" s="1">
        <v>-1.349017E-6</v>
      </c>
      <c r="I8237">
        <v>135.6901</v>
      </c>
      <c r="J8237">
        <v>-176.49690000000001</v>
      </c>
      <c r="K8237">
        <v>1.1010629999999999</v>
      </c>
      <c r="L8237">
        <v>133.8004</v>
      </c>
      <c r="M8237">
        <v>0.86899300000000002</v>
      </c>
      <c r="N8237">
        <v>-1.5772560000000001E-2</v>
      </c>
      <c r="O8237">
        <v>0.49457309999999999</v>
      </c>
      <c r="P8237">
        <v>0.91801140000000003</v>
      </c>
      <c r="Q8237">
        <v>0.18540770000000001</v>
      </c>
      <c r="R8237">
        <v>0.3505414</v>
      </c>
      <c r="S8237">
        <v>3.2121279999999999</v>
      </c>
      <c r="T8237">
        <v>-0.12831529999999999</v>
      </c>
      <c r="U8237">
        <v>0.22787479999999999</v>
      </c>
      <c r="V8237">
        <v>0.1542374</v>
      </c>
      <c r="W8237">
        <v>0.1970288</v>
      </c>
      <c r="X8237">
        <v>0.96818919999999997</v>
      </c>
      <c r="Y8237">
        <v>0.4313129</v>
      </c>
      <c r="Z8237">
        <v>-2.2859930000000001E-2</v>
      </c>
      <c r="AA8237">
        <v>0.90191270000000001</v>
      </c>
      <c r="AB8237">
        <v>26</v>
      </c>
      <c r="AC8237">
        <v>27.432300000000001</v>
      </c>
      <c r="AD8237">
        <v>-1.101064349017</v>
      </c>
      <c r="AE8237">
        <v>1.8896999999999999</v>
      </c>
      <c r="AF8237">
        <v>11.9075315655596</v>
      </c>
      <c r="AG8237">
        <v>-1.101064349017</v>
      </c>
      <c r="AH8237">
        <v>24.736488740401001</v>
      </c>
      <c r="AI8237">
        <v>92.296720889581493</v>
      </c>
      <c r="AJ8237">
        <v>64.294991109810297</v>
      </c>
      <c r="AK8237">
        <v>27.475362161206601</v>
      </c>
      <c r="AL8237">
        <v>78.636734266432796</v>
      </c>
      <c r="AM8237">
        <v>80.948552764025294</v>
      </c>
      <c r="AN8237">
        <v>0.99999992529241699</v>
      </c>
    </row>
    <row r="8238" spans="1:40" x14ac:dyDescent="0.25">
      <c r="A8238" t="str">
        <f>"20190304154957114"</f>
        <v>20190304154957114</v>
      </c>
      <c r="B8238" t="str">
        <f>"1551685797105584"</f>
        <v>1551685797105584</v>
      </c>
      <c r="C8238" t="s">
        <v>40</v>
      </c>
      <c r="D8238">
        <v>4.6162280000000004</v>
      </c>
      <c r="E8238">
        <v>0.61580119999999905</v>
      </c>
      <c r="F8238" t="s">
        <v>44</v>
      </c>
      <c r="G8238">
        <v>-148.81460000000001</v>
      </c>
      <c r="H8238" s="1">
        <v>-1.4555549999999999E-6</v>
      </c>
      <c r="I8238">
        <v>135.60939999999999</v>
      </c>
      <c r="J8238">
        <v>-175.66299999999899</v>
      </c>
      <c r="K8238">
        <v>1.1017269999999999</v>
      </c>
      <c r="L8238">
        <v>134.19720000000001</v>
      </c>
      <c r="M8238">
        <v>0.891379699999999</v>
      </c>
      <c r="N8238">
        <v>-1.5603199999999999E-2</v>
      </c>
      <c r="O8238">
        <v>0.45298880000000002</v>
      </c>
      <c r="P8238">
        <v>0.93128619999999995</v>
      </c>
      <c r="Q8238">
        <v>0.1858139</v>
      </c>
      <c r="R8238">
        <v>0.31333630000000001</v>
      </c>
      <c r="S8238">
        <v>3.2135769999999999</v>
      </c>
      <c r="T8238">
        <v>-0.1278203</v>
      </c>
      <c r="U8238">
        <v>0.21000669999999999</v>
      </c>
      <c r="V8238">
        <v>0.14708470000000001</v>
      </c>
      <c r="W8238">
        <v>0.19768559999999999</v>
      </c>
      <c r="X8238">
        <v>0.96916789999999997</v>
      </c>
      <c r="Y8238">
        <v>0.3934124</v>
      </c>
      <c r="Z8238">
        <v>-2.1008329999999999E-2</v>
      </c>
      <c r="AA8238">
        <v>0.91912199999999999</v>
      </c>
      <c r="AB8238">
        <v>26</v>
      </c>
      <c r="AC8238">
        <v>26.848399999999899</v>
      </c>
      <c r="AD8238">
        <v>-1.101728455555</v>
      </c>
      <c r="AE8238">
        <v>1.4121999999999799</v>
      </c>
      <c r="AF8238">
        <v>10.886264490426599</v>
      </c>
      <c r="AG8238">
        <v>-1.101728455555</v>
      </c>
      <c r="AH8238">
        <v>24.533622374417298</v>
      </c>
      <c r="AI8238">
        <v>92.350519103674401</v>
      </c>
      <c r="AJ8238">
        <v>66.071780222844495</v>
      </c>
      <c r="AK8238">
        <v>26.8630450052821</v>
      </c>
      <c r="AL8238">
        <v>78.598347811063107</v>
      </c>
      <c r="AM8238">
        <v>81.370419949790502</v>
      </c>
      <c r="AN8238">
        <v>0.99999996190592899</v>
      </c>
    </row>
    <row r="8239" spans="1:40" x14ac:dyDescent="0.25">
      <c r="A8239" t="str">
        <f>"20190304154957132"</f>
        <v>20190304154957132</v>
      </c>
      <c r="B8239" t="str">
        <f>"1551685797125103"</f>
        <v>1551685797125103</v>
      </c>
      <c r="C8239" t="s">
        <v>40</v>
      </c>
      <c r="D8239">
        <v>4.5901860000000001</v>
      </c>
      <c r="E8239">
        <v>0.61744399999999999</v>
      </c>
      <c r="F8239" t="s">
        <v>44</v>
      </c>
      <c r="G8239">
        <v>-146.34440000000001</v>
      </c>
      <c r="H8239" s="1">
        <v>-2.5027280000000001E-6</v>
      </c>
      <c r="I8239">
        <v>134.8331</v>
      </c>
      <c r="J8239">
        <v>-175.4751</v>
      </c>
      <c r="K8239">
        <v>1.1019019999999999</v>
      </c>
      <c r="L8239">
        <v>134.2807</v>
      </c>
      <c r="M8239">
        <v>0.89590550000000002</v>
      </c>
      <c r="N8239">
        <v>-1.556007E-2</v>
      </c>
      <c r="O8239">
        <v>0.44397209999999998</v>
      </c>
      <c r="P8239">
        <v>0.93414900000000001</v>
      </c>
      <c r="Q8239">
        <v>0.1855829</v>
      </c>
      <c r="R8239">
        <v>0.30483549999999998</v>
      </c>
      <c r="S8239">
        <v>3.2220309999999999</v>
      </c>
      <c r="T8239">
        <v>-0.12107709999999999</v>
      </c>
      <c r="U8239">
        <v>6.9885249999999996E-2</v>
      </c>
      <c r="V8239">
        <v>0.14606749999999999</v>
      </c>
      <c r="W8239">
        <v>0.1974987</v>
      </c>
      <c r="X8239">
        <v>0.96935990000000005</v>
      </c>
      <c r="Y8239">
        <v>0.42398599999999997</v>
      </c>
      <c r="Z8239">
        <v>-2.035758E-2</v>
      </c>
      <c r="AA8239">
        <v>0.90543989999999996</v>
      </c>
      <c r="AB8239">
        <v>26</v>
      </c>
      <c r="AC8239">
        <v>29.130699999999901</v>
      </c>
      <c r="AD8239">
        <v>-1.1019045027279999</v>
      </c>
      <c r="AE8239">
        <v>0.552400000000005</v>
      </c>
      <c r="AF8239">
        <v>12.4220584617656</v>
      </c>
      <c r="AG8239">
        <v>-1.1019045027279999</v>
      </c>
      <c r="AH8239">
        <v>26.309163895012102</v>
      </c>
      <c r="AI8239">
        <v>92.168956336273496</v>
      </c>
      <c r="AJ8239">
        <v>64.725328856512306</v>
      </c>
      <c r="AK8239">
        <v>29.115182204740901</v>
      </c>
      <c r="AL8239">
        <v>78.609272591117204</v>
      </c>
      <c r="AM8239">
        <v>81.430882979732601</v>
      </c>
      <c r="AN8239">
        <v>1.0000000333929699</v>
      </c>
    </row>
    <row r="8240" spans="1:40" x14ac:dyDescent="0.25">
      <c r="A8240" t="str">
        <f>"20190304154957143"</f>
        <v>20190304154957143</v>
      </c>
      <c r="B8240" t="str">
        <f>"1551685797135840"</f>
        <v>1551685797135840</v>
      </c>
      <c r="C8240" t="s">
        <v>40</v>
      </c>
      <c r="D8240">
        <v>4.571529</v>
      </c>
      <c r="E8240">
        <v>0.61793369999999903</v>
      </c>
      <c r="F8240" t="s">
        <v>44</v>
      </c>
      <c r="G8240">
        <v>-145.48599999999999</v>
      </c>
      <c r="H8240" s="1">
        <v>-2.8721520000000002E-6</v>
      </c>
      <c r="I8240">
        <v>134.54259999999999</v>
      </c>
      <c r="J8240">
        <v>-175.34119999999999</v>
      </c>
      <c r="K8240">
        <v>1.1020270000000001</v>
      </c>
      <c r="L8240">
        <v>134.33850000000001</v>
      </c>
      <c r="M8240">
        <v>0.89900469999999899</v>
      </c>
      <c r="N8240">
        <v>-1.552681E-2</v>
      </c>
      <c r="O8240">
        <v>0.43766379999999999</v>
      </c>
      <c r="P8240">
        <v>0.93588190000000004</v>
      </c>
      <c r="Q8240">
        <v>0.1853389</v>
      </c>
      <c r="R8240">
        <v>0.29962440000000001</v>
      </c>
      <c r="S8240">
        <v>3.2258300000000002</v>
      </c>
      <c r="T8240">
        <v>-0.11852799999999999</v>
      </c>
      <c r="U8240">
        <v>2.818298E-2</v>
      </c>
      <c r="V8240">
        <v>0.1446065</v>
      </c>
      <c r="W8240">
        <v>0.19730139999999999</v>
      </c>
      <c r="X8240">
        <v>0.96961900000000001</v>
      </c>
      <c r="Y8240">
        <v>0.42935679999999998</v>
      </c>
      <c r="Z8240">
        <v>-1.9882940000000002E-2</v>
      </c>
      <c r="AA8240">
        <v>0.9029161</v>
      </c>
      <c r="AB8240">
        <v>26</v>
      </c>
      <c r="AC8240">
        <v>29.8552</v>
      </c>
      <c r="AD8240">
        <v>-1.1020298721520001</v>
      </c>
      <c r="AE8240">
        <v>0.20409999999998199</v>
      </c>
      <c r="AF8240">
        <v>12.867074789107001</v>
      </c>
      <c r="AG8240">
        <v>-1.1020298721520001</v>
      </c>
      <c r="AH8240">
        <v>26.895892354995599</v>
      </c>
      <c r="AI8240">
        <v>92.116798492955795</v>
      </c>
      <c r="AJ8240">
        <v>64.433409048696305</v>
      </c>
      <c r="AK8240">
        <v>29.8356348858056</v>
      </c>
      <c r="AL8240">
        <v>78.620802916381095</v>
      </c>
      <c r="AM8240">
        <v>81.517573774335901</v>
      </c>
      <c r="AN8240">
        <v>0.99999994372260304</v>
      </c>
    </row>
    <row r="8241" spans="1:40" x14ac:dyDescent="0.25">
      <c r="A8241" t="str">
        <f>"20190304154957156"</f>
        <v>20190304154957156</v>
      </c>
      <c r="B8241" t="str">
        <f>"1551685797145600"</f>
        <v>1551685797145600</v>
      </c>
      <c r="C8241" t="s">
        <v>40</v>
      </c>
      <c r="D8241">
        <v>4.5563060000000002</v>
      </c>
      <c r="E8241">
        <v>0.61842849999999905</v>
      </c>
      <c r="F8241" t="s">
        <v>44</v>
      </c>
      <c r="G8241">
        <v>-145.23599999999999</v>
      </c>
      <c r="H8241" s="1">
        <v>-2.9950569999999998E-6</v>
      </c>
      <c r="I8241">
        <v>134.40039999999999</v>
      </c>
      <c r="J8241">
        <v>-175.2209</v>
      </c>
      <c r="K8241">
        <v>1.1021369999999999</v>
      </c>
      <c r="L8241">
        <v>134.38990000000001</v>
      </c>
      <c r="M8241">
        <v>0.90172609999999997</v>
      </c>
      <c r="N8241">
        <v>-1.5497489999999999E-2</v>
      </c>
      <c r="O8241">
        <v>0.43203000000000003</v>
      </c>
      <c r="P8241">
        <v>0.93701789999999996</v>
      </c>
      <c r="Q8241">
        <v>0.18521770000000001</v>
      </c>
      <c r="R8241">
        <v>0.2961279</v>
      </c>
      <c r="S8241">
        <v>3.2268219999999999</v>
      </c>
      <c r="T8241">
        <v>-0.118121</v>
      </c>
      <c r="U8241">
        <v>6.6375729999999999E-3</v>
      </c>
      <c r="V8241">
        <v>0.14210529999999999</v>
      </c>
      <c r="W8241">
        <v>0.19725000000000001</v>
      </c>
      <c r="X8241">
        <v>0.96999930000000001</v>
      </c>
      <c r="Y8241">
        <v>0.42974119999999999</v>
      </c>
      <c r="Z8241">
        <v>-1.9726380000000002E-2</v>
      </c>
      <c r="AA8241">
        <v>0.9027366</v>
      </c>
      <c r="AB8241">
        <v>26</v>
      </c>
      <c r="AC8241">
        <v>29.9849</v>
      </c>
      <c r="AD8241">
        <v>-1.1021399950570001</v>
      </c>
      <c r="AE8241">
        <v>1.0499999999979E-2</v>
      </c>
      <c r="AF8241">
        <v>12.928995074777699</v>
      </c>
      <c r="AG8241">
        <v>-1.1021399950570001</v>
      </c>
      <c r="AH8241">
        <v>27.0094597132457</v>
      </c>
      <c r="AI8241">
        <v>92.107886002732101</v>
      </c>
      <c r="AJ8241">
        <v>64.420309492085295</v>
      </c>
      <c r="AK8241">
        <v>29.9647215941308</v>
      </c>
      <c r="AL8241">
        <v>78.623808299836597</v>
      </c>
      <c r="AM8241">
        <v>81.665433567707893</v>
      </c>
      <c r="AN8241">
        <v>1.00000006039428</v>
      </c>
    </row>
    <row r="8242" spans="1:40" x14ac:dyDescent="0.25">
      <c r="A8242" t="str">
        <f>"20190304154957173"</f>
        <v>20190304154957173</v>
      </c>
      <c r="B8242" t="str">
        <f>"1551685797165120"</f>
        <v>1551685797165120</v>
      </c>
      <c r="C8242" t="s">
        <v>40</v>
      </c>
      <c r="D8242">
        <v>4.5166510000000004</v>
      </c>
      <c r="E8242">
        <v>0.61962430000000002</v>
      </c>
      <c r="F8242" t="s">
        <v>44</v>
      </c>
      <c r="G8242">
        <v>-144.74350000000001</v>
      </c>
      <c r="H8242" s="1">
        <v>-3.1878460000000002E-6</v>
      </c>
      <c r="I8242">
        <v>134.3057</v>
      </c>
      <c r="J8242">
        <v>-175.04589999999999</v>
      </c>
      <c r="K8242">
        <v>1.1023000000000001</v>
      </c>
      <c r="L8242">
        <v>134.4633</v>
      </c>
      <c r="M8242">
        <v>0.90556029999999998</v>
      </c>
      <c r="N8242">
        <v>-1.5454590000000001E-2</v>
      </c>
      <c r="O8242">
        <v>0.42393619999999999</v>
      </c>
      <c r="P8242">
        <v>0.93886650000000005</v>
      </c>
      <c r="Q8242">
        <v>0.18515139999999999</v>
      </c>
      <c r="R8242">
        <v>0.29025689999999998</v>
      </c>
      <c r="S8242">
        <v>3.227554</v>
      </c>
      <c r="T8242">
        <v>-0.1167166</v>
      </c>
      <c r="U8242">
        <v>-8.9111329999999999E-3</v>
      </c>
      <c r="V8242">
        <v>0.1394049</v>
      </c>
      <c r="W8242">
        <v>0.1972602</v>
      </c>
      <c r="X8242">
        <v>0.9703889</v>
      </c>
      <c r="Y8242">
        <v>0.42601679999999997</v>
      </c>
      <c r="Z8242">
        <v>-1.9230420000000002E-2</v>
      </c>
      <c r="AA8242">
        <v>0.90451090000000001</v>
      </c>
      <c r="AB8242">
        <v>26</v>
      </c>
      <c r="AC8242">
        <v>30.302399999999899</v>
      </c>
      <c r="AD8242">
        <v>-1.1023031878459999</v>
      </c>
      <c r="AE8242">
        <v>-0.15760000000000199</v>
      </c>
      <c r="AF8242">
        <v>12.9733839343534</v>
      </c>
      <c r="AG8242">
        <v>-1.1023031878459999</v>
      </c>
      <c r="AH8242">
        <v>27.340926523278899</v>
      </c>
      <c r="AI8242">
        <v>92.086042411352906</v>
      </c>
      <c r="AJ8242">
        <v>64.615465020066296</v>
      </c>
      <c r="AK8242">
        <v>30.282833853148698</v>
      </c>
      <c r="AL8242">
        <v>78.623211069885699</v>
      </c>
      <c r="AM8242">
        <v>81.824890050832394</v>
      </c>
      <c r="AN8242">
        <v>0.99999996494562904</v>
      </c>
    </row>
    <row r="8243" spans="1:40" x14ac:dyDescent="0.25">
      <c r="A8243" t="str">
        <f>"20190304154957194"</f>
        <v>20190304154957194</v>
      </c>
      <c r="B8243" t="str">
        <f>"1551685797185531"</f>
        <v>1551685797185531</v>
      </c>
      <c r="C8243" t="s">
        <v>40</v>
      </c>
      <c r="D8243">
        <v>4.494326</v>
      </c>
      <c r="E8243">
        <v>0.61914689999999994</v>
      </c>
      <c r="F8243" t="s">
        <v>44</v>
      </c>
      <c r="G8243">
        <v>-138.44110000000001</v>
      </c>
      <c r="H8243" s="1">
        <v>-2.0029119999999998E-6</v>
      </c>
      <c r="I8243">
        <v>134.03</v>
      </c>
      <c r="J8243">
        <v>-174.80279999999999</v>
      </c>
      <c r="K8243">
        <v>1.1025480000000001</v>
      </c>
      <c r="L8243">
        <v>134.56209999999999</v>
      </c>
      <c r="M8243">
        <v>0.91061040000000004</v>
      </c>
      <c r="N8243">
        <v>-1.5392889999999999E-2</v>
      </c>
      <c r="O8243">
        <v>0.41297929999999999</v>
      </c>
      <c r="P8243">
        <v>0.94148909999999997</v>
      </c>
      <c r="Q8243">
        <v>0.18529319999999999</v>
      </c>
      <c r="R8243">
        <v>0.28154000000000001</v>
      </c>
      <c r="S8243">
        <v>3.226318</v>
      </c>
      <c r="T8243">
        <v>-9.7155930000000001E-2</v>
      </c>
      <c r="U8243">
        <v>-3.8192749999999998E-2</v>
      </c>
      <c r="V8243">
        <v>0.13655799999999901</v>
      </c>
      <c r="W8243">
        <v>0.19748650000000001</v>
      </c>
      <c r="X8243">
        <v>0.97074760000000004</v>
      </c>
      <c r="Y8243">
        <v>0.42345769999999999</v>
      </c>
      <c r="Z8243">
        <v>-1.528386E-2</v>
      </c>
      <c r="AA8243">
        <v>0.90578689999999995</v>
      </c>
      <c r="AB8243">
        <v>26</v>
      </c>
      <c r="AC8243">
        <v>36.3616999999999</v>
      </c>
      <c r="AD8243">
        <v>-1.1025500029119999</v>
      </c>
      <c r="AE8243">
        <v>-0.53209999999998503</v>
      </c>
      <c r="AF8243">
        <v>15.488763406176201</v>
      </c>
      <c r="AG8243">
        <v>-1.1025500029119999</v>
      </c>
      <c r="AH8243">
        <v>32.865280776987802</v>
      </c>
      <c r="AI8243">
        <v>91.738185075798995</v>
      </c>
      <c r="AJ8243">
        <v>64.766415988437203</v>
      </c>
      <c r="AK8243">
        <v>36.348921427074998</v>
      </c>
      <c r="AL8243">
        <v>78.609984726948099</v>
      </c>
      <c r="AM8243">
        <v>81.992572971349404</v>
      </c>
      <c r="AN8243">
        <v>0.99999995397600405</v>
      </c>
    </row>
    <row r="8244" spans="1:40" x14ac:dyDescent="0.25">
      <c r="A8244" t="str">
        <f>"20190304154957210"</f>
        <v>20190304154957210</v>
      </c>
      <c r="B8244" t="str">
        <f>"1551685797206027"</f>
        <v>1551685797206027</v>
      </c>
      <c r="C8244" t="s">
        <v>40</v>
      </c>
      <c r="D8244">
        <v>4.4383780000000002</v>
      </c>
      <c r="E8244">
        <v>0.61839250000000001</v>
      </c>
      <c r="F8244" t="s">
        <v>44</v>
      </c>
      <c r="G8244">
        <v>-138.0635</v>
      </c>
      <c r="H8244" s="1">
        <v>-2.1826940000000001E-6</v>
      </c>
      <c r="I8244">
        <v>133.8373</v>
      </c>
      <c r="J8244">
        <v>-174.61969999999999</v>
      </c>
      <c r="K8244">
        <v>1.1027370000000001</v>
      </c>
      <c r="L8244">
        <v>134.63480000000001</v>
      </c>
      <c r="M8244">
        <v>0.91423889999999997</v>
      </c>
      <c r="N8244">
        <v>-1.53455E-2</v>
      </c>
      <c r="O8244">
        <v>0.40488499999999999</v>
      </c>
      <c r="P8244">
        <v>0.94357389999999997</v>
      </c>
      <c r="Q8244">
        <v>0.18495990000000001</v>
      </c>
      <c r="R8244">
        <v>0.27469710000000003</v>
      </c>
      <c r="S8244">
        <v>3.2245330000000001</v>
      </c>
      <c r="T8244">
        <v>-9.6768380000000001E-2</v>
      </c>
      <c r="U8244">
        <v>-6.3613890000000006E-2</v>
      </c>
      <c r="V8244">
        <v>0.13491889999999901</v>
      </c>
      <c r="W8244">
        <v>0.19720409999999999</v>
      </c>
      <c r="X8244">
        <v>0.97103419999999896</v>
      </c>
      <c r="Y8244">
        <v>0.4225698</v>
      </c>
      <c r="Z8244">
        <v>-1.5124530000000001E-2</v>
      </c>
      <c r="AA8244">
        <v>0.90620420000000002</v>
      </c>
      <c r="AB8244">
        <v>26</v>
      </c>
      <c r="AC8244">
        <v>36.556199999999897</v>
      </c>
      <c r="AD8244">
        <v>-1.1027391826940001</v>
      </c>
      <c r="AE8244">
        <v>-0.79750000000001298</v>
      </c>
      <c r="AF8244">
        <v>15.5178765840491</v>
      </c>
      <c r="AG8244">
        <v>-1.1027391826940001</v>
      </c>
      <c r="AH8244">
        <v>33.072020162656202</v>
      </c>
      <c r="AI8244">
        <v>91.728996210038005</v>
      </c>
      <c r="AJ8244">
        <v>64.863342101193695</v>
      </c>
      <c r="AK8244">
        <v>36.548311110391502</v>
      </c>
      <c r="AL8244">
        <v>78.6264900802867</v>
      </c>
      <c r="AM8244">
        <v>82.089766992358904</v>
      </c>
      <c r="AN8244">
        <v>0.99999999210182899</v>
      </c>
    </row>
    <row r="8245" spans="1:40" x14ac:dyDescent="0.25">
      <c r="A8245" t="str">
        <f>"20190304154957226"</f>
        <v>20190304154957226</v>
      </c>
      <c r="B8245" t="str">
        <f>"1551685797215788"</f>
        <v>1551685797215788</v>
      </c>
      <c r="C8245" t="s">
        <v>40</v>
      </c>
      <c r="D8245">
        <v>4.5176669999999897</v>
      </c>
      <c r="E8245">
        <v>0.61791960000000001</v>
      </c>
      <c r="F8245" t="s">
        <v>44</v>
      </c>
      <c r="G8245">
        <v>-138.06299999999999</v>
      </c>
      <c r="H8245" s="1">
        <v>-2.2147940000000002E-6</v>
      </c>
      <c r="I8245">
        <v>133.71729999999999</v>
      </c>
      <c r="J8245">
        <v>-174.45650000000001</v>
      </c>
      <c r="K8245">
        <v>1.102905</v>
      </c>
      <c r="L8245">
        <v>134.6978</v>
      </c>
      <c r="M8245">
        <v>0.91732919999999996</v>
      </c>
      <c r="N8245">
        <v>-1.530165E-2</v>
      </c>
      <c r="O8245">
        <v>0.39783550000000001</v>
      </c>
      <c r="P8245">
        <v>0.94492940000000003</v>
      </c>
      <c r="Q8245">
        <v>0.18415989999999999</v>
      </c>
      <c r="R8245">
        <v>0.27054349999999999</v>
      </c>
      <c r="S8245">
        <v>3.2219850000000001</v>
      </c>
      <c r="T8245">
        <v>-9.7191570000000005E-2</v>
      </c>
      <c r="U8245">
        <v>-8.0856319999999995E-2</v>
      </c>
      <c r="V8245">
        <v>0.13167179999999901</v>
      </c>
      <c r="W8245">
        <v>0.19648750000000001</v>
      </c>
      <c r="X8245">
        <v>0.97162499999999996</v>
      </c>
      <c r="Y8245">
        <v>0.4204522</v>
      </c>
      <c r="Z8245">
        <v>-1.510075E-2</v>
      </c>
      <c r="AA8245">
        <v>0.90718900000000002</v>
      </c>
      <c r="AB8245">
        <v>26</v>
      </c>
      <c r="AC8245">
        <v>36.393500000000003</v>
      </c>
      <c r="AD8245">
        <v>-1.102907214794</v>
      </c>
      <c r="AE8245">
        <v>-0.98050000000000603</v>
      </c>
      <c r="AF8245">
        <v>15.365765880390899</v>
      </c>
      <c r="AG8245">
        <v>-1.102907214794</v>
      </c>
      <c r="AH8245">
        <v>32.968348421798098</v>
      </c>
      <c r="AI8245">
        <v>91.736783014264503</v>
      </c>
      <c r="AJ8245">
        <v>65.010889190426596</v>
      </c>
      <c r="AK8245">
        <v>36.390042086764701</v>
      </c>
      <c r="AL8245">
        <v>78.668367346492801</v>
      </c>
      <c r="AM8245">
        <v>82.282457011394399</v>
      </c>
      <c r="AN8245">
        <v>0.99999997059824397</v>
      </c>
    </row>
    <row r="8246" spans="1:40" x14ac:dyDescent="0.25">
      <c r="A8246" t="str">
        <f>"20190304154957243"</f>
        <v>20190304154957243</v>
      </c>
      <c r="B8246" t="str">
        <f>"1551685797235308"</f>
        <v>1551685797235308</v>
      </c>
      <c r="C8246" t="s">
        <v>40</v>
      </c>
      <c r="D8246">
        <v>4.4560430000000002</v>
      </c>
      <c r="E8246">
        <v>0.61712149999999999</v>
      </c>
      <c r="F8246" t="s">
        <v>44</v>
      </c>
      <c r="G8246">
        <v>-139.29849999999999</v>
      </c>
      <c r="H8246" s="1">
        <v>-1.797364E-6</v>
      </c>
      <c r="I8246">
        <v>133.70599999999999</v>
      </c>
      <c r="J8246">
        <v>-174.27930000000001</v>
      </c>
      <c r="K8246">
        <v>1.1031010000000001</v>
      </c>
      <c r="L8246">
        <v>134.76490000000001</v>
      </c>
      <c r="M8246">
        <v>0.92054579999999997</v>
      </c>
      <c r="N8246">
        <v>-1.5253600000000001E-2</v>
      </c>
      <c r="O8246">
        <v>0.39033689999999999</v>
      </c>
      <c r="P8246">
        <v>0.94676669999999996</v>
      </c>
      <c r="Q8246">
        <v>0.18365409999999999</v>
      </c>
      <c r="R8246">
        <v>0.26439439999999997</v>
      </c>
      <c r="S8246">
        <v>3.2205509999999999</v>
      </c>
      <c r="T8246">
        <v>-0.1010287</v>
      </c>
      <c r="U8246">
        <v>-9.0850829999999994E-2</v>
      </c>
      <c r="V8246">
        <v>0.1299912</v>
      </c>
      <c r="W8246">
        <v>0.1960316</v>
      </c>
      <c r="X8246">
        <v>0.97194340000000001</v>
      </c>
      <c r="Y8246">
        <v>0.41584490000000002</v>
      </c>
      <c r="Z8246">
        <v>-1.562935E-2</v>
      </c>
      <c r="AA8246">
        <v>0.90930120000000003</v>
      </c>
      <c r="AB8246">
        <v>26</v>
      </c>
      <c r="AC8246">
        <v>34.980800000000002</v>
      </c>
      <c r="AD8246">
        <v>-1.103102797364</v>
      </c>
      <c r="AE8246">
        <v>-1.05889999999999</v>
      </c>
      <c r="AF8246">
        <v>14.6162426912695</v>
      </c>
      <c r="AG8246">
        <v>-1.103102797364</v>
      </c>
      <c r="AH8246">
        <v>31.760243039287399</v>
      </c>
      <c r="AI8246">
        <v>91.807162509728002</v>
      </c>
      <c r="AJ8246">
        <v>65.287846370623498</v>
      </c>
      <c r="AK8246">
        <v>34.979485761032102</v>
      </c>
      <c r="AL8246">
        <v>78.695007328904296</v>
      </c>
      <c r="AM8246">
        <v>82.382262459489795</v>
      </c>
      <c r="AN8246">
        <v>1.0000000365397701</v>
      </c>
    </row>
    <row r="8247" spans="1:40" x14ac:dyDescent="0.25">
      <c r="A8247" t="str">
        <f>"20190304154957256"</f>
        <v>20190304154957256</v>
      </c>
      <c r="B8247" t="str">
        <f>"1551685797245068"</f>
        <v>1551685797245068</v>
      </c>
      <c r="C8247" t="s">
        <v>40</v>
      </c>
      <c r="D8247">
        <v>4.46861</v>
      </c>
      <c r="E8247">
        <v>0.61650640000000001</v>
      </c>
      <c r="F8247" t="s">
        <v>44</v>
      </c>
      <c r="G8247">
        <v>-139.3501</v>
      </c>
      <c r="H8247" s="1">
        <v>-1.803671E-6</v>
      </c>
      <c r="I8247">
        <v>133.6163</v>
      </c>
      <c r="J8247">
        <v>-174.13059999999999</v>
      </c>
      <c r="K8247">
        <v>1.1032759999999999</v>
      </c>
      <c r="L8247">
        <v>134.8202</v>
      </c>
      <c r="M8247">
        <v>0.92313809999999996</v>
      </c>
      <c r="N8247">
        <v>-1.5212679999999999E-2</v>
      </c>
      <c r="O8247">
        <v>0.3841676</v>
      </c>
      <c r="P8247">
        <v>0.94805689999999998</v>
      </c>
      <c r="Q8247">
        <v>0.1836971</v>
      </c>
      <c r="R8247">
        <v>0.2596987</v>
      </c>
      <c r="S8247">
        <v>3.2179259999999998</v>
      </c>
      <c r="T8247">
        <v>-0.1016254</v>
      </c>
      <c r="U8247">
        <v>-0.1058197</v>
      </c>
      <c r="V8247">
        <v>0.12821459999999901</v>
      </c>
      <c r="W8247">
        <v>0.1961242</v>
      </c>
      <c r="X8247">
        <v>0.97216060000000004</v>
      </c>
      <c r="Y8247">
        <v>0.41400239999999999</v>
      </c>
      <c r="Z8247">
        <v>-1.5638820000000001E-2</v>
      </c>
      <c r="AA8247">
        <v>0.91014150000000005</v>
      </c>
      <c r="AB8247">
        <v>26</v>
      </c>
      <c r="AC8247">
        <v>34.780499999999897</v>
      </c>
      <c r="AD8247">
        <v>-1.10327780367099</v>
      </c>
      <c r="AE8247">
        <v>-1.2039</v>
      </c>
      <c r="AF8247">
        <v>14.460048526364201</v>
      </c>
      <c r="AG8247">
        <v>-1.10327780367099</v>
      </c>
      <c r="AH8247">
        <v>31.616590160308199</v>
      </c>
      <c r="AI8247">
        <v>91.817616311095605</v>
      </c>
      <c r="AJ8247">
        <v>65.422711298268595</v>
      </c>
      <c r="AK8247">
        <v>34.783889929991702</v>
      </c>
      <c r="AL8247">
        <v>78.689595820280303</v>
      </c>
      <c r="AM8247">
        <v>82.486836472828401</v>
      </c>
      <c r="AN8247">
        <v>0.99999995883557902</v>
      </c>
    </row>
    <row r="8248" spans="1:40" x14ac:dyDescent="0.25">
      <c r="A8248" t="str">
        <f>"20190304154957270"</f>
        <v>20190304154957270</v>
      </c>
      <c r="B8248" t="str">
        <f>"1551685797265564"</f>
        <v>1551685797265564</v>
      </c>
      <c r="C8248" t="s">
        <v>40</v>
      </c>
      <c r="D8248">
        <v>4.4229849999999997</v>
      </c>
      <c r="E8248">
        <v>0.61545159999999999</v>
      </c>
      <c r="F8248" t="s">
        <v>44</v>
      </c>
      <c r="G8248">
        <v>-139.36500000000001</v>
      </c>
      <c r="H8248" s="1">
        <v>-1.8139079999999999E-6</v>
      </c>
      <c r="I8248">
        <v>133.55869999999999</v>
      </c>
      <c r="J8248">
        <v>-173.97329999999999</v>
      </c>
      <c r="K8248">
        <v>1.1034679999999999</v>
      </c>
      <c r="L8248">
        <v>134.87780000000001</v>
      </c>
      <c r="M8248">
        <v>0.92577529999999997</v>
      </c>
      <c r="N8248">
        <v>-1.516824E-2</v>
      </c>
      <c r="O8248">
        <v>0.37776979999999999</v>
      </c>
      <c r="P8248">
        <v>0.94933020000000001</v>
      </c>
      <c r="Q8248">
        <v>0.18422620000000001</v>
      </c>
      <c r="R8248">
        <v>0.2546234</v>
      </c>
      <c r="S8248">
        <v>3.21611</v>
      </c>
      <c r="T8248">
        <v>-0.10206220000000001</v>
      </c>
      <c r="U8248">
        <v>-0.1166992</v>
      </c>
      <c r="V8248">
        <v>0.12656310000000001</v>
      </c>
      <c r="W8248">
        <v>0.19669880000000001</v>
      </c>
      <c r="X8248">
        <v>0.97226100000000004</v>
      </c>
      <c r="Y8248">
        <v>0.4107923</v>
      </c>
      <c r="Z8248">
        <v>-1.5575429999999999E-2</v>
      </c>
      <c r="AA8248">
        <v>0.91159590000000001</v>
      </c>
      <c r="AB8248">
        <v>26</v>
      </c>
      <c r="AC8248">
        <v>34.6082999999999</v>
      </c>
      <c r="AD8248">
        <v>-1.1034698139079999</v>
      </c>
      <c r="AE8248">
        <v>-1.3191000000000199</v>
      </c>
      <c r="AF8248">
        <v>14.2823068368113</v>
      </c>
      <c r="AG8248">
        <v>-1.1034698139079999</v>
      </c>
      <c r="AH8248">
        <v>31.512831943862299</v>
      </c>
      <c r="AI8248">
        <v>91.826758121386504</v>
      </c>
      <c r="AJ8248">
        <v>65.6189234326297</v>
      </c>
      <c r="AK8248">
        <v>34.615899689783298</v>
      </c>
      <c r="AL8248">
        <v>78.656020632725799</v>
      </c>
      <c r="AM8248">
        <v>82.583284505783695</v>
      </c>
      <c r="AN8248">
        <v>1.00000004416202</v>
      </c>
    </row>
    <row r="8249" spans="1:40" x14ac:dyDescent="0.25">
      <c r="A8249" t="str">
        <f>"20190304154957283"</f>
        <v>20190304154957283</v>
      </c>
      <c r="B8249" t="str">
        <f>"1551685797275324"</f>
        <v>1551685797275324</v>
      </c>
      <c r="C8249" t="s">
        <v>40</v>
      </c>
      <c r="D8249">
        <v>4.5440509999999996</v>
      </c>
      <c r="E8249">
        <v>0.61486209999999997</v>
      </c>
      <c r="F8249" t="s">
        <v>44</v>
      </c>
      <c r="G8249">
        <v>-138.56389999999999</v>
      </c>
      <c r="H8249" s="1">
        <v>-2.1030509999999999E-6</v>
      </c>
      <c r="I8249">
        <v>133.4965</v>
      </c>
      <c r="J8249">
        <v>-173.83959999999999</v>
      </c>
      <c r="K8249">
        <v>1.1036360000000001</v>
      </c>
      <c r="L8249">
        <v>134.9255</v>
      </c>
      <c r="M8249">
        <v>0.92791500000000005</v>
      </c>
      <c r="N8249">
        <v>-1.5128819999999999E-2</v>
      </c>
      <c r="O8249">
        <v>0.37248490000000001</v>
      </c>
      <c r="P8249">
        <v>0.94993190000000005</v>
      </c>
      <c r="Q8249">
        <v>0.18530959999999999</v>
      </c>
      <c r="R8249">
        <v>0.25157469999999998</v>
      </c>
      <c r="S8249">
        <v>3.2131500000000002</v>
      </c>
      <c r="T8249">
        <v>-0.1001321</v>
      </c>
      <c r="U8249">
        <v>-0.12533569999999999</v>
      </c>
      <c r="V8249">
        <v>0.123996</v>
      </c>
      <c r="W8249">
        <v>0.19783990000000001</v>
      </c>
      <c r="X8249">
        <v>0.97236020000000001</v>
      </c>
      <c r="Y8249">
        <v>0.40808410000000001</v>
      </c>
      <c r="Z8249">
        <v>-1.512147E-2</v>
      </c>
      <c r="AA8249">
        <v>0.91281909999999999</v>
      </c>
      <c r="AB8249">
        <v>26</v>
      </c>
      <c r="AC8249">
        <v>35.275700000000001</v>
      </c>
      <c r="AD8249">
        <v>-1.1036381030509901</v>
      </c>
      <c r="AE8249">
        <v>-1.429</v>
      </c>
      <c r="AF8249">
        <v>14.4531870632348</v>
      </c>
      <c r="AG8249">
        <v>-1.1036381030509901</v>
      </c>
      <c r="AH8249">
        <v>32.1728141017499</v>
      </c>
      <c r="AI8249">
        <v>91.792256386053296</v>
      </c>
      <c r="AJ8249">
        <v>65.808666454667801</v>
      </c>
      <c r="AK8249">
        <v>35.287428364406502</v>
      </c>
      <c r="AL8249">
        <v>78.589329346304098</v>
      </c>
      <c r="AM8249">
        <v>82.732827598940901</v>
      </c>
      <c r="AN8249">
        <v>0.99999999629602498</v>
      </c>
    </row>
    <row r="8250" spans="1:40" x14ac:dyDescent="0.25">
      <c r="A8250" t="str">
        <f>"20190304154957301"</f>
        <v>20190304154957301</v>
      </c>
      <c r="B8250" t="str">
        <f>"1551685797295819"</f>
        <v>1551685797295819</v>
      </c>
      <c r="C8250" t="s">
        <v>40</v>
      </c>
      <c r="D8250">
        <v>4.4876630000000004</v>
      </c>
      <c r="E8250">
        <v>0.61375230000000003</v>
      </c>
      <c r="F8250" t="s">
        <v>44</v>
      </c>
      <c r="G8250">
        <v>-137.4718</v>
      </c>
      <c r="H8250" s="1">
        <v>-2.4847199999999998E-6</v>
      </c>
      <c r="I8250">
        <v>133.4589</v>
      </c>
      <c r="J8250">
        <v>-173.6438</v>
      </c>
      <c r="K8250">
        <v>1.103877</v>
      </c>
      <c r="L8250">
        <v>134.99440000000001</v>
      </c>
      <c r="M8250">
        <v>0.93092980000000003</v>
      </c>
      <c r="N8250">
        <v>-1.507235E-2</v>
      </c>
      <c r="O8250">
        <v>0.36488720000000002</v>
      </c>
      <c r="P8250">
        <v>0.95157150000000001</v>
      </c>
      <c r="Q8250">
        <v>0.18569939999999999</v>
      </c>
      <c r="R8250">
        <v>0.24500549999999999</v>
      </c>
      <c r="S8250">
        <v>3.211411</v>
      </c>
      <c r="T8250">
        <v>-9.7455260000000002E-2</v>
      </c>
      <c r="U8250">
        <v>-0.12950130000000001</v>
      </c>
      <c r="V8250">
        <v>0.1226255</v>
      </c>
      <c r="W8250">
        <v>0.1982699</v>
      </c>
      <c r="X8250">
        <v>0.97244640000000004</v>
      </c>
      <c r="Y8250">
        <v>0.40183570000000002</v>
      </c>
      <c r="Z8250">
        <v>-1.4427580000000001E-2</v>
      </c>
      <c r="AA8250">
        <v>0.91559820000000003</v>
      </c>
      <c r="AB8250">
        <v>26</v>
      </c>
      <c r="AC8250">
        <v>36.171999999999997</v>
      </c>
      <c r="AD8250">
        <v>-1.10387948472</v>
      </c>
      <c r="AE8250">
        <v>-1.5355000000000101</v>
      </c>
      <c r="AF8250">
        <v>14.616215498561999</v>
      </c>
      <c r="AG8250">
        <v>-1.10387948472</v>
      </c>
      <c r="AH8250">
        <v>33.0863096032041</v>
      </c>
      <c r="AI8250">
        <v>91.748032895685597</v>
      </c>
      <c r="AJ8250">
        <v>66.166065276079905</v>
      </c>
      <c r="AK8250">
        <v>36.187790600923201</v>
      </c>
      <c r="AL8250">
        <v>78.564194111871799</v>
      </c>
      <c r="AM8250">
        <v>82.812935819374601</v>
      </c>
      <c r="AN8250">
        <v>0.99999998368460996</v>
      </c>
    </row>
    <row r="8251" spans="1:40" x14ac:dyDescent="0.25">
      <c r="A8251" t="str">
        <f>"20190304154957316"</f>
        <v>20190304154957316</v>
      </c>
      <c r="B8251" t="str">
        <f>"1551685797305581"</f>
        <v>1551685797305581</v>
      </c>
      <c r="C8251" t="s">
        <v>40</v>
      </c>
      <c r="D8251">
        <v>4.5284870000000002</v>
      </c>
      <c r="E8251">
        <v>0.61293999999999904</v>
      </c>
      <c r="F8251" t="s">
        <v>44</v>
      </c>
      <c r="G8251">
        <v>-137.54730000000001</v>
      </c>
      <c r="H8251" s="1">
        <v>-2.474694E-6</v>
      </c>
      <c r="I8251">
        <v>133.4</v>
      </c>
      <c r="J8251">
        <v>-173.47450000000001</v>
      </c>
      <c r="K8251">
        <v>1.104088</v>
      </c>
      <c r="L8251">
        <v>135.05279999999999</v>
      </c>
      <c r="M8251">
        <v>0.93341529999999995</v>
      </c>
      <c r="N8251">
        <v>-1.5024579999999999E-2</v>
      </c>
      <c r="O8251">
        <v>0.358483099999999</v>
      </c>
      <c r="P8251">
        <v>0.95261589999999996</v>
      </c>
      <c r="Q8251">
        <v>0.18565119999999999</v>
      </c>
      <c r="R8251">
        <v>0.2409491</v>
      </c>
      <c r="S8251">
        <v>3.2083279999999998</v>
      </c>
      <c r="T8251">
        <v>-9.8115090000000002E-2</v>
      </c>
      <c r="U8251">
        <v>-0.14170839999999901</v>
      </c>
      <c r="V8251">
        <v>0.1199839</v>
      </c>
      <c r="W8251">
        <v>0.1982834</v>
      </c>
      <c r="X8251">
        <v>0.97277309999999995</v>
      </c>
      <c r="Y8251">
        <v>0.39905370000000001</v>
      </c>
      <c r="Z8251">
        <v>-1.442123E-2</v>
      </c>
      <c r="AA8251">
        <v>0.91681409999999997</v>
      </c>
      <c r="AB8251">
        <v>25</v>
      </c>
      <c r="AC8251">
        <v>35.927199999999999</v>
      </c>
      <c r="AD8251">
        <v>-1.1040904746939999</v>
      </c>
      <c r="AE8251">
        <v>-1.6527999999999801</v>
      </c>
      <c r="AF8251">
        <v>14.410090608653899</v>
      </c>
      <c r="AG8251">
        <v>-1.1040904746939999</v>
      </c>
      <c r="AH8251">
        <v>32.9151962917757</v>
      </c>
      <c r="AI8251">
        <v>91.760018803055104</v>
      </c>
      <c r="AJ8251">
        <v>66.356462926454</v>
      </c>
      <c r="AK8251">
        <v>35.948294452616899</v>
      </c>
      <c r="AL8251">
        <v>78.563404833198504</v>
      </c>
      <c r="AM8251">
        <v>82.968530598640001</v>
      </c>
      <c r="AN8251">
        <v>0.99999997352918901</v>
      </c>
    </row>
    <row r="8252" spans="1:40" x14ac:dyDescent="0.25">
      <c r="A8252" t="str">
        <f>"20190304154957337"</f>
        <v>20190304154957337</v>
      </c>
      <c r="B8252" t="str">
        <f>"1551685797335837"</f>
        <v>1551685797335837</v>
      </c>
      <c r="C8252" t="s">
        <v>40</v>
      </c>
      <c r="D8252">
        <v>4.443308</v>
      </c>
      <c r="E8252">
        <v>0.58393059999999997</v>
      </c>
      <c r="F8252" t="s">
        <v>44</v>
      </c>
      <c r="G8252">
        <v>-138.2647</v>
      </c>
      <c r="H8252" s="1">
        <v>-2.2236530000000002E-6</v>
      </c>
      <c r="I8252">
        <v>133.42599999999999</v>
      </c>
      <c r="J8252">
        <v>-173.23779999999999</v>
      </c>
      <c r="K8252">
        <v>1.104368</v>
      </c>
      <c r="L8252">
        <v>135.13249999999999</v>
      </c>
      <c r="M8252">
        <v>0.9367027</v>
      </c>
      <c r="N8252">
        <v>-1.495952E-2</v>
      </c>
      <c r="O8252">
        <v>0.34980620000000001</v>
      </c>
      <c r="P8252">
        <v>0.95417660000000004</v>
      </c>
      <c r="Q8252">
        <v>0.18564369999999999</v>
      </c>
      <c r="R8252">
        <v>0.23469870000000001</v>
      </c>
      <c r="S8252">
        <v>3.2062840000000001</v>
      </c>
      <c r="T8252">
        <v>-0.1005408</v>
      </c>
      <c r="U8252">
        <v>-0.14813229999999999</v>
      </c>
      <c r="V8252">
        <v>0.1171961</v>
      </c>
      <c r="W8252">
        <v>0.1983386</v>
      </c>
      <c r="X8252">
        <v>0.97310169999999996</v>
      </c>
      <c r="Y8252">
        <v>0.3923838</v>
      </c>
      <c r="Z8252">
        <v>-1.458429E-2</v>
      </c>
      <c r="AA8252">
        <v>0.919686</v>
      </c>
      <c r="AB8252">
        <v>25</v>
      </c>
      <c r="AC8252">
        <v>34.973099999999903</v>
      </c>
      <c r="AD8252">
        <v>-1.104370223653</v>
      </c>
      <c r="AE8252">
        <v>-1.7064999999999699</v>
      </c>
      <c r="AF8252">
        <v>13.8200896046196</v>
      </c>
      <c r="AG8252">
        <v>-1.104370223653</v>
      </c>
      <c r="AH8252">
        <v>32.134084038428497</v>
      </c>
      <c r="AI8252">
        <v>91.8083162132924</v>
      </c>
      <c r="AJ8252">
        <v>66.728633439617596</v>
      </c>
      <c r="AK8252">
        <v>34.997340859833798</v>
      </c>
      <c r="AL8252">
        <v>78.560178584537098</v>
      </c>
      <c r="AM8252">
        <v>83.132623360399094</v>
      </c>
      <c r="AN8252">
        <v>1.00000002232402</v>
      </c>
    </row>
    <row r="8253" spans="1:40" x14ac:dyDescent="0.25">
      <c r="A8253" t="str">
        <f>"20190304154957350"</f>
        <v>20190304154957350</v>
      </c>
      <c r="B8253" t="str">
        <f>"1551685797345596"</f>
        <v>1551685797345596</v>
      </c>
      <c r="C8253" t="s">
        <v>40</v>
      </c>
      <c r="D8253">
        <v>4.4802109999999997</v>
      </c>
      <c r="E8253">
        <v>0.58131929999999998</v>
      </c>
      <c r="F8253" t="s">
        <v>44</v>
      </c>
      <c r="G8253">
        <v>-138.40710000000001</v>
      </c>
      <c r="H8253" s="1">
        <v>-1.5587260000000001E-6</v>
      </c>
      <c r="I8253">
        <v>135.74289999999999</v>
      </c>
      <c r="J8253">
        <v>-173.09690000000001</v>
      </c>
      <c r="K8253">
        <v>1.1045210000000001</v>
      </c>
      <c r="L8253">
        <v>135.17910000000001</v>
      </c>
      <c r="M8253">
        <v>0.93857520000000005</v>
      </c>
      <c r="N8253">
        <v>-1.492228E-2</v>
      </c>
      <c r="O8253">
        <v>0.344752</v>
      </c>
      <c r="P8253">
        <v>0.95497359999999998</v>
      </c>
      <c r="Q8253">
        <v>0.18633230000000001</v>
      </c>
      <c r="R8253">
        <v>0.23088</v>
      </c>
      <c r="S8253">
        <v>3.149902</v>
      </c>
      <c r="T8253">
        <v>-9.9873190000000001E-2</v>
      </c>
      <c r="U8253">
        <v>5.52063E-2</v>
      </c>
      <c r="V8253">
        <v>0.11573029999999999</v>
      </c>
      <c r="W8253">
        <v>0.19905690000000001</v>
      </c>
      <c r="X8253">
        <v>0.97313050000000001</v>
      </c>
      <c r="Y8253">
        <v>0.32800559999999901</v>
      </c>
      <c r="Z8253">
        <v>-1.3164199999999999E-2</v>
      </c>
      <c r="AA8253">
        <v>0.94458410000000004</v>
      </c>
      <c r="AB8253">
        <v>25</v>
      </c>
      <c r="AC8253">
        <v>34.689799999999899</v>
      </c>
      <c r="AD8253">
        <v>-1.1045225587259999</v>
      </c>
      <c r="AE8253">
        <v>0.56379999999998598</v>
      </c>
      <c r="AF8253">
        <v>11.419907659852599</v>
      </c>
      <c r="AG8253">
        <v>-1.1045225587259999</v>
      </c>
      <c r="AH8253">
        <v>32.723837912576499</v>
      </c>
      <c r="AI8253">
        <v>91.825286588281898</v>
      </c>
      <c r="AJ8253">
        <v>70.762123627093899</v>
      </c>
      <c r="AK8253">
        <v>34.676848599186101</v>
      </c>
      <c r="AL8253">
        <v>78.518186171640707</v>
      </c>
      <c r="AM8253">
        <v>83.217909052556195</v>
      </c>
      <c r="AN8253">
        <v>1.00000006090297</v>
      </c>
    </row>
    <row r="8254" spans="1:40" x14ac:dyDescent="0.25">
      <c r="A8254" t="str">
        <f>"20190304154957362"</f>
        <v>20190304154957362</v>
      </c>
      <c r="B8254" t="str">
        <f>"1551685797355356"</f>
        <v>1551685797355356</v>
      </c>
      <c r="C8254" t="s">
        <v>40</v>
      </c>
      <c r="D8254">
        <v>4.4702270000000004</v>
      </c>
      <c r="E8254">
        <v>0.58028310000000005</v>
      </c>
      <c r="F8254" t="s">
        <v>44</v>
      </c>
      <c r="G8254">
        <v>-141.1883</v>
      </c>
      <c r="H8254" s="1">
        <v>-4.4365200000000003E-6</v>
      </c>
      <c r="I8254">
        <v>135.81630000000001</v>
      </c>
      <c r="J8254">
        <v>-172.97460000000001</v>
      </c>
      <c r="K8254">
        <v>1.104644</v>
      </c>
      <c r="L8254">
        <v>135.21860000000001</v>
      </c>
      <c r="M8254">
        <v>0.94012980000000002</v>
      </c>
      <c r="N8254">
        <v>-1.489039E-2</v>
      </c>
      <c r="O8254">
        <v>0.3404914</v>
      </c>
      <c r="P8254">
        <v>0.95580929999999997</v>
      </c>
      <c r="Q8254">
        <v>0.18664230000000001</v>
      </c>
      <c r="R8254">
        <v>0.2271416</v>
      </c>
      <c r="S8254">
        <v>3.1475070000000001</v>
      </c>
      <c r="T8254">
        <v>-0.1089519</v>
      </c>
      <c r="U8254">
        <v>6.2866210000000006E-2</v>
      </c>
      <c r="V8254">
        <v>0.1150475</v>
      </c>
      <c r="W8254">
        <v>0.19938020000000001</v>
      </c>
      <c r="X8254">
        <v>0.97314520000000004</v>
      </c>
      <c r="Y8254">
        <v>0.32135320000000001</v>
      </c>
      <c r="Z8254">
        <v>-1.439228E-2</v>
      </c>
      <c r="AA8254">
        <v>0.94684999999999997</v>
      </c>
      <c r="AB8254">
        <v>25</v>
      </c>
      <c r="AC8254">
        <v>31.786300000000001</v>
      </c>
      <c r="AD8254">
        <v>-1.10464843652</v>
      </c>
      <c r="AE8254">
        <v>0.59770000000000301</v>
      </c>
      <c r="AF8254">
        <v>10.249808564129401</v>
      </c>
      <c r="AG8254">
        <v>-1.10464843652</v>
      </c>
      <c r="AH8254">
        <v>30.053809301816301</v>
      </c>
      <c r="AI8254">
        <v>91.992410737345196</v>
      </c>
      <c r="AJ8254">
        <v>71.168130999987198</v>
      </c>
      <c r="AK8254">
        <v>31.772791462500599</v>
      </c>
      <c r="AL8254">
        <v>78.499282670684906</v>
      </c>
      <c r="AM8254">
        <v>83.257654321486996</v>
      </c>
      <c r="AN8254">
        <v>0.99999998584566496</v>
      </c>
    </row>
    <row r="8255" spans="1:40" x14ac:dyDescent="0.25">
      <c r="A8255" t="str">
        <f>"20190304154957375"</f>
        <v>20190304154957375</v>
      </c>
      <c r="B8255" t="str">
        <f>"1551685797365116"</f>
        <v>1551685797365116</v>
      </c>
      <c r="C8255" t="s">
        <v>40</v>
      </c>
      <c r="D8255">
        <v>4.3984240000000003</v>
      </c>
      <c r="E8255">
        <v>0.58143820000000002</v>
      </c>
      <c r="F8255" t="s">
        <v>44</v>
      </c>
      <c r="G8255">
        <v>-141.17590000000001</v>
      </c>
      <c r="H8255" s="1">
        <v>-4.4418779999999996E-6</v>
      </c>
      <c r="I8255">
        <v>135.81620000000001</v>
      </c>
      <c r="J8255">
        <v>-172.82550000000001</v>
      </c>
      <c r="K8255">
        <v>1.1047910000000001</v>
      </c>
      <c r="L8255">
        <v>135.2664</v>
      </c>
      <c r="M8255">
        <v>0.94197359999999997</v>
      </c>
      <c r="N8255">
        <v>-1.4852580000000001E-2</v>
      </c>
      <c r="O8255">
        <v>0.3353584</v>
      </c>
      <c r="P8255">
        <v>0.95680969999999999</v>
      </c>
      <c r="Q8255">
        <v>0.18728259999999999</v>
      </c>
      <c r="R8255">
        <v>0.22235170000000001</v>
      </c>
      <c r="S8255">
        <v>3.1460110000000001</v>
      </c>
      <c r="T8255">
        <v>-0.1092886</v>
      </c>
      <c r="U8255">
        <v>5.9127810000000003E-2</v>
      </c>
      <c r="V8255">
        <v>0.1145082</v>
      </c>
      <c r="W8255">
        <v>0.20003009999999999</v>
      </c>
      <c r="X8255">
        <v>0.97307540000000003</v>
      </c>
      <c r="Y8255">
        <v>0.3173028</v>
      </c>
      <c r="Z8255">
        <v>-1.427139E-2</v>
      </c>
      <c r="AA8255">
        <v>0.94821690000000003</v>
      </c>
      <c r="AB8255">
        <v>25</v>
      </c>
      <c r="AC8255">
        <v>31.6495999999999</v>
      </c>
      <c r="AD8255">
        <v>-1.1047954418779999</v>
      </c>
      <c r="AE8255">
        <v>0.54980000000000395</v>
      </c>
      <c r="AF8255">
        <v>10.0848905257794</v>
      </c>
      <c r="AG8255">
        <v>-1.1047954418779999</v>
      </c>
      <c r="AH8255">
        <v>29.9642745713826</v>
      </c>
      <c r="AI8255">
        <v>92.001348826627094</v>
      </c>
      <c r="AJ8255">
        <v>71.398629328376501</v>
      </c>
      <c r="AK8255">
        <v>31.635159877493201</v>
      </c>
      <c r="AL8255">
        <v>78.461280227990002</v>
      </c>
      <c r="AM8255">
        <v>83.288493988253705</v>
      </c>
      <c r="AN8255">
        <v>0.99999995142920295</v>
      </c>
    </row>
    <row r="8256" spans="1:40" x14ac:dyDescent="0.25">
      <c r="A8256" t="str">
        <f>"20190304154957389"</f>
        <v>20190304154957389</v>
      </c>
      <c r="B8256" t="str">
        <f>"1551685797385613"</f>
        <v>1551685797385613</v>
      </c>
      <c r="C8256" t="s">
        <v>40</v>
      </c>
      <c r="D8256">
        <v>4.4415690000000003</v>
      </c>
      <c r="E8256">
        <v>0.58041200000000004</v>
      </c>
      <c r="F8256" t="s">
        <v>44</v>
      </c>
      <c r="G8256">
        <v>-141.4973</v>
      </c>
      <c r="H8256" s="1">
        <v>-4.3389939999999997E-6</v>
      </c>
      <c r="I8256">
        <v>135.61879999999999</v>
      </c>
      <c r="J8256">
        <v>-172.66980000000001</v>
      </c>
      <c r="K8256">
        <v>1.104948</v>
      </c>
      <c r="L8256">
        <v>135.31540000000001</v>
      </c>
      <c r="M8256">
        <v>0.94381919999999997</v>
      </c>
      <c r="N8256">
        <v>-1.48136E-2</v>
      </c>
      <c r="O8256">
        <v>0.33012999999999998</v>
      </c>
      <c r="P8256">
        <v>0.95799630000000002</v>
      </c>
      <c r="Q8256">
        <v>0.1870714</v>
      </c>
      <c r="R8256">
        <v>0.2173649</v>
      </c>
      <c r="S8256">
        <v>3.1489259999999999</v>
      </c>
      <c r="T8256">
        <v>-0.1110474</v>
      </c>
      <c r="U8256">
        <v>3.5430910000000003E-2</v>
      </c>
      <c r="V8256">
        <v>0.1141152</v>
      </c>
      <c r="W8256">
        <v>0.1998297</v>
      </c>
      <c r="X8256">
        <v>0.97316279999999999</v>
      </c>
      <c r="Y8256">
        <v>0.319183099999999</v>
      </c>
      <c r="Z8256">
        <v>-1.4493829999999999E-2</v>
      </c>
      <c r="AA8256">
        <v>0.94758220000000004</v>
      </c>
      <c r="AB8256">
        <v>25</v>
      </c>
      <c r="AC8256">
        <v>31.172499999999999</v>
      </c>
      <c r="AD8256">
        <v>-1.1049523389939999</v>
      </c>
      <c r="AE8256">
        <v>0.30339999999998202</v>
      </c>
      <c r="AF8256">
        <v>9.9931661876537792</v>
      </c>
      <c r="AG8256">
        <v>-1.1049523389939999</v>
      </c>
      <c r="AH8256">
        <v>29.4875599522898</v>
      </c>
      <c r="AI8256">
        <v>92.032530253339004</v>
      </c>
      <c r="AJ8256">
        <v>71.278772883320599</v>
      </c>
      <c r="AK8256">
        <v>31.1544616718922</v>
      </c>
      <c r="AL8256">
        <v>78.472999603384196</v>
      </c>
      <c r="AM8256">
        <v>83.311914546481802</v>
      </c>
      <c r="AN8256">
        <v>1.00000001158848</v>
      </c>
    </row>
    <row r="8257" spans="1:40" x14ac:dyDescent="0.25">
      <c r="A8257" t="str">
        <f>"20190304154957406"</f>
        <v>20190304154957406</v>
      </c>
      <c r="B8257" t="str">
        <f>"1551685797395372"</f>
        <v>1551685797395372</v>
      </c>
      <c r="C8257" t="s">
        <v>40</v>
      </c>
      <c r="D8257">
        <v>4.4112799999999996</v>
      </c>
      <c r="E8257">
        <v>0.57927839999999997</v>
      </c>
      <c r="F8257" t="s">
        <v>44</v>
      </c>
      <c r="G8257">
        <v>-140.52600000000001</v>
      </c>
      <c r="H8257" s="1">
        <v>-4.7592360000000003E-6</v>
      </c>
      <c r="I8257">
        <v>135.59880000000001</v>
      </c>
      <c r="J8257">
        <v>-172.49430000000001</v>
      </c>
      <c r="K8257">
        <v>1.105127</v>
      </c>
      <c r="L8257">
        <v>135.36959999999999</v>
      </c>
      <c r="M8257">
        <v>0.94580209999999998</v>
      </c>
      <c r="N8257">
        <v>-1.476948E-2</v>
      </c>
      <c r="O8257">
        <v>0.32440750000000002</v>
      </c>
      <c r="P8257">
        <v>0.95922350000000001</v>
      </c>
      <c r="Q8257">
        <v>0.18608359999999999</v>
      </c>
      <c r="R8257">
        <v>0.212751</v>
      </c>
      <c r="S8257">
        <v>3.1463619999999999</v>
      </c>
      <c r="T8257">
        <v>-0.108157</v>
      </c>
      <c r="U8257">
        <v>2.7740480000000001E-2</v>
      </c>
      <c r="V8257">
        <v>0.1128652</v>
      </c>
      <c r="W8257">
        <v>0.19886899999999999</v>
      </c>
      <c r="X8257">
        <v>0.97350530000000002</v>
      </c>
      <c r="Y8257">
        <v>0.31576969999999999</v>
      </c>
      <c r="Z8257">
        <v>-1.388879E-2</v>
      </c>
      <c r="AA8257">
        <v>0.94873419999999997</v>
      </c>
      <c r="AB8257">
        <v>25</v>
      </c>
      <c r="AC8257">
        <v>31.968299999999999</v>
      </c>
      <c r="AD8257">
        <v>-1.1051317592359999</v>
      </c>
      <c r="AE8257">
        <v>0.22920000000002</v>
      </c>
      <c r="AF8257">
        <v>10.1429654158121</v>
      </c>
      <c r="AG8257">
        <v>-1.1051317592359999</v>
      </c>
      <c r="AH8257">
        <v>30.277165143616401</v>
      </c>
      <c r="AI8257">
        <v>91.982217663177195</v>
      </c>
      <c r="AJ8257">
        <v>71.478954700271004</v>
      </c>
      <c r="AK8257">
        <v>31.950082828772999</v>
      </c>
      <c r="AL8257">
        <v>78.529170982657902</v>
      </c>
      <c r="AM8257">
        <v>83.386828711829196</v>
      </c>
      <c r="AN8257">
        <v>1.00000000083006</v>
      </c>
    </row>
    <row r="8258" spans="1:40" x14ac:dyDescent="0.25">
      <c r="A8258" t="str">
        <f>"20190304154957427"</f>
        <v>20190304154957427</v>
      </c>
      <c r="B8258" t="str">
        <f>"1551685797415868"</f>
        <v>1551685797415868</v>
      </c>
      <c r="C8258" t="s">
        <v>40</v>
      </c>
      <c r="D8258">
        <v>4.4049120000000004</v>
      </c>
      <c r="E8258">
        <v>0.57814500000000002</v>
      </c>
      <c r="F8258" t="s">
        <v>44</v>
      </c>
      <c r="G8258">
        <v>-141.67689999999999</v>
      </c>
      <c r="H8258" s="1">
        <v>-4.267761E-6</v>
      </c>
      <c r="I8258">
        <v>135.58609999999999</v>
      </c>
      <c r="J8258">
        <v>-172.25710000000001</v>
      </c>
      <c r="K8258">
        <v>1.10537</v>
      </c>
      <c r="L8258">
        <v>135.44139999999999</v>
      </c>
      <c r="M8258">
        <v>0.94834859999999999</v>
      </c>
      <c r="N8258">
        <v>-1.471096E-2</v>
      </c>
      <c r="O8258">
        <v>0.31688880000000003</v>
      </c>
      <c r="P8258">
        <v>0.96063730000000003</v>
      </c>
      <c r="Q8258">
        <v>0.1851546</v>
      </c>
      <c r="R8258">
        <v>0.2071083</v>
      </c>
      <c r="S8258">
        <v>3.144485</v>
      </c>
      <c r="T8258">
        <v>-0.112763</v>
      </c>
      <c r="U8258">
        <v>2.209473E-2</v>
      </c>
      <c r="V8258">
        <v>0.11078159999999999</v>
      </c>
      <c r="W8258">
        <v>0.1979815</v>
      </c>
      <c r="X8258">
        <v>0.9739255</v>
      </c>
      <c r="Y8258">
        <v>0.30990709999999999</v>
      </c>
      <c r="Z8258">
        <v>-1.431812E-2</v>
      </c>
      <c r="AA8258">
        <v>0.95065900000000003</v>
      </c>
      <c r="AB8258">
        <v>25</v>
      </c>
      <c r="AC8258">
        <v>30.580200000000001</v>
      </c>
      <c r="AD8258">
        <v>-1.1053742677609999</v>
      </c>
      <c r="AE8258">
        <v>0.1447</v>
      </c>
      <c r="AF8258">
        <v>9.5418637875411996</v>
      </c>
      <c r="AG8258">
        <v>-1.1053742677609999</v>
      </c>
      <c r="AH8258">
        <v>29.0117817787071</v>
      </c>
      <c r="AI8258">
        <v>92.072833071017001</v>
      </c>
      <c r="AJ8258">
        <v>71.794162819391303</v>
      </c>
      <c r="AK8258">
        <v>30.560636426408699</v>
      </c>
      <c r="AL8258">
        <v>78.5810532679413</v>
      </c>
      <c r="AM8258">
        <v>83.510639385792601</v>
      </c>
      <c r="AN8258">
        <v>1.00000005839552</v>
      </c>
    </row>
    <row r="8259" spans="1:40" x14ac:dyDescent="0.25">
      <c r="A8259" t="str">
        <f>"20190304154957451"</f>
        <v>20190304154957451</v>
      </c>
      <c r="B8259" t="str">
        <f>"1551685797445147"</f>
        <v>1551685797445147</v>
      </c>
      <c r="C8259" t="s">
        <v>40</v>
      </c>
      <c r="D8259">
        <v>4.3445019999999896</v>
      </c>
      <c r="E8259">
        <v>0.57613789999999998</v>
      </c>
      <c r="F8259" t="s">
        <v>44</v>
      </c>
      <c r="G8259">
        <v>-142.2713</v>
      </c>
      <c r="H8259" s="1">
        <v>-4.0181980000000003E-6</v>
      </c>
      <c r="I8259">
        <v>135.55549999999999</v>
      </c>
      <c r="J8259">
        <v>-172.00630000000001</v>
      </c>
      <c r="K8259">
        <v>1.105623</v>
      </c>
      <c r="L8259">
        <v>135.5155</v>
      </c>
      <c r="M8259">
        <v>0.95087639999999995</v>
      </c>
      <c r="N8259">
        <v>-1.465139E-2</v>
      </c>
      <c r="O8259">
        <v>0.30922379999999999</v>
      </c>
      <c r="P8259">
        <v>0.96182069999999997</v>
      </c>
      <c r="Q8259">
        <v>0.1851274</v>
      </c>
      <c r="R8259">
        <v>0.20156550000000001</v>
      </c>
      <c r="S8259">
        <v>3.1426539999999998</v>
      </c>
      <c r="T8259">
        <v>-0.1158484</v>
      </c>
      <c r="U8259">
        <v>1.196289E-2</v>
      </c>
      <c r="V8259">
        <v>0.1084089</v>
      </c>
      <c r="W8259">
        <v>0.1979978</v>
      </c>
      <c r="X8259">
        <v>0.97418910000000003</v>
      </c>
      <c r="Y8259">
        <v>0.3052762</v>
      </c>
      <c r="Z8259">
        <v>-1.4525130000000001E-2</v>
      </c>
      <c r="AA8259">
        <v>0.95215309999999997</v>
      </c>
      <c r="AB8259">
        <v>25</v>
      </c>
      <c r="AC8259">
        <v>29.734999999999999</v>
      </c>
      <c r="AD8259">
        <v>-1.1056270181979999</v>
      </c>
      <c r="AE8259">
        <v>3.9999999999992E-2</v>
      </c>
      <c r="AF8259">
        <v>9.1450743165733499</v>
      </c>
      <c r="AG8259">
        <v>-1.1056270181979999</v>
      </c>
      <c r="AH8259">
        <v>28.250658033719599</v>
      </c>
      <c r="AI8259">
        <v>92.132369100290703</v>
      </c>
      <c r="AJ8259">
        <v>72.062615425222802</v>
      </c>
      <c r="AK8259">
        <v>29.714549882123102</v>
      </c>
      <c r="AL8259">
        <v>78.580099931081605</v>
      </c>
      <c r="AM8259">
        <v>83.650183767828494</v>
      </c>
      <c r="AN8259">
        <v>1.0000000104814299</v>
      </c>
    </row>
    <row r="8260" spans="1:40" x14ac:dyDescent="0.25">
      <c r="A8260" t="str">
        <f>"20190304154957462"</f>
        <v>20190304154957462</v>
      </c>
      <c r="B8260" t="str">
        <f>"1551685797455885"</f>
        <v>1551685797455885</v>
      </c>
      <c r="C8260" t="s">
        <v>40</v>
      </c>
      <c r="D8260">
        <v>4.3585779999999996</v>
      </c>
      <c r="E8260">
        <v>0.57550019999999902</v>
      </c>
      <c r="F8260" t="s">
        <v>44</v>
      </c>
      <c r="G8260">
        <v>-142.0617</v>
      </c>
      <c r="H8260" s="1">
        <v>-4.0996919999999997E-6</v>
      </c>
      <c r="I8260">
        <v>135.60290000000001</v>
      </c>
      <c r="J8260">
        <v>-171.86930000000001</v>
      </c>
      <c r="K8260">
        <v>1.1057570000000001</v>
      </c>
      <c r="L8260">
        <v>135.55500000000001</v>
      </c>
      <c r="M8260">
        <v>0.95217940000000001</v>
      </c>
      <c r="N8260">
        <v>-1.462017E-2</v>
      </c>
      <c r="O8260">
        <v>0.3051895</v>
      </c>
      <c r="P8260">
        <v>0.96241569999999999</v>
      </c>
      <c r="Q8260">
        <v>0.18506839999999999</v>
      </c>
      <c r="R8260">
        <v>0.1987603</v>
      </c>
      <c r="S8260">
        <v>3.139465</v>
      </c>
      <c r="T8260">
        <v>-0.1159167</v>
      </c>
      <c r="U8260">
        <v>9.1705320000000003E-3</v>
      </c>
      <c r="V8260">
        <v>0.10705290000000001</v>
      </c>
      <c r="W8260">
        <v>0.19796230000000001</v>
      </c>
      <c r="X8260">
        <v>0.97434620000000005</v>
      </c>
      <c r="Y8260">
        <v>0.30208309999999999</v>
      </c>
      <c r="Z8260">
        <v>-1.4393609999999999E-2</v>
      </c>
      <c r="AA8260">
        <v>0.95317289999999999</v>
      </c>
      <c r="AB8260">
        <v>25</v>
      </c>
      <c r="AC8260">
        <v>29.807600000000001</v>
      </c>
      <c r="AD8260">
        <v>-1.105761099692</v>
      </c>
      <c r="AE8260">
        <v>4.7899999999998499E-2</v>
      </c>
      <c r="AF8260">
        <v>9.0398844223301307</v>
      </c>
      <c r="AG8260">
        <v>-1.105761099692</v>
      </c>
      <c r="AH8260">
        <v>28.360807908843999</v>
      </c>
      <c r="AI8260">
        <v>92.1274235731224</v>
      </c>
      <c r="AJ8260">
        <v>72.320544775388896</v>
      </c>
      <c r="AK8260">
        <v>29.787206032473499</v>
      </c>
      <c r="AL8260">
        <v>78.582174380932997</v>
      </c>
      <c r="AM8260">
        <v>83.729974849902305</v>
      </c>
      <c r="AN8260">
        <v>0.99999995653706897</v>
      </c>
    </row>
    <row r="8261" spans="1:40" x14ac:dyDescent="0.25">
      <c r="A8261" t="str">
        <f>"20190304154957474"</f>
        <v>20190304154957474</v>
      </c>
      <c r="B8261" t="str">
        <f>"1551685797465644"</f>
        <v>1551685797465644</v>
      </c>
      <c r="C8261" t="s">
        <v>40</v>
      </c>
      <c r="D8261">
        <v>4.3292539999999997</v>
      </c>
      <c r="E8261">
        <v>0.57435630000000004</v>
      </c>
      <c r="F8261" t="s">
        <v>44</v>
      </c>
      <c r="G8261">
        <v>-142.02979999999999</v>
      </c>
      <c r="H8261" s="1">
        <v>-4.1133059999999998E-6</v>
      </c>
      <c r="I8261">
        <v>135.60329999999999</v>
      </c>
      <c r="J8261">
        <v>-171.7337</v>
      </c>
      <c r="K8261">
        <v>1.105891</v>
      </c>
      <c r="L8261">
        <v>135.59379999999999</v>
      </c>
      <c r="M8261">
        <v>0.95343440000000002</v>
      </c>
      <c r="N8261">
        <v>-1.458949E-2</v>
      </c>
      <c r="O8261">
        <v>0.30124759999999901</v>
      </c>
      <c r="P8261">
        <v>0.96300889999999995</v>
      </c>
      <c r="Q8261">
        <v>0.18513160000000001</v>
      </c>
      <c r="R8261">
        <v>0.19580710000000001</v>
      </c>
      <c r="S8261">
        <v>3.1384889999999999</v>
      </c>
      <c r="T8261">
        <v>-0.11630269999999999</v>
      </c>
      <c r="U8261">
        <v>5.0811770000000001E-3</v>
      </c>
      <c r="V8261">
        <v>0.1059412</v>
      </c>
      <c r="W8261">
        <v>0.19804459999999999</v>
      </c>
      <c r="X8261">
        <v>0.97445099999999996</v>
      </c>
      <c r="Y8261">
        <v>0.29937999999999998</v>
      </c>
      <c r="Z8261">
        <v>-1.430936E-2</v>
      </c>
      <c r="AA8261">
        <v>0.95402659999999995</v>
      </c>
      <c r="AB8261">
        <v>25</v>
      </c>
      <c r="AC8261">
        <v>29.703900000000001</v>
      </c>
      <c r="AD8261">
        <v>-1.105895113306</v>
      </c>
      <c r="AE8261">
        <v>9.5000000000027198E-3</v>
      </c>
      <c r="AF8261">
        <v>8.9277469880571498</v>
      </c>
      <c r="AG8261">
        <v>-1.105895113306</v>
      </c>
      <c r="AH8261">
        <v>28.287385306574699</v>
      </c>
      <c r="AI8261">
        <v>92.135126179313204</v>
      </c>
      <c r="AJ8261">
        <v>72.483846618180706</v>
      </c>
      <c r="AK8261">
        <v>29.683393299402599</v>
      </c>
      <c r="AL8261">
        <v>78.577363923021295</v>
      </c>
      <c r="AM8261">
        <v>83.795238025108901</v>
      </c>
      <c r="AN8261">
        <v>0.99999997642379901</v>
      </c>
    </row>
    <row r="8262" spans="1:40" x14ac:dyDescent="0.25">
      <c r="A8262" t="str">
        <f>"20190304154957487"</f>
        <v>20190304154957487</v>
      </c>
      <c r="B8262" t="str">
        <f>"1551685797485671"</f>
        <v>1551685797485671</v>
      </c>
      <c r="C8262" t="s">
        <v>40</v>
      </c>
      <c r="D8262">
        <v>4.2472690000000002</v>
      </c>
      <c r="E8262">
        <v>0.57280089999999995</v>
      </c>
      <c r="F8262" t="s">
        <v>44</v>
      </c>
      <c r="G8262">
        <v>-142.49369999999999</v>
      </c>
      <c r="H8262" s="1">
        <v>-3.9079859999999997E-6</v>
      </c>
      <c r="I8262">
        <v>135.63890000000001</v>
      </c>
      <c r="J8262">
        <v>-171.5917</v>
      </c>
      <c r="K8262">
        <v>1.106028</v>
      </c>
      <c r="L8262">
        <v>135.63390000000001</v>
      </c>
      <c r="M8262">
        <v>0.95469669999999895</v>
      </c>
      <c r="N8262">
        <v>-1.455585E-2</v>
      </c>
      <c r="O8262">
        <v>0.29722459999999901</v>
      </c>
      <c r="P8262">
        <v>0.963642</v>
      </c>
      <c r="Q8262">
        <v>0.18503120000000001</v>
      </c>
      <c r="R8262">
        <v>0.1927634</v>
      </c>
      <c r="S8262">
        <v>3.137054</v>
      </c>
      <c r="T8262">
        <v>-0.1186473</v>
      </c>
      <c r="U8262">
        <v>4.8370359999999899E-3</v>
      </c>
      <c r="V8262">
        <v>0.1048471</v>
      </c>
      <c r="W8262">
        <v>0.19796050000000001</v>
      </c>
      <c r="X8262">
        <v>0.97458639999999996</v>
      </c>
      <c r="Y8262">
        <v>0.2954174</v>
      </c>
      <c r="Z8262">
        <v>-1.4466619999999999E-2</v>
      </c>
      <c r="AA8262">
        <v>0.95525879999999996</v>
      </c>
      <c r="AB8262">
        <v>25</v>
      </c>
      <c r="AC8262">
        <v>29.097999999999999</v>
      </c>
      <c r="AD8262">
        <v>-1.1060319079859999</v>
      </c>
      <c r="AE8262">
        <v>4.9999999999954499E-3</v>
      </c>
      <c r="AF8262">
        <v>8.6323112340028008</v>
      </c>
      <c r="AG8262">
        <v>-1.1060319079859999</v>
      </c>
      <c r="AH8262">
        <v>27.744107675614799</v>
      </c>
      <c r="AI8262">
        <v>92.179939948908299</v>
      </c>
      <c r="AJ8262">
        <v>72.716974476614098</v>
      </c>
      <c r="AK8262">
        <v>29.077063375421599</v>
      </c>
      <c r="AL8262">
        <v>78.5822796645773</v>
      </c>
      <c r="AM8262">
        <v>83.8596717573257</v>
      </c>
      <c r="AN8262">
        <v>0.999999962501809</v>
      </c>
    </row>
    <row r="8263" spans="1:40" x14ac:dyDescent="0.25">
      <c r="A8263" t="str">
        <f>"20190304154957506"</f>
        <v>20190304154957506</v>
      </c>
      <c r="B8263" t="str">
        <f>"1551685797495431"</f>
        <v>1551685797495431</v>
      </c>
      <c r="C8263" t="s">
        <v>40</v>
      </c>
      <c r="D8263">
        <v>3.9689160000000001</v>
      </c>
      <c r="E8263">
        <v>0.57280089999999995</v>
      </c>
      <c r="F8263" t="s">
        <v>44</v>
      </c>
      <c r="G8263">
        <v>-142.8288</v>
      </c>
      <c r="H8263" s="1">
        <v>-3.7532450000000001E-6</v>
      </c>
      <c r="I8263">
        <v>135.70079999999999</v>
      </c>
      <c r="J8263">
        <v>-171.39400000000001</v>
      </c>
      <c r="K8263">
        <v>1.106193</v>
      </c>
      <c r="L8263">
        <v>135.68870000000001</v>
      </c>
      <c r="M8263">
        <v>0.95637640000000002</v>
      </c>
      <c r="N8263">
        <v>-1.450747E-2</v>
      </c>
      <c r="O8263">
        <v>0.29177700000000001</v>
      </c>
      <c r="P8263">
        <v>0.96445119999999895</v>
      </c>
      <c r="Q8263">
        <v>0.1837232</v>
      </c>
      <c r="R8263">
        <v>0.1899468</v>
      </c>
      <c r="S8263">
        <v>3.1348720000000001</v>
      </c>
      <c r="T8263">
        <v>-0.1205466</v>
      </c>
      <c r="U8263">
        <v>7.2937009999999997E-3</v>
      </c>
      <c r="V8263">
        <v>0.10210279999999999</v>
      </c>
      <c r="W8263">
        <v>0.1966899</v>
      </c>
      <c r="X8263">
        <v>0.97513490000000003</v>
      </c>
      <c r="Y8263">
        <v>0.28921010000000003</v>
      </c>
      <c r="Z8263">
        <v>-1.4467839999999999E-2</v>
      </c>
      <c r="AA8263">
        <v>0.95715629999999996</v>
      </c>
      <c r="AB8263">
        <v>25</v>
      </c>
      <c r="AC8263">
        <v>28.565200000000001</v>
      </c>
      <c r="AD8263">
        <v>-1.1061967532450001</v>
      </c>
      <c r="AE8263">
        <v>1.2099999999975301E-2</v>
      </c>
      <c r="AF8263">
        <v>8.3115074244177904</v>
      </c>
      <c r="AG8263">
        <v>-1.1061967532450001</v>
      </c>
      <c r="AH8263">
        <v>27.284570612737799</v>
      </c>
      <c r="AI8263">
        <v>92.221011971505206</v>
      </c>
      <c r="AJ8263">
        <v>73.058058960893703</v>
      </c>
      <c r="AK8263">
        <v>28.543871854471998</v>
      </c>
      <c r="AL8263">
        <v>78.656540055142202</v>
      </c>
      <c r="AM8263">
        <v>84.0225499296523</v>
      </c>
      <c r="AN8263">
        <v>0.99999998586393002</v>
      </c>
    </row>
    <row r="8264" spans="1:40" x14ac:dyDescent="0.25">
      <c r="A8264" t="str">
        <f>"20190304154957518"</f>
        <v>20190304154957518</v>
      </c>
      <c r="B8264" t="str">
        <f>"1551685797515927"</f>
        <v>1551685797515927</v>
      </c>
      <c r="C8264" t="s">
        <v>40</v>
      </c>
      <c r="D8264">
        <v>3.8654799999999998</v>
      </c>
      <c r="E8264">
        <v>0.57636940000000003</v>
      </c>
      <c r="F8264" t="s">
        <v>44</v>
      </c>
      <c r="G8264">
        <v>-143.5273</v>
      </c>
      <c r="H8264" s="1">
        <v>-3.4593359999999998E-6</v>
      </c>
      <c r="I8264">
        <v>135.66839999999999</v>
      </c>
      <c r="J8264">
        <v>-171.2542</v>
      </c>
      <c r="K8264">
        <v>1.106311</v>
      </c>
      <c r="L8264">
        <v>135.7268</v>
      </c>
      <c r="M8264">
        <v>0.95751229999999998</v>
      </c>
      <c r="N8264">
        <v>-1.447357E-2</v>
      </c>
      <c r="O8264">
        <v>0.28802939999999999</v>
      </c>
      <c r="P8264">
        <v>0.96502849999999996</v>
      </c>
      <c r="Q8264">
        <v>0.18335979999999999</v>
      </c>
      <c r="R8264">
        <v>0.1873485</v>
      </c>
      <c r="S8264">
        <v>3.134735</v>
      </c>
      <c r="T8264">
        <v>-0.1244364</v>
      </c>
      <c r="U8264">
        <v>-2.27356E-3</v>
      </c>
      <c r="V8264">
        <v>0.1008651</v>
      </c>
      <c r="W8264">
        <v>0.19633919999999999</v>
      </c>
      <c r="X8264">
        <v>0.97533429999999999</v>
      </c>
      <c r="Y8264">
        <v>0.28835919999999998</v>
      </c>
      <c r="Z8264">
        <v>-1.490175E-2</v>
      </c>
      <c r="AA8264">
        <v>0.95740630000000004</v>
      </c>
      <c r="AB8264">
        <v>25</v>
      </c>
      <c r="AC8264">
        <v>27.726900000000001</v>
      </c>
      <c r="AD8264">
        <v>-1.1063144593359999</v>
      </c>
      <c r="AE8264">
        <v>-5.8400000000005899E-2</v>
      </c>
      <c r="AF8264">
        <v>8.0301384029460898</v>
      </c>
      <c r="AG8264">
        <v>-1.1063144593359999</v>
      </c>
      <c r="AH8264">
        <v>26.4926261679744</v>
      </c>
      <c r="AI8264">
        <v>92.288541322457903</v>
      </c>
      <c r="AJ8264">
        <v>73.1375012997309</v>
      </c>
      <c r="AK8264">
        <v>27.7049868386441</v>
      </c>
      <c r="AL8264">
        <v>78.677032567078101</v>
      </c>
      <c r="AM8264">
        <v>84.095692765489702</v>
      </c>
      <c r="AN8264">
        <v>0.99999992330556697</v>
      </c>
    </row>
    <row r="8265" spans="1:40" x14ac:dyDescent="0.25">
      <c r="A8265" t="str">
        <f>"20190304154957532"</f>
        <v>20190304154957532</v>
      </c>
      <c r="B8265" t="str">
        <f>"1551685797525688"</f>
        <v>1551685797525688</v>
      </c>
      <c r="C8265" t="s">
        <v>40</v>
      </c>
      <c r="D8265">
        <v>3.940318</v>
      </c>
      <c r="E8265">
        <v>0.57407710000000001</v>
      </c>
      <c r="F8265" t="s">
        <v>42</v>
      </c>
      <c r="G8265">
        <v>0</v>
      </c>
      <c r="H8265">
        <v>0</v>
      </c>
      <c r="I8265">
        <v>0</v>
      </c>
      <c r="J8265">
        <v>-171.1026</v>
      </c>
      <c r="K8265">
        <v>1.1064400000000001</v>
      </c>
      <c r="L8265">
        <v>135.76779999999999</v>
      </c>
      <c r="M8265">
        <v>0.95870580000000005</v>
      </c>
      <c r="N8265">
        <v>-1.443762E-2</v>
      </c>
      <c r="O8265">
        <v>0.28403299999999998</v>
      </c>
      <c r="P8265">
        <v>0.96550860000000005</v>
      </c>
      <c r="Q8265">
        <v>0.1831614</v>
      </c>
      <c r="R8265">
        <v>0.1850541</v>
      </c>
      <c r="S8265">
        <v>3.1095120000000001</v>
      </c>
      <c r="T8265">
        <v>3.4860490000000001E-2</v>
      </c>
      <c r="U8265">
        <v>-3.8223269999999997E-2</v>
      </c>
      <c r="V8265">
        <v>9.9058309999999997E-2</v>
      </c>
      <c r="W8265">
        <v>0.19615920000000001</v>
      </c>
      <c r="X8265">
        <v>0.97555570000000003</v>
      </c>
      <c r="Y8265">
        <v>0.2957381</v>
      </c>
      <c r="Z8265">
        <v>6.8164019999999896E-3</v>
      </c>
      <c r="AA8265">
        <v>0.95524469999999995</v>
      </c>
      <c r="AB8265">
        <v>25</v>
      </c>
      <c r="AC8265">
        <v>3.1095120000000001</v>
      </c>
      <c r="AD8265">
        <v>3.4860490000000001E-2</v>
      </c>
      <c r="AE8265">
        <v>-3.8223269999999997E-2</v>
      </c>
      <c r="AF8265">
        <v>0.91982918498928101</v>
      </c>
      <c r="AG8265">
        <v>3.4860490000000001E-2</v>
      </c>
      <c r="AH8265">
        <v>2.9701868825883402</v>
      </c>
      <c r="AI8265">
        <v>89.357656327349503</v>
      </c>
      <c r="AJ8265">
        <v>72.7929103267561</v>
      </c>
      <c r="AK8265">
        <v>3.1095515915998102</v>
      </c>
      <c r="AL8265">
        <v>78.687550666971106</v>
      </c>
      <c r="AM8265">
        <v>84.202036031413499</v>
      </c>
      <c r="AN8265">
        <v>0.99999995216359105</v>
      </c>
    </row>
    <row r="8266" spans="1:40" x14ac:dyDescent="0.25">
      <c r="A8266" t="str">
        <f>"20190304154957545"</f>
        <v>20190304154957545</v>
      </c>
      <c r="B8266" t="str">
        <f>"1551685797535448"</f>
        <v>1551685797535448</v>
      </c>
      <c r="C8266" t="s">
        <v>40</v>
      </c>
      <c r="D8266">
        <v>3.9483760000000001</v>
      </c>
      <c r="E8266">
        <v>0.57282069999999996</v>
      </c>
      <c r="F8266" t="s">
        <v>42</v>
      </c>
      <c r="G8266">
        <v>0</v>
      </c>
      <c r="H8266">
        <v>0</v>
      </c>
      <c r="I8266">
        <v>0</v>
      </c>
      <c r="J8266">
        <v>-170.959</v>
      </c>
      <c r="K8266">
        <v>1.1065510000000001</v>
      </c>
      <c r="L8266">
        <v>135.8058</v>
      </c>
      <c r="M8266">
        <v>0.95978240000000004</v>
      </c>
      <c r="N8266">
        <v>-1.4405050000000001E-2</v>
      </c>
      <c r="O8266">
        <v>0.28037529999999999</v>
      </c>
      <c r="P8266">
        <v>0.96587500000000004</v>
      </c>
      <c r="Q8266">
        <v>0.18328639999999999</v>
      </c>
      <c r="R8266">
        <v>0.1830077</v>
      </c>
      <c r="S8266">
        <v>3.1045069999999999</v>
      </c>
      <c r="T8266">
        <v>4.1912320000000003E-2</v>
      </c>
      <c r="U8266">
        <v>-2.7633669999999999E-2</v>
      </c>
      <c r="V8266">
        <v>9.7340830000000003E-2</v>
      </c>
      <c r="W8266">
        <v>0.1963</v>
      </c>
      <c r="X8266">
        <v>0.97570029999999996</v>
      </c>
      <c r="Y8266">
        <v>0.28882960000000002</v>
      </c>
      <c r="Z8266">
        <v>7.6951379999999998E-3</v>
      </c>
      <c r="AA8266">
        <v>0.95734960000000002</v>
      </c>
      <c r="AB8266">
        <v>25</v>
      </c>
      <c r="AC8266">
        <v>3.1045069999999999</v>
      </c>
      <c r="AD8266">
        <v>4.1912320000000003E-2</v>
      </c>
      <c r="AE8266">
        <v>-2.7633669999999999E-2</v>
      </c>
      <c r="AF8266">
        <v>0.89687898102056496</v>
      </c>
      <c r="AG8266">
        <v>4.1912320000000003E-2</v>
      </c>
      <c r="AH8266">
        <v>2.9716700862035701</v>
      </c>
      <c r="AI8266">
        <v>89.226416428954195</v>
      </c>
      <c r="AJ8266">
        <v>73.205674259451598</v>
      </c>
      <c r="AK8266">
        <v>3.10434721808006</v>
      </c>
      <c r="AL8266">
        <v>78.679324031034497</v>
      </c>
      <c r="AM8266">
        <v>84.302733160683303</v>
      </c>
      <c r="AN8266">
        <v>1.00000000130258</v>
      </c>
    </row>
    <row r="8267" spans="1:40" x14ac:dyDescent="0.25">
      <c r="A8267" t="str">
        <f>"20190304154957557"</f>
        <v>20190304154957557</v>
      </c>
      <c r="B8267" t="str">
        <f>"1551685797555943"</f>
        <v>1551685797555943</v>
      </c>
      <c r="C8267" t="s">
        <v>40</v>
      </c>
      <c r="D8267">
        <v>3.9114360000000001</v>
      </c>
      <c r="E8267">
        <v>0.57054289999999996</v>
      </c>
      <c r="F8267" t="s">
        <v>42</v>
      </c>
      <c r="G8267">
        <v>0</v>
      </c>
      <c r="H8267">
        <v>0</v>
      </c>
      <c r="I8267">
        <v>0</v>
      </c>
      <c r="J8267">
        <v>-170.8272</v>
      </c>
      <c r="K8267">
        <v>1.1066499999999999</v>
      </c>
      <c r="L8267">
        <v>135.84039999999999</v>
      </c>
      <c r="M8267">
        <v>0.96074250000000005</v>
      </c>
      <c r="N8267">
        <v>-1.437486E-2</v>
      </c>
      <c r="O8267">
        <v>0.27706920000000002</v>
      </c>
      <c r="P8267">
        <v>0.96619339999999998</v>
      </c>
      <c r="Q8267">
        <v>0.18338560000000001</v>
      </c>
      <c r="R8267">
        <v>0.1812185</v>
      </c>
      <c r="S8267">
        <v>3.1018680000000001</v>
      </c>
      <c r="T8267">
        <v>4.5904519999999997E-2</v>
      </c>
      <c r="U8267">
        <v>-2.4246219999999999E-2</v>
      </c>
      <c r="V8267">
        <v>9.5731789999999997E-2</v>
      </c>
      <c r="W8267">
        <v>0.19641220000000001</v>
      </c>
      <c r="X8267">
        <v>0.97583690000000001</v>
      </c>
      <c r="Y8267">
        <v>0.28448089999999998</v>
      </c>
      <c r="Z8267">
        <v>8.1415080000000004E-3</v>
      </c>
      <c r="AA8267">
        <v>0.95864709999999997</v>
      </c>
      <c r="AB8267">
        <v>25</v>
      </c>
      <c r="AC8267">
        <v>3.1018680000000001</v>
      </c>
      <c r="AD8267">
        <v>4.5904519999999997E-2</v>
      </c>
      <c r="AE8267">
        <v>-2.4246219999999999E-2</v>
      </c>
      <c r="AF8267">
        <v>0.88262432615489295</v>
      </c>
      <c r="AG8267">
        <v>4.5904519999999997E-2</v>
      </c>
      <c r="AH8267">
        <v>2.9730345106636999</v>
      </c>
      <c r="AI8267">
        <v>89.151982356745407</v>
      </c>
      <c r="AJ8267">
        <v>73.465078798831001</v>
      </c>
      <c r="AK8267">
        <v>3.1016233052506799</v>
      </c>
      <c r="AL8267">
        <v>78.672767701760193</v>
      </c>
      <c r="AM8267">
        <v>84.397083789523094</v>
      </c>
      <c r="AN8267">
        <v>0.99999999166352604</v>
      </c>
    </row>
    <row r="8268" spans="1:40" x14ac:dyDescent="0.25">
      <c r="A8268" t="str">
        <f>"20190304154957569"</f>
        <v>20190304154957569</v>
      </c>
      <c r="B8268" t="str">
        <f>"1551685797565704"</f>
        <v>1551685797565704</v>
      </c>
      <c r="C8268" t="s">
        <v>40</v>
      </c>
      <c r="D8268">
        <v>3.9043380000000001</v>
      </c>
      <c r="E8268">
        <v>0.56966039999999996</v>
      </c>
      <c r="F8268" t="s">
        <v>42</v>
      </c>
      <c r="G8268">
        <v>0</v>
      </c>
      <c r="H8268">
        <v>0</v>
      </c>
      <c r="I8268">
        <v>0</v>
      </c>
      <c r="J8268">
        <v>-170.6883</v>
      </c>
      <c r="K8268">
        <v>1.1067549999999999</v>
      </c>
      <c r="L8268">
        <v>135.87649999999999</v>
      </c>
      <c r="M8268">
        <v>0.96172539999999995</v>
      </c>
      <c r="N8268">
        <v>-1.434262E-2</v>
      </c>
      <c r="O8268">
        <v>0.27363939999999998</v>
      </c>
      <c r="P8268">
        <v>0.96655409999999997</v>
      </c>
      <c r="Q8268">
        <v>0.1832165</v>
      </c>
      <c r="R8268">
        <v>0.1794577</v>
      </c>
      <c r="S8268">
        <v>3.098541</v>
      </c>
      <c r="T8268">
        <v>4.5712469999999998E-2</v>
      </c>
      <c r="U8268">
        <v>-1.2008670000000001E-2</v>
      </c>
      <c r="V8268">
        <v>9.3981460000000003E-2</v>
      </c>
      <c r="W8268">
        <v>0.19625600000000001</v>
      </c>
      <c r="X8268">
        <v>0.97603850000000003</v>
      </c>
      <c r="Y8268">
        <v>0.27727649999999998</v>
      </c>
      <c r="Z8268">
        <v>8.0167869999999992E-3</v>
      </c>
      <c r="AA8268">
        <v>0.96075670000000002</v>
      </c>
      <c r="AB8268">
        <v>25</v>
      </c>
      <c r="AC8268">
        <v>3.098541</v>
      </c>
      <c r="AD8268">
        <v>4.5712469999999998E-2</v>
      </c>
      <c r="AE8268">
        <v>-1.2008670000000001E-2</v>
      </c>
      <c r="AF8268">
        <v>0.85933333434262205</v>
      </c>
      <c r="AG8268">
        <v>4.5712469999999998E-2</v>
      </c>
      <c r="AH8268">
        <v>2.9763180040937098</v>
      </c>
      <c r="AI8268">
        <v>89.154604745498304</v>
      </c>
      <c r="AJ8268">
        <v>73.895321504318304</v>
      </c>
      <c r="AK8268">
        <v>3.0982272787706</v>
      </c>
      <c r="AL8268">
        <v>78.681895533433703</v>
      </c>
      <c r="AM8268">
        <v>84.500020832233503</v>
      </c>
      <c r="AN8268">
        <v>1.0000000429209801</v>
      </c>
    </row>
    <row r="8269" spans="1:40" x14ac:dyDescent="0.25">
      <c r="A8269" t="str">
        <f>"20190304154957584"</f>
        <v>20190304154957584</v>
      </c>
      <c r="B8269" t="str">
        <f>"1551685797575463"</f>
        <v>1551685797575463</v>
      </c>
      <c r="C8269" t="s">
        <v>40</v>
      </c>
      <c r="D8269">
        <v>3.895</v>
      </c>
      <c r="E8269">
        <v>0.56892240000000005</v>
      </c>
      <c r="F8269" t="s">
        <v>42</v>
      </c>
      <c r="G8269">
        <v>0</v>
      </c>
      <c r="H8269">
        <v>0</v>
      </c>
      <c r="I8269">
        <v>0</v>
      </c>
      <c r="J8269">
        <v>-170.53819999999999</v>
      </c>
      <c r="K8269">
        <v>1.1068629999999999</v>
      </c>
      <c r="L8269">
        <v>135.91480000000001</v>
      </c>
      <c r="M8269">
        <v>0.96274210000000005</v>
      </c>
      <c r="N8269">
        <v>-1.4306330000000001E-2</v>
      </c>
      <c r="O8269">
        <v>0.27004230000000001</v>
      </c>
      <c r="P8269">
        <v>0.96666929999999995</v>
      </c>
      <c r="Q8269">
        <v>0.18316060000000001</v>
      </c>
      <c r="R8269">
        <v>0.17889269999999999</v>
      </c>
      <c r="S8269">
        <v>3.097153</v>
      </c>
      <c r="T8269">
        <v>4.5245290000000001E-2</v>
      </c>
      <c r="U8269">
        <v>-1.039124E-2</v>
      </c>
      <c r="V8269">
        <v>9.0846049999999998E-2</v>
      </c>
      <c r="W8269">
        <v>0.1962247</v>
      </c>
      <c r="X8269">
        <v>0.97634160000000003</v>
      </c>
      <c r="Y8269">
        <v>0.27318530000000002</v>
      </c>
      <c r="Z8269">
        <v>7.8481509999999994E-3</v>
      </c>
      <c r="AA8269">
        <v>0.96192940000000005</v>
      </c>
      <c r="AB8269">
        <v>25</v>
      </c>
      <c r="AC8269">
        <v>3.097153</v>
      </c>
      <c r="AD8269">
        <v>4.5245290000000001E-2</v>
      </c>
      <c r="AE8269">
        <v>-1.039124E-2</v>
      </c>
      <c r="AF8269">
        <v>0.84627248343357597</v>
      </c>
      <c r="AG8269">
        <v>4.5245290000000001E-2</v>
      </c>
      <c r="AH8269">
        <v>2.97862293766718</v>
      </c>
      <c r="AI8269">
        <v>89.162870449551903</v>
      </c>
      <c r="AJ8269">
        <v>74.139338227586904</v>
      </c>
      <c r="AK8269">
        <v>3.0968401407371799</v>
      </c>
      <c r="AL8269">
        <v>78.683724291071897</v>
      </c>
      <c r="AM8269">
        <v>84.684082689372701</v>
      </c>
      <c r="AN8269">
        <v>1.0000000287906201</v>
      </c>
    </row>
    <row r="8270" spans="1:40" x14ac:dyDescent="0.25">
      <c r="A8270" t="str">
        <f>"20190304154957598"</f>
        <v>20190304154957598</v>
      </c>
      <c r="B8270" t="str">
        <f>"1551685797595960"</f>
        <v>1551685797595960</v>
      </c>
      <c r="C8270" t="s">
        <v>40</v>
      </c>
      <c r="D8270">
        <v>3.865599</v>
      </c>
      <c r="E8270">
        <v>0.56849969999999905</v>
      </c>
      <c r="F8270" t="s">
        <v>42</v>
      </c>
      <c r="G8270">
        <v>0</v>
      </c>
      <c r="H8270">
        <v>0</v>
      </c>
      <c r="I8270">
        <v>0</v>
      </c>
      <c r="J8270">
        <v>-170.37970000000001</v>
      </c>
      <c r="K8270">
        <v>1.106978</v>
      </c>
      <c r="L8270">
        <v>135.95480000000001</v>
      </c>
      <c r="M8270">
        <v>0.96377840000000004</v>
      </c>
      <c r="N8270">
        <v>-1.426856E-2</v>
      </c>
      <c r="O8270">
        <v>0.2663218</v>
      </c>
      <c r="P8270">
        <v>0.96706270000000005</v>
      </c>
      <c r="Q8270">
        <v>0.18323</v>
      </c>
      <c r="R8270">
        <v>0.17668110000000001</v>
      </c>
      <c r="S8270">
        <v>3.0960999999999999</v>
      </c>
      <c r="T8270">
        <v>4.4815180000000003E-2</v>
      </c>
      <c r="U8270">
        <v>-6.2103269999999999E-3</v>
      </c>
      <c r="V8270">
        <v>8.9247140000000003E-2</v>
      </c>
      <c r="W8270">
        <v>0.196299</v>
      </c>
      <c r="X8270">
        <v>0.97647410000000001</v>
      </c>
      <c r="Y8270">
        <v>0.2681714</v>
      </c>
      <c r="Z8270">
        <v>7.6814930000000002E-3</v>
      </c>
      <c r="AA8270">
        <v>0.96334059999999999</v>
      </c>
      <c r="AB8270">
        <v>25</v>
      </c>
      <c r="AC8270">
        <v>3.0960999999999999</v>
      </c>
      <c r="AD8270">
        <v>4.4815180000000003E-2</v>
      </c>
      <c r="AE8270">
        <v>-6.2103269999999999E-3</v>
      </c>
      <c r="AF8270">
        <v>0.830454994507971</v>
      </c>
      <c r="AG8270">
        <v>4.4815180000000003E-2</v>
      </c>
      <c r="AH8270">
        <v>2.9819796682017898</v>
      </c>
      <c r="AI8270">
        <v>89.170545502661597</v>
      </c>
      <c r="AJ8270">
        <v>74.4379498056513</v>
      </c>
      <c r="AK8270">
        <v>3.0957820724060201</v>
      </c>
      <c r="AL8270">
        <v>78.679382548358603</v>
      </c>
      <c r="AM8270">
        <v>84.777826731242996</v>
      </c>
      <c r="AN8270">
        <v>1.0000000086849901</v>
      </c>
    </row>
    <row r="8271" spans="1:40" x14ac:dyDescent="0.25">
      <c r="A8271" t="str">
        <f>"20190304154957617"</f>
        <v>20190304154957617</v>
      </c>
      <c r="B8271" t="str">
        <f>"1551685797615479"</f>
        <v>1551685797615479</v>
      </c>
      <c r="C8271" t="s">
        <v>40</v>
      </c>
      <c r="D8271">
        <v>3.9175870000000002</v>
      </c>
      <c r="E8271">
        <v>0.567658199999999</v>
      </c>
      <c r="F8271" t="s">
        <v>42</v>
      </c>
      <c r="G8271">
        <v>0</v>
      </c>
      <c r="H8271">
        <v>0</v>
      </c>
      <c r="I8271">
        <v>0</v>
      </c>
      <c r="J8271">
        <v>-170.16890000000001</v>
      </c>
      <c r="K8271">
        <v>1.107127</v>
      </c>
      <c r="L8271">
        <v>136.00720000000001</v>
      </c>
      <c r="M8271">
        <v>0.96509290000000003</v>
      </c>
      <c r="N8271">
        <v>-1.4218440000000001E-2</v>
      </c>
      <c r="O8271">
        <v>0.26152160000000002</v>
      </c>
      <c r="P8271">
        <v>0.96739900000000001</v>
      </c>
      <c r="Q8271">
        <v>0.1832327</v>
      </c>
      <c r="R8271">
        <v>0.17482809999999999</v>
      </c>
      <c r="S8271">
        <v>3.0942539999999998</v>
      </c>
      <c r="T8271">
        <v>5.1597360000000002E-2</v>
      </c>
      <c r="U8271">
        <v>-1.00708E-2</v>
      </c>
      <c r="V8271">
        <v>8.6177149999999994E-2</v>
      </c>
      <c r="W8271">
        <v>0.1963182</v>
      </c>
      <c r="X8271">
        <v>0.976746</v>
      </c>
      <c r="Y8271">
        <v>0.26455790000000001</v>
      </c>
      <c r="Z8271">
        <v>8.3978279999999995E-3</v>
      </c>
      <c r="AA8271">
        <v>0.9643332</v>
      </c>
      <c r="AB8271">
        <v>25</v>
      </c>
      <c r="AC8271">
        <v>3.0942539999999998</v>
      </c>
      <c r="AD8271">
        <v>5.1597360000000002E-2</v>
      </c>
      <c r="AE8271">
        <v>-1.00708E-2</v>
      </c>
      <c r="AF8271">
        <v>0.81878862720909795</v>
      </c>
      <c r="AG8271">
        <v>5.1597360000000002E-2</v>
      </c>
      <c r="AH8271">
        <v>2.9830809687917101</v>
      </c>
      <c r="AI8271">
        <v>89.044408397146498</v>
      </c>
      <c r="AJ8271">
        <v>74.651584331786594</v>
      </c>
      <c r="AK8271">
        <v>3.0938405210956201</v>
      </c>
      <c r="AL8271">
        <v>78.678261029392303</v>
      </c>
      <c r="AM8271">
        <v>84.957916831554599</v>
      </c>
      <c r="AN8271">
        <v>1.00000004267468</v>
      </c>
    </row>
    <row r="8272" spans="1:40" x14ac:dyDescent="0.25">
      <c r="A8272" t="str">
        <f>"20190304154957640"</f>
        <v>20190304154957640</v>
      </c>
      <c r="B8272" t="str">
        <f>"1551685797635975"</f>
        <v>1551685797635975</v>
      </c>
      <c r="C8272" t="s">
        <v>40</v>
      </c>
      <c r="D8272">
        <v>3.8528470000000001</v>
      </c>
      <c r="E8272">
        <v>0.56644059999999996</v>
      </c>
      <c r="F8272" t="s">
        <v>42</v>
      </c>
      <c r="G8272">
        <v>0</v>
      </c>
      <c r="H8272">
        <v>0</v>
      </c>
      <c r="I8272">
        <v>0</v>
      </c>
      <c r="J8272">
        <v>-169.9196</v>
      </c>
      <c r="K8272">
        <v>1.107291</v>
      </c>
      <c r="L8272">
        <v>136.06790000000001</v>
      </c>
      <c r="M8272">
        <v>0.96655999999999997</v>
      </c>
      <c r="N8272">
        <v>-1.415726E-2</v>
      </c>
      <c r="O8272">
        <v>0.25604959999999999</v>
      </c>
      <c r="P8272">
        <v>0.96790430000000005</v>
      </c>
      <c r="Q8272">
        <v>0.1831439</v>
      </c>
      <c r="R8272">
        <v>0.1721047</v>
      </c>
      <c r="S8272">
        <v>3.0932620000000002</v>
      </c>
      <c r="T8272">
        <v>5.0610179999999998E-2</v>
      </c>
      <c r="U8272">
        <v>-9.7808840000000001E-3</v>
      </c>
      <c r="V8272">
        <v>8.3304669999999997E-2</v>
      </c>
      <c r="W8272">
        <v>0.19623499999999999</v>
      </c>
      <c r="X8272">
        <v>0.97701190000000004</v>
      </c>
      <c r="Y8272">
        <v>0.25900679999999998</v>
      </c>
      <c r="Z8272">
        <v>8.0941950000000002E-3</v>
      </c>
      <c r="AA8272">
        <v>0.96584159999999997</v>
      </c>
      <c r="AB8272">
        <v>25</v>
      </c>
      <c r="AC8272">
        <v>3.0932620000000002</v>
      </c>
      <c r="AD8272">
        <v>5.0610179999999998E-2</v>
      </c>
      <c r="AE8272">
        <v>-9.7808840000000001E-3</v>
      </c>
      <c r="AF8272">
        <v>0.80134810133469103</v>
      </c>
      <c r="AG8272">
        <v>5.0610179999999998E-2</v>
      </c>
      <c r="AH8272">
        <v>2.9868187026422199</v>
      </c>
      <c r="AI8272">
        <v>89.062396736577099</v>
      </c>
      <c r="AJ8272">
        <v>74.981523085200493</v>
      </c>
      <c r="AK8272">
        <v>3.0928637429226802</v>
      </c>
      <c r="AL8272">
        <v>78.683122663715096</v>
      </c>
      <c r="AM8272">
        <v>85.126477484868801</v>
      </c>
      <c r="AN8272">
        <v>1.0000000480052</v>
      </c>
    </row>
    <row r="8273" spans="1:40" x14ac:dyDescent="0.25">
      <c r="A8273" t="str">
        <f>"20190304154957654"</f>
        <v>20190304154957654</v>
      </c>
      <c r="B8273" t="str">
        <f>"1551685797645736"</f>
        <v>1551685797645736</v>
      </c>
      <c r="C8273" t="s">
        <v>40</v>
      </c>
      <c r="D8273">
        <v>3.8304840000000002</v>
      </c>
      <c r="E8273">
        <v>0.56581320000000002</v>
      </c>
      <c r="F8273" t="s">
        <v>42</v>
      </c>
      <c r="G8273">
        <v>0</v>
      </c>
      <c r="H8273">
        <v>0</v>
      </c>
      <c r="I8273">
        <v>0</v>
      </c>
      <c r="J8273">
        <v>-169.75799999999899</v>
      </c>
      <c r="K8273">
        <v>1.1073959999999901</v>
      </c>
      <c r="L8273">
        <v>136.10669999999999</v>
      </c>
      <c r="M8273">
        <v>0.96746829999999995</v>
      </c>
      <c r="N8273">
        <v>-1.411776E-2</v>
      </c>
      <c r="O8273">
        <v>0.2525984</v>
      </c>
      <c r="P8273">
        <v>0.96830799999999995</v>
      </c>
      <c r="Q8273">
        <v>0.18299750000000001</v>
      </c>
      <c r="R8273">
        <v>0.1699753</v>
      </c>
      <c r="S8273">
        <v>3.0920260000000002</v>
      </c>
      <c r="T8273">
        <v>4.7931670000000003E-2</v>
      </c>
      <c r="U8273">
        <v>-9.0942379999999993E-3</v>
      </c>
      <c r="V8273">
        <v>8.1917889999999993E-2</v>
      </c>
      <c r="W8273">
        <v>0.19608539999999999</v>
      </c>
      <c r="X8273">
        <v>0.97715909999999995</v>
      </c>
      <c r="Y8273">
        <v>0.2553549</v>
      </c>
      <c r="Z8273">
        <v>7.6549749999999996E-3</v>
      </c>
      <c r="AA8273">
        <v>0.96681709999999998</v>
      </c>
      <c r="AB8273">
        <v>25</v>
      </c>
      <c r="AC8273">
        <v>3.0920260000000002</v>
      </c>
      <c r="AD8273">
        <v>4.7931670000000003E-2</v>
      </c>
      <c r="AE8273">
        <v>-9.0942379999999993E-3</v>
      </c>
      <c r="AF8273">
        <v>0.78972808987814602</v>
      </c>
      <c r="AG8273">
        <v>4.7931670000000003E-2</v>
      </c>
      <c r="AH8273">
        <v>2.9887194247073201</v>
      </c>
      <c r="AI8273">
        <v>89.1116794151813</v>
      </c>
      <c r="AJ8273">
        <v>75.198667565713293</v>
      </c>
      <c r="AK8273">
        <v>3.0916681097029799</v>
      </c>
      <c r="AL8273">
        <v>78.691862996233596</v>
      </c>
      <c r="AM8273">
        <v>85.207944953408898</v>
      </c>
      <c r="AN8273">
        <v>0.99999996575400996</v>
      </c>
    </row>
    <row r="8274" spans="1:40" x14ac:dyDescent="0.25">
      <c r="A8274" t="str">
        <f>"20190304154957675"</f>
        <v>20190304154957675</v>
      </c>
      <c r="B8274" t="str">
        <f>"1551685797665256"</f>
        <v>1551685797665256</v>
      </c>
      <c r="C8274" t="s">
        <v>40</v>
      </c>
      <c r="D8274">
        <v>3.8418030000000001</v>
      </c>
      <c r="E8274">
        <v>0.5646371</v>
      </c>
      <c r="F8274" t="s">
        <v>42</v>
      </c>
      <c r="G8274">
        <v>0</v>
      </c>
      <c r="H8274">
        <v>0</v>
      </c>
      <c r="I8274">
        <v>0</v>
      </c>
      <c r="J8274">
        <v>-169.52850000000001</v>
      </c>
      <c r="K8274">
        <v>1.1075440000000001</v>
      </c>
      <c r="L8274">
        <v>136.16079999999999</v>
      </c>
      <c r="M8274">
        <v>0.96869700000000003</v>
      </c>
      <c r="N8274">
        <v>-1.4064429999999999E-2</v>
      </c>
      <c r="O8274">
        <v>0.2478476</v>
      </c>
      <c r="P8274">
        <v>0.96869550000000004</v>
      </c>
      <c r="Q8274">
        <v>0.1830841</v>
      </c>
      <c r="R8274">
        <v>0.1676581</v>
      </c>
      <c r="S8274">
        <v>3.091415</v>
      </c>
      <c r="T8274">
        <v>4.5959710000000001E-2</v>
      </c>
      <c r="U8274">
        <v>-1.0910029999999999E-2</v>
      </c>
      <c r="V8274">
        <v>7.9383350000000005E-2</v>
      </c>
      <c r="W8274">
        <v>0.19617180000000001</v>
      </c>
      <c r="X8274">
        <v>0.97735099999999997</v>
      </c>
      <c r="Y8274">
        <v>0.25118430000000003</v>
      </c>
      <c r="Z8274">
        <v>7.2691509999999997E-3</v>
      </c>
      <c r="AA8274">
        <v>0.96791199999999999</v>
      </c>
      <c r="AB8274">
        <v>25</v>
      </c>
      <c r="AC8274">
        <v>3.091415</v>
      </c>
      <c r="AD8274">
        <v>4.5959710000000001E-2</v>
      </c>
      <c r="AE8274">
        <v>-1.0910029999999999E-2</v>
      </c>
      <c r="AF8274">
        <v>0.776673430956759</v>
      </c>
      <c r="AG8274">
        <v>4.5959710000000001E-2</v>
      </c>
      <c r="AH8274">
        <v>2.9915749903544202</v>
      </c>
      <c r="AI8274">
        <v>89.1480700853526</v>
      </c>
      <c r="AJ8274">
        <v>75.446166331935601</v>
      </c>
      <c r="AK8274">
        <v>3.0910928223221399</v>
      </c>
      <c r="AL8274">
        <v>78.686815377070005</v>
      </c>
      <c r="AM8274">
        <v>85.356460181034805</v>
      </c>
      <c r="AN8274">
        <v>1.0000000342867299</v>
      </c>
    </row>
    <row r="8275" spans="1:40" x14ac:dyDescent="0.25">
      <c r="A8275" t="str">
        <f>"20190304154957688"</f>
        <v>20190304154957688</v>
      </c>
      <c r="B8275" t="str">
        <f>"1551685797685751"</f>
        <v>1551685797685751</v>
      </c>
      <c r="C8275" t="s">
        <v>40</v>
      </c>
      <c r="D8275">
        <v>3.8219110000000001</v>
      </c>
      <c r="E8275">
        <v>0.56378799999999996</v>
      </c>
      <c r="F8275" t="s">
        <v>42</v>
      </c>
      <c r="G8275">
        <v>0</v>
      </c>
      <c r="H8275">
        <v>0</v>
      </c>
      <c r="I8275">
        <v>0</v>
      </c>
      <c r="J8275">
        <v>-169.3871</v>
      </c>
      <c r="K8275">
        <v>1.1076250000000001</v>
      </c>
      <c r="L8275">
        <v>136.1936</v>
      </c>
      <c r="M8275">
        <v>0.96942200000000001</v>
      </c>
      <c r="N8275">
        <v>-1.403366E-2</v>
      </c>
      <c r="O8275">
        <v>0.2449982</v>
      </c>
      <c r="P8275">
        <v>0.96897800000000001</v>
      </c>
      <c r="Q8275">
        <v>0.182755</v>
      </c>
      <c r="R8275">
        <v>0.1663801</v>
      </c>
      <c r="S8275">
        <v>3.0903320000000001</v>
      </c>
      <c r="T8275">
        <v>4.3209669999999999E-2</v>
      </c>
      <c r="U8275">
        <v>-9.0484620000000002E-3</v>
      </c>
      <c r="V8275">
        <v>7.7767569999999994E-2</v>
      </c>
      <c r="W8275">
        <v>0.19584409999999999</v>
      </c>
      <c r="X8275">
        <v>0.97754660000000004</v>
      </c>
      <c r="Y8275">
        <v>0.24776400000000001</v>
      </c>
      <c r="Z8275">
        <v>6.8570380000000002E-3</v>
      </c>
      <c r="AA8275">
        <v>0.96879610000000005</v>
      </c>
      <c r="AB8275">
        <v>25</v>
      </c>
      <c r="AC8275">
        <v>3.0903320000000001</v>
      </c>
      <c r="AD8275">
        <v>4.3209669999999999E-2</v>
      </c>
      <c r="AE8275">
        <v>-9.0484620000000002E-3</v>
      </c>
      <c r="AF8275">
        <v>0.76582323815648201</v>
      </c>
      <c r="AG8275">
        <v>4.3209669999999999E-2</v>
      </c>
      <c r="AH8275">
        <v>2.9933284912254998</v>
      </c>
      <c r="AI8275">
        <v>89.198777443016397</v>
      </c>
      <c r="AJ8275">
        <v>75.649086237966799</v>
      </c>
      <c r="AK8275">
        <v>3.0900433272147398</v>
      </c>
      <c r="AL8275">
        <v>78.705962575928595</v>
      </c>
      <c r="AM8275">
        <v>85.451481081729696</v>
      </c>
      <c r="AN8275">
        <v>1.0000000308100301</v>
      </c>
    </row>
    <row r="8276" spans="1:40" x14ac:dyDescent="0.25">
      <c r="A8276" t="str">
        <f>"20190304154957701"</f>
        <v>20190304154957701</v>
      </c>
      <c r="B8276" t="str">
        <f>"1551685797695512"</f>
        <v>1551685797695512</v>
      </c>
      <c r="C8276" t="s">
        <v>40</v>
      </c>
      <c r="D8276">
        <v>3.8272810000000002</v>
      </c>
      <c r="E8276">
        <v>0.56346390000000002</v>
      </c>
      <c r="F8276" t="s">
        <v>42</v>
      </c>
      <c r="G8276">
        <v>0</v>
      </c>
      <c r="H8276">
        <v>0</v>
      </c>
      <c r="I8276">
        <v>0</v>
      </c>
      <c r="J8276">
        <v>-169.2499</v>
      </c>
      <c r="K8276">
        <v>1.107696</v>
      </c>
      <c r="L8276">
        <v>136.2251</v>
      </c>
      <c r="M8276">
        <v>0.97009939999999995</v>
      </c>
      <c r="N8276">
        <v>-1.400536E-2</v>
      </c>
      <c r="O8276">
        <v>0.24230370000000001</v>
      </c>
      <c r="P8276">
        <v>0.96932830000000003</v>
      </c>
      <c r="Q8276">
        <v>0.18229129999999999</v>
      </c>
      <c r="R8276">
        <v>0.1648415</v>
      </c>
      <c r="S8276">
        <v>3.0892179999999998</v>
      </c>
      <c r="T8276">
        <v>4.2022820000000002E-2</v>
      </c>
      <c r="U8276">
        <v>-6.3476560000000001E-3</v>
      </c>
      <c r="V8276">
        <v>7.6581579999999996E-2</v>
      </c>
      <c r="W8276">
        <v>0.19537879999999999</v>
      </c>
      <c r="X8276">
        <v>0.97773330000000003</v>
      </c>
      <c r="Y8276">
        <v>0.2442288</v>
      </c>
      <c r="Z8276">
        <v>6.6407569999999997E-3</v>
      </c>
      <c r="AA8276">
        <v>0.96969490000000003</v>
      </c>
      <c r="AB8276">
        <v>25</v>
      </c>
      <c r="AC8276">
        <v>3.0892179999999998</v>
      </c>
      <c r="AD8276">
        <v>4.2022820000000002E-2</v>
      </c>
      <c r="AE8276">
        <v>-6.3476560000000001E-3</v>
      </c>
      <c r="AF8276">
        <v>0.75462116882427299</v>
      </c>
      <c r="AG8276">
        <v>4.2022820000000002E-2</v>
      </c>
      <c r="AH8276">
        <v>2.9950499463429399</v>
      </c>
      <c r="AI8276">
        <v>89.220507551943598</v>
      </c>
      <c r="AJ8276">
        <v>75.858320456269993</v>
      </c>
      <c r="AK8276">
        <v>3.08893884803945</v>
      </c>
      <c r="AL8276">
        <v>78.733147235018194</v>
      </c>
      <c r="AM8276">
        <v>85.521415407808803</v>
      </c>
      <c r="AN8276">
        <v>1.00000000990681</v>
      </c>
    </row>
    <row r="8277" spans="1:40" x14ac:dyDescent="0.25">
      <c r="A8277" t="str">
        <f>"20190304154957717"</f>
        <v>20190304154957717</v>
      </c>
      <c r="B8277" t="str">
        <f>"1551685797715032"</f>
        <v>1551685797715032</v>
      </c>
      <c r="C8277" t="s">
        <v>40</v>
      </c>
      <c r="D8277">
        <v>3.8092570000000001</v>
      </c>
      <c r="E8277">
        <v>0.55031589999999997</v>
      </c>
      <c r="F8277" t="s">
        <v>42</v>
      </c>
      <c r="G8277">
        <v>0</v>
      </c>
      <c r="H8277">
        <v>0</v>
      </c>
      <c r="I8277">
        <v>0</v>
      </c>
      <c r="J8277">
        <v>-169.0754</v>
      </c>
      <c r="K8277">
        <v>1.1077870000000001</v>
      </c>
      <c r="L8277">
        <v>136.2647</v>
      </c>
      <c r="M8277">
        <v>0.97093339999999995</v>
      </c>
      <c r="N8277">
        <v>-1.396938E-2</v>
      </c>
      <c r="O8277">
        <v>0.23894199999999999</v>
      </c>
      <c r="P8277">
        <v>0.96952660000000002</v>
      </c>
      <c r="Q8277">
        <v>0.18130850000000001</v>
      </c>
      <c r="R8277">
        <v>0.16475919999999999</v>
      </c>
      <c r="S8277">
        <v>3.0885470000000002</v>
      </c>
      <c r="T8277">
        <v>4.1663289999999999E-2</v>
      </c>
      <c r="U8277">
        <v>-8.4838869999999903E-3</v>
      </c>
      <c r="V8277">
        <v>7.3260489999999998E-2</v>
      </c>
      <c r="W8277">
        <v>0.19441020000000001</v>
      </c>
      <c r="X8277">
        <v>0.97818079999999996</v>
      </c>
      <c r="Y8277">
        <v>0.24154239999999999</v>
      </c>
      <c r="Z8277">
        <v>6.5035350000000004E-3</v>
      </c>
      <c r="AA8277">
        <v>0.97036840000000002</v>
      </c>
      <c r="AB8277">
        <v>25</v>
      </c>
      <c r="AC8277">
        <v>3.0885470000000002</v>
      </c>
      <c r="AD8277">
        <v>4.1663289999999999E-2</v>
      </c>
      <c r="AE8277">
        <v>-8.4838869999999903E-3</v>
      </c>
      <c r="AF8277">
        <v>0.746157896649285</v>
      </c>
      <c r="AG8277">
        <v>4.1663289999999999E-2</v>
      </c>
      <c r="AH8277">
        <v>2.9964933219874998</v>
      </c>
      <c r="AI8277">
        <v>89.227011538013301</v>
      </c>
      <c r="AJ8277">
        <v>76.017135433774001</v>
      </c>
      <c r="AK8277">
        <v>3.088277783034</v>
      </c>
      <c r="AL8277">
        <v>78.789729398455407</v>
      </c>
      <c r="AM8277">
        <v>85.716850151955697</v>
      </c>
      <c r="AN8277">
        <v>1.0000000513738501</v>
      </c>
    </row>
    <row r="8278" spans="1:40" x14ac:dyDescent="0.25">
      <c r="A8278" t="str">
        <f>"20190304154957740"</f>
        <v>20190304154957740</v>
      </c>
      <c r="B8278" t="str">
        <f>"1551685797735528"</f>
        <v>1551685797735528</v>
      </c>
      <c r="C8278" t="s">
        <v>40</v>
      </c>
      <c r="D8278">
        <v>3.8028550000000001</v>
      </c>
      <c r="E8278">
        <v>0.54865059999999999</v>
      </c>
      <c r="F8278" t="s">
        <v>42</v>
      </c>
      <c r="G8278">
        <v>0</v>
      </c>
      <c r="H8278">
        <v>0</v>
      </c>
      <c r="I8278">
        <v>0</v>
      </c>
      <c r="J8278">
        <v>-168.82299999999901</v>
      </c>
      <c r="K8278">
        <v>1.1079190000000001</v>
      </c>
      <c r="L8278">
        <v>136.321</v>
      </c>
      <c r="M8278">
        <v>0.97207860000000001</v>
      </c>
      <c r="N8278">
        <v>-1.39148E-2</v>
      </c>
      <c r="O8278">
        <v>0.2342428</v>
      </c>
      <c r="P8278">
        <v>0.96952879999999997</v>
      </c>
      <c r="Q8278">
        <v>0.1813977</v>
      </c>
      <c r="R8278">
        <v>0.16464799999999999</v>
      </c>
      <c r="S8278">
        <v>3.0775600000000001</v>
      </c>
      <c r="T8278">
        <v>4.0658710000000004E-3</v>
      </c>
      <c r="U8278">
        <v>9.4024659999999996E-2</v>
      </c>
      <c r="V8278">
        <v>6.8562609999999996E-2</v>
      </c>
      <c r="W8278">
        <v>0.1945093</v>
      </c>
      <c r="X8278">
        <v>0.97850159999999997</v>
      </c>
      <c r="Y8278">
        <v>0.20444300000000001</v>
      </c>
      <c r="Z8278">
        <v>2.3038999999999998E-3</v>
      </c>
      <c r="AA8278">
        <v>0.97887579999999996</v>
      </c>
      <c r="AB8278">
        <v>25</v>
      </c>
      <c r="AC8278">
        <v>3.0775600000000001</v>
      </c>
      <c r="AD8278">
        <v>4.0658710000000004E-3</v>
      </c>
      <c r="AE8278">
        <v>9.4024659999999996E-2</v>
      </c>
      <c r="AF8278">
        <v>0.62955672848566702</v>
      </c>
      <c r="AG8278">
        <v>4.0658710000000004E-3</v>
      </c>
      <c r="AH8278">
        <v>3.0139411828001901</v>
      </c>
      <c r="AI8278">
        <v>89.924339777854996</v>
      </c>
      <c r="AJ8278">
        <v>78.201610045644003</v>
      </c>
      <c r="AK8278">
        <v>3.0789932866226901</v>
      </c>
      <c r="AL8278">
        <v>78.783940760707395</v>
      </c>
      <c r="AM8278">
        <v>85.991894031064703</v>
      </c>
      <c r="AN8278">
        <v>1.0000000402395299</v>
      </c>
    </row>
    <row r="8279" spans="1:40" x14ac:dyDescent="0.25">
      <c r="A8279" t="str">
        <f>"20190304154957762"</f>
        <v>20190304154957762</v>
      </c>
      <c r="B8279" t="str">
        <f>"1551685797755047"</f>
        <v>1551685797755047</v>
      </c>
      <c r="C8279" t="s">
        <v>40</v>
      </c>
      <c r="D8279">
        <v>3.7907030000000002</v>
      </c>
      <c r="E8279">
        <v>0.54815659999999999</v>
      </c>
      <c r="F8279" t="s">
        <v>42</v>
      </c>
      <c r="G8279">
        <v>0</v>
      </c>
      <c r="H8279">
        <v>0</v>
      </c>
      <c r="I8279">
        <v>0</v>
      </c>
      <c r="J8279">
        <v>-168.5795</v>
      </c>
      <c r="K8279">
        <v>1.1080369999999999</v>
      </c>
      <c r="L8279">
        <v>136.37430000000001</v>
      </c>
      <c r="M8279">
        <v>0.97312569999999998</v>
      </c>
      <c r="N8279">
        <v>-1.3862620000000001E-2</v>
      </c>
      <c r="O8279">
        <v>0.22985720000000001</v>
      </c>
      <c r="P8279">
        <v>0.96997149999999999</v>
      </c>
      <c r="Q8279">
        <v>0.18153549999999999</v>
      </c>
      <c r="R8279">
        <v>0.16186539999999999</v>
      </c>
      <c r="S8279">
        <v>3.0755309999999998</v>
      </c>
      <c r="T8279">
        <v>3.9321180000000001E-3</v>
      </c>
      <c r="U8279">
        <v>0.10617070000000001</v>
      </c>
      <c r="V8279">
        <v>6.6893309999999997E-2</v>
      </c>
      <c r="W8279">
        <v>0.19462860000000001</v>
      </c>
      <c r="X8279">
        <v>0.9785933</v>
      </c>
      <c r="Y8279">
        <v>0.19614090000000001</v>
      </c>
      <c r="Z8279">
        <v>2.2672679999999998E-3</v>
      </c>
      <c r="AA8279">
        <v>0.98057309999999998</v>
      </c>
      <c r="AB8279">
        <v>25</v>
      </c>
      <c r="AC8279">
        <v>3.0755309999999998</v>
      </c>
      <c r="AD8279">
        <v>3.9321180000000001E-3</v>
      </c>
      <c r="AE8279">
        <v>0.10617070000000001</v>
      </c>
      <c r="AF8279">
        <v>0.60367248921634997</v>
      </c>
      <c r="AG8279">
        <v>3.9321180000000001E-3</v>
      </c>
      <c r="AH8279">
        <v>3.01756719100579</v>
      </c>
      <c r="AI8279">
        <v>89.926789914030607</v>
      </c>
      <c r="AJ8279">
        <v>78.687163741451201</v>
      </c>
      <c r="AK8279">
        <v>3.0773605066717802</v>
      </c>
      <c r="AL8279">
        <v>78.776970907887204</v>
      </c>
      <c r="AM8279">
        <v>86.089538498836404</v>
      </c>
      <c r="AN8279">
        <v>0.99999992683280003</v>
      </c>
    </row>
    <row r="8280" spans="1:40" x14ac:dyDescent="0.25">
      <c r="A8280" t="str">
        <f>"20190304154957784"</f>
        <v>20190304154957784</v>
      </c>
      <c r="B8280" t="str">
        <f>"1551685797775544"</f>
        <v>1551685797775544</v>
      </c>
      <c r="C8280" t="s">
        <v>40</v>
      </c>
      <c r="D8280">
        <v>3.8413390000000001</v>
      </c>
      <c r="E8280">
        <v>0.54755419999999999</v>
      </c>
      <c r="F8280" t="s">
        <v>42</v>
      </c>
      <c r="G8280">
        <v>0</v>
      </c>
      <c r="H8280">
        <v>0</v>
      </c>
      <c r="I8280">
        <v>0</v>
      </c>
      <c r="J8280">
        <v>-168.33930000000001</v>
      </c>
      <c r="K8280">
        <v>1.108134</v>
      </c>
      <c r="L8280">
        <v>136.42599999999999</v>
      </c>
      <c r="M8280">
        <v>0.97411000000000003</v>
      </c>
      <c r="N8280">
        <v>-1.38157E-2</v>
      </c>
      <c r="O8280">
        <v>0.22565199999999999</v>
      </c>
      <c r="P8280">
        <v>0.97041909999999998</v>
      </c>
      <c r="Q8280">
        <v>0.18091670000000001</v>
      </c>
      <c r="R8280">
        <v>0.1598617</v>
      </c>
      <c r="S8280">
        <v>3.0753940000000002</v>
      </c>
      <c r="T8280">
        <v>2.300739E-3</v>
      </c>
      <c r="U8280">
        <v>0.1021881</v>
      </c>
      <c r="V8280">
        <v>6.465572E-2</v>
      </c>
      <c r="W8280">
        <v>0.19399949999999999</v>
      </c>
      <c r="X8280">
        <v>0.97886870000000004</v>
      </c>
      <c r="Y8280">
        <v>0.1931734</v>
      </c>
      <c r="Z8280">
        <v>2.0450139999999999E-3</v>
      </c>
      <c r="AA8280">
        <v>0.98116250000000005</v>
      </c>
      <c r="AB8280">
        <v>25</v>
      </c>
      <c r="AC8280">
        <v>3.0753940000000002</v>
      </c>
      <c r="AD8280">
        <v>2.300739E-3</v>
      </c>
      <c r="AE8280">
        <v>0.1021881</v>
      </c>
      <c r="AF8280">
        <v>0.59448276545467404</v>
      </c>
      <c r="AG8280">
        <v>2.300739E-3</v>
      </c>
      <c r="AH8280">
        <v>3.0191174733362001</v>
      </c>
      <c r="AI8280">
        <v>89.957159969539305</v>
      </c>
      <c r="AJ8280">
        <v>78.860615769649897</v>
      </c>
      <c r="AK8280">
        <v>3.0770904064759801</v>
      </c>
      <c r="AL8280">
        <v>78.813717467528903</v>
      </c>
      <c r="AM8280">
        <v>86.221018601678097</v>
      </c>
      <c r="AN8280">
        <v>1.00000004998432</v>
      </c>
    </row>
    <row r="8281" spans="1:40" x14ac:dyDescent="0.25">
      <c r="A8281" t="str">
        <f>"20190304154957807"</f>
        <v>20190304154957807</v>
      </c>
      <c r="B8281" t="str">
        <f>"1551685797795063"</f>
        <v>1551685797795063</v>
      </c>
      <c r="C8281" t="s">
        <v>40</v>
      </c>
      <c r="D8281">
        <v>3.8092160000000002</v>
      </c>
      <c r="E8281">
        <v>0.54729309999999998</v>
      </c>
      <c r="F8281" t="s">
        <v>42</v>
      </c>
      <c r="G8281">
        <v>0</v>
      </c>
      <c r="H8281">
        <v>0</v>
      </c>
      <c r="I8281">
        <v>0</v>
      </c>
      <c r="J8281">
        <v>-168.09180000000001</v>
      </c>
      <c r="K8281">
        <v>1.108212</v>
      </c>
      <c r="L8281">
        <v>136.47819999999999</v>
      </c>
      <c r="M8281">
        <v>0.97507960000000005</v>
      </c>
      <c r="N8281">
        <v>-1.3772710000000001E-2</v>
      </c>
      <c r="O8281">
        <v>0.22142770000000001</v>
      </c>
      <c r="P8281">
        <v>0.97102029999999995</v>
      </c>
      <c r="Q8281">
        <v>0.17967749999999999</v>
      </c>
      <c r="R8281">
        <v>0.15759329999999999</v>
      </c>
      <c r="S8281">
        <v>3.0750579999999998</v>
      </c>
      <c r="T8281">
        <v>-1.1787410000000001E-3</v>
      </c>
      <c r="U8281">
        <v>0.1007996</v>
      </c>
      <c r="V8281">
        <v>6.2696849999999998E-2</v>
      </c>
      <c r="W8281">
        <v>0.1927499</v>
      </c>
      <c r="X8281">
        <v>0.97924290000000003</v>
      </c>
      <c r="Y8281">
        <v>0.18936059999999999</v>
      </c>
      <c r="Z8281">
        <v>1.6459759999999999E-3</v>
      </c>
      <c r="AA8281">
        <v>0.98190619999999995</v>
      </c>
      <c r="AB8281">
        <v>25</v>
      </c>
      <c r="AC8281">
        <v>3.0750579999999998</v>
      </c>
      <c r="AD8281">
        <v>-1.1787410000000001E-3</v>
      </c>
      <c r="AE8281">
        <v>0.1007996</v>
      </c>
      <c r="AF8281">
        <v>0.58267052558292298</v>
      </c>
      <c r="AG8281">
        <v>-1.1787410000000001E-3</v>
      </c>
      <c r="AH8281">
        <v>3.0210320326803801</v>
      </c>
      <c r="AI8281">
        <v>90.0219510122039</v>
      </c>
      <c r="AJ8281">
        <v>79.083332768945496</v>
      </c>
      <c r="AK8281">
        <v>3.0767094229540799</v>
      </c>
      <c r="AL8281">
        <v>78.886691530727305</v>
      </c>
      <c r="AM8281">
        <v>86.336589898962501</v>
      </c>
      <c r="AN8281">
        <v>1.0000000380751699</v>
      </c>
    </row>
    <row r="8282" spans="1:40" x14ac:dyDescent="0.25">
      <c r="A8282" t="str">
        <f>"20190304154957831"</f>
        <v>20190304154957831</v>
      </c>
      <c r="B8282" t="str">
        <f>"1551685797825319"</f>
        <v>1551685797825319</v>
      </c>
      <c r="C8282" t="s">
        <v>40</v>
      </c>
      <c r="D8282">
        <v>3.8539370000000002</v>
      </c>
      <c r="E8282">
        <v>0.54675109999999905</v>
      </c>
      <c r="F8282" t="s">
        <v>42</v>
      </c>
      <c r="G8282">
        <v>0</v>
      </c>
      <c r="H8282">
        <v>0</v>
      </c>
      <c r="I8282">
        <v>0</v>
      </c>
      <c r="J8282">
        <v>-167.84010000000001</v>
      </c>
      <c r="K8282">
        <v>1.1082669999999999</v>
      </c>
      <c r="L8282">
        <v>136.53030000000001</v>
      </c>
      <c r="M8282">
        <v>0.97602670000000002</v>
      </c>
      <c r="N8282">
        <v>-1.373339E-2</v>
      </c>
      <c r="O8282">
        <v>0.21721770000000001</v>
      </c>
      <c r="P8282">
        <v>0.97144010000000003</v>
      </c>
      <c r="Q8282">
        <v>0.1796364</v>
      </c>
      <c r="R8282">
        <v>0.155033</v>
      </c>
      <c r="S8282">
        <v>3.0755460000000001</v>
      </c>
      <c r="T8282">
        <v>-7.9631809999999997E-3</v>
      </c>
      <c r="U8282">
        <v>9.5214839999999995E-2</v>
      </c>
      <c r="V8282">
        <v>6.1018509999999998E-2</v>
      </c>
      <c r="W8282">
        <v>0.1926928</v>
      </c>
      <c r="X8282">
        <v>0.97936009999999996</v>
      </c>
      <c r="Y8282">
        <v>0.18691179999999999</v>
      </c>
      <c r="Z8282">
        <v>9.1893750000000005E-4</v>
      </c>
      <c r="AA8282">
        <v>0.98237629999999998</v>
      </c>
      <c r="AB8282">
        <v>25</v>
      </c>
      <c r="AC8282">
        <v>3.0755460000000001</v>
      </c>
      <c r="AD8282">
        <v>-7.9631809999999997E-3</v>
      </c>
      <c r="AE8282">
        <v>9.5214839999999995E-2</v>
      </c>
      <c r="AF8282">
        <v>0.57518112109575703</v>
      </c>
      <c r="AG8282">
        <v>-7.9631809999999997E-3</v>
      </c>
      <c r="AH8282">
        <v>3.02276180314924</v>
      </c>
      <c r="AI8282">
        <v>90.148279430309302</v>
      </c>
      <c r="AJ8282">
        <v>79.226366836157098</v>
      </c>
      <c r="AK8282">
        <v>3.0770092058514602</v>
      </c>
      <c r="AL8282">
        <v>78.890025076692595</v>
      </c>
      <c r="AM8282">
        <v>86.434825327651396</v>
      </c>
      <c r="AN8282">
        <v>0.999999989603234</v>
      </c>
    </row>
    <row r="8283" spans="1:40" x14ac:dyDescent="0.25">
      <c r="A8283" t="str">
        <f>"20190304154957852"</f>
        <v>20190304154957852</v>
      </c>
      <c r="B8283" t="str">
        <f>"1551685797845819"</f>
        <v>1551685797845819</v>
      </c>
      <c r="C8283" t="s">
        <v>40</v>
      </c>
      <c r="D8283">
        <v>3.8482129999999999</v>
      </c>
      <c r="E8283">
        <v>0.5463403</v>
      </c>
      <c r="F8283" t="s">
        <v>42</v>
      </c>
      <c r="G8283">
        <v>0</v>
      </c>
      <c r="H8283">
        <v>0</v>
      </c>
      <c r="I8283">
        <v>0</v>
      </c>
      <c r="J8283">
        <v>-167.5994</v>
      </c>
      <c r="K8283">
        <v>1.1083069999999999</v>
      </c>
      <c r="L8283">
        <v>136.57910000000001</v>
      </c>
      <c r="M8283">
        <v>0.97690270000000001</v>
      </c>
      <c r="N8283">
        <v>-1.369973E-2</v>
      </c>
      <c r="O8283">
        <v>0.2132452</v>
      </c>
      <c r="P8283">
        <v>0.971746</v>
      </c>
      <c r="Q8283">
        <v>0.18004979999999901</v>
      </c>
      <c r="R8283">
        <v>0.1526169</v>
      </c>
      <c r="S8283">
        <v>3.0753020000000002</v>
      </c>
      <c r="T8283">
        <v>-9.0757609999999999E-3</v>
      </c>
      <c r="U8283">
        <v>9.1308589999999995E-2</v>
      </c>
      <c r="V8283">
        <v>5.9433350000000003E-2</v>
      </c>
      <c r="W8283">
        <v>0.19309009999999999</v>
      </c>
      <c r="X8283">
        <v>0.97937940000000001</v>
      </c>
      <c r="Y8283">
        <v>0.1841593</v>
      </c>
      <c r="Z8283">
        <v>7.8169909999999999E-4</v>
      </c>
      <c r="AA8283">
        <v>0.98289610000000005</v>
      </c>
      <c r="AB8283">
        <v>25</v>
      </c>
      <c r="AC8283">
        <v>3.0753020000000002</v>
      </c>
      <c r="AD8283">
        <v>-9.0757609999999999E-3</v>
      </c>
      <c r="AE8283">
        <v>9.1308589999999995E-2</v>
      </c>
      <c r="AF8283">
        <v>0.56664200496301997</v>
      </c>
      <c r="AG8283">
        <v>-9.0757609999999999E-3</v>
      </c>
      <c r="AH8283">
        <v>3.0239992975029</v>
      </c>
      <c r="AI8283">
        <v>90.169016494387904</v>
      </c>
      <c r="AJ8283">
        <v>79.386895028967302</v>
      </c>
      <c r="AK8283">
        <v>3.0766438342005502</v>
      </c>
      <c r="AL8283">
        <v>78.866826570557905</v>
      </c>
      <c r="AM8283">
        <v>86.527281259293005</v>
      </c>
      <c r="AN8283">
        <v>1.00000005947729</v>
      </c>
    </row>
    <row r="8284" spans="1:40" x14ac:dyDescent="0.25">
      <c r="A8284" t="str">
        <f>"20190304154957874"</f>
        <v>20190304154957874</v>
      </c>
      <c r="B8284" t="str">
        <f>"1551685797865335"</f>
        <v>1551685797865335</v>
      </c>
      <c r="C8284" t="s">
        <v>40</v>
      </c>
      <c r="D8284">
        <v>3.8637640000000002</v>
      </c>
      <c r="E8284">
        <v>0.54587419999999998</v>
      </c>
      <c r="F8284" t="s">
        <v>42</v>
      </c>
      <c r="G8284">
        <v>0</v>
      </c>
      <c r="H8284">
        <v>0</v>
      </c>
      <c r="I8284">
        <v>0</v>
      </c>
      <c r="J8284">
        <v>-167.3614</v>
      </c>
      <c r="K8284">
        <v>1.1083320000000001</v>
      </c>
      <c r="L8284">
        <v>136.62629999999999</v>
      </c>
      <c r="M8284">
        <v>0.97774729999999999</v>
      </c>
      <c r="N8284">
        <v>-1.367054E-2</v>
      </c>
      <c r="O8284">
        <v>0.20934069999999999</v>
      </c>
      <c r="P8284">
        <v>0.97205699999999995</v>
      </c>
      <c r="Q8284">
        <v>0.1802174</v>
      </c>
      <c r="R8284">
        <v>0.1504238</v>
      </c>
      <c r="S8284">
        <v>3.0751650000000001</v>
      </c>
      <c r="T8284">
        <v>-8.2019569999999993E-3</v>
      </c>
      <c r="U8284">
        <v>8.6486820000000006E-2</v>
      </c>
      <c r="V8284">
        <v>5.7711440000000003E-2</v>
      </c>
      <c r="W8284">
        <v>0.193244</v>
      </c>
      <c r="X8284">
        <v>0.97945199999999999</v>
      </c>
      <c r="Y8284">
        <v>0.18177070000000001</v>
      </c>
      <c r="Z8284">
        <v>8.3970509999999998E-4</v>
      </c>
      <c r="AA8284">
        <v>0.98334060000000001</v>
      </c>
      <c r="AB8284">
        <v>25</v>
      </c>
      <c r="AC8284">
        <v>3.0751650000000001</v>
      </c>
      <c r="AD8284">
        <v>-8.2019569999999993E-3</v>
      </c>
      <c r="AE8284">
        <v>8.6486820000000006E-2</v>
      </c>
      <c r="AF8284">
        <v>0.55924316879570501</v>
      </c>
      <c r="AG8284">
        <v>-8.2019569999999993E-3</v>
      </c>
      <c r="AH8284">
        <v>3.0251003756324</v>
      </c>
      <c r="AI8284">
        <v>90.152757332215202</v>
      </c>
      <c r="AJ8284">
        <v>79.526114707798598</v>
      </c>
      <c r="AK8284">
        <v>3.0763700162032799</v>
      </c>
      <c r="AL8284">
        <v>78.857839234020702</v>
      </c>
      <c r="AM8284">
        <v>86.627907008081806</v>
      </c>
      <c r="AN8284">
        <v>1.0000000370734301</v>
      </c>
    </row>
    <row r="8285" spans="1:40" x14ac:dyDescent="0.25">
      <c r="A8285" t="str">
        <f>"20190304154957896"</f>
        <v>20190304154957896</v>
      </c>
      <c r="B8285" t="str">
        <f>"1551685797885832"</f>
        <v>1551685797885832</v>
      </c>
      <c r="C8285" t="s">
        <v>40</v>
      </c>
      <c r="D8285">
        <v>3.8383750000000001</v>
      </c>
      <c r="E8285">
        <v>0.54528469999999996</v>
      </c>
      <c r="F8285" t="s">
        <v>42</v>
      </c>
      <c r="G8285">
        <v>0</v>
      </c>
      <c r="H8285">
        <v>0</v>
      </c>
      <c r="I8285">
        <v>0</v>
      </c>
      <c r="J8285">
        <v>-167.12</v>
      </c>
      <c r="K8285">
        <v>1.108336</v>
      </c>
      <c r="L8285">
        <v>136.67330000000001</v>
      </c>
      <c r="M8285">
        <v>0.97858639999999997</v>
      </c>
      <c r="N8285">
        <v>-1.364491E-2</v>
      </c>
      <c r="O8285">
        <v>0.20538400000000001</v>
      </c>
      <c r="P8285">
        <v>0.97241029999999995</v>
      </c>
      <c r="Q8285">
        <v>0.18026890000000001</v>
      </c>
      <c r="R8285">
        <v>0.1480591</v>
      </c>
      <c r="S8285">
        <v>3.074875</v>
      </c>
      <c r="T8285">
        <v>-7.74443099999999E-3</v>
      </c>
      <c r="U8285">
        <v>8.2748409999999994E-2</v>
      </c>
      <c r="V8285">
        <v>5.612379E-2</v>
      </c>
      <c r="W8285">
        <v>0.19328329999999999</v>
      </c>
      <c r="X8285">
        <v>0.97953650000000003</v>
      </c>
      <c r="Y8285">
        <v>0.17898459999999999</v>
      </c>
      <c r="Z8285">
        <v>8.5831880000000001E-4</v>
      </c>
      <c r="AA8285">
        <v>0.98385149999999999</v>
      </c>
      <c r="AB8285">
        <v>25</v>
      </c>
      <c r="AC8285">
        <v>3.074875</v>
      </c>
      <c r="AD8285">
        <v>-7.74443099999999E-3</v>
      </c>
      <c r="AE8285">
        <v>8.2748409999999994E-2</v>
      </c>
      <c r="AF8285">
        <v>0.55060139616454096</v>
      </c>
      <c r="AG8285">
        <v>-7.74443099999999E-3</v>
      </c>
      <c r="AH8285">
        <v>3.02628843903579</v>
      </c>
      <c r="AI8285">
        <v>90.144254481349193</v>
      </c>
      <c r="AJ8285">
        <v>79.688425258006006</v>
      </c>
      <c r="AK8285">
        <v>3.0759784768283902</v>
      </c>
      <c r="AL8285">
        <v>78.8555442114031</v>
      </c>
      <c r="AM8285">
        <v>86.720750723035906</v>
      </c>
      <c r="AN8285">
        <v>1.0000000343475499</v>
      </c>
    </row>
    <row r="8286" spans="1:40" x14ac:dyDescent="0.25">
      <c r="A8286" t="str">
        <f>"20190304154957919"</f>
        <v>20190304154957919</v>
      </c>
      <c r="B8286" t="str">
        <f>"1551685797915111"</f>
        <v>1551685797915111</v>
      </c>
      <c r="C8286" t="s">
        <v>40</v>
      </c>
      <c r="D8286">
        <v>3.890898</v>
      </c>
      <c r="E8286">
        <v>0.53787369999999901</v>
      </c>
      <c r="F8286" t="s">
        <v>42</v>
      </c>
      <c r="G8286">
        <v>0</v>
      </c>
      <c r="H8286">
        <v>0</v>
      </c>
      <c r="I8286">
        <v>0</v>
      </c>
      <c r="J8286">
        <v>-166.87559999999999</v>
      </c>
      <c r="K8286">
        <v>1.108336</v>
      </c>
      <c r="L8286">
        <v>136.71979999999999</v>
      </c>
      <c r="M8286">
        <v>0.97942220000000002</v>
      </c>
      <c r="N8286">
        <v>-1.3622449999999999E-2</v>
      </c>
      <c r="O8286">
        <v>0.20136229999999999</v>
      </c>
      <c r="P8286">
        <v>0.97261960000000003</v>
      </c>
      <c r="Q8286">
        <v>0.1813516</v>
      </c>
      <c r="R8286">
        <v>0.14533689999999999</v>
      </c>
      <c r="S8286">
        <v>3.0744319999999998</v>
      </c>
      <c r="T8286">
        <v>-7.3792930000000003E-3</v>
      </c>
      <c r="U8286">
        <v>7.91626E-2</v>
      </c>
      <c r="V8286">
        <v>5.4807120000000001E-2</v>
      </c>
      <c r="W8286">
        <v>0.19434989999999999</v>
      </c>
      <c r="X8286">
        <v>0.97940000000000005</v>
      </c>
      <c r="Y8286">
        <v>0.176085299999999</v>
      </c>
      <c r="Z8286">
        <v>8.6738359999999999E-4</v>
      </c>
      <c r="AA8286">
        <v>0.98437450000000004</v>
      </c>
      <c r="AB8286">
        <v>25</v>
      </c>
      <c r="AC8286">
        <v>3.0744319999999998</v>
      </c>
      <c r="AD8286">
        <v>-7.3792930000000003E-3</v>
      </c>
      <c r="AE8286">
        <v>7.91626E-2</v>
      </c>
      <c r="AF8286">
        <v>0.54158817478780197</v>
      </c>
      <c r="AG8286">
        <v>-7.3792930000000003E-3</v>
      </c>
      <c r="AH8286">
        <v>3.02737050619888</v>
      </c>
      <c r="AI8286">
        <v>90.137477061984001</v>
      </c>
      <c r="AJ8286">
        <v>79.857239594828698</v>
      </c>
      <c r="AK8286">
        <v>3.0754421449342901</v>
      </c>
      <c r="AL8286">
        <v>78.793251293816596</v>
      </c>
      <c r="AM8286">
        <v>86.797074805653807</v>
      </c>
      <c r="AN8286">
        <v>1.00000003201635</v>
      </c>
    </row>
    <row r="8287" spans="1:40" x14ac:dyDescent="0.25">
      <c r="A8287" t="str">
        <f>"20190304154957941"</f>
        <v>20190304154957941</v>
      </c>
      <c r="B8287" t="str">
        <f>"1551685797935608"</f>
        <v>1551685797935608</v>
      </c>
      <c r="C8287" t="s">
        <v>40</v>
      </c>
      <c r="D8287">
        <v>3.9018540000000002</v>
      </c>
      <c r="E8287">
        <v>0.53843560000000001</v>
      </c>
      <c r="F8287" t="s">
        <v>42</v>
      </c>
      <c r="G8287">
        <v>0</v>
      </c>
      <c r="H8287">
        <v>0</v>
      </c>
      <c r="I8287">
        <v>0</v>
      </c>
      <c r="J8287">
        <v>-166.62790000000001</v>
      </c>
      <c r="K8287">
        <v>1.108325</v>
      </c>
      <c r="L8287">
        <v>136.76580000000001</v>
      </c>
      <c r="M8287">
        <v>0.98025799999999996</v>
      </c>
      <c r="N8287">
        <v>-1.360286E-2</v>
      </c>
      <c r="O8287">
        <v>0.1972545</v>
      </c>
      <c r="P8287">
        <v>0.97292319999999999</v>
      </c>
      <c r="Q8287">
        <v>0.1820851</v>
      </c>
      <c r="R8287">
        <v>0.1423575</v>
      </c>
      <c r="S8287">
        <v>3.0690770000000001</v>
      </c>
      <c r="T8287">
        <v>-2.0496609999999998E-2</v>
      </c>
      <c r="U8287">
        <v>0.1286011</v>
      </c>
      <c r="V8287">
        <v>5.3682460000000001E-2</v>
      </c>
      <c r="W8287">
        <v>0.1950683</v>
      </c>
      <c r="X8287">
        <v>0.97931950000000001</v>
      </c>
      <c r="Y8287">
        <v>0.15604170000000001</v>
      </c>
      <c r="Z8287">
        <v>-1.932588E-4</v>
      </c>
      <c r="AA8287">
        <v>0.98775049999999998</v>
      </c>
      <c r="AB8287">
        <v>25</v>
      </c>
      <c r="AC8287">
        <v>3.0690770000000001</v>
      </c>
      <c r="AD8287">
        <v>-2.0496609999999998E-2</v>
      </c>
      <c r="AE8287">
        <v>0.1286011</v>
      </c>
      <c r="AF8287">
        <v>0.47934997348671399</v>
      </c>
      <c r="AG8287">
        <v>-2.0496609999999998E-2</v>
      </c>
      <c r="AH8287">
        <v>3.03399988659134</v>
      </c>
      <c r="AI8287">
        <v>90.382321607623794</v>
      </c>
      <c r="AJ8287">
        <v>81.021894549510407</v>
      </c>
      <c r="AK8287">
        <v>3.0717017791347301</v>
      </c>
      <c r="AL8287">
        <v>78.751287233084</v>
      </c>
      <c r="AM8287">
        <v>86.862409835250602</v>
      </c>
      <c r="AN8287">
        <v>1.0000000656283901</v>
      </c>
    </row>
    <row r="8288" spans="1:40" x14ac:dyDescent="0.25">
      <c r="A8288" t="str">
        <f>"20190304154957963"</f>
        <v>20190304154957963</v>
      </c>
      <c r="B8288" t="str">
        <f>"1551685797956104"</f>
        <v>1551685797956104</v>
      </c>
      <c r="C8288" t="s">
        <v>40</v>
      </c>
      <c r="D8288">
        <v>3.9381119999999998</v>
      </c>
      <c r="E8288">
        <v>0.53830979999999995</v>
      </c>
      <c r="F8288" t="s">
        <v>42</v>
      </c>
      <c r="G8288">
        <v>0</v>
      </c>
      <c r="H8288">
        <v>0</v>
      </c>
      <c r="I8288">
        <v>0</v>
      </c>
      <c r="J8288">
        <v>-166.3828</v>
      </c>
      <c r="K8288">
        <v>1.1082989999999999</v>
      </c>
      <c r="L8288">
        <v>136.81030000000001</v>
      </c>
      <c r="M8288">
        <v>0.98107759999999999</v>
      </c>
      <c r="N8288">
        <v>-1.3586539999999999E-2</v>
      </c>
      <c r="O8288">
        <v>0.1931377</v>
      </c>
      <c r="P8288">
        <v>0.97338069999999999</v>
      </c>
      <c r="Q8288">
        <v>0.1818408</v>
      </c>
      <c r="R8288">
        <v>0.13951379999999999</v>
      </c>
      <c r="S8288">
        <v>3.0705719999999999</v>
      </c>
      <c r="T8288">
        <v>-2.086294E-2</v>
      </c>
      <c r="U8288">
        <v>0.1149902</v>
      </c>
      <c r="V8288">
        <v>5.2449509999999998E-2</v>
      </c>
      <c r="W8288">
        <v>0.19481480000000001</v>
      </c>
      <c r="X8288">
        <v>0.97943670000000005</v>
      </c>
      <c r="Y8288">
        <v>0.1562868</v>
      </c>
      <c r="Z8288">
        <v>-2.5913679999999998E-4</v>
      </c>
      <c r="AA8288">
        <v>0.98771169999999997</v>
      </c>
      <c r="AB8288">
        <v>25</v>
      </c>
      <c r="AC8288">
        <v>3.0705719999999999</v>
      </c>
      <c r="AD8288">
        <v>-2.086294E-2</v>
      </c>
      <c r="AE8288">
        <v>0.1149902</v>
      </c>
      <c r="AF8288">
        <v>0.480251089051494</v>
      </c>
      <c r="AG8288">
        <v>-2.086294E-2</v>
      </c>
      <c r="AH8288">
        <v>3.0348185415947802</v>
      </c>
      <c r="AI8288">
        <v>90.389034288652695</v>
      </c>
      <c r="AJ8288">
        <v>81.007679270738294</v>
      </c>
      <c r="AK8288">
        <v>3.0726535683685601</v>
      </c>
      <c r="AL8288">
        <v>78.766095108276005</v>
      </c>
      <c r="AM8288">
        <v>86.934699396404895</v>
      </c>
      <c r="AN8288">
        <v>1.00000000335258</v>
      </c>
    </row>
    <row r="8289" spans="1:40" x14ac:dyDescent="0.25">
      <c r="A8289" t="str">
        <f>"20190304154957985"</f>
        <v>20190304154957985</v>
      </c>
      <c r="B8289" t="str">
        <f>"1551685797975624"</f>
        <v>1551685797975624</v>
      </c>
      <c r="C8289" t="s">
        <v>40</v>
      </c>
      <c r="D8289">
        <v>3.9370569999999998</v>
      </c>
      <c r="E8289">
        <v>0.53752200000000006</v>
      </c>
      <c r="F8289" t="s">
        <v>42</v>
      </c>
      <c r="G8289">
        <v>0</v>
      </c>
      <c r="H8289">
        <v>0</v>
      </c>
      <c r="I8289">
        <v>0</v>
      </c>
      <c r="J8289">
        <v>-166.14099999999999</v>
      </c>
      <c r="K8289">
        <v>1.10826</v>
      </c>
      <c r="L8289">
        <v>136.85310000000001</v>
      </c>
      <c r="M8289">
        <v>0.9818827</v>
      </c>
      <c r="N8289">
        <v>-1.357357E-2</v>
      </c>
      <c r="O8289">
        <v>0.1890027</v>
      </c>
      <c r="P8289">
        <v>0.97381949999999995</v>
      </c>
      <c r="Q8289">
        <v>0.18112619999999999</v>
      </c>
      <c r="R8289">
        <v>0.1373644</v>
      </c>
      <c r="S8289">
        <v>3.0708769999999999</v>
      </c>
      <c r="T8289">
        <v>-2.162886E-2</v>
      </c>
      <c r="U8289">
        <v>0.1061096</v>
      </c>
      <c r="V8289">
        <v>5.0520219999999998E-2</v>
      </c>
      <c r="W8289">
        <v>0.19409870000000001</v>
      </c>
      <c r="X8289">
        <v>0.9796802</v>
      </c>
      <c r="Y8289">
        <v>0.1549817</v>
      </c>
      <c r="Z8289">
        <v>-3.4289610000000001E-4</v>
      </c>
      <c r="AA8289">
        <v>0.9879173</v>
      </c>
      <c r="AB8289">
        <v>25</v>
      </c>
      <c r="AC8289">
        <v>3.0708769999999999</v>
      </c>
      <c r="AD8289">
        <v>-2.162886E-2</v>
      </c>
      <c r="AE8289">
        <v>0.1061096</v>
      </c>
      <c r="AF8289">
        <v>0.47623716698211099</v>
      </c>
      <c r="AG8289">
        <v>-2.162886E-2</v>
      </c>
      <c r="AH8289">
        <v>3.0354254086516601</v>
      </c>
      <c r="AI8289">
        <v>90.403319367447097</v>
      </c>
      <c r="AJ8289">
        <v>81.083378100747495</v>
      </c>
      <c r="AK8289">
        <v>3.0726335704551802</v>
      </c>
      <c r="AL8289">
        <v>78.807922418061906</v>
      </c>
      <c r="AM8289">
        <v>87.047981944434099</v>
      </c>
      <c r="AN8289">
        <v>0.99999994612128695</v>
      </c>
    </row>
    <row r="8290" spans="1:40" x14ac:dyDescent="0.25">
      <c r="A8290" t="str">
        <f>"20190304154958008"</f>
        <v>20190304154958008</v>
      </c>
      <c r="B8290" t="str">
        <f>"1551685798005880"</f>
        <v>1551685798005880</v>
      </c>
      <c r="C8290" t="s">
        <v>40</v>
      </c>
      <c r="D8290">
        <v>3.9575909999999999</v>
      </c>
      <c r="E8290">
        <v>0.53701949999999998</v>
      </c>
      <c r="F8290" t="s">
        <v>42</v>
      </c>
      <c r="G8290">
        <v>0</v>
      </c>
      <c r="H8290">
        <v>0</v>
      </c>
      <c r="I8290">
        <v>0</v>
      </c>
      <c r="J8290">
        <v>-165.89609999999999</v>
      </c>
      <c r="K8290">
        <v>1.108196</v>
      </c>
      <c r="L8290">
        <v>136.89529999999999</v>
      </c>
      <c r="M8290">
        <v>0.98269669999999998</v>
      </c>
      <c r="N8290">
        <v>-1.3563560000000001E-2</v>
      </c>
      <c r="O8290">
        <v>0.1847249</v>
      </c>
      <c r="P8290">
        <v>0.97402500000000003</v>
      </c>
      <c r="Q8290">
        <v>0.18155489999999999</v>
      </c>
      <c r="R8290">
        <v>0.135327</v>
      </c>
      <c r="S8290">
        <v>3.070465</v>
      </c>
      <c r="T8290">
        <v>-2.4129870000000001E-2</v>
      </c>
      <c r="U8290">
        <v>0.1040344</v>
      </c>
      <c r="V8290">
        <v>4.8313799999999997E-2</v>
      </c>
      <c r="W8290">
        <v>0.1945267</v>
      </c>
      <c r="X8290">
        <v>0.97970659999999998</v>
      </c>
      <c r="Y8290">
        <v>0.15134029999999901</v>
      </c>
      <c r="Z8290">
        <v>-5.4726949999999905E-4</v>
      </c>
      <c r="AA8290">
        <v>0.98848159999999896</v>
      </c>
      <c r="AB8290">
        <v>25</v>
      </c>
      <c r="AC8290">
        <v>3.070465</v>
      </c>
      <c r="AD8290">
        <v>-2.4129870000000001E-2</v>
      </c>
      <c r="AE8290">
        <v>0.1040344</v>
      </c>
      <c r="AF8290">
        <v>0.464971155552931</v>
      </c>
      <c r="AG8290">
        <v>-2.4129870000000001E-2</v>
      </c>
      <c r="AH8290">
        <v>3.0366455018004799</v>
      </c>
      <c r="AI8290">
        <v>90.450030738059993</v>
      </c>
      <c r="AJ8290">
        <v>81.294485807168996</v>
      </c>
      <c r="AK8290">
        <v>3.0721322122798602</v>
      </c>
      <c r="AL8290">
        <v>78.782923275103499</v>
      </c>
      <c r="AM8290">
        <v>87.176770983625104</v>
      </c>
      <c r="AN8290">
        <v>0.99999994118344304</v>
      </c>
    </row>
    <row r="8291" spans="1:40" x14ac:dyDescent="0.25">
      <c r="A8291" t="str">
        <f>"20190304154958031"</f>
        <v>20190304154958031</v>
      </c>
      <c r="B8291" t="str">
        <f>"1551685798025399"</f>
        <v>1551685798025399</v>
      </c>
      <c r="C8291" t="s">
        <v>40</v>
      </c>
      <c r="D8291">
        <v>3.9075929999999999</v>
      </c>
      <c r="E8291">
        <v>0.55601319999999999</v>
      </c>
      <c r="F8291" t="s">
        <v>42</v>
      </c>
      <c r="G8291">
        <v>0</v>
      </c>
      <c r="H8291">
        <v>0</v>
      </c>
      <c r="I8291">
        <v>0</v>
      </c>
      <c r="J8291">
        <v>-165.64879999999999</v>
      </c>
      <c r="K8291">
        <v>1.108123</v>
      </c>
      <c r="L8291">
        <v>136.9367</v>
      </c>
      <c r="M8291">
        <v>0.9835199</v>
      </c>
      <c r="N8291">
        <v>-1.355639E-2</v>
      </c>
      <c r="O8291">
        <v>0.18029149999999999</v>
      </c>
      <c r="P8291">
        <v>0.97421290000000005</v>
      </c>
      <c r="Q8291">
        <v>0.18250140000000001</v>
      </c>
      <c r="R8291">
        <v>0.1326745</v>
      </c>
      <c r="S8291">
        <v>3.07016</v>
      </c>
      <c r="T8291">
        <v>-2.1934749999999999E-2</v>
      </c>
      <c r="U8291">
        <v>0.10031130000000001</v>
      </c>
      <c r="V8291">
        <v>4.6570170000000001E-2</v>
      </c>
      <c r="W8291">
        <v>0.19546859999999999</v>
      </c>
      <c r="X8291">
        <v>0.97960360000000002</v>
      </c>
      <c r="Y8291">
        <v>0.14807690000000001</v>
      </c>
      <c r="Z8291">
        <v>-3.588439E-4</v>
      </c>
      <c r="AA8291">
        <v>0.98897579999999996</v>
      </c>
      <c r="AB8291">
        <v>25</v>
      </c>
      <c r="AC8291">
        <v>3.07016</v>
      </c>
      <c r="AD8291">
        <v>-2.1934749999999999E-2</v>
      </c>
      <c r="AE8291">
        <v>0.10031130000000001</v>
      </c>
      <c r="AF8291">
        <v>0.45488415578555702</v>
      </c>
      <c r="AG8291">
        <v>-2.1934749999999999E-2</v>
      </c>
      <c r="AH8291">
        <v>3.0377727028862598</v>
      </c>
      <c r="AI8291">
        <v>90.409145131439999</v>
      </c>
      <c r="AJ8291">
        <v>81.483655149123393</v>
      </c>
      <c r="AK8291">
        <v>3.0717199942122302</v>
      </c>
      <c r="AL8291">
        <v>78.727900620401201</v>
      </c>
      <c r="AM8291">
        <v>87.278218675607107</v>
      </c>
      <c r="AN8291">
        <v>0.999999983726374</v>
      </c>
    </row>
    <row r="8292" spans="1:40" x14ac:dyDescent="0.25">
      <c r="A8292" t="str">
        <f>"20190304154958053"</f>
        <v>20190304154958053</v>
      </c>
      <c r="B8292" t="str">
        <f>"1551685798045896"</f>
        <v>1551685798045896</v>
      </c>
      <c r="C8292" t="s">
        <v>40</v>
      </c>
      <c r="D8292">
        <v>3.8840249999999998</v>
      </c>
      <c r="E8292">
        <v>0.56431569999999998</v>
      </c>
      <c r="F8292" t="s">
        <v>42</v>
      </c>
      <c r="G8292">
        <v>0</v>
      </c>
      <c r="H8292">
        <v>0</v>
      </c>
      <c r="I8292">
        <v>0</v>
      </c>
      <c r="J8292">
        <v>-165.404</v>
      </c>
      <c r="K8292">
        <v>1.1080369999999999</v>
      </c>
      <c r="L8292">
        <v>136.97630000000001</v>
      </c>
      <c r="M8292">
        <v>0.98433919999999997</v>
      </c>
      <c r="N8292">
        <v>-1.35523E-2</v>
      </c>
      <c r="O8292">
        <v>0.17576369999999999</v>
      </c>
      <c r="P8292">
        <v>0.97456140000000002</v>
      </c>
      <c r="Q8292">
        <v>0.18263309999999999</v>
      </c>
      <c r="R8292">
        <v>0.12990560000000001</v>
      </c>
      <c r="S8292">
        <v>3.0828859999999998</v>
      </c>
      <c r="T8292">
        <v>2.3150799999999999E-2</v>
      </c>
      <c r="U8292">
        <v>-5.7434079999999998E-2</v>
      </c>
      <c r="V8292">
        <v>4.4881190000000001E-2</v>
      </c>
      <c r="W8292">
        <v>0.1955991</v>
      </c>
      <c r="X8292">
        <v>0.97965639999999998</v>
      </c>
      <c r="Y8292">
        <v>0.19405149999999999</v>
      </c>
      <c r="Z8292">
        <v>3.1187570000000002E-3</v>
      </c>
      <c r="AA8292">
        <v>0.98098640000000004</v>
      </c>
      <c r="AB8292">
        <v>25</v>
      </c>
      <c r="AC8292">
        <v>3.0828859999999998</v>
      </c>
      <c r="AD8292">
        <v>2.3150799999999999E-2</v>
      </c>
      <c r="AE8292">
        <v>-5.7434079999999998E-2</v>
      </c>
      <c r="AF8292">
        <v>0.59841523088000004</v>
      </c>
      <c r="AG8292">
        <v>2.3150799999999999E-2</v>
      </c>
      <c r="AH8292">
        <v>3.0246176858479301</v>
      </c>
      <c r="AI8292">
        <v>89.569798285802193</v>
      </c>
      <c r="AJ8292">
        <v>78.808662400136996</v>
      </c>
      <c r="AK8292">
        <v>3.08333405482343</v>
      </c>
      <c r="AL8292">
        <v>78.720276485054697</v>
      </c>
      <c r="AM8292">
        <v>87.376931377682993</v>
      </c>
      <c r="AN8292">
        <v>0.99999999559879205</v>
      </c>
    </row>
    <row r="8293" spans="1:40" x14ac:dyDescent="0.25">
      <c r="A8293" t="str">
        <f>"20190304154958075"</f>
        <v>20190304154958075</v>
      </c>
      <c r="B8293" t="str">
        <f>"1551685798065415"</f>
        <v>1551685798065415</v>
      </c>
      <c r="C8293" t="s">
        <v>40</v>
      </c>
      <c r="D8293">
        <v>3.8998089999999999</v>
      </c>
      <c r="E8293">
        <v>0.56695340000000005</v>
      </c>
      <c r="F8293" t="s">
        <v>42</v>
      </c>
      <c r="G8293">
        <v>0</v>
      </c>
      <c r="H8293">
        <v>0</v>
      </c>
      <c r="I8293">
        <v>0</v>
      </c>
      <c r="J8293">
        <v>-165.16630000000001</v>
      </c>
      <c r="K8293">
        <v>1.1079460000000001</v>
      </c>
      <c r="L8293">
        <v>137.01349999999999</v>
      </c>
      <c r="M8293">
        <v>0.98513709999999999</v>
      </c>
      <c r="N8293">
        <v>-1.3550400000000001E-2</v>
      </c>
      <c r="O8293">
        <v>0.17123469999999999</v>
      </c>
      <c r="P8293">
        <v>0.97498110000000004</v>
      </c>
      <c r="Q8293">
        <v>0.1822308</v>
      </c>
      <c r="R8293">
        <v>0.1272952</v>
      </c>
      <c r="S8293">
        <v>3.0865629999999999</v>
      </c>
      <c r="T8293">
        <v>4.9452299999999998E-2</v>
      </c>
      <c r="U8293">
        <v>-0.1316223</v>
      </c>
      <c r="V8293">
        <v>4.3048000000000003E-2</v>
      </c>
      <c r="W8293">
        <v>0.1952016</v>
      </c>
      <c r="X8293">
        <v>0.97981790000000002</v>
      </c>
      <c r="Y8293">
        <v>0.2129915</v>
      </c>
      <c r="Z8293">
        <v>5.321536E-3</v>
      </c>
      <c r="AA8293">
        <v>0.97703960000000001</v>
      </c>
      <c r="AB8293">
        <v>25</v>
      </c>
      <c r="AC8293">
        <v>3.0865629999999999</v>
      </c>
      <c r="AD8293">
        <v>4.9452299999999998E-2</v>
      </c>
      <c r="AE8293">
        <v>-0.1316223</v>
      </c>
      <c r="AF8293">
        <v>0.65808449893384802</v>
      </c>
      <c r="AG8293">
        <v>4.9452299999999998E-2</v>
      </c>
      <c r="AH8293">
        <v>3.0176532594662002</v>
      </c>
      <c r="AI8293">
        <v>89.082695297161095</v>
      </c>
      <c r="AJ8293">
        <v>77.697649460713905</v>
      </c>
      <c r="AK8293">
        <v>3.08897263375371</v>
      </c>
      <c r="AL8293">
        <v>78.743498758153294</v>
      </c>
      <c r="AM8293">
        <v>87.484345224997199</v>
      </c>
      <c r="AN8293">
        <v>0.99999995605348402</v>
      </c>
    </row>
    <row r="8294" spans="1:40" x14ac:dyDescent="0.25">
      <c r="A8294" t="str">
        <f>"20190304154958097"</f>
        <v>20190304154958097</v>
      </c>
      <c r="B8294" t="str">
        <f>"1551685798085912"</f>
        <v>1551685798085912</v>
      </c>
      <c r="C8294" t="s">
        <v>40</v>
      </c>
      <c r="D8294">
        <v>3.9234499999999999</v>
      </c>
      <c r="E8294">
        <v>0.56815530000000003</v>
      </c>
      <c r="F8294" t="s">
        <v>42</v>
      </c>
      <c r="G8294">
        <v>0</v>
      </c>
      <c r="H8294">
        <v>0</v>
      </c>
      <c r="I8294">
        <v>0</v>
      </c>
      <c r="J8294">
        <v>-164.92310000000001</v>
      </c>
      <c r="K8294">
        <v>1.107858</v>
      </c>
      <c r="L8294">
        <v>137.05019999999999</v>
      </c>
      <c r="M8294">
        <v>0.98595140000000003</v>
      </c>
      <c r="N8294">
        <v>-1.354962E-2</v>
      </c>
      <c r="O8294">
        <v>0.16648289999999999</v>
      </c>
      <c r="P8294">
        <v>0.97539100000000001</v>
      </c>
      <c r="Q8294">
        <v>0.18218129999999999</v>
      </c>
      <c r="R8294">
        <v>0.12418709999999999</v>
      </c>
      <c r="S8294">
        <v>3.0876920000000001</v>
      </c>
      <c r="T8294">
        <v>5.4962160000000003E-2</v>
      </c>
      <c r="U8294">
        <v>-0.16085820000000001</v>
      </c>
      <c r="V8294">
        <v>4.1483989999999998E-2</v>
      </c>
      <c r="W8294">
        <v>0.1951562</v>
      </c>
      <c r="X8294">
        <v>0.9798945</v>
      </c>
      <c r="Y8294">
        <v>0.2174828</v>
      </c>
      <c r="Z8294">
        <v>5.6732319999999899E-3</v>
      </c>
      <c r="AA8294">
        <v>0.97604769999999996</v>
      </c>
      <c r="AB8294">
        <v>25</v>
      </c>
      <c r="AC8294">
        <v>3.0876920000000001</v>
      </c>
      <c r="AD8294">
        <v>5.4962160000000003E-2</v>
      </c>
      <c r="AE8294">
        <v>-0.16085820000000001</v>
      </c>
      <c r="AF8294">
        <v>0.67249542969137999</v>
      </c>
      <c r="AG8294">
        <v>5.4962160000000003E-2</v>
      </c>
      <c r="AH8294">
        <v>3.0168573597157402</v>
      </c>
      <c r="AI8294">
        <v>88.981278793190299</v>
      </c>
      <c r="AJ8294">
        <v>77.4335051152581</v>
      </c>
      <c r="AK8294">
        <v>3.0913911546193402</v>
      </c>
      <c r="AL8294">
        <v>78.746152037709294</v>
      </c>
      <c r="AM8294">
        <v>87.575821598519298</v>
      </c>
      <c r="AN8294">
        <v>1.0000000474774999</v>
      </c>
    </row>
    <row r="8295" spans="1:40" x14ac:dyDescent="0.25">
      <c r="A8295" t="str">
        <f>"20190304154958120"</f>
        <v>20190304154958120</v>
      </c>
      <c r="B8295" t="str">
        <f>"1551685798115192"</f>
        <v>1551685798115192</v>
      </c>
      <c r="C8295" t="s">
        <v>40</v>
      </c>
      <c r="D8295">
        <v>3.9230010000000002</v>
      </c>
      <c r="E8295">
        <v>0.56884579999999996</v>
      </c>
      <c r="F8295" t="s">
        <v>42</v>
      </c>
      <c r="G8295">
        <v>0</v>
      </c>
      <c r="H8295">
        <v>0</v>
      </c>
      <c r="I8295">
        <v>0</v>
      </c>
      <c r="J8295">
        <v>-164.67789999999999</v>
      </c>
      <c r="K8295">
        <v>1.1077840000000001</v>
      </c>
      <c r="L8295">
        <v>137.08590000000001</v>
      </c>
      <c r="M8295">
        <v>0.98676660000000005</v>
      </c>
      <c r="N8295">
        <v>-1.3549200000000001E-2</v>
      </c>
      <c r="O8295">
        <v>0.1615799</v>
      </c>
      <c r="P8295">
        <v>0.9759468</v>
      </c>
      <c r="Q8295">
        <v>0.1818033</v>
      </c>
      <c r="R8295">
        <v>0.1203149</v>
      </c>
      <c r="S8295">
        <v>3.0882719999999999</v>
      </c>
      <c r="T8295">
        <v>5.5336589999999998E-2</v>
      </c>
      <c r="U8295">
        <v>-0.17987059999999999</v>
      </c>
      <c r="V8295">
        <v>4.0542580000000002E-2</v>
      </c>
      <c r="W8295">
        <v>0.1947797</v>
      </c>
      <c r="X8295">
        <v>0.98000880000000001</v>
      </c>
      <c r="Y8295">
        <v>0.21861359999999999</v>
      </c>
      <c r="Z8295">
        <v>5.5526869999999997E-3</v>
      </c>
      <c r="AA8295">
        <v>0.97579570000000004</v>
      </c>
      <c r="AB8295">
        <v>24</v>
      </c>
      <c r="AC8295">
        <v>3.0882719999999999</v>
      </c>
      <c r="AD8295">
        <v>5.5336589999999998E-2</v>
      </c>
      <c r="AE8295">
        <v>-0.17987059999999999</v>
      </c>
      <c r="AF8295">
        <v>0.67633868144555298</v>
      </c>
      <c r="AG8295">
        <v>5.5336589999999998E-2</v>
      </c>
      <c r="AH8295">
        <v>3.01765174076455</v>
      </c>
      <c r="AI8295">
        <v>88.974875279775105</v>
      </c>
      <c r="AJ8295">
        <v>77.367208199769905</v>
      </c>
      <c r="AK8295">
        <v>3.0930111830951499</v>
      </c>
      <c r="AL8295">
        <v>78.768145887043005</v>
      </c>
      <c r="AM8295">
        <v>87.631046882888697</v>
      </c>
      <c r="AN8295">
        <v>1.0000000402012901</v>
      </c>
    </row>
    <row r="8296" spans="1:40" x14ac:dyDescent="0.25">
      <c r="A8296" t="str">
        <f>"20190304154958142"</f>
        <v>20190304154958142</v>
      </c>
      <c r="B8296" t="str">
        <f>"1551685798135687"</f>
        <v>1551685798135687</v>
      </c>
      <c r="C8296" t="s">
        <v>40</v>
      </c>
      <c r="D8296">
        <v>3.941894</v>
      </c>
      <c r="E8296">
        <v>0.56888280000000002</v>
      </c>
      <c r="F8296" t="s">
        <v>42</v>
      </c>
      <c r="G8296">
        <v>0</v>
      </c>
      <c r="H8296">
        <v>0</v>
      </c>
      <c r="I8296">
        <v>0</v>
      </c>
      <c r="J8296">
        <v>-164.43129999999999</v>
      </c>
      <c r="K8296">
        <v>1.10772</v>
      </c>
      <c r="L8296">
        <v>137.12049999999999</v>
      </c>
      <c r="M8296">
        <v>0.98757919999999999</v>
      </c>
      <c r="N8296">
        <v>-1.354928E-2</v>
      </c>
      <c r="O8296">
        <v>0.15653689999999901</v>
      </c>
      <c r="P8296">
        <v>0.97658239999999996</v>
      </c>
      <c r="Q8296">
        <v>0.1808244</v>
      </c>
      <c r="R8296">
        <v>0.1165731</v>
      </c>
      <c r="S8296">
        <v>3.0876920000000001</v>
      </c>
      <c r="T8296">
        <v>5.6816100000000001E-2</v>
      </c>
      <c r="U8296">
        <v>-0.197403</v>
      </c>
      <c r="V8296">
        <v>3.9339779999999998E-2</v>
      </c>
      <c r="W8296">
        <v>0.19380820000000001</v>
      </c>
      <c r="X8296">
        <v>0.98025039999999997</v>
      </c>
      <c r="Y8296">
        <v>0.2191583</v>
      </c>
      <c r="Z8296">
        <v>5.5222090000000001E-3</v>
      </c>
      <c r="AA8296">
        <v>0.97567369999999998</v>
      </c>
      <c r="AB8296">
        <v>24</v>
      </c>
      <c r="AC8296">
        <v>3.0876920000000001</v>
      </c>
      <c r="AD8296">
        <v>5.6816100000000001E-2</v>
      </c>
      <c r="AE8296">
        <v>-0.197403</v>
      </c>
      <c r="AF8296">
        <v>0.67812240869080498</v>
      </c>
      <c r="AG8296">
        <v>5.6816100000000001E-2</v>
      </c>
      <c r="AH8296">
        <v>3.01769895049725</v>
      </c>
      <c r="AI8296">
        <v>88.947621617343003</v>
      </c>
      <c r="AJ8296">
        <v>77.335156500103395</v>
      </c>
      <c r="AK8296">
        <v>3.0934745879382999</v>
      </c>
      <c r="AL8296">
        <v>78.824890108189507</v>
      </c>
      <c r="AM8296">
        <v>87.701817388799199</v>
      </c>
      <c r="AN8296">
        <v>1.0000000416889201</v>
      </c>
    </row>
    <row r="8297" spans="1:40" x14ac:dyDescent="0.25">
      <c r="A8297" t="str">
        <f>"20190304154958164"</f>
        <v>20190304154958164</v>
      </c>
      <c r="B8297" t="str">
        <f>"1551685798155208"</f>
        <v>1551685798155208</v>
      </c>
      <c r="C8297" t="s">
        <v>40</v>
      </c>
      <c r="D8297">
        <v>3.9491209999999999</v>
      </c>
      <c r="E8297">
        <v>0.56883209999999995</v>
      </c>
      <c r="F8297" t="s">
        <v>42</v>
      </c>
      <c r="G8297">
        <v>0</v>
      </c>
      <c r="H8297">
        <v>0</v>
      </c>
      <c r="I8297">
        <v>0</v>
      </c>
      <c r="J8297">
        <v>-164.19040000000001</v>
      </c>
      <c r="K8297">
        <v>1.1076569999999999</v>
      </c>
      <c r="L8297">
        <v>137.15289999999999</v>
      </c>
      <c r="M8297">
        <v>0.98836179999999996</v>
      </c>
      <c r="N8297">
        <v>-1.355015E-2</v>
      </c>
      <c r="O8297">
        <v>0.15151629999999899</v>
      </c>
      <c r="P8297">
        <v>0.97727799999999998</v>
      </c>
      <c r="Q8297">
        <v>0.1799376</v>
      </c>
      <c r="R8297">
        <v>0.1120274</v>
      </c>
      <c r="S8297">
        <v>3.0869900000000001</v>
      </c>
      <c r="T8297">
        <v>5.4275509999999999E-2</v>
      </c>
      <c r="U8297">
        <v>-0.2101288</v>
      </c>
      <c r="V8297">
        <v>3.8962070000000001E-2</v>
      </c>
      <c r="W8297">
        <v>0.1929226</v>
      </c>
      <c r="X8297">
        <v>0.98044010000000004</v>
      </c>
      <c r="Y8297">
        <v>0.21822739999999999</v>
      </c>
      <c r="Z8297">
        <v>5.1459790000000002E-3</v>
      </c>
      <c r="AA8297">
        <v>0.97588439999999999</v>
      </c>
      <c r="AB8297">
        <v>24</v>
      </c>
      <c r="AC8297">
        <v>3.0869900000000001</v>
      </c>
      <c r="AD8297">
        <v>5.4275509999999999E-2</v>
      </c>
      <c r="AE8297">
        <v>-0.2101288</v>
      </c>
      <c r="AF8297">
        <v>0.67526686775776901</v>
      </c>
      <c r="AG8297">
        <v>5.4275509999999999E-2</v>
      </c>
      <c r="AH8297">
        <v>3.0185736840802901</v>
      </c>
      <c r="AI8297">
        <v>88.9947442612402</v>
      </c>
      <c r="AJ8297">
        <v>77.390315911152996</v>
      </c>
      <c r="AK8297">
        <v>3.09365774769919</v>
      </c>
      <c r="AL8297">
        <v>78.876606636191298</v>
      </c>
      <c r="AM8297">
        <v>87.724299367260897</v>
      </c>
      <c r="AN8297">
        <v>0.99999998108872701</v>
      </c>
    </row>
    <row r="8298" spans="1:40" x14ac:dyDescent="0.25">
      <c r="A8298" t="str">
        <f>"20190304154958186"</f>
        <v>20190304154958186</v>
      </c>
      <c r="B8298" t="str">
        <f>"1551685798175704"</f>
        <v>1551685798175704</v>
      </c>
      <c r="C8298" t="s">
        <v>40</v>
      </c>
      <c r="D8298">
        <v>4.0066240000000004</v>
      </c>
      <c r="E8298">
        <v>0.56883700000000004</v>
      </c>
      <c r="F8298" t="s">
        <v>42</v>
      </c>
      <c r="G8298">
        <v>0</v>
      </c>
      <c r="H8298">
        <v>0</v>
      </c>
      <c r="I8298">
        <v>0</v>
      </c>
      <c r="J8298">
        <v>-163.9502</v>
      </c>
      <c r="K8298">
        <v>1.107605</v>
      </c>
      <c r="L8298">
        <v>137.18389999999999</v>
      </c>
      <c r="M8298">
        <v>0.98912770000000005</v>
      </c>
      <c r="N8298">
        <v>-1.355163E-2</v>
      </c>
      <c r="O8298">
        <v>0.1464337</v>
      </c>
      <c r="P8298">
        <v>0.97779550000000004</v>
      </c>
      <c r="Q8298">
        <v>0.1799608</v>
      </c>
      <c r="R8298">
        <v>0.107378</v>
      </c>
      <c r="S8298">
        <v>3.0861969999999999</v>
      </c>
      <c r="T8298">
        <v>5.0105690000000001E-2</v>
      </c>
      <c r="U8298">
        <v>-0.2241821</v>
      </c>
      <c r="V8298">
        <v>3.8606519999999998E-2</v>
      </c>
      <c r="W8298">
        <v>0.19294600000000001</v>
      </c>
      <c r="X8298">
        <v>0.98044960000000003</v>
      </c>
      <c r="Y8298">
        <v>0.2176613</v>
      </c>
      <c r="Z8298">
        <v>4.6428659999999998E-3</v>
      </c>
      <c r="AA8298">
        <v>0.97601329999999997</v>
      </c>
      <c r="AB8298">
        <v>24</v>
      </c>
      <c r="AC8298">
        <v>3.0861969999999999</v>
      </c>
      <c r="AD8298">
        <v>5.0105690000000001E-2</v>
      </c>
      <c r="AE8298">
        <v>-0.2241821</v>
      </c>
      <c r="AF8298">
        <v>0.67355320077882996</v>
      </c>
      <c r="AG8298">
        <v>5.0105690000000001E-2</v>
      </c>
      <c r="AH8298">
        <v>3.0193006535156801</v>
      </c>
      <c r="AI8298">
        <v>89.072061630950202</v>
      </c>
      <c r="AJ8298">
        <v>77.424228979598894</v>
      </c>
      <c r="AK8298">
        <v>3.09392322638588</v>
      </c>
      <c r="AL8298">
        <v>78.875240683577601</v>
      </c>
      <c r="AM8298">
        <v>87.745066659013901</v>
      </c>
      <c r="AN8298">
        <v>1.0000000202213299</v>
      </c>
    </row>
    <row r="8299" spans="1:40" x14ac:dyDescent="0.25">
      <c r="A8299" t="str">
        <f>"20190304154958209"</f>
        <v>20190304154958209</v>
      </c>
      <c r="B8299" t="str">
        <f>"1551685798205959"</f>
        <v>1551685798205959</v>
      </c>
      <c r="C8299" t="s">
        <v>40</v>
      </c>
      <c r="D8299">
        <v>3.9541879999999998</v>
      </c>
      <c r="E8299">
        <v>0.56834879999999999</v>
      </c>
      <c r="F8299" t="s">
        <v>42</v>
      </c>
      <c r="G8299">
        <v>0</v>
      </c>
      <c r="H8299">
        <v>0</v>
      </c>
      <c r="I8299">
        <v>0</v>
      </c>
      <c r="J8299">
        <v>-163.70140000000001</v>
      </c>
      <c r="K8299">
        <v>1.1075630000000001</v>
      </c>
      <c r="L8299">
        <v>137.21469999999999</v>
      </c>
      <c r="M8299">
        <v>0.98990180000000005</v>
      </c>
      <c r="N8299">
        <v>-1.355311E-2</v>
      </c>
      <c r="O8299">
        <v>0.14110590000000001</v>
      </c>
      <c r="P8299">
        <v>0.97841409999999995</v>
      </c>
      <c r="Q8299">
        <v>0.17944669999999999</v>
      </c>
      <c r="R8299">
        <v>0.10249220000000001</v>
      </c>
      <c r="S8299">
        <v>3.08548</v>
      </c>
      <c r="T8299">
        <v>4.8655150000000001E-2</v>
      </c>
      <c r="U8299">
        <v>-0.2394104</v>
      </c>
      <c r="V8299">
        <v>3.8253570000000001E-2</v>
      </c>
      <c r="W8299">
        <v>0.19243360000000001</v>
      </c>
      <c r="X8299">
        <v>0.98056410000000005</v>
      </c>
      <c r="Y8299">
        <v>0.21721789999999999</v>
      </c>
      <c r="Z8299">
        <v>4.3664130000000004E-3</v>
      </c>
      <c r="AA8299">
        <v>0.97611340000000002</v>
      </c>
      <c r="AB8299">
        <v>24</v>
      </c>
      <c r="AC8299">
        <v>3.08548</v>
      </c>
      <c r="AD8299">
        <v>4.8655150000000001E-2</v>
      </c>
      <c r="AE8299">
        <v>-0.2394104</v>
      </c>
      <c r="AF8299">
        <v>0.67226776607051697</v>
      </c>
      <c r="AG8299">
        <v>4.8655150000000001E-2</v>
      </c>
      <c r="AH8299">
        <v>3.0200707488967802</v>
      </c>
      <c r="AI8299">
        <v>89.099058046582499</v>
      </c>
      <c r="AJ8299">
        <v>77.450567147191705</v>
      </c>
      <c r="AK8299">
        <v>3.0943720851347001</v>
      </c>
      <c r="AL8299">
        <v>78.905159393825002</v>
      </c>
      <c r="AM8299">
        <v>87.765921445011003</v>
      </c>
      <c r="AN8299">
        <v>0.99999999011775698</v>
      </c>
    </row>
    <row r="8300" spans="1:40" x14ac:dyDescent="0.25">
      <c r="A8300" t="str">
        <f>"20190304154958232"</f>
        <v>20190304154958232</v>
      </c>
      <c r="B8300" t="str">
        <f>"1551685798225480"</f>
        <v>1551685798225480</v>
      </c>
      <c r="C8300" t="s">
        <v>40</v>
      </c>
      <c r="D8300">
        <v>3.492651</v>
      </c>
      <c r="E8300">
        <v>0.56840089999999999</v>
      </c>
      <c r="F8300" t="s">
        <v>42</v>
      </c>
      <c r="G8300">
        <v>0</v>
      </c>
      <c r="H8300">
        <v>0</v>
      </c>
      <c r="I8300">
        <v>0</v>
      </c>
      <c r="J8300">
        <v>-163.4579</v>
      </c>
      <c r="K8300">
        <v>1.1075330000000001</v>
      </c>
      <c r="L8300">
        <v>137.2433</v>
      </c>
      <c r="M8300">
        <v>0.99063800000000002</v>
      </c>
      <c r="N8300">
        <v>-1.3554210000000001E-2</v>
      </c>
      <c r="O8300">
        <v>0.13584070000000001</v>
      </c>
      <c r="P8300">
        <v>0.97896170000000005</v>
      </c>
      <c r="Q8300">
        <v>0.1790254</v>
      </c>
      <c r="R8300">
        <v>9.7897769999999995E-2</v>
      </c>
      <c r="S8300">
        <v>3.0842290000000001</v>
      </c>
      <c r="T8300">
        <v>4.5055869999999998E-2</v>
      </c>
      <c r="U8300">
        <v>-0.25115969999999999</v>
      </c>
      <c r="V8300">
        <v>3.7663700000000001E-2</v>
      </c>
      <c r="W8300">
        <v>0.1920172</v>
      </c>
      <c r="X8300">
        <v>0.9806686</v>
      </c>
      <c r="Y8300">
        <v>0.21576219999999999</v>
      </c>
      <c r="Z8300">
        <v>3.927537E-3</v>
      </c>
      <c r="AA8300">
        <v>0.97643800000000003</v>
      </c>
      <c r="AB8300">
        <v>24</v>
      </c>
      <c r="AC8300">
        <v>3.0842290000000001</v>
      </c>
      <c r="AD8300">
        <v>4.5055869999999998E-2</v>
      </c>
      <c r="AE8300">
        <v>-0.25115969999999999</v>
      </c>
      <c r="AF8300">
        <v>0.66769194650295105</v>
      </c>
      <c r="AG8300">
        <v>4.5055869999999998E-2</v>
      </c>
      <c r="AH8300">
        <v>3.0208737828353298</v>
      </c>
      <c r="AI8300">
        <v>89.165639923134293</v>
      </c>
      <c r="AJ8300">
        <v>77.536516571154806</v>
      </c>
      <c r="AK8300">
        <v>3.0941106926980102</v>
      </c>
      <c r="AL8300">
        <v>78.929471204711902</v>
      </c>
      <c r="AM8300">
        <v>87.800570994647003</v>
      </c>
      <c r="AN8300">
        <v>1.0000000312097399</v>
      </c>
    </row>
    <row r="8301" spans="1:40" x14ac:dyDescent="0.25">
      <c r="A8301" t="str">
        <f>"20190304154958321"</f>
        <v>20190304154958321</v>
      </c>
      <c r="B8301" t="str">
        <f>"1551685798315272"</f>
        <v>1551685798315272</v>
      </c>
      <c r="C8301" t="s">
        <v>40</v>
      </c>
      <c r="D8301">
        <v>3.7976770000000002</v>
      </c>
      <c r="E8301">
        <v>0.59252459999999996</v>
      </c>
      <c r="F8301" t="s">
        <v>42</v>
      </c>
      <c r="G8301">
        <v>0</v>
      </c>
      <c r="H8301">
        <v>0</v>
      </c>
      <c r="I8301">
        <v>0</v>
      </c>
      <c r="J8301">
        <v>-162.48429999999999</v>
      </c>
      <c r="K8301">
        <v>1.107507</v>
      </c>
      <c r="L8301">
        <v>137.3442</v>
      </c>
      <c r="M8301">
        <v>0.99332609999999999</v>
      </c>
      <c r="N8301">
        <v>-1.3553279999999999E-2</v>
      </c>
      <c r="O8301">
        <v>0.114542</v>
      </c>
      <c r="P8301">
        <v>0.98074050000000002</v>
      </c>
      <c r="Q8301">
        <v>0.1778275</v>
      </c>
      <c r="R8301">
        <v>8.0781770000000003E-2</v>
      </c>
      <c r="S8301">
        <v>3.08345</v>
      </c>
      <c r="T8301">
        <v>4.1946650000000002E-2</v>
      </c>
      <c r="U8301">
        <v>-0.26660159999999899</v>
      </c>
      <c r="V8301">
        <v>3.3752150000000002E-2</v>
      </c>
      <c r="W8301">
        <v>0.190856</v>
      </c>
      <c r="X8301">
        <v>0.98103759999999995</v>
      </c>
      <c r="Y8301">
        <v>0.19965849999999999</v>
      </c>
      <c r="Z8301">
        <v>3.1045640000000002E-3</v>
      </c>
      <c r="AA8301">
        <v>0.97986059999999997</v>
      </c>
      <c r="AB8301">
        <v>24</v>
      </c>
      <c r="AC8301">
        <v>3.08345</v>
      </c>
      <c r="AD8301">
        <v>4.1946650000000002E-2</v>
      </c>
      <c r="AE8301">
        <v>-0.26660159999999899</v>
      </c>
      <c r="AF8301">
        <v>0.61795002178838898</v>
      </c>
      <c r="AG8301">
        <v>4.1946650000000002E-2</v>
      </c>
      <c r="AH8301">
        <v>3.03205541055656</v>
      </c>
      <c r="AI8301">
        <v>89.223361557307797</v>
      </c>
      <c r="AJ8301">
        <v>78.480560591569002</v>
      </c>
      <c r="AK8301">
        <v>3.0946698957335999</v>
      </c>
      <c r="AL8301">
        <v>78.997256374407399</v>
      </c>
      <c r="AM8301">
        <v>88.029542120906697</v>
      </c>
      <c r="AN8301">
        <v>0.99999999648969096</v>
      </c>
    </row>
    <row r="8302" spans="1:40" x14ac:dyDescent="0.25">
      <c r="A8302" t="str">
        <f>"20190304154958339"</f>
        <v>20190304154958339</v>
      </c>
      <c r="B8302" t="str">
        <f>"1551685798335768"</f>
        <v>1551685798335768</v>
      </c>
      <c r="C8302" t="s">
        <v>40</v>
      </c>
      <c r="D8302">
        <v>4.0475960000000004</v>
      </c>
      <c r="E8302">
        <v>0.57713539999999997</v>
      </c>
      <c r="F8302" t="s">
        <v>44</v>
      </c>
      <c r="G8302">
        <v>-152.8133</v>
      </c>
      <c r="H8302" s="1">
        <v>-3.7522950000000001E-6</v>
      </c>
      <c r="I8302">
        <v>135.74369999999999</v>
      </c>
      <c r="J8302">
        <v>-162.29259999999999</v>
      </c>
      <c r="K8302">
        <v>1.1075170000000001</v>
      </c>
      <c r="L8302">
        <v>137.36160000000001</v>
      </c>
      <c r="M8302">
        <v>0.99380119999999905</v>
      </c>
      <c r="N8302">
        <v>-1.355224E-2</v>
      </c>
      <c r="O8302">
        <v>0.1103427</v>
      </c>
      <c r="P8302">
        <v>0.9810101</v>
      </c>
      <c r="Q8302">
        <v>0.17773920000000001</v>
      </c>
      <c r="R8302">
        <v>7.7639050000000001E-2</v>
      </c>
      <c r="S8302">
        <v>3.1678769999999998</v>
      </c>
      <c r="T8302">
        <v>-0.36278050000000001</v>
      </c>
      <c r="U8302">
        <v>-0.524231</v>
      </c>
      <c r="V8302">
        <v>3.2742849999999997E-2</v>
      </c>
      <c r="W8302">
        <v>0.19077640000000001</v>
      </c>
      <c r="X8302">
        <v>0.9810873</v>
      </c>
      <c r="Y8302">
        <v>0.26866689999999999</v>
      </c>
      <c r="Z8302">
        <v>-2.8110320000000001E-2</v>
      </c>
      <c r="AA8302">
        <v>0.96282290000000004</v>
      </c>
      <c r="AB8302">
        <v>24</v>
      </c>
      <c r="AC8302">
        <v>9.4792999999999896</v>
      </c>
      <c r="AD8302">
        <v>-1.1075207522949999</v>
      </c>
      <c r="AE8302">
        <v>-1.6179000000000101</v>
      </c>
      <c r="AF8302">
        <v>2.61934280194478</v>
      </c>
      <c r="AG8302">
        <v>-1.1075207522949999</v>
      </c>
      <c r="AH8302">
        <v>9.1218708750831308</v>
      </c>
      <c r="AI8302">
        <v>96.656190425731694</v>
      </c>
      <c r="AJ8302">
        <v>73.978594977261196</v>
      </c>
      <c r="AK8302">
        <v>9.5548985966651596</v>
      </c>
      <c r="AL8302">
        <v>79.001902633391495</v>
      </c>
      <c r="AM8302">
        <v>88.088517651514195</v>
      </c>
      <c r="AN8302">
        <v>1.0000000096221799</v>
      </c>
    </row>
    <row r="8303" spans="1:40" x14ac:dyDescent="0.25">
      <c r="A8303" t="str">
        <f>"20190304154958354"</f>
        <v>20190304154958354</v>
      </c>
      <c r="B8303" t="str">
        <f>"1551685798345529"</f>
        <v>1551685798345529</v>
      </c>
      <c r="C8303" t="s">
        <v>40</v>
      </c>
      <c r="D8303">
        <v>4.0338770000000004</v>
      </c>
      <c r="E8303">
        <v>0.57351359999999996</v>
      </c>
      <c r="F8303" t="s">
        <v>44</v>
      </c>
      <c r="G8303">
        <v>-142.83860000000001</v>
      </c>
      <c r="H8303" s="1">
        <v>-3.9029509999999999E-6</v>
      </c>
      <c r="I8303">
        <v>134.83320000000001</v>
      </c>
      <c r="J8303">
        <v>-162.12270000000001</v>
      </c>
      <c r="K8303">
        <v>1.1075330000000001</v>
      </c>
      <c r="L8303">
        <v>137.37629999999999</v>
      </c>
      <c r="M8303">
        <v>0.99420739999999996</v>
      </c>
      <c r="N8303">
        <v>-1.3551209999999999E-2</v>
      </c>
      <c r="O8303">
        <v>0.10662099999999999</v>
      </c>
      <c r="P8303">
        <v>0.98081680000000004</v>
      </c>
      <c r="Q8303">
        <v>0.17973459999999999</v>
      </c>
      <c r="R8303">
        <v>7.5456839999999997E-2</v>
      </c>
      <c r="S8303">
        <v>3.1223909999999999</v>
      </c>
      <c r="T8303">
        <v>-0.17775759999999999</v>
      </c>
      <c r="U8303">
        <v>-0.40579219999999999</v>
      </c>
      <c r="V8303">
        <v>3.1221909999999999E-2</v>
      </c>
      <c r="W8303">
        <v>0.1927808</v>
      </c>
      <c r="X8303">
        <v>0.98074499999999998</v>
      </c>
      <c r="Y8303">
        <v>0.23332410000000001</v>
      </c>
      <c r="Z8303">
        <v>-1.280158E-2</v>
      </c>
      <c r="AA8303">
        <v>0.97231480000000003</v>
      </c>
      <c r="AB8303">
        <v>24</v>
      </c>
      <c r="AC8303">
        <v>19.284099999999899</v>
      </c>
      <c r="AD8303">
        <v>-1.107536902951</v>
      </c>
      <c r="AE8303">
        <v>-2.5430999999999799</v>
      </c>
      <c r="AF8303">
        <v>4.5700630807960296</v>
      </c>
      <c r="AG8303">
        <v>-1.107536902951</v>
      </c>
      <c r="AH8303">
        <v>18.841894736150898</v>
      </c>
      <c r="AI8303">
        <v>93.269426052681595</v>
      </c>
      <c r="AJ8303">
        <v>76.366310442143003</v>
      </c>
      <c r="AK8303">
        <v>19.4198123523901</v>
      </c>
      <c r="AL8303">
        <v>78.884886820544295</v>
      </c>
      <c r="AM8303">
        <v>88.176610925674296</v>
      </c>
      <c r="AN8303">
        <v>0.99999999976884402</v>
      </c>
    </row>
    <row r="8304" spans="1:40" x14ac:dyDescent="0.25">
      <c r="A8304" t="str">
        <f>"20190304154958376"</f>
        <v>20190304154958376</v>
      </c>
      <c r="B8304" t="str">
        <f>"1551685798366024"</f>
        <v>1551685798366024</v>
      </c>
      <c r="C8304" t="s">
        <v>40</v>
      </c>
      <c r="D8304">
        <v>4.0599319999999999</v>
      </c>
      <c r="E8304">
        <v>0.56894509999999998</v>
      </c>
      <c r="F8304" t="s">
        <v>44</v>
      </c>
      <c r="G8304">
        <v>-133.2269</v>
      </c>
      <c r="H8304" s="1">
        <v>-3.9144530000000001E-6</v>
      </c>
      <c r="I8304">
        <v>133.82929999999999</v>
      </c>
      <c r="J8304">
        <v>-161.88149999999999</v>
      </c>
      <c r="K8304">
        <v>1.10755</v>
      </c>
      <c r="L8304">
        <v>137.39609999999999</v>
      </c>
      <c r="M8304">
        <v>0.9947587</v>
      </c>
      <c r="N8304">
        <v>-1.3549439999999999E-2</v>
      </c>
      <c r="O8304">
        <v>0.1013491</v>
      </c>
      <c r="P8304">
        <v>0.98117330000000003</v>
      </c>
      <c r="Q8304">
        <v>0.17967959999999999</v>
      </c>
      <c r="R8304">
        <v>7.0811470000000001E-2</v>
      </c>
      <c r="S8304">
        <v>3.1098789999999998</v>
      </c>
      <c r="T8304">
        <v>-0.1191972</v>
      </c>
      <c r="U8304">
        <v>-0.38174439999999998</v>
      </c>
      <c r="V8304">
        <v>3.0659160000000001E-2</v>
      </c>
      <c r="W8304">
        <v>0.19273019999999999</v>
      </c>
      <c r="X8304">
        <v>0.98077270000000005</v>
      </c>
      <c r="Y8304">
        <v>0.22156490000000001</v>
      </c>
      <c r="Z8304">
        <v>-8.2383700000000001E-3</v>
      </c>
      <c r="AA8304">
        <v>0.97511080000000006</v>
      </c>
      <c r="AB8304">
        <v>24</v>
      </c>
      <c r="AC8304">
        <v>28.654599999999899</v>
      </c>
      <c r="AD8304">
        <v>-1.107553914453</v>
      </c>
      <c r="AE8304">
        <v>-3.5668000000000002</v>
      </c>
      <c r="AF8304">
        <v>6.4433360295038096</v>
      </c>
      <c r="AG8304">
        <v>-1.107553914453</v>
      </c>
      <c r="AH8304">
        <v>28.104156920612901</v>
      </c>
      <c r="AI8304">
        <v>92.199780891921193</v>
      </c>
      <c r="AJ8304">
        <v>77.087167798809503</v>
      </c>
      <c r="AK8304">
        <v>28.854581803951898</v>
      </c>
      <c r="AL8304">
        <v>78.887841414977203</v>
      </c>
      <c r="AM8304">
        <v>88.209505005685003</v>
      </c>
      <c r="AN8304">
        <v>1.00000000157461</v>
      </c>
    </row>
    <row r="8305" spans="1:40" x14ac:dyDescent="0.25">
      <c r="A8305" t="str">
        <f>"20190304154958410"</f>
        <v>20190304154958410</v>
      </c>
      <c r="B8305" t="str">
        <f>"1551685798406040"</f>
        <v>1551685798406040</v>
      </c>
      <c r="C8305" t="s">
        <v>40</v>
      </c>
      <c r="D8305">
        <v>4.1117220000000003</v>
      </c>
      <c r="E8305">
        <v>0.56200329999999998</v>
      </c>
      <c r="F8305" t="s">
        <v>44</v>
      </c>
      <c r="G8305">
        <v>-114.0043</v>
      </c>
      <c r="H8305" s="1">
        <v>-4.0892319999999998E-6</v>
      </c>
      <c r="I8305">
        <v>131.86359999999999</v>
      </c>
      <c r="J8305">
        <v>-161.51419999999999</v>
      </c>
      <c r="K8305">
        <v>1.1075649999999999</v>
      </c>
      <c r="L8305">
        <v>137.4238</v>
      </c>
      <c r="M8305">
        <v>0.99554189999999998</v>
      </c>
      <c r="N8305">
        <v>-1.3546219999999999E-2</v>
      </c>
      <c r="O8305">
        <v>9.3342919999999996E-2</v>
      </c>
      <c r="P8305">
        <v>0.9820468</v>
      </c>
      <c r="Q8305">
        <v>0.17760239999999999</v>
      </c>
      <c r="R8305">
        <v>6.3573699999999997E-2</v>
      </c>
      <c r="S8305">
        <v>3.0964969999999998</v>
      </c>
      <c r="T8305">
        <v>-7.1631909999999993E-2</v>
      </c>
      <c r="U8305">
        <v>-0.35781859999999999</v>
      </c>
      <c r="V8305">
        <v>3.0006350000000001E-2</v>
      </c>
      <c r="W8305">
        <v>0.19066259999999999</v>
      </c>
      <c r="X8305">
        <v>0.98119690000000004</v>
      </c>
      <c r="Y8305">
        <v>0.2069339</v>
      </c>
      <c r="Z8305">
        <v>-4.6843659999999997E-3</v>
      </c>
      <c r="AA8305">
        <v>0.97834370000000004</v>
      </c>
      <c r="AB8305">
        <v>24</v>
      </c>
      <c r="AC8305">
        <v>47.509899999999902</v>
      </c>
      <c r="AD8305">
        <v>-1.10756908923199</v>
      </c>
      <c r="AE8305">
        <v>-5.5602</v>
      </c>
      <c r="AF8305">
        <v>9.9656965249826595</v>
      </c>
      <c r="AG8305">
        <v>-1.10756908923199</v>
      </c>
      <c r="AH8305">
        <v>46.758313355417201</v>
      </c>
      <c r="AI8305">
        <v>91.327120767631101</v>
      </c>
      <c r="AJ8305">
        <v>77.968454401093396</v>
      </c>
      <c r="AK8305">
        <v>47.821351762145497</v>
      </c>
      <c r="AL8305">
        <v>79.008544509288896</v>
      </c>
      <c r="AM8305">
        <v>88.248362220822202</v>
      </c>
      <c r="AN8305">
        <v>0.99999998232434595</v>
      </c>
    </row>
    <row r="8306" spans="1:40" x14ac:dyDescent="0.25">
      <c r="A8306" t="str">
        <f>"20190304154958434"</f>
        <v>20190304154958434</v>
      </c>
      <c r="B8306" t="str">
        <f>"1551685798425562"</f>
        <v>1551685798425562</v>
      </c>
      <c r="C8306" t="s">
        <v>40</v>
      </c>
      <c r="D8306">
        <v>4.0796080000000003</v>
      </c>
      <c r="E8306">
        <v>0.55895890000000004</v>
      </c>
      <c r="F8306" t="s">
        <v>44</v>
      </c>
      <c r="G8306">
        <v>-82.934539999999998</v>
      </c>
      <c r="H8306">
        <v>7.9985979999999998E-2</v>
      </c>
      <c r="I8306">
        <v>129.17619999999999</v>
      </c>
      <c r="J8306">
        <v>-161.26730000000001</v>
      </c>
      <c r="K8306">
        <v>1.107586</v>
      </c>
      <c r="L8306">
        <v>137.4408</v>
      </c>
      <c r="M8306">
        <v>0.99603019999999998</v>
      </c>
      <c r="N8306">
        <v>-1.3543629999999999E-2</v>
      </c>
      <c r="O8306">
        <v>8.7981530000000002E-2</v>
      </c>
      <c r="P8306">
        <v>0.98215719999999995</v>
      </c>
      <c r="Q8306">
        <v>0.17875929999999901</v>
      </c>
      <c r="R8306">
        <v>5.8417730000000001E-2</v>
      </c>
      <c r="S8306">
        <v>3.0830839999999999</v>
      </c>
      <c r="T8306">
        <v>-4.0317180000000001E-2</v>
      </c>
      <c r="U8306">
        <v>-0.32359310000000002</v>
      </c>
      <c r="V8306">
        <v>2.9856190000000001E-2</v>
      </c>
      <c r="W8306">
        <v>0.1918164</v>
      </c>
      <c r="X8306">
        <v>0.98097659999999998</v>
      </c>
      <c r="Y8306">
        <v>0.19145519999999999</v>
      </c>
      <c r="Z8306">
        <v>-2.5079310000000001E-3</v>
      </c>
      <c r="AA8306">
        <v>0.98149810000000004</v>
      </c>
      <c r="AB8306">
        <v>24</v>
      </c>
      <c r="AC8306">
        <v>78.332759999999993</v>
      </c>
      <c r="AD8306">
        <v>-1.0276000199999999</v>
      </c>
      <c r="AE8306">
        <v>-8.2645999999999997</v>
      </c>
      <c r="AF8306">
        <v>15.1224381513889</v>
      </c>
      <c r="AG8306">
        <v>-1.0276000199999999</v>
      </c>
      <c r="AH8306">
        <v>77.288585070353506</v>
      </c>
      <c r="AI8306">
        <v>90.7475646119251</v>
      </c>
      <c r="AJ8306">
        <v>78.929255886617995</v>
      </c>
      <c r="AK8306">
        <v>78.760837220162699</v>
      </c>
      <c r="AL8306">
        <v>78.941193835736996</v>
      </c>
      <c r="AM8306">
        <v>88.256731316249699</v>
      </c>
      <c r="AN8306">
        <v>1.0000000065689101</v>
      </c>
    </row>
    <row r="8307" spans="1:40" x14ac:dyDescent="0.25">
      <c r="A8307" t="str">
        <f>"20190304154958455"</f>
        <v>20190304154958455</v>
      </c>
      <c r="B8307" t="str">
        <f>"1551685798446056"</f>
        <v>1551685798446056</v>
      </c>
      <c r="C8307" t="s">
        <v>40</v>
      </c>
      <c r="D8307">
        <v>4.0671419999999996</v>
      </c>
      <c r="E8307">
        <v>0.55627450000000001</v>
      </c>
      <c r="F8307" t="s">
        <v>44</v>
      </c>
      <c r="G8307">
        <v>-51.870289999999997</v>
      </c>
      <c r="H8307">
        <v>7.9986420000000003E-2</v>
      </c>
      <c r="I8307">
        <v>126.2598</v>
      </c>
      <c r="J8307">
        <v>-161.02940000000001</v>
      </c>
      <c r="K8307">
        <v>1.1076140000000001</v>
      </c>
      <c r="L8307">
        <v>137.45580000000001</v>
      </c>
      <c r="M8307">
        <v>0.99647090000000005</v>
      </c>
      <c r="N8307">
        <v>-1.35409E-2</v>
      </c>
      <c r="O8307">
        <v>8.2839140000000006E-2</v>
      </c>
      <c r="P8307">
        <v>0.98221400000000003</v>
      </c>
      <c r="Q8307">
        <v>0.17991879999999999</v>
      </c>
      <c r="R8307">
        <v>5.371252E-2</v>
      </c>
      <c r="S8307">
        <v>3.0784760000000002</v>
      </c>
      <c r="T8307">
        <v>-2.891707E-2</v>
      </c>
      <c r="U8307">
        <v>-0.31463619999999998</v>
      </c>
      <c r="V8307">
        <v>2.9471540000000001E-2</v>
      </c>
      <c r="W8307">
        <v>0.19297590000000001</v>
      </c>
      <c r="X8307">
        <v>0.98076079999999999</v>
      </c>
      <c r="Y8307">
        <v>0.183723</v>
      </c>
      <c r="Z8307">
        <v>-1.765471E-3</v>
      </c>
      <c r="AA8307">
        <v>0.98297639999999997</v>
      </c>
      <c r="AB8307">
        <v>24</v>
      </c>
      <c r="AC8307">
        <v>109.15911</v>
      </c>
      <c r="AD8307">
        <v>-1.0276275800000001</v>
      </c>
      <c r="AE8307">
        <v>-11.196</v>
      </c>
      <c r="AF8307">
        <v>20.1992162327833</v>
      </c>
      <c r="AG8307">
        <v>-1.0276275800000001</v>
      </c>
      <c r="AH8307">
        <v>107.846843331168</v>
      </c>
      <c r="AI8307">
        <v>90.536600881317298</v>
      </c>
      <c r="AJ8307">
        <v>79.391670462662503</v>
      </c>
      <c r="AK8307">
        <v>109.72696100484799</v>
      </c>
      <c r="AL8307">
        <v>78.873494591979394</v>
      </c>
      <c r="AM8307">
        <v>88.278798586168605</v>
      </c>
      <c r="AN8307">
        <v>1.0000000082337099</v>
      </c>
    </row>
    <row r="8308" spans="1:40" x14ac:dyDescent="0.25">
      <c r="A8308" t="str">
        <f>"20190304154958477"</f>
        <v>20190304154958477</v>
      </c>
      <c r="B8308" t="str">
        <f>"1551685798465576"</f>
        <v>1551685798465576</v>
      </c>
      <c r="C8308" t="s">
        <v>40</v>
      </c>
      <c r="D8308">
        <v>4.0717280000000002</v>
      </c>
      <c r="E8308">
        <v>0.55402079999999998</v>
      </c>
      <c r="F8308" t="s">
        <v>42</v>
      </c>
      <c r="G8308">
        <v>0</v>
      </c>
      <c r="H8308">
        <v>0</v>
      </c>
      <c r="I8308">
        <v>0</v>
      </c>
      <c r="J8308">
        <v>-160.79089999999999</v>
      </c>
      <c r="K8308">
        <v>1.107648</v>
      </c>
      <c r="L8308">
        <v>137.46969999999999</v>
      </c>
      <c r="M8308">
        <v>0.99688429999999995</v>
      </c>
      <c r="N8308">
        <v>-1.353744E-2</v>
      </c>
      <c r="O8308">
        <v>7.7706730000000002E-2</v>
      </c>
      <c r="P8308">
        <v>0.98229900000000003</v>
      </c>
      <c r="Q8308">
        <v>0.18076909999999999</v>
      </c>
      <c r="R8308">
        <v>4.9107539999999998E-2</v>
      </c>
      <c r="S8308">
        <v>3.07457</v>
      </c>
      <c r="T8308">
        <v>-1.8933889999999998E-2</v>
      </c>
      <c r="U8308">
        <v>-0.30682369999999998</v>
      </c>
      <c r="V8308">
        <v>2.8999560000000001E-2</v>
      </c>
      <c r="W8308">
        <v>0.1938259</v>
      </c>
      <c r="X8308">
        <v>0.98060720000000001</v>
      </c>
      <c r="Y8308">
        <v>0.17631749999999999</v>
      </c>
      <c r="Z8308">
        <v>-1.1663089999999999E-3</v>
      </c>
      <c r="AA8308">
        <v>0.98433269999999995</v>
      </c>
      <c r="AB8308">
        <v>24</v>
      </c>
      <c r="AC8308">
        <v>3.07457</v>
      </c>
      <c r="AD8308">
        <v>-1.8933889999999998E-2</v>
      </c>
      <c r="AE8308">
        <v>-0.30682369999999998</v>
      </c>
      <c r="AF8308">
        <v>0.54481200427359699</v>
      </c>
      <c r="AG8308">
        <v>-1.8933889999999998E-2</v>
      </c>
      <c r="AH8308">
        <v>3.0413129407842701</v>
      </c>
      <c r="AI8308">
        <v>90.3511050929541</v>
      </c>
      <c r="AJ8308">
        <v>79.843921964183906</v>
      </c>
      <c r="AK8308">
        <v>3.0897836519686899</v>
      </c>
      <c r="AL8308">
        <v>78.823855529270205</v>
      </c>
      <c r="AM8308">
        <v>88.306081914763993</v>
      </c>
      <c r="AN8308">
        <v>0.99999996734142105</v>
      </c>
    </row>
    <row r="8309" spans="1:40" x14ac:dyDescent="0.25">
      <c r="A8309" t="str">
        <f>"20190304154958499"</f>
        <v>20190304154958499</v>
      </c>
      <c r="B8309" t="str">
        <f>"1551685798495836"</f>
        <v>1551685798495836</v>
      </c>
      <c r="C8309" t="s">
        <v>40</v>
      </c>
      <c r="D8309">
        <v>4.1076810000000004</v>
      </c>
      <c r="E8309">
        <v>0.55089600000000005</v>
      </c>
      <c r="F8309" t="s">
        <v>42</v>
      </c>
      <c r="G8309">
        <v>0</v>
      </c>
      <c r="H8309">
        <v>0</v>
      </c>
      <c r="I8309">
        <v>0</v>
      </c>
      <c r="J8309">
        <v>-160.5489</v>
      </c>
      <c r="K8309">
        <v>1.107685</v>
      </c>
      <c r="L8309">
        <v>137.48249999999999</v>
      </c>
      <c r="M8309">
        <v>0.99727449999999995</v>
      </c>
      <c r="N8309">
        <v>-1.3533470000000001E-2</v>
      </c>
      <c r="O8309">
        <v>7.2529899999999994E-2</v>
      </c>
      <c r="P8309">
        <v>0.98264799999999997</v>
      </c>
      <c r="Q8309">
        <v>0.17978139999999901</v>
      </c>
      <c r="R8309">
        <v>4.5627630000000002E-2</v>
      </c>
      <c r="S8309">
        <v>3.0715940000000002</v>
      </c>
      <c r="T8309">
        <v>-1.325262E-2</v>
      </c>
      <c r="U8309">
        <v>-0.3019714</v>
      </c>
      <c r="V8309">
        <v>2.7368170000000001E-2</v>
      </c>
      <c r="W8309">
        <v>0.19285330000000001</v>
      </c>
      <c r="X8309">
        <v>0.98084590000000005</v>
      </c>
      <c r="Y8309">
        <v>0.16976060000000001</v>
      </c>
      <c r="Z8309">
        <v>-8.5010779999999996E-4</v>
      </c>
      <c r="AA8309">
        <v>0.98548500000000006</v>
      </c>
      <c r="AB8309">
        <v>24</v>
      </c>
      <c r="AC8309">
        <v>3.0715940000000002</v>
      </c>
      <c r="AD8309">
        <v>-1.325262E-2</v>
      </c>
      <c r="AE8309">
        <v>-0.3019714</v>
      </c>
      <c r="AF8309">
        <v>0.52396906439160396</v>
      </c>
      <c r="AG8309">
        <v>-1.325262E-2</v>
      </c>
      <c r="AH8309">
        <v>3.0415426337066398</v>
      </c>
      <c r="AI8309">
        <v>90.246023869060195</v>
      </c>
      <c r="AJ8309">
        <v>80.225548050590504</v>
      </c>
      <c r="AK8309">
        <v>3.0863734066103201</v>
      </c>
      <c r="AL8309">
        <v>78.880653954242504</v>
      </c>
      <c r="AM8309">
        <v>88.401712361033901</v>
      </c>
      <c r="AN8309">
        <v>1.0000000457984199</v>
      </c>
    </row>
    <row r="8310" spans="1:40" x14ac:dyDescent="0.25">
      <c r="A8310" t="str">
        <f>"20190304154958522"</f>
        <v>20190304154958522</v>
      </c>
      <c r="B8310" t="str">
        <f>"1551685798515355"</f>
        <v>1551685798515355</v>
      </c>
      <c r="C8310" t="s">
        <v>40</v>
      </c>
      <c r="D8310">
        <v>4.080622</v>
      </c>
      <c r="E8310">
        <v>0.54915879999999995</v>
      </c>
      <c r="F8310" t="s">
        <v>42</v>
      </c>
      <c r="G8310">
        <v>0</v>
      </c>
      <c r="H8310">
        <v>0</v>
      </c>
      <c r="I8310">
        <v>0</v>
      </c>
      <c r="J8310">
        <v>-160.30260000000001</v>
      </c>
      <c r="K8310">
        <v>1.107721</v>
      </c>
      <c r="L8310">
        <v>137.49440000000001</v>
      </c>
      <c r="M8310">
        <v>0.99764120000000001</v>
      </c>
      <c r="N8310">
        <v>-1.3529080000000001E-2</v>
      </c>
      <c r="O8310">
        <v>6.7297940000000001E-2</v>
      </c>
      <c r="P8310">
        <v>0.98276839999999999</v>
      </c>
      <c r="Q8310">
        <v>0.18001249999999999</v>
      </c>
      <c r="R8310">
        <v>4.1977250000000001E-2</v>
      </c>
      <c r="S8310">
        <v>3.0684969999999998</v>
      </c>
      <c r="T8310">
        <v>-1.193607E-2</v>
      </c>
      <c r="U8310">
        <v>-0.28706359999999997</v>
      </c>
      <c r="V8310">
        <v>2.5845300000000002E-2</v>
      </c>
      <c r="W8310">
        <v>0.19309470000000001</v>
      </c>
      <c r="X8310">
        <v>0.98083969999999998</v>
      </c>
      <c r="Y8310">
        <v>0.15993689999999999</v>
      </c>
      <c r="Z8310">
        <v>-7.4763399999999995E-4</v>
      </c>
      <c r="AA8310">
        <v>0.98712690000000003</v>
      </c>
      <c r="AB8310">
        <v>24</v>
      </c>
      <c r="AC8310">
        <v>3.0684969999999998</v>
      </c>
      <c r="AD8310">
        <v>-1.193607E-2</v>
      </c>
      <c r="AE8310">
        <v>-0.28706359999999997</v>
      </c>
      <c r="AF8310">
        <v>0.492927718912749</v>
      </c>
      <c r="AG8310">
        <v>-1.193607E-2</v>
      </c>
      <c r="AH8310">
        <v>3.0421730194481502</v>
      </c>
      <c r="AI8310">
        <v>90.221906710493997</v>
      </c>
      <c r="AJ8310">
        <v>80.796270723281395</v>
      </c>
      <c r="AK8310">
        <v>3.0818723020426799</v>
      </c>
      <c r="AL8310">
        <v>78.866557621268598</v>
      </c>
      <c r="AM8310">
        <v>88.4905953290816</v>
      </c>
      <c r="AN8310">
        <v>1.00000002989813</v>
      </c>
    </row>
    <row r="8311" spans="1:40" x14ac:dyDescent="0.25">
      <c r="A8311" t="str">
        <f>"20190304154958544"</f>
        <v>20190304154958544</v>
      </c>
      <c r="B8311" t="str">
        <f>"1551685798535848"</f>
        <v>1551685798535848</v>
      </c>
      <c r="C8311" t="s">
        <v>40</v>
      </c>
      <c r="D8311">
        <v>4.1024919999999998</v>
      </c>
      <c r="E8311">
        <v>0.54803250000000003</v>
      </c>
      <c r="F8311" t="s">
        <v>42</v>
      </c>
      <c r="G8311">
        <v>0</v>
      </c>
      <c r="H8311">
        <v>0</v>
      </c>
      <c r="I8311">
        <v>0</v>
      </c>
      <c r="J8311">
        <v>-160.06639999999999</v>
      </c>
      <c r="K8311">
        <v>1.1077600000000001</v>
      </c>
      <c r="L8311">
        <v>137.50460000000001</v>
      </c>
      <c r="M8311">
        <v>0.99796410000000002</v>
      </c>
      <c r="N8311">
        <v>-1.35243E-2</v>
      </c>
      <c r="O8311">
        <v>6.2326479999999997E-2</v>
      </c>
      <c r="P8311">
        <v>0.98271109999999995</v>
      </c>
      <c r="Q8311">
        <v>0.18101429999999999</v>
      </c>
      <c r="R8311">
        <v>3.8894190000000002E-2</v>
      </c>
      <c r="S8311">
        <v>3.066589</v>
      </c>
      <c r="T8311">
        <v>-1.0158540000000001E-2</v>
      </c>
      <c r="U8311">
        <v>-0.28392030000000001</v>
      </c>
      <c r="V8311">
        <v>2.4009019999999999E-2</v>
      </c>
      <c r="W8311">
        <v>0.1941071</v>
      </c>
      <c r="X8311">
        <v>0.98068650000000002</v>
      </c>
      <c r="Y8311">
        <v>0.1540707</v>
      </c>
      <c r="Z8311">
        <v>-6.6388280000000003E-4</v>
      </c>
      <c r="AA8311">
        <v>0.98805960000000004</v>
      </c>
      <c r="AB8311">
        <v>24</v>
      </c>
      <c r="AC8311">
        <v>3.066589</v>
      </c>
      <c r="AD8311">
        <v>-1.0158540000000001E-2</v>
      </c>
      <c r="AE8311">
        <v>-0.28392030000000001</v>
      </c>
      <c r="AF8311">
        <v>0.47451023734991299</v>
      </c>
      <c r="AG8311">
        <v>-1.0158540000000001E-2</v>
      </c>
      <c r="AH8311">
        <v>3.0428954102666301</v>
      </c>
      <c r="AI8311">
        <v>90.188994015428705</v>
      </c>
      <c r="AJ8311">
        <v>81.136659341636303</v>
      </c>
      <c r="AK8311">
        <v>3.0796875879066898</v>
      </c>
      <c r="AL8311">
        <v>78.807432473440102</v>
      </c>
      <c r="AM8311">
        <v>88.5975734498804</v>
      </c>
      <c r="AN8311">
        <v>1.0000000052970099</v>
      </c>
    </row>
    <row r="8312" spans="1:40" x14ac:dyDescent="0.25">
      <c r="A8312" t="str">
        <f>"20190304154958567"</f>
        <v>20190304154958567</v>
      </c>
      <c r="B8312" t="str">
        <f>"1551685798555368"</f>
        <v>1551685798555368</v>
      </c>
      <c r="C8312" t="s">
        <v>40</v>
      </c>
      <c r="D8312">
        <v>4.1398320000000002</v>
      </c>
      <c r="E8312">
        <v>0.54662379999999999</v>
      </c>
      <c r="F8312" t="s">
        <v>42</v>
      </c>
      <c r="G8312">
        <v>0</v>
      </c>
      <c r="H8312">
        <v>0</v>
      </c>
      <c r="I8312">
        <v>0</v>
      </c>
      <c r="J8312">
        <v>-159.82470000000001</v>
      </c>
      <c r="K8312">
        <v>1.1078059999999901</v>
      </c>
      <c r="L8312">
        <v>137.51390000000001</v>
      </c>
      <c r="M8312">
        <v>0.99826590000000004</v>
      </c>
      <c r="N8312">
        <v>-1.3518769999999999E-2</v>
      </c>
      <c r="O8312">
        <v>5.7293789999999997E-2</v>
      </c>
      <c r="P8312">
        <v>0.98278520000000003</v>
      </c>
      <c r="Q8312">
        <v>0.18128720000000001</v>
      </c>
      <c r="R8312">
        <v>3.5609679999999998E-2</v>
      </c>
      <c r="S8312">
        <v>3.0655209999999999</v>
      </c>
      <c r="T8312">
        <v>-8.2690719999999902E-3</v>
      </c>
      <c r="U8312">
        <v>-0.28344730000000001</v>
      </c>
      <c r="V8312">
        <v>2.2315729999999999E-2</v>
      </c>
      <c r="W8312">
        <v>0.19439049999999999</v>
      </c>
      <c r="X8312">
        <v>0.98067029999999999</v>
      </c>
      <c r="Y8312">
        <v>0.14896809999999999</v>
      </c>
      <c r="Z8312">
        <v>-5.9113809999999998E-4</v>
      </c>
      <c r="AA8312">
        <v>0.98884179999999999</v>
      </c>
      <c r="AB8312">
        <v>24</v>
      </c>
      <c r="AC8312">
        <v>3.0655209999999999</v>
      </c>
      <c r="AD8312">
        <v>-8.2690719999999902E-3</v>
      </c>
      <c r="AE8312">
        <v>-0.28344730000000001</v>
      </c>
      <c r="AF8312">
        <v>0.458629660089036</v>
      </c>
      <c r="AG8312">
        <v>-8.2690719999999902E-3</v>
      </c>
      <c r="AH8312">
        <v>3.04422132155028</v>
      </c>
      <c r="AI8312">
        <v>90.153896452735907</v>
      </c>
      <c r="AJ8312">
        <v>81.4324890501358</v>
      </c>
      <c r="AK8312">
        <v>3.0785862010420399</v>
      </c>
      <c r="AL8312">
        <v>78.790878901568703</v>
      </c>
      <c r="AM8312">
        <v>88.696425780141993</v>
      </c>
      <c r="AN8312">
        <v>0.99999994779888501</v>
      </c>
    </row>
    <row r="8313" spans="1:40" x14ac:dyDescent="0.25">
      <c r="A8313" t="str">
        <f>"20190304154958589"</f>
        <v>20190304154958589</v>
      </c>
      <c r="B8313" t="str">
        <f>"1551685798585624"</f>
        <v>1551685798585624</v>
      </c>
      <c r="C8313" t="s">
        <v>40</v>
      </c>
      <c r="D8313">
        <v>4.1452799999999996</v>
      </c>
      <c r="E8313">
        <v>0.54546090000000003</v>
      </c>
      <c r="F8313" t="s">
        <v>42</v>
      </c>
      <c r="G8313">
        <v>0</v>
      </c>
      <c r="H8313">
        <v>0</v>
      </c>
      <c r="I8313">
        <v>0</v>
      </c>
      <c r="J8313">
        <v>-159.5855</v>
      </c>
      <c r="K8313">
        <v>1.1078589999999999</v>
      </c>
      <c r="L8313">
        <v>137.52199999999999</v>
      </c>
      <c r="M8313">
        <v>0.99853630000000004</v>
      </c>
      <c r="N8313">
        <v>-1.350867E-2</v>
      </c>
      <c r="O8313">
        <v>5.2372830000000002E-2</v>
      </c>
      <c r="P8313">
        <v>0.98279000000000005</v>
      </c>
      <c r="Q8313">
        <v>0.1816778</v>
      </c>
      <c r="R8313">
        <v>3.3428029999999997E-2</v>
      </c>
      <c r="S8313">
        <v>3.0641630000000002</v>
      </c>
      <c r="T8313">
        <v>-7.6086519999999996E-3</v>
      </c>
      <c r="U8313">
        <v>-0.28195189999999998</v>
      </c>
      <c r="V8313">
        <v>1.9628179999999999E-2</v>
      </c>
      <c r="W8313">
        <v>0.1947942</v>
      </c>
      <c r="X8313">
        <v>0.98064770000000001</v>
      </c>
      <c r="Y8313">
        <v>0.14365439999999999</v>
      </c>
      <c r="Z8313">
        <v>-5.7432459999999996E-4</v>
      </c>
      <c r="AA8313">
        <v>0.98962779999999995</v>
      </c>
      <c r="AB8313">
        <v>24</v>
      </c>
      <c r="AC8313">
        <v>3.0641630000000002</v>
      </c>
      <c r="AD8313">
        <v>-7.6086519999999996E-3</v>
      </c>
      <c r="AE8313">
        <v>-0.28195189999999998</v>
      </c>
      <c r="AF8313">
        <v>0.442055697381392</v>
      </c>
      <c r="AG8313">
        <v>-7.6086519999999996E-3</v>
      </c>
      <c r="AH8313">
        <v>3.04517039634674</v>
      </c>
      <c r="AI8313">
        <v>90.141673762362501</v>
      </c>
      <c r="AJ8313">
        <v>81.740288685257596</v>
      </c>
      <c r="AK8313">
        <v>3.0770982879913298</v>
      </c>
      <c r="AL8313">
        <v>78.7672981739573</v>
      </c>
      <c r="AM8313">
        <v>88.853347916427694</v>
      </c>
      <c r="AN8313">
        <v>0.99999997865952095</v>
      </c>
    </row>
    <row r="8314" spans="1:40" x14ac:dyDescent="0.25">
      <c r="A8314" t="str">
        <f>"20190304154958612"</f>
        <v>20190304154958612</v>
      </c>
      <c r="B8314" t="str">
        <f>"1551685798606120"</f>
        <v>1551685798606120</v>
      </c>
      <c r="C8314" t="s">
        <v>40</v>
      </c>
      <c r="D8314">
        <v>4.1386760000000002</v>
      </c>
      <c r="E8314">
        <v>0.54458790000000001</v>
      </c>
      <c r="F8314" t="s">
        <v>42</v>
      </c>
      <c r="G8314">
        <v>0</v>
      </c>
      <c r="H8314">
        <v>0</v>
      </c>
      <c r="I8314">
        <v>0</v>
      </c>
      <c r="J8314">
        <v>-159.3339</v>
      </c>
      <c r="K8314">
        <v>1.1079129999999999</v>
      </c>
      <c r="L8314">
        <v>137.52930000000001</v>
      </c>
      <c r="M8314">
        <v>0.99879130000000005</v>
      </c>
      <c r="N8314">
        <v>-1.349184E-2</v>
      </c>
      <c r="O8314">
        <v>4.7265040000000001E-2</v>
      </c>
      <c r="P8314">
        <v>0.9827534</v>
      </c>
      <c r="Q8314">
        <v>0.18229770000000001</v>
      </c>
      <c r="R8314">
        <v>3.1040849999999998E-2</v>
      </c>
      <c r="S8314">
        <v>3.0619510000000001</v>
      </c>
      <c r="T8314">
        <v>2.7835369999999998E-4</v>
      </c>
      <c r="U8314">
        <v>-0.27890009999999998</v>
      </c>
      <c r="V8314">
        <v>1.696106E-2</v>
      </c>
      <c r="W8314">
        <v>0.19541990000000001</v>
      </c>
      <c r="X8314">
        <v>0.98057300000000003</v>
      </c>
      <c r="Y8314">
        <v>0.1376791</v>
      </c>
      <c r="Z8314">
        <v>-2.8395980000000003E-4</v>
      </c>
      <c r="AA8314">
        <v>0.99047680000000005</v>
      </c>
      <c r="AB8314">
        <v>24</v>
      </c>
      <c r="AC8314">
        <v>3.0619510000000001</v>
      </c>
      <c r="AD8314">
        <v>2.7835369999999998E-4</v>
      </c>
      <c r="AE8314">
        <v>-0.27890009999999998</v>
      </c>
      <c r="AF8314">
        <v>0.42332474125964098</v>
      </c>
      <c r="AG8314">
        <v>2.7835369999999998E-4</v>
      </c>
      <c r="AH8314">
        <v>3.04534484100847</v>
      </c>
      <c r="AI8314">
        <v>89.994812868685003</v>
      </c>
      <c r="AJ8314">
        <v>82.086189145015496</v>
      </c>
      <c r="AK8314">
        <v>3.0746266626535599</v>
      </c>
      <c r="AL8314">
        <v>78.730746112863798</v>
      </c>
      <c r="AM8314">
        <v>89.009048531475699</v>
      </c>
      <c r="AN8314">
        <v>1.00000001160066</v>
      </c>
    </row>
    <row r="8315" spans="1:40" x14ac:dyDescent="0.25">
      <c r="A8315" t="str">
        <f>"20190304154958634"</f>
        <v>20190304154958634</v>
      </c>
      <c r="B8315" t="str">
        <f>"1551685798625640"</f>
        <v>1551685798625640</v>
      </c>
      <c r="C8315" t="s">
        <v>40</v>
      </c>
      <c r="D8315">
        <v>4.179754</v>
      </c>
      <c r="E8315">
        <v>0.54411030000000005</v>
      </c>
      <c r="F8315" t="s">
        <v>42</v>
      </c>
      <c r="G8315">
        <v>0</v>
      </c>
      <c r="H8315">
        <v>0</v>
      </c>
      <c r="I8315">
        <v>0</v>
      </c>
      <c r="J8315">
        <v>-159.09370000000001</v>
      </c>
      <c r="K8315">
        <v>1.10796299999999</v>
      </c>
      <c r="L8315">
        <v>137.5351</v>
      </c>
      <c r="M8315">
        <v>0.99900719999999998</v>
      </c>
      <c r="N8315">
        <v>-1.346849E-2</v>
      </c>
      <c r="O8315">
        <v>4.2463599999999997E-2</v>
      </c>
      <c r="P8315">
        <v>0.98267530000000003</v>
      </c>
      <c r="Q8315">
        <v>0.1830426</v>
      </c>
      <c r="R8315">
        <v>2.9069080000000001E-2</v>
      </c>
      <c r="S8315">
        <v>3.0607600000000001</v>
      </c>
      <c r="T8315">
        <v>3.883839E-3</v>
      </c>
      <c r="U8315">
        <v>-0.27944950000000002</v>
      </c>
      <c r="V8315">
        <v>1.418211E-2</v>
      </c>
      <c r="W8315">
        <v>0.1961639</v>
      </c>
      <c r="X8315">
        <v>0.98046860000000002</v>
      </c>
      <c r="Y8315">
        <v>0.13312850000000001</v>
      </c>
      <c r="Z8315">
        <v>-1.8973509999999999E-4</v>
      </c>
      <c r="AA8315">
        <v>0.99109879999999995</v>
      </c>
      <c r="AB8315">
        <v>24</v>
      </c>
      <c r="AC8315">
        <v>3.0607600000000001</v>
      </c>
      <c r="AD8315">
        <v>3.883839E-3</v>
      </c>
      <c r="AE8315">
        <v>-0.27944950000000002</v>
      </c>
      <c r="AF8315">
        <v>0.40917942346602998</v>
      </c>
      <c r="AG8315">
        <v>3.883839E-3</v>
      </c>
      <c r="AH8315">
        <v>3.0461263650288299</v>
      </c>
      <c r="AI8315">
        <v>89.9275976872146</v>
      </c>
      <c r="AJ8315">
        <v>82.349381008972401</v>
      </c>
      <c r="AK8315">
        <v>3.0734880374774698</v>
      </c>
      <c r="AL8315">
        <v>78.687277068059203</v>
      </c>
      <c r="AM8315">
        <v>89.171295863765195</v>
      </c>
      <c r="AN8315">
        <v>1.0000000417466099</v>
      </c>
    </row>
    <row r="8316" spans="1:40" x14ac:dyDescent="0.25">
      <c r="A8316" t="str">
        <f>"20190304154958655"</f>
        <v>20190304154958655</v>
      </c>
      <c r="B8316" t="str">
        <f>"1551685798646136"</f>
        <v>1551685798646136</v>
      </c>
      <c r="C8316" t="s">
        <v>40</v>
      </c>
      <c r="D8316">
        <v>4.1756589999999996</v>
      </c>
      <c r="E8316">
        <v>0.54362959999999905</v>
      </c>
      <c r="F8316" t="s">
        <v>42</v>
      </c>
      <c r="G8316">
        <v>0</v>
      </c>
      <c r="H8316">
        <v>0</v>
      </c>
      <c r="I8316">
        <v>0</v>
      </c>
      <c r="J8316">
        <v>-158.86019999999999</v>
      </c>
      <c r="K8316">
        <v>1.1080099999999999</v>
      </c>
      <c r="L8316">
        <v>137.53970000000001</v>
      </c>
      <c r="M8316">
        <v>0.99919290000000005</v>
      </c>
      <c r="N8316">
        <v>-1.344184E-2</v>
      </c>
      <c r="O8316">
        <v>3.7852829999999997E-2</v>
      </c>
      <c r="P8316">
        <v>0.98247059999999997</v>
      </c>
      <c r="Q8316">
        <v>0.18442910000000001</v>
      </c>
      <c r="R8316">
        <v>2.7158310000000001E-2</v>
      </c>
      <c r="S8316">
        <v>3.0594640000000002</v>
      </c>
      <c r="T8316">
        <v>9.3958380000000001E-3</v>
      </c>
      <c r="U8316">
        <v>-0.28153990000000001</v>
      </c>
      <c r="V8316">
        <v>1.1534559999999999E-2</v>
      </c>
      <c r="W8316">
        <v>0.1975421</v>
      </c>
      <c r="X8316">
        <v>0.9802265</v>
      </c>
      <c r="Y8316">
        <v>0.12926369999999901</v>
      </c>
      <c r="Z8316" s="1">
        <v>-4.8905839999999998E-5</v>
      </c>
      <c r="AA8316">
        <v>0.9916102</v>
      </c>
      <c r="AB8316">
        <v>24</v>
      </c>
      <c r="AC8316">
        <v>3.0594640000000002</v>
      </c>
      <c r="AD8316">
        <v>9.3958380000000001E-3</v>
      </c>
      <c r="AE8316">
        <v>-0.28153990000000001</v>
      </c>
      <c r="AF8316">
        <v>0.39715421272021301</v>
      </c>
      <c r="AG8316">
        <v>9.3958380000000001E-3</v>
      </c>
      <c r="AH8316">
        <v>3.04658442404605</v>
      </c>
      <c r="AI8316">
        <v>89.8247797010754</v>
      </c>
      <c r="AJ8316">
        <v>82.572777987540604</v>
      </c>
      <c r="AK8316">
        <v>3.0723763446708698</v>
      </c>
      <c r="AL8316">
        <v>78.6067351248481</v>
      </c>
      <c r="AM8316">
        <v>89.325817955911802</v>
      </c>
      <c r="AN8316">
        <v>0.99999995932452601</v>
      </c>
    </row>
    <row r="8317" spans="1:40" x14ac:dyDescent="0.25">
      <c r="A8317" t="str">
        <f>"20190304154958678"</f>
        <v>20190304154958678</v>
      </c>
      <c r="B8317" t="str">
        <f>"1551685798675417"</f>
        <v>1551685798675417</v>
      </c>
      <c r="C8317" t="s">
        <v>40</v>
      </c>
      <c r="D8317">
        <v>4.1897379999999904</v>
      </c>
      <c r="E8317">
        <v>0.542796099999999</v>
      </c>
      <c r="F8317" t="s">
        <v>42</v>
      </c>
      <c r="G8317">
        <v>0</v>
      </c>
      <c r="H8317">
        <v>0</v>
      </c>
      <c r="I8317">
        <v>0</v>
      </c>
      <c r="J8317">
        <v>-158.62029999999999</v>
      </c>
      <c r="K8317">
        <v>1.108055</v>
      </c>
      <c r="L8317">
        <v>137.54339999999999</v>
      </c>
      <c r="M8317">
        <v>0.99935940000000001</v>
      </c>
      <c r="N8317">
        <v>-1.340629E-2</v>
      </c>
      <c r="O8317">
        <v>3.3179090000000001E-2</v>
      </c>
      <c r="P8317">
        <v>0.98241500000000004</v>
      </c>
      <c r="Q8317">
        <v>0.1849346</v>
      </c>
      <c r="R8317">
        <v>2.56831E-2</v>
      </c>
      <c r="S8317">
        <v>3.058395</v>
      </c>
      <c r="T8317">
        <v>1.5694380000000001E-2</v>
      </c>
      <c r="U8317">
        <v>-0.28338619999999998</v>
      </c>
      <c r="V8317">
        <v>8.3913449999999997E-3</v>
      </c>
      <c r="W8317">
        <v>0.19803609999999999</v>
      </c>
      <c r="X8317">
        <v>0.9801588</v>
      </c>
      <c r="Y8317">
        <v>0.12525</v>
      </c>
      <c r="Z8317" s="1">
        <v>9.2979170000000004E-5</v>
      </c>
      <c r="AA8317">
        <v>0.99212520000000004</v>
      </c>
      <c r="AB8317">
        <v>24</v>
      </c>
      <c r="AC8317">
        <v>3.058395</v>
      </c>
      <c r="AD8317">
        <v>1.5694380000000001E-2</v>
      </c>
      <c r="AE8317">
        <v>-0.28338619999999998</v>
      </c>
      <c r="AF8317">
        <v>0.384703995387497</v>
      </c>
      <c r="AG8317">
        <v>1.5694380000000001E-2</v>
      </c>
      <c r="AH8317">
        <v>3.0472279111470102</v>
      </c>
      <c r="AI8317">
        <v>89.707231464524398</v>
      </c>
      <c r="AJ8317">
        <v>82.804634491596602</v>
      </c>
      <c r="AK8317">
        <v>3.07145591212117</v>
      </c>
      <c r="AL8317">
        <v>78.577860962822797</v>
      </c>
      <c r="AM8317">
        <v>89.5094908017996</v>
      </c>
      <c r="AN8317">
        <v>0.99999999239577897</v>
      </c>
    </row>
    <row r="8318" spans="1:40" x14ac:dyDescent="0.25">
      <c r="A8318" t="str">
        <f>"20190304154958700"</f>
        <v>20190304154958700</v>
      </c>
      <c r="B8318" t="str">
        <f>"1551685798695916"</f>
        <v>1551685798695916</v>
      </c>
      <c r="C8318" t="s">
        <v>40</v>
      </c>
      <c r="D8318">
        <v>4.3195269999999999</v>
      </c>
      <c r="E8318">
        <v>0.54207850000000002</v>
      </c>
      <c r="F8318" t="s">
        <v>42</v>
      </c>
      <c r="G8318">
        <v>0</v>
      </c>
      <c r="H8318">
        <v>0</v>
      </c>
      <c r="I8318">
        <v>0</v>
      </c>
      <c r="J8318">
        <v>-158.38059999999999</v>
      </c>
      <c r="K8318">
        <v>1.1080989999999999</v>
      </c>
      <c r="L8318">
        <v>137.54599999999999</v>
      </c>
      <c r="M8318">
        <v>0.99950229999999995</v>
      </c>
      <c r="N8318">
        <v>-1.335279E-2</v>
      </c>
      <c r="O8318">
        <v>2.858159E-2</v>
      </c>
      <c r="P8318">
        <v>0.98242719999999994</v>
      </c>
      <c r="Q8318">
        <v>0.18498249999999999</v>
      </c>
      <c r="R8318">
        <v>2.4861649999999999E-2</v>
      </c>
      <c r="S8318">
        <v>3.0574189999999999</v>
      </c>
      <c r="T8318">
        <v>1.931155E-2</v>
      </c>
      <c r="U8318">
        <v>-0.2812653</v>
      </c>
      <c r="V8318">
        <v>4.6680159999999997E-3</v>
      </c>
      <c r="W8318">
        <v>0.19806000000000001</v>
      </c>
      <c r="X8318">
        <v>0.98017880000000002</v>
      </c>
      <c r="Y8318">
        <v>0.1200312</v>
      </c>
      <c r="Z8318">
        <v>1.361294E-4</v>
      </c>
      <c r="AA8318">
        <v>0.99277009999999999</v>
      </c>
      <c r="AB8318">
        <v>24</v>
      </c>
      <c r="AC8318">
        <v>3.0574189999999999</v>
      </c>
      <c r="AD8318">
        <v>1.931155E-2</v>
      </c>
      <c r="AE8318">
        <v>-0.2812653</v>
      </c>
      <c r="AF8318">
        <v>0.36852947831096</v>
      </c>
      <c r="AG8318">
        <v>1.931155E-2</v>
      </c>
      <c r="AH8318">
        <v>3.0480094006568699</v>
      </c>
      <c r="AI8318">
        <v>89.639615351962703</v>
      </c>
      <c r="AJ8318">
        <v>83.105932022788394</v>
      </c>
      <c r="AK8318">
        <v>3.07026842781542</v>
      </c>
      <c r="AL8318">
        <v>78.576464206045102</v>
      </c>
      <c r="AM8318">
        <v>89.727135912859694</v>
      </c>
      <c r="AN8318">
        <v>1.0000000169714001</v>
      </c>
    </row>
    <row r="8319" spans="1:40" x14ac:dyDescent="0.25">
      <c r="A8319" t="str">
        <f>"20190304154958723"</f>
        <v>20190304154958723</v>
      </c>
      <c r="B8319" t="str">
        <f>"1551685798715432"</f>
        <v>1551685798715432</v>
      </c>
      <c r="C8319" t="s">
        <v>40</v>
      </c>
      <c r="D8319">
        <v>4.2077790000000004</v>
      </c>
      <c r="E8319">
        <v>0.54154309999999894</v>
      </c>
      <c r="F8319" t="s">
        <v>42</v>
      </c>
      <c r="G8319">
        <v>0</v>
      </c>
      <c r="H8319">
        <v>0</v>
      </c>
      <c r="I8319">
        <v>0</v>
      </c>
      <c r="J8319">
        <v>-158.13820000000001</v>
      </c>
      <c r="K8319">
        <v>1.1081449999999999</v>
      </c>
      <c r="L8319">
        <v>137.54769999999999</v>
      </c>
      <c r="M8319">
        <v>0.99962340000000005</v>
      </c>
      <c r="N8319">
        <v>-1.327586E-2</v>
      </c>
      <c r="O8319">
        <v>2.4023139999999998E-2</v>
      </c>
      <c r="P8319">
        <v>0.98245360000000004</v>
      </c>
      <c r="Q8319">
        <v>0.18487770000000001</v>
      </c>
      <c r="R8319">
        <v>2.4603989999999999E-2</v>
      </c>
      <c r="S8319">
        <v>3.0567470000000001</v>
      </c>
      <c r="T8319">
        <v>2.113628E-2</v>
      </c>
      <c r="U8319">
        <v>-0.2785492</v>
      </c>
      <c r="V8319">
        <v>4.1410509999999999E-4</v>
      </c>
      <c r="W8319">
        <v>0.19791039999999999</v>
      </c>
      <c r="X8319">
        <v>0.98021999999999998</v>
      </c>
      <c r="Y8319">
        <v>0.1146476</v>
      </c>
      <c r="Z8319">
        <v>1.169338E-4</v>
      </c>
      <c r="AA8319">
        <v>0.99340620000000002</v>
      </c>
      <c r="AB8319">
        <v>24</v>
      </c>
      <c r="AC8319">
        <v>3.0567470000000001</v>
      </c>
      <c r="AD8319">
        <v>2.113628E-2</v>
      </c>
      <c r="AE8319">
        <v>-0.2785492</v>
      </c>
      <c r="AF8319">
        <v>0.35189123330573802</v>
      </c>
      <c r="AG8319">
        <v>2.113628E-2</v>
      </c>
      <c r="AH8319">
        <v>3.04902788075725</v>
      </c>
      <c r="AI8319">
        <v>89.605443061934906</v>
      </c>
      <c r="AJ8319">
        <v>83.416565773444106</v>
      </c>
      <c r="AK8319">
        <v>3.06933953808384</v>
      </c>
      <c r="AL8319">
        <v>78.585208245864905</v>
      </c>
      <c r="AM8319">
        <v>89.975794747002396</v>
      </c>
      <c r="AN8319">
        <v>0.99999997315559597</v>
      </c>
    </row>
    <row r="8320" spans="1:40" x14ac:dyDescent="0.25">
      <c r="A8320" t="str">
        <f>"20190304154958745"</f>
        <v>20190304154958745</v>
      </c>
      <c r="B8320" t="str">
        <f>"1551685798735928"</f>
        <v>1551685798735928</v>
      </c>
      <c r="C8320" t="s">
        <v>40</v>
      </c>
      <c r="D8320">
        <v>4.145607</v>
      </c>
      <c r="E8320">
        <v>0.5409619</v>
      </c>
      <c r="F8320" t="s">
        <v>42</v>
      </c>
      <c r="G8320">
        <v>0</v>
      </c>
      <c r="H8320">
        <v>0</v>
      </c>
      <c r="I8320">
        <v>0</v>
      </c>
      <c r="J8320">
        <v>-157.9023</v>
      </c>
      <c r="K8320">
        <v>1.108201</v>
      </c>
      <c r="L8320">
        <v>137.54830000000001</v>
      </c>
      <c r="M8320">
        <v>0.99971949999999998</v>
      </c>
      <c r="N8320">
        <v>-1.317723E-2</v>
      </c>
      <c r="O8320">
        <v>1.968601E-2</v>
      </c>
      <c r="P8320">
        <v>0.98226769999999997</v>
      </c>
      <c r="Q8320">
        <v>0.1856276</v>
      </c>
      <c r="R8320">
        <v>2.6324759999999999E-2</v>
      </c>
      <c r="S8320">
        <v>3.0563349999999998</v>
      </c>
      <c r="T8320">
        <v>2.2125720000000001E-2</v>
      </c>
      <c r="U8320">
        <v>-0.27548220000000001</v>
      </c>
      <c r="V8320">
        <v>-5.6045909999999999E-3</v>
      </c>
      <c r="W8320">
        <v>0.19860259999999999</v>
      </c>
      <c r="X8320">
        <v>0.98006409999999999</v>
      </c>
      <c r="Y8320">
        <v>0.109359999999999</v>
      </c>
      <c r="Z8320" s="1">
        <v>7.4113369999999999E-5</v>
      </c>
      <c r="AA8320">
        <v>0.99400219999999995</v>
      </c>
      <c r="AB8320">
        <v>24</v>
      </c>
      <c r="AC8320">
        <v>3.0563349999999998</v>
      </c>
      <c r="AD8320">
        <v>2.2125720000000001E-2</v>
      </c>
      <c r="AE8320">
        <v>-0.27548220000000001</v>
      </c>
      <c r="AF8320">
        <v>0.33558361817852</v>
      </c>
      <c r="AG8320">
        <v>2.2125720000000001E-2</v>
      </c>
      <c r="AH8320">
        <v>3.0501604369808502</v>
      </c>
      <c r="AI8320">
        <v>89.586879162271998</v>
      </c>
      <c r="AJ8320">
        <v>83.721477112109795</v>
      </c>
      <c r="AK8320">
        <v>3.0686454020623701</v>
      </c>
      <c r="AL8320">
        <v>78.544745483810502</v>
      </c>
      <c r="AM8320">
        <v>90.327647864882593</v>
      </c>
      <c r="AN8320">
        <v>1.0000000221379199</v>
      </c>
    </row>
    <row r="8321" spans="1:40" x14ac:dyDescent="0.25">
      <c r="A8321" t="str">
        <f>"20190304154958779"</f>
        <v>20190304154958779</v>
      </c>
      <c r="B8321" t="str">
        <f>"1551685798775945"</f>
        <v>1551685798775945</v>
      </c>
      <c r="C8321" t="s">
        <v>40</v>
      </c>
      <c r="D8321">
        <v>4.1324079999999999</v>
      </c>
      <c r="E8321">
        <v>0.53947089999999998</v>
      </c>
      <c r="F8321" t="s">
        <v>42</v>
      </c>
      <c r="G8321">
        <v>0</v>
      </c>
      <c r="H8321">
        <v>0</v>
      </c>
      <c r="I8321">
        <v>0</v>
      </c>
      <c r="J8321">
        <v>-157.53399999999999</v>
      </c>
      <c r="K8321">
        <v>1.1083149999999999</v>
      </c>
      <c r="L8321">
        <v>137.54759999999999</v>
      </c>
      <c r="M8321">
        <v>0.99982919999999997</v>
      </c>
      <c r="N8321">
        <v>-1.2968149999999999E-2</v>
      </c>
      <c r="O8321">
        <v>1.3173529999999999E-2</v>
      </c>
      <c r="P8321">
        <v>0.98193900000000001</v>
      </c>
      <c r="Q8321">
        <v>0.18739980000000001</v>
      </c>
      <c r="R8321">
        <v>2.6028720000000002E-2</v>
      </c>
      <c r="S8321">
        <v>3.056549</v>
      </c>
      <c r="T8321">
        <v>2.4980309999999999E-2</v>
      </c>
      <c r="U8321">
        <v>-0.26510620000000001</v>
      </c>
      <c r="V8321">
        <v>-1.1773499999999999E-2</v>
      </c>
      <c r="W8321">
        <v>0.20020299999999999</v>
      </c>
      <c r="X8321">
        <v>0.97968370000000005</v>
      </c>
      <c r="Y8321">
        <v>9.9526329999999996E-2</v>
      </c>
      <c r="Z8321" s="1">
        <v>3.7333699999999998E-5</v>
      </c>
      <c r="AA8321">
        <v>0.99503490000000006</v>
      </c>
      <c r="AB8321">
        <v>24</v>
      </c>
      <c r="AC8321">
        <v>3.056549</v>
      </c>
      <c r="AD8321">
        <v>2.4980309999999999E-2</v>
      </c>
      <c r="AE8321">
        <v>-0.26510620000000001</v>
      </c>
      <c r="AF8321">
        <v>0.30533187303215797</v>
      </c>
      <c r="AG8321">
        <v>2.4980309999999999E-2</v>
      </c>
      <c r="AH8321">
        <v>3.0525886762402701</v>
      </c>
      <c r="AI8321">
        <v>89.533468627636296</v>
      </c>
      <c r="AJ8321">
        <v>84.288050152661398</v>
      </c>
      <c r="AK8321">
        <v>3.0679226187906599</v>
      </c>
      <c r="AL8321">
        <v>78.451169882361995</v>
      </c>
      <c r="AM8321">
        <v>90.688527723916494</v>
      </c>
      <c r="AN8321">
        <v>1.00000000427847</v>
      </c>
    </row>
    <row r="8322" spans="1:40" x14ac:dyDescent="0.25">
      <c r="A8322" t="str">
        <f>"20190304154958801"</f>
        <v>20190304154958801</v>
      </c>
      <c r="B8322" t="str">
        <f>"1551685798795468"</f>
        <v>1551685798795468</v>
      </c>
      <c r="C8322" t="s">
        <v>40</v>
      </c>
      <c r="D8322">
        <v>4.118671</v>
      </c>
      <c r="E8322">
        <v>0.53872469999999995</v>
      </c>
      <c r="F8322" t="s">
        <v>42</v>
      </c>
      <c r="G8322">
        <v>0</v>
      </c>
      <c r="H8322">
        <v>0</v>
      </c>
      <c r="I8322">
        <v>0</v>
      </c>
      <c r="J8322">
        <v>-157.29929999999999</v>
      </c>
      <c r="K8322">
        <v>1.1083970000000001</v>
      </c>
      <c r="L8322">
        <v>137.5461</v>
      </c>
      <c r="M8322">
        <v>0.99987550000000003</v>
      </c>
      <c r="N8322">
        <v>-1.2807519999999999E-2</v>
      </c>
      <c r="O8322">
        <v>9.2058009999999996E-3</v>
      </c>
      <c r="P8322">
        <v>0.98202429999999996</v>
      </c>
      <c r="Q8322">
        <v>0.1869132</v>
      </c>
      <c r="R8322">
        <v>2.6301419999999999E-2</v>
      </c>
      <c r="S8322">
        <v>3.0568390000000001</v>
      </c>
      <c r="T8322">
        <v>2.6329399999999999E-2</v>
      </c>
      <c r="U8322">
        <v>-0.25218200000000002</v>
      </c>
      <c r="V8322">
        <v>-1.5999880000000001E-2</v>
      </c>
      <c r="W8322">
        <v>0.19958300000000001</v>
      </c>
      <c r="X8322">
        <v>0.97975029999999996</v>
      </c>
      <c r="Y8322">
        <v>9.1389780000000004E-2</v>
      </c>
      <c r="Z8322" s="1">
        <v>3.5146370000000002E-6</v>
      </c>
      <c r="AA8322">
        <v>0.99581520000000001</v>
      </c>
      <c r="AB8322">
        <v>24</v>
      </c>
      <c r="AC8322">
        <v>3.0568390000000001</v>
      </c>
      <c r="AD8322">
        <v>2.6329399999999999E-2</v>
      </c>
      <c r="AE8322">
        <v>-0.25218200000000002</v>
      </c>
      <c r="AF8322">
        <v>0.280293620894281</v>
      </c>
      <c r="AG8322">
        <v>2.6329399999999999E-2</v>
      </c>
      <c r="AH8322">
        <v>3.05416266720602</v>
      </c>
      <c r="AI8322">
        <v>89.508142278036203</v>
      </c>
      <c r="AJ8322">
        <v>84.756408816496105</v>
      </c>
      <c r="AK8322">
        <v>3.0671105863619199</v>
      </c>
      <c r="AL8322">
        <v>78.487425045276197</v>
      </c>
      <c r="AM8322">
        <v>90.935589523852101</v>
      </c>
      <c r="AN8322">
        <v>1.0000000101995501</v>
      </c>
    </row>
    <row r="8323" spans="1:40" x14ac:dyDescent="0.25">
      <c r="A8323" t="str">
        <f>"20190304154958824"</f>
        <v>20190304154958824</v>
      </c>
      <c r="B8323" t="str">
        <f>"1551685798815960"</f>
        <v>1551685798815960</v>
      </c>
      <c r="C8323" t="s">
        <v>40</v>
      </c>
      <c r="D8323">
        <v>4.066173</v>
      </c>
      <c r="E8323">
        <v>0.53807539999999998</v>
      </c>
      <c r="F8323" t="s">
        <v>42</v>
      </c>
      <c r="G8323">
        <v>0</v>
      </c>
      <c r="H8323">
        <v>0</v>
      </c>
      <c r="I8323">
        <v>0</v>
      </c>
      <c r="J8323">
        <v>-157.0496</v>
      </c>
      <c r="K8323">
        <v>1.1084849999999999</v>
      </c>
      <c r="L8323">
        <v>137.5437</v>
      </c>
      <c r="M8323">
        <v>0.99990710000000005</v>
      </c>
      <c r="N8323">
        <v>-1.2628240000000001E-2</v>
      </c>
      <c r="O8323">
        <v>5.1485380000000002E-3</v>
      </c>
      <c r="P8323">
        <v>0.98211079999999995</v>
      </c>
      <c r="Q8323">
        <v>0.18641859999999999</v>
      </c>
      <c r="R8323">
        <v>2.6585930000000001E-2</v>
      </c>
      <c r="S8323">
        <v>3.0571440000000001</v>
      </c>
      <c r="T8323">
        <v>2.2824290000000001E-2</v>
      </c>
      <c r="U8323">
        <v>-0.24534610000000001</v>
      </c>
      <c r="V8323">
        <v>-2.032948E-2</v>
      </c>
      <c r="W8323">
        <v>0.19893350000000001</v>
      </c>
      <c r="X8323">
        <v>0.97980210000000001</v>
      </c>
      <c r="Y8323">
        <v>8.5128159999999994E-2</v>
      </c>
      <c r="Z8323">
        <v>-1.178362E-4</v>
      </c>
      <c r="AA8323">
        <v>0.99636999999999998</v>
      </c>
      <c r="AB8323">
        <v>24</v>
      </c>
      <c r="AC8323">
        <v>3.0571440000000001</v>
      </c>
      <c r="AD8323">
        <v>2.2824290000000001E-2</v>
      </c>
      <c r="AE8323">
        <v>-0.24534610000000001</v>
      </c>
      <c r="AF8323">
        <v>0.261069464718933</v>
      </c>
      <c r="AG8323">
        <v>2.2824290000000001E-2</v>
      </c>
      <c r="AH8323">
        <v>3.0556709689089199</v>
      </c>
      <c r="AI8323">
        <v>89.573591383050996</v>
      </c>
      <c r="AJ8323">
        <v>85.116640179143303</v>
      </c>
      <c r="AK8323">
        <v>3.0668882085683302</v>
      </c>
      <c r="AL8323">
        <v>78.525399936142605</v>
      </c>
      <c r="AM8323">
        <v>91.188634212952607</v>
      </c>
      <c r="AN8323">
        <v>0.99999999017186503</v>
      </c>
    </row>
    <row r="8324" spans="1:40" x14ac:dyDescent="0.25">
      <c r="A8324" t="str">
        <f>"20190304154958848"</f>
        <v>20190304154958848</v>
      </c>
      <c r="B8324" t="str">
        <f>"1551685798835480"</f>
        <v>1551685798835480</v>
      </c>
      <c r="C8324" t="s">
        <v>40</v>
      </c>
      <c r="D8324">
        <v>4.035323</v>
      </c>
      <c r="E8324">
        <v>0.53752460000000002</v>
      </c>
      <c r="F8324" t="s">
        <v>42</v>
      </c>
      <c r="G8324">
        <v>0</v>
      </c>
      <c r="H8324">
        <v>0</v>
      </c>
      <c r="I8324">
        <v>0</v>
      </c>
      <c r="J8324">
        <v>-156.80600000000001</v>
      </c>
      <c r="K8324">
        <v>1.1085769999999999</v>
      </c>
      <c r="L8324">
        <v>137.54060000000001</v>
      </c>
      <c r="M8324">
        <v>0.99992159999999997</v>
      </c>
      <c r="N8324">
        <v>-1.2441300000000001E-2</v>
      </c>
      <c r="O8324">
        <v>1.3891379999999901E-3</v>
      </c>
      <c r="P8324">
        <v>0.98196939999999999</v>
      </c>
      <c r="Q8324">
        <v>0.18726229999999999</v>
      </c>
      <c r="R8324">
        <v>2.586666E-2</v>
      </c>
      <c r="S8324">
        <v>3.057312</v>
      </c>
      <c r="T8324">
        <v>2.0173549999999998E-2</v>
      </c>
      <c r="U8324">
        <v>-0.24006649999999999</v>
      </c>
      <c r="V8324">
        <v>-2.3358770000000001E-2</v>
      </c>
      <c r="W8324">
        <v>0.1996021</v>
      </c>
      <c r="X8324">
        <v>0.97959859999999999</v>
      </c>
      <c r="Y8324">
        <v>7.966732E-2</v>
      </c>
      <c r="Z8324">
        <v>-2.075163E-4</v>
      </c>
      <c r="AA8324">
        <v>0.99682150000000003</v>
      </c>
      <c r="AB8324">
        <v>24</v>
      </c>
      <c r="AC8324">
        <v>3.057312</v>
      </c>
      <c r="AD8324">
        <v>2.0173549999999998E-2</v>
      </c>
      <c r="AE8324">
        <v>-0.24006649999999999</v>
      </c>
      <c r="AF8324">
        <v>0.24430305381443401</v>
      </c>
      <c r="AG8324">
        <v>2.0173549999999998E-2</v>
      </c>
      <c r="AH8324">
        <v>3.0568432600075299</v>
      </c>
      <c r="AI8324">
        <v>89.623085391121606</v>
      </c>
      <c r="AJ8324">
        <v>85.430630666259802</v>
      </c>
      <c r="AK8324">
        <v>3.0666564317634499</v>
      </c>
      <c r="AL8324">
        <v>78.486308382951904</v>
      </c>
      <c r="AM8324">
        <v>91.3659731244759</v>
      </c>
      <c r="AN8324">
        <v>1.0000000237911399</v>
      </c>
    </row>
    <row r="8325" spans="1:40" x14ac:dyDescent="0.25">
      <c r="A8325" t="str">
        <f>"20190304154958868"</f>
        <v>20190304154958868</v>
      </c>
      <c r="B8325" t="str">
        <f>"1551685798865737"</f>
        <v>1551685798865737</v>
      </c>
      <c r="C8325" t="s">
        <v>40</v>
      </c>
      <c r="D8325">
        <v>4.0252730000000003</v>
      </c>
      <c r="E8325">
        <v>0.53675439999999996</v>
      </c>
      <c r="F8325" t="s">
        <v>42</v>
      </c>
      <c r="G8325">
        <v>0</v>
      </c>
      <c r="H8325">
        <v>0</v>
      </c>
      <c r="I8325">
        <v>0</v>
      </c>
      <c r="J8325">
        <v>-156.5831</v>
      </c>
      <c r="K8325">
        <v>1.1086739999999999</v>
      </c>
      <c r="L8325">
        <v>137.53720000000001</v>
      </c>
      <c r="M8325">
        <v>0.99992329999999996</v>
      </c>
      <c r="N8325">
        <v>-1.225738E-2</v>
      </c>
      <c r="O8325">
        <v>-1.8537149999999999E-3</v>
      </c>
      <c r="P8325">
        <v>0.98187899999999995</v>
      </c>
      <c r="Q8325">
        <v>0.18787680000000001</v>
      </c>
      <c r="R8325">
        <v>2.481885E-2</v>
      </c>
      <c r="S8325">
        <v>3.0572509999999999</v>
      </c>
      <c r="T8325">
        <v>2.147841E-2</v>
      </c>
      <c r="U8325">
        <v>-0.23767089999999999</v>
      </c>
      <c r="V8325">
        <v>-2.55518E-2</v>
      </c>
      <c r="W8325">
        <v>0.20003899999999999</v>
      </c>
      <c r="X8325">
        <v>0.97945470000000001</v>
      </c>
      <c r="Y8325">
        <v>7.5659539999999997E-2</v>
      </c>
      <c r="Z8325">
        <v>-2.3473090000000001E-4</v>
      </c>
      <c r="AA8325">
        <v>0.99713370000000001</v>
      </c>
      <c r="AB8325">
        <v>24</v>
      </c>
      <c r="AC8325">
        <v>3.0572509999999999</v>
      </c>
      <c r="AD8325">
        <v>2.147841E-2</v>
      </c>
      <c r="AE8325">
        <v>-0.23767089999999999</v>
      </c>
      <c r="AF8325">
        <v>0.231991413137865</v>
      </c>
      <c r="AG8325">
        <v>2.147841E-2</v>
      </c>
      <c r="AH8325">
        <v>3.0575363516462799</v>
      </c>
      <c r="AI8325">
        <v>89.598671978042205</v>
      </c>
      <c r="AJ8325">
        <v>85.660980858476904</v>
      </c>
      <c r="AK8325">
        <v>3.0664001499321998</v>
      </c>
      <c r="AL8325">
        <v>78.460760376103906</v>
      </c>
      <c r="AM8325">
        <v>91.4943808150406</v>
      </c>
      <c r="AN8325">
        <v>1.0000000026781599</v>
      </c>
    </row>
    <row r="8326" spans="1:40" x14ac:dyDescent="0.25">
      <c r="A8326" t="str">
        <f>"20190304154958891"</f>
        <v>20190304154958891</v>
      </c>
      <c r="B8326" t="str">
        <f>"1551685798885256"</f>
        <v>1551685798885256</v>
      </c>
      <c r="C8326" t="s">
        <v>40</v>
      </c>
      <c r="D8326">
        <v>3.987816</v>
      </c>
      <c r="E8326">
        <v>0.53626390000000002</v>
      </c>
      <c r="F8326" t="s">
        <v>42</v>
      </c>
      <c r="G8326">
        <v>0</v>
      </c>
      <c r="H8326">
        <v>0</v>
      </c>
      <c r="I8326">
        <v>0</v>
      </c>
      <c r="J8326">
        <v>-156.34049999999999</v>
      </c>
      <c r="K8326">
        <v>1.1088020000000001</v>
      </c>
      <c r="L8326">
        <v>137.53299999999999</v>
      </c>
      <c r="M8326">
        <v>0.99991410000000003</v>
      </c>
      <c r="N8326">
        <v>-1.205145E-2</v>
      </c>
      <c r="O8326">
        <v>-5.1693340000000003E-3</v>
      </c>
      <c r="P8326">
        <v>0.98188719999999996</v>
      </c>
      <c r="Q8326">
        <v>0.18789610000000001</v>
      </c>
      <c r="R8326">
        <v>2.4347150000000001E-2</v>
      </c>
      <c r="S8326">
        <v>3.0572050000000002</v>
      </c>
      <c r="T8326">
        <v>2.1479249999999998E-2</v>
      </c>
      <c r="U8326">
        <v>-0.2346191</v>
      </c>
      <c r="V8326">
        <v>-2.8406819999999999E-2</v>
      </c>
      <c r="W8326">
        <v>0.19986100000000001</v>
      </c>
      <c r="X8326">
        <v>0.97941239999999996</v>
      </c>
      <c r="Y8326">
        <v>7.1364639999999993E-2</v>
      </c>
      <c r="Z8326">
        <v>-2.7881470000000003E-4</v>
      </c>
      <c r="AA8326">
        <v>0.99745019999999995</v>
      </c>
      <c r="AB8326">
        <v>24</v>
      </c>
      <c r="AC8326">
        <v>3.0572050000000002</v>
      </c>
      <c r="AD8326">
        <v>2.1479249999999998E-2</v>
      </c>
      <c r="AE8326">
        <v>-0.2346191</v>
      </c>
      <c r="AF8326">
        <v>0.21880036747630999</v>
      </c>
      <c r="AG8326">
        <v>2.1479249999999998E-2</v>
      </c>
      <c r="AH8326">
        <v>3.0582269838677001</v>
      </c>
      <c r="AI8326">
        <v>89.5986195126208</v>
      </c>
      <c r="AJ8326">
        <v>85.907755257316097</v>
      </c>
      <c r="AK8326">
        <v>3.0661192481449402</v>
      </c>
      <c r="AL8326">
        <v>78.471169282273195</v>
      </c>
      <c r="AM8326">
        <v>91.661337689404704</v>
      </c>
      <c r="AN8326">
        <v>1.00000000800863</v>
      </c>
    </row>
    <row r="8327" spans="1:40" x14ac:dyDescent="0.25">
      <c r="A8327" t="str">
        <f>"20190304154958913"</f>
        <v>20190304154958913</v>
      </c>
      <c r="B8327" t="str">
        <f>"1551685798905753"</f>
        <v>1551685798905753</v>
      </c>
      <c r="C8327" t="s">
        <v>40</v>
      </c>
      <c r="D8327">
        <v>3.9804650000000001</v>
      </c>
      <c r="E8327">
        <v>0.5357826</v>
      </c>
      <c r="F8327" t="s">
        <v>42</v>
      </c>
      <c r="G8327">
        <v>0</v>
      </c>
      <c r="H8327">
        <v>0</v>
      </c>
      <c r="I8327">
        <v>0</v>
      </c>
      <c r="J8327">
        <v>-156.09809999999999</v>
      </c>
      <c r="K8327">
        <v>1.1089329999999999</v>
      </c>
      <c r="L8327">
        <v>137.52809999999999</v>
      </c>
      <c r="M8327">
        <v>0.99989600000000001</v>
      </c>
      <c r="N8327">
        <v>-1.1844260000000001E-2</v>
      </c>
      <c r="O8327">
        <v>-8.2318119999999998E-3</v>
      </c>
      <c r="P8327">
        <v>0.98189749999999998</v>
      </c>
      <c r="Q8327">
        <v>0.18781210000000001</v>
      </c>
      <c r="R8327">
        <v>2.4576919999999999E-2</v>
      </c>
      <c r="S8327">
        <v>3.0571440000000001</v>
      </c>
      <c r="T8327">
        <v>2.0780440000000001E-2</v>
      </c>
      <c r="U8327">
        <v>-0.2326202</v>
      </c>
      <c r="V8327">
        <v>-3.1720159999999997E-2</v>
      </c>
      <c r="W8327">
        <v>0.1995779</v>
      </c>
      <c r="X8327">
        <v>0.97936840000000003</v>
      </c>
      <c r="Y8327">
        <v>6.7662739999999999E-2</v>
      </c>
      <c r="Z8327">
        <v>-3.2490349999999998E-4</v>
      </c>
      <c r="AA8327">
        <v>0.99770820000000005</v>
      </c>
      <c r="AB8327">
        <v>24</v>
      </c>
      <c r="AC8327">
        <v>3.0571440000000001</v>
      </c>
      <c r="AD8327">
        <v>2.0780440000000001E-2</v>
      </c>
      <c r="AE8327">
        <v>-0.2326202</v>
      </c>
      <c r="AF8327">
        <v>0.20743518884077899</v>
      </c>
      <c r="AG8327">
        <v>2.0780440000000001E-2</v>
      </c>
      <c r="AH8327">
        <v>3.05881490822006</v>
      </c>
      <c r="AI8327">
        <v>89.6116519193519</v>
      </c>
      <c r="AJ8327">
        <v>86.120395785488697</v>
      </c>
      <c r="AK8327">
        <v>3.0659109293985201</v>
      </c>
      <c r="AL8327">
        <v>78.487722957074695</v>
      </c>
      <c r="AM8327">
        <v>91.855069240055997</v>
      </c>
      <c r="AN8327">
        <v>0.99999998481869701</v>
      </c>
    </row>
    <row r="8328" spans="1:40" x14ac:dyDescent="0.25">
      <c r="A8328" t="str">
        <f>"20190304154958935"</f>
        <v>20190304154958935</v>
      </c>
      <c r="B8328" t="str">
        <f>"1551685798925273"</f>
        <v>1551685798925273</v>
      </c>
      <c r="C8328" t="s">
        <v>40</v>
      </c>
      <c r="D8328">
        <v>3.9760490000000002</v>
      </c>
      <c r="E8328">
        <v>0.53532440000000003</v>
      </c>
      <c r="F8328" t="s">
        <v>42</v>
      </c>
      <c r="G8328">
        <v>0</v>
      </c>
      <c r="H8328">
        <v>0</v>
      </c>
      <c r="I8328">
        <v>0</v>
      </c>
      <c r="J8328">
        <v>-155.858</v>
      </c>
      <c r="K8328">
        <v>1.109064</v>
      </c>
      <c r="L8328">
        <v>137.52289999999999</v>
      </c>
      <c r="M8328">
        <v>0.99987139999999997</v>
      </c>
      <c r="N8328">
        <v>-1.1641830000000001E-2</v>
      </c>
      <c r="O8328">
        <v>-1.102533E-2</v>
      </c>
      <c r="P8328">
        <v>0.98198830000000004</v>
      </c>
      <c r="Q8328">
        <v>0.187274</v>
      </c>
      <c r="R8328">
        <v>2.504818E-2</v>
      </c>
      <c r="S8328">
        <v>3.0571290000000002</v>
      </c>
      <c r="T8328">
        <v>2.0517589999999999E-2</v>
      </c>
      <c r="U8328">
        <v>-0.2297516</v>
      </c>
      <c r="V8328">
        <v>-3.5013929999999999E-2</v>
      </c>
      <c r="W8328">
        <v>0.19884279999999999</v>
      </c>
      <c r="X8328">
        <v>0.97940570000000005</v>
      </c>
      <c r="Y8328">
        <v>6.3944680000000004E-2</v>
      </c>
      <c r="Z8328">
        <v>-3.6054730000000001E-4</v>
      </c>
      <c r="AA8328">
        <v>0.99795339999999999</v>
      </c>
      <c r="AB8328">
        <v>24</v>
      </c>
      <c r="AC8328">
        <v>3.0571290000000002</v>
      </c>
      <c r="AD8328">
        <v>2.0517589999999999E-2</v>
      </c>
      <c r="AE8328">
        <v>-0.2297516</v>
      </c>
      <c r="AF8328">
        <v>0.19602071189224099</v>
      </c>
      <c r="AG8328">
        <v>2.0517589999999999E-2</v>
      </c>
      <c r="AH8328">
        <v>3.0593393918322098</v>
      </c>
      <c r="AI8328">
        <v>89.616535469406003</v>
      </c>
      <c r="AJ8328">
        <v>86.333905273430801</v>
      </c>
      <c r="AK8328">
        <v>3.0656814259486298</v>
      </c>
      <c r="AL8328">
        <v>78.530702478378203</v>
      </c>
      <c r="AM8328">
        <v>92.047462453500899</v>
      </c>
      <c r="AN8328">
        <v>0.99999997979918698</v>
      </c>
    </row>
    <row r="8329" spans="1:40" x14ac:dyDescent="0.25">
      <c r="A8329" t="str">
        <f>"20190304154958957"</f>
        <v>20190304154958957</v>
      </c>
      <c r="B8329" t="str">
        <f>"1551685798945768"</f>
        <v>1551685798945768</v>
      </c>
      <c r="C8329" t="s">
        <v>40</v>
      </c>
      <c r="D8329">
        <v>3.9199410000000001</v>
      </c>
      <c r="E8329">
        <v>0.52089229999999997</v>
      </c>
      <c r="F8329" t="s">
        <v>42</v>
      </c>
      <c r="G8329">
        <v>0</v>
      </c>
      <c r="H8329">
        <v>0</v>
      </c>
      <c r="I8329">
        <v>0</v>
      </c>
      <c r="J8329">
        <v>-155.61709999999999</v>
      </c>
      <c r="K8329">
        <v>1.1091719999999901</v>
      </c>
      <c r="L8329">
        <v>137.5172</v>
      </c>
      <c r="M8329">
        <v>0.9998416</v>
      </c>
      <c r="N8329">
        <v>-1.144949E-2</v>
      </c>
      <c r="O8329">
        <v>-1.3635670000000001E-2</v>
      </c>
      <c r="P8329">
        <v>0.98201919999999998</v>
      </c>
      <c r="Q8329">
        <v>0.1871642</v>
      </c>
      <c r="R8329">
        <v>2.4659239999999999E-2</v>
      </c>
      <c r="S8329">
        <v>3.0572659999999998</v>
      </c>
      <c r="T8329">
        <v>1.841748E-2</v>
      </c>
      <c r="U8329">
        <v>-0.22563169999999999</v>
      </c>
      <c r="V8329">
        <v>-3.7254559999999999E-2</v>
      </c>
      <c r="W8329">
        <v>0.19854140000000001</v>
      </c>
      <c r="X8329">
        <v>0.97938420000000004</v>
      </c>
      <c r="Y8329">
        <v>5.9998240000000001E-2</v>
      </c>
      <c r="Z8329">
        <v>-4.0142980000000002E-4</v>
      </c>
      <c r="AA8329">
        <v>0.99819840000000004</v>
      </c>
      <c r="AB8329">
        <v>24</v>
      </c>
      <c r="AC8329">
        <v>3.0572659999999998</v>
      </c>
      <c r="AD8329">
        <v>1.841748E-2</v>
      </c>
      <c r="AE8329">
        <v>-0.22563169999999999</v>
      </c>
      <c r="AF8329">
        <v>0.183913484250742</v>
      </c>
      <c r="AG8329">
        <v>1.841748E-2</v>
      </c>
      <c r="AH8329">
        <v>3.05994812353092</v>
      </c>
      <c r="AI8329">
        <v>89.655768558816703</v>
      </c>
      <c r="AJ8329">
        <v>86.560462843858502</v>
      </c>
      <c r="AK8329">
        <v>3.0655253859590199</v>
      </c>
      <c r="AL8329">
        <v>78.548322980273099</v>
      </c>
      <c r="AM8329">
        <v>92.178410098433702</v>
      </c>
      <c r="AN8329">
        <v>1.0000000004821901</v>
      </c>
    </row>
    <row r="8330" spans="1:40" x14ac:dyDescent="0.25">
      <c r="A8330" t="str">
        <f>"20190304154958979"</f>
        <v>20190304154958979</v>
      </c>
      <c r="B8330" t="str">
        <f>"1551685798976028"</f>
        <v>1551685798976028</v>
      </c>
      <c r="C8330" t="s">
        <v>40</v>
      </c>
      <c r="D8330">
        <v>3.924455</v>
      </c>
      <c r="E8330">
        <v>0.52078959999999996</v>
      </c>
      <c r="F8330" t="s">
        <v>42</v>
      </c>
      <c r="G8330">
        <v>0</v>
      </c>
      <c r="H8330">
        <v>0</v>
      </c>
      <c r="I8330">
        <v>0</v>
      </c>
      <c r="J8330">
        <v>-155.3734</v>
      </c>
      <c r="K8330">
        <v>1.109273</v>
      </c>
      <c r="L8330">
        <v>137.511</v>
      </c>
      <c r="M8330">
        <v>0.99980729999999995</v>
      </c>
      <c r="N8330">
        <v>-1.126534E-2</v>
      </c>
      <c r="O8330">
        <v>-1.6079980000000001E-2</v>
      </c>
      <c r="P8330">
        <v>0.98211380000000004</v>
      </c>
      <c r="Q8330">
        <v>0.18664020000000001</v>
      </c>
      <c r="R8330">
        <v>2.4868709999999999E-2</v>
      </c>
      <c r="S8330">
        <v>3.0605929999999999</v>
      </c>
      <c r="T8330">
        <v>-1.491427E-2</v>
      </c>
      <c r="U8330">
        <v>-0.1124573</v>
      </c>
      <c r="V8330">
        <v>-3.9924979999999999E-2</v>
      </c>
      <c r="W8330">
        <v>0.1978357</v>
      </c>
      <c r="X8330">
        <v>0.97942180000000001</v>
      </c>
      <c r="Y8330">
        <v>2.0643470000000001E-2</v>
      </c>
      <c r="Z8330">
        <v>-2.6939279999999997E-4</v>
      </c>
      <c r="AA8330">
        <v>0.99978690000000003</v>
      </c>
      <c r="AB8330">
        <v>24</v>
      </c>
      <c r="AC8330">
        <v>3.0605929999999999</v>
      </c>
      <c r="AD8330">
        <v>-1.491427E-2</v>
      </c>
      <c r="AE8330">
        <v>-0.1124573</v>
      </c>
      <c r="AF8330">
        <v>6.32238644760105E-2</v>
      </c>
      <c r="AG8330">
        <v>-1.491427E-2</v>
      </c>
      <c r="AH8330">
        <v>3.0619330567237699</v>
      </c>
      <c r="AI8330">
        <v>90.279018466180005</v>
      </c>
      <c r="AJ8330">
        <v>88.817104800702893</v>
      </c>
      <c r="AK8330">
        <v>3.0626220361557399</v>
      </c>
      <c r="AL8330">
        <v>78.589575060231098</v>
      </c>
      <c r="AM8330">
        <v>92.334302806473502</v>
      </c>
      <c r="AN8330">
        <v>1.00000001526886</v>
      </c>
    </row>
    <row r="8331" spans="1:40" x14ac:dyDescent="0.25">
      <c r="A8331" t="str">
        <f>"20190304154959002"</f>
        <v>20190304154959002</v>
      </c>
      <c r="B8331" t="str">
        <f>"1551685798995548"</f>
        <v>1551685798995548</v>
      </c>
      <c r="C8331" t="s">
        <v>40</v>
      </c>
      <c r="D8331">
        <v>3.9287679999999998</v>
      </c>
      <c r="E8331">
        <v>0.52065589999999995</v>
      </c>
      <c r="F8331" t="s">
        <v>42</v>
      </c>
      <c r="G8331">
        <v>0</v>
      </c>
      <c r="H8331">
        <v>0</v>
      </c>
      <c r="I8331">
        <v>0</v>
      </c>
      <c r="J8331">
        <v>-155.1292</v>
      </c>
      <c r="K8331">
        <v>1.109364</v>
      </c>
      <c r="L8331">
        <v>137.5044</v>
      </c>
      <c r="M8331">
        <v>0.99977070000000001</v>
      </c>
      <c r="N8331">
        <v>-1.1087130000000001E-2</v>
      </c>
      <c r="O8331">
        <v>-1.832452E-2</v>
      </c>
      <c r="P8331">
        <v>0.98224610000000001</v>
      </c>
      <c r="Q8331">
        <v>0.18587629999999999</v>
      </c>
      <c r="R8331">
        <v>2.5356099999999999E-2</v>
      </c>
      <c r="S8331">
        <v>3.0595400000000001</v>
      </c>
      <c r="T8331">
        <v>-1.118588E-2</v>
      </c>
      <c r="U8331">
        <v>-0.1098785</v>
      </c>
      <c r="V8331">
        <v>-4.2675419999999999E-2</v>
      </c>
      <c r="W8331">
        <v>0.1968966</v>
      </c>
      <c r="X8331">
        <v>0.979495</v>
      </c>
      <c r="Y8331">
        <v>1.7570450000000001E-2</v>
      </c>
      <c r="Z8331">
        <v>-2.6571579999999997E-4</v>
      </c>
      <c r="AA8331">
        <v>0.9998456</v>
      </c>
      <c r="AB8331">
        <v>24</v>
      </c>
      <c r="AC8331">
        <v>3.0595400000000001</v>
      </c>
      <c r="AD8331">
        <v>-1.118588E-2</v>
      </c>
      <c r="AE8331">
        <v>-0.1098785</v>
      </c>
      <c r="AF8331">
        <v>5.3791286685112599E-2</v>
      </c>
      <c r="AG8331">
        <v>-1.118588E-2</v>
      </c>
      <c r="AH8331">
        <v>3.06099894659034</v>
      </c>
      <c r="AI8331">
        <v>90.209344052888099</v>
      </c>
      <c r="AJ8331">
        <v>88.993238299826999</v>
      </c>
      <c r="AK8331">
        <v>3.0614919855295701</v>
      </c>
      <c r="AL8331">
        <v>78.644460496272302</v>
      </c>
      <c r="AM8331">
        <v>92.494730521418404</v>
      </c>
      <c r="AN8331">
        <v>0.99999995879436698</v>
      </c>
    </row>
    <row r="8332" spans="1:40" x14ac:dyDescent="0.25">
      <c r="A8332" t="str">
        <f>"20190304154959025"</f>
        <v>20190304154959025</v>
      </c>
      <c r="B8332" t="str">
        <f>"1551685799016041"</f>
        <v>1551685799016041</v>
      </c>
      <c r="C8332" t="s">
        <v>40</v>
      </c>
      <c r="D8332">
        <v>3.8853149999999999</v>
      </c>
      <c r="E8332">
        <v>0.52058110000000002</v>
      </c>
      <c r="F8332" t="s">
        <v>42</v>
      </c>
      <c r="G8332">
        <v>0</v>
      </c>
      <c r="H8332">
        <v>0</v>
      </c>
      <c r="I8332">
        <v>0</v>
      </c>
      <c r="J8332">
        <v>-154.87880000000001</v>
      </c>
      <c r="K8332">
        <v>1.109464</v>
      </c>
      <c r="L8332">
        <v>137.4973</v>
      </c>
      <c r="M8332">
        <v>0.99973230000000002</v>
      </c>
      <c r="N8332">
        <v>-1.0912679999999999E-2</v>
      </c>
      <c r="O8332">
        <v>-2.0408679999999998E-2</v>
      </c>
      <c r="P8332">
        <v>0.98240879999999997</v>
      </c>
      <c r="Q8332">
        <v>0.18479229999999999</v>
      </c>
      <c r="R8332">
        <v>2.6924420000000001E-2</v>
      </c>
      <c r="S8332">
        <v>3.0599370000000001</v>
      </c>
      <c r="T8332">
        <v>-1.541471E-2</v>
      </c>
      <c r="U8332">
        <v>-0.10787960000000001</v>
      </c>
      <c r="V8332">
        <v>-4.6355739999999999E-2</v>
      </c>
      <c r="W8332">
        <v>0.1956406</v>
      </c>
      <c r="X8332">
        <v>0.97957939999999999</v>
      </c>
      <c r="Y8332">
        <v>1.482882E-2</v>
      </c>
      <c r="Z8332">
        <v>-2.381998E-4</v>
      </c>
      <c r="AA8332">
        <v>0.99988999999999995</v>
      </c>
      <c r="AB8332">
        <v>24</v>
      </c>
      <c r="AC8332">
        <v>3.0599370000000001</v>
      </c>
      <c r="AD8332">
        <v>-1.541471E-2</v>
      </c>
      <c r="AE8332">
        <v>-0.10787960000000001</v>
      </c>
      <c r="AF8332">
        <v>4.5402992208749597E-2</v>
      </c>
      <c r="AG8332">
        <v>-1.541471E-2</v>
      </c>
      <c r="AH8332">
        <v>3.0614238210123301</v>
      </c>
      <c r="AI8332">
        <v>90.288458345719107</v>
      </c>
      <c r="AJ8332">
        <v>89.150327010254998</v>
      </c>
      <c r="AK8332">
        <v>3.0617992842196</v>
      </c>
      <c r="AL8332">
        <v>78.717851344318504</v>
      </c>
      <c r="AM8332">
        <v>92.709334566475206</v>
      </c>
      <c r="AN8332">
        <v>0.99999994995183195</v>
      </c>
    </row>
    <row r="8333" spans="1:40" x14ac:dyDescent="0.25">
      <c r="A8333" t="str">
        <f>"20190304154959049"</f>
        <v>20190304154959049</v>
      </c>
      <c r="B8333" t="str">
        <f>"1551685799045320"</f>
        <v>1551685799045320</v>
      </c>
      <c r="C8333" t="s">
        <v>40</v>
      </c>
      <c r="D8333">
        <v>3.912201</v>
      </c>
      <c r="E8333">
        <v>0.52059480000000002</v>
      </c>
      <c r="F8333" t="s">
        <v>42</v>
      </c>
      <c r="G8333">
        <v>0</v>
      </c>
      <c r="H8333">
        <v>0</v>
      </c>
      <c r="I8333">
        <v>0</v>
      </c>
      <c r="J8333">
        <v>-154.6379</v>
      </c>
      <c r="K8333">
        <v>1.1095790000000001</v>
      </c>
      <c r="L8333">
        <v>137.49019999999999</v>
      </c>
      <c r="M8333">
        <v>0.99969560000000002</v>
      </c>
      <c r="N8333">
        <v>-1.075569E-2</v>
      </c>
      <c r="O8333">
        <v>-2.2206340000000001E-2</v>
      </c>
      <c r="P8333">
        <v>0.98255349999999997</v>
      </c>
      <c r="Q8333">
        <v>0.1837985</v>
      </c>
      <c r="R8333">
        <v>2.840411E-2</v>
      </c>
      <c r="S8333">
        <v>3.0598139999999998</v>
      </c>
      <c r="T8333">
        <v>-1.7312770000000002E-2</v>
      </c>
      <c r="U8333">
        <v>-0.1038361</v>
      </c>
      <c r="V8333">
        <v>-4.9669489999999997E-2</v>
      </c>
      <c r="W8333">
        <v>0.1944874</v>
      </c>
      <c r="X8333">
        <v>0.97964669999999998</v>
      </c>
      <c r="Y8333">
        <v>1.1712429999999999E-2</v>
      </c>
      <c r="Z8333">
        <v>-2.093667E-4</v>
      </c>
      <c r="AA8333">
        <v>0.99993140000000003</v>
      </c>
      <c r="AB8333">
        <v>24</v>
      </c>
      <c r="AC8333">
        <v>3.0598139999999998</v>
      </c>
      <c r="AD8333">
        <v>-1.7312770000000002E-2</v>
      </c>
      <c r="AE8333">
        <v>-0.1038361</v>
      </c>
      <c r="AF8333">
        <v>3.5858148092492097E-2</v>
      </c>
      <c r="AG8333">
        <v>-1.7312770000000002E-2</v>
      </c>
      <c r="AH8333">
        <v>3.0612674512719602</v>
      </c>
      <c r="AI8333">
        <v>90.324006331281097</v>
      </c>
      <c r="AJ8333">
        <v>89.328896732122999</v>
      </c>
      <c r="AK8333">
        <v>3.06152640802049</v>
      </c>
      <c r="AL8333">
        <v>78.785219872789895</v>
      </c>
      <c r="AM8333">
        <v>92.902492656443499</v>
      </c>
      <c r="AN8333">
        <v>1.00000003190825</v>
      </c>
    </row>
    <row r="8334" spans="1:40" x14ac:dyDescent="0.25">
      <c r="A8334" t="str">
        <f>"20190304154959070"</f>
        <v>20190304154959070</v>
      </c>
      <c r="B8334" t="str">
        <f>"1551685799065818"</f>
        <v>1551685799065818</v>
      </c>
      <c r="C8334" t="s">
        <v>40</v>
      </c>
      <c r="D8334">
        <v>3.8479939999999999</v>
      </c>
      <c r="E8334">
        <v>0.52051499999999995</v>
      </c>
      <c r="F8334" t="s">
        <v>42</v>
      </c>
      <c r="G8334">
        <v>0</v>
      </c>
      <c r="H8334">
        <v>0</v>
      </c>
      <c r="I8334">
        <v>0</v>
      </c>
      <c r="J8334">
        <v>-154.3956</v>
      </c>
      <c r="K8334">
        <v>1.1097109999999999</v>
      </c>
      <c r="L8334">
        <v>137.4829</v>
      </c>
      <c r="M8334">
        <v>0.9996602</v>
      </c>
      <c r="N8334">
        <v>-1.060966E-2</v>
      </c>
      <c r="O8334">
        <v>-2.381088E-2</v>
      </c>
      <c r="P8334">
        <v>0.98277740000000002</v>
      </c>
      <c r="Q8334">
        <v>0.18241089999999999</v>
      </c>
      <c r="R8334">
        <v>2.9585E-2</v>
      </c>
      <c r="S8334">
        <v>3.059418</v>
      </c>
      <c r="T8334">
        <v>-1.7365099999999901E-2</v>
      </c>
      <c r="U8334">
        <v>-0.1009216</v>
      </c>
      <c r="V8334">
        <v>-5.2503300000000003E-2</v>
      </c>
      <c r="W8334">
        <v>0.1929469</v>
      </c>
      <c r="X8334">
        <v>0.97980350000000005</v>
      </c>
      <c r="Y8334">
        <v>9.1605190000000006E-3</v>
      </c>
      <c r="Z8334">
        <v>-1.921204E-4</v>
      </c>
      <c r="AA8334">
        <v>0.99995800000000001</v>
      </c>
      <c r="AB8334">
        <v>24</v>
      </c>
      <c r="AC8334">
        <v>3.059418</v>
      </c>
      <c r="AD8334">
        <v>-1.7365099999999901E-2</v>
      </c>
      <c r="AE8334">
        <v>-0.1009216</v>
      </c>
      <c r="AF8334">
        <v>2.80405473369587E-2</v>
      </c>
      <c r="AG8334">
        <v>-1.7365099999999901E-2</v>
      </c>
      <c r="AH8334">
        <v>3.0608551634291499</v>
      </c>
      <c r="AI8334">
        <v>90.325038091413404</v>
      </c>
      <c r="AJ8334">
        <v>89.475127051180095</v>
      </c>
      <c r="AK8334">
        <v>3.0610328568121998</v>
      </c>
      <c r="AL8334">
        <v>78.875187909590693</v>
      </c>
      <c r="AM8334">
        <v>93.067291732983506</v>
      </c>
      <c r="AN8334">
        <v>1.0000000006713701</v>
      </c>
    </row>
    <row r="8335" spans="1:40" x14ac:dyDescent="0.25">
      <c r="A8335" t="str">
        <f>"20190304154959093"</f>
        <v>20190304154959093</v>
      </c>
      <c r="B8335" t="str">
        <f>"1551685799085337"</f>
        <v>1551685799085337</v>
      </c>
      <c r="C8335" t="s">
        <v>40</v>
      </c>
      <c r="D8335">
        <v>3.8975550000000001</v>
      </c>
      <c r="E8335">
        <v>0.52055419999999997</v>
      </c>
      <c r="F8335" t="s">
        <v>42</v>
      </c>
      <c r="G8335">
        <v>0</v>
      </c>
      <c r="H8335">
        <v>0</v>
      </c>
      <c r="I8335">
        <v>0</v>
      </c>
      <c r="J8335">
        <v>-154.1507</v>
      </c>
      <c r="K8335">
        <v>1.1098479999999999</v>
      </c>
      <c r="L8335">
        <v>137.47540000000001</v>
      </c>
      <c r="M8335">
        <v>0.9996273</v>
      </c>
      <c r="N8335">
        <v>-1.047184E-2</v>
      </c>
      <c r="O8335">
        <v>-2.5212499999999999E-2</v>
      </c>
      <c r="P8335">
        <v>0.98282270000000005</v>
      </c>
      <c r="Q8335">
        <v>0.181976</v>
      </c>
      <c r="R8335">
        <v>3.0733759999999999E-2</v>
      </c>
      <c r="S8335">
        <v>3.0592800000000002</v>
      </c>
      <c r="T8335">
        <v>-2.04767E-2</v>
      </c>
      <c r="U8335">
        <v>-9.6694950000000002E-2</v>
      </c>
      <c r="V8335">
        <v>-5.5101150000000002E-2</v>
      </c>
      <c r="W8335">
        <v>0.1923629</v>
      </c>
      <c r="X8335">
        <v>0.97977570000000003</v>
      </c>
      <c r="Y8335">
        <v>6.379783E-3</v>
      </c>
      <c r="Z8335">
        <v>-1.500904E-4</v>
      </c>
      <c r="AA8335">
        <v>0.99997959999999997</v>
      </c>
      <c r="AB8335">
        <v>24</v>
      </c>
      <c r="AC8335">
        <v>3.0592800000000002</v>
      </c>
      <c r="AD8335">
        <v>-2.04767E-2</v>
      </c>
      <c r="AE8335">
        <v>-9.6694950000000002E-2</v>
      </c>
      <c r="AF8335">
        <v>1.9527010917073599E-2</v>
      </c>
      <c r="AG8335">
        <v>-2.04767E-2</v>
      </c>
      <c r="AH8335">
        <v>3.0606084678391099</v>
      </c>
      <c r="AI8335">
        <v>90.383318258189604</v>
      </c>
      <c r="AJ8335">
        <v>89.634451729636496</v>
      </c>
      <c r="AK8335">
        <v>3.0607392559325799</v>
      </c>
      <c r="AL8335">
        <v>78.909287687949202</v>
      </c>
      <c r="AM8335">
        <v>93.218840072422694</v>
      </c>
      <c r="AN8335">
        <v>1.0000000221691101</v>
      </c>
    </row>
    <row r="8336" spans="1:40" x14ac:dyDescent="0.25">
      <c r="A8336" t="str">
        <f>"20190304154959114"</f>
        <v>20190304154959114</v>
      </c>
      <c r="B8336" t="str">
        <f>"1551685799105833"</f>
        <v>1551685799105833</v>
      </c>
      <c r="C8336" t="s">
        <v>40</v>
      </c>
      <c r="D8336">
        <v>3.8573379999999999</v>
      </c>
      <c r="E8336">
        <v>0.52068099999999995</v>
      </c>
      <c r="F8336" t="s">
        <v>42</v>
      </c>
      <c r="G8336">
        <v>0</v>
      </c>
      <c r="H8336">
        <v>0</v>
      </c>
      <c r="I8336">
        <v>0</v>
      </c>
      <c r="J8336">
        <v>-153.9127</v>
      </c>
      <c r="K8336">
        <v>1.1099829999999999</v>
      </c>
      <c r="L8336">
        <v>137.46799999999999</v>
      </c>
      <c r="M8336">
        <v>0.99959929999999997</v>
      </c>
      <c r="N8336">
        <v>-1.03483E-2</v>
      </c>
      <c r="O8336">
        <v>-2.6350999999999999E-2</v>
      </c>
      <c r="P8336">
        <v>0.98281430000000003</v>
      </c>
      <c r="Q8336">
        <v>0.18165480000000001</v>
      </c>
      <c r="R8336">
        <v>3.2830860000000003E-2</v>
      </c>
      <c r="S8336">
        <v>3.0592350000000001</v>
      </c>
      <c r="T8336">
        <v>-2.0820140000000001E-2</v>
      </c>
      <c r="U8336">
        <v>-9.3872070000000002E-2</v>
      </c>
      <c r="V8336">
        <v>-5.8383060000000001E-2</v>
      </c>
      <c r="W8336">
        <v>0.1919053</v>
      </c>
      <c r="X8336">
        <v>0.97967539999999997</v>
      </c>
      <c r="Y8336">
        <v>4.319636E-3</v>
      </c>
      <c r="Z8336">
        <v>-1.3047819999999999E-4</v>
      </c>
      <c r="AA8336">
        <v>0.99999059999999995</v>
      </c>
      <c r="AB8336">
        <v>24</v>
      </c>
      <c r="AC8336">
        <v>3.0592350000000001</v>
      </c>
      <c r="AD8336">
        <v>-2.0820140000000001E-2</v>
      </c>
      <c r="AE8336">
        <v>-9.3872070000000002E-2</v>
      </c>
      <c r="AF8336">
        <v>1.32206486689402E-2</v>
      </c>
      <c r="AG8336">
        <v>-2.0820140000000001E-2</v>
      </c>
      <c r="AH8336">
        <v>3.0605047081997099</v>
      </c>
      <c r="AI8336">
        <v>90.389764674039895</v>
      </c>
      <c r="AJ8336">
        <v>89.752497469609196</v>
      </c>
      <c r="AK8336">
        <v>3.0606040797028098</v>
      </c>
      <c r="AL8336">
        <v>78.936004393498095</v>
      </c>
      <c r="AM8336">
        <v>93.410467720911896</v>
      </c>
      <c r="AN8336">
        <v>1.0000000576140999</v>
      </c>
    </row>
    <row r="8337" spans="1:40" x14ac:dyDescent="0.25">
      <c r="A8337" t="str">
        <f>"20190304154959136"</f>
        <v>20190304154959136</v>
      </c>
      <c r="B8337" t="str">
        <f>"1551685799125353"</f>
        <v>1551685799125353</v>
      </c>
      <c r="C8337" t="s">
        <v>40</v>
      </c>
      <c r="D8337">
        <v>3.859051</v>
      </c>
      <c r="E8337">
        <v>0.52076520000000004</v>
      </c>
      <c r="F8337" t="s">
        <v>42</v>
      </c>
      <c r="G8337">
        <v>0</v>
      </c>
      <c r="H8337">
        <v>0</v>
      </c>
      <c r="I8337">
        <v>0</v>
      </c>
      <c r="J8337">
        <v>-153.67310000000001</v>
      </c>
      <c r="K8337">
        <v>1.110093</v>
      </c>
      <c r="L8337">
        <v>137.4605</v>
      </c>
      <c r="M8337">
        <v>0.99957439999999997</v>
      </c>
      <c r="N8337">
        <v>-1.023666E-2</v>
      </c>
      <c r="O8337">
        <v>-2.731915E-2</v>
      </c>
      <c r="P8337">
        <v>0.98288350000000002</v>
      </c>
      <c r="Q8337">
        <v>0.18098600000000001</v>
      </c>
      <c r="R8337">
        <v>3.4412440000000002E-2</v>
      </c>
      <c r="S8337">
        <v>3.0590820000000001</v>
      </c>
      <c r="T8337">
        <v>-1.9684790000000001E-2</v>
      </c>
      <c r="U8337">
        <v>-8.9141849999999995E-2</v>
      </c>
      <c r="V8337">
        <v>-6.0975300000000003E-2</v>
      </c>
      <c r="W8337">
        <v>0.19111339999999999</v>
      </c>
      <c r="X8337">
        <v>0.97967230000000005</v>
      </c>
      <c r="Y8337">
        <v>1.807936E-3</v>
      </c>
      <c r="Z8337">
        <v>-1.1900989999999999E-4</v>
      </c>
      <c r="AA8337">
        <v>0.99999830000000001</v>
      </c>
      <c r="AB8337">
        <v>24</v>
      </c>
      <c r="AC8337">
        <v>3.0590820000000001</v>
      </c>
      <c r="AD8337">
        <v>-1.9684790000000001E-2</v>
      </c>
      <c r="AE8337">
        <v>-8.9141849999999995E-2</v>
      </c>
      <c r="AF8337">
        <v>5.5324519136641199E-3</v>
      </c>
      <c r="AG8337">
        <v>-1.9684790000000001E-2</v>
      </c>
      <c r="AH8337">
        <v>3.0602489131275199</v>
      </c>
      <c r="AI8337">
        <v>90.368544527466298</v>
      </c>
      <c r="AJ8337">
        <v>89.896418295153097</v>
      </c>
      <c r="AK8337">
        <v>3.0603172236354301</v>
      </c>
      <c r="AL8337">
        <v>78.9822326731083</v>
      </c>
      <c r="AM8337">
        <v>93.5615240962954</v>
      </c>
      <c r="AN8337">
        <v>1.0000000671284599</v>
      </c>
    </row>
    <row r="8338" spans="1:40" x14ac:dyDescent="0.25">
      <c r="A8338" t="str">
        <f>"20190304154959158"</f>
        <v>20190304154959158</v>
      </c>
      <c r="B8338" t="str">
        <f>"1551685799155609"</f>
        <v>1551685799155609</v>
      </c>
      <c r="C8338" t="s">
        <v>40</v>
      </c>
      <c r="D8338">
        <v>3.8654120000000001</v>
      </c>
      <c r="E8338">
        <v>0.52093339999999999</v>
      </c>
      <c r="F8338" t="s">
        <v>42</v>
      </c>
      <c r="G8338">
        <v>0</v>
      </c>
      <c r="H8338">
        <v>0</v>
      </c>
      <c r="I8338">
        <v>0</v>
      </c>
      <c r="J8338">
        <v>-153.42580000000001</v>
      </c>
      <c r="K8338">
        <v>1.110187</v>
      </c>
      <c r="L8338">
        <v>137.45269999999999</v>
      </c>
      <c r="M8338">
        <v>0.99955280000000002</v>
      </c>
      <c r="N8338">
        <v>-1.0135089999999999E-2</v>
      </c>
      <c r="O8338">
        <v>-2.8135879999999999E-2</v>
      </c>
      <c r="P8338">
        <v>0.98301629999999995</v>
      </c>
      <c r="Q8338">
        <v>0.1800776</v>
      </c>
      <c r="R8338">
        <v>3.5371329999999999E-2</v>
      </c>
      <c r="S8338">
        <v>3.0590820000000001</v>
      </c>
      <c r="T8338">
        <v>-2.092314E-2</v>
      </c>
      <c r="U8338">
        <v>-8.5067749999999998E-2</v>
      </c>
      <c r="V8338">
        <v>-6.2791059999999996E-2</v>
      </c>
      <c r="W8338">
        <v>0.19009200000000001</v>
      </c>
      <c r="X8338">
        <v>0.97975619999999997</v>
      </c>
      <c r="Y8338">
        <v>-3.3976679999999997E-4</v>
      </c>
      <c r="Z8338" s="1">
        <v>-8.9922510000000006E-5</v>
      </c>
      <c r="AA8338">
        <v>0.99999990000000005</v>
      </c>
      <c r="AB8338">
        <v>24</v>
      </c>
      <c r="AC8338">
        <v>3.0590820000000001</v>
      </c>
      <c r="AD8338">
        <v>-2.092314E-2</v>
      </c>
      <c r="AE8338">
        <v>-8.5067749999999998E-2</v>
      </c>
      <c r="AF8338">
        <v>-1.04026108771911E-3</v>
      </c>
      <c r="AG8338">
        <v>-2.092314E-2</v>
      </c>
      <c r="AH8338">
        <v>3.0601213421176601</v>
      </c>
      <c r="AI8338">
        <v>90.391745533004297</v>
      </c>
      <c r="AJ8338">
        <v>90.019477190920995</v>
      </c>
      <c r="AK8338">
        <v>3.0601930475730801</v>
      </c>
      <c r="AL8338">
        <v>79.041846168571595</v>
      </c>
      <c r="AM8338">
        <v>93.666982904894098</v>
      </c>
      <c r="AN8338">
        <v>0.99999994855917995</v>
      </c>
    </row>
    <row r="8339" spans="1:40" x14ac:dyDescent="0.25">
      <c r="A8339" t="str">
        <f>"20190304154959180"</f>
        <v>20190304154959180</v>
      </c>
      <c r="B8339" t="str">
        <f>"1551685799176104"</f>
        <v>1551685799176104</v>
      </c>
      <c r="C8339" t="s">
        <v>40</v>
      </c>
      <c r="D8339">
        <v>3.8739539999999999</v>
      </c>
      <c r="E8339">
        <v>0.52109499999999997</v>
      </c>
      <c r="F8339" t="s">
        <v>42</v>
      </c>
      <c r="G8339">
        <v>0</v>
      </c>
      <c r="H8339">
        <v>0</v>
      </c>
      <c r="I8339">
        <v>0</v>
      </c>
      <c r="J8339">
        <v>-153.1815</v>
      </c>
      <c r="K8339">
        <v>1.1102799999999999</v>
      </c>
      <c r="L8339">
        <v>137.44499999999999</v>
      </c>
      <c r="M8339">
        <v>0.99953599999999998</v>
      </c>
      <c r="N8339">
        <v>-1.0046670000000001E-2</v>
      </c>
      <c r="O8339">
        <v>-2.8759710000000001E-2</v>
      </c>
      <c r="P8339">
        <v>0.98303399999999996</v>
      </c>
      <c r="Q8339">
        <v>0.17975060000000001</v>
      </c>
      <c r="R8339">
        <v>3.652569E-2</v>
      </c>
      <c r="S8339">
        <v>3.058945</v>
      </c>
      <c r="T8339">
        <v>-2.2467020000000001E-2</v>
      </c>
      <c r="U8339">
        <v>-8.3358760000000004E-2</v>
      </c>
      <c r="V8339">
        <v>-6.4605800000000005E-2</v>
      </c>
      <c r="W8339">
        <v>0.18966359999999999</v>
      </c>
      <c r="X8339">
        <v>0.97972130000000002</v>
      </c>
      <c r="Y8339">
        <v>-1.52084299999999E-3</v>
      </c>
      <c r="Z8339" s="1">
        <v>-6.458026E-5</v>
      </c>
      <c r="AA8339">
        <v>0.99999890000000002</v>
      </c>
      <c r="AB8339">
        <v>24</v>
      </c>
      <c r="AC8339">
        <v>3.058945</v>
      </c>
      <c r="AD8339">
        <v>-2.2467020000000001E-2</v>
      </c>
      <c r="AE8339">
        <v>-8.3358760000000004E-2</v>
      </c>
      <c r="AF8339">
        <v>-4.6542729611100397E-3</v>
      </c>
      <c r="AG8339">
        <v>-2.2467020000000001E-2</v>
      </c>
      <c r="AH8339">
        <v>3.0599121035224801</v>
      </c>
      <c r="AI8339">
        <v>90.420679013010798</v>
      </c>
      <c r="AJ8339">
        <v>90.087149559430699</v>
      </c>
      <c r="AK8339">
        <v>3.0599981226346902</v>
      </c>
      <c r="AL8339">
        <v>79.066847153859499</v>
      </c>
      <c r="AM8339">
        <v>93.772795508642801</v>
      </c>
      <c r="AN8339">
        <v>1.00000000811614</v>
      </c>
    </row>
    <row r="8340" spans="1:40" x14ac:dyDescent="0.25">
      <c r="A8340" t="str">
        <f>"20190304154959203"</f>
        <v>20190304154959203</v>
      </c>
      <c r="B8340" t="str">
        <f>"1551685799196132"</f>
        <v>1551685799196132</v>
      </c>
      <c r="C8340" t="s">
        <v>40</v>
      </c>
      <c r="D8340">
        <v>3.8583059999999998</v>
      </c>
      <c r="E8340">
        <v>0.52120349999999904</v>
      </c>
      <c r="F8340" t="s">
        <v>42</v>
      </c>
      <c r="G8340">
        <v>0</v>
      </c>
      <c r="H8340">
        <v>0</v>
      </c>
      <c r="I8340">
        <v>0</v>
      </c>
      <c r="J8340">
        <v>-152.93260000000001</v>
      </c>
      <c r="K8340">
        <v>1.1103829999999999</v>
      </c>
      <c r="L8340">
        <v>137.43719999999999</v>
      </c>
      <c r="M8340">
        <v>0.99952379999999996</v>
      </c>
      <c r="N8340">
        <v>-9.9676669999999995E-3</v>
      </c>
      <c r="O8340">
        <v>-2.92082E-2</v>
      </c>
      <c r="P8340">
        <v>0.98306020000000005</v>
      </c>
      <c r="Q8340">
        <v>0.17931620000000001</v>
      </c>
      <c r="R8340">
        <v>3.7927089999999997E-2</v>
      </c>
      <c r="S8340">
        <v>3.0589599999999999</v>
      </c>
      <c r="T8340">
        <v>-2.2772669999999998E-2</v>
      </c>
      <c r="U8340">
        <v>-8.1329349999999995E-2</v>
      </c>
      <c r="V8340">
        <v>-6.649948E-2</v>
      </c>
      <c r="W8340">
        <v>0.1891351</v>
      </c>
      <c r="X8340">
        <v>0.97969680000000003</v>
      </c>
      <c r="Y8340">
        <v>-2.6325430000000002E-3</v>
      </c>
      <c r="Z8340" s="1">
        <v>-5.08766E-5</v>
      </c>
      <c r="AA8340">
        <v>0.99999649999999995</v>
      </c>
      <c r="AB8340">
        <v>25</v>
      </c>
      <c r="AC8340">
        <v>3.0589599999999999</v>
      </c>
      <c r="AD8340">
        <v>-2.2772669999999998E-2</v>
      </c>
      <c r="AE8340">
        <v>-8.1329349999999995E-2</v>
      </c>
      <c r="AF8340">
        <v>-8.0560473685262392E-3</v>
      </c>
      <c r="AG8340">
        <v>-2.2772669999999998E-2</v>
      </c>
      <c r="AH8340">
        <v>3.05986090239921</v>
      </c>
      <c r="AI8340">
        <v>90.426408032780699</v>
      </c>
      <c r="AJ8340">
        <v>90.150848833327203</v>
      </c>
      <c r="AK8340">
        <v>3.0599562474697999</v>
      </c>
      <c r="AL8340">
        <v>79.097686544578593</v>
      </c>
      <c r="AM8340">
        <v>93.883144348726205</v>
      </c>
      <c r="AN8340">
        <v>1.0000000434112499</v>
      </c>
    </row>
    <row r="8341" spans="1:40" x14ac:dyDescent="0.25">
      <c r="A8341" t="str">
        <f>"20190304154959225"</f>
        <v>20190304154959225</v>
      </c>
      <c r="B8341" t="str">
        <f>"1551685799215652"</f>
        <v>1551685799215652</v>
      </c>
      <c r="C8341" t="s">
        <v>40</v>
      </c>
      <c r="D8341">
        <v>3.849955</v>
      </c>
      <c r="E8341">
        <v>0.52135690000000001</v>
      </c>
      <c r="F8341" t="s">
        <v>42</v>
      </c>
      <c r="G8341">
        <v>0</v>
      </c>
      <c r="H8341">
        <v>0</v>
      </c>
      <c r="I8341">
        <v>0</v>
      </c>
      <c r="J8341">
        <v>-152.691</v>
      </c>
      <c r="K8341">
        <v>1.1104810000000001</v>
      </c>
      <c r="L8341">
        <v>137.4297</v>
      </c>
      <c r="M8341">
        <v>0.99951670000000004</v>
      </c>
      <c r="N8341">
        <v>-9.9008689999999996E-3</v>
      </c>
      <c r="O8341">
        <v>-2.947174E-2</v>
      </c>
      <c r="P8341">
        <v>0.98301959999999999</v>
      </c>
      <c r="Q8341">
        <v>0.179317899999999</v>
      </c>
      <c r="R8341">
        <v>3.8959269999999997E-2</v>
      </c>
      <c r="S8341">
        <v>3.0589140000000001</v>
      </c>
      <c r="T8341">
        <v>-2.3149969999999999E-2</v>
      </c>
      <c r="U8341">
        <v>-7.8231809999999999E-2</v>
      </c>
      <c r="V8341">
        <v>-6.7842180000000002E-2</v>
      </c>
      <c r="W8341">
        <v>0.18905259999999999</v>
      </c>
      <c r="X8341">
        <v>0.97962059999999995</v>
      </c>
      <c r="Y8341">
        <v>-3.9076459999999999E-3</v>
      </c>
      <c r="Z8341" s="1">
        <v>-3.472465E-5</v>
      </c>
      <c r="AA8341">
        <v>0.9999924</v>
      </c>
      <c r="AB8341">
        <v>25</v>
      </c>
      <c r="AC8341">
        <v>3.0589140000000001</v>
      </c>
      <c r="AD8341">
        <v>-2.3149969999999999E-2</v>
      </c>
      <c r="AE8341">
        <v>-7.8231809999999999E-2</v>
      </c>
      <c r="AF8341">
        <v>-1.19574177723713E-2</v>
      </c>
      <c r="AG8341">
        <v>-2.3149969999999999E-2</v>
      </c>
      <c r="AH8341">
        <v>3.0597157295160202</v>
      </c>
      <c r="AI8341">
        <v>90.4334912969112</v>
      </c>
      <c r="AJ8341">
        <v>90.2239116784137</v>
      </c>
      <c r="AK8341">
        <v>3.0598266693390599</v>
      </c>
      <c r="AL8341">
        <v>79.102499629448204</v>
      </c>
      <c r="AM8341">
        <v>93.961609435468603</v>
      </c>
      <c r="AN8341">
        <v>0.99999998344913599</v>
      </c>
    </row>
    <row r="8342" spans="1:40" x14ac:dyDescent="0.25">
      <c r="A8342" t="str">
        <f>"20190304154959249"</f>
        <v>20190304154959249</v>
      </c>
      <c r="B8342" t="str">
        <f>"1551685799245909"</f>
        <v>1551685799245909</v>
      </c>
      <c r="C8342" t="s">
        <v>40</v>
      </c>
      <c r="D8342">
        <v>3.858854</v>
      </c>
      <c r="E8342">
        <v>0.52173789999999998</v>
      </c>
      <c r="F8342" t="s">
        <v>42</v>
      </c>
      <c r="G8342">
        <v>0</v>
      </c>
      <c r="H8342">
        <v>0</v>
      </c>
      <c r="I8342">
        <v>0</v>
      </c>
      <c r="J8342">
        <v>-152.42830000000001</v>
      </c>
      <c r="K8342">
        <v>1.110598</v>
      </c>
      <c r="L8342">
        <v>137.42169999999999</v>
      </c>
      <c r="M8342">
        <v>0.99951389999999996</v>
      </c>
      <c r="N8342">
        <v>-9.8381839999999998E-3</v>
      </c>
      <c r="O8342">
        <v>-2.958825E-2</v>
      </c>
      <c r="P8342">
        <v>0.98297440000000003</v>
      </c>
      <c r="Q8342">
        <v>0.179455</v>
      </c>
      <c r="R8342">
        <v>3.9466580000000001E-2</v>
      </c>
      <c r="S8342">
        <v>3.0587770000000001</v>
      </c>
      <c r="T8342">
        <v>-2.1552680000000001E-2</v>
      </c>
      <c r="U8342">
        <v>-7.6370240000000006E-2</v>
      </c>
      <c r="V8342">
        <v>-6.8520170000000005E-2</v>
      </c>
      <c r="W8342">
        <v>0.189107</v>
      </c>
      <c r="X8342">
        <v>0.97956290000000001</v>
      </c>
      <c r="Y8342">
        <v>-4.6312050000000002E-3</v>
      </c>
      <c r="Z8342" s="1">
        <v>-4.3610109999999998E-5</v>
      </c>
      <c r="AA8342">
        <v>0.99998929999999997</v>
      </c>
      <c r="AB8342">
        <v>25</v>
      </c>
      <c r="AC8342">
        <v>3.0587770000000001</v>
      </c>
      <c r="AD8342">
        <v>-2.1552680000000001E-2</v>
      </c>
      <c r="AE8342">
        <v>-7.6370240000000006E-2</v>
      </c>
      <c r="AF8342">
        <v>-1.41707228077069E-2</v>
      </c>
      <c r="AG8342">
        <v>-2.1552680000000001E-2</v>
      </c>
      <c r="AH8342">
        <v>3.0595456154487501</v>
      </c>
      <c r="AI8342">
        <v>90.403603700069993</v>
      </c>
      <c r="AJ8342">
        <v>90.265371694308797</v>
      </c>
      <c r="AK8342">
        <v>3.0596543432897398</v>
      </c>
      <c r="AL8342">
        <v>79.099325368678095</v>
      </c>
      <c r="AM8342">
        <v>94.001307276641</v>
      </c>
      <c r="AN8342">
        <v>0.99999997310111899</v>
      </c>
    </row>
    <row r="8343" spans="1:40" x14ac:dyDescent="0.25">
      <c r="A8343" t="str">
        <f>"20190304154959271"</f>
        <v>20190304154959271</v>
      </c>
      <c r="B8343" t="str">
        <f>"1551685799265428"</f>
        <v>1551685799265428</v>
      </c>
      <c r="C8343" t="s">
        <v>40</v>
      </c>
      <c r="D8343">
        <v>3.8382350000000001</v>
      </c>
      <c r="E8343">
        <v>0.52207119999999996</v>
      </c>
      <c r="F8343" t="s">
        <v>42</v>
      </c>
      <c r="G8343">
        <v>0</v>
      </c>
      <c r="H8343">
        <v>0</v>
      </c>
      <c r="I8343">
        <v>0</v>
      </c>
      <c r="J8343">
        <v>-152.19130000000001</v>
      </c>
      <c r="K8343">
        <v>1.11069</v>
      </c>
      <c r="L8343">
        <v>137.41470000000001</v>
      </c>
      <c r="M8343">
        <v>0.99951579999999995</v>
      </c>
      <c r="N8343">
        <v>-9.7898229999999996E-3</v>
      </c>
      <c r="O8343">
        <v>-2.9535599999999999E-2</v>
      </c>
      <c r="P8343">
        <v>0.98301780000000005</v>
      </c>
      <c r="Q8343">
        <v>0.17910219999999999</v>
      </c>
      <c r="R8343">
        <v>3.9980120000000001E-2</v>
      </c>
      <c r="S8343">
        <v>3.0583339999999999</v>
      </c>
      <c r="T8343">
        <v>-1.7820949999999999E-2</v>
      </c>
      <c r="U8343">
        <v>-7.7682500000000002E-2</v>
      </c>
      <c r="V8343">
        <v>-6.9033059999999993E-2</v>
      </c>
      <c r="W8343">
        <v>0.1886883</v>
      </c>
      <c r="X8343">
        <v>0.97960760000000002</v>
      </c>
      <c r="Y8343">
        <v>-4.14607E-3</v>
      </c>
      <c r="Z8343" s="1">
        <v>-8.4752249999999995E-5</v>
      </c>
      <c r="AA8343">
        <v>0.99999139999999997</v>
      </c>
      <c r="AB8343">
        <v>25</v>
      </c>
      <c r="AC8343">
        <v>3.0583339999999999</v>
      </c>
      <c r="AD8343">
        <v>-1.7820949999999999E-2</v>
      </c>
      <c r="AE8343">
        <v>-7.7682500000000002E-2</v>
      </c>
      <c r="AF8343">
        <v>-1.2685020862209E-2</v>
      </c>
      <c r="AG8343">
        <v>-1.7820949999999999E-2</v>
      </c>
      <c r="AH8343">
        <v>3.0591903138604901</v>
      </c>
      <c r="AI8343">
        <v>90.333763116997403</v>
      </c>
      <c r="AJ8343">
        <v>90.237577240533099</v>
      </c>
      <c r="AK8343">
        <v>3.0592685191775901</v>
      </c>
      <c r="AL8343">
        <v>79.123754602172795</v>
      </c>
      <c r="AM8343">
        <v>94.030976312293703</v>
      </c>
      <c r="AN8343">
        <v>0.99999994395380498</v>
      </c>
    </row>
    <row r="8344" spans="1:40" x14ac:dyDescent="0.25">
      <c r="A8344" t="str">
        <f>"20190304154959294"</f>
        <v>20190304154959294</v>
      </c>
      <c r="B8344" t="str">
        <f>"1551685799285457"</f>
        <v>1551685799285457</v>
      </c>
      <c r="C8344" t="s">
        <v>40</v>
      </c>
      <c r="D8344">
        <v>3.8387509999999998</v>
      </c>
      <c r="E8344">
        <v>0.52258329999999997</v>
      </c>
      <c r="F8344" t="s">
        <v>42</v>
      </c>
      <c r="G8344">
        <v>0</v>
      </c>
      <c r="H8344">
        <v>0</v>
      </c>
      <c r="I8344">
        <v>0</v>
      </c>
      <c r="J8344">
        <v>-151.93389999999999</v>
      </c>
      <c r="K8344">
        <v>1.110795</v>
      </c>
      <c r="L8344">
        <v>137.40719999999999</v>
      </c>
      <c r="M8344">
        <v>0.99952359999999896</v>
      </c>
      <c r="N8344">
        <v>-9.7453239999999997E-3</v>
      </c>
      <c r="O8344">
        <v>-2.9290670000000001E-2</v>
      </c>
      <c r="P8344">
        <v>0.98304100000000005</v>
      </c>
      <c r="Q8344">
        <v>0.17881229999999901</v>
      </c>
      <c r="R8344">
        <v>4.070414E-2</v>
      </c>
      <c r="S8344">
        <v>3.0580599999999998</v>
      </c>
      <c r="T8344">
        <v>-1.6609909999999999E-2</v>
      </c>
      <c r="U8344">
        <v>-7.8720090000000006E-2</v>
      </c>
      <c r="V8344">
        <v>-6.9568950000000004E-2</v>
      </c>
      <c r="W8344">
        <v>0.18833569999999999</v>
      </c>
      <c r="X8344">
        <v>0.9796376</v>
      </c>
      <c r="Y8344">
        <v>-3.5596619999999999E-3</v>
      </c>
      <c r="Z8344" s="1">
        <v>-9.9418329999999999E-5</v>
      </c>
      <c r="AA8344">
        <v>0.99999369999999999</v>
      </c>
      <c r="AB8344">
        <v>25</v>
      </c>
      <c r="AC8344">
        <v>3.0580599999999998</v>
      </c>
      <c r="AD8344">
        <v>-1.6609909999999999E-2</v>
      </c>
      <c r="AE8344">
        <v>-7.8720090000000006E-2</v>
      </c>
      <c r="AF8344">
        <v>-1.0890232783846401E-2</v>
      </c>
      <c r="AG8344">
        <v>-1.6609909999999999E-2</v>
      </c>
      <c r="AH8344">
        <v>3.0589634625440199</v>
      </c>
      <c r="AI8344">
        <v>90.311106153805596</v>
      </c>
      <c r="AJ8344">
        <v>90.203978160568099</v>
      </c>
      <c r="AK8344">
        <v>3.0590279422489099</v>
      </c>
      <c r="AL8344">
        <v>79.144326547804198</v>
      </c>
      <c r="AM8344">
        <v>94.062039650487307</v>
      </c>
      <c r="AN8344">
        <v>1.00000000101617</v>
      </c>
    </row>
    <row r="8345" spans="1:40" x14ac:dyDescent="0.25">
      <c r="A8345" t="str">
        <f>"20190304154959315"</f>
        <v>20190304154959315</v>
      </c>
      <c r="B8345" t="str">
        <f>"1551685799305953"</f>
        <v>1551685799305953</v>
      </c>
      <c r="C8345" t="s">
        <v>40</v>
      </c>
      <c r="D8345">
        <v>3.8497499999999998</v>
      </c>
      <c r="E8345">
        <v>0.5230127</v>
      </c>
      <c r="F8345" t="s">
        <v>42</v>
      </c>
      <c r="G8345">
        <v>0</v>
      </c>
      <c r="H8345">
        <v>0</v>
      </c>
      <c r="I8345">
        <v>0</v>
      </c>
      <c r="J8345">
        <v>-151.69739999999999</v>
      </c>
      <c r="K8345">
        <v>1.110892</v>
      </c>
      <c r="L8345">
        <v>137.4006</v>
      </c>
      <c r="M8345">
        <v>0.99953479999999995</v>
      </c>
      <c r="N8345">
        <v>-9.7104679999999999E-3</v>
      </c>
      <c r="O8345">
        <v>-2.8909859999999999E-2</v>
      </c>
      <c r="P8345">
        <v>0.98303810000000003</v>
      </c>
      <c r="Q8345">
        <v>0.1785909</v>
      </c>
      <c r="R8345">
        <v>4.1730280000000002E-2</v>
      </c>
      <c r="S8345">
        <v>3.0576319999999999</v>
      </c>
      <c r="T8345">
        <v>-1.3772009999999999E-2</v>
      </c>
      <c r="U8345">
        <v>-8.0871579999999998E-2</v>
      </c>
      <c r="V8345">
        <v>-7.0265899999999895E-2</v>
      </c>
      <c r="W8345">
        <v>0.18806320000000001</v>
      </c>
      <c r="X8345">
        <v>0.97964019999999996</v>
      </c>
      <c r="Y8345">
        <v>-2.4718610000000001E-3</v>
      </c>
      <c r="Z8345">
        <v>-1.330092E-4</v>
      </c>
      <c r="AA8345">
        <v>0.99999700000000002</v>
      </c>
      <c r="AB8345">
        <v>25</v>
      </c>
      <c r="AC8345">
        <v>3.0576319999999999</v>
      </c>
      <c r="AD8345">
        <v>-1.3772009999999999E-2</v>
      </c>
      <c r="AE8345">
        <v>-8.0871579999999998E-2</v>
      </c>
      <c r="AF8345">
        <v>-7.5619581597110002E-3</v>
      </c>
      <c r="AG8345">
        <v>-1.3772009999999999E-2</v>
      </c>
      <c r="AH8345">
        <v>3.0586299468357998</v>
      </c>
      <c r="AI8345">
        <v>90.257981618583997</v>
      </c>
      <c r="AJ8345">
        <v>90.141654077859798</v>
      </c>
      <c r="AK8345">
        <v>3.0586702998445898</v>
      </c>
      <c r="AL8345">
        <v>79.160223625487006</v>
      </c>
      <c r="AM8345">
        <v>94.1025845277385</v>
      </c>
      <c r="AN8345">
        <v>0.99999999267654505</v>
      </c>
    </row>
    <row r="8346" spans="1:40" x14ac:dyDescent="0.25">
      <c r="A8346" t="str">
        <f>"20190304154959337"</f>
        <v>20190304154959337</v>
      </c>
      <c r="B8346" t="str">
        <f>"1551685799325473"</f>
        <v>1551685799325473</v>
      </c>
      <c r="C8346" t="s">
        <v>40</v>
      </c>
      <c r="D8346">
        <v>3.8557320000000002</v>
      </c>
      <c r="E8346">
        <v>0.5234105</v>
      </c>
      <c r="F8346" t="s">
        <v>42</v>
      </c>
      <c r="G8346">
        <v>0</v>
      </c>
      <c r="H8346">
        <v>0</v>
      </c>
      <c r="I8346">
        <v>0</v>
      </c>
      <c r="J8346">
        <v>-151.45660000000001</v>
      </c>
      <c r="K8346">
        <v>1.110975</v>
      </c>
      <c r="L8346">
        <v>137.39410000000001</v>
      </c>
      <c r="M8346">
        <v>0.99954980000000004</v>
      </c>
      <c r="N8346">
        <v>-9.6801630000000003E-3</v>
      </c>
      <c r="O8346">
        <v>-2.840169E-2</v>
      </c>
      <c r="P8346">
        <v>0.98299049999999999</v>
      </c>
      <c r="Q8346">
        <v>0.17860500000000001</v>
      </c>
      <c r="R8346">
        <v>4.2777540000000003E-2</v>
      </c>
      <c r="S8346">
        <v>3.0572509999999999</v>
      </c>
      <c r="T8346">
        <v>-1.1149640000000001E-2</v>
      </c>
      <c r="U8346">
        <v>-8.1405640000000001E-2</v>
      </c>
      <c r="V8346">
        <v>-7.0852100000000001E-2</v>
      </c>
      <c r="W8346">
        <v>0.1880318</v>
      </c>
      <c r="X8346">
        <v>0.97960400000000003</v>
      </c>
      <c r="Y8346">
        <v>-1.7854990000000001E-3</v>
      </c>
      <c r="Z8346">
        <v>-1.5950629999999901E-4</v>
      </c>
      <c r="AA8346">
        <v>0.99999839999999995</v>
      </c>
      <c r="AB8346">
        <v>25</v>
      </c>
      <c r="AC8346">
        <v>3.0572509999999999</v>
      </c>
      <c r="AD8346">
        <v>-1.1149640000000001E-2</v>
      </c>
      <c r="AE8346">
        <v>-8.1405640000000001E-2</v>
      </c>
      <c r="AF8346">
        <v>-5.4622868592062003E-3</v>
      </c>
      <c r="AG8346">
        <v>-1.1149640000000001E-2</v>
      </c>
      <c r="AH8346">
        <v>3.0582890796423099</v>
      </c>
      <c r="AI8346">
        <v>90.208882629894404</v>
      </c>
      <c r="AJ8346">
        <v>90.102333573636997</v>
      </c>
      <c r="AK8346">
        <v>3.0583142817096598</v>
      </c>
      <c r="AL8346">
        <v>79.162055333389603</v>
      </c>
      <c r="AM8346">
        <v>94.136844740025396</v>
      </c>
      <c r="AN8346">
        <v>0.99999998735082496</v>
      </c>
    </row>
    <row r="8347" spans="1:40" x14ac:dyDescent="0.25">
      <c r="A8347" t="str">
        <f>"20190304154959359"</f>
        <v>20190304154959359</v>
      </c>
      <c r="B8347" t="str">
        <f>"1551685799355728"</f>
        <v>1551685799355728</v>
      </c>
      <c r="C8347" t="s">
        <v>40</v>
      </c>
      <c r="D8347">
        <v>3.8953890000000002</v>
      </c>
      <c r="E8347">
        <v>0.52371990000000002</v>
      </c>
      <c r="F8347" t="s">
        <v>42</v>
      </c>
      <c r="G8347">
        <v>0</v>
      </c>
      <c r="H8347">
        <v>0</v>
      </c>
      <c r="I8347">
        <v>0</v>
      </c>
      <c r="J8347">
        <v>-151.20490000000001</v>
      </c>
      <c r="K8347">
        <v>1.1110469999999999</v>
      </c>
      <c r="L8347">
        <v>137.38759999999999</v>
      </c>
      <c r="M8347">
        <v>0.99956840000000002</v>
      </c>
      <c r="N8347">
        <v>-9.6533209999999994E-3</v>
      </c>
      <c r="O8347">
        <v>-2.7750360000000002E-2</v>
      </c>
      <c r="P8347">
        <v>0.98287060000000004</v>
      </c>
      <c r="Q8347">
        <v>0.17888319999999999</v>
      </c>
      <c r="R8347">
        <v>4.4341720000000001E-2</v>
      </c>
      <c r="S8347">
        <v>3.0569609999999998</v>
      </c>
      <c r="T8347">
        <v>-8.2453490000000008E-3</v>
      </c>
      <c r="U8347">
        <v>-8.151245E-2</v>
      </c>
      <c r="V8347">
        <v>-7.1809139999999994E-2</v>
      </c>
      <c r="W8347">
        <v>0.18826780000000001</v>
      </c>
      <c r="X8347">
        <v>0.97948900000000005</v>
      </c>
      <c r="Y8347">
        <v>-1.096301E-3</v>
      </c>
      <c r="Z8347">
        <v>-1.8630099999999999E-4</v>
      </c>
      <c r="AA8347">
        <v>0.99999939999999998</v>
      </c>
      <c r="AB8347">
        <v>25</v>
      </c>
      <c r="AC8347">
        <v>3.0569609999999998</v>
      </c>
      <c r="AD8347">
        <v>-8.2453490000000008E-3</v>
      </c>
      <c r="AE8347">
        <v>-8.151245E-2</v>
      </c>
      <c r="AF8347">
        <v>-3.3546305212294098E-3</v>
      </c>
      <c r="AG8347">
        <v>-8.2453490000000008E-3</v>
      </c>
      <c r="AH8347">
        <v>3.05802348117252</v>
      </c>
      <c r="AI8347">
        <v>90.154486148365706</v>
      </c>
      <c r="AJ8347">
        <v>90.062853047000999</v>
      </c>
      <c r="AK8347">
        <v>3.0580364371159101</v>
      </c>
      <c r="AL8347">
        <v>79.148287881996893</v>
      </c>
      <c r="AM8347">
        <v>94.193016029795203</v>
      </c>
      <c r="AN8347">
        <v>1.0000000091126799</v>
      </c>
    </row>
    <row r="8348" spans="1:40" x14ac:dyDescent="0.25">
      <c r="A8348" t="str">
        <f>"20190304154959382"</f>
        <v>20190304154959382</v>
      </c>
      <c r="B8348" t="str">
        <f>"1551685799375248"</f>
        <v>1551685799375248</v>
      </c>
      <c r="C8348" t="s">
        <v>40</v>
      </c>
      <c r="D8348">
        <v>3.9398930000000001</v>
      </c>
      <c r="E8348">
        <v>0.50731340000000003</v>
      </c>
      <c r="F8348" t="s">
        <v>42</v>
      </c>
      <c r="G8348">
        <v>0</v>
      </c>
      <c r="H8348">
        <v>0</v>
      </c>
      <c r="I8348">
        <v>0</v>
      </c>
      <c r="J8348">
        <v>-150.95410000000001</v>
      </c>
      <c r="K8348">
        <v>1.1111070000000001</v>
      </c>
      <c r="L8348">
        <v>137.38140000000001</v>
      </c>
      <c r="M8348">
        <v>0.99958939999999996</v>
      </c>
      <c r="N8348">
        <v>-9.6307800000000002E-3</v>
      </c>
      <c r="O8348">
        <v>-2.698733E-2</v>
      </c>
      <c r="P8348">
        <v>0.9829253</v>
      </c>
      <c r="Q8348">
        <v>0.17820820000000001</v>
      </c>
      <c r="R8348">
        <v>4.5823919999999997E-2</v>
      </c>
      <c r="S8348">
        <v>3.0567319999999998</v>
      </c>
      <c r="T8348">
        <v>-4.7739740000000003E-3</v>
      </c>
      <c r="U8348">
        <v>-7.9284670000000002E-2</v>
      </c>
      <c r="V8348">
        <v>-7.2575299999999995E-2</v>
      </c>
      <c r="W8348">
        <v>0.1875588</v>
      </c>
      <c r="X8348">
        <v>0.97956849999999995</v>
      </c>
      <c r="Y8348">
        <v>-1.0590619999999999E-3</v>
      </c>
      <c r="Z8348">
        <v>-2.11857E-4</v>
      </c>
      <c r="AA8348">
        <v>0.99999939999999998</v>
      </c>
      <c r="AB8348">
        <v>25</v>
      </c>
      <c r="AC8348">
        <v>3.0567319999999998</v>
      </c>
      <c r="AD8348">
        <v>-4.7739740000000003E-3</v>
      </c>
      <c r="AE8348">
        <v>-7.9284670000000002E-2</v>
      </c>
      <c r="AF8348">
        <v>-3.24106184288158E-3</v>
      </c>
      <c r="AG8348">
        <v>-4.7739740000000003E-3</v>
      </c>
      <c r="AH8348">
        <v>3.0577508879485702</v>
      </c>
      <c r="AI8348">
        <v>90.089454045089994</v>
      </c>
      <c r="AJ8348">
        <v>90.060730616063594</v>
      </c>
      <c r="AK8348">
        <v>3.0577563323554502</v>
      </c>
      <c r="AL8348">
        <v>79.189646867742994</v>
      </c>
      <c r="AM8348">
        <v>94.237248197753104</v>
      </c>
      <c r="AN8348">
        <v>0.99999996190988905</v>
      </c>
    </row>
    <row r="8349" spans="1:40" x14ac:dyDescent="0.25">
      <c r="A8349" t="str">
        <f>"20190304154959404"</f>
        <v>20190304154959404</v>
      </c>
      <c r="B8349" t="str">
        <f>"1551685799395745"</f>
        <v>1551685799395745</v>
      </c>
      <c r="C8349" t="s">
        <v>40</v>
      </c>
      <c r="D8349">
        <v>3.9365480000000002</v>
      </c>
      <c r="E8349">
        <v>0.49746980000000002</v>
      </c>
      <c r="F8349" t="s">
        <v>44</v>
      </c>
      <c r="G8349">
        <v>-62.837530000000001</v>
      </c>
      <c r="H8349" s="1">
        <v>-3.1718689999999999E-6</v>
      </c>
      <c r="I8349">
        <v>138.95750000000001</v>
      </c>
      <c r="J8349">
        <v>-150.7038</v>
      </c>
      <c r="K8349">
        <v>1.111173</v>
      </c>
      <c r="L8349">
        <v>137.37549999999999</v>
      </c>
      <c r="M8349">
        <v>0.99961270000000002</v>
      </c>
      <c r="N8349">
        <v>-9.6119540000000007E-3</v>
      </c>
      <c r="O8349">
        <v>-2.6118510000000001E-2</v>
      </c>
      <c r="P8349">
        <v>0.98304329999999995</v>
      </c>
      <c r="Q8349">
        <v>0.17720649999999999</v>
      </c>
      <c r="R8349">
        <v>4.7157350000000001E-2</v>
      </c>
      <c r="S8349">
        <v>3.056549</v>
      </c>
      <c r="T8349">
        <v>-3.854167E-2</v>
      </c>
      <c r="U8349">
        <v>5.4672239999999997E-2</v>
      </c>
      <c r="V8349">
        <v>-7.3087840000000001E-2</v>
      </c>
      <c r="W8349">
        <v>0.18652679999999999</v>
      </c>
      <c r="X8349">
        <v>0.97972740000000003</v>
      </c>
      <c r="Y8349">
        <v>-4.3987209999999999E-2</v>
      </c>
      <c r="Z8349">
        <v>5.6698809999999997E-4</v>
      </c>
      <c r="AA8349">
        <v>0.99903200000000003</v>
      </c>
      <c r="AB8349">
        <v>25</v>
      </c>
      <c r="AC8349">
        <v>87.866269999999901</v>
      </c>
      <c r="AD8349">
        <v>-1.1111761718690001</v>
      </c>
      <c r="AE8349">
        <v>1.5820000000000201</v>
      </c>
      <c r="AF8349">
        <v>-3.8758825393481402</v>
      </c>
      <c r="AG8349">
        <v>-1.1111761718690001</v>
      </c>
      <c r="AH8349">
        <v>87.780936594212505</v>
      </c>
      <c r="AI8349">
        <v>90.724534814107898</v>
      </c>
      <c r="AJ8349">
        <v>92.528197728891598</v>
      </c>
      <c r="AK8349">
        <v>87.873488648743901</v>
      </c>
      <c r="AL8349">
        <v>79.249838032517502</v>
      </c>
      <c r="AM8349">
        <v>94.266372766153907</v>
      </c>
      <c r="AN8349">
        <v>0.99999992889242995</v>
      </c>
    </row>
    <row r="8350" spans="1:40" x14ac:dyDescent="0.25">
      <c r="A8350" t="str">
        <f>"20190304154959426"</f>
        <v>20190304154959426</v>
      </c>
      <c r="B8350" t="str">
        <f>"1551685799415264"</f>
        <v>1551685799415264</v>
      </c>
      <c r="C8350" t="s">
        <v>40</v>
      </c>
      <c r="D8350">
        <v>3.8994439999999999</v>
      </c>
      <c r="E8350">
        <v>0.49484159999999999</v>
      </c>
      <c r="F8350" t="s">
        <v>44</v>
      </c>
      <c r="G8350">
        <v>-80.911529999999999</v>
      </c>
      <c r="H8350" s="1">
        <v>-4.1211630000000001E-6</v>
      </c>
      <c r="I8350">
        <v>140.5181</v>
      </c>
      <c r="J8350">
        <v>-150.46019999999999</v>
      </c>
      <c r="K8350">
        <v>1.111235</v>
      </c>
      <c r="L8350">
        <v>137.37020000000001</v>
      </c>
      <c r="M8350">
        <v>0.99963690000000005</v>
      </c>
      <c r="N8350">
        <v>-9.5966869999999996E-3</v>
      </c>
      <c r="O8350">
        <v>-2.5176779999999999E-2</v>
      </c>
      <c r="P8350">
        <v>0.98308090000000004</v>
      </c>
      <c r="Q8350">
        <v>0.17660239999999999</v>
      </c>
      <c r="R8350">
        <v>4.8617220000000003E-2</v>
      </c>
      <c r="S8350">
        <v>3.053909</v>
      </c>
      <c r="T8350">
        <v>-4.8621890000000001E-2</v>
      </c>
      <c r="U8350">
        <v>0.1375122</v>
      </c>
      <c r="V8350">
        <v>-7.365273E-2</v>
      </c>
      <c r="W8350">
        <v>0.1858958</v>
      </c>
      <c r="X8350">
        <v>0.97980509999999998</v>
      </c>
      <c r="Y8350">
        <v>-7.0106150000000006E-2</v>
      </c>
      <c r="Z8350">
        <v>1.0535399999999999E-3</v>
      </c>
      <c r="AA8350">
        <v>0.99753899999999995</v>
      </c>
      <c r="AB8350">
        <v>25</v>
      </c>
      <c r="AC8350">
        <v>69.548669999999902</v>
      </c>
      <c r="AD8350">
        <v>-1.1112391211629999</v>
      </c>
      <c r="AE8350">
        <v>3.1478999999999902</v>
      </c>
      <c r="AF8350">
        <v>-4.89674681396703</v>
      </c>
      <c r="AG8350">
        <v>-1.1112391211629999</v>
      </c>
      <c r="AH8350">
        <v>69.429675806100093</v>
      </c>
      <c r="AI8350">
        <v>90.914683110983503</v>
      </c>
      <c r="AJ8350">
        <v>94.034285225474306</v>
      </c>
      <c r="AK8350">
        <v>69.611011085062302</v>
      </c>
      <c r="AL8350">
        <v>79.286636075814499</v>
      </c>
      <c r="AM8350">
        <v>94.298884398174593</v>
      </c>
      <c r="AN8350">
        <v>1.00000000354005</v>
      </c>
    </row>
    <row r="8351" spans="1:40" x14ac:dyDescent="0.25">
      <c r="A8351" t="str">
        <f>"20190304154959449"</f>
        <v>20190304154959449</v>
      </c>
      <c r="B8351" t="str">
        <f>"1551685799445520"</f>
        <v>1551685799445520</v>
      </c>
      <c r="C8351" t="s">
        <v>40</v>
      </c>
      <c r="D8351">
        <v>3.9296039999999999</v>
      </c>
      <c r="E8351">
        <v>0.49247279999999999</v>
      </c>
      <c r="F8351" t="s">
        <v>44</v>
      </c>
      <c r="G8351">
        <v>-84.334220000000002</v>
      </c>
      <c r="H8351" s="1">
        <v>-2.7580859999999999E-6</v>
      </c>
      <c r="I8351">
        <v>140.91370000000001</v>
      </c>
      <c r="J8351">
        <v>-150.20599999999999</v>
      </c>
      <c r="K8351">
        <v>1.111299</v>
      </c>
      <c r="L8351">
        <v>137.36490000000001</v>
      </c>
      <c r="M8351">
        <v>0.99966359999999999</v>
      </c>
      <c r="N8351">
        <v>-9.5837100000000005E-3</v>
      </c>
      <c r="O8351">
        <v>-2.410466E-2</v>
      </c>
      <c r="P8351">
        <v>0.98306879999999996</v>
      </c>
      <c r="Q8351">
        <v>0.1762763</v>
      </c>
      <c r="R8351">
        <v>5.0025630000000001E-2</v>
      </c>
      <c r="S8351">
        <v>3.0527340000000001</v>
      </c>
      <c r="T8351">
        <v>-5.1300760000000001E-2</v>
      </c>
      <c r="U8351">
        <v>0.1635895</v>
      </c>
      <c r="V8351">
        <v>-7.4037569999999997E-2</v>
      </c>
      <c r="W8351">
        <v>0.1855443</v>
      </c>
      <c r="X8351">
        <v>0.97984269999999996</v>
      </c>
      <c r="Y8351">
        <v>-7.7548969999999995E-2</v>
      </c>
      <c r="Z8351">
        <v>1.196974E-3</v>
      </c>
      <c r="AA8351">
        <v>0.99698779999999998</v>
      </c>
      <c r="AB8351">
        <v>25</v>
      </c>
      <c r="AC8351">
        <v>65.871780000000001</v>
      </c>
      <c r="AD8351">
        <v>-1.1113017580859901</v>
      </c>
      <c r="AE8351">
        <v>3.5488</v>
      </c>
      <c r="AF8351">
        <v>-5.13420133014802</v>
      </c>
      <c r="AG8351">
        <v>-1.1113017580859901</v>
      </c>
      <c r="AH8351">
        <v>65.7484328815124</v>
      </c>
      <c r="AI8351">
        <v>90.965401614694699</v>
      </c>
      <c r="AJ8351">
        <v>94.465084629115196</v>
      </c>
      <c r="AK8351">
        <v>65.957952070017797</v>
      </c>
      <c r="AL8351">
        <v>79.307131894765106</v>
      </c>
      <c r="AM8351">
        <v>94.321096274898494</v>
      </c>
      <c r="AN8351">
        <v>0.999999982888642</v>
      </c>
    </row>
    <row r="8352" spans="1:40" x14ac:dyDescent="0.25">
      <c r="A8352" t="str">
        <f>"20190304154959471"</f>
        <v>20190304154959471</v>
      </c>
      <c r="B8352" t="str">
        <f>"1551685799466016"</f>
        <v>1551685799466016</v>
      </c>
      <c r="C8352" t="s">
        <v>40</v>
      </c>
      <c r="D8352">
        <v>3.9500470000000001</v>
      </c>
      <c r="E8352">
        <v>0.49170059999999899</v>
      </c>
      <c r="F8352" t="s">
        <v>44</v>
      </c>
      <c r="G8352">
        <v>-89.046819999999997</v>
      </c>
      <c r="H8352" s="1">
        <v>-7.9217919999999995E-7</v>
      </c>
      <c r="I8352">
        <v>141.1233</v>
      </c>
      <c r="J8352">
        <v>-149.95580000000001</v>
      </c>
      <c r="K8352">
        <v>1.1113470000000001</v>
      </c>
      <c r="L8352">
        <v>137.36000000000001</v>
      </c>
      <c r="M8352">
        <v>0.99969030000000003</v>
      </c>
      <c r="N8352">
        <v>-9.5732939999999996E-3</v>
      </c>
      <c r="O8352">
        <v>-2.296993E-2</v>
      </c>
      <c r="P8352">
        <v>0.98307960000000005</v>
      </c>
      <c r="Q8352">
        <v>0.17566309999999999</v>
      </c>
      <c r="R8352">
        <v>5.1932989999999998E-2</v>
      </c>
      <c r="S8352">
        <v>3.052063</v>
      </c>
      <c r="T8352">
        <v>-5.545783E-2</v>
      </c>
      <c r="U8352">
        <v>0.18756100000000001</v>
      </c>
      <c r="V8352">
        <v>-7.4856359999999997E-2</v>
      </c>
      <c r="W8352">
        <v>0.1849094</v>
      </c>
      <c r="X8352">
        <v>0.97990049999999995</v>
      </c>
      <c r="Y8352">
        <v>-8.4227659999999996E-2</v>
      </c>
      <c r="Z8352">
        <v>1.3653910000000001E-3</v>
      </c>
      <c r="AA8352">
        <v>0.99644560000000004</v>
      </c>
      <c r="AB8352">
        <v>25</v>
      </c>
      <c r="AC8352">
        <v>60.90898</v>
      </c>
      <c r="AD8352">
        <v>-1.1113477921792001</v>
      </c>
      <c r="AE8352">
        <v>3.7632999999999801</v>
      </c>
      <c r="AF8352">
        <v>-5.15973489935336</v>
      </c>
      <c r="AG8352">
        <v>-1.1113477921792001</v>
      </c>
      <c r="AH8352">
        <v>60.786301481412998</v>
      </c>
      <c r="AI8352">
        <v>91.043662063249002</v>
      </c>
      <c r="AJ8352">
        <v>94.851817880792893</v>
      </c>
      <c r="AK8352">
        <v>61.015017872127402</v>
      </c>
      <c r="AL8352">
        <v>79.344149466746899</v>
      </c>
      <c r="AM8352">
        <v>94.368443085969901</v>
      </c>
      <c r="AN8352">
        <v>0.99999997537052898</v>
      </c>
    </row>
    <row r="8353" spans="1:40" x14ac:dyDescent="0.25">
      <c r="A8353" t="str">
        <f>"20190304154959495"</f>
        <v>20190304154959495</v>
      </c>
      <c r="B8353" t="str">
        <f>"1551685799485537"</f>
        <v>1551685799485537</v>
      </c>
      <c r="C8353" t="s">
        <v>40</v>
      </c>
      <c r="D8353">
        <v>3.942949</v>
      </c>
      <c r="E8353">
        <v>0.49121860000000001</v>
      </c>
      <c r="F8353" t="s">
        <v>44</v>
      </c>
      <c r="G8353">
        <v>-91.216620000000006</v>
      </c>
      <c r="H8353" s="1">
        <v>-4.143262E-6</v>
      </c>
      <c r="I8353">
        <v>141.202</v>
      </c>
      <c r="J8353">
        <v>-149.68700000000001</v>
      </c>
      <c r="K8353">
        <v>1.111394</v>
      </c>
      <c r="L8353">
        <v>137.3553</v>
      </c>
      <c r="M8353">
        <v>0.99971929999999998</v>
      </c>
      <c r="N8353">
        <v>-9.5644949999999992E-3</v>
      </c>
      <c r="O8353">
        <v>-2.1671760000000002E-2</v>
      </c>
      <c r="P8353">
        <v>0.98299239999999999</v>
      </c>
      <c r="Q8353">
        <v>0.1754983</v>
      </c>
      <c r="R8353">
        <v>5.409713E-2</v>
      </c>
      <c r="S8353">
        <v>3.0514070000000002</v>
      </c>
      <c r="T8353">
        <v>-5.7732940000000003E-2</v>
      </c>
      <c r="U8353">
        <v>0.19958500000000001</v>
      </c>
      <c r="V8353">
        <v>-7.5765009999999994E-2</v>
      </c>
      <c r="W8353">
        <v>0.18472479999999999</v>
      </c>
      <c r="X8353">
        <v>0.97986549999999994</v>
      </c>
      <c r="Y8353">
        <v>-8.6854990000000007E-2</v>
      </c>
      <c r="Z8353">
        <v>1.4391499999999999E-3</v>
      </c>
      <c r="AA8353">
        <v>0.99621990000000005</v>
      </c>
      <c r="AB8353">
        <v>25</v>
      </c>
      <c r="AC8353">
        <v>58.470379999999999</v>
      </c>
      <c r="AD8353">
        <v>-1.1113981432619999</v>
      </c>
      <c r="AE8353">
        <v>3.84669999999999</v>
      </c>
      <c r="AF8353">
        <v>-5.1111718920596596</v>
      </c>
      <c r="AG8353">
        <v>-1.1113981432619999</v>
      </c>
      <c r="AH8353">
        <v>58.352285995390297</v>
      </c>
      <c r="AI8353">
        <v>91.086982766172099</v>
      </c>
      <c r="AJ8353">
        <v>95.005854724649197</v>
      </c>
      <c r="AK8353">
        <v>58.586248939754199</v>
      </c>
      <c r="AL8353">
        <v>79.354911862006006</v>
      </c>
      <c r="AM8353">
        <v>94.421418088744204</v>
      </c>
      <c r="AN8353">
        <v>0.99999999328279499</v>
      </c>
    </row>
    <row r="8354" spans="1:40" x14ac:dyDescent="0.25">
      <c r="A8354" t="str">
        <f>"20190304154959515"</f>
        <v>20190304154959515</v>
      </c>
      <c r="B8354" t="str">
        <f>"1551685799506033"</f>
        <v>1551685799506033</v>
      </c>
      <c r="C8354" t="s">
        <v>40</v>
      </c>
      <c r="D8354">
        <v>3.9094440000000001</v>
      </c>
      <c r="E8354">
        <v>0.49085839999999997</v>
      </c>
      <c r="F8354" t="s">
        <v>44</v>
      </c>
      <c r="G8354">
        <v>-91.511179999999996</v>
      </c>
      <c r="H8354" s="1">
        <v>-4.0711440000000002E-6</v>
      </c>
      <c r="I8354">
        <v>141.3605</v>
      </c>
      <c r="J8354">
        <v>-149.4571</v>
      </c>
      <c r="K8354">
        <v>1.111421</v>
      </c>
      <c r="L8354">
        <v>137.35149999999999</v>
      </c>
      <c r="M8354">
        <v>0.99974379999999996</v>
      </c>
      <c r="N8354">
        <v>-9.5583409999999997E-3</v>
      </c>
      <c r="O8354">
        <v>-2.052112E-2</v>
      </c>
      <c r="P8354">
        <v>0.98295860000000002</v>
      </c>
      <c r="Q8354">
        <v>0.1750178</v>
      </c>
      <c r="R8354">
        <v>5.6224690000000001E-2</v>
      </c>
      <c r="S8354">
        <v>3.050735</v>
      </c>
      <c r="T8354">
        <v>-5.8281659999999999E-2</v>
      </c>
      <c r="U8354">
        <v>0.21003720000000001</v>
      </c>
      <c r="V8354">
        <v>-7.6773960000000002E-2</v>
      </c>
      <c r="W8354">
        <v>0.18423030000000001</v>
      </c>
      <c r="X8354">
        <v>0.97988010000000003</v>
      </c>
      <c r="Y8354">
        <v>-8.9119370000000003E-2</v>
      </c>
      <c r="Z8354">
        <v>1.472379E-3</v>
      </c>
      <c r="AA8354">
        <v>0.99601980000000001</v>
      </c>
      <c r="AB8354">
        <v>25</v>
      </c>
      <c r="AC8354">
        <v>57.945919999999902</v>
      </c>
      <c r="AD8354">
        <v>-1.1114250711439999</v>
      </c>
      <c r="AE8354">
        <v>4.0090000000000101</v>
      </c>
      <c r="AF8354">
        <v>-5.19542289792067</v>
      </c>
      <c r="AG8354">
        <v>-1.1114250711439999</v>
      </c>
      <c r="AH8354">
        <v>57.830270026511499</v>
      </c>
      <c r="AI8354">
        <v>91.096601892265596</v>
      </c>
      <c r="AJ8354">
        <v>95.133623034809901</v>
      </c>
      <c r="AK8354">
        <v>58.073813514494098</v>
      </c>
      <c r="AL8354">
        <v>79.383739766511894</v>
      </c>
      <c r="AM8354">
        <v>94.479992763725306</v>
      </c>
      <c r="AN8354">
        <v>1.0000000273740901</v>
      </c>
    </row>
    <row r="8355" spans="1:40" x14ac:dyDescent="0.25">
      <c r="A8355" t="str">
        <f>"20190304154959538"</f>
        <v>20190304154959538</v>
      </c>
      <c r="B8355" t="str">
        <f>"1551685799535312"</f>
        <v>1551685799535312</v>
      </c>
      <c r="C8355" t="s">
        <v>40</v>
      </c>
      <c r="D8355">
        <v>3.938904</v>
      </c>
      <c r="E8355">
        <v>0.49036869999999999</v>
      </c>
      <c r="F8355" t="s">
        <v>44</v>
      </c>
      <c r="G8355">
        <v>-92.779200000000003</v>
      </c>
      <c r="H8355" s="1">
        <v>-3.559309E-6</v>
      </c>
      <c r="I8355">
        <v>141.4177</v>
      </c>
      <c r="J8355">
        <v>-149.2073</v>
      </c>
      <c r="K8355">
        <v>1.111437</v>
      </c>
      <c r="L8355">
        <v>137.34780000000001</v>
      </c>
      <c r="M8355">
        <v>0.99976929999999997</v>
      </c>
      <c r="N8355">
        <v>-9.5514459999999999E-3</v>
      </c>
      <c r="O8355">
        <v>-1.924244E-2</v>
      </c>
      <c r="P8355">
        <v>0.98280190000000001</v>
      </c>
      <c r="Q8355">
        <v>0.1752618</v>
      </c>
      <c r="R8355">
        <v>5.8172160000000001E-2</v>
      </c>
      <c r="S8355">
        <v>3.0501399999999999</v>
      </c>
      <c r="T8355">
        <v>-5.9811709999999997E-2</v>
      </c>
      <c r="U8355">
        <v>0.2188263</v>
      </c>
      <c r="V8355">
        <v>-7.7471380000000006E-2</v>
      </c>
      <c r="W8355">
        <v>0.1844624</v>
      </c>
      <c r="X8355">
        <v>0.97978149999999997</v>
      </c>
      <c r="Y8355">
        <v>-9.071303E-2</v>
      </c>
      <c r="Z8355">
        <v>1.5153720000000001E-3</v>
      </c>
      <c r="AA8355">
        <v>0.99587590000000004</v>
      </c>
      <c r="AB8355">
        <v>25</v>
      </c>
      <c r="AC8355">
        <v>56.428100000000001</v>
      </c>
      <c r="AD8355">
        <v>-1.111440559309</v>
      </c>
      <c r="AE8355">
        <v>4.0698999999999899</v>
      </c>
      <c r="AF8355">
        <v>-5.1530213591773304</v>
      </c>
      <c r="AG8355">
        <v>-1.111440559309</v>
      </c>
      <c r="AH8355">
        <v>56.317597212642902</v>
      </c>
      <c r="AI8355">
        <v>91.125896412297095</v>
      </c>
      <c r="AJ8355">
        <v>95.227967066999597</v>
      </c>
      <c r="AK8355">
        <v>56.563775378332799</v>
      </c>
      <c r="AL8355">
        <v>79.370209121586299</v>
      </c>
      <c r="AM8355">
        <v>94.520974442021895</v>
      </c>
      <c r="AN8355">
        <v>0.99999998973755699</v>
      </c>
    </row>
    <row r="8356" spans="1:40" x14ac:dyDescent="0.25">
      <c r="A8356" t="str">
        <f>"20190304154959561"</f>
        <v>20190304154959561</v>
      </c>
      <c r="B8356" t="str">
        <f>"1551685799555808"</f>
        <v>1551685799555808</v>
      </c>
      <c r="C8356" t="s">
        <v>40</v>
      </c>
      <c r="D8356">
        <v>3.9270399999999999</v>
      </c>
      <c r="E8356">
        <v>0.49021409999999999</v>
      </c>
      <c r="F8356" t="s">
        <v>44</v>
      </c>
      <c r="G8356">
        <v>-92.070269999999994</v>
      </c>
      <c r="H8356" s="1">
        <v>-3.9199539999999997E-6</v>
      </c>
      <c r="I8356">
        <v>141.6301</v>
      </c>
      <c r="J8356">
        <v>-148.94759999999999</v>
      </c>
      <c r="K8356">
        <v>1.11144</v>
      </c>
      <c r="L8356">
        <v>137.3443</v>
      </c>
      <c r="M8356">
        <v>0.99979430000000002</v>
      </c>
      <c r="N8356">
        <v>-9.5398610000000002E-3</v>
      </c>
      <c r="O8356">
        <v>-1.7897929999999999E-2</v>
      </c>
      <c r="P8356">
        <v>0.98260179999999997</v>
      </c>
      <c r="Q8356">
        <v>0.17581529999999901</v>
      </c>
      <c r="R8356">
        <v>5.9853549999999998E-2</v>
      </c>
      <c r="S8356">
        <v>3.0495450000000002</v>
      </c>
      <c r="T8356">
        <v>-5.9320329999999998E-2</v>
      </c>
      <c r="U8356">
        <v>0.2285614</v>
      </c>
      <c r="V8356">
        <v>-7.7833379999999994E-2</v>
      </c>
      <c r="W8356">
        <v>0.18500130000000001</v>
      </c>
      <c r="X8356">
        <v>0.97965119999999895</v>
      </c>
      <c r="Y8356">
        <v>-9.2549560000000003E-2</v>
      </c>
      <c r="Z8356">
        <v>1.518145E-3</v>
      </c>
      <c r="AA8356">
        <v>0.99570689999999995</v>
      </c>
      <c r="AB8356">
        <v>25</v>
      </c>
      <c r="AC8356">
        <v>56.877330000000001</v>
      </c>
      <c r="AD8356">
        <v>-1.111443919954</v>
      </c>
      <c r="AE8356">
        <v>4.2857999999999903</v>
      </c>
      <c r="AF8356">
        <v>-5.3011334108343702</v>
      </c>
      <c r="AG8356">
        <v>-1.111443919954</v>
      </c>
      <c r="AH8356">
        <v>56.769952663119597</v>
      </c>
      <c r="AI8356">
        <v>91.116738294207394</v>
      </c>
      <c r="AJ8356">
        <v>95.334764789673699</v>
      </c>
      <c r="AK8356">
        <v>57.027755070662799</v>
      </c>
      <c r="AL8356">
        <v>79.338791753961004</v>
      </c>
      <c r="AM8356">
        <v>94.542612970090502</v>
      </c>
      <c r="AN8356">
        <v>0.99999999485267699</v>
      </c>
    </row>
    <row r="8357" spans="1:40" x14ac:dyDescent="0.25">
      <c r="A8357" t="str">
        <f>"20190304154959583"</f>
        <v>20190304154959583</v>
      </c>
      <c r="B8357" t="str">
        <f>"1551685799575328"</f>
        <v>1551685799575328</v>
      </c>
      <c r="C8357" t="s">
        <v>40</v>
      </c>
      <c r="D8357">
        <v>3.9575559999999999</v>
      </c>
      <c r="E8357">
        <v>0.49018250000000002</v>
      </c>
      <c r="F8357" t="s">
        <v>44</v>
      </c>
      <c r="G8357">
        <v>-90.383870000000002</v>
      </c>
      <c r="H8357" s="1">
        <v>-4.5423490000000004E-6</v>
      </c>
      <c r="I8357">
        <v>141.85419999999999</v>
      </c>
      <c r="J8357">
        <v>-148.6977</v>
      </c>
      <c r="K8357">
        <v>1.1114360000000001</v>
      </c>
      <c r="L8357">
        <v>137.34119999999999</v>
      </c>
      <c r="M8357">
        <v>0.99981690000000001</v>
      </c>
      <c r="N8357">
        <v>-9.5268120000000008E-3</v>
      </c>
      <c r="O8357">
        <v>-1.6603779999999999E-2</v>
      </c>
      <c r="P8357">
        <v>0.98239569999999998</v>
      </c>
      <c r="Q8357">
        <v>0.17656839999999999</v>
      </c>
      <c r="R8357">
        <v>6.1012940000000002E-2</v>
      </c>
      <c r="S8357">
        <v>3.0491790000000001</v>
      </c>
      <c r="T8357">
        <v>-5.786848E-2</v>
      </c>
      <c r="U8357">
        <v>0.23481750000000001</v>
      </c>
      <c r="V8357">
        <v>-7.7720040000000004E-2</v>
      </c>
      <c r="W8357">
        <v>0.18574060000000001</v>
      </c>
      <c r="X8357">
        <v>0.97952030000000001</v>
      </c>
      <c r="Y8357">
        <v>-9.3301800000000004E-2</v>
      </c>
      <c r="Z8357">
        <v>1.485866E-3</v>
      </c>
      <c r="AA8357">
        <v>0.99563679999999999</v>
      </c>
      <c r="AB8357">
        <v>25</v>
      </c>
      <c r="AC8357">
        <v>58.313830000000003</v>
      </c>
      <c r="AD8357">
        <v>-1.1114405423489999</v>
      </c>
      <c r="AE8357">
        <v>4.5129999999999999</v>
      </c>
      <c r="AF8357">
        <v>-5.4786732396528803</v>
      </c>
      <c r="AG8357">
        <v>-1.1114405423489999</v>
      </c>
      <c r="AH8357">
        <v>58.209834351474797</v>
      </c>
      <c r="AI8357">
        <v>91.089043128337906</v>
      </c>
      <c r="AJ8357">
        <v>95.376803573838899</v>
      </c>
      <c r="AK8357">
        <v>58.477653644552099</v>
      </c>
      <c r="AL8357">
        <v>79.295685917773099</v>
      </c>
      <c r="AM8357">
        <v>94.536629348843206</v>
      </c>
      <c r="AN8357">
        <v>0.99999999660902505</v>
      </c>
    </row>
    <row r="8358" spans="1:40" x14ac:dyDescent="0.25">
      <c r="A8358" t="str">
        <f>"20190304154959605"</f>
        <v>20190304154959605</v>
      </c>
      <c r="B8358" t="str">
        <f>"1551685799595825"</f>
        <v>1551685799595825</v>
      </c>
      <c r="C8358" t="s">
        <v>40</v>
      </c>
      <c r="D8358">
        <v>3.944531</v>
      </c>
      <c r="E8358">
        <v>0.49041479999999998</v>
      </c>
      <c r="F8358" t="s">
        <v>44</v>
      </c>
      <c r="G8358">
        <v>-88.527799999999999</v>
      </c>
      <c r="H8358" s="1">
        <v>-1.2609249999999999E-6</v>
      </c>
      <c r="I8358">
        <v>142.04820000000001</v>
      </c>
      <c r="J8358">
        <v>-148.44560000000001</v>
      </c>
      <c r="K8358">
        <v>1.1114250000000001</v>
      </c>
      <c r="L8358">
        <v>137.33840000000001</v>
      </c>
      <c r="M8358">
        <v>0.99983759999999999</v>
      </c>
      <c r="N8358">
        <v>-9.5149320000000003E-3</v>
      </c>
      <c r="O8358">
        <v>-1.5304419999999999E-2</v>
      </c>
      <c r="P8358">
        <v>0.98234429999999995</v>
      </c>
      <c r="Q8358">
        <v>0.17654929999999999</v>
      </c>
      <c r="R8358">
        <v>6.1890460000000001E-2</v>
      </c>
      <c r="S8358">
        <v>3.0490719999999998</v>
      </c>
      <c r="T8358">
        <v>-5.6321379999999997E-2</v>
      </c>
      <c r="U8358">
        <v>0.2385254</v>
      </c>
      <c r="V8358">
        <v>-7.7319230000000003E-2</v>
      </c>
      <c r="W8358">
        <v>0.18571209999999999</v>
      </c>
      <c r="X8358">
        <v>0.97955749999999997</v>
      </c>
      <c r="Y8358">
        <v>-9.3215329999999999E-2</v>
      </c>
      <c r="Z8358">
        <v>1.4406449999999999E-3</v>
      </c>
      <c r="AA8358">
        <v>0.99564490000000005</v>
      </c>
      <c r="AB8358">
        <v>25</v>
      </c>
      <c r="AC8358">
        <v>59.9178</v>
      </c>
      <c r="AD8358">
        <v>-1.1114262609250001</v>
      </c>
      <c r="AE8358">
        <v>4.7098000000000004</v>
      </c>
      <c r="AF8358">
        <v>-5.6243737296550798</v>
      </c>
      <c r="AG8358">
        <v>-1.1114262609250001</v>
      </c>
      <c r="AH8358">
        <v>59.818242393264697</v>
      </c>
      <c r="AI8358">
        <v>91.059763201428495</v>
      </c>
      <c r="AJ8358">
        <v>95.371409040489894</v>
      </c>
      <c r="AK8358">
        <v>60.092353683340498</v>
      </c>
      <c r="AL8358">
        <v>79.2973485732428</v>
      </c>
      <c r="AM8358">
        <v>94.5131597183602</v>
      </c>
      <c r="AN8358">
        <v>1.00000007161022</v>
      </c>
    </row>
    <row r="8359" spans="1:40" x14ac:dyDescent="0.25">
      <c r="A8359" t="str">
        <f>"20190304154959628"</f>
        <v>20190304154959628</v>
      </c>
      <c r="B8359" t="str">
        <f>"1551685799626082"</f>
        <v>1551685799626082</v>
      </c>
      <c r="C8359" t="s">
        <v>40</v>
      </c>
      <c r="D8359">
        <v>3.9521609999999998</v>
      </c>
      <c r="E8359">
        <v>0.4905832</v>
      </c>
      <c r="F8359" t="s">
        <v>44</v>
      </c>
      <c r="G8359">
        <v>-88.453769999999906</v>
      </c>
      <c r="H8359" s="1">
        <v>-1.2918690000000001E-6</v>
      </c>
      <c r="I8359">
        <v>142.04509999999999</v>
      </c>
      <c r="J8359">
        <v>-148.19200000000001</v>
      </c>
      <c r="K8359">
        <v>1.1114090000000001</v>
      </c>
      <c r="L8359">
        <v>137.33600000000001</v>
      </c>
      <c r="M8359">
        <v>0.99985670000000004</v>
      </c>
      <c r="N8359">
        <v>-9.5122920000000003E-3</v>
      </c>
      <c r="O8359">
        <v>-1.400819E-2</v>
      </c>
      <c r="P8359">
        <v>0.98244849999999995</v>
      </c>
      <c r="Q8359">
        <v>0.1754376</v>
      </c>
      <c r="R8359">
        <v>6.3378320000000002E-2</v>
      </c>
      <c r="S8359">
        <v>3.0489959999999998</v>
      </c>
      <c r="T8359">
        <v>-5.648661E-2</v>
      </c>
      <c r="U8359">
        <v>0.23921200000000001</v>
      </c>
      <c r="V8359">
        <v>-7.7531959999999997E-2</v>
      </c>
      <c r="W8359">
        <v>0.18459970000000001</v>
      </c>
      <c r="X8359">
        <v>0.97975089999999998</v>
      </c>
      <c r="Y8359">
        <v>-9.2149499999999995E-2</v>
      </c>
      <c r="Z8359">
        <v>1.4173289999999999E-3</v>
      </c>
      <c r="AA8359">
        <v>0.99574419999999997</v>
      </c>
      <c r="AB8359">
        <v>25</v>
      </c>
      <c r="AC8359">
        <v>59.738230000000001</v>
      </c>
      <c r="AD8359">
        <v>-1.1114102918690001</v>
      </c>
      <c r="AE8359">
        <v>4.7090999999999701</v>
      </c>
      <c r="AF8359">
        <v>-5.5435932103632997</v>
      </c>
      <c r="AG8359">
        <v>-1.1114102918690001</v>
      </c>
      <c r="AH8359">
        <v>59.645881074465798</v>
      </c>
      <c r="AI8359">
        <v>91.0629162902042</v>
      </c>
      <c r="AJ8359">
        <v>95.309916372213493</v>
      </c>
      <c r="AK8359">
        <v>59.9132521873765</v>
      </c>
      <c r="AL8359">
        <v>79.362205494368496</v>
      </c>
      <c r="AM8359">
        <v>94.524635742583598</v>
      </c>
      <c r="AN8359">
        <v>1.0000000400561699</v>
      </c>
    </row>
    <row r="8360" spans="1:40" x14ac:dyDescent="0.25">
      <c r="A8360" t="str">
        <f>"20190304154959650"</f>
        <v>20190304154959650</v>
      </c>
      <c r="B8360" t="str">
        <f>"1551685799645601"</f>
        <v>1551685799645601</v>
      </c>
      <c r="C8360" t="s">
        <v>40</v>
      </c>
      <c r="D8360">
        <v>3.9229729999999998</v>
      </c>
      <c r="E8360">
        <v>0.49076819999999999</v>
      </c>
      <c r="F8360" t="s">
        <v>44</v>
      </c>
      <c r="G8360">
        <v>-92.62912</v>
      </c>
      <c r="H8360" s="1">
        <v>-3.7129550000000001E-6</v>
      </c>
      <c r="I8360">
        <v>141.75319999999999</v>
      </c>
      <c r="J8360">
        <v>-147.93369999999999</v>
      </c>
      <c r="K8360">
        <v>1.1114040000000001</v>
      </c>
      <c r="L8360">
        <v>137.3338</v>
      </c>
      <c r="M8360">
        <v>0.99987409999999999</v>
      </c>
      <c r="N8360">
        <v>-9.5253049999999995E-3</v>
      </c>
      <c r="O8360">
        <v>-1.269938E-2</v>
      </c>
      <c r="P8360">
        <v>0.98251010000000005</v>
      </c>
      <c r="Q8360">
        <v>0.1746856</v>
      </c>
      <c r="R8360">
        <v>6.4491530000000005E-2</v>
      </c>
      <c r="S8360">
        <v>3.0488590000000002</v>
      </c>
      <c r="T8360">
        <v>-6.098568E-2</v>
      </c>
      <c r="U8360">
        <v>0.24238589999999999</v>
      </c>
      <c r="V8360">
        <v>-7.7357809999999999E-2</v>
      </c>
      <c r="W8360">
        <v>0.18386240000000001</v>
      </c>
      <c r="X8360">
        <v>0.97990330000000003</v>
      </c>
      <c r="Y8360">
        <v>-9.1876410000000006E-2</v>
      </c>
      <c r="Z8360">
        <v>1.488559E-3</v>
      </c>
      <c r="AA8360">
        <v>0.99576929999999997</v>
      </c>
      <c r="AB8360">
        <v>25</v>
      </c>
      <c r="AC8360">
        <v>55.304579999999902</v>
      </c>
      <c r="AD8360">
        <v>-1.111407712955</v>
      </c>
      <c r="AE8360">
        <v>4.4193999999999898</v>
      </c>
      <c r="AF8360">
        <v>-5.1193548943932701</v>
      </c>
      <c r="AG8360">
        <v>-1.111407712955</v>
      </c>
      <c r="AH8360">
        <v>55.221833570216901</v>
      </c>
      <c r="AI8360">
        <v>91.148071243569206</v>
      </c>
      <c r="AJ8360">
        <v>95.296482100835703</v>
      </c>
      <c r="AK8360">
        <v>55.469756845473</v>
      </c>
      <c r="AL8360">
        <v>79.405185414205206</v>
      </c>
      <c r="AM8360">
        <v>94.513815477602293</v>
      </c>
      <c r="AN8360">
        <v>1.00000004512632</v>
      </c>
    </row>
    <row r="8361" spans="1:40" x14ac:dyDescent="0.25">
      <c r="A8361" t="str">
        <f>"20190304154959672"</f>
        <v>20190304154959672</v>
      </c>
      <c r="B8361" t="str">
        <f>"1551685799666096"</f>
        <v>1551685799666096</v>
      </c>
      <c r="C8361" t="s">
        <v>40</v>
      </c>
      <c r="D8361">
        <v>3.9402720000000002</v>
      </c>
      <c r="E8361">
        <v>0.4910022</v>
      </c>
      <c r="F8361" t="s">
        <v>44</v>
      </c>
      <c r="G8361">
        <v>-94.765550000000005</v>
      </c>
      <c r="H8361" s="1">
        <v>-2.7549679999999998E-6</v>
      </c>
      <c r="I8361">
        <v>141.59739999999999</v>
      </c>
      <c r="J8361">
        <v>-147.6788</v>
      </c>
      <c r="K8361">
        <v>1.11141</v>
      </c>
      <c r="L8361">
        <v>137.33199999999999</v>
      </c>
      <c r="M8361">
        <v>0.99988920000000003</v>
      </c>
      <c r="N8361">
        <v>-9.5589309999999997E-3</v>
      </c>
      <c r="O8361">
        <v>-1.141733E-2</v>
      </c>
      <c r="P8361">
        <v>0.98261880000000001</v>
      </c>
      <c r="Q8361">
        <v>0.173676</v>
      </c>
      <c r="R8361">
        <v>6.554989E-2</v>
      </c>
      <c r="S8361">
        <v>3.0486759999999999</v>
      </c>
      <c r="T8361">
        <v>-6.372833E-2</v>
      </c>
      <c r="U8361">
        <v>0.24447630000000001</v>
      </c>
      <c r="V8361">
        <v>-7.7155730000000006E-2</v>
      </c>
      <c r="W8361">
        <v>0.18288879999999999</v>
      </c>
      <c r="X8361">
        <v>0.98010129999999995</v>
      </c>
      <c r="Y8361">
        <v>-9.1280829999999993E-2</v>
      </c>
      <c r="Z8361">
        <v>1.5187989999999999E-3</v>
      </c>
      <c r="AA8361">
        <v>0.99582400000000004</v>
      </c>
      <c r="AB8361">
        <v>25</v>
      </c>
      <c r="AC8361">
        <v>52.913249999999898</v>
      </c>
      <c r="AD8361">
        <v>-1.111412754968</v>
      </c>
      <c r="AE8361">
        <v>4.2653999999999996</v>
      </c>
      <c r="AF8361">
        <v>-4.8671440999812496</v>
      </c>
      <c r="AG8361">
        <v>-1.111412754968</v>
      </c>
      <c r="AH8361">
        <v>52.837938243412601</v>
      </c>
      <c r="AI8361">
        <v>91.199924455624696</v>
      </c>
      <c r="AJ8361">
        <v>95.262924305733407</v>
      </c>
      <c r="AK8361">
        <v>53.073270558884602</v>
      </c>
      <c r="AL8361">
        <v>79.461929690641199</v>
      </c>
      <c r="AM8361">
        <v>94.501166910112602</v>
      </c>
      <c r="AN8361">
        <v>0.99999993904947904</v>
      </c>
    </row>
    <row r="8362" spans="1:40" x14ac:dyDescent="0.25">
      <c r="A8362" t="str">
        <f>"20190304154959695"</f>
        <v>20190304154959695</v>
      </c>
      <c r="B8362" t="str">
        <f>"1551685799685616"</f>
        <v>1551685799685616</v>
      </c>
      <c r="C8362" t="s">
        <v>40</v>
      </c>
      <c r="D8362">
        <v>3.9476849999999999</v>
      </c>
      <c r="E8362">
        <v>0.49120370000000002</v>
      </c>
      <c r="F8362" t="s">
        <v>44</v>
      </c>
      <c r="G8362">
        <v>-97.132710000000003</v>
      </c>
      <c r="H8362" s="1">
        <v>-1.6913180000000001E-6</v>
      </c>
      <c r="I8362">
        <v>141.41640000000001</v>
      </c>
      <c r="J8362">
        <v>-147.4272</v>
      </c>
      <c r="K8362">
        <v>1.1114280000000001</v>
      </c>
      <c r="L8362">
        <v>137.3305</v>
      </c>
      <c r="M8362">
        <v>0.99990210000000002</v>
      </c>
      <c r="N8362">
        <v>-9.628691E-3</v>
      </c>
      <c r="O8362">
        <v>-1.015805E-2</v>
      </c>
      <c r="P8362">
        <v>0.98257649999999996</v>
      </c>
      <c r="Q8362">
        <v>0.17361760000000001</v>
      </c>
      <c r="R8362">
        <v>6.6336049999999994E-2</v>
      </c>
      <c r="S8362">
        <v>3.048492</v>
      </c>
      <c r="T8362">
        <v>-6.7030430000000002E-2</v>
      </c>
      <c r="U8362">
        <v>0.2463379</v>
      </c>
      <c r="V8362">
        <v>-7.6705049999999997E-2</v>
      </c>
      <c r="W8362">
        <v>0.18290010000000001</v>
      </c>
      <c r="X8362">
        <v>0.98013459999999997</v>
      </c>
      <c r="Y8362">
        <v>-9.0633160000000004E-2</v>
      </c>
      <c r="Z8362">
        <v>1.5571669999999999E-3</v>
      </c>
      <c r="AA8362">
        <v>0.99588310000000002</v>
      </c>
      <c r="AB8362">
        <v>26</v>
      </c>
      <c r="AC8362">
        <v>50.294490000000003</v>
      </c>
      <c r="AD8362">
        <v>-1.111429691318</v>
      </c>
      <c r="AE8362">
        <v>4.0858999999999996</v>
      </c>
      <c r="AF8362">
        <v>-4.5943778600640304</v>
      </c>
      <c r="AG8362">
        <v>-1.111429691318</v>
      </c>
      <c r="AH8362">
        <v>50.226021542736703</v>
      </c>
      <c r="AI8362">
        <v>91.262397551309803</v>
      </c>
      <c r="AJ8362">
        <v>95.2265320021355</v>
      </c>
      <c r="AK8362">
        <v>50.447961543468097</v>
      </c>
      <c r="AL8362">
        <v>79.461271498877693</v>
      </c>
      <c r="AM8362">
        <v>94.474830498228997</v>
      </c>
      <c r="AN8362">
        <v>0.999999972696335</v>
      </c>
    </row>
    <row r="8363" spans="1:40" x14ac:dyDescent="0.25">
      <c r="A8363" t="str">
        <f>"20190304154959717"</f>
        <v>20190304154959717</v>
      </c>
      <c r="B8363" t="str">
        <f>"1551685799706113"</f>
        <v>1551685799706113</v>
      </c>
      <c r="C8363" t="s">
        <v>40</v>
      </c>
      <c r="D8363">
        <v>3.9342060000000001</v>
      </c>
      <c r="E8363">
        <v>0.49138589999999999</v>
      </c>
      <c r="F8363" t="s">
        <v>44</v>
      </c>
      <c r="G8363">
        <v>-97.157039999999995</v>
      </c>
      <c r="H8363" s="1">
        <v>-1.6795979999999999E-6</v>
      </c>
      <c r="I8363">
        <v>141.41159999999999</v>
      </c>
      <c r="J8363">
        <v>-147.16820000000001</v>
      </c>
      <c r="K8363">
        <v>1.1114599999999999</v>
      </c>
      <c r="L8363">
        <v>137.32939999999999</v>
      </c>
      <c r="M8363">
        <v>0.9999133</v>
      </c>
      <c r="N8363">
        <v>-9.7399010000000005E-3</v>
      </c>
      <c r="O8363">
        <v>-8.8639870000000003E-3</v>
      </c>
      <c r="P8363">
        <v>0.98234299999999997</v>
      </c>
      <c r="Q8363">
        <v>0.17424200000000001</v>
      </c>
      <c r="R8363">
        <v>6.8132570000000003E-2</v>
      </c>
      <c r="S8363">
        <v>3.0484309999999999</v>
      </c>
      <c r="T8363">
        <v>-6.7398189999999997E-2</v>
      </c>
      <c r="U8363">
        <v>0.24748229999999999</v>
      </c>
      <c r="V8363">
        <v>-7.7230399999999894E-2</v>
      </c>
      <c r="W8363">
        <v>0.1836304</v>
      </c>
      <c r="X8363">
        <v>0.97995679999999996</v>
      </c>
      <c r="Y8363">
        <v>-8.9717340000000007E-2</v>
      </c>
      <c r="Z8363">
        <v>1.537224E-3</v>
      </c>
      <c r="AA8363">
        <v>0.99596609999999997</v>
      </c>
      <c r="AB8363">
        <v>26</v>
      </c>
      <c r="AC8363">
        <v>50.011159999999997</v>
      </c>
      <c r="AD8363">
        <v>-1.1114616795979999</v>
      </c>
      <c r="AE8363">
        <v>4.0822000000000003</v>
      </c>
      <c r="AF8363">
        <v>-4.5231396277296998</v>
      </c>
      <c r="AG8363">
        <v>-1.1114616795979999</v>
      </c>
      <c r="AH8363">
        <v>49.948501602557201</v>
      </c>
      <c r="AI8363">
        <v>91.269550982043398</v>
      </c>
      <c r="AJ8363">
        <v>95.174367021594307</v>
      </c>
      <c r="AK8363">
        <v>50.165196615759498</v>
      </c>
      <c r="AL8363">
        <v>79.418707733735602</v>
      </c>
      <c r="AM8363">
        <v>94.506166761134693</v>
      </c>
      <c r="AN8363">
        <v>0.99999999417727903</v>
      </c>
    </row>
    <row r="8364" spans="1:40" x14ac:dyDescent="0.25">
      <c r="A8364" t="str">
        <f>"20190304154959740"</f>
        <v>20190304154959740</v>
      </c>
      <c r="B8364" t="str">
        <f>"1551685799735396"</f>
        <v>1551685799735396</v>
      </c>
      <c r="C8364" t="s">
        <v>40</v>
      </c>
      <c r="D8364">
        <v>3.9397180000000001</v>
      </c>
      <c r="E8364">
        <v>0.49161300000000002</v>
      </c>
      <c r="F8364" t="s">
        <v>44</v>
      </c>
      <c r="G8364">
        <v>-95.999129999999994</v>
      </c>
      <c r="H8364" s="1">
        <v>-2.2120090000000002E-6</v>
      </c>
      <c r="I8364">
        <v>141.54560000000001</v>
      </c>
      <c r="J8364">
        <v>-146.91759999999999</v>
      </c>
      <c r="K8364">
        <v>1.111515</v>
      </c>
      <c r="L8364">
        <v>137.32859999999999</v>
      </c>
      <c r="M8364">
        <v>0.99992159999999997</v>
      </c>
      <c r="N8364">
        <v>-9.9510199999999997E-3</v>
      </c>
      <c r="O8364">
        <v>-7.6189509999999997E-3</v>
      </c>
      <c r="P8364">
        <v>0.98212679999999997</v>
      </c>
      <c r="Q8364">
        <v>0.17476129999999901</v>
      </c>
      <c r="R8364">
        <v>6.9899520000000007E-2</v>
      </c>
      <c r="S8364">
        <v>3.0482480000000001</v>
      </c>
      <c r="T8364">
        <v>-6.6212179999999995E-2</v>
      </c>
      <c r="U8364">
        <v>0.25117489999999998</v>
      </c>
      <c r="V8364">
        <v>-7.7775730000000001E-2</v>
      </c>
      <c r="W8364">
        <v>0.18435409999999999</v>
      </c>
      <c r="X8364">
        <v>0.97977780000000003</v>
      </c>
      <c r="Y8364">
        <v>-8.9681440000000001E-2</v>
      </c>
      <c r="Z8364">
        <v>1.508821E-3</v>
      </c>
      <c r="AA8364">
        <v>0.9959694</v>
      </c>
      <c r="AB8364">
        <v>26</v>
      </c>
      <c r="AC8364">
        <v>50.9184699999999</v>
      </c>
      <c r="AD8364">
        <v>-1.111517212009</v>
      </c>
      <c r="AE8364">
        <v>4.2170000000000103</v>
      </c>
      <c r="AF8364">
        <v>-4.6026637511247603</v>
      </c>
      <c r="AG8364">
        <v>-1.111517212009</v>
      </c>
      <c r="AH8364">
        <v>50.860790148732796</v>
      </c>
      <c r="AI8364">
        <v>91.246855407439497</v>
      </c>
      <c r="AJ8364">
        <v>95.170915330380893</v>
      </c>
      <c r="AK8364">
        <v>51.080720028910498</v>
      </c>
      <c r="AL8364">
        <v>79.376522833558397</v>
      </c>
      <c r="AM8364">
        <v>94.538678311515596</v>
      </c>
      <c r="AN8364">
        <v>1.0000000178683399</v>
      </c>
    </row>
    <row r="8365" spans="1:40" x14ac:dyDescent="0.25">
      <c r="A8365" t="str">
        <f>"20190304154959762"</f>
        <v>20190304154959762</v>
      </c>
      <c r="B8365" t="str">
        <f>"1551685799755889"</f>
        <v>1551685799755889</v>
      </c>
      <c r="C8365" t="s">
        <v>40</v>
      </c>
      <c r="D8365">
        <v>3.962742</v>
      </c>
      <c r="E8365">
        <v>0.49176419999999998</v>
      </c>
      <c r="F8365" t="s">
        <v>44</v>
      </c>
      <c r="G8365">
        <v>-94.811970000000002</v>
      </c>
      <c r="H8365" s="1">
        <v>-2.7554980000000001E-6</v>
      </c>
      <c r="I8365">
        <v>141.67420000000001</v>
      </c>
      <c r="J8365">
        <v>-146.66030000000001</v>
      </c>
      <c r="K8365">
        <v>1.111583</v>
      </c>
      <c r="L8365">
        <v>137.32810000000001</v>
      </c>
      <c r="M8365">
        <v>0.99992700000000001</v>
      </c>
      <c r="N8365">
        <v>-1.029352E-2</v>
      </c>
      <c r="O8365">
        <v>-6.3496029999999997E-3</v>
      </c>
      <c r="P8365">
        <v>0.98213150000000005</v>
      </c>
      <c r="Q8365">
        <v>0.1741452</v>
      </c>
      <c r="R8365">
        <v>7.135387E-2</v>
      </c>
      <c r="S8365">
        <v>3.0480649999999998</v>
      </c>
      <c r="T8365">
        <v>-6.5021280000000001E-2</v>
      </c>
      <c r="U8365">
        <v>0.25421139999999998</v>
      </c>
      <c r="V8365">
        <v>-7.7981700000000001E-2</v>
      </c>
      <c r="W8365">
        <v>0.18407519999999999</v>
      </c>
      <c r="X8365">
        <v>0.97981390000000002</v>
      </c>
      <c r="Y8365">
        <v>-8.9408280000000007E-2</v>
      </c>
      <c r="Z8365">
        <v>1.482885E-3</v>
      </c>
      <c r="AA8365">
        <v>0.99599400000000005</v>
      </c>
      <c r="AB8365">
        <v>26</v>
      </c>
      <c r="AC8365">
        <v>51.848329999999997</v>
      </c>
      <c r="AD8365">
        <v>-1.111585755498</v>
      </c>
      <c r="AE8365">
        <v>4.3460999999999999</v>
      </c>
      <c r="AF8365">
        <v>-4.6731131306067999</v>
      </c>
      <c r="AG8365">
        <v>-1.111585755498</v>
      </c>
      <c r="AH8365">
        <v>51.796045870183697</v>
      </c>
      <c r="AI8365">
        <v>91.224453996304902</v>
      </c>
      <c r="AJ8365">
        <v>95.155349159103693</v>
      </c>
      <c r="AK8365">
        <v>52.0183042496528</v>
      </c>
      <c r="AL8365">
        <v>79.392781228719201</v>
      </c>
      <c r="AM8365">
        <v>94.550480514894303</v>
      </c>
      <c r="AN8365">
        <v>1.0000000517115599</v>
      </c>
    </row>
    <row r="8366" spans="1:40" x14ac:dyDescent="0.25">
      <c r="A8366" t="str">
        <f>"20190304154959784"</f>
        <v>20190304154959784</v>
      </c>
      <c r="B8366" t="str">
        <f>"1551685799775409"</f>
        <v>1551685799775409</v>
      </c>
      <c r="C8366" t="s">
        <v>40</v>
      </c>
      <c r="D8366">
        <v>4.0046059999999999</v>
      </c>
      <c r="E8366">
        <v>0.49183149999999998</v>
      </c>
      <c r="F8366" t="s">
        <v>44</v>
      </c>
      <c r="G8366">
        <v>-96.279129999999995</v>
      </c>
      <c r="H8366" s="1">
        <v>-2.1050679999999999E-6</v>
      </c>
      <c r="I8366">
        <v>141.59520000000001</v>
      </c>
      <c r="J8366">
        <v>-146.40799999999999</v>
      </c>
      <c r="K8366">
        <v>1.111645</v>
      </c>
      <c r="L8366">
        <v>137.3279</v>
      </c>
      <c r="M8366">
        <v>0.99993030000000005</v>
      </c>
      <c r="N8366">
        <v>-1.0666210000000001E-2</v>
      </c>
      <c r="O8366">
        <v>-5.0981359999999996E-3</v>
      </c>
      <c r="P8366">
        <v>0.98242450000000003</v>
      </c>
      <c r="Q8366">
        <v>0.1723056</v>
      </c>
      <c r="R8366">
        <v>7.1786799999999998E-2</v>
      </c>
      <c r="S8366">
        <v>3.0477289999999999</v>
      </c>
      <c r="T8366">
        <v>-6.7243579999999997E-2</v>
      </c>
      <c r="U8366">
        <v>0.2581329</v>
      </c>
      <c r="V8366">
        <v>-7.7180860000000004E-2</v>
      </c>
      <c r="W8366">
        <v>0.18260799999999999</v>
      </c>
      <c r="X8366">
        <v>0.98015169999999996</v>
      </c>
      <c r="Y8366">
        <v>-8.9441320000000005E-2</v>
      </c>
      <c r="Z8366">
        <v>1.520761E-3</v>
      </c>
      <c r="AA8366">
        <v>0.99599090000000001</v>
      </c>
      <c r="AB8366">
        <v>26</v>
      </c>
      <c r="AC8366">
        <v>50.1288699999999</v>
      </c>
      <c r="AD8366">
        <v>-1.1116471050679999</v>
      </c>
      <c r="AE8366">
        <v>4.2672999999999996</v>
      </c>
      <c r="AF8366">
        <v>-4.5206157376068399</v>
      </c>
      <c r="AG8366">
        <v>-1.1116471050679999</v>
      </c>
      <c r="AH8366">
        <v>50.082010546352699</v>
      </c>
      <c r="AI8366">
        <v>91.266412002465401</v>
      </c>
      <c r="AJ8366">
        <v>95.157783661368697</v>
      </c>
      <c r="AK8366">
        <v>50.297907573757897</v>
      </c>
      <c r="AL8366">
        <v>79.478294157667193</v>
      </c>
      <c r="AM8366">
        <v>94.5023963589083</v>
      </c>
      <c r="AN8366">
        <v>0.99999996091361398</v>
      </c>
    </row>
    <row r="8367" spans="1:40" x14ac:dyDescent="0.25">
      <c r="A8367" t="str">
        <f>"20190304154959806"</f>
        <v>20190304154959806</v>
      </c>
      <c r="B8367" t="str">
        <f>"1551685799795906"</f>
        <v>1551685799795906</v>
      </c>
      <c r="C8367" t="s">
        <v>40</v>
      </c>
      <c r="D8367">
        <v>4.0232950000000001</v>
      </c>
      <c r="E8367">
        <v>0.52529119999999996</v>
      </c>
      <c r="F8367" t="s">
        <v>44</v>
      </c>
      <c r="G8367">
        <v>-99.994159999999994</v>
      </c>
      <c r="H8367" s="1">
        <v>-5.0051940000000002E-6</v>
      </c>
      <c r="I8367">
        <v>141.26060000000001</v>
      </c>
      <c r="J8367">
        <v>-146.15260000000001</v>
      </c>
      <c r="K8367">
        <v>1.1116999999999999</v>
      </c>
      <c r="L8367">
        <v>137.328</v>
      </c>
      <c r="M8367">
        <v>0.99993209999999999</v>
      </c>
      <c r="N8367">
        <v>-1.101708E-2</v>
      </c>
      <c r="O8367">
        <v>-3.8227909999999999E-3</v>
      </c>
      <c r="P8367">
        <v>0.98262260000000001</v>
      </c>
      <c r="Q8367">
        <v>0.1707389</v>
      </c>
      <c r="R8367">
        <v>7.2809760000000001E-2</v>
      </c>
      <c r="S8367">
        <v>3.0476070000000002</v>
      </c>
      <c r="T8367">
        <v>-7.2992799999999997E-2</v>
      </c>
      <c r="U8367">
        <v>0.25822450000000002</v>
      </c>
      <c r="V8367">
        <v>-7.6946589999999995E-2</v>
      </c>
      <c r="W8367">
        <v>0.1813903</v>
      </c>
      <c r="X8367">
        <v>0.98039620000000005</v>
      </c>
      <c r="Y8367">
        <v>-8.8199390000000003E-2</v>
      </c>
      <c r="Z8367">
        <v>1.5903689999999999E-3</v>
      </c>
      <c r="AA8367">
        <v>0.99610160000000003</v>
      </c>
      <c r="AB8367">
        <v>25</v>
      </c>
      <c r="AC8367">
        <v>46.158439999999999</v>
      </c>
      <c r="AD8367">
        <v>-1.1117050051939901</v>
      </c>
      <c r="AE8367">
        <v>3.9325999999999999</v>
      </c>
      <c r="AF8367">
        <v>-4.1066710521397303</v>
      </c>
      <c r="AG8367">
        <v>-1.1117050051939901</v>
      </c>
      <c r="AH8367">
        <v>46.1165104531579</v>
      </c>
      <c r="AI8367">
        <v>91.3754890939002</v>
      </c>
      <c r="AJ8367">
        <v>95.088761170421094</v>
      </c>
      <c r="AK8367">
        <v>46.312343619442103</v>
      </c>
      <c r="AL8367">
        <v>79.549248293395294</v>
      </c>
      <c r="AM8367">
        <v>94.487671120085693</v>
      </c>
      <c r="AN8367">
        <v>0.99999996381057799</v>
      </c>
    </row>
    <row r="8368" spans="1:40" x14ac:dyDescent="0.25">
      <c r="A8368" t="str">
        <f>"20190304154959829"</f>
        <v>20190304154959829</v>
      </c>
      <c r="B8368" t="str">
        <f>"1551685799825184"</f>
        <v>1551685799825184</v>
      </c>
      <c r="C8368" t="s">
        <v>40</v>
      </c>
      <c r="D8368">
        <v>4.0430929999999998</v>
      </c>
      <c r="E8368">
        <v>0.53210089999999999</v>
      </c>
      <c r="F8368" t="s">
        <v>44</v>
      </c>
      <c r="G8368">
        <v>-79.9298</v>
      </c>
      <c r="H8368" s="1">
        <v>-6.4306509999999996E-7</v>
      </c>
      <c r="I8368">
        <v>137.23689999999999</v>
      </c>
      <c r="J8368">
        <v>-145.90350000000001</v>
      </c>
      <c r="K8368">
        <v>1.11174</v>
      </c>
      <c r="L8368">
        <v>137.32849999999999</v>
      </c>
      <c r="M8368">
        <v>0.99993259999999995</v>
      </c>
      <c r="N8368">
        <v>-1.133077E-2</v>
      </c>
      <c r="O8368">
        <v>-2.5831669999999999E-3</v>
      </c>
      <c r="P8368">
        <v>0.98273160000000004</v>
      </c>
      <c r="Q8368">
        <v>0.17006660000000001</v>
      </c>
      <c r="R8368">
        <v>7.2914999999999994E-2</v>
      </c>
      <c r="S8368">
        <v>3.0623019999999999</v>
      </c>
      <c r="T8368">
        <v>-5.1407689999999999E-2</v>
      </c>
      <c r="U8368">
        <v>-4.2114259999999999E-3</v>
      </c>
      <c r="V8368">
        <v>-7.5832960000000005E-2</v>
      </c>
      <c r="W8368">
        <v>0.18102969999999999</v>
      </c>
      <c r="X8368">
        <v>0.98054960000000002</v>
      </c>
      <c r="Y8368">
        <v>-1.2077639999999901E-3</v>
      </c>
      <c r="Z8368" s="1">
        <v>3.1071909999999997E-5</v>
      </c>
      <c r="AA8368">
        <v>0.99999930000000004</v>
      </c>
      <c r="AB8368">
        <v>25</v>
      </c>
      <c r="AC8368">
        <v>65.973699999999994</v>
      </c>
      <c r="AD8368">
        <v>-1.1117406430651</v>
      </c>
      <c r="AE8368">
        <v>-9.1599999999999598E-2</v>
      </c>
      <c r="AF8368">
        <v>-7.8809929571349302E-2</v>
      </c>
      <c r="AG8368">
        <v>-1.1117406430651</v>
      </c>
      <c r="AH8368">
        <v>65.954987599460793</v>
      </c>
      <c r="AI8368">
        <v>90.965688447217801</v>
      </c>
      <c r="AJ8368">
        <v>90.0684629679035</v>
      </c>
      <c r="AK8368">
        <v>65.964403791040795</v>
      </c>
      <c r="AL8368">
        <v>79.570256860407</v>
      </c>
      <c r="AM8368">
        <v>94.422292507147702</v>
      </c>
      <c r="AN8368">
        <v>0.99999995408230402</v>
      </c>
    </row>
    <row r="8369" spans="1:40" x14ac:dyDescent="0.25">
      <c r="A8369" t="str">
        <f>"20190304154959852"</f>
        <v>20190304154959852</v>
      </c>
      <c r="B8369" t="str">
        <f>"1551685799845680"</f>
        <v>1551685799845680</v>
      </c>
      <c r="C8369" t="s">
        <v>40</v>
      </c>
      <c r="D8369">
        <v>4.0478769999999997</v>
      </c>
      <c r="E8369">
        <v>0.5341437</v>
      </c>
      <c r="F8369" t="s">
        <v>44</v>
      </c>
      <c r="G8369">
        <v>-100.76860000000001</v>
      </c>
      <c r="H8369" s="1">
        <v>-4.9030000000000003E-6</v>
      </c>
      <c r="I8369">
        <v>136.46619999999999</v>
      </c>
      <c r="J8369">
        <v>-145.64330000000001</v>
      </c>
      <c r="K8369">
        <v>1.1117790000000001</v>
      </c>
      <c r="L8369">
        <v>137.32929999999999</v>
      </c>
      <c r="M8369">
        <v>0.99993149999999997</v>
      </c>
      <c r="N8369">
        <v>-1.164081E-2</v>
      </c>
      <c r="O8369">
        <v>-1.2974130000000001E-3</v>
      </c>
      <c r="P8369">
        <v>0.98273270000000001</v>
      </c>
      <c r="Q8369">
        <v>0.16990429999999901</v>
      </c>
      <c r="R8369">
        <v>7.3274729999999996E-2</v>
      </c>
      <c r="S8369">
        <v>3.07016</v>
      </c>
      <c r="T8369">
        <v>-7.5622919999999996E-2</v>
      </c>
      <c r="U8369">
        <v>-5.8654789999999998E-2</v>
      </c>
      <c r="V8369">
        <v>-7.493081E-2</v>
      </c>
      <c r="W8369">
        <v>0.18117459999999999</v>
      </c>
      <c r="X8369">
        <v>0.98059229999999997</v>
      </c>
      <c r="Y8369">
        <v>1.779619E-2</v>
      </c>
      <c r="Z8369">
        <v>-3.0588959999999999E-4</v>
      </c>
      <c r="AA8369">
        <v>0.9998416</v>
      </c>
      <c r="AB8369">
        <v>25</v>
      </c>
      <c r="AC8369">
        <v>44.874699999999997</v>
      </c>
      <c r="AD8369">
        <v>-1.1117839030000001</v>
      </c>
      <c r="AE8369">
        <v>-0.86310000000000198</v>
      </c>
      <c r="AF8369">
        <v>0.80438075636623096</v>
      </c>
      <c r="AG8369">
        <v>-1.1117839030000001</v>
      </c>
      <c r="AH8369">
        <v>44.848263732799602</v>
      </c>
      <c r="AI8369">
        <v>91.419837448344694</v>
      </c>
      <c r="AJ8369">
        <v>88.972475684317004</v>
      </c>
      <c r="AK8369">
        <v>44.869252854208803</v>
      </c>
      <c r="AL8369">
        <v>79.561816233406503</v>
      </c>
      <c r="AM8369">
        <v>94.369697969599898</v>
      </c>
      <c r="AN8369">
        <v>1.0000000603958501</v>
      </c>
    </row>
    <row r="8370" spans="1:40" x14ac:dyDescent="0.25">
      <c r="A8370" t="str">
        <f>"20190304154959874"</f>
        <v>20190304154959874</v>
      </c>
      <c r="B8370" t="str">
        <f>"1551685799865200"</f>
        <v>1551685799865200</v>
      </c>
      <c r="C8370" t="s">
        <v>40</v>
      </c>
      <c r="D8370">
        <v>4.1004930000000002</v>
      </c>
      <c r="E8370">
        <v>0.53560399999999997</v>
      </c>
      <c r="F8370" t="s">
        <v>44</v>
      </c>
      <c r="G8370">
        <v>-103.39870000000001</v>
      </c>
      <c r="H8370" s="1">
        <v>-3.685436E-6</v>
      </c>
      <c r="I8370">
        <v>136.32130000000001</v>
      </c>
      <c r="J8370">
        <v>-145.38550000000001</v>
      </c>
      <c r="K8370">
        <v>1.111802</v>
      </c>
      <c r="L8370">
        <v>137.3304</v>
      </c>
      <c r="M8370">
        <v>0.99992899999999996</v>
      </c>
      <c r="N8370">
        <v>-1.192443E-2</v>
      </c>
      <c r="O8370" s="1">
        <v>-3.1891789999999998E-5</v>
      </c>
      <c r="P8370">
        <v>0.98280429999999996</v>
      </c>
      <c r="Q8370">
        <v>0.1692669</v>
      </c>
      <c r="R8370">
        <v>7.3788720000000002E-2</v>
      </c>
      <c r="S8370">
        <v>3.0721440000000002</v>
      </c>
      <c r="T8370">
        <v>-8.0851909999999999E-2</v>
      </c>
      <c r="U8370">
        <v>-7.3303220000000002E-2</v>
      </c>
      <c r="V8370">
        <v>-7.4199769999999998E-2</v>
      </c>
      <c r="W8370">
        <v>0.18081920000000001</v>
      </c>
      <c r="X8370">
        <v>0.98071339999999996</v>
      </c>
      <c r="Y8370">
        <v>2.3809960000000002E-2</v>
      </c>
      <c r="Z8370">
        <v>-4.5477579999999998E-4</v>
      </c>
      <c r="AA8370">
        <v>0.99971639999999995</v>
      </c>
      <c r="AB8370">
        <v>25</v>
      </c>
      <c r="AC8370">
        <v>41.986800000000002</v>
      </c>
      <c r="AD8370">
        <v>-1.1118056854359999</v>
      </c>
      <c r="AE8370">
        <v>-1.0090999999999799</v>
      </c>
      <c r="AF8370">
        <v>1.00705514651053</v>
      </c>
      <c r="AG8370">
        <v>-1.1118056854359999</v>
      </c>
      <c r="AH8370">
        <v>41.957429252963301</v>
      </c>
      <c r="AI8370">
        <v>91.517455739229604</v>
      </c>
      <c r="AJ8370">
        <v>88.625060343432295</v>
      </c>
      <c r="AK8370">
        <v>41.984236821308301</v>
      </c>
      <c r="AL8370">
        <v>79.582520284240104</v>
      </c>
      <c r="AM8370">
        <v>94.326696736740303</v>
      </c>
      <c r="AN8370">
        <v>0.99999998094812603</v>
      </c>
    </row>
    <row r="8371" spans="1:40" x14ac:dyDescent="0.25">
      <c r="A8371" t="str">
        <f>"20190304154959895"</f>
        <v>20190304154959895</v>
      </c>
      <c r="B8371" t="str">
        <f>"1551685799885697"</f>
        <v>1551685799885697</v>
      </c>
      <c r="C8371" t="s">
        <v>40</v>
      </c>
      <c r="D8371">
        <v>4.089855</v>
      </c>
      <c r="E8371">
        <v>0.53632519999999995</v>
      </c>
      <c r="F8371" t="s">
        <v>44</v>
      </c>
      <c r="G8371">
        <v>-104.4593</v>
      </c>
      <c r="H8371" s="1">
        <v>-3.2007370000000001E-6</v>
      </c>
      <c r="I8371">
        <v>136.22739999999999</v>
      </c>
      <c r="J8371">
        <v>-145.1465</v>
      </c>
      <c r="K8371">
        <v>1.111831</v>
      </c>
      <c r="L8371">
        <v>137.33179999999999</v>
      </c>
      <c r="M8371">
        <v>0.99992550000000002</v>
      </c>
      <c r="N8371">
        <v>-1.216185E-2</v>
      </c>
      <c r="O8371">
        <v>1.142388E-3</v>
      </c>
      <c r="P8371">
        <v>0.9830217</v>
      </c>
      <c r="Q8371">
        <v>0.1681609</v>
      </c>
      <c r="R8371">
        <v>7.3420109999999997E-2</v>
      </c>
      <c r="S8371">
        <v>3.0730740000000001</v>
      </c>
      <c r="T8371">
        <v>-8.3483340000000003E-2</v>
      </c>
      <c r="U8371">
        <v>-8.2824709999999996E-2</v>
      </c>
      <c r="V8371">
        <v>-7.2671929999999996E-2</v>
      </c>
      <c r="W8371">
        <v>0.179953799999999</v>
      </c>
      <c r="X8371">
        <v>0.98098700000000005</v>
      </c>
      <c r="Y8371">
        <v>2.8068889999999999E-2</v>
      </c>
      <c r="Z8371">
        <v>-5.6902169999999998E-4</v>
      </c>
      <c r="AA8371">
        <v>0.99960579999999999</v>
      </c>
      <c r="AB8371">
        <v>25</v>
      </c>
      <c r="AC8371">
        <v>40.687199999999997</v>
      </c>
      <c r="AD8371">
        <v>-1.1118342007369999</v>
      </c>
      <c r="AE8371">
        <v>-1.1043999999999901</v>
      </c>
      <c r="AF8371">
        <v>1.1500251532865999</v>
      </c>
      <c r="AG8371">
        <v>-1.1118342007369999</v>
      </c>
      <c r="AH8371">
        <v>40.655575254206902</v>
      </c>
      <c r="AI8371">
        <v>91.565888093174806</v>
      </c>
      <c r="AJ8371">
        <v>88.379705092599295</v>
      </c>
      <c r="AK8371">
        <v>40.6870315013715</v>
      </c>
      <c r="AL8371">
        <v>79.632931587747706</v>
      </c>
      <c r="AM8371">
        <v>94.236756469082707</v>
      </c>
      <c r="AN8371">
        <v>1.0000000368566799</v>
      </c>
    </row>
    <row r="8372" spans="1:40" x14ac:dyDescent="0.25">
      <c r="A8372" t="str">
        <f>"20190304154959917"</f>
        <v>20190304154959917</v>
      </c>
      <c r="B8372" t="str">
        <f>"1551685799915953"</f>
        <v>1551685799915953</v>
      </c>
      <c r="C8372" t="s">
        <v>40</v>
      </c>
      <c r="D8372">
        <v>4.1074869999999999</v>
      </c>
      <c r="E8372">
        <v>0.53715000000000002</v>
      </c>
      <c r="F8372" t="s">
        <v>44</v>
      </c>
      <c r="G8372">
        <v>-106.3064</v>
      </c>
      <c r="H8372" s="1">
        <v>-2.3319230000000001E-6</v>
      </c>
      <c r="I8372">
        <v>136.203</v>
      </c>
      <c r="J8372">
        <v>-144.8947</v>
      </c>
      <c r="K8372">
        <v>1.1118479999999999</v>
      </c>
      <c r="L8372">
        <v>137.33359999999999</v>
      </c>
      <c r="M8372">
        <v>0.99992049999999999</v>
      </c>
      <c r="N8372">
        <v>-1.238351E-2</v>
      </c>
      <c r="O8372">
        <v>2.376062E-3</v>
      </c>
      <c r="P8372">
        <v>0.98310909999999996</v>
      </c>
      <c r="Q8372">
        <v>0.16751440000000001</v>
      </c>
      <c r="R8372">
        <v>7.3724049999999999E-2</v>
      </c>
      <c r="S8372">
        <v>3.0735320000000002</v>
      </c>
      <c r="T8372">
        <v>-8.7982649999999996E-2</v>
      </c>
      <c r="U8372">
        <v>-8.932495E-2</v>
      </c>
      <c r="V8372">
        <v>-7.1756020000000004E-2</v>
      </c>
      <c r="W8372">
        <v>0.17953169999999999</v>
      </c>
      <c r="X8372">
        <v>0.98113170000000005</v>
      </c>
      <c r="Y8372">
        <v>3.1406799999999999E-2</v>
      </c>
      <c r="Z8372">
        <v>-6.8248020000000003E-4</v>
      </c>
      <c r="AA8372">
        <v>0.99950649999999996</v>
      </c>
      <c r="AB8372">
        <v>25</v>
      </c>
      <c r="AC8372">
        <v>38.588299999999997</v>
      </c>
      <c r="AD8372">
        <v>-1.111850331923</v>
      </c>
      <c r="AE8372">
        <v>-1.1305999999999801</v>
      </c>
      <c r="AF8372">
        <v>1.2212789991673001</v>
      </c>
      <c r="AG8372">
        <v>-1.111850331923</v>
      </c>
      <c r="AH8372">
        <v>38.553524889344999</v>
      </c>
      <c r="AI8372">
        <v>91.651075165288503</v>
      </c>
      <c r="AJ8372">
        <v>88.185620094502099</v>
      </c>
      <c r="AK8372">
        <v>38.588884603571302</v>
      </c>
      <c r="AL8372">
        <v>79.657515994785101</v>
      </c>
      <c r="AM8372">
        <v>94.182935110314006</v>
      </c>
      <c r="AN8372">
        <v>0.99999998522801004</v>
      </c>
    </row>
    <row r="8373" spans="1:40" x14ac:dyDescent="0.25">
      <c r="A8373" t="str">
        <f>"20190304154959941"</f>
        <v>20190304154959941</v>
      </c>
      <c r="B8373" t="str">
        <f>"1551685799935473"</f>
        <v>1551685799935473</v>
      </c>
      <c r="C8373" t="s">
        <v>40</v>
      </c>
      <c r="D8373">
        <v>4.0820169999999996</v>
      </c>
      <c r="E8373">
        <v>0.53750180000000003</v>
      </c>
      <c r="F8373" t="s">
        <v>44</v>
      </c>
      <c r="G8373">
        <v>-107.9778</v>
      </c>
      <c r="H8373" s="1">
        <v>-1.6718020000000001E-6</v>
      </c>
      <c r="I8373">
        <v>136.19229999999999</v>
      </c>
      <c r="J8373">
        <v>-144.6386</v>
      </c>
      <c r="K8373">
        <v>1.1118589999999999</v>
      </c>
      <c r="L8373">
        <v>137.3356</v>
      </c>
      <c r="M8373">
        <v>0.99991439999999998</v>
      </c>
      <c r="N8373">
        <v>-1.258242E-2</v>
      </c>
      <c r="O8373">
        <v>3.6141540000000001E-3</v>
      </c>
      <c r="P8373">
        <v>0.98308280000000003</v>
      </c>
      <c r="Q8373">
        <v>0.1675876</v>
      </c>
      <c r="R8373">
        <v>7.3912870000000006E-2</v>
      </c>
      <c r="S8373">
        <v>3.0744630000000002</v>
      </c>
      <c r="T8373">
        <v>-9.2595579999999997E-2</v>
      </c>
      <c r="U8373">
        <v>-9.5047000000000006E-2</v>
      </c>
      <c r="V8373">
        <v>-7.0720320000000003E-2</v>
      </c>
      <c r="W8373">
        <v>0.17980560000000001</v>
      </c>
      <c r="X8373">
        <v>0.98115680000000005</v>
      </c>
      <c r="Y8373">
        <v>3.4490029999999998E-2</v>
      </c>
      <c r="Z8373">
        <v>-7.9959289999999902E-4</v>
      </c>
      <c r="AA8373">
        <v>0.99940469999999904</v>
      </c>
      <c r="AB8373">
        <v>25</v>
      </c>
      <c r="AC8373">
        <v>36.660800000000002</v>
      </c>
      <c r="AD8373">
        <v>-1.1118606718020001</v>
      </c>
      <c r="AE8373">
        <v>-1.14330000000001</v>
      </c>
      <c r="AF8373">
        <v>1.2746295115978299</v>
      </c>
      <c r="AG8373">
        <v>-1.1118606718020001</v>
      </c>
      <c r="AH8373">
        <v>36.622774971834801</v>
      </c>
      <c r="AI8373">
        <v>91.737903490110497</v>
      </c>
      <c r="AJ8373">
        <v>88.006665946102501</v>
      </c>
      <c r="AK8373">
        <v>36.661813391906598</v>
      </c>
      <c r="AL8373">
        <v>79.641563674359404</v>
      </c>
      <c r="AM8373">
        <v>94.122664758780303</v>
      </c>
      <c r="AN8373">
        <v>1.0000000418192501</v>
      </c>
    </row>
    <row r="8374" spans="1:40" x14ac:dyDescent="0.25">
      <c r="A8374" t="str">
        <f>"20190304154959962"</f>
        <v>20190304154959962</v>
      </c>
      <c r="B8374" t="str">
        <f>"1551685799955969"</f>
        <v>1551685799955969</v>
      </c>
      <c r="C8374" t="s">
        <v>40</v>
      </c>
      <c r="D8374">
        <v>4.0783550000000002</v>
      </c>
      <c r="E8374">
        <v>0.53788190000000002</v>
      </c>
      <c r="F8374" t="s">
        <v>44</v>
      </c>
      <c r="G8374">
        <v>-108.36920000000001</v>
      </c>
      <c r="H8374" s="1">
        <v>-1.5225259999999999E-6</v>
      </c>
      <c r="I8374">
        <v>136.1885</v>
      </c>
      <c r="J8374">
        <v>-144.3903</v>
      </c>
      <c r="K8374">
        <v>1.1118520000000001</v>
      </c>
      <c r="L8374">
        <v>137.33789999999999</v>
      </c>
      <c r="M8374">
        <v>0.9999074</v>
      </c>
      <c r="N8374">
        <v>-1.275228E-2</v>
      </c>
      <c r="O8374">
        <v>4.786088E-3</v>
      </c>
      <c r="P8374">
        <v>0.98315439999999998</v>
      </c>
      <c r="Q8374">
        <v>0.1671783</v>
      </c>
      <c r="R8374">
        <v>7.3886129999999994E-2</v>
      </c>
      <c r="S8374">
        <v>3.0749970000000002</v>
      </c>
      <c r="T8374">
        <v>-9.426582E-2</v>
      </c>
      <c r="U8374">
        <v>-9.7259520000000002E-2</v>
      </c>
      <c r="V8374">
        <v>-6.952933E-2</v>
      </c>
      <c r="W8374">
        <v>0.1795715</v>
      </c>
      <c r="X8374">
        <v>0.98128470000000001</v>
      </c>
      <c r="Y8374">
        <v>3.6372109999999999E-2</v>
      </c>
      <c r="Z8374">
        <v>-8.7493199999999895E-4</v>
      </c>
      <c r="AA8374">
        <v>0.9993379</v>
      </c>
      <c r="AB8374">
        <v>25</v>
      </c>
      <c r="AC8374">
        <v>36.021099999999898</v>
      </c>
      <c r="AD8374">
        <v>-1.111853522526</v>
      </c>
      <c r="AE8374">
        <v>-1.14939999999998</v>
      </c>
      <c r="AF8374">
        <v>1.32054410327844</v>
      </c>
      <c r="AG8374">
        <v>-1.111853522526</v>
      </c>
      <c r="AH8374">
        <v>35.980939644499003</v>
      </c>
      <c r="AI8374">
        <v>91.768753944861203</v>
      </c>
      <c r="AJ8374">
        <v>87.898118825552103</v>
      </c>
      <c r="AK8374">
        <v>36.022327419051301</v>
      </c>
      <c r="AL8374">
        <v>79.655197654879402</v>
      </c>
      <c r="AM8374">
        <v>94.052942435721505</v>
      </c>
      <c r="AN8374">
        <v>0.99999995689829302</v>
      </c>
    </row>
    <row r="8375" spans="1:40" x14ac:dyDescent="0.25">
      <c r="A8375" t="str">
        <f>"20190304154959985"</f>
        <v>20190304154959985</v>
      </c>
      <c r="B8375" t="str">
        <f>"1551685799975489"</f>
        <v>1551685799975489</v>
      </c>
      <c r="C8375" t="s">
        <v>40</v>
      </c>
      <c r="D8375">
        <v>4.4758500000000003</v>
      </c>
      <c r="E8375">
        <v>0.57003359999999903</v>
      </c>
      <c r="F8375" t="s">
        <v>44</v>
      </c>
      <c r="G8375">
        <v>-108.9657</v>
      </c>
      <c r="H8375" s="1">
        <v>-1.2955999999999999E-6</v>
      </c>
      <c r="I8375">
        <v>136.18049999999999</v>
      </c>
      <c r="J8375">
        <v>-144.13980000000001</v>
      </c>
      <c r="K8375">
        <v>1.111842</v>
      </c>
      <c r="L8375">
        <v>137.34049999999999</v>
      </c>
      <c r="M8375">
        <v>0.99989930000000005</v>
      </c>
      <c r="N8375">
        <v>-1.2902500000000001E-2</v>
      </c>
      <c r="O8375">
        <v>5.9281539999999997E-3</v>
      </c>
      <c r="P8375">
        <v>0.9832881</v>
      </c>
      <c r="Q8375">
        <v>0.1661898</v>
      </c>
      <c r="R8375">
        <v>7.4334639999999993E-2</v>
      </c>
      <c r="S8375">
        <v>3.075348</v>
      </c>
      <c r="T8375">
        <v>-9.6524239999999997E-2</v>
      </c>
      <c r="U8375">
        <v>-0.1004791</v>
      </c>
      <c r="V8375">
        <v>-6.8838999999999997E-2</v>
      </c>
      <c r="W8375">
        <v>0.1787398</v>
      </c>
      <c r="X8375">
        <v>0.98148519999999995</v>
      </c>
      <c r="Y8375">
        <v>3.855215E-2</v>
      </c>
      <c r="Z8375">
        <v>-9.6308349999999995E-4</v>
      </c>
      <c r="AA8375">
        <v>0.99925609999999998</v>
      </c>
      <c r="AB8375">
        <v>25</v>
      </c>
      <c r="AC8375">
        <v>35.174100000000003</v>
      </c>
      <c r="AD8375">
        <v>-1.1118432955999999</v>
      </c>
      <c r="AE8375">
        <v>-1.1599999999999899</v>
      </c>
      <c r="AF8375">
        <v>1.36714989323158</v>
      </c>
      <c r="AG8375">
        <v>-1.1118432955999999</v>
      </c>
      <c r="AH8375">
        <v>35.131540210040001</v>
      </c>
      <c r="AI8375">
        <v>91.811322212032394</v>
      </c>
      <c r="AJ8375">
        <v>87.771449456511206</v>
      </c>
      <c r="AK8375">
        <v>35.175707695428002</v>
      </c>
      <c r="AL8375">
        <v>79.703634268030797</v>
      </c>
      <c r="AM8375">
        <v>94.012017371415396</v>
      </c>
      <c r="AN8375">
        <v>0.99999996092203902</v>
      </c>
    </row>
    <row r="8376" spans="1:40" x14ac:dyDescent="0.25">
      <c r="A8376" t="str">
        <f>"20190304155000008"</f>
        <v>20190304155000008</v>
      </c>
      <c r="B8376" t="str">
        <f>"1551685800005746"</f>
        <v>1551685800005746</v>
      </c>
      <c r="C8376" t="s">
        <v>40</v>
      </c>
      <c r="D8376">
        <v>4.3706870000000002</v>
      </c>
      <c r="E8376">
        <v>0.5604036</v>
      </c>
      <c r="F8376" t="s">
        <v>44</v>
      </c>
      <c r="G8376">
        <v>-88.637979999999999</v>
      </c>
      <c r="H8376" s="1">
        <v>-2.7494170000000001E-6</v>
      </c>
      <c r="I8376">
        <v>130.9727</v>
      </c>
      <c r="J8376">
        <v>-143.88149999999999</v>
      </c>
      <c r="K8376">
        <v>1.1118300000000001</v>
      </c>
      <c r="L8376">
        <v>137.3433</v>
      </c>
      <c r="M8376">
        <v>0.99989030000000001</v>
      </c>
      <c r="N8376">
        <v>-1.303728E-2</v>
      </c>
      <c r="O8376">
        <v>7.0521610000000004E-3</v>
      </c>
      <c r="P8376">
        <v>0.98339560000000004</v>
      </c>
      <c r="Q8376">
        <v>0.16516900000000001</v>
      </c>
      <c r="R8376">
        <v>7.5184899999999999E-2</v>
      </c>
      <c r="S8376">
        <v>3.0882109999999998</v>
      </c>
      <c r="T8376">
        <v>-6.1864849999999999E-2</v>
      </c>
      <c r="U8376">
        <v>-0.35430909999999999</v>
      </c>
      <c r="V8376">
        <v>-6.8564120000000006E-2</v>
      </c>
      <c r="W8376">
        <v>0.17786099999999999</v>
      </c>
      <c r="X8376">
        <v>0.98166410000000004</v>
      </c>
      <c r="Y8376">
        <v>0.120945899999999</v>
      </c>
      <c r="Z8376">
        <v>-2.047671E-3</v>
      </c>
      <c r="AA8376">
        <v>0.99265700000000001</v>
      </c>
      <c r="AB8376">
        <v>25</v>
      </c>
      <c r="AC8376">
        <v>55.243519999999897</v>
      </c>
      <c r="AD8376">
        <v>-1.1118327494169999</v>
      </c>
      <c r="AE8376">
        <v>-6.3705999999999898</v>
      </c>
      <c r="AF8376">
        <v>6.75735961081471</v>
      </c>
      <c r="AG8376">
        <v>-1.1118327494169999</v>
      </c>
      <c r="AH8376">
        <v>55.175159945143001</v>
      </c>
      <c r="AI8376">
        <v>91.145849945017503</v>
      </c>
      <c r="AJ8376">
        <v>83.017696900696606</v>
      </c>
      <c r="AK8376">
        <v>55.598528361321399</v>
      </c>
      <c r="AL8376">
        <v>79.754806066386394</v>
      </c>
      <c r="AM8376">
        <v>93.995323160473902</v>
      </c>
      <c r="AN8376">
        <v>0.99999998955059199</v>
      </c>
    </row>
    <row r="8377" spans="1:40" x14ac:dyDescent="0.25">
      <c r="A8377" t="str">
        <f>"20190304155000031"</f>
        <v>20190304155000031</v>
      </c>
      <c r="B8377" t="str">
        <f>"1551685800025265"</f>
        <v>1551685800025265</v>
      </c>
      <c r="C8377" t="s">
        <v>40</v>
      </c>
      <c r="D8377">
        <v>6.3447100000000001</v>
      </c>
      <c r="E8377">
        <v>0.56651809999999903</v>
      </c>
      <c r="F8377" t="s">
        <v>41</v>
      </c>
      <c r="G8377">
        <v>-143.12870000000001</v>
      </c>
      <c r="H8377">
        <v>1.0100309999999999</v>
      </c>
      <c r="I8377">
        <v>137.274</v>
      </c>
      <c r="J8377">
        <v>-143.63220000000001</v>
      </c>
      <c r="K8377">
        <v>1.111812</v>
      </c>
      <c r="L8377">
        <v>137.34630000000001</v>
      </c>
      <c r="M8377">
        <v>0.99988100000000002</v>
      </c>
      <c r="N8377">
        <v>-1.314997E-2</v>
      </c>
      <c r="O8377">
        <v>8.0746199999999994E-3</v>
      </c>
      <c r="P8377">
        <v>0.98336869999999998</v>
      </c>
      <c r="Q8377">
        <v>0.16461899999999999</v>
      </c>
      <c r="R8377">
        <v>7.6723819999999998E-2</v>
      </c>
      <c r="S8377">
        <v>3.1441650000000001</v>
      </c>
      <c r="T8377">
        <v>-0.42532799999999998</v>
      </c>
      <c r="U8377">
        <v>-0.28865049999999998</v>
      </c>
      <c r="V8377">
        <v>-6.9077E-2</v>
      </c>
      <c r="W8377">
        <v>0.177428799999999</v>
      </c>
      <c r="X8377">
        <v>0.98170639999999998</v>
      </c>
      <c r="Y8377">
        <v>9.8422809999999999E-2</v>
      </c>
      <c r="Z8377">
        <v>-8.2445680000000007E-3</v>
      </c>
      <c r="AA8377">
        <v>0.99511050000000001</v>
      </c>
      <c r="AB8377">
        <v>25</v>
      </c>
      <c r="AC8377">
        <v>0.50350000000000195</v>
      </c>
      <c r="AD8377">
        <v>-0.101781</v>
      </c>
      <c r="AE8377">
        <v>-7.2300000000012604E-2</v>
      </c>
      <c r="AF8377">
        <v>7.3423833447520404E-2</v>
      </c>
      <c r="AG8377">
        <v>-0.101781</v>
      </c>
      <c r="AH8377">
        <v>0.483539847067047</v>
      </c>
      <c r="AI8377">
        <v>101.75580101976</v>
      </c>
      <c r="AJ8377">
        <v>81.365793902435101</v>
      </c>
      <c r="AK8377">
        <v>0.49956102227931298</v>
      </c>
      <c r="AL8377">
        <v>79.779969989410105</v>
      </c>
      <c r="AM8377">
        <v>94.024938629367597</v>
      </c>
      <c r="AN8377">
        <v>1.0000000333996899</v>
      </c>
    </row>
    <row r="8378" spans="1:40" x14ac:dyDescent="0.25">
      <c r="A8378" t="str">
        <f>"20190304155000053"</f>
        <v>20190304155000053</v>
      </c>
      <c r="B8378" t="str">
        <f>"1551685800045761"</f>
        <v>1551685800045761</v>
      </c>
      <c r="C8378" t="s">
        <v>40</v>
      </c>
      <c r="D8378">
        <v>4.2023609999999998</v>
      </c>
      <c r="E8378">
        <v>0.57781709999999997</v>
      </c>
      <c r="F8378" t="s">
        <v>41</v>
      </c>
      <c r="G8378">
        <v>-142.90190000000001</v>
      </c>
      <c r="H8378">
        <v>1.0154799999999999</v>
      </c>
      <c r="I8378">
        <v>137.2687</v>
      </c>
      <c r="J8378">
        <v>-143.37880000000001</v>
      </c>
      <c r="K8378">
        <v>1.111777</v>
      </c>
      <c r="L8378">
        <v>137.34950000000001</v>
      </c>
      <c r="M8378">
        <v>0.99987139999999997</v>
      </c>
      <c r="N8378">
        <v>-1.3248380000000001E-2</v>
      </c>
      <c r="O8378">
        <v>9.0359789999999995E-3</v>
      </c>
      <c r="P8378">
        <v>0.98324599999999995</v>
      </c>
      <c r="Q8378">
        <v>0.16436789999999901</v>
      </c>
      <c r="R8378">
        <v>7.8807719999999998E-2</v>
      </c>
      <c r="S8378">
        <v>3.1462859999999999</v>
      </c>
      <c r="T8378">
        <v>-0.41506480000000001</v>
      </c>
      <c r="U8378">
        <v>-0.33399959999999901</v>
      </c>
      <c r="V8378">
        <v>-7.019251E-2</v>
      </c>
      <c r="W8378">
        <v>0.17728099999999999</v>
      </c>
      <c r="X8378">
        <v>0.98165389999999997</v>
      </c>
      <c r="Y8378">
        <v>0.1134117</v>
      </c>
      <c r="Z8378">
        <v>-9.2496609999999993E-3</v>
      </c>
      <c r="AA8378">
        <v>0.99350499999999997</v>
      </c>
      <c r="AB8378">
        <v>25</v>
      </c>
      <c r="AC8378">
        <v>0.47689999999999999</v>
      </c>
      <c r="AD8378">
        <v>-9.6296999999999994E-2</v>
      </c>
      <c r="AE8378">
        <v>-8.0800000000010599E-2</v>
      </c>
      <c r="AF8378">
        <v>8.1861740837355507E-2</v>
      </c>
      <c r="AG8378">
        <v>-9.6296999999999994E-2</v>
      </c>
      <c r="AH8378">
        <v>0.45799758543192998</v>
      </c>
      <c r="AI8378">
        <v>101.69375519750101</v>
      </c>
      <c r="AJ8378">
        <v>79.866059282249594</v>
      </c>
      <c r="AK8378">
        <v>0.47511708565721</v>
      </c>
      <c r="AL8378">
        <v>79.7885739630252</v>
      </c>
      <c r="AM8378">
        <v>94.089935693911599</v>
      </c>
      <c r="AN8378">
        <v>0.99999996040315398</v>
      </c>
    </row>
    <row r="8379" spans="1:40" x14ac:dyDescent="0.25">
      <c r="A8379" t="str">
        <f>"20190304155000076"</f>
        <v>20190304155000076</v>
      </c>
      <c r="B8379" t="str">
        <f>"1551685800065281"</f>
        <v>1551685800065281</v>
      </c>
      <c r="C8379" t="s">
        <v>40</v>
      </c>
      <c r="D8379">
        <v>4.8816129999999998</v>
      </c>
      <c r="E8379">
        <v>0.58061660000000004</v>
      </c>
      <c r="F8379" t="s">
        <v>41</v>
      </c>
      <c r="G8379">
        <v>-142.46639999999999</v>
      </c>
      <c r="H8379">
        <v>0.98911570000000004</v>
      </c>
      <c r="I8379">
        <v>137.22819999999999</v>
      </c>
      <c r="J8379">
        <v>-143.12780000000001</v>
      </c>
      <c r="K8379">
        <v>1.11172</v>
      </c>
      <c r="L8379">
        <v>137.35290000000001</v>
      </c>
      <c r="M8379">
        <v>0.99986209999999998</v>
      </c>
      <c r="N8379">
        <v>-1.3332119999999999E-2</v>
      </c>
      <c r="O8379">
        <v>9.9063929999999994E-3</v>
      </c>
      <c r="P8379">
        <v>0.98319460000000003</v>
      </c>
      <c r="Q8379">
        <v>0.1638309</v>
      </c>
      <c r="R8379">
        <v>8.0546519999999996E-2</v>
      </c>
      <c r="S8379">
        <v>3.15564</v>
      </c>
      <c r="T8379">
        <v>-0.42428519999999997</v>
      </c>
      <c r="U8379">
        <v>-0.41921999999999998</v>
      </c>
      <c r="V8379">
        <v>-7.1050180000000004E-2</v>
      </c>
      <c r="W8379">
        <v>0.1768351</v>
      </c>
      <c r="X8379">
        <v>0.98167260000000001</v>
      </c>
      <c r="Y8379">
        <v>0.14006959999999999</v>
      </c>
      <c r="Z8379">
        <v>-1.1465619999999999E-2</v>
      </c>
      <c r="AA8379">
        <v>0.99007529999999999</v>
      </c>
      <c r="AB8379">
        <v>25</v>
      </c>
      <c r="AC8379">
        <v>0.66140000000001398</v>
      </c>
      <c r="AD8379">
        <v>-0.1226043</v>
      </c>
      <c r="AE8379">
        <v>-0.124700000000018</v>
      </c>
      <c r="AF8379">
        <v>0.12703129505403399</v>
      </c>
      <c r="AG8379">
        <v>-0.1226043</v>
      </c>
      <c r="AH8379">
        <v>0.638930590615575</v>
      </c>
      <c r="AI8379">
        <v>100.658734106268</v>
      </c>
      <c r="AJ8379">
        <v>78.755167268002396</v>
      </c>
      <c r="AK8379">
        <v>0.66287333927829895</v>
      </c>
      <c r="AL8379">
        <v>79.814532043638806</v>
      </c>
      <c r="AM8379">
        <v>94.139658620655396</v>
      </c>
      <c r="AN8379">
        <v>0.99999993713039903</v>
      </c>
    </row>
    <row r="8380" spans="1:40" x14ac:dyDescent="0.25">
      <c r="A8380" t="str">
        <f>"20190304155000096"</f>
        <v>20190304155000096</v>
      </c>
      <c r="B8380" t="str">
        <f>"1551685800085776"</f>
        <v>1551685800085776</v>
      </c>
      <c r="C8380" t="s">
        <v>40</v>
      </c>
      <c r="D8380">
        <v>4.3383989999999999</v>
      </c>
      <c r="E8380">
        <v>0.58201559999999997</v>
      </c>
      <c r="F8380" t="s">
        <v>41</v>
      </c>
      <c r="G8380">
        <v>-142.24039999999999</v>
      </c>
      <c r="H8380">
        <v>0.99463109999999999</v>
      </c>
      <c r="I8380">
        <v>137.23009999999999</v>
      </c>
      <c r="J8380">
        <v>-142.89279999999999</v>
      </c>
      <c r="K8380">
        <v>1.1116740000000001</v>
      </c>
      <c r="L8380">
        <v>137.3561</v>
      </c>
      <c r="M8380">
        <v>0.9998534</v>
      </c>
      <c r="N8380">
        <v>-1.340012E-2</v>
      </c>
      <c r="O8380">
        <v>1.066047E-2</v>
      </c>
      <c r="P8380">
        <v>0.98329250000000001</v>
      </c>
      <c r="Q8380">
        <v>0.162606</v>
      </c>
      <c r="R8380">
        <v>8.1825579999999995E-2</v>
      </c>
      <c r="S8380">
        <v>3.1564480000000001</v>
      </c>
      <c r="T8380">
        <v>-0.41662349999999998</v>
      </c>
      <c r="U8380">
        <v>-0.4360657</v>
      </c>
      <c r="V8380">
        <v>-7.1562710000000002E-2</v>
      </c>
      <c r="W8380">
        <v>0.17568710000000001</v>
      </c>
      <c r="X8380">
        <v>0.98184159999999998</v>
      </c>
      <c r="Y8380">
        <v>0.14595910000000001</v>
      </c>
      <c r="Z8380">
        <v>-1.178659E-2</v>
      </c>
      <c r="AA8380">
        <v>0.9892204</v>
      </c>
      <c r="AB8380">
        <v>25</v>
      </c>
      <c r="AC8380">
        <v>0.65239999999999998</v>
      </c>
      <c r="AD8380">
        <v>-0.11704290000000001</v>
      </c>
      <c r="AE8380">
        <v>-0.126000000000004</v>
      </c>
      <c r="AF8380">
        <v>0.12894733964342101</v>
      </c>
      <c r="AG8380">
        <v>-0.11704290000000001</v>
      </c>
      <c r="AH8380">
        <v>0.6314274725565</v>
      </c>
      <c r="AI8380">
        <v>100.293524180265</v>
      </c>
      <c r="AJ8380">
        <v>78.458010729408798</v>
      </c>
      <c r="AK8380">
        <v>0.65500161063971096</v>
      </c>
      <c r="AL8380">
        <v>79.8813549903156</v>
      </c>
      <c r="AM8380">
        <v>94.168700534856896</v>
      </c>
      <c r="AN8380">
        <v>1.0000000530297499</v>
      </c>
    </row>
    <row r="8381" spans="1:40" x14ac:dyDescent="0.25">
      <c r="A8381" t="str">
        <f>"20190304155000119"</f>
        <v>20190304155000119</v>
      </c>
      <c r="B8381" t="str">
        <f>"1551685800116033"</f>
        <v>1551685800116033</v>
      </c>
      <c r="C8381" t="s">
        <v>40</v>
      </c>
      <c r="D8381">
        <v>4.4464139999999999</v>
      </c>
      <c r="E8381">
        <v>0.58216969999999901</v>
      </c>
      <c r="F8381" t="s">
        <v>41</v>
      </c>
      <c r="G8381">
        <v>-142.01650000000001</v>
      </c>
      <c r="H8381">
        <v>0.99652859999999999</v>
      </c>
      <c r="I8381">
        <v>137.23320000000001</v>
      </c>
      <c r="J8381">
        <v>-142.6404</v>
      </c>
      <c r="K8381">
        <v>1.1116200000000001</v>
      </c>
      <c r="L8381">
        <v>137.3597</v>
      </c>
      <c r="M8381">
        <v>0.99984439999999997</v>
      </c>
      <c r="N8381">
        <v>-1.346315E-2</v>
      </c>
      <c r="O8381">
        <v>1.140247E-2</v>
      </c>
      <c r="P8381">
        <v>0.98346440000000002</v>
      </c>
      <c r="Q8381">
        <v>0.16130839999999999</v>
      </c>
      <c r="R8381">
        <v>8.2325469999999998E-2</v>
      </c>
      <c r="S8381">
        <v>3.1564030000000001</v>
      </c>
      <c r="T8381">
        <v>-0.41479460000000001</v>
      </c>
      <c r="U8381">
        <v>-0.44273380000000001</v>
      </c>
      <c r="V8381">
        <v>-7.1308319999999994E-2</v>
      </c>
      <c r="W8381">
        <v>0.17446310000000001</v>
      </c>
      <c r="X8381">
        <v>0.98207829999999996</v>
      </c>
      <c r="Y8381">
        <v>0.14872569999999999</v>
      </c>
      <c r="Z8381">
        <v>-1.2027349999999999E-2</v>
      </c>
      <c r="AA8381">
        <v>0.98880539999999995</v>
      </c>
      <c r="AB8381">
        <v>25</v>
      </c>
      <c r="AC8381">
        <v>0.62389999999999102</v>
      </c>
      <c r="AD8381">
        <v>-0.1150914</v>
      </c>
      <c r="AE8381">
        <v>-0.12649999999999201</v>
      </c>
      <c r="AF8381">
        <v>0.129377610530822</v>
      </c>
      <c r="AG8381">
        <v>-0.1150914</v>
      </c>
      <c r="AH8381">
        <v>0.60271661947628696</v>
      </c>
      <c r="AI8381">
        <v>100.57544967588601</v>
      </c>
      <c r="AJ8381">
        <v>77.884880849124201</v>
      </c>
      <c r="AK8381">
        <v>0.62709801455079395</v>
      </c>
      <c r="AL8381">
        <v>79.9525848197747</v>
      </c>
      <c r="AM8381">
        <v>94.152935992773706</v>
      </c>
      <c r="AN8381">
        <v>1.00000001854686</v>
      </c>
    </row>
    <row r="8382" spans="1:40" x14ac:dyDescent="0.25">
      <c r="A8382" t="str">
        <f>"20190304155000143"</f>
        <v>20190304155000143</v>
      </c>
      <c r="B8382" t="str">
        <f>"1551685800135556"</f>
        <v>1551685800135556</v>
      </c>
      <c r="C8382" t="s">
        <v>40</v>
      </c>
      <c r="D8382">
        <v>4.3335410000000003</v>
      </c>
      <c r="E8382">
        <v>0.58069269999999995</v>
      </c>
      <c r="F8382" t="s">
        <v>41</v>
      </c>
      <c r="G8382">
        <v>-141.7936</v>
      </c>
      <c r="H8382">
        <v>0.9972645</v>
      </c>
      <c r="I8382">
        <v>137.24100000000001</v>
      </c>
      <c r="J8382">
        <v>-142.38589999999999</v>
      </c>
      <c r="K8382">
        <v>1.111564</v>
      </c>
      <c r="L8382">
        <v>137.36349999999999</v>
      </c>
      <c r="M8382">
        <v>0.99983569999999999</v>
      </c>
      <c r="N8382">
        <v>-1.3517619999999999E-2</v>
      </c>
      <c r="O8382">
        <v>1.207915E-2</v>
      </c>
      <c r="P8382">
        <v>0.98366960000000003</v>
      </c>
      <c r="Q8382">
        <v>0.16015470000000001</v>
      </c>
      <c r="R8382">
        <v>8.2126859999999996E-2</v>
      </c>
      <c r="S8382">
        <v>3.1574249999999999</v>
      </c>
      <c r="T8382">
        <v>-0.42644480000000001</v>
      </c>
      <c r="U8382">
        <v>-0.44247439999999999</v>
      </c>
      <c r="V8382">
        <v>-7.0419629999999997E-2</v>
      </c>
      <c r="W8382">
        <v>0.17337610000000001</v>
      </c>
      <c r="X8382">
        <v>0.98233490000000001</v>
      </c>
      <c r="Y8382">
        <v>0.14918239999999999</v>
      </c>
      <c r="Z8382">
        <v>-1.245364E-2</v>
      </c>
      <c r="AA8382">
        <v>0.98873129999999998</v>
      </c>
      <c r="AB8382">
        <v>25</v>
      </c>
      <c r="AC8382">
        <v>0.59229999999999405</v>
      </c>
      <c r="AD8382">
        <v>-0.114299499999999</v>
      </c>
      <c r="AE8382">
        <v>-0.12249999999997301</v>
      </c>
      <c r="AF8382">
        <v>0.12517590854392799</v>
      </c>
      <c r="AG8382">
        <v>-0.114299499999999</v>
      </c>
      <c r="AH8382">
        <v>0.57040656824828995</v>
      </c>
      <c r="AI8382">
        <v>101.074222352953</v>
      </c>
      <c r="AJ8382">
        <v>77.622624882599098</v>
      </c>
      <c r="AK8382">
        <v>0.59506053211487597</v>
      </c>
      <c r="AL8382">
        <v>80.015829263359294</v>
      </c>
      <c r="AM8382">
        <v>94.100289490916893</v>
      </c>
      <c r="AN8382">
        <v>1.0000000260492701</v>
      </c>
    </row>
    <row r="8383" spans="1:40" x14ac:dyDescent="0.25">
      <c r="A8383" t="str">
        <f>"20190304155000163"</f>
        <v>20190304155000163</v>
      </c>
      <c r="B8383" t="str">
        <f>"1551685800156050"</f>
        <v>1551685800156050</v>
      </c>
      <c r="C8383" t="s">
        <v>40</v>
      </c>
      <c r="D8383">
        <v>4.591272</v>
      </c>
      <c r="E8383">
        <v>0.58024339999999996</v>
      </c>
      <c r="F8383" t="s">
        <v>41</v>
      </c>
      <c r="G8383">
        <v>-141.57079999999999</v>
      </c>
      <c r="H8383">
        <v>0.99853959999999997</v>
      </c>
      <c r="I8383">
        <v>137.25210000000001</v>
      </c>
      <c r="J8383">
        <v>-142.14259999999999</v>
      </c>
      <c r="K8383">
        <v>1.11151</v>
      </c>
      <c r="L8383">
        <v>137.3672</v>
      </c>
      <c r="M8383">
        <v>0.99982800000000005</v>
      </c>
      <c r="N8383">
        <v>-1.356217E-2</v>
      </c>
      <c r="O8383">
        <v>1.2660670000000001E-2</v>
      </c>
      <c r="P8383">
        <v>0.98393120000000001</v>
      </c>
      <c r="Q8383">
        <v>0.1592382</v>
      </c>
      <c r="R8383">
        <v>8.0764600000000006E-2</v>
      </c>
      <c r="S8383">
        <v>3.1571039999999999</v>
      </c>
      <c r="T8383">
        <v>-0.43776690000000001</v>
      </c>
      <c r="U8383">
        <v>-0.43145749999999999</v>
      </c>
      <c r="V8383">
        <v>-6.8462159999999994E-2</v>
      </c>
      <c r="W8383">
        <v>0.17251659999999999</v>
      </c>
      <c r="X8383">
        <v>0.98262450000000001</v>
      </c>
      <c r="Y8383">
        <v>0.1463286</v>
      </c>
      <c r="Z8383">
        <v>-1.2622070000000001E-2</v>
      </c>
      <c r="AA8383">
        <v>0.98915549999999997</v>
      </c>
      <c r="AB8383">
        <v>25</v>
      </c>
      <c r="AC8383">
        <v>0.57179999999999598</v>
      </c>
      <c r="AD8383">
        <v>-0.112970399999999</v>
      </c>
      <c r="AE8383">
        <v>-0.11509999999998401</v>
      </c>
      <c r="AF8383">
        <v>0.117907647131837</v>
      </c>
      <c r="AG8383">
        <v>-0.112970399999999</v>
      </c>
      <c r="AH8383">
        <v>0.54967634537793597</v>
      </c>
      <c r="AI8383">
        <v>101.362293573587</v>
      </c>
      <c r="AJ8383">
        <v>77.893298410061504</v>
      </c>
      <c r="AK8383">
        <v>0.57341835442926803</v>
      </c>
      <c r="AL8383">
        <v>80.065827911983902</v>
      </c>
      <c r="AM8383">
        <v>93.9855144139608</v>
      </c>
      <c r="AN8383">
        <v>0.99999997631383697</v>
      </c>
    </row>
    <row r="8384" spans="1:40" x14ac:dyDescent="0.25">
      <c r="A8384" t="str">
        <f>"20190304155000186"</f>
        <v>20190304155000186</v>
      </c>
      <c r="B8384" t="str">
        <f>"1551685800175569"</f>
        <v>1551685800175569</v>
      </c>
      <c r="C8384" t="s">
        <v>40</v>
      </c>
      <c r="D8384">
        <v>4.4527099999999997</v>
      </c>
      <c r="E8384">
        <v>0.58035530000000002</v>
      </c>
      <c r="F8384" t="s">
        <v>41</v>
      </c>
      <c r="G8384">
        <v>-141.3486</v>
      </c>
      <c r="H8384">
        <v>0.99867890000000004</v>
      </c>
      <c r="I8384">
        <v>137.25839999999999</v>
      </c>
      <c r="J8384">
        <v>-141.89490000000001</v>
      </c>
      <c r="K8384">
        <v>1.1114550000000001</v>
      </c>
      <c r="L8384">
        <v>137.37100000000001</v>
      </c>
      <c r="M8384">
        <v>0.99982059999999995</v>
      </c>
      <c r="N8384">
        <v>-1.36011E-2</v>
      </c>
      <c r="O8384">
        <v>1.319351E-2</v>
      </c>
      <c r="P8384">
        <v>0.98408220000000002</v>
      </c>
      <c r="Q8384">
        <v>0.1588311</v>
      </c>
      <c r="R8384">
        <v>7.9719700000000004E-2</v>
      </c>
      <c r="S8384">
        <v>3.1570429999999998</v>
      </c>
      <c r="T8384">
        <v>-0.44876660000000002</v>
      </c>
      <c r="U8384">
        <v>-0.43167109999999898</v>
      </c>
      <c r="V8384">
        <v>-6.6870440000000003E-2</v>
      </c>
      <c r="W8384">
        <v>0.1721587</v>
      </c>
      <c r="X8384">
        <v>0.98279689999999997</v>
      </c>
      <c r="Y8384">
        <v>0.1468351</v>
      </c>
      <c r="Z8384">
        <v>-1.302531E-2</v>
      </c>
      <c r="AA8384">
        <v>0.98907520000000004</v>
      </c>
      <c r="AB8384">
        <v>25</v>
      </c>
      <c r="AC8384">
        <v>0.54630000000000201</v>
      </c>
      <c r="AD8384">
        <v>-0.112776099999999</v>
      </c>
      <c r="AE8384">
        <v>-0.11260000000001399</v>
      </c>
      <c r="AF8384">
        <v>0.11509354162112501</v>
      </c>
      <c r="AG8384">
        <v>-0.112776099999999</v>
      </c>
      <c r="AH8384">
        <v>0.523371680275458</v>
      </c>
      <c r="AI8384">
        <v>101.88454575664301</v>
      </c>
      <c r="AJ8384">
        <v>77.597617561702904</v>
      </c>
      <c r="AK8384">
        <v>0.54761563871794205</v>
      </c>
      <c r="AL8384">
        <v>80.086645886114994</v>
      </c>
      <c r="AM8384">
        <v>93.892460166218299</v>
      </c>
      <c r="AN8384">
        <v>1.00000001019054</v>
      </c>
    </row>
    <row r="8385" spans="1:40" x14ac:dyDescent="0.25">
      <c r="A8385" t="str">
        <f>"20190304155000208"</f>
        <v>20190304155000208</v>
      </c>
      <c r="B8385" t="str">
        <f>"1551685800205826"</f>
        <v>1551685800205826</v>
      </c>
      <c r="C8385" t="s">
        <v>40</v>
      </c>
      <c r="D8385">
        <v>4.5190390000000003</v>
      </c>
      <c r="E8385">
        <v>0.58298859999999997</v>
      </c>
      <c r="F8385" t="s">
        <v>41</v>
      </c>
      <c r="G8385">
        <v>-141.12620000000001</v>
      </c>
      <c r="H8385">
        <v>1.0000639999999901</v>
      </c>
      <c r="I8385">
        <v>137.26490000000001</v>
      </c>
      <c r="J8385">
        <v>-141.64750000000001</v>
      </c>
      <c r="K8385">
        <v>1.111415</v>
      </c>
      <c r="L8385">
        <v>137.37479999999999</v>
      </c>
      <c r="M8385">
        <v>0.99981370000000003</v>
      </c>
      <c r="N8385">
        <v>-1.363434E-2</v>
      </c>
      <c r="O8385">
        <v>1.3670130000000001E-2</v>
      </c>
      <c r="P8385">
        <v>0.98425830000000003</v>
      </c>
      <c r="Q8385">
        <v>0.1583022</v>
      </c>
      <c r="R8385">
        <v>7.8590640000000003E-2</v>
      </c>
      <c r="S8385">
        <v>3.1576689999999998</v>
      </c>
      <c r="T8385">
        <v>-0.4575996</v>
      </c>
      <c r="U8385">
        <v>-0.43562319999999999</v>
      </c>
      <c r="V8385">
        <v>-6.5250730000000007E-2</v>
      </c>
      <c r="W8385">
        <v>0.17167389999999999</v>
      </c>
      <c r="X8385">
        <v>0.98299060000000005</v>
      </c>
      <c r="Y8385">
        <v>0.14840909999999999</v>
      </c>
      <c r="Z8385">
        <v>-1.3447570000000001E-2</v>
      </c>
      <c r="AA8385">
        <v>0.98883460000000001</v>
      </c>
      <c r="AB8385">
        <v>25</v>
      </c>
      <c r="AC8385">
        <v>0.52129999999999599</v>
      </c>
      <c r="AD8385">
        <v>-0.11135100000000001</v>
      </c>
      <c r="AE8385">
        <v>-0.109899999999981</v>
      </c>
      <c r="AF8385">
        <v>0.11211877703846</v>
      </c>
      <c r="AG8385">
        <v>-0.11135100000000001</v>
      </c>
      <c r="AH8385">
        <v>0.49799416854593698</v>
      </c>
      <c r="AI8385">
        <v>102.305662633808</v>
      </c>
      <c r="AJ8385">
        <v>77.311941335911797</v>
      </c>
      <c r="AK8385">
        <v>0.52246325925500203</v>
      </c>
      <c r="AL8385">
        <v>80.114843110812103</v>
      </c>
      <c r="AM8385">
        <v>93.797711614054506</v>
      </c>
      <c r="AN8385">
        <v>1.0000000526975501</v>
      </c>
    </row>
    <row r="8386" spans="1:40" x14ac:dyDescent="0.25">
      <c r="A8386" t="str">
        <f>"20190304155000231"</f>
        <v>20190304155000231</v>
      </c>
      <c r="B8386" t="str">
        <f>"1551685800225345"</f>
        <v>1551685800225345</v>
      </c>
      <c r="C8386" t="s">
        <v>40</v>
      </c>
      <c r="D8386">
        <v>4.404217</v>
      </c>
      <c r="E8386">
        <v>0.5846498</v>
      </c>
      <c r="F8386" t="s">
        <v>41</v>
      </c>
      <c r="G8386">
        <v>-140.9033</v>
      </c>
      <c r="H8386">
        <v>1.0024959999999901</v>
      </c>
      <c r="I8386">
        <v>137.2663</v>
      </c>
      <c r="J8386">
        <v>-141.3998</v>
      </c>
      <c r="K8386">
        <v>1.1113879999999901</v>
      </c>
      <c r="L8386">
        <v>137.37880000000001</v>
      </c>
      <c r="M8386">
        <v>0.99980740000000001</v>
      </c>
      <c r="N8386">
        <v>-1.366275E-2</v>
      </c>
      <c r="O8386">
        <v>1.4095140000000001E-2</v>
      </c>
      <c r="P8386">
        <v>0.98431069999999998</v>
      </c>
      <c r="Q8386">
        <v>0.1580685</v>
      </c>
      <c r="R8386">
        <v>7.8404550000000003E-2</v>
      </c>
      <c r="S8386">
        <v>3.1590579999999999</v>
      </c>
      <c r="T8386">
        <v>-0.46243869999999998</v>
      </c>
      <c r="U8386">
        <v>-0.45971679999999998</v>
      </c>
      <c r="V8386">
        <v>-6.4627710000000005E-2</v>
      </c>
      <c r="W8386">
        <v>0.1714762</v>
      </c>
      <c r="X8386">
        <v>0.9830662</v>
      </c>
      <c r="Y8386">
        <v>0.15603520000000001</v>
      </c>
      <c r="Z8386">
        <v>-1.423076E-2</v>
      </c>
      <c r="AA8386">
        <v>0.987649</v>
      </c>
      <c r="AB8386">
        <v>25</v>
      </c>
      <c r="AC8386">
        <v>0.496499999999997</v>
      </c>
      <c r="AD8386">
        <v>-0.108892</v>
      </c>
      <c r="AE8386">
        <v>-0.11250000000001099</v>
      </c>
      <c r="AF8386">
        <v>0.114260088306464</v>
      </c>
      <c r="AG8386">
        <v>-0.108892</v>
      </c>
      <c r="AH8386">
        <v>0.47321433197218299</v>
      </c>
      <c r="AI8386">
        <v>102.608556946856</v>
      </c>
      <c r="AJ8386">
        <v>76.425453817212301</v>
      </c>
      <c r="AK8386">
        <v>0.49884330147620498</v>
      </c>
      <c r="AL8386">
        <v>80.126340370201206</v>
      </c>
      <c r="AM8386">
        <v>93.761266873241198</v>
      </c>
      <c r="AN8386">
        <v>0.99999999082436197</v>
      </c>
    </row>
    <row r="8387" spans="1:40" x14ac:dyDescent="0.25">
      <c r="A8387" t="str">
        <f>"20190304155000254"</f>
        <v>20190304155000254</v>
      </c>
      <c r="B8387" t="str">
        <f>"1551685800245841"</f>
        <v>1551685800245841</v>
      </c>
      <c r="C8387" t="s">
        <v>40</v>
      </c>
      <c r="D8387">
        <v>4.4185439999999998</v>
      </c>
      <c r="E8387">
        <v>0.5869858</v>
      </c>
      <c r="F8387" t="s">
        <v>41</v>
      </c>
      <c r="G8387">
        <v>-140.68049999999999</v>
      </c>
      <c r="H8387">
        <v>1.005403</v>
      </c>
      <c r="I8387">
        <v>137.27099999999999</v>
      </c>
      <c r="J8387">
        <v>-141.1465</v>
      </c>
      <c r="K8387">
        <v>1.111362</v>
      </c>
      <c r="L8387">
        <v>137.3828</v>
      </c>
      <c r="M8387">
        <v>0.99980170000000002</v>
      </c>
      <c r="N8387">
        <v>-1.3687080000000001E-2</v>
      </c>
      <c r="O8387">
        <v>1.4474829999999999E-2</v>
      </c>
      <c r="P8387">
        <v>0.98427869999999995</v>
      </c>
      <c r="Q8387">
        <v>0.1579419</v>
      </c>
      <c r="R8387">
        <v>7.9055829999999994E-2</v>
      </c>
      <c r="S8387">
        <v>3.1602939999999999</v>
      </c>
      <c r="T8387">
        <v>-0.46566770000000002</v>
      </c>
      <c r="U8387">
        <v>-0.4732056</v>
      </c>
      <c r="V8387">
        <v>-6.4889440000000007E-2</v>
      </c>
      <c r="W8387">
        <v>0.1713789</v>
      </c>
      <c r="X8387">
        <v>0.983066</v>
      </c>
      <c r="Y8387">
        <v>0.16040209999999999</v>
      </c>
      <c r="Z8387">
        <v>-1.471448E-2</v>
      </c>
      <c r="AA8387">
        <v>0.98694210000000004</v>
      </c>
      <c r="AB8387">
        <v>25</v>
      </c>
      <c r="AC8387">
        <v>0.46600000000000802</v>
      </c>
      <c r="AD8387">
        <v>-0.105959</v>
      </c>
      <c r="AE8387">
        <v>-0.11179999999998801</v>
      </c>
      <c r="AF8387">
        <v>0.11300941942395799</v>
      </c>
      <c r="AG8387">
        <v>-0.105959</v>
      </c>
      <c r="AH8387">
        <v>0.44269061952681399</v>
      </c>
      <c r="AI8387">
        <v>103.056924154466</v>
      </c>
      <c r="AJ8387">
        <v>75.679463837397194</v>
      </c>
      <c r="AK8387">
        <v>0.46901324413770501</v>
      </c>
      <c r="AL8387">
        <v>80.131999741131096</v>
      </c>
      <c r="AM8387">
        <v>93.776456068943403</v>
      </c>
      <c r="AN8387">
        <v>1.0000000635723501</v>
      </c>
    </row>
    <row r="8388" spans="1:40" x14ac:dyDescent="0.25">
      <c r="A8388" t="str">
        <f>"20190304155000277"</f>
        <v>20190304155000277</v>
      </c>
      <c r="B8388" t="str">
        <f>"1551685800265361"</f>
        <v>1551685800265361</v>
      </c>
      <c r="C8388" t="s">
        <v>40</v>
      </c>
      <c r="D8388">
        <v>4.3170419999999998</v>
      </c>
      <c r="E8388">
        <v>0.58844469999999904</v>
      </c>
      <c r="F8388" t="s">
        <v>41</v>
      </c>
      <c r="G8388">
        <v>-140.2499</v>
      </c>
      <c r="H8388">
        <v>0.97921429999999998</v>
      </c>
      <c r="I8388">
        <v>137.244</v>
      </c>
      <c r="J8388">
        <v>-140.89859999999999</v>
      </c>
      <c r="K8388">
        <v>1.11134</v>
      </c>
      <c r="L8388">
        <v>137.38679999999999</v>
      </c>
      <c r="M8388">
        <v>0.99979660000000004</v>
      </c>
      <c r="N8388">
        <v>-1.370733E-2</v>
      </c>
      <c r="O8388">
        <v>1.480035E-2</v>
      </c>
      <c r="P8388">
        <v>0.98413150000000005</v>
      </c>
      <c r="Q8388">
        <v>0.1585839</v>
      </c>
      <c r="R8388">
        <v>7.9603759999999996E-2</v>
      </c>
      <c r="S8388">
        <v>3.1620330000000001</v>
      </c>
      <c r="T8388">
        <v>-0.4660589</v>
      </c>
      <c r="U8388">
        <v>-0.48951719999999999</v>
      </c>
      <c r="V8388">
        <v>-6.5106319999999995E-2</v>
      </c>
      <c r="W8388">
        <v>0.17204410000000001</v>
      </c>
      <c r="X8388">
        <v>0.98293540000000001</v>
      </c>
      <c r="Y8388">
        <v>0.16555539999999999</v>
      </c>
      <c r="Z8388">
        <v>-1.5169449999999999E-2</v>
      </c>
      <c r="AA8388">
        <v>0.98608379999999995</v>
      </c>
      <c r="AB8388">
        <v>25</v>
      </c>
      <c r="AC8388">
        <v>0.64869999999999095</v>
      </c>
      <c r="AD8388">
        <v>-0.13212570000000001</v>
      </c>
      <c r="AE8388">
        <v>-0.14279999999999399</v>
      </c>
      <c r="AF8388">
        <v>0.146586233379186</v>
      </c>
      <c r="AG8388">
        <v>-0.13212570000000001</v>
      </c>
      <c r="AH8388">
        <v>0.62190806721785596</v>
      </c>
      <c r="AI8388">
        <v>101.683275532696</v>
      </c>
      <c r="AJ8388">
        <v>76.737228317206302</v>
      </c>
      <c r="AK8388">
        <v>0.65246790609763805</v>
      </c>
      <c r="AL8388">
        <v>80.093311364633706</v>
      </c>
      <c r="AM8388">
        <v>93.789543385257801</v>
      </c>
      <c r="AN8388">
        <v>1.0000000029109499</v>
      </c>
    </row>
    <row r="8389" spans="1:40" x14ac:dyDescent="0.25">
      <c r="A8389" t="str">
        <f>"20190304155000301"</f>
        <v>20190304155000301</v>
      </c>
      <c r="B8389" t="str">
        <f>"1551685800296124"</f>
        <v>1551685800296124</v>
      </c>
      <c r="C8389" t="s">
        <v>40</v>
      </c>
      <c r="D8389">
        <v>4.5131839999999999</v>
      </c>
      <c r="E8389">
        <v>0.59096349999999997</v>
      </c>
      <c r="F8389" t="s">
        <v>41</v>
      </c>
      <c r="G8389">
        <v>-140.0273</v>
      </c>
      <c r="H8389">
        <v>0.98356650000000001</v>
      </c>
      <c r="I8389">
        <v>137.24930000000001</v>
      </c>
      <c r="J8389">
        <v>-140.63380000000001</v>
      </c>
      <c r="K8389">
        <v>1.111326</v>
      </c>
      <c r="L8389">
        <v>137.39109999999999</v>
      </c>
      <c r="M8389">
        <v>0.99979180000000001</v>
      </c>
      <c r="N8389">
        <v>-1.3725330000000001E-2</v>
      </c>
      <c r="O8389">
        <v>1.5109859999999999E-2</v>
      </c>
      <c r="P8389">
        <v>0.98400209999999999</v>
      </c>
      <c r="Q8389">
        <v>0.15938369999999999</v>
      </c>
      <c r="R8389">
        <v>7.9606220000000005E-2</v>
      </c>
      <c r="S8389">
        <v>3.1634829999999998</v>
      </c>
      <c r="T8389">
        <v>-0.46395789999999998</v>
      </c>
      <c r="U8389">
        <v>-0.4988708</v>
      </c>
      <c r="V8389">
        <v>-6.4795489999999997E-2</v>
      </c>
      <c r="W8389">
        <v>0.1728642</v>
      </c>
      <c r="X8389">
        <v>0.98281200000000002</v>
      </c>
      <c r="Y8389">
        <v>0.16862009999999999</v>
      </c>
      <c r="Z8389">
        <v>-1.5382150000000001E-2</v>
      </c>
      <c r="AA8389">
        <v>0.98556109999999997</v>
      </c>
      <c r="AB8389">
        <v>25</v>
      </c>
      <c r="AC8389">
        <v>0.60650000000001103</v>
      </c>
      <c r="AD8389">
        <v>-0.127759499999999</v>
      </c>
      <c r="AE8389">
        <v>-0.14179999999998899</v>
      </c>
      <c r="AF8389">
        <v>0.144854239800153</v>
      </c>
      <c r="AG8389">
        <v>-0.127759499999999</v>
      </c>
      <c r="AH8389">
        <v>0.57988982934654498</v>
      </c>
      <c r="AI8389">
        <v>102.065351781074</v>
      </c>
      <c r="AJ8389">
        <v>75.974750410600095</v>
      </c>
      <c r="AK8389">
        <v>0.61120982878868702</v>
      </c>
      <c r="AL8389">
        <v>80.045607927743006</v>
      </c>
      <c r="AM8389">
        <v>93.771975898162495</v>
      </c>
      <c r="AN8389">
        <v>0.99999995725498902</v>
      </c>
    </row>
    <row r="8390" spans="1:40" x14ac:dyDescent="0.25">
      <c r="A8390" t="str">
        <f>"20190304155000321"</f>
        <v>20190304155000321</v>
      </c>
      <c r="B8390" t="str">
        <f>"1551685800315645"</f>
        <v>1551685800315645</v>
      </c>
      <c r="C8390" t="s">
        <v>40</v>
      </c>
      <c r="D8390">
        <v>4.3120699999999896</v>
      </c>
      <c r="E8390">
        <v>0.59170909999999999</v>
      </c>
      <c r="F8390" t="s">
        <v>41</v>
      </c>
      <c r="G8390">
        <v>-139.804</v>
      </c>
      <c r="H8390">
        <v>0.99010350000000003</v>
      </c>
      <c r="I8390">
        <v>137.25540000000001</v>
      </c>
      <c r="J8390">
        <v>-140.40459999999999</v>
      </c>
      <c r="K8390">
        <v>1.1113109999999999</v>
      </c>
      <c r="L8390">
        <v>137.39490000000001</v>
      </c>
      <c r="M8390">
        <v>0.9997878</v>
      </c>
      <c r="N8390">
        <v>-1.373833E-2</v>
      </c>
      <c r="O8390">
        <v>1.5348820000000001E-2</v>
      </c>
      <c r="P8390">
        <v>0.98397319999999999</v>
      </c>
      <c r="Q8390">
        <v>0.1597615</v>
      </c>
      <c r="R8390">
        <v>7.9202469999999997E-2</v>
      </c>
      <c r="S8390">
        <v>3.1655579999999999</v>
      </c>
      <c r="T8390">
        <v>-0.4625165</v>
      </c>
      <c r="U8390">
        <v>-0.51750180000000001</v>
      </c>
      <c r="V8390">
        <v>-6.4148469999999999E-2</v>
      </c>
      <c r="W8390">
        <v>0.173257299999999</v>
      </c>
      <c r="X8390">
        <v>0.98278529999999997</v>
      </c>
      <c r="Y8390">
        <v>0.1743576</v>
      </c>
      <c r="Z8390">
        <v>-1.580896E-2</v>
      </c>
      <c r="AA8390">
        <v>0.98455550000000003</v>
      </c>
      <c r="AB8390">
        <v>25</v>
      </c>
      <c r="AC8390">
        <v>0.60059999999998503</v>
      </c>
      <c r="AD8390">
        <v>-0.1212075</v>
      </c>
      <c r="AE8390">
        <v>-0.13949999999999799</v>
      </c>
      <c r="AF8390">
        <v>0.143170423670201</v>
      </c>
      <c r="AG8390">
        <v>-0.1212075</v>
      </c>
      <c r="AH8390">
        <v>0.57612477649390004</v>
      </c>
      <c r="AI8390">
        <v>101.539709128065</v>
      </c>
      <c r="AJ8390">
        <v>76.044353166505203</v>
      </c>
      <c r="AK8390">
        <v>0.60589502915959004</v>
      </c>
      <c r="AL8390">
        <v>80.022740657411404</v>
      </c>
      <c r="AM8390">
        <v>93.734518848027605</v>
      </c>
      <c r="AN8390">
        <v>1.00000003205136</v>
      </c>
    </row>
    <row r="8391" spans="1:40" x14ac:dyDescent="0.25">
      <c r="A8391" t="str">
        <f>"20190304155000343"</f>
        <v>20190304155000343</v>
      </c>
      <c r="B8391" t="str">
        <f>"1551685800336140"</f>
        <v>1551685800336140</v>
      </c>
      <c r="C8391" t="s">
        <v>40</v>
      </c>
      <c r="D8391">
        <v>4.0754000000000001</v>
      </c>
      <c r="E8391">
        <v>0.5925108</v>
      </c>
      <c r="F8391" t="s">
        <v>41</v>
      </c>
      <c r="G8391">
        <v>-139.58330000000001</v>
      </c>
      <c r="H8391">
        <v>0.99150749999999999</v>
      </c>
      <c r="I8391">
        <v>137.25890000000001</v>
      </c>
      <c r="J8391">
        <v>-140.16399999999999</v>
      </c>
      <c r="K8391">
        <v>1.1112959999999901</v>
      </c>
      <c r="L8391">
        <v>137.39879999999999</v>
      </c>
      <c r="M8391">
        <v>0.99978429999999996</v>
      </c>
      <c r="N8391">
        <v>-1.3749809999999999E-2</v>
      </c>
      <c r="O8391">
        <v>1.5569360000000001E-2</v>
      </c>
      <c r="P8391">
        <v>0.9839386</v>
      </c>
      <c r="Q8391">
        <v>0.16044659999999999</v>
      </c>
      <c r="R8391">
        <v>7.8240879999999999E-2</v>
      </c>
      <c r="S8391">
        <v>3.1659999999999999</v>
      </c>
      <c r="T8391">
        <v>-0.46193240000000002</v>
      </c>
      <c r="U8391">
        <v>-0.52369690000000002</v>
      </c>
      <c r="V8391">
        <v>-6.2962420000000005E-2</v>
      </c>
      <c r="W8391">
        <v>0.17395649999999999</v>
      </c>
      <c r="X8391">
        <v>0.98273840000000001</v>
      </c>
      <c r="Y8391">
        <v>0.1764095</v>
      </c>
      <c r="Z8391">
        <v>-1.597819E-2</v>
      </c>
      <c r="AA8391">
        <v>0.98418720000000004</v>
      </c>
      <c r="AB8391">
        <v>25</v>
      </c>
      <c r="AC8391">
        <v>0.58069999999997801</v>
      </c>
      <c r="AD8391">
        <v>-0.11978849999999901</v>
      </c>
      <c r="AE8391">
        <v>-0.13989999999998301</v>
      </c>
      <c r="AF8391">
        <v>0.14316707721104899</v>
      </c>
      <c r="AG8391">
        <v>-0.11978849999999901</v>
      </c>
      <c r="AH8391">
        <v>0.55608636357121399</v>
      </c>
      <c r="AI8391">
        <v>101.783520773958</v>
      </c>
      <c r="AJ8391">
        <v>75.562466176627197</v>
      </c>
      <c r="AK8391">
        <v>0.58658174236781402</v>
      </c>
      <c r="AL8391">
        <v>79.982060875078105</v>
      </c>
      <c r="AM8391">
        <v>93.665835298733299</v>
      </c>
      <c r="AN8391">
        <v>0.99999994652953095</v>
      </c>
    </row>
    <row r="8392" spans="1:40" x14ac:dyDescent="0.25">
      <c r="A8392" t="str">
        <f>"20190304155000365"</f>
        <v>20190304155000365</v>
      </c>
      <c r="B8392" t="str">
        <f>"1551685800355661"</f>
        <v>1551685800355661</v>
      </c>
      <c r="C8392" t="s">
        <v>40</v>
      </c>
      <c r="D8392">
        <v>4.0836880000000004</v>
      </c>
      <c r="E8392">
        <v>0.59298640000000002</v>
      </c>
      <c r="F8392" t="s">
        <v>41</v>
      </c>
      <c r="G8392">
        <v>-139.36189999999999</v>
      </c>
      <c r="H8392">
        <v>0.99507869999999998</v>
      </c>
      <c r="I8392">
        <v>137.26410000000001</v>
      </c>
      <c r="J8392">
        <v>-139.9247</v>
      </c>
      <c r="K8392">
        <v>1.1112679999999999</v>
      </c>
      <c r="L8392">
        <v>137.40280000000001</v>
      </c>
      <c r="M8392">
        <v>0.99978129999999998</v>
      </c>
      <c r="N8392">
        <v>-1.375939E-2</v>
      </c>
      <c r="O8392">
        <v>1.5756920000000001E-2</v>
      </c>
      <c r="P8392">
        <v>0.9839002</v>
      </c>
      <c r="Q8392">
        <v>0.161419799999999</v>
      </c>
      <c r="R8392">
        <v>7.6708970000000001E-2</v>
      </c>
      <c r="S8392">
        <v>3.1660460000000001</v>
      </c>
      <c r="T8392">
        <v>-0.45876400000000001</v>
      </c>
      <c r="U8392">
        <v>-0.53170779999999995</v>
      </c>
      <c r="V8392">
        <v>-6.1237760000000002E-2</v>
      </c>
      <c r="W8392">
        <v>0.1749425</v>
      </c>
      <c r="X8392">
        <v>0.9826724</v>
      </c>
      <c r="Y8392">
        <v>0.17901230000000001</v>
      </c>
      <c r="Z8392">
        <v>-1.6103030000000001E-2</v>
      </c>
      <c r="AA8392">
        <v>0.98371509999999995</v>
      </c>
      <c r="AB8392">
        <v>25</v>
      </c>
      <c r="AC8392">
        <v>0.56280000000000996</v>
      </c>
      <c r="AD8392">
        <v>-0.116189299999999</v>
      </c>
      <c r="AE8392">
        <v>-0.13869999999999999</v>
      </c>
      <c r="AF8392">
        <v>0.14185190971629</v>
      </c>
      <c r="AG8392">
        <v>-0.116189299999999</v>
      </c>
      <c r="AH8392">
        <v>0.53889142179865201</v>
      </c>
      <c r="AI8392">
        <v>101.77773439686101</v>
      </c>
      <c r="AJ8392">
        <v>75.252621129990402</v>
      </c>
      <c r="AK8392">
        <v>0.56923271358278504</v>
      </c>
      <c r="AL8392">
        <v>79.924687953647705</v>
      </c>
      <c r="AM8392">
        <v>93.565922686907896</v>
      </c>
      <c r="AN8392">
        <v>0.99999999363891301</v>
      </c>
    </row>
    <row r="8393" spans="1:40" x14ac:dyDescent="0.25">
      <c r="A8393" t="str">
        <f>"20190304155000386"</f>
        <v>20190304155000386</v>
      </c>
      <c r="B8393" t="str">
        <f>"1551685800376157"</f>
        <v>1551685800376157</v>
      </c>
      <c r="C8393" t="s">
        <v>40</v>
      </c>
      <c r="D8393">
        <v>4.1057420000000002</v>
      </c>
      <c r="E8393">
        <v>0.59291439999999995</v>
      </c>
      <c r="F8393" t="s">
        <v>41</v>
      </c>
      <c r="G8393">
        <v>-139.14070000000001</v>
      </c>
      <c r="H8393">
        <v>0.99872930000000004</v>
      </c>
      <c r="I8393">
        <v>137.26929999999999</v>
      </c>
      <c r="J8393">
        <v>-139.68190000000001</v>
      </c>
      <c r="K8393">
        <v>1.111227</v>
      </c>
      <c r="L8393">
        <v>137.4068</v>
      </c>
      <c r="M8393">
        <v>0.99977870000000002</v>
      </c>
      <c r="N8393">
        <v>-1.376748E-2</v>
      </c>
      <c r="O8393">
        <v>1.5914049999999999E-2</v>
      </c>
      <c r="P8393">
        <v>0.98393410000000003</v>
      </c>
      <c r="Q8393">
        <v>0.1618829</v>
      </c>
      <c r="R8393">
        <v>7.5285039999999998E-2</v>
      </c>
      <c r="S8393">
        <v>3.1656339999999998</v>
      </c>
      <c r="T8393">
        <v>-0.4544936</v>
      </c>
      <c r="U8393">
        <v>-0.53848269999999998</v>
      </c>
      <c r="V8393">
        <v>-5.9648310000000003E-2</v>
      </c>
      <c r="W8393">
        <v>0.17541760000000001</v>
      </c>
      <c r="X8393">
        <v>0.98268549999999999</v>
      </c>
      <c r="Y8393">
        <v>0.1812464</v>
      </c>
      <c r="Z8393">
        <v>-1.615836E-2</v>
      </c>
      <c r="AA8393">
        <v>0.98330499999999998</v>
      </c>
      <c r="AB8393">
        <v>25</v>
      </c>
      <c r="AC8393">
        <v>0.54120000000000301</v>
      </c>
      <c r="AD8393">
        <v>-0.11249770000000001</v>
      </c>
      <c r="AE8393">
        <v>-0.137500000000017</v>
      </c>
      <c r="AF8393">
        <v>0.14039751881148099</v>
      </c>
      <c r="AG8393">
        <v>-0.11249770000000001</v>
      </c>
      <c r="AH8393">
        <v>0.51792126805256</v>
      </c>
      <c r="AI8393">
        <v>101.840234565014</v>
      </c>
      <c r="AJ8393">
        <v>74.832825249158304</v>
      </c>
      <c r="AK8393">
        <v>0.54827879376725996</v>
      </c>
      <c r="AL8393">
        <v>79.897039484925003</v>
      </c>
      <c r="AM8393">
        <v>93.473551206648494</v>
      </c>
      <c r="AN8393">
        <v>1.0000000235929301</v>
      </c>
    </row>
    <row r="8394" spans="1:40" x14ac:dyDescent="0.25">
      <c r="A8394" t="str">
        <f>"20190304155000410"</f>
        <v>20190304155000410</v>
      </c>
      <c r="B8394" t="str">
        <f>"1551685800405436"</f>
        <v>1551685800405436</v>
      </c>
      <c r="C8394" t="s">
        <v>40</v>
      </c>
      <c r="D8394">
        <v>4.416728</v>
      </c>
      <c r="E8394">
        <v>0.59303649999999997</v>
      </c>
      <c r="F8394" t="s">
        <v>41</v>
      </c>
      <c r="G8394">
        <v>-138.9196</v>
      </c>
      <c r="H8394">
        <v>1.002947</v>
      </c>
      <c r="I8394">
        <v>137.27610000000001</v>
      </c>
      <c r="J8394">
        <v>-139.43639999999999</v>
      </c>
      <c r="K8394">
        <v>1.1111949999999999</v>
      </c>
      <c r="L8394">
        <v>137.41079999999999</v>
      </c>
      <c r="M8394">
        <v>0.99977649999999996</v>
      </c>
      <c r="N8394">
        <v>-1.3774160000000001E-2</v>
      </c>
      <c r="O8394">
        <v>1.6035629999999999E-2</v>
      </c>
      <c r="P8394">
        <v>0.98399490000000001</v>
      </c>
      <c r="Q8394">
        <v>0.16218679999999999</v>
      </c>
      <c r="R8394">
        <v>7.3820810000000001E-2</v>
      </c>
      <c r="S8394">
        <v>3.1643829999999999</v>
      </c>
      <c r="T8394">
        <v>-0.4495268</v>
      </c>
      <c r="U8394">
        <v>-0.54162600000000005</v>
      </c>
      <c r="V8394">
        <v>-5.805221E-2</v>
      </c>
      <c r="W8394">
        <v>0.175733</v>
      </c>
      <c r="X8394">
        <v>0.98272470000000001</v>
      </c>
      <c r="Y8394">
        <v>0.18240870000000001</v>
      </c>
      <c r="Z8394">
        <v>-1.610495E-2</v>
      </c>
      <c r="AA8394">
        <v>0.98309089999999999</v>
      </c>
      <c r="AB8394">
        <v>25</v>
      </c>
      <c r="AC8394">
        <v>0.51679999999998905</v>
      </c>
      <c r="AD8394">
        <v>-0.108248</v>
      </c>
      <c r="AE8394">
        <v>-0.13469999999998</v>
      </c>
      <c r="AF8394">
        <v>0.13732894804534199</v>
      </c>
      <c r="AG8394">
        <v>-0.108248</v>
      </c>
      <c r="AH8394">
        <v>0.49426788691686502</v>
      </c>
      <c r="AI8394">
        <v>101.915376736656</v>
      </c>
      <c r="AJ8394">
        <v>74.472411664772395</v>
      </c>
      <c r="AK8394">
        <v>0.524287720161843</v>
      </c>
      <c r="AL8394">
        <v>79.878682919271398</v>
      </c>
      <c r="AM8394">
        <v>93.380688149863104</v>
      </c>
      <c r="AN8394">
        <v>0.99999999118248695</v>
      </c>
    </row>
    <row r="8395" spans="1:40" x14ac:dyDescent="0.25">
      <c r="A8395" t="str">
        <f>"20190304155000432"</f>
        <v>20190304155000432</v>
      </c>
      <c r="B8395" t="str">
        <f>"1551685800425935"</f>
        <v>1551685800425935</v>
      </c>
      <c r="C8395" t="s">
        <v>40</v>
      </c>
      <c r="D8395">
        <v>4.3358910000000002</v>
      </c>
      <c r="E8395">
        <v>0.59278850000000005</v>
      </c>
      <c r="F8395" t="s">
        <v>41</v>
      </c>
      <c r="G8395">
        <v>-138.6987</v>
      </c>
      <c r="H8395">
        <v>1.0070950000000001</v>
      </c>
      <c r="I8395">
        <v>137.2835</v>
      </c>
      <c r="J8395">
        <v>-139.18790000000001</v>
      </c>
      <c r="K8395">
        <v>1.1111610000000001</v>
      </c>
      <c r="L8395">
        <v>137.41489999999999</v>
      </c>
      <c r="M8395">
        <v>0.99977530000000003</v>
      </c>
      <c r="N8395">
        <v>-1.377958E-2</v>
      </c>
      <c r="O8395">
        <v>1.6115540000000001E-2</v>
      </c>
      <c r="P8395">
        <v>0.98417719999999997</v>
      </c>
      <c r="Q8395">
        <v>0.16212309999999999</v>
      </c>
      <c r="R8395">
        <v>7.1495320000000001E-2</v>
      </c>
      <c r="S8395">
        <v>3.1633300000000002</v>
      </c>
      <c r="T8395">
        <v>-0.44644020000000001</v>
      </c>
      <c r="U8395">
        <v>-0.54585269999999997</v>
      </c>
      <c r="V8395">
        <v>-5.5633179999999997E-2</v>
      </c>
      <c r="W8395">
        <v>0.17568049999999999</v>
      </c>
      <c r="X8395">
        <v>0.98287400000000003</v>
      </c>
      <c r="Y8395">
        <v>0.1838282</v>
      </c>
      <c r="Z8395">
        <v>-1.6125210000000001E-2</v>
      </c>
      <c r="AA8395">
        <v>0.98282610000000004</v>
      </c>
      <c r="AB8395">
        <v>25</v>
      </c>
      <c r="AC8395">
        <v>0.48920000000001101</v>
      </c>
      <c r="AD8395">
        <v>-0.10406600000000001</v>
      </c>
      <c r="AE8395">
        <v>-0.131399999999985</v>
      </c>
      <c r="AF8395">
        <v>0.13362731593749699</v>
      </c>
      <c r="AG8395">
        <v>-0.10406600000000001</v>
      </c>
      <c r="AH8395">
        <v>0.467295270163953</v>
      </c>
      <c r="AI8395">
        <v>102.08546973340501</v>
      </c>
      <c r="AJ8395">
        <v>74.041638889036903</v>
      </c>
      <c r="AK8395">
        <v>0.49704211233884499</v>
      </c>
      <c r="AL8395">
        <v>79.881738516771307</v>
      </c>
      <c r="AM8395">
        <v>93.239630720052901</v>
      </c>
      <c r="AN8395">
        <v>0.99999999433658104</v>
      </c>
    </row>
    <row r="8396" spans="1:40" x14ac:dyDescent="0.25">
      <c r="A8396" t="str">
        <f>"20190304155000455"</f>
        <v>20190304155000455</v>
      </c>
      <c r="B8396" t="str">
        <f>"1551685800445453"</f>
        <v>1551685800445453</v>
      </c>
      <c r="C8396" t="s">
        <v>40</v>
      </c>
      <c r="D8396">
        <v>4.0981709999999998</v>
      </c>
      <c r="E8396">
        <v>0.59271509999999905</v>
      </c>
      <c r="F8396" t="s">
        <v>41</v>
      </c>
      <c r="G8396">
        <v>-138.27269999999999</v>
      </c>
      <c r="H8396">
        <v>0.98100480000000001</v>
      </c>
      <c r="I8396">
        <v>137.256</v>
      </c>
      <c r="J8396">
        <v>-138.94239999999999</v>
      </c>
      <c r="K8396">
        <v>1.111132</v>
      </c>
      <c r="L8396">
        <v>137.41890000000001</v>
      </c>
      <c r="M8396">
        <v>0.99977450000000001</v>
      </c>
      <c r="N8396">
        <v>-1.3783790000000001E-2</v>
      </c>
      <c r="O8396">
        <v>1.6152860000000002E-2</v>
      </c>
      <c r="P8396">
        <v>0.98442739999999995</v>
      </c>
      <c r="Q8396">
        <v>0.16179749999999901</v>
      </c>
      <c r="R8396">
        <v>6.8732349999999998E-2</v>
      </c>
      <c r="S8396">
        <v>3.1621700000000001</v>
      </c>
      <c r="T8396">
        <v>-0.4497043</v>
      </c>
      <c r="U8396">
        <v>-0.54855350000000003</v>
      </c>
      <c r="V8396">
        <v>-5.2818789999999997E-2</v>
      </c>
      <c r="W8396">
        <v>0.17536550000000001</v>
      </c>
      <c r="X8396">
        <v>0.98308549999999995</v>
      </c>
      <c r="Y8396">
        <v>0.18470020000000001</v>
      </c>
      <c r="Z8396">
        <v>-1.6311240000000001E-2</v>
      </c>
      <c r="AA8396">
        <v>0.98265950000000002</v>
      </c>
      <c r="AB8396">
        <v>24</v>
      </c>
      <c r="AC8396">
        <v>0.66970000000000596</v>
      </c>
      <c r="AD8396">
        <v>-0.130127199999999</v>
      </c>
      <c r="AE8396">
        <v>-0.16290000000000701</v>
      </c>
      <c r="AF8396">
        <v>0.167718832917928</v>
      </c>
      <c r="AG8396">
        <v>-0.130127199999999</v>
      </c>
      <c r="AH8396">
        <v>0.64402416271179896</v>
      </c>
      <c r="AI8396">
        <v>101.063546130448</v>
      </c>
      <c r="AJ8396">
        <v>75.403073950810196</v>
      </c>
      <c r="AK8396">
        <v>0.67810752631999704</v>
      </c>
      <c r="AL8396">
        <v>79.900071271361497</v>
      </c>
      <c r="AM8396">
        <v>93.075405778606097</v>
      </c>
      <c r="AN8396">
        <v>0.99999999173878196</v>
      </c>
    </row>
    <row r="8397" spans="1:40" x14ac:dyDescent="0.25">
      <c r="A8397" t="str">
        <f>"20190304155000477"</f>
        <v>20190304155000477</v>
      </c>
      <c r="B8397" t="str">
        <f>"1551685800465948"</f>
        <v>1551685800465948</v>
      </c>
      <c r="C8397" t="s">
        <v>40</v>
      </c>
      <c r="D8397">
        <v>4.3613530000000003</v>
      </c>
      <c r="E8397">
        <v>0.57137109999999902</v>
      </c>
      <c r="F8397" t="s">
        <v>41</v>
      </c>
      <c r="G8397">
        <v>-138.05330000000001</v>
      </c>
      <c r="H8397">
        <v>0.98391779999999995</v>
      </c>
      <c r="I8397">
        <v>137.26259999999999</v>
      </c>
      <c r="J8397">
        <v>-138.69659999999999</v>
      </c>
      <c r="K8397">
        <v>1.1111169999999999</v>
      </c>
      <c r="L8397">
        <v>137.4229</v>
      </c>
      <c r="M8397">
        <v>0.99977450000000001</v>
      </c>
      <c r="N8397">
        <v>-1.378716E-2</v>
      </c>
      <c r="O8397">
        <v>1.6161390000000001E-2</v>
      </c>
      <c r="P8397">
        <v>0.98473189999999999</v>
      </c>
      <c r="Q8397">
        <v>0.1608607</v>
      </c>
      <c r="R8397">
        <v>6.6540020000000005E-2</v>
      </c>
      <c r="S8397">
        <v>3.1605530000000002</v>
      </c>
      <c r="T8397">
        <v>-0.45218920000000001</v>
      </c>
      <c r="U8397">
        <v>-0.55540469999999997</v>
      </c>
      <c r="V8397">
        <v>-5.0605610000000002E-2</v>
      </c>
      <c r="W8397">
        <v>0.17443819999999999</v>
      </c>
      <c r="X8397">
        <v>0.98336679999999999</v>
      </c>
      <c r="Y8397">
        <v>0.18681320000000001</v>
      </c>
      <c r="Z8397">
        <v>-1.6565239999999998E-2</v>
      </c>
      <c r="AA8397">
        <v>0.98225580000000001</v>
      </c>
      <c r="AB8397">
        <v>24</v>
      </c>
      <c r="AC8397">
        <v>0.643299999999982</v>
      </c>
      <c r="AD8397">
        <v>-0.12719919999999901</v>
      </c>
      <c r="AE8397">
        <v>-0.16030000000000599</v>
      </c>
      <c r="AF8397">
        <v>0.16461693204279601</v>
      </c>
      <c r="AG8397">
        <v>-0.12719919999999901</v>
      </c>
      <c r="AH8397">
        <v>0.61788017625084601</v>
      </c>
      <c r="AI8397">
        <v>101.250694285305</v>
      </c>
      <c r="AJ8397">
        <v>75.081666135008305</v>
      </c>
      <c r="AK8397">
        <v>0.65196187235113601</v>
      </c>
      <c r="AL8397">
        <v>79.954032888047607</v>
      </c>
      <c r="AM8397">
        <v>92.945932653377099</v>
      </c>
      <c r="AN8397">
        <v>0.99999993836247403</v>
      </c>
    </row>
    <row r="8398" spans="1:40" x14ac:dyDescent="0.25">
      <c r="A8398" t="str">
        <f>"20190304155000499"</f>
        <v>20190304155000499</v>
      </c>
      <c r="B8398" t="str">
        <f>"1551685800496205"</f>
        <v>1551685800496205</v>
      </c>
      <c r="C8398" t="s">
        <v>40</v>
      </c>
      <c r="D8398">
        <v>4.4945649999999997</v>
      </c>
      <c r="E8398">
        <v>0.57912489999999905</v>
      </c>
      <c r="F8398" t="s">
        <v>41</v>
      </c>
      <c r="G8398">
        <v>-137.82820000000001</v>
      </c>
      <c r="H8398">
        <v>1.0031490000000001</v>
      </c>
      <c r="I8398">
        <v>137.315</v>
      </c>
      <c r="J8398">
        <v>-138.4572</v>
      </c>
      <c r="K8398">
        <v>1.1111180000000001</v>
      </c>
      <c r="L8398">
        <v>137.42670000000001</v>
      </c>
      <c r="M8398">
        <v>0.99977450000000001</v>
      </c>
      <c r="N8398">
        <v>-1.378975E-2</v>
      </c>
      <c r="O8398">
        <v>1.6150799999999899E-2</v>
      </c>
      <c r="P8398">
        <v>0.98485540000000005</v>
      </c>
      <c r="Q8398">
        <v>0.16098229999999999</v>
      </c>
      <c r="R8398">
        <v>6.4377160000000003E-2</v>
      </c>
      <c r="S8398">
        <v>3.136536</v>
      </c>
      <c r="T8398">
        <v>-0.38999620000000002</v>
      </c>
      <c r="U8398">
        <v>-0.38938899999999999</v>
      </c>
      <c r="V8398">
        <v>-4.8446009999999998E-2</v>
      </c>
      <c r="W8398">
        <v>0.17456450000000001</v>
      </c>
      <c r="X8398">
        <v>0.98345320000000003</v>
      </c>
      <c r="Y8398">
        <v>0.13795170000000001</v>
      </c>
      <c r="Z8398">
        <v>-1.124237E-2</v>
      </c>
      <c r="AA8398">
        <v>0.99037520000000001</v>
      </c>
      <c r="AB8398">
        <v>24</v>
      </c>
      <c r="AC8398">
        <v>0.62899999999999001</v>
      </c>
      <c r="AD8398">
        <v>-0.107968999999999</v>
      </c>
      <c r="AE8398">
        <v>-0.111700000000013</v>
      </c>
      <c r="AF8398">
        <v>0.118461561435725</v>
      </c>
      <c r="AG8398">
        <v>-0.107968999999999</v>
      </c>
      <c r="AH8398">
        <v>0.60969855740684598</v>
      </c>
      <c r="AI8398">
        <v>99.861470608361003</v>
      </c>
      <c r="AJ8398">
        <v>79.004693651172701</v>
      </c>
      <c r="AK8398">
        <v>0.63041476616809899</v>
      </c>
      <c r="AL8398">
        <v>79.946684181086994</v>
      </c>
      <c r="AM8398">
        <v>92.820174771431894</v>
      </c>
      <c r="AN8398">
        <v>0.999999988567705</v>
      </c>
    </row>
    <row r="8399" spans="1:40" x14ac:dyDescent="0.25">
      <c r="A8399" t="str">
        <f>"20190304155000521"</f>
        <v>20190304155000521</v>
      </c>
      <c r="B8399" t="str">
        <f>"1551685800515724"</f>
        <v>1551685800515724</v>
      </c>
      <c r="C8399" t="s">
        <v>40</v>
      </c>
      <c r="D8399">
        <v>4.100136</v>
      </c>
      <c r="E8399">
        <v>0.57805030000000002</v>
      </c>
      <c r="F8399" t="s">
        <v>41</v>
      </c>
      <c r="G8399">
        <v>-137.60769999999999</v>
      </c>
      <c r="H8399">
        <v>1.0077940000000001</v>
      </c>
      <c r="I8399">
        <v>137.3032</v>
      </c>
      <c r="J8399">
        <v>-138.2157</v>
      </c>
      <c r="K8399">
        <v>1.111119</v>
      </c>
      <c r="L8399">
        <v>137.4306</v>
      </c>
      <c r="M8399">
        <v>0.99977510000000003</v>
      </c>
      <c r="N8399">
        <v>-1.3791670000000001E-2</v>
      </c>
      <c r="O8399">
        <v>1.6122890000000001E-2</v>
      </c>
      <c r="P8399">
        <v>0.9846956</v>
      </c>
      <c r="Q8399">
        <v>0.1624573</v>
      </c>
      <c r="R8399">
        <v>6.3109009999999993E-2</v>
      </c>
      <c r="S8399">
        <v>3.1383670000000001</v>
      </c>
      <c r="T8399">
        <v>-0.38173820000000003</v>
      </c>
      <c r="U8399">
        <v>-0.45632929999999999</v>
      </c>
      <c r="V8399">
        <v>-4.7204740000000002E-2</v>
      </c>
      <c r="W8399">
        <v>0.17603959999999999</v>
      </c>
      <c r="X8399">
        <v>0.98325059999999997</v>
      </c>
      <c r="Y8399">
        <v>0.1584594</v>
      </c>
      <c r="Z8399">
        <v>-1.237885E-2</v>
      </c>
      <c r="AA8399">
        <v>0.9872879</v>
      </c>
      <c r="AB8399">
        <v>24</v>
      </c>
      <c r="AC8399">
        <v>0.60800000000000398</v>
      </c>
      <c r="AD8399">
        <v>-0.103324999999999</v>
      </c>
      <c r="AE8399">
        <v>-0.12739999999999399</v>
      </c>
      <c r="AF8399">
        <v>0.13349388059697201</v>
      </c>
      <c r="AG8399">
        <v>-0.103324999999999</v>
      </c>
      <c r="AH8399">
        <v>0.58955620880543103</v>
      </c>
      <c r="AI8399">
        <v>99.6999254229504</v>
      </c>
      <c r="AJ8399">
        <v>77.241593681166194</v>
      </c>
      <c r="AK8399">
        <v>0.61324806980770097</v>
      </c>
      <c r="AL8399">
        <v>79.860837776881596</v>
      </c>
      <c r="AM8399">
        <v>92.748594630256406</v>
      </c>
      <c r="AN8399">
        <v>0.99999998532349299</v>
      </c>
    </row>
    <row r="8400" spans="1:40" x14ac:dyDescent="0.25">
      <c r="A8400" t="str">
        <f>"20190304155000544"</f>
        <v>20190304155000544</v>
      </c>
      <c r="B8400" t="str">
        <f>"1551685800536220"</f>
        <v>1551685800536220</v>
      </c>
      <c r="C8400" t="s">
        <v>40</v>
      </c>
      <c r="D8400">
        <v>4.1299979999999996</v>
      </c>
      <c r="E8400">
        <v>0.53900990000000004</v>
      </c>
      <c r="F8400" t="s">
        <v>41</v>
      </c>
      <c r="G8400">
        <v>-137.38239999999999</v>
      </c>
      <c r="H8400">
        <v>1.0245329999999999</v>
      </c>
      <c r="I8400">
        <v>137.3109</v>
      </c>
      <c r="J8400">
        <v>-137.9718</v>
      </c>
      <c r="K8400">
        <v>1.1111180000000001</v>
      </c>
      <c r="L8400">
        <v>137.43450000000001</v>
      </c>
      <c r="M8400">
        <v>0.99977579999999999</v>
      </c>
      <c r="N8400">
        <v>-1.379297E-2</v>
      </c>
      <c r="O8400">
        <v>1.607018E-2</v>
      </c>
      <c r="P8400">
        <v>0.98453710000000005</v>
      </c>
      <c r="Q8400">
        <v>0.16367379999999901</v>
      </c>
      <c r="R8400">
        <v>6.243129E-2</v>
      </c>
      <c r="S8400">
        <v>3.1290740000000001</v>
      </c>
      <c r="T8400">
        <v>-0.32522380000000001</v>
      </c>
      <c r="U8400">
        <v>-0.4491272</v>
      </c>
      <c r="V8400">
        <v>-4.6576920000000001E-2</v>
      </c>
      <c r="W8400">
        <v>0.17725659999999999</v>
      </c>
      <c r="X8400">
        <v>0.98306190000000004</v>
      </c>
      <c r="Y8400">
        <v>0.15696270000000001</v>
      </c>
      <c r="Z8400">
        <v>-1.06231E-2</v>
      </c>
      <c r="AA8400">
        <v>0.98754739999999996</v>
      </c>
      <c r="AB8400">
        <v>24</v>
      </c>
      <c r="AC8400">
        <v>0.58940000000001103</v>
      </c>
      <c r="AD8400">
        <v>-8.6585000000000106E-2</v>
      </c>
      <c r="AE8400">
        <v>-0.12360000000000999</v>
      </c>
      <c r="AF8400">
        <v>0.13036190876051901</v>
      </c>
      <c r="AG8400">
        <v>-8.6585000000000106E-2</v>
      </c>
      <c r="AH8400">
        <v>0.57544209105674204</v>
      </c>
      <c r="AI8400">
        <v>98.348474309433897</v>
      </c>
      <c r="AJ8400">
        <v>77.235541347171093</v>
      </c>
      <c r="AK8400">
        <v>0.59634284571917395</v>
      </c>
      <c r="AL8400">
        <v>79.789994942667093</v>
      </c>
      <c r="AM8400">
        <v>92.712613258711599</v>
      </c>
      <c r="AN8400">
        <v>1.0000000054759199</v>
      </c>
    </row>
    <row r="8401" spans="1:40" x14ac:dyDescent="0.25">
      <c r="A8401" t="str">
        <f>"20190304155000566"</f>
        <v>20190304155000566</v>
      </c>
      <c r="B8401" t="str">
        <f>"1551685800555741"</f>
        <v>1551685800555741</v>
      </c>
      <c r="C8401" t="s">
        <v>40</v>
      </c>
      <c r="D8401">
        <v>4.2546400000000002</v>
      </c>
      <c r="E8401">
        <v>0.53397740000000005</v>
      </c>
      <c r="F8401" t="s">
        <v>44</v>
      </c>
      <c r="G8401">
        <v>-55.54636</v>
      </c>
      <c r="H8401" s="1">
        <v>-3.0421820000000002E-6</v>
      </c>
      <c r="I8401">
        <v>133.82660000000001</v>
      </c>
      <c r="J8401">
        <v>-137.73390000000001</v>
      </c>
      <c r="K8401">
        <v>1.1111089999999999</v>
      </c>
      <c r="L8401">
        <v>137.43819999999999</v>
      </c>
      <c r="M8401">
        <v>0.99977700000000003</v>
      </c>
      <c r="N8401">
        <v>-1.379379E-2</v>
      </c>
      <c r="O8401">
        <v>1.598693E-2</v>
      </c>
      <c r="P8401">
        <v>0.98435479999999997</v>
      </c>
      <c r="Q8401">
        <v>0.16476759999999999</v>
      </c>
      <c r="R8401">
        <v>6.2427679999999999E-2</v>
      </c>
      <c r="S8401">
        <v>3.0624850000000001</v>
      </c>
      <c r="T8401">
        <v>-4.1283250000000001E-2</v>
      </c>
      <c r="U8401">
        <v>-0.13404849999999999</v>
      </c>
      <c r="V8401">
        <v>-4.6649120000000002E-2</v>
      </c>
      <c r="W8401">
        <v>0.17835039999999999</v>
      </c>
      <c r="X8401">
        <v>0.98286059999999997</v>
      </c>
      <c r="Y8401">
        <v>5.9685889999999998E-2</v>
      </c>
      <c r="Z8401">
        <v>-8.0897779999999995E-4</v>
      </c>
      <c r="AA8401">
        <v>0.99821689999999996</v>
      </c>
      <c r="AB8401">
        <v>24</v>
      </c>
      <c r="AC8401">
        <v>82.187539999999998</v>
      </c>
      <c r="AD8401">
        <v>-1.111112042182</v>
      </c>
      <c r="AE8401">
        <v>-3.6115999999999802</v>
      </c>
      <c r="AF8401">
        <v>4.9242916087067696</v>
      </c>
      <c r="AG8401">
        <v>-1.111112042182</v>
      </c>
      <c r="AH8401">
        <v>82.104313367080593</v>
      </c>
      <c r="AI8401">
        <v>90.773941961669493</v>
      </c>
      <c r="AJ8401">
        <v>86.567737503908901</v>
      </c>
      <c r="AK8401">
        <v>82.259355038181695</v>
      </c>
      <c r="AL8401">
        <v>79.726309821060795</v>
      </c>
      <c r="AM8401">
        <v>92.717367447571903</v>
      </c>
      <c r="AN8401">
        <v>0.99999998230464604</v>
      </c>
    </row>
    <row r="8402" spans="1:40" x14ac:dyDescent="0.25">
      <c r="A8402" t="str">
        <f>"20190304155000587"</f>
        <v>20190304155000587</v>
      </c>
      <c r="B8402" t="str">
        <f>"1551685800585997"</f>
        <v>1551685800585997</v>
      </c>
      <c r="C8402" t="s">
        <v>40</v>
      </c>
      <c r="D8402">
        <v>4.134207</v>
      </c>
      <c r="E8402">
        <v>0.53286899999999904</v>
      </c>
      <c r="F8402" t="s">
        <v>42</v>
      </c>
      <c r="G8402">
        <v>0</v>
      </c>
      <c r="H8402">
        <v>0</v>
      </c>
      <c r="I8402">
        <v>0</v>
      </c>
      <c r="J8402">
        <v>-137.4933</v>
      </c>
      <c r="K8402">
        <v>1.111084</v>
      </c>
      <c r="L8402">
        <v>137.44200000000001</v>
      </c>
      <c r="M8402">
        <v>0.99977919999999998</v>
      </c>
      <c r="N8402">
        <v>-1.3794259999999999E-2</v>
      </c>
      <c r="O8402">
        <v>1.5860099999999999E-2</v>
      </c>
      <c r="P8402">
        <v>0.98410580000000003</v>
      </c>
      <c r="Q8402">
        <v>0.16606109999999999</v>
      </c>
      <c r="R8402">
        <v>6.292623E-2</v>
      </c>
      <c r="S8402">
        <v>3.0540159999999998</v>
      </c>
      <c r="T8402">
        <v>-2.6082990000000001E-3</v>
      </c>
      <c r="U8402">
        <v>-9.2864989999999994E-2</v>
      </c>
      <c r="V8402">
        <v>-4.7262989999999998E-2</v>
      </c>
      <c r="W8402">
        <v>0.17964469999999999</v>
      </c>
      <c r="X8402">
        <v>0.98259560000000001</v>
      </c>
      <c r="Y8402">
        <v>4.62423E-2</v>
      </c>
      <c r="Z8402">
        <v>-1.3358129999999999E-4</v>
      </c>
      <c r="AA8402">
        <v>0.99893019999999999</v>
      </c>
      <c r="AB8402">
        <v>24</v>
      </c>
      <c r="AC8402">
        <v>3.0540159999999998</v>
      </c>
      <c r="AD8402">
        <v>-2.6082990000000001E-3</v>
      </c>
      <c r="AE8402">
        <v>-9.2864989999999994E-2</v>
      </c>
      <c r="AF8402">
        <v>0.14129480585787901</v>
      </c>
      <c r="AG8402">
        <v>-2.6082990000000001E-3</v>
      </c>
      <c r="AH8402">
        <v>3.0521565828162802</v>
      </c>
      <c r="AI8402">
        <v>90.048911189545507</v>
      </c>
      <c r="AJ8402">
        <v>87.349474028278294</v>
      </c>
      <c r="AK8402">
        <v>3.0554264565547702</v>
      </c>
      <c r="AL8402">
        <v>79.650935360699705</v>
      </c>
      <c r="AM8402">
        <v>92.753812800062903</v>
      </c>
      <c r="AN8402">
        <v>1.0000000608005899</v>
      </c>
    </row>
    <row r="8403" spans="1:40" x14ac:dyDescent="0.25">
      <c r="A8403" t="str">
        <f>"20190304155000611"</f>
        <v>20190304155000611</v>
      </c>
      <c r="B8403" t="str">
        <f>"1551685800605516"</f>
        <v>1551685800605516</v>
      </c>
      <c r="C8403" t="s">
        <v>40</v>
      </c>
      <c r="D8403">
        <v>4.098166</v>
      </c>
      <c r="E8403">
        <v>0.53243619999999903</v>
      </c>
      <c r="F8403" t="s">
        <v>42</v>
      </c>
      <c r="G8403">
        <v>0</v>
      </c>
      <c r="H8403">
        <v>0</v>
      </c>
      <c r="I8403">
        <v>0</v>
      </c>
      <c r="J8403">
        <v>-137.2466</v>
      </c>
      <c r="K8403">
        <v>1.1110439999999999</v>
      </c>
      <c r="L8403">
        <v>137.44569999999999</v>
      </c>
      <c r="M8403">
        <v>0.99978199999999995</v>
      </c>
      <c r="N8403">
        <v>-1.379443E-2</v>
      </c>
      <c r="O8403">
        <v>1.5676760000000001E-2</v>
      </c>
      <c r="P8403">
        <v>0.98383330000000002</v>
      </c>
      <c r="Q8403">
        <v>0.16749890000000001</v>
      </c>
      <c r="R8403">
        <v>6.3372880000000006E-2</v>
      </c>
      <c r="S8403">
        <v>3.0516200000000002</v>
      </c>
      <c r="T8403">
        <v>1.262009E-2</v>
      </c>
      <c r="U8403">
        <v>-8.2565310000000003E-2</v>
      </c>
      <c r="V8403">
        <v>-4.7875630000000002E-2</v>
      </c>
      <c r="W8403">
        <v>0.18108360000000001</v>
      </c>
      <c r="X8403">
        <v>0.98230170000000006</v>
      </c>
      <c r="Y8403">
        <v>4.2713849999999998E-2</v>
      </c>
      <c r="Z8403" s="1">
        <v>7.4669280000000006E-5</v>
      </c>
      <c r="AA8403">
        <v>0.99908730000000001</v>
      </c>
      <c r="AB8403">
        <v>24</v>
      </c>
      <c r="AC8403">
        <v>3.0516200000000002</v>
      </c>
      <c r="AD8403">
        <v>1.262009E-2</v>
      </c>
      <c r="AE8403">
        <v>-8.2565310000000003E-2</v>
      </c>
      <c r="AF8403">
        <v>0.130396997620814</v>
      </c>
      <c r="AG8403">
        <v>1.262009E-2</v>
      </c>
      <c r="AH8403">
        <v>3.0498983184114699</v>
      </c>
      <c r="AI8403">
        <v>89.763135117156907</v>
      </c>
      <c r="AJ8403">
        <v>87.551836322111996</v>
      </c>
      <c r="AK8403">
        <v>3.0527106637068102</v>
      </c>
      <c r="AL8403">
        <v>79.567117077206206</v>
      </c>
      <c r="AM8403">
        <v>92.790285972773404</v>
      </c>
      <c r="AN8403">
        <v>0.999999987979873</v>
      </c>
    </row>
    <row r="8404" spans="1:40" x14ac:dyDescent="0.25">
      <c r="A8404" t="str">
        <f>"20190304155000633"</f>
        <v>20190304155000633</v>
      </c>
      <c r="B8404" t="str">
        <f>"1551685800626013"</f>
        <v>1551685800626013</v>
      </c>
      <c r="C8404" t="s">
        <v>40</v>
      </c>
      <c r="D8404">
        <v>4.1283310000000002</v>
      </c>
      <c r="E8404">
        <v>0.53225610000000001</v>
      </c>
      <c r="F8404" t="s">
        <v>42</v>
      </c>
      <c r="G8404">
        <v>0</v>
      </c>
      <c r="H8404">
        <v>0</v>
      </c>
      <c r="I8404">
        <v>0</v>
      </c>
      <c r="J8404">
        <v>-137.00909999999999</v>
      </c>
      <c r="K8404">
        <v>1.1110040000000001</v>
      </c>
      <c r="L8404">
        <v>137.44919999999999</v>
      </c>
      <c r="M8404">
        <v>0.99978579999999995</v>
      </c>
      <c r="N8404">
        <v>-1.379437E-2</v>
      </c>
      <c r="O8404">
        <v>1.5435849999999999E-2</v>
      </c>
      <c r="P8404">
        <v>0.9835737</v>
      </c>
      <c r="Q8404">
        <v>0.16862959999999999</v>
      </c>
      <c r="R8404">
        <v>6.4396980000000006E-2</v>
      </c>
      <c r="S8404">
        <v>3.051895</v>
      </c>
      <c r="T8404">
        <v>1.424658E-2</v>
      </c>
      <c r="U8404">
        <v>-7.7758789999999994E-2</v>
      </c>
      <c r="V8404">
        <v>-4.912093E-2</v>
      </c>
      <c r="W8404">
        <v>0.18221609999999999</v>
      </c>
      <c r="X8404">
        <v>0.98203070000000003</v>
      </c>
      <c r="Y8404">
        <v>4.0898110000000001E-2</v>
      </c>
      <c r="Z8404" s="1">
        <v>9.8244810000000006E-5</v>
      </c>
      <c r="AA8404">
        <v>0.99916329999999998</v>
      </c>
      <c r="AB8404">
        <v>24</v>
      </c>
      <c r="AC8404">
        <v>3.051895</v>
      </c>
      <c r="AD8404">
        <v>1.424658E-2</v>
      </c>
      <c r="AE8404">
        <v>-7.7758789999999994E-2</v>
      </c>
      <c r="AF8404">
        <v>0.12485987646111101</v>
      </c>
      <c r="AG8404">
        <v>1.424658E-2</v>
      </c>
      <c r="AH8404">
        <v>3.0502645155582102</v>
      </c>
      <c r="AI8404">
        <v>89.732619918954697</v>
      </c>
      <c r="AJ8404">
        <v>87.655956653149104</v>
      </c>
      <c r="AK8404">
        <v>3.05285220223075</v>
      </c>
      <c r="AL8404">
        <v>79.501131253736304</v>
      </c>
      <c r="AM8404">
        <v>92.863533988532794</v>
      </c>
      <c r="AN8404">
        <v>0.99999993430288003</v>
      </c>
    </row>
    <row r="8405" spans="1:40" x14ac:dyDescent="0.25">
      <c r="A8405" t="str">
        <f>"20190304155000656"</f>
        <v>20190304155000656</v>
      </c>
      <c r="B8405" t="str">
        <f>"1551685800645533"</f>
        <v>1551685800645533</v>
      </c>
      <c r="C8405" t="s">
        <v>40</v>
      </c>
      <c r="D8405">
        <v>4.1648719999999999</v>
      </c>
      <c r="E8405">
        <v>0.531999</v>
      </c>
      <c r="F8405" t="s">
        <v>42</v>
      </c>
      <c r="G8405">
        <v>0</v>
      </c>
      <c r="H8405">
        <v>0</v>
      </c>
      <c r="I8405">
        <v>0</v>
      </c>
      <c r="J8405">
        <v>-136.76179999999999</v>
      </c>
      <c r="K8405">
        <v>1.1109659999999999</v>
      </c>
      <c r="L8405">
        <v>137.45269999999999</v>
      </c>
      <c r="M8405">
        <v>0.99979070000000003</v>
      </c>
      <c r="N8405">
        <v>-1.3793929999999999E-2</v>
      </c>
      <c r="O8405">
        <v>1.5115740000000001E-2</v>
      </c>
      <c r="P8405">
        <v>0.98317840000000001</v>
      </c>
      <c r="Q8405">
        <v>0.170823799999999</v>
      </c>
      <c r="R8405">
        <v>6.4649869999999998E-2</v>
      </c>
      <c r="S8405">
        <v>3.0516049999999999</v>
      </c>
      <c r="T8405">
        <v>1.9276140000000001E-2</v>
      </c>
      <c r="U8405">
        <v>-7.3486330000000002E-2</v>
      </c>
      <c r="V8405">
        <v>-4.967386E-2</v>
      </c>
      <c r="W8405">
        <v>0.1844103</v>
      </c>
      <c r="X8405">
        <v>0.9815933</v>
      </c>
      <c r="Y8405">
        <v>3.9182149999999999E-2</v>
      </c>
      <c r="Z8405">
        <v>1.5738929999999999E-4</v>
      </c>
      <c r="AA8405">
        <v>0.99923209999999996</v>
      </c>
      <c r="AB8405">
        <v>24</v>
      </c>
      <c r="AC8405">
        <v>3.0516049999999999</v>
      </c>
      <c r="AD8405">
        <v>1.9276140000000001E-2</v>
      </c>
      <c r="AE8405">
        <v>-7.3486330000000002E-2</v>
      </c>
      <c r="AF8405">
        <v>0.119604815163819</v>
      </c>
      <c r="AG8405">
        <v>1.9276140000000001E-2</v>
      </c>
      <c r="AH8405">
        <v>3.0500237556803902</v>
      </c>
      <c r="AI8405">
        <v>89.638173773098302</v>
      </c>
      <c r="AJ8405">
        <v>87.754331701799799</v>
      </c>
      <c r="AK8405">
        <v>3.0524288348130799</v>
      </c>
      <c r="AL8405">
        <v>79.373246757366701</v>
      </c>
      <c r="AM8405">
        <v>92.897000955726895</v>
      </c>
      <c r="AN8405">
        <v>1.00000002885913</v>
      </c>
    </row>
    <row r="8406" spans="1:40" x14ac:dyDescent="0.25">
      <c r="A8406" t="str">
        <f>"20190304155000677"</f>
        <v>20190304155000677</v>
      </c>
      <c r="B8406" t="str">
        <f>"1551685800666028"</f>
        <v>1551685800666028</v>
      </c>
      <c r="C8406" t="s">
        <v>40</v>
      </c>
      <c r="D8406">
        <v>4.1672760000000002</v>
      </c>
      <c r="E8406">
        <v>0.53194569999999997</v>
      </c>
      <c r="F8406" t="s">
        <v>42</v>
      </c>
      <c r="G8406">
        <v>0</v>
      </c>
      <c r="H8406">
        <v>0</v>
      </c>
      <c r="I8406">
        <v>0</v>
      </c>
      <c r="J8406">
        <v>-136.52600000000001</v>
      </c>
      <c r="K8406">
        <v>1.110941</v>
      </c>
      <c r="L8406">
        <v>137.45580000000001</v>
      </c>
      <c r="M8406">
        <v>0.99979609999999997</v>
      </c>
      <c r="N8406">
        <v>-1.3793349999999999E-2</v>
      </c>
      <c r="O8406">
        <v>1.475777E-2</v>
      </c>
      <c r="P8406">
        <v>0.98291019999999896</v>
      </c>
      <c r="Q8406">
        <v>0.17241219999999999</v>
      </c>
      <c r="R8406">
        <v>6.4512910000000007E-2</v>
      </c>
      <c r="S8406">
        <v>3.0515140000000001</v>
      </c>
      <c r="T8406">
        <v>2.5803090000000001E-2</v>
      </c>
      <c r="U8406">
        <v>-7.0739750000000004E-2</v>
      </c>
      <c r="V8406">
        <v>-4.9876789999999997E-2</v>
      </c>
      <c r="W8406">
        <v>0.18599840000000001</v>
      </c>
      <c r="X8406">
        <v>0.98128329999999997</v>
      </c>
      <c r="Y8406">
        <v>3.7925519999999997E-2</v>
      </c>
      <c r="Z8406">
        <v>2.2701770000000001E-4</v>
      </c>
      <c r="AA8406">
        <v>0.99928059999999996</v>
      </c>
      <c r="AB8406">
        <v>24</v>
      </c>
      <c r="AC8406">
        <v>3.0515140000000001</v>
      </c>
      <c r="AD8406">
        <v>2.5803090000000001E-2</v>
      </c>
      <c r="AE8406">
        <v>-7.0739750000000004E-2</v>
      </c>
      <c r="AF8406">
        <v>0.115761592022638</v>
      </c>
      <c r="AG8406">
        <v>2.5803090000000001E-2</v>
      </c>
      <c r="AH8406">
        <v>3.0499196058350799</v>
      </c>
      <c r="AI8406">
        <v>89.515623563429898</v>
      </c>
      <c r="AJ8406">
        <v>87.826346528313294</v>
      </c>
      <c r="AK8406">
        <v>3.05222478656116</v>
      </c>
      <c r="AL8406">
        <v>79.280653222470306</v>
      </c>
      <c r="AM8406">
        <v>92.9097329900613</v>
      </c>
      <c r="AN8406">
        <v>1.0000000069210699</v>
      </c>
    </row>
    <row r="8407" spans="1:40" x14ac:dyDescent="0.25">
      <c r="A8407" t="str">
        <f>"20190304155000700"</f>
        <v>20190304155000700</v>
      </c>
      <c r="B8407" t="str">
        <f>"1551685800695309"</f>
        <v>1551685800695309</v>
      </c>
      <c r="C8407" t="s">
        <v>40</v>
      </c>
      <c r="D8407">
        <v>4.1571480000000003</v>
      </c>
      <c r="E8407">
        <v>0.53112950000000003</v>
      </c>
      <c r="F8407" t="s">
        <v>42</v>
      </c>
      <c r="G8407">
        <v>0</v>
      </c>
      <c r="H8407">
        <v>0</v>
      </c>
      <c r="I8407">
        <v>0</v>
      </c>
      <c r="J8407">
        <v>-136.28639999999999</v>
      </c>
      <c r="K8407">
        <v>1.1109249999999999</v>
      </c>
      <c r="L8407">
        <v>137.4589</v>
      </c>
      <c r="M8407">
        <v>0.99980199999999997</v>
      </c>
      <c r="N8407">
        <v>-1.3792530000000001E-2</v>
      </c>
      <c r="O8407">
        <v>1.4346930000000001E-2</v>
      </c>
      <c r="P8407">
        <v>0.98263869999999998</v>
      </c>
      <c r="Q8407">
        <v>0.17402479999999901</v>
      </c>
      <c r="R8407">
        <v>6.4317340000000001E-2</v>
      </c>
      <c r="S8407">
        <v>3.0515590000000001</v>
      </c>
      <c r="T8407">
        <v>2.9685380000000001E-2</v>
      </c>
      <c r="U8407">
        <v>-7.0434570000000002E-2</v>
      </c>
      <c r="V8407">
        <v>-5.0075469999999997E-2</v>
      </c>
      <c r="W8407">
        <v>0.18760930000000001</v>
      </c>
      <c r="X8407">
        <v>0.98096640000000002</v>
      </c>
      <c r="Y8407">
        <v>3.741423E-2</v>
      </c>
      <c r="Z8407">
        <v>2.6128600000000001E-4</v>
      </c>
      <c r="AA8407">
        <v>0.99929979999999996</v>
      </c>
      <c r="AB8407">
        <v>24</v>
      </c>
      <c r="AC8407">
        <v>3.0515590000000001</v>
      </c>
      <c r="AD8407">
        <v>2.9685380000000001E-2</v>
      </c>
      <c r="AE8407">
        <v>-7.0434570000000002E-2</v>
      </c>
      <c r="AF8407">
        <v>0.114201183768582</v>
      </c>
      <c r="AG8407">
        <v>2.9685380000000001E-2</v>
      </c>
      <c r="AH8407">
        <v>3.04994577905889</v>
      </c>
      <c r="AI8407">
        <v>89.442743428452403</v>
      </c>
      <c r="AJ8407">
        <v>87.855637132935499</v>
      </c>
      <c r="AK8407">
        <v>3.0522274468589399</v>
      </c>
      <c r="AL8407">
        <v>79.186700900454298</v>
      </c>
      <c r="AM8407">
        <v>92.922245717581902</v>
      </c>
      <c r="AN8407">
        <v>0.99999994003558301</v>
      </c>
    </row>
    <row r="8408" spans="1:40" x14ac:dyDescent="0.25">
      <c r="A8408" t="str">
        <f>"20190304155000722"</f>
        <v>20190304155000722</v>
      </c>
      <c r="B8408" t="str">
        <f>"1551685800715804"</f>
        <v>1551685800715804</v>
      </c>
      <c r="C8408" t="s">
        <v>40</v>
      </c>
      <c r="D8408">
        <v>4.1400819999999996</v>
      </c>
      <c r="E8408">
        <v>0.530362</v>
      </c>
      <c r="F8408" t="s">
        <v>42</v>
      </c>
      <c r="G8408">
        <v>0</v>
      </c>
      <c r="H8408">
        <v>0</v>
      </c>
      <c r="I8408">
        <v>0</v>
      </c>
      <c r="J8408">
        <v>-136.0437</v>
      </c>
      <c r="K8408">
        <v>1.110911</v>
      </c>
      <c r="L8408">
        <v>137.46190000000001</v>
      </c>
      <c r="M8408">
        <v>0.99980849999999999</v>
      </c>
      <c r="N8408">
        <v>-1.379144E-2</v>
      </c>
      <c r="O8408">
        <v>1.389143E-2</v>
      </c>
      <c r="P8408">
        <v>0.98239849999999995</v>
      </c>
      <c r="Q8408">
        <v>0.1753632</v>
      </c>
      <c r="R8408">
        <v>6.4352309999999996E-2</v>
      </c>
      <c r="S8408">
        <v>3.0523380000000002</v>
      </c>
      <c r="T8408">
        <v>2.7670859999999999E-2</v>
      </c>
      <c r="U8408">
        <v>-6.480408E-2</v>
      </c>
      <c r="V8408">
        <v>-5.0550610000000003E-2</v>
      </c>
      <c r="W8408">
        <v>0.1889459</v>
      </c>
      <c r="X8408">
        <v>0.98068549999999999</v>
      </c>
      <c r="Y8408">
        <v>3.5110870000000002E-2</v>
      </c>
      <c r="Z8408">
        <v>2.34451E-4</v>
      </c>
      <c r="AA8408">
        <v>0.99938340000000003</v>
      </c>
      <c r="AB8408">
        <v>24</v>
      </c>
      <c r="AC8408">
        <v>3.0523380000000002</v>
      </c>
      <c r="AD8408">
        <v>2.7670859999999999E-2</v>
      </c>
      <c r="AE8408">
        <v>-6.480408E-2</v>
      </c>
      <c r="AF8408">
        <v>0.10719438846533499</v>
      </c>
      <c r="AG8408">
        <v>2.7670859999999999E-2</v>
      </c>
      <c r="AH8408">
        <v>3.05089249790846</v>
      </c>
      <c r="AI8408">
        <v>89.480675766585705</v>
      </c>
      <c r="AJ8408">
        <v>87.987716518750801</v>
      </c>
      <c r="AK8408">
        <v>3.0529004810517</v>
      </c>
      <c r="AL8408">
        <v>79.108725294630702</v>
      </c>
      <c r="AM8408">
        <v>92.950768097893601</v>
      </c>
      <c r="AN8408">
        <v>0.99999998360421505</v>
      </c>
    </row>
    <row r="8409" spans="1:40" x14ac:dyDescent="0.25">
      <c r="A8409" t="str">
        <f>"20190304155000745"</f>
        <v>20190304155000745</v>
      </c>
      <c r="B8409" t="str">
        <f>"1551685800735325"</f>
        <v>1551685800735325</v>
      </c>
      <c r="C8409" t="s">
        <v>40</v>
      </c>
      <c r="D8409">
        <v>4.1194499999999996</v>
      </c>
      <c r="E8409">
        <v>0.52973599999999998</v>
      </c>
      <c r="F8409" t="s">
        <v>42</v>
      </c>
      <c r="G8409">
        <v>0</v>
      </c>
      <c r="H8409">
        <v>0</v>
      </c>
      <c r="I8409">
        <v>0</v>
      </c>
      <c r="J8409">
        <v>-135.80760000000001</v>
      </c>
      <c r="K8409">
        <v>1.1109</v>
      </c>
      <c r="L8409">
        <v>137.46469999999999</v>
      </c>
      <c r="M8409">
        <v>0.99981489999999995</v>
      </c>
      <c r="N8409">
        <v>-1.3790210000000001E-2</v>
      </c>
      <c r="O8409">
        <v>1.342135E-2</v>
      </c>
      <c r="P8409">
        <v>0.98221800000000004</v>
      </c>
      <c r="Q8409">
        <v>0.17657970000000001</v>
      </c>
      <c r="R8409">
        <v>6.3776139999999995E-2</v>
      </c>
      <c r="S8409">
        <v>3.0528870000000001</v>
      </c>
      <c r="T8409">
        <v>2.648091E-2</v>
      </c>
      <c r="U8409">
        <v>-5.8837889999999997E-2</v>
      </c>
      <c r="V8409">
        <v>-5.0430549999999998E-2</v>
      </c>
      <c r="W8409">
        <v>0.19016040000000001</v>
      </c>
      <c r="X8409">
        <v>0.98045689999999996</v>
      </c>
      <c r="Y8409">
        <v>3.2685039999999999E-2</v>
      </c>
      <c r="Z8409">
        <v>2.1781409999999999E-4</v>
      </c>
      <c r="AA8409">
        <v>0.99946570000000001</v>
      </c>
      <c r="AB8409">
        <v>24</v>
      </c>
      <c r="AC8409">
        <v>3.0528870000000001</v>
      </c>
      <c r="AD8409">
        <v>2.648091E-2</v>
      </c>
      <c r="AE8409">
        <v>-5.8837889999999997E-2</v>
      </c>
      <c r="AF8409">
        <v>9.9802841828684194E-2</v>
      </c>
      <c r="AG8409">
        <v>2.648091E-2</v>
      </c>
      <c r="AH8409">
        <v>3.0515926998618301</v>
      </c>
      <c r="AI8409">
        <v>89.5030806155482</v>
      </c>
      <c r="AJ8409">
        <v>88.1267997800215</v>
      </c>
      <c r="AK8409">
        <v>3.0533391314561702</v>
      </c>
      <c r="AL8409">
        <v>79.037854622649107</v>
      </c>
      <c r="AM8409">
        <v>92.944457383010999</v>
      </c>
      <c r="AN8409">
        <v>0.999999975429535</v>
      </c>
    </row>
    <row r="8410" spans="1:40" x14ac:dyDescent="0.25">
      <c r="A8410" t="str">
        <f>"20190304155000767"</f>
        <v>20190304155000767</v>
      </c>
      <c r="B8410" t="str">
        <f>"1551685800755821"</f>
        <v>1551685800755821</v>
      </c>
      <c r="C8410" t="s">
        <v>40</v>
      </c>
      <c r="D8410">
        <v>4.1436159999999997</v>
      </c>
      <c r="E8410">
        <v>0.52913920000000003</v>
      </c>
      <c r="F8410" t="s">
        <v>42</v>
      </c>
      <c r="G8410">
        <v>0</v>
      </c>
      <c r="H8410">
        <v>0</v>
      </c>
      <c r="I8410">
        <v>0</v>
      </c>
      <c r="J8410">
        <v>-135.5692</v>
      </c>
      <c r="K8410">
        <v>1.110889</v>
      </c>
      <c r="L8410">
        <v>137.4674</v>
      </c>
      <c r="M8410">
        <v>0.99982139999999997</v>
      </c>
      <c r="N8410">
        <v>-1.378881E-2</v>
      </c>
      <c r="O8410">
        <v>1.2930489999999999E-2</v>
      </c>
      <c r="P8410">
        <v>0.98209639999999998</v>
      </c>
      <c r="Q8410">
        <v>0.17737700000000001</v>
      </c>
      <c r="R8410">
        <v>6.3434809999999994E-2</v>
      </c>
      <c r="S8410">
        <v>3.0534059999999998</v>
      </c>
      <c r="T8410">
        <v>2.5141719999999999E-2</v>
      </c>
      <c r="U8410">
        <v>-5.5480960000000003E-2</v>
      </c>
      <c r="V8410">
        <v>-5.0566600000000003E-2</v>
      </c>
      <c r="W8410">
        <v>0.19095570000000001</v>
      </c>
      <c r="X8410">
        <v>0.98029540000000004</v>
      </c>
      <c r="Y8410">
        <v>3.109284E-2</v>
      </c>
      <c r="Z8410">
        <v>1.9834440000000001E-4</v>
      </c>
      <c r="AA8410">
        <v>0.99951650000000003</v>
      </c>
      <c r="AB8410">
        <v>24</v>
      </c>
      <c r="AC8410">
        <v>3.0534059999999998</v>
      </c>
      <c r="AD8410">
        <v>2.5141719999999999E-2</v>
      </c>
      <c r="AE8410">
        <v>-5.5480960000000003E-2</v>
      </c>
      <c r="AF8410">
        <v>9.4955671540047706E-2</v>
      </c>
      <c r="AG8410">
        <v>2.5141719999999999E-2</v>
      </c>
      <c r="AH8410">
        <v>3.0522263472005902</v>
      </c>
      <c r="AI8410">
        <v>89.528283569256999</v>
      </c>
      <c r="AJ8410">
        <v>88.218085946549706</v>
      </c>
      <c r="AK8410">
        <v>3.0538065361426598</v>
      </c>
      <c r="AL8410">
        <v>78.991437729346103</v>
      </c>
      <c r="AM8410">
        <v>92.952872349481297</v>
      </c>
      <c r="AN8410">
        <v>1.0000000658296</v>
      </c>
    </row>
    <row r="8411" spans="1:40" x14ac:dyDescent="0.25">
      <c r="A8411" t="str">
        <f>"20190304155000789"</f>
        <v>20190304155000789</v>
      </c>
      <c r="B8411" t="str">
        <f>"1551685800786077"</f>
        <v>1551685800786077</v>
      </c>
      <c r="C8411" t="s">
        <v>40</v>
      </c>
      <c r="D8411">
        <v>4.0742580000000004</v>
      </c>
      <c r="E8411">
        <v>0.52850559999999902</v>
      </c>
      <c r="F8411" t="s">
        <v>42</v>
      </c>
      <c r="G8411">
        <v>0</v>
      </c>
      <c r="H8411">
        <v>0</v>
      </c>
      <c r="I8411">
        <v>0</v>
      </c>
      <c r="J8411">
        <v>-135.32849999999999</v>
      </c>
      <c r="K8411">
        <v>1.1108819999999999</v>
      </c>
      <c r="L8411">
        <v>137.4699</v>
      </c>
      <c r="M8411">
        <v>0.99982769999999999</v>
      </c>
      <c r="N8411">
        <v>-1.3787239999999999E-2</v>
      </c>
      <c r="O8411">
        <v>1.242649E-2</v>
      </c>
      <c r="P8411">
        <v>0.98206470000000001</v>
      </c>
      <c r="Q8411">
        <v>0.17762220000000001</v>
      </c>
      <c r="R8411">
        <v>6.3242090000000001E-2</v>
      </c>
      <c r="S8411">
        <v>3.0538639999999999</v>
      </c>
      <c r="T8411">
        <v>2.3084400000000001E-2</v>
      </c>
      <c r="U8411">
        <v>-5.1666259999999999E-2</v>
      </c>
      <c r="V8411">
        <v>-5.0866090000000003E-2</v>
      </c>
      <c r="W8411">
        <v>0.19119949999999999</v>
      </c>
      <c r="X8411">
        <v>0.98023229999999995</v>
      </c>
      <c r="Y8411">
        <v>2.9338360000000001E-2</v>
      </c>
      <c r="Z8411">
        <v>1.7384709999999901E-4</v>
      </c>
      <c r="AA8411">
        <v>0.9995695</v>
      </c>
      <c r="AB8411">
        <v>24</v>
      </c>
      <c r="AC8411">
        <v>3.0538639999999999</v>
      </c>
      <c r="AD8411">
        <v>2.3084400000000001E-2</v>
      </c>
      <c r="AE8411">
        <v>-5.1666259999999999E-2</v>
      </c>
      <c r="AF8411">
        <v>8.9609570204598699E-2</v>
      </c>
      <c r="AG8411">
        <v>2.3084400000000001E-2</v>
      </c>
      <c r="AH8411">
        <v>3.0528116827137701</v>
      </c>
      <c r="AI8411">
        <v>89.566942142037206</v>
      </c>
      <c r="AJ8411">
        <v>88.3186724551243</v>
      </c>
      <c r="AK8411">
        <v>3.0542137997706198</v>
      </c>
      <c r="AL8411">
        <v>78.977205910831898</v>
      </c>
      <c r="AM8411">
        <v>92.970520918152204</v>
      </c>
      <c r="AN8411">
        <v>0.99999998493771303</v>
      </c>
    </row>
    <row r="8412" spans="1:40" x14ac:dyDescent="0.25">
      <c r="A8412" t="str">
        <f>"20190304155000813"</f>
        <v>20190304155000813</v>
      </c>
      <c r="B8412" t="str">
        <f>"1551685800805600"</f>
        <v>1551685800805600</v>
      </c>
      <c r="C8412" t="s">
        <v>40</v>
      </c>
      <c r="D8412">
        <v>4.1080199999999998</v>
      </c>
      <c r="E8412">
        <v>0.52812000000000003</v>
      </c>
      <c r="F8412" t="s">
        <v>42</v>
      </c>
      <c r="G8412">
        <v>0</v>
      </c>
      <c r="H8412">
        <v>0</v>
      </c>
      <c r="I8412">
        <v>0</v>
      </c>
      <c r="J8412">
        <v>-135.0788</v>
      </c>
      <c r="K8412">
        <v>1.110878</v>
      </c>
      <c r="L8412">
        <v>137.47239999999999</v>
      </c>
      <c r="M8412">
        <v>0.99983409999999995</v>
      </c>
      <c r="N8412">
        <v>-1.3785469999999999E-2</v>
      </c>
      <c r="O8412">
        <v>1.189958E-2</v>
      </c>
      <c r="P8412">
        <v>0.98202319999999999</v>
      </c>
      <c r="Q8412">
        <v>0.17793110000000001</v>
      </c>
      <c r="R8412">
        <v>6.3014580000000001E-2</v>
      </c>
      <c r="S8412">
        <v>3.0546880000000001</v>
      </c>
      <c r="T8412">
        <v>1.7458919999999999E-2</v>
      </c>
      <c r="U8412">
        <v>-4.73938E-2</v>
      </c>
      <c r="V8412">
        <v>-5.1155579999999999E-2</v>
      </c>
      <c r="W8412">
        <v>0.19150610000000001</v>
      </c>
      <c r="X8412">
        <v>0.98015739999999996</v>
      </c>
      <c r="Y8412">
        <v>2.7409800000000002E-2</v>
      </c>
      <c r="Z8412">
        <v>1.214188E-4</v>
      </c>
      <c r="AA8412">
        <v>0.99962430000000002</v>
      </c>
      <c r="AB8412">
        <v>24</v>
      </c>
      <c r="AC8412">
        <v>3.0546880000000001</v>
      </c>
      <c r="AD8412">
        <v>1.7458919999999999E-2</v>
      </c>
      <c r="AE8412">
        <v>-4.73938E-2</v>
      </c>
      <c r="AF8412">
        <v>8.37406699770709E-2</v>
      </c>
      <c r="AG8412">
        <v>1.7458919999999999E-2</v>
      </c>
      <c r="AH8412">
        <v>3.0538079264914599</v>
      </c>
      <c r="AI8412">
        <v>89.672561050274894</v>
      </c>
      <c r="AJ8412">
        <v>88.429244731715798</v>
      </c>
      <c r="AK8412">
        <v>3.0550057554115799</v>
      </c>
      <c r="AL8412">
        <v>78.959308516072397</v>
      </c>
      <c r="AM8412">
        <v>92.987624135243095</v>
      </c>
      <c r="AN8412">
        <v>1.00000000423855</v>
      </c>
    </row>
    <row r="8413" spans="1:40" x14ac:dyDescent="0.25">
      <c r="A8413" t="str">
        <f>"20190304155000833"</f>
        <v>20190304155000833</v>
      </c>
      <c r="B8413" t="str">
        <f>"1551685800826093"</f>
        <v>1551685800826093</v>
      </c>
      <c r="C8413" t="s">
        <v>40</v>
      </c>
      <c r="D8413">
        <v>4.0909339999999998</v>
      </c>
      <c r="E8413">
        <v>0.527725</v>
      </c>
      <c r="F8413" t="s">
        <v>42</v>
      </c>
      <c r="G8413">
        <v>0</v>
      </c>
      <c r="H8413">
        <v>0</v>
      </c>
      <c r="I8413">
        <v>0</v>
      </c>
      <c r="J8413">
        <v>-134.8486</v>
      </c>
      <c r="K8413">
        <v>1.1108739999999999</v>
      </c>
      <c r="L8413">
        <v>137.47460000000001</v>
      </c>
      <c r="M8413">
        <v>0.9998399</v>
      </c>
      <c r="N8413">
        <v>-1.3783780000000001E-2</v>
      </c>
      <c r="O8413">
        <v>1.1413410000000001E-2</v>
      </c>
      <c r="P8413">
        <v>0.98206689999999996</v>
      </c>
      <c r="Q8413">
        <v>0.17778829999999901</v>
      </c>
      <c r="R8413">
        <v>6.2737760000000004E-2</v>
      </c>
      <c r="S8413">
        <v>3.055161</v>
      </c>
      <c r="T8413">
        <v>1.4699459999999999E-2</v>
      </c>
      <c r="U8413">
        <v>-4.5227049999999998E-2</v>
      </c>
      <c r="V8413">
        <v>-5.1357559999999997E-2</v>
      </c>
      <c r="W8413">
        <v>0.19136149999999999</v>
      </c>
      <c r="X8413">
        <v>0.98017509999999997</v>
      </c>
      <c r="Y8413">
        <v>2.6212740000000002E-2</v>
      </c>
      <c r="Z8413" s="1">
        <v>9.4609030000000004E-5</v>
      </c>
      <c r="AA8413">
        <v>0.9996564</v>
      </c>
      <c r="AB8413">
        <v>24</v>
      </c>
      <c r="AC8413">
        <v>3.055161</v>
      </c>
      <c r="AD8413">
        <v>1.4699459999999999E-2</v>
      </c>
      <c r="AE8413">
        <v>-4.5227049999999998E-2</v>
      </c>
      <c r="AF8413">
        <v>8.0095366457177894E-2</v>
      </c>
      <c r="AG8413">
        <v>1.4699459999999999E-2</v>
      </c>
      <c r="AH8413">
        <v>3.0543750295270198</v>
      </c>
      <c r="AI8413">
        <v>89.724355690504197</v>
      </c>
      <c r="AJ8413">
        <v>88.497867833718502</v>
      </c>
      <c r="AK8413">
        <v>3.05546038476208</v>
      </c>
      <c r="AL8413">
        <v>78.967749827214604</v>
      </c>
      <c r="AM8413">
        <v>92.999344751667905</v>
      </c>
      <c r="AN8413">
        <v>1.0000000246556999</v>
      </c>
    </row>
    <row r="8414" spans="1:40" x14ac:dyDescent="0.25">
      <c r="A8414" t="str">
        <f>"20190304155000856"</f>
        <v>20190304155000856</v>
      </c>
      <c r="B8414" t="str">
        <f>"1551685800845613"</f>
        <v>1551685800845613</v>
      </c>
      <c r="C8414" t="s">
        <v>40</v>
      </c>
      <c r="D8414">
        <v>4.0548209999999996</v>
      </c>
      <c r="E8414">
        <v>0.52743569999999995</v>
      </c>
      <c r="F8414" t="s">
        <v>42</v>
      </c>
      <c r="G8414">
        <v>0</v>
      </c>
      <c r="H8414">
        <v>0</v>
      </c>
      <c r="I8414">
        <v>0</v>
      </c>
      <c r="J8414">
        <v>-134.6123</v>
      </c>
      <c r="K8414">
        <v>1.1108709999999999</v>
      </c>
      <c r="L8414">
        <v>137.47669999999999</v>
      </c>
      <c r="M8414">
        <v>0.9998456</v>
      </c>
      <c r="N8414">
        <v>-1.378187E-2</v>
      </c>
      <c r="O8414">
        <v>1.0916850000000001E-2</v>
      </c>
      <c r="P8414">
        <v>0.98200089999999995</v>
      </c>
      <c r="Q8414">
        <v>0.17828269999999999</v>
      </c>
      <c r="R8414">
        <v>6.2369899999999999E-2</v>
      </c>
      <c r="S8414">
        <v>3.0556179999999999</v>
      </c>
      <c r="T8414">
        <v>1.0632279999999999E-2</v>
      </c>
      <c r="U8414">
        <v>-4.3197630000000001E-2</v>
      </c>
      <c r="V8414">
        <v>-5.1480129999999999E-2</v>
      </c>
      <c r="W8414">
        <v>0.19185240000000001</v>
      </c>
      <c r="X8414">
        <v>0.98007270000000002</v>
      </c>
      <c r="Y8414">
        <v>2.505048E-2</v>
      </c>
      <c r="Z8414" s="1">
        <v>5.9379280000000001E-5</v>
      </c>
      <c r="AA8414">
        <v>0.99968619999999997</v>
      </c>
      <c r="AB8414">
        <v>24</v>
      </c>
      <c r="AC8414">
        <v>3.0556179999999999</v>
      </c>
      <c r="AD8414">
        <v>1.0632279999999999E-2</v>
      </c>
      <c r="AE8414">
        <v>-4.3197630000000001E-2</v>
      </c>
      <c r="AF8414">
        <v>7.6555014735794305E-2</v>
      </c>
      <c r="AG8414">
        <v>1.0632279999999999E-2</v>
      </c>
      <c r="AH8414">
        <v>3.0549272724943202</v>
      </c>
      <c r="AI8414">
        <v>89.800652823727404</v>
      </c>
      <c r="AJ8414">
        <v>88.5644956377282</v>
      </c>
      <c r="AK8414">
        <v>3.0559048342330302</v>
      </c>
      <c r="AL8414">
        <v>78.939092329186593</v>
      </c>
      <c r="AM8414">
        <v>93.006803421449504</v>
      </c>
      <c r="AN8414">
        <v>1.0000000222279299</v>
      </c>
    </row>
    <row r="8415" spans="1:40" x14ac:dyDescent="0.25">
      <c r="A8415" t="str">
        <f>"20190304155000879"</f>
        <v>20190304155000879</v>
      </c>
      <c r="B8415" t="str">
        <f>"1551685800875869"</f>
        <v>1551685800875869</v>
      </c>
      <c r="C8415" t="s">
        <v>40</v>
      </c>
      <c r="D8415">
        <v>4.0438999999999998</v>
      </c>
      <c r="E8415">
        <v>0.52701350000000002</v>
      </c>
      <c r="F8415" t="s">
        <v>42</v>
      </c>
      <c r="G8415">
        <v>0</v>
      </c>
      <c r="H8415">
        <v>0</v>
      </c>
      <c r="I8415">
        <v>0</v>
      </c>
      <c r="J8415">
        <v>-134.3732</v>
      </c>
      <c r="K8415">
        <v>1.1108739999999999</v>
      </c>
      <c r="L8415">
        <v>137.4787</v>
      </c>
      <c r="M8415">
        <v>0.99985069999999998</v>
      </c>
      <c r="N8415">
        <v>-1.377986E-2</v>
      </c>
      <c r="O8415">
        <v>1.041864E-2</v>
      </c>
      <c r="P8415">
        <v>0.98197259999999997</v>
      </c>
      <c r="Q8415">
        <v>0.17864820000000001</v>
      </c>
      <c r="R8415">
        <v>6.1761610000000002E-2</v>
      </c>
      <c r="S8415">
        <v>3.056</v>
      </c>
      <c r="T8415">
        <v>9.1569419999999995E-3</v>
      </c>
      <c r="U8415">
        <v>-4.2037959999999999E-2</v>
      </c>
      <c r="V8415">
        <v>-5.1364260000000002E-2</v>
      </c>
      <c r="W8415">
        <v>0.1922141</v>
      </c>
      <c r="X8415">
        <v>0.98000790000000004</v>
      </c>
      <c r="Y8415">
        <v>2.4171399999999999E-2</v>
      </c>
      <c r="Z8415" s="1">
        <v>4.443969E-5</v>
      </c>
      <c r="AA8415">
        <v>0.99970780000000004</v>
      </c>
      <c r="AB8415">
        <v>24</v>
      </c>
      <c r="AC8415">
        <v>3.056</v>
      </c>
      <c r="AD8415">
        <v>9.1569419999999995E-3</v>
      </c>
      <c r="AE8415">
        <v>-4.2037959999999999E-2</v>
      </c>
      <c r="AF8415">
        <v>7.3877404249546197E-2</v>
      </c>
      <c r="AG8415">
        <v>9.1569419999999995E-3</v>
      </c>
      <c r="AH8415">
        <v>3.0553686557119</v>
      </c>
      <c r="AI8415">
        <v>89.828335197092898</v>
      </c>
      <c r="AJ8415">
        <v>88.614884383408693</v>
      </c>
      <c r="AK8415">
        <v>3.0562754036166599</v>
      </c>
      <c r="AL8415">
        <v>78.917975354512294</v>
      </c>
      <c r="AM8415">
        <v>93.000246177819307</v>
      </c>
      <c r="AN8415">
        <v>1.00000001575328</v>
      </c>
    </row>
    <row r="8416" spans="1:40" x14ac:dyDescent="0.25">
      <c r="A8416" t="str">
        <f>"20190304155000901"</f>
        <v>20190304155000901</v>
      </c>
      <c r="B8416" t="str">
        <f>"1551685800895390"</f>
        <v>1551685800895390</v>
      </c>
      <c r="C8416" t="s">
        <v>40</v>
      </c>
      <c r="D8416">
        <v>4.0372599999999998</v>
      </c>
      <c r="E8416">
        <v>0.52676610000000001</v>
      </c>
      <c r="F8416" t="s">
        <v>42</v>
      </c>
      <c r="G8416">
        <v>0</v>
      </c>
      <c r="H8416">
        <v>0</v>
      </c>
      <c r="I8416">
        <v>0</v>
      </c>
      <c r="J8416">
        <v>-134.13509999999999</v>
      </c>
      <c r="K8416">
        <v>1.1108830000000001</v>
      </c>
      <c r="L8416">
        <v>137.48060000000001</v>
      </c>
      <c r="M8416">
        <v>0.99985590000000002</v>
      </c>
      <c r="N8416">
        <v>-1.377776E-2</v>
      </c>
      <c r="O8416">
        <v>9.9268559999999995E-3</v>
      </c>
      <c r="P8416">
        <v>0.98198030000000003</v>
      </c>
      <c r="Q8416">
        <v>0.17892269999999999</v>
      </c>
      <c r="R8416">
        <v>6.0838209999999997E-2</v>
      </c>
      <c r="S8416">
        <v>3.056473</v>
      </c>
      <c r="T8416">
        <v>6.5082309999999997E-3</v>
      </c>
      <c r="U8416">
        <v>-4.1168209999999997E-2</v>
      </c>
      <c r="V8416">
        <v>-5.0926909999999999E-2</v>
      </c>
      <c r="W8416">
        <v>0.1924855</v>
      </c>
      <c r="X8416">
        <v>0.9799774</v>
      </c>
      <c r="Y8416">
        <v>2.3393239999999999E-2</v>
      </c>
      <c r="Z8416" s="1">
        <v>2.1642599999999998E-5</v>
      </c>
      <c r="AA8416">
        <v>0.99972640000000002</v>
      </c>
      <c r="AB8416">
        <v>24</v>
      </c>
      <c r="AC8416">
        <v>3.056473</v>
      </c>
      <c r="AD8416">
        <v>6.5082309999999997E-3</v>
      </c>
      <c r="AE8416">
        <v>-4.1168209999999997E-2</v>
      </c>
      <c r="AF8416">
        <v>7.1509901635734396E-2</v>
      </c>
      <c r="AG8416">
        <v>6.5082309999999997E-3</v>
      </c>
      <c r="AH8416">
        <v>3.05589980883637</v>
      </c>
      <c r="AI8416">
        <v>89.878009236535306</v>
      </c>
      <c r="AJ8416">
        <v>88.659488793285107</v>
      </c>
      <c r="AK8416">
        <v>3.0567433102484798</v>
      </c>
      <c r="AL8416">
        <v>78.902128765952099</v>
      </c>
      <c r="AM8416">
        <v>92.974838552474395</v>
      </c>
      <c r="AN8416">
        <v>0.99999996119157797</v>
      </c>
    </row>
    <row r="8417" spans="1:40" x14ac:dyDescent="0.25">
      <c r="A8417" t="str">
        <f>"20190304155000923"</f>
        <v>20190304155000923</v>
      </c>
      <c r="B8417" t="str">
        <f>"1551685800915886"</f>
        <v>1551685800915886</v>
      </c>
      <c r="C8417" t="s">
        <v>40</v>
      </c>
      <c r="D8417">
        <v>3.996105</v>
      </c>
      <c r="E8417">
        <v>0.52652849999999995</v>
      </c>
      <c r="F8417" t="s">
        <v>42</v>
      </c>
      <c r="G8417">
        <v>0</v>
      </c>
      <c r="H8417">
        <v>0</v>
      </c>
      <c r="I8417">
        <v>0</v>
      </c>
      <c r="J8417">
        <v>-133.8973</v>
      </c>
      <c r="K8417">
        <v>1.1108929999999999</v>
      </c>
      <c r="L8417">
        <v>137.48240000000001</v>
      </c>
      <c r="M8417">
        <v>0.99986079999999999</v>
      </c>
      <c r="N8417">
        <v>-1.3775600000000001E-2</v>
      </c>
      <c r="O8417">
        <v>9.4392929999999996E-3</v>
      </c>
      <c r="P8417">
        <v>0.98193019999999998</v>
      </c>
      <c r="Q8417">
        <v>0.17937129999999901</v>
      </c>
      <c r="R8417">
        <v>6.0326949999999997E-2</v>
      </c>
      <c r="S8417">
        <v>3.0567470000000001</v>
      </c>
      <c r="T8417">
        <v>5.0158499999999996E-3</v>
      </c>
      <c r="U8417">
        <v>-4.2221069999999999E-2</v>
      </c>
      <c r="V8417">
        <v>-5.089668E-2</v>
      </c>
      <c r="W8417">
        <v>0.19292960000000001</v>
      </c>
      <c r="X8417">
        <v>0.97989170000000003</v>
      </c>
      <c r="Y8417">
        <v>2.324888E-2</v>
      </c>
      <c r="Z8417" s="1">
        <v>4.4444610000000004E-6</v>
      </c>
      <c r="AA8417">
        <v>0.99972969999999906</v>
      </c>
      <c r="AB8417">
        <v>24</v>
      </c>
      <c r="AC8417">
        <v>3.0567470000000001</v>
      </c>
      <c r="AD8417">
        <v>5.0158499999999996E-3</v>
      </c>
      <c r="AE8417">
        <v>-4.2221069999999999E-2</v>
      </c>
      <c r="AF8417">
        <v>7.1075258959095E-2</v>
      </c>
      <c r="AG8417">
        <v>5.0158499999999996E-3</v>
      </c>
      <c r="AH8417">
        <v>3.05620399041451</v>
      </c>
      <c r="AI8417">
        <v>89.905991519398896</v>
      </c>
      <c r="AJ8417">
        <v>88.667766139034299</v>
      </c>
      <c r="AK8417">
        <v>3.0570344587872902</v>
      </c>
      <c r="AL8417">
        <v>78.876198360630895</v>
      </c>
      <c r="AM8417">
        <v>92.973335424439298</v>
      </c>
      <c r="AN8417">
        <v>1.0000000231600299</v>
      </c>
    </row>
    <row r="8418" spans="1:40" x14ac:dyDescent="0.25">
      <c r="A8418" t="str">
        <f>"20190304155000946"</f>
        <v>20190304155000946</v>
      </c>
      <c r="B8418" t="str">
        <f>"1551685800935405"</f>
        <v>1551685800935405</v>
      </c>
      <c r="C8418" t="s">
        <v>40</v>
      </c>
      <c r="D8418">
        <v>3.9614660000000002</v>
      </c>
      <c r="E8418">
        <v>0.52627139999999994</v>
      </c>
      <c r="F8418" t="s">
        <v>42</v>
      </c>
      <c r="G8418">
        <v>0</v>
      </c>
      <c r="H8418">
        <v>0</v>
      </c>
      <c r="I8418">
        <v>0</v>
      </c>
      <c r="J8418">
        <v>-133.66499999999999</v>
      </c>
      <c r="K8418">
        <v>1.1109009999999999</v>
      </c>
      <c r="L8418">
        <v>137.48400000000001</v>
      </c>
      <c r="M8418">
        <v>0.99986509999999995</v>
      </c>
      <c r="N8418">
        <v>-1.3773469999999999E-2</v>
      </c>
      <c r="O8418">
        <v>8.9654820000000003E-3</v>
      </c>
      <c r="P8418">
        <v>0.98185040000000001</v>
      </c>
      <c r="Q8418">
        <v>0.1799328</v>
      </c>
      <c r="R8418">
        <v>5.9950150000000001E-2</v>
      </c>
      <c r="S8418">
        <v>3.0570219999999999</v>
      </c>
      <c r="T8418">
        <v>4.2002200000000002E-3</v>
      </c>
      <c r="U8418">
        <v>-4.2022709999999998E-2</v>
      </c>
      <c r="V8418">
        <v>-5.098722E-2</v>
      </c>
      <c r="W8418">
        <v>0.1934872</v>
      </c>
      <c r="X8418">
        <v>0.97977700000000001</v>
      </c>
      <c r="Y8418">
        <v>2.2709090000000001E-2</v>
      </c>
      <c r="Z8418" s="1">
        <v>-5.0034719999999997E-6</v>
      </c>
      <c r="AA8418">
        <v>0.99974209999999997</v>
      </c>
      <c r="AB8418">
        <v>24</v>
      </c>
      <c r="AC8418">
        <v>3.0570219999999999</v>
      </c>
      <c r="AD8418">
        <v>4.2002200000000002E-3</v>
      </c>
      <c r="AE8418">
        <v>-4.2022709999999998E-2</v>
      </c>
      <c r="AF8418">
        <v>6.9431161328280894E-2</v>
      </c>
      <c r="AG8418">
        <v>4.2002200000000002E-3</v>
      </c>
      <c r="AH8418">
        <v>3.0565165543278399</v>
      </c>
      <c r="AI8418">
        <v>89.921285339818596</v>
      </c>
      <c r="AJ8418">
        <v>88.698705402828693</v>
      </c>
      <c r="AK8418">
        <v>3.0573079293541201</v>
      </c>
      <c r="AL8418">
        <v>78.843636227700202</v>
      </c>
      <c r="AM8418">
        <v>92.9789632393164</v>
      </c>
      <c r="AN8418">
        <v>0.999999981448084</v>
      </c>
    </row>
    <row r="8419" spans="1:40" x14ac:dyDescent="0.25">
      <c r="A8419" t="str">
        <f>"20190304155000968"</f>
        <v>20190304155000968</v>
      </c>
      <c r="B8419" t="str">
        <f>"1551685800965661"</f>
        <v>1551685800965661</v>
      </c>
      <c r="C8419" t="s">
        <v>40</v>
      </c>
      <c r="D8419">
        <v>3.9730729999999999</v>
      </c>
      <c r="E8419">
        <v>0.5259414</v>
      </c>
      <c r="F8419" t="s">
        <v>42</v>
      </c>
      <c r="G8419">
        <v>0</v>
      </c>
      <c r="H8419">
        <v>0</v>
      </c>
      <c r="I8419">
        <v>0</v>
      </c>
      <c r="J8419">
        <v>-133.42429999999999</v>
      </c>
      <c r="K8419">
        <v>1.110903</v>
      </c>
      <c r="L8419">
        <v>137.48560000000001</v>
      </c>
      <c r="M8419">
        <v>0.99986920000000001</v>
      </c>
      <c r="N8419">
        <v>-1.3771220000000001E-2</v>
      </c>
      <c r="O8419">
        <v>8.4741290000000004E-3</v>
      </c>
      <c r="P8419">
        <v>0.9818074</v>
      </c>
      <c r="Q8419">
        <v>0.18019979999999999</v>
      </c>
      <c r="R8419">
        <v>5.9852410000000002E-2</v>
      </c>
      <c r="S8419">
        <v>3.0572509999999999</v>
      </c>
      <c r="T8419">
        <v>4.0421490000000001E-3</v>
      </c>
      <c r="U8419">
        <v>-4.144287E-2</v>
      </c>
      <c r="V8419">
        <v>-5.1374139999999999E-2</v>
      </c>
      <c r="W8419">
        <v>0.19375110000000001</v>
      </c>
      <c r="X8419">
        <v>0.97970469999999998</v>
      </c>
      <c r="Y8419">
        <v>2.202724E-2</v>
      </c>
      <c r="Z8419" s="1">
        <v>-9.2218110000000005E-6</v>
      </c>
      <c r="AA8419">
        <v>0.99975729999999996</v>
      </c>
      <c r="AB8419">
        <v>24</v>
      </c>
      <c r="AC8419">
        <v>3.0572509999999999</v>
      </c>
      <c r="AD8419">
        <v>4.0421490000000001E-3</v>
      </c>
      <c r="AE8419">
        <v>-4.144287E-2</v>
      </c>
      <c r="AF8419">
        <v>6.7351261925119907E-2</v>
      </c>
      <c r="AG8419">
        <v>4.0421490000000001E-3</v>
      </c>
      <c r="AH8419">
        <v>3.0567846371866798</v>
      </c>
      <c r="AI8419">
        <v>89.924253169905398</v>
      </c>
      <c r="AJ8419">
        <v>88.737785213282905</v>
      </c>
      <c r="AK8419">
        <v>3.0575292066621298</v>
      </c>
      <c r="AL8419">
        <v>78.828224946601196</v>
      </c>
      <c r="AM8419">
        <v>93.001749224764794</v>
      </c>
      <c r="AN8419">
        <v>1.0000000451070099</v>
      </c>
    </row>
    <row r="8420" spans="1:40" x14ac:dyDescent="0.25">
      <c r="A8420" t="str">
        <f>"20190304155000991"</f>
        <v>20190304155000991</v>
      </c>
      <c r="B8420" t="str">
        <f>"1551685800986156"</f>
        <v>1551685800986156</v>
      </c>
      <c r="C8420" t="s">
        <v>40</v>
      </c>
      <c r="D8420">
        <v>3.9353929999999999</v>
      </c>
      <c r="E8420">
        <v>0.52582850000000003</v>
      </c>
      <c r="F8420" t="s">
        <v>42</v>
      </c>
      <c r="G8420">
        <v>0</v>
      </c>
      <c r="H8420">
        <v>0</v>
      </c>
      <c r="I8420">
        <v>0</v>
      </c>
      <c r="J8420">
        <v>-133.18989999999999</v>
      </c>
      <c r="K8420">
        <v>1.1109059999999999</v>
      </c>
      <c r="L8420">
        <v>137.48699999999999</v>
      </c>
      <c r="M8420">
        <v>0.99987329999999996</v>
      </c>
      <c r="N8420">
        <v>-1.3769089999999999E-2</v>
      </c>
      <c r="O8420">
        <v>7.9914889999999992E-3</v>
      </c>
      <c r="P8420">
        <v>0.98182800000000003</v>
      </c>
      <c r="Q8420">
        <v>0.17999849999999901</v>
      </c>
      <c r="R8420">
        <v>6.0120359999999998E-2</v>
      </c>
      <c r="S8420">
        <v>3.0575260000000002</v>
      </c>
      <c r="T8420">
        <v>2.5018449999999999E-3</v>
      </c>
      <c r="U8420">
        <v>-3.9047239999999997E-2</v>
      </c>
      <c r="V8420">
        <v>-5.2116219999999998E-2</v>
      </c>
      <c r="W8420">
        <v>0.19354859999999999</v>
      </c>
      <c r="X8420">
        <v>0.97970550000000001</v>
      </c>
      <c r="Y8420">
        <v>2.0760270000000001E-2</v>
      </c>
      <c r="Z8420" s="1">
        <v>-1.78696799999999E-5</v>
      </c>
      <c r="AA8420">
        <v>0.99978449999999996</v>
      </c>
      <c r="AB8420">
        <v>24</v>
      </c>
      <c r="AC8420">
        <v>3.0575260000000002</v>
      </c>
      <c r="AD8420">
        <v>2.5018449999999999E-3</v>
      </c>
      <c r="AE8420">
        <v>-3.9047239999999997E-2</v>
      </c>
      <c r="AF8420">
        <v>6.3482451501195594E-2</v>
      </c>
      <c r="AG8420">
        <v>2.5018449999999999E-3</v>
      </c>
      <c r="AH8420">
        <v>3.05711422546407</v>
      </c>
      <c r="AI8420">
        <v>89.953121073880595</v>
      </c>
      <c r="AJ8420">
        <v>88.810396469705296</v>
      </c>
      <c r="AK8420">
        <v>3.05777429978273</v>
      </c>
      <c r="AL8420">
        <v>78.840050850681394</v>
      </c>
      <c r="AM8420">
        <v>93.045024854844598</v>
      </c>
      <c r="AN8420">
        <v>1.0000000138396401</v>
      </c>
    </row>
    <row r="8421" spans="1:40" x14ac:dyDescent="0.25">
      <c r="A8421" t="str">
        <f>"20190304155001013"</f>
        <v>20190304155001013</v>
      </c>
      <c r="B8421" t="str">
        <f>"1551685801006184"</f>
        <v>1551685801006184</v>
      </c>
      <c r="C8421" t="s">
        <v>40</v>
      </c>
      <c r="D8421">
        <v>3.9618549999999999</v>
      </c>
      <c r="E8421">
        <v>0.52568870000000001</v>
      </c>
      <c r="F8421" t="s">
        <v>42</v>
      </c>
      <c r="G8421">
        <v>0</v>
      </c>
      <c r="H8421">
        <v>0</v>
      </c>
      <c r="I8421">
        <v>0</v>
      </c>
      <c r="J8421">
        <v>-132.9529</v>
      </c>
      <c r="K8421">
        <v>1.1109039999999999</v>
      </c>
      <c r="L8421">
        <v>137.48840000000001</v>
      </c>
      <c r="M8421">
        <v>0.99987720000000002</v>
      </c>
      <c r="N8421">
        <v>-1.3766840000000001E-2</v>
      </c>
      <c r="O8421">
        <v>7.4940659999999997E-3</v>
      </c>
      <c r="P8421">
        <v>0.98190469999999996</v>
      </c>
      <c r="Q8421">
        <v>0.179442299999999</v>
      </c>
      <c r="R8421">
        <v>6.052805E-2</v>
      </c>
      <c r="S8421">
        <v>3.0576020000000002</v>
      </c>
      <c r="T8421">
        <v>1.2766120000000001E-3</v>
      </c>
      <c r="U8421">
        <v>-3.7551880000000003E-2</v>
      </c>
      <c r="V8421">
        <v>-5.3010670000000003E-2</v>
      </c>
      <c r="W8421">
        <v>0.19299179999999999</v>
      </c>
      <c r="X8421">
        <v>0.97976730000000001</v>
      </c>
      <c r="Y8421">
        <v>1.9773720000000002E-2</v>
      </c>
      <c r="Z8421" s="1">
        <v>-2.5695609999999999E-5</v>
      </c>
      <c r="AA8421">
        <v>0.99980449999999998</v>
      </c>
      <c r="AB8421">
        <v>24</v>
      </c>
      <c r="AC8421">
        <v>3.0576020000000002</v>
      </c>
      <c r="AD8421">
        <v>1.2766120000000001E-3</v>
      </c>
      <c r="AE8421">
        <v>-3.7551880000000003E-2</v>
      </c>
      <c r="AF8421">
        <v>6.0466856485627399E-2</v>
      </c>
      <c r="AG8421">
        <v>1.2766120000000001E-3</v>
      </c>
      <c r="AH8421">
        <v>3.0572341477038898</v>
      </c>
      <c r="AI8421">
        <v>89.976079629581207</v>
      </c>
      <c r="AJ8421">
        <v>88.866935318727599</v>
      </c>
      <c r="AK8421">
        <v>3.0578323211644798</v>
      </c>
      <c r="AL8421">
        <v>78.872565638270203</v>
      </c>
      <c r="AM8421">
        <v>93.096989539233704</v>
      </c>
      <c r="AN8421">
        <v>0.99999996407518799</v>
      </c>
    </row>
    <row r="8422" spans="1:40" x14ac:dyDescent="0.25">
      <c r="A8422" t="str">
        <f>"20190304155001035"</f>
        <v>20190304155001035</v>
      </c>
      <c r="B8422" t="str">
        <f>"1551685801025704"</f>
        <v>1551685801025704</v>
      </c>
      <c r="C8422" t="s">
        <v>40</v>
      </c>
      <c r="D8422">
        <v>3.9164279999999998</v>
      </c>
      <c r="E8422">
        <v>0.52574460000000001</v>
      </c>
      <c r="F8422" t="s">
        <v>42</v>
      </c>
      <c r="G8422">
        <v>0</v>
      </c>
      <c r="H8422">
        <v>0</v>
      </c>
      <c r="I8422">
        <v>0</v>
      </c>
      <c r="J8422">
        <v>-132.72210000000001</v>
      </c>
      <c r="K8422">
        <v>1.1109020000000001</v>
      </c>
      <c r="L8422">
        <v>137.48949999999999</v>
      </c>
      <c r="M8422">
        <v>0.99988089999999996</v>
      </c>
      <c r="N8422">
        <v>-1.376465E-2</v>
      </c>
      <c r="O8422">
        <v>6.9966389999999998E-3</v>
      </c>
      <c r="P8422">
        <v>0.98178670000000001</v>
      </c>
      <c r="Q8422">
        <v>0.1798391</v>
      </c>
      <c r="R8422">
        <v>6.1261110000000001E-2</v>
      </c>
      <c r="S8422">
        <v>3.057709</v>
      </c>
      <c r="T8422">
        <v>-1.260281E-3</v>
      </c>
      <c r="U8422">
        <v>-3.5507200000000003E-2</v>
      </c>
      <c r="V8422">
        <v>-5.4229430000000002E-2</v>
      </c>
      <c r="W8422">
        <v>0.19338669999999999</v>
      </c>
      <c r="X8422">
        <v>0.97962280000000002</v>
      </c>
      <c r="Y8422">
        <v>1.8607439999999999E-2</v>
      </c>
      <c r="Z8422" s="1">
        <v>-3.8483920000000001E-5</v>
      </c>
      <c r="AA8422">
        <v>0.99982680000000002</v>
      </c>
      <c r="AB8422">
        <v>24</v>
      </c>
      <c r="AC8422">
        <v>3.057709</v>
      </c>
      <c r="AD8422">
        <v>-1.260281E-3</v>
      </c>
      <c r="AE8422">
        <v>-3.5507200000000003E-2</v>
      </c>
      <c r="AF8422">
        <v>5.6902031589980799E-2</v>
      </c>
      <c r="AG8422">
        <v>-1.260281E-3</v>
      </c>
      <c r="AH8422">
        <v>3.0573851690812801</v>
      </c>
      <c r="AI8422">
        <v>90.023613732506405</v>
      </c>
      <c r="AJ8422">
        <v>88.933771924823404</v>
      </c>
      <c r="AK8422">
        <v>3.05791489443794</v>
      </c>
      <c r="AL8422">
        <v>78.849505949470498</v>
      </c>
      <c r="AM8422">
        <v>93.168514881768303</v>
      </c>
      <c r="AN8422">
        <v>1.0000000385474199</v>
      </c>
    </row>
    <row r="8423" spans="1:40" x14ac:dyDescent="0.25">
      <c r="A8423" t="str">
        <f>"20190304155001057"</f>
        <v>20190304155001057</v>
      </c>
      <c r="B8423" t="str">
        <f>"1551685801046199"</f>
        <v>1551685801046199</v>
      </c>
      <c r="C8423" t="s">
        <v>40</v>
      </c>
      <c r="D8423">
        <v>3.9152580000000001</v>
      </c>
      <c r="E8423">
        <v>0.52560909999999905</v>
      </c>
      <c r="F8423" t="s">
        <v>42</v>
      </c>
      <c r="G8423">
        <v>0</v>
      </c>
      <c r="H8423">
        <v>0</v>
      </c>
      <c r="I8423">
        <v>0</v>
      </c>
      <c r="J8423">
        <v>-132.48269999999999</v>
      </c>
      <c r="K8423">
        <v>1.1108880000000001</v>
      </c>
      <c r="L8423">
        <v>137.4906</v>
      </c>
      <c r="M8423">
        <v>0.99988449999999995</v>
      </c>
      <c r="N8423">
        <v>-1.3762389999999999E-2</v>
      </c>
      <c r="O8423">
        <v>6.4671059999999898E-3</v>
      </c>
      <c r="P8423">
        <v>0.98166969999999998</v>
      </c>
      <c r="Q8423">
        <v>0.18023719999999999</v>
      </c>
      <c r="R8423">
        <v>6.1963030000000002E-2</v>
      </c>
      <c r="S8423">
        <v>3.0577700000000001</v>
      </c>
      <c r="T8423">
        <v>1.438856E-4</v>
      </c>
      <c r="U8423">
        <v>-3.4271240000000001E-2</v>
      </c>
      <c r="V8423">
        <v>-5.5447419999999997E-2</v>
      </c>
      <c r="W8423">
        <v>0.19378239999999999</v>
      </c>
      <c r="X8423">
        <v>0.97947640000000002</v>
      </c>
      <c r="Y8423">
        <v>1.7673680000000001E-2</v>
      </c>
      <c r="Z8423" s="1">
        <v>-3.1901609999999899E-5</v>
      </c>
      <c r="AA8423">
        <v>0.99984379999999995</v>
      </c>
      <c r="AB8423">
        <v>24</v>
      </c>
      <c r="AC8423">
        <v>3.0577700000000001</v>
      </c>
      <c r="AD8423">
        <v>1.438856E-4</v>
      </c>
      <c r="AE8423">
        <v>-3.4271240000000001E-2</v>
      </c>
      <c r="AF8423">
        <v>5.4047316389172997E-2</v>
      </c>
      <c r="AG8423">
        <v>1.438856E-4</v>
      </c>
      <c r="AH8423">
        <v>3.05748438049585</v>
      </c>
      <c r="AI8423">
        <v>89.997304074578494</v>
      </c>
      <c r="AJ8423">
        <v>88.987284888640403</v>
      </c>
      <c r="AK8423">
        <v>3.0579620452334</v>
      </c>
      <c r="AL8423">
        <v>78.826396733728799</v>
      </c>
      <c r="AM8423">
        <v>93.240012812986095</v>
      </c>
      <c r="AN8423">
        <v>1.0000000265456801</v>
      </c>
    </row>
    <row r="8424" spans="1:40" x14ac:dyDescent="0.25">
      <c r="A8424" t="str">
        <f>"20190304155001080"</f>
        <v>20190304155001080</v>
      </c>
      <c r="B8424" t="str">
        <f>"1551685801075480"</f>
        <v>1551685801075480</v>
      </c>
      <c r="C8424" t="s">
        <v>40</v>
      </c>
      <c r="D8424">
        <v>3.8842029999999999</v>
      </c>
      <c r="E8424">
        <v>0.52559999999999996</v>
      </c>
      <c r="F8424" t="s">
        <v>42</v>
      </c>
      <c r="G8424">
        <v>0</v>
      </c>
      <c r="H8424">
        <v>0</v>
      </c>
      <c r="I8424">
        <v>0</v>
      </c>
      <c r="J8424">
        <v>-132.2439</v>
      </c>
      <c r="K8424">
        <v>1.1108769999999999</v>
      </c>
      <c r="L8424">
        <v>137.4915</v>
      </c>
      <c r="M8424">
        <v>0.99988790000000005</v>
      </c>
      <c r="N8424">
        <v>-1.3760079999999999E-2</v>
      </c>
      <c r="O8424">
        <v>5.9186949999999999E-3</v>
      </c>
      <c r="P8424">
        <v>0.9816028</v>
      </c>
      <c r="Q8424">
        <v>0.18046809999999999</v>
      </c>
      <c r="R8424">
        <v>6.2349729999999999E-2</v>
      </c>
      <c r="S8424">
        <v>3.0578609999999999</v>
      </c>
      <c r="T8424">
        <v>8.4042549999999996E-4</v>
      </c>
      <c r="U8424">
        <v>-3.1692499999999998E-2</v>
      </c>
      <c r="V8424">
        <v>-5.6367210000000001E-2</v>
      </c>
      <c r="W8424">
        <v>0.19401260000000001</v>
      </c>
      <c r="X8424">
        <v>0.97937830000000003</v>
      </c>
      <c r="Y8424">
        <v>1.6281919999999998E-2</v>
      </c>
      <c r="Z8424" s="1">
        <v>-2.6721350000000001E-5</v>
      </c>
      <c r="AA8424">
        <v>0.99986739999999996</v>
      </c>
      <c r="AB8424">
        <v>24</v>
      </c>
      <c r="AC8424">
        <v>3.0578609999999999</v>
      </c>
      <c r="AD8424">
        <v>8.4042549999999996E-4</v>
      </c>
      <c r="AE8424">
        <v>-3.1692499999999998E-2</v>
      </c>
      <c r="AF8424">
        <v>4.9792199603122103E-2</v>
      </c>
      <c r="AG8424">
        <v>8.4042549999999996E-4</v>
      </c>
      <c r="AH8424">
        <v>3.0576196025840101</v>
      </c>
      <c r="AI8424">
        <v>89.984253616977696</v>
      </c>
      <c r="AJ8424">
        <v>89.067041975028403</v>
      </c>
      <c r="AK8424">
        <v>3.05802511493322</v>
      </c>
      <c r="AL8424">
        <v>78.812951822645701</v>
      </c>
      <c r="AM8424">
        <v>93.293971611585107</v>
      </c>
      <c r="AN8424">
        <v>1.00000000291641</v>
      </c>
    </row>
    <row r="8425" spans="1:40" x14ac:dyDescent="0.25">
      <c r="A8425" t="str">
        <f>"20190304155001103"</f>
        <v>20190304155001103</v>
      </c>
      <c r="B8425" t="str">
        <f>"1551685801095506"</f>
        <v>1551685801095506</v>
      </c>
      <c r="C8425" t="s">
        <v>40</v>
      </c>
      <c r="D8425">
        <v>3.9074900000000001</v>
      </c>
      <c r="E8425">
        <v>0.52561859999999905</v>
      </c>
      <c r="F8425" t="s">
        <v>42</v>
      </c>
      <c r="G8425">
        <v>0</v>
      </c>
      <c r="H8425">
        <v>0</v>
      </c>
      <c r="I8425">
        <v>0</v>
      </c>
      <c r="J8425">
        <v>-132.006</v>
      </c>
      <c r="K8425">
        <v>1.1108640000000001</v>
      </c>
      <c r="L8425">
        <v>137.4922</v>
      </c>
      <c r="M8425">
        <v>0.99989110000000003</v>
      </c>
      <c r="N8425">
        <v>-1.3757790000000001E-2</v>
      </c>
      <c r="O8425">
        <v>5.3455439999999998E-3</v>
      </c>
      <c r="P8425">
        <v>0.98170049999999998</v>
      </c>
      <c r="Q8425">
        <v>0.17997839999999901</v>
      </c>
      <c r="R8425">
        <v>6.222565E-2</v>
      </c>
      <c r="S8425">
        <v>3.0578310000000002</v>
      </c>
      <c r="T8425">
        <v>1.816511E-3</v>
      </c>
      <c r="U8425">
        <v>-3.0395510000000001E-2</v>
      </c>
      <c r="V8425">
        <v>-5.6799170000000003E-2</v>
      </c>
      <c r="W8425">
        <v>0.19352369999999999</v>
      </c>
      <c r="X8425">
        <v>0.97945000000000004</v>
      </c>
      <c r="Y8425">
        <v>1.5284880000000001E-2</v>
      </c>
      <c r="Z8425" s="1">
        <v>-2.3890949999999999E-5</v>
      </c>
      <c r="AA8425">
        <v>0.99988319999999997</v>
      </c>
      <c r="AB8425">
        <v>23</v>
      </c>
      <c r="AC8425">
        <v>3.0578310000000002</v>
      </c>
      <c r="AD8425">
        <v>1.816511E-3</v>
      </c>
      <c r="AE8425">
        <v>-3.0395510000000001E-2</v>
      </c>
      <c r="AF8425">
        <v>4.6742375940733202E-2</v>
      </c>
      <c r="AG8425">
        <v>1.816511E-3</v>
      </c>
      <c r="AH8425">
        <v>3.0576237280704799</v>
      </c>
      <c r="AI8425">
        <v>89.965964993907406</v>
      </c>
      <c r="AJ8425">
        <v>89.124178607780394</v>
      </c>
      <c r="AK8425">
        <v>3.0579815257585201</v>
      </c>
      <c r="AL8425">
        <v>78.841504121919399</v>
      </c>
      <c r="AM8425">
        <v>93.318915715108005</v>
      </c>
      <c r="AN8425">
        <v>0.99999993533718701</v>
      </c>
    </row>
    <row r="8426" spans="1:40" x14ac:dyDescent="0.25">
      <c r="A8426" t="str">
        <f>"20190304155001124"</f>
        <v>20190304155001124</v>
      </c>
      <c r="B8426" t="str">
        <f>"1551685801116002"</f>
        <v>1551685801116002</v>
      </c>
      <c r="C8426" t="s">
        <v>40</v>
      </c>
      <c r="D8426">
        <v>3.8975580000000001</v>
      </c>
      <c r="E8426">
        <v>0.52550609999999998</v>
      </c>
      <c r="F8426" t="s">
        <v>42</v>
      </c>
      <c r="G8426">
        <v>0</v>
      </c>
      <c r="H8426">
        <v>0</v>
      </c>
      <c r="I8426">
        <v>0</v>
      </c>
      <c r="J8426">
        <v>-131.77860000000001</v>
      </c>
      <c r="K8426">
        <v>1.1108420000000001</v>
      </c>
      <c r="L8426">
        <v>137.49279999999999</v>
      </c>
      <c r="M8426">
        <v>0.99989410000000001</v>
      </c>
      <c r="N8426">
        <v>-1.3755689999999999E-2</v>
      </c>
      <c r="O8426">
        <v>4.7681690000000001E-3</v>
      </c>
      <c r="P8426">
        <v>0.98191220000000001</v>
      </c>
      <c r="Q8426">
        <v>0.178869</v>
      </c>
      <c r="R8426">
        <v>6.2084540000000001E-2</v>
      </c>
      <c r="S8426">
        <v>3.0577999999999999</v>
      </c>
      <c r="T8426">
        <v>4.4512749999999998E-4</v>
      </c>
      <c r="U8426">
        <v>-3.0868530000000002E-2</v>
      </c>
      <c r="V8426">
        <v>-5.7216759999999998E-2</v>
      </c>
      <c r="W8426">
        <v>0.19241820000000001</v>
      </c>
      <c r="X8426">
        <v>0.9796435</v>
      </c>
      <c r="Y8426">
        <v>1.486232E-2</v>
      </c>
      <c r="Z8426" s="1">
        <v>-3.486162E-5</v>
      </c>
      <c r="AA8426">
        <v>0.99988960000000005</v>
      </c>
      <c r="AB8426">
        <v>23</v>
      </c>
      <c r="AC8426">
        <v>3.0577999999999999</v>
      </c>
      <c r="AD8426">
        <v>4.4512749999999998E-4</v>
      </c>
      <c r="AE8426">
        <v>-3.0868530000000002E-2</v>
      </c>
      <c r="AF8426">
        <v>4.5449663636586E-2</v>
      </c>
      <c r="AG8426">
        <v>4.4512749999999998E-4</v>
      </c>
      <c r="AH8426">
        <v>3.0576179679519599</v>
      </c>
      <c r="AI8426">
        <v>89.991659811625496</v>
      </c>
      <c r="AJ8426">
        <v>89.148395198831196</v>
      </c>
      <c r="AK8426">
        <v>3.0579557727354199</v>
      </c>
      <c r="AL8426">
        <v>78.906058149286594</v>
      </c>
      <c r="AM8426">
        <v>93.342602515246796</v>
      </c>
      <c r="AN8426">
        <v>0.99999995420419197</v>
      </c>
    </row>
    <row r="8427" spans="1:40" x14ac:dyDescent="0.25">
      <c r="A8427" t="str">
        <f>"20190304155001147"</f>
        <v>20190304155001147</v>
      </c>
      <c r="B8427" t="str">
        <f>"1551685801135523"</f>
        <v>1551685801135523</v>
      </c>
      <c r="C8427" t="s">
        <v>40</v>
      </c>
      <c r="D8427">
        <v>3.8958010000000001</v>
      </c>
      <c r="E8427">
        <v>0.52550330000000001</v>
      </c>
      <c r="F8427" t="s">
        <v>42</v>
      </c>
      <c r="G8427">
        <v>0</v>
      </c>
      <c r="H8427">
        <v>0</v>
      </c>
      <c r="I8427">
        <v>0</v>
      </c>
      <c r="J8427">
        <v>-131.54830000000001</v>
      </c>
      <c r="K8427">
        <v>1.1108129999999901</v>
      </c>
      <c r="L8427">
        <v>137.4932</v>
      </c>
      <c r="M8427">
        <v>0.99989680000000003</v>
      </c>
      <c r="N8427">
        <v>-1.375359E-2</v>
      </c>
      <c r="O8427">
        <v>4.1533710000000003E-3</v>
      </c>
      <c r="P8427">
        <v>0.98212999999999995</v>
      </c>
      <c r="Q8427">
        <v>0.17787459999999999</v>
      </c>
      <c r="R8427">
        <v>6.1494689999999998E-2</v>
      </c>
      <c r="S8427">
        <v>3.0578460000000001</v>
      </c>
      <c r="T8427">
        <v>-3.4390689999999999E-3</v>
      </c>
      <c r="U8427">
        <v>-3.092957E-2</v>
      </c>
      <c r="V8427">
        <v>-5.7220600000000003E-2</v>
      </c>
      <c r="W8427">
        <v>0.19142700000000001</v>
      </c>
      <c r="X8427">
        <v>0.97983750000000003</v>
      </c>
      <c r="Y8427">
        <v>1.426732E-2</v>
      </c>
      <c r="Z8427" s="1">
        <v>-5.3689829999999998E-5</v>
      </c>
      <c r="AA8427">
        <v>0.99989819999999996</v>
      </c>
      <c r="AB8427">
        <v>23</v>
      </c>
      <c r="AC8427">
        <v>3.0578460000000001</v>
      </c>
      <c r="AD8427">
        <v>-3.4390689999999999E-3</v>
      </c>
      <c r="AE8427">
        <v>-3.092957E-2</v>
      </c>
      <c r="AF8427">
        <v>4.3630818126903302E-2</v>
      </c>
      <c r="AG8427">
        <v>-3.4390689999999999E-3</v>
      </c>
      <c r="AH8427">
        <v>3.0576872788726499</v>
      </c>
      <c r="AI8427">
        <v>90.064435627661794</v>
      </c>
      <c r="AJ8427">
        <v>89.182489292748102</v>
      </c>
      <c r="AK8427">
        <v>3.0580004857530101</v>
      </c>
      <c r="AL8427">
        <v>78.963926103650294</v>
      </c>
      <c r="AM8427">
        <v>93.342165986846297</v>
      </c>
      <c r="AN8427">
        <v>1.0000000098998001</v>
      </c>
    </row>
    <row r="8428" spans="1:40" x14ac:dyDescent="0.25">
      <c r="A8428" t="str">
        <f>"20190304155001169"</f>
        <v>20190304155001169</v>
      </c>
      <c r="B8428" t="str">
        <f>"1551685801165778"</f>
        <v>1551685801165778</v>
      </c>
      <c r="C8428" t="s">
        <v>40</v>
      </c>
      <c r="D8428">
        <v>3.9077229999999998</v>
      </c>
      <c r="E8428">
        <v>0.52552369999999904</v>
      </c>
      <c r="F8428" t="s">
        <v>42</v>
      </c>
      <c r="G8428">
        <v>0</v>
      </c>
      <c r="H8428">
        <v>0</v>
      </c>
      <c r="I8428">
        <v>0</v>
      </c>
      <c r="J8428">
        <v>-131.31299999999999</v>
      </c>
      <c r="K8428">
        <v>1.1107880000000001</v>
      </c>
      <c r="L8428">
        <v>137.49340000000001</v>
      </c>
      <c r="M8428">
        <v>0.99989939999999999</v>
      </c>
      <c r="N8428">
        <v>-1.375144E-2</v>
      </c>
      <c r="O8428">
        <v>3.494998E-3</v>
      </c>
      <c r="P8428">
        <v>0.98233769999999998</v>
      </c>
      <c r="Q8428">
        <v>0.17716960000000001</v>
      </c>
      <c r="R8428">
        <v>6.0196909999999999E-2</v>
      </c>
      <c r="S8428">
        <v>3.0578919999999998</v>
      </c>
      <c r="T8428">
        <v>-6.8678860000000001E-3</v>
      </c>
      <c r="U8428">
        <v>-3.2836909999999997E-2</v>
      </c>
      <c r="V8428">
        <v>-5.6559850000000002E-2</v>
      </c>
      <c r="W8428">
        <v>0.1907249</v>
      </c>
      <c r="X8428">
        <v>0.98001280000000002</v>
      </c>
      <c r="Y8428">
        <v>1.4232369999999999E-2</v>
      </c>
      <c r="Z8428" s="1">
        <v>-7.3635349999999898E-5</v>
      </c>
      <c r="AA8428">
        <v>0.99989870000000003</v>
      </c>
      <c r="AB8428">
        <v>23</v>
      </c>
      <c r="AC8428">
        <v>3.0578919999999998</v>
      </c>
      <c r="AD8428">
        <v>-6.8678860000000001E-3</v>
      </c>
      <c r="AE8428">
        <v>-3.2836909999999997E-2</v>
      </c>
      <c r="AF8428">
        <v>4.3524826267833598E-2</v>
      </c>
      <c r="AG8428">
        <v>-6.8678860000000001E-3</v>
      </c>
      <c r="AH8428">
        <v>3.0577431221111699</v>
      </c>
      <c r="AI8428">
        <v>90.128676722071106</v>
      </c>
      <c r="AJ8428">
        <v>89.184489885664306</v>
      </c>
      <c r="AK8428">
        <v>3.0580605911554302</v>
      </c>
      <c r="AL8428">
        <v>79.004908965742402</v>
      </c>
      <c r="AM8428">
        <v>93.303068956123198</v>
      </c>
      <c r="AN8428">
        <v>1.0000000461379299</v>
      </c>
    </row>
    <row r="8429" spans="1:40" x14ac:dyDescent="0.25">
      <c r="A8429" t="str">
        <f>"20190304155001192"</f>
        <v>20190304155001192</v>
      </c>
      <c r="B8429" t="str">
        <f>"1551685801185302"</f>
        <v>1551685801185302</v>
      </c>
      <c r="C8429" t="s">
        <v>40</v>
      </c>
      <c r="D8429">
        <v>3.9131149999999999</v>
      </c>
      <c r="E8429">
        <v>0.52543709999999999</v>
      </c>
      <c r="F8429" t="s">
        <v>42</v>
      </c>
      <c r="G8429">
        <v>0</v>
      </c>
      <c r="H8429">
        <v>0</v>
      </c>
      <c r="I8429">
        <v>0</v>
      </c>
      <c r="J8429">
        <v>-131.0761</v>
      </c>
      <c r="K8429">
        <v>1.1107959999999999</v>
      </c>
      <c r="L8429">
        <v>137.49340000000001</v>
      </c>
      <c r="M8429">
        <v>0.99990000000000001</v>
      </c>
      <c r="N8429">
        <v>-1.386153E-2</v>
      </c>
      <c r="O8429">
        <v>2.8106680000000001E-3</v>
      </c>
      <c r="P8429">
        <v>0.98260619999999999</v>
      </c>
      <c r="Q8429">
        <v>0.1760427</v>
      </c>
      <c r="R8429">
        <v>5.9112339999999999E-2</v>
      </c>
      <c r="S8429">
        <v>3.0578310000000002</v>
      </c>
      <c r="T8429">
        <v>-9.0817209999999992E-3</v>
      </c>
      <c r="U8429">
        <v>-3.6849979999999997E-2</v>
      </c>
      <c r="V8429">
        <v>-5.6140710000000003E-2</v>
      </c>
      <c r="W8429">
        <v>0.1897105</v>
      </c>
      <c r="X8429">
        <v>0.98023369999999999</v>
      </c>
      <c r="Y8429">
        <v>1.486029E-2</v>
      </c>
      <c r="Z8429" s="1">
        <v>-9.445632E-5</v>
      </c>
      <c r="AA8429">
        <v>0.99988960000000005</v>
      </c>
      <c r="AB8429">
        <v>23</v>
      </c>
      <c r="AC8429">
        <v>3.0578310000000002</v>
      </c>
      <c r="AD8429">
        <v>-9.0817209999999992E-3</v>
      </c>
      <c r="AE8429">
        <v>-3.6849979999999997E-2</v>
      </c>
      <c r="AF8429">
        <v>4.5444806938399897E-2</v>
      </c>
      <c r="AG8429">
        <v>-9.0817209999999992E-3</v>
      </c>
      <c r="AH8429">
        <v>3.0576883690099699</v>
      </c>
      <c r="AI8429">
        <v>90.170156415873507</v>
      </c>
      <c r="AJ8429">
        <v>89.148505789531399</v>
      </c>
      <c r="AK8429">
        <v>3.0580395468523398</v>
      </c>
      <c r="AL8429">
        <v>79.064109980351503</v>
      </c>
      <c r="AM8429">
        <v>93.277907727106395</v>
      </c>
      <c r="AN8429">
        <v>0.99999997987262101</v>
      </c>
    </row>
    <row r="8430" spans="1:40" x14ac:dyDescent="0.25">
      <c r="A8430" t="str">
        <f>"20190304155001214"</f>
        <v>20190304155001214</v>
      </c>
      <c r="B8430" t="str">
        <f>"1551685801205327"</f>
        <v>1551685801205327</v>
      </c>
      <c r="C8430" t="s">
        <v>40</v>
      </c>
      <c r="D8430">
        <v>3.8921139999999999</v>
      </c>
      <c r="E8430">
        <v>0.52541439999999995</v>
      </c>
      <c r="F8430" t="s">
        <v>42</v>
      </c>
      <c r="G8430">
        <v>0</v>
      </c>
      <c r="H8430">
        <v>0</v>
      </c>
      <c r="I8430">
        <v>0</v>
      </c>
      <c r="J8430">
        <v>-130.84899999999999</v>
      </c>
      <c r="K8430">
        <v>1.110878</v>
      </c>
      <c r="L8430">
        <v>137.4933</v>
      </c>
      <c r="M8430">
        <v>0.99989680000000003</v>
      </c>
      <c r="N8430">
        <v>-1.42144E-2</v>
      </c>
      <c r="O8430">
        <v>2.1373260000000002E-3</v>
      </c>
      <c r="P8430">
        <v>0.98303339999999995</v>
      </c>
      <c r="Q8430">
        <v>0.1738295</v>
      </c>
      <c r="R8430">
        <v>5.8555000000000003E-2</v>
      </c>
      <c r="S8430">
        <v>3.0578460000000001</v>
      </c>
      <c r="T8430">
        <v>-1.3292190000000001E-2</v>
      </c>
      <c r="U8430">
        <v>-3.9184570000000002E-2</v>
      </c>
      <c r="V8430">
        <v>-5.6243910000000001E-2</v>
      </c>
      <c r="W8430">
        <v>0.18784999999999999</v>
      </c>
      <c r="X8430">
        <v>0.98058610000000002</v>
      </c>
      <c r="Y8430">
        <v>1.495002E-2</v>
      </c>
      <c r="Z8430">
        <v>-1.176653E-4</v>
      </c>
      <c r="AA8430">
        <v>0.9998882</v>
      </c>
      <c r="AB8430">
        <v>23</v>
      </c>
      <c r="AC8430">
        <v>3.0578460000000001</v>
      </c>
      <c r="AD8430">
        <v>-1.3292190000000001E-2</v>
      </c>
      <c r="AE8430">
        <v>-3.9184570000000002E-2</v>
      </c>
      <c r="AF8430">
        <v>4.5719890088141701E-2</v>
      </c>
      <c r="AG8430">
        <v>-1.3292190000000001E-2</v>
      </c>
      <c r="AH8430">
        <v>3.0576974878617502</v>
      </c>
      <c r="AI8430">
        <v>90.249042448975302</v>
      </c>
      <c r="AJ8430">
        <v>89.143354907792499</v>
      </c>
      <c r="AK8430">
        <v>3.05806816764126</v>
      </c>
      <c r="AL8430">
        <v>79.1726613734875</v>
      </c>
      <c r="AM8430">
        <v>93.282742543460003</v>
      </c>
      <c r="AN8430">
        <v>1.00000004971264</v>
      </c>
    </row>
    <row r="8431" spans="1:40" x14ac:dyDescent="0.25">
      <c r="A8431" t="str">
        <f>"20190304155001236"</f>
        <v>20190304155001236</v>
      </c>
      <c r="B8431" t="str">
        <f>"1551685801225823"</f>
        <v>1551685801225823</v>
      </c>
      <c r="C8431" t="s">
        <v>40</v>
      </c>
      <c r="D8431">
        <v>3.9139940000000002</v>
      </c>
      <c r="E8431">
        <v>0.52539590000000003</v>
      </c>
      <c r="F8431" t="s">
        <v>42</v>
      </c>
      <c r="G8431">
        <v>0</v>
      </c>
      <c r="H8431">
        <v>0</v>
      </c>
      <c r="I8431">
        <v>0</v>
      </c>
      <c r="J8431">
        <v>-130.6217</v>
      </c>
      <c r="K8431">
        <v>1.1110100000000001</v>
      </c>
      <c r="L8431">
        <v>137.49299999999999</v>
      </c>
      <c r="M8431">
        <v>0.99988960000000005</v>
      </c>
      <c r="N8431">
        <v>-1.478725E-2</v>
      </c>
      <c r="O8431">
        <v>1.4506289999999999E-3</v>
      </c>
      <c r="P8431">
        <v>0.98337770000000002</v>
      </c>
      <c r="Q8431">
        <v>0.17215420000000001</v>
      </c>
      <c r="R8431">
        <v>5.7717520000000001E-2</v>
      </c>
      <c r="S8431">
        <v>3.0577999999999999</v>
      </c>
      <c r="T8431">
        <v>-2.0149710000000001E-2</v>
      </c>
      <c r="U8431">
        <v>-4.0863040000000003E-2</v>
      </c>
      <c r="V8431">
        <v>-5.6082979999999998E-2</v>
      </c>
      <c r="W8431">
        <v>0.18674089999999999</v>
      </c>
      <c r="X8431">
        <v>0.98080710000000004</v>
      </c>
      <c r="Y8431">
        <v>1.4811899999999999E-2</v>
      </c>
      <c r="Z8431">
        <v>-1.4643530000000001E-4</v>
      </c>
      <c r="AA8431">
        <v>0.99989030000000001</v>
      </c>
      <c r="AB8431">
        <v>23</v>
      </c>
      <c r="AC8431">
        <v>3.0577999999999999</v>
      </c>
      <c r="AD8431">
        <v>-2.0149710000000001E-2</v>
      </c>
      <c r="AE8431">
        <v>-4.0863040000000003E-2</v>
      </c>
      <c r="AF8431">
        <v>4.5297248853080299E-2</v>
      </c>
      <c r="AG8431">
        <v>-2.0149710000000001E-2</v>
      </c>
      <c r="AH8431">
        <v>3.0576047518500902</v>
      </c>
      <c r="AI8431">
        <v>90.377534069712596</v>
      </c>
      <c r="AJ8431">
        <v>89.151246956553507</v>
      </c>
      <c r="AK8431">
        <v>3.0580066497807001</v>
      </c>
      <c r="AL8431">
        <v>79.237352560634804</v>
      </c>
      <c r="AM8431">
        <v>93.272634159989195</v>
      </c>
      <c r="AN8431">
        <v>1.00000001589445</v>
      </c>
    </row>
    <row r="8432" spans="1:40" x14ac:dyDescent="0.25">
      <c r="A8432" t="str">
        <f>"20190304155001259"</f>
        <v>20190304155001259</v>
      </c>
      <c r="B8432" t="str">
        <f>"1551685801256080"</f>
        <v>1551685801256080</v>
      </c>
      <c r="C8432" t="s">
        <v>40</v>
      </c>
      <c r="D8432">
        <v>3.968858</v>
      </c>
      <c r="E8432">
        <v>0.52519459999999996</v>
      </c>
      <c r="F8432" t="s">
        <v>42</v>
      </c>
      <c r="G8432">
        <v>0</v>
      </c>
      <c r="H8432">
        <v>0</v>
      </c>
      <c r="I8432">
        <v>0</v>
      </c>
      <c r="J8432">
        <v>-130.39060000000001</v>
      </c>
      <c r="K8432">
        <v>1.11114</v>
      </c>
      <c r="L8432">
        <v>137.49250000000001</v>
      </c>
      <c r="M8432">
        <v>0.99988030000000006</v>
      </c>
      <c r="N8432">
        <v>-1.546314E-2</v>
      </c>
      <c r="O8432">
        <v>7.4379149999999903E-4</v>
      </c>
      <c r="P8432">
        <v>0.98347309999999999</v>
      </c>
      <c r="Q8432">
        <v>0.1716529</v>
      </c>
      <c r="R8432">
        <v>5.7587039999999999E-2</v>
      </c>
      <c r="S8432">
        <v>3.0576319999999999</v>
      </c>
      <c r="T8432">
        <v>-2.514899E-2</v>
      </c>
      <c r="U8432">
        <v>-4.3136599999999997E-2</v>
      </c>
      <c r="V8432">
        <v>-5.6648959999999998E-2</v>
      </c>
      <c r="W8432">
        <v>0.1869034</v>
      </c>
      <c r="X8432">
        <v>0.98074360000000005</v>
      </c>
      <c r="Y8432">
        <v>1.4848780000000001E-2</v>
      </c>
      <c r="Z8432">
        <v>-1.704996E-4</v>
      </c>
      <c r="AA8432">
        <v>0.99988969999999999</v>
      </c>
      <c r="AB8432">
        <v>23</v>
      </c>
      <c r="AC8432">
        <v>3.0576319999999999</v>
      </c>
      <c r="AD8432">
        <v>-2.514899E-2</v>
      </c>
      <c r="AE8432">
        <v>-4.3136599999999997E-2</v>
      </c>
      <c r="AF8432">
        <v>4.5408029124463699E-2</v>
      </c>
      <c r="AG8432">
        <v>-2.514899E-2</v>
      </c>
      <c r="AH8432">
        <v>3.05739227275506</v>
      </c>
      <c r="AI8432">
        <v>90.471231519678199</v>
      </c>
      <c r="AJ8432">
        <v>89.149112404958203</v>
      </c>
      <c r="AK8432">
        <v>3.0578328715463501</v>
      </c>
      <c r="AL8432">
        <v>79.227874931681498</v>
      </c>
      <c r="AM8432">
        <v>93.305801711081401</v>
      </c>
      <c r="AN8432">
        <v>0.99999999727080002</v>
      </c>
    </row>
    <row r="8433" spans="1:40" x14ac:dyDescent="0.25">
      <c r="A8433" t="str">
        <f>"20190304155001282"</f>
        <v>20190304155001282</v>
      </c>
      <c r="B8433" t="str">
        <f>"1551685801275599"</f>
        <v>1551685801275599</v>
      </c>
      <c r="C8433" t="s">
        <v>40</v>
      </c>
      <c r="D8433">
        <v>3.9419840000000002</v>
      </c>
      <c r="E8433">
        <v>0.52497859999999996</v>
      </c>
      <c r="F8433" t="s">
        <v>42</v>
      </c>
      <c r="G8433">
        <v>0</v>
      </c>
      <c r="H8433">
        <v>0</v>
      </c>
      <c r="I8433">
        <v>0</v>
      </c>
      <c r="J8433">
        <v>-130.15610000000001</v>
      </c>
      <c r="K8433">
        <v>1.1112610000000001</v>
      </c>
      <c r="L8433">
        <v>137.49189999999999</v>
      </c>
      <c r="M8433">
        <v>0.99986920000000001</v>
      </c>
      <c r="N8433">
        <v>-1.6179840000000001E-2</v>
      </c>
      <c r="O8433" s="1">
        <v>3.3048269999999998E-5</v>
      </c>
      <c r="P8433">
        <v>0.98354580000000003</v>
      </c>
      <c r="Q8433">
        <v>0.17134260000000001</v>
      </c>
      <c r="R8433">
        <v>5.7269670000000002E-2</v>
      </c>
      <c r="S8433">
        <v>3.0576319999999999</v>
      </c>
      <c r="T8433">
        <v>-2.7364610000000001E-2</v>
      </c>
      <c r="U8433">
        <v>-4.219055E-2</v>
      </c>
      <c r="V8433">
        <v>-5.7029950000000003E-2</v>
      </c>
      <c r="W8433">
        <v>0.18729689999999999</v>
      </c>
      <c r="X8433">
        <v>0.98064640000000003</v>
      </c>
      <c r="Y8433">
        <v>1.382862E-2</v>
      </c>
      <c r="Z8433">
        <v>-1.73528499999999E-4</v>
      </c>
      <c r="AA8433">
        <v>0.99990440000000003</v>
      </c>
      <c r="AB8433">
        <v>23</v>
      </c>
      <c r="AC8433">
        <v>3.0576319999999999</v>
      </c>
      <c r="AD8433">
        <v>-2.7364610000000001E-2</v>
      </c>
      <c r="AE8433">
        <v>-4.219055E-2</v>
      </c>
      <c r="AF8433">
        <v>4.2288226192102603E-2</v>
      </c>
      <c r="AG8433">
        <v>-2.7364610000000001E-2</v>
      </c>
      <c r="AH8433">
        <v>3.0573857676087002</v>
      </c>
      <c r="AI8433">
        <v>90.512753369548193</v>
      </c>
      <c r="AJ8433">
        <v>89.207564051504903</v>
      </c>
      <c r="AK8433">
        <v>3.05780065536181</v>
      </c>
      <c r="AL8433">
        <v>79.204923258755301</v>
      </c>
      <c r="AM8433">
        <v>93.328314046329893</v>
      </c>
      <c r="AN8433">
        <v>0.99999995288978505</v>
      </c>
    </row>
    <row r="8434" spans="1:40" x14ac:dyDescent="0.25">
      <c r="A8434" t="str">
        <f>"20190304155001305"</f>
        <v>20190304155001305</v>
      </c>
      <c r="B8434" t="str">
        <f>"1551685801295626"</f>
        <v>1551685801295626</v>
      </c>
      <c r="C8434" t="s">
        <v>40</v>
      </c>
      <c r="D8434">
        <v>3.9552209999999999</v>
      </c>
      <c r="E8434">
        <v>0.52479399999999998</v>
      </c>
      <c r="F8434" t="s">
        <v>42</v>
      </c>
      <c r="G8434">
        <v>0</v>
      </c>
      <c r="H8434">
        <v>0</v>
      </c>
      <c r="I8434">
        <v>0</v>
      </c>
      <c r="J8434">
        <v>-129.9288</v>
      </c>
      <c r="K8434">
        <v>1.111383</v>
      </c>
      <c r="L8434">
        <v>137.49100000000001</v>
      </c>
      <c r="M8434">
        <v>0.99985690000000005</v>
      </c>
      <c r="N8434">
        <v>-1.690962E-2</v>
      </c>
      <c r="O8434">
        <v>-6.4352639999999998E-4</v>
      </c>
      <c r="P8434">
        <v>0.98361160000000003</v>
      </c>
      <c r="Q8434">
        <v>0.1710604</v>
      </c>
      <c r="R8434">
        <v>5.6980019999999999E-2</v>
      </c>
      <c r="S8434">
        <v>3.0577239999999999</v>
      </c>
      <c r="T8434">
        <v>-2.9271720000000001E-2</v>
      </c>
      <c r="U8434">
        <v>-4.162598E-2</v>
      </c>
      <c r="V8434">
        <v>-5.7405730000000002E-2</v>
      </c>
      <c r="W8434">
        <v>0.1877316</v>
      </c>
      <c r="X8434">
        <v>0.98054140000000001</v>
      </c>
      <c r="Y8434">
        <v>1.296694E-2</v>
      </c>
      <c r="Z8434">
        <v>-1.7643730000000001E-4</v>
      </c>
      <c r="AA8434">
        <v>0.99991589999999997</v>
      </c>
      <c r="AB8434">
        <v>23</v>
      </c>
      <c r="AC8434">
        <v>3.0577239999999999</v>
      </c>
      <c r="AD8434">
        <v>-2.9271720000000001E-2</v>
      </c>
      <c r="AE8434">
        <v>-4.162598E-2</v>
      </c>
      <c r="AF8434">
        <v>3.9654330672443401E-2</v>
      </c>
      <c r="AG8434">
        <v>-2.9271720000000001E-2</v>
      </c>
      <c r="AH8434">
        <v>3.0574700137137301</v>
      </c>
      <c r="AI8434">
        <v>90.548477578397396</v>
      </c>
      <c r="AJ8434">
        <v>89.2569351798535</v>
      </c>
      <c r="AK8434">
        <v>3.0578672607377002</v>
      </c>
      <c r="AL8434">
        <v>79.179567572771305</v>
      </c>
      <c r="AM8434">
        <v>93.350553015212896</v>
      </c>
      <c r="AN8434">
        <v>1.00000000429467</v>
      </c>
    </row>
    <row r="8435" spans="1:40" x14ac:dyDescent="0.25">
      <c r="A8435" t="str">
        <f>"20190304155001328"</f>
        <v>20190304155001328</v>
      </c>
      <c r="B8435" t="str">
        <f>"1551685801325884"</f>
        <v>1551685801325884</v>
      </c>
      <c r="C8435" t="s">
        <v>40</v>
      </c>
      <c r="D8435">
        <v>4.0079050000000001</v>
      </c>
      <c r="E8435">
        <v>0.52471769999999995</v>
      </c>
      <c r="F8435" t="s">
        <v>42</v>
      </c>
      <c r="G8435">
        <v>0</v>
      </c>
      <c r="H8435">
        <v>0</v>
      </c>
      <c r="I8435">
        <v>0</v>
      </c>
      <c r="J8435">
        <v>-129.69220000000001</v>
      </c>
      <c r="K8435">
        <v>1.11151</v>
      </c>
      <c r="L8435">
        <v>137.49</v>
      </c>
      <c r="M8435">
        <v>0.99984260000000003</v>
      </c>
      <c r="N8435">
        <v>-1.7699940000000001E-2</v>
      </c>
      <c r="O8435">
        <v>-1.343311E-3</v>
      </c>
      <c r="P8435">
        <v>0.98357059999999996</v>
      </c>
      <c r="Q8435">
        <v>0.17134099999999999</v>
      </c>
      <c r="R8435">
        <v>5.6848490000000002E-2</v>
      </c>
      <c r="S8435">
        <v>3.057709</v>
      </c>
      <c r="T8435">
        <v>-3.081799E-2</v>
      </c>
      <c r="U8435">
        <v>-4.1152950000000001E-2</v>
      </c>
      <c r="V8435">
        <v>-5.7964679999999998E-2</v>
      </c>
      <c r="W8435">
        <v>0.18878519999999999</v>
      </c>
      <c r="X8435">
        <v>0.98030620000000002</v>
      </c>
      <c r="Y8435">
        <v>1.211247E-2</v>
      </c>
      <c r="Z8435">
        <v>-1.7849080000000001E-4</v>
      </c>
      <c r="AA8435">
        <v>0.9999266</v>
      </c>
      <c r="AB8435">
        <v>22</v>
      </c>
      <c r="AC8435">
        <v>3.057709</v>
      </c>
      <c r="AD8435">
        <v>-3.081799E-2</v>
      </c>
      <c r="AE8435">
        <v>-4.1152950000000001E-2</v>
      </c>
      <c r="AF8435">
        <v>3.7041053797488399E-2</v>
      </c>
      <c r="AG8435">
        <v>-3.081799E-2</v>
      </c>
      <c r="AH8435">
        <v>3.0574510047804702</v>
      </c>
      <c r="AI8435">
        <v>90.577458610855601</v>
      </c>
      <c r="AJ8435">
        <v>89.305894935073695</v>
      </c>
      <c r="AK8435">
        <v>3.0578306746461901</v>
      </c>
      <c r="AL8435">
        <v>79.118101659558107</v>
      </c>
      <c r="AM8435">
        <v>93.383911183942402</v>
      </c>
      <c r="AN8435">
        <v>1.0000000008124901</v>
      </c>
    </row>
    <row r="8436" spans="1:40" x14ac:dyDescent="0.25">
      <c r="A8436" t="str">
        <f>"20190304155001348"</f>
        <v>20190304155001348</v>
      </c>
      <c r="B8436" t="str">
        <f>"1551685801345402"</f>
        <v>1551685801345402</v>
      </c>
      <c r="C8436" t="s">
        <v>40</v>
      </c>
      <c r="D8436">
        <v>4.0020879999999996</v>
      </c>
      <c r="E8436">
        <v>0.52464809999999995</v>
      </c>
      <c r="F8436" t="s">
        <v>42</v>
      </c>
      <c r="G8436">
        <v>0</v>
      </c>
      <c r="H8436">
        <v>0</v>
      </c>
      <c r="I8436">
        <v>0</v>
      </c>
      <c r="J8436">
        <v>-129.5001</v>
      </c>
      <c r="K8436">
        <v>1.1116200000000001</v>
      </c>
      <c r="L8436">
        <v>137.48910000000001</v>
      </c>
      <c r="M8436">
        <v>0.99982939999999998</v>
      </c>
      <c r="N8436">
        <v>-1.8376989999999999E-2</v>
      </c>
      <c r="O8436">
        <v>-1.9142779999999999E-3</v>
      </c>
      <c r="P8436">
        <v>0.98350269999999995</v>
      </c>
      <c r="Q8436">
        <v>0.17189479999999999</v>
      </c>
      <c r="R8436">
        <v>5.6346779999999999E-2</v>
      </c>
      <c r="S8436">
        <v>3.057709</v>
      </c>
      <c r="T8436">
        <v>-3.0003789999999999E-2</v>
      </c>
      <c r="U8436">
        <v>-4.0969850000000002E-2</v>
      </c>
      <c r="V8436">
        <v>-5.8027969999999998E-2</v>
      </c>
      <c r="W8436">
        <v>0.1899998</v>
      </c>
      <c r="X8436">
        <v>0.98006780000000004</v>
      </c>
      <c r="Y8436">
        <v>1.1481699999999999E-2</v>
      </c>
      <c r="Z8436">
        <v>-1.7824709999999901E-4</v>
      </c>
      <c r="AA8436">
        <v>0.99993410000000005</v>
      </c>
      <c r="AB8436">
        <v>22</v>
      </c>
      <c r="AC8436">
        <v>3.057709</v>
      </c>
      <c r="AD8436">
        <v>-3.0003789999999999E-2</v>
      </c>
      <c r="AE8436">
        <v>-4.0969850000000002E-2</v>
      </c>
      <c r="AF8436">
        <v>3.5112101653166E-2</v>
      </c>
      <c r="AG8436">
        <v>-3.0003789999999999E-2</v>
      </c>
      <c r="AH8436">
        <v>3.0574874983774998</v>
      </c>
      <c r="AI8436">
        <v>90.562200833864395</v>
      </c>
      <c r="AJ8436">
        <v>89.342045779778104</v>
      </c>
      <c r="AK8436">
        <v>3.0578363085409799</v>
      </c>
      <c r="AL8436">
        <v>79.047227816050693</v>
      </c>
      <c r="AM8436">
        <v>93.388419489337295</v>
      </c>
      <c r="AN8436">
        <v>1.0000000309496</v>
      </c>
    </row>
    <row r="8437" spans="1:40" x14ac:dyDescent="0.25">
      <c r="A8437" t="str">
        <f>"20190304155001370"</f>
        <v>20190304155001370</v>
      </c>
      <c r="B8437" t="str">
        <f>"1551685801365902"</f>
        <v>1551685801365902</v>
      </c>
      <c r="C8437" t="s">
        <v>40</v>
      </c>
      <c r="D8437">
        <v>4.0561389999999999</v>
      </c>
      <c r="E8437">
        <v>0.52464659999999996</v>
      </c>
      <c r="F8437" t="s">
        <v>42</v>
      </c>
      <c r="G8437">
        <v>0</v>
      </c>
      <c r="H8437">
        <v>0</v>
      </c>
      <c r="I8437">
        <v>0</v>
      </c>
      <c r="J8437">
        <v>-129.28440000000001</v>
      </c>
      <c r="K8437">
        <v>1.111756</v>
      </c>
      <c r="L8437">
        <v>137.48779999999999</v>
      </c>
      <c r="M8437">
        <v>0.99981240000000005</v>
      </c>
      <c r="N8437">
        <v>-1.9205380000000001E-2</v>
      </c>
      <c r="O8437">
        <v>-2.5567160000000001E-3</v>
      </c>
      <c r="P8437">
        <v>0.98360069999999999</v>
      </c>
      <c r="Q8437">
        <v>0.17147670000000001</v>
      </c>
      <c r="R8437">
        <v>5.5909170000000001E-2</v>
      </c>
      <c r="S8437">
        <v>3.057693</v>
      </c>
      <c r="T8437">
        <v>-2.8528330000000001E-2</v>
      </c>
      <c r="U8437">
        <v>-4.1748050000000002E-2</v>
      </c>
      <c r="V8437">
        <v>-5.8229549999999998E-2</v>
      </c>
      <c r="W8437">
        <v>0.19039210000000001</v>
      </c>
      <c r="X8437">
        <v>0.97997970000000001</v>
      </c>
      <c r="Y8437">
        <v>1.1093830000000001E-2</v>
      </c>
      <c r="Z8437">
        <v>-1.835556E-4</v>
      </c>
      <c r="AA8437">
        <v>0.99993840000000001</v>
      </c>
      <c r="AB8437">
        <v>22</v>
      </c>
      <c r="AC8437">
        <v>3.057693</v>
      </c>
      <c r="AD8437">
        <v>-2.8528330000000001E-2</v>
      </c>
      <c r="AE8437">
        <v>-4.1748050000000002E-2</v>
      </c>
      <c r="AF8437">
        <v>3.3925866912447901E-2</v>
      </c>
      <c r="AG8437">
        <v>-2.8528330000000001E-2</v>
      </c>
      <c r="AH8437">
        <v>3.0575236546479401</v>
      </c>
      <c r="AI8437">
        <v>90.534551831800201</v>
      </c>
      <c r="AJ8437">
        <v>89.3642799065221</v>
      </c>
      <c r="AK8437">
        <v>3.0578449484547199</v>
      </c>
      <c r="AL8437">
        <v>79.024332663495201</v>
      </c>
      <c r="AM8437">
        <v>93.400467711482094</v>
      </c>
      <c r="AN8437">
        <v>1.0000000223238501</v>
      </c>
    </row>
    <row r="8438" spans="1:40" x14ac:dyDescent="0.25">
      <c r="A8438" t="str">
        <f>"20190304155001393"</f>
        <v>20190304155001393</v>
      </c>
      <c r="B8438" t="str">
        <f>"1551685801385419"</f>
        <v>1551685801385419</v>
      </c>
      <c r="C8438" t="s">
        <v>40</v>
      </c>
      <c r="D8438">
        <v>4.0653680000000003</v>
      </c>
      <c r="E8438">
        <v>0.52446559999999998</v>
      </c>
      <c r="F8438" t="s">
        <v>42</v>
      </c>
      <c r="G8438">
        <v>0</v>
      </c>
      <c r="H8438">
        <v>0</v>
      </c>
      <c r="I8438">
        <v>0</v>
      </c>
      <c r="J8438">
        <v>-129.06460000000001</v>
      </c>
      <c r="K8438">
        <v>1.111917</v>
      </c>
      <c r="L8438">
        <v>137.48650000000001</v>
      </c>
      <c r="M8438">
        <v>0.9997916</v>
      </c>
      <c r="N8438">
        <v>-2.0163469999999999E-2</v>
      </c>
      <c r="O8438">
        <v>-3.2074849999999999E-3</v>
      </c>
      <c r="P8438">
        <v>0.98368370000000005</v>
      </c>
      <c r="Q8438">
        <v>0.17120170000000001</v>
      </c>
      <c r="R8438">
        <v>5.5283499999999999E-2</v>
      </c>
      <c r="S8438">
        <v>3.0576780000000001</v>
      </c>
      <c r="T8438">
        <v>-2.9802200000000001E-2</v>
      </c>
      <c r="U8438">
        <v>-4.3212889999999997E-2</v>
      </c>
      <c r="V8438">
        <v>-5.8250879999999998E-2</v>
      </c>
      <c r="W8438">
        <v>0.19105539999999999</v>
      </c>
      <c r="X8438">
        <v>0.97984930000000003</v>
      </c>
      <c r="Y8438">
        <v>1.092187E-2</v>
      </c>
      <c r="Z8438">
        <v>-1.967777E-4</v>
      </c>
      <c r="AA8438">
        <v>0.9999403</v>
      </c>
      <c r="AB8438">
        <v>22</v>
      </c>
      <c r="AC8438">
        <v>3.0576780000000001</v>
      </c>
      <c r="AD8438">
        <v>-2.9802200000000001E-2</v>
      </c>
      <c r="AE8438">
        <v>-4.3212889999999997E-2</v>
      </c>
      <c r="AF8438">
        <v>3.3400045189236102E-2</v>
      </c>
      <c r="AG8438">
        <v>-2.9802200000000001E-2</v>
      </c>
      <c r="AH8438">
        <v>3.05751049929806</v>
      </c>
      <c r="AI8438">
        <v>90.558423051480702</v>
      </c>
      <c r="AJ8438">
        <v>89.374129537935104</v>
      </c>
      <c r="AK8438">
        <v>3.05783815586459</v>
      </c>
      <c r="AL8438">
        <v>78.985617360116194</v>
      </c>
      <c r="AM8438">
        <v>93.402162050451395</v>
      </c>
      <c r="AN8438">
        <v>0.99999999080021196</v>
      </c>
    </row>
    <row r="8439" spans="1:40" x14ac:dyDescent="0.25">
      <c r="A8439" t="str">
        <f>"20190304155001415"</f>
        <v>20190304155001415</v>
      </c>
      <c r="B8439" t="str">
        <f>"1551685801405447"</f>
        <v>1551685801405447</v>
      </c>
      <c r="C8439" t="s">
        <v>40</v>
      </c>
      <c r="D8439">
        <v>4.0882509999999996</v>
      </c>
      <c r="E8439">
        <v>0.52443289999999998</v>
      </c>
      <c r="F8439" t="s">
        <v>42</v>
      </c>
      <c r="G8439">
        <v>0</v>
      </c>
      <c r="H8439">
        <v>0</v>
      </c>
      <c r="I8439">
        <v>0</v>
      </c>
      <c r="J8439">
        <v>-128.863</v>
      </c>
      <c r="K8439">
        <v>1.1120620000000001</v>
      </c>
      <c r="L8439">
        <v>137.48509999999999</v>
      </c>
      <c r="M8439">
        <v>0.99976980000000004</v>
      </c>
      <c r="N8439">
        <v>-2.1119200000000001E-2</v>
      </c>
      <c r="O8439">
        <v>-3.7959349999999998E-3</v>
      </c>
      <c r="P8439">
        <v>0.98385420000000001</v>
      </c>
      <c r="Q8439">
        <v>0.1703817</v>
      </c>
      <c r="R8439">
        <v>5.4783220000000001E-2</v>
      </c>
      <c r="S8439">
        <v>3.057709</v>
      </c>
      <c r="T8439">
        <v>-3.1481740000000001E-2</v>
      </c>
      <c r="U8439">
        <v>-4.3914790000000002E-2</v>
      </c>
      <c r="V8439">
        <v>-5.8335489999999997E-2</v>
      </c>
      <c r="W8439">
        <v>0.19117329999999999</v>
      </c>
      <c r="X8439">
        <v>0.97982130000000001</v>
      </c>
      <c r="Y8439">
        <v>1.056254E-2</v>
      </c>
      <c r="Z8439">
        <v>-2.0703010000000001E-4</v>
      </c>
      <c r="AA8439">
        <v>0.99994419999999995</v>
      </c>
      <c r="AB8439">
        <v>21</v>
      </c>
      <c r="AC8439">
        <v>3.057709</v>
      </c>
      <c r="AD8439">
        <v>-3.1481740000000001E-2</v>
      </c>
      <c r="AE8439">
        <v>-4.3914790000000002E-2</v>
      </c>
      <c r="AF8439">
        <v>3.2301596606621102E-2</v>
      </c>
      <c r="AG8439">
        <v>-3.1481740000000001E-2</v>
      </c>
      <c r="AH8439">
        <v>3.0575296498130302</v>
      </c>
      <c r="AI8439">
        <v>90.589890094180006</v>
      </c>
      <c r="AJ8439">
        <v>89.394715172305496</v>
      </c>
      <c r="AK8439">
        <v>3.0578623338179498</v>
      </c>
      <c r="AL8439">
        <v>78.978735662291996</v>
      </c>
      <c r="AM8439">
        <v>93.407189226754099</v>
      </c>
      <c r="AN8439">
        <v>1.0000000199800501</v>
      </c>
    </row>
    <row r="8440" spans="1:40" x14ac:dyDescent="0.25">
      <c r="A8440" t="str">
        <f>"20190304155001437"</f>
        <v>20190304155001437</v>
      </c>
      <c r="B8440" t="str">
        <f>"1551685801435702"</f>
        <v>1551685801435702</v>
      </c>
      <c r="C8440" t="s">
        <v>40</v>
      </c>
      <c r="D8440">
        <v>4.1695039999999999</v>
      </c>
      <c r="E8440">
        <v>0.54009969999999996</v>
      </c>
      <c r="F8440" t="s">
        <v>42</v>
      </c>
      <c r="G8440">
        <v>0</v>
      </c>
      <c r="H8440">
        <v>0</v>
      </c>
      <c r="I8440">
        <v>0</v>
      </c>
      <c r="J8440">
        <v>-128.655</v>
      </c>
      <c r="K8440">
        <v>1.1122030000000001</v>
      </c>
      <c r="L8440">
        <v>137.48349999999999</v>
      </c>
      <c r="M8440">
        <v>0.99974540000000001</v>
      </c>
      <c r="N8440">
        <v>-2.2131410000000001E-2</v>
      </c>
      <c r="O8440">
        <v>-4.3958740000000001E-3</v>
      </c>
      <c r="P8440">
        <v>0.98410039999999999</v>
      </c>
      <c r="Q8440">
        <v>0.16908999999999999</v>
      </c>
      <c r="R8440">
        <v>5.4357879999999997E-2</v>
      </c>
      <c r="S8440">
        <v>3.0576780000000001</v>
      </c>
      <c r="T8440">
        <v>-3.4228799999999997E-2</v>
      </c>
      <c r="U8440">
        <v>-4.5227049999999998E-2</v>
      </c>
      <c r="V8440">
        <v>-5.8506179999999998E-2</v>
      </c>
      <c r="W8440">
        <v>0.19087750000000001</v>
      </c>
      <c r="X8440">
        <v>0.97986879999999998</v>
      </c>
      <c r="Y8440">
        <v>1.03914E-2</v>
      </c>
      <c r="Z8440">
        <v>-2.2127E-4</v>
      </c>
      <c r="AA8440">
        <v>0.999946</v>
      </c>
      <c r="AB8440">
        <v>21</v>
      </c>
      <c r="AC8440">
        <v>3.0576780000000001</v>
      </c>
      <c r="AD8440">
        <v>-3.4228799999999997E-2</v>
      </c>
      <c r="AE8440">
        <v>-4.5227049999999998E-2</v>
      </c>
      <c r="AF8440">
        <v>3.1778171176251702E-2</v>
      </c>
      <c r="AG8440">
        <v>-3.4228799999999997E-2</v>
      </c>
      <c r="AH8440">
        <v>3.0574642441673001</v>
      </c>
      <c r="AI8440">
        <v>90.641373957995299</v>
      </c>
      <c r="AJ8440">
        <v>89.404509952066704</v>
      </c>
      <c r="AK8440">
        <v>3.0578209671716001</v>
      </c>
      <c r="AL8440">
        <v>78.996001808433604</v>
      </c>
      <c r="AM8440">
        <v>93.416969837614403</v>
      </c>
      <c r="AN8440">
        <v>1.0000000291589399</v>
      </c>
    </row>
    <row r="8441" spans="1:40" x14ac:dyDescent="0.25">
      <c r="A8441" t="str">
        <f>"20190304155001460"</f>
        <v>20190304155001460</v>
      </c>
      <c r="B8441" t="str">
        <f>"1551685801456198"</f>
        <v>1551685801456198</v>
      </c>
      <c r="C8441" t="s">
        <v>40</v>
      </c>
      <c r="D8441">
        <v>4.2438880000000001</v>
      </c>
      <c r="E8441">
        <v>0.54409300000000005</v>
      </c>
      <c r="F8441" t="s">
        <v>44</v>
      </c>
      <c r="G8441">
        <v>-88.273619999999994</v>
      </c>
      <c r="H8441" s="1">
        <v>-1.743611E-6</v>
      </c>
      <c r="I8441">
        <v>135.21889999999999</v>
      </c>
      <c r="J8441">
        <v>-128.45660000000001</v>
      </c>
      <c r="K8441">
        <v>1.112311</v>
      </c>
      <c r="L8441">
        <v>137.48179999999999</v>
      </c>
      <c r="M8441">
        <v>0.99972150000000004</v>
      </c>
      <c r="N8441">
        <v>-2.307391E-2</v>
      </c>
      <c r="O8441">
        <v>-4.9729689999999998E-3</v>
      </c>
      <c r="P8441">
        <v>0.9843056</v>
      </c>
      <c r="Q8441">
        <v>0.16788359999999999</v>
      </c>
      <c r="R8441">
        <v>5.4386709999999998E-2</v>
      </c>
      <c r="S8441">
        <v>3.0725250000000002</v>
      </c>
      <c r="T8441">
        <v>-8.4625010000000001E-2</v>
      </c>
      <c r="U8441">
        <v>-0.17230219999999999</v>
      </c>
      <c r="V8441">
        <v>-5.9109839999999997E-2</v>
      </c>
      <c r="W8441">
        <v>0.19059760000000001</v>
      </c>
      <c r="X8441">
        <v>0.97988699999999995</v>
      </c>
      <c r="Y8441">
        <v>5.0987810000000001E-2</v>
      </c>
      <c r="Z8441">
        <v>-1.2683130000000001E-3</v>
      </c>
      <c r="AA8441">
        <v>0.99869850000000004</v>
      </c>
      <c r="AB8441">
        <v>21</v>
      </c>
      <c r="AC8441">
        <v>40.182980000000001</v>
      </c>
      <c r="AD8441">
        <v>-1.1123127436110001</v>
      </c>
      <c r="AE8441">
        <v>-2.2629000000000001</v>
      </c>
      <c r="AF8441">
        <v>2.06141553226673</v>
      </c>
      <c r="AG8441">
        <v>-1.1123127436110001</v>
      </c>
      <c r="AH8441">
        <v>40.163061599399803</v>
      </c>
      <c r="AI8441">
        <v>91.584312072782495</v>
      </c>
      <c r="AJ8441">
        <v>87.061806220004598</v>
      </c>
      <c r="AK8441">
        <v>40.231308587634302</v>
      </c>
      <c r="AL8441">
        <v>79.012338230421307</v>
      </c>
      <c r="AM8441">
        <v>93.452076945178305</v>
      </c>
      <c r="AN8441">
        <v>0.99999997553979203</v>
      </c>
    </row>
    <row r="8442" spans="1:40" x14ac:dyDescent="0.25">
      <c r="A8442" t="str">
        <f>"20190304155001483"</f>
        <v>20190304155001483</v>
      </c>
      <c r="B8442" t="str">
        <f>"1551685801475718"</f>
        <v>1551685801475718</v>
      </c>
      <c r="C8442" t="s">
        <v>40</v>
      </c>
      <c r="D8442">
        <v>4.147297</v>
      </c>
      <c r="E8442">
        <v>0.54497700000000004</v>
      </c>
      <c r="F8442" t="s">
        <v>44</v>
      </c>
      <c r="G8442">
        <v>-90.899590000000003</v>
      </c>
      <c r="H8442" s="1">
        <v>-4.7071570000000003E-6</v>
      </c>
      <c r="I8442">
        <v>134.989</v>
      </c>
      <c r="J8442">
        <v>-128.25200000000001</v>
      </c>
      <c r="K8442">
        <v>1.1124259999999999</v>
      </c>
      <c r="L8442">
        <v>137.47999999999999</v>
      </c>
      <c r="M8442">
        <v>0.99969600000000003</v>
      </c>
      <c r="N8442">
        <v>-2.402489E-2</v>
      </c>
      <c r="O8442">
        <v>-5.5810640000000002E-3</v>
      </c>
      <c r="P8442">
        <v>0.98448780000000002</v>
      </c>
      <c r="Q8442">
        <v>0.16682269999999999</v>
      </c>
      <c r="R8442">
        <v>5.4354960000000001E-2</v>
      </c>
      <c r="S8442">
        <v>3.074646</v>
      </c>
      <c r="T8442">
        <v>-9.1060879999999997E-2</v>
      </c>
      <c r="U8442">
        <v>-0.204071</v>
      </c>
      <c r="V8442">
        <v>-5.9686040000000003E-2</v>
      </c>
      <c r="W8442">
        <v>0.19047069999999999</v>
      </c>
      <c r="X8442">
        <v>0.97987679999999999</v>
      </c>
      <c r="Y8442">
        <v>6.0607109999999999E-2</v>
      </c>
      <c r="Z8442">
        <v>-1.5944329999999999E-3</v>
      </c>
      <c r="AA8442">
        <v>0.99816039999999995</v>
      </c>
      <c r="AB8442">
        <v>20</v>
      </c>
      <c r="AC8442">
        <v>37.352409999999999</v>
      </c>
      <c r="AD8442">
        <v>-1.1124307071570001</v>
      </c>
      <c r="AE8442">
        <v>-2.4909999999999801</v>
      </c>
      <c r="AF8442">
        <v>2.2804211398164398</v>
      </c>
      <c r="AG8442">
        <v>-1.1124307071570001</v>
      </c>
      <c r="AH8442">
        <v>37.33276795954</v>
      </c>
      <c r="AI8442">
        <v>91.703604134611695</v>
      </c>
      <c r="AJ8442">
        <v>86.504508719771096</v>
      </c>
      <c r="AK8442">
        <v>37.418890766216002</v>
      </c>
      <c r="AL8442">
        <v>79.019745320895495</v>
      </c>
      <c r="AM8442">
        <v>93.485681259140193</v>
      </c>
      <c r="AN8442">
        <v>1.0000000270538001</v>
      </c>
    </row>
    <row r="8443" spans="1:40" x14ac:dyDescent="0.25">
      <c r="A8443" t="str">
        <f>"20190304155001505"</f>
        <v>20190304155001505</v>
      </c>
      <c r="B8443" t="str">
        <f>"1551685801495745"</f>
        <v>1551685801495745</v>
      </c>
      <c r="C8443" t="s">
        <v>40</v>
      </c>
      <c r="D8443">
        <v>4.1488480000000001</v>
      </c>
      <c r="E8443">
        <v>0.54545730000000003</v>
      </c>
      <c r="F8443" t="s">
        <v>44</v>
      </c>
      <c r="G8443">
        <v>-91.808199999999999</v>
      </c>
      <c r="H8443" s="1">
        <v>-4.3201350000000003E-6</v>
      </c>
      <c r="I8443">
        <v>134.9734</v>
      </c>
      <c r="J8443">
        <v>-128.0547</v>
      </c>
      <c r="K8443">
        <v>1.1125350000000001</v>
      </c>
      <c r="L8443">
        <v>137.47819999999999</v>
      </c>
      <c r="M8443">
        <v>0.99966960000000005</v>
      </c>
      <c r="N8443">
        <v>-2.4958850000000001E-2</v>
      </c>
      <c r="O8443">
        <v>-6.1738590000000003E-3</v>
      </c>
      <c r="P8443">
        <v>0.98470809999999998</v>
      </c>
      <c r="Q8443">
        <v>0.1655797</v>
      </c>
      <c r="R8443">
        <v>5.4160109999999997E-2</v>
      </c>
      <c r="S8443">
        <v>3.0748600000000001</v>
      </c>
      <c r="T8443">
        <v>-9.38586E-2</v>
      </c>
      <c r="U8443">
        <v>-0.2114868</v>
      </c>
      <c r="V8443">
        <v>-6.0084239999999997E-2</v>
      </c>
      <c r="W8443">
        <v>0.19014590000000001</v>
      </c>
      <c r="X8443">
        <v>0.97991550000000005</v>
      </c>
      <c r="Y8443">
        <v>6.2402100000000002E-2</v>
      </c>
      <c r="Z8443">
        <v>-1.696924E-3</v>
      </c>
      <c r="AA8443">
        <v>0.99804970000000004</v>
      </c>
      <c r="AB8443">
        <v>20</v>
      </c>
      <c r="AC8443">
        <v>36.246499999999997</v>
      </c>
      <c r="AD8443">
        <v>-1.112539320135</v>
      </c>
      <c r="AE8443">
        <v>-2.5047999999999799</v>
      </c>
      <c r="AF8443">
        <v>2.2787651307051102</v>
      </c>
      <c r="AG8443">
        <v>-1.112539320135</v>
      </c>
      <c r="AH8443">
        <v>36.2273102032905</v>
      </c>
      <c r="AI8443">
        <v>91.755530980531006</v>
      </c>
      <c r="AJ8443">
        <v>86.400731009675795</v>
      </c>
      <c r="AK8443">
        <v>36.315954053627699</v>
      </c>
      <c r="AL8443">
        <v>79.038700937195102</v>
      </c>
      <c r="AM8443">
        <v>93.508740108593997</v>
      </c>
      <c r="AN8443">
        <v>0.99999998316171801</v>
      </c>
    </row>
    <row r="8444" spans="1:40" x14ac:dyDescent="0.25">
      <c r="A8444" t="str">
        <f>"20190304155001526"</f>
        <v>20190304155001526</v>
      </c>
      <c r="B8444" t="str">
        <f>"1551685801516241"</f>
        <v>1551685801516241</v>
      </c>
      <c r="C8444" t="s">
        <v>40</v>
      </c>
      <c r="D8444">
        <v>4.2428819999999998</v>
      </c>
      <c r="E8444">
        <v>0.54634199999999999</v>
      </c>
      <c r="F8444" t="s">
        <v>44</v>
      </c>
      <c r="G8444">
        <v>-93.361419999999995</v>
      </c>
      <c r="H8444" s="1">
        <v>-3.6417970000000001E-6</v>
      </c>
      <c r="I8444">
        <v>135.0412</v>
      </c>
      <c r="J8444">
        <v>-127.87139999999999</v>
      </c>
      <c r="K8444">
        <v>1.1126450000000001</v>
      </c>
      <c r="L8444">
        <v>137.47630000000001</v>
      </c>
      <c r="M8444">
        <v>0.99964310000000001</v>
      </c>
      <c r="N8444">
        <v>-2.5858809999999999E-2</v>
      </c>
      <c r="O8444">
        <v>-6.7227169999999996E-3</v>
      </c>
      <c r="P8444">
        <v>0.98483770000000004</v>
      </c>
      <c r="Q8444">
        <v>0.1649148</v>
      </c>
      <c r="R8444">
        <v>5.3834710000000001E-2</v>
      </c>
      <c r="S8444">
        <v>3.0750579999999998</v>
      </c>
      <c r="T8444">
        <v>-9.8610519999999993E-2</v>
      </c>
      <c r="U8444">
        <v>-0.21600340000000001</v>
      </c>
      <c r="V8444">
        <v>-6.0305930000000001E-2</v>
      </c>
      <c r="W8444">
        <v>0.19036400000000001</v>
      </c>
      <c r="X8444">
        <v>0.97985949999999999</v>
      </c>
      <c r="Y8444">
        <v>6.3302499999999998E-2</v>
      </c>
      <c r="Z8444">
        <v>-1.7918770000000001E-3</v>
      </c>
      <c r="AA8444">
        <v>0.99799280000000001</v>
      </c>
      <c r="AB8444">
        <v>20</v>
      </c>
      <c r="AC8444">
        <v>34.509979999999999</v>
      </c>
      <c r="AD8444">
        <v>-1.1126486417970001</v>
      </c>
      <c r="AE8444">
        <v>-2.4350999999999998</v>
      </c>
      <c r="AF8444">
        <v>2.20069022846068</v>
      </c>
      <c r="AG8444">
        <v>-1.1126486417970001</v>
      </c>
      <c r="AH8444">
        <v>34.489900788375301</v>
      </c>
      <c r="AI8444">
        <v>91.843981120123004</v>
      </c>
      <c r="AJ8444">
        <v>86.349088904408205</v>
      </c>
      <c r="AK8444">
        <v>34.577945006516899</v>
      </c>
      <c r="AL8444">
        <v>79.025971851354001</v>
      </c>
      <c r="AM8444">
        <v>93.521854380487895</v>
      </c>
      <c r="AN8444">
        <v>0.99999994871470599</v>
      </c>
    </row>
    <row r="8445" spans="1:40" x14ac:dyDescent="0.25">
      <c r="A8445" t="str">
        <f>"20190304155001549"</f>
        <v>20190304155001549</v>
      </c>
      <c r="B8445" t="str">
        <f>"1551685801545520"</f>
        <v>1551685801545520</v>
      </c>
      <c r="C8445" t="s">
        <v>40</v>
      </c>
      <c r="D8445">
        <v>4.2146679999999996</v>
      </c>
      <c r="E8445">
        <v>0.54679690000000003</v>
      </c>
      <c r="F8445" t="s">
        <v>44</v>
      </c>
      <c r="G8445">
        <v>-93.553740000000005</v>
      </c>
      <c r="H8445" s="1">
        <v>-3.5706320000000002E-6</v>
      </c>
      <c r="I8445">
        <v>134.97720000000001</v>
      </c>
      <c r="J8445">
        <v>-127.6835</v>
      </c>
      <c r="K8445">
        <v>1.1127629999999999</v>
      </c>
      <c r="L8445">
        <v>137.4744</v>
      </c>
      <c r="M8445">
        <v>0.99961390000000006</v>
      </c>
      <c r="N8445">
        <v>-2.6814709999999999E-2</v>
      </c>
      <c r="O8445">
        <v>-7.2820209999999996E-3</v>
      </c>
      <c r="P8445">
        <v>0.98500160000000003</v>
      </c>
      <c r="Q8445">
        <v>0.1640395</v>
      </c>
      <c r="R8445">
        <v>5.3508300000000002E-2</v>
      </c>
      <c r="S8445">
        <v>3.0751189999999999</v>
      </c>
      <c r="T8445">
        <v>-9.9701520000000002E-2</v>
      </c>
      <c r="U8445">
        <v>-0.223938</v>
      </c>
      <c r="V8445">
        <v>-6.0537390000000003E-2</v>
      </c>
      <c r="W8445">
        <v>0.19042770000000001</v>
      </c>
      <c r="X8445">
        <v>0.97983290000000001</v>
      </c>
      <c r="Y8445">
        <v>6.5300479999999994E-2</v>
      </c>
      <c r="Z8445">
        <v>-1.8934920000000001E-3</v>
      </c>
      <c r="AA8445">
        <v>0.99786379999999997</v>
      </c>
      <c r="AB8445">
        <v>19</v>
      </c>
      <c r="AC8445">
        <v>34.129759999999898</v>
      </c>
      <c r="AD8445">
        <v>-1.112766570632</v>
      </c>
      <c r="AE8445">
        <v>-2.4971999999999901</v>
      </c>
      <c r="AF8445">
        <v>2.2461357389446701</v>
      </c>
      <c r="AG8445">
        <v>-1.112766570632</v>
      </c>
      <c r="AH8445">
        <v>34.110978044529702</v>
      </c>
      <c r="AI8445">
        <v>91.864402625625402</v>
      </c>
      <c r="AJ8445">
        <v>86.232632883416699</v>
      </c>
      <c r="AK8445">
        <v>34.202955988523399</v>
      </c>
      <c r="AL8445">
        <v>79.022254652910405</v>
      </c>
      <c r="AM8445">
        <v>93.535433112824094</v>
      </c>
      <c r="AN8445">
        <v>0.99999999821885599</v>
      </c>
    </row>
    <row r="8446" spans="1:40" x14ac:dyDescent="0.25">
      <c r="A8446" t="str">
        <f>"20190304155001572"</f>
        <v>20190304155001572</v>
      </c>
      <c r="B8446" t="str">
        <f>"1551685801566020"</f>
        <v>1551685801566020</v>
      </c>
      <c r="C8446" t="s">
        <v>40</v>
      </c>
      <c r="D8446">
        <v>4.179907</v>
      </c>
      <c r="E8446">
        <v>0.54647889999999999</v>
      </c>
      <c r="F8446" t="s">
        <v>44</v>
      </c>
      <c r="G8446">
        <v>-90.834530000000001</v>
      </c>
      <c r="H8446" s="1">
        <v>-4.7800610000000002E-6</v>
      </c>
      <c r="I8446">
        <v>134.7354</v>
      </c>
      <c r="J8446">
        <v>-127.4979</v>
      </c>
      <c r="K8446">
        <v>1.112879</v>
      </c>
      <c r="L8446">
        <v>137.47229999999999</v>
      </c>
      <c r="M8446">
        <v>0.999583</v>
      </c>
      <c r="N8446">
        <v>-2.7794559999999999E-2</v>
      </c>
      <c r="O8446">
        <v>-7.8360689999999993E-3</v>
      </c>
      <c r="P8446">
        <v>0.98512480000000002</v>
      </c>
      <c r="Q8446">
        <v>0.16342779999999901</v>
      </c>
      <c r="R8446">
        <v>5.3109690000000001E-2</v>
      </c>
      <c r="S8446">
        <v>3.073547</v>
      </c>
      <c r="T8446">
        <v>-9.2815040000000001E-2</v>
      </c>
      <c r="U8446">
        <v>-0.22845460000000001</v>
      </c>
      <c r="V8446">
        <v>-6.0692040000000003E-2</v>
      </c>
      <c r="W8446">
        <v>0.1907778</v>
      </c>
      <c r="X8446">
        <v>0.97975520000000005</v>
      </c>
      <c r="Y8446">
        <v>6.6247169999999994E-2</v>
      </c>
      <c r="Z8446">
        <v>-1.902487E-3</v>
      </c>
      <c r="AA8446">
        <v>0.99780139999999995</v>
      </c>
      <c r="AB8446">
        <v>19</v>
      </c>
      <c r="AC8446">
        <v>36.66337</v>
      </c>
      <c r="AD8446">
        <v>-1.1128837800610001</v>
      </c>
      <c r="AE8446">
        <v>-2.7368999999999901</v>
      </c>
      <c r="AF8446">
        <v>2.4471659325504</v>
      </c>
      <c r="AG8446">
        <v>-1.1128837800610001</v>
      </c>
      <c r="AH8446">
        <v>36.650117051777698</v>
      </c>
      <c r="AI8446">
        <v>91.735394731870201</v>
      </c>
      <c r="AJ8446">
        <v>86.179972293145696</v>
      </c>
      <c r="AK8446">
        <v>36.748581078980003</v>
      </c>
      <c r="AL8446">
        <v>79.001820502988494</v>
      </c>
      <c r="AM8446">
        <v>93.544722180929398</v>
      </c>
      <c r="AN8446">
        <v>0.99999997230962001</v>
      </c>
    </row>
    <row r="8447" spans="1:40" x14ac:dyDescent="0.25">
      <c r="A8447" t="str">
        <f>"20190304155001594"</f>
        <v>20190304155001594</v>
      </c>
      <c r="B8447" t="str">
        <f>"1551685801585537"</f>
        <v>1551685801585537</v>
      </c>
      <c r="C8447" t="s">
        <v>40</v>
      </c>
      <c r="D8447">
        <v>4.1326320000000001</v>
      </c>
      <c r="E8447">
        <v>0.54642679999999999</v>
      </c>
      <c r="F8447" t="s">
        <v>44</v>
      </c>
      <c r="G8447">
        <v>-92.307379999999995</v>
      </c>
      <c r="H8447" s="1">
        <v>-4.1242759999999998E-6</v>
      </c>
      <c r="I8447">
        <v>134.87029999999999</v>
      </c>
      <c r="J8447">
        <v>-127.31910000000001</v>
      </c>
      <c r="K8447">
        <v>1.1130169999999999</v>
      </c>
      <c r="L8447">
        <v>137.47020000000001</v>
      </c>
      <c r="M8447">
        <v>0.99954940000000003</v>
      </c>
      <c r="N8447">
        <v>-2.882324E-2</v>
      </c>
      <c r="O8447">
        <v>-8.3735340000000002E-3</v>
      </c>
      <c r="P8447">
        <v>0.9853904</v>
      </c>
      <c r="Q8447">
        <v>0.16210949999999999</v>
      </c>
      <c r="R8447">
        <v>5.2212769999999999E-2</v>
      </c>
      <c r="S8447">
        <v>3.0736690000000002</v>
      </c>
      <c r="T8447">
        <v>-9.7203250000000005E-2</v>
      </c>
      <c r="U8447">
        <v>-0.22726440000000001</v>
      </c>
      <c r="V8447">
        <v>-6.0334539999999999E-2</v>
      </c>
      <c r="W8447">
        <v>0.19047220000000001</v>
      </c>
      <c r="X8447">
        <v>0.97983679999999995</v>
      </c>
      <c r="Y8447">
        <v>6.531882E-2</v>
      </c>
      <c r="Z8447">
        <v>-1.9511800000000001E-3</v>
      </c>
      <c r="AA8447">
        <v>0.99786249999999999</v>
      </c>
      <c r="AB8447">
        <v>18</v>
      </c>
      <c r="AC8447">
        <v>35.011719999999997</v>
      </c>
      <c r="AD8447">
        <v>-1.113021124276</v>
      </c>
      <c r="AE8447">
        <v>-2.5999000000000101</v>
      </c>
      <c r="AF8447">
        <v>2.3041992191334</v>
      </c>
      <c r="AG8447">
        <v>-1.113021124276</v>
      </c>
      <c r="AH8447">
        <v>34.9970967586207</v>
      </c>
      <c r="AI8447">
        <v>91.817644824979595</v>
      </c>
      <c r="AJ8447">
        <v>86.233098376201099</v>
      </c>
      <c r="AK8447">
        <v>35.0905248122167</v>
      </c>
      <c r="AL8447">
        <v>79.019657864631</v>
      </c>
      <c r="AM8447">
        <v>93.523602414627305</v>
      </c>
      <c r="AN8447">
        <v>1.0000000351620399</v>
      </c>
    </row>
    <row r="8448" spans="1:40" x14ac:dyDescent="0.25">
      <c r="A8448" t="str">
        <f>"20190304155001616"</f>
        <v>20190304155001616</v>
      </c>
      <c r="B8448" t="str">
        <f>"1551685801605564"</f>
        <v>1551685801605564</v>
      </c>
      <c r="C8448" t="s">
        <v>40</v>
      </c>
      <c r="D8448">
        <v>4.0993389999999996</v>
      </c>
      <c r="E8448">
        <v>0.5461973</v>
      </c>
      <c r="F8448" t="s">
        <v>44</v>
      </c>
      <c r="G8448">
        <v>-93.365710000000007</v>
      </c>
      <c r="H8448" s="1">
        <v>-3.6597880000000002E-6</v>
      </c>
      <c r="I8448">
        <v>134.92939999999999</v>
      </c>
      <c r="J8448">
        <v>-127.1538</v>
      </c>
      <c r="K8448">
        <v>1.1131610000000001</v>
      </c>
      <c r="L8448">
        <v>137.4682</v>
      </c>
      <c r="M8448">
        <v>0.99951460000000003</v>
      </c>
      <c r="N8448">
        <v>-2.9867560000000001E-2</v>
      </c>
      <c r="O8448">
        <v>-8.8719990000000002E-3</v>
      </c>
      <c r="P8448">
        <v>0.98562059999999996</v>
      </c>
      <c r="Q8448">
        <v>0.16092390000000001</v>
      </c>
      <c r="R8448">
        <v>5.1533330000000002E-2</v>
      </c>
      <c r="S8448">
        <v>3.0732270000000002</v>
      </c>
      <c r="T8448">
        <v>-0.1007429</v>
      </c>
      <c r="U8448">
        <v>-0.2299805</v>
      </c>
      <c r="V8448">
        <v>-6.0156069999999999E-2</v>
      </c>
      <c r="W8448">
        <v>0.19031439999999999</v>
      </c>
      <c r="X8448">
        <v>0.97987840000000004</v>
      </c>
      <c r="Y8448">
        <v>6.5703490000000003E-2</v>
      </c>
      <c r="Z8448">
        <v>-2.032781E-3</v>
      </c>
      <c r="AA8448">
        <v>0.99783710000000003</v>
      </c>
      <c r="AB8448">
        <v>18</v>
      </c>
      <c r="AC8448">
        <v>33.788089999999997</v>
      </c>
      <c r="AD8448">
        <v>-1.1131646597880001</v>
      </c>
      <c r="AE8448">
        <v>-2.5388000000000002</v>
      </c>
      <c r="AF8448">
        <v>2.2363845731685301</v>
      </c>
      <c r="AG8448">
        <v>-1.1131646597880001</v>
      </c>
      <c r="AH8448">
        <v>33.772841910030401</v>
      </c>
      <c r="AI8448">
        <v>91.883683102043094</v>
      </c>
      <c r="AJ8448">
        <v>86.211494347585301</v>
      </c>
      <c r="AK8448">
        <v>33.8651059676301</v>
      </c>
      <c r="AL8448">
        <v>79.028867226565197</v>
      </c>
      <c r="AM8448">
        <v>93.513056940530106</v>
      </c>
      <c r="AN8448">
        <v>1.0000000011958801</v>
      </c>
    </row>
    <row r="8449" spans="1:40" x14ac:dyDescent="0.25">
      <c r="A8449" t="str">
        <f>"20190304155001638"</f>
        <v>20190304155001638</v>
      </c>
      <c r="B8449" t="str">
        <f>"1551685801635820"</f>
        <v>1551685801635820</v>
      </c>
      <c r="C8449" t="s">
        <v>40</v>
      </c>
      <c r="D8449">
        <v>4.1060030000000003</v>
      </c>
      <c r="E8449">
        <v>0.54596290000000003</v>
      </c>
      <c r="F8449" t="s">
        <v>44</v>
      </c>
      <c r="G8449">
        <v>-94.652889999999999</v>
      </c>
      <c r="H8449" s="1">
        <v>-3.0892809999999999E-6</v>
      </c>
      <c r="I8449">
        <v>135.0326</v>
      </c>
      <c r="J8449">
        <v>-126.9862</v>
      </c>
      <c r="K8449">
        <v>1.113316</v>
      </c>
      <c r="L8449">
        <v>137.46610000000001</v>
      </c>
      <c r="M8449">
        <v>0.99947629999999998</v>
      </c>
      <c r="N8449">
        <v>-3.097447E-2</v>
      </c>
      <c r="O8449">
        <v>-9.3778779999999992E-3</v>
      </c>
      <c r="P8449">
        <v>0.98584669999999996</v>
      </c>
      <c r="Q8449">
        <v>0.1599149</v>
      </c>
      <c r="R8449">
        <v>5.0338319999999999E-2</v>
      </c>
      <c r="S8449">
        <v>3.0729829999999998</v>
      </c>
      <c r="T8449">
        <v>-0.10525039999999999</v>
      </c>
      <c r="U8449">
        <v>-0.23028560000000001</v>
      </c>
      <c r="V8449">
        <v>-5.9470139999999998E-2</v>
      </c>
      <c r="W8449">
        <v>0.19039449999999999</v>
      </c>
      <c r="X8449">
        <v>0.97990469999999996</v>
      </c>
      <c r="Y8449">
        <v>6.5297140000000004E-2</v>
      </c>
      <c r="Z8449">
        <v>-2.0993629999999999E-3</v>
      </c>
      <c r="AA8449">
        <v>0.99786370000000002</v>
      </c>
      <c r="AB8449">
        <v>17</v>
      </c>
      <c r="AC8449">
        <v>32.333309999999997</v>
      </c>
      <c r="AD8449">
        <v>-1.1133190892810001</v>
      </c>
      <c r="AE8449">
        <v>-2.4335</v>
      </c>
      <c r="AF8449">
        <v>2.1275213404561302</v>
      </c>
      <c r="AG8449">
        <v>-1.1133190892810001</v>
      </c>
      <c r="AH8449">
        <v>32.316620009504199</v>
      </c>
      <c r="AI8449">
        <v>91.968821197746607</v>
      </c>
      <c r="AJ8449">
        <v>86.233444422870306</v>
      </c>
      <c r="AK8449">
        <v>32.4057055977391</v>
      </c>
      <c r="AL8449">
        <v>79.024192255920298</v>
      </c>
      <c r="AM8449">
        <v>93.473004914126903</v>
      </c>
      <c r="AN8449">
        <v>0.99999999213197899</v>
      </c>
    </row>
    <row r="8450" spans="1:40" x14ac:dyDescent="0.25">
      <c r="A8450" t="str">
        <f>"20190304155001661"</f>
        <v>20190304155001661</v>
      </c>
      <c r="B8450" t="str">
        <f>"1551685801655343"</f>
        <v>1551685801655343</v>
      </c>
      <c r="C8450" t="s">
        <v>40</v>
      </c>
      <c r="D8450">
        <v>4.1392360000000004</v>
      </c>
      <c r="E8450">
        <v>0.5456145</v>
      </c>
      <c r="F8450" t="s">
        <v>44</v>
      </c>
      <c r="G8450">
        <v>-95.377120000000005</v>
      </c>
      <c r="H8450" s="1">
        <v>-2.770132E-6</v>
      </c>
      <c r="I8450">
        <v>135.08029999999999</v>
      </c>
      <c r="J8450">
        <v>-126.824</v>
      </c>
      <c r="K8450">
        <v>1.113443</v>
      </c>
      <c r="L8450">
        <v>137.4639</v>
      </c>
      <c r="M8450">
        <v>0.99943800000000005</v>
      </c>
      <c r="N8450">
        <v>-3.2037459999999997E-2</v>
      </c>
      <c r="O8450">
        <v>-9.8683839999999991E-3</v>
      </c>
      <c r="P8450">
        <v>0.98615960000000003</v>
      </c>
      <c r="Q8450">
        <v>0.15827160000000001</v>
      </c>
      <c r="R8450">
        <v>4.9390429999999999E-2</v>
      </c>
      <c r="S8450">
        <v>3.0724640000000001</v>
      </c>
      <c r="T8450">
        <v>-0.10821649999999999</v>
      </c>
      <c r="U8450">
        <v>-0.2319031</v>
      </c>
      <c r="V8450">
        <v>-5.9017260000000002E-2</v>
      </c>
      <c r="W8450">
        <v>0.18980079999999999</v>
      </c>
      <c r="X8450">
        <v>0.98004720000000001</v>
      </c>
      <c r="Y8450">
        <v>6.5337569999999998E-2</v>
      </c>
      <c r="Z8450">
        <v>-2.1665249999999999E-3</v>
      </c>
      <c r="AA8450">
        <v>0.99786079999999999</v>
      </c>
      <c r="AB8450">
        <v>17</v>
      </c>
      <c r="AC8450">
        <v>31.44688</v>
      </c>
      <c r="AD8450">
        <v>-1.113445770132</v>
      </c>
      <c r="AE8450">
        <v>-2.3835999999999999</v>
      </c>
      <c r="AF8450">
        <v>2.0704137717556801</v>
      </c>
      <c r="AG8450">
        <v>-1.113445770132</v>
      </c>
      <c r="AH8450">
        <v>31.4297041501496</v>
      </c>
      <c r="AI8450">
        <v>92.024558580562598</v>
      </c>
      <c r="AJ8450">
        <v>86.231118636011402</v>
      </c>
      <c r="AK8450">
        <v>31.517497959629299</v>
      </c>
      <c r="AL8450">
        <v>79.058840071538896</v>
      </c>
      <c r="AM8450">
        <v>93.446121177986996</v>
      </c>
      <c r="AN8450">
        <v>0.99999994744319198</v>
      </c>
    </row>
    <row r="8451" spans="1:40" x14ac:dyDescent="0.25">
      <c r="A8451" t="str">
        <f>"20190304155001683"</f>
        <v>20190304155001683</v>
      </c>
      <c r="B8451" t="str">
        <f>"1551685801675835"</f>
        <v>1551685801675835</v>
      </c>
      <c r="C8451" t="s">
        <v>40</v>
      </c>
      <c r="D8451">
        <v>4.0905519999999997</v>
      </c>
      <c r="E8451">
        <v>0.54524830000000002</v>
      </c>
      <c r="F8451" t="s">
        <v>44</v>
      </c>
      <c r="G8451">
        <v>-96.797399999999996</v>
      </c>
      <c r="H8451" s="1">
        <v>-2.2530459999999999E-6</v>
      </c>
      <c r="I8451">
        <v>135.19229999999999</v>
      </c>
      <c r="J8451">
        <v>-126.6645</v>
      </c>
      <c r="K8451">
        <v>1.1135539999999999</v>
      </c>
      <c r="L8451">
        <v>137.46170000000001</v>
      </c>
      <c r="M8451">
        <v>0.99940019999999996</v>
      </c>
      <c r="N8451">
        <v>-3.3045430000000001E-2</v>
      </c>
      <c r="O8451">
        <v>-1.035028E-2</v>
      </c>
      <c r="P8451">
        <v>0.9864366</v>
      </c>
      <c r="Q8451">
        <v>0.15681909999999999</v>
      </c>
      <c r="R8451">
        <v>4.8481929999999999E-2</v>
      </c>
      <c r="S8451">
        <v>3.0720369999999999</v>
      </c>
      <c r="T8451">
        <v>-0.113917</v>
      </c>
      <c r="U8451">
        <v>-0.23240659999999999</v>
      </c>
      <c r="V8451">
        <v>-5.8594449999999999E-2</v>
      </c>
      <c r="W8451">
        <v>0.18934390000000001</v>
      </c>
      <c r="X8451">
        <v>0.98016099999999995</v>
      </c>
      <c r="Y8451">
        <v>6.5022040000000003E-2</v>
      </c>
      <c r="Z8451">
        <v>-2.2388769999999998E-3</v>
      </c>
      <c r="AA8451">
        <v>0.99788129999999997</v>
      </c>
      <c r="AB8451">
        <v>16</v>
      </c>
      <c r="AC8451">
        <v>29.867100000000001</v>
      </c>
      <c r="AD8451">
        <v>-1.1135562530459999</v>
      </c>
      <c r="AE8451">
        <v>-2.2694000000000099</v>
      </c>
      <c r="AF8451">
        <v>1.95727137946098</v>
      </c>
      <c r="AG8451">
        <v>-1.1135562530459999</v>
      </c>
      <c r="AH8451">
        <v>29.847747727890901</v>
      </c>
      <c r="AI8451">
        <v>92.132018467901901</v>
      </c>
      <c r="AJ8451">
        <v>86.248190612694998</v>
      </c>
      <c r="AK8451">
        <v>29.932573614865898</v>
      </c>
      <c r="AL8451">
        <v>79.085502606485605</v>
      </c>
      <c r="AM8451">
        <v>93.421095121018098</v>
      </c>
      <c r="AN8451">
        <v>1.0000000039795001</v>
      </c>
    </row>
    <row r="8452" spans="1:40" x14ac:dyDescent="0.25">
      <c r="A8452" t="str">
        <f>"20190304155001706"</f>
        <v>20190304155001706</v>
      </c>
      <c r="B8452" t="str">
        <f>"1551685801695862"</f>
        <v>1551685801695862</v>
      </c>
      <c r="C8452" t="s">
        <v>40</v>
      </c>
      <c r="D8452">
        <v>4.0337449999999997</v>
      </c>
      <c r="E8452">
        <v>0.54505099999999995</v>
      </c>
      <c r="F8452" t="s">
        <v>44</v>
      </c>
      <c r="G8452">
        <v>-97.796369999999996</v>
      </c>
      <c r="H8452" s="1">
        <v>-1.889305E-6</v>
      </c>
      <c r="I8452">
        <v>135.2817</v>
      </c>
      <c r="J8452">
        <v>-126.5159</v>
      </c>
      <c r="K8452">
        <v>1.1136410000000001</v>
      </c>
      <c r="L8452">
        <v>137.4597</v>
      </c>
      <c r="M8452">
        <v>0.99936559999999997</v>
      </c>
      <c r="N8452">
        <v>-3.3937290000000002E-2</v>
      </c>
      <c r="O8452">
        <v>-1.079838E-2</v>
      </c>
      <c r="P8452">
        <v>0.98670199999999997</v>
      </c>
      <c r="Q8452">
        <v>0.15540489999999901</v>
      </c>
      <c r="R8452">
        <v>4.7630359999999997E-2</v>
      </c>
      <c r="S8452">
        <v>3.0714869999999999</v>
      </c>
      <c r="T8452">
        <v>-0.1184793</v>
      </c>
      <c r="U8452">
        <v>-0.23194890000000001</v>
      </c>
      <c r="V8452">
        <v>-5.8194830000000003E-2</v>
      </c>
      <c r="W8452">
        <v>0.18881100000000001</v>
      </c>
      <c r="X8452">
        <v>0.98028760000000004</v>
      </c>
      <c r="Y8452">
        <v>6.4434320000000003E-2</v>
      </c>
      <c r="Z8452">
        <v>-2.2868490000000001E-3</v>
      </c>
      <c r="AA8452">
        <v>0.99791929999999995</v>
      </c>
      <c r="AB8452">
        <v>16</v>
      </c>
      <c r="AC8452">
        <v>28.719529999999999</v>
      </c>
      <c r="AD8452">
        <v>-1.1136428893050001</v>
      </c>
      <c r="AE8452">
        <v>-2.1779999999999902</v>
      </c>
      <c r="AF8452">
        <v>1.86478183076217</v>
      </c>
      <c r="AG8452">
        <v>-1.1136428893050001</v>
      </c>
      <c r="AH8452">
        <v>28.698481257322999</v>
      </c>
      <c r="AI8452">
        <v>92.217572493481896</v>
      </c>
      <c r="AJ8452">
        <v>86.282237543325294</v>
      </c>
      <c r="AK8452">
        <v>28.7805566005621</v>
      </c>
      <c r="AL8452">
        <v>79.116596406813798</v>
      </c>
      <c r="AM8452">
        <v>93.397379977358597</v>
      </c>
      <c r="AN8452">
        <v>1.0000000053367399</v>
      </c>
    </row>
    <row r="8453" spans="1:40" x14ac:dyDescent="0.25">
      <c r="A8453" t="str">
        <f>"20190304155001729"</f>
        <v>20190304155001729</v>
      </c>
      <c r="B8453" t="str">
        <f>"1551685801726118"</f>
        <v>1551685801726118</v>
      </c>
      <c r="C8453" t="s">
        <v>40</v>
      </c>
      <c r="D8453">
        <v>4.0978839999999996</v>
      </c>
      <c r="E8453">
        <v>0.54458530000000005</v>
      </c>
      <c r="F8453" t="s">
        <v>44</v>
      </c>
      <c r="G8453">
        <v>-98.532880000000006</v>
      </c>
      <c r="H8453" s="1">
        <v>-1.624498E-6</v>
      </c>
      <c r="I8453">
        <v>135.3349</v>
      </c>
      <c r="J8453">
        <v>-126.3657</v>
      </c>
      <c r="K8453">
        <v>1.113734</v>
      </c>
      <c r="L8453">
        <v>137.45740000000001</v>
      </c>
      <c r="M8453">
        <v>0.99933170000000004</v>
      </c>
      <c r="N8453">
        <v>-3.4779240000000003E-2</v>
      </c>
      <c r="O8453">
        <v>-1.1250690000000001E-2</v>
      </c>
      <c r="P8453">
        <v>0.98686269999999998</v>
      </c>
      <c r="Q8453">
        <v>0.15437779999999901</v>
      </c>
      <c r="R8453">
        <v>4.7640370000000001E-2</v>
      </c>
      <c r="S8453">
        <v>3.0709529999999998</v>
      </c>
      <c r="T8453">
        <v>-0.122215</v>
      </c>
      <c r="U8453">
        <v>-0.2331696</v>
      </c>
      <c r="V8453">
        <v>-5.8659870000000003E-2</v>
      </c>
      <c r="W8453">
        <v>0.1886129</v>
      </c>
      <c r="X8453">
        <v>0.980298</v>
      </c>
      <c r="Y8453">
        <v>6.438439E-2</v>
      </c>
      <c r="Z8453">
        <v>-2.3452130000000001E-3</v>
      </c>
      <c r="AA8453">
        <v>0.99792239999999999</v>
      </c>
      <c r="AB8453">
        <v>15</v>
      </c>
      <c r="AC8453">
        <v>27.832820000000002</v>
      </c>
      <c r="AD8453">
        <v>-1.1137356244979999</v>
      </c>
      <c r="AE8453">
        <v>-2.1225000000000001</v>
      </c>
      <c r="AF8453">
        <v>1.8061621845233</v>
      </c>
      <c r="AG8453">
        <v>-1.1137356244979999</v>
      </c>
      <c r="AH8453">
        <v>27.8106769238018</v>
      </c>
      <c r="AI8453">
        <v>92.288485595655899</v>
      </c>
      <c r="AJ8453">
        <v>86.284148619257294</v>
      </c>
      <c r="AK8453">
        <v>27.891510891992901</v>
      </c>
      <c r="AL8453">
        <v>79.128154173368998</v>
      </c>
      <c r="AM8453">
        <v>93.424428142328793</v>
      </c>
      <c r="AN8453">
        <v>0.999999987599413</v>
      </c>
    </row>
    <row r="8454" spans="1:40" x14ac:dyDescent="0.25">
      <c r="A8454" t="str">
        <f>"20190304155001750"</f>
        <v>20190304155001750</v>
      </c>
      <c r="B8454" t="str">
        <f>"1551685801745642"</f>
        <v>1551685801745642</v>
      </c>
      <c r="C8454" t="s">
        <v>40</v>
      </c>
      <c r="D8454">
        <v>4.0430129999999904</v>
      </c>
      <c r="E8454">
        <v>0.54436569999999995</v>
      </c>
      <c r="F8454" t="s">
        <v>44</v>
      </c>
      <c r="G8454">
        <v>-99.082139999999995</v>
      </c>
      <c r="H8454" s="1">
        <v>-1.4153039999999999E-6</v>
      </c>
      <c r="I8454">
        <v>135.4187</v>
      </c>
      <c r="J8454">
        <v>-126.2333</v>
      </c>
      <c r="K8454">
        <v>1.1139129999999999</v>
      </c>
      <c r="L8454">
        <v>137.4554</v>
      </c>
      <c r="M8454">
        <v>0.99928790000000001</v>
      </c>
      <c r="N8454">
        <v>-3.5895730000000001E-2</v>
      </c>
      <c r="O8454">
        <v>-1.1631539999999999E-2</v>
      </c>
      <c r="P8454">
        <v>0.98698929999999996</v>
      </c>
      <c r="Q8454">
        <v>0.15351609999999999</v>
      </c>
      <c r="R8454">
        <v>4.7801040000000003E-2</v>
      </c>
      <c r="S8454">
        <v>3.0706180000000001</v>
      </c>
      <c r="T8454">
        <v>-0.1253446</v>
      </c>
      <c r="U8454">
        <v>-0.22944639999999999</v>
      </c>
      <c r="V8454">
        <v>-5.9208259999999999E-2</v>
      </c>
      <c r="W8454">
        <v>0.1888475</v>
      </c>
      <c r="X8454">
        <v>0.98021979999999997</v>
      </c>
      <c r="Y8454">
        <v>6.2805810000000004E-2</v>
      </c>
      <c r="Z8454">
        <v>-2.3528329999999999E-3</v>
      </c>
      <c r="AA8454">
        <v>0.99802299999999999</v>
      </c>
      <c r="AB8454">
        <v>15</v>
      </c>
      <c r="AC8454">
        <v>27.151160000000001</v>
      </c>
      <c r="AD8454">
        <v>-1.1139144153039999</v>
      </c>
      <c r="AE8454">
        <v>-2.03669999999999</v>
      </c>
      <c r="AF8454">
        <v>1.7176736451732699</v>
      </c>
      <c r="AG8454">
        <v>-1.1139144153039999</v>
      </c>
      <c r="AH8454">
        <v>27.127621335907701</v>
      </c>
      <c r="AI8454">
        <v>92.346664268959898</v>
      </c>
      <c r="AJ8454">
        <v>86.3769678788032</v>
      </c>
      <c r="AK8454">
        <v>27.204761484349401</v>
      </c>
      <c r="AL8454">
        <v>79.114465928346206</v>
      </c>
      <c r="AM8454">
        <v>93.456639708300301</v>
      </c>
      <c r="AN8454">
        <v>0.99999992631025603</v>
      </c>
    </row>
    <row r="8455" spans="1:40" x14ac:dyDescent="0.25">
      <c r="A8455" t="str">
        <f>"20190304155001772"</f>
        <v>20190304155001772</v>
      </c>
      <c r="B8455" t="str">
        <f>"1551685801766134"</f>
        <v>1551685801766134</v>
      </c>
      <c r="C8455" t="s">
        <v>40</v>
      </c>
      <c r="D8455">
        <v>4.1529949999999998</v>
      </c>
      <c r="E8455">
        <v>0.54442729999999995</v>
      </c>
      <c r="F8455" t="s">
        <v>44</v>
      </c>
      <c r="G8455">
        <v>-99.529539999999997</v>
      </c>
      <c r="H8455" s="1">
        <v>-1.246783E-6</v>
      </c>
      <c r="I8455">
        <v>135.47980000000001</v>
      </c>
      <c r="J8455">
        <v>-126.1033</v>
      </c>
      <c r="K8455">
        <v>1.1141669999999999</v>
      </c>
      <c r="L8455">
        <v>137.45339999999999</v>
      </c>
      <c r="M8455">
        <v>0.99923150000000005</v>
      </c>
      <c r="N8455">
        <v>-3.7319869999999998E-2</v>
      </c>
      <c r="O8455">
        <v>-1.1989069999999999E-2</v>
      </c>
      <c r="P8455">
        <v>0.98728159999999998</v>
      </c>
      <c r="Q8455">
        <v>0.15162010000000001</v>
      </c>
      <c r="R8455">
        <v>4.781676E-2</v>
      </c>
      <c r="S8455">
        <v>3.0704500000000001</v>
      </c>
      <c r="T8455">
        <v>-0.12808</v>
      </c>
      <c r="U8455">
        <v>-0.22715759999999999</v>
      </c>
      <c r="V8455">
        <v>-5.9593519999999997E-2</v>
      </c>
      <c r="W8455">
        <v>0.18835589999999999</v>
      </c>
      <c r="X8455">
        <v>0.98029109999999997</v>
      </c>
      <c r="Y8455">
        <v>6.1708850000000003E-2</v>
      </c>
      <c r="Z8455">
        <v>-2.387012E-3</v>
      </c>
      <c r="AA8455">
        <v>0.99809130000000001</v>
      </c>
      <c r="AB8455">
        <v>14</v>
      </c>
      <c r="AC8455">
        <v>26.57376</v>
      </c>
      <c r="AD8455">
        <v>-1.1141682467830001</v>
      </c>
      <c r="AE8455">
        <v>-1.97359999999997</v>
      </c>
      <c r="AF8455">
        <v>1.6517535083897401</v>
      </c>
      <c r="AG8455">
        <v>-1.1141682467830001</v>
      </c>
      <c r="AH8455">
        <v>26.549110750897999</v>
      </c>
      <c r="AI8455">
        <v>92.398450497654594</v>
      </c>
      <c r="AJ8455">
        <v>86.439930418844298</v>
      </c>
      <c r="AK8455">
        <v>26.6237664915779</v>
      </c>
      <c r="AL8455">
        <v>79.143147924636096</v>
      </c>
      <c r="AM8455">
        <v>93.478824095652897</v>
      </c>
      <c r="AN8455">
        <v>0.99999998671500501</v>
      </c>
    </row>
    <row r="8456" spans="1:40" x14ac:dyDescent="0.25">
      <c r="A8456" t="str">
        <f>"20190304155001794"</f>
        <v>20190304155001794</v>
      </c>
      <c r="B8456" t="str">
        <f>"1551685801785654"</f>
        <v>1551685801785654</v>
      </c>
      <c r="C8456" t="s">
        <v>40</v>
      </c>
      <c r="D8456">
        <v>4.3130579999999998</v>
      </c>
      <c r="E8456">
        <v>0.54535400000000001</v>
      </c>
      <c r="F8456" t="s">
        <v>44</v>
      </c>
      <c r="G8456">
        <v>-100.52849999999999</v>
      </c>
      <c r="H8456" s="1">
        <v>-5.176842E-6</v>
      </c>
      <c r="I8456">
        <v>135.56209999999999</v>
      </c>
      <c r="J8456">
        <v>-125.98050000000001</v>
      </c>
      <c r="K8456">
        <v>1.11439</v>
      </c>
      <c r="L8456">
        <v>137.45150000000001</v>
      </c>
      <c r="M8456">
        <v>0.9991736</v>
      </c>
      <c r="N8456">
        <v>-3.8737420000000002E-2</v>
      </c>
      <c r="O8456">
        <v>-1.2324E-2</v>
      </c>
      <c r="P8456">
        <v>0.98765780000000003</v>
      </c>
      <c r="Q8456">
        <v>0.1490552</v>
      </c>
      <c r="R8456">
        <v>4.8113709999999997E-2</v>
      </c>
      <c r="S8456">
        <v>3.0701900000000002</v>
      </c>
      <c r="T8456">
        <v>-0.1337537</v>
      </c>
      <c r="U8456">
        <v>-0.2270508</v>
      </c>
      <c r="V8456">
        <v>-6.0238170000000001E-2</v>
      </c>
      <c r="W8456">
        <v>0.1871939</v>
      </c>
      <c r="X8456">
        <v>0.98047430000000002</v>
      </c>
      <c r="Y8456">
        <v>6.133711E-2</v>
      </c>
      <c r="Z8456">
        <v>-2.4659069999999998E-3</v>
      </c>
      <c r="AA8456">
        <v>0.99811399999999995</v>
      </c>
      <c r="AB8456">
        <v>13</v>
      </c>
      <c r="AC8456">
        <v>25.452000000000002</v>
      </c>
      <c r="AD8456">
        <v>-1.114395176842</v>
      </c>
      <c r="AE8456">
        <v>-1.88940000000002</v>
      </c>
      <c r="AF8456">
        <v>1.5723525271585601</v>
      </c>
      <c r="AG8456">
        <v>-1.114395176842</v>
      </c>
      <c r="AH8456">
        <v>25.424892836581801</v>
      </c>
      <c r="AI8456">
        <v>92.504938058435201</v>
      </c>
      <c r="AJ8456">
        <v>86.461162034132698</v>
      </c>
      <c r="AK8456">
        <v>25.497830198499202</v>
      </c>
      <c r="AL8456">
        <v>79.210931748962395</v>
      </c>
      <c r="AM8456">
        <v>93.515706807075901</v>
      </c>
      <c r="AN8456">
        <v>1.00000002314132</v>
      </c>
    </row>
    <row r="8457" spans="1:40" x14ac:dyDescent="0.25">
      <c r="A8457" t="str">
        <f>"20190304155001817"</f>
        <v>20190304155001817</v>
      </c>
      <c r="B8457" t="str">
        <f>"1551685801806150"</f>
        <v>1551685801806150</v>
      </c>
      <c r="C8457" t="s">
        <v>40</v>
      </c>
      <c r="D8457">
        <v>4.3887830000000001</v>
      </c>
      <c r="E8457">
        <v>0.54657529999999999</v>
      </c>
      <c r="F8457" t="s">
        <v>44</v>
      </c>
      <c r="G8457">
        <v>-102.36069999999999</v>
      </c>
      <c r="H8457" s="1">
        <v>-4.2943539999999999E-6</v>
      </c>
      <c r="I8457">
        <v>135.65450000000001</v>
      </c>
      <c r="J8457">
        <v>-125.863</v>
      </c>
      <c r="K8457">
        <v>1.1144780000000001</v>
      </c>
      <c r="L8457">
        <v>137.44970000000001</v>
      </c>
      <c r="M8457">
        <v>0.99912939999999995</v>
      </c>
      <c r="N8457">
        <v>-3.9756060000000003E-2</v>
      </c>
      <c r="O8457">
        <v>-1.265724E-2</v>
      </c>
      <c r="P8457">
        <v>0.98790809999999996</v>
      </c>
      <c r="Q8457">
        <v>0.1473614</v>
      </c>
      <c r="R8457">
        <v>4.8193050000000001E-2</v>
      </c>
      <c r="S8457">
        <v>3.0707550000000001</v>
      </c>
      <c r="T8457">
        <v>-0.14488010000000001</v>
      </c>
      <c r="U8457">
        <v>-0.23362730000000001</v>
      </c>
      <c r="V8457">
        <v>-6.0656719999999997E-2</v>
      </c>
      <c r="W8457">
        <v>0.18650810000000001</v>
      </c>
      <c r="X8457">
        <v>0.98057910000000004</v>
      </c>
      <c r="Y8457">
        <v>6.3096639999999996E-2</v>
      </c>
      <c r="Z8457">
        <v>-2.650127E-3</v>
      </c>
      <c r="AA8457">
        <v>0.99800390000000005</v>
      </c>
      <c r="AB8457">
        <v>12</v>
      </c>
      <c r="AC8457">
        <v>23.502300000000002</v>
      </c>
      <c r="AD8457">
        <v>-1.114482294354</v>
      </c>
      <c r="AE8457">
        <v>-1.7951999999999899</v>
      </c>
      <c r="AF8457">
        <v>1.4940063566684001</v>
      </c>
      <c r="AG8457">
        <v>-1.114482294354</v>
      </c>
      <c r="AH8457">
        <v>23.470682934691901</v>
      </c>
      <c r="AI8457">
        <v>92.713108961433306</v>
      </c>
      <c r="AJ8457">
        <v>86.357799807481697</v>
      </c>
      <c r="AK8457">
        <v>23.544576513478201</v>
      </c>
      <c r="AL8457">
        <v>79.250928724370794</v>
      </c>
      <c r="AM8457">
        <v>93.5396955309036</v>
      </c>
      <c r="AN8457">
        <v>0.99999994020178695</v>
      </c>
    </row>
    <row r="8458" spans="1:40" x14ac:dyDescent="0.25">
      <c r="A8458" t="str">
        <f>"20190304155001852"</f>
        <v>20190304155001852</v>
      </c>
      <c r="B8458" t="str">
        <f>"1551685801846166"</f>
        <v>1551685801846166</v>
      </c>
      <c r="C8458" t="s">
        <v>40</v>
      </c>
      <c r="D8458">
        <v>4.2433809999999896</v>
      </c>
      <c r="E8458">
        <v>0.54955569999999998</v>
      </c>
      <c r="F8458" t="s">
        <v>44</v>
      </c>
      <c r="G8458">
        <v>-105.541</v>
      </c>
      <c r="H8458" s="1">
        <v>-2.7582940000000002E-6</v>
      </c>
      <c r="I8458">
        <v>135.8391</v>
      </c>
      <c r="J8458">
        <v>-125.6908</v>
      </c>
      <c r="K8458">
        <v>1.114228</v>
      </c>
      <c r="L8458">
        <v>137.4468</v>
      </c>
      <c r="M8458">
        <v>0.99911950000000005</v>
      </c>
      <c r="N8458">
        <v>-3.9834889999999998E-2</v>
      </c>
      <c r="O8458">
        <v>-1.316904E-2</v>
      </c>
      <c r="P8458">
        <v>0.9881008</v>
      </c>
      <c r="Q8458">
        <v>0.1462832</v>
      </c>
      <c r="R8458">
        <v>4.7517530000000002E-2</v>
      </c>
      <c r="S8458">
        <v>3.0737459999999999</v>
      </c>
      <c r="T8458">
        <v>-0.16856779999999999</v>
      </c>
      <c r="U8458">
        <v>-0.24360660000000001</v>
      </c>
      <c r="V8458">
        <v>-6.0486860000000003E-2</v>
      </c>
      <c r="W8458">
        <v>0.18551570000000001</v>
      </c>
      <c r="X8458">
        <v>0.98077789999999998</v>
      </c>
      <c r="Y8458">
        <v>6.5692609999999999E-2</v>
      </c>
      <c r="Z8458">
        <v>-2.9133779999999999E-3</v>
      </c>
      <c r="AA8458">
        <v>0.99783560000000004</v>
      </c>
      <c r="AB8458">
        <v>12</v>
      </c>
      <c r="AC8458">
        <v>20.149799999999999</v>
      </c>
      <c r="AD8458">
        <v>-1.1142307582940001</v>
      </c>
      <c r="AE8458">
        <v>-1.6076999999999899</v>
      </c>
      <c r="AF8458">
        <v>1.33793081823064</v>
      </c>
      <c r="AG8458">
        <v>-1.1142307582940001</v>
      </c>
      <c r="AH8458">
        <v>20.1081409194231</v>
      </c>
      <c r="AI8458">
        <v>93.164642687124498</v>
      </c>
      <c r="AJ8458">
        <v>86.193334628073302</v>
      </c>
      <c r="AK8458">
        <v>20.183381785332202</v>
      </c>
      <c r="AL8458">
        <v>79.308799822718001</v>
      </c>
      <c r="AM8458">
        <v>93.529094573696895</v>
      </c>
      <c r="AN8458">
        <v>1.00000001215377</v>
      </c>
    </row>
    <row r="8459" spans="1:40" x14ac:dyDescent="0.25">
      <c r="A8459" t="str">
        <f>"20190304155001873"</f>
        <v>20190304155001873</v>
      </c>
      <c r="B8459" t="str">
        <f>"1551685801865686"</f>
        <v>1551685801865686</v>
      </c>
      <c r="C8459" t="s">
        <v>40</v>
      </c>
      <c r="D8459">
        <v>4.2907279999999997</v>
      </c>
      <c r="E8459">
        <v>0.55102839999999997</v>
      </c>
      <c r="F8459" t="s">
        <v>44</v>
      </c>
      <c r="G8459">
        <v>-109.2281</v>
      </c>
      <c r="H8459" s="1">
        <v>-1.2412639999999999E-6</v>
      </c>
      <c r="I8459">
        <v>136.006</v>
      </c>
      <c r="J8459">
        <v>-125.58710000000001</v>
      </c>
      <c r="K8459">
        <v>1.1140399999999999</v>
      </c>
      <c r="L8459">
        <v>137.4451</v>
      </c>
      <c r="M8459">
        <v>0.99912849999999997</v>
      </c>
      <c r="N8459">
        <v>-3.9507710000000001E-2</v>
      </c>
      <c r="O8459">
        <v>-1.346966E-2</v>
      </c>
      <c r="P8459">
        <v>0.98822560000000004</v>
      </c>
      <c r="Q8459">
        <v>0.14560580000000001</v>
      </c>
      <c r="R8459">
        <v>4.700468E-2</v>
      </c>
      <c r="S8459">
        <v>3.0799560000000001</v>
      </c>
      <c r="T8459">
        <v>-0.208457</v>
      </c>
      <c r="U8459">
        <v>-0.26956180000000002</v>
      </c>
      <c r="V8459">
        <v>-6.0271970000000001E-2</v>
      </c>
      <c r="W8459">
        <v>0.18452279999999999</v>
      </c>
      <c r="X8459">
        <v>0.98097840000000003</v>
      </c>
      <c r="Y8459">
        <v>7.3491319999999999E-2</v>
      </c>
      <c r="Z8459">
        <v>-3.5596069999999998E-3</v>
      </c>
      <c r="AA8459">
        <v>0.99728950000000005</v>
      </c>
      <c r="AB8459">
        <v>11</v>
      </c>
      <c r="AC8459">
        <v>16.359000000000002</v>
      </c>
      <c r="AD8459">
        <v>-1.1140412412639999</v>
      </c>
      <c r="AE8459">
        <v>-1.4390999999999901</v>
      </c>
      <c r="AF8459">
        <v>1.2128653735582899</v>
      </c>
      <c r="AG8459">
        <v>-1.1140412412639999</v>
      </c>
      <c r="AH8459">
        <v>16.301892568954301</v>
      </c>
      <c r="AI8459">
        <v>93.898667482696595</v>
      </c>
      <c r="AJ8459">
        <v>85.745017411874201</v>
      </c>
      <c r="AK8459">
        <v>16.384865932663001</v>
      </c>
      <c r="AL8459">
        <v>79.366688098175999</v>
      </c>
      <c r="AM8459">
        <v>93.515871430802704</v>
      </c>
      <c r="AN8459">
        <v>0.99999999767703995</v>
      </c>
    </row>
    <row r="8460" spans="1:40" x14ac:dyDescent="0.25">
      <c r="A8460" t="str">
        <f>"20190304155001895"</f>
        <v>20190304155001895</v>
      </c>
      <c r="B8460" t="str">
        <f>"1551685801886182"</f>
        <v>1551685801886182</v>
      </c>
      <c r="C8460" t="s">
        <v>40</v>
      </c>
      <c r="D8460">
        <v>4.2775660000000002</v>
      </c>
      <c r="E8460">
        <v>0.55216940000000003</v>
      </c>
      <c r="F8460" t="s">
        <v>44</v>
      </c>
      <c r="G8460">
        <v>-110.5098</v>
      </c>
      <c r="H8460" s="1">
        <v>-4.6841970000000001E-6</v>
      </c>
      <c r="I8460">
        <v>136.06100000000001</v>
      </c>
      <c r="J8460">
        <v>-125.48399999999999</v>
      </c>
      <c r="K8460">
        <v>1.11398</v>
      </c>
      <c r="L8460">
        <v>137.44329999999999</v>
      </c>
      <c r="M8460">
        <v>0.9991274</v>
      </c>
      <c r="N8460">
        <v>-3.9434980000000001E-2</v>
      </c>
      <c r="O8460">
        <v>-1.37649E-2</v>
      </c>
      <c r="P8460">
        <v>0.98844980000000005</v>
      </c>
      <c r="Q8460">
        <v>0.14438190000000001</v>
      </c>
      <c r="R8460">
        <v>4.6053999999999998E-2</v>
      </c>
      <c r="S8460">
        <v>3.0827640000000001</v>
      </c>
      <c r="T8460">
        <v>-0.2277824</v>
      </c>
      <c r="U8460">
        <v>-0.2829895</v>
      </c>
      <c r="V8460">
        <v>-5.9622330000000001E-2</v>
      </c>
      <c r="W8460">
        <v>0.1832348</v>
      </c>
      <c r="X8460">
        <v>0.98125949999999995</v>
      </c>
      <c r="Y8460">
        <v>7.7372440000000001E-2</v>
      </c>
      <c r="Z8460">
        <v>-3.9094569999999999E-3</v>
      </c>
      <c r="AA8460">
        <v>0.99699459999999995</v>
      </c>
      <c r="AB8460">
        <v>11</v>
      </c>
      <c r="AC8460">
        <v>14.9741999999999</v>
      </c>
      <c r="AD8460">
        <v>-1.113984684197</v>
      </c>
      <c r="AE8460">
        <v>-1.3822999999999801</v>
      </c>
      <c r="AF8460">
        <v>1.1694723804199101</v>
      </c>
      <c r="AG8460">
        <v>-1.113984684197</v>
      </c>
      <c r="AH8460">
        <v>14.9100003668357</v>
      </c>
      <c r="AI8460">
        <v>94.259818927440506</v>
      </c>
      <c r="AJ8460">
        <v>85.515162591972299</v>
      </c>
      <c r="AK8460">
        <v>14.9972243586682</v>
      </c>
      <c r="AL8460">
        <v>79.441765348118693</v>
      </c>
      <c r="AM8460">
        <v>93.477075313309399</v>
      </c>
      <c r="AN8460">
        <v>1.00000001025295</v>
      </c>
    </row>
    <row r="8461" spans="1:40" x14ac:dyDescent="0.25">
      <c r="A8461" t="str">
        <f>"20190304155001921"</f>
        <v>20190304155001921</v>
      </c>
      <c r="B8461" t="str">
        <f>"1551685801915462"</f>
        <v>1551685801915462</v>
      </c>
      <c r="C8461" t="s">
        <v>40</v>
      </c>
      <c r="D8461">
        <v>4.272405</v>
      </c>
      <c r="E8461">
        <v>0.55476899999999996</v>
      </c>
      <c r="F8461" t="s">
        <v>44</v>
      </c>
      <c r="G8461">
        <v>-111.6434</v>
      </c>
      <c r="H8461" s="1">
        <v>-4.1876460000000004E-6</v>
      </c>
      <c r="I8461">
        <v>136.1189</v>
      </c>
      <c r="J8461">
        <v>-125.3777</v>
      </c>
      <c r="K8461">
        <v>1.114015</v>
      </c>
      <c r="L8461">
        <v>137.44139999999999</v>
      </c>
      <c r="M8461">
        <v>0.9991177</v>
      </c>
      <c r="N8461">
        <v>-3.9571019999999998E-2</v>
      </c>
      <c r="O8461">
        <v>-1.4075799999999901E-2</v>
      </c>
      <c r="P8461">
        <v>0.98856739999999999</v>
      </c>
      <c r="Q8461">
        <v>0.14392089999999999</v>
      </c>
      <c r="R8461">
        <v>4.4962920000000003E-2</v>
      </c>
      <c r="S8461">
        <v>3.0850979999999999</v>
      </c>
      <c r="T8461">
        <v>-0.2483078</v>
      </c>
      <c r="U8461">
        <v>-0.29519649999999997</v>
      </c>
      <c r="V8461">
        <v>-5.8852050000000003E-2</v>
      </c>
      <c r="W8461">
        <v>0.1829085</v>
      </c>
      <c r="X8461">
        <v>0.98136690000000004</v>
      </c>
      <c r="Y8461">
        <v>8.0841070000000001E-2</v>
      </c>
      <c r="Z8461">
        <v>-4.2755720000000001E-3</v>
      </c>
      <c r="AA8461">
        <v>0.99671779999999999</v>
      </c>
      <c r="AB8461">
        <v>10</v>
      </c>
      <c r="AC8461">
        <v>13.734299999999999</v>
      </c>
      <c r="AD8461">
        <v>-1.1140191876459999</v>
      </c>
      <c r="AE8461">
        <v>-1.32249999999999</v>
      </c>
      <c r="AF8461">
        <v>1.1215846721846201</v>
      </c>
      <c r="AG8461">
        <v>-1.1140191876459999</v>
      </c>
      <c r="AH8461">
        <v>13.6625046703517</v>
      </c>
      <c r="AI8461">
        <v>94.645935788942694</v>
      </c>
      <c r="AJ8461">
        <v>85.306988444405704</v>
      </c>
      <c r="AK8461">
        <v>13.753654961307801</v>
      </c>
      <c r="AL8461">
        <v>79.460782649947106</v>
      </c>
      <c r="AM8461">
        <v>93.431887226921006</v>
      </c>
      <c r="AN8461">
        <v>1.0000000377885301</v>
      </c>
    </row>
    <row r="8462" spans="1:40" x14ac:dyDescent="0.25">
      <c r="A8462" t="str">
        <f>"20190304155001939"</f>
        <v>20190304155001939</v>
      </c>
      <c r="B8462" t="str">
        <f>"1551685801935962"</f>
        <v>1551685801935962</v>
      </c>
      <c r="C8462" t="s">
        <v>40</v>
      </c>
      <c r="D8462">
        <v>3.9897870000000002</v>
      </c>
      <c r="E8462">
        <v>0.55565359999999997</v>
      </c>
      <c r="F8462" t="s">
        <v>44</v>
      </c>
      <c r="G8462">
        <v>-112.6046</v>
      </c>
      <c r="H8462" s="1">
        <v>-3.7751230000000001E-6</v>
      </c>
      <c r="I8462">
        <v>136.1199</v>
      </c>
      <c r="J8462">
        <v>-125.3</v>
      </c>
      <c r="K8462">
        <v>1.114045</v>
      </c>
      <c r="L8462">
        <v>137.44</v>
      </c>
      <c r="M8462">
        <v>0.99911059999999996</v>
      </c>
      <c r="N8462">
        <v>-3.9666979999999998E-2</v>
      </c>
      <c r="O8462">
        <v>-1.430293E-2</v>
      </c>
      <c r="P8462">
        <v>0.98865309999999995</v>
      </c>
      <c r="Q8462">
        <v>0.1436866</v>
      </c>
      <c r="R8462">
        <v>4.3806270000000001E-2</v>
      </c>
      <c r="S8462">
        <v>3.0884399999999999</v>
      </c>
      <c r="T8462">
        <v>-0.26936070000000001</v>
      </c>
      <c r="U8462">
        <v>-0.31953429999999999</v>
      </c>
      <c r="V8462">
        <v>-5.7929330000000001E-2</v>
      </c>
      <c r="W8462">
        <v>0.1827693</v>
      </c>
      <c r="X8462">
        <v>0.98144770000000003</v>
      </c>
      <c r="Y8462">
        <v>8.8195289999999996E-2</v>
      </c>
      <c r="Z8462">
        <v>-4.9120170000000003E-3</v>
      </c>
      <c r="AA8462">
        <v>0.99609110000000001</v>
      </c>
      <c r="AB8462">
        <v>10</v>
      </c>
      <c r="AC8462">
        <v>12.6953999999999</v>
      </c>
      <c r="AD8462">
        <v>-1.1140487751229999</v>
      </c>
      <c r="AE8462">
        <v>-1.3200999999999901</v>
      </c>
      <c r="AF8462">
        <v>1.1296346732057001</v>
      </c>
      <c r="AG8462">
        <v>-1.1140487751229999</v>
      </c>
      <c r="AH8462">
        <v>12.6168791867086</v>
      </c>
      <c r="AI8462">
        <v>95.026030995750105</v>
      </c>
      <c r="AJ8462">
        <v>84.883744315355401</v>
      </c>
      <c r="AK8462">
        <v>12.716242353001199</v>
      </c>
      <c r="AL8462">
        <v>79.468894634600204</v>
      </c>
      <c r="AM8462">
        <v>93.377928039068493</v>
      </c>
      <c r="AN8462">
        <v>1.0000000060660099</v>
      </c>
    </row>
    <row r="8463" spans="1:40" x14ac:dyDescent="0.25">
      <c r="A8463" t="str">
        <f>"20190304155001962"</f>
        <v>20190304155001962</v>
      </c>
      <c r="B8463" t="str">
        <f>"1551685801955479"</f>
        <v>1551685801955479</v>
      </c>
      <c r="C8463" t="s">
        <v>40</v>
      </c>
      <c r="D8463">
        <v>4.5296690000000002</v>
      </c>
      <c r="E8463">
        <v>0.5571779</v>
      </c>
      <c r="F8463" t="s">
        <v>44</v>
      </c>
      <c r="G8463">
        <v>-112.7766</v>
      </c>
      <c r="H8463" s="1">
        <v>-3.7042609999999998E-6</v>
      </c>
      <c r="I8463">
        <v>136.10319999999999</v>
      </c>
      <c r="J8463">
        <v>-125.2144</v>
      </c>
      <c r="K8463">
        <v>1.1140589999999999</v>
      </c>
      <c r="L8463">
        <v>137.4385</v>
      </c>
      <c r="M8463">
        <v>0.99910719999999997</v>
      </c>
      <c r="N8463">
        <v>-3.966596E-2</v>
      </c>
      <c r="O8463">
        <v>-1.453962E-2</v>
      </c>
      <c r="P8463">
        <v>0.98864300000000005</v>
      </c>
      <c r="Q8463">
        <v>0.14418919999999999</v>
      </c>
      <c r="R8463">
        <v>4.2364350000000002E-2</v>
      </c>
      <c r="S8463">
        <v>3.088959</v>
      </c>
      <c r="T8463">
        <v>-0.27478469999999999</v>
      </c>
      <c r="U8463">
        <v>-0.3297272</v>
      </c>
      <c r="V8463">
        <v>-5.6729160000000001E-2</v>
      </c>
      <c r="W8463">
        <v>0.1832676</v>
      </c>
      <c r="X8463">
        <v>0.98142490000000004</v>
      </c>
      <c r="Y8463">
        <v>9.116117E-2</v>
      </c>
      <c r="Z8463">
        <v>-5.1421790000000002E-3</v>
      </c>
      <c r="AA8463">
        <v>0.99582280000000001</v>
      </c>
      <c r="AB8463">
        <v>9</v>
      </c>
      <c r="AC8463">
        <v>12.4377999999999</v>
      </c>
      <c r="AD8463">
        <v>-1.1140627042609901</v>
      </c>
      <c r="AE8463">
        <v>-1.3353000000000099</v>
      </c>
      <c r="AF8463">
        <v>1.14509300509353</v>
      </c>
      <c r="AG8463">
        <v>-1.1140627042609901</v>
      </c>
      <c r="AH8463">
        <v>12.3578966037625</v>
      </c>
      <c r="AI8463">
        <v>95.129426386050397</v>
      </c>
      <c r="AJ8463">
        <v>84.706042114016299</v>
      </c>
      <c r="AK8463">
        <v>12.460737625382601</v>
      </c>
      <c r="AL8463">
        <v>79.439853806105205</v>
      </c>
      <c r="AM8463">
        <v>93.308178447506194</v>
      </c>
      <c r="AN8463">
        <v>1.00000002257203</v>
      </c>
    </row>
    <row r="8464" spans="1:40" x14ac:dyDescent="0.25">
      <c r="A8464" t="str">
        <f>"20190304155001984"</f>
        <v>20190304155001984</v>
      </c>
      <c r="B8464" t="str">
        <f>"1551685801975975"</f>
        <v>1551685801975975</v>
      </c>
      <c r="C8464" t="s">
        <v>40</v>
      </c>
      <c r="D8464">
        <v>4.0272449999999997</v>
      </c>
      <c r="E8464">
        <v>0.55850829999999996</v>
      </c>
      <c r="F8464" t="s">
        <v>44</v>
      </c>
      <c r="G8464">
        <v>-113.0248</v>
      </c>
      <c r="H8464" s="1">
        <v>-3.602731E-6</v>
      </c>
      <c r="I8464">
        <v>136.0754</v>
      </c>
      <c r="J8464">
        <v>-125.1335</v>
      </c>
      <c r="K8464">
        <v>1.114058</v>
      </c>
      <c r="L8464">
        <v>137.43709999999999</v>
      </c>
      <c r="M8464">
        <v>0.99910810000000005</v>
      </c>
      <c r="N8464">
        <v>-3.9573419999999998E-2</v>
      </c>
      <c r="O8464">
        <v>-1.4736549999999999E-2</v>
      </c>
      <c r="P8464">
        <v>0.98860369999999997</v>
      </c>
      <c r="Q8464">
        <v>0.1447079</v>
      </c>
      <c r="R8464">
        <v>4.1504340000000001E-2</v>
      </c>
      <c r="S8464">
        <v>3.0904539999999998</v>
      </c>
      <c r="T8464">
        <v>-0.2824509</v>
      </c>
      <c r="U8464">
        <v>-0.34558109999999997</v>
      </c>
      <c r="V8464">
        <v>-5.606759E-2</v>
      </c>
      <c r="W8464">
        <v>0.1836923</v>
      </c>
      <c r="X8464">
        <v>0.98138349999999996</v>
      </c>
      <c r="Y8464">
        <v>9.5911709999999997E-2</v>
      </c>
      <c r="Z8464">
        <v>-5.5118019999999997E-3</v>
      </c>
      <c r="AA8464">
        <v>0.9953746</v>
      </c>
      <c r="AB8464">
        <v>9</v>
      </c>
      <c r="AC8464">
        <v>12.108700000000001</v>
      </c>
      <c r="AD8464">
        <v>-1.114061602731</v>
      </c>
      <c r="AE8464">
        <v>-1.3616999999999799</v>
      </c>
      <c r="AF8464">
        <v>1.1731648328631601</v>
      </c>
      <c r="AG8464">
        <v>-1.114061602731</v>
      </c>
      <c r="AH8464">
        <v>12.026929854808699</v>
      </c>
      <c r="AI8464">
        <v>95.267381155582299</v>
      </c>
      <c r="AJ8464">
        <v>84.428718528345797</v>
      </c>
      <c r="AK8464">
        <v>12.1352581642186</v>
      </c>
      <c r="AL8464">
        <v>79.415099866468296</v>
      </c>
      <c r="AM8464">
        <v>93.269820619383097</v>
      </c>
      <c r="AN8464">
        <v>1.00000000489997</v>
      </c>
    </row>
    <row r="8465" spans="1:40" x14ac:dyDescent="0.25">
      <c r="A8465" t="str">
        <f>"20190304155002007"</f>
        <v>20190304155002007</v>
      </c>
      <c r="B8465" t="str">
        <f>"1551685801995495"</f>
        <v>1551685801995495</v>
      </c>
      <c r="C8465" t="s">
        <v>40</v>
      </c>
      <c r="D8465">
        <v>4.0002019999999998</v>
      </c>
      <c r="E8465">
        <v>0.55931309999999901</v>
      </c>
      <c r="F8465" t="s">
        <v>44</v>
      </c>
      <c r="G8465">
        <v>-113.2086</v>
      </c>
      <c r="H8465" s="1">
        <v>-3.5278220000000001E-6</v>
      </c>
      <c r="I8465">
        <v>136.05330000000001</v>
      </c>
      <c r="J8465">
        <v>-125.0596</v>
      </c>
      <c r="K8465">
        <v>1.1140600000000001</v>
      </c>
      <c r="L8465">
        <v>137.4357</v>
      </c>
      <c r="M8465">
        <v>0.9991101</v>
      </c>
      <c r="N8465">
        <v>-3.9465439999999997E-2</v>
      </c>
      <c r="O8465">
        <v>-1.489413E-2</v>
      </c>
      <c r="P8465">
        <v>0.98855689999999996</v>
      </c>
      <c r="Q8465">
        <v>0.14523739999999999</v>
      </c>
      <c r="R8465">
        <v>4.0763349999999997E-2</v>
      </c>
      <c r="S8465">
        <v>3.0919189999999999</v>
      </c>
      <c r="T8465">
        <v>-0.28885420000000001</v>
      </c>
      <c r="U8465">
        <v>-0.35877989999999998</v>
      </c>
      <c r="V8465">
        <v>-5.5485670000000001E-2</v>
      </c>
      <c r="W8465">
        <v>0.1841122</v>
      </c>
      <c r="X8465">
        <v>0.98133789999999999</v>
      </c>
      <c r="Y8465">
        <v>9.9853399999999995E-2</v>
      </c>
      <c r="Z8465">
        <v>-5.8244719999999998E-3</v>
      </c>
      <c r="AA8465">
        <v>0.99498509999999996</v>
      </c>
      <c r="AB8465">
        <v>8</v>
      </c>
      <c r="AC8465">
        <v>11.851000000000001</v>
      </c>
      <c r="AD8465">
        <v>-1.1140635278219999</v>
      </c>
      <c r="AE8465">
        <v>-1.3823999999999901</v>
      </c>
      <c r="AF8465">
        <v>1.19517836676466</v>
      </c>
      <c r="AG8465">
        <v>-1.1140635278219999</v>
      </c>
      <c r="AH8465">
        <v>11.767692786544201</v>
      </c>
      <c r="AI8465">
        <v>95.380634298371206</v>
      </c>
      <c r="AJ8465">
        <v>84.200676020285201</v>
      </c>
      <c r="AK8465">
        <v>11.8805800527958</v>
      </c>
      <c r="AL8465">
        <v>79.390624059167607</v>
      </c>
      <c r="AM8465">
        <v>93.236106017821697</v>
      </c>
      <c r="AN8465">
        <v>1.0000000178702899</v>
      </c>
    </row>
    <row r="8466" spans="1:40" x14ac:dyDescent="0.25">
      <c r="A8466" t="str">
        <f>"20190304155002029"</f>
        <v>20190304155002029</v>
      </c>
      <c r="B8466" t="str">
        <f>"1551685802025750"</f>
        <v>1551685802025750</v>
      </c>
      <c r="C8466" t="s">
        <v>40</v>
      </c>
      <c r="D8466">
        <v>3.9994510000000001</v>
      </c>
      <c r="E8466">
        <v>0.55968109999999904</v>
      </c>
      <c r="F8466" t="s">
        <v>44</v>
      </c>
      <c r="G8466">
        <v>-113.4327</v>
      </c>
      <c r="H8466" s="1">
        <v>-3.4314159999999999E-6</v>
      </c>
      <c r="I8466">
        <v>136.0547</v>
      </c>
      <c r="J8466">
        <v>-124.98950000000001</v>
      </c>
      <c r="K8466">
        <v>1.11407099999999</v>
      </c>
      <c r="L8466">
        <v>137.43450000000001</v>
      </c>
      <c r="M8466">
        <v>0.99911209999999995</v>
      </c>
      <c r="N8466">
        <v>-3.9358459999999998E-2</v>
      </c>
      <c r="O8466">
        <v>-1.50309E-2</v>
      </c>
      <c r="P8466">
        <v>0.98860199999999998</v>
      </c>
      <c r="Q8466">
        <v>0.14520339999999901</v>
      </c>
      <c r="R8466">
        <v>3.9772460000000003E-2</v>
      </c>
      <c r="S8466">
        <v>3.0934140000000001</v>
      </c>
      <c r="T8466">
        <v>-0.2964039</v>
      </c>
      <c r="U8466">
        <v>-0.36741639999999998</v>
      </c>
      <c r="V8466">
        <v>-5.463639E-2</v>
      </c>
      <c r="W8466">
        <v>0.18397350000000001</v>
      </c>
      <c r="X8466">
        <v>0.98141160000000005</v>
      </c>
      <c r="Y8466">
        <v>0.10236190000000001</v>
      </c>
      <c r="Z8466">
        <v>-6.0620419999999897E-3</v>
      </c>
      <c r="AA8466">
        <v>0.99472870000000002</v>
      </c>
      <c r="AB8466">
        <v>8</v>
      </c>
      <c r="AC8466">
        <v>11.556800000000001</v>
      </c>
      <c r="AD8466">
        <v>-1.1140744314159901</v>
      </c>
      <c r="AE8466">
        <v>-1.3798000000000099</v>
      </c>
      <c r="AF8466">
        <v>1.1948524358001</v>
      </c>
      <c r="AG8466">
        <v>-1.1140744314159901</v>
      </c>
      <c r="AH8466">
        <v>11.4711456285312</v>
      </c>
      <c r="AI8466">
        <v>95.517488006473499</v>
      </c>
      <c r="AJ8466">
        <v>84.053426335884694</v>
      </c>
      <c r="AK8466">
        <v>11.5868898421036</v>
      </c>
      <c r="AL8466">
        <v>79.398709501563104</v>
      </c>
      <c r="AM8466">
        <v>93.186437289315407</v>
      </c>
      <c r="AN8466">
        <v>1.0000000562145099</v>
      </c>
    </row>
    <row r="8467" spans="1:40" x14ac:dyDescent="0.25">
      <c r="A8467" t="str">
        <f>"20190304155002053"</f>
        <v>20190304155002053</v>
      </c>
      <c r="B8467" t="str">
        <f>"1551685802045270"</f>
        <v>1551685802045270</v>
      </c>
      <c r="C8467" t="s">
        <v>40</v>
      </c>
      <c r="D8467">
        <v>3.992035</v>
      </c>
      <c r="E8467">
        <v>0.55988419999999905</v>
      </c>
      <c r="F8467" t="s">
        <v>44</v>
      </c>
      <c r="G8467">
        <v>-113.80549999999999</v>
      </c>
      <c r="H8467" s="1">
        <v>-3.2658510000000001E-6</v>
      </c>
      <c r="I8467">
        <v>136.0865</v>
      </c>
      <c r="J8467">
        <v>-124.9177</v>
      </c>
      <c r="K8467">
        <v>1.113739</v>
      </c>
      <c r="L8467">
        <v>137.4332</v>
      </c>
      <c r="M8467">
        <v>0.99916519999999998</v>
      </c>
      <c r="N8467">
        <v>-3.793088E-2</v>
      </c>
      <c r="O8467">
        <v>-1.5171540000000001E-2</v>
      </c>
      <c r="P8467">
        <v>0.98836820000000003</v>
      </c>
      <c r="Q8467">
        <v>0.1469</v>
      </c>
      <c r="R8467">
        <v>3.9355429999999997E-2</v>
      </c>
      <c r="S8467">
        <v>3.0948790000000002</v>
      </c>
      <c r="T8467">
        <v>-0.30828889999999998</v>
      </c>
      <c r="U8467">
        <v>-0.37301640000000003</v>
      </c>
      <c r="V8467">
        <v>-5.4356399999999999E-2</v>
      </c>
      <c r="W8467">
        <v>0.18425710000000001</v>
      </c>
      <c r="X8467">
        <v>0.98137390000000002</v>
      </c>
      <c r="Y8467">
        <v>0.1038989</v>
      </c>
      <c r="Z8467">
        <v>-6.1996569999999999E-3</v>
      </c>
      <c r="AA8467">
        <v>0.99456849999999997</v>
      </c>
      <c r="AB8467">
        <v>7</v>
      </c>
      <c r="AC8467">
        <v>11.1122</v>
      </c>
      <c r="AD8467">
        <v>-1.1137422658509999</v>
      </c>
      <c r="AE8467">
        <v>-1.34669999999999</v>
      </c>
      <c r="AF8467">
        <v>1.16628788394942</v>
      </c>
      <c r="AG8467">
        <v>-1.1137422658509999</v>
      </c>
      <c r="AH8467">
        <v>11.0222447336795</v>
      </c>
      <c r="AI8467">
        <v>95.738048645655198</v>
      </c>
      <c r="AJ8467">
        <v>83.959883184043093</v>
      </c>
      <c r="AK8467">
        <v>11.139592821648201</v>
      </c>
      <c r="AL8467">
        <v>79.382177354721705</v>
      </c>
      <c r="AM8467">
        <v>93.170262977657799</v>
      </c>
      <c r="AN8467">
        <v>1.0000000143612899</v>
      </c>
    </row>
    <row r="8468" spans="1:40" x14ac:dyDescent="0.25">
      <c r="A8468" t="str">
        <f>"20190304155002074"</f>
        <v>20190304155002074</v>
      </c>
      <c r="B8468" t="str">
        <f>"1551685802065767"</f>
        <v>1551685802065767</v>
      </c>
      <c r="C8468" t="s">
        <v>40</v>
      </c>
      <c r="D8468">
        <v>3.9572539999999998</v>
      </c>
      <c r="E8468">
        <v>0.56120109999999901</v>
      </c>
      <c r="F8468" t="s">
        <v>41</v>
      </c>
      <c r="G8468">
        <v>-124.12350000000001</v>
      </c>
      <c r="H8468">
        <v>1.034197</v>
      </c>
      <c r="I8468">
        <v>137.33670000000001</v>
      </c>
      <c r="J8468">
        <v>-124.8466</v>
      </c>
      <c r="K8468">
        <v>1.1132959999999901</v>
      </c>
      <c r="L8468">
        <v>137.43199999999999</v>
      </c>
      <c r="M8468">
        <v>0.99924239999999998</v>
      </c>
      <c r="N8468">
        <v>-3.5781840000000002E-2</v>
      </c>
      <c r="O8468">
        <v>-1.5309649999999999E-2</v>
      </c>
      <c r="P8468">
        <v>0.98809179999999996</v>
      </c>
      <c r="Q8468">
        <v>0.1489694</v>
      </c>
      <c r="R8468">
        <v>3.8510170000000003E-2</v>
      </c>
      <c r="S8468">
        <v>3.09639</v>
      </c>
      <c r="T8468">
        <v>-0.31012899999999999</v>
      </c>
      <c r="U8468">
        <v>-0.37602229999999998</v>
      </c>
      <c r="V8468">
        <v>-5.3641889999999998E-2</v>
      </c>
      <c r="W8468">
        <v>0.18420510000000001</v>
      </c>
      <c r="X8468">
        <v>0.98142300000000005</v>
      </c>
      <c r="Y8468">
        <v>0.1046589</v>
      </c>
      <c r="Z8468">
        <v>-6.1169939999999997E-3</v>
      </c>
      <c r="AA8468">
        <v>0.99448939999999997</v>
      </c>
      <c r="AB8468">
        <v>7</v>
      </c>
      <c r="AC8468">
        <v>0.72309999999998797</v>
      </c>
      <c r="AD8468">
        <v>-7.9098999999999794E-2</v>
      </c>
      <c r="AE8468">
        <v>-9.5300000000008794E-2</v>
      </c>
      <c r="AF8468">
        <v>8.3232369352064697E-2</v>
      </c>
      <c r="AG8468">
        <v>-7.9098999999999794E-2</v>
      </c>
      <c r="AH8468">
        <v>0.716053155835914</v>
      </c>
      <c r="AI8468">
        <v>96.261813931447406</v>
      </c>
      <c r="AJ8468">
        <v>83.369824290109193</v>
      </c>
      <c r="AK8468">
        <v>0.72520093842433098</v>
      </c>
      <c r="AL8468">
        <v>79.385208876223103</v>
      </c>
      <c r="AM8468">
        <v>93.128517280220294</v>
      </c>
      <c r="AN8468">
        <v>1.00000003807889</v>
      </c>
    </row>
    <row r="8469" spans="1:40" x14ac:dyDescent="0.25">
      <c r="A8469" t="str">
        <f>"20190304155002096"</f>
        <v>20190304155002096</v>
      </c>
      <c r="B8469" t="str">
        <f>"1551685802085287"</f>
        <v>1551685802085287</v>
      </c>
      <c r="C8469" t="s">
        <v>40</v>
      </c>
      <c r="D8469">
        <v>3.958853</v>
      </c>
      <c r="E8469">
        <v>0.56141129999999995</v>
      </c>
      <c r="F8469" t="s">
        <v>41</v>
      </c>
      <c r="G8469">
        <v>-124.0622</v>
      </c>
      <c r="H8469">
        <v>1.035342</v>
      </c>
      <c r="I8469">
        <v>137.33330000000001</v>
      </c>
      <c r="J8469">
        <v>-124.7816</v>
      </c>
      <c r="K8469">
        <v>1.1131219999999999</v>
      </c>
      <c r="L8469">
        <v>137.43090000000001</v>
      </c>
      <c r="M8469">
        <v>0.99928899999999998</v>
      </c>
      <c r="N8469">
        <v>-3.4404219999999999E-2</v>
      </c>
      <c r="O8469">
        <v>-1.5428290000000001E-2</v>
      </c>
      <c r="P8469">
        <v>0.98784950000000005</v>
      </c>
      <c r="Q8469">
        <v>0.15086620000000001</v>
      </c>
      <c r="R8469">
        <v>3.7323879999999997E-2</v>
      </c>
      <c r="S8469">
        <v>3.0977480000000002</v>
      </c>
      <c r="T8469">
        <v>-0.30791570000000001</v>
      </c>
      <c r="U8469">
        <v>-0.3891907</v>
      </c>
      <c r="V8469">
        <v>-5.2569030000000003E-2</v>
      </c>
      <c r="W8469">
        <v>0.1847393</v>
      </c>
      <c r="X8469">
        <v>0.98138060000000005</v>
      </c>
      <c r="Y8469">
        <v>0.1086439</v>
      </c>
      <c r="Z8469">
        <v>-6.253036E-3</v>
      </c>
      <c r="AA8469">
        <v>0.99406110000000003</v>
      </c>
      <c r="AB8469">
        <v>7</v>
      </c>
      <c r="AC8469">
        <v>0.71939999999999305</v>
      </c>
      <c r="AD8469">
        <v>-7.7779999999999905E-2</v>
      </c>
      <c r="AE8469">
        <v>-9.7599999999999895E-2</v>
      </c>
      <c r="AF8469">
        <v>8.5501282755517397E-2</v>
      </c>
      <c r="AG8469">
        <v>-7.7779999999999905E-2</v>
      </c>
      <c r="AH8469">
        <v>0.71264112349380804</v>
      </c>
      <c r="AI8469">
        <v>96.184787511840398</v>
      </c>
      <c r="AJ8469">
        <v>83.158467140153803</v>
      </c>
      <c r="AK8469">
        <v>0.72195399344234901</v>
      </c>
      <c r="AL8469">
        <v>79.354066563711399</v>
      </c>
      <c r="AM8469">
        <v>93.066198455771598</v>
      </c>
      <c r="AN8469">
        <v>0.99999999696799502</v>
      </c>
    </row>
    <row r="8470" spans="1:40" x14ac:dyDescent="0.25">
      <c r="A8470" t="str">
        <f>"20190304155002120"</f>
        <v>20190304155002120</v>
      </c>
      <c r="B8470" t="str">
        <f>"1551685802115543"</f>
        <v>1551685802115543</v>
      </c>
      <c r="C8470" t="s">
        <v>40</v>
      </c>
      <c r="D8470">
        <v>4.2597319999999996</v>
      </c>
      <c r="E8470">
        <v>0.56309880000000001</v>
      </c>
      <c r="F8470" t="s">
        <v>41</v>
      </c>
      <c r="G8470">
        <v>-124.0067</v>
      </c>
      <c r="H8470">
        <v>1.0361309999999999</v>
      </c>
      <c r="I8470">
        <v>137.3321</v>
      </c>
      <c r="J8470">
        <v>-124.7196</v>
      </c>
      <c r="K8470">
        <v>1.113351</v>
      </c>
      <c r="L8470">
        <v>137.4298</v>
      </c>
      <c r="M8470">
        <v>0.99928660000000002</v>
      </c>
      <c r="N8470">
        <v>-3.4425129999999998E-2</v>
      </c>
      <c r="O8470">
        <v>-1.553592E-2</v>
      </c>
      <c r="P8470">
        <v>0.9878768</v>
      </c>
      <c r="Q8470">
        <v>0.15081649999999999</v>
      </c>
      <c r="R8470">
        <v>3.6795939999999999E-2</v>
      </c>
      <c r="S8470">
        <v>3.0988310000000001</v>
      </c>
      <c r="T8470">
        <v>-0.30792589999999997</v>
      </c>
      <c r="U8470">
        <v>-0.39457700000000001</v>
      </c>
      <c r="V8470">
        <v>-5.2150500000000002E-2</v>
      </c>
      <c r="W8470">
        <v>0.18471070000000001</v>
      </c>
      <c r="X8470">
        <v>0.98140830000000001</v>
      </c>
      <c r="Y8470">
        <v>0.1101849</v>
      </c>
      <c r="Z8470">
        <v>-6.3488959999999997E-3</v>
      </c>
      <c r="AA8470">
        <v>0.99389079999999996</v>
      </c>
      <c r="AB8470">
        <v>7</v>
      </c>
      <c r="AC8470">
        <v>0.71290000000000397</v>
      </c>
      <c r="AD8470">
        <v>-7.7219999999999997E-2</v>
      </c>
      <c r="AE8470">
        <v>-9.7700000000003201E-2</v>
      </c>
      <c r="AF8470">
        <v>8.5620024792383106E-2</v>
      </c>
      <c r="AG8470">
        <v>-7.7219999999999997E-2</v>
      </c>
      <c r="AH8470">
        <v>0.70619965489693703</v>
      </c>
      <c r="AI8470">
        <v>96.195253679108603</v>
      </c>
      <c r="AJ8470">
        <v>83.087168403769496</v>
      </c>
      <c r="AK8470">
        <v>0.71554990714973998</v>
      </c>
      <c r="AL8470">
        <v>79.355733781632196</v>
      </c>
      <c r="AM8470">
        <v>93.041747153561104</v>
      </c>
      <c r="AN8470">
        <v>0.99999998432681403</v>
      </c>
    </row>
    <row r="8471" spans="1:40" x14ac:dyDescent="0.25">
      <c r="A8471" t="str">
        <f>"20190304155002141"</f>
        <v>20190304155002141</v>
      </c>
      <c r="B8471" t="str">
        <f>"1551685802136038"</f>
        <v>1551685802136038</v>
      </c>
      <c r="C8471" t="s">
        <v>40</v>
      </c>
      <c r="D8471">
        <v>4.0579400000000003</v>
      </c>
      <c r="E8471">
        <v>0.56377519999999903</v>
      </c>
      <c r="F8471" t="s">
        <v>41</v>
      </c>
      <c r="G8471">
        <v>-123.95780000000001</v>
      </c>
      <c r="H8471">
        <v>1.035426</v>
      </c>
      <c r="I8471">
        <v>137.32910000000001</v>
      </c>
      <c r="J8471">
        <v>-124.6694</v>
      </c>
      <c r="K8471">
        <v>1.11368</v>
      </c>
      <c r="L8471">
        <v>137.4289</v>
      </c>
      <c r="M8471">
        <v>0.99926230000000005</v>
      </c>
      <c r="N8471">
        <v>-3.5090209999999997E-2</v>
      </c>
      <c r="O8471">
        <v>-1.56171E-2</v>
      </c>
      <c r="P8471">
        <v>0.98811749999999998</v>
      </c>
      <c r="Q8471">
        <v>0.14945359999999999</v>
      </c>
      <c r="R8471">
        <v>3.5884989999999999E-2</v>
      </c>
      <c r="S8471">
        <v>3.1004939999999999</v>
      </c>
      <c r="T8471">
        <v>-0.31720530000000002</v>
      </c>
      <c r="U8471">
        <v>-0.40939330000000002</v>
      </c>
      <c r="V8471">
        <v>-5.1325280000000001E-2</v>
      </c>
      <c r="W8471">
        <v>0.18401010000000001</v>
      </c>
      <c r="X8471">
        <v>0.98158339999999999</v>
      </c>
      <c r="Y8471">
        <v>0.1146375</v>
      </c>
      <c r="Z8471">
        <v>-6.8101639999999996E-3</v>
      </c>
      <c r="AA8471">
        <v>0.99338409999999999</v>
      </c>
      <c r="AB8471">
        <v>6</v>
      </c>
      <c r="AC8471">
        <v>0.71159999999999002</v>
      </c>
      <c r="AD8471">
        <v>-7.8254000000000004E-2</v>
      </c>
      <c r="AE8471">
        <v>-9.9799999999987593E-2</v>
      </c>
      <c r="AF8471">
        <v>8.7628571260798094E-2</v>
      </c>
      <c r="AG8471">
        <v>-7.8254000000000004E-2</v>
      </c>
      <c r="AH8471">
        <v>0.70471479399086101</v>
      </c>
      <c r="AI8471">
        <v>96.288329280116201</v>
      </c>
      <c r="AJ8471">
        <v>82.911873126219305</v>
      </c>
      <c r="AK8471">
        <v>0.71444061746711296</v>
      </c>
      <c r="AL8471">
        <v>79.396575302601406</v>
      </c>
      <c r="AM8471">
        <v>92.993170296288099</v>
      </c>
      <c r="AN8471">
        <v>0.999999986212324</v>
      </c>
    </row>
    <row r="8472" spans="1:40" x14ac:dyDescent="0.25">
      <c r="A8472" t="str">
        <f>"20190304155002164"</f>
        <v>20190304155002164</v>
      </c>
      <c r="B8472" t="str">
        <f>"1551685802155559"</f>
        <v>1551685802155559</v>
      </c>
      <c r="C8472" t="s">
        <v>40</v>
      </c>
      <c r="D8472">
        <v>4.0779480000000001</v>
      </c>
      <c r="E8472">
        <v>0.56418100000000004</v>
      </c>
      <c r="F8472" t="s">
        <v>41</v>
      </c>
      <c r="G8472">
        <v>-123.91419999999999</v>
      </c>
      <c r="H8472">
        <v>1.034592</v>
      </c>
      <c r="I8472">
        <v>137.3272</v>
      </c>
      <c r="J8472">
        <v>-124.6228</v>
      </c>
      <c r="K8472">
        <v>1.1140099999999999</v>
      </c>
      <c r="L8472">
        <v>137.4281</v>
      </c>
      <c r="M8472">
        <v>0.99922849999999996</v>
      </c>
      <c r="N8472">
        <v>-3.600445E-2</v>
      </c>
      <c r="O8472">
        <v>-1.5680590000000001E-2</v>
      </c>
      <c r="P8472">
        <v>0.98830289999999998</v>
      </c>
      <c r="Q8472">
        <v>0.14837320000000001</v>
      </c>
      <c r="R8472">
        <v>3.5249570000000001E-2</v>
      </c>
      <c r="S8472">
        <v>3.1003569999999998</v>
      </c>
      <c r="T8472">
        <v>-0.32468399999999997</v>
      </c>
      <c r="U8472">
        <v>-0.41726679999999999</v>
      </c>
      <c r="V8472">
        <v>-5.07564E-2</v>
      </c>
      <c r="W8472">
        <v>0.18383479999999999</v>
      </c>
      <c r="X8472">
        <v>0.98164580000000001</v>
      </c>
      <c r="Y8472">
        <v>0.11700430000000001</v>
      </c>
      <c r="Z8472">
        <v>-7.1383280000000002E-3</v>
      </c>
      <c r="AA8472">
        <v>0.99310580000000004</v>
      </c>
      <c r="AB8472">
        <v>5</v>
      </c>
      <c r="AC8472">
        <v>0.708600000000004</v>
      </c>
      <c r="AD8472">
        <v>-7.9417999999999905E-2</v>
      </c>
      <c r="AE8472">
        <v>-0.10089999999999499</v>
      </c>
      <c r="AF8472">
        <v>8.86773337511471E-2</v>
      </c>
      <c r="AG8472">
        <v>-7.9417999999999905E-2</v>
      </c>
      <c r="AH8472">
        <v>0.70145980256195495</v>
      </c>
      <c r="AI8472">
        <v>96.408838455877301</v>
      </c>
      <c r="AJ8472">
        <v>82.7949870267161</v>
      </c>
      <c r="AK8472">
        <v>0.71148910241511698</v>
      </c>
      <c r="AL8472">
        <v>79.406793301249493</v>
      </c>
      <c r="AM8472">
        <v>92.959866048441</v>
      </c>
      <c r="AN8472">
        <v>0.99999996124481905</v>
      </c>
    </row>
    <row r="8473" spans="1:40" x14ac:dyDescent="0.25">
      <c r="A8473" t="str">
        <f>"20190304155002186"</f>
        <v>20190304155002186</v>
      </c>
      <c r="B8473" t="str">
        <f>"1551685802176056"</f>
        <v>1551685802176056</v>
      </c>
      <c r="C8473" t="s">
        <v>40</v>
      </c>
      <c r="D8473">
        <v>4.1419199999999998</v>
      </c>
      <c r="E8473">
        <v>0.56427869999999902</v>
      </c>
      <c r="F8473" t="s">
        <v>41</v>
      </c>
      <c r="G8473">
        <v>-123.8754</v>
      </c>
      <c r="H8473">
        <v>1.0338459999999901</v>
      </c>
      <c r="I8473">
        <v>137.3262</v>
      </c>
      <c r="J8473">
        <v>-124.58199999999999</v>
      </c>
      <c r="K8473">
        <v>1.114271</v>
      </c>
      <c r="L8473">
        <v>137.42740000000001</v>
      </c>
      <c r="M8473">
        <v>0.99919530000000001</v>
      </c>
      <c r="N8473">
        <v>-3.690123E-2</v>
      </c>
      <c r="O8473">
        <v>-1.5727100000000001E-2</v>
      </c>
      <c r="P8473">
        <v>0.98838250000000005</v>
      </c>
      <c r="Q8473">
        <v>0.14799119999999999</v>
      </c>
      <c r="R8473">
        <v>3.4625209999999997E-2</v>
      </c>
      <c r="S8473">
        <v>3.1005099999999999</v>
      </c>
      <c r="T8473">
        <v>-0.3326499</v>
      </c>
      <c r="U8473">
        <v>-0.42224119999999998</v>
      </c>
      <c r="V8473">
        <v>-5.0181469999999999E-2</v>
      </c>
      <c r="W8473">
        <v>0.18433669999999999</v>
      </c>
      <c r="X8473">
        <v>0.98158129999999999</v>
      </c>
      <c r="Y8473">
        <v>0.1184644</v>
      </c>
      <c r="Z8473">
        <v>-7.4153839999999997E-3</v>
      </c>
      <c r="AA8473">
        <v>0.9929306</v>
      </c>
      <c r="AB8473">
        <v>5</v>
      </c>
      <c r="AC8473">
        <v>0.706600000000008</v>
      </c>
      <c r="AD8473">
        <v>-8.0425000000000094E-2</v>
      </c>
      <c r="AE8473">
        <v>-0.10120000000000499</v>
      </c>
      <c r="AF8473">
        <v>8.8938098164086807E-2</v>
      </c>
      <c r="AG8473">
        <v>-8.0425000000000094E-2</v>
      </c>
      <c r="AH8473">
        <v>0.69922877568264696</v>
      </c>
      <c r="AI8473">
        <v>96.509315025177997</v>
      </c>
      <c r="AJ8473">
        <v>82.751212557610501</v>
      </c>
      <c r="AK8473">
        <v>0.70943572413059197</v>
      </c>
      <c r="AL8473">
        <v>79.377537226894404</v>
      </c>
      <c r="AM8473">
        <v>92.926589501350705</v>
      </c>
      <c r="AN8473">
        <v>1.0000000237039699</v>
      </c>
    </row>
    <row r="8474" spans="1:40" x14ac:dyDescent="0.25">
      <c r="A8474" t="str">
        <f>"20190304155002208"</f>
        <v>20190304155002208</v>
      </c>
      <c r="B8474" t="str">
        <f>"1551685802205336"</f>
        <v>1551685802205336</v>
      </c>
      <c r="C8474" t="s">
        <v>40</v>
      </c>
      <c r="D8474">
        <v>4.038907</v>
      </c>
      <c r="E8474">
        <v>0.56418610000000002</v>
      </c>
      <c r="F8474" t="s">
        <v>41</v>
      </c>
      <c r="G8474">
        <v>-123.84099999999999</v>
      </c>
      <c r="H8474">
        <v>1.0333889999999999</v>
      </c>
      <c r="I8474">
        <v>137.32579999999999</v>
      </c>
      <c r="J8474">
        <v>-124.5484</v>
      </c>
      <c r="K8474">
        <v>1.1144510000000001</v>
      </c>
      <c r="L8474">
        <v>137.42679999999999</v>
      </c>
      <c r="M8474">
        <v>0.99916479999999996</v>
      </c>
      <c r="N8474">
        <v>-3.770196E-2</v>
      </c>
      <c r="O8474">
        <v>-1.5761150000000002E-2</v>
      </c>
      <c r="P8474">
        <v>0.98839690000000002</v>
      </c>
      <c r="Q8474">
        <v>0.14791409999999999</v>
      </c>
      <c r="R8474">
        <v>3.4541820000000001E-2</v>
      </c>
      <c r="S8474">
        <v>3.1008300000000002</v>
      </c>
      <c r="T8474">
        <v>-0.33851300000000001</v>
      </c>
      <c r="U8474">
        <v>-0.42486570000000001</v>
      </c>
      <c r="V8474">
        <v>-5.0133469999999999E-2</v>
      </c>
      <c r="W8474">
        <v>0.18504670000000001</v>
      </c>
      <c r="X8474">
        <v>0.98145009999999999</v>
      </c>
      <c r="Y8474">
        <v>0.119204</v>
      </c>
      <c r="Z8474">
        <v>-7.6083319999999998E-3</v>
      </c>
      <c r="AA8474">
        <v>0.99284059999999996</v>
      </c>
      <c r="AB8474">
        <v>4</v>
      </c>
      <c r="AC8474">
        <v>0.70739999999999204</v>
      </c>
      <c r="AD8474">
        <v>-8.1062000000000106E-2</v>
      </c>
      <c r="AE8474">
        <v>-0.10099999999999899</v>
      </c>
      <c r="AF8474">
        <v>8.8688743304230405E-2</v>
      </c>
      <c r="AG8474">
        <v>-8.1062000000000106E-2</v>
      </c>
      <c r="AH8474">
        <v>0.69989811622308995</v>
      </c>
      <c r="AI8474">
        <v>96.554592440468895</v>
      </c>
      <c r="AJ8474">
        <v>82.778160688441403</v>
      </c>
      <c r="AK8474">
        <v>0.71013668693112397</v>
      </c>
      <c r="AL8474">
        <v>79.336144581349004</v>
      </c>
      <c r="AM8474">
        <v>92.924185168879006</v>
      </c>
      <c r="AN8474">
        <v>0.99999997239256999</v>
      </c>
    </row>
    <row r="8475" spans="1:40" x14ac:dyDescent="0.25">
      <c r="A8475" t="str">
        <f>"20190304155002231"</f>
        <v>20190304155002231</v>
      </c>
      <c r="B8475" t="str">
        <f>"1551685802225831"</f>
        <v>1551685802225831</v>
      </c>
      <c r="C8475" t="s">
        <v>40</v>
      </c>
      <c r="D8475">
        <v>4.0255419999999997</v>
      </c>
      <c r="E8475">
        <v>0.56462290000000004</v>
      </c>
      <c r="F8475" t="s">
        <v>41</v>
      </c>
      <c r="G8475">
        <v>-123.81180000000001</v>
      </c>
      <c r="H8475">
        <v>1.03264</v>
      </c>
      <c r="I8475">
        <v>137.32589999999999</v>
      </c>
      <c r="J8475">
        <v>-124.5192</v>
      </c>
      <c r="K8475">
        <v>1.1146020000000001</v>
      </c>
      <c r="L8475">
        <v>137.4263</v>
      </c>
      <c r="M8475">
        <v>0.99913350000000001</v>
      </c>
      <c r="N8475">
        <v>-3.8512060000000001E-2</v>
      </c>
      <c r="O8475">
        <v>-1.5788819999999999E-2</v>
      </c>
      <c r="P8475">
        <v>0.98844120000000002</v>
      </c>
      <c r="Q8475">
        <v>0.1476286</v>
      </c>
      <c r="R8475">
        <v>3.4496949999999998E-2</v>
      </c>
      <c r="S8475">
        <v>3.1016240000000002</v>
      </c>
      <c r="T8475">
        <v>-0.34458139999999998</v>
      </c>
      <c r="U8475">
        <v>-0.42439270000000001</v>
      </c>
      <c r="V8475">
        <v>-5.0119669999999998E-2</v>
      </c>
      <c r="W8475">
        <v>0.185558</v>
      </c>
      <c r="X8475">
        <v>0.98135430000000001</v>
      </c>
      <c r="Y8475">
        <v>0.1189621</v>
      </c>
      <c r="Z8475">
        <v>-7.7335059999999898E-3</v>
      </c>
      <c r="AA8475">
        <v>0.99286870000000005</v>
      </c>
      <c r="AB8475">
        <v>4</v>
      </c>
      <c r="AC8475">
        <v>0.70739999999999204</v>
      </c>
      <c r="AD8475">
        <v>-8.1961999999999993E-2</v>
      </c>
      <c r="AE8475">
        <v>-0.100400000000007</v>
      </c>
      <c r="AF8475">
        <v>8.80514663169608E-2</v>
      </c>
      <c r="AG8475">
        <v>-8.1961999999999993E-2</v>
      </c>
      <c r="AH8475">
        <v>0.69969060770010805</v>
      </c>
      <c r="AI8475">
        <v>96.629382716118997</v>
      </c>
      <c r="AJ8475">
        <v>82.827407058107596</v>
      </c>
      <c r="AK8475">
        <v>0.70995617940004896</v>
      </c>
      <c r="AL8475">
        <v>79.3063333359529</v>
      </c>
      <c r="AM8475">
        <v>92.923666524875699</v>
      </c>
      <c r="AN8475">
        <v>1.0000000074066899</v>
      </c>
    </row>
    <row r="8476" spans="1:40" x14ac:dyDescent="0.25">
      <c r="A8476" t="str">
        <f>"20190304155002254"</f>
        <v>20190304155002254</v>
      </c>
      <c r="B8476" t="str">
        <f>"1551685802245351"</f>
        <v>1551685802245351</v>
      </c>
      <c r="C8476" t="s">
        <v>40</v>
      </c>
      <c r="D8476">
        <v>3.6989260000000002</v>
      </c>
      <c r="E8476">
        <v>0.56632700000000002</v>
      </c>
      <c r="F8476" t="s">
        <v>41</v>
      </c>
      <c r="G8476">
        <v>-123.7873</v>
      </c>
      <c r="H8476">
        <v>1.032152</v>
      </c>
      <c r="I8476">
        <v>137.3253</v>
      </c>
      <c r="J8476">
        <v>-124.49769999999999</v>
      </c>
      <c r="K8476">
        <v>1.114711</v>
      </c>
      <c r="L8476">
        <v>137.42599999999999</v>
      </c>
      <c r="M8476">
        <v>0.99910370000000004</v>
      </c>
      <c r="N8476">
        <v>-3.9269650000000003E-2</v>
      </c>
      <c r="O8476">
        <v>-1.5803069999999999E-2</v>
      </c>
      <c r="P8476">
        <v>0.98854739999999997</v>
      </c>
      <c r="Q8476">
        <v>0.14688970000000001</v>
      </c>
      <c r="R8476">
        <v>3.460527E-2</v>
      </c>
      <c r="S8476">
        <v>3.1022189999999998</v>
      </c>
      <c r="T8476">
        <v>-0.34947220000000001</v>
      </c>
      <c r="U8476">
        <v>-0.4280853</v>
      </c>
      <c r="V8476">
        <v>-5.0245930000000001E-2</v>
      </c>
      <c r="W8476">
        <v>0.1855668</v>
      </c>
      <c r="X8476">
        <v>0.98134619999999995</v>
      </c>
      <c r="Y8476">
        <v>0.12004479999999999</v>
      </c>
      <c r="Z8476">
        <v>-7.9388800000000006E-3</v>
      </c>
      <c r="AA8476">
        <v>0.99273679999999997</v>
      </c>
      <c r="AB8476">
        <v>3</v>
      </c>
      <c r="AC8476">
        <v>0.71039999999999204</v>
      </c>
      <c r="AD8476">
        <v>-8.2558999999999994E-2</v>
      </c>
      <c r="AE8476">
        <v>-0.100700000000017</v>
      </c>
      <c r="AF8476">
        <v>8.8283380046343299E-2</v>
      </c>
      <c r="AG8476">
        <v>-8.2558999999999994E-2</v>
      </c>
      <c r="AH8476">
        <v>0.70260141223112105</v>
      </c>
      <c r="AI8476">
        <v>96.649976975069094</v>
      </c>
      <c r="AJ8476">
        <v>82.838195858172398</v>
      </c>
      <c r="AK8476">
        <v>0.71292263825928104</v>
      </c>
      <c r="AL8476">
        <v>79.305820438976596</v>
      </c>
      <c r="AM8476">
        <v>92.931043063347303</v>
      </c>
      <c r="AN8476">
        <v>1.0000000274991201</v>
      </c>
    </row>
    <row r="8477" spans="1:40" x14ac:dyDescent="0.25">
      <c r="A8477" t="str">
        <f>"20190304155002275"</f>
        <v>20190304155002275</v>
      </c>
      <c r="B8477" t="str">
        <f>"1551685802265848"</f>
        <v>1551685802265848</v>
      </c>
      <c r="C8477" t="s">
        <v>40</v>
      </c>
      <c r="D8477">
        <v>3.7912249999999998</v>
      </c>
      <c r="E8477">
        <v>0.56862619999999997</v>
      </c>
      <c r="F8477" t="s">
        <v>41</v>
      </c>
      <c r="G8477">
        <v>-123.75369999999999</v>
      </c>
      <c r="H8477">
        <v>1.030319</v>
      </c>
      <c r="I8477">
        <v>137.3201</v>
      </c>
      <c r="J8477">
        <v>-124.4821</v>
      </c>
      <c r="K8477">
        <v>1.1147689999999999</v>
      </c>
      <c r="L8477">
        <v>137.42570000000001</v>
      </c>
      <c r="M8477">
        <v>0.99907729999999995</v>
      </c>
      <c r="N8477">
        <v>-3.9935190000000002E-2</v>
      </c>
      <c r="O8477">
        <v>-1.5805329999999999E-2</v>
      </c>
      <c r="P8477">
        <v>0.98867780000000005</v>
      </c>
      <c r="Q8477">
        <v>0.1459319</v>
      </c>
      <c r="R8477">
        <v>3.493309E-2</v>
      </c>
      <c r="S8477">
        <v>3.102509</v>
      </c>
      <c r="T8477">
        <v>-0.35197329999999999</v>
      </c>
      <c r="U8477">
        <v>-0.44139099999999998</v>
      </c>
      <c r="V8477">
        <v>-5.0577780000000003E-2</v>
      </c>
      <c r="W8477">
        <v>0.1852684</v>
      </c>
      <c r="X8477">
        <v>0.98138550000000002</v>
      </c>
      <c r="Y8477">
        <v>0.1241527</v>
      </c>
      <c r="Z8477">
        <v>-8.3373879999999994E-3</v>
      </c>
      <c r="AA8477">
        <v>0.99222809999999995</v>
      </c>
      <c r="AB8477">
        <v>2</v>
      </c>
      <c r="AC8477">
        <v>0.72840000000000704</v>
      </c>
      <c r="AD8477">
        <v>-8.4450000000000094E-2</v>
      </c>
      <c r="AE8477">
        <v>-0.10560000000000901</v>
      </c>
      <c r="AF8477">
        <v>9.2842706069279898E-2</v>
      </c>
      <c r="AG8477">
        <v>-8.4450000000000094E-2</v>
      </c>
      <c r="AH8477">
        <v>0.72049382828308906</v>
      </c>
      <c r="AI8477">
        <v>96.6308763675367</v>
      </c>
      <c r="AJ8477">
        <v>82.657338943244199</v>
      </c>
      <c r="AK8477">
        <v>0.73134323485234198</v>
      </c>
      <c r="AL8477">
        <v>79.323218853761801</v>
      </c>
      <c r="AM8477">
        <v>92.950249151476697</v>
      </c>
      <c r="AN8477">
        <v>0.99999999573926901</v>
      </c>
    </row>
    <row r="8478" spans="1:40" x14ac:dyDescent="0.25">
      <c r="A8478" t="str">
        <f>"20190304155002298"</f>
        <v>20190304155002298</v>
      </c>
      <c r="B8478" t="str">
        <f>"1551685802285368"</f>
        <v>1551685802285368</v>
      </c>
      <c r="C8478" t="s">
        <v>40</v>
      </c>
      <c r="D8478">
        <v>3.8172009999999998</v>
      </c>
      <c r="E8478">
        <v>0.57067809999999997</v>
      </c>
      <c r="F8478" t="s">
        <v>41</v>
      </c>
      <c r="G8478">
        <v>-123.7433</v>
      </c>
      <c r="H8478">
        <v>1.0299049999999901</v>
      </c>
      <c r="I8478">
        <v>137.31620000000001</v>
      </c>
      <c r="J8478">
        <v>-124.4713</v>
      </c>
      <c r="K8478">
        <v>1.114711</v>
      </c>
      <c r="L8478">
        <v>137.4256</v>
      </c>
      <c r="M8478">
        <v>0.99906870000000003</v>
      </c>
      <c r="N8478">
        <v>-4.0150150000000003E-2</v>
      </c>
      <c r="O8478">
        <v>-1.5802750000000001E-2</v>
      </c>
      <c r="P8478">
        <v>0.98873449999999996</v>
      </c>
      <c r="Q8478">
        <v>0.1454368</v>
      </c>
      <c r="R8478">
        <v>3.5387710000000003E-2</v>
      </c>
      <c r="S8478">
        <v>3.1032099999999998</v>
      </c>
      <c r="T8478">
        <v>-0.35649999999999998</v>
      </c>
      <c r="U8478">
        <v>-0.45922849999999998</v>
      </c>
      <c r="V8478">
        <v>-5.10293E-2</v>
      </c>
      <c r="W8478">
        <v>0.1849877</v>
      </c>
      <c r="X8478">
        <v>0.98141509999999998</v>
      </c>
      <c r="Y8478">
        <v>0.1296369</v>
      </c>
      <c r="Z8478">
        <v>-8.8421669999999997E-3</v>
      </c>
      <c r="AA8478">
        <v>0.99152209999999996</v>
      </c>
      <c r="AB8478">
        <v>2</v>
      </c>
      <c r="AC8478">
        <v>0.72799999999999399</v>
      </c>
      <c r="AD8478">
        <v>-8.4806000000000104E-2</v>
      </c>
      <c r="AE8478">
        <v>-0.109399999999993</v>
      </c>
      <c r="AF8478">
        <v>9.6590808839299297E-2</v>
      </c>
      <c r="AG8478">
        <v>-8.4806000000000104E-2</v>
      </c>
      <c r="AH8478">
        <v>0.720083194129572</v>
      </c>
      <c r="AI8478">
        <v>96.657837895065398</v>
      </c>
      <c r="AJ8478">
        <v>82.360040105924298</v>
      </c>
      <c r="AK8478">
        <v>0.73146541166078105</v>
      </c>
      <c r="AL8478">
        <v>79.339584918195598</v>
      </c>
      <c r="AM8478">
        <v>92.976449969379104</v>
      </c>
      <c r="AN8478">
        <v>1.00000001855889</v>
      </c>
    </row>
    <row r="8479" spans="1:40" x14ac:dyDescent="0.25">
      <c r="A8479" t="str">
        <f>"20190304155002324"</f>
        <v>20190304155002324</v>
      </c>
      <c r="B8479" t="str">
        <f>"1551685802315623"</f>
        <v>1551685802315623</v>
      </c>
      <c r="C8479" t="s">
        <v>40</v>
      </c>
      <c r="D8479">
        <v>3.6722030000000001</v>
      </c>
      <c r="E8479">
        <v>0.57346109999999995</v>
      </c>
      <c r="F8479" t="s">
        <v>41</v>
      </c>
      <c r="G8479">
        <v>-123.7351</v>
      </c>
      <c r="H8479">
        <v>1.0294179999999999</v>
      </c>
      <c r="I8479">
        <v>137.31299999999999</v>
      </c>
      <c r="J8479">
        <v>-124.45950000000001</v>
      </c>
      <c r="K8479">
        <v>1.1142540000000001</v>
      </c>
      <c r="L8479">
        <v>137.4254</v>
      </c>
      <c r="M8479">
        <v>0.99911970000000005</v>
      </c>
      <c r="N8479">
        <v>-3.8855340000000002E-2</v>
      </c>
      <c r="O8479">
        <v>-1.581393E-2</v>
      </c>
      <c r="P8479">
        <v>0.98853460000000004</v>
      </c>
      <c r="Q8479">
        <v>0.14663799999999999</v>
      </c>
      <c r="R8479">
        <v>3.6009770000000003E-2</v>
      </c>
      <c r="S8479">
        <v>3.1040800000000002</v>
      </c>
      <c r="T8479">
        <v>-0.35966399999999998</v>
      </c>
      <c r="U8479">
        <v>-0.47462460000000001</v>
      </c>
      <c r="V8479">
        <v>-5.1652469999999999E-2</v>
      </c>
      <c r="W8479">
        <v>0.1849094</v>
      </c>
      <c r="X8479">
        <v>0.98139719999999997</v>
      </c>
      <c r="Y8479">
        <v>0.13434879999999999</v>
      </c>
      <c r="Z8479">
        <v>-9.1455040000000005E-3</v>
      </c>
      <c r="AA8479">
        <v>0.99089190000000005</v>
      </c>
      <c r="AB8479">
        <v>1</v>
      </c>
      <c r="AC8479">
        <v>0.72440000000000204</v>
      </c>
      <c r="AD8479">
        <v>-8.4836000000000106E-2</v>
      </c>
      <c r="AE8479">
        <v>-0.11240000000000799</v>
      </c>
      <c r="AF8479">
        <v>9.9587894033010105E-2</v>
      </c>
      <c r="AG8479">
        <v>-8.4836000000000106E-2</v>
      </c>
      <c r="AH8479">
        <v>0.71649226712014702</v>
      </c>
      <c r="AI8479">
        <v>96.688933496928499</v>
      </c>
      <c r="AJ8479">
        <v>82.086947145294303</v>
      </c>
      <c r="AK8479">
        <v>0.72833787789520998</v>
      </c>
      <c r="AL8479">
        <v>79.344149344347201</v>
      </c>
      <c r="AM8479">
        <v>93.012786676838402</v>
      </c>
      <c r="AN8479">
        <v>0.99999996401664903</v>
      </c>
    </row>
    <row r="8480" spans="1:40" x14ac:dyDescent="0.25">
      <c r="A8480" t="str">
        <f>"20190304155002344"</f>
        <v>20190304155002344</v>
      </c>
      <c r="B8480" t="str">
        <f>"1551685802336120"</f>
        <v>1551685802336120</v>
      </c>
      <c r="C8480" t="s">
        <v>40</v>
      </c>
      <c r="D8480">
        <v>3.7692809999999999</v>
      </c>
      <c r="E8480">
        <v>0.57495980000000002</v>
      </c>
      <c r="F8480" t="s">
        <v>41</v>
      </c>
      <c r="G8480">
        <v>-123.7253</v>
      </c>
      <c r="H8480">
        <v>1.0302549999999999</v>
      </c>
      <c r="I8480">
        <v>137.3082</v>
      </c>
      <c r="J8480">
        <v>-124.4494</v>
      </c>
      <c r="K8480">
        <v>1.1137010000000001</v>
      </c>
      <c r="L8480">
        <v>137.42519999999999</v>
      </c>
      <c r="M8480">
        <v>0.99919800000000003</v>
      </c>
      <c r="N8480">
        <v>-3.6781269999999998E-2</v>
      </c>
      <c r="O8480">
        <v>-1.5836010000000001E-2</v>
      </c>
      <c r="P8480">
        <v>0.98816099999999996</v>
      </c>
      <c r="Q8480">
        <v>0.14896239999999999</v>
      </c>
      <c r="R8480">
        <v>3.6721480000000001E-2</v>
      </c>
      <c r="S8480">
        <v>3.1055450000000002</v>
      </c>
      <c r="T8480">
        <v>-0.35528549999999998</v>
      </c>
      <c r="U8480">
        <v>-0.49534610000000001</v>
      </c>
      <c r="V8480">
        <v>-5.2373660000000002E-2</v>
      </c>
      <c r="W8480">
        <v>0.18518219999999999</v>
      </c>
      <c r="X8480">
        <v>0.98130759999999995</v>
      </c>
      <c r="Y8480">
        <v>0.14069960000000001</v>
      </c>
      <c r="Z8480">
        <v>-9.3718389999999999E-3</v>
      </c>
      <c r="AA8480">
        <v>0.990008</v>
      </c>
      <c r="AB8480">
        <v>1</v>
      </c>
      <c r="AC8480">
        <v>0.72409999999999197</v>
      </c>
      <c r="AD8480">
        <v>-8.3446000000000103E-2</v>
      </c>
      <c r="AE8480">
        <v>-0.11699999999999</v>
      </c>
      <c r="AF8480">
        <v>0.10416255876926001</v>
      </c>
      <c r="AG8480">
        <v>-8.3446000000000103E-2</v>
      </c>
      <c r="AH8480">
        <v>0.71658863852341403</v>
      </c>
      <c r="AI8480">
        <v>96.573647562876701</v>
      </c>
      <c r="AJ8480">
        <v>81.729472023424506</v>
      </c>
      <c r="AK8480">
        <v>0.72891175764025096</v>
      </c>
      <c r="AL8480">
        <v>79.3282450507227</v>
      </c>
      <c r="AM8480">
        <v>93.0550515355187</v>
      </c>
      <c r="AN8480">
        <v>1.0000000266381901</v>
      </c>
    </row>
    <row r="8481" spans="1:40" x14ac:dyDescent="0.25">
      <c r="A8481" t="str">
        <f>"20190304155002365"</f>
        <v>20190304155002365</v>
      </c>
      <c r="B8481" t="str">
        <f>"1551685802355639"</f>
        <v>1551685802355639</v>
      </c>
      <c r="C8481" t="s">
        <v>40</v>
      </c>
      <c r="D8481">
        <v>3.7273130000000001</v>
      </c>
      <c r="E8481">
        <v>0.57644890000000004</v>
      </c>
      <c r="F8481" t="s">
        <v>41</v>
      </c>
      <c r="G8481">
        <v>-123.7144</v>
      </c>
      <c r="H8481">
        <v>1.0315829999999999</v>
      </c>
      <c r="I8481">
        <v>137.3057</v>
      </c>
      <c r="J8481">
        <v>-124.4384</v>
      </c>
      <c r="K8481">
        <v>1.113146</v>
      </c>
      <c r="L8481">
        <v>137.42500000000001</v>
      </c>
      <c r="M8481">
        <v>0.99928430000000001</v>
      </c>
      <c r="N8481">
        <v>-3.434065E-2</v>
      </c>
      <c r="O8481">
        <v>-1.5863499999999999E-2</v>
      </c>
      <c r="P8481">
        <v>0.98768560000000005</v>
      </c>
      <c r="Q8481">
        <v>0.1519469</v>
      </c>
      <c r="R8481">
        <v>3.7277900000000003E-2</v>
      </c>
      <c r="S8481">
        <v>3.10704</v>
      </c>
      <c r="T8481">
        <v>-0.3471998</v>
      </c>
      <c r="U8481">
        <v>-0.50495909999999999</v>
      </c>
      <c r="V8481">
        <v>-5.2943869999999997E-2</v>
      </c>
      <c r="W8481">
        <v>0.18575240000000001</v>
      </c>
      <c r="X8481">
        <v>0.98116919999999996</v>
      </c>
      <c r="Y8481">
        <v>0.1436287</v>
      </c>
      <c r="Z8481">
        <v>-9.2264800000000004E-3</v>
      </c>
      <c r="AA8481">
        <v>0.98958860000000004</v>
      </c>
      <c r="AB8481">
        <v>1</v>
      </c>
      <c r="AC8481">
        <v>0.72400000000000297</v>
      </c>
      <c r="AD8481">
        <v>-8.1562999999999997E-2</v>
      </c>
      <c r="AE8481">
        <v>-0.119300000000009</v>
      </c>
      <c r="AF8481">
        <v>0.106477394170937</v>
      </c>
      <c r="AG8481">
        <v>-8.1562999999999997E-2</v>
      </c>
      <c r="AH8481">
        <v>0.71694393203633</v>
      </c>
      <c r="AI8481">
        <v>96.420515520460199</v>
      </c>
      <c r="AJ8481">
        <v>81.552427980798299</v>
      </c>
      <c r="AK8481">
        <v>0.72938231410018906</v>
      </c>
      <c r="AL8481">
        <v>79.294997925631293</v>
      </c>
      <c r="AM8481">
        <v>93.088683664607601</v>
      </c>
      <c r="AN8481">
        <v>1.0000000032524801</v>
      </c>
    </row>
    <row r="8482" spans="1:40" x14ac:dyDescent="0.25">
      <c r="A8482" t="str">
        <f>"20190304155002386"</f>
        <v>20190304155002386</v>
      </c>
      <c r="B8482" t="str">
        <f>"1551685802376135"</f>
        <v>1551685802376135</v>
      </c>
      <c r="C8482" t="s">
        <v>40</v>
      </c>
      <c r="D8482">
        <v>3.785711</v>
      </c>
      <c r="E8482">
        <v>0.57765269999999902</v>
      </c>
      <c r="F8482" t="s">
        <v>41</v>
      </c>
      <c r="G8482">
        <v>-123.70350000000001</v>
      </c>
      <c r="H8482">
        <v>1.032959</v>
      </c>
      <c r="I8482">
        <v>137.3031</v>
      </c>
      <c r="J8482">
        <v>-124.4281</v>
      </c>
      <c r="K8482">
        <v>1.112776</v>
      </c>
      <c r="L8482">
        <v>137.42490000000001</v>
      </c>
      <c r="M8482">
        <v>0.99935569999999896</v>
      </c>
      <c r="N8482">
        <v>-3.2188050000000003E-2</v>
      </c>
      <c r="O8482">
        <v>-1.588622E-2</v>
      </c>
      <c r="P8482">
        <v>0.98702460000000003</v>
      </c>
      <c r="Q8482">
        <v>0.15599189999999999</v>
      </c>
      <c r="R8482">
        <v>3.8072109999999999E-2</v>
      </c>
      <c r="S8482">
        <v>3.1090550000000001</v>
      </c>
      <c r="T8482">
        <v>-0.33931339999999999</v>
      </c>
      <c r="U8482">
        <v>-0.51533509999999905</v>
      </c>
      <c r="V8482">
        <v>-5.3746509999999997E-2</v>
      </c>
      <c r="W8482">
        <v>0.1876604</v>
      </c>
      <c r="X8482">
        <v>0.98076240000000003</v>
      </c>
      <c r="Y8482">
        <v>0.14676110000000001</v>
      </c>
      <c r="Z8482">
        <v>-9.1094360000000003E-3</v>
      </c>
      <c r="AA8482">
        <v>0.98912999999999995</v>
      </c>
      <c r="AB8482">
        <v>1</v>
      </c>
      <c r="AC8482">
        <v>0.72459999999999503</v>
      </c>
      <c r="AD8482">
        <v>-7.9816999999999999E-2</v>
      </c>
      <c r="AE8482">
        <v>-0.121800000000007</v>
      </c>
      <c r="AF8482">
        <v>0.108981477592817</v>
      </c>
      <c r="AG8482">
        <v>-7.9816999999999999E-2</v>
      </c>
      <c r="AH8482">
        <v>0.71797211940400396</v>
      </c>
      <c r="AI8482">
        <v>96.272263902288202</v>
      </c>
      <c r="AJ8482">
        <v>81.368919997802806</v>
      </c>
      <c r="AK8482">
        <v>0.73056942188185703</v>
      </c>
      <c r="AL8482">
        <v>79.183720791496498</v>
      </c>
      <c r="AM8482">
        <v>93.136713924525694</v>
      </c>
      <c r="AN8482">
        <v>0.99999999915954996</v>
      </c>
    </row>
    <row r="8483" spans="1:40" x14ac:dyDescent="0.25">
      <c r="A8483" t="str">
        <f>"20190304155002409"</f>
        <v>20190304155002409</v>
      </c>
      <c r="B8483" t="str">
        <f>"1551685802405417"</f>
        <v>1551685802405417</v>
      </c>
      <c r="C8483" t="s">
        <v>40</v>
      </c>
      <c r="D8483">
        <v>3.9393889999999998</v>
      </c>
      <c r="E8483">
        <v>0.57730729999999997</v>
      </c>
      <c r="F8483" t="s">
        <v>41</v>
      </c>
      <c r="G8483">
        <v>-123.69280000000001</v>
      </c>
      <c r="H8483">
        <v>1.0353479999999999</v>
      </c>
      <c r="I8483">
        <v>137.3013</v>
      </c>
      <c r="J8483">
        <v>-124.4195</v>
      </c>
      <c r="K8483">
        <v>1.112614</v>
      </c>
      <c r="L8483">
        <v>137.4247</v>
      </c>
      <c r="M8483">
        <v>0.99940700000000005</v>
      </c>
      <c r="N8483">
        <v>-3.0543569999999999E-2</v>
      </c>
      <c r="O8483">
        <v>-1.5898800000000001E-2</v>
      </c>
      <c r="P8483">
        <v>0.98653299999999999</v>
      </c>
      <c r="Q8483">
        <v>0.15889729999999999</v>
      </c>
      <c r="R8483">
        <v>3.8788209999999997E-2</v>
      </c>
      <c r="S8483">
        <v>3.111389</v>
      </c>
      <c r="T8483">
        <v>-0.32772279999999998</v>
      </c>
      <c r="U8483">
        <v>-0.52253720000000003</v>
      </c>
      <c r="V8483">
        <v>-5.4466699999999903E-2</v>
      </c>
      <c r="W8483">
        <v>0.18893509999999999</v>
      </c>
      <c r="X8483">
        <v>0.98047790000000001</v>
      </c>
      <c r="Y8483">
        <v>0.14891949999999901</v>
      </c>
      <c r="Z8483">
        <v>-8.8895409999999904E-3</v>
      </c>
      <c r="AA8483">
        <v>0.9888093</v>
      </c>
      <c r="AB8483">
        <v>1</v>
      </c>
      <c r="AC8483">
        <v>0.72669999999999302</v>
      </c>
      <c r="AD8483">
        <v>-7.7266000000000001E-2</v>
      </c>
      <c r="AE8483">
        <v>-0.12340000000000299</v>
      </c>
      <c r="AF8483">
        <v>0.110609949464434</v>
      </c>
      <c r="AG8483">
        <v>-7.7266000000000001E-2</v>
      </c>
      <c r="AH8483">
        <v>0.72065232437825399</v>
      </c>
      <c r="AI8483">
        <v>96.049383061572598</v>
      </c>
      <c r="AJ8483">
        <v>81.274004245462194</v>
      </c>
      <c r="AK8483">
        <v>0.73317417324146394</v>
      </c>
      <c r="AL8483">
        <v>79.109355651642304</v>
      </c>
      <c r="AM8483">
        <v>93.179579939300496</v>
      </c>
      <c r="AN8483">
        <v>1.0000000029046501</v>
      </c>
    </row>
    <row r="8484" spans="1:40" x14ac:dyDescent="0.25">
      <c r="A8484" t="str">
        <f>"20190304155002432"</f>
        <v>20190304155002432</v>
      </c>
      <c r="B8484" t="str">
        <f>"1551685802425911"</f>
        <v>1551685802425911</v>
      </c>
      <c r="C8484" t="s">
        <v>40</v>
      </c>
      <c r="D8484">
        <v>3.986256</v>
      </c>
      <c r="E8484">
        <v>0.5246518</v>
      </c>
      <c r="F8484" t="s">
        <v>41</v>
      </c>
      <c r="G8484">
        <v>-123.684</v>
      </c>
      <c r="H8484">
        <v>1.0380499999999999</v>
      </c>
      <c r="I8484">
        <v>137.3023</v>
      </c>
      <c r="J8484">
        <v>-124.4132</v>
      </c>
      <c r="K8484">
        <v>1.112584</v>
      </c>
      <c r="L8484">
        <v>137.4246</v>
      </c>
      <c r="M8484">
        <v>0.99944310000000003</v>
      </c>
      <c r="N8484">
        <v>-2.933649E-2</v>
      </c>
      <c r="O8484">
        <v>-1.5902759999999998E-2</v>
      </c>
      <c r="P8484">
        <v>0.98629440000000002</v>
      </c>
      <c r="Q8484">
        <v>0.1602558</v>
      </c>
      <c r="R8484">
        <v>3.926176E-2</v>
      </c>
      <c r="S8484">
        <v>3.1121059999999998</v>
      </c>
      <c r="T8484">
        <v>-0.31549749999999999</v>
      </c>
      <c r="U8484">
        <v>-0.51747129999999997</v>
      </c>
      <c r="V8484">
        <v>-5.4941320000000002E-2</v>
      </c>
      <c r="W8484">
        <v>0.1891014</v>
      </c>
      <c r="X8484">
        <v>0.98041929999999999</v>
      </c>
      <c r="Y8484">
        <v>0.14739630000000001</v>
      </c>
      <c r="Z8484">
        <v>-8.4522499999999997E-3</v>
      </c>
      <c r="AA8484">
        <v>0.98904139999999996</v>
      </c>
      <c r="AB8484">
        <v>1</v>
      </c>
      <c r="AC8484">
        <v>0.72920000000000496</v>
      </c>
      <c r="AD8484">
        <v>-7.45340000000001E-2</v>
      </c>
      <c r="AE8484">
        <v>-0.122299999999995</v>
      </c>
      <c r="AF8484">
        <v>0.109569816120398</v>
      </c>
      <c r="AG8484">
        <v>-7.45340000000001E-2</v>
      </c>
      <c r="AH8484">
        <v>0.72369941290742501</v>
      </c>
      <c r="AI8484">
        <v>95.814374873393803</v>
      </c>
      <c r="AJ8484">
        <v>81.390668048866999</v>
      </c>
      <c r="AK8484">
        <v>0.73573208575079196</v>
      </c>
      <c r="AL8484">
        <v>79.099651821257893</v>
      </c>
      <c r="AM8484">
        <v>93.207420338991099</v>
      </c>
      <c r="AN8484">
        <v>0.99999994596889397</v>
      </c>
    </row>
    <row r="8485" spans="1:40" x14ac:dyDescent="0.25">
      <c r="A8485" t="str">
        <f>"20190304155002454"</f>
        <v>20190304155002454</v>
      </c>
      <c r="B8485" t="str">
        <f>"1551685802445431"</f>
        <v>1551685802445431</v>
      </c>
      <c r="C8485" t="s">
        <v>40</v>
      </c>
      <c r="D8485">
        <v>4.0957369999999997</v>
      </c>
      <c r="E8485">
        <v>0.52066880000000004</v>
      </c>
      <c r="F8485" t="s">
        <v>42</v>
      </c>
      <c r="G8485">
        <v>0</v>
      </c>
      <c r="H8485">
        <v>0</v>
      </c>
      <c r="I8485">
        <v>0</v>
      </c>
      <c r="J8485">
        <v>-124.4087</v>
      </c>
      <c r="K8485">
        <v>1.112584</v>
      </c>
      <c r="L8485">
        <v>137.42449999999999</v>
      </c>
      <c r="M8485">
        <v>0.99947319999999995</v>
      </c>
      <c r="N8485">
        <v>-2.829185E-2</v>
      </c>
      <c r="O8485">
        <v>-1.590453E-2</v>
      </c>
      <c r="P8485">
        <v>0.98631360000000001</v>
      </c>
      <c r="Q8485">
        <v>0.1601696</v>
      </c>
      <c r="R8485">
        <v>3.9132279999999998E-2</v>
      </c>
      <c r="S8485">
        <v>3.035873</v>
      </c>
      <c r="T8485">
        <v>5.7240010000000001E-2</v>
      </c>
      <c r="U8485">
        <v>-8.753967E-2</v>
      </c>
      <c r="V8485">
        <v>-5.4816249999999997E-2</v>
      </c>
      <c r="W8485">
        <v>0.18799009999999999</v>
      </c>
      <c r="X8485">
        <v>0.98064010000000001</v>
      </c>
      <c r="Y8485">
        <v>1.2933989999999999E-2</v>
      </c>
      <c r="Z8485">
        <v>-8.1079619999999998E-4</v>
      </c>
      <c r="AA8485">
        <v>0.99991600000000003</v>
      </c>
      <c r="AB8485">
        <v>1</v>
      </c>
      <c r="AC8485">
        <v>3.035873</v>
      </c>
      <c r="AD8485">
        <v>5.7240010000000001E-2</v>
      </c>
      <c r="AE8485">
        <v>-8.753967E-2</v>
      </c>
      <c r="AF8485">
        <v>3.9211193551947701E-2</v>
      </c>
      <c r="AG8485">
        <v>5.7240010000000001E-2</v>
      </c>
      <c r="AH8485">
        <v>3.0358032216282802</v>
      </c>
      <c r="AI8485">
        <v>88.919907268649396</v>
      </c>
      <c r="AJ8485">
        <v>89.259994534020905</v>
      </c>
      <c r="AK8485">
        <v>3.0365959785413099</v>
      </c>
      <c r="AL8485">
        <v>79.164488661178694</v>
      </c>
      <c r="AM8485">
        <v>93.1994150256442</v>
      </c>
      <c r="AN8485">
        <v>1.0000000523450301</v>
      </c>
    </row>
    <row r="8486" spans="1:40" x14ac:dyDescent="0.25">
      <c r="A8486" t="str">
        <f>"20190304155002475"</f>
        <v>20190304155002475</v>
      </c>
      <c r="B8486" t="str">
        <f>"1551685802465927"</f>
        <v>1551685802465927</v>
      </c>
      <c r="C8486" t="s">
        <v>40</v>
      </c>
      <c r="D8486">
        <v>4.0892980000000003</v>
      </c>
      <c r="E8486">
        <v>0.51980009999999999</v>
      </c>
      <c r="F8486" t="s">
        <v>42</v>
      </c>
      <c r="G8486">
        <v>0</v>
      </c>
      <c r="H8486">
        <v>0</v>
      </c>
      <c r="I8486">
        <v>0</v>
      </c>
      <c r="J8486">
        <v>-124.4054</v>
      </c>
      <c r="K8486">
        <v>1.1125400000000001</v>
      </c>
      <c r="L8486">
        <v>137.42439999999999</v>
      </c>
      <c r="M8486">
        <v>0.99950289999999997</v>
      </c>
      <c r="N8486">
        <v>-2.7222730000000001E-2</v>
      </c>
      <c r="O8486">
        <v>-1.5907749999999998E-2</v>
      </c>
      <c r="P8486">
        <v>0.98625050000000003</v>
      </c>
      <c r="Q8486">
        <v>0.16045779999999901</v>
      </c>
      <c r="R8486">
        <v>3.9541640000000003E-2</v>
      </c>
      <c r="S8486">
        <v>3.0419770000000002</v>
      </c>
      <c r="T8486">
        <v>1.2073159999999999E-2</v>
      </c>
      <c r="U8486">
        <v>-5.7754519999999997E-2</v>
      </c>
      <c r="V8486">
        <v>-5.5229390000000003E-2</v>
      </c>
      <c r="W8486">
        <v>0.1872267</v>
      </c>
      <c r="X8486">
        <v>0.98076289999999999</v>
      </c>
      <c r="Y8486">
        <v>3.0771280000000002E-3</v>
      </c>
      <c r="Z8486">
        <v>-5.3202410000000001E-4</v>
      </c>
      <c r="AA8486">
        <v>0.99999510000000003</v>
      </c>
      <c r="AB8486">
        <v>1</v>
      </c>
      <c r="AC8486">
        <v>3.0419770000000002</v>
      </c>
      <c r="AD8486">
        <v>1.2073159999999999E-2</v>
      </c>
      <c r="AE8486">
        <v>-5.7754519999999997E-2</v>
      </c>
      <c r="AF8486">
        <v>9.3381135500376806E-3</v>
      </c>
      <c r="AG8486">
        <v>1.2073159999999999E-2</v>
      </c>
      <c r="AH8486">
        <v>3.0424629722061298</v>
      </c>
      <c r="AI8486">
        <v>89.7726400515987</v>
      </c>
      <c r="AJ8486">
        <v>89.824144839278205</v>
      </c>
      <c r="AK8486">
        <v>3.0425012569927401</v>
      </c>
      <c r="AL8486">
        <v>79.2090183088484</v>
      </c>
      <c r="AM8486">
        <v>93.223075011166898</v>
      </c>
      <c r="AN8486">
        <v>0.99999999436453602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2020-05-20T14:50:03Z</dcterms:created>
  <dcterms:modified xsi:type="dcterms:W3CDTF">2020-05-20T14:50:04Z</dcterms:modified>
</cp:coreProperties>
</file>